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drawings/drawing2.xml" ContentType="application/vnd.openxmlformats-officedocument.drawing+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drawings/drawing3.xml" ContentType="application/vnd.openxmlformats-officedocument.drawing+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drawings/drawing5.xml" ContentType="application/vnd.openxmlformats-officedocument.drawing+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drawings/drawing6.xml" ContentType="application/vnd.openxmlformats-officedocument.drawing+xml"/>
  <Override PartName="/xl/ctrlProps/ctrlProp23.xml" ContentType="application/vnd.ms-excel.controlproperties+xml"/>
  <Override PartName="/xl/comments1.xml" ContentType="application/vnd.openxmlformats-officedocument.spreadsheetml.comments+xml"/>
  <Override PartName="/xl/drawings/drawing7.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2.xml" ContentType="application/vnd.openxmlformats-officedocument.spreadsheetml.comments+xml"/>
  <Override PartName="/xl/drawings/drawing8.xml" ContentType="application/vnd.openxmlformats-officedocument.drawing+xml"/>
  <Override PartName="/xl/ctrlProps/ctrlProp24.xml" ContentType="application/vnd.ms-excel.controlproperties+xml"/>
  <Override PartName="/xl/comments3.xml" ContentType="application/vnd.openxmlformats-officedocument.spreadsheetml.comments+xml"/>
  <Override PartName="/xl/drawings/drawing9.xml" ContentType="application/vnd.openxmlformats-officedocument.drawing+xml"/>
  <Override PartName="/xl/ctrlProps/ctrlProp25.xml" ContentType="application/vnd.ms-excel.controlproperties+xml"/>
  <Override PartName="/xl/comments4.xml" ContentType="application/vnd.openxmlformats-officedocument.spreadsheetml.comments+xml"/>
  <Override PartName="/xl/drawings/drawing10.xml" ContentType="application/vnd.openxmlformats-officedocument.drawing+xml"/>
  <Override PartName="/xl/ctrlProps/ctrlProp26.xml" ContentType="application/vnd.ms-excel.controlproperties+xml"/>
  <Override PartName="/xl/comments5.xml" ContentType="application/vnd.openxmlformats-officedocument.spreadsheetml.comments+xml"/>
  <Override PartName="/xl/drawings/drawing11.xml" ContentType="application/vnd.openxmlformats-officedocument.drawing+xml"/>
  <Override PartName="/xl/ctrlProps/ctrlProp27.xml" ContentType="application/vnd.ms-excel.controlproperties+xml"/>
  <Override PartName="/xl/comments6.xml" ContentType="application/vnd.openxmlformats-officedocument.spreadsheetml.comments+xml"/>
  <Override PartName="/xl/drawings/drawing12.xml" ContentType="application/vnd.openxmlformats-officedocument.drawing+xml"/>
  <Override PartName="/xl/ctrlProps/ctrlProp28.xml" ContentType="application/vnd.ms-excel.controlproperties+xml"/>
  <Override PartName="/xl/comments7.xml" ContentType="application/vnd.openxmlformats-officedocument.spreadsheetml.comments+xml"/>
  <Override PartName="/xl/drawings/drawing13.xml" ContentType="application/vnd.openxmlformats-officedocument.drawing+xml"/>
  <Override PartName="/xl/ctrlProps/ctrlProp29.xml" ContentType="application/vnd.ms-excel.controlproperties+xml"/>
  <Override PartName="/xl/comments8.xml" ContentType="application/vnd.openxmlformats-officedocument.spreadsheetml.comments+xml"/>
  <Override PartName="/xl/drawings/drawing14.xml" ContentType="application/vnd.openxmlformats-officedocument.drawing+xml"/>
  <Override PartName="/xl/ctrlProps/ctrlProp30.xml" ContentType="application/vnd.ms-excel.controlproperties+xml"/>
  <Override PartName="/xl/comments9.xml" ContentType="application/vnd.openxmlformats-officedocument.spreadsheetml.comments+xml"/>
  <Override PartName="/xl/drawings/drawing15.xml" ContentType="application/vnd.openxmlformats-officedocument.drawing+xml"/>
  <Override PartName="/xl/ctrlProps/ctrlProp31.xml" ContentType="application/vnd.ms-excel.controlproperties+xml"/>
  <Override PartName="/xl/comments10.xml" ContentType="application/vnd.openxmlformats-officedocument.spreadsheetml.comments+xml"/>
  <Override PartName="/xl/drawings/drawing16.xml" ContentType="application/vnd.openxmlformats-officedocument.drawing+xml"/>
  <Override PartName="/xl/ctrlProps/ctrlProp32.xml" ContentType="application/vnd.ms-excel.controlproperties+xml"/>
  <Override PartName="/xl/ctrlProps/ctrlProp33.xml" ContentType="application/vnd.ms-excel.controlproperties+xml"/>
  <Override PartName="/xl/comments11.xml" ContentType="application/vnd.openxmlformats-officedocument.spreadsheetml.comments+xml"/>
  <Override PartName="/xl/drawings/drawing17.xml" ContentType="application/vnd.openxmlformats-officedocument.drawing+xml"/>
  <Override PartName="/xl/ctrlProps/ctrlProp34.xml" ContentType="application/vnd.ms-excel.controlproperties+xml"/>
  <Override PartName="/xl/ctrlProps/ctrlProp35.xml" ContentType="application/vnd.ms-excel.controlproperties+xml"/>
  <Override PartName="/xl/comments12.xml" ContentType="application/vnd.openxmlformats-officedocument.spreadsheetml.comments+xml"/>
  <Override PartName="/xl/drawings/drawing18.xml" ContentType="application/vnd.openxmlformats-officedocument.drawing+xml"/>
  <Override PartName="/xl/ctrlProps/ctrlProp36.xml" ContentType="application/vnd.ms-excel.controlproperties+xml"/>
  <Override PartName="/xl/ctrlProps/ctrlProp37.xml" ContentType="application/vnd.ms-excel.controlproperties+xml"/>
  <Override PartName="/xl/comments13.xml" ContentType="application/vnd.openxmlformats-officedocument.spreadsheetml.comments+xml"/>
  <Override PartName="/xl/drawings/drawing19.xml" ContentType="application/vnd.openxmlformats-officedocument.drawing+xml"/>
  <Override PartName="/xl/ctrlProps/ctrlProp38.xml" ContentType="application/vnd.ms-excel.controlproperties+xml"/>
  <Override PartName="/xl/ctrlProps/ctrlProp39.xml" ContentType="application/vnd.ms-excel.controlproperties+xml"/>
  <Override PartName="/xl/comments14.xml" ContentType="application/vnd.openxmlformats-officedocument.spreadsheetml.comments+xml"/>
  <Override PartName="/xl/drawings/drawing20.xml" ContentType="application/vnd.openxmlformats-officedocument.drawing+xml"/>
  <Override PartName="/xl/ctrlProps/ctrlProp40.xml" ContentType="application/vnd.ms-excel.controlproperties+xml"/>
  <Override PartName="/xl/ctrlProps/ctrlProp41.xml" ContentType="application/vnd.ms-excel.controlproperties+xml"/>
  <Override PartName="/xl/comments15.xml" ContentType="application/vnd.openxmlformats-officedocument.spreadsheetml.comments+xml"/>
  <Override PartName="/xl/drawings/drawing21.xml" ContentType="application/vnd.openxmlformats-officedocument.drawing+xml"/>
  <Override PartName="/xl/ctrlProps/ctrlProp42.xml" ContentType="application/vnd.ms-excel.controlproperties+xml"/>
  <Override PartName="/xl/ctrlProps/ctrlProp43.xml" ContentType="application/vnd.ms-excel.controlproperties+xml"/>
  <Override PartName="/xl/comments16.xml" ContentType="application/vnd.openxmlformats-officedocument.spreadsheetml.comments+xml"/>
  <Override PartName="/xl/drawings/drawing22.xml" ContentType="application/vnd.openxmlformats-officedocument.drawing+xml"/>
  <Override PartName="/xl/ctrlProps/ctrlProp44.xml" ContentType="application/vnd.ms-excel.controlproperties+xml"/>
  <Override PartName="/xl/ctrlProps/ctrlProp45.xml" ContentType="application/vnd.ms-excel.controlproperties+xml"/>
  <Override PartName="/xl/comments17.xml" ContentType="application/vnd.openxmlformats-officedocument.spreadsheetml.comments+xml"/>
  <Override PartName="/xl/drawings/drawing23.xml" ContentType="application/vnd.openxmlformats-officedocument.drawing+xml"/>
  <Override PartName="/xl/ctrlProps/ctrlProp46.xml" ContentType="application/vnd.ms-excel.controlproperties+xml"/>
  <Override PartName="/xl/ctrlProps/ctrlProp47.xml" ContentType="application/vnd.ms-excel.controlproperties+xml"/>
  <Override PartName="/xl/comments18.xml" ContentType="application/vnd.openxmlformats-officedocument.spreadsheetml.comments+xml"/>
  <Override PartName="/xl/drawings/drawing24.xml" ContentType="application/vnd.openxmlformats-officedocument.drawing+xml"/>
  <Override PartName="/xl/ctrlProps/ctrlProp48.xml" ContentType="application/vnd.ms-excel.controlproperties+xml"/>
  <Override PartName="/xl/ctrlProps/ctrlProp49.xml" ContentType="application/vnd.ms-excel.controlproperties+xml"/>
  <Override PartName="/xl/comments19.xml" ContentType="application/vnd.openxmlformats-officedocument.spreadsheetml.comments+xml"/>
  <Override PartName="/xl/drawings/drawing25.xml" ContentType="application/vnd.openxmlformats-officedocument.drawing+xml"/>
  <Override PartName="/xl/ctrlProps/ctrlProp50.xml" ContentType="application/vnd.ms-excel.controlproperties+xml"/>
  <Override PartName="/xl/ctrlProps/ctrlProp51.xml" ContentType="application/vnd.ms-excel.controlproperties+xml"/>
  <Override PartName="/xl/comments20.xml" ContentType="application/vnd.openxmlformats-officedocument.spreadsheetml.comments+xml"/>
  <Override PartName="/xl/drawings/drawing26.xml" ContentType="application/vnd.openxmlformats-officedocument.drawing+xml"/>
  <Override PartName="/xl/ctrlProps/ctrlProp52.xml" ContentType="application/vnd.ms-excel.controlproperties+xml"/>
  <Override PartName="/xl/ctrlProps/ctrlProp53.xml" ContentType="application/vnd.ms-excel.controlproperties+xml"/>
  <Override PartName="/xl/comments21.xml" ContentType="application/vnd.openxmlformats-officedocument.spreadsheetml.comments+xml"/>
  <Override PartName="/xl/drawings/drawing27.xml" ContentType="application/vnd.openxmlformats-officedocument.drawing+xml"/>
  <Override PartName="/xl/ctrlProps/ctrlProp54.xml" ContentType="application/vnd.ms-excel.controlproperties+xml"/>
  <Override PartName="/xl/ctrlProps/ctrlProp55.xml" ContentType="application/vnd.ms-excel.controlproperties+xml"/>
  <Override PartName="/xl/comments22.xml" ContentType="application/vnd.openxmlformats-officedocument.spreadsheetml.comments+xml"/>
  <Override PartName="/xl/drawings/drawing28.xml" ContentType="application/vnd.openxmlformats-officedocument.drawing+xml"/>
  <Override PartName="/xl/ctrlProps/ctrlProp56.xml" ContentType="application/vnd.ms-excel.controlproperties+xml"/>
  <Override PartName="/xl/ctrlProps/ctrlProp57.xml" ContentType="application/vnd.ms-excel.controlproperties+xml"/>
  <Override PartName="/xl/comments23.xml" ContentType="application/vnd.openxmlformats-officedocument.spreadsheetml.comments+xml"/>
  <Override PartName="/xl/drawings/drawing29.xml" ContentType="application/vnd.openxmlformats-officedocument.drawing+xml"/>
  <Override PartName="/xl/ctrlProps/ctrlProp58.xml" ContentType="application/vnd.ms-excel.controlproperties+xml"/>
  <Override PartName="/xl/ctrlProps/ctrlProp59.xml" ContentType="application/vnd.ms-excel.controlproperties+xml"/>
  <Override PartName="/xl/comments24.xml" ContentType="application/vnd.openxmlformats-officedocument.spreadsheetml.comments+xml"/>
  <Override PartName="/xl/drawings/drawing30.xml" ContentType="application/vnd.openxmlformats-officedocument.drawing+xml"/>
  <Override PartName="/xl/ctrlProps/ctrlProp60.xml" ContentType="application/vnd.ms-excel.controlproperties+xml"/>
  <Override PartName="/xl/ctrlProps/ctrlProp61.xml" ContentType="application/vnd.ms-excel.controlproperties+xml"/>
  <Override PartName="/xl/comments25.xml" ContentType="application/vnd.openxmlformats-officedocument.spreadsheetml.comments+xml"/>
  <Override PartName="/xl/drawings/drawing31.xml" ContentType="application/vnd.openxmlformats-officedocument.drawing+xml"/>
  <Override PartName="/xl/ctrlProps/ctrlProp62.xml" ContentType="application/vnd.ms-excel.controlproperties+xml"/>
  <Override PartName="/xl/ctrlProps/ctrlProp63.xml" ContentType="application/vnd.ms-excel.controlproperties+xml"/>
  <Override PartName="/xl/comments26.xml" ContentType="application/vnd.openxmlformats-officedocument.spreadsheetml.comments+xml"/>
  <Override PartName="/xl/drawings/drawing32.xml" ContentType="application/vnd.openxmlformats-officedocument.drawing+xml"/>
  <Override PartName="/xl/ctrlProps/ctrlProp64.xml" ContentType="application/vnd.ms-excel.controlproperties+xml"/>
  <Override PartName="/xl/ctrlProps/ctrlProp65.xml" ContentType="application/vnd.ms-excel.controlproperties+xml"/>
  <Override PartName="/xl/comments27.xml" ContentType="application/vnd.openxmlformats-officedocument.spreadsheetml.comments+xml"/>
  <Override PartName="/xl/drawings/drawing33.xml" ContentType="application/vnd.openxmlformats-officedocument.drawing+xml"/>
  <Override PartName="/xl/ctrlProps/ctrlProp66.xml" ContentType="application/vnd.ms-excel.controlproperties+xml"/>
  <Override PartName="/xl/ctrlProps/ctrlProp67.xml" ContentType="application/vnd.ms-excel.controlproperties+xml"/>
  <Override PartName="/xl/comments28.xml" ContentType="application/vnd.openxmlformats-officedocument.spreadsheetml.comments+xml"/>
  <Override PartName="/xl/drawings/drawing34.xml" ContentType="application/vnd.openxmlformats-officedocument.drawing+xml"/>
  <Override PartName="/xl/ctrlProps/ctrlProp68.xml" ContentType="application/vnd.ms-excel.controlproperties+xml"/>
  <Override PartName="/xl/ctrlProps/ctrlProp69.xml" ContentType="application/vnd.ms-excel.controlproperties+xml"/>
  <Override PartName="/xl/comments29.xml" ContentType="application/vnd.openxmlformats-officedocument.spreadsheetml.comments+xml"/>
  <Override PartName="/xl/drawings/drawing35.xml" ContentType="application/vnd.openxmlformats-officedocument.drawing+xml"/>
  <Override PartName="/xl/ctrlProps/ctrlProp70.xml" ContentType="application/vnd.ms-excel.controlproperties+xml"/>
  <Override PartName="/xl/ctrlProps/ctrlProp71.xml" ContentType="application/vnd.ms-excel.controlproperties+xml"/>
  <Override PartName="/xl/comments30.xml" ContentType="application/vnd.openxmlformats-officedocument.spreadsheetml.comments+xml"/>
  <Override PartName="/xl/drawings/drawing36.xml" ContentType="application/vnd.openxmlformats-officedocument.drawing+xml"/>
  <Override PartName="/xl/ctrlProps/ctrlProp72.xml" ContentType="application/vnd.ms-excel.controlproperties+xml"/>
  <Override PartName="/xl/ctrlProps/ctrlProp73.xml" ContentType="application/vnd.ms-excel.controlproperties+xml"/>
  <Override PartName="/xl/comments31.xml" ContentType="application/vnd.openxmlformats-officedocument.spreadsheetml.comments+xml"/>
  <Override PartName="/xl/drawings/drawing37.xml" ContentType="application/vnd.openxmlformats-officedocument.drawing+xml"/>
  <Override PartName="/xl/ctrlProps/ctrlProp74.xml" ContentType="application/vnd.ms-excel.controlproperties+xml"/>
  <Override PartName="/xl/ctrlProps/ctrlProp75.xml" ContentType="application/vnd.ms-excel.controlproperties+xml"/>
  <Override PartName="/xl/comments32.xml" ContentType="application/vnd.openxmlformats-officedocument.spreadsheetml.comments+xml"/>
  <Override PartName="/xl/drawings/drawing38.xml" ContentType="application/vnd.openxmlformats-officedocument.drawing+xml"/>
  <Override PartName="/xl/ctrlProps/ctrlProp76.xml" ContentType="application/vnd.ms-excel.controlproperties+xml"/>
  <Override PartName="/xl/ctrlProps/ctrlProp77.xml" ContentType="application/vnd.ms-excel.controlproperties+xml"/>
  <Override PartName="/xl/comments33.xml" ContentType="application/vnd.openxmlformats-officedocument.spreadsheetml.comments+xml"/>
  <Override PartName="/xl/drawings/drawing39.xml" ContentType="application/vnd.openxmlformats-officedocument.drawing+xml"/>
  <Override PartName="/xl/ctrlProps/ctrlProp78.xml" ContentType="application/vnd.ms-excel.controlproperties+xml"/>
  <Override PartName="/xl/ctrlProps/ctrlProp79.xml" ContentType="application/vnd.ms-excel.controlproperties+xml"/>
  <Override PartName="/xl/comments34.xml" ContentType="application/vnd.openxmlformats-officedocument.spreadsheetml.comments+xml"/>
  <Override PartName="/xl/drawings/drawing40.xml" ContentType="application/vnd.openxmlformats-officedocument.drawing+xml"/>
  <Override PartName="/xl/ctrlProps/ctrlProp80.xml" ContentType="application/vnd.ms-excel.controlproperties+xml"/>
  <Override PartName="/xl/ctrlProps/ctrlProp81.xml" ContentType="application/vnd.ms-excel.controlproperties+xml"/>
  <Override PartName="/xl/comments35.xml" ContentType="application/vnd.openxmlformats-officedocument.spreadsheetml.comments+xml"/>
  <Override PartName="/xl/drawings/drawing41.xml" ContentType="application/vnd.openxmlformats-officedocument.drawing+xml"/>
  <Override PartName="/xl/ctrlProps/ctrlProp82.xml" ContentType="application/vnd.ms-excel.controlproperties+xml"/>
  <Override PartName="/xl/ctrlProps/ctrlProp83.xml" ContentType="application/vnd.ms-excel.controlproperties+xml"/>
  <Override PartName="/xl/comments36.xml" ContentType="application/vnd.openxmlformats-officedocument.spreadsheetml.comments+xml"/>
  <Override PartName="/xl/drawings/drawing42.xml" ContentType="application/vnd.openxmlformats-officedocument.drawing+xml"/>
  <Override PartName="/xl/ctrlProps/ctrlProp84.xml" ContentType="application/vnd.ms-excel.controlproperties+xml"/>
  <Override PartName="/xl/ctrlProps/ctrlProp85.xml" ContentType="application/vnd.ms-excel.controlproperties+xml"/>
  <Override PartName="/xl/comments37.xml" ContentType="application/vnd.openxmlformats-officedocument.spreadsheetml.comments+xml"/>
  <Override PartName="/xl/drawings/drawing43.xml" ContentType="application/vnd.openxmlformats-officedocument.drawing+xml"/>
  <Override PartName="/xl/ctrlProps/ctrlProp86.xml" ContentType="application/vnd.ms-excel.controlproperties+xml"/>
  <Override PartName="/xl/ctrlProps/ctrlProp87.xml" ContentType="application/vnd.ms-excel.controlproperties+xml"/>
  <Override PartName="/xl/comments38.xml" ContentType="application/vnd.openxmlformats-officedocument.spreadsheetml.comments+xml"/>
  <Override PartName="/xl/drawings/drawing44.xml" ContentType="application/vnd.openxmlformats-officedocument.drawing+xml"/>
  <Override PartName="/xl/ctrlProps/ctrlProp88.xml" ContentType="application/vnd.ms-excel.controlproperties+xml"/>
  <Override PartName="/xl/ctrlProps/ctrlProp89.xml" ContentType="application/vnd.ms-excel.controlproperties+xml"/>
  <Override PartName="/xl/comments39.xml" ContentType="application/vnd.openxmlformats-officedocument.spreadsheetml.comments+xml"/>
  <Override PartName="/xl/drawings/drawing45.xml" ContentType="application/vnd.openxmlformats-officedocument.drawing+xml"/>
  <Override PartName="/xl/ctrlProps/ctrlProp90.xml" ContentType="application/vnd.ms-excel.controlproperties+xml"/>
  <Override PartName="/xl/ctrlProps/ctrlProp91.xml" ContentType="application/vnd.ms-excel.controlproperties+xml"/>
  <Override PartName="/xl/comments40.xml" ContentType="application/vnd.openxmlformats-officedocument.spreadsheetml.comments+xml"/>
  <Override PartName="/xl/drawings/drawing46.xml" ContentType="application/vnd.openxmlformats-officedocument.drawing+xml"/>
  <Override PartName="/xl/ctrlProps/ctrlProp92.xml" ContentType="application/vnd.ms-excel.controlproperties+xml"/>
  <Override PartName="/xl/ctrlProps/ctrlProp93.xml" ContentType="application/vnd.ms-excel.controlproperties+xml"/>
  <Override PartName="/xl/comments41.xml" ContentType="application/vnd.openxmlformats-officedocument.spreadsheetml.comments+xml"/>
  <Override PartName="/xl/drawings/drawing47.xml" ContentType="application/vnd.openxmlformats-officedocument.drawing+xml"/>
  <Override PartName="/xl/ctrlProps/ctrlProp94.xml" ContentType="application/vnd.ms-excel.controlproperties+xml"/>
  <Override PartName="/xl/ctrlProps/ctrlProp95.xml" ContentType="application/vnd.ms-excel.controlproperties+xml"/>
  <Override PartName="/xl/comments42.xml" ContentType="application/vnd.openxmlformats-officedocument.spreadsheetml.comments+xml"/>
  <Override PartName="/xl/drawings/drawing48.xml" ContentType="application/vnd.openxmlformats-officedocument.drawing+xml"/>
  <Override PartName="/xl/ctrlProps/ctrlProp96.xml" ContentType="application/vnd.ms-excel.controlproperties+xml"/>
  <Override PartName="/xl/ctrlProps/ctrlProp97.xml" ContentType="application/vnd.ms-excel.controlproperties+xml"/>
  <Override PartName="/xl/comments43.xml" ContentType="application/vnd.openxmlformats-officedocument.spreadsheetml.comments+xml"/>
  <Override PartName="/xl/drawings/drawing49.xml" ContentType="application/vnd.openxmlformats-officedocument.drawing+xml"/>
  <Override PartName="/xl/ctrlProps/ctrlProp98.xml" ContentType="application/vnd.ms-excel.controlproperties+xml"/>
  <Override PartName="/xl/ctrlProps/ctrlProp99.xml" ContentType="application/vnd.ms-excel.controlproperties+xml"/>
  <Override PartName="/xl/comments44.xml" ContentType="application/vnd.openxmlformats-officedocument.spreadsheetml.comments+xml"/>
  <Override PartName="/xl/drawings/drawing50.xml" ContentType="application/vnd.openxmlformats-officedocument.drawing+xml"/>
  <Override PartName="/xl/ctrlProps/ctrlProp100.xml" ContentType="application/vnd.ms-excel.controlproperties+xml"/>
  <Override PartName="/xl/ctrlProps/ctrlProp101.xml" ContentType="application/vnd.ms-excel.controlproperties+xml"/>
  <Override PartName="/xl/comments45.xml" ContentType="application/vnd.openxmlformats-officedocument.spreadsheetml.comments+xml"/>
  <Override PartName="/xl/drawings/drawing51.xml" ContentType="application/vnd.openxmlformats-officedocument.drawing+xml"/>
  <Override PartName="/xl/ctrlProps/ctrlProp102.xml" ContentType="application/vnd.ms-excel.controlproperties+xml"/>
  <Override PartName="/xl/ctrlProps/ctrlProp103.xml" ContentType="application/vnd.ms-excel.controlproperties+xml"/>
  <Override PartName="/xl/comments46.xml" ContentType="application/vnd.openxmlformats-officedocument.spreadsheetml.comments+xml"/>
  <Override PartName="/xl/drawings/drawing52.xml" ContentType="application/vnd.openxmlformats-officedocument.drawing+xml"/>
  <Override PartName="/xl/ctrlProps/ctrlProp104.xml" ContentType="application/vnd.ms-excel.controlproperties+xml"/>
  <Override PartName="/xl/ctrlProps/ctrlProp105.xml" ContentType="application/vnd.ms-excel.controlproperties+xml"/>
  <Override PartName="/xl/comments47.xml" ContentType="application/vnd.openxmlformats-officedocument.spreadsheetml.comments+xml"/>
  <Override PartName="/xl/drawings/drawing53.xml" ContentType="application/vnd.openxmlformats-officedocument.drawing+xml"/>
  <Override PartName="/xl/ctrlProps/ctrlProp106.xml" ContentType="application/vnd.ms-excel.controlproperties+xml"/>
  <Override PartName="/xl/ctrlProps/ctrlProp107.xml" ContentType="application/vnd.ms-excel.controlproperties+xml"/>
  <Override PartName="/xl/comments48.xml" ContentType="application/vnd.openxmlformats-officedocument.spreadsheetml.comments+xml"/>
  <Override PartName="/xl/drawings/drawing54.xml" ContentType="application/vnd.openxmlformats-officedocument.drawing+xml"/>
  <Override PartName="/xl/ctrlProps/ctrlProp108.xml" ContentType="application/vnd.ms-excel.controlproperties+xml"/>
  <Override PartName="/xl/ctrlProps/ctrlProp109.xml" ContentType="application/vnd.ms-excel.controlproperties+xml"/>
  <Override PartName="/xl/comments49.xml" ContentType="application/vnd.openxmlformats-officedocument.spreadsheetml.comments+xml"/>
  <Override PartName="/xl/drawings/drawing55.xml" ContentType="application/vnd.openxmlformats-officedocument.drawing+xml"/>
  <Override PartName="/xl/ctrlProps/ctrlProp110.xml" ContentType="application/vnd.ms-excel.controlproperties+xml"/>
  <Override PartName="/xl/ctrlProps/ctrlProp111.xml" ContentType="application/vnd.ms-excel.controlproperties+xml"/>
  <Override PartName="/xl/comments50.xml" ContentType="application/vnd.openxmlformats-officedocument.spreadsheetml.comments+xml"/>
  <Override PartName="/xl/drawings/drawing56.xml" ContentType="application/vnd.openxmlformats-officedocument.drawing+xml"/>
  <Override PartName="/xl/activeX/activeX3.xml" ContentType="application/vnd.ms-office.activeX+xml"/>
  <Override PartName="/xl/activeX/activeX3.bin" ContentType="application/vnd.ms-office.activeX"/>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48" yWindow="0" windowWidth="15156" windowHeight="4632" tabRatio="940"/>
  </bookViews>
  <sheets>
    <sheet name="Daily Operation" sheetId="1" r:id="rId1"/>
    <sheet name="Contract DB (Central)" sheetId="2" r:id="rId2"/>
    <sheet name="Contract DB (West)" sheetId="3" r:id="rId3"/>
    <sheet name="Contract DB (East)" sheetId="4" r:id="rId4"/>
    <sheet name="Contract DB (Ontario)" sheetId="5" r:id="rId5"/>
    <sheet name="P&amp;L Report" sheetId="6" r:id="rId6"/>
    <sheet name="Curves" sheetId="7" r:id="rId7"/>
    <sheet name="Correlations" sheetId="8" r:id="rId8"/>
    <sheet name="P&amp;L Template" sheetId="9" r:id="rId9"/>
    <sheet name="Central Position Rpt" sheetId="10" r:id="rId10"/>
    <sheet name="WestHolst Position Rpt" sheetId="11" r:id="rId11"/>
    <sheet name="WestErmis Position Rpt" sheetId="12" r:id="rId12"/>
    <sheet name="WestGrigsby Position Rpt" sheetId="13" r:id="rId13"/>
    <sheet name="WestAllen Position Rpt" sheetId="14" r:id="rId14"/>
    <sheet name="Denver Positions" sheetId="15" r:id="rId15"/>
    <sheet name="Phillip Delta Positions" sheetId="16" r:id="rId16"/>
    <sheet name="Keith Delta Positions" sheetId="17" r:id="rId17"/>
    <sheet name="East Postition Rpt" sheetId="18" r:id="rId18"/>
    <sheet name="Ontario Position Rpt" sheetId="19" r:id="rId19"/>
    <sheet name="sTOREY" sheetId="20" r:id="rId20"/>
    <sheet name="LongTerm1" sheetId="21" r:id="rId21"/>
    <sheet name="LongTerm2" sheetId="22" r:id="rId22"/>
    <sheet name="LongTerm9" sheetId="23" r:id="rId23"/>
    <sheet name="LongTerm10" sheetId="24" r:id="rId24"/>
    <sheet name="LongTerm17" sheetId="25" r:id="rId25"/>
    <sheet name="LongTerm19" sheetId="26" r:id="rId26"/>
    <sheet name="LongTerm20" sheetId="27" r:id="rId27"/>
    <sheet name="LongTerm21" sheetId="28" r:id="rId28"/>
    <sheet name="LongTerm24" sheetId="29" r:id="rId29"/>
    <sheet name="LongTerm25" sheetId="30" r:id="rId30"/>
    <sheet name="LongTerm26" sheetId="31" r:id="rId31"/>
    <sheet name="LongTerm50" sheetId="32" r:id="rId32"/>
    <sheet name="LongTerm51" sheetId="33" r:id="rId33"/>
    <sheet name="LongTerm52" sheetId="34" r:id="rId34"/>
    <sheet name="LongTerm53" sheetId="35" r:id="rId35"/>
    <sheet name="LongTerm54" sheetId="36" r:id="rId36"/>
    <sheet name="LongTerm55" sheetId="37" r:id="rId37"/>
    <sheet name="LongTerm56" sheetId="38" r:id="rId38"/>
    <sheet name="LongTerm57" sheetId="39" r:id="rId39"/>
    <sheet name="LongTerm62" sheetId="40" r:id="rId40"/>
    <sheet name="LongTerm72" sheetId="41" r:id="rId41"/>
    <sheet name="LongTerm73" sheetId="42" r:id="rId42"/>
    <sheet name="LongTerm74" sheetId="43" r:id="rId43"/>
    <sheet name="LongTerm83" sheetId="44" r:id="rId44"/>
    <sheet name="LongTerm84" sheetId="45" r:id="rId45"/>
    <sheet name="LongTerm85" sheetId="46" r:id="rId46"/>
    <sheet name="LongTerm86" sheetId="47" r:id="rId47"/>
    <sheet name="LongTerm87" sheetId="48" r:id="rId48"/>
    <sheet name="LongTerm88" sheetId="49" r:id="rId49"/>
    <sheet name="LongTerm89" sheetId="50" r:id="rId50"/>
    <sheet name="LongTerm90" sheetId="51" r:id="rId51"/>
    <sheet name="LongTerm100" sheetId="52" r:id="rId52"/>
    <sheet name="LongTerm101" sheetId="53" r:id="rId53"/>
    <sheet name="LongTerm102" sheetId="54" r:id="rId54"/>
    <sheet name="LongTerm103" sheetId="55" r:id="rId55"/>
    <sheet name="LongTerm104" sheetId="56" r:id="rId56"/>
    <sheet name="LongTerm105" sheetId="57" r:id="rId57"/>
    <sheet name="LongTerm106" sheetId="58" r:id="rId58"/>
    <sheet name="LongTerm107" sheetId="59" r:id="rId59"/>
    <sheet name="LongTerm108" sheetId="60" r:id="rId60"/>
    <sheet name="Help" sheetId="61" r:id="rId61"/>
    <sheet name="Codes" sheetId="62" r:id="rId62"/>
    <sheet name="Book and CPID" sheetId="63" r:id="rId63"/>
    <sheet name="Configuration" sheetId="64" r:id="rId64"/>
    <sheet name="Lavorato Rpt" sheetId="65" r:id="rId65"/>
  </sheets>
  <externalReferences>
    <externalReference r:id="rId66"/>
    <externalReference r:id="rId67"/>
    <externalReference r:id="rId68"/>
    <externalReference r:id="rId69"/>
  </externalReferences>
  <definedNames>
    <definedName name="_11_1_99">Correlations!$A$3:$BF$304</definedName>
    <definedName name="BookCodes">Codes!$G$7:$H$11</definedName>
    <definedName name="ContractList" localSheetId="1">'Contract DB (Central)'!$C$9</definedName>
    <definedName name="ContractList" localSheetId="3">'Contract DB (East)'!$C$9</definedName>
    <definedName name="ContractList" localSheetId="4">'Contract DB (Ontario)'!$C$9</definedName>
    <definedName name="ContractList" localSheetId="2">'Contract DB (West)'!$C$9</definedName>
    <definedName name="ContractList">#REF!</definedName>
    <definedName name="CorrelationOne">Correlations!$A$3:$BQ$304</definedName>
    <definedName name="CorrelationTwo" localSheetId="0">'Daily Operation'!#REF!</definedName>
    <definedName name="CorrelationTwo">Configuration!$C$16:$E$21</definedName>
    <definedName name="CorrelFile">Configuration!$D$10</definedName>
    <definedName name="CorrelPage">Configuration!$D$11</definedName>
    <definedName name="CurveCodes">Codes!$C$7:$D$114</definedName>
    <definedName name="CurveNames">Curves!$D$17</definedName>
    <definedName name="CurveStart">Curves!$D$14</definedName>
    <definedName name="CurveTbl">Curves!$D$19:$DV$307</definedName>
    <definedName name="CurveTypes">Codes!$K$7:$L$15</definedName>
    <definedName name="DBName">Curves!$D$5</definedName>
    <definedName name="Deal1" localSheetId="4">#REF!</definedName>
    <definedName name="Deal1">sTOREY!$AM$17:$AP$119</definedName>
    <definedName name="Deal2" localSheetId="4">#REF!</definedName>
    <definedName name="Deal2">sTOREY!$AQ$17:$AT$32</definedName>
    <definedName name="Deal25" localSheetId="4">#REF!</definedName>
    <definedName name="Deal25">sTOREY!$BG$17:$BJ$100</definedName>
    <definedName name="Deal26" localSheetId="4">#REF!</definedName>
    <definedName name="Deal26">sTOREY!$BK$17:$BN$19</definedName>
    <definedName name="Deal3" localSheetId="4">#REF!</definedName>
    <definedName name="Deal3">sTOREY!$AU$17:$AX$20</definedName>
    <definedName name="Deal4" localSheetId="4">#REF!</definedName>
    <definedName name="Deal4">sTOREY!$AY$17:$BB$21</definedName>
    <definedName name="Deal7" localSheetId="4">#REF!</definedName>
    <definedName name="Deal7">sTOREY!$BC$17:$BF$21</definedName>
    <definedName name="EndDate">Curves!$H$7</definedName>
    <definedName name="_Exp2">Configuration!$D$41</definedName>
    <definedName name="ExportFile">Configuration!$D$40</definedName>
    <definedName name="FetchDate">Curves!$H$5</definedName>
    <definedName name="GRITable" localSheetId="0">'Daily Operation'!#REF!</definedName>
    <definedName name="GRITable">Configuration!$H$16:$I$20</definedName>
    <definedName name="InfoStart">Curves!$D$19</definedName>
    <definedName name="LiborCurve" localSheetId="0">'Daily Operation'!#REF!</definedName>
    <definedName name="LiborCurve">Configuration!$D$7</definedName>
    <definedName name="NymexCurve" localSheetId="0">'Daily Operation'!#REF!</definedName>
    <definedName name="NymexCurve">Configuration!$D$6</definedName>
    <definedName name="OffsetDays" localSheetId="0">'Daily Operation'!#REF!</definedName>
    <definedName name="OffsetDays">Configuration!$D$5</definedName>
    <definedName name="Password">Curves!$D$7</definedName>
    <definedName name="_xlnm.Print_Area" localSheetId="9">'Central Position Rpt'!$C$7:$V$19</definedName>
    <definedName name="_xlnm.Print_Area" localSheetId="17">'East Postition Rpt'!$C$7:$V$77</definedName>
    <definedName name="_xlnm.Print_Area" localSheetId="16">'Keith Delta Positions'!$S$1:$X$32</definedName>
    <definedName name="_xlnm.Print_Area" localSheetId="64">'Lavorato Rpt'!$A$2:$V$48</definedName>
    <definedName name="_xlnm.Print_Area" localSheetId="18">'Ontario Position Rpt'!$C$7:$V$11</definedName>
    <definedName name="_xlnm.Print_Area" localSheetId="5">'P&amp;L Report'!#REF!</definedName>
    <definedName name="_xlnm.Print_Area" localSheetId="19">sTOREY!$B$15:$AH$108</definedName>
    <definedName name="_xlnm.Print_Area" localSheetId="11">'WestErmis Position Rpt'!$C$7:$V$18</definedName>
    <definedName name="_xlnm.Print_Area" localSheetId="12">'WestGrigsby Position Rpt'!$C$7:$V$28</definedName>
    <definedName name="RegionList">Configuration!$H$27</definedName>
    <definedName name="RegionRptConfig" localSheetId="0">'Daily Operation'!#REF!</definedName>
    <definedName name="RegionRptConfig">Configuration!$H$27</definedName>
    <definedName name="StartDate">Curves!$H$6</definedName>
    <definedName name="TodayDate" localSheetId="0">'Daily Operation'!#REF!</definedName>
    <definedName name="TodayDate">Configuration!$D$3</definedName>
    <definedName name="UserName">Curves!$D$6</definedName>
    <definedName name="XTable">'Book and CPID'!$C$5</definedName>
  </definedNames>
  <calcPr calcId="92512"/>
</workbook>
</file>

<file path=xl/calcChain.xml><?xml version="1.0" encoding="utf-8"?>
<calcChain xmlns="http://schemas.openxmlformats.org/spreadsheetml/2006/main">
  <c r="A2" i="10" l="1"/>
  <c r="A3" i="10"/>
  <c r="E7" i="10"/>
  <c r="H8" i="10"/>
  <c r="H8" i="10" a="1"/>
  <c r="I8" i="10"/>
  <c r="J8" i="10"/>
  <c r="K8" i="10"/>
  <c r="L8" i="10"/>
  <c r="M8" i="10"/>
  <c r="N8" i="10"/>
  <c r="O8" i="10"/>
  <c r="P8" i="10"/>
  <c r="Q8" i="10"/>
  <c r="R8" i="10"/>
  <c r="S8" i="10"/>
  <c r="T8" i="10"/>
  <c r="H9" i="10"/>
  <c r="H9" i="10" a="1"/>
  <c r="I9" i="10"/>
  <c r="J9" i="10"/>
  <c r="K9" i="10"/>
  <c r="L9" i="10"/>
  <c r="M9" i="10"/>
  <c r="N9" i="10"/>
  <c r="O9" i="10"/>
  <c r="P9" i="10"/>
  <c r="Q9" i="10"/>
  <c r="R9" i="10"/>
  <c r="S9" i="10"/>
  <c r="T9" i="10"/>
  <c r="E10" i="10"/>
  <c r="F10" i="10"/>
  <c r="G10" i="10"/>
  <c r="H10" i="10"/>
  <c r="H10" i="10" a="1"/>
  <c r="I10" i="10"/>
  <c r="I10" i="10" a="1"/>
  <c r="J10" i="10"/>
  <c r="J10" i="10" a="1"/>
  <c r="K10" i="10"/>
  <c r="K10" i="10" a="1"/>
  <c r="L10" i="10"/>
  <c r="L10" i="10" a="1"/>
  <c r="M10" i="10"/>
  <c r="M10" i="10" a="1"/>
  <c r="N10" i="10"/>
  <c r="N10" i="10" a="1"/>
  <c r="O10" i="10"/>
  <c r="O10" i="10" a="1"/>
  <c r="P10" i="10"/>
  <c r="P10" i="10" a="1"/>
  <c r="Q10" i="10"/>
  <c r="Q10" i="10" a="1"/>
  <c r="R10" i="10"/>
  <c r="R10" i="10" a="1"/>
  <c r="S10" i="10"/>
  <c r="S10" i="10" a="1"/>
  <c r="T10" i="10"/>
  <c r="T10" i="10" a="1"/>
  <c r="V10" i="10"/>
  <c r="Y10" i="10"/>
  <c r="Z10" i="10"/>
  <c r="AA10" i="10"/>
  <c r="AB10" i="10"/>
  <c r="AC10" i="10"/>
  <c r="G11" i="10"/>
  <c r="H11" i="10"/>
  <c r="H11" i="10" a="1"/>
  <c r="I11" i="10"/>
  <c r="I11" i="10" a="1"/>
  <c r="J11" i="10"/>
  <c r="J11" i="10" a="1"/>
  <c r="K11" i="10"/>
  <c r="K11" i="10" a="1"/>
  <c r="L11" i="10"/>
  <c r="L11" i="10" a="1"/>
  <c r="M11" i="10"/>
  <c r="M11" i="10" a="1"/>
  <c r="N11" i="10"/>
  <c r="N11" i="10" a="1"/>
  <c r="O11" i="10"/>
  <c r="O11" i="10" a="1"/>
  <c r="P11" i="10"/>
  <c r="P11" i="10" a="1"/>
  <c r="Q11" i="10"/>
  <c r="Q11" i="10" a="1"/>
  <c r="R11" i="10"/>
  <c r="R11" i="10" a="1"/>
  <c r="S11" i="10"/>
  <c r="S11" i="10" a="1"/>
  <c r="T11" i="10"/>
  <c r="T11" i="10" a="1"/>
  <c r="V11" i="10"/>
  <c r="Y11" i="10"/>
  <c r="AA11" i="10"/>
  <c r="AB11" i="10"/>
  <c r="AC11" i="10"/>
  <c r="E12" i="10"/>
  <c r="F12" i="10"/>
  <c r="G12" i="10"/>
  <c r="H12" i="10"/>
  <c r="H12" i="10" a="1"/>
  <c r="I12" i="10"/>
  <c r="I12" i="10" a="1"/>
  <c r="J12" i="10"/>
  <c r="J12" i="10" a="1"/>
  <c r="K12" i="10"/>
  <c r="K12" i="10" a="1"/>
  <c r="L12" i="10"/>
  <c r="L12" i="10" a="1"/>
  <c r="M12" i="10"/>
  <c r="M12" i="10" a="1"/>
  <c r="N12" i="10"/>
  <c r="N12" i="10" a="1"/>
  <c r="O12" i="10"/>
  <c r="O12" i="10" a="1"/>
  <c r="P12" i="10"/>
  <c r="P12" i="10" a="1"/>
  <c r="Q12" i="10"/>
  <c r="Q12" i="10" a="1"/>
  <c r="R12" i="10"/>
  <c r="R12" i="10" a="1"/>
  <c r="S12" i="10"/>
  <c r="S12" i="10" a="1"/>
  <c r="T12" i="10"/>
  <c r="T12" i="10" a="1"/>
  <c r="V12" i="10"/>
  <c r="Y12" i="10"/>
  <c r="Z12" i="10"/>
  <c r="AA12" i="10"/>
  <c r="AB12" i="10"/>
  <c r="AC12" i="10"/>
  <c r="G13" i="10"/>
  <c r="H13" i="10"/>
  <c r="H13" i="10" a="1"/>
  <c r="I13" i="10"/>
  <c r="I13" i="10" a="1"/>
  <c r="J13" i="10"/>
  <c r="J13" i="10" a="1"/>
  <c r="K13" i="10"/>
  <c r="K13" i="10" a="1"/>
  <c r="L13" i="10"/>
  <c r="L13" i="10" a="1"/>
  <c r="M13" i="10"/>
  <c r="M13" i="10" a="1"/>
  <c r="N13" i="10"/>
  <c r="N13" i="10" a="1"/>
  <c r="O13" i="10"/>
  <c r="O13" i="10" a="1"/>
  <c r="P13" i="10"/>
  <c r="P13" i="10" a="1"/>
  <c r="Q13" i="10"/>
  <c r="Q13" i="10" a="1"/>
  <c r="R13" i="10"/>
  <c r="R13" i="10" a="1"/>
  <c r="S13" i="10"/>
  <c r="S13" i="10" a="1"/>
  <c r="T13" i="10"/>
  <c r="T13" i="10" a="1"/>
  <c r="V13" i="10"/>
  <c r="Y13" i="10"/>
  <c r="AA13" i="10"/>
  <c r="AB13" i="10"/>
  <c r="AC13" i="10"/>
  <c r="E14" i="10"/>
  <c r="F14" i="10"/>
  <c r="G14" i="10"/>
  <c r="H14" i="10"/>
  <c r="H14" i="10" a="1"/>
  <c r="I14" i="10"/>
  <c r="I14" i="10" a="1"/>
  <c r="J14" i="10"/>
  <c r="J14" i="10" a="1"/>
  <c r="K14" i="10"/>
  <c r="K14" i="10" a="1"/>
  <c r="L14" i="10"/>
  <c r="L14" i="10" a="1"/>
  <c r="M14" i="10"/>
  <c r="M14" i="10" a="1"/>
  <c r="N14" i="10"/>
  <c r="N14" i="10" a="1"/>
  <c r="O14" i="10"/>
  <c r="O14" i="10" a="1"/>
  <c r="P14" i="10"/>
  <c r="P14" i="10" a="1"/>
  <c r="Q14" i="10"/>
  <c r="Q14" i="10" a="1"/>
  <c r="R14" i="10"/>
  <c r="R14" i="10" a="1"/>
  <c r="S14" i="10"/>
  <c r="S14" i="10" a="1"/>
  <c r="T14" i="10"/>
  <c r="T14" i="10" a="1"/>
  <c r="V14" i="10"/>
  <c r="Y14" i="10"/>
  <c r="Z14" i="10"/>
  <c r="AA14" i="10"/>
  <c r="AB14" i="10"/>
  <c r="AC14" i="10"/>
  <c r="G15" i="10"/>
  <c r="H15" i="10"/>
  <c r="H15" i="10" a="1"/>
  <c r="I15" i="10"/>
  <c r="I15" i="10" a="1"/>
  <c r="J15" i="10"/>
  <c r="J15" i="10" a="1"/>
  <c r="K15" i="10"/>
  <c r="K15" i="10" a="1"/>
  <c r="L15" i="10"/>
  <c r="L15" i="10" a="1"/>
  <c r="M15" i="10"/>
  <c r="M15" i="10" a="1"/>
  <c r="N15" i="10"/>
  <c r="N15" i="10" a="1"/>
  <c r="O15" i="10"/>
  <c r="O15" i="10" a="1"/>
  <c r="P15" i="10"/>
  <c r="P15" i="10" a="1"/>
  <c r="Q15" i="10"/>
  <c r="Q15" i="10" a="1"/>
  <c r="R15" i="10"/>
  <c r="R15" i="10" a="1"/>
  <c r="S15" i="10"/>
  <c r="S15" i="10" a="1"/>
  <c r="T15" i="10"/>
  <c r="T15" i="10" a="1"/>
  <c r="V15" i="10"/>
  <c r="Y15" i="10"/>
  <c r="AA15" i="10"/>
  <c r="AB15" i="10"/>
  <c r="AC15" i="10"/>
  <c r="E16" i="10"/>
  <c r="F16" i="10"/>
  <c r="G16" i="10"/>
  <c r="H16" i="10"/>
  <c r="H16" i="10" a="1"/>
  <c r="I16" i="10"/>
  <c r="I16" i="10" a="1"/>
  <c r="J16" i="10"/>
  <c r="J16" i="10" a="1"/>
  <c r="K16" i="10"/>
  <c r="K16" i="10" a="1"/>
  <c r="L16" i="10"/>
  <c r="L16" i="10" a="1"/>
  <c r="M16" i="10"/>
  <c r="M16" i="10" a="1"/>
  <c r="N16" i="10"/>
  <c r="N16" i="10" a="1"/>
  <c r="O16" i="10"/>
  <c r="O16" i="10" a="1"/>
  <c r="P16" i="10"/>
  <c r="P16" i="10" a="1"/>
  <c r="Q16" i="10"/>
  <c r="Q16" i="10" a="1"/>
  <c r="R16" i="10"/>
  <c r="R16" i="10" a="1"/>
  <c r="S16" i="10"/>
  <c r="S16" i="10" a="1"/>
  <c r="T16" i="10"/>
  <c r="T16" i="10" a="1"/>
  <c r="V16" i="10"/>
  <c r="Y16" i="10"/>
  <c r="Z16" i="10"/>
  <c r="AA16" i="10"/>
  <c r="AB16" i="10"/>
  <c r="AC16" i="10"/>
  <c r="G17" i="10"/>
  <c r="H17" i="10"/>
  <c r="H17" i="10" a="1"/>
  <c r="I17" i="10"/>
  <c r="I17" i="10" a="1"/>
  <c r="J17" i="10"/>
  <c r="J17" i="10" a="1"/>
  <c r="K17" i="10"/>
  <c r="K17" i="10" a="1"/>
  <c r="L17" i="10"/>
  <c r="L17" i="10" a="1"/>
  <c r="M17" i="10"/>
  <c r="M17" i="10" a="1"/>
  <c r="N17" i="10"/>
  <c r="N17" i="10" a="1"/>
  <c r="O17" i="10"/>
  <c r="O17" i="10" a="1"/>
  <c r="P17" i="10"/>
  <c r="P17" i="10" a="1"/>
  <c r="Q17" i="10"/>
  <c r="Q17" i="10" a="1"/>
  <c r="R17" i="10"/>
  <c r="R17" i="10" a="1"/>
  <c r="S17" i="10"/>
  <c r="S17" i="10" a="1"/>
  <c r="T17" i="10"/>
  <c r="T17" i="10" a="1"/>
  <c r="V17" i="10"/>
  <c r="Y17" i="10"/>
  <c r="AA17" i="10"/>
  <c r="AB17" i="10"/>
  <c r="AC17" i="10"/>
  <c r="E18" i="10"/>
  <c r="F18" i="10"/>
  <c r="G18" i="10"/>
  <c r="H18" i="10"/>
  <c r="H18" i="10" a="1"/>
  <c r="I18" i="10"/>
  <c r="I18" i="10" a="1"/>
  <c r="J18" i="10"/>
  <c r="J18" i="10" a="1"/>
  <c r="K18" i="10"/>
  <c r="K18" i="10" a="1"/>
  <c r="L18" i="10"/>
  <c r="L18" i="10" a="1"/>
  <c r="M18" i="10"/>
  <c r="M18" i="10" a="1"/>
  <c r="N18" i="10"/>
  <c r="N18" i="10" a="1"/>
  <c r="O18" i="10"/>
  <c r="O18" i="10" a="1"/>
  <c r="P18" i="10"/>
  <c r="P18" i="10" a="1"/>
  <c r="Q18" i="10"/>
  <c r="Q18" i="10" a="1"/>
  <c r="R18" i="10"/>
  <c r="R18" i="10" a="1"/>
  <c r="S18" i="10"/>
  <c r="S18" i="10" a="1"/>
  <c r="T18" i="10"/>
  <c r="T18" i="10" a="1"/>
  <c r="V18" i="10"/>
  <c r="Y18" i="10"/>
  <c r="Z18" i="10"/>
  <c r="AA18" i="10"/>
  <c r="AB18" i="10"/>
  <c r="AC18" i="10"/>
  <c r="G19" i="10"/>
  <c r="H19" i="10"/>
  <c r="H19" i="10" a="1"/>
  <c r="I19" i="10"/>
  <c r="I19" i="10" a="1"/>
  <c r="J19" i="10"/>
  <c r="J19" i="10" a="1"/>
  <c r="K19" i="10"/>
  <c r="K19" i="10" a="1"/>
  <c r="L19" i="10"/>
  <c r="L19" i="10" a="1"/>
  <c r="M19" i="10"/>
  <c r="M19" i="10" a="1"/>
  <c r="N19" i="10"/>
  <c r="N19" i="10" a="1"/>
  <c r="O19" i="10"/>
  <c r="O19" i="10" a="1"/>
  <c r="P19" i="10"/>
  <c r="P19" i="10" a="1"/>
  <c r="Q19" i="10"/>
  <c r="Q19" i="10" a="1"/>
  <c r="R19" i="10"/>
  <c r="R19" i="10" a="1"/>
  <c r="S19" i="10"/>
  <c r="S19" i="10" a="1"/>
  <c r="T19" i="10"/>
  <c r="T19" i="10" a="1"/>
  <c r="V19" i="10"/>
  <c r="Y19" i="10"/>
  <c r="AA19" i="10"/>
  <c r="AB19" i="10"/>
  <c r="AC19" i="10"/>
  <c r="E20" i="10"/>
  <c r="F20" i="10"/>
  <c r="G20" i="10"/>
  <c r="H20" i="10"/>
  <c r="H20" i="10" a="1"/>
  <c r="I20" i="10"/>
  <c r="I20" i="10" a="1"/>
  <c r="J20" i="10"/>
  <c r="J20" i="10" a="1"/>
  <c r="K20" i="10"/>
  <c r="K20" i="10" a="1"/>
  <c r="L20" i="10"/>
  <c r="L20" i="10" a="1"/>
  <c r="M20" i="10"/>
  <c r="M20" i="10" a="1"/>
  <c r="N20" i="10"/>
  <c r="N20" i="10" a="1"/>
  <c r="O20" i="10"/>
  <c r="O20" i="10" a="1"/>
  <c r="P20" i="10"/>
  <c r="P20" i="10" a="1"/>
  <c r="Q20" i="10"/>
  <c r="Q20" i="10" a="1"/>
  <c r="R20" i="10"/>
  <c r="R20" i="10" a="1"/>
  <c r="S20" i="10"/>
  <c r="S20" i="10" a="1"/>
  <c r="T20" i="10"/>
  <c r="T20" i="10" a="1"/>
  <c r="V20" i="10"/>
  <c r="Y20" i="10"/>
  <c r="Z20" i="10"/>
  <c r="AA20" i="10"/>
  <c r="AB20" i="10"/>
  <c r="AC20" i="10"/>
  <c r="G21" i="10"/>
  <c r="H21" i="10"/>
  <c r="H21" i="10" a="1"/>
  <c r="I21" i="10"/>
  <c r="I21" i="10" a="1"/>
  <c r="J21" i="10"/>
  <c r="J21" i="10" a="1"/>
  <c r="K21" i="10"/>
  <c r="K21" i="10" a="1"/>
  <c r="L21" i="10"/>
  <c r="L21" i="10" a="1"/>
  <c r="M21" i="10"/>
  <c r="M21" i="10" a="1"/>
  <c r="N21" i="10"/>
  <c r="N21" i="10" a="1"/>
  <c r="O21" i="10"/>
  <c r="O21" i="10" a="1"/>
  <c r="P21" i="10"/>
  <c r="P21" i="10" a="1"/>
  <c r="Q21" i="10"/>
  <c r="Q21" i="10" a="1"/>
  <c r="R21" i="10"/>
  <c r="R21" i="10" a="1"/>
  <c r="S21" i="10"/>
  <c r="S21" i="10" a="1"/>
  <c r="T21" i="10"/>
  <c r="T21" i="10" a="1"/>
  <c r="V21" i="10"/>
  <c r="Y21" i="10"/>
  <c r="AA21" i="10"/>
  <c r="AB21" i="10"/>
  <c r="AC21" i="10"/>
  <c r="E22" i="10"/>
  <c r="F22" i="10"/>
  <c r="G22" i="10"/>
  <c r="H22" i="10"/>
  <c r="H22" i="10" a="1"/>
  <c r="I22" i="10"/>
  <c r="I22" i="10" a="1"/>
  <c r="J22" i="10"/>
  <c r="J22" i="10" a="1"/>
  <c r="K22" i="10"/>
  <c r="K22" i="10" a="1"/>
  <c r="L22" i="10"/>
  <c r="L22" i="10" a="1"/>
  <c r="M22" i="10"/>
  <c r="M22" i="10" a="1"/>
  <c r="N22" i="10"/>
  <c r="N22" i="10" a="1"/>
  <c r="O22" i="10"/>
  <c r="O22" i="10" a="1"/>
  <c r="P22" i="10"/>
  <c r="P22" i="10" a="1"/>
  <c r="Q22" i="10"/>
  <c r="Q22" i="10" a="1"/>
  <c r="R22" i="10"/>
  <c r="R22" i="10" a="1"/>
  <c r="S22" i="10"/>
  <c r="S22" i="10" a="1"/>
  <c r="T22" i="10"/>
  <c r="T22" i="10" a="1"/>
  <c r="V22" i="10"/>
  <c r="Y22" i="10"/>
  <c r="Z22" i="10"/>
  <c r="AA22" i="10"/>
  <c r="AB22" i="10"/>
  <c r="AC22" i="10"/>
  <c r="G23" i="10"/>
  <c r="H23" i="10"/>
  <c r="H23" i="10" a="1"/>
  <c r="I23" i="10"/>
  <c r="I23" i="10" a="1"/>
  <c r="J23" i="10"/>
  <c r="J23" i="10" a="1"/>
  <c r="K23" i="10"/>
  <c r="K23" i="10" a="1"/>
  <c r="L23" i="10"/>
  <c r="L23" i="10" a="1"/>
  <c r="M23" i="10"/>
  <c r="M23" i="10" a="1"/>
  <c r="N23" i="10"/>
  <c r="N23" i="10" a="1"/>
  <c r="O23" i="10"/>
  <c r="O23" i="10" a="1"/>
  <c r="P23" i="10"/>
  <c r="P23" i="10" a="1"/>
  <c r="Q23" i="10"/>
  <c r="Q23" i="10" a="1"/>
  <c r="R23" i="10"/>
  <c r="R23" i="10" a="1"/>
  <c r="S23" i="10"/>
  <c r="S23" i="10" a="1"/>
  <c r="T23" i="10"/>
  <c r="T23" i="10" a="1"/>
  <c r="V23" i="10"/>
  <c r="Y23" i="10"/>
  <c r="AA23" i="10"/>
  <c r="AB23" i="10"/>
  <c r="AC23" i="10"/>
  <c r="H27" i="10"/>
  <c r="I27" i="10"/>
  <c r="J27" i="10"/>
  <c r="K27" i="10"/>
  <c r="L27" i="10"/>
  <c r="M27" i="10"/>
  <c r="N27" i="10"/>
  <c r="O27" i="10"/>
  <c r="P27" i="10"/>
  <c r="Q27" i="10"/>
  <c r="R27" i="10"/>
  <c r="S27" i="10"/>
  <c r="T27" i="10"/>
  <c r="H28" i="10"/>
  <c r="I28" i="10"/>
  <c r="J28" i="10"/>
  <c r="K28" i="10"/>
  <c r="L28" i="10"/>
  <c r="M28" i="10"/>
  <c r="N28" i="10"/>
  <c r="O28" i="10"/>
  <c r="P28" i="10"/>
  <c r="Q28" i="10"/>
  <c r="R28" i="10"/>
  <c r="S28" i="10"/>
  <c r="T28" i="10"/>
  <c r="H29" i="10"/>
  <c r="I29" i="10"/>
  <c r="J29" i="10"/>
  <c r="K29" i="10"/>
  <c r="L29" i="10"/>
  <c r="M29" i="10"/>
  <c r="N29" i="10"/>
  <c r="O29" i="10"/>
  <c r="P29" i="10"/>
  <c r="Q29" i="10"/>
  <c r="R29" i="10"/>
  <c r="S29" i="10"/>
  <c r="T29" i="10"/>
  <c r="H30" i="10"/>
  <c r="I30" i="10"/>
  <c r="J30" i="10"/>
  <c r="K30" i="10"/>
  <c r="L30" i="10"/>
  <c r="M30" i="10"/>
  <c r="N30" i="10"/>
  <c r="O30" i="10"/>
  <c r="P30" i="10"/>
  <c r="Q30" i="10"/>
  <c r="R30" i="10"/>
  <c r="S30" i="10"/>
  <c r="T30" i="10"/>
  <c r="H31" i="10"/>
  <c r="I31" i="10"/>
  <c r="J31" i="10"/>
  <c r="K31" i="10"/>
  <c r="L31" i="10"/>
  <c r="M31" i="10"/>
  <c r="N31" i="10"/>
  <c r="O31" i="10"/>
  <c r="P31" i="10"/>
  <c r="Q31" i="10"/>
  <c r="R31" i="10"/>
  <c r="S31" i="10"/>
  <c r="T31" i="10"/>
  <c r="H34" i="10"/>
  <c r="I34" i="10"/>
  <c r="J34" i="10"/>
  <c r="K34" i="10"/>
  <c r="L34" i="10"/>
  <c r="M34" i="10"/>
  <c r="N34" i="10"/>
  <c r="O34" i="10"/>
  <c r="P34" i="10"/>
  <c r="Q34" i="10"/>
  <c r="R34" i="10"/>
  <c r="S34" i="10"/>
  <c r="T34" i="10"/>
  <c r="H35" i="10"/>
  <c r="I35" i="10"/>
  <c r="J35" i="10"/>
  <c r="K35" i="10"/>
  <c r="L35" i="10"/>
  <c r="M35" i="10"/>
  <c r="N35" i="10"/>
  <c r="O35" i="10"/>
  <c r="P35" i="10"/>
  <c r="Q35" i="10"/>
  <c r="R35" i="10"/>
  <c r="S35" i="10"/>
  <c r="T35" i="10"/>
  <c r="V35" i="10"/>
  <c r="D3" i="64"/>
  <c r="A2" i="2"/>
  <c r="F26" i="2"/>
  <c r="G26" i="2"/>
  <c r="F44" i="2"/>
  <c r="G44" i="2"/>
  <c r="F62" i="2"/>
  <c r="G62" i="2"/>
  <c r="F80" i="2"/>
  <c r="G80" i="2"/>
  <c r="F98" i="2"/>
  <c r="G98" i="2"/>
  <c r="F116" i="2"/>
  <c r="G116" i="2"/>
  <c r="F134" i="2"/>
  <c r="G134" i="2"/>
  <c r="A2" i="4"/>
  <c r="F26" i="4"/>
  <c r="G26" i="4"/>
  <c r="F44" i="4"/>
  <c r="G44" i="4"/>
  <c r="F62" i="4"/>
  <c r="G62" i="4"/>
  <c r="F80" i="4"/>
  <c r="G80" i="4"/>
  <c r="F98" i="4"/>
  <c r="G98" i="4"/>
  <c r="E107" i="4"/>
  <c r="F116" i="4"/>
  <c r="G116" i="4"/>
  <c r="E125" i="4"/>
  <c r="F134" i="4"/>
  <c r="G134" i="4"/>
  <c r="E143" i="4"/>
  <c r="F152" i="4"/>
  <c r="G152" i="4"/>
  <c r="E161" i="4"/>
  <c r="F170" i="4"/>
  <c r="G170" i="4"/>
  <c r="E179" i="4"/>
  <c r="F179" i="4"/>
  <c r="F188" i="4"/>
  <c r="G188" i="4"/>
  <c r="E197" i="4"/>
  <c r="F197" i="4"/>
  <c r="F206" i="4"/>
  <c r="G206" i="4"/>
  <c r="F224" i="4"/>
  <c r="G224" i="4"/>
  <c r="F242" i="4"/>
  <c r="G242" i="4"/>
  <c r="F260" i="4"/>
  <c r="G260" i="4"/>
  <c r="F278" i="4"/>
  <c r="G278" i="4"/>
  <c r="A2" i="5"/>
  <c r="F26" i="5"/>
  <c r="G26" i="5"/>
  <c r="A2" i="3"/>
  <c r="F26" i="3"/>
  <c r="G26" i="3"/>
  <c r="F44" i="3"/>
  <c r="G44" i="3"/>
  <c r="E55" i="3"/>
  <c r="F62" i="3"/>
  <c r="G62" i="3"/>
  <c r="E73" i="3"/>
  <c r="F80" i="3"/>
  <c r="G80" i="3"/>
  <c r="F98" i="3"/>
  <c r="G98" i="3"/>
  <c r="F116" i="3"/>
  <c r="G116" i="3"/>
  <c r="E125" i="3"/>
  <c r="F134" i="3"/>
  <c r="G134" i="3"/>
  <c r="E143" i="3"/>
  <c r="F152" i="3"/>
  <c r="G152" i="3"/>
  <c r="E161" i="3"/>
  <c r="F170" i="3"/>
  <c r="G170" i="3"/>
  <c r="E179" i="3"/>
  <c r="F188" i="3"/>
  <c r="G188" i="3"/>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H5" i="7"/>
  <c r="H6" i="7"/>
  <c r="H7" i="7"/>
  <c r="A2" i="15"/>
  <c r="A3" i="15"/>
  <c r="E7" i="15"/>
  <c r="H8" i="15"/>
  <c r="H8" i="15" a="1"/>
  <c r="I8" i="15"/>
  <c r="J8" i="15"/>
  <c r="K8" i="15"/>
  <c r="L8" i="15"/>
  <c r="M8" i="15"/>
  <c r="N8" i="15"/>
  <c r="O8" i="15"/>
  <c r="P8" i="15"/>
  <c r="Q8" i="15"/>
  <c r="R8" i="15"/>
  <c r="S8" i="15"/>
  <c r="T8" i="15"/>
  <c r="H9" i="15"/>
  <c r="H9" i="15" a="1"/>
  <c r="I9" i="15"/>
  <c r="J9" i="15"/>
  <c r="K9" i="15"/>
  <c r="L9" i="15"/>
  <c r="M9" i="15"/>
  <c r="N9" i="15"/>
  <c r="O9" i="15"/>
  <c r="P9" i="15"/>
  <c r="Q9" i="15"/>
  <c r="R9" i="15"/>
  <c r="S9" i="15"/>
  <c r="T9" i="15"/>
  <c r="E10" i="15"/>
  <c r="F10" i="15"/>
  <c r="G10" i="15"/>
  <c r="H10" i="15"/>
  <c r="H10" i="15" a="1"/>
  <c r="I10" i="15"/>
  <c r="I10" i="15" a="1"/>
  <c r="J10" i="15"/>
  <c r="J10" i="15" a="1"/>
  <c r="K10" i="15"/>
  <c r="K10" i="15" a="1"/>
  <c r="L10" i="15"/>
  <c r="L10" i="15" a="1"/>
  <c r="M10" i="15"/>
  <c r="M10" i="15" a="1"/>
  <c r="N10" i="15"/>
  <c r="N10" i="15" a="1"/>
  <c r="O10" i="15"/>
  <c r="O10" i="15" a="1"/>
  <c r="P10" i="15"/>
  <c r="P10" i="15" a="1"/>
  <c r="Q10" i="15"/>
  <c r="Q10" i="15" a="1"/>
  <c r="R10" i="15"/>
  <c r="R10" i="15" a="1"/>
  <c r="S10" i="15"/>
  <c r="S10" i="15" a="1"/>
  <c r="T10" i="15"/>
  <c r="T10" i="15" a="1"/>
  <c r="V10" i="15"/>
  <c r="Y10" i="15"/>
  <c r="Z10" i="15"/>
  <c r="AA10" i="15"/>
  <c r="AB10" i="15"/>
  <c r="AC10" i="15"/>
  <c r="G11" i="15"/>
  <c r="H11" i="15"/>
  <c r="H11" i="15" a="1"/>
  <c r="I11" i="15"/>
  <c r="I11" i="15" a="1"/>
  <c r="J11" i="15"/>
  <c r="J11" i="15" a="1"/>
  <c r="K11" i="15"/>
  <c r="K11" i="15" a="1"/>
  <c r="L11" i="15"/>
  <c r="L11" i="15" a="1"/>
  <c r="M11" i="15"/>
  <c r="M11" i="15" a="1"/>
  <c r="N11" i="15"/>
  <c r="N11" i="15" a="1"/>
  <c r="O11" i="15"/>
  <c r="O11" i="15" a="1"/>
  <c r="P11" i="15"/>
  <c r="P11" i="15" a="1"/>
  <c r="Q11" i="15"/>
  <c r="Q11" i="15" a="1"/>
  <c r="R11" i="15"/>
  <c r="R11" i="15" a="1"/>
  <c r="S11" i="15"/>
  <c r="S11" i="15" a="1"/>
  <c r="T11" i="15"/>
  <c r="T11" i="15" a="1"/>
  <c r="V11" i="15"/>
  <c r="Y11" i="15"/>
  <c r="AA11" i="15"/>
  <c r="AB11" i="15"/>
  <c r="AC11" i="15"/>
  <c r="H15" i="15"/>
  <c r="I15" i="15"/>
  <c r="J15" i="15"/>
  <c r="K15" i="15"/>
  <c r="L15" i="15"/>
  <c r="M15" i="15"/>
  <c r="N15" i="15"/>
  <c r="O15" i="15"/>
  <c r="P15" i="15"/>
  <c r="Q15" i="15"/>
  <c r="R15" i="15"/>
  <c r="S15" i="15"/>
  <c r="T15" i="15"/>
  <c r="H16" i="15"/>
  <c r="I16" i="15"/>
  <c r="J16" i="15"/>
  <c r="K16" i="15"/>
  <c r="L16" i="15"/>
  <c r="M16" i="15"/>
  <c r="N16" i="15"/>
  <c r="O16" i="15"/>
  <c r="P16" i="15"/>
  <c r="Q16" i="15"/>
  <c r="R16" i="15"/>
  <c r="S16" i="15"/>
  <c r="T16" i="15"/>
  <c r="H19" i="15"/>
  <c r="I19" i="15"/>
  <c r="J19" i="15"/>
  <c r="K19" i="15"/>
  <c r="L19" i="15"/>
  <c r="M19" i="15"/>
  <c r="N19" i="15"/>
  <c r="O19" i="15"/>
  <c r="P19" i="15"/>
  <c r="Q19" i="15"/>
  <c r="R19" i="15"/>
  <c r="S19" i="15"/>
  <c r="T19" i="15"/>
  <c r="H20" i="15"/>
  <c r="I20" i="15"/>
  <c r="J20" i="15"/>
  <c r="K20" i="15"/>
  <c r="L20" i="15"/>
  <c r="M20" i="15"/>
  <c r="N20" i="15"/>
  <c r="O20" i="15"/>
  <c r="P20" i="15"/>
  <c r="Q20" i="15"/>
  <c r="R20" i="15"/>
  <c r="S20" i="15"/>
  <c r="T20" i="15"/>
  <c r="A2" i="18"/>
  <c r="A3" i="18"/>
  <c r="E6" i="18"/>
  <c r="E7" i="18"/>
  <c r="H8" i="18"/>
  <c r="H8" i="18" a="1"/>
  <c r="I8" i="18"/>
  <c r="J8" i="18"/>
  <c r="K8" i="18"/>
  <c r="L8" i="18"/>
  <c r="M8" i="18"/>
  <c r="N8" i="18"/>
  <c r="O8" i="18"/>
  <c r="P8" i="18"/>
  <c r="Q8" i="18"/>
  <c r="R8" i="18"/>
  <c r="S8" i="18"/>
  <c r="T8" i="18"/>
  <c r="H9" i="18"/>
  <c r="H9" i="18" a="1"/>
  <c r="I9" i="18"/>
  <c r="J9" i="18"/>
  <c r="K9" i="18"/>
  <c r="L9" i="18"/>
  <c r="M9" i="18"/>
  <c r="N9" i="18"/>
  <c r="O9" i="18"/>
  <c r="P9" i="18"/>
  <c r="Q9" i="18"/>
  <c r="R9" i="18"/>
  <c r="S9" i="18"/>
  <c r="T9" i="18"/>
  <c r="E10" i="18"/>
  <c r="F10" i="18"/>
  <c r="G10" i="18"/>
  <c r="H10" i="18"/>
  <c r="H10" i="18" a="1"/>
  <c r="I10" i="18"/>
  <c r="I10" i="18" a="1"/>
  <c r="J10" i="18"/>
  <c r="J10" i="18" a="1"/>
  <c r="K10" i="18"/>
  <c r="K10" i="18" a="1"/>
  <c r="L10" i="18"/>
  <c r="L10" i="18" a="1"/>
  <c r="M10" i="18"/>
  <c r="M10" i="18" a="1"/>
  <c r="N10" i="18"/>
  <c r="N10" i="18" a="1"/>
  <c r="O10" i="18"/>
  <c r="O10" i="18" a="1"/>
  <c r="P10" i="18"/>
  <c r="P10" i="18" a="1"/>
  <c r="Q10" i="18"/>
  <c r="Q10" i="18" a="1"/>
  <c r="R10" i="18"/>
  <c r="R10" i="18" a="1"/>
  <c r="S10" i="18"/>
  <c r="S10" i="18" a="1"/>
  <c r="T10" i="18"/>
  <c r="T10" i="18" a="1"/>
  <c r="V10" i="18"/>
  <c r="Y10" i="18"/>
  <c r="Z10" i="18"/>
  <c r="AA10" i="18"/>
  <c r="AB10" i="18"/>
  <c r="AC10" i="18"/>
  <c r="G11" i="18"/>
  <c r="H11" i="18"/>
  <c r="H11" i="18" a="1"/>
  <c r="I11" i="18"/>
  <c r="I11" i="18" a="1"/>
  <c r="J11" i="18"/>
  <c r="J11" i="18" a="1"/>
  <c r="K11" i="18"/>
  <c r="K11" i="18" a="1"/>
  <c r="L11" i="18"/>
  <c r="L11" i="18" a="1"/>
  <c r="M11" i="18"/>
  <c r="M11" i="18" a="1"/>
  <c r="N11" i="18"/>
  <c r="N11" i="18" a="1"/>
  <c r="O11" i="18"/>
  <c r="O11" i="18" a="1"/>
  <c r="P11" i="18"/>
  <c r="P11" i="18" a="1"/>
  <c r="Q11" i="18"/>
  <c r="Q11" i="18" a="1"/>
  <c r="R11" i="18"/>
  <c r="R11" i="18" a="1"/>
  <c r="S11" i="18"/>
  <c r="S11" i="18" a="1"/>
  <c r="T11" i="18"/>
  <c r="T11" i="18" a="1"/>
  <c r="V11" i="18"/>
  <c r="Y11" i="18"/>
  <c r="AA11" i="18"/>
  <c r="AB11" i="18"/>
  <c r="AC11" i="18"/>
  <c r="E12" i="18"/>
  <c r="F12" i="18"/>
  <c r="G12" i="18"/>
  <c r="H12" i="18"/>
  <c r="H12" i="18" a="1"/>
  <c r="I12" i="18"/>
  <c r="I12" i="18" a="1"/>
  <c r="J12" i="18"/>
  <c r="J12" i="18" a="1"/>
  <c r="K12" i="18"/>
  <c r="K12" i="18" a="1"/>
  <c r="L12" i="18"/>
  <c r="L12" i="18" a="1"/>
  <c r="M12" i="18"/>
  <c r="M12" i="18" a="1"/>
  <c r="N12" i="18"/>
  <c r="N12" i="18" a="1"/>
  <c r="O12" i="18"/>
  <c r="O12" i="18" a="1"/>
  <c r="P12" i="18"/>
  <c r="P12" i="18" a="1"/>
  <c r="Q12" i="18"/>
  <c r="Q12" i="18" a="1"/>
  <c r="R12" i="18"/>
  <c r="R12" i="18" a="1"/>
  <c r="S12" i="18"/>
  <c r="S12" i="18" a="1"/>
  <c r="T12" i="18"/>
  <c r="T12" i="18" a="1"/>
  <c r="V12" i="18"/>
  <c r="Y12" i="18"/>
  <c r="Z12" i="18"/>
  <c r="AA12" i="18"/>
  <c r="AB12" i="18"/>
  <c r="AC12" i="18"/>
  <c r="G13" i="18"/>
  <c r="H13" i="18"/>
  <c r="H13" i="18" a="1"/>
  <c r="I13" i="18"/>
  <c r="I13" i="18" a="1"/>
  <c r="J13" i="18"/>
  <c r="J13" i="18" a="1"/>
  <c r="K13" i="18"/>
  <c r="K13" i="18" a="1"/>
  <c r="L13" i="18"/>
  <c r="L13" i="18" a="1"/>
  <c r="M13" i="18"/>
  <c r="M13" i="18" a="1"/>
  <c r="N13" i="18"/>
  <c r="N13" i="18" a="1"/>
  <c r="O13" i="18"/>
  <c r="O13" i="18" a="1"/>
  <c r="P13" i="18"/>
  <c r="P13" i="18" a="1"/>
  <c r="Q13" i="18"/>
  <c r="Q13" i="18" a="1"/>
  <c r="R13" i="18"/>
  <c r="R13" i="18" a="1"/>
  <c r="S13" i="18"/>
  <c r="S13" i="18" a="1"/>
  <c r="T13" i="18"/>
  <c r="T13" i="18" a="1"/>
  <c r="V13" i="18"/>
  <c r="Y13" i="18"/>
  <c r="AA13" i="18"/>
  <c r="AB13" i="18"/>
  <c r="AC13" i="18"/>
  <c r="E14" i="18"/>
  <c r="F14" i="18"/>
  <c r="G14" i="18"/>
  <c r="H14" i="18"/>
  <c r="H14" i="18" a="1"/>
  <c r="I14" i="18"/>
  <c r="I14" i="18" a="1"/>
  <c r="J14" i="18"/>
  <c r="J14" i="18" a="1"/>
  <c r="K14" i="18"/>
  <c r="K14" i="18" a="1"/>
  <c r="L14" i="18"/>
  <c r="L14" i="18" a="1"/>
  <c r="M14" i="18"/>
  <c r="M14" i="18" a="1"/>
  <c r="N14" i="18"/>
  <c r="N14" i="18" a="1"/>
  <c r="O14" i="18"/>
  <c r="O14" i="18" a="1"/>
  <c r="P14" i="18"/>
  <c r="P14" i="18" a="1"/>
  <c r="Q14" i="18"/>
  <c r="Q14" i="18" a="1"/>
  <c r="R14" i="18"/>
  <c r="R14" i="18" a="1"/>
  <c r="S14" i="18"/>
  <c r="S14" i="18" a="1"/>
  <c r="T14" i="18"/>
  <c r="T14" i="18" a="1"/>
  <c r="V14" i="18"/>
  <c r="Y14" i="18"/>
  <c r="Z14" i="18"/>
  <c r="AA14" i="18"/>
  <c r="AB14" i="18"/>
  <c r="AC14" i="18"/>
  <c r="G15" i="18"/>
  <c r="H15" i="18"/>
  <c r="H15" i="18" a="1"/>
  <c r="I15" i="18"/>
  <c r="I15" i="18" a="1"/>
  <c r="J15" i="18"/>
  <c r="J15" i="18" a="1"/>
  <c r="K15" i="18"/>
  <c r="K15" i="18" a="1"/>
  <c r="L15" i="18"/>
  <c r="L15" i="18" a="1"/>
  <c r="M15" i="18"/>
  <c r="M15" i="18" a="1"/>
  <c r="N15" i="18"/>
  <c r="N15" i="18" a="1"/>
  <c r="O15" i="18"/>
  <c r="O15" i="18" a="1"/>
  <c r="P15" i="18"/>
  <c r="P15" i="18" a="1"/>
  <c r="Q15" i="18"/>
  <c r="Q15" i="18" a="1"/>
  <c r="R15" i="18"/>
  <c r="R15" i="18" a="1"/>
  <c r="S15" i="18"/>
  <c r="S15" i="18" a="1"/>
  <c r="T15" i="18"/>
  <c r="T15" i="18" a="1"/>
  <c r="V15" i="18"/>
  <c r="Y15" i="18"/>
  <c r="AA15" i="18"/>
  <c r="AB15" i="18"/>
  <c r="AC15" i="18"/>
  <c r="E16" i="18"/>
  <c r="F16" i="18"/>
  <c r="G16" i="18"/>
  <c r="H16" i="18"/>
  <c r="H16" i="18" a="1"/>
  <c r="I16" i="18"/>
  <c r="I16" i="18" a="1"/>
  <c r="J16" i="18"/>
  <c r="J16" i="18" a="1"/>
  <c r="K16" i="18"/>
  <c r="K16" i="18" a="1"/>
  <c r="L16" i="18"/>
  <c r="L16" i="18" a="1"/>
  <c r="M16" i="18"/>
  <c r="M16" i="18" a="1"/>
  <c r="N16" i="18"/>
  <c r="N16" i="18" a="1"/>
  <c r="O16" i="18"/>
  <c r="O16" i="18" a="1"/>
  <c r="P16" i="18"/>
  <c r="P16" i="18" a="1"/>
  <c r="Q16" i="18"/>
  <c r="Q16" i="18" a="1"/>
  <c r="R16" i="18"/>
  <c r="R16" i="18" a="1"/>
  <c r="S16" i="18"/>
  <c r="S16" i="18" a="1"/>
  <c r="T16" i="18"/>
  <c r="T16" i="18" a="1"/>
  <c r="V16" i="18"/>
  <c r="Y16" i="18"/>
  <c r="Z16" i="18"/>
  <c r="AA16" i="18"/>
  <c r="AB16" i="18"/>
  <c r="AC16" i="18"/>
  <c r="G17" i="18"/>
  <c r="H17" i="18"/>
  <c r="H17" i="18" a="1"/>
  <c r="I17" i="18"/>
  <c r="I17" i="18" a="1"/>
  <c r="J17" i="18"/>
  <c r="J17" i="18" a="1"/>
  <c r="K17" i="18"/>
  <c r="K17" i="18" a="1"/>
  <c r="L17" i="18"/>
  <c r="L17" i="18" a="1"/>
  <c r="M17" i="18"/>
  <c r="M17" i="18" a="1"/>
  <c r="N17" i="18"/>
  <c r="N17" i="18" a="1"/>
  <c r="O17" i="18"/>
  <c r="O17" i="18" a="1"/>
  <c r="P17" i="18"/>
  <c r="P17" i="18" a="1"/>
  <c r="Q17" i="18"/>
  <c r="Q17" i="18" a="1"/>
  <c r="R17" i="18"/>
  <c r="R17" i="18" a="1"/>
  <c r="S17" i="18"/>
  <c r="S17" i="18" a="1"/>
  <c r="T17" i="18"/>
  <c r="T17" i="18" a="1"/>
  <c r="V17" i="18"/>
  <c r="Y17" i="18"/>
  <c r="AA17" i="18"/>
  <c r="AB17" i="18"/>
  <c r="AC17" i="18"/>
  <c r="E18" i="18"/>
  <c r="F18" i="18"/>
  <c r="G18" i="18"/>
  <c r="H18" i="18"/>
  <c r="H18" i="18" a="1"/>
  <c r="I18" i="18"/>
  <c r="I18" i="18" a="1"/>
  <c r="J18" i="18"/>
  <c r="J18" i="18" a="1"/>
  <c r="K18" i="18"/>
  <c r="K18" i="18" a="1"/>
  <c r="L18" i="18"/>
  <c r="L18" i="18" a="1"/>
  <c r="M18" i="18"/>
  <c r="M18" i="18" a="1"/>
  <c r="N18" i="18"/>
  <c r="N18" i="18" a="1"/>
  <c r="O18" i="18"/>
  <c r="O18" i="18" a="1"/>
  <c r="P18" i="18"/>
  <c r="P18" i="18" a="1"/>
  <c r="Q18" i="18"/>
  <c r="Q18" i="18" a="1"/>
  <c r="R18" i="18"/>
  <c r="R18" i="18" a="1"/>
  <c r="S18" i="18"/>
  <c r="S18" i="18" a="1"/>
  <c r="T18" i="18"/>
  <c r="T18" i="18" a="1"/>
  <c r="V18" i="18"/>
  <c r="Y18" i="18"/>
  <c r="Z18" i="18"/>
  <c r="AA18" i="18"/>
  <c r="AB18" i="18"/>
  <c r="AC18" i="18"/>
  <c r="G19" i="18"/>
  <c r="H19" i="18"/>
  <c r="H19" i="18" a="1"/>
  <c r="I19" i="18"/>
  <c r="I19" i="18" a="1"/>
  <c r="J19" i="18"/>
  <c r="J19" i="18" a="1"/>
  <c r="K19" i="18"/>
  <c r="K19" i="18" a="1"/>
  <c r="L19" i="18"/>
  <c r="L19" i="18" a="1"/>
  <c r="M19" i="18"/>
  <c r="M19" i="18" a="1"/>
  <c r="N19" i="18"/>
  <c r="N19" i="18" a="1"/>
  <c r="O19" i="18"/>
  <c r="O19" i="18" a="1"/>
  <c r="P19" i="18"/>
  <c r="P19" i="18" a="1"/>
  <c r="Q19" i="18"/>
  <c r="Q19" i="18" a="1"/>
  <c r="R19" i="18"/>
  <c r="R19" i="18" a="1"/>
  <c r="S19" i="18"/>
  <c r="S19" i="18" a="1"/>
  <c r="T19" i="18"/>
  <c r="T19" i="18" a="1"/>
  <c r="V19" i="18"/>
  <c r="Y19" i="18"/>
  <c r="AA19" i="18"/>
  <c r="AB19" i="18"/>
  <c r="AC19" i="18"/>
  <c r="E20" i="18"/>
  <c r="F20" i="18"/>
  <c r="G20" i="18"/>
  <c r="H20" i="18"/>
  <c r="H20" i="18" a="1"/>
  <c r="I20" i="18"/>
  <c r="I20" i="18" a="1"/>
  <c r="J20" i="18"/>
  <c r="J20" i="18" a="1"/>
  <c r="K20" i="18"/>
  <c r="K20" i="18" a="1"/>
  <c r="L20" i="18"/>
  <c r="L20" i="18" a="1"/>
  <c r="M20" i="18"/>
  <c r="M20" i="18" a="1"/>
  <c r="N20" i="18"/>
  <c r="N20" i="18" a="1"/>
  <c r="O20" i="18"/>
  <c r="O20" i="18" a="1"/>
  <c r="P20" i="18"/>
  <c r="P20" i="18" a="1"/>
  <c r="Q20" i="18"/>
  <c r="Q20" i="18" a="1"/>
  <c r="R20" i="18"/>
  <c r="R20" i="18" a="1"/>
  <c r="S20" i="18"/>
  <c r="S20" i="18" a="1"/>
  <c r="T20" i="18"/>
  <c r="T20" i="18" a="1"/>
  <c r="V20" i="18"/>
  <c r="Y20" i="18"/>
  <c r="Z20" i="18"/>
  <c r="AA20" i="18"/>
  <c r="AB20" i="18"/>
  <c r="AC20" i="18"/>
  <c r="G21" i="18"/>
  <c r="H21" i="18"/>
  <c r="H21" i="18" a="1"/>
  <c r="I21" i="18"/>
  <c r="I21" i="18" a="1"/>
  <c r="J21" i="18"/>
  <c r="J21" i="18" a="1"/>
  <c r="K21" i="18"/>
  <c r="K21" i="18" a="1"/>
  <c r="L21" i="18"/>
  <c r="L21" i="18" a="1"/>
  <c r="M21" i="18"/>
  <c r="M21" i="18" a="1"/>
  <c r="N21" i="18"/>
  <c r="N21" i="18" a="1"/>
  <c r="O21" i="18"/>
  <c r="O21" i="18" a="1"/>
  <c r="P21" i="18"/>
  <c r="P21" i="18" a="1"/>
  <c r="Q21" i="18"/>
  <c r="Q21" i="18" a="1"/>
  <c r="R21" i="18"/>
  <c r="R21" i="18" a="1"/>
  <c r="S21" i="18"/>
  <c r="S21" i="18" a="1"/>
  <c r="T21" i="18"/>
  <c r="T21" i="18" a="1"/>
  <c r="V21" i="18"/>
  <c r="Y21" i="18"/>
  <c r="AA21" i="18"/>
  <c r="AB21" i="18"/>
  <c r="AC21" i="18"/>
  <c r="E22" i="18"/>
  <c r="F22" i="18"/>
  <c r="G22" i="18"/>
  <c r="H22" i="18"/>
  <c r="H22" i="18" a="1"/>
  <c r="I22" i="18"/>
  <c r="I22" i="18" a="1"/>
  <c r="J22" i="18"/>
  <c r="J22" i="18" a="1"/>
  <c r="K22" i="18"/>
  <c r="K22" i="18" a="1"/>
  <c r="L22" i="18"/>
  <c r="L22" i="18" a="1"/>
  <c r="M22" i="18"/>
  <c r="M22" i="18" a="1"/>
  <c r="N22" i="18"/>
  <c r="N22" i="18" a="1"/>
  <c r="O22" i="18"/>
  <c r="O22" i="18" a="1"/>
  <c r="P22" i="18"/>
  <c r="P22" i="18" a="1"/>
  <c r="Q22" i="18"/>
  <c r="Q22" i="18" a="1"/>
  <c r="R22" i="18"/>
  <c r="R22" i="18" a="1"/>
  <c r="S22" i="18"/>
  <c r="S22" i="18" a="1"/>
  <c r="T22" i="18"/>
  <c r="T22" i="18" a="1"/>
  <c r="V22" i="18"/>
  <c r="Y22" i="18"/>
  <c r="Z22" i="18"/>
  <c r="AA22" i="18"/>
  <c r="AB22" i="18"/>
  <c r="AC22" i="18"/>
  <c r="G23" i="18"/>
  <c r="H23" i="18"/>
  <c r="H23" i="18" a="1"/>
  <c r="I23" i="18"/>
  <c r="I23" i="18" a="1"/>
  <c r="J23" i="18"/>
  <c r="J23" i="18" a="1"/>
  <c r="K23" i="18"/>
  <c r="K23" i="18" a="1"/>
  <c r="L23" i="18"/>
  <c r="L23" i="18" a="1"/>
  <c r="M23" i="18"/>
  <c r="M23" i="18" a="1"/>
  <c r="N23" i="18"/>
  <c r="N23" i="18" a="1"/>
  <c r="O23" i="18"/>
  <c r="O23" i="18" a="1"/>
  <c r="P23" i="18"/>
  <c r="P23" i="18" a="1"/>
  <c r="Q23" i="18"/>
  <c r="Q23" i="18" a="1"/>
  <c r="R23" i="18"/>
  <c r="R23" i="18" a="1"/>
  <c r="S23" i="18"/>
  <c r="S23" i="18" a="1"/>
  <c r="T23" i="18"/>
  <c r="T23" i="18" a="1"/>
  <c r="V23" i="18"/>
  <c r="Y23" i="18"/>
  <c r="AA23" i="18"/>
  <c r="AB23" i="18"/>
  <c r="AC23" i="18"/>
  <c r="E24" i="18"/>
  <c r="F24" i="18"/>
  <c r="G24" i="18"/>
  <c r="H24" i="18"/>
  <c r="H24" i="18" a="1"/>
  <c r="I24" i="18"/>
  <c r="I24" i="18" a="1"/>
  <c r="J24" i="18"/>
  <c r="J24" i="18" a="1"/>
  <c r="K24" i="18"/>
  <c r="K24" i="18" a="1"/>
  <c r="L24" i="18"/>
  <c r="L24" i="18" a="1"/>
  <c r="M24" i="18"/>
  <c r="M24" i="18" a="1"/>
  <c r="N24" i="18"/>
  <c r="N24" i="18" a="1"/>
  <c r="O24" i="18"/>
  <c r="O24" i="18" a="1"/>
  <c r="P24" i="18"/>
  <c r="P24" i="18" a="1"/>
  <c r="Q24" i="18"/>
  <c r="Q24" i="18" a="1"/>
  <c r="R24" i="18"/>
  <c r="R24" i="18" a="1"/>
  <c r="S24" i="18"/>
  <c r="S24" i="18" a="1"/>
  <c r="T24" i="18"/>
  <c r="T24" i="18" a="1"/>
  <c r="V24" i="18"/>
  <c r="Y24" i="18"/>
  <c r="Z24" i="18"/>
  <c r="AA24" i="18"/>
  <c r="AB24" i="18"/>
  <c r="AC24" i="18"/>
  <c r="G25" i="18"/>
  <c r="H25" i="18"/>
  <c r="H25" i="18" a="1"/>
  <c r="I25" i="18"/>
  <c r="I25" i="18" a="1"/>
  <c r="J25" i="18"/>
  <c r="J25" i="18" a="1"/>
  <c r="K25" i="18"/>
  <c r="K25" i="18" a="1"/>
  <c r="L25" i="18"/>
  <c r="L25" i="18" a="1"/>
  <c r="M25" i="18"/>
  <c r="M25" i="18" a="1"/>
  <c r="N25" i="18"/>
  <c r="N25" i="18" a="1"/>
  <c r="O25" i="18"/>
  <c r="O25" i="18" a="1"/>
  <c r="P25" i="18"/>
  <c r="P25" i="18" a="1"/>
  <c r="Q25" i="18"/>
  <c r="Q25" i="18" a="1"/>
  <c r="R25" i="18"/>
  <c r="R25" i="18" a="1"/>
  <c r="S25" i="18"/>
  <c r="S25" i="18" a="1"/>
  <c r="T25" i="18"/>
  <c r="T25" i="18" a="1"/>
  <c r="V25" i="18"/>
  <c r="Y25" i="18"/>
  <c r="AA25" i="18"/>
  <c r="AB25" i="18"/>
  <c r="AC25" i="18"/>
  <c r="E26" i="18"/>
  <c r="F26" i="18"/>
  <c r="G26" i="18"/>
  <c r="H26" i="18"/>
  <c r="H26" i="18" a="1"/>
  <c r="I26" i="18"/>
  <c r="I26" i="18" a="1"/>
  <c r="J26" i="18"/>
  <c r="J26" i="18" a="1"/>
  <c r="K26" i="18"/>
  <c r="K26" i="18" a="1"/>
  <c r="L26" i="18"/>
  <c r="L26" i="18" a="1"/>
  <c r="M26" i="18"/>
  <c r="M26" i="18" a="1"/>
  <c r="N26" i="18"/>
  <c r="N26" i="18" a="1"/>
  <c r="O26" i="18"/>
  <c r="O26" i="18" a="1"/>
  <c r="P26" i="18"/>
  <c r="P26" i="18" a="1"/>
  <c r="Q26" i="18"/>
  <c r="Q26" i="18" a="1"/>
  <c r="R26" i="18"/>
  <c r="R26" i="18" a="1"/>
  <c r="S26" i="18"/>
  <c r="S26" i="18" a="1"/>
  <c r="T26" i="18"/>
  <c r="T26" i="18" a="1"/>
  <c r="V26" i="18"/>
  <c r="Y26" i="18"/>
  <c r="Z26" i="18"/>
  <c r="AA26" i="18"/>
  <c r="AB26" i="18"/>
  <c r="AC26" i="18"/>
  <c r="G27" i="18"/>
  <c r="H27" i="18"/>
  <c r="H27" i="18" a="1"/>
  <c r="I27" i="18"/>
  <c r="I27" i="18" a="1"/>
  <c r="J27" i="18"/>
  <c r="J27" i="18" a="1"/>
  <c r="K27" i="18"/>
  <c r="K27" i="18" a="1"/>
  <c r="L27" i="18"/>
  <c r="L27" i="18" a="1"/>
  <c r="M27" i="18"/>
  <c r="M27" i="18" a="1"/>
  <c r="N27" i="18"/>
  <c r="N27" i="18" a="1"/>
  <c r="O27" i="18"/>
  <c r="O27" i="18" a="1"/>
  <c r="P27" i="18"/>
  <c r="P27" i="18" a="1"/>
  <c r="Q27" i="18"/>
  <c r="Q27" i="18" a="1"/>
  <c r="R27" i="18"/>
  <c r="R27" i="18" a="1"/>
  <c r="S27" i="18"/>
  <c r="S27" i="18" a="1"/>
  <c r="T27" i="18"/>
  <c r="T27" i="18" a="1"/>
  <c r="V27" i="18"/>
  <c r="Y27" i="18"/>
  <c r="AA27" i="18"/>
  <c r="AB27" i="18"/>
  <c r="AC27" i="18"/>
  <c r="E28" i="18"/>
  <c r="F28" i="18"/>
  <c r="G28" i="18"/>
  <c r="H28" i="18"/>
  <c r="H28" i="18" a="1"/>
  <c r="I28" i="18"/>
  <c r="I28" i="18" a="1"/>
  <c r="J28" i="18"/>
  <c r="J28" i="18" a="1"/>
  <c r="K28" i="18"/>
  <c r="K28" i="18" a="1"/>
  <c r="L28" i="18"/>
  <c r="L28" i="18" a="1"/>
  <c r="M28" i="18"/>
  <c r="M28" i="18" a="1"/>
  <c r="N28" i="18"/>
  <c r="N28" i="18" a="1"/>
  <c r="O28" i="18"/>
  <c r="O28" i="18" a="1"/>
  <c r="P28" i="18"/>
  <c r="P28" i="18" a="1"/>
  <c r="Q28" i="18"/>
  <c r="Q28" i="18" a="1"/>
  <c r="R28" i="18"/>
  <c r="R28" i="18" a="1"/>
  <c r="S28" i="18"/>
  <c r="S28" i="18" a="1"/>
  <c r="T28" i="18"/>
  <c r="T28" i="18" a="1"/>
  <c r="V28" i="18"/>
  <c r="Y28" i="18"/>
  <c r="Z28" i="18"/>
  <c r="AA28" i="18"/>
  <c r="AB28" i="18"/>
  <c r="AC28" i="18"/>
  <c r="G29" i="18"/>
  <c r="H29" i="18"/>
  <c r="H29" i="18" a="1"/>
  <c r="I29" i="18"/>
  <c r="I29" i="18" a="1"/>
  <c r="J29" i="18"/>
  <c r="J29" i="18" a="1"/>
  <c r="K29" i="18"/>
  <c r="K29" i="18" a="1"/>
  <c r="L29" i="18"/>
  <c r="L29" i="18" a="1"/>
  <c r="M29" i="18"/>
  <c r="M29" i="18" a="1"/>
  <c r="N29" i="18"/>
  <c r="N29" i="18" a="1"/>
  <c r="O29" i="18"/>
  <c r="O29" i="18" a="1"/>
  <c r="P29" i="18"/>
  <c r="P29" i="18" a="1"/>
  <c r="Q29" i="18"/>
  <c r="Q29" i="18" a="1"/>
  <c r="R29" i="18"/>
  <c r="R29" i="18" a="1"/>
  <c r="S29" i="18"/>
  <c r="S29" i="18" a="1"/>
  <c r="T29" i="18"/>
  <c r="T29" i="18" a="1"/>
  <c r="V29" i="18"/>
  <c r="Y29" i="18"/>
  <c r="AA29" i="18"/>
  <c r="AB29" i="18"/>
  <c r="AC29" i="18"/>
  <c r="E30" i="18"/>
  <c r="F30" i="18"/>
  <c r="G30" i="18"/>
  <c r="H30" i="18"/>
  <c r="H30" i="18" a="1"/>
  <c r="I30" i="18"/>
  <c r="I30" i="18" a="1"/>
  <c r="J30" i="18"/>
  <c r="J30" i="18" a="1"/>
  <c r="K30" i="18"/>
  <c r="K30" i="18" a="1"/>
  <c r="L30" i="18"/>
  <c r="L30" i="18" a="1"/>
  <c r="M30" i="18"/>
  <c r="M30" i="18" a="1"/>
  <c r="N30" i="18"/>
  <c r="N30" i="18" a="1"/>
  <c r="O30" i="18"/>
  <c r="O30" i="18" a="1"/>
  <c r="P30" i="18"/>
  <c r="P30" i="18" a="1"/>
  <c r="Q30" i="18"/>
  <c r="Q30" i="18" a="1"/>
  <c r="R30" i="18"/>
  <c r="R30" i="18" a="1"/>
  <c r="S30" i="18"/>
  <c r="S30" i="18" a="1"/>
  <c r="T30" i="18"/>
  <c r="T30" i="18" a="1"/>
  <c r="V30" i="18"/>
  <c r="Y30" i="18"/>
  <c r="Z30" i="18"/>
  <c r="AA30" i="18"/>
  <c r="AB30" i="18"/>
  <c r="AC30" i="18"/>
  <c r="G31" i="18"/>
  <c r="H31" i="18"/>
  <c r="H31" i="18" a="1"/>
  <c r="I31" i="18"/>
  <c r="I31" i="18" a="1"/>
  <c r="J31" i="18"/>
  <c r="J31" i="18" a="1"/>
  <c r="K31" i="18"/>
  <c r="K31" i="18" a="1"/>
  <c r="L31" i="18"/>
  <c r="L31" i="18" a="1"/>
  <c r="M31" i="18"/>
  <c r="M31" i="18" a="1"/>
  <c r="N31" i="18"/>
  <c r="N31" i="18" a="1"/>
  <c r="O31" i="18"/>
  <c r="O31" i="18" a="1"/>
  <c r="P31" i="18"/>
  <c r="P31" i="18" a="1"/>
  <c r="Q31" i="18"/>
  <c r="Q31" i="18" a="1"/>
  <c r="R31" i="18"/>
  <c r="R31" i="18" a="1"/>
  <c r="S31" i="18"/>
  <c r="S31" i="18" a="1"/>
  <c r="T31" i="18"/>
  <c r="T31" i="18" a="1"/>
  <c r="V31" i="18"/>
  <c r="Y31" i="18"/>
  <c r="AA31" i="18"/>
  <c r="AB31" i="18"/>
  <c r="AC31" i="18"/>
  <c r="E32" i="18"/>
  <c r="F32" i="18"/>
  <c r="G32" i="18"/>
  <c r="H32" i="18"/>
  <c r="H32" i="18" a="1"/>
  <c r="I32" i="18"/>
  <c r="I32" i="18" a="1"/>
  <c r="J32" i="18"/>
  <c r="J32" i="18" a="1"/>
  <c r="K32" i="18"/>
  <c r="K32" i="18" a="1"/>
  <c r="L32" i="18"/>
  <c r="L32" i="18" a="1"/>
  <c r="M32" i="18"/>
  <c r="M32" i="18" a="1"/>
  <c r="N32" i="18"/>
  <c r="N32" i="18" a="1"/>
  <c r="O32" i="18"/>
  <c r="O32" i="18" a="1"/>
  <c r="P32" i="18"/>
  <c r="P32" i="18" a="1"/>
  <c r="Q32" i="18"/>
  <c r="Q32" i="18" a="1"/>
  <c r="R32" i="18"/>
  <c r="R32" i="18" a="1"/>
  <c r="S32" i="18"/>
  <c r="S32" i="18" a="1"/>
  <c r="T32" i="18"/>
  <c r="T32" i="18" a="1"/>
  <c r="V32" i="18"/>
  <c r="Y32" i="18"/>
  <c r="Z32" i="18"/>
  <c r="AA32" i="18"/>
  <c r="AB32" i="18"/>
  <c r="AC32" i="18"/>
  <c r="G33" i="18"/>
  <c r="H33" i="18"/>
  <c r="H33" i="18" a="1"/>
  <c r="I33" i="18"/>
  <c r="I33" i="18" a="1"/>
  <c r="J33" i="18"/>
  <c r="J33" i="18" a="1"/>
  <c r="K33" i="18"/>
  <c r="K33" i="18" a="1"/>
  <c r="L33" i="18"/>
  <c r="L33" i="18" a="1"/>
  <c r="M33" i="18"/>
  <c r="M33" i="18" a="1"/>
  <c r="N33" i="18"/>
  <c r="N33" i="18" a="1"/>
  <c r="O33" i="18"/>
  <c r="O33" i="18" a="1"/>
  <c r="P33" i="18"/>
  <c r="P33" i="18" a="1"/>
  <c r="Q33" i="18"/>
  <c r="Q33" i="18" a="1"/>
  <c r="R33" i="18"/>
  <c r="R33" i="18" a="1"/>
  <c r="S33" i="18"/>
  <c r="S33" i="18" a="1"/>
  <c r="T33" i="18"/>
  <c r="T33" i="18" a="1"/>
  <c r="V33" i="18"/>
  <c r="Y33" i="18"/>
  <c r="AA33" i="18"/>
  <c r="AB33" i="18"/>
  <c r="AC33" i="18"/>
  <c r="E34" i="18"/>
  <c r="F34" i="18"/>
  <c r="G34" i="18"/>
  <c r="H34" i="18"/>
  <c r="H34" i="18" a="1"/>
  <c r="I34" i="18"/>
  <c r="I34" i="18" a="1"/>
  <c r="J34" i="18"/>
  <c r="J34" i="18" a="1"/>
  <c r="K34" i="18"/>
  <c r="K34" i="18" a="1"/>
  <c r="L34" i="18"/>
  <c r="L34" i="18" a="1"/>
  <c r="M34" i="18"/>
  <c r="M34" i="18" a="1"/>
  <c r="N34" i="18"/>
  <c r="N34" i="18" a="1"/>
  <c r="O34" i="18"/>
  <c r="O34" i="18" a="1"/>
  <c r="P34" i="18"/>
  <c r="P34" i="18" a="1"/>
  <c r="Q34" i="18"/>
  <c r="Q34" i="18" a="1"/>
  <c r="R34" i="18"/>
  <c r="R34" i="18" a="1"/>
  <c r="S34" i="18"/>
  <c r="S34" i="18" a="1"/>
  <c r="T34" i="18"/>
  <c r="T34" i="18" a="1"/>
  <c r="V34" i="18"/>
  <c r="Y34" i="18"/>
  <c r="Z34" i="18"/>
  <c r="AA34" i="18"/>
  <c r="AB34" i="18"/>
  <c r="AC34" i="18"/>
  <c r="G35" i="18"/>
  <c r="H35" i="18"/>
  <c r="H35" i="18" a="1"/>
  <c r="I35" i="18"/>
  <c r="I35" i="18" a="1"/>
  <c r="J35" i="18"/>
  <c r="J35" i="18" a="1"/>
  <c r="K35" i="18"/>
  <c r="K35" i="18" a="1"/>
  <c r="L35" i="18"/>
  <c r="L35" i="18" a="1"/>
  <c r="M35" i="18"/>
  <c r="M35" i="18" a="1"/>
  <c r="N35" i="18"/>
  <c r="N35" i="18" a="1"/>
  <c r="O35" i="18"/>
  <c r="O35" i="18" a="1"/>
  <c r="P35" i="18"/>
  <c r="P35" i="18" a="1"/>
  <c r="Q35" i="18"/>
  <c r="Q35" i="18" a="1"/>
  <c r="R35" i="18"/>
  <c r="R35" i="18" a="1"/>
  <c r="S35" i="18"/>
  <c r="S35" i="18" a="1"/>
  <c r="T35" i="18"/>
  <c r="T35" i="18" a="1"/>
  <c r="V35" i="18"/>
  <c r="Y35" i="18"/>
  <c r="AA35" i="18"/>
  <c r="AB35" i="18"/>
  <c r="AC35" i="18"/>
  <c r="E36" i="18"/>
  <c r="F36" i="18"/>
  <c r="G36" i="18"/>
  <c r="H36" i="18"/>
  <c r="H36" i="18" a="1"/>
  <c r="I36" i="18"/>
  <c r="I36" i="18" a="1"/>
  <c r="J36" i="18"/>
  <c r="J36" i="18" a="1"/>
  <c r="K36" i="18"/>
  <c r="K36" i="18" a="1"/>
  <c r="L36" i="18"/>
  <c r="L36" i="18" a="1"/>
  <c r="M36" i="18"/>
  <c r="M36" i="18" a="1"/>
  <c r="N36" i="18"/>
  <c r="N36" i="18" a="1"/>
  <c r="O36" i="18"/>
  <c r="O36" i="18" a="1"/>
  <c r="P36" i="18"/>
  <c r="P36" i="18" a="1"/>
  <c r="Q36" i="18"/>
  <c r="Q36" i="18" a="1"/>
  <c r="R36" i="18"/>
  <c r="R36" i="18" a="1"/>
  <c r="S36" i="18"/>
  <c r="S36" i="18" a="1"/>
  <c r="T36" i="18"/>
  <c r="T36" i="18" a="1"/>
  <c r="V36" i="18"/>
  <c r="Y36" i="18"/>
  <c r="Z36" i="18"/>
  <c r="AA36" i="18"/>
  <c r="AB36" i="18"/>
  <c r="AC36" i="18"/>
  <c r="G37" i="18"/>
  <c r="H37" i="18"/>
  <c r="H37" i="18" a="1"/>
  <c r="I37" i="18"/>
  <c r="I37" i="18" a="1"/>
  <c r="J37" i="18"/>
  <c r="J37" i="18" a="1"/>
  <c r="K37" i="18"/>
  <c r="K37" i="18" a="1"/>
  <c r="L37" i="18"/>
  <c r="L37" i="18" a="1"/>
  <c r="M37" i="18"/>
  <c r="M37" i="18" a="1"/>
  <c r="N37" i="18"/>
  <c r="N37" i="18" a="1"/>
  <c r="O37" i="18"/>
  <c r="O37" i="18" a="1"/>
  <c r="P37" i="18"/>
  <c r="P37" i="18" a="1"/>
  <c r="Q37" i="18"/>
  <c r="Q37" i="18" a="1"/>
  <c r="R37" i="18"/>
  <c r="R37" i="18" a="1"/>
  <c r="S37" i="18"/>
  <c r="S37" i="18" a="1"/>
  <c r="T37" i="18"/>
  <c r="T37" i="18" a="1"/>
  <c r="V37" i="18"/>
  <c r="Y37" i="18"/>
  <c r="AA37" i="18"/>
  <c r="AB37" i="18"/>
  <c r="AC37" i="18"/>
  <c r="E38" i="18"/>
  <c r="F38" i="18"/>
  <c r="G38" i="18"/>
  <c r="H38" i="18"/>
  <c r="H38" i="18" a="1"/>
  <c r="I38" i="18"/>
  <c r="I38" i="18" a="1"/>
  <c r="J38" i="18"/>
  <c r="J38" i="18" a="1"/>
  <c r="K38" i="18"/>
  <c r="K38" i="18" a="1"/>
  <c r="L38" i="18"/>
  <c r="L38" i="18" a="1"/>
  <c r="M38" i="18"/>
  <c r="M38" i="18" a="1"/>
  <c r="N38" i="18"/>
  <c r="N38" i="18" a="1"/>
  <c r="O38" i="18"/>
  <c r="O38" i="18" a="1"/>
  <c r="P38" i="18"/>
  <c r="P38" i="18" a="1"/>
  <c r="Q38" i="18"/>
  <c r="Q38" i="18" a="1"/>
  <c r="R38" i="18"/>
  <c r="R38" i="18" a="1"/>
  <c r="S38" i="18"/>
  <c r="S38" i="18" a="1"/>
  <c r="T38" i="18"/>
  <c r="T38" i="18" a="1"/>
  <c r="V38" i="18"/>
  <c r="Y38" i="18"/>
  <c r="Z38" i="18"/>
  <c r="AA38" i="18"/>
  <c r="AB38" i="18"/>
  <c r="AC38" i="18"/>
  <c r="G39" i="18"/>
  <c r="H39" i="18"/>
  <c r="H39" i="18" a="1"/>
  <c r="I39" i="18"/>
  <c r="I39" i="18" a="1"/>
  <c r="J39" i="18"/>
  <c r="J39" i="18" a="1"/>
  <c r="K39" i="18"/>
  <c r="K39" i="18" a="1"/>
  <c r="L39" i="18"/>
  <c r="L39" i="18" a="1"/>
  <c r="M39" i="18"/>
  <c r="M39" i="18" a="1"/>
  <c r="N39" i="18"/>
  <c r="N39" i="18" a="1"/>
  <c r="O39" i="18"/>
  <c r="O39" i="18" a="1"/>
  <c r="P39" i="18"/>
  <c r="P39" i="18" a="1"/>
  <c r="Q39" i="18"/>
  <c r="Q39" i="18" a="1"/>
  <c r="R39" i="18"/>
  <c r="R39" i="18" a="1"/>
  <c r="S39" i="18"/>
  <c r="S39" i="18" a="1"/>
  <c r="T39" i="18"/>
  <c r="T39" i="18" a="1"/>
  <c r="V39" i="18"/>
  <c r="Y39" i="18"/>
  <c r="AA39" i="18"/>
  <c r="AB39" i="18"/>
  <c r="AC39" i="18"/>
  <c r="E40" i="18"/>
  <c r="F40" i="18"/>
  <c r="G40" i="18"/>
  <c r="H40" i="18"/>
  <c r="H40" i="18" a="1"/>
  <c r="I40" i="18"/>
  <c r="I40" i="18" a="1"/>
  <c r="J40" i="18"/>
  <c r="J40" i="18" a="1"/>
  <c r="K40" i="18"/>
  <c r="K40" i="18" a="1"/>
  <c r="L40" i="18"/>
  <c r="L40" i="18" a="1"/>
  <c r="M40" i="18"/>
  <c r="M40" i="18" a="1"/>
  <c r="N40" i="18"/>
  <c r="N40" i="18" a="1"/>
  <c r="O40" i="18"/>
  <c r="O40" i="18" a="1"/>
  <c r="P40" i="18"/>
  <c r="P40" i="18" a="1"/>
  <c r="Q40" i="18"/>
  <c r="Q40" i="18" a="1"/>
  <c r="R40" i="18"/>
  <c r="R40" i="18" a="1"/>
  <c r="S40" i="18"/>
  <c r="S40" i="18" a="1"/>
  <c r="T40" i="18"/>
  <c r="T40" i="18" a="1"/>
  <c r="V40" i="18"/>
  <c r="Y40" i="18"/>
  <c r="Z40" i="18"/>
  <c r="AA40" i="18"/>
  <c r="AB40" i="18"/>
  <c r="AC40" i="18"/>
  <c r="G41" i="18"/>
  <c r="H41" i="18"/>
  <c r="H41" i="18" a="1"/>
  <c r="I41" i="18"/>
  <c r="I41" i="18" a="1"/>
  <c r="J41" i="18"/>
  <c r="J41" i="18" a="1"/>
  <c r="K41" i="18"/>
  <c r="K41" i="18" a="1"/>
  <c r="L41" i="18"/>
  <c r="L41" i="18" a="1"/>
  <c r="M41" i="18"/>
  <c r="M41" i="18" a="1"/>
  <c r="N41" i="18"/>
  <c r="N41" i="18" a="1"/>
  <c r="O41" i="18"/>
  <c r="O41" i="18" a="1"/>
  <c r="P41" i="18"/>
  <c r="P41" i="18" a="1"/>
  <c r="Q41" i="18"/>
  <c r="Q41" i="18" a="1"/>
  <c r="R41" i="18"/>
  <c r="R41" i="18" a="1"/>
  <c r="S41" i="18"/>
  <c r="S41" i="18" a="1"/>
  <c r="T41" i="18"/>
  <c r="T41" i="18" a="1"/>
  <c r="V41" i="18"/>
  <c r="Y41" i="18"/>
  <c r="AA41" i="18"/>
  <c r="AB41" i="18"/>
  <c r="AC41" i="18"/>
  <c r="E42" i="18"/>
  <c r="F42" i="18"/>
  <c r="G42" i="18"/>
  <c r="H42" i="18"/>
  <c r="H42" i="18" a="1"/>
  <c r="I42" i="18"/>
  <c r="I42" i="18" a="1"/>
  <c r="J42" i="18"/>
  <c r="J42" i="18" a="1"/>
  <c r="K42" i="18"/>
  <c r="K42" i="18" a="1"/>
  <c r="L42" i="18"/>
  <c r="L42" i="18" a="1"/>
  <c r="M42" i="18"/>
  <c r="M42" i="18" a="1"/>
  <c r="N42" i="18"/>
  <c r="N42" i="18" a="1"/>
  <c r="O42" i="18"/>
  <c r="O42" i="18" a="1"/>
  <c r="P42" i="18"/>
  <c r="P42" i="18" a="1"/>
  <c r="Q42" i="18"/>
  <c r="Q42" i="18" a="1"/>
  <c r="R42" i="18"/>
  <c r="R42" i="18" a="1"/>
  <c r="S42" i="18"/>
  <c r="S42" i="18" a="1"/>
  <c r="T42" i="18"/>
  <c r="T42" i="18" a="1"/>
  <c r="V42" i="18"/>
  <c r="Y42" i="18"/>
  <c r="Z42" i="18"/>
  <c r="AA42" i="18"/>
  <c r="AB42" i="18"/>
  <c r="AC42" i="18"/>
  <c r="G43" i="18"/>
  <c r="H43" i="18"/>
  <c r="H43" i="18" a="1"/>
  <c r="I43" i="18"/>
  <c r="I43" i="18" a="1"/>
  <c r="J43" i="18"/>
  <c r="J43" i="18" a="1"/>
  <c r="K43" i="18"/>
  <c r="K43" i="18" a="1"/>
  <c r="L43" i="18"/>
  <c r="L43" i="18" a="1"/>
  <c r="M43" i="18"/>
  <c r="M43" i="18" a="1"/>
  <c r="N43" i="18"/>
  <c r="N43" i="18" a="1"/>
  <c r="O43" i="18"/>
  <c r="O43" i="18" a="1"/>
  <c r="P43" i="18"/>
  <c r="P43" i="18" a="1"/>
  <c r="Q43" i="18"/>
  <c r="Q43" i="18" a="1"/>
  <c r="R43" i="18"/>
  <c r="R43" i="18" a="1"/>
  <c r="S43" i="18"/>
  <c r="S43" i="18" a="1"/>
  <c r="T43" i="18"/>
  <c r="T43" i="18" a="1"/>
  <c r="V43" i="18"/>
  <c r="Y43" i="18"/>
  <c r="AA43" i="18"/>
  <c r="AB43" i="18"/>
  <c r="AC43" i="18"/>
  <c r="E44" i="18"/>
  <c r="F44" i="18"/>
  <c r="G44" i="18"/>
  <c r="H44" i="18"/>
  <c r="H44" i="18" a="1"/>
  <c r="I44" i="18"/>
  <c r="I44" i="18" a="1"/>
  <c r="J44" i="18"/>
  <c r="J44" i="18" a="1"/>
  <c r="K44" i="18"/>
  <c r="K44" i="18" a="1"/>
  <c r="L44" i="18"/>
  <c r="L44" i="18" a="1"/>
  <c r="M44" i="18"/>
  <c r="M44" i="18" a="1"/>
  <c r="N44" i="18"/>
  <c r="N44" i="18" a="1"/>
  <c r="O44" i="18"/>
  <c r="O44" i="18" a="1"/>
  <c r="P44" i="18"/>
  <c r="P44" i="18" a="1"/>
  <c r="Q44" i="18"/>
  <c r="Q44" i="18" a="1"/>
  <c r="R44" i="18"/>
  <c r="R44" i="18" a="1"/>
  <c r="S44" i="18"/>
  <c r="S44" i="18" a="1"/>
  <c r="T44" i="18"/>
  <c r="T44" i="18" a="1"/>
  <c r="V44" i="18"/>
  <c r="Y44" i="18"/>
  <c r="Z44" i="18"/>
  <c r="AA44" i="18"/>
  <c r="AB44" i="18"/>
  <c r="AC44" i="18"/>
  <c r="G45" i="18"/>
  <c r="H45" i="18"/>
  <c r="H45" i="18" a="1"/>
  <c r="I45" i="18"/>
  <c r="I45" i="18" a="1"/>
  <c r="J45" i="18"/>
  <c r="J45" i="18" a="1"/>
  <c r="K45" i="18"/>
  <c r="K45" i="18" a="1"/>
  <c r="L45" i="18"/>
  <c r="L45" i="18" a="1"/>
  <c r="M45" i="18"/>
  <c r="M45" i="18" a="1"/>
  <c r="N45" i="18"/>
  <c r="N45" i="18" a="1"/>
  <c r="O45" i="18"/>
  <c r="O45" i="18" a="1"/>
  <c r="P45" i="18"/>
  <c r="P45" i="18" a="1"/>
  <c r="Q45" i="18"/>
  <c r="Q45" i="18" a="1"/>
  <c r="R45" i="18"/>
  <c r="R45" i="18" a="1"/>
  <c r="S45" i="18"/>
  <c r="S45" i="18" a="1"/>
  <c r="T45" i="18"/>
  <c r="T45" i="18" a="1"/>
  <c r="V45" i="18"/>
  <c r="Y45" i="18"/>
  <c r="AA45" i="18"/>
  <c r="AB45" i="18"/>
  <c r="AC45" i="18"/>
  <c r="E46" i="18"/>
  <c r="F46" i="18"/>
  <c r="G46" i="18"/>
  <c r="H46" i="18"/>
  <c r="H46" i="18" a="1"/>
  <c r="I46" i="18"/>
  <c r="I46" i="18" a="1"/>
  <c r="J46" i="18"/>
  <c r="J46" i="18" a="1"/>
  <c r="K46" i="18"/>
  <c r="K46" i="18" a="1"/>
  <c r="L46" i="18"/>
  <c r="L46" i="18" a="1"/>
  <c r="M46" i="18"/>
  <c r="M46" i="18" a="1"/>
  <c r="N46" i="18"/>
  <c r="N46" i="18" a="1"/>
  <c r="O46" i="18"/>
  <c r="O46" i="18" a="1"/>
  <c r="P46" i="18"/>
  <c r="P46" i="18" a="1"/>
  <c r="Q46" i="18"/>
  <c r="Q46" i="18" a="1"/>
  <c r="R46" i="18"/>
  <c r="R46" i="18" a="1"/>
  <c r="S46" i="18"/>
  <c r="S46" i="18" a="1"/>
  <c r="T46" i="18"/>
  <c r="T46" i="18" a="1"/>
  <c r="V46" i="18"/>
  <c r="Y46" i="18"/>
  <c r="Z46" i="18"/>
  <c r="AA46" i="18"/>
  <c r="AB46" i="18"/>
  <c r="AC46" i="18"/>
  <c r="G47" i="18"/>
  <c r="H47" i="18"/>
  <c r="H47" i="18" a="1"/>
  <c r="I47" i="18"/>
  <c r="I47" i="18" a="1"/>
  <c r="J47" i="18"/>
  <c r="J47" i="18" a="1"/>
  <c r="K47" i="18"/>
  <c r="K47" i="18" a="1"/>
  <c r="L47" i="18"/>
  <c r="L47" i="18" a="1"/>
  <c r="M47" i="18"/>
  <c r="M47" i="18" a="1"/>
  <c r="N47" i="18"/>
  <c r="N47" i="18" a="1"/>
  <c r="O47" i="18"/>
  <c r="O47" i="18" a="1"/>
  <c r="P47" i="18"/>
  <c r="P47" i="18" a="1"/>
  <c r="Q47" i="18"/>
  <c r="Q47" i="18" a="1"/>
  <c r="R47" i="18"/>
  <c r="R47" i="18" a="1"/>
  <c r="S47" i="18"/>
  <c r="S47" i="18" a="1"/>
  <c r="T47" i="18"/>
  <c r="T47" i="18" a="1"/>
  <c r="V47" i="18"/>
  <c r="Y47" i="18"/>
  <c r="AA47" i="18"/>
  <c r="AB47" i="18"/>
  <c r="AC47" i="18"/>
  <c r="E48" i="18"/>
  <c r="F48" i="18"/>
  <c r="G48" i="18"/>
  <c r="H48" i="18"/>
  <c r="H48" i="18" a="1"/>
  <c r="I48" i="18"/>
  <c r="I48" i="18" a="1"/>
  <c r="J48" i="18"/>
  <c r="J48" i="18" a="1"/>
  <c r="K48" i="18"/>
  <c r="K48" i="18" a="1"/>
  <c r="L48" i="18"/>
  <c r="L48" i="18" a="1"/>
  <c r="M48" i="18"/>
  <c r="M48" i="18" a="1"/>
  <c r="N48" i="18"/>
  <c r="N48" i="18" a="1"/>
  <c r="O48" i="18"/>
  <c r="O48" i="18" a="1"/>
  <c r="P48" i="18"/>
  <c r="P48" i="18" a="1"/>
  <c r="Q48" i="18"/>
  <c r="Q48" i="18" a="1"/>
  <c r="R48" i="18"/>
  <c r="R48" i="18" a="1"/>
  <c r="S48" i="18"/>
  <c r="S48" i="18" a="1"/>
  <c r="T48" i="18"/>
  <c r="T48" i="18" a="1"/>
  <c r="V48" i="18"/>
  <c r="Y48" i="18"/>
  <c r="Z48" i="18"/>
  <c r="AA48" i="18"/>
  <c r="AB48" i="18"/>
  <c r="AC48" i="18"/>
  <c r="G49" i="18"/>
  <c r="H49" i="18"/>
  <c r="H49" i="18" a="1"/>
  <c r="I49" i="18"/>
  <c r="I49" i="18" a="1"/>
  <c r="J49" i="18"/>
  <c r="J49" i="18" a="1"/>
  <c r="K49" i="18"/>
  <c r="K49" i="18" a="1"/>
  <c r="L49" i="18"/>
  <c r="L49" i="18" a="1"/>
  <c r="M49" i="18"/>
  <c r="M49" i="18" a="1"/>
  <c r="N49" i="18"/>
  <c r="N49" i="18" a="1"/>
  <c r="O49" i="18"/>
  <c r="O49" i="18" a="1"/>
  <c r="P49" i="18"/>
  <c r="P49" i="18" a="1"/>
  <c r="Q49" i="18"/>
  <c r="Q49" i="18" a="1"/>
  <c r="R49" i="18"/>
  <c r="R49" i="18" a="1"/>
  <c r="S49" i="18"/>
  <c r="S49" i="18" a="1"/>
  <c r="T49" i="18"/>
  <c r="T49" i="18" a="1"/>
  <c r="V49" i="18"/>
  <c r="Y49" i="18"/>
  <c r="AA49" i="18"/>
  <c r="AB49" i="18"/>
  <c r="AC49" i="18"/>
  <c r="E50" i="18"/>
  <c r="F50" i="18"/>
  <c r="G50" i="18"/>
  <c r="H50" i="18"/>
  <c r="H50" i="18" a="1"/>
  <c r="I50" i="18"/>
  <c r="I50" i="18" a="1"/>
  <c r="J50" i="18"/>
  <c r="J50" i="18" a="1"/>
  <c r="K50" i="18"/>
  <c r="K50" i="18" a="1"/>
  <c r="L50" i="18"/>
  <c r="L50" i="18" a="1"/>
  <c r="M50" i="18"/>
  <c r="M50" i="18" a="1"/>
  <c r="N50" i="18"/>
  <c r="N50" i="18" a="1"/>
  <c r="O50" i="18"/>
  <c r="O50" i="18" a="1"/>
  <c r="P50" i="18"/>
  <c r="P50" i="18" a="1"/>
  <c r="Q50" i="18"/>
  <c r="Q50" i="18" a="1"/>
  <c r="R50" i="18"/>
  <c r="R50" i="18" a="1"/>
  <c r="S50" i="18"/>
  <c r="S50" i="18" a="1"/>
  <c r="T50" i="18"/>
  <c r="T50" i="18" a="1"/>
  <c r="V50" i="18"/>
  <c r="Y50" i="18"/>
  <c r="Z50" i="18"/>
  <c r="AA50" i="18"/>
  <c r="AB50" i="18"/>
  <c r="AC50" i="18"/>
  <c r="G51" i="18"/>
  <c r="H51" i="18"/>
  <c r="H51" i="18" a="1"/>
  <c r="I51" i="18"/>
  <c r="I51" i="18" a="1"/>
  <c r="J51" i="18"/>
  <c r="J51" i="18" a="1"/>
  <c r="K51" i="18"/>
  <c r="K51" i="18" a="1"/>
  <c r="L51" i="18"/>
  <c r="L51" i="18" a="1"/>
  <c r="M51" i="18"/>
  <c r="M51" i="18" a="1"/>
  <c r="N51" i="18"/>
  <c r="N51" i="18" a="1"/>
  <c r="O51" i="18"/>
  <c r="O51" i="18" a="1"/>
  <c r="P51" i="18"/>
  <c r="P51" i="18" a="1"/>
  <c r="Q51" i="18"/>
  <c r="Q51" i="18" a="1"/>
  <c r="R51" i="18"/>
  <c r="R51" i="18" a="1"/>
  <c r="S51" i="18"/>
  <c r="S51" i="18" a="1"/>
  <c r="T51" i="18"/>
  <c r="T51" i="18" a="1"/>
  <c r="V51" i="18"/>
  <c r="Y51" i="18"/>
  <c r="AA51" i="18"/>
  <c r="AB51" i="18"/>
  <c r="AC51" i="18"/>
  <c r="E52" i="18"/>
  <c r="F52" i="18"/>
  <c r="G52" i="18"/>
  <c r="H52" i="18"/>
  <c r="H52" i="18" a="1"/>
  <c r="I52" i="18"/>
  <c r="I52" i="18" a="1"/>
  <c r="J52" i="18"/>
  <c r="J52" i="18" a="1"/>
  <c r="K52" i="18"/>
  <c r="K52" i="18" a="1"/>
  <c r="L52" i="18"/>
  <c r="L52" i="18" a="1"/>
  <c r="M52" i="18"/>
  <c r="M52" i="18" a="1"/>
  <c r="N52" i="18"/>
  <c r="N52" i="18" a="1"/>
  <c r="O52" i="18"/>
  <c r="O52" i="18" a="1"/>
  <c r="P52" i="18"/>
  <c r="P52" i="18" a="1"/>
  <c r="Q52" i="18"/>
  <c r="Q52" i="18" a="1"/>
  <c r="R52" i="18"/>
  <c r="R52" i="18" a="1"/>
  <c r="S52" i="18"/>
  <c r="S52" i="18" a="1"/>
  <c r="T52" i="18"/>
  <c r="T52" i="18" a="1"/>
  <c r="V52" i="18"/>
  <c r="Y52" i="18"/>
  <c r="Z52" i="18"/>
  <c r="AA52" i="18"/>
  <c r="AB52" i="18"/>
  <c r="AC52" i="18"/>
  <c r="G53" i="18"/>
  <c r="H53" i="18"/>
  <c r="H53" i="18" a="1"/>
  <c r="I53" i="18"/>
  <c r="I53" i="18" a="1"/>
  <c r="J53" i="18"/>
  <c r="J53" i="18" a="1"/>
  <c r="K53" i="18"/>
  <c r="K53" i="18" a="1"/>
  <c r="L53" i="18"/>
  <c r="L53" i="18" a="1"/>
  <c r="M53" i="18"/>
  <c r="M53" i="18" a="1"/>
  <c r="N53" i="18"/>
  <c r="N53" i="18" a="1"/>
  <c r="O53" i="18"/>
  <c r="O53" i="18" a="1"/>
  <c r="P53" i="18"/>
  <c r="P53" i="18" a="1"/>
  <c r="Q53" i="18"/>
  <c r="Q53" i="18" a="1"/>
  <c r="R53" i="18"/>
  <c r="R53" i="18" a="1"/>
  <c r="S53" i="18"/>
  <c r="S53" i="18" a="1"/>
  <c r="T53" i="18"/>
  <c r="T53" i="18" a="1"/>
  <c r="V53" i="18"/>
  <c r="Y53" i="18"/>
  <c r="AA53" i="18"/>
  <c r="AB53" i="18"/>
  <c r="AC53" i="18"/>
  <c r="H57" i="18"/>
  <c r="I57" i="18"/>
  <c r="J57" i="18"/>
  <c r="K57" i="18"/>
  <c r="L57" i="18"/>
  <c r="M57" i="18"/>
  <c r="N57" i="18"/>
  <c r="O57" i="18"/>
  <c r="P57" i="18"/>
  <c r="Q57" i="18"/>
  <c r="R57" i="18"/>
  <c r="S57" i="18"/>
  <c r="T57" i="18"/>
  <c r="V57" i="18"/>
  <c r="H58" i="18"/>
  <c r="I58" i="18"/>
  <c r="J58" i="18"/>
  <c r="K58" i="18"/>
  <c r="L58" i="18"/>
  <c r="M58" i="18"/>
  <c r="N58" i="18"/>
  <c r="O58" i="18"/>
  <c r="P58" i="18"/>
  <c r="Q58" i="18"/>
  <c r="R58" i="18"/>
  <c r="S58" i="18"/>
  <c r="T58" i="18"/>
  <c r="V58" i="18"/>
  <c r="H59" i="18"/>
  <c r="I59" i="18"/>
  <c r="J59" i="18"/>
  <c r="K59" i="18"/>
  <c r="L59" i="18"/>
  <c r="M59" i="18"/>
  <c r="N59" i="18"/>
  <c r="O59" i="18"/>
  <c r="P59" i="18"/>
  <c r="Q59" i="18"/>
  <c r="R59" i="18"/>
  <c r="S59" i="18"/>
  <c r="T59" i="18"/>
  <c r="V59" i="18"/>
  <c r="H60" i="18"/>
  <c r="I60" i="18"/>
  <c r="J60" i="18"/>
  <c r="K60" i="18"/>
  <c r="L60" i="18"/>
  <c r="M60" i="18"/>
  <c r="N60" i="18"/>
  <c r="O60" i="18"/>
  <c r="P60" i="18"/>
  <c r="Q60" i="18"/>
  <c r="R60" i="18"/>
  <c r="S60" i="18"/>
  <c r="T60" i="18"/>
  <c r="V60" i="18"/>
  <c r="H61" i="18"/>
  <c r="I61" i="18"/>
  <c r="J61" i="18"/>
  <c r="K61" i="18"/>
  <c r="L61" i="18"/>
  <c r="M61" i="18"/>
  <c r="N61" i="18"/>
  <c r="O61" i="18"/>
  <c r="P61" i="18"/>
  <c r="Q61" i="18"/>
  <c r="R61" i="18"/>
  <c r="S61" i="18"/>
  <c r="T61" i="18"/>
  <c r="V61" i="18"/>
  <c r="H62" i="18"/>
  <c r="I62" i="18"/>
  <c r="J62" i="18"/>
  <c r="K62" i="18"/>
  <c r="L62" i="18"/>
  <c r="M62" i="18"/>
  <c r="N62" i="18"/>
  <c r="O62" i="18"/>
  <c r="P62" i="18"/>
  <c r="Q62" i="18"/>
  <c r="R62" i="18"/>
  <c r="S62" i="18"/>
  <c r="T62" i="18"/>
  <c r="V62" i="18"/>
  <c r="H63" i="18"/>
  <c r="I63" i="18"/>
  <c r="J63" i="18"/>
  <c r="K63" i="18"/>
  <c r="L63" i="18"/>
  <c r="M63" i="18"/>
  <c r="N63" i="18"/>
  <c r="O63" i="18"/>
  <c r="P63" i="18"/>
  <c r="Q63" i="18"/>
  <c r="R63" i="18"/>
  <c r="S63" i="18"/>
  <c r="T63" i="18"/>
  <c r="V63" i="18"/>
  <c r="H64" i="18"/>
  <c r="I64" i="18"/>
  <c r="J64" i="18"/>
  <c r="K64" i="18"/>
  <c r="L64" i="18"/>
  <c r="M64" i="18"/>
  <c r="N64" i="18"/>
  <c r="O64" i="18"/>
  <c r="P64" i="18"/>
  <c r="Q64" i="18"/>
  <c r="R64" i="18"/>
  <c r="S64" i="18"/>
  <c r="T64" i="18"/>
  <c r="V64" i="18"/>
  <c r="H65" i="18"/>
  <c r="I65" i="18"/>
  <c r="J65" i="18"/>
  <c r="K65" i="18"/>
  <c r="L65" i="18"/>
  <c r="M65" i="18"/>
  <c r="N65" i="18"/>
  <c r="O65" i="18"/>
  <c r="P65" i="18"/>
  <c r="Q65" i="18"/>
  <c r="R65" i="18"/>
  <c r="S65" i="18"/>
  <c r="T65" i="18"/>
  <c r="V65" i="18"/>
  <c r="H66" i="18"/>
  <c r="I66" i="18"/>
  <c r="J66" i="18"/>
  <c r="K66" i="18"/>
  <c r="L66" i="18"/>
  <c r="M66" i="18"/>
  <c r="N66" i="18"/>
  <c r="O66" i="18"/>
  <c r="P66" i="18"/>
  <c r="Q66" i="18"/>
  <c r="R66" i="18"/>
  <c r="S66" i="18"/>
  <c r="T66" i="18"/>
  <c r="V66" i="18"/>
  <c r="H67" i="18"/>
  <c r="I67" i="18"/>
  <c r="J67" i="18"/>
  <c r="K67" i="18"/>
  <c r="L67" i="18"/>
  <c r="M67" i="18"/>
  <c r="N67" i="18"/>
  <c r="O67" i="18"/>
  <c r="P67" i="18"/>
  <c r="Q67" i="18"/>
  <c r="R67" i="18"/>
  <c r="S67" i="18"/>
  <c r="T67" i="18"/>
  <c r="V67" i="18"/>
  <c r="H68" i="18"/>
  <c r="I68" i="18"/>
  <c r="J68" i="18"/>
  <c r="K68" i="18"/>
  <c r="L68" i="18"/>
  <c r="M68" i="18"/>
  <c r="N68" i="18"/>
  <c r="O68" i="18"/>
  <c r="P68" i="18"/>
  <c r="Q68" i="18"/>
  <c r="R68" i="18"/>
  <c r="S68" i="18"/>
  <c r="T68" i="18"/>
  <c r="V68" i="18"/>
  <c r="H69" i="18"/>
  <c r="I69" i="18"/>
  <c r="J69" i="18"/>
  <c r="K69" i="18"/>
  <c r="L69" i="18"/>
  <c r="M69" i="18"/>
  <c r="N69" i="18"/>
  <c r="O69" i="18"/>
  <c r="P69" i="18"/>
  <c r="Q69" i="18"/>
  <c r="R69" i="18"/>
  <c r="S69" i="18"/>
  <c r="T69" i="18"/>
  <c r="V69" i="18"/>
  <c r="H70" i="18"/>
  <c r="I70" i="18"/>
  <c r="J70" i="18"/>
  <c r="K70" i="18"/>
  <c r="L70" i="18"/>
  <c r="M70" i="18"/>
  <c r="N70" i="18"/>
  <c r="O70" i="18"/>
  <c r="P70" i="18"/>
  <c r="Q70" i="18"/>
  <c r="R70" i="18"/>
  <c r="S70" i="18"/>
  <c r="T70" i="18"/>
  <c r="V70" i="18"/>
  <c r="H71" i="18"/>
  <c r="I71" i="18"/>
  <c r="J71" i="18"/>
  <c r="K71" i="18"/>
  <c r="L71" i="18"/>
  <c r="M71" i="18"/>
  <c r="N71" i="18"/>
  <c r="O71" i="18"/>
  <c r="P71" i="18"/>
  <c r="Q71" i="18"/>
  <c r="R71" i="18"/>
  <c r="S71" i="18"/>
  <c r="T71" i="18"/>
  <c r="V71" i="18"/>
  <c r="H72" i="18"/>
  <c r="I72" i="18"/>
  <c r="J72" i="18"/>
  <c r="K72" i="18"/>
  <c r="L72" i="18"/>
  <c r="M72" i="18"/>
  <c r="N72" i="18"/>
  <c r="O72" i="18"/>
  <c r="P72" i="18"/>
  <c r="Q72" i="18"/>
  <c r="R72" i="18"/>
  <c r="S72" i="18"/>
  <c r="T72" i="18"/>
  <c r="V72" i="18"/>
  <c r="H75" i="18"/>
  <c r="I75" i="18"/>
  <c r="J75" i="18"/>
  <c r="K75" i="18"/>
  <c r="L75" i="18"/>
  <c r="M75" i="18"/>
  <c r="N75" i="18"/>
  <c r="O75" i="18"/>
  <c r="P75" i="18"/>
  <c r="Q75" i="18"/>
  <c r="R75" i="18"/>
  <c r="S75" i="18"/>
  <c r="T75" i="18"/>
  <c r="H76" i="18"/>
  <c r="I76" i="18"/>
  <c r="J76" i="18"/>
  <c r="K76" i="18"/>
  <c r="L76" i="18"/>
  <c r="M76" i="18"/>
  <c r="N76" i="18"/>
  <c r="O76" i="18"/>
  <c r="P76" i="18"/>
  <c r="Q76" i="18"/>
  <c r="R76" i="18"/>
  <c r="S76" i="18"/>
  <c r="T76" i="18"/>
  <c r="V76" i="18"/>
  <c r="B4" i="17"/>
  <c r="C4" i="17"/>
  <c r="D4" i="17"/>
  <c r="J4" i="17"/>
  <c r="K4" i="17"/>
  <c r="L4" i="17"/>
  <c r="M4" i="17"/>
  <c r="T4" i="17"/>
  <c r="U4" i="17"/>
  <c r="V4" i="17"/>
  <c r="W4" i="17"/>
  <c r="B5" i="17"/>
  <c r="C5" i="17"/>
  <c r="D5" i="17"/>
  <c r="J5" i="17"/>
  <c r="K5" i="17"/>
  <c r="L5" i="17"/>
  <c r="M5" i="17"/>
  <c r="T5" i="17"/>
  <c r="U5" i="17"/>
  <c r="V5" i="17"/>
  <c r="W5" i="17"/>
  <c r="B6" i="17"/>
  <c r="C6" i="17"/>
  <c r="D6" i="17"/>
  <c r="J6" i="17"/>
  <c r="K6" i="17"/>
  <c r="L6" i="17"/>
  <c r="M6" i="17"/>
  <c r="T6" i="17"/>
  <c r="U6" i="17"/>
  <c r="V6" i="17"/>
  <c r="W6" i="17"/>
  <c r="B7" i="17"/>
  <c r="C7" i="17"/>
  <c r="D7" i="17"/>
  <c r="J7" i="17"/>
  <c r="K7" i="17"/>
  <c r="L7" i="17"/>
  <c r="M7" i="17"/>
  <c r="T7" i="17"/>
  <c r="U7" i="17"/>
  <c r="V7" i="17"/>
  <c r="W7" i="17"/>
  <c r="B8" i="17"/>
  <c r="C8" i="17"/>
  <c r="D8" i="17"/>
  <c r="J8" i="17"/>
  <c r="K8" i="17"/>
  <c r="L8" i="17"/>
  <c r="M8" i="17"/>
  <c r="T8" i="17"/>
  <c r="U8" i="17"/>
  <c r="V8" i="17"/>
  <c r="W8" i="17"/>
  <c r="B9" i="17"/>
  <c r="C9" i="17"/>
  <c r="D9" i="17"/>
  <c r="J9" i="17"/>
  <c r="K9" i="17"/>
  <c r="L9" i="17"/>
  <c r="M9" i="17"/>
  <c r="T9" i="17"/>
  <c r="U9" i="17"/>
  <c r="V9" i="17"/>
  <c r="W9" i="17"/>
  <c r="B10" i="17"/>
  <c r="C10" i="17"/>
  <c r="D10" i="17"/>
  <c r="J10" i="17"/>
  <c r="K10" i="17"/>
  <c r="L10" i="17"/>
  <c r="M10" i="17"/>
  <c r="T10" i="17"/>
  <c r="U10" i="17"/>
  <c r="V10" i="17"/>
  <c r="W10" i="17"/>
  <c r="B11" i="17"/>
  <c r="C11" i="17"/>
  <c r="D11" i="17"/>
  <c r="J11" i="17"/>
  <c r="K11" i="17"/>
  <c r="L11" i="17"/>
  <c r="M11" i="17"/>
  <c r="T11" i="17"/>
  <c r="U11" i="17"/>
  <c r="V11" i="17"/>
  <c r="W11" i="17"/>
  <c r="B12" i="17"/>
  <c r="C12" i="17"/>
  <c r="D12" i="17"/>
  <c r="J12" i="17"/>
  <c r="K12" i="17"/>
  <c r="L12" i="17"/>
  <c r="M12" i="17"/>
  <c r="T12" i="17"/>
  <c r="U12" i="17"/>
  <c r="V12" i="17"/>
  <c r="W12" i="17"/>
  <c r="U26" i="17"/>
  <c r="V26" i="17"/>
  <c r="W26" i="17"/>
  <c r="V30" i="17"/>
  <c r="W30" i="17"/>
  <c r="X30" i="17"/>
  <c r="V31" i="17"/>
  <c r="W31" i="17"/>
  <c r="X31" i="17"/>
  <c r="V32" i="17"/>
  <c r="W32" i="17"/>
  <c r="X32" i="17"/>
  <c r="D2" i="65"/>
  <c r="L3" i="65"/>
  <c r="L6" i="65"/>
  <c r="N6" i="65"/>
  <c r="O6" i="65"/>
  <c r="L7" i="65"/>
  <c r="N7" i="65"/>
  <c r="O7" i="65"/>
  <c r="L8" i="65"/>
  <c r="N8" i="65"/>
  <c r="O8" i="65"/>
  <c r="L9" i="65"/>
  <c r="N9" i="65"/>
  <c r="O9" i="65"/>
  <c r="L10" i="65"/>
  <c r="N10" i="65"/>
  <c r="O10" i="65"/>
  <c r="L11" i="65"/>
  <c r="N11" i="65"/>
  <c r="O11" i="65"/>
  <c r="L12" i="65"/>
  <c r="L14" i="65"/>
  <c r="N14" i="65"/>
  <c r="O14" i="65"/>
  <c r="L15" i="65"/>
  <c r="N15" i="65"/>
  <c r="O15" i="65"/>
  <c r="L16" i="65"/>
  <c r="N16" i="65"/>
  <c r="O16" i="65"/>
  <c r="L17" i="65"/>
  <c r="N17" i="65"/>
  <c r="O17" i="65"/>
  <c r="L18" i="65"/>
  <c r="N18" i="65"/>
  <c r="O18" i="65"/>
  <c r="L19" i="65"/>
  <c r="N19" i="65"/>
  <c r="O19" i="65"/>
  <c r="L20" i="65"/>
  <c r="N20" i="65"/>
  <c r="O20" i="65"/>
  <c r="L21" i="65"/>
  <c r="L23" i="65"/>
  <c r="N23" i="65"/>
  <c r="O23" i="65"/>
  <c r="L24" i="65"/>
  <c r="N24" i="65"/>
  <c r="O24" i="65"/>
  <c r="L25" i="65"/>
  <c r="N25" i="65"/>
  <c r="O25" i="65"/>
  <c r="L26" i="65"/>
  <c r="N26" i="65"/>
  <c r="O26" i="65"/>
  <c r="L27" i="65"/>
  <c r="N27" i="65"/>
  <c r="O27" i="65"/>
  <c r="L28" i="65"/>
  <c r="N28" i="65"/>
  <c r="O28" i="65"/>
  <c r="L29" i="65"/>
  <c r="N29" i="65"/>
  <c r="O29" i="65"/>
  <c r="L30" i="65"/>
  <c r="N30" i="65"/>
  <c r="O30" i="65"/>
  <c r="L31" i="65"/>
  <c r="N31" i="65"/>
  <c r="O31" i="65"/>
  <c r="L32" i="65"/>
  <c r="N32" i="65"/>
  <c r="O32" i="65"/>
  <c r="L33" i="65"/>
  <c r="N33" i="65"/>
  <c r="O33" i="65"/>
  <c r="L34" i="65"/>
  <c r="L37" i="65"/>
  <c r="F1" i="21"/>
  <c r="AV1" i="21"/>
  <c r="A2" i="21"/>
  <c r="F2" i="21"/>
  <c r="G2" i="21"/>
  <c r="N2" i="21"/>
  <c r="AV2" i="21"/>
  <c r="AW2" i="21"/>
  <c r="AX2" i="21"/>
  <c r="AY2" i="21"/>
  <c r="BW2" i="21"/>
  <c r="BX2" i="21"/>
  <c r="BY2" i="21"/>
  <c r="BZ2" i="21"/>
  <c r="CA2" i="21"/>
  <c r="CB2" i="21"/>
  <c r="CC2" i="21"/>
  <c r="CD2" i="21"/>
  <c r="CE2" i="21"/>
  <c r="CF2" i="21"/>
  <c r="CG2" i="21"/>
  <c r="CH2" i="21"/>
  <c r="CI2" i="21"/>
  <c r="CJ2" i="21"/>
  <c r="CK2" i="21"/>
  <c r="CL2" i="21"/>
  <c r="CM2" i="21"/>
  <c r="CN2" i="21"/>
  <c r="CO2" i="21"/>
  <c r="CP2" i="21"/>
  <c r="CQ2" i="21"/>
  <c r="CR2" i="21"/>
  <c r="CS2" i="21"/>
  <c r="CT2" i="21"/>
  <c r="CU2" i="21"/>
  <c r="CV2" i="21"/>
  <c r="CW2" i="21"/>
  <c r="CX2" i="21"/>
  <c r="A3" i="21"/>
  <c r="AH3" i="21"/>
  <c r="AK3" i="21"/>
  <c r="AV3" i="21"/>
  <c r="AW3" i="21"/>
  <c r="AX3" i="21"/>
  <c r="AY3" i="21"/>
  <c r="A4" i="21"/>
  <c r="N4" i="21"/>
  <c r="P4" i="21"/>
  <c r="T4" i="21"/>
  <c r="V4" i="21"/>
  <c r="W4" i="21"/>
  <c r="AH4" i="21"/>
  <c r="AK4" i="21"/>
  <c r="AM4" i="21"/>
  <c r="AN4" i="21"/>
  <c r="AO4" i="21"/>
  <c r="AP4" i="21"/>
  <c r="AQ4" i="21"/>
  <c r="AR4" i="21"/>
  <c r="AS4" i="21"/>
  <c r="AT4" i="21"/>
  <c r="AV4" i="21"/>
  <c r="AW4" i="21"/>
  <c r="AX4" i="21"/>
  <c r="AY4" i="21"/>
  <c r="A5" i="21"/>
  <c r="G5" i="21"/>
  <c r="N5" i="21"/>
  <c r="P5" i="21"/>
  <c r="T5" i="21"/>
  <c r="V5" i="21"/>
  <c r="W5" i="21"/>
  <c r="AH5" i="21"/>
  <c r="AK5" i="21"/>
  <c r="AM5" i="21"/>
  <c r="AN5" i="21"/>
  <c r="AO5" i="21"/>
  <c r="AP5" i="21"/>
  <c r="AQ5" i="21"/>
  <c r="AR5" i="21"/>
  <c r="AS5" i="21"/>
  <c r="AT5" i="21"/>
  <c r="AV5" i="21"/>
  <c r="AW5" i="21"/>
  <c r="AX5" i="21"/>
  <c r="AY5" i="21"/>
  <c r="BV5" i="21"/>
  <c r="A6" i="21"/>
  <c r="N6" i="21"/>
  <c r="P6" i="21"/>
  <c r="T6" i="21"/>
  <c r="V6" i="21"/>
  <c r="W6" i="21"/>
  <c r="AH6" i="21"/>
  <c r="AK6" i="21"/>
  <c r="AM6" i="21"/>
  <c r="AN6" i="21"/>
  <c r="AO6" i="21"/>
  <c r="AP6" i="21"/>
  <c r="AQ6" i="21"/>
  <c r="AR6" i="21"/>
  <c r="AS6" i="21"/>
  <c r="AT6" i="21"/>
  <c r="A7" i="21"/>
  <c r="G7" i="21"/>
  <c r="N7" i="21"/>
  <c r="N7" i="21" a="1"/>
  <c r="P7" i="21"/>
  <c r="T7" i="21"/>
  <c r="AH7" i="21"/>
  <c r="AK7" i="21"/>
  <c r="AM7" i="21"/>
  <c r="AN7" i="21"/>
  <c r="AO7" i="21"/>
  <c r="AP7" i="21"/>
  <c r="AQ7" i="21"/>
  <c r="AR7" i="21"/>
  <c r="AS7" i="21"/>
  <c r="AT7" i="21"/>
  <c r="AV7" i="21"/>
  <c r="AW7" i="21"/>
  <c r="AX7" i="21"/>
  <c r="AY7" i="21"/>
  <c r="G8" i="21"/>
  <c r="N8" i="21"/>
  <c r="N8" i="21" a="1"/>
  <c r="P8" i="21"/>
  <c r="T8" i="21"/>
  <c r="V8" i="21"/>
  <c r="W8" i="21"/>
  <c r="Y8" i="21"/>
  <c r="Z8" i="21"/>
  <c r="AH8" i="21"/>
  <c r="AK8" i="21"/>
  <c r="AM8" i="21"/>
  <c r="AN8" i="21"/>
  <c r="AO8" i="21"/>
  <c r="AP8" i="21"/>
  <c r="AQ8" i="21"/>
  <c r="AR8" i="21"/>
  <c r="AS8" i="21"/>
  <c r="AT8" i="21"/>
  <c r="AV8" i="21"/>
  <c r="AW8" i="21"/>
  <c r="AX8" i="21"/>
  <c r="AY8" i="21"/>
  <c r="N9" i="21"/>
  <c r="N9" i="21" a="1"/>
  <c r="P9" i="21"/>
  <c r="AK9" i="21"/>
  <c r="AM9" i="21"/>
  <c r="AN9" i="21"/>
  <c r="AO9" i="21"/>
  <c r="AP9" i="21"/>
  <c r="AQ9" i="21"/>
  <c r="AR9" i="21"/>
  <c r="AS9" i="21"/>
  <c r="AT9" i="21"/>
  <c r="AV9" i="21"/>
  <c r="AW9" i="21"/>
  <c r="AX9" i="21"/>
  <c r="AY9" i="21"/>
  <c r="N10" i="21"/>
  <c r="P10" i="21"/>
  <c r="AH10" i="21"/>
  <c r="AM10" i="21"/>
  <c r="AN10" i="21"/>
  <c r="AO10" i="21"/>
  <c r="AP10" i="21"/>
  <c r="AQ10" i="21"/>
  <c r="AR10" i="21"/>
  <c r="AS10" i="21"/>
  <c r="AT10" i="21"/>
  <c r="AV10" i="21"/>
  <c r="AW10" i="21"/>
  <c r="AX10" i="21"/>
  <c r="AY10" i="21"/>
  <c r="D11" i="21"/>
  <c r="N11" i="21"/>
  <c r="P11" i="21"/>
  <c r="AM11" i="21"/>
  <c r="AN11" i="21"/>
  <c r="AO11" i="21"/>
  <c r="AP11" i="21"/>
  <c r="AQ11" i="21"/>
  <c r="AR11" i="21"/>
  <c r="AS11" i="21"/>
  <c r="AT11" i="21"/>
  <c r="AV11" i="21"/>
  <c r="AW11" i="21"/>
  <c r="AX11" i="21"/>
  <c r="AY11" i="21"/>
  <c r="D12" i="21"/>
  <c r="N12" i="21"/>
  <c r="P12" i="21"/>
  <c r="AH12" i="21"/>
  <c r="AM12" i="21"/>
  <c r="AN12" i="21"/>
  <c r="AO12" i="21"/>
  <c r="AP12" i="21"/>
  <c r="AQ12" i="21"/>
  <c r="AR12" i="21"/>
  <c r="AS12" i="21"/>
  <c r="AT12" i="21"/>
  <c r="AV12" i="21"/>
  <c r="AW12" i="21"/>
  <c r="AX12" i="21"/>
  <c r="AY12" i="21"/>
  <c r="N13" i="21"/>
  <c r="P13" i="21"/>
  <c r="AH13" i="21"/>
  <c r="AM13" i="21"/>
  <c r="AN13" i="21"/>
  <c r="AO13" i="21"/>
  <c r="AP13" i="21"/>
  <c r="AQ13" i="21"/>
  <c r="AR13" i="21"/>
  <c r="AS13" i="21"/>
  <c r="AT13" i="21"/>
  <c r="AV13" i="21"/>
  <c r="AW13" i="21"/>
  <c r="AX13" i="21"/>
  <c r="AY13" i="21"/>
  <c r="N14" i="21"/>
  <c r="P14" i="21"/>
  <c r="S14" i="21"/>
  <c r="T14" i="21"/>
  <c r="AM14" i="21"/>
  <c r="AN14" i="21"/>
  <c r="AO14" i="21"/>
  <c r="AP14" i="21"/>
  <c r="AQ14" i="21"/>
  <c r="AR14" i="21"/>
  <c r="AS14" i="21"/>
  <c r="AT14" i="21"/>
  <c r="AV14" i="21"/>
  <c r="AW14" i="21"/>
  <c r="AX14" i="21"/>
  <c r="AY14" i="21"/>
  <c r="N15" i="21"/>
  <c r="P15" i="21"/>
  <c r="AM15" i="21"/>
  <c r="AN15" i="21"/>
  <c r="AO15" i="21"/>
  <c r="AP15" i="21"/>
  <c r="AQ15" i="21"/>
  <c r="AR15" i="21"/>
  <c r="AS15" i="21"/>
  <c r="AT15" i="21"/>
  <c r="AV15" i="21"/>
  <c r="AW15" i="21"/>
  <c r="AX15" i="21"/>
  <c r="AY15" i="21"/>
  <c r="N16" i="21"/>
  <c r="P16" i="21"/>
  <c r="AV16" i="21"/>
  <c r="AW16" i="21"/>
  <c r="AX16" i="21"/>
  <c r="AY16" i="21"/>
  <c r="N17" i="21"/>
  <c r="P17" i="21"/>
  <c r="AV17" i="21"/>
  <c r="AW17" i="21"/>
  <c r="AX17" i="21"/>
  <c r="AY17" i="21"/>
  <c r="N18" i="21"/>
  <c r="P18" i="21"/>
  <c r="AX18" i="21"/>
  <c r="AY18" i="21"/>
  <c r="N19" i="21"/>
  <c r="P19" i="21"/>
  <c r="S20" i="21"/>
  <c r="T20" i="21"/>
  <c r="AM20" i="21"/>
  <c r="AO20" i="21"/>
  <c r="AV20" i="21"/>
  <c r="AW20" i="21"/>
  <c r="AX20" i="21"/>
  <c r="AY20" i="21"/>
  <c r="D22" i="21"/>
  <c r="F22" i="21"/>
  <c r="G22" i="21"/>
  <c r="H22" i="21"/>
  <c r="I22" i="21"/>
  <c r="K22" i="21"/>
  <c r="L22" i="21"/>
  <c r="N22" i="21"/>
  <c r="O22" i="21"/>
  <c r="P22" i="21"/>
  <c r="Q22" i="21"/>
  <c r="S22" i="21"/>
  <c r="T22" i="21"/>
  <c r="V22" i="21"/>
  <c r="X22" i="21"/>
  <c r="Y22" i="21"/>
  <c r="Z22" i="21"/>
  <c r="AA22" i="21"/>
  <c r="AB22" i="21"/>
  <c r="AC22" i="21"/>
  <c r="AF22" i="21"/>
  <c r="AG22" i="21"/>
  <c r="AH22" i="21"/>
  <c r="AI22" i="21"/>
  <c r="AJ22" i="21"/>
  <c r="AL22" i="21"/>
  <c r="AM22" i="21"/>
  <c r="AN22" i="21"/>
  <c r="AO22" i="21"/>
  <c r="AP22" i="21"/>
  <c r="AQ22" i="21"/>
  <c r="AR22" i="21"/>
  <c r="AS22" i="21"/>
  <c r="AT22" i="21"/>
  <c r="AU22" i="21"/>
  <c r="AV22" i="21"/>
  <c r="AW22" i="21"/>
  <c r="AX22" i="21"/>
  <c r="AY22" i="21"/>
  <c r="BB22" i="21"/>
  <c r="BC22" i="21"/>
  <c r="BD22" i="21"/>
  <c r="BE22" i="21"/>
  <c r="BF22" i="21"/>
  <c r="BG22" i="21"/>
  <c r="BH22" i="21"/>
  <c r="BI22" i="21"/>
  <c r="BJ22" i="21"/>
  <c r="BK22" i="21"/>
  <c r="BL22" i="21"/>
  <c r="BM22" i="21"/>
  <c r="BN22" i="21"/>
  <c r="BO22" i="21"/>
  <c r="D23" i="21"/>
  <c r="F23" i="21"/>
  <c r="G23" i="21"/>
  <c r="H23" i="21"/>
  <c r="I23" i="21"/>
  <c r="K23" i="21"/>
  <c r="L23" i="21"/>
  <c r="N23" i="21"/>
  <c r="O23" i="21"/>
  <c r="P23" i="21"/>
  <c r="Q23" i="21"/>
  <c r="S23" i="21"/>
  <c r="T23" i="21"/>
  <c r="V23" i="21"/>
  <c r="X23" i="21"/>
  <c r="Y23" i="21"/>
  <c r="Z23" i="21"/>
  <c r="AA23" i="21"/>
  <c r="AB23" i="21"/>
  <c r="AC23" i="21"/>
  <c r="AF23" i="21"/>
  <c r="AG23" i="21"/>
  <c r="AH23" i="21"/>
  <c r="AI23" i="21"/>
  <c r="AJ23" i="21"/>
  <c r="AL23" i="21"/>
  <c r="AM23" i="21"/>
  <c r="AN23" i="21"/>
  <c r="AO23" i="21"/>
  <c r="AP23" i="21"/>
  <c r="AQ23" i="21"/>
  <c r="AR23" i="21"/>
  <c r="AS23" i="21"/>
  <c r="AT23" i="21"/>
  <c r="AU23" i="21"/>
  <c r="AV23" i="21"/>
  <c r="AW23" i="21"/>
  <c r="AX23" i="21"/>
  <c r="AY23" i="21"/>
  <c r="BB23" i="21"/>
  <c r="BC23" i="21"/>
  <c r="BD23" i="21"/>
  <c r="BE23" i="21"/>
  <c r="BF23" i="21"/>
  <c r="BG23" i="21"/>
  <c r="BH23" i="21"/>
  <c r="BI23" i="21"/>
  <c r="BJ23" i="21"/>
  <c r="BK23" i="21"/>
  <c r="BL23" i="21"/>
  <c r="BM23" i="21"/>
  <c r="BN23" i="21"/>
  <c r="BO23" i="21"/>
  <c r="D24" i="21"/>
  <c r="F24" i="21"/>
  <c r="G24" i="21"/>
  <c r="H24" i="21"/>
  <c r="I24" i="21"/>
  <c r="K24" i="21"/>
  <c r="L24" i="21"/>
  <c r="N24" i="21"/>
  <c r="O24" i="21"/>
  <c r="P24" i="21"/>
  <c r="Q24" i="21"/>
  <c r="S24" i="21"/>
  <c r="T24" i="21"/>
  <c r="V24" i="21"/>
  <c r="X24" i="21"/>
  <c r="Y24" i="21"/>
  <c r="Z24" i="21"/>
  <c r="AA24" i="21"/>
  <c r="AB24" i="21"/>
  <c r="AC24" i="21"/>
  <c r="AF24" i="21"/>
  <c r="AG24" i="21"/>
  <c r="AH24" i="21"/>
  <c r="AI24" i="21"/>
  <c r="AJ24" i="21"/>
  <c r="AL24" i="21"/>
  <c r="AM24" i="21"/>
  <c r="AN24" i="21"/>
  <c r="AO24" i="21"/>
  <c r="AP24" i="21"/>
  <c r="AQ24" i="21"/>
  <c r="AR24" i="21"/>
  <c r="AS24" i="21"/>
  <c r="AT24" i="21"/>
  <c r="AU24" i="21"/>
  <c r="AV24" i="21"/>
  <c r="AW24" i="21"/>
  <c r="AX24" i="21"/>
  <c r="AY24" i="21"/>
  <c r="BB24" i="21"/>
  <c r="BC24" i="21"/>
  <c r="BD24" i="21"/>
  <c r="BE24" i="21"/>
  <c r="BF24" i="21"/>
  <c r="BG24" i="21"/>
  <c r="BH24" i="21"/>
  <c r="BI24" i="21"/>
  <c r="BJ24" i="21"/>
  <c r="BK24" i="21"/>
  <c r="BL24" i="21"/>
  <c r="BM24" i="21"/>
  <c r="BN24" i="21"/>
  <c r="BO24" i="21"/>
  <c r="D25" i="21"/>
  <c r="F25" i="21"/>
  <c r="G25" i="21"/>
  <c r="H25" i="21"/>
  <c r="I25" i="21"/>
  <c r="K25" i="21"/>
  <c r="L25" i="21"/>
  <c r="N25" i="21"/>
  <c r="O25" i="21"/>
  <c r="P25" i="21"/>
  <c r="Q25" i="21"/>
  <c r="S25" i="21"/>
  <c r="T25" i="21"/>
  <c r="V25" i="21"/>
  <c r="X25" i="21"/>
  <c r="Y25" i="21"/>
  <c r="Z25" i="21"/>
  <c r="AA25" i="21"/>
  <c r="AB25" i="21"/>
  <c r="AC25" i="21"/>
  <c r="AF25" i="21"/>
  <c r="AG25" i="21"/>
  <c r="AH25" i="21"/>
  <c r="AI25" i="21"/>
  <c r="AJ25" i="21"/>
  <c r="AL25" i="21"/>
  <c r="AM25" i="21"/>
  <c r="AN25" i="21"/>
  <c r="AO25" i="21"/>
  <c r="AP25" i="21"/>
  <c r="AQ25" i="21"/>
  <c r="AR25" i="21"/>
  <c r="AS25" i="21"/>
  <c r="AT25" i="21"/>
  <c r="AU25" i="21"/>
  <c r="AV25" i="21"/>
  <c r="AW25" i="21"/>
  <c r="AX25" i="21"/>
  <c r="AY25" i="21"/>
  <c r="BB25" i="21"/>
  <c r="BC25" i="21"/>
  <c r="BD25" i="21"/>
  <c r="BE25" i="21"/>
  <c r="BF25" i="21"/>
  <c r="BG25" i="21"/>
  <c r="BH25" i="21"/>
  <c r="BI25" i="21"/>
  <c r="BJ25" i="21"/>
  <c r="BK25" i="21"/>
  <c r="BL25" i="21"/>
  <c r="BM25" i="21"/>
  <c r="BN25" i="21"/>
  <c r="BO25" i="21"/>
  <c r="D26" i="21"/>
  <c r="F26" i="21"/>
  <c r="G26" i="21"/>
  <c r="H26" i="21"/>
  <c r="I26" i="21"/>
  <c r="K26" i="21"/>
  <c r="L26" i="21"/>
  <c r="N26" i="21"/>
  <c r="O26" i="21"/>
  <c r="P26" i="21"/>
  <c r="Q26" i="21"/>
  <c r="S26" i="21"/>
  <c r="T26" i="21"/>
  <c r="V26" i="21"/>
  <c r="X26" i="21"/>
  <c r="Y26" i="21"/>
  <c r="Z26" i="21"/>
  <c r="AA26" i="21"/>
  <c r="AB26" i="21"/>
  <c r="AC26" i="21"/>
  <c r="AF26" i="21"/>
  <c r="AG26" i="21"/>
  <c r="AH26" i="21"/>
  <c r="AI26" i="21"/>
  <c r="AJ26" i="21"/>
  <c r="AL26" i="21"/>
  <c r="AM26" i="21"/>
  <c r="AN26" i="21"/>
  <c r="AO26" i="21"/>
  <c r="AP26" i="21"/>
  <c r="AQ26" i="21"/>
  <c r="AR26" i="21"/>
  <c r="AS26" i="21"/>
  <c r="AT26" i="21"/>
  <c r="AU26" i="21"/>
  <c r="AV26" i="21"/>
  <c r="AW26" i="21"/>
  <c r="AX26" i="21"/>
  <c r="AY26" i="21"/>
  <c r="BB26" i="21"/>
  <c r="BC26" i="21"/>
  <c r="BD26" i="21"/>
  <c r="BE26" i="21"/>
  <c r="BF26" i="21"/>
  <c r="BG26" i="21"/>
  <c r="BH26" i="21"/>
  <c r="BI26" i="21"/>
  <c r="BJ26" i="21"/>
  <c r="BK26" i="21"/>
  <c r="BL26" i="21"/>
  <c r="BM26" i="21"/>
  <c r="BN26" i="21"/>
  <c r="BO26" i="21"/>
  <c r="D27" i="21"/>
  <c r="F27" i="21"/>
  <c r="G27" i="21"/>
  <c r="H27" i="21"/>
  <c r="I27" i="21"/>
  <c r="K27" i="21"/>
  <c r="L27" i="21"/>
  <c r="N27" i="21"/>
  <c r="O27" i="21"/>
  <c r="P27" i="21"/>
  <c r="Q27" i="21"/>
  <c r="S27" i="21"/>
  <c r="T27" i="21"/>
  <c r="V27" i="21"/>
  <c r="X27" i="21"/>
  <c r="Y27" i="21"/>
  <c r="Z27" i="21"/>
  <c r="AA27" i="21"/>
  <c r="AB27" i="21"/>
  <c r="AC27" i="21"/>
  <c r="AF27" i="21"/>
  <c r="AG27" i="21"/>
  <c r="AH27" i="21"/>
  <c r="AI27" i="21"/>
  <c r="AJ27" i="21"/>
  <c r="AL27" i="21"/>
  <c r="AM27" i="21"/>
  <c r="AN27" i="21"/>
  <c r="AO27" i="21"/>
  <c r="AP27" i="21"/>
  <c r="AQ27" i="21"/>
  <c r="AR27" i="21"/>
  <c r="AS27" i="21"/>
  <c r="AT27" i="21"/>
  <c r="AU27" i="21"/>
  <c r="AV27" i="21"/>
  <c r="AW27" i="21"/>
  <c r="AX27" i="21"/>
  <c r="AY27" i="21"/>
  <c r="BB27" i="21"/>
  <c r="BC27" i="21"/>
  <c r="BD27" i="21"/>
  <c r="BE27" i="21"/>
  <c r="BF27" i="21"/>
  <c r="BG27" i="21"/>
  <c r="BH27" i="21"/>
  <c r="BI27" i="21"/>
  <c r="BJ27" i="21"/>
  <c r="BK27" i="21"/>
  <c r="BL27" i="21"/>
  <c r="BM27" i="21"/>
  <c r="BN27" i="21"/>
  <c r="BO27" i="21"/>
  <c r="D28" i="21"/>
  <c r="F28" i="21"/>
  <c r="G28" i="21"/>
  <c r="H28" i="21"/>
  <c r="I28" i="21"/>
  <c r="K28" i="21"/>
  <c r="L28" i="21"/>
  <c r="N28" i="21"/>
  <c r="O28" i="21"/>
  <c r="P28" i="21"/>
  <c r="Q28" i="21"/>
  <c r="S28" i="21"/>
  <c r="T28" i="21"/>
  <c r="V28" i="21"/>
  <c r="X28" i="21"/>
  <c r="Y28" i="21"/>
  <c r="Z28" i="21"/>
  <c r="AA28" i="21"/>
  <c r="AB28" i="21"/>
  <c r="AC28" i="21"/>
  <c r="AF28" i="21"/>
  <c r="AG28" i="21"/>
  <c r="AH28" i="21"/>
  <c r="AI28" i="21"/>
  <c r="AJ28" i="21"/>
  <c r="AL28" i="21"/>
  <c r="AM28" i="21"/>
  <c r="AN28" i="21"/>
  <c r="AO28" i="21"/>
  <c r="AP28" i="21"/>
  <c r="AQ28" i="21"/>
  <c r="AR28" i="21"/>
  <c r="AS28" i="21"/>
  <c r="AT28" i="21"/>
  <c r="AU28" i="21"/>
  <c r="AV28" i="21"/>
  <c r="AW28" i="21"/>
  <c r="AX28" i="21"/>
  <c r="AY28" i="21"/>
  <c r="BB28" i="21"/>
  <c r="BC28" i="21"/>
  <c r="BD28" i="21"/>
  <c r="BE28" i="21"/>
  <c r="BF28" i="21"/>
  <c r="BG28" i="21"/>
  <c r="BH28" i="21"/>
  <c r="BI28" i="21"/>
  <c r="BJ28" i="21"/>
  <c r="BK28" i="21"/>
  <c r="BL28" i="21"/>
  <c r="BM28" i="21"/>
  <c r="BN28" i="21"/>
  <c r="BO28" i="21"/>
  <c r="D29" i="21"/>
  <c r="F29" i="21"/>
  <c r="G29" i="21"/>
  <c r="H29" i="21"/>
  <c r="I29" i="21"/>
  <c r="K29" i="21"/>
  <c r="L29" i="21"/>
  <c r="N29" i="21"/>
  <c r="O29" i="21"/>
  <c r="P29" i="21"/>
  <c r="Q29" i="21"/>
  <c r="S29" i="21"/>
  <c r="T29" i="21"/>
  <c r="V29" i="21"/>
  <c r="X29" i="21"/>
  <c r="Y29" i="21"/>
  <c r="Z29" i="21"/>
  <c r="AA29" i="21"/>
  <c r="AB29" i="21"/>
  <c r="AC29" i="21"/>
  <c r="AF29" i="21"/>
  <c r="AG29" i="21"/>
  <c r="AH29" i="21"/>
  <c r="AI29" i="21"/>
  <c r="AJ29" i="21"/>
  <c r="AL29" i="21"/>
  <c r="AM29" i="21"/>
  <c r="AN29" i="21"/>
  <c r="AO29" i="21"/>
  <c r="AP29" i="21"/>
  <c r="AQ29" i="21"/>
  <c r="AR29" i="21"/>
  <c r="AS29" i="21"/>
  <c r="AT29" i="21"/>
  <c r="AU29" i="21"/>
  <c r="AV29" i="21"/>
  <c r="AW29" i="21"/>
  <c r="AX29" i="21"/>
  <c r="AY29" i="21"/>
  <c r="BB29" i="21"/>
  <c r="BC29" i="21"/>
  <c r="BD29" i="21"/>
  <c r="BE29" i="21"/>
  <c r="BF29" i="21"/>
  <c r="BG29" i="21"/>
  <c r="BH29" i="21"/>
  <c r="BI29" i="21"/>
  <c r="BJ29" i="21"/>
  <c r="BK29" i="21"/>
  <c r="BL29" i="21"/>
  <c r="BM29" i="21"/>
  <c r="BN29" i="21"/>
  <c r="BO29" i="21"/>
  <c r="D30" i="21"/>
  <c r="F30" i="21"/>
  <c r="G30" i="21"/>
  <c r="H30" i="21"/>
  <c r="I30" i="21"/>
  <c r="K30" i="21"/>
  <c r="L30" i="21"/>
  <c r="N30" i="21"/>
  <c r="O30" i="21"/>
  <c r="P30" i="21"/>
  <c r="Q30" i="21"/>
  <c r="S30" i="21"/>
  <c r="T30" i="21"/>
  <c r="V30" i="21"/>
  <c r="X30" i="21"/>
  <c r="Y30" i="21"/>
  <c r="Z30" i="21"/>
  <c r="AA30" i="21"/>
  <c r="AB30" i="21"/>
  <c r="AC30" i="21"/>
  <c r="AF30" i="21"/>
  <c r="AG30" i="21"/>
  <c r="AH30" i="21"/>
  <c r="AI30" i="21"/>
  <c r="AJ30" i="21"/>
  <c r="AL30" i="21"/>
  <c r="AM30" i="21"/>
  <c r="AN30" i="21"/>
  <c r="AO30" i="21"/>
  <c r="AP30" i="21"/>
  <c r="AQ30" i="21"/>
  <c r="AR30" i="21"/>
  <c r="AS30" i="21"/>
  <c r="AT30" i="21"/>
  <c r="AU30" i="21"/>
  <c r="AV30" i="21"/>
  <c r="AW30" i="21"/>
  <c r="AX30" i="21"/>
  <c r="AY30" i="21"/>
  <c r="BB30" i="21"/>
  <c r="BC30" i="21"/>
  <c r="BD30" i="21"/>
  <c r="BE30" i="21"/>
  <c r="BF30" i="21"/>
  <c r="BG30" i="21"/>
  <c r="BH30" i="21"/>
  <c r="BI30" i="21"/>
  <c r="BJ30" i="21"/>
  <c r="BK30" i="21"/>
  <c r="BL30" i="21"/>
  <c r="BM30" i="21"/>
  <c r="BN30" i="21"/>
  <c r="BO30" i="21"/>
  <c r="D31" i="21"/>
  <c r="F31" i="21"/>
  <c r="G31" i="21"/>
  <c r="H31" i="21"/>
  <c r="I31" i="21"/>
  <c r="K31" i="21"/>
  <c r="L31" i="21"/>
  <c r="N31" i="21"/>
  <c r="O31" i="21"/>
  <c r="P31" i="21"/>
  <c r="Q31" i="21"/>
  <c r="S31" i="21"/>
  <c r="T31" i="21"/>
  <c r="V31" i="21"/>
  <c r="X31" i="21"/>
  <c r="Y31" i="21"/>
  <c r="Z31" i="21"/>
  <c r="AA31" i="21"/>
  <c r="AB31" i="21"/>
  <c r="AC31" i="21"/>
  <c r="AF31" i="21"/>
  <c r="AG31" i="21"/>
  <c r="AH31" i="21"/>
  <c r="AI31" i="21"/>
  <c r="AJ31" i="21"/>
  <c r="AL31" i="21"/>
  <c r="AM31" i="21"/>
  <c r="AN31" i="21"/>
  <c r="AO31" i="21"/>
  <c r="AP31" i="21"/>
  <c r="AQ31" i="21"/>
  <c r="AR31" i="21"/>
  <c r="AS31" i="21"/>
  <c r="AT31" i="21"/>
  <c r="AU31" i="21"/>
  <c r="AV31" i="21"/>
  <c r="AW31" i="21"/>
  <c r="AX31" i="21"/>
  <c r="AY31" i="21"/>
  <c r="BB31" i="21"/>
  <c r="BC31" i="21"/>
  <c r="BD31" i="21"/>
  <c r="BE31" i="21"/>
  <c r="BF31" i="21"/>
  <c r="BG31" i="21"/>
  <c r="BH31" i="21"/>
  <c r="BI31" i="21"/>
  <c r="BJ31" i="21"/>
  <c r="BK31" i="21"/>
  <c r="BL31" i="21"/>
  <c r="BM31" i="21"/>
  <c r="BN31" i="21"/>
  <c r="BO31" i="21"/>
  <c r="D32" i="21"/>
  <c r="F32" i="21"/>
  <c r="G32" i="21"/>
  <c r="H32" i="21"/>
  <c r="I32" i="21"/>
  <c r="K32" i="21"/>
  <c r="L32" i="21"/>
  <c r="N32" i="21"/>
  <c r="O32" i="21"/>
  <c r="P32" i="21"/>
  <c r="Q32" i="21"/>
  <c r="S32" i="21"/>
  <c r="T32" i="21"/>
  <c r="V32" i="21"/>
  <c r="X32" i="21"/>
  <c r="Y32" i="21"/>
  <c r="Z32" i="21"/>
  <c r="AA32" i="21"/>
  <c r="AB32" i="21"/>
  <c r="AC32" i="21"/>
  <c r="AF32" i="21"/>
  <c r="AG32" i="21"/>
  <c r="AH32" i="21"/>
  <c r="AI32" i="21"/>
  <c r="AJ32" i="21"/>
  <c r="AL32" i="21"/>
  <c r="AM32" i="21"/>
  <c r="AN32" i="21"/>
  <c r="AO32" i="21"/>
  <c r="AP32" i="21"/>
  <c r="AQ32" i="21"/>
  <c r="AR32" i="21"/>
  <c r="AS32" i="21"/>
  <c r="AT32" i="21"/>
  <c r="AU32" i="21"/>
  <c r="AV32" i="21"/>
  <c r="AW32" i="21"/>
  <c r="AX32" i="21"/>
  <c r="AY32" i="21"/>
  <c r="BB32" i="21"/>
  <c r="BC32" i="21"/>
  <c r="BD32" i="21"/>
  <c r="BE32" i="21"/>
  <c r="BF32" i="21"/>
  <c r="BG32" i="21"/>
  <c r="BH32" i="21"/>
  <c r="BI32" i="21"/>
  <c r="BJ32" i="21"/>
  <c r="BK32" i="21"/>
  <c r="BL32" i="21"/>
  <c r="BM32" i="21"/>
  <c r="BN32" i="21"/>
  <c r="BO32" i="21"/>
  <c r="D33" i="21"/>
  <c r="F33" i="21"/>
  <c r="G33" i="21"/>
  <c r="H33" i="21"/>
  <c r="I33" i="21"/>
  <c r="K33" i="21"/>
  <c r="L33" i="21"/>
  <c r="N33" i="21"/>
  <c r="O33" i="21"/>
  <c r="P33" i="21"/>
  <c r="Q33" i="21"/>
  <c r="S33" i="21"/>
  <c r="T33" i="21"/>
  <c r="V33" i="21"/>
  <c r="X33" i="21"/>
  <c r="Y33" i="21"/>
  <c r="Z33" i="21"/>
  <c r="AA33" i="21"/>
  <c r="AB33" i="21"/>
  <c r="AC33" i="21"/>
  <c r="AF33" i="21"/>
  <c r="AG33" i="21"/>
  <c r="AH33" i="21"/>
  <c r="AI33" i="21"/>
  <c r="AJ33" i="21"/>
  <c r="AL33" i="21"/>
  <c r="AM33" i="21"/>
  <c r="AN33" i="21"/>
  <c r="AO33" i="21"/>
  <c r="AP33" i="21"/>
  <c r="AQ33" i="21"/>
  <c r="AR33" i="21"/>
  <c r="AS33" i="21"/>
  <c r="AT33" i="21"/>
  <c r="AU33" i="21"/>
  <c r="AV33" i="21"/>
  <c r="AW33" i="21"/>
  <c r="AX33" i="21"/>
  <c r="AY33" i="21"/>
  <c r="BB33" i="21"/>
  <c r="BC33" i="21"/>
  <c r="BD33" i="21"/>
  <c r="BE33" i="21"/>
  <c r="BF33" i="21"/>
  <c r="BG33" i="21"/>
  <c r="BH33" i="21"/>
  <c r="BI33" i="21"/>
  <c r="BJ33" i="21"/>
  <c r="BK33" i="21"/>
  <c r="BL33" i="21"/>
  <c r="BM33" i="21"/>
  <c r="BN33" i="21"/>
  <c r="BO33" i="21"/>
  <c r="D34" i="21"/>
  <c r="F34" i="21"/>
  <c r="G34" i="21"/>
  <c r="H34" i="21"/>
  <c r="I34" i="21"/>
  <c r="K34" i="21"/>
  <c r="L34" i="21"/>
  <c r="N34" i="21"/>
  <c r="O34" i="21"/>
  <c r="P34" i="21"/>
  <c r="Q34" i="21"/>
  <c r="S34" i="21"/>
  <c r="T34" i="21"/>
  <c r="V34" i="21"/>
  <c r="X34" i="21"/>
  <c r="Y34" i="21"/>
  <c r="Z34" i="21"/>
  <c r="AA34" i="21"/>
  <c r="AB34" i="21"/>
  <c r="AC34" i="21"/>
  <c r="AF34" i="21"/>
  <c r="AG34" i="21"/>
  <c r="AH34" i="21"/>
  <c r="AI34" i="21"/>
  <c r="AJ34" i="21"/>
  <c r="AL34" i="21"/>
  <c r="AM34" i="21"/>
  <c r="AN34" i="21"/>
  <c r="AO34" i="21"/>
  <c r="AP34" i="21"/>
  <c r="AQ34" i="21"/>
  <c r="AR34" i="21"/>
  <c r="AS34" i="21"/>
  <c r="AT34" i="21"/>
  <c r="AU34" i="21"/>
  <c r="AV34" i="21"/>
  <c r="AW34" i="21"/>
  <c r="AX34" i="21"/>
  <c r="AY34" i="21"/>
  <c r="BB34" i="21"/>
  <c r="BC34" i="21"/>
  <c r="BD34" i="21"/>
  <c r="BE34" i="21"/>
  <c r="BF34" i="21"/>
  <c r="BG34" i="21"/>
  <c r="BH34" i="21"/>
  <c r="BI34" i="21"/>
  <c r="BJ34" i="21"/>
  <c r="BK34" i="21"/>
  <c r="BL34" i="21"/>
  <c r="BM34" i="21"/>
  <c r="BN34" i="21"/>
  <c r="BO34" i="21"/>
  <c r="D35" i="21"/>
  <c r="F35" i="21"/>
  <c r="G35" i="21"/>
  <c r="H35" i="21"/>
  <c r="I35" i="21"/>
  <c r="K35" i="21"/>
  <c r="L35" i="21"/>
  <c r="N35" i="21"/>
  <c r="O35" i="21"/>
  <c r="P35" i="21"/>
  <c r="Q35" i="21"/>
  <c r="S35" i="21"/>
  <c r="T35" i="21"/>
  <c r="V35" i="21"/>
  <c r="X35" i="21"/>
  <c r="Y35" i="21"/>
  <c r="Z35" i="21"/>
  <c r="AA35" i="21"/>
  <c r="AB35" i="21"/>
  <c r="AC35" i="21"/>
  <c r="AF35" i="21"/>
  <c r="AG35" i="21"/>
  <c r="AH35" i="21"/>
  <c r="AI35" i="21"/>
  <c r="AJ35" i="21"/>
  <c r="AL35" i="21"/>
  <c r="AM35" i="21"/>
  <c r="AN35" i="21"/>
  <c r="AO35" i="21"/>
  <c r="AP35" i="21"/>
  <c r="AQ35" i="21"/>
  <c r="AR35" i="21"/>
  <c r="AS35" i="21"/>
  <c r="AT35" i="21"/>
  <c r="AU35" i="21"/>
  <c r="AV35" i="21"/>
  <c r="AW35" i="21"/>
  <c r="AX35" i="21"/>
  <c r="AY35" i="21"/>
  <c r="BB35" i="21"/>
  <c r="BC35" i="21"/>
  <c r="BD35" i="21"/>
  <c r="BE35" i="21"/>
  <c r="BF35" i="21"/>
  <c r="BG35" i="21"/>
  <c r="BH35" i="21"/>
  <c r="BI35" i="21"/>
  <c r="BJ35" i="21"/>
  <c r="BK35" i="21"/>
  <c r="BL35" i="21"/>
  <c r="BM35" i="21"/>
  <c r="BN35" i="21"/>
  <c r="BO35" i="21"/>
  <c r="D36" i="21"/>
  <c r="F36" i="21"/>
  <c r="G36" i="21"/>
  <c r="H36" i="21"/>
  <c r="I36" i="21"/>
  <c r="K36" i="21"/>
  <c r="L36" i="21"/>
  <c r="N36" i="21"/>
  <c r="O36" i="21"/>
  <c r="P36" i="21"/>
  <c r="Q36" i="21"/>
  <c r="S36" i="21"/>
  <c r="T36" i="21"/>
  <c r="V36" i="21"/>
  <c r="X36" i="21"/>
  <c r="Y36" i="21"/>
  <c r="Z36" i="21"/>
  <c r="AA36" i="21"/>
  <c r="AB36" i="21"/>
  <c r="AC36" i="21"/>
  <c r="AF36" i="21"/>
  <c r="AG36" i="21"/>
  <c r="AH36" i="21"/>
  <c r="AI36" i="21"/>
  <c r="AJ36" i="21"/>
  <c r="AL36" i="21"/>
  <c r="AM36" i="21"/>
  <c r="AN36" i="21"/>
  <c r="AO36" i="21"/>
  <c r="AP36" i="21"/>
  <c r="AQ36" i="21"/>
  <c r="AR36" i="21"/>
  <c r="AS36" i="21"/>
  <c r="AT36" i="21"/>
  <c r="AU36" i="21"/>
  <c r="AV36" i="21"/>
  <c r="AW36" i="21"/>
  <c r="AX36" i="21"/>
  <c r="AY36" i="21"/>
  <c r="BB36" i="21"/>
  <c r="BC36" i="21"/>
  <c r="BD36" i="21"/>
  <c r="BE36" i="21"/>
  <c r="BF36" i="21"/>
  <c r="BG36" i="21"/>
  <c r="BH36" i="21"/>
  <c r="BI36" i="21"/>
  <c r="BJ36" i="21"/>
  <c r="BK36" i="21"/>
  <c r="BL36" i="21"/>
  <c r="BM36" i="21"/>
  <c r="BN36" i="21"/>
  <c r="BO36" i="21"/>
  <c r="D37" i="21"/>
  <c r="F37" i="21"/>
  <c r="G37" i="21"/>
  <c r="H37" i="21"/>
  <c r="I37" i="21"/>
  <c r="K37" i="21"/>
  <c r="L37" i="21"/>
  <c r="N37" i="21"/>
  <c r="O37" i="21"/>
  <c r="P37" i="21"/>
  <c r="Q37" i="21"/>
  <c r="S37" i="21"/>
  <c r="T37" i="21"/>
  <c r="V37" i="21"/>
  <c r="X37" i="21"/>
  <c r="Y37" i="21"/>
  <c r="Z37" i="21"/>
  <c r="AA37" i="21"/>
  <c r="AB37" i="21"/>
  <c r="AC37" i="21"/>
  <c r="AF37" i="21"/>
  <c r="AG37" i="21"/>
  <c r="AH37" i="21"/>
  <c r="AI37" i="21"/>
  <c r="AJ37" i="21"/>
  <c r="AL37" i="21"/>
  <c r="AM37" i="21"/>
  <c r="AN37" i="21"/>
  <c r="AO37" i="21"/>
  <c r="AP37" i="21"/>
  <c r="AQ37" i="21"/>
  <c r="AR37" i="21"/>
  <c r="AS37" i="21"/>
  <c r="AT37" i="21"/>
  <c r="AU37" i="21"/>
  <c r="AV37" i="21"/>
  <c r="AW37" i="21"/>
  <c r="AX37" i="21"/>
  <c r="AY37" i="21"/>
  <c r="BB37" i="21"/>
  <c r="BC37" i="21"/>
  <c r="BD37" i="21"/>
  <c r="BE37" i="21"/>
  <c r="BF37" i="21"/>
  <c r="BG37" i="21"/>
  <c r="BH37" i="21"/>
  <c r="BI37" i="21"/>
  <c r="BJ37" i="21"/>
  <c r="BK37" i="21"/>
  <c r="BL37" i="21"/>
  <c r="BM37" i="21"/>
  <c r="BN37" i="21"/>
  <c r="BO37" i="21"/>
  <c r="D38" i="21"/>
  <c r="F38" i="21"/>
  <c r="G38" i="21"/>
  <c r="H38" i="21"/>
  <c r="I38" i="21"/>
  <c r="K38" i="21"/>
  <c r="L38" i="21"/>
  <c r="N38" i="21"/>
  <c r="O38" i="21"/>
  <c r="P38" i="21"/>
  <c r="Q38" i="21"/>
  <c r="S38" i="21"/>
  <c r="T38" i="21"/>
  <c r="V38" i="21"/>
  <c r="X38" i="21"/>
  <c r="Y38" i="21"/>
  <c r="Z38" i="21"/>
  <c r="AA38" i="21"/>
  <c r="AB38" i="21"/>
  <c r="AC38" i="21"/>
  <c r="AF38" i="21"/>
  <c r="AG38" i="21"/>
  <c r="AH38" i="21"/>
  <c r="AI38" i="21"/>
  <c r="AJ38" i="21"/>
  <c r="AL38" i="21"/>
  <c r="AM38" i="21"/>
  <c r="AN38" i="21"/>
  <c r="AO38" i="21"/>
  <c r="AP38" i="21"/>
  <c r="AQ38" i="21"/>
  <c r="AR38" i="21"/>
  <c r="AS38" i="21"/>
  <c r="AT38" i="21"/>
  <c r="AU38" i="21"/>
  <c r="AV38" i="21"/>
  <c r="AW38" i="21"/>
  <c r="AX38" i="21"/>
  <c r="AY38" i="21"/>
  <c r="BB38" i="21"/>
  <c r="BC38" i="21"/>
  <c r="BD38" i="21"/>
  <c r="BE38" i="21"/>
  <c r="BF38" i="21"/>
  <c r="BG38" i="21"/>
  <c r="BH38" i="21"/>
  <c r="BI38" i="21"/>
  <c r="BJ38" i="21"/>
  <c r="BK38" i="21"/>
  <c r="BL38" i="21"/>
  <c r="BM38" i="21"/>
  <c r="BN38" i="21"/>
  <c r="BO38" i="21"/>
  <c r="D39" i="21"/>
  <c r="F39" i="21"/>
  <c r="G39" i="21"/>
  <c r="H39" i="21"/>
  <c r="I39" i="21"/>
  <c r="K39" i="21"/>
  <c r="L39" i="21"/>
  <c r="N39" i="21"/>
  <c r="O39" i="21"/>
  <c r="P39" i="21"/>
  <c r="Q39" i="21"/>
  <c r="S39" i="21"/>
  <c r="T39" i="21"/>
  <c r="V39" i="21"/>
  <c r="X39" i="21"/>
  <c r="Y39" i="21"/>
  <c r="Z39" i="21"/>
  <c r="AA39" i="21"/>
  <c r="AB39" i="21"/>
  <c r="AC39" i="21"/>
  <c r="AF39" i="21"/>
  <c r="AG39" i="21"/>
  <c r="AH39" i="21"/>
  <c r="AI39" i="21"/>
  <c r="AJ39" i="21"/>
  <c r="AL39" i="21"/>
  <c r="AM39" i="21"/>
  <c r="AN39" i="21"/>
  <c r="AO39" i="21"/>
  <c r="AP39" i="21"/>
  <c r="AQ39" i="21"/>
  <c r="AR39" i="21"/>
  <c r="AS39" i="21"/>
  <c r="AT39" i="21"/>
  <c r="AU39" i="21"/>
  <c r="AV39" i="21"/>
  <c r="AW39" i="21"/>
  <c r="AX39" i="21"/>
  <c r="AY39" i="21"/>
  <c r="BB39" i="21"/>
  <c r="BC39" i="21"/>
  <c r="BD39" i="21"/>
  <c r="BE39" i="21"/>
  <c r="BF39" i="21"/>
  <c r="BG39" i="21"/>
  <c r="BH39" i="21"/>
  <c r="BI39" i="21"/>
  <c r="BJ39" i="21"/>
  <c r="BK39" i="21"/>
  <c r="BL39" i="21"/>
  <c r="BM39" i="21"/>
  <c r="BN39" i="21"/>
  <c r="BO39" i="21"/>
  <c r="D40" i="21"/>
  <c r="F40" i="21"/>
  <c r="G40" i="21"/>
  <c r="H40" i="21"/>
  <c r="I40" i="21"/>
  <c r="K40" i="21"/>
  <c r="L40" i="21"/>
  <c r="N40" i="21"/>
  <c r="O40" i="21"/>
  <c r="P40" i="21"/>
  <c r="Q40" i="21"/>
  <c r="S40" i="21"/>
  <c r="T40" i="21"/>
  <c r="V40" i="21"/>
  <c r="X40" i="21"/>
  <c r="Y40" i="21"/>
  <c r="Z40" i="21"/>
  <c r="AA40" i="21"/>
  <c r="AB40" i="21"/>
  <c r="AC40" i="21"/>
  <c r="AF40" i="21"/>
  <c r="AG40" i="21"/>
  <c r="AH40" i="21"/>
  <c r="AI40" i="21"/>
  <c r="AJ40" i="21"/>
  <c r="AL40" i="21"/>
  <c r="AM40" i="21"/>
  <c r="AN40" i="21"/>
  <c r="AO40" i="21"/>
  <c r="AP40" i="21"/>
  <c r="AQ40" i="21"/>
  <c r="AR40" i="21"/>
  <c r="AS40" i="21"/>
  <c r="AT40" i="21"/>
  <c r="AU40" i="21"/>
  <c r="AV40" i="21"/>
  <c r="AW40" i="21"/>
  <c r="AX40" i="21"/>
  <c r="AY40" i="21"/>
  <c r="BB40" i="21"/>
  <c r="BC40" i="21"/>
  <c r="BD40" i="21"/>
  <c r="BE40" i="21"/>
  <c r="BF40" i="21"/>
  <c r="BG40" i="21"/>
  <c r="BH40" i="21"/>
  <c r="BI40" i="21"/>
  <c r="BJ40" i="21"/>
  <c r="BK40" i="21"/>
  <c r="BL40" i="21"/>
  <c r="BM40" i="21"/>
  <c r="BN40" i="21"/>
  <c r="BO40" i="21"/>
  <c r="D41" i="21"/>
  <c r="F41" i="21"/>
  <c r="G41" i="21"/>
  <c r="H41" i="21"/>
  <c r="I41" i="21"/>
  <c r="K41" i="21"/>
  <c r="L41" i="21"/>
  <c r="N41" i="21"/>
  <c r="O41" i="21"/>
  <c r="P41" i="21"/>
  <c r="Q41" i="21"/>
  <c r="S41" i="21"/>
  <c r="T41" i="21"/>
  <c r="V41" i="21"/>
  <c r="X41" i="21"/>
  <c r="Y41" i="21"/>
  <c r="Z41" i="21"/>
  <c r="AA41" i="21"/>
  <c r="AB41" i="21"/>
  <c r="AC41" i="21"/>
  <c r="AF41" i="21"/>
  <c r="AG41" i="21"/>
  <c r="AH41" i="21"/>
  <c r="AI41" i="21"/>
  <c r="AJ41" i="21"/>
  <c r="AL41" i="21"/>
  <c r="AM41" i="21"/>
  <c r="AN41" i="21"/>
  <c r="AO41" i="21"/>
  <c r="AP41" i="21"/>
  <c r="AQ41" i="21"/>
  <c r="AR41" i="21"/>
  <c r="AS41" i="21"/>
  <c r="AT41" i="21"/>
  <c r="AU41" i="21"/>
  <c r="AV41" i="21"/>
  <c r="AW41" i="21"/>
  <c r="AX41" i="21"/>
  <c r="AY41" i="21"/>
  <c r="BB41" i="21"/>
  <c r="BC41" i="21"/>
  <c r="BD41" i="21"/>
  <c r="BE41" i="21"/>
  <c r="BF41" i="21"/>
  <c r="BG41" i="21"/>
  <c r="BH41" i="21"/>
  <c r="BI41" i="21"/>
  <c r="BJ41" i="21"/>
  <c r="BK41" i="21"/>
  <c r="BL41" i="21"/>
  <c r="BM41" i="21"/>
  <c r="BN41" i="21"/>
  <c r="BO41" i="21"/>
  <c r="D42" i="21"/>
  <c r="F42" i="21"/>
  <c r="G42" i="21"/>
  <c r="H42" i="21"/>
  <c r="I42" i="21"/>
  <c r="K42" i="21"/>
  <c r="L42" i="21"/>
  <c r="N42" i="21"/>
  <c r="O42" i="21"/>
  <c r="P42" i="21"/>
  <c r="Q42" i="21"/>
  <c r="S42" i="21"/>
  <c r="T42" i="21"/>
  <c r="V42" i="21"/>
  <c r="X42" i="21"/>
  <c r="Y42" i="21"/>
  <c r="Z42" i="21"/>
  <c r="AA42" i="21"/>
  <c r="AB42" i="21"/>
  <c r="AC42" i="21"/>
  <c r="AF42" i="21"/>
  <c r="AG42" i="21"/>
  <c r="AH42" i="21"/>
  <c r="AI42" i="21"/>
  <c r="AJ42" i="21"/>
  <c r="AL42" i="21"/>
  <c r="AM42" i="21"/>
  <c r="AN42" i="21"/>
  <c r="AO42" i="21"/>
  <c r="AP42" i="21"/>
  <c r="AQ42" i="21"/>
  <c r="AR42" i="21"/>
  <c r="AS42" i="21"/>
  <c r="AT42" i="21"/>
  <c r="AU42" i="21"/>
  <c r="AV42" i="21"/>
  <c r="AW42" i="21"/>
  <c r="AX42" i="21"/>
  <c r="AY42" i="21"/>
  <c r="BB42" i="21"/>
  <c r="BC42" i="21"/>
  <c r="BD42" i="21"/>
  <c r="BE42" i="21"/>
  <c r="BF42" i="21"/>
  <c r="BG42" i="21"/>
  <c r="BH42" i="21"/>
  <c r="BI42" i="21"/>
  <c r="BJ42" i="21"/>
  <c r="BK42" i="21"/>
  <c r="BL42" i="21"/>
  <c r="BM42" i="21"/>
  <c r="BN42" i="21"/>
  <c r="BO42" i="21"/>
  <c r="D43" i="21"/>
  <c r="F43" i="21"/>
  <c r="G43" i="21"/>
  <c r="H43" i="21"/>
  <c r="I43" i="21"/>
  <c r="K43" i="21"/>
  <c r="L43" i="21"/>
  <c r="N43" i="21"/>
  <c r="O43" i="21"/>
  <c r="P43" i="21"/>
  <c r="Q43" i="21"/>
  <c r="S43" i="21"/>
  <c r="T43" i="21"/>
  <c r="V43" i="21"/>
  <c r="X43" i="21"/>
  <c r="Y43" i="21"/>
  <c r="Z43" i="21"/>
  <c r="AA43" i="21"/>
  <c r="AB43" i="21"/>
  <c r="AC43" i="21"/>
  <c r="AF43" i="21"/>
  <c r="AG43" i="21"/>
  <c r="AH43" i="21"/>
  <c r="AI43" i="21"/>
  <c r="AJ43" i="21"/>
  <c r="AL43" i="21"/>
  <c r="AM43" i="21"/>
  <c r="AN43" i="21"/>
  <c r="AO43" i="21"/>
  <c r="AP43" i="21"/>
  <c r="AQ43" i="21"/>
  <c r="AR43" i="21"/>
  <c r="AS43" i="21"/>
  <c r="AT43" i="21"/>
  <c r="AU43" i="21"/>
  <c r="AV43" i="21"/>
  <c r="AW43" i="21"/>
  <c r="AX43" i="21"/>
  <c r="AY43" i="21"/>
  <c r="BB43" i="21"/>
  <c r="BC43" i="21"/>
  <c r="BD43" i="21"/>
  <c r="BE43" i="21"/>
  <c r="BF43" i="21"/>
  <c r="BG43" i="21"/>
  <c r="BH43" i="21"/>
  <c r="BI43" i="21"/>
  <c r="BJ43" i="21"/>
  <c r="BK43" i="21"/>
  <c r="BL43" i="21"/>
  <c r="BM43" i="21"/>
  <c r="BN43" i="21"/>
  <c r="BO43" i="21"/>
  <c r="D44" i="21"/>
  <c r="F44" i="21"/>
  <c r="G44" i="21"/>
  <c r="H44" i="21"/>
  <c r="I44" i="21"/>
  <c r="K44" i="21"/>
  <c r="L44" i="21"/>
  <c r="N44" i="21"/>
  <c r="O44" i="21"/>
  <c r="P44" i="21"/>
  <c r="Q44" i="21"/>
  <c r="S44" i="21"/>
  <c r="T44" i="21"/>
  <c r="V44" i="21"/>
  <c r="X44" i="21"/>
  <c r="Y44" i="21"/>
  <c r="Z44" i="21"/>
  <c r="AA44" i="21"/>
  <c r="AB44" i="21"/>
  <c r="AC44" i="21"/>
  <c r="AF44" i="21"/>
  <c r="AG44" i="21"/>
  <c r="AH44" i="21"/>
  <c r="AI44" i="21"/>
  <c r="AJ44" i="21"/>
  <c r="AL44" i="21"/>
  <c r="AM44" i="21"/>
  <c r="AN44" i="21"/>
  <c r="AO44" i="21"/>
  <c r="AP44" i="21"/>
  <c r="AQ44" i="21"/>
  <c r="AR44" i="21"/>
  <c r="AS44" i="21"/>
  <c r="AT44" i="21"/>
  <c r="AU44" i="21"/>
  <c r="AV44" i="21"/>
  <c r="AW44" i="21"/>
  <c r="AX44" i="21"/>
  <c r="AY44" i="21"/>
  <c r="BB44" i="21"/>
  <c r="BC44" i="21"/>
  <c r="BD44" i="21"/>
  <c r="BE44" i="21"/>
  <c r="BF44" i="21"/>
  <c r="BG44" i="21"/>
  <c r="BH44" i="21"/>
  <c r="BI44" i="21"/>
  <c r="BJ44" i="21"/>
  <c r="BK44" i="21"/>
  <c r="BL44" i="21"/>
  <c r="BM44" i="21"/>
  <c r="BN44" i="21"/>
  <c r="BO44" i="21"/>
  <c r="D45" i="21"/>
  <c r="F45" i="21"/>
  <c r="G45" i="21"/>
  <c r="H45" i="21"/>
  <c r="I45" i="21"/>
  <c r="K45" i="21"/>
  <c r="L45" i="21"/>
  <c r="N45" i="21"/>
  <c r="O45" i="21"/>
  <c r="P45" i="21"/>
  <c r="Q45" i="21"/>
  <c r="S45" i="21"/>
  <c r="T45" i="21"/>
  <c r="V45" i="21"/>
  <c r="X45" i="21"/>
  <c r="Y45" i="21"/>
  <c r="Z45" i="21"/>
  <c r="AA45" i="21"/>
  <c r="AB45" i="21"/>
  <c r="AC45" i="21"/>
  <c r="AF45" i="21"/>
  <c r="AG45" i="21"/>
  <c r="AH45" i="21"/>
  <c r="AI45" i="21"/>
  <c r="AJ45" i="21"/>
  <c r="AL45" i="21"/>
  <c r="AM45" i="21"/>
  <c r="AN45" i="21"/>
  <c r="AO45" i="21"/>
  <c r="AP45" i="21"/>
  <c r="AQ45" i="21"/>
  <c r="AR45" i="21"/>
  <c r="AS45" i="21"/>
  <c r="AT45" i="21"/>
  <c r="AU45" i="21"/>
  <c r="AV45" i="21"/>
  <c r="AW45" i="21"/>
  <c r="AX45" i="21"/>
  <c r="AY45" i="21"/>
  <c r="BB45" i="21"/>
  <c r="BC45" i="21"/>
  <c r="BD45" i="21"/>
  <c r="BE45" i="21"/>
  <c r="BF45" i="21"/>
  <c r="BG45" i="21"/>
  <c r="BH45" i="21"/>
  <c r="BI45" i="21"/>
  <c r="BJ45" i="21"/>
  <c r="BK45" i="21"/>
  <c r="BL45" i="21"/>
  <c r="BM45" i="21"/>
  <c r="BN45" i="21"/>
  <c r="BO45" i="21"/>
  <c r="D46" i="21"/>
  <c r="F46" i="21"/>
  <c r="G46" i="21"/>
  <c r="H46" i="21"/>
  <c r="I46" i="21"/>
  <c r="K46" i="21"/>
  <c r="L46" i="21"/>
  <c r="N46" i="21"/>
  <c r="O46" i="21"/>
  <c r="P46" i="21"/>
  <c r="Q46" i="21"/>
  <c r="S46" i="21"/>
  <c r="T46" i="21"/>
  <c r="V46" i="21"/>
  <c r="X46" i="21"/>
  <c r="Y46" i="21"/>
  <c r="Z46" i="21"/>
  <c r="AA46" i="21"/>
  <c r="AB46" i="21"/>
  <c r="AC46" i="21"/>
  <c r="AF46" i="21"/>
  <c r="AG46" i="21"/>
  <c r="AH46" i="21"/>
  <c r="AI46" i="21"/>
  <c r="AJ46" i="21"/>
  <c r="AL46" i="21"/>
  <c r="AM46" i="21"/>
  <c r="AN46" i="21"/>
  <c r="AO46" i="21"/>
  <c r="AP46" i="21"/>
  <c r="AQ46" i="21"/>
  <c r="AR46" i="21"/>
  <c r="AS46" i="21"/>
  <c r="AT46" i="21"/>
  <c r="AU46" i="21"/>
  <c r="AV46" i="21"/>
  <c r="AW46" i="21"/>
  <c r="AX46" i="21"/>
  <c r="AY46" i="21"/>
  <c r="BB46" i="21"/>
  <c r="BC46" i="21"/>
  <c r="BD46" i="21"/>
  <c r="BE46" i="21"/>
  <c r="BF46" i="21"/>
  <c r="BG46" i="21"/>
  <c r="BH46" i="21"/>
  <c r="BI46" i="21"/>
  <c r="BJ46" i="21"/>
  <c r="BK46" i="21"/>
  <c r="BL46" i="21"/>
  <c r="BM46" i="21"/>
  <c r="BN46" i="21"/>
  <c r="BO46" i="21"/>
  <c r="D47" i="21"/>
  <c r="F47" i="21"/>
  <c r="G47" i="21"/>
  <c r="H47" i="21"/>
  <c r="I47" i="21"/>
  <c r="K47" i="21"/>
  <c r="L47" i="21"/>
  <c r="N47" i="21"/>
  <c r="O47" i="21"/>
  <c r="P47" i="21"/>
  <c r="Q47" i="21"/>
  <c r="S47" i="21"/>
  <c r="T47" i="21"/>
  <c r="V47" i="21"/>
  <c r="X47" i="21"/>
  <c r="Y47" i="21"/>
  <c r="Z47" i="21"/>
  <c r="AA47" i="21"/>
  <c r="AB47" i="21"/>
  <c r="AC47" i="21"/>
  <c r="AF47" i="21"/>
  <c r="AG47" i="21"/>
  <c r="AH47" i="21"/>
  <c r="AI47" i="21"/>
  <c r="AJ47" i="21"/>
  <c r="AL47" i="21"/>
  <c r="AM47" i="21"/>
  <c r="AN47" i="21"/>
  <c r="AO47" i="21"/>
  <c r="AP47" i="21"/>
  <c r="AQ47" i="21"/>
  <c r="AR47" i="21"/>
  <c r="AS47" i="21"/>
  <c r="AT47" i="21"/>
  <c r="AU47" i="21"/>
  <c r="AV47" i="21"/>
  <c r="AW47" i="21"/>
  <c r="AX47" i="21"/>
  <c r="AY47" i="21"/>
  <c r="BB47" i="21"/>
  <c r="BC47" i="21"/>
  <c r="BD47" i="21"/>
  <c r="BE47" i="21"/>
  <c r="BF47" i="21"/>
  <c r="BG47" i="21"/>
  <c r="BH47" i="21"/>
  <c r="BI47" i="21"/>
  <c r="BJ47" i="21"/>
  <c r="BK47" i="21"/>
  <c r="BL47" i="21"/>
  <c r="BM47" i="21"/>
  <c r="BN47" i="21"/>
  <c r="BO47" i="21"/>
  <c r="D48" i="21"/>
  <c r="F48" i="21"/>
  <c r="G48" i="21"/>
  <c r="H48" i="21"/>
  <c r="I48" i="21"/>
  <c r="K48" i="21"/>
  <c r="L48" i="21"/>
  <c r="N48" i="21"/>
  <c r="O48" i="21"/>
  <c r="P48" i="21"/>
  <c r="Q48" i="21"/>
  <c r="S48" i="21"/>
  <c r="T48" i="21"/>
  <c r="V48" i="21"/>
  <c r="X48" i="21"/>
  <c r="Y48" i="21"/>
  <c r="Z48" i="21"/>
  <c r="AA48" i="21"/>
  <c r="AB48" i="21"/>
  <c r="AC48" i="21"/>
  <c r="AF48" i="21"/>
  <c r="AG48" i="21"/>
  <c r="AH48" i="21"/>
  <c r="AI48" i="21"/>
  <c r="AJ48" i="21"/>
  <c r="AL48" i="21"/>
  <c r="AM48" i="21"/>
  <c r="AN48" i="21"/>
  <c r="AO48" i="21"/>
  <c r="AP48" i="21"/>
  <c r="AQ48" i="21"/>
  <c r="AR48" i="21"/>
  <c r="AS48" i="21"/>
  <c r="AT48" i="21"/>
  <c r="AU48" i="21"/>
  <c r="AV48" i="21"/>
  <c r="AW48" i="21"/>
  <c r="AX48" i="21"/>
  <c r="AY48" i="21"/>
  <c r="BB48" i="21"/>
  <c r="BC48" i="21"/>
  <c r="BD48" i="21"/>
  <c r="BE48" i="21"/>
  <c r="BF48" i="21"/>
  <c r="BG48" i="21"/>
  <c r="BH48" i="21"/>
  <c r="BI48" i="21"/>
  <c r="BJ48" i="21"/>
  <c r="BK48" i="21"/>
  <c r="BL48" i="21"/>
  <c r="BM48" i="21"/>
  <c r="BN48" i="21"/>
  <c r="BO48" i="21"/>
  <c r="D49" i="21"/>
  <c r="F49" i="21"/>
  <c r="G49" i="21"/>
  <c r="H49" i="21"/>
  <c r="I49" i="21"/>
  <c r="K49" i="21"/>
  <c r="L49" i="21"/>
  <c r="N49" i="21"/>
  <c r="O49" i="21"/>
  <c r="P49" i="21"/>
  <c r="Q49" i="21"/>
  <c r="S49" i="21"/>
  <c r="T49" i="21"/>
  <c r="V49" i="21"/>
  <c r="X49" i="21"/>
  <c r="Y49" i="21"/>
  <c r="Z49" i="21"/>
  <c r="AA49" i="21"/>
  <c r="AB49" i="21"/>
  <c r="AC49" i="21"/>
  <c r="AF49" i="21"/>
  <c r="AG49" i="21"/>
  <c r="AH49" i="21"/>
  <c r="AI49" i="21"/>
  <c r="AJ49" i="21"/>
  <c r="AL49" i="21"/>
  <c r="AM49" i="21"/>
  <c r="AN49" i="21"/>
  <c r="AO49" i="21"/>
  <c r="AP49" i="21"/>
  <c r="AQ49" i="21"/>
  <c r="AR49" i="21"/>
  <c r="AS49" i="21"/>
  <c r="AT49" i="21"/>
  <c r="AU49" i="21"/>
  <c r="AV49" i="21"/>
  <c r="AW49" i="21"/>
  <c r="AX49" i="21"/>
  <c r="AY49" i="21"/>
  <c r="BB49" i="21"/>
  <c r="BC49" i="21"/>
  <c r="BD49" i="21"/>
  <c r="BE49" i="21"/>
  <c r="BF49" i="21"/>
  <c r="BG49" i="21"/>
  <c r="BH49" i="21"/>
  <c r="BI49" i="21"/>
  <c r="BJ49" i="21"/>
  <c r="BK49" i="21"/>
  <c r="BL49" i="21"/>
  <c r="BM49" i="21"/>
  <c r="BN49" i="21"/>
  <c r="BO49" i="21"/>
  <c r="D50" i="21"/>
  <c r="F50" i="21"/>
  <c r="G50" i="21"/>
  <c r="H50" i="21"/>
  <c r="I50" i="21"/>
  <c r="K50" i="21"/>
  <c r="L50" i="21"/>
  <c r="N50" i="21"/>
  <c r="O50" i="21"/>
  <c r="P50" i="21"/>
  <c r="Q50" i="21"/>
  <c r="S50" i="21"/>
  <c r="T50" i="21"/>
  <c r="V50" i="21"/>
  <c r="X50" i="21"/>
  <c r="Y50" i="21"/>
  <c r="Z50" i="21"/>
  <c r="AA50" i="21"/>
  <c r="AB50" i="21"/>
  <c r="AC50" i="21"/>
  <c r="AF50" i="21"/>
  <c r="AG50" i="21"/>
  <c r="AH50" i="21"/>
  <c r="AI50" i="21"/>
  <c r="AJ50" i="21"/>
  <c r="AL50" i="21"/>
  <c r="AM50" i="21"/>
  <c r="AN50" i="21"/>
  <c r="AO50" i="21"/>
  <c r="AP50" i="21"/>
  <c r="AQ50" i="21"/>
  <c r="AR50" i="21"/>
  <c r="AS50" i="21"/>
  <c r="AT50" i="21"/>
  <c r="AU50" i="21"/>
  <c r="AV50" i="21"/>
  <c r="AW50" i="21"/>
  <c r="AX50" i="21"/>
  <c r="AY50" i="21"/>
  <c r="BB50" i="21"/>
  <c r="BC50" i="21"/>
  <c r="BD50" i="21"/>
  <c r="BE50" i="21"/>
  <c r="BF50" i="21"/>
  <c r="BG50" i="21"/>
  <c r="BH50" i="21"/>
  <c r="BI50" i="21"/>
  <c r="BJ50" i="21"/>
  <c r="BK50" i="21"/>
  <c r="BL50" i="21"/>
  <c r="BM50" i="21"/>
  <c r="BN50" i="21"/>
  <c r="BO50" i="21"/>
  <c r="D51" i="21"/>
  <c r="F51" i="21"/>
  <c r="G51" i="21"/>
  <c r="H51" i="21"/>
  <c r="I51" i="21"/>
  <c r="K51" i="21"/>
  <c r="L51" i="21"/>
  <c r="N51" i="21"/>
  <c r="O51" i="21"/>
  <c r="P51" i="21"/>
  <c r="Q51" i="21"/>
  <c r="S51" i="21"/>
  <c r="T51" i="21"/>
  <c r="V51" i="21"/>
  <c r="X51" i="21"/>
  <c r="Y51" i="21"/>
  <c r="Z51" i="21"/>
  <c r="AA51" i="21"/>
  <c r="AB51" i="21"/>
  <c r="AC51" i="21"/>
  <c r="AF51" i="21"/>
  <c r="AG51" i="21"/>
  <c r="AH51" i="21"/>
  <c r="AI51" i="21"/>
  <c r="AJ51" i="21"/>
  <c r="AL51" i="21"/>
  <c r="AM51" i="21"/>
  <c r="AN51" i="21"/>
  <c r="AO51" i="21"/>
  <c r="AP51" i="21"/>
  <c r="AQ51" i="21"/>
  <c r="AR51" i="21"/>
  <c r="AS51" i="21"/>
  <c r="AT51" i="21"/>
  <c r="AU51" i="21"/>
  <c r="AV51" i="21"/>
  <c r="AW51" i="21"/>
  <c r="AX51" i="21"/>
  <c r="AY51" i="21"/>
  <c r="BB51" i="21"/>
  <c r="BC51" i="21"/>
  <c r="BD51" i="21"/>
  <c r="BE51" i="21"/>
  <c r="BF51" i="21"/>
  <c r="BG51" i="21"/>
  <c r="BH51" i="21"/>
  <c r="BI51" i="21"/>
  <c r="BJ51" i="21"/>
  <c r="BK51" i="21"/>
  <c r="BL51" i="21"/>
  <c r="BM51" i="21"/>
  <c r="BN51" i="21"/>
  <c r="BO51" i="21"/>
  <c r="D52" i="21"/>
  <c r="F52" i="21"/>
  <c r="G52" i="21"/>
  <c r="H52" i="21"/>
  <c r="I52" i="21"/>
  <c r="K52" i="21"/>
  <c r="L52" i="21"/>
  <c r="N52" i="21"/>
  <c r="O52" i="21"/>
  <c r="P52" i="21"/>
  <c r="Q52" i="21"/>
  <c r="S52" i="21"/>
  <c r="T52" i="21"/>
  <c r="V52" i="21"/>
  <c r="X52" i="21"/>
  <c r="Y52" i="21"/>
  <c r="Z52" i="21"/>
  <c r="AA52" i="21"/>
  <c r="AB52" i="21"/>
  <c r="AC52" i="21"/>
  <c r="AF52" i="21"/>
  <c r="AG52" i="21"/>
  <c r="AH52" i="21"/>
  <c r="AI52" i="21"/>
  <c r="AJ52" i="21"/>
  <c r="AL52" i="21"/>
  <c r="AM52" i="21"/>
  <c r="AN52" i="21"/>
  <c r="AO52" i="21"/>
  <c r="AP52" i="21"/>
  <c r="AQ52" i="21"/>
  <c r="AR52" i="21"/>
  <c r="AS52" i="21"/>
  <c r="AT52" i="21"/>
  <c r="AU52" i="21"/>
  <c r="AV52" i="21"/>
  <c r="AW52" i="21"/>
  <c r="AX52" i="21"/>
  <c r="AY52" i="21"/>
  <c r="BB52" i="21"/>
  <c r="BC52" i="21"/>
  <c r="BD52" i="21"/>
  <c r="BE52" i="21"/>
  <c r="BF52" i="21"/>
  <c r="BG52" i="21"/>
  <c r="BH52" i="21"/>
  <c r="BI52" i="21"/>
  <c r="BJ52" i="21"/>
  <c r="BK52" i="21"/>
  <c r="BL52" i="21"/>
  <c r="BM52" i="21"/>
  <c r="BN52" i="21"/>
  <c r="BO52" i="21"/>
  <c r="D53" i="21"/>
  <c r="F53" i="21"/>
  <c r="G53" i="21"/>
  <c r="H53" i="21"/>
  <c r="I53" i="21"/>
  <c r="K53" i="21"/>
  <c r="L53" i="21"/>
  <c r="N53" i="21"/>
  <c r="O53" i="21"/>
  <c r="P53" i="21"/>
  <c r="Q53" i="21"/>
  <c r="S53" i="21"/>
  <c r="T53" i="21"/>
  <c r="V53" i="21"/>
  <c r="X53" i="21"/>
  <c r="Y53" i="21"/>
  <c r="Z53" i="21"/>
  <c r="AA53" i="21"/>
  <c r="AB53" i="21"/>
  <c r="AC53" i="21"/>
  <c r="AF53" i="21"/>
  <c r="AG53" i="21"/>
  <c r="AH53" i="21"/>
  <c r="AI53" i="21"/>
  <c r="AJ53" i="21"/>
  <c r="AL53" i="21"/>
  <c r="AM53" i="21"/>
  <c r="AN53" i="21"/>
  <c r="AO53" i="21"/>
  <c r="AP53" i="21"/>
  <c r="AQ53" i="21"/>
  <c r="AR53" i="21"/>
  <c r="AS53" i="21"/>
  <c r="AT53" i="21"/>
  <c r="AU53" i="21"/>
  <c r="AV53" i="21"/>
  <c r="AW53" i="21"/>
  <c r="AX53" i="21"/>
  <c r="AY53" i="21"/>
  <c r="BB53" i="21"/>
  <c r="BC53" i="21"/>
  <c r="BD53" i="21"/>
  <c r="BE53" i="21"/>
  <c r="BF53" i="21"/>
  <c r="BG53" i="21"/>
  <c r="BH53" i="21"/>
  <c r="BI53" i="21"/>
  <c r="BJ53" i="21"/>
  <c r="BK53" i="21"/>
  <c r="BL53" i="21"/>
  <c r="BM53" i="21"/>
  <c r="BN53" i="21"/>
  <c r="BO53" i="21"/>
  <c r="D54" i="21"/>
  <c r="F54" i="21"/>
  <c r="G54" i="21"/>
  <c r="H54" i="21"/>
  <c r="I54" i="21"/>
  <c r="K54" i="21"/>
  <c r="L54" i="21"/>
  <c r="N54" i="21"/>
  <c r="O54" i="21"/>
  <c r="P54" i="21"/>
  <c r="Q54" i="21"/>
  <c r="S54" i="21"/>
  <c r="T54" i="21"/>
  <c r="V54" i="21"/>
  <c r="X54" i="21"/>
  <c r="Y54" i="21"/>
  <c r="Z54" i="21"/>
  <c r="AA54" i="21"/>
  <c r="AB54" i="21"/>
  <c r="AC54" i="21"/>
  <c r="AF54" i="21"/>
  <c r="AG54" i="21"/>
  <c r="AH54" i="21"/>
  <c r="AI54" i="21"/>
  <c r="AJ54" i="21"/>
  <c r="AL54" i="21"/>
  <c r="AM54" i="21"/>
  <c r="AN54" i="21"/>
  <c r="AO54" i="21"/>
  <c r="AP54" i="21"/>
  <c r="AQ54" i="21"/>
  <c r="AR54" i="21"/>
  <c r="AS54" i="21"/>
  <c r="AT54" i="21"/>
  <c r="AU54" i="21"/>
  <c r="AV54" i="21"/>
  <c r="AW54" i="21"/>
  <c r="AX54" i="21"/>
  <c r="AY54" i="21"/>
  <c r="BB54" i="21"/>
  <c r="BC54" i="21"/>
  <c r="BD54" i="21"/>
  <c r="BE54" i="21"/>
  <c r="BF54" i="21"/>
  <c r="BG54" i="21"/>
  <c r="BH54" i="21"/>
  <c r="BI54" i="21"/>
  <c r="BJ54" i="21"/>
  <c r="BK54" i="21"/>
  <c r="BL54" i="21"/>
  <c r="BM54" i="21"/>
  <c r="BN54" i="21"/>
  <c r="BO54" i="21"/>
  <c r="D55" i="21"/>
  <c r="F55" i="21"/>
  <c r="G55" i="21"/>
  <c r="H55" i="21"/>
  <c r="I55" i="21"/>
  <c r="K55" i="21"/>
  <c r="L55" i="21"/>
  <c r="N55" i="21"/>
  <c r="O55" i="21"/>
  <c r="P55" i="21"/>
  <c r="Q55" i="21"/>
  <c r="S55" i="21"/>
  <c r="T55" i="21"/>
  <c r="V55" i="21"/>
  <c r="X55" i="21"/>
  <c r="Y55" i="21"/>
  <c r="Z55" i="21"/>
  <c r="AA55" i="21"/>
  <c r="AB55" i="21"/>
  <c r="AC55" i="21"/>
  <c r="AF55" i="21"/>
  <c r="AG55" i="21"/>
  <c r="AH55" i="21"/>
  <c r="AI55" i="21"/>
  <c r="AJ55" i="21"/>
  <c r="AL55" i="21"/>
  <c r="AM55" i="21"/>
  <c r="AN55" i="21"/>
  <c r="AO55" i="21"/>
  <c r="AP55" i="21"/>
  <c r="AQ55" i="21"/>
  <c r="AR55" i="21"/>
  <c r="AS55" i="21"/>
  <c r="AT55" i="21"/>
  <c r="AU55" i="21"/>
  <c r="AV55" i="21"/>
  <c r="AW55" i="21"/>
  <c r="AX55" i="21"/>
  <c r="AY55" i="21"/>
  <c r="BB55" i="21"/>
  <c r="BC55" i="21"/>
  <c r="BD55" i="21"/>
  <c r="BE55" i="21"/>
  <c r="BF55" i="21"/>
  <c r="BG55" i="21"/>
  <c r="BH55" i="21"/>
  <c r="BI55" i="21"/>
  <c r="BJ55" i="21"/>
  <c r="BK55" i="21"/>
  <c r="BL55" i="21"/>
  <c r="BM55" i="21"/>
  <c r="BN55" i="21"/>
  <c r="BO55" i="21"/>
  <c r="D56" i="21"/>
  <c r="F56" i="21"/>
  <c r="G56" i="21"/>
  <c r="H56" i="21"/>
  <c r="I56" i="21"/>
  <c r="K56" i="21"/>
  <c r="L56" i="21"/>
  <c r="N56" i="21"/>
  <c r="O56" i="21"/>
  <c r="P56" i="21"/>
  <c r="Q56" i="21"/>
  <c r="S56" i="21"/>
  <c r="T56" i="21"/>
  <c r="V56" i="21"/>
  <c r="X56" i="21"/>
  <c r="Y56" i="21"/>
  <c r="Z56" i="21"/>
  <c r="AA56" i="21"/>
  <c r="AB56" i="21"/>
  <c r="AC56" i="21"/>
  <c r="AF56" i="21"/>
  <c r="AG56" i="21"/>
  <c r="AH56" i="21"/>
  <c r="AI56" i="21"/>
  <c r="AJ56" i="21"/>
  <c r="AL56" i="21"/>
  <c r="AM56" i="21"/>
  <c r="AN56" i="21"/>
  <c r="AO56" i="21"/>
  <c r="AP56" i="21"/>
  <c r="AQ56" i="21"/>
  <c r="AR56" i="21"/>
  <c r="AS56" i="21"/>
  <c r="AT56" i="21"/>
  <c r="AU56" i="21"/>
  <c r="AV56" i="21"/>
  <c r="AW56" i="21"/>
  <c r="AX56" i="21"/>
  <c r="AY56" i="21"/>
  <c r="BB56" i="21"/>
  <c r="BC56" i="21"/>
  <c r="BD56" i="21"/>
  <c r="BE56" i="21"/>
  <c r="BF56" i="21"/>
  <c r="BG56" i="21"/>
  <c r="BH56" i="21"/>
  <c r="BI56" i="21"/>
  <c r="BJ56" i="21"/>
  <c r="BK56" i="21"/>
  <c r="BL56" i="21"/>
  <c r="BM56" i="21"/>
  <c r="BN56" i="21"/>
  <c r="BO56" i="21"/>
  <c r="D57" i="21"/>
  <c r="F57" i="21"/>
  <c r="G57" i="21"/>
  <c r="H57" i="21"/>
  <c r="I57" i="21"/>
  <c r="K57" i="21"/>
  <c r="L57" i="21"/>
  <c r="N57" i="21"/>
  <c r="O57" i="21"/>
  <c r="P57" i="21"/>
  <c r="Q57" i="21"/>
  <c r="S57" i="21"/>
  <c r="T57" i="21"/>
  <c r="V57" i="21"/>
  <c r="X57" i="21"/>
  <c r="Y57" i="21"/>
  <c r="Z57" i="21"/>
  <c r="AA57" i="21"/>
  <c r="AB57" i="21"/>
  <c r="AC57" i="21"/>
  <c r="AF57" i="21"/>
  <c r="AG57" i="21"/>
  <c r="AH57" i="21"/>
  <c r="AI57" i="21"/>
  <c r="AJ57" i="21"/>
  <c r="AL57" i="21"/>
  <c r="AM57" i="21"/>
  <c r="AN57" i="21"/>
  <c r="AO57" i="21"/>
  <c r="AP57" i="21"/>
  <c r="AQ57" i="21"/>
  <c r="AR57" i="21"/>
  <c r="AS57" i="21"/>
  <c r="AT57" i="21"/>
  <c r="AU57" i="21"/>
  <c r="AV57" i="21"/>
  <c r="AW57" i="21"/>
  <c r="AX57" i="21"/>
  <c r="AY57" i="21"/>
  <c r="BB57" i="21"/>
  <c r="BC57" i="21"/>
  <c r="BD57" i="21"/>
  <c r="BE57" i="21"/>
  <c r="BF57" i="21"/>
  <c r="BG57" i="21"/>
  <c r="BH57" i="21"/>
  <c r="BI57" i="21"/>
  <c r="BJ57" i="21"/>
  <c r="BK57" i="21"/>
  <c r="BL57" i="21"/>
  <c r="BM57" i="21"/>
  <c r="BN57" i="21"/>
  <c r="BO57" i="21"/>
  <c r="D58" i="21"/>
  <c r="F58" i="21"/>
  <c r="G58" i="21"/>
  <c r="H58" i="21"/>
  <c r="I58" i="21"/>
  <c r="K58" i="21"/>
  <c r="L58" i="21"/>
  <c r="N58" i="21"/>
  <c r="O58" i="21"/>
  <c r="P58" i="21"/>
  <c r="Q58" i="21"/>
  <c r="S58" i="21"/>
  <c r="T58" i="21"/>
  <c r="V58" i="21"/>
  <c r="X58" i="21"/>
  <c r="Y58" i="21"/>
  <c r="Z58" i="21"/>
  <c r="AA58" i="21"/>
  <c r="AB58" i="21"/>
  <c r="AC58" i="21"/>
  <c r="AF58" i="21"/>
  <c r="AG58" i="21"/>
  <c r="AH58" i="21"/>
  <c r="AI58" i="21"/>
  <c r="AJ58" i="21"/>
  <c r="AL58" i="21"/>
  <c r="AM58" i="21"/>
  <c r="AN58" i="21"/>
  <c r="AO58" i="21"/>
  <c r="AP58" i="21"/>
  <c r="AQ58" i="21"/>
  <c r="AR58" i="21"/>
  <c r="AS58" i="21"/>
  <c r="AT58" i="21"/>
  <c r="AU58" i="21"/>
  <c r="AV58" i="21"/>
  <c r="AW58" i="21"/>
  <c r="AX58" i="21"/>
  <c r="AY58" i="21"/>
  <c r="BB58" i="21"/>
  <c r="BC58" i="21"/>
  <c r="BD58" i="21"/>
  <c r="BE58" i="21"/>
  <c r="BF58" i="21"/>
  <c r="BG58" i="21"/>
  <c r="BH58" i="21"/>
  <c r="BI58" i="21"/>
  <c r="BJ58" i="21"/>
  <c r="BK58" i="21"/>
  <c r="BL58" i="21"/>
  <c r="BM58" i="21"/>
  <c r="BN58" i="21"/>
  <c r="BO58" i="21"/>
  <c r="D59" i="21"/>
  <c r="F59" i="21"/>
  <c r="G59" i="21"/>
  <c r="H59" i="21"/>
  <c r="I59" i="21"/>
  <c r="K59" i="21"/>
  <c r="L59" i="21"/>
  <c r="N59" i="21"/>
  <c r="O59" i="21"/>
  <c r="P59" i="21"/>
  <c r="Q59" i="21"/>
  <c r="S59" i="21"/>
  <c r="T59" i="21"/>
  <c r="V59" i="21"/>
  <c r="X59" i="21"/>
  <c r="Y59" i="21"/>
  <c r="Z59" i="21"/>
  <c r="AA59" i="21"/>
  <c r="AB59" i="21"/>
  <c r="AC59" i="21"/>
  <c r="AF59" i="21"/>
  <c r="AG59" i="21"/>
  <c r="AH59" i="21"/>
  <c r="AI59" i="21"/>
  <c r="AJ59" i="21"/>
  <c r="AL59" i="21"/>
  <c r="AM59" i="21"/>
  <c r="AN59" i="21"/>
  <c r="AO59" i="21"/>
  <c r="AP59" i="21"/>
  <c r="AQ59" i="21"/>
  <c r="AR59" i="21"/>
  <c r="AS59" i="21"/>
  <c r="AT59" i="21"/>
  <c r="AU59" i="21"/>
  <c r="AV59" i="21"/>
  <c r="AW59" i="21"/>
  <c r="AX59" i="21"/>
  <c r="AY59" i="21"/>
  <c r="BB59" i="21"/>
  <c r="BC59" i="21"/>
  <c r="BD59" i="21"/>
  <c r="BE59" i="21"/>
  <c r="BF59" i="21"/>
  <c r="BG59" i="21"/>
  <c r="BH59" i="21"/>
  <c r="BI59" i="21"/>
  <c r="BJ59" i="21"/>
  <c r="BK59" i="21"/>
  <c r="BL59" i="21"/>
  <c r="BM59" i="21"/>
  <c r="BN59" i="21"/>
  <c r="BO59" i="21"/>
  <c r="D60" i="21"/>
  <c r="F60" i="21"/>
  <c r="G60" i="21"/>
  <c r="H60" i="21"/>
  <c r="I60" i="21"/>
  <c r="K60" i="21"/>
  <c r="L60" i="21"/>
  <c r="N60" i="21"/>
  <c r="O60" i="21"/>
  <c r="P60" i="21"/>
  <c r="Q60" i="21"/>
  <c r="S60" i="21"/>
  <c r="T60" i="21"/>
  <c r="V60" i="21"/>
  <c r="X60" i="21"/>
  <c r="Y60" i="21"/>
  <c r="Z60" i="21"/>
  <c r="AA60" i="21"/>
  <c r="AB60" i="21"/>
  <c r="AC60" i="21"/>
  <c r="AF60" i="21"/>
  <c r="AG60" i="21"/>
  <c r="AH60" i="21"/>
  <c r="AI60" i="21"/>
  <c r="AJ60" i="21"/>
  <c r="AL60" i="21"/>
  <c r="AM60" i="21"/>
  <c r="AN60" i="21"/>
  <c r="AO60" i="21"/>
  <c r="AP60" i="21"/>
  <c r="AQ60" i="21"/>
  <c r="AR60" i="21"/>
  <c r="AS60" i="21"/>
  <c r="AT60" i="21"/>
  <c r="AU60" i="21"/>
  <c r="AV60" i="21"/>
  <c r="AW60" i="21"/>
  <c r="AX60" i="21"/>
  <c r="AY60" i="21"/>
  <c r="BB60" i="21"/>
  <c r="BC60" i="21"/>
  <c r="BD60" i="21"/>
  <c r="BE60" i="21"/>
  <c r="BF60" i="21"/>
  <c r="BG60" i="21"/>
  <c r="BH60" i="21"/>
  <c r="BI60" i="21"/>
  <c r="BJ60" i="21"/>
  <c r="BK60" i="21"/>
  <c r="BL60" i="21"/>
  <c r="BM60" i="21"/>
  <c r="BN60" i="21"/>
  <c r="BO60" i="21"/>
  <c r="D61" i="21"/>
  <c r="F61" i="21"/>
  <c r="G61" i="21"/>
  <c r="H61" i="21"/>
  <c r="I61" i="21"/>
  <c r="K61" i="21"/>
  <c r="L61" i="21"/>
  <c r="N61" i="21"/>
  <c r="O61" i="21"/>
  <c r="P61" i="21"/>
  <c r="Q61" i="21"/>
  <c r="S61" i="21"/>
  <c r="T61" i="21"/>
  <c r="V61" i="21"/>
  <c r="X61" i="21"/>
  <c r="Y61" i="21"/>
  <c r="Z61" i="21"/>
  <c r="AA61" i="21"/>
  <c r="AB61" i="21"/>
  <c r="AC61" i="21"/>
  <c r="AF61" i="21"/>
  <c r="AG61" i="21"/>
  <c r="AH61" i="21"/>
  <c r="AI61" i="21"/>
  <c r="AJ61" i="21"/>
  <c r="AL61" i="21"/>
  <c r="AM61" i="21"/>
  <c r="AN61" i="21"/>
  <c r="AO61" i="21"/>
  <c r="AP61" i="21"/>
  <c r="AQ61" i="21"/>
  <c r="AR61" i="21"/>
  <c r="AS61" i="21"/>
  <c r="AT61" i="21"/>
  <c r="AU61" i="21"/>
  <c r="AV61" i="21"/>
  <c r="AW61" i="21"/>
  <c r="AX61" i="21"/>
  <c r="AY61" i="21"/>
  <c r="BB61" i="21"/>
  <c r="BC61" i="21"/>
  <c r="BD61" i="21"/>
  <c r="BE61" i="21"/>
  <c r="BF61" i="21"/>
  <c r="BG61" i="21"/>
  <c r="BH61" i="21"/>
  <c r="BI61" i="21"/>
  <c r="BJ61" i="21"/>
  <c r="BK61" i="21"/>
  <c r="BL61" i="21"/>
  <c r="BM61" i="21"/>
  <c r="BN61" i="21"/>
  <c r="BO61" i="21"/>
  <c r="D62" i="21"/>
  <c r="F62" i="21"/>
  <c r="G62" i="21"/>
  <c r="H62" i="21"/>
  <c r="I62" i="21"/>
  <c r="K62" i="21"/>
  <c r="L62" i="21"/>
  <c r="N62" i="21"/>
  <c r="O62" i="21"/>
  <c r="P62" i="21"/>
  <c r="Q62" i="21"/>
  <c r="S62" i="21"/>
  <c r="T62" i="21"/>
  <c r="V62" i="21"/>
  <c r="X62" i="21"/>
  <c r="Y62" i="21"/>
  <c r="Z62" i="21"/>
  <c r="AA62" i="21"/>
  <c r="AB62" i="21"/>
  <c r="AC62" i="21"/>
  <c r="AF62" i="21"/>
  <c r="AG62" i="21"/>
  <c r="AH62" i="21"/>
  <c r="AI62" i="21"/>
  <c r="AJ62" i="21"/>
  <c r="AL62" i="21"/>
  <c r="AM62" i="21"/>
  <c r="AN62" i="21"/>
  <c r="AO62" i="21"/>
  <c r="AP62" i="21"/>
  <c r="AQ62" i="21"/>
  <c r="AR62" i="21"/>
  <c r="AS62" i="21"/>
  <c r="AT62" i="21"/>
  <c r="AU62" i="21"/>
  <c r="AV62" i="21"/>
  <c r="AW62" i="21"/>
  <c r="AX62" i="21"/>
  <c r="AY62" i="21"/>
  <c r="BB62" i="21"/>
  <c r="BC62" i="21"/>
  <c r="BD62" i="21"/>
  <c r="BE62" i="21"/>
  <c r="BF62" i="21"/>
  <c r="BG62" i="21"/>
  <c r="BH62" i="21"/>
  <c r="BI62" i="21"/>
  <c r="BJ62" i="21"/>
  <c r="BK62" i="21"/>
  <c r="BL62" i="21"/>
  <c r="BM62" i="21"/>
  <c r="BN62" i="21"/>
  <c r="BO62" i="21"/>
  <c r="D63" i="21"/>
  <c r="F63" i="21"/>
  <c r="G63" i="21"/>
  <c r="H63" i="21"/>
  <c r="I63" i="21"/>
  <c r="K63" i="21"/>
  <c r="L63" i="21"/>
  <c r="N63" i="21"/>
  <c r="O63" i="21"/>
  <c r="P63" i="21"/>
  <c r="Q63" i="21"/>
  <c r="S63" i="21"/>
  <c r="T63" i="21"/>
  <c r="V63" i="21"/>
  <c r="X63" i="21"/>
  <c r="Y63" i="21"/>
  <c r="Z63" i="21"/>
  <c r="AA63" i="21"/>
  <c r="AB63" i="21"/>
  <c r="AC63" i="21"/>
  <c r="AF63" i="21"/>
  <c r="AG63" i="21"/>
  <c r="AH63" i="21"/>
  <c r="AI63" i="21"/>
  <c r="AJ63" i="21"/>
  <c r="AL63" i="21"/>
  <c r="AM63" i="21"/>
  <c r="AN63" i="21"/>
  <c r="AO63" i="21"/>
  <c r="AP63" i="21"/>
  <c r="AQ63" i="21"/>
  <c r="AR63" i="21"/>
  <c r="AS63" i="21"/>
  <c r="AT63" i="21"/>
  <c r="AU63" i="21"/>
  <c r="AV63" i="21"/>
  <c r="AW63" i="21"/>
  <c r="AX63" i="21"/>
  <c r="AY63" i="21"/>
  <c r="BB63" i="21"/>
  <c r="BC63" i="21"/>
  <c r="BD63" i="21"/>
  <c r="BE63" i="21"/>
  <c r="BF63" i="21"/>
  <c r="BG63" i="21"/>
  <c r="BH63" i="21"/>
  <c r="BI63" i="21"/>
  <c r="BJ63" i="21"/>
  <c r="BK63" i="21"/>
  <c r="BL63" i="21"/>
  <c r="BM63" i="21"/>
  <c r="BN63" i="21"/>
  <c r="BO63" i="21"/>
  <c r="D64" i="21"/>
  <c r="F64" i="21"/>
  <c r="G64" i="21"/>
  <c r="H64" i="21"/>
  <c r="I64" i="21"/>
  <c r="K64" i="21"/>
  <c r="L64" i="21"/>
  <c r="N64" i="21"/>
  <c r="O64" i="21"/>
  <c r="P64" i="21"/>
  <c r="Q64" i="21"/>
  <c r="S64" i="21"/>
  <c r="T64" i="21"/>
  <c r="V64" i="21"/>
  <c r="X64" i="21"/>
  <c r="Y64" i="21"/>
  <c r="Z64" i="21"/>
  <c r="AA64" i="21"/>
  <c r="AB64" i="21"/>
  <c r="AC64" i="21"/>
  <c r="AF64" i="21"/>
  <c r="AG64" i="21"/>
  <c r="AH64" i="21"/>
  <c r="AI64" i="21"/>
  <c r="AJ64" i="21"/>
  <c r="AL64" i="21"/>
  <c r="AM64" i="21"/>
  <c r="AN64" i="21"/>
  <c r="AO64" i="21"/>
  <c r="AP64" i="21"/>
  <c r="AQ64" i="21"/>
  <c r="AR64" i="21"/>
  <c r="AS64" i="21"/>
  <c r="AT64" i="21"/>
  <c r="AU64" i="21"/>
  <c r="AV64" i="21"/>
  <c r="AW64" i="21"/>
  <c r="AX64" i="21"/>
  <c r="AY64" i="21"/>
  <c r="BB64" i="21"/>
  <c r="BC64" i="21"/>
  <c r="BD64" i="21"/>
  <c r="BE64" i="21"/>
  <c r="BF64" i="21"/>
  <c r="BG64" i="21"/>
  <c r="BH64" i="21"/>
  <c r="BI64" i="21"/>
  <c r="BJ64" i="21"/>
  <c r="BK64" i="21"/>
  <c r="BL64" i="21"/>
  <c r="BM64" i="21"/>
  <c r="BN64" i="21"/>
  <c r="BO64" i="21"/>
  <c r="D65" i="21"/>
  <c r="F65" i="21"/>
  <c r="G65" i="21"/>
  <c r="H65" i="21"/>
  <c r="I65" i="21"/>
  <c r="K65" i="21"/>
  <c r="L65" i="21"/>
  <c r="N65" i="21"/>
  <c r="O65" i="21"/>
  <c r="P65" i="21"/>
  <c r="Q65" i="21"/>
  <c r="S65" i="21"/>
  <c r="T65" i="21"/>
  <c r="V65" i="21"/>
  <c r="X65" i="21"/>
  <c r="Y65" i="21"/>
  <c r="Z65" i="21"/>
  <c r="AA65" i="21"/>
  <c r="AB65" i="21"/>
  <c r="AC65" i="21"/>
  <c r="AF65" i="21"/>
  <c r="AG65" i="21"/>
  <c r="AH65" i="21"/>
  <c r="AI65" i="21"/>
  <c r="AJ65" i="21"/>
  <c r="AL65" i="21"/>
  <c r="AM65" i="21"/>
  <c r="AN65" i="21"/>
  <c r="AO65" i="21"/>
  <c r="AP65" i="21"/>
  <c r="AQ65" i="21"/>
  <c r="AR65" i="21"/>
  <c r="AS65" i="21"/>
  <c r="AT65" i="21"/>
  <c r="AU65" i="21"/>
  <c r="AV65" i="21"/>
  <c r="AW65" i="21"/>
  <c r="AX65" i="21"/>
  <c r="AY65" i="21"/>
  <c r="BB65" i="21"/>
  <c r="BC65" i="21"/>
  <c r="BD65" i="21"/>
  <c r="BE65" i="21"/>
  <c r="BF65" i="21"/>
  <c r="BG65" i="21"/>
  <c r="BH65" i="21"/>
  <c r="BI65" i="21"/>
  <c r="BJ65" i="21"/>
  <c r="BK65" i="21"/>
  <c r="BL65" i="21"/>
  <c r="BM65" i="21"/>
  <c r="BN65" i="21"/>
  <c r="BO65" i="21"/>
  <c r="D66" i="21"/>
  <c r="F66" i="21"/>
  <c r="G66" i="21"/>
  <c r="H66" i="21"/>
  <c r="I66" i="21"/>
  <c r="K66" i="21"/>
  <c r="L66" i="21"/>
  <c r="N66" i="21"/>
  <c r="O66" i="21"/>
  <c r="P66" i="21"/>
  <c r="Q66" i="21"/>
  <c r="S66" i="21"/>
  <c r="T66" i="21"/>
  <c r="V66" i="21"/>
  <c r="X66" i="21"/>
  <c r="Y66" i="21"/>
  <c r="Z66" i="21"/>
  <c r="AA66" i="21"/>
  <c r="AB66" i="21"/>
  <c r="AC66" i="21"/>
  <c r="AF66" i="21"/>
  <c r="AG66" i="21"/>
  <c r="AH66" i="21"/>
  <c r="AI66" i="21"/>
  <c r="AJ66" i="21"/>
  <c r="AL66" i="21"/>
  <c r="AM66" i="21"/>
  <c r="AN66" i="21"/>
  <c r="AO66" i="21"/>
  <c r="AP66" i="21"/>
  <c r="AQ66" i="21"/>
  <c r="AR66" i="21"/>
  <c r="AS66" i="21"/>
  <c r="AT66" i="21"/>
  <c r="AU66" i="21"/>
  <c r="AV66" i="21"/>
  <c r="AW66" i="21"/>
  <c r="AX66" i="21"/>
  <c r="AY66" i="21"/>
  <c r="BB66" i="21"/>
  <c r="BC66" i="21"/>
  <c r="BD66" i="21"/>
  <c r="BE66" i="21"/>
  <c r="BF66" i="21"/>
  <c r="BG66" i="21"/>
  <c r="BH66" i="21"/>
  <c r="BI66" i="21"/>
  <c r="BJ66" i="21"/>
  <c r="BK66" i="21"/>
  <c r="BL66" i="21"/>
  <c r="BM66" i="21"/>
  <c r="BN66" i="21"/>
  <c r="BO66" i="21"/>
  <c r="D67" i="21"/>
  <c r="F67" i="21"/>
  <c r="G67" i="21"/>
  <c r="H67" i="21"/>
  <c r="I67" i="21"/>
  <c r="K67" i="21"/>
  <c r="L67" i="21"/>
  <c r="N67" i="21"/>
  <c r="O67" i="21"/>
  <c r="P67" i="21"/>
  <c r="Q67" i="21"/>
  <c r="S67" i="21"/>
  <c r="T67" i="21"/>
  <c r="V67" i="21"/>
  <c r="X67" i="21"/>
  <c r="Y67" i="21"/>
  <c r="Z67" i="21"/>
  <c r="AA67" i="21"/>
  <c r="AB67" i="21"/>
  <c r="AC67" i="21"/>
  <c r="AF67" i="21"/>
  <c r="AG67" i="21"/>
  <c r="AH67" i="21"/>
  <c r="AI67" i="21"/>
  <c r="AJ67" i="21"/>
  <c r="AL67" i="21"/>
  <c r="AM67" i="21"/>
  <c r="AN67" i="21"/>
  <c r="AO67" i="21"/>
  <c r="AP67" i="21"/>
  <c r="AQ67" i="21"/>
  <c r="AR67" i="21"/>
  <c r="AS67" i="21"/>
  <c r="AT67" i="21"/>
  <c r="AU67" i="21"/>
  <c r="AV67" i="21"/>
  <c r="AW67" i="21"/>
  <c r="AX67" i="21"/>
  <c r="AY67" i="21"/>
  <c r="BB67" i="21"/>
  <c r="BC67" i="21"/>
  <c r="BD67" i="21"/>
  <c r="BE67" i="21"/>
  <c r="BF67" i="21"/>
  <c r="BG67" i="21"/>
  <c r="BH67" i="21"/>
  <c r="BI67" i="21"/>
  <c r="BJ67" i="21"/>
  <c r="BK67" i="21"/>
  <c r="BL67" i="21"/>
  <c r="BM67" i="21"/>
  <c r="BN67" i="21"/>
  <c r="BO67" i="21"/>
  <c r="D68" i="21"/>
  <c r="F68" i="21"/>
  <c r="G68" i="21"/>
  <c r="H68" i="21"/>
  <c r="I68" i="21"/>
  <c r="K68" i="21"/>
  <c r="L68" i="21"/>
  <c r="N68" i="21"/>
  <c r="O68" i="21"/>
  <c r="P68" i="21"/>
  <c r="Q68" i="21"/>
  <c r="S68" i="21"/>
  <c r="T68" i="21"/>
  <c r="V68" i="21"/>
  <c r="X68" i="21"/>
  <c r="Y68" i="21"/>
  <c r="Z68" i="21"/>
  <c r="AA68" i="21"/>
  <c r="AB68" i="21"/>
  <c r="AC68" i="21"/>
  <c r="AF68" i="21"/>
  <c r="AG68" i="21"/>
  <c r="AH68" i="21"/>
  <c r="AI68" i="21"/>
  <c r="AJ68" i="21"/>
  <c r="AL68" i="21"/>
  <c r="AM68" i="21"/>
  <c r="AN68" i="21"/>
  <c r="AO68" i="21"/>
  <c r="AP68" i="21"/>
  <c r="AQ68" i="21"/>
  <c r="AR68" i="21"/>
  <c r="AS68" i="21"/>
  <c r="AT68" i="21"/>
  <c r="AU68" i="21"/>
  <c r="AV68" i="21"/>
  <c r="AW68" i="21"/>
  <c r="AX68" i="21"/>
  <c r="AY68" i="21"/>
  <c r="BB68" i="21"/>
  <c r="BC68" i="21"/>
  <c r="BD68" i="21"/>
  <c r="BE68" i="21"/>
  <c r="BF68" i="21"/>
  <c r="BG68" i="21"/>
  <c r="BH68" i="21"/>
  <c r="BI68" i="21"/>
  <c r="BJ68" i="21"/>
  <c r="BK68" i="21"/>
  <c r="BL68" i="21"/>
  <c r="BM68" i="21"/>
  <c r="BN68" i="21"/>
  <c r="BO68" i="21"/>
  <c r="D69" i="21"/>
  <c r="F69" i="21"/>
  <c r="G69" i="21"/>
  <c r="H69" i="21"/>
  <c r="I69" i="21"/>
  <c r="K69" i="21"/>
  <c r="L69" i="21"/>
  <c r="N69" i="21"/>
  <c r="O69" i="21"/>
  <c r="P69" i="21"/>
  <c r="Q69" i="21"/>
  <c r="S69" i="21"/>
  <c r="T69" i="21"/>
  <c r="V69" i="21"/>
  <c r="X69" i="21"/>
  <c r="Y69" i="21"/>
  <c r="Z69" i="21"/>
  <c r="AA69" i="21"/>
  <c r="AB69" i="21"/>
  <c r="AC69" i="21"/>
  <c r="AF69" i="21"/>
  <c r="AG69" i="21"/>
  <c r="AH69" i="21"/>
  <c r="AI69" i="21"/>
  <c r="AJ69" i="21"/>
  <c r="AL69" i="21"/>
  <c r="AM69" i="21"/>
  <c r="AN69" i="21"/>
  <c r="AO69" i="21"/>
  <c r="AP69" i="21"/>
  <c r="AQ69" i="21"/>
  <c r="AR69" i="21"/>
  <c r="AS69" i="21"/>
  <c r="AT69" i="21"/>
  <c r="AU69" i="21"/>
  <c r="AV69" i="21"/>
  <c r="AW69" i="21"/>
  <c r="AX69" i="21"/>
  <c r="AY69" i="21"/>
  <c r="BB69" i="21"/>
  <c r="BC69" i="21"/>
  <c r="BD69" i="21"/>
  <c r="BE69" i="21"/>
  <c r="BF69" i="21"/>
  <c r="BG69" i="21"/>
  <c r="BH69" i="21"/>
  <c r="BI69" i="21"/>
  <c r="BJ69" i="21"/>
  <c r="BK69" i="21"/>
  <c r="BL69" i="21"/>
  <c r="BM69" i="21"/>
  <c r="BN69" i="21"/>
  <c r="BO69" i="21"/>
  <c r="D70" i="21"/>
  <c r="F70" i="21"/>
  <c r="G70" i="21"/>
  <c r="H70" i="21"/>
  <c r="I70" i="21"/>
  <c r="K70" i="21"/>
  <c r="L70" i="21"/>
  <c r="N70" i="21"/>
  <c r="O70" i="21"/>
  <c r="P70" i="21"/>
  <c r="Q70" i="21"/>
  <c r="S70" i="21"/>
  <c r="T70" i="21"/>
  <c r="V70" i="21"/>
  <c r="X70" i="21"/>
  <c r="Y70" i="21"/>
  <c r="Z70" i="21"/>
  <c r="AA70" i="21"/>
  <c r="AB70" i="21"/>
  <c r="AC70" i="21"/>
  <c r="AF70" i="21"/>
  <c r="AG70" i="21"/>
  <c r="AH70" i="21"/>
  <c r="AI70" i="21"/>
  <c r="AJ70" i="21"/>
  <c r="AL70" i="21"/>
  <c r="AM70" i="21"/>
  <c r="AN70" i="21"/>
  <c r="AO70" i="21"/>
  <c r="AP70" i="21"/>
  <c r="AQ70" i="21"/>
  <c r="AR70" i="21"/>
  <c r="AS70" i="21"/>
  <c r="AT70" i="21"/>
  <c r="AU70" i="21"/>
  <c r="AV70" i="21"/>
  <c r="AW70" i="21"/>
  <c r="AX70" i="21"/>
  <c r="AY70" i="21"/>
  <c r="BB70" i="21"/>
  <c r="BC70" i="21"/>
  <c r="BD70" i="21"/>
  <c r="BE70" i="21"/>
  <c r="BF70" i="21"/>
  <c r="BG70" i="21"/>
  <c r="BH70" i="21"/>
  <c r="BI70" i="21"/>
  <c r="BJ70" i="21"/>
  <c r="BK70" i="21"/>
  <c r="BL70" i="21"/>
  <c r="BM70" i="21"/>
  <c r="BN70" i="21"/>
  <c r="BO70" i="21"/>
  <c r="D71" i="21"/>
  <c r="F71" i="21"/>
  <c r="G71" i="21"/>
  <c r="H71" i="21"/>
  <c r="I71" i="21"/>
  <c r="K71" i="21"/>
  <c r="L71" i="21"/>
  <c r="N71" i="21"/>
  <c r="O71" i="21"/>
  <c r="P71" i="21"/>
  <c r="Q71" i="21"/>
  <c r="S71" i="21"/>
  <c r="T71" i="21"/>
  <c r="V71" i="21"/>
  <c r="X71" i="21"/>
  <c r="Y71" i="21"/>
  <c r="Z71" i="21"/>
  <c r="AA71" i="21"/>
  <c r="AB71" i="21"/>
  <c r="AC71" i="21"/>
  <c r="AF71" i="21"/>
  <c r="AG71" i="21"/>
  <c r="AH71" i="21"/>
  <c r="AI71" i="21"/>
  <c r="AJ71" i="21"/>
  <c r="AL71" i="21"/>
  <c r="AM71" i="21"/>
  <c r="AN71" i="21"/>
  <c r="AO71" i="21"/>
  <c r="AP71" i="21"/>
  <c r="AQ71" i="21"/>
  <c r="AR71" i="21"/>
  <c r="AS71" i="21"/>
  <c r="AT71" i="21"/>
  <c r="AU71" i="21"/>
  <c r="AV71" i="21"/>
  <c r="AW71" i="21"/>
  <c r="AX71" i="21"/>
  <c r="AY71" i="21"/>
  <c r="BB71" i="21"/>
  <c r="BC71" i="21"/>
  <c r="BD71" i="21"/>
  <c r="BE71" i="21"/>
  <c r="BF71" i="21"/>
  <c r="BG71" i="21"/>
  <c r="BH71" i="21"/>
  <c r="BI71" i="21"/>
  <c r="BJ71" i="21"/>
  <c r="BK71" i="21"/>
  <c r="BL71" i="21"/>
  <c r="BM71" i="21"/>
  <c r="BN71" i="21"/>
  <c r="BO71" i="21"/>
  <c r="D72" i="21"/>
  <c r="F72" i="21"/>
  <c r="G72" i="21"/>
  <c r="H72" i="21"/>
  <c r="I72" i="21"/>
  <c r="K72" i="21"/>
  <c r="L72" i="21"/>
  <c r="N72" i="21"/>
  <c r="O72" i="21"/>
  <c r="P72" i="21"/>
  <c r="Q72" i="21"/>
  <c r="S72" i="21"/>
  <c r="T72" i="21"/>
  <c r="V72" i="21"/>
  <c r="X72" i="21"/>
  <c r="Y72" i="21"/>
  <c r="Z72" i="21"/>
  <c r="AA72" i="21"/>
  <c r="AB72" i="21"/>
  <c r="AC72" i="21"/>
  <c r="AF72" i="21"/>
  <c r="AG72" i="21"/>
  <c r="AH72" i="21"/>
  <c r="AI72" i="21"/>
  <c r="AJ72" i="21"/>
  <c r="AL72" i="21"/>
  <c r="AM72" i="21"/>
  <c r="AN72" i="21"/>
  <c r="AO72" i="21"/>
  <c r="AP72" i="21"/>
  <c r="AQ72" i="21"/>
  <c r="AR72" i="21"/>
  <c r="AS72" i="21"/>
  <c r="AT72" i="21"/>
  <c r="AU72" i="21"/>
  <c r="AV72" i="21"/>
  <c r="AW72" i="21"/>
  <c r="AX72" i="21"/>
  <c r="AY72" i="21"/>
  <c r="BB72" i="21"/>
  <c r="BC72" i="21"/>
  <c r="BD72" i="21"/>
  <c r="BE72" i="21"/>
  <c r="BF72" i="21"/>
  <c r="BG72" i="21"/>
  <c r="BH72" i="21"/>
  <c r="BI72" i="21"/>
  <c r="BJ72" i="21"/>
  <c r="BK72" i="21"/>
  <c r="BL72" i="21"/>
  <c r="BM72" i="21"/>
  <c r="BN72" i="21"/>
  <c r="BO72" i="21"/>
  <c r="D73" i="21"/>
  <c r="F73" i="21"/>
  <c r="G73" i="21"/>
  <c r="H73" i="21"/>
  <c r="I73" i="21"/>
  <c r="K73" i="21"/>
  <c r="L73" i="21"/>
  <c r="N73" i="21"/>
  <c r="O73" i="21"/>
  <c r="P73" i="21"/>
  <c r="Q73" i="21"/>
  <c r="S73" i="21"/>
  <c r="T73" i="21"/>
  <c r="V73" i="21"/>
  <c r="X73" i="21"/>
  <c r="Y73" i="21"/>
  <c r="Z73" i="21"/>
  <c r="AA73" i="21"/>
  <c r="AB73" i="21"/>
  <c r="AC73" i="21"/>
  <c r="AF73" i="21"/>
  <c r="AG73" i="21"/>
  <c r="AH73" i="21"/>
  <c r="AI73" i="21"/>
  <c r="AJ73" i="21"/>
  <c r="AL73" i="21"/>
  <c r="AM73" i="21"/>
  <c r="AN73" i="21"/>
  <c r="AO73" i="21"/>
  <c r="AP73" i="21"/>
  <c r="AQ73" i="21"/>
  <c r="AR73" i="21"/>
  <c r="AS73" i="21"/>
  <c r="AT73" i="21"/>
  <c r="AU73" i="21"/>
  <c r="AV73" i="21"/>
  <c r="AW73" i="21"/>
  <c r="AX73" i="21"/>
  <c r="AY73" i="21"/>
  <c r="BB73" i="21"/>
  <c r="BC73" i="21"/>
  <c r="BD73" i="21"/>
  <c r="BE73" i="21"/>
  <c r="BF73" i="21"/>
  <c r="BG73" i="21"/>
  <c r="BH73" i="21"/>
  <c r="BI73" i="21"/>
  <c r="BJ73" i="21"/>
  <c r="BK73" i="21"/>
  <c r="BL73" i="21"/>
  <c r="BM73" i="21"/>
  <c r="BN73" i="21"/>
  <c r="BO73" i="21"/>
  <c r="D74" i="21"/>
  <c r="F74" i="21"/>
  <c r="G74" i="21"/>
  <c r="H74" i="21"/>
  <c r="I74" i="21"/>
  <c r="K74" i="21"/>
  <c r="L74" i="21"/>
  <c r="N74" i="21"/>
  <c r="O74" i="21"/>
  <c r="P74" i="21"/>
  <c r="Q74" i="21"/>
  <c r="S74" i="21"/>
  <c r="T74" i="21"/>
  <c r="V74" i="21"/>
  <c r="X74" i="21"/>
  <c r="Y74" i="21"/>
  <c r="Z74" i="21"/>
  <c r="AA74" i="21"/>
  <c r="AB74" i="21"/>
  <c r="AC74" i="21"/>
  <c r="AF74" i="21"/>
  <c r="AG74" i="21"/>
  <c r="AH74" i="21"/>
  <c r="AI74" i="21"/>
  <c r="AJ74" i="21"/>
  <c r="AL74" i="21"/>
  <c r="AM74" i="21"/>
  <c r="AN74" i="21"/>
  <c r="AO74" i="21"/>
  <c r="AP74" i="21"/>
  <c r="AQ74" i="21"/>
  <c r="AR74" i="21"/>
  <c r="AS74" i="21"/>
  <c r="AT74" i="21"/>
  <c r="AU74" i="21"/>
  <c r="AV74" i="21"/>
  <c r="AW74" i="21"/>
  <c r="AX74" i="21"/>
  <c r="AY74" i="21"/>
  <c r="BB74" i="21"/>
  <c r="BC74" i="21"/>
  <c r="BD74" i="21"/>
  <c r="BE74" i="21"/>
  <c r="BF74" i="21"/>
  <c r="BG74" i="21"/>
  <c r="BH74" i="21"/>
  <c r="BI74" i="21"/>
  <c r="BJ74" i="21"/>
  <c r="BK74" i="21"/>
  <c r="BL74" i="21"/>
  <c r="BM74" i="21"/>
  <c r="BN74" i="21"/>
  <c r="BO74" i="21"/>
  <c r="D75" i="21"/>
  <c r="F75" i="21"/>
  <c r="G75" i="21"/>
  <c r="H75" i="21"/>
  <c r="I75" i="21"/>
  <c r="K75" i="21"/>
  <c r="L75" i="21"/>
  <c r="N75" i="21"/>
  <c r="O75" i="21"/>
  <c r="P75" i="21"/>
  <c r="Q75" i="21"/>
  <c r="S75" i="21"/>
  <c r="T75" i="21"/>
  <c r="V75" i="21"/>
  <c r="X75" i="21"/>
  <c r="Y75" i="21"/>
  <c r="Z75" i="21"/>
  <c r="AA75" i="21"/>
  <c r="AB75" i="21"/>
  <c r="AC75" i="21"/>
  <c r="AF75" i="21"/>
  <c r="AG75" i="21"/>
  <c r="AH75" i="21"/>
  <c r="AI75" i="21"/>
  <c r="AJ75" i="21"/>
  <c r="AL75" i="21"/>
  <c r="AM75" i="21"/>
  <c r="AN75" i="21"/>
  <c r="AO75" i="21"/>
  <c r="AP75" i="21"/>
  <c r="AQ75" i="21"/>
  <c r="AR75" i="21"/>
  <c r="AS75" i="21"/>
  <c r="AT75" i="21"/>
  <c r="AU75" i="21"/>
  <c r="AV75" i="21"/>
  <c r="AW75" i="21"/>
  <c r="AX75" i="21"/>
  <c r="AY75" i="21"/>
  <c r="BB75" i="21"/>
  <c r="BC75" i="21"/>
  <c r="BD75" i="21"/>
  <c r="BE75" i="21"/>
  <c r="BF75" i="21"/>
  <c r="BG75" i="21"/>
  <c r="BH75" i="21"/>
  <c r="BI75" i="21"/>
  <c r="BJ75" i="21"/>
  <c r="BK75" i="21"/>
  <c r="BL75" i="21"/>
  <c r="BM75" i="21"/>
  <c r="BN75" i="21"/>
  <c r="BO75" i="21"/>
  <c r="D76" i="21"/>
  <c r="F76" i="21"/>
  <c r="G76" i="21"/>
  <c r="H76" i="21"/>
  <c r="I76" i="21"/>
  <c r="K76" i="21"/>
  <c r="L76" i="21"/>
  <c r="N76" i="21"/>
  <c r="O76" i="21"/>
  <c r="P76" i="21"/>
  <c r="Q76" i="21"/>
  <c r="S76" i="21"/>
  <c r="T76" i="21"/>
  <c r="V76" i="21"/>
  <c r="X76" i="21"/>
  <c r="Y76" i="21"/>
  <c r="Z76" i="21"/>
  <c r="AA76" i="21"/>
  <c r="AB76" i="21"/>
  <c r="AC76" i="21"/>
  <c r="AF76" i="21"/>
  <c r="AG76" i="21"/>
  <c r="AH76" i="21"/>
  <c r="AI76" i="21"/>
  <c r="AJ76" i="21"/>
  <c r="AL76" i="21"/>
  <c r="AM76" i="21"/>
  <c r="AN76" i="21"/>
  <c r="AO76" i="21"/>
  <c r="AP76" i="21"/>
  <c r="AQ76" i="21"/>
  <c r="AR76" i="21"/>
  <c r="AS76" i="21"/>
  <c r="AT76" i="21"/>
  <c r="AU76" i="21"/>
  <c r="AV76" i="21"/>
  <c r="AW76" i="21"/>
  <c r="AX76" i="21"/>
  <c r="AY76" i="21"/>
  <c r="BB76" i="21"/>
  <c r="BC76" i="21"/>
  <c r="BD76" i="21"/>
  <c r="BE76" i="21"/>
  <c r="BF76" i="21"/>
  <c r="BG76" i="21"/>
  <c r="BH76" i="21"/>
  <c r="BI76" i="21"/>
  <c r="BJ76" i="21"/>
  <c r="BK76" i="21"/>
  <c r="BL76" i="21"/>
  <c r="BM76" i="21"/>
  <c r="BN76" i="21"/>
  <c r="BO76" i="21"/>
  <c r="D77" i="21"/>
  <c r="F77" i="21"/>
  <c r="G77" i="21"/>
  <c r="H77" i="21"/>
  <c r="I77" i="21"/>
  <c r="K77" i="21"/>
  <c r="L77" i="21"/>
  <c r="N77" i="21"/>
  <c r="O77" i="21"/>
  <c r="P77" i="21"/>
  <c r="Q77" i="21"/>
  <c r="S77" i="21"/>
  <c r="T77" i="21"/>
  <c r="V77" i="21"/>
  <c r="X77" i="21"/>
  <c r="Y77" i="21"/>
  <c r="Z77" i="21"/>
  <c r="AA77" i="21"/>
  <c r="AB77" i="21"/>
  <c r="AC77" i="21"/>
  <c r="AF77" i="21"/>
  <c r="AG77" i="21"/>
  <c r="AH77" i="21"/>
  <c r="AI77" i="21"/>
  <c r="AJ77" i="21"/>
  <c r="AL77" i="21"/>
  <c r="AM77" i="21"/>
  <c r="AN77" i="21"/>
  <c r="AO77" i="21"/>
  <c r="AP77" i="21"/>
  <c r="AQ77" i="21"/>
  <c r="AR77" i="21"/>
  <c r="AS77" i="21"/>
  <c r="AT77" i="21"/>
  <c r="AU77" i="21"/>
  <c r="AV77" i="21"/>
  <c r="AW77" i="21"/>
  <c r="AX77" i="21"/>
  <c r="AY77" i="21"/>
  <c r="BB77" i="21"/>
  <c r="BC77" i="21"/>
  <c r="BD77" i="21"/>
  <c r="BE77" i="21"/>
  <c r="BF77" i="21"/>
  <c r="BG77" i="21"/>
  <c r="BH77" i="21"/>
  <c r="BI77" i="21"/>
  <c r="BJ77" i="21"/>
  <c r="BK77" i="21"/>
  <c r="BL77" i="21"/>
  <c r="BM77" i="21"/>
  <c r="BN77" i="21"/>
  <c r="BO77" i="21"/>
  <c r="D78" i="21"/>
  <c r="F78" i="21"/>
  <c r="G78" i="21"/>
  <c r="H78" i="21"/>
  <c r="I78" i="21"/>
  <c r="K78" i="21"/>
  <c r="L78" i="21"/>
  <c r="N78" i="21"/>
  <c r="O78" i="21"/>
  <c r="P78" i="21"/>
  <c r="Q78" i="21"/>
  <c r="S78" i="21"/>
  <c r="T78" i="21"/>
  <c r="V78" i="21"/>
  <c r="X78" i="21"/>
  <c r="Y78" i="21"/>
  <c r="Z78" i="21"/>
  <c r="AA78" i="21"/>
  <c r="AB78" i="21"/>
  <c r="AC78" i="21"/>
  <c r="AF78" i="21"/>
  <c r="AG78" i="21"/>
  <c r="AH78" i="21"/>
  <c r="AI78" i="21"/>
  <c r="AJ78" i="21"/>
  <c r="AL78" i="21"/>
  <c r="AM78" i="21"/>
  <c r="AN78" i="21"/>
  <c r="AO78" i="21"/>
  <c r="AP78" i="21"/>
  <c r="AQ78" i="21"/>
  <c r="AR78" i="21"/>
  <c r="AS78" i="21"/>
  <c r="AT78" i="21"/>
  <c r="AU78" i="21"/>
  <c r="AV78" i="21"/>
  <c r="AW78" i="21"/>
  <c r="AX78" i="21"/>
  <c r="AY78" i="21"/>
  <c r="BB78" i="21"/>
  <c r="BC78" i="21"/>
  <c r="BD78" i="21"/>
  <c r="BE78" i="21"/>
  <c r="BF78" i="21"/>
  <c r="BG78" i="21"/>
  <c r="BH78" i="21"/>
  <c r="BI78" i="21"/>
  <c r="BJ78" i="21"/>
  <c r="BK78" i="21"/>
  <c r="BL78" i="21"/>
  <c r="BM78" i="21"/>
  <c r="BN78" i="21"/>
  <c r="BO78" i="21"/>
  <c r="D79" i="21"/>
  <c r="F79" i="21"/>
  <c r="G79" i="21"/>
  <c r="H79" i="21"/>
  <c r="I79" i="21"/>
  <c r="K79" i="21"/>
  <c r="L79" i="21"/>
  <c r="N79" i="21"/>
  <c r="O79" i="21"/>
  <c r="P79" i="21"/>
  <c r="Q79" i="21"/>
  <c r="S79" i="21"/>
  <c r="T79" i="21"/>
  <c r="V79" i="21"/>
  <c r="X79" i="21"/>
  <c r="Y79" i="21"/>
  <c r="Z79" i="21"/>
  <c r="AA79" i="21"/>
  <c r="AB79" i="21"/>
  <c r="AC79" i="21"/>
  <c r="AF79" i="21"/>
  <c r="AG79" i="21"/>
  <c r="AH79" i="21"/>
  <c r="AI79" i="21"/>
  <c r="AJ79" i="21"/>
  <c r="AL79" i="21"/>
  <c r="AM79" i="21"/>
  <c r="AN79" i="21"/>
  <c r="AO79" i="21"/>
  <c r="AP79" i="21"/>
  <c r="AQ79" i="21"/>
  <c r="AR79" i="21"/>
  <c r="AS79" i="21"/>
  <c r="AT79" i="21"/>
  <c r="AU79" i="21"/>
  <c r="AV79" i="21"/>
  <c r="AW79" i="21"/>
  <c r="AX79" i="21"/>
  <c r="AY79" i="21"/>
  <c r="BB79" i="21"/>
  <c r="BC79" i="21"/>
  <c r="BD79" i="21"/>
  <c r="BE79" i="21"/>
  <c r="BF79" i="21"/>
  <c r="BG79" i="21"/>
  <c r="BH79" i="21"/>
  <c r="BI79" i="21"/>
  <c r="BJ79" i="21"/>
  <c r="BK79" i="21"/>
  <c r="BL79" i="21"/>
  <c r="BM79" i="21"/>
  <c r="BN79" i="21"/>
  <c r="BO79" i="21"/>
  <c r="D80" i="21"/>
  <c r="F80" i="21"/>
  <c r="G80" i="21"/>
  <c r="H80" i="21"/>
  <c r="I80" i="21"/>
  <c r="K80" i="21"/>
  <c r="L80" i="21"/>
  <c r="N80" i="21"/>
  <c r="O80" i="21"/>
  <c r="P80" i="21"/>
  <c r="Q80" i="21"/>
  <c r="S80" i="21"/>
  <c r="T80" i="21"/>
  <c r="V80" i="21"/>
  <c r="X80" i="21"/>
  <c r="Y80" i="21"/>
  <c r="Z80" i="21"/>
  <c r="AA80" i="21"/>
  <c r="AB80" i="21"/>
  <c r="AC80" i="21"/>
  <c r="AF80" i="21"/>
  <c r="AG80" i="21"/>
  <c r="AH80" i="21"/>
  <c r="AI80" i="21"/>
  <c r="AJ80" i="21"/>
  <c r="AL80" i="21"/>
  <c r="AM80" i="21"/>
  <c r="AN80" i="21"/>
  <c r="AO80" i="21"/>
  <c r="AP80" i="21"/>
  <c r="AQ80" i="21"/>
  <c r="AR80" i="21"/>
  <c r="AS80" i="21"/>
  <c r="AT80" i="21"/>
  <c r="AU80" i="21"/>
  <c r="AV80" i="21"/>
  <c r="AW80" i="21"/>
  <c r="AX80" i="21"/>
  <c r="AY80" i="21"/>
  <c r="BB80" i="21"/>
  <c r="BC80" i="21"/>
  <c r="BD80" i="21"/>
  <c r="BE80" i="21"/>
  <c r="BF80" i="21"/>
  <c r="BG80" i="21"/>
  <c r="BH80" i="21"/>
  <c r="BI80" i="21"/>
  <c r="BJ80" i="21"/>
  <c r="BK80" i="21"/>
  <c r="BL80" i="21"/>
  <c r="BM80" i="21"/>
  <c r="BN80" i="21"/>
  <c r="BO80" i="21"/>
  <c r="D81" i="21"/>
  <c r="F81" i="21"/>
  <c r="G81" i="21"/>
  <c r="H81" i="21"/>
  <c r="I81" i="21"/>
  <c r="K81" i="21"/>
  <c r="L81" i="21"/>
  <c r="N81" i="21"/>
  <c r="O81" i="21"/>
  <c r="P81" i="21"/>
  <c r="Q81" i="21"/>
  <c r="S81" i="21"/>
  <c r="T81" i="21"/>
  <c r="V81" i="21"/>
  <c r="X81" i="21"/>
  <c r="Y81" i="21"/>
  <c r="Z81" i="21"/>
  <c r="AA81" i="21"/>
  <c r="AB81" i="21"/>
  <c r="AC81" i="21"/>
  <c r="AF81" i="21"/>
  <c r="AG81" i="21"/>
  <c r="AH81" i="21"/>
  <c r="AI81" i="21"/>
  <c r="AJ81" i="21"/>
  <c r="AL81" i="21"/>
  <c r="AM81" i="21"/>
  <c r="AN81" i="21"/>
  <c r="AO81" i="21"/>
  <c r="AP81" i="21"/>
  <c r="AQ81" i="21"/>
  <c r="AR81" i="21"/>
  <c r="AS81" i="21"/>
  <c r="AT81" i="21"/>
  <c r="AU81" i="21"/>
  <c r="AV81" i="21"/>
  <c r="AW81" i="21"/>
  <c r="AX81" i="21"/>
  <c r="AY81" i="21"/>
  <c r="BB81" i="21"/>
  <c r="BC81" i="21"/>
  <c r="BD81" i="21"/>
  <c r="BE81" i="21"/>
  <c r="BF81" i="21"/>
  <c r="BG81" i="21"/>
  <c r="BH81" i="21"/>
  <c r="BI81" i="21"/>
  <c r="BJ81" i="21"/>
  <c r="BK81" i="21"/>
  <c r="BL81" i="21"/>
  <c r="BM81" i="21"/>
  <c r="BN81" i="21"/>
  <c r="BO81" i="21"/>
  <c r="D82" i="21"/>
  <c r="F82" i="21"/>
  <c r="G82" i="21"/>
  <c r="H82" i="21"/>
  <c r="I82" i="21"/>
  <c r="K82" i="21"/>
  <c r="L82" i="21"/>
  <c r="N82" i="21"/>
  <c r="O82" i="21"/>
  <c r="P82" i="21"/>
  <c r="Q82" i="21"/>
  <c r="S82" i="21"/>
  <c r="T82" i="21"/>
  <c r="V82" i="21"/>
  <c r="X82" i="21"/>
  <c r="Y82" i="21"/>
  <c r="Z82" i="21"/>
  <c r="AA82" i="21"/>
  <c r="AB82" i="21"/>
  <c r="AC82" i="21"/>
  <c r="AF82" i="21"/>
  <c r="AG82" i="21"/>
  <c r="AH82" i="21"/>
  <c r="AI82" i="21"/>
  <c r="AJ82" i="21"/>
  <c r="AL82" i="21"/>
  <c r="AM82" i="21"/>
  <c r="AN82" i="21"/>
  <c r="AO82" i="21"/>
  <c r="AP82" i="21"/>
  <c r="AQ82" i="21"/>
  <c r="AR82" i="21"/>
  <c r="AS82" i="21"/>
  <c r="AT82" i="21"/>
  <c r="AU82" i="21"/>
  <c r="AV82" i="21"/>
  <c r="AW82" i="21"/>
  <c r="AX82" i="21"/>
  <c r="AY82" i="21"/>
  <c r="BB82" i="21"/>
  <c r="BC82" i="21"/>
  <c r="BD82" i="21"/>
  <c r="BE82" i="21"/>
  <c r="BF82" i="21"/>
  <c r="BG82" i="21"/>
  <c r="BH82" i="21"/>
  <c r="BI82" i="21"/>
  <c r="BJ82" i="21"/>
  <c r="BK82" i="21"/>
  <c r="BL82" i="21"/>
  <c r="BM82" i="21"/>
  <c r="BN82" i="21"/>
  <c r="BO82" i="21"/>
  <c r="D83" i="21"/>
  <c r="F83" i="21"/>
  <c r="G83" i="21"/>
  <c r="H83" i="21"/>
  <c r="I83" i="21"/>
  <c r="K83" i="21"/>
  <c r="L83" i="21"/>
  <c r="N83" i="21"/>
  <c r="O83" i="21"/>
  <c r="P83" i="21"/>
  <c r="Q83" i="21"/>
  <c r="S83" i="21"/>
  <c r="T83" i="21"/>
  <c r="V83" i="21"/>
  <c r="X83" i="21"/>
  <c r="Y83" i="21"/>
  <c r="Z83" i="21"/>
  <c r="AA83" i="21"/>
  <c r="AB83" i="21"/>
  <c r="AC83" i="21"/>
  <c r="AF83" i="21"/>
  <c r="AG83" i="21"/>
  <c r="AH83" i="21"/>
  <c r="AI83" i="21"/>
  <c r="AJ83" i="21"/>
  <c r="AL83" i="21"/>
  <c r="AM83" i="21"/>
  <c r="AN83" i="21"/>
  <c r="AO83" i="21"/>
  <c r="AP83" i="21"/>
  <c r="AQ83" i="21"/>
  <c r="AR83" i="21"/>
  <c r="AS83" i="21"/>
  <c r="AT83" i="21"/>
  <c r="AU83" i="21"/>
  <c r="AV83" i="21"/>
  <c r="AW83" i="21"/>
  <c r="AX83" i="21"/>
  <c r="AY83" i="21"/>
  <c r="BB83" i="21"/>
  <c r="BC83" i="21"/>
  <c r="BD83" i="21"/>
  <c r="BE83" i="21"/>
  <c r="BF83" i="21"/>
  <c r="BG83" i="21"/>
  <c r="BH83" i="21"/>
  <c r="BI83" i="21"/>
  <c r="BJ83" i="21"/>
  <c r="BK83" i="21"/>
  <c r="BL83" i="21"/>
  <c r="BM83" i="21"/>
  <c r="BN83" i="21"/>
  <c r="BO83" i="21"/>
  <c r="D84" i="21"/>
  <c r="F84" i="21"/>
  <c r="G84" i="21"/>
  <c r="H84" i="21"/>
  <c r="I84" i="21"/>
  <c r="K84" i="21"/>
  <c r="L84" i="21"/>
  <c r="N84" i="21"/>
  <c r="O84" i="21"/>
  <c r="P84" i="21"/>
  <c r="Q84" i="21"/>
  <c r="S84" i="21"/>
  <c r="T84" i="21"/>
  <c r="V84" i="21"/>
  <c r="X84" i="21"/>
  <c r="Y84" i="21"/>
  <c r="Z84" i="21"/>
  <c r="AA84" i="21"/>
  <c r="AB84" i="21"/>
  <c r="AC84" i="21"/>
  <c r="AF84" i="21"/>
  <c r="AG84" i="21"/>
  <c r="AH84" i="21"/>
  <c r="AI84" i="21"/>
  <c r="AJ84" i="21"/>
  <c r="AL84" i="21"/>
  <c r="AM84" i="21"/>
  <c r="AN84" i="21"/>
  <c r="AO84" i="21"/>
  <c r="AP84" i="21"/>
  <c r="AQ84" i="21"/>
  <c r="AR84" i="21"/>
  <c r="AS84" i="21"/>
  <c r="AT84" i="21"/>
  <c r="AU84" i="21"/>
  <c r="AV84" i="21"/>
  <c r="AW84" i="21"/>
  <c r="AX84" i="21"/>
  <c r="AY84" i="21"/>
  <c r="BB84" i="21"/>
  <c r="BC84" i="21"/>
  <c r="BD84" i="21"/>
  <c r="BE84" i="21"/>
  <c r="BF84" i="21"/>
  <c r="BG84" i="21"/>
  <c r="BH84" i="21"/>
  <c r="BI84" i="21"/>
  <c r="BJ84" i="21"/>
  <c r="BK84" i="21"/>
  <c r="BL84" i="21"/>
  <c r="BM84" i="21"/>
  <c r="BN84" i="21"/>
  <c r="BO84" i="21"/>
  <c r="D85" i="21"/>
  <c r="F85" i="21"/>
  <c r="G85" i="21"/>
  <c r="H85" i="21"/>
  <c r="I85" i="21"/>
  <c r="K85" i="21"/>
  <c r="L85" i="21"/>
  <c r="N85" i="21"/>
  <c r="O85" i="21"/>
  <c r="P85" i="21"/>
  <c r="Q85" i="21"/>
  <c r="S85" i="21"/>
  <c r="T85" i="21"/>
  <c r="V85" i="21"/>
  <c r="X85" i="21"/>
  <c r="Y85" i="21"/>
  <c r="Z85" i="21"/>
  <c r="AA85" i="21"/>
  <c r="AB85" i="21"/>
  <c r="AC85" i="21"/>
  <c r="AF85" i="21"/>
  <c r="AG85" i="21"/>
  <c r="AH85" i="21"/>
  <c r="AI85" i="21"/>
  <c r="AJ85" i="21"/>
  <c r="AL85" i="21"/>
  <c r="AM85" i="21"/>
  <c r="AN85" i="21"/>
  <c r="AO85" i="21"/>
  <c r="AP85" i="21"/>
  <c r="AQ85" i="21"/>
  <c r="AR85" i="21"/>
  <c r="AS85" i="21"/>
  <c r="AT85" i="21"/>
  <c r="AU85" i="21"/>
  <c r="AV85" i="21"/>
  <c r="AW85" i="21"/>
  <c r="AX85" i="21"/>
  <c r="AY85" i="21"/>
  <c r="BB85" i="21"/>
  <c r="BC85" i="21"/>
  <c r="BD85" i="21"/>
  <c r="BE85" i="21"/>
  <c r="BF85" i="21"/>
  <c r="BG85" i="21"/>
  <c r="BH85" i="21"/>
  <c r="BI85" i="21"/>
  <c r="BJ85" i="21"/>
  <c r="BK85" i="21"/>
  <c r="BL85" i="21"/>
  <c r="BM85" i="21"/>
  <c r="BN85" i="21"/>
  <c r="BO85" i="21"/>
  <c r="D86" i="21"/>
  <c r="F86" i="21"/>
  <c r="G86" i="21"/>
  <c r="H86" i="21"/>
  <c r="I86" i="21"/>
  <c r="K86" i="21"/>
  <c r="L86" i="21"/>
  <c r="N86" i="21"/>
  <c r="O86" i="21"/>
  <c r="P86" i="21"/>
  <c r="Q86" i="21"/>
  <c r="S86" i="21"/>
  <c r="T86" i="21"/>
  <c r="V86" i="21"/>
  <c r="X86" i="21"/>
  <c r="Y86" i="21"/>
  <c r="Z86" i="21"/>
  <c r="AA86" i="21"/>
  <c r="AB86" i="21"/>
  <c r="AC86" i="21"/>
  <c r="AF86" i="21"/>
  <c r="AG86" i="21"/>
  <c r="AH86" i="21"/>
  <c r="AI86" i="21"/>
  <c r="AJ86" i="21"/>
  <c r="AL86" i="21"/>
  <c r="AM86" i="21"/>
  <c r="AN86" i="21"/>
  <c r="AO86" i="21"/>
  <c r="AP86" i="21"/>
  <c r="AQ86" i="21"/>
  <c r="AR86" i="21"/>
  <c r="AS86" i="21"/>
  <c r="AT86" i="21"/>
  <c r="AU86" i="21"/>
  <c r="AV86" i="21"/>
  <c r="AW86" i="21"/>
  <c r="AX86" i="21"/>
  <c r="AY86" i="21"/>
  <c r="BB86" i="21"/>
  <c r="BC86" i="21"/>
  <c r="BD86" i="21"/>
  <c r="BE86" i="21"/>
  <c r="BF86" i="21"/>
  <c r="BG86" i="21"/>
  <c r="BH86" i="21"/>
  <c r="BI86" i="21"/>
  <c r="BJ86" i="21"/>
  <c r="BK86" i="21"/>
  <c r="BL86" i="21"/>
  <c r="BM86" i="21"/>
  <c r="BN86" i="21"/>
  <c r="BO86" i="21"/>
  <c r="D87" i="21"/>
  <c r="F87" i="21"/>
  <c r="G87" i="21"/>
  <c r="H87" i="21"/>
  <c r="I87" i="21"/>
  <c r="K87" i="21"/>
  <c r="L87" i="21"/>
  <c r="N87" i="21"/>
  <c r="O87" i="21"/>
  <c r="P87" i="21"/>
  <c r="Q87" i="21"/>
  <c r="S87" i="21"/>
  <c r="T87" i="21"/>
  <c r="V87" i="21"/>
  <c r="X87" i="21"/>
  <c r="Y87" i="21"/>
  <c r="Z87" i="21"/>
  <c r="AA87" i="21"/>
  <c r="AB87" i="21"/>
  <c r="AC87" i="21"/>
  <c r="AF87" i="21"/>
  <c r="AG87" i="21"/>
  <c r="AH87" i="21"/>
  <c r="AI87" i="21"/>
  <c r="AJ87" i="21"/>
  <c r="AL87" i="21"/>
  <c r="AM87" i="21"/>
  <c r="AN87" i="21"/>
  <c r="AO87" i="21"/>
  <c r="AP87" i="21"/>
  <c r="AQ87" i="21"/>
  <c r="AR87" i="21"/>
  <c r="AS87" i="21"/>
  <c r="AT87" i="21"/>
  <c r="AU87" i="21"/>
  <c r="AV87" i="21"/>
  <c r="AW87" i="21"/>
  <c r="AX87" i="21"/>
  <c r="AY87" i="21"/>
  <c r="BB87" i="21"/>
  <c r="BC87" i="21"/>
  <c r="BD87" i="21"/>
  <c r="BE87" i="21"/>
  <c r="BF87" i="21"/>
  <c r="BG87" i="21"/>
  <c r="BH87" i="21"/>
  <c r="BI87" i="21"/>
  <c r="BJ87" i="21"/>
  <c r="BK87" i="21"/>
  <c r="BL87" i="21"/>
  <c r="BM87" i="21"/>
  <c r="BN87" i="21"/>
  <c r="BO87" i="21"/>
  <c r="D88" i="21"/>
  <c r="F88" i="21"/>
  <c r="G88" i="21"/>
  <c r="H88" i="21"/>
  <c r="I88" i="21"/>
  <c r="K88" i="21"/>
  <c r="L88" i="21"/>
  <c r="N88" i="21"/>
  <c r="O88" i="21"/>
  <c r="P88" i="21"/>
  <c r="Q88" i="21"/>
  <c r="S88" i="21"/>
  <c r="T88" i="21"/>
  <c r="V88" i="21"/>
  <c r="X88" i="21"/>
  <c r="Y88" i="21"/>
  <c r="Z88" i="21"/>
  <c r="AA88" i="21"/>
  <c r="AB88" i="21"/>
  <c r="AC88" i="21"/>
  <c r="AF88" i="21"/>
  <c r="AG88" i="21"/>
  <c r="AH88" i="21"/>
  <c r="AI88" i="21"/>
  <c r="AJ88" i="21"/>
  <c r="AL88" i="21"/>
  <c r="AM88" i="21"/>
  <c r="AN88" i="21"/>
  <c r="AO88" i="21"/>
  <c r="AP88" i="21"/>
  <c r="AQ88" i="21"/>
  <c r="AR88" i="21"/>
  <c r="AS88" i="21"/>
  <c r="AT88" i="21"/>
  <c r="AU88" i="21"/>
  <c r="AV88" i="21"/>
  <c r="AW88" i="21"/>
  <c r="AX88" i="21"/>
  <c r="AY88" i="21"/>
  <c r="BB88" i="21"/>
  <c r="BC88" i="21"/>
  <c r="BD88" i="21"/>
  <c r="BE88" i="21"/>
  <c r="BF88" i="21"/>
  <c r="BG88" i="21"/>
  <c r="BH88" i="21"/>
  <c r="BI88" i="21"/>
  <c r="BJ88" i="21"/>
  <c r="BK88" i="21"/>
  <c r="BL88" i="21"/>
  <c r="BM88" i="21"/>
  <c r="BN88" i="21"/>
  <c r="BO88" i="21"/>
  <c r="D89" i="21"/>
  <c r="F89" i="21"/>
  <c r="G89" i="21"/>
  <c r="H89" i="21"/>
  <c r="I89" i="21"/>
  <c r="K89" i="21"/>
  <c r="L89" i="21"/>
  <c r="N89" i="21"/>
  <c r="O89" i="21"/>
  <c r="P89" i="21"/>
  <c r="Q89" i="21"/>
  <c r="S89" i="21"/>
  <c r="T89" i="21"/>
  <c r="V89" i="21"/>
  <c r="X89" i="21"/>
  <c r="Y89" i="21"/>
  <c r="Z89" i="21"/>
  <c r="AA89" i="21"/>
  <c r="AB89" i="21"/>
  <c r="AC89" i="21"/>
  <c r="AF89" i="21"/>
  <c r="AG89" i="21"/>
  <c r="AH89" i="21"/>
  <c r="AI89" i="21"/>
  <c r="AJ89" i="21"/>
  <c r="AL89" i="21"/>
  <c r="AM89" i="21"/>
  <c r="AN89" i="21"/>
  <c r="AO89" i="21"/>
  <c r="AP89" i="21"/>
  <c r="AQ89" i="21"/>
  <c r="AR89" i="21"/>
  <c r="AS89" i="21"/>
  <c r="AT89" i="21"/>
  <c r="AU89" i="21"/>
  <c r="AV89" i="21"/>
  <c r="AW89" i="21"/>
  <c r="AX89" i="21"/>
  <c r="AY89" i="21"/>
  <c r="BB89" i="21"/>
  <c r="BC89" i="21"/>
  <c r="BD89" i="21"/>
  <c r="BE89" i="21"/>
  <c r="BF89" i="21"/>
  <c r="BG89" i="21"/>
  <c r="BH89" i="21"/>
  <c r="BI89" i="21"/>
  <c r="BJ89" i="21"/>
  <c r="BK89" i="21"/>
  <c r="BL89" i="21"/>
  <c r="BM89" i="21"/>
  <c r="BN89" i="21"/>
  <c r="BO89" i="21"/>
  <c r="D90" i="21"/>
  <c r="F90" i="21"/>
  <c r="G90" i="21"/>
  <c r="H90" i="21"/>
  <c r="I90" i="21"/>
  <c r="K90" i="21"/>
  <c r="L90" i="21"/>
  <c r="N90" i="21"/>
  <c r="O90" i="21"/>
  <c r="P90" i="21"/>
  <c r="Q90" i="21"/>
  <c r="S90" i="21"/>
  <c r="T90" i="21"/>
  <c r="V90" i="21"/>
  <c r="X90" i="21"/>
  <c r="Y90" i="21"/>
  <c r="Z90" i="21"/>
  <c r="AA90" i="21"/>
  <c r="AB90" i="21"/>
  <c r="AC90" i="21"/>
  <c r="AF90" i="21"/>
  <c r="AG90" i="21"/>
  <c r="AH90" i="21"/>
  <c r="AI90" i="21"/>
  <c r="AJ90" i="21"/>
  <c r="AL90" i="21"/>
  <c r="AM90" i="21"/>
  <c r="AN90" i="21"/>
  <c r="AO90" i="21"/>
  <c r="AP90" i="21"/>
  <c r="AQ90" i="21"/>
  <c r="AR90" i="21"/>
  <c r="AS90" i="21"/>
  <c r="AT90" i="21"/>
  <c r="AU90" i="21"/>
  <c r="AV90" i="21"/>
  <c r="AW90" i="21"/>
  <c r="AX90" i="21"/>
  <c r="AY90" i="21"/>
  <c r="BB90" i="21"/>
  <c r="BC90" i="21"/>
  <c r="BD90" i="21"/>
  <c r="BE90" i="21"/>
  <c r="BF90" i="21"/>
  <c r="BG90" i="21"/>
  <c r="BH90" i="21"/>
  <c r="BI90" i="21"/>
  <c r="BJ90" i="21"/>
  <c r="BK90" i="21"/>
  <c r="BL90" i="21"/>
  <c r="BM90" i="21"/>
  <c r="BN90" i="21"/>
  <c r="BO90" i="21"/>
  <c r="D91" i="21"/>
  <c r="F91" i="21"/>
  <c r="G91" i="21"/>
  <c r="H91" i="21"/>
  <c r="I91" i="21"/>
  <c r="K91" i="21"/>
  <c r="L91" i="21"/>
  <c r="N91" i="21"/>
  <c r="O91" i="21"/>
  <c r="P91" i="21"/>
  <c r="Q91" i="21"/>
  <c r="S91" i="21"/>
  <c r="T91" i="21"/>
  <c r="V91" i="21"/>
  <c r="X91" i="21"/>
  <c r="Y91" i="21"/>
  <c r="Z91" i="21"/>
  <c r="AA91" i="21"/>
  <c r="AB91" i="21"/>
  <c r="AC91" i="21"/>
  <c r="AF91" i="21"/>
  <c r="AG91" i="21"/>
  <c r="AH91" i="21"/>
  <c r="AI91" i="21"/>
  <c r="AJ91" i="21"/>
  <c r="AL91" i="21"/>
  <c r="AM91" i="21"/>
  <c r="AN91" i="21"/>
  <c r="AO91" i="21"/>
  <c r="AP91" i="21"/>
  <c r="AQ91" i="21"/>
  <c r="AR91" i="21"/>
  <c r="AS91" i="21"/>
  <c r="AT91" i="21"/>
  <c r="AU91" i="21"/>
  <c r="AV91" i="21"/>
  <c r="AW91" i="21"/>
  <c r="AX91" i="21"/>
  <c r="AY91" i="21"/>
  <c r="BB91" i="21"/>
  <c r="BC91" i="21"/>
  <c r="BD91" i="21"/>
  <c r="BE91" i="21"/>
  <c r="BF91" i="21"/>
  <c r="BG91" i="21"/>
  <c r="BH91" i="21"/>
  <c r="BI91" i="21"/>
  <c r="BJ91" i="21"/>
  <c r="BK91" i="21"/>
  <c r="BL91" i="21"/>
  <c r="BM91" i="21"/>
  <c r="BN91" i="21"/>
  <c r="BO91" i="21"/>
  <c r="D92" i="21"/>
  <c r="F92" i="21"/>
  <c r="G92" i="21"/>
  <c r="H92" i="21"/>
  <c r="I92" i="21"/>
  <c r="K92" i="21"/>
  <c r="L92" i="21"/>
  <c r="N92" i="21"/>
  <c r="O92" i="21"/>
  <c r="P92" i="21"/>
  <c r="Q92" i="21"/>
  <c r="S92" i="21"/>
  <c r="T92" i="21"/>
  <c r="V92" i="21"/>
  <c r="X92" i="21"/>
  <c r="Y92" i="21"/>
  <c r="Z92" i="21"/>
  <c r="AA92" i="21"/>
  <c r="AB92" i="21"/>
  <c r="AC92" i="21"/>
  <c r="AF92" i="21"/>
  <c r="AG92" i="21"/>
  <c r="AH92" i="21"/>
  <c r="AI92" i="21"/>
  <c r="AJ92" i="21"/>
  <c r="AL92" i="21"/>
  <c r="AM92" i="21"/>
  <c r="AN92" i="21"/>
  <c r="AO92" i="21"/>
  <c r="AP92" i="21"/>
  <c r="AQ92" i="21"/>
  <c r="AR92" i="21"/>
  <c r="AS92" i="21"/>
  <c r="AT92" i="21"/>
  <c r="AU92" i="21"/>
  <c r="AV92" i="21"/>
  <c r="AW92" i="21"/>
  <c r="AX92" i="21"/>
  <c r="AY92" i="21"/>
  <c r="BB92" i="21"/>
  <c r="BC92" i="21"/>
  <c r="BD92" i="21"/>
  <c r="BE92" i="21"/>
  <c r="BF92" i="21"/>
  <c r="BG92" i="21"/>
  <c r="BH92" i="21"/>
  <c r="BI92" i="21"/>
  <c r="BJ92" i="21"/>
  <c r="BK92" i="21"/>
  <c r="BL92" i="21"/>
  <c r="BM92" i="21"/>
  <c r="BN92" i="21"/>
  <c r="BO92" i="21"/>
  <c r="D93" i="21"/>
  <c r="F93" i="21"/>
  <c r="G93" i="21"/>
  <c r="H93" i="21"/>
  <c r="I93" i="21"/>
  <c r="K93" i="21"/>
  <c r="L93" i="21"/>
  <c r="N93" i="21"/>
  <c r="O93" i="21"/>
  <c r="P93" i="21"/>
  <c r="Q93" i="21"/>
  <c r="S93" i="21"/>
  <c r="T93" i="21"/>
  <c r="V93" i="21"/>
  <c r="X93" i="21"/>
  <c r="Y93" i="21"/>
  <c r="Z93" i="21"/>
  <c r="AA93" i="21"/>
  <c r="AB93" i="21"/>
  <c r="AC93" i="21"/>
  <c r="AF93" i="21"/>
  <c r="AG93" i="21"/>
  <c r="AH93" i="21"/>
  <c r="AI93" i="21"/>
  <c r="AJ93" i="21"/>
  <c r="AL93" i="21"/>
  <c r="AM93" i="21"/>
  <c r="AN93" i="21"/>
  <c r="AO93" i="21"/>
  <c r="AP93" i="21"/>
  <c r="AQ93" i="21"/>
  <c r="AR93" i="21"/>
  <c r="AS93" i="21"/>
  <c r="AT93" i="21"/>
  <c r="AU93" i="21"/>
  <c r="AV93" i="21"/>
  <c r="AW93" i="21"/>
  <c r="AX93" i="21"/>
  <c r="AY93" i="21"/>
  <c r="BB93" i="21"/>
  <c r="BC93" i="21"/>
  <c r="BD93" i="21"/>
  <c r="BE93" i="21"/>
  <c r="BF93" i="21"/>
  <c r="BG93" i="21"/>
  <c r="BH93" i="21"/>
  <c r="BI93" i="21"/>
  <c r="BJ93" i="21"/>
  <c r="BK93" i="21"/>
  <c r="BL93" i="21"/>
  <c r="BM93" i="21"/>
  <c r="BN93" i="21"/>
  <c r="BO93" i="21"/>
  <c r="D94" i="21"/>
  <c r="F94" i="21"/>
  <c r="G94" i="21"/>
  <c r="H94" i="21"/>
  <c r="I94" i="21"/>
  <c r="K94" i="21"/>
  <c r="L94" i="21"/>
  <c r="N94" i="21"/>
  <c r="O94" i="21"/>
  <c r="P94" i="21"/>
  <c r="Q94" i="21"/>
  <c r="S94" i="21"/>
  <c r="T94" i="21"/>
  <c r="V94" i="21"/>
  <c r="X94" i="21"/>
  <c r="Y94" i="21"/>
  <c r="Z94" i="21"/>
  <c r="AA94" i="21"/>
  <c r="AB94" i="21"/>
  <c r="AC94" i="21"/>
  <c r="AF94" i="21"/>
  <c r="AG94" i="21"/>
  <c r="AH94" i="21"/>
  <c r="AI94" i="21"/>
  <c r="AJ94" i="21"/>
  <c r="AL94" i="21"/>
  <c r="AM94" i="21"/>
  <c r="AN94" i="21"/>
  <c r="AO94" i="21"/>
  <c r="AP94" i="21"/>
  <c r="AQ94" i="21"/>
  <c r="AR94" i="21"/>
  <c r="AS94" i="21"/>
  <c r="AT94" i="21"/>
  <c r="AU94" i="21"/>
  <c r="AV94" i="21"/>
  <c r="AW94" i="21"/>
  <c r="AX94" i="21"/>
  <c r="AY94" i="21"/>
  <c r="BB94" i="21"/>
  <c r="BC94" i="21"/>
  <c r="BD94" i="21"/>
  <c r="BE94" i="21"/>
  <c r="BF94" i="21"/>
  <c r="BG94" i="21"/>
  <c r="BH94" i="21"/>
  <c r="BI94" i="21"/>
  <c r="BJ94" i="21"/>
  <c r="BK94" i="21"/>
  <c r="BL94" i="21"/>
  <c r="BM94" i="21"/>
  <c r="BN94" i="21"/>
  <c r="BO94" i="21"/>
  <c r="D95" i="21"/>
  <c r="F95" i="21"/>
  <c r="G95" i="21"/>
  <c r="H95" i="21"/>
  <c r="I95" i="21"/>
  <c r="K95" i="21"/>
  <c r="L95" i="21"/>
  <c r="N95" i="21"/>
  <c r="O95" i="21"/>
  <c r="P95" i="21"/>
  <c r="Q95" i="21"/>
  <c r="S95" i="21"/>
  <c r="T95" i="21"/>
  <c r="V95" i="21"/>
  <c r="X95" i="21"/>
  <c r="Y95" i="21"/>
  <c r="Z95" i="21"/>
  <c r="AA95" i="21"/>
  <c r="AB95" i="21"/>
  <c r="AC95" i="21"/>
  <c r="AF95" i="21"/>
  <c r="AG95" i="21"/>
  <c r="AH95" i="21"/>
  <c r="AI95" i="21"/>
  <c r="AJ95" i="21"/>
  <c r="AL95" i="21"/>
  <c r="AM95" i="21"/>
  <c r="AN95" i="21"/>
  <c r="AO95" i="21"/>
  <c r="AP95" i="21"/>
  <c r="AQ95" i="21"/>
  <c r="AR95" i="21"/>
  <c r="AS95" i="21"/>
  <c r="AT95" i="21"/>
  <c r="AU95" i="21"/>
  <c r="AV95" i="21"/>
  <c r="AW95" i="21"/>
  <c r="AX95" i="21"/>
  <c r="AY95" i="21"/>
  <c r="BB95" i="21"/>
  <c r="BC95" i="21"/>
  <c r="BD95" i="21"/>
  <c r="BE95" i="21"/>
  <c r="BF95" i="21"/>
  <c r="BG95" i="21"/>
  <c r="BH95" i="21"/>
  <c r="BI95" i="21"/>
  <c r="BJ95" i="21"/>
  <c r="BK95" i="21"/>
  <c r="BL95" i="21"/>
  <c r="BM95" i="21"/>
  <c r="BN95" i="21"/>
  <c r="BO95" i="21"/>
  <c r="D96" i="21"/>
  <c r="F96" i="21"/>
  <c r="G96" i="21"/>
  <c r="H96" i="21"/>
  <c r="I96" i="21"/>
  <c r="K96" i="21"/>
  <c r="L96" i="21"/>
  <c r="N96" i="21"/>
  <c r="O96" i="21"/>
  <c r="P96" i="21"/>
  <c r="Q96" i="21"/>
  <c r="S96" i="21"/>
  <c r="T96" i="21"/>
  <c r="V96" i="21"/>
  <c r="X96" i="21"/>
  <c r="Y96" i="21"/>
  <c r="Z96" i="21"/>
  <c r="AA96" i="21"/>
  <c r="AB96" i="21"/>
  <c r="AC96" i="21"/>
  <c r="AF96" i="21"/>
  <c r="AG96" i="21"/>
  <c r="AH96" i="21"/>
  <c r="AI96" i="21"/>
  <c r="AJ96" i="21"/>
  <c r="AL96" i="21"/>
  <c r="AM96" i="21"/>
  <c r="AN96" i="21"/>
  <c r="AO96" i="21"/>
  <c r="AP96" i="21"/>
  <c r="AQ96" i="21"/>
  <c r="AR96" i="21"/>
  <c r="AS96" i="21"/>
  <c r="AT96" i="21"/>
  <c r="AU96" i="21"/>
  <c r="AV96" i="21"/>
  <c r="AW96" i="21"/>
  <c r="AX96" i="21"/>
  <c r="AY96" i="21"/>
  <c r="BB96" i="21"/>
  <c r="BC96" i="21"/>
  <c r="BD96" i="21"/>
  <c r="BE96" i="21"/>
  <c r="BF96" i="21"/>
  <c r="BG96" i="21"/>
  <c r="BH96" i="21"/>
  <c r="BI96" i="21"/>
  <c r="BJ96" i="21"/>
  <c r="BK96" i="21"/>
  <c r="BL96" i="21"/>
  <c r="BM96" i="21"/>
  <c r="BN96" i="21"/>
  <c r="BO96" i="21"/>
  <c r="D97" i="21"/>
  <c r="F97" i="21"/>
  <c r="G97" i="21"/>
  <c r="H97" i="21"/>
  <c r="I97" i="21"/>
  <c r="K97" i="21"/>
  <c r="L97" i="21"/>
  <c r="N97" i="21"/>
  <c r="O97" i="21"/>
  <c r="P97" i="21"/>
  <c r="Q97" i="21"/>
  <c r="S97" i="21"/>
  <c r="T97" i="21"/>
  <c r="V97" i="21"/>
  <c r="X97" i="21"/>
  <c r="Y97" i="21"/>
  <c r="Z97" i="21"/>
  <c r="AA97" i="21"/>
  <c r="AB97" i="21"/>
  <c r="AC97" i="21"/>
  <c r="AF97" i="21"/>
  <c r="AG97" i="21"/>
  <c r="AH97" i="21"/>
  <c r="AI97" i="21"/>
  <c r="AJ97" i="21"/>
  <c r="AL97" i="21"/>
  <c r="AM97" i="21"/>
  <c r="AN97" i="21"/>
  <c r="AO97" i="21"/>
  <c r="AP97" i="21"/>
  <c r="AQ97" i="21"/>
  <c r="AR97" i="21"/>
  <c r="AS97" i="21"/>
  <c r="AT97" i="21"/>
  <c r="AU97" i="21"/>
  <c r="AV97" i="21"/>
  <c r="AW97" i="21"/>
  <c r="AX97" i="21"/>
  <c r="AY97" i="21"/>
  <c r="BB97" i="21"/>
  <c r="BC97" i="21"/>
  <c r="BD97" i="21"/>
  <c r="BE97" i="21"/>
  <c r="BF97" i="21"/>
  <c r="BG97" i="21"/>
  <c r="BH97" i="21"/>
  <c r="BI97" i="21"/>
  <c r="BJ97" i="21"/>
  <c r="BK97" i="21"/>
  <c r="BL97" i="21"/>
  <c r="BM97" i="21"/>
  <c r="BN97" i="21"/>
  <c r="BO97" i="21"/>
  <c r="D98" i="21"/>
  <c r="F98" i="21"/>
  <c r="G98" i="21"/>
  <c r="H98" i="21"/>
  <c r="I98" i="21"/>
  <c r="K98" i="21"/>
  <c r="L98" i="21"/>
  <c r="N98" i="21"/>
  <c r="O98" i="21"/>
  <c r="P98" i="21"/>
  <c r="Q98" i="21"/>
  <c r="S98" i="21"/>
  <c r="T98" i="21"/>
  <c r="V98" i="21"/>
  <c r="X98" i="21"/>
  <c r="Y98" i="21"/>
  <c r="Z98" i="21"/>
  <c r="AA98" i="21"/>
  <c r="AB98" i="21"/>
  <c r="AC98" i="21"/>
  <c r="AF98" i="21"/>
  <c r="AG98" i="21"/>
  <c r="AH98" i="21"/>
  <c r="AI98" i="21"/>
  <c r="AJ98" i="21"/>
  <c r="AL98" i="21"/>
  <c r="AM98" i="21"/>
  <c r="AN98" i="21"/>
  <c r="AO98" i="21"/>
  <c r="AP98" i="21"/>
  <c r="AQ98" i="21"/>
  <c r="AR98" i="21"/>
  <c r="AS98" i="21"/>
  <c r="AT98" i="21"/>
  <c r="AU98" i="21"/>
  <c r="AV98" i="21"/>
  <c r="AW98" i="21"/>
  <c r="AX98" i="21"/>
  <c r="AY98" i="21"/>
  <c r="BB98" i="21"/>
  <c r="BC98" i="21"/>
  <c r="BD98" i="21"/>
  <c r="BE98" i="21"/>
  <c r="BF98" i="21"/>
  <c r="BG98" i="21"/>
  <c r="BH98" i="21"/>
  <c r="BI98" i="21"/>
  <c r="BJ98" i="21"/>
  <c r="BK98" i="21"/>
  <c r="BL98" i="21"/>
  <c r="BM98" i="21"/>
  <c r="BN98" i="21"/>
  <c r="BO98" i="21"/>
  <c r="D99" i="21"/>
  <c r="F99" i="21"/>
  <c r="G99" i="21"/>
  <c r="H99" i="21"/>
  <c r="I99" i="21"/>
  <c r="K99" i="21"/>
  <c r="L99" i="21"/>
  <c r="N99" i="21"/>
  <c r="O99" i="21"/>
  <c r="P99" i="21"/>
  <c r="Q99" i="21"/>
  <c r="S99" i="21"/>
  <c r="T99" i="21"/>
  <c r="V99" i="21"/>
  <c r="X99" i="21"/>
  <c r="Y99" i="21"/>
  <c r="Z99" i="21"/>
  <c r="AA99" i="21"/>
  <c r="AB99" i="21"/>
  <c r="AC99" i="21"/>
  <c r="AF99" i="21"/>
  <c r="AG99" i="21"/>
  <c r="AH99" i="21"/>
  <c r="AI99" i="21"/>
  <c r="AJ99" i="21"/>
  <c r="AL99" i="21"/>
  <c r="AM99" i="21"/>
  <c r="AN99" i="21"/>
  <c r="AO99" i="21"/>
  <c r="AP99" i="21"/>
  <c r="AQ99" i="21"/>
  <c r="AR99" i="21"/>
  <c r="AS99" i="21"/>
  <c r="AT99" i="21"/>
  <c r="AU99" i="21"/>
  <c r="AV99" i="21"/>
  <c r="AW99" i="21"/>
  <c r="AX99" i="21"/>
  <c r="AY99" i="21"/>
  <c r="BB99" i="21"/>
  <c r="BC99" i="21"/>
  <c r="BD99" i="21"/>
  <c r="BE99" i="21"/>
  <c r="BF99" i="21"/>
  <c r="BG99" i="21"/>
  <c r="BH99" i="21"/>
  <c r="BI99" i="21"/>
  <c r="BJ99" i="21"/>
  <c r="BK99" i="21"/>
  <c r="BL99" i="21"/>
  <c r="BM99" i="21"/>
  <c r="BN99" i="21"/>
  <c r="BO99" i="21"/>
  <c r="D100" i="21"/>
  <c r="F100" i="21"/>
  <c r="G100" i="21"/>
  <c r="H100" i="21"/>
  <c r="I100" i="21"/>
  <c r="K100" i="21"/>
  <c r="L100" i="21"/>
  <c r="N100" i="21"/>
  <c r="O100" i="21"/>
  <c r="P100" i="21"/>
  <c r="Q100" i="21"/>
  <c r="S100" i="21"/>
  <c r="T100" i="21"/>
  <c r="V100" i="21"/>
  <c r="X100" i="21"/>
  <c r="Y100" i="21"/>
  <c r="Z100" i="21"/>
  <c r="AA100" i="21"/>
  <c r="AB100" i="21"/>
  <c r="AC100" i="21"/>
  <c r="AF100" i="21"/>
  <c r="AG100" i="21"/>
  <c r="AH100" i="21"/>
  <c r="AI100" i="21"/>
  <c r="AJ100" i="21"/>
  <c r="AL100" i="21"/>
  <c r="AM100" i="21"/>
  <c r="AN100" i="21"/>
  <c r="AO100" i="21"/>
  <c r="AP100" i="21"/>
  <c r="AQ100" i="21"/>
  <c r="AR100" i="21"/>
  <c r="AS100" i="21"/>
  <c r="AT100" i="21"/>
  <c r="AU100" i="21"/>
  <c r="AV100" i="21"/>
  <c r="AW100" i="21"/>
  <c r="AX100" i="21"/>
  <c r="AY100" i="21"/>
  <c r="BB100" i="21"/>
  <c r="BC100" i="21"/>
  <c r="BD100" i="21"/>
  <c r="BE100" i="21"/>
  <c r="BF100" i="21"/>
  <c r="BG100" i="21"/>
  <c r="BH100" i="21"/>
  <c r="BI100" i="21"/>
  <c r="BJ100" i="21"/>
  <c r="BK100" i="21"/>
  <c r="BL100" i="21"/>
  <c r="BM100" i="21"/>
  <c r="BN100" i="21"/>
  <c r="BO100" i="21"/>
  <c r="D101" i="21"/>
  <c r="F101" i="21"/>
  <c r="G101" i="21"/>
  <c r="H101" i="21"/>
  <c r="I101" i="21"/>
  <c r="K101" i="21"/>
  <c r="L101" i="21"/>
  <c r="N101" i="21"/>
  <c r="O101" i="21"/>
  <c r="P101" i="21"/>
  <c r="Q101" i="21"/>
  <c r="S101" i="21"/>
  <c r="T101" i="21"/>
  <c r="V101" i="21"/>
  <c r="X101" i="21"/>
  <c r="Y101" i="21"/>
  <c r="Z101" i="21"/>
  <c r="AA101" i="21"/>
  <c r="AB101" i="21"/>
  <c r="AC101" i="21"/>
  <c r="AF101" i="21"/>
  <c r="AG101" i="21"/>
  <c r="AH101" i="21"/>
  <c r="AI101" i="21"/>
  <c r="AJ101" i="21"/>
  <c r="AL101" i="21"/>
  <c r="AM101" i="21"/>
  <c r="AN101" i="21"/>
  <c r="AO101" i="21"/>
  <c r="AP101" i="21"/>
  <c r="AQ101" i="21"/>
  <c r="AR101" i="21"/>
  <c r="AS101" i="21"/>
  <c r="AT101" i="21"/>
  <c r="AU101" i="21"/>
  <c r="AV101" i="21"/>
  <c r="AW101" i="21"/>
  <c r="AX101" i="21"/>
  <c r="AY101" i="21"/>
  <c r="BB101" i="21"/>
  <c r="BC101" i="21"/>
  <c r="BD101" i="21"/>
  <c r="BE101" i="21"/>
  <c r="BF101" i="21"/>
  <c r="BG101" i="21"/>
  <c r="BH101" i="21"/>
  <c r="BI101" i="21"/>
  <c r="BJ101" i="21"/>
  <c r="BK101" i="21"/>
  <c r="BL101" i="21"/>
  <c r="BM101" i="21"/>
  <c r="BN101" i="21"/>
  <c r="BO101" i="21"/>
  <c r="D102" i="21"/>
  <c r="F102" i="21"/>
  <c r="G102" i="21"/>
  <c r="H102" i="21"/>
  <c r="I102" i="21"/>
  <c r="K102" i="21"/>
  <c r="L102" i="21"/>
  <c r="N102" i="21"/>
  <c r="O102" i="21"/>
  <c r="P102" i="21"/>
  <c r="Q102" i="21"/>
  <c r="S102" i="21"/>
  <c r="T102" i="21"/>
  <c r="V102" i="21"/>
  <c r="X102" i="21"/>
  <c r="Y102" i="21"/>
  <c r="Z102" i="21"/>
  <c r="AA102" i="21"/>
  <c r="AB102" i="21"/>
  <c r="AC102" i="21"/>
  <c r="AF102" i="21"/>
  <c r="AG102" i="21"/>
  <c r="AH102" i="21"/>
  <c r="AI102" i="21"/>
  <c r="AJ102" i="21"/>
  <c r="AL102" i="21"/>
  <c r="AM102" i="21"/>
  <c r="AN102" i="21"/>
  <c r="AO102" i="21"/>
  <c r="AP102" i="21"/>
  <c r="AQ102" i="21"/>
  <c r="AR102" i="21"/>
  <c r="AS102" i="21"/>
  <c r="AT102" i="21"/>
  <c r="AU102" i="21"/>
  <c r="AV102" i="21"/>
  <c r="AW102" i="21"/>
  <c r="AX102" i="21"/>
  <c r="AY102" i="21"/>
  <c r="BB102" i="21"/>
  <c r="BC102" i="21"/>
  <c r="BD102" i="21"/>
  <c r="BE102" i="21"/>
  <c r="BF102" i="21"/>
  <c r="BG102" i="21"/>
  <c r="BH102" i="21"/>
  <c r="BI102" i="21"/>
  <c r="BJ102" i="21"/>
  <c r="BK102" i="21"/>
  <c r="BL102" i="21"/>
  <c r="BM102" i="21"/>
  <c r="BN102" i="21"/>
  <c r="BO102" i="21"/>
  <c r="D103" i="21"/>
  <c r="F103" i="21"/>
  <c r="G103" i="21"/>
  <c r="H103" i="21"/>
  <c r="I103" i="21"/>
  <c r="K103" i="21"/>
  <c r="L103" i="21"/>
  <c r="N103" i="21"/>
  <c r="O103" i="21"/>
  <c r="P103" i="21"/>
  <c r="Q103" i="21"/>
  <c r="S103" i="21"/>
  <c r="T103" i="21"/>
  <c r="V103" i="21"/>
  <c r="X103" i="21"/>
  <c r="Y103" i="21"/>
  <c r="Z103" i="21"/>
  <c r="AA103" i="21"/>
  <c r="AB103" i="21"/>
  <c r="AC103" i="21"/>
  <c r="AF103" i="21"/>
  <c r="AG103" i="21"/>
  <c r="AH103" i="21"/>
  <c r="AI103" i="21"/>
  <c r="AJ103" i="21"/>
  <c r="AL103" i="21"/>
  <c r="AM103" i="21"/>
  <c r="AN103" i="21"/>
  <c r="AO103" i="21"/>
  <c r="AP103" i="21"/>
  <c r="AQ103" i="21"/>
  <c r="AR103" i="21"/>
  <c r="AS103" i="21"/>
  <c r="AT103" i="21"/>
  <c r="AU103" i="21"/>
  <c r="AV103" i="21"/>
  <c r="AW103" i="21"/>
  <c r="AX103" i="21"/>
  <c r="AY103" i="21"/>
  <c r="BB103" i="21"/>
  <c r="BC103" i="21"/>
  <c r="BD103" i="21"/>
  <c r="BE103" i="21"/>
  <c r="BF103" i="21"/>
  <c r="BG103" i="21"/>
  <c r="BH103" i="21"/>
  <c r="BI103" i="21"/>
  <c r="BJ103" i="21"/>
  <c r="BK103" i="21"/>
  <c r="BL103" i="21"/>
  <c r="BM103" i="21"/>
  <c r="BN103" i="21"/>
  <c r="BO103" i="21"/>
  <c r="D104" i="21"/>
  <c r="F104" i="21"/>
  <c r="G104" i="21"/>
  <c r="H104" i="21"/>
  <c r="I104" i="21"/>
  <c r="K104" i="21"/>
  <c r="L104" i="21"/>
  <c r="N104" i="21"/>
  <c r="O104" i="21"/>
  <c r="P104" i="21"/>
  <c r="Q104" i="21"/>
  <c r="S104" i="21"/>
  <c r="T104" i="21"/>
  <c r="V104" i="21"/>
  <c r="X104" i="21"/>
  <c r="Y104" i="21"/>
  <c r="Z104" i="21"/>
  <c r="AA104" i="21"/>
  <c r="AB104" i="21"/>
  <c r="AC104" i="21"/>
  <c r="AF104" i="21"/>
  <c r="AG104" i="21"/>
  <c r="AH104" i="21"/>
  <c r="AI104" i="21"/>
  <c r="AJ104" i="21"/>
  <c r="AL104" i="21"/>
  <c r="AM104" i="21"/>
  <c r="AN104" i="21"/>
  <c r="AO104" i="21"/>
  <c r="AP104" i="21"/>
  <c r="AQ104" i="21"/>
  <c r="AR104" i="21"/>
  <c r="AS104" i="21"/>
  <c r="AT104" i="21"/>
  <c r="AU104" i="21"/>
  <c r="AV104" i="21"/>
  <c r="AW104" i="21"/>
  <c r="AX104" i="21"/>
  <c r="AY104" i="21"/>
  <c r="BB104" i="21"/>
  <c r="BC104" i="21"/>
  <c r="BD104" i="21"/>
  <c r="BE104" i="21"/>
  <c r="BF104" i="21"/>
  <c r="BG104" i="21"/>
  <c r="BH104" i="21"/>
  <c r="BI104" i="21"/>
  <c r="BJ104" i="21"/>
  <c r="BK104" i="21"/>
  <c r="BL104" i="21"/>
  <c r="BM104" i="21"/>
  <c r="BN104" i="21"/>
  <c r="BO104" i="21"/>
  <c r="D105" i="21"/>
  <c r="F105" i="21"/>
  <c r="G105" i="21"/>
  <c r="H105" i="21"/>
  <c r="I105" i="21"/>
  <c r="K105" i="21"/>
  <c r="L105" i="21"/>
  <c r="N105" i="21"/>
  <c r="O105" i="21"/>
  <c r="P105" i="21"/>
  <c r="Q105" i="21"/>
  <c r="S105" i="21"/>
  <c r="T105" i="21"/>
  <c r="V105" i="21"/>
  <c r="X105" i="21"/>
  <c r="Y105" i="21"/>
  <c r="Z105" i="21"/>
  <c r="AA105" i="21"/>
  <c r="AB105" i="21"/>
  <c r="AC105" i="21"/>
  <c r="AF105" i="21"/>
  <c r="AG105" i="21"/>
  <c r="AH105" i="21"/>
  <c r="AI105" i="21"/>
  <c r="AJ105" i="21"/>
  <c r="AL105" i="21"/>
  <c r="AM105" i="21"/>
  <c r="AN105" i="21"/>
  <c r="AO105" i="21"/>
  <c r="AP105" i="21"/>
  <c r="AQ105" i="21"/>
  <c r="AR105" i="21"/>
  <c r="AS105" i="21"/>
  <c r="AT105" i="21"/>
  <c r="AU105" i="21"/>
  <c r="AV105" i="21"/>
  <c r="AW105" i="21"/>
  <c r="AX105" i="21"/>
  <c r="AY105" i="21"/>
  <c r="BB105" i="21"/>
  <c r="BC105" i="21"/>
  <c r="BD105" i="21"/>
  <c r="BE105" i="21"/>
  <c r="BF105" i="21"/>
  <c r="BG105" i="21"/>
  <c r="BH105" i="21"/>
  <c r="BI105" i="21"/>
  <c r="BJ105" i="21"/>
  <c r="BK105" i="21"/>
  <c r="BL105" i="21"/>
  <c r="BM105" i="21"/>
  <c r="BN105" i="21"/>
  <c r="BO105" i="21"/>
  <c r="D106" i="21"/>
  <c r="F106" i="21"/>
  <c r="G106" i="21"/>
  <c r="H106" i="21"/>
  <c r="I106" i="21"/>
  <c r="K106" i="21"/>
  <c r="L106" i="21"/>
  <c r="N106" i="21"/>
  <c r="O106" i="21"/>
  <c r="P106" i="21"/>
  <c r="Q106" i="21"/>
  <c r="S106" i="21"/>
  <c r="T106" i="21"/>
  <c r="V106" i="21"/>
  <c r="X106" i="21"/>
  <c r="Y106" i="21"/>
  <c r="Z106" i="21"/>
  <c r="AA106" i="21"/>
  <c r="AB106" i="21"/>
  <c r="AC106" i="21"/>
  <c r="AF106" i="21"/>
  <c r="AG106" i="21"/>
  <c r="AH106" i="21"/>
  <c r="AI106" i="21"/>
  <c r="AJ106" i="21"/>
  <c r="AL106" i="21"/>
  <c r="AM106" i="21"/>
  <c r="AN106" i="21"/>
  <c r="AO106" i="21"/>
  <c r="AP106" i="21"/>
  <c r="AQ106" i="21"/>
  <c r="AR106" i="21"/>
  <c r="AS106" i="21"/>
  <c r="AT106" i="21"/>
  <c r="AU106" i="21"/>
  <c r="AV106" i="21"/>
  <c r="AW106" i="21"/>
  <c r="AX106" i="21"/>
  <c r="AY106" i="21"/>
  <c r="BB106" i="21"/>
  <c r="BC106" i="21"/>
  <c r="BD106" i="21"/>
  <c r="BE106" i="21"/>
  <c r="BF106" i="21"/>
  <c r="BG106" i="21"/>
  <c r="BH106" i="21"/>
  <c r="BI106" i="21"/>
  <c r="BJ106" i="21"/>
  <c r="BK106" i="21"/>
  <c r="BL106" i="21"/>
  <c r="BM106" i="21"/>
  <c r="BN106" i="21"/>
  <c r="BO106" i="21"/>
  <c r="D107" i="21"/>
  <c r="F107" i="21"/>
  <c r="G107" i="21"/>
  <c r="H107" i="21"/>
  <c r="I107" i="21"/>
  <c r="K107" i="21"/>
  <c r="L107" i="21"/>
  <c r="N107" i="21"/>
  <c r="O107" i="21"/>
  <c r="P107" i="21"/>
  <c r="Q107" i="21"/>
  <c r="S107" i="21"/>
  <c r="T107" i="21"/>
  <c r="V107" i="21"/>
  <c r="X107" i="21"/>
  <c r="Y107" i="21"/>
  <c r="Z107" i="21"/>
  <c r="AA107" i="21"/>
  <c r="AB107" i="21"/>
  <c r="AC107" i="21"/>
  <c r="AF107" i="21"/>
  <c r="AG107" i="21"/>
  <c r="AH107" i="21"/>
  <c r="AI107" i="21"/>
  <c r="AJ107" i="21"/>
  <c r="AL107" i="21"/>
  <c r="AM107" i="21"/>
  <c r="AN107" i="21"/>
  <c r="AO107" i="21"/>
  <c r="AP107" i="21"/>
  <c r="AQ107" i="21"/>
  <c r="AR107" i="21"/>
  <c r="AS107" i="21"/>
  <c r="AT107" i="21"/>
  <c r="AU107" i="21"/>
  <c r="AV107" i="21"/>
  <c r="AW107" i="21"/>
  <c r="AX107" i="21"/>
  <c r="AY107" i="21"/>
  <c r="BB107" i="21"/>
  <c r="BC107" i="21"/>
  <c r="BD107" i="21"/>
  <c r="BE107" i="21"/>
  <c r="BF107" i="21"/>
  <c r="BG107" i="21"/>
  <c r="BH107" i="21"/>
  <c r="BI107" i="21"/>
  <c r="BJ107" i="21"/>
  <c r="BK107" i="21"/>
  <c r="BL107" i="21"/>
  <c r="BM107" i="21"/>
  <c r="BN107" i="21"/>
  <c r="BO107" i="21"/>
  <c r="D108" i="21"/>
  <c r="F108" i="21"/>
  <c r="G108" i="21"/>
  <c r="H108" i="21"/>
  <c r="I108" i="21"/>
  <c r="K108" i="21"/>
  <c r="L108" i="21"/>
  <c r="N108" i="21"/>
  <c r="O108" i="21"/>
  <c r="P108" i="21"/>
  <c r="Q108" i="21"/>
  <c r="S108" i="21"/>
  <c r="T108" i="21"/>
  <c r="V108" i="21"/>
  <c r="X108" i="21"/>
  <c r="Y108" i="21"/>
  <c r="Z108" i="21"/>
  <c r="AA108" i="21"/>
  <c r="AB108" i="21"/>
  <c r="AC108" i="21"/>
  <c r="AF108" i="21"/>
  <c r="AG108" i="21"/>
  <c r="AH108" i="21"/>
  <c r="AI108" i="21"/>
  <c r="AJ108" i="21"/>
  <c r="AL108" i="21"/>
  <c r="AM108" i="21"/>
  <c r="AN108" i="21"/>
  <c r="AO108" i="21"/>
  <c r="AP108" i="21"/>
  <c r="AQ108" i="21"/>
  <c r="AR108" i="21"/>
  <c r="AS108" i="21"/>
  <c r="AT108" i="21"/>
  <c r="AU108" i="21"/>
  <c r="AV108" i="21"/>
  <c r="AW108" i="21"/>
  <c r="AX108" i="21"/>
  <c r="AY108" i="21"/>
  <c r="BB108" i="21"/>
  <c r="BC108" i="21"/>
  <c r="BD108" i="21"/>
  <c r="BE108" i="21"/>
  <c r="BF108" i="21"/>
  <c r="BG108" i="21"/>
  <c r="BH108" i="21"/>
  <c r="BI108" i="21"/>
  <c r="BJ108" i="21"/>
  <c r="BK108" i="21"/>
  <c r="BL108" i="21"/>
  <c r="BM108" i="21"/>
  <c r="BN108" i="21"/>
  <c r="BO108" i="21"/>
  <c r="D109" i="21"/>
  <c r="F109" i="21"/>
  <c r="G109" i="21"/>
  <c r="H109" i="21"/>
  <c r="I109" i="21"/>
  <c r="K109" i="21"/>
  <c r="L109" i="21"/>
  <c r="N109" i="21"/>
  <c r="O109" i="21"/>
  <c r="P109" i="21"/>
  <c r="Q109" i="21"/>
  <c r="S109" i="21"/>
  <c r="T109" i="21"/>
  <c r="V109" i="21"/>
  <c r="X109" i="21"/>
  <c r="Y109" i="21"/>
  <c r="Z109" i="21"/>
  <c r="AA109" i="21"/>
  <c r="AB109" i="21"/>
  <c r="AC109" i="21"/>
  <c r="AF109" i="21"/>
  <c r="AG109" i="21"/>
  <c r="AH109" i="21"/>
  <c r="AI109" i="21"/>
  <c r="AJ109" i="21"/>
  <c r="AL109" i="21"/>
  <c r="AM109" i="21"/>
  <c r="AN109" i="21"/>
  <c r="AO109" i="21"/>
  <c r="AP109" i="21"/>
  <c r="AQ109" i="21"/>
  <c r="AR109" i="21"/>
  <c r="AS109" i="21"/>
  <c r="AT109" i="21"/>
  <c r="AU109" i="21"/>
  <c r="AV109" i="21"/>
  <c r="AW109" i="21"/>
  <c r="AX109" i="21"/>
  <c r="AY109" i="21"/>
  <c r="BB109" i="21"/>
  <c r="BC109" i="21"/>
  <c r="BD109" i="21"/>
  <c r="BE109" i="21"/>
  <c r="BF109" i="21"/>
  <c r="BG109" i="21"/>
  <c r="BH109" i="21"/>
  <c r="BI109" i="21"/>
  <c r="BJ109" i="21"/>
  <c r="BK109" i="21"/>
  <c r="BL109" i="21"/>
  <c r="BM109" i="21"/>
  <c r="BN109" i="21"/>
  <c r="BO109" i="21"/>
  <c r="D110" i="21"/>
  <c r="F110" i="21"/>
  <c r="G110" i="21"/>
  <c r="H110" i="21"/>
  <c r="I110" i="21"/>
  <c r="K110" i="21"/>
  <c r="L110" i="21"/>
  <c r="N110" i="21"/>
  <c r="O110" i="21"/>
  <c r="P110" i="21"/>
  <c r="Q110" i="21"/>
  <c r="S110" i="21"/>
  <c r="T110" i="21"/>
  <c r="V110" i="21"/>
  <c r="X110" i="21"/>
  <c r="Y110" i="21"/>
  <c r="Z110" i="21"/>
  <c r="AA110" i="21"/>
  <c r="AB110" i="21"/>
  <c r="AC110" i="21"/>
  <c r="AF110" i="21"/>
  <c r="AG110" i="21"/>
  <c r="AH110" i="21"/>
  <c r="AI110" i="21"/>
  <c r="AJ110" i="21"/>
  <c r="AL110" i="21"/>
  <c r="AM110" i="21"/>
  <c r="AN110" i="21"/>
  <c r="AO110" i="21"/>
  <c r="AP110" i="21"/>
  <c r="AQ110" i="21"/>
  <c r="AR110" i="21"/>
  <c r="AS110" i="21"/>
  <c r="AT110" i="21"/>
  <c r="AU110" i="21"/>
  <c r="AV110" i="21"/>
  <c r="AW110" i="21"/>
  <c r="AX110" i="21"/>
  <c r="AY110" i="21"/>
  <c r="BB110" i="21"/>
  <c r="BC110" i="21"/>
  <c r="BD110" i="21"/>
  <c r="BE110" i="21"/>
  <c r="BF110" i="21"/>
  <c r="BG110" i="21"/>
  <c r="BH110" i="21"/>
  <c r="BI110" i="21"/>
  <c r="BJ110" i="21"/>
  <c r="BK110" i="21"/>
  <c r="BL110" i="21"/>
  <c r="BM110" i="21"/>
  <c r="BN110" i="21"/>
  <c r="BO110" i="21"/>
  <c r="D111" i="21"/>
  <c r="F111" i="21"/>
  <c r="G111" i="21"/>
  <c r="H111" i="21"/>
  <c r="I111" i="21"/>
  <c r="K111" i="21"/>
  <c r="L111" i="21"/>
  <c r="N111" i="21"/>
  <c r="O111" i="21"/>
  <c r="P111" i="21"/>
  <c r="Q111" i="21"/>
  <c r="S111" i="21"/>
  <c r="T111" i="21"/>
  <c r="V111" i="21"/>
  <c r="X111" i="21"/>
  <c r="Y111" i="21"/>
  <c r="Z111" i="21"/>
  <c r="AA111" i="21"/>
  <c r="AB111" i="21"/>
  <c r="AC111" i="21"/>
  <c r="AF111" i="21"/>
  <c r="AG111" i="21"/>
  <c r="AH111" i="21"/>
  <c r="AI111" i="21"/>
  <c r="AJ111" i="21"/>
  <c r="AL111" i="21"/>
  <c r="AM111" i="21"/>
  <c r="AN111" i="21"/>
  <c r="AO111" i="21"/>
  <c r="AP111" i="21"/>
  <c r="AQ111" i="21"/>
  <c r="AR111" i="21"/>
  <c r="AS111" i="21"/>
  <c r="AT111" i="21"/>
  <c r="AU111" i="21"/>
  <c r="AV111" i="21"/>
  <c r="AW111" i="21"/>
  <c r="AX111" i="21"/>
  <c r="AY111" i="21"/>
  <c r="BB111" i="21"/>
  <c r="BC111" i="21"/>
  <c r="BD111" i="21"/>
  <c r="BE111" i="21"/>
  <c r="BF111" i="21"/>
  <c r="BG111" i="21"/>
  <c r="BH111" i="21"/>
  <c r="BI111" i="21"/>
  <c r="BJ111" i="21"/>
  <c r="BK111" i="21"/>
  <c r="BL111" i="21"/>
  <c r="BM111" i="21"/>
  <c r="BN111" i="21"/>
  <c r="BO111" i="21"/>
  <c r="D112" i="21"/>
  <c r="F112" i="21"/>
  <c r="G112" i="21"/>
  <c r="H112" i="21"/>
  <c r="I112" i="21"/>
  <c r="K112" i="21"/>
  <c r="L112" i="21"/>
  <c r="N112" i="21"/>
  <c r="O112" i="21"/>
  <c r="P112" i="21"/>
  <c r="Q112" i="21"/>
  <c r="S112" i="21"/>
  <c r="T112" i="21"/>
  <c r="V112" i="21"/>
  <c r="X112" i="21"/>
  <c r="Y112" i="21"/>
  <c r="Z112" i="21"/>
  <c r="AA112" i="21"/>
  <c r="AB112" i="21"/>
  <c r="AC112" i="21"/>
  <c r="AF112" i="21"/>
  <c r="AG112" i="21"/>
  <c r="AH112" i="21"/>
  <c r="AI112" i="21"/>
  <c r="AJ112" i="21"/>
  <c r="AL112" i="21"/>
  <c r="AM112" i="21"/>
  <c r="AN112" i="21"/>
  <c r="AO112" i="21"/>
  <c r="AP112" i="21"/>
  <c r="AQ112" i="21"/>
  <c r="AR112" i="21"/>
  <c r="AS112" i="21"/>
  <c r="AT112" i="21"/>
  <c r="AU112" i="21"/>
  <c r="AV112" i="21"/>
  <c r="AW112" i="21"/>
  <c r="AX112" i="21"/>
  <c r="AY112" i="21"/>
  <c r="BB112" i="21"/>
  <c r="BC112" i="21"/>
  <c r="BD112" i="21"/>
  <c r="BE112" i="21"/>
  <c r="BF112" i="21"/>
  <c r="BG112" i="21"/>
  <c r="BH112" i="21"/>
  <c r="BI112" i="21"/>
  <c r="BJ112" i="21"/>
  <c r="BK112" i="21"/>
  <c r="BL112" i="21"/>
  <c r="BM112" i="21"/>
  <c r="BN112" i="21"/>
  <c r="BO112" i="21"/>
  <c r="D113" i="21"/>
  <c r="F113" i="21"/>
  <c r="G113" i="21"/>
  <c r="H113" i="21"/>
  <c r="I113" i="21"/>
  <c r="K113" i="21"/>
  <c r="L113" i="21"/>
  <c r="N113" i="21"/>
  <c r="O113" i="21"/>
  <c r="P113" i="21"/>
  <c r="Q113" i="21"/>
  <c r="S113" i="21"/>
  <c r="T113" i="21"/>
  <c r="V113" i="21"/>
  <c r="X113" i="21"/>
  <c r="Y113" i="21"/>
  <c r="Z113" i="21"/>
  <c r="AA113" i="21"/>
  <c r="AB113" i="21"/>
  <c r="AC113" i="21"/>
  <c r="AF113" i="21"/>
  <c r="AG113" i="21"/>
  <c r="AH113" i="21"/>
  <c r="AI113" i="21"/>
  <c r="AJ113" i="21"/>
  <c r="AL113" i="21"/>
  <c r="AM113" i="21"/>
  <c r="AN113" i="21"/>
  <c r="AO113" i="21"/>
  <c r="AP113" i="21"/>
  <c r="AQ113" i="21"/>
  <c r="AR113" i="21"/>
  <c r="AS113" i="21"/>
  <c r="AT113" i="21"/>
  <c r="AU113" i="21"/>
  <c r="AV113" i="21"/>
  <c r="AW113" i="21"/>
  <c r="AX113" i="21"/>
  <c r="AY113" i="21"/>
  <c r="BB113" i="21"/>
  <c r="BC113" i="21"/>
  <c r="BD113" i="21"/>
  <c r="BE113" i="21"/>
  <c r="BF113" i="21"/>
  <c r="BG113" i="21"/>
  <c r="BH113" i="21"/>
  <c r="BI113" i="21"/>
  <c r="BJ113" i="21"/>
  <c r="BK113" i="21"/>
  <c r="BL113" i="21"/>
  <c r="BM113" i="21"/>
  <c r="BN113" i="21"/>
  <c r="BO113" i="21"/>
  <c r="D114" i="21"/>
  <c r="F114" i="21"/>
  <c r="G114" i="21"/>
  <c r="H114" i="21"/>
  <c r="I114" i="21"/>
  <c r="K114" i="21"/>
  <c r="L114" i="21"/>
  <c r="N114" i="21"/>
  <c r="O114" i="21"/>
  <c r="P114" i="21"/>
  <c r="Q114" i="21"/>
  <c r="S114" i="21"/>
  <c r="T114" i="21"/>
  <c r="V114" i="21"/>
  <c r="X114" i="21"/>
  <c r="Y114" i="21"/>
  <c r="Z114" i="21"/>
  <c r="AA114" i="21"/>
  <c r="AB114" i="21"/>
  <c r="AC114" i="21"/>
  <c r="AF114" i="21"/>
  <c r="AG114" i="21"/>
  <c r="AH114" i="21"/>
  <c r="AI114" i="21"/>
  <c r="AJ114" i="21"/>
  <c r="AL114" i="21"/>
  <c r="AM114" i="21"/>
  <c r="AN114" i="21"/>
  <c r="AO114" i="21"/>
  <c r="AP114" i="21"/>
  <c r="AQ114" i="21"/>
  <c r="AR114" i="21"/>
  <c r="AS114" i="21"/>
  <c r="AT114" i="21"/>
  <c r="AU114" i="21"/>
  <c r="AV114" i="21"/>
  <c r="AW114" i="21"/>
  <c r="AX114" i="21"/>
  <c r="AY114" i="21"/>
  <c r="BB114" i="21"/>
  <c r="BC114" i="21"/>
  <c r="BD114" i="21"/>
  <c r="BE114" i="21"/>
  <c r="BF114" i="21"/>
  <c r="BG114" i="21"/>
  <c r="BH114" i="21"/>
  <c r="BI114" i="21"/>
  <c r="BJ114" i="21"/>
  <c r="BK114" i="21"/>
  <c r="BL114" i="21"/>
  <c r="BM114" i="21"/>
  <c r="BN114" i="21"/>
  <c r="BO114" i="21"/>
  <c r="D115" i="21"/>
  <c r="F115" i="21"/>
  <c r="G115" i="21"/>
  <c r="H115" i="21"/>
  <c r="I115" i="21"/>
  <c r="K115" i="21"/>
  <c r="L115" i="21"/>
  <c r="N115" i="21"/>
  <c r="O115" i="21"/>
  <c r="P115" i="21"/>
  <c r="Q115" i="21"/>
  <c r="S115" i="21"/>
  <c r="T115" i="21"/>
  <c r="V115" i="21"/>
  <c r="X115" i="21"/>
  <c r="Y115" i="21"/>
  <c r="Z115" i="21"/>
  <c r="AA115" i="21"/>
  <c r="AB115" i="21"/>
  <c r="AC115" i="21"/>
  <c r="AF115" i="21"/>
  <c r="AG115" i="21"/>
  <c r="AH115" i="21"/>
  <c r="AI115" i="21"/>
  <c r="AJ115" i="21"/>
  <c r="AL115" i="21"/>
  <c r="AM115" i="21"/>
  <c r="AN115" i="21"/>
  <c r="AO115" i="21"/>
  <c r="AP115" i="21"/>
  <c r="AQ115" i="21"/>
  <c r="AR115" i="21"/>
  <c r="AS115" i="21"/>
  <c r="AT115" i="21"/>
  <c r="AU115" i="21"/>
  <c r="AV115" i="21"/>
  <c r="AW115" i="21"/>
  <c r="AX115" i="21"/>
  <c r="AY115" i="21"/>
  <c r="BB115" i="21"/>
  <c r="BC115" i="21"/>
  <c r="BD115" i="21"/>
  <c r="BE115" i="21"/>
  <c r="BF115" i="21"/>
  <c r="BG115" i="21"/>
  <c r="BH115" i="21"/>
  <c r="BI115" i="21"/>
  <c r="BJ115" i="21"/>
  <c r="BK115" i="21"/>
  <c r="BL115" i="21"/>
  <c r="BM115" i="21"/>
  <c r="BN115" i="21"/>
  <c r="BO115" i="21"/>
  <c r="D116" i="21"/>
  <c r="F116" i="21"/>
  <c r="G116" i="21"/>
  <c r="H116" i="21"/>
  <c r="I116" i="21"/>
  <c r="K116" i="21"/>
  <c r="L116" i="21"/>
  <c r="N116" i="21"/>
  <c r="O116" i="21"/>
  <c r="P116" i="21"/>
  <c r="Q116" i="21"/>
  <c r="S116" i="21"/>
  <c r="T116" i="21"/>
  <c r="V116" i="21"/>
  <c r="X116" i="21"/>
  <c r="Y116" i="21"/>
  <c r="Z116" i="21"/>
  <c r="AA116" i="21"/>
  <c r="AB116" i="21"/>
  <c r="AC116" i="21"/>
  <c r="AF116" i="21"/>
  <c r="AG116" i="21"/>
  <c r="AH116" i="21"/>
  <c r="AI116" i="21"/>
  <c r="AJ116" i="21"/>
  <c r="AL116" i="21"/>
  <c r="AM116" i="21"/>
  <c r="AN116" i="21"/>
  <c r="AO116" i="21"/>
  <c r="AP116" i="21"/>
  <c r="AQ116" i="21"/>
  <c r="AR116" i="21"/>
  <c r="AS116" i="21"/>
  <c r="AT116" i="21"/>
  <c r="AU116" i="21"/>
  <c r="AV116" i="21"/>
  <c r="AW116" i="21"/>
  <c r="AX116" i="21"/>
  <c r="AY116" i="21"/>
  <c r="BB116" i="21"/>
  <c r="BC116" i="21"/>
  <c r="BD116" i="21"/>
  <c r="BE116" i="21"/>
  <c r="BF116" i="21"/>
  <c r="BG116" i="21"/>
  <c r="BH116" i="21"/>
  <c r="BI116" i="21"/>
  <c r="BJ116" i="21"/>
  <c r="BK116" i="21"/>
  <c r="BL116" i="21"/>
  <c r="BM116" i="21"/>
  <c r="BN116" i="21"/>
  <c r="BO116" i="21"/>
  <c r="D117" i="21"/>
  <c r="F117" i="21"/>
  <c r="G117" i="21"/>
  <c r="H117" i="21"/>
  <c r="I117" i="21"/>
  <c r="K117" i="21"/>
  <c r="L117" i="21"/>
  <c r="N117" i="21"/>
  <c r="O117" i="21"/>
  <c r="P117" i="21"/>
  <c r="Q117" i="21"/>
  <c r="S117" i="21"/>
  <c r="T117" i="21"/>
  <c r="V117" i="21"/>
  <c r="X117" i="21"/>
  <c r="Y117" i="21"/>
  <c r="Z117" i="21"/>
  <c r="AA117" i="21"/>
  <c r="AB117" i="21"/>
  <c r="AC117" i="21"/>
  <c r="AF117" i="21"/>
  <c r="AG117" i="21"/>
  <c r="AH117" i="21"/>
  <c r="AI117" i="21"/>
  <c r="AJ117" i="21"/>
  <c r="AL117" i="21"/>
  <c r="AM117" i="21"/>
  <c r="AN117" i="21"/>
  <c r="AO117" i="21"/>
  <c r="AP117" i="21"/>
  <c r="AQ117" i="21"/>
  <c r="AR117" i="21"/>
  <c r="AS117" i="21"/>
  <c r="AT117" i="21"/>
  <c r="AU117" i="21"/>
  <c r="AV117" i="21"/>
  <c r="AW117" i="21"/>
  <c r="AX117" i="21"/>
  <c r="AY117" i="21"/>
  <c r="BB117" i="21"/>
  <c r="BC117" i="21"/>
  <c r="BD117" i="21"/>
  <c r="BE117" i="21"/>
  <c r="BF117" i="21"/>
  <c r="BG117" i="21"/>
  <c r="BH117" i="21"/>
  <c r="BI117" i="21"/>
  <c r="BJ117" i="21"/>
  <c r="BK117" i="21"/>
  <c r="BL117" i="21"/>
  <c r="BM117" i="21"/>
  <c r="BN117" i="21"/>
  <c r="BO117" i="21"/>
  <c r="F1" i="24"/>
  <c r="AV1" i="24"/>
  <c r="A2" i="24"/>
  <c r="F2" i="24"/>
  <c r="G2" i="24"/>
  <c r="N2" i="24"/>
  <c r="AV2" i="24"/>
  <c r="AW2" i="24"/>
  <c r="AX2" i="24"/>
  <c r="AY2" i="24"/>
  <c r="BW2" i="24"/>
  <c r="BX2" i="24"/>
  <c r="BY2" i="24"/>
  <c r="BZ2" i="24"/>
  <c r="CA2" i="24"/>
  <c r="CB2" i="24"/>
  <c r="CC2" i="24"/>
  <c r="CD2" i="24"/>
  <c r="CE2" i="24"/>
  <c r="CF2" i="24"/>
  <c r="CG2" i="24"/>
  <c r="CH2" i="24"/>
  <c r="CI2" i="24"/>
  <c r="CJ2" i="24"/>
  <c r="CK2" i="24"/>
  <c r="CL2" i="24"/>
  <c r="CM2" i="24"/>
  <c r="CN2" i="24"/>
  <c r="CO2" i="24"/>
  <c r="CP2" i="24"/>
  <c r="CQ2" i="24"/>
  <c r="CR2" i="24"/>
  <c r="CS2" i="24"/>
  <c r="CT2" i="24"/>
  <c r="CU2" i="24"/>
  <c r="CV2" i="24"/>
  <c r="CW2" i="24"/>
  <c r="CX2" i="24"/>
  <c r="A3" i="24"/>
  <c r="AH3" i="24"/>
  <c r="AK3" i="24"/>
  <c r="AV3" i="24"/>
  <c r="AW3" i="24"/>
  <c r="AX3" i="24"/>
  <c r="AY3" i="24"/>
  <c r="A4" i="24"/>
  <c r="N4" i="24"/>
  <c r="P4" i="24"/>
  <c r="T4" i="24"/>
  <c r="V4" i="24"/>
  <c r="W4" i="24"/>
  <c r="AH4" i="24"/>
  <c r="AK4" i="24"/>
  <c r="AM4" i="24"/>
  <c r="AN4" i="24"/>
  <c r="AO4" i="24"/>
  <c r="AP4" i="24"/>
  <c r="AQ4" i="24"/>
  <c r="AR4" i="24"/>
  <c r="AS4" i="24"/>
  <c r="AT4" i="24"/>
  <c r="AV4" i="24"/>
  <c r="AW4" i="24"/>
  <c r="AX4" i="24"/>
  <c r="AY4" i="24"/>
  <c r="A5" i="24"/>
  <c r="G5" i="24"/>
  <c r="N5" i="24"/>
  <c r="P5" i="24"/>
  <c r="T5" i="24"/>
  <c r="V5" i="24"/>
  <c r="W5" i="24"/>
  <c r="AH5" i="24"/>
  <c r="AK5" i="24"/>
  <c r="AM5" i="24"/>
  <c r="AN5" i="24"/>
  <c r="AO5" i="24"/>
  <c r="AP5" i="24"/>
  <c r="AQ5" i="24"/>
  <c r="AR5" i="24"/>
  <c r="AS5" i="24"/>
  <c r="AT5" i="24"/>
  <c r="AV5" i="24"/>
  <c r="AW5" i="24"/>
  <c r="AX5" i="24"/>
  <c r="AY5" i="24"/>
  <c r="BV5" i="24"/>
  <c r="A6" i="24"/>
  <c r="N6" i="24"/>
  <c r="P6" i="24"/>
  <c r="T6" i="24"/>
  <c r="V6" i="24"/>
  <c r="W6" i="24"/>
  <c r="AH6" i="24"/>
  <c r="AK6" i="24"/>
  <c r="AM6" i="24"/>
  <c r="AN6" i="24"/>
  <c r="AO6" i="24"/>
  <c r="AP6" i="24"/>
  <c r="AQ6" i="24"/>
  <c r="AR6" i="24"/>
  <c r="AS6" i="24"/>
  <c r="AT6" i="24"/>
  <c r="A7" i="24"/>
  <c r="G7" i="24"/>
  <c r="N7" i="24"/>
  <c r="N7" i="24" a="1"/>
  <c r="P7" i="24"/>
  <c r="T7" i="24"/>
  <c r="AH7" i="24"/>
  <c r="AK7" i="24"/>
  <c r="AM7" i="24"/>
  <c r="AN7" i="24"/>
  <c r="AO7" i="24"/>
  <c r="AP7" i="24"/>
  <c r="AQ7" i="24"/>
  <c r="AR7" i="24"/>
  <c r="AS7" i="24"/>
  <c r="AT7" i="24"/>
  <c r="AV7" i="24"/>
  <c r="AW7" i="24"/>
  <c r="AX7" i="24"/>
  <c r="AY7" i="24"/>
  <c r="G8" i="24"/>
  <c r="N8" i="24"/>
  <c r="N8" i="24" a="1"/>
  <c r="P8" i="24"/>
  <c r="T8" i="24"/>
  <c r="V8" i="24"/>
  <c r="W8" i="24"/>
  <c r="Y8" i="24"/>
  <c r="Z8" i="24"/>
  <c r="AH8" i="24"/>
  <c r="AK8" i="24"/>
  <c r="AM8" i="24"/>
  <c r="AN8" i="24"/>
  <c r="AO8" i="24"/>
  <c r="AP8" i="24"/>
  <c r="AQ8" i="24"/>
  <c r="AR8" i="24"/>
  <c r="AS8" i="24"/>
  <c r="AT8" i="24"/>
  <c r="AV8" i="24"/>
  <c r="AW8" i="24"/>
  <c r="AX8" i="24"/>
  <c r="AY8" i="24"/>
  <c r="N9" i="24"/>
  <c r="N9" i="24" a="1"/>
  <c r="P9" i="24"/>
  <c r="AK9" i="24"/>
  <c r="AM9" i="24"/>
  <c r="AN9" i="24"/>
  <c r="AO9" i="24"/>
  <c r="AP9" i="24"/>
  <c r="AQ9" i="24"/>
  <c r="AR9" i="24"/>
  <c r="AS9" i="24"/>
  <c r="AT9" i="24"/>
  <c r="AV9" i="24"/>
  <c r="AW9" i="24"/>
  <c r="AX9" i="24"/>
  <c r="AY9" i="24"/>
  <c r="N10" i="24"/>
  <c r="P10" i="24"/>
  <c r="AH10" i="24"/>
  <c r="AM10" i="24"/>
  <c r="AN10" i="24"/>
  <c r="AO10" i="24"/>
  <c r="AP10" i="24"/>
  <c r="AQ10" i="24"/>
  <c r="AR10" i="24"/>
  <c r="AS10" i="24"/>
  <c r="AT10" i="24"/>
  <c r="AV10" i="24"/>
  <c r="AW10" i="24"/>
  <c r="AX10" i="24"/>
  <c r="AY10" i="24"/>
  <c r="D11" i="24"/>
  <c r="N11" i="24"/>
  <c r="P11" i="24"/>
  <c r="AM11" i="24"/>
  <c r="AN11" i="24"/>
  <c r="AO11" i="24"/>
  <c r="AP11" i="24"/>
  <c r="AQ11" i="24"/>
  <c r="AR11" i="24"/>
  <c r="AS11" i="24"/>
  <c r="AT11" i="24"/>
  <c r="AV11" i="24"/>
  <c r="AW11" i="24"/>
  <c r="AX11" i="24"/>
  <c r="AY11" i="24"/>
  <c r="D12" i="24"/>
  <c r="N12" i="24"/>
  <c r="P12" i="24"/>
  <c r="AH12" i="24"/>
  <c r="AM12" i="24"/>
  <c r="AN12" i="24"/>
  <c r="AO12" i="24"/>
  <c r="AP12" i="24"/>
  <c r="AQ12" i="24"/>
  <c r="AR12" i="24"/>
  <c r="AS12" i="24"/>
  <c r="AT12" i="24"/>
  <c r="AV12" i="24"/>
  <c r="AW12" i="24"/>
  <c r="AX12" i="24"/>
  <c r="AY12" i="24"/>
  <c r="N13" i="24"/>
  <c r="P13" i="24"/>
  <c r="AH13" i="24"/>
  <c r="AM13" i="24"/>
  <c r="AN13" i="24"/>
  <c r="AO13" i="24"/>
  <c r="AP13" i="24"/>
  <c r="AQ13" i="24"/>
  <c r="AR13" i="24"/>
  <c r="AS13" i="24"/>
  <c r="AT13" i="24"/>
  <c r="AV13" i="24"/>
  <c r="AW13" i="24"/>
  <c r="AX13" i="24"/>
  <c r="AY13" i="24"/>
  <c r="N14" i="24"/>
  <c r="P14" i="24"/>
  <c r="S14" i="24"/>
  <c r="T14" i="24"/>
  <c r="AM14" i="24"/>
  <c r="AN14" i="24"/>
  <c r="AO14" i="24"/>
  <c r="AP14" i="24"/>
  <c r="AQ14" i="24"/>
  <c r="AR14" i="24"/>
  <c r="AS14" i="24"/>
  <c r="AT14" i="24"/>
  <c r="AV14" i="24"/>
  <c r="AW14" i="24"/>
  <c r="AX14" i="24"/>
  <c r="AY14" i="24"/>
  <c r="N15" i="24"/>
  <c r="P15" i="24"/>
  <c r="AM15" i="24"/>
  <c r="AN15" i="24"/>
  <c r="AO15" i="24"/>
  <c r="AP15" i="24"/>
  <c r="AQ15" i="24"/>
  <c r="AR15" i="24"/>
  <c r="AS15" i="24"/>
  <c r="AT15" i="24"/>
  <c r="AV15" i="24"/>
  <c r="AW15" i="24"/>
  <c r="AX15" i="24"/>
  <c r="AY15" i="24"/>
  <c r="N16" i="24"/>
  <c r="P16" i="24"/>
  <c r="AV16" i="24"/>
  <c r="AW16" i="24"/>
  <c r="AX16" i="24"/>
  <c r="AY16" i="24"/>
  <c r="N17" i="24"/>
  <c r="P17" i="24"/>
  <c r="AV17" i="24"/>
  <c r="AW17" i="24"/>
  <c r="AX17" i="24"/>
  <c r="AY17" i="24"/>
  <c r="N18" i="24"/>
  <c r="P18" i="24"/>
  <c r="AX18" i="24"/>
  <c r="AY18" i="24"/>
  <c r="N19" i="24"/>
  <c r="P19" i="24"/>
  <c r="S20" i="24"/>
  <c r="T20" i="24"/>
  <c r="AM20" i="24"/>
  <c r="AO20" i="24"/>
  <c r="AV20" i="24"/>
  <c r="AW20" i="24"/>
  <c r="AX20" i="24"/>
  <c r="AY20" i="24"/>
  <c r="DL20" i="24"/>
  <c r="DM20" i="24"/>
  <c r="DN20" i="24"/>
  <c r="D22" i="24"/>
  <c r="F22" i="24"/>
  <c r="G22" i="24"/>
  <c r="H22" i="24"/>
  <c r="I22" i="24"/>
  <c r="K22" i="24"/>
  <c r="L22" i="24"/>
  <c r="N22" i="24"/>
  <c r="O22" i="24"/>
  <c r="P22" i="24"/>
  <c r="Q22" i="24"/>
  <c r="S22" i="24"/>
  <c r="T22" i="24"/>
  <c r="V22" i="24"/>
  <c r="X22" i="24"/>
  <c r="Y22" i="24"/>
  <c r="Z22" i="24"/>
  <c r="AA22" i="24"/>
  <c r="AB22" i="24"/>
  <c r="AC22" i="24"/>
  <c r="AF22" i="24"/>
  <c r="AG22" i="24"/>
  <c r="AH22" i="24"/>
  <c r="AI22" i="24"/>
  <c r="AJ22" i="24"/>
  <c r="AL22" i="24"/>
  <c r="AM22" i="24"/>
  <c r="AN22" i="24"/>
  <c r="AO22" i="24"/>
  <c r="AP22" i="24"/>
  <c r="AQ22" i="24"/>
  <c r="AR22" i="24"/>
  <c r="AS22" i="24"/>
  <c r="AT22" i="24"/>
  <c r="AU22" i="24"/>
  <c r="AV22" i="24"/>
  <c r="AW22" i="24"/>
  <c r="AX22" i="24"/>
  <c r="AY22" i="24"/>
  <c r="BB22" i="24"/>
  <c r="BC22" i="24"/>
  <c r="BD22" i="24"/>
  <c r="BE22" i="24"/>
  <c r="BF22" i="24"/>
  <c r="BG22" i="24"/>
  <c r="BH22" i="24"/>
  <c r="BI22" i="24"/>
  <c r="BJ22" i="24"/>
  <c r="BK22" i="24"/>
  <c r="BL22" i="24"/>
  <c r="BM22" i="24"/>
  <c r="BN22" i="24"/>
  <c r="BO22" i="24"/>
  <c r="CZ22" i="24"/>
  <c r="DA22" i="24"/>
  <c r="DB22" i="24"/>
  <c r="DC22" i="24"/>
  <c r="DD22" i="24"/>
  <c r="DE22" i="24"/>
  <c r="DF22" i="24"/>
  <c r="DG22" i="24"/>
  <c r="DH22" i="24"/>
  <c r="DI22" i="24"/>
  <c r="DJ22" i="24"/>
  <c r="DK22" i="24"/>
  <c r="DL22" i="24"/>
  <c r="DM22" i="24"/>
  <c r="DN22" i="24"/>
  <c r="D23" i="24"/>
  <c r="F23" i="24"/>
  <c r="G23" i="24"/>
  <c r="H23" i="24"/>
  <c r="I23" i="24"/>
  <c r="K23" i="24"/>
  <c r="L23" i="24"/>
  <c r="N23" i="24"/>
  <c r="O23" i="24"/>
  <c r="P23" i="24"/>
  <c r="Q23" i="24"/>
  <c r="S23" i="24"/>
  <c r="T23" i="24"/>
  <c r="V23" i="24"/>
  <c r="X23" i="24"/>
  <c r="Y23" i="24"/>
  <c r="Z23" i="24"/>
  <c r="AA23" i="24"/>
  <c r="AB23" i="24"/>
  <c r="AC23" i="24"/>
  <c r="AF23" i="24"/>
  <c r="AG23" i="24"/>
  <c r="AH23" i="24"/>
  <c r="AI23" i="24"/>
  <c r="AJ23" i="24"/>
  <c r="AL23" i="24"/>
  <c r="AM23" i="24"/>
  <c r="AN23" i="24"/>
  <c r="AO23" i="24"/>
  <c r="AP23" i="24"/>
  <c r="AQ23" i="24"/>
  <c r="AR23" i="24"/>
  <c r="AS23" i="24"/>
  <c r="AT23" i="24"/>
  <c r="AU23" i="24"/>
  <c r="AV23" i="24"/>
  <c r="AW23" i="24"/>
  <c r="AX23" i="24"/>
  <c r="AY23" i="24"/>
  <c r="BB23" i="24"/>
  <c r="BC23" i="24"/>
  <c r="BD23" i="24"/>
  <c r="BE23" i="24"/>
  <c r="BF23" i="24"/>
  <c r="BG23" i="24"/>
  <c r="BH23" i="24"/>
  <c r="BI23" i="24"/>
  <c r="BJ23" i="24"/>
  <c r="BK23" i="24"/>
  <c r="BL23" i="24"/>
  <c r="BM23" i="24"/>
  <c r="BN23" i="24"/>
  <c r="BO23" i="24"/>
  <c r="CZ23" i="24"/>
  <c r="DA23" i="24"/>
  <c r="DB23" i="24"/>
  <c r="DC23" i="24"/>
  <c r="DD23" i="24"/>
  <c r="DE23" i="24"/>
  <c r="DF23" i="24"/>
  <c r="DG23" i="24"/>
  <c r="DH23" i="24"/>
  <c r="DI23" i="24"/>
  <c r="DJ23" i="24"/>
  <c r="DK23" i="24"/>
  <c r="DL23" i="24"/>
  <c r="DM23" i="24"/>
  <c r="DN23" i="24"/>
  <c r="D24" i="24"/>
  <c r="F24" i="24"/>
  <c r="G24" i="24"/>
  <c r="H24" i="24"/>
  <c r="I24" i="24"/>
  <c r="K24" i="24"/>
  <c r="L24" i="24"/>
  <c r="N24" i="24"/>
  <c r="O24" i="24"/>
  <c r="P24" i="24"/>
  <c r="Q24" i="24"/>
  <c r="S24" i="24"/>
  <c r="T24" i="24"/>
  <c r="V24" i="24"/>
  <c r="X24" i="24"/>
  <c r="Y24" i="24"/>
  <c r="Z24" i="24"/>
  <c r="AA24" i="24"/>
  <c r="AB24" i="24"/>
  <c r="AC24" i="24"/>
  <c r="AF24" i="24"/>
  <c r="AG24" i="24"/>
  <c r="AH24" i="24"/>
  <c r="AI24" i="24"/>
  <c r="AJ24" i="24"/>
  <c r="AL24" i="24"/>
  <c r="AM24" i="24"/>
  <c r="AN24" i="24"/>
  <c r="AO24" i="24"/>
  <c r="AP24" i="24"/>
  <c r="AQ24" i="24"/>
  <c r="AR24" i="24"/>
  <c r="AS24" i="24"/>
  <c r="AT24" i="24"/>
  <c r="AU24" i="24"/>
  <c r="AV24" i="24"/>
  <c r="AW24" i="24"/>
  <c r="AX24" i="24"/>
  <c r="AY24" i="24"/>
  <c r="BB24" i="24"/>
  <c r="BC24" i="24"/>
  <c r="BD24" i="24"/>
  <c r="BE24" i="24"/>
  <c r="BF24" i="24"/>
  <c r="BG24" i="24"/>
  <c r="BH24" i="24"/>
  <c r="BI24" i="24"/>
  <c r="BJ24" i="24"/>
  <c r="BK24" i="24"/>
  <c r="BL24" i="24"/>
  <c r="BM24" i="24"/>
  <c r="BN24" i="24"/>
  <c r="BO24" i="24"/>
  <c r="CZ24" i="24"/>
  <c r="DA24" i="24"/>
  <c r="DB24" i="24"/>
  <c r="DC24" i="24"/>
  <c r="DD24" i="24"/>
  <c r="DE24" i="24"/>
  <c r="DF24" i="24"/>
  <c r="DG24" i="24"/>
  <c r="DH24" i="24"/>
  <c r="DI24" i="24"/>
  <c r="DJ24" i="24"/>
  <c r="DK24" i="24"/>
  <c r="DL24" i="24"/>
  <c r="DM24" i="24"/>
  <c r="DN24" i="24"/>
  <c r="D25" i="24"/>
  <c r="F25" i="24"/>
  <c r="G25" i="24"/>
  <c r="H25" i="24"/>
  <c r="I25" i="24"/>
  <c r="K25" i="24"/>
  <c r="L25" i="24"/>
  <c r="N25" i="24"/>
  <c r="O25" i="24"/>
  <c r="P25" i="24"/>
  <c r="Q25" i="24"/>
  <c r="S25" i="24"/>
  <c r="T25" i="24"/>
  <c r="V25" i="24"/>
  <c r="X25" i="24"/>
  <c r="Y25" i="24"/>
  <c r="Z25" i="24"/>
  <c r="AA25" i="24"/>
  <c r="AB25" i="24"/>
  <c r="AC25" i="24"/>
  <c r="AF25" i="24"/>
  <c r="AG25" i="24"/>
  <c r="AH25" i="24"/>
  <c r="AI25" i="24"/>
  <c r="AJ25" i="24"/>
  <c r="AL25" i="24"/>
  <c r="AM25" i="24"/>
  <c r="AN25" i="24"/>
  <c r="AO25" i="24"/>
  <c r="AP25" i="24"/>
  <c r="AQ25" i="24"/>
  <c r="AR25" i="24"/>
  <c r="AS25" i="24"/>
  <c r="AT25" i="24"/>
  <c r="AU25" i="24"/>
  <c r="AV25" i="24"/>
  <c r="AW25" i="24"/>
  <c r="AX25" i="24"/>
  <c r="AY25" i="24"/>
  <c r="BB25" i="24"/>
  <c r="BC25" i="24"/>
  <c r="BD25" i="24"/>
  <c r="BE25" i="24"/>
  <c r="BF25" i="24"/>
  <c r="BG25" i="24"/>
  <c r="BH25" i="24"/>
  <c r="BI25" i="24"/>
  <c r="BJ25" i="24"/>
  <c r="BK25" i="24"/>
  <c r="BL25" i="24"/>
  <c r="BM25" i="24"/>
  <c r="BN25" i="24"/>
  <c r="BO25" i="24"/>
  <c r="CZ25" i="24"/>
  <c r="DA25" i="24"/>
  <c r="DB25" i="24"/>
  <c r="DC25" i="24"/>
  <c r="DD25" i="24"/>
  <c r="DE25" i="24"/>
  <c r="DF25" i="24"/>
  <c r="DG25" i="24"/>
  <c r="DH25" i="24"/>
  <c r="DI25" i="24"/>
  <c r="DJ25" i="24"/>
  <c r="DK25" i="24"/>
  <c r="DL25" i="24"/>
  <c r="DM25" i="24"/>
  <c r="DN25" i="24"/>
  <c r="D26" i="24"/>
  <c r="F26" i="24"/>
  <c r="G26" i="24"/>
  <c r="H26" i="24"/>
  <c r="I26" i="24"/>
  <c r="K26" i="24"/>
  <c r="L26" i="24"/>
  <c r="N26" i="24"/>
  <c r="O26" i="24"/>
  <c r="P26" i="24"/>
  <c r="Q26" i="24"/>
  <c r="S26" i="24"/>
  <c r="T26" i="24"/>
  <c r="V26" i="24"/>
  <c r="X26" i="24"/>
  <c r="Y26" i="24"/>
  <c r="Z26" i="24"/>
  <c r="AA26" i="24"/>
  <c r="AB26" i="24"/>
  <c r="AC26" i="24"/>
  <c r="AF26" i="24"/>
  <c r="AG26" i="24"/>
  <c r="AH26" i="24"/>
  <c r="AI26" i="24"/>
  <c r="AJ26" i="24"/>
  <c r="AL26" i="24"/>
  <c r="AM26" i="24"/>
  <c r="AN26" i="24"/>
  <c r="AO26" i="24"/>
  <c r="AP26" i="24"/>
  <c r="AQ26" i="24"/>
  <c r="AR26" i="24"/>
  <c r="AS26" i="24"/>
  <c r="AT26" i="24"/>
  <c r="AU26" i="24"/>
  <c r="AV26" i="24"/>
  <c r="AW26" i="24"/>
  <c r="AX26" i="24"/>
  <c r="AY26" i="24"/>
  <c r="BB26" i="24"/>
  <c r="BC26" i="24"/>
  <c r="BD26" i="24"/>
  <c r="BE26" i="24"/>
  <c r="BF26" i="24"/>
  <c r="BG26" i="24"/>
  <c r="BH26" i="24"/>
  <c r="BI26" i="24"/>
  <c r="BJ26" i="24"/>
  <c r="BK26" i="24"/>
  <c r="BL26" i="24"/>
  <c r="BM26" i="24"/>
  <c r="BN26" i="24"/>
  <c r="BO26" i="24"/>
  <c r="CZ26" i="24"/>
  <c r="DA26" i="24"/>
  <c r="DB26" i="24"/>
  <c r="DC26" i="24"/>
  <c r="DD26" i="24"/>
  <c r="DE26" i="24"/>
  <c r="DF26" i="24"/>
  <c r="DG26" i="24"/>
  <c r="DH26" i="24"/>
  <c r="DI26" i="24"/>
  <c r="DJ26" i="24"/>
  <c r="DK26" i="24"/>
  <c r="DL26" i="24"/>
  <c r="DM26" i="24"/>
  <c r="DN26" i="24"/>
  <c r="D27" i="24"/>
  <c r="F27" i="24"/>
  <c r="G27" i="24"/>
  <c r="H27" i="24"/>
  <c r="I27" i="24"/>
  <c r="K27" i="24"/>
  <c r="L27" i="24"/>
  <c r="N27" i="24"/>
  <c r="O27" i="24"/>
  <c r="P27" i="24"/>
  <c r="Q27" i="24"/>
  <c r="S27" i="24"/>
  <c r="T27" i="24"/>
  <c r="V27" i="24"/>
  <c r="X27" i="24"/>
  <c r="Y27" i="24"/>
  <c r="Z27" i="24"/>
  <c r="AA27" i="24"/>
  <c r="AB27" i="24"/>
  <c r="AC27" i="24"/>
  <c r="AF27" i="24"/>
  <c r="AG27" i="24"/>
  <c r="AH27" i="24"/>
  <c r="AI27" i="24"/>
  <c r="AJ27" i="24"/>
  <c r="AL27" i="24"/>
  <c r="AM27" i="24"/>
  <c r="AN27" i="24"/>
  <c r="AO27" i="24"/>
  <c r="AP27" i="24"/>
  <c r="AQ27" i="24"/>
  <c r="AR27" i="24"/>
  <c r="AS27" i="24"/>
  <c r="AT27" i="24"/>
  <c r="AU27" i="24"/>
  <c r="AV27" i="24"/>
  <c r="AW27" i="24"/>
  <c r="AX27" i="24"/>
  <c r="AY27" i="24"/>
  <c r="BB27" i="24"/>
  <c r="BC27" i="24"/>
  <c r="BD27" i="24"/>
  <c r="BE27" i="24"/>
  <c r="BF27" i="24"/>
  <c r="BG27" i="24"/>
  <c r="BH27" i="24"/>
  <c r="BI27" i="24"/>
  <c r="BJ27" i="24"/>
  <c r="BK27" i="24"/>
  <c r="BL27" i="24"/>
  <c r="BM27" i="24"/>
  <c r="BN27" i="24"/>
  <c r="BO27" i="24"/>
  <c r="CZ27" i="24"/>
  <c r="DA27" i="24"/>
  <c r="DB27" i="24"/>
  <c r="DC27" i="24"/>
  <c r="DD27" i="24"/>
  <c r="DE27" i="24"/>
  <c r="DF27" i="24"/>
  <c r="DG27" i="24"/>
  <c r="DH27" i="24"/>
  <c r="DI27" i="24"/>
  <c r="DJ27" i="24"/>
  <c r="DK27" i="24"/>
  <c r="DL27" i="24"/>
  <c r="DM27" i="24"/>
  <c r="DN27" i="24"/>
  <c r="D28" i="24"/>
  <c r="F28" i="24"/>
  <c r="G28" i="24"/>
  <c r="H28" i="24"/>
  <c r="I28" i="24"/>
  <c r="K28" i="24"/>
  <c r="L28" i="24"/>
  <c r="N28" i="24"/>
  <c r="O28" i="24"/>
  <c r="P28" i="24"/>
  <c r="Q28" i="24"/>
  <c r="S28" i="24"/>
  <c r="T28" i="24"/>
  <c r="V28" i="24"/>
  <c r="X28" i="24"/>
  <c r="Y28" i="24"/>
  <c r="Z28" i="24"/>
  <c r="AA28" i="24"/>
  <c r="AB28" i="24"/>
  <c r="AC28" i="24"/>
  <c r="AF28" i="24"/>
  <c r="AG28" i="24"/>
  <c r="AH28" i="24"/>
  <c r="AI28" i="24"/>
  <c r="AJ28" i="24"/>
  <c r="AL28" i="24"/>
  <c r="AM28" i="24"/>
  <c r="AN28" i="24"/>
  <c r="AO28" i="24"/>
  <c r="AP28" i="24"/>
  <c r="AQ28" i="24"/>
  <c r="AR28" i="24"/>
  <c r="AS28" i="24"/>
  <c r="AT28" i="24"/>
  <c r="AU28" i="24"/>
  <c r="AV28" i="24"/>
  <c r="AW28" i="24"/>
  <c r="AX28" i="24"/>
  <c r="AY28" i="24"/>
  <c r="BB28" i="24"/>
  <c r="BC28" i="24"/>
  <c r="BD28" i="24"/>
  <c r="BE28" i="24"/>
  <c r="BF28" i="24"/>
  <c r="BG28" i="24"/>
  <c r="BH28" i="24"/>
  <c r="BI28" i="24"/>
  <c r="BJ28" i="24"/>
  <c r="BK28" i="24"/>
  <c r="BL28" i="24"/>
  <c r="BM28" i="24"/>
  <c r="BN28" i="24"/>
  <c r="BO28" i="24"/>
  <c r="CZ28" i="24"/>
  <c r="DA28" i="24"/>
  <c r="DB28" i="24"/>
  <c r="DC28" i="24"/>
  <c r="DD28" i="24"/>
  <c r="DE28" i="24"/>
  <c r="DF28" i="24"/>
  <c r="DG28" i="24"/>
  <c r="DH28" i="24"/>
  <c r="DI28" i="24"/>
  <c r="DJ28" i="24"/>
  <c r="DK28" i="24"/>
  <c r="DL28" i="24"/>
  <c r="DM28" i="24"/>
  <c r="DN28" i="24"/>
  <c r="D29" i="24"/>
  <c r="F29" i="24"/>
  <c r="G29" i="24"/>
  <c r="H29" i="24"/>
  <c r="I29" i="24"/>
  <c r="K29" i="24"/>
  <c r="L29" i="24"/>
  <c r="N29" i="24"/>
  <c r="O29" i="24"/>
  <c r="P29" i="24"/>
  <c r="Q29" i="24"/>
  <c r="S29" i="24"/>
  <c r="T29" i="24"/>
  <c r="V29" i="24"/>
  <c r="X29" i="24"/>
  <c r="Y29" i="24"/>
  <c r="Z29" i="24"/>
  <c r="AA29" i="24"/>
  <c r="AB29" i="24"/>
  <c r="AC29" i="24"/>
  <c r="AF29" i="24"/>
  <c r="AG29" i="24"/>
  <c r="AH29" i="24"/>
  <c r="AI29" i="24"/>
  <c r="AJ29" i="24"/>
  <c r="AL29" i="24"/>
  <c r="AM29" i="24"/>
  <c r="AN29" i="24"/>
  <c r="AO29" i="24"/>
  <c r="AP29" i="24"/>
  <c r="AQ29" i="24"/>
  <c r="AR29" i="24"/>
  <c r="AS29" i="24"/>
  <c r="AT29" i="24"/>
  <c r="AU29" i="24"/>
  <c r="AV29" i="24"/>
  <c r="AW29" i="24"/>
  <c r="AX29" i="24"/>
  <c r="AY29" i="24"/>
  <c r="BB29" i="24"/>
  <c r="BC29" i="24"/>
  <c r="BD29" i="24"/>
  <c r="BE29" i="24"/>
  <c r="BF29" i="24"/>
  <c r="BG29" i="24"/>
  <c r="BH29" i="24"/>
  <c r="BI29" i="24"/>
  <c r="BJ29" i="24"/>
  <c r="BK29" i="24"/>
  <c r="BL29" i="24"/>
  <c r="BM29" i="24"/>
  <c r="BN29" i="24"/>
  <c r="BO29" i="24"/>
  <c r="CZ29" i="24"/>
  <c r="DA29" i="24"/>
  <c r="DB29" i="24"/>
  <c r="DC29" i="24"/>
  <c r="DD29" i="24"/>
  <c r="DE29" i="24"/>
  <c r="DF29" i="24"/>
  <c r="DG29" i="24"/>
  <c r="DH29" i="24"/>
  <c r="DI29" i="24"/>
  <c r="DJ29" i="24"/>
  <c r="DK29" i="24"/>
  <c r="DL29" i="24"/>
  <c r="DM29" i="24"/>
  <c r="DN29" i="24"/>
  <c r="D30" i="24"/>
  <c r="F30" i="24"/>
  <c r="G30" i="24"/>
  <c r="H30" i="24"/>
  <c r="I30" i="24"/>
  <c r="K30" i="24"/>
  <c r="L30" i="24"/>
  <c r="N30" i="24"/>
  <c r="O30" i="24"/>
  <c r="P30" i="24"/>
  <c r="Q30" i="24"/>
  <c r="S30" i="24"/>
  <c r="T30" i="24"/>
  <c r="V30" i="24"/>
  <c r="X30" i="24"/>
  <c r="Y30" i="24"/>
  <c r="Z30" i="24"/>
  <c r="AA30" i="24"/>
  <c r="AB30" i="24"/>
  <c r="AC30" i="24"/>
  <c r="AF30" i="24"/>
  <c r="AG30" i="24"/>
  <c r="AH30" i="24"/>
  <c r="AI30" i="24"/>
  <c r="AJ30" i="24"/>
  <c r="AL30" i="24"/>
  <c r="AM30" i="24"/>
  <c r="AN30" i="24"/>
  <c r="AO30" i="24"/>
  <c r="AP30" i="24"/>
  <c r="AQ30" i="24"/>
  <c r="AR30" i="24"/>
  <c r="AS30" i="24"/>
  <c r="AT30" i="24"/>
  <c r="AU30" i="24"/>
  <c r="AV30" i="24"/>
  <c r="AW30" i="24"/>
  <c r="AX30" i="24"/>
  <c r="AY30" i="24"/>
  <c r="BB30" i="24"/>
  <c r="BC30" i="24"/>
  <c r="BD30" i="24"/>
  <c r="BE30" i="24"/>
  <c r="BF30" i="24"/>
  <c r="BG30" i="24"/>
  <c r="BH30" i="24"/>
  <c r="BI30" i="24"/>
  <c r="BJ30" i="24"/>
  <c r="BK30" i="24"/>
  <c r="BL30" i="24"/>
  <c r="BM30" i="24"/>
  <c r="BN30" i="24"/>
  <c r="BO30" i="24"/>
  <c r="CZ30" i="24"/>
  <c r="DA30" i="24"/>
  <c r="DB30" i="24"/>
  <c r="DC30" i="24"/>
  <c r="DD30" i="24"/>
  <c r="DE30" i="24"/>
  <c r="DF30" i="24"/>
  <c r="DG30" i="24"/>
  <c r="DH30" i="24"/>
  <c r="DI30" i="24"/>
  <c r="DJ30" i="24"/>
  <c r="DK30" i="24"/>
  <c r="DL30" i="24"/>
  <c r="DM30" i="24"/>
  <c r="DN30" i="24"/>
  <c r="D31" i="24"/>
  <c r="F31" i="24"/>
  <c r="G31" i="24"/>
  <c r="H31" i="24"/>
  <c r="I31" i="24"/>
  <c r="K31" i="24"/>
  <c r="L31" i="24"/>
  <c r="N31" i="24"/>
  <c r="O31" i="24"/>
  <c r="P31" i="24"/>
  <c r="Q31" i="24"/>
  <c r="S31" i="24"/>
  <c r="T31" i="24"/>
  <c r="V31" i="24"/>
  <c r="X31" i="24"/>
  <c r="Y31" i="24"/>
  <c r="Z31" i="24"/>
  <c r="AA31" i="24"/>
  <c r="AB31" i="24"/>
  <c r="AC31" i="24"/>
  <c r="AF31" i="24"/>
  <c r="AG31" i="24"/>
  <c r="AH31" i="24"/>
  <c r="AI31" i="24"/>
  <c r="AJ31" i="24"/>
  <c r="AL31" i="24"/>
  <c r="AM31" i="24"/>
  <c r="AN31" i="24"/>
  <c r="AO31" i="24"/>
  <c r="AP31" i="24"/>
  <c r="AQ31" i="24"/>
  <c r="AR31" i="24"/>
  <c r="AS31" i="24"/>
  <c r="AT31" i="24"/>
  <c r="AU31" i="24"/>
  <c r="AV31" i="24"/>
  <c r="AW31" i="24"/>
  <c r="AX31" i="24"/>
  <c r="AY31" i="24"/>
  <c r="BB31" i="24"/>
  <c r="BC31" i="24"/>
  <c r="BD31" i="24"/>
  <c r="BE31" i="24"/>
  <c r="BF31" i="24"/>
  <c r="BG31" i="24"/>
  <c r="BH31" i="24"/>
  <c r="BI31" i="24"/>
  <c r="BJ31" i="24"/>
  <c r="BK31" i="24"/>
  <c r="BL31" i="24"/>
  <c r="BM31" i="24"/>
  <c r="BN31" i="24"/>
  <c r="BO31" i="24"/>
  <c r="CZ31" i="24"/>
  <c r="DA31" i="24"/>
  <c r="DB31" i="24"/>
  <c r="DC31" i="24"/>
  <c r="DD31" i="24"/>
  <c r="DE31" i="24"/>
  <c r="DF31" i="24"/>
  <c r="DG31" i="24"/>
  <c r="DH31" i="24"/>
  <c r="DI31" i="24"/>
  <c r="DJ31" i="24"/>
  <c r="DK31" i="24"/>
  <c r="DL31" i="24"/>
  <c r="DM31" i="24"/>
  <c r="DN31" i="24"/>
  <c r="D32" i="24"/>
  <c r="F32" i="24"/>
  <c r="G32" i="24"/>
  <c r="H32" i="24"/>
  <c r="I32" i="24"/>
  <c r="K32" i="24"/>
  <c r="L32" i="24"/>
  <c r="N32" i="24"/>
  <c r="O32" i="24"/>
  <c r="P32" i="24"/>
  <c r="Q32" i="24"/>
  <c r="S32" i="24"/>
  <c r="T32" i="24"/>
  <c r="V32" i="24"/>
  <c r="X32" i="24"/>
  <c r="Y32" i="24"/>
  <c r="Z32" i="24"/>
  <c r="AA32" i="24"/>
  <c r="AB32" i="24"/>
  <c r="AC32" i="24"/>
  <c r="AF32" i="24"/>
  <c r="AG32" i="24"/>
  <c r="AH32" i="24"/>
  <c r="AI32" i="24"/>
  <c r="AJ32" i="24"/>
  <c r="AL32" i="24"/>
  <c r="AM32" i="24"/>
  <c r="AN32" i="24"/>
  <c r="AO32" i="24"/>
  <c r="AP32" i="24"/>
  <c r="AQ32" i="24"/>
  <c r="AR32" i="24"/>
  <c r="AS32" i="24"/>
  <c r="AT32" i="24"/>
  <c r="AU32" i="24"/>
  <c r="AV32" i="24"/>
  <c r="AW32" i="24"/>
  <c r="AX32" i="24"/>
  <c r="AY32" i="24"/>
  <c r="BB32" i="24"/>
  <c r="BC32" i="24"/>
  <c r="BD32" i="24"/>
  <c r="BE32" i="24"/>
  <c r="BF32" i="24"/>
  <c r="BG32" i="24"/>
  <c r="BH32" i="24"/>
  <c r="BI32" i="24"/>
  <c r="BJ32" i="24"/>
  <c r="BK32" i="24"/>
  <c r="BL32" i="24"/>
  <c r="BM32" i="24"/>
  <c r="BN32" i="24"/>
  <c r="BO32" i="24"/>
  <c r="CZ32" i="24"/>
  <c r="DA32" i="24"/>
  <c r="DB32" i="24"/>
  <c r="DC32" i="24"/>
  <c r="DD32" i="24"/>
  <c r="DE32" i="24"/>
  <c r="DF32" i="24"/>
  <c r="DG32" i="24"/>
  <c r="DH32" i="24"/>
  <c r="DI32" i="24"/>
  <c r="DJ32" i="24"/>
  <c r="DK32" i="24"/>
  <c r="DL32" i="24"/>
  <c r="DM32" i="24"/>
  <c r="DN32" i="24"/>
  <c r="D33" i="24"/>
  <c r="F33" i="24"/>
  <c r="G33" i="24"/>
  <c r="H33" i="24"/>
  <c r="I33" i="24"/>
  <c r="K33" i="24"/>
  <c r="L33" i="24"/>
  <c r="N33" i="24"/>
  <c r="O33" i="24"/>
  <c r="P33" i="24"/>
  <c r="Q33" i="24"/>
  <c r="S33" i="24"/>
  <c r="T33" i="24"/>
  <c r="V33" i="24"/>
  <c r="X33" i="24"/>
  <c r="Y33" i="24"/>
  <c r="Z33" i="24"/>
  <c r="AA33" i="24"/>
  <c r="AB33" i="24"/>
  <c r="AC33" i="24"/>
  <c r="AF33" i="24"/>
  <c r="AG33" i="24"/>
  <c r="AH33" i="24"/>
  <c r="AI33" i="24"/>
  <c r="AJ33" i="24"/>
  <c r="AL33" i="24"/>
  <c r="AM33" i="24"/>
  <c r="AN33" i="24"/>
  <c r="AO33" i="24"/>
  <c r="AP33" i="24"/>
  <c r="AQ33" i="24"/>
  <c r="AR33" i="24"/>
  <c r="AS33" i="24"/>
  <c r="AT33" i="24"/>
  <c r="AU33" i="24"/>
  <c r="AV33" i="24"/>
  <c r="AW33" i="24"/>
  <c r="AX33" i="24"/>
  <c r="AY33" i="24"/>
  <c r="BB33" i="24"/>
  <c r="BC33" i="24"/>
  <c r="BD33" i="24"/>
  <c r="BE33" i="24"/>
  <c r="BF33" i="24"/>
  <c r="BG33" i="24"/>
  <c r="BH33" i="24"/>
  <c r="BI33" i="24"/>
  <c r="BJ33" i="24"/>
  <c r="BK33" i="24"/>
  <c r="BL33" i="24"/>
  <c r="BM33" i="24"/>
  <c r="BN33" i="24"/>
  <c r="BO33" i="24"/>
  <c r="CZ33" i="24"/>
  <c r="DA33" i="24"/>
  <c r="DB33" i="24"/>
  <c r="DC33" i="24"/>
  <c r="DD33" i="24"/>
  <c r="DE33" i="24"/>
  <c r="DF33" i="24"/>
  <c r="DG33" i="24"/>
  <c r="DH33" i="24"/>
  <c r="DI33" i="24"/>
  <c r="DJ33" i="24"/>
  <c r="DK33" i="24"/>
  <c r="DL33" i="24"/>
  <c r="DM33" i="24"/>
  <c r="DN33" i="24"/>
  <c r="D34" i="24"/>
  <c r="F34" i="24"/>
  <c r="G34" i="24"/>
  <c r="H34" i="24"/>
  <c r="I34" i="24"/>
  <c r="K34" i="24"/>
  <c r="L34" i="24"/>
  <c r="N34" i="24"/>
  <c r="O34" i="24"/>
  <c r="P34" i="24"/>
  <c r="Q34" i="24"/>
  <c r="S34" i="24"/>
  <c r="T34" i="24"/>
  <c r="V34" i="24"/>
  <c r="X34" i="24"/>
  <c r="Y34" i="24"/>
  <c r="Z34" i="24"/>
  <c r="AA34" i="24"/>
  <c r="AB34" i="24"/>
  <c r="AC34" i="24"/>
  <c r="AF34" i="24"/>
  <c r="AG34" i="24"/>
  <c r="AH34" i="24"/>
  <c r="AI34" i="24"/>
  <c r="AJ34" i="24"/>
  <c r="AL34" i="24"/>
  <c r="AM34" i="24"/>
  <c r="AN34" i="24"/>
  <c r="AO34" i="24"/>
  <c r="AP34" i="24"/>
  <c r="AQ34" i="24"/>
  <c r="AR34" i="24"/>
  <c r="AS34" i="24"/>
  <c r="AT34" i="24"/>
  <c r="AU34" i="24"/>
  <c r="AV34" i="24"/>
  <c r="AW34" i="24"/>
  <c r="AX34" i="24"/>
  <c r="AY34" i="24"/>
  <c r="BB34" i="24"/>
  <c r="BC34" i="24"/>
  <c r="BD34" i="24"/>
  <c r="BE34" i="24"/>
  <c r="BF34" i="24"/>
  <c r="BG34" i="24"/>
  <c r="BH34" i="24"/>
  <c r="BI34" i="24"/>
  <c r="BJ34" i="24"/>
  <c r="BK34" i="24"/>
  <c r="BL34" i="24"/>
  <c r="BM34" i="24"/>
  <c r="BN34" i="24"/>
  <c r="BO34" i="24"/>
  <c r="CZ34" i="24"/>
  <c r="DA34" i="24"/>
  <c r="DB34" i="24"/>
  <c r="DC34" i="24"/>
  <c r="DD34" i="24"/>
  <c r="DE34" i="24"/>
  <c r="DF34" i="24"/>
  <c r="DG34" i="24"/>
  <c r="DH34" i="24"/>
  <c r="DI34" i="24"/>
  <c r="DJ34" i="24"/>
  <c r="DK34" i="24"/>
  <c r="DL34" i="24"/>
  <c r="DM34" i="24"/>
  <c r="DN34" i="24"/>
  <c r="D35" i="24"/>
  <c r="F35" i="24"/>
  <c r="G35" i="24"/>
  <c r="H35" i="24"/>
  <c r="I35" i="24"/>
  <c r="K35" i="24"/>
  <c r="L35" i="24"/>
  <c r="N35" i="24"/>
  <c r="O35" i="24"/>
  <c r="P35" i="24"/>
  <c r="Q35" i="24"/>
  <c r="S35" i="24"/>
  <c r="T35" i="24"/>
  <c r="V35" i="24"/>
  <c r="X35" i="24"/>
  <c r="Y35" i="24"/>
  <c r="Z35" i="24"/>
  <c r="AA35" i="24"/>
  <c r="AB35" i="24"/>
  <c r="AC35" i="24"/>
  <c r="AF35" i="24"/>
  <c r="AG35" i="24"/>
  <c r="AH35" i="24"/>
  <c r="AI35" i="24"/>
  <c r="AJ35" i="24"/>
  <c r="AL35" i="24"/>
  <c r="AM35" i="24"/>
  <c r="AN35" i="24"/>
  <c r="AO35" i="24"/>
  <c r="AP35" i="24"/>
  <c r="AQ35" i="24"/>
  <c r="AR35" i="24"/>
  <c r="AS35" i="24"/>
  <c r="AT35" i="24"/>
  <c r="AU35" i="24"/>
  <c r="AV35" i="24"/>
  <c r="AW35" i="24"/>
  <c r="AX35" i="24"/>
  <c r="AY35" i="24"/>
  <c r="BB35" i="24"/>
  <c r="BC35" i="24"/>
  <c r="BD35" i="24"/>
  <c r="BE35" i="24"/>
  <c r="BF35" i="24"/>
  <c r="BG35" i="24"/>
  <c r="BH35" i="24"/>
  <c r="BI35" i="24"/>
  <c r="BJ35" i="24"/>
  <c r="BK35" i="24"/>
  <c r="BL35" i="24"/>
  <c r="BM35" i="24"/>
  <c r="BN35" i="24"/>
  <c r="BO35" i="24"/>
  <c r="CZ35" i="24"/>
  <c r="DA35" i="24"/>
  <c r="DB35" i="24"/>
  <c r="DC35" i="24"/>
  <c r="DD35" i="24"/>
  <c r="DE35" i="24"/>
  <c r="DF35" i="24"/>
  <c r="DG35" i="24"/>
  <c r="DH35" i="24"/>
  <c r="DI35" i="24"/>
  <c r="DJ35" i="24"/>
  <c r="DK35" i="24"/>
  <c r="DL35" i="24"/>
  <c r="DM35" i="24"/>
  <c r="DN35" i="24"/>
  <c r="F1" i="52"/>
  <c r="AV1" i="52"/>
  <c r="A2" i="52"/>
  <c r="F2" i="52"/>
  <c r="G2" i="52"/>
  <c r="N2" i="52"/>
  <c r="AV2" i="52"/>
  <c r="AW2" i="52"/>
  <c r="AX2" i="52"/>
  <c r="AY2" i="52"/>
  <c r="BW2" i="52"/>
  <c r="BX2" i="52"/>
  <c r="BY2" i="52"/>
  <c r="BZ2" i="52"/>
  <c r="CA2" i="52"/>
  <c r="CB2" i="52"/>
  <c r="CC2" i="52"/>
  <c r="CD2" i="52"/>
  <c r="CE2" i="52"/>
  <c r="CF2" i="52"/>
  <c r="CG2" i="52"/>
  <c r="CH2" i="52"/>
  <c r="CI2" i="52"/>
  <c r="CJ2" i="52"/>
  <c r="CK2" i="52"/>
  <c r="CL2" i="52"/>
  <c r="CM2" i="52"/>
  <c r="CN2" i="52"/>
  <c r="CO2" i="52"/>
  <c r="CP2" i="52"/>
  <c r="CQ2" i="52"/>
  <c r="CR2" i="52"/>
  <c r="CS2" i="52"/>
  <c r="CT2" i="52"/>
  <c r="CU2" i="52"/>
  <c r="CV2" i="52"/>
  <c r="CW2" i="52"/>
  <c r="CX2" i="52"/>
  <c r="A3" i="52"/>
  <c r="AH3" i="52"/>
  <c r="AK3" i="52"/>
  <c r="AV3" i="52"/>
  <c r="AW3" i="52"/>
  <c r="AX3" i="52"/>
  <c r="AY3" i="52"/>
  <c r="A4" i="52"/>
  <c r="N4" i="52"/>
  <c r="P4" i="52"/>
  <c r="T4" i="52"/>
  <c r="V4" i="52"/>
  <c r="W4" i="52"/>
  <c r="AH4" i="52"/>
  <c r="AK4" i="52"/>
  <c r="AM4" i="52"/>
  <c r="AN4" i="52"/>
  <c r="AO4" i="52"/>
  <c r="AP4" i="52"/>
  <c r="AQ4" i="52"/>
  <c r="AR4" i="52"/>
  <c r="AS4" i="52"/>
  <c r="AT4" i="52"/>
  <c r="AV4" i="52"/>
  <c r="AW4" i="52"/>
  <c r="AX4" i="52"/>
  <c r="AY4" i="52"/>
  <c r="A5" i="52"/>
  <c r="G5" i="52"/>
  <c r="N5" i="52"/>
  <c r="P5" i="52"/>
  <c r="T5" i="52"/>
  <c r="V5" i="52"/>
  <c r="W5" i="52"/>
  <c r="AH5" i="52"/>
  <c r="AK5" i="52"/>
  <c r="AM5" i="52"/>
  <c r="AN5" i="52"/>
  <c r="AO5" i="52"/>
  <c r="AP5" i="52"/>
  <c r="AQ5" i="52"/>
  <c r="AR5" i="52"/>
  <c r="AS5" i="52"/>
  <c r="AT5" i="52"/>
  <c r="AV5" i="52"/>
  <c r="AW5" i="52"/>
  <c r="AX5" i="52"/>
  <c r="AY5" i="52"/>
  <c r="BV5" i="52"/>
  <c r="A6" i="52"/>
  <c r="N6" i="52"/>
  <c r="P6" i="52"/>
  <c r="T6" i="52"/>
  <c r="V6" i="52"/>
  <c r="W6" i="52"/>
  <c r="AH6" i="52"/>
  <c r="AK6" i="52"/>
  <c r="AM6" i="52"/>
  <c r="AN6" i="52"/>
  <c r="AO6" i="52"/>
  <c r="AP6" i="52"/>
  <c r="AQ6" i="52"/>
  <c r="AR6" i="52"/>
  <c r="AS6" i="52"/>
  <c r="AT6" i="52"/>
  <c r="A7" i="52"/>
  <c r="G7" i="52"/>
  <c r="N7" i="52"/>
  <c r="N7" i="52" a="1"/>
  <c r="P7" i="52"/>
  <c r="T7" i="52"/>
  <c r="AH7" i="52"/>
  <c r="AK7" i="52"/>
  <c r="AM7" i="52"/>
  <c r="AN7" i="52"/>
  <c r="AO7" i="52"/>
  <c r="AP7" i="52"/>
  <c r="AQ7" i="52"/>
  <c r="AR7" i="52"/>
  <c r="AS7" i="52"/>
  <c r="AT7" i="52"/>
  <c r="AV7" i="52"/>
  <c r="AW7" i="52"/>
  <c r="AX7" i="52"/>
  <c r="AY7" i="52"/>
  <c r="G8" i="52"/>
  <c r="N8" i="52"/>
  <c r="N8" i="52" a="1"/>
  <c r="P8" i="52"/>
  <c r="T8" i="52"/>
  <c r="V8" i="52"/>
  <c r="W8" i="52"/>
  <c r="Y8" i="52"/>
  <c r="Z8" i="52"/>
  <c r="AH8" i="52"/>
  <c r="AK8" i="52"/>
  <c r="AM8" i="52"/>
  <c r="AN8" i="52"/>
  <c r="AO8" i="52"/>
  <c r="AP8" i="52"/>
  <c r="AQ8" i="52"/>
  <c r="AR8" i="52"/>
  <c r="AS8" i="52"/>
  <c r="AT8" i="52"/>
  <c r="AV8" i="52"/>
  <c r="AW8" i="52"/>
  <c r="AX8" i="52"/>
  <c r="AY8" i="52"/>
  <c r="N9" i="52"/>
  <c r="N9" i="52" a="1"/>
  <c r="P9" i="52"/>
  <c r="AK9" i="52"/>
  <c r="AM9" i="52"/>
  <c r="AN9" i="52"/>
  <c r="AO9" i="52"/>
  <c r="AP9" i="52"/>
  <c r="AQ9" i="52"/>
  <c r="AR9" i="52"/>
  <c r="AS9" i="52"/>
  <c r="AT9" i="52"/>
  <c r="AV9" i="52"/>
  <c r="AW9" i="52"/>
  <c r="AX9" i="52"/>
  <c r="AY9" i="52"/>
  <c r="K10" i="52"/>
  <c r="N10" i="52"/>
  <c r="P10" i="52"/>
  <c r="AH10" i="52"/>
  <c r="AM10" i="52"/>
  <c r="AN10" i="52"/>
  <c r="AO10" i="52"/>
  <c r="AP10" i="52"/>
  <c r="AQ10" i="52"/>
  <c r="AR10" i="52"/>
  <c r="AS10" i="52"/>
  <c r="AT10" i="52"/>
  <c r="AV10" i="52"/>
  <c r="AW10" i="52"/>
  <c r="AX10" i="52"/>
  <c r="AY10" i="52"/>
  <c r="D11" i="52"/>
  <c r="K11" i="52"/>
  <c r="N11" i="52"/>
  <c r="P11" i="52"/>
  <c r="AM11" i="52"/>
  <c r="AN11" i="52"/>
  <c r="AO11" i="52"/>
  <c r="AP11" i="52"/>
  <c r="AQ11" i="52"/>
  <c r="AR11" i="52"/>
  <c r="AS11" i="52"/>
  <c r="AT11" i="52"/>
  <c r="AV11" i="52"/>
  <c r="AW11" i="52"/>
  <c r="AX11" i="52"/>
  <c r="AY11" i="52"/>
  <c r="D12" i="52"/>
  <c r="N12" i="52"/>
  <c r="P12" i="52"/>
  <c r="AH12" i="52"/>
  <c r="AM12" i="52"/>
  <c r="AN12" i="52"/>
  <c r="AO12" i="52"/>
  <c r="AP12" i="52"/>
  <c r="AQ12" i="52"/>
  <c r="AR12" i="52"/>
  <c r="AS12" i="52"/>
  <c r="AT12" i="52"/>
  <c r="AV12" i="52"/>
  <c r="AW12" i="52"/>
  <c r="AX12" i="52"/>
  <c r="AY12" i="52"/>
  <c r="N13" i="52"/>
  <c r="P13" i="52"/>
  <c r="AH13" i="52"/>
  <c r="AM13" i="52"/>
  <c r="AN13" i="52"/>
  <c r="AO13" i="52"/>
  <c r="AP13" i="52"/>
  <c r="AQ13" i="52"/>
  <c r="AR13" i="52"/>
  <c r="AS13" i="52"/>
  <c r="AT13" i="52"/>
  <c r="AV13" i="52"/>
  <c r="AW13" i="52"/>
  <c r="AX13" i="52"/>
  <c r="AY13" i="52"/>
  <c r="N14" i="52"/>
  <c r="P14" i="52"/>
  <c r="S14" i="52"/>
  <c r="T14" i="52"/>
  <c r="AM14" i="52"/>
  <c r="AN14" i="52"/>
  <c r="AO14" i="52"/>
  <c r="AP14" i="52"/>
  <c r="AQ14" i="52"/>
  <c r="AR14" i="52"/>
  <c r="AS14" i="52"/>
  <c r="AT14" i="52"/>
  <c r="AV14" i="52"/>
  <c r="AW14" i="52"/>
  <c r="AX14" i="52"/>
  <c r="AY14" i="52"/>
  <c r="N15" i="52"/>
  <c r="P15" i="52"/>
  <c r="AM15" i="52"/>
  <c r="AN15" i="52"/>
  <c r="AO15" i="52"/>
  <c r="AP15" i="52"/>
  <c r="AQ15" i="52"/>
  <c r="AR15" i="52"/>
  <c r="AS15" i="52"/>
  <c r="AT15" i="52"/>
  <c r="AV15" i="52"/>
  <c r="AW15" i="52"/>
  <c r="AX15" i="52"/>
  <c r="AY15" i="52"/>
  <c r="N16" i="52"/>
  <c r="P16" i="52"/>
  <c r="AV16" i="52"/>
  <c r="AW16" i="52"/>
  <c r="AX16" i="52"/>
  <c r="AY16" i="52"/>
  <c r="N17" i="52"/>
  <c r="P17" i="52"/>
  <c r="AV17" i="52"/>
  <c r="AW17" i="52"/>
  <c r="AX17" i="52"/>
  <c r="AY17" i="52"/>
  <c r="N18" i="52"/>
  <c r="P18" i="52"/>
  <c r="AX18" i="52"/>
  <c r="AY18" i="52"/>
  <c r="N19" i="52"/>
  <c r="P19" i="52"/>
  <c r="S20" i="52"/>
  <c r="T20" i="52"/>
  <c r="AM20" i="52"/>
  <c r="AO20" i="52"/>
  <c r="AV20" i="52"/>
  <c r="AW20" i="52"/>
  <c r="AX20" i="52"/>
  <c r="AY20" i="52"/>
  <c r="D22" i="52"/>
  <c r="F22" i="52"/>
  <c r="G22" i="52"/>
  <c r="H22" i="52"/>
  <c r="I22" i="52"/>
  <c r="K22" i="52"/>
  <c r="L22" i="52"/>
  <c r="N22" i="52"/>
  <c r="O22" i="52"/>
  <c r="P22" i="52"/>
  <c r="Q22" i="52"/>
  <c r="S22" i="52"/>
  <c r="T22" i="52"/>
  <c r="V22" i="52"/>
  <c r="X22" i="52"/>
  <c r="Y22" i="52"/>
  <c r="Z22" i="52"/>
  <c r="AA22" i="52"/>
  <c r="AB22" i="52"/>
  <c r="AC22" i="52"/>
  <c r="AF22" i="52"/>
  <c r="AG22" i="52"/>
  <c r="AH22" i="52"/>
  <c r="AI22" i="52"/>
  <c r="AJ22" i="52"/>
  <c r="AL22" i="52"/>
  <c r="AM22" i="52"/>
  <c r="AN22" i="52"/>
  <c r="AO22" i="52"/>
  <c r="AP22" i="52"/>
  <c r="AQ22" i="52"/>
  <c r="AR22" i="52"/>
  <c r="AS22" i="52"/>
  <c r="AT22" i="52"/>
  <c r="AU22" i="52"/>
  <c r="AV22" i="52"/>
  <c r="AW22" i="52"/>
  <c r="AX22" i="52"/>
  <c r="AY22" i="52"/>
  <c r="BB22" i="52"/>
  <c r="BC22" i="52"/>
  <c r="BD22" i="52"/>
  <c r="BE22" i="52"/>
  <c r="BF22" i="52"/>
  <c r="BG22" i="52"/>
  <c r="BH22" i="52"/>
  <c r="BI22" i="52"/>
  <c r="BJ22" i="52"/>
  <c r="BK22" i="52"/>
  <c r="BL22" i="52"/>
  <c r="BM22" i="52"/>
  <c r="BN22" i="52"/>
  <c r="BO22" i="52"/>
  <c r="D23" i="52"/>
  <c r="F23" i="52"/>
  <c r="G23" i="52"/>
  <c r="H23" i="52"/>
  <c r="I23" i="52"/>
  <c r="K23" i="52"/>
  <c r="L23" i="52"/>
  <c r="N23" i="52"/>
  <c r="O23" i="52"/>
  <c r="P23" i="52"/>
  <c r="Q23" i="52"/>
  <c r="S23" i="52"/>
  <c r="T23" i="52"/>
  <c r="V23" i="52"/>
  <c r="X23" i="52"/>
  <c r="Y23" i="52"/>
  <c r="Z23" i="52"/>
  <c r="AA23" i="52"/>
  <c r="AB23" i="52"/>
  <c r="AC23" i="52"/>
  <c r="AF23" i="52"/>
  <c r="AG23" i="52"/>
  <c r="AH23" i="52"/>
  <c r="AI23" i="52"/>
  <c r="AJ23" i="52"/>
  <c r="AL23" i="52"/>
  <c r="AM23" i="52"/>
  <c r="AN23" i="52"/>
  <c r="AO23" i="52"/>
  <c r="AP23" i="52"/>
  <c r="AQ23" i="52"/>
  <c r="AR23" i="52"/>
  <c r="AS23" i="52"/>
  <c r="AT23" i="52"/>
  <c r="AU23" i="52"/>
  <c r="AV23" i="52"/>
  <c r="AW23" i="52"/>
  <c r="AX23" i="52"/>
  <c r="AY23" i="52"/>
  <c r="BB23" i="52"/>
  <c r="BC23" i="52"/>
  <c r="BD23" i="52"/>
  <c r="BE23" i="52"/>
  <c r="BF23" i="52"/>
  <c r="BG23" i="52"/>
  <c r="BH23" i="52"/>
  <c r="BI23" i="52"/>
  <c r="BJ23" i="52"/>
  <c r="BK23" i="52"/>
  <c r="BL23" i="52"/>
  <c r="BM23" i="52"/>
  <c r="BN23" i="52"/>
  <c r="BO23" i="52"/>
  <c r="D24" i="52"/>
  <c r="F24" i="52"/>
  <c r="G24" i="52"/>
  <c r="H24" i="52"/>
  <c r="I24" i="52"/>
  <c r="K24" i="52"/>
  <c r="L24" i="52"/>
  <c r="N24" i="52"/>
  <c r="O24" i="52"/>
  <c r="P24" i="52"/>
  <c r="Q24" i="52"/>
  <c r="S24" i="52"/>
  <c r="T24" i="52"/>
  <c r="V24" i="52"/>
  <c r="X24" i="52"/>
  <c r="Y24" i="52"/>
  <c r="Z24" i="52"/>
  <c r="AA24" i="52"/>
  <c r="AB24" i="52"/>
  <c r="AC24" i="52"/>
  <c r="AF24" i="52"/>
  <c r="AG24" i="52"/>
  <c r="AH24" i="52"/>
  <c r="AI24" i="52"/>
  <c r="AJ24" i="52"/>
  <c r="AL24" i="52"/>
  <c r="AM24" i="52"/>
  <c r="AN24" i="52"/>
  <c r="AO24" i="52"/>
  <c r="AP24" i="52"/>
  <c r="AQ24" i="52"/>
  <c r="AR24" i="52"/>
  <c r="AS24" i="52"/>
  <c r="AT24" i="52"/>
  <c r="AU24" i="52"/>
  <c r="AV24" i="52"/>
  <c r="AW24" i="52"/>
  <c r="AX24" i="52"/>
  <c r="AY24" i="52"/>
  <c r="BB24" i="52"/>
  <c r="BC24" i="52"/>
  <c r="BD24" i="52"/>
  <c r="BE24" i="52"/>
  <c r="BF24" i="52"/>
  <c r="BG24" i="52"/>
  <c r="BH24" i="52"/>
  <c r="BI24" i="52"/>
  <c r="BJ24" i="52"/>
  <c r="BK24" i="52"/>
  <c r="BL24" i="52"/>
  <c r="BM24" i="52"/>
  <c r="BN24" i="52"/>
  <c r="BO24" i="52"/>
  <c r="D25" i="52"/>
  <c r="F25" i="52"/>
  <c r="G25" i="52"/>
  <c r="H25" i="52"/>
  <c r="I25" i="52"/>
  <c r="K25" i="52"/>
  <c r="L25" i="52"/>
  <c r="N25" i="52"/>
  <c r="O25" i="52"/>
  <c r="P25" i="52"/>
  <c r="Q25" i="52"/>
  <c r="S25" i="52"/>
  <c r="T25" i="52"/>
  <c r="V25" i="52"/>
  <c r="X25" i="52"/>
  <c r="Y25" i="52"/>
  <c r="Z25" i="52"/>
  <c r="AA25" i="52"/>
  <c r="AB25" i="52"/>
  <c r="AC25" i="52"/>
  <c r="AF25" i="52"/>
  <c r="AG25" i="52"/>
  <c r="AH25" i="52"/>
  <c r="AI25" i="52"/>
  <c r="AJ25" i="52"/>
  <c r="AL25" i="52"/>
  <c r="AM25" i="52"/>
  <c r="AN25" i="52"/>
  <c r="AO25" i="52"/>
  <c r="AP25" i="52"/>
  <c r="AQ25" i="52"/>
  <c r="AR25" i="52"/>
  <c r="AS25" i="52"/>
  <c r="AT25" i="52"/>
  <c r="AU25" i="52"/>
  <c r="AV25" i="52"/>
  <c r="AW25" i="52"/>
  <c r="AX25" i="52"/>
  <c r="AY25" i="52"/>
  <c r="BB25" i="52"/>
  <c r="BC25" i="52"/>
  <c r="BD25" i="52"/>
  <c r="BE25" i="52"/>
  <c r="BF25" i="52"/>
  <c r="BG25" i="52"/>
  <c r="BH25" i="52"/>
  <c r="BI25" i="52"/>
  <c r="BJ25" i="52"/>
  <c r="BK25" i="52"/>
  <c r="BL25" i="52"/>
  <c r="BM25" i="52"/>
  <c r="BN25" i="52"/>
  <c r="BO25" i="52"/>
  <c r="D26" i="52"/>
  <c r="F26" i="52"/>
  <c r="G26" i="52"/>
  <c r="H26" i="52"/>
  <c r="I26" i="52"/>
  <c r="K26" i="52"/>
  <c r="L26" i="52"/>
  <c r="N26" i="52"/>
  <c r="O26" i="52"/>
  <c r="P26" i="52"/>
  <c r="Q26" i="52"/>
  <c r="S26" i="52"/>
  <c r="T26" i="52"/>
  <c r="V26" i="52"/>
  <c r="X26" i="52"/>
  <c r="Y26" i="52"/>
  <c r="Z26" i="52"/>
  <c r="AA26" i="52"/>
  <c r="AB26" i="52"/>
  <c r="AC26" i="52"/>
  <c r="AF26" i="52"/>
  <c r="AG26" i="52"/>
  <c r="AH26" i="52"/>
  <c r="AI26" i="52"/>
  <c r="AJ26" i="52"/>
  <c r="AL26" i="52"/>
  <c r="AM26" i="52"/>
  <c r="AN26" i="52"/>
  <c r="AO26" i="52"/>
  <c r="AP26" i="52"/>
  <c r="AQ26" i="52"/>
  <c r="AR26" i="52"/>
  <c r="AS26" i="52"/>
  <c r="AT26" i="52"/>
  <c r="AU26" i="52"/>
  <c r="AV26" i="52"/>
  <c r="AW26" i="52"/>
  <c r="AX26" i="52"/>
  <c r="AY26" i="52"/>
  <c r="BB26" i="52"/>
  <c r="BC26" i="52"/>
  <c r="BD26" i="52"/>
  <c r="BE26" i="52"/>
  <c r="BF26" i="52"/>
  <c r="BG26" i="52"/>
  <c r="BH26" i="52"/>
  <c r="BI26" i="52"/>
  <c r="BJ26" i="52"/>
  <c r="BK26" i="52"/>
  <c r="BL26" i="52"/>
  <c r="BM26" i="52"/>
  <c r="BN26" i="52"/>
  <c r="BO26" i="52"/>
  <c r="D27" i="52"/>
  <c r="F27" i="52"/>
  <c r="G27" i="52"/>
  <c r="H27" i="52"/>
  <c r="I27" i="52"/>
  <c r="K27" i="52"/>
  <c r="L27" i="52"/>
  <c r="N27" i="52"/>
  <c r="O27" i="52"/>
  <c r="P27" i="52"/>
  <c r="Q27" i="52"/>
  <c r="S27" i="52"/>
  <c r="T27" i="52"/>
  <c r="V27" i="52"/>
  <c r="X27" i="52"/>
  <c r="Y27" i="52"/>
  <c r="Z27" i="52"/>
  <c r="AA27" i="52"/>
  <c r="AB27" i="52"/>
  <c r="AC27" i="52"/>
  <c r="AF27" i="52"/>
  <c r="AG27" i="52"/>
  <c r="AH27" i="52"/>
  <c r="AI27" i="52"/>
  <c r="AJ27" i="52"/>
  <c r="AL27" i="52"/>
  <c r="AM27" i="52"/>
  <c r="AN27" i="52"/>
  <c r="AO27" i="52"/>
  <c r="AP27" i="52"/>
  <c r="AQ27" i="52"/>
  <c r="AR27" i="52"/>
  <c r="AS27" i="52"/>
  <c r="AT27" i="52"/>
  <c r="AU27" i="52"/>
  <c r="AV27" i="52"/>
  <c r="AW27" i="52"/>
  <c r="AX27" i="52"/>
  <c r="AY27" i="52"/>
  <c r="BB27" i="52"/>
  <c r="BC27" i="52"/>
  <c r="BD27" i="52"/>
  <c r="BE27" i="52"/>
  <c r="BF27" i="52"/>
  <c r="BG27" i="52"/>
  <c r="BH27" i="52"/>
  <c r="BI27" i="52"/>
  <c r="BJ27" i="52"/>
  <c r="BK27" i="52"/>
  <c r="BL27" i="52"/>
  <c r="BM27" i="52"/>
  <c r="BN27" i="52"/>
  <c r="BO27" i="52"/>
  <c r="F1" i="53"/>
  <c r="AV1" i="53"/>
  <c r="A2" i="53"/>
  <c r="F2" i="53"/>
  <c r="G2" i="53"/>
  <c r="N2" i="53"/>
  <c r="AV2" i="53"/>
  <c r="AW2" i="53"/>
  <c r="AX2" i="53"/>
  <c r="AY2" i="53"/>
  <c r="BW2" i="53"/>
  <c r="BX2" i="53"/>
  <c r="BY2" i="53"/>
  <c r="BZ2" i="53"/>
  <c r="CA2" i="53"/>
  <c r="CB2" i="53"/>
  <c r="CC2" i="53"/>
  <c r="CD2" i="53"/>
  <c r="CE2" i="53"/>
  <c r="CF2" i="53"/>
  <c r="CG2" i="53"/>
  <c r="CH2" i="53"/>
  <c r="CI2" i="53"/>
  <c r="CJ2" i="53"/>
  <c r="CK2" i="53"/>
  <c r="CL2" i="53"/>
  <c r="CM2" i="53"/>
  <c r="CN2" i="53"/>
  <c r="CO2" i="53"/>
  <c r="CP2" i="53"/>
  <c r="CQ2" i="53"/>
  <c r="CR2" i="53"/>
  <c r="CS2" i="53"/>
  <c r="CT2" i="53"/>
  <c r="CU2" i="53"/>
  <c r="CV2" i="53"/>
  <c r="CW2" i="53"/>
  <c r="CX2" i="53"/>
  <c r="A3" i="53"/>
  <c r="AH3" i="53"/>
  <c r="AK3" i="53"/>
  <c r="AV3" i="53"/>
  <c r="AW3" i="53"/>
  <c r="AX3" i="53"/>
  <c r="AY3" i="53"/>
  <c r="A4" i="53"/>
  <c r="N4" i="53"/>
  <c r="P4" i="53"/>
  <c r="T4" i="53"/>
  <c r="V4" i="53"/>
  <c r="W4" i="53"/>
  <c r="AH4" i="53"/>
  <c r="AK4" i="53"/>
  <c r="AM4" i="53"/>
  <c r="AN4" i="53"/>
  <c r="AO4" i="53"/>
  <c r="AP4" i="53"/>
  <c r="AQ4" i="53"/>
  <c r="AR4" i="53"/>
  <c r="AS4" i="53"/>
  <c r="AT4" i="53"/>
  <c r="AV4" i="53"/>
  <c r="AW4" i="53"/>
  <c r="AX4" i="53"/>
  <c r="AY4" i="53"/>
  <c r="A5" i="53"/>
  <c r="G5" i="53"/>
  <c r="N5" i="53"/>
  <c r="P5" i="53"/>
  <c r="T5" i="53"/>
  <c r="V5" i="53"/>
  <c r="W5" i="53"/>
  <c r="AH5" i="53"/>
  <c r="AK5" i="53"/>
  <c r="AM5" i="53"/>
  <c r="AN5" i="53"/>
  <c r="AO5" i="53"/>
  <c r="AP5" i="53"/>
  <c r="AQ5" i="53"/>
  <c r="AR5" i="53"/>
  <c r="AS5" i="53"/>
  <c r="AT5" i="53"/>
  <c r="AV5" i="53"/>
  <c r="AW5" i="53"/>
  <c r="AX5" i="53"/>
  <c r="AY5" i="53"/>
  <c r="BV5" i="53"/>
  <c r="A6" i="53"/>
  <c r="N6" i="53"/>
  <c r="P6" i="53"/>
  <c r="T6" i="53"/>
  <c r="V6" i="53"/>
  <c r="W6" i="53"/>
  <c r="AH6" i="53"/>
  <c r="AK6" i="53"/>
  <c r="AM6" i="53"/>
  <c r="AN6" i="53"/>
  <c r="AO6" i="53"/>
  <c r="AP6" i="53"/>
  <c r="AQ6" i="53"/>
  <c r="AR6" i="53"/>
  <c r="AS6" i="53"/>
  <c r="AT6" i="53"/>
  <c r="A7" i="53"/>
  <c r="G7" i="53"/>
  <c r="N7" i="53"/>
  <c r="N7" i="53" a="1"/>
  <c r="P7" i="53"/>
  <c r="T7" i="53"/>
  <c r="AH7" i="53"/>
  <c r="AK7" i="53"/>
  <c r="AM7" i="53"/>
  <c r="AN7" i="53"/>
  <c r="AO7" i="53"/>
  <c r="AP7" i="53"/>
  <c r="AQ7" i="53"/>
  <c r="AR7" i="53"/>
  <c r="AS7" i="53"/>
  <c r="AT7" i="53"/>
  <c r="AV7" i="53"/>
  <c r="AW7" i="53"/>
  <c r="AX7" i="53"/>
  <c r="AY7" i="53"/>
  <c r="G8" i="53"/>
  <c r="N8" i="53"/>
  <c r="N8" i="53" a="1"/>
  <c r="P8" i="53"/>
  <c r="T8" i="53"/>
  <c r="V8" i="53"/>
  <c r="W8" i="53"/>
  <c r="Y8" i="53"/>
  <c r="Z8" i="53"/>
  <c r="AH8" i="53"/>
  <c r="AK8" i="53"/>
  <c r="AM8" i="53"/>
  <c r="AN8" i="53"/>
  <c r="AO8" i="53"/>
  <c r="AP8" i="53"/>
  <c r="AQ8" i="53"/>
  <c r="AR8" i="53"/>
  <c r="AS8" i="53"/>
  <c r="AT8" i="53"/>
  <c r="AV8" i="53"/>
  <c r="AW8" i="53"/>
  <c r="AX8" i="53"/>
  <c r="AY8" i="53"/>
  <c r="N9" i="53"/>
  <c r="N9" i="53" a="1"/>
  <c r="P9" i="53"/>
  <c r="AK9" i="53"/>
  <c r="AM9" i="53"/>
  <c r="AN9" i="53"/>
  <c r="AO9" i="53"/>
  <c r="AP9" i="53"/>
  <c r="AQ9" i="53"/>
  <c r="AR9" i="53"/>
  <c r="AS9" i="53"/>
  <c r="AT9" i="53"/>
  <c r="AV9" i="53"/>
  <c r="AW9" i="53"/>
  <c r="AX9" i="53"/>
  <c r="AY9" i="53"/>
  <c r="K10" i="53"/>
  <c r="N10" i="53"/>
  <c r="P10" i="53"/>
  <c r="AH10" i="53"/>
  <c r="AM10" i="53"/>
  <c r="AN10" i="53"/>
  <c r="AO10" i="53"/>
  <c r="AP10" i="53"/>
  <c r="AQ10" i="53"/>
  <c r="AR10" i="53"/>
  <c r="AS10" i="53"/>
  <c r="AT10" i="53"/>
  <c r="AV10" i="53"/>
  <c r="AW10" i="53"/>
  <c r="AX10" i="53"/>
  <c r="AY10" i="53"/>
  <c r="D11" i="53"/>
  <c r="K11" i="53"/>
  <c r="N11" i="53"/>
  <c r="P11" i="53"/>
  <c r="AM11" i="53"/>
  <c r="AN11" i="53"/>
  <c r="AO11" i="53"/>
  <c r="AP11" i="53"/>
  <c r="AQ11" i="53"/>
  <c r="AR11" i="53"/>
  <c r="AS11" i="53"/>
  <c r="AT11" i="53"/>
  <c r="AV11" i="53"/>
  <c r="AW11" i="53"/>
  <c r="AX11" i="53"/>
  <c r="AY11" i="53"/>
  <c r="D12" i="53"/>
  <c r="N12" i="53"/>
  <c r="P12" i="53"/>
  <c r="AH12" i="53"/>
  <c r="AM12" i="53"/>
  <c r="AN12" i="53"/>
  <c r="AO12" i="53"/>
  <c r="AP12" i="53"/>
  <c r="AQ12" i="53"/>
  <c r="AR12" i="53"/>
  <c r="AS12" i="53"/>
  <c r="AT12" i="53"/>
  <c r="AV12" i="53"/>
  <c r="AW12" i="53"/>
  <c r="AX12" i="53"/>
  <c r="AY12" i="53"/>
  <c r="N13" i="53"/>
  <c r="P13" i="53"/>
  <c r="AH13" i="53"/>
  <c r="AM13" i="53"/>
  <c r="AN13" i="53"/>
  <c r="AO13" i="53"/>
  <c r="AP13" i="53"/>
  <c r="AQ13" i="53"/>
  <c r="AR13" i="53"/>
  <c r="AS13" i="53"/>
  <c r="AT13" i="53"/>
  <c r="AV13" i="53"/>
  <c r="AW13" i="53"/>
  <c r="AX13" i="53"/>
  <c r="AY13" i="53"/>
  <c r="N14" i="53"/>
  <c r="P14" i="53"/>
  <c r="S14" i="53"/>
  <c r="T14" i="53"/>
  <c r="AM14" i="53"/>
  <c r="AN14" i="53"/>
  <c r="AO14" i="53"/>
  <c r="AP14" i="53"/>
  <c r="AQ14" i="53"/>
  <c r="AR14" i="53"/>
  <c r="AS14" i="53"/>
  <c r="AT14" i="53"/>
  <c r="AV14" i="53"/>
  <c r="AW14" i="53"/>
  <c r="AX14" i="53"/>
  <c r="AY14" i="53"/>
  <c r="N15" i="53"/>
  <c r="P15" i="53"/>
  <c r="AM15" i="53"/>
  <c r="AN15" i="53"/>
  <c r="AO15" i="53"/>
  <c r="AP15" i="53"/>
  <c r="AQ15" i="53"/>
  <c r="AR15" i="53"/>
  <c r="AS15" i="53"/>
  <c r="AT15" i="53"/>
  <c r="AV15" i="53"/>
  <c r="AW15" i="53"/>
  <c r="AX15" i="53"/>
  <c r="AY15" i="53"/>
  <c r="N16" i="53"/>
  <c r="P16" i="53"/>
  <c r="AV16" i="53"/>
  <c r="AW16" i="53"/>
  <c r="AX16" i="53"/>
  <c r="AY16" i="53"/>
  <c r="N17" i="53"/>
  <c r="P17" i="53"/>
  <c r="AV17" i="53"/>
  <c r="AW17" i="53"/>
  <c r="AX17" i="53"/>
  <c r="AY17" i="53"/>
  <c r="N18" i="53"/>
  <c r="P18" i="53"/>
  <c r="AX18" i="53"/>
  <c r="AY18" i="53"/>
  <c r="N19" i="53"/>
  <c r="P19" i="53"/>
  <c r="S20" i="53"/>
  <c r="T20" i="53"/>
  <c r="AM20" i="53"/>
  <c r="AO20" i="53"/>
  <c r="AV20" i="53"/>
  <c r="AW20" i="53"/>
  <c r="AX20" i="53"/>
  <c r="AY20" i="53"/>
  <c r="D22" i="53"/>
  <c r="F22" i="53"/>
  <c r="G22" i="53"/>
  <c r="H22" i="53"/>
  <c r="I22" i="53"/>
  <c r="K22" i="53"/>
  <c r="L22" i="53"/>
  <c r="N22" i="53"/>
  <c r="O22" i="53"/>
  <c r="P22" i="53"/>
  <c r="Q22" i="53"/>
  <c r="S22" i="53"/>
  <c r="T22" i="53"/>
  <c r="V22" i="53"/>
  <c r="X22" i="53"/>
  <c r="Y22" i="53"/>
  <c r="Z22" i="53"/>
  <c r="AA22" i="53"/>
  <c r="AB22" i="53"/>
  <c r="AC22" i="53"/>
  <c r="AF22" i="53"/>
  <c r="AG22" i="53"/>
  <c r="AH22" i="53"/>
  <c r="AI22" i="53"/>
  <c r="AJ22" i="53"/>
  <c r="AL22" i="53"/>
  <c r="AM22" i="53"/>
  <c r="AN22" i="53"/>
  <c r="AO22" i="53"/>
  <c r="AP22" i="53"/>
  <c r="AQ22" i="53"/>
  <c r="AR22" i="53"/>
  <c r="AS22" i="53"/>
  <c r="AT22" i="53"/>
  <c r="AU22" i="53"/>
  <c r="AV22" i="53"/>
  <c r="AW22" i="53"/>
  <c r="AX22" i="53"/>
  <c r="AY22" i="53"/>
  <c r="BB22" i="53"/>
  <c r="BC22" i="53"/>
  <c r="BD22" i="53"/>
  <c r="BE22" i="53"/>
  <c r="BF22" i="53"/>
  <c r="BG22" i="53"/>
  <c r="BH22" i="53"/>
  <c r="BI22" i="53"/>
  <c r="BJ22" i="53"/>
  <c r="BK22" i="53"/>
  <c r="BL22" i="53"/>
  <c r="BM22" i="53"/>
  <c r="BN22" i="53"/>
  <c r="BO22" i="53"/>
  <c r="D23" i="53"/>
  <c r="F23" i="53"/>
  <c r="G23" i="53"/>
  <c r="H23" i="53"/>
  <c r="I23" i="53"/>
  <c r="K23" i="53"/>
  <c r="L23" i="53"/>
  <c r="N23" i="53"/>
  <c r="O23" i="53"/>
  <c r="P23" i="53"/>
  <c r="Q23" i="53"/>
  <c r="S23" i="53"/>
  <c r="T23" i="53"/>
  <c r="V23" i="53"/>
  <c r="X23" i="53"/>
  <c r="Y23" i="53"/>
  <c r="Z23" i="53"/>
  <c r="AA23" i="53"/>
  <c r="AB23" i="53"/>
  <c r="AC23" i="53"/>
  <c r="AF23" i="53"/>
  <c r="AG23" i="53"/>
  <c r="AH23" i="53"/>
  <c r="AI23" i="53"/>
  <c r="AJ23" i="53"/>
  <c r="AL23" i="53"/>
  <c r="AM23" i="53"/>
  <c r="AN23" i="53"/>
  <c r="AO23" i="53"/>
  <c r="AP23" i="53"/>
  <c r="AQ23" i="53"/>
  <c r="AR23" i="53"/>
  <c r="AS23" i="53"/>
  <c r="AT23" i="53"/>
  <c r="AU23" i="53"/>
  <c r="AV23" i="53"/>
  <c r="AW23" i="53"/>
  <c r="AX23" i="53"/>
  <c r="AY23" i="53"/>
  <c r="BB23" i="53"/>
  <c r="BC23" i="53"/>
  <c r="BD23" i="53"/>
  <c r="BE23" i="53"/>
  <c r="BF23" i="53"/>
  <c r="BG23" i="53"/>
  <c r="BH23" i="53"/>
  <c r="BI23" i="53"/>
  <c r="BJ23" i="53"/>
  <c r="BK23" i="53"/>
  <c r="BL23" i="53"/>
  <c r="BM23" i="53"/>
  <c r="BN23" i="53"/>
  <c r="BO23" i="53"/>
  <c r="D24" i="53"/>
  <c r="F24" i="53"/>
  <c r="G24" i="53"/>
  <c r="H24" i="53"/>
  <c r="I24" i="53"/>
  <c r="K24" i="53"/>
  <c r="L24" i="53"/>
  <c r="N24" i="53"/>
  <c r="O24" i="53"/>
  <c r="P24" i="53"/>
  <c r="Q24" i="53"/>
  <c r="S24" i="53"/>
  <c r="T24" i="53"/>
  <c r="V24" i="53"/>
  <c r="X24" i="53"/>
  <c r="Y24" i="53"/>
  <c r="Z24" i="53"/>
  <c r="AA24" i="53"/>
  <c r="AB24" i="53"/>
  <c r="AC24" i="53"/>
  <c r="AF24" i="53"/>
  <c r="AG24" i="53"/>
  <c r="AH24" i="53"/>
  <c r="AI24" i="53"/>
  <c r="AJ24" i="53"/>
  <c r="AL24" i="53"/>
  <c r="AM24" i="53"/>
  <c r="AN24" i="53"/>
  <c r="AO24" i="53"/>
  <c r="AP24" i="53"/>
  <c r="AQ24" i="53"/>
  <c r="AR24" i="53"/>
  <c r="AS24" i="53"/>
  <c r="AT24" i="53"/>
  <c r="AU24" i="53"/>
  <c r="AV24" i="53"/>
  <c r="AW24" i="53"/>
  <c r="AX24" i="53"/>
  <c r="AY24" i="53"/>
  <c r="BB24" i="53"/>
  <c r="BC24" i="53"/>
  <c r="BD24" i="53"/>
  <c r="BE24" i="53"/>
  <c r="BF24" i="53"/>
  <c r="BG24" i="53"/>
  <c r="BH24" i="53"/>
  <c r="BI24" i="53"/>
  <c r="BJ24" i="53"/>
  <c r="BK24" i="53"/>
  <c r="BL24" i="53"/>
  <c r="BM24" i="53"/>
  <c r="BN24" i="53"/>
  <c r="BO24" i="53"/>
  <c r="D25" i="53"/>
  <c r="F25" i="53"/>
  <c r="G25" i="53"/>
  <c r="H25" i="53"/>
  <c r="I25" i="53"/>
  <c r="K25" i="53"/>
  <c r="L25" i="53"/>
  <c r="N25" i="53"/>
  <c r="O25" i="53"/>
  <c r="P25" i="53"/>
  <c r="Q25" i="53"/>
  <c r="S25" i="53"/>
  <c r="T25" i="53"/>
  <c r="V25" i="53"/>
  <c r="X25" i="53"/>
  <c r="Y25" i="53"/>
  <c r="Z25" i="53"/>
  <c r="AA25" i="53"/>
  <c r="AB25" i="53"/>
  <c r="AC25" i="53"/>
  <c r="AF25" i="53"/>
  <c r="AG25" i="53"/>
  <c r="AH25" i="53"/>
  <c r="AI25" i="53"/>
  <c r="AJ25" i="53"/>
  <c r="AL25" i="53"/>
  <c r="AM25" i="53"/>
  <c r="AN25" i="53"/>
  <c r="AO25" i="53"/>
  <c r="AP25" i="53"/>
  <c r="AQ25" i="53"/>
  <c r="AR25" i="53"/>
  <c r="AS25" i="53"/>
  <c r="AT25" i="53"/>
  <c r="AU25" i="53"/>
  <c r="AV25" i="53"/>
  <c r="AW25" i="53"/>
  <c r="AX25" i="53"/>
  <c r="AY25" i="53"/>
  <c r="BB25" i="53"/>
  <c r="BC25" i="53"/>
  <c r="BD25" i="53"/>
  <c r="BE25" i="53"/>
  <c r="BF25" i="53"/>
  <c r="BG25" i="53"/>
  <c r="BH25" i="53"/>
  <c r="BI25" i="53"/>
  <c r="BJ25" i="53"/>
  <c r="BK25" i="53"/>
  <c r="BL25" i="53"/>
  <c r="BM25" i="53"/>
  <c r="BN25" i="53"/>
  <c r="BO25" i="53"/>
  <c r="D26" i="53"/>
  <c r="F26" i="53"/>
  <c r="G26" i="53"/>
  <c r="H26" i="53"/>
  <c r="I26" i="53"/>
  <c r="K26" i="53"/>
  <c r="L26" i="53"/>
  <c r="N26" i="53"/>
  <c r="O26" i="53"/>
  <c r="P26" i="53"/>
  <c r="Q26" i="53"/>
  <c r="S26" i="53"/>
  <c r="T26" i="53"/>
  <c r="V26" i="53"/>
  <c r="X26" i="53"/>
  <c r="Y26" i="53"/>
  <c r="Z26" i="53"/>
  <c r="AA26" i="53"/>
  <c r="AB26" i="53"/>
  <c r="AC26" i="53"/>
  <c r="AF26" i="53"/>
  <c r="AG26" i="53"/>
  <c r="AH26" i="53"/>
  <c r="AI26" i="53"/>
  <c r="AJ26" i="53"/>
  <c r="AL26" i="53"/>
  <c r="AM26" i="53"/>
  <c r="AN26" i="53"/>
  <c r="AO26" i="53"/>
  <c r="AP26" i="53"/>
  <c r="AQ26" i="53"/>
  <c r="AR26" i="53"/>
  <c r="AS26" i="53"/>
  <c r="AT26" i="53"/>
  <c r="AU26" i="53"/>
  <c r="AV26" i="53"/>
  <c r="AW26" i="53"/>
  <c r="AX26" i="53"/>
  <c r="AY26" i="53"/>
  <c r="BB26" i="53"/>
  <c r="BC26" i="53"/>
  <c r="BD26" i="53"/>
  <c r="BE26" i="53"/>
  <c r="BF26" i="53"/>
  <c r="BG26" i="53"/>
  <c r="BH26" i="53"/>
  <c r="BI26" i="53"/>
  <c r="BJ26" i="53"/>
  <c r="BK26" i="53"/>
  <c r="BL26" i="53"/>
  <c r="BM26" i="53"/>
  <c r="BN26" i="53"/>
  <c r="BO26" i="53"/>
  <c r="F1" i="54"/>
  <c r="AV1" i="54"/>
  <c r="A2" i="54"/>
  <c r="F2" i="54"/>
  <c r="G2" i="54"/>
  <c r="N2" i="54"/>
  <c r="AV2" i="54"/>
  <c r="AW2" i="54"/>
  <c r="AX2" i="54"/>
  <c r="AY2" i="54"/>
  <c r="BW2" i="54"/>
  <c r="BX2" i="54"/>
  <c r="BY2" i="54"/>
  <c r="BZ2" i="54"/>
  <c r="CA2" i="54"/>
  <c r="CB2" i="54"/>
  <c r="CC2" i="54"/>
  <c r="CD2" i="54"/>
  <c r="CE2" i="54"/>
  <c r="CF2" i="54"/>
  <c r="CG2" i="54"/>
  <c r="CH2" i="54"/>
  <c r="CI2" i="54"/>
  <c r="CJ2" i="54"/>
  <c r="CK2" i="54"/>
  <c r="CL2" i="54"/>
  <c r="CM2" i="54"/>
  <c r="CN2" i="54"/>
  <c r="CO2" i="54"/>
  <c r="CP2" i="54"/>
  <c r="CQ2" i="54"/>
  <c r="CR2" i="54"/>
  <c r="CS2" i="54"/>
  <c r="CT2" i="54"/>
  <c r="CU2" i="54"/>
  <c r="CV2" i="54"/>
  <c r="CW2" i="54"/>
  <c r="CX2" i="54"/>
  <c r="A3" i="54"/>
  <c r="AH3" i="54"/>
  <c r="AK3" i="54"/>
  <c r="AV3" i="54"/>
  <c r="AW3" i="54"/>
  <c r="AX3" i="54"/>
  <c r="AY3" i="54"/>
  <c r="A4" i="54"/>
  <c r="N4" i="54"/>
  <c r="P4" i="54"/>
  <c r="T4" i="54"/>
  <c r="V4" i="54"/>
  <c r="W4" i="54"/>
  <c r="AH4" i="54"/>
  <c r="AK4" i="54"/>
  <c r="AM4" i="54"/>
  <c r="AN4" i="54"/>
  <c r="AO4" i="54"/>
  <c r="AP4" i="54"/>
  <c r="AQ4" i="54"/>
  <c r="AR4" i="54"/>
  <c r="AS4" i="54"/>
  <c r="AT4" i="54"/>
  <c r="AV4" i="54"/>
  <c r="AW4" i="54"/>
  <c r="AX4" i="54"/>
  <c r="AY4" i="54"/>
  <c r="A5" i="54"/>
  <c r="G5" i="54"/>
  <c r="N5" i="54"/>
  <c r="P5" i="54"/>
  <c r="T5" i="54"/>
  <c r="V5" i="54"/>
  <c r="W5" i="54"/>
  <c r="AH5" i="54"/>
  <c r="AK5" i="54"/>
  <c r="AM5" i="54"/>
  <c r="AN5" i="54"/>
  <c r="AO5" i="54"/>
  <c r="AP5" i="54"/>
  <c r="AQ5" i="54"/>
  <c r="AR5" i="54"/>
  <c r="AS5" i="54"/>
  <c r="AT5" i="54"/>
  <c r="AV5" i="54"/>
  <c r="AW5" i="54"/>
  <c r="AX5" i="54"/>
  <c r="AY5" i="54"/>
  <c r="BV5" i="54"/>
  <c r="A6" i="54"/>
  <c r="N6" i="54"/>
  <c r="P6" i="54"/>
  <c r="T6" i="54"/>
  <c r="V6" i="54"/>
  <c r="W6" i="54"/>
  <c r="AH6" i="54"/>
  <c r="AK6" i="54"/>
  <c r="AM6" i="54"/>
  <c r="AN6" i="54"/>
  <c r="AO6" i="54"/>
  <c r="AP6" i="54"/>
  <c r="AQ6" i="54"/>
  <c r="AR6" i="54"/>
  <c r="AS6" i="54"/>
  <c r="AT6" i="54"/>
  <c r="A7" i="54"/>
  <c r="G7" i="54"/>
  <c r="N7" i="54"/>
  <c r="N7" i="54" a="1"/>
  <c r="P7" i="54"/>
  <c r="T7" i="54"/>
  <c r="AH7" i="54"/>
  <c r="AK7" i="54"/>
  <c r="AM7" i="54"/>
  <c r="AN7" i="54"/>
  <c r="AO7" i="54"/>
  <c r="AP7" i="54"/>
  <c r="AQ7" i="54"/>
  <c r="AR7" i="54"/>
  <c r="AS7" i="54"/>
  <c r="AT7" i="54"/>
  <c r="AV7" i="54"/>
  <c r="AW7" i="54"/>
  <c r="AX7" i="54"/>
  <c r="AY7" i="54"/>
  <c r="G8" i="54"/>
  <c r="N8" i="54"/>
  <c r="N8" i="54" a="1"/>
  <c r="P8" i="54"/>
  <c r="T8" i="54"/>
  <c r="V8" i="54"/>
  <c r="W8" i="54"/>
  <c r="Y8" i="54"/>
  <c r="Z8" i="54"/>
  <c r="AH8" i="54"/>
  <c r="AK8" i="54"/>
  <c r="AM8" i="54"/>
  <c r="AN8" i="54"/>
  <c r="AO8" i="54"/>
  <c r="AP8" i="54"/>
  <c r="AQ8" i="54"/>
  <c r="AR8" i="54"/>
  <c r="AS8" i="54"/>
  <c r="AT8" i="54"/>
  <c r="AV8" i="54"/>
  <c r="AW8" i="54"/>
  <c r="AX8" i="54"/>
  <c r="AY8" i="54"/>
  <c r="N9" i="54"/>
  <c r="N9" i="54" a="1"/>
  <c r="P9" i="54"/>
  <c r="AK9" i="54"/>
  <c r="AM9" i="54"/>
  <c r="AN9" i="54"/>
  <c r="AO9" i="54"/>
  <c r="AP9" i="54"/>
  <c r="AQ9" i="54"/>
  <c r="AR9" i="54"/>
  <c r="AS9" i="54"/>
  <c r="AT9" i="54"/>
  <c r="AV9" i="54"/>
  <c r="AW9" i="54"/>
  <c r="AX9" i="54"/>
  <c r="AY9" i="54"/>
  <c r="K10" i="54"/>
  <c r="N10" i="54"/>
  <c r="P10" i="54"/>
  <c r="AH10" i="54"/>
  <c r="AM10" i="54"/>
  <c r="AN10" i="54"/>
  <c r="AO10" i="54"/>
  <c r="AP10" i="54"/>
  <c r="AQ10" i="54"/>
  <c r="AR10" i="54"/>
  <c r="AS10" i="54"/>
  <c r="AT10" i="54"/>
  <c r="AV10" i="54"/>
  <c r="AW10" i="54"/>
  <c r="AX10" i="54"/>
  <c r="AY10" i="54"/>
  <c r="D11" i="54"/>
  <c r="K11" i="54"/>
  <c r="N11" i="54"/>
  <c r="P11" i="54"/>
  <c r="AM11" i="54"/>
  <c r="AN11" i="54"/>
  <c r="AO11" i="54"/>
  <c r="AP11" i="54"/>
  <c r="AQ11" i="54"/>
  <c r="AR11" i="54"/>
  <c r="AS11" i="54"/>
  <c r="AT11" i="54"/>
  <c r="AV11" i="54"/>
  <c r="AW11" i="54"/>
  <c r="AX11" i="54"/>
  <c r="AY11" i="54"/>
  <c r="D12" i="54"/>
  <c r="N12" i="54"/>
  <c r="P12" i="54"/>
  <c r="AH12" i="54"/>
  <c r="AM12" i="54"/>
  <c r="AN12" i="54"/>
  <c r="AO12" i="54"/>
  <c r="AP12" i="54"/>
  <c r="AQ12" i="54"/>
  <c r="AR12" i="54"/>
  <c r="AS12" i="54"/>
  <c r="AT12" i="54"/>
  <c r="AV12" i="54"/>
  <c r="AW12" i="54"/>
  <c r="AX12" i="54"/>
  <c r="AY12" i="54"/>
  <c r="N13" i="54"/>
  <c r="P13" i="54"/>
  <c r="AH13" i="54"/>
  <c r="AM13" i="54"/>
  <c r="AN13" i="54"/>
  <c r="AO13" i="54"/>
  <c r="AP13" i="54"/>
  <c r="AQ13" i="54"/>
  <c r="AR13" i="54"/>
  <c r="AS13" i="54"/>
  <c r="AT13" i="54"/>
  <c r="AV13" i="54"/>
  <c r="AW13" i="54"/>
  <c r="AX13" i="54"/>
  <c r="AY13" i="54"/>
  <c r="N14" i="54"/>
  <c r="P14" i="54"/>
  <c r="S14" i="54"/>
  <c r="T14" i="54"/>
  <c r="AM14" i="54"/>
  <c r="AN14" i="54"/>
  <c r="AO14" i="54"/>
  <c r="AP14" i="54"/>
  <c r="AQ14" i="54"/>
  <c r="AR14" i="54"/>
  <c r="AS14" i="54"/>
  <c r="AT14" i="54"/>
  <c r="AV14" i="54"/>
  <c r="AW14" i="54"/>
  <c r="AX14" i="54"/>
  <c r="AY14" i="54"/>
  <c r="N15" i="54"/>
  <c r="P15" i="54"/>
  <c r="AM15" i="54"/>
  <c r="AN15" i="54"/>
  <c r="AO15" i="54"/>
  <c r="AP15" i="54"/>
  <c r="AQ15" i="54"/>
  <c r="AR15" i="54"/>
  <c r="AS15" i="54"/>
  <c r="AT15" i="54"/>
  <c r="AV15" i="54"/>
  <c r="AW15" i="54"/>
  <c r="AX15" i="54"/>
  <c r="AY15" i="54"/>
  <c r="N16" i="54"/>
  <c r="P16" i="54"/>
  <c r="AV16" i="54"/>
  <c r="AW16" i="54"/>
  <c r="AX16" i="54"/>
  <c r="AY16" i="54"/>
  <c r="N17" i="54"/>
  <c r="P17" i="54"/>
  <c r="AV17" i="54"/>
  <c r="AW17" i="54"/>
  <c r="AX17" i="54"/>
  <c r="AY17" i="54"/>
  <c r="N18" i="54"/>
  <c r="P18" i="54"/>
  <c r="AX18" i="54"/>
  <c r="AY18" i="54"/>
  <c r="N19" i="54"/>
  <c r="P19" i="54"/>
  <c r="S20" i="54"/>
  <c r="T20" i="54"/>
  <c r="AM20" i="54"/>
  <c r="AO20" i="54"/>
  <c r="AV20" i="54"/>
  <c r="AW20" i="54"/>
  <c r="AX20" i="54"/>
  <c r="AY20" i="54"/>
  <c r="D22" i="54"/>
  <c r="F22" i="54"/>
  <c r="G22" i="54"/>
  <c r="H22" i="54"/>
  <c r="I22" i="54"/>
  <c r="K22" i="54"/>
  <c r="L22" i="54"/>
  <c r="N22" i="54"/>
  <c r="O22" i="54"/>
  <c r="P22" i="54"/>
  <c r="Q22" i="54"/>
  <c r="S22" i="54"/>
  <c r="T22" i="54"/>
  <c r="V22" i="54"/>
  <c r="X22" i="54"/>
  <c r="Y22" i="54"/>
  <c r="Z22" i="54"/>
  <c r="AA22" i="54"/>
  <c r="AB22" i="54"/>
  <c r="AC22" i="54"/>
  <c r="AF22" i="54"/>
  <c r="AG22" i="54"/>
  <c r="AH22" i="54"/>
  <c r="AI22" i="54"/>
  <c r="AJ22" i="54"/>
  <c r="AL22" i="54"/>
  <c r="AM22" i="54"/>
  <c r="AN22" i="54"/>
  <c r="AO22" i="54"/>
  <c r="AP22" i="54"/>
  <c r="AQ22" i="54"/>
  <c r="AR22" i="54"/>
  <c r="AS22" i="54"/>
  <c r="AT22" i="54"/>
  <c r="AU22" i="54"/>
  <c r="AV22" i="54"/>
  <c r="AW22" i="54"/>
  <c r="AX22" i="54"/>
  <c r="AY22" i="54"/>
  <c r="BB22" i="54"/>
  <c r="BC22" i="54"/>
  <c r="BD22" i="54"/>
  <c r="BE22" i="54"/>
  <c r="BF22" i="54"/>
  <c r="BG22" i="54"/>
  <c r="BH22" i="54"/>
  <c r="BI22" i="54"/>
  <c r="BJ22" i="54"/>
  <c r="BK22" i="54"/>
  <c r="BL22" i="54"/>
  <c r="BM22" i="54"/>
  <c r="BN22" i="54"/>
  <c r="BO22" i="54"/>
  <c r="D23" i="54"/>
  <c r="F23" i="54"/>
  <c r="G23" i="54"/>
  <c r="H23" i="54"/>
  <c r="I23" i="54"/>
  <c r="K23" i="54"/>
  <c r="L23" i="54"/>
  <c r="N23" i="54"/>
  <c r="O23" i="54"/>
  <c r="P23" i="54"/>
  <c r="Q23" i="54"/>
  <c r="S23" i="54"/>
  <c r="T23" i="54"/>
  <c r="V23" i="54"/>
  <c r="X23" i="54"/>
  <c r="Y23" i="54"/>
  <c r="Z23" i="54"/>
  <c r="AA23" i="54"/>
  <c r="AB23" i="54"/>
  <c r="AC23" i="54"/>
  <c r="AF23" i="54"/>
  <c r="AG23" i="54"/>
  <c r="AH23" i="54"/>
  <c r="AI23" i="54"/>
  <c r="AJ23" i="54"/>
  <c r="AL23" i="54"/>
  <c r="AM23" i="54"/>
  <c r="AN23" i="54"/>
  <c r="AO23" i="54"/>
  <c r="AP23" i="54"/>
  <c r="AQ23" i="54"/>
  <c r="AR23" i="54"/>
  <c r="AS23" i="54"/>
  <c r="AT23" i="54"/>
  <c r="AU23" i="54"/>
  <c r="AV23" i="54"/>
  <c r="AW23" i="54"/>
  <c r="AX23" i="54"/>
  <c r="AY23" i="54"/>
  <c r="BB23" i="54"/>
  <c r="BC23" i="54"/>
  <c r="BD23" i="54"/>
  <c r="BE23" i="54"/>
  <c r="BF23" i="54"/>
  <c r="BG23" i="54"/>
  <c r="BH23" i="54"/>
  <c r="BI23" i="54"/>
  <c r="BJ23" i="54"/>
  <c r="BK23" i="54"/>
  <c r="BL23" i="54"/>
  <c r="BM23" i="54"/>
  <c r="BN23" i="54"/>
  <c r="BO23" i="54"/>
  <c r="D24" i="54"/>
  <c r="F24" i="54"/>
  <c r="G24" i="54"/>
  <c r="H24" i="54"/>
  <c r="I24" i="54"/>
  <c r="K24" i="54"/>
  <c r="L24" i="54"/>
  <c r="N24" i="54"/>
  <c r="O24" i="54"/>
  <c r="P24" i="54"/>
  <c r="Q24" i="54"/>
  <c r="S24" i="54"/>
  <c r="T24" i="54"/>
  <c r="V24" i="54"/>
  <c r="X24" i="54"/>
  <c r="Y24" i="54"/>
  <c r="Z24" i="54"/>
  <c r="AA24" i="54"/>
  <c r="AB24" i="54"/>
  <c r="AC24" i="54"/>
  <c r="AF24" i="54"/>
  <c r="AG24" i="54"/>
  <c r="AH24" i="54"/>
  <c r="AI24" i="54"/>
  <c r="AJ24" i="54"/>
  <c r="AL24" i="54"/>
  <c r="AM24" i="54"/>
  <c r="AN24" i="54"/>
  <c r="AO24" i="54"/>
  <c r="AP24" i="54"/>
  <c r="AQ24" i="54"/>
  <c r="AR24" i="54"/>
  <c r="AS24" i="54"/>
  <c r="AT24" i="54"/>
  <c r="AU24" i="54"/>
  <c r="AV24" i="54"/>
  <c r="AW24" i="54"/>
  <c r="AX24" i="54"/>
  <c r="AY24" i="54"/>
  <c r="BB24" i="54"/>
  <c r="BC24" i="54"/>
  <c r="BD24" i="54"/>
  <c r="BE24" i="54"/>
  <c r="BF24" i="54"/>
  <c r="BG24" i="54"/>
  <c r="BH24" i="54"/>
  <c r="BI24" i="54"/>
  <c r="BJ24" i="54"/>
  <c r="BK24" i="54"/>
  <c r="BL24" i="54"/>
  <c r="BM24" i="54"/>
  <c r="BN24" i="54"/>
  <c r="BO24" i="54"/>
  <c r="D25" i="54"/>
  <c r="F25" i="54"/>
  <c r="G25" i="54"/>
  <c r="H25" i="54"/>
  <c r="I25" i="54"/>
  <c r="K25" i="54"/>
  <c r="L25" i="54"/>
  <c r="N25" i="54"/>
  <c r="O25" i="54"/>
  <c r="P25" i="54"/>
  <c r="Q25" i="54"/>
  <c r="S25" i="54"/>
  <c r="T25" i="54"/>
  <c r="V25" i="54"/>
  <c r="X25" i="54"/>
  <c r="Y25" i="54"/>
  <c r="Z25" i="54"/>
  <c r="AA25" i="54"/>
  <c r="AB25" i="54"/>
  <c r="AC25" i="54"/>
  <c r="AF25" i="54"/>
  <c r="AG25" i="54"/>
  <c r="AH25" i="54"/>
  <c r="AI25" i="54"/>
  <c r="AJ25" i="54"/>
  <c r="AL25" i="54"/>
  <c r="AM25" i="54"/>
  <c r="AN25" i="54"/>
  <c r="AO25" i="54"/>
  <c r="AP25" i="54"/>
  <c r="AQ25" i="54"/>
  <c r="AR25" i="54"/>
  <c r="AS25" i="54"/>
  <c r="AT25" i="54"/>
  <c r="AU25" i="54"/>
  <c r="AV25" i="54"/>
  <c r="AW25" i="54"/>
  <c r="AX25" i="54"/>
  <c r="AY25" i="54"/>
  <c r="BB25" i="54"/>
  <c r="BC25" i="54"/>
  <c r="BD25" i="54"/>
  <c r="BE25" i="54"/>
  <c r="BF25" i="54"/>
  <c r="BG25" i="54"/>
  <c r="BH25" i="54"/>
  <c r="BI25" i="54"/>
  <c r="BJ25" i="54"/>
  <c r="BK25" i="54"/>
  <c r="BL25" i="54"/>
  <c r="BM25" i="54"/>
  <c r="BN25" i="54"/>
  <c r="BO25" i="54"/>
  <c r="D26" i="54"/>
  <c r="F26" i="54"/>
  <c r="G26" i="54"/>
  <c r="H26" i="54"/>
  <c r="I26" i="54"/>
  <c r="K26" i="54"/>
  <c r="L26" i="54"/>
  <c r="N26" i="54"/>
  <c r="O26" i="54"/>
  <c r="P26" i="54"/>
  <c r="Q26" i="54"/>
  <c r="S26" i="54"/>
  <c r="T26" i="54"/>
  <c r="V26" i="54"/>
  <c r="X26" i="54"/>
  <c r="Y26" i="54"/>
  <c r="Z26" i="54"/>
  <c r="AA26" i="54"/>
  <c r="AB26" i="54"/>
  <c r="AC26" i="54"/>
  <c r="AF26" i="54"/>
  <c r="AG26" i="54"/>
  <c r="AH26" i="54"/>
  <c r="AI26" i="54"/>
  <c r="AJ26" i="54"/>
  <c r="AL26" i="54"/>
  <c r="AM26" i="54"/>
  <c r="AN26" i="54"/>
  <c r="AO26" i="54"/>
  <c r="AP26" i="54"/>
  <c r="AQ26" i="54"/>
  <c r="AR26" i="54"/>
  <c r="AS26" i="54"/>
  <c r="AT26" i="54"/>
  <c r="AU26" i="54"/>
  <c r="AV26" i="54"/>
  <c r="AW26" i="54"/>
  <c r="AX26" i="54"/>
  <c r="AY26" i="54"/>
  <c r="BB26" i="54"/>
  <c r="BC26" i="54"/>
  <c r="BD26" i="54"/>
  <c r="BE26" i="54"/>
  <c r="BF26" i="54"/>
  <c r="BG26" i="54"/>
  <c r="BH26" i="54"/>
  <c r="BI26" i="54"/>
  <c r="BJ26" i="54"/>
  <c r="BK26" i="54"/>
  <c r="BL26" i="54"/>
  <c r="BM26" i="54"/>
  <c r="BN26" i="54"/>
  <c r="BO26" i="54"/>
  <c r="F1" i="55"/>
  <c r="AV1" i="55"/>
  <c r="A2" i="55"/>
  <c r="F2" i="55"/>
  <c r="G2" i="55"/>
  <c r="N2" i="55"/>
  <c r="AV2" i="55"/>
  <c r="AW2" i="55"/>
  <c r="AX2" i="55"/>
  <c r="AY2" i="55"/>
  <c r="BW2" i="55"/>
  <c r="BX2" i="55"/>
  <c r="BY2" i="55"/>
  <c r="BZ2" i="55"/>
  <c r="CA2" i="55"/>
  <c r="CB2" i="55"/>
  <c r="CC2" i="55"/>
  <c r="CD2" i="55"/>
  <c r="CE2" i="55"/>
  <c r="CF2" i="55"/>
  <c r="CG2" i="55"/>
  <c r="CH2" i="55"/>
  <c r="CI2" i="55"/>
  <c r="CJ2" i="55"/>
  <c r="CK2" i="55"/>
  <c r="CL2" i="55"/>
  <c r="CM2" i="55"/>
  <c r="CN2" i="55"/>
  <c r="CO2" i="55"/>
  <c r="CP2" i="55"/>
  <c r="CQ2" i="55"/>
  <c r="CR2" i="55"/>
  <c r="CS2" i="55"/>
  <c r="CT2" i="55"/>
  <c r="CU2" i="55"/>
  <c r="CV2" i="55"/>
  <c r="CW2" i="55"/>
  <c r="CX2" i="55"/>
  <c r="A3" i="55"/>
  <c r="AH3" i="55"/>
  <c r="AK3" i="55"/>
  <c r="AV3" i="55"/>
  <c r="AW3" i="55"/>
  <c r="AX3" i="55"/>
  <c r="AY3" i="55"/>
  <c r="A4" i="55"/>
  <c r="N4" i="55"/>
  <c r="P4" i="55"/>
  <c r="T4" i="55"/>
  <c r="V4" i="55"/>
  <c r="W4" i="55"/>
  <c r="AH4" i="55"/>
  <c r="AK4" i="55"/>
  <c r="AM4" i="55"/>
  <c r="AN4" i="55"/>
  <c r="AO4" i="55"/>
  <c r="AP4" i="55"/>
  <c r="AQ4" i="55"/>
  <c r="AR4" i="55"/>
  <c r="AS4" i="55"/>
  <c r="AT4" i="55"/>
  <c r="AV4" i="55"/>
  <c r="AW4" i="55"/>
  <c r="AX4" i="55"/>
  <c r="AY4" i="55"/>
  <c r="A5" i="55"/>
  <c r="G5" i="55"/>
  <c r="N5" i="55"/>
  <c r="P5" i="55"/>
  <c r="T5" i="55"/>
  <c r="V5" i="55"/>
  <c r="W5" i="55"/>
  <c r="AH5" i="55"/>
  <c r="AK5" i="55"/>
  <c r="AM5" i="55"/>
  <c r="AN5" i="55"/>
  <c r="AO5" i="55"/>
  <c r="AP5" i="55"/>
  <c r="AQ5" i="55"/>
  <c r="AR5" i="55"/>
  <c r="AS5" i="55"/>
  <c r="AT5" i="55"/>
  <c r="AV5" i="55"/>
  <c r="AW5" i="55"/>
  <c r="AX5" i="55"/>
  <c r="AY5" i="55"/>
  <c r="BV5" i="55"/>
  <c r="A6" i="55"/>
  <c r="N6" i="55"/>
  <c r="P6" i="55"/>
  <c r="T6" i="55"/>
  <c r="V6" i="55"/>
  <c r="W6" i="55"/>
  <c r="AH6" i="55"/>
  <c r="AK6" i="55"/>
  <c r="AM6" i="55"/>
  <c r="AN6" i="55"/>
  <c r="AO6" i="55"/>
  <c r="AP6" i="55"/>
  <c r="AQ6" i="55"/>
  <c r="AR6" i="55"/>
  <c r="AS6" i="55"/>
  <c r="AT6" i="55"/>
  <c r="A7" i="55"/>
  <c r="G7" i="55"/>
  <c r="N7" i="55"/>
  <c r="N7" i="55" a="1"/>
  <c r="P7" i="55"/>
  <c r="T7" i="55"/>
  <c r="AH7" i="55"/>
  <c r="AK7" i="55"/>
  <c r="AM7" i="55"/>
  <c r="AN7" i="55"/>
  <c r="AO7" i="55"/>
  <c r="AP7" i="55"/>
  <c r="AQ7" i="55"/>
  <c r="AR7" i="55"/>
  <c r="AS7" i="55"/>
  <c r="AT7" i="55"/>
  <c r="AV7" i="55"/>
  <c r="AW7" i="55"/>
  <c r="AX7" i="55"/>
  <c r="AY7" i="55"/>
  <c r="G8" i="55"/>
  <c r="N8" i="55"/>
  <c r="N8" i="55" a="1"/>
  <c r="P8" i="55"/>
  <c r="T8" i="55"/>
  <c r="V8" i="55"/>
  <c r="W8" i="55"/>
  <c r="Y8" i="55"/>
  <c r="Z8" i="55"/>
  <c r="AH8" i="55"/>
  <c r="AK8" i="55"/>
  <c r="AM8" i="55"/>
  <c r="AN8" i="55"/>
  <c r="AO8" i="55"/>
  <c r="AP8" i="55"/>
  <c r="AQ8" i="55"/>
  <c r="AR8" i="55"/>
  <c r="AS8" i="55"/>
  <c r="AT8" i="55"/>
  <c r="AV8" i="55"/>
  <c r="AW8" i="55"/>
  <c r="AX8" i="55"/>
  <c r="AY8" i="55"/>
  <c r="N9" i="55"/>
  <c r="N9" i="55" a="1"/>
  <c r="P9" i="55"/>
  <c r="AK9" i="55"/>
  <c r="AM9" i="55"/>
  <c r="AN9" i="55"/>
  <c r="AO9" i="55"/>
  <c r="AP9" i="55"/>
  <c r="AQ9" i="55"/>
  <c r="AR9" i="55"/>
  <c r="AS9" i="55"/>
  <c r="AT9" i="55"/>
  <c r="AV9" i="55"/>
  <c r="AW9" i="55"/>
  <c r="AX9" i="55"/>
  <c r="AY9" i="55"/>
  <c r="K10" i="55"/>
  <c r="N10" i="55"/>
  <c r="P10" i="55"/>
  <c r="AH10" i="55"/>
  <c r="AM10" i="55"/>
  <c r="AN10" i="55"/>
  <c r="AO10" i="55"/>
  <c r="AP10" i="55"/>
  <c r="AQ10" i="55"/>
  <c r="AR10" i="55"/>
  <c r="AS10" i="55"/>
  <c r="AT10" i="55"/>
  <c r="AV10" i="55"/>
  <c r="AW10" i="55"/>
  <c r="AX10" i="55"/>
  <c r="AY10" i="55"/>
  <c r="D11" i="55"/>
  <c r="K11" i="55"/>
  <c r="N11" i="55"/>
  <c r="P11" i="55"/>
  <c r="AM11" i="55"/>
  <c r="AN11" i="55"/>
  <c r="AO11" i="55"/>
  <c r="AP11" i="55"/>
  <c r="AQ11" i="55"/>
  <c r="AR11" i="55"/>
  <c r="AS11" i="55"/>
  <c r="AT11" i="55"/>
  <c r="AV11" i="55"/>
  <c r="AW11" i="55"/>
  <c r="AX11" i="55"/>
  <c r="AY11" i="55"/>
  <c r="D12" i="55"/>
  <c r="N12" i="55"/>
  <c r="P12" i="55"/>
  <c r="AH12" i="55"/>
  <c r="AM12" i="55"/>
  <c r="AN12" i="55"/>
  <c r="AO12" i="55"/>
  <c r="AP12" i="55"/>
  <c r="AQ12" i="55"/>
  <c r="AR12" i="55"/>
  <c r="AS12" i="55"/>
  <c r="AT12" i="55"/>
  <c r="AV12" i="55"/>
  <c r="AW12" i="55"/>
  <c r="AX12" i="55"/>
  <c r="AY12" i="55"/>
  <c r="N13" i="55"/>
  <c r="P13" i="55"/>
  <c r="AH13" i="55"/>
  <c r="AM13" i="55"/>
  <c r="AN13" i="55"/>
  <c r="AO13" i="55"/>
  <c r="AP13" i="55"/>
  <c r="AQ13" i="55"/>
  <c r="AR13" i="55"/>
  <c r="AS13" i="55"/>
  <c r="AT13" i="55"/>
  <c r="AV13" i="55"/>
  <c r="AW13" i="55"/>
  <c r="AX13" i="55"/>
  <c r="AY13" i="55"/>
  <c r="N14" i="55"/>
  <c r="P14" i="55"/>
  <c r="S14" i="55"/>
  <c r="T14" i="55"/>
  <c r="AM14" i="55"/>
  <c r="AN14" i="55"/>
  <c r="AO14" i="55"/>
  <c r="AP14" i="55"/>
  <c r="AQ14" i="55"/>
  <c r="AR14" i="55"/>
  <c r="AS14" i="55"/>
  <c r="AT14" i="55"/>
  <c r="AV14" i="55"/>
  <c r="AW14" i="55"/>
  <c r="AX14" i="55"/>
  <c r="AY14" i="55"/>
  <c r="N15" i="55"/>
  <c r="P15" i="55"/>
  <c r="AM15" i="55"/>
  <c r="AN15" i="55"/>
  <c r="AO15" i="55"/>
  <c r="AP15" i="55"/>
  <c r="AQ15" i="55"/>
  <c r="AR15" i="55"/>
  <c r="AS15" i="55"/>
  <c r="AT15" i="55"/>
  <c r="AV15" i="55"/>
  <c r="AW15" i="55"/>
  <c r="AX15" i="55"/>
  <c r="AY15" i="55"/>
  <c r="N16" i="55"/>
  <c r="P16" i="55"/>
  <c r="AV16" i="55"/>
  <c r="AW16" i="55"/>
  <c r="AX16" i="55"/>
  <c r="AY16" i="55"/>
  <c r="N17" i="55"/>
  <c r="P17" i="55"/>
  <c r="AV17" i="55"/>
  <c r="AW17" i="55"/>
  <c r="AX17" i="55"/>
  <c r="AY17" i="55"/>
  <c r="N18" i="55"/>
  <c r="P18" i="55"/>
  <c r="AX18" i="55"/>
  <c r="AY18" i="55"/>
  <c r="N19" i="55"/>
  <c r="P19" i="55"/>
  <c r="S20" i="55"/>
  <c r="T20" i="55"/>
  <c r="AM20" i="55"/>
  <c r="AO20" i="55"/>
  <c r="AV20" i="55"/>
  <c r="AW20" i="55"/>
  <c r="AX20" i="55"/>
  <c r="AY20" i="55"/>
  <c r="D22" i="55"/>
  <c r="F22" i="55"/>
  <c r="G22" i="55"/>
  <c r="H22" i="55"/>
  <c r="I22" i="55"/>
  <c r="K22" i="55"/>
  <c r="L22" i="55"/>
  <c r="N22" i="55"/>
  <c r="O22" i="55"/>
  <c r="P22" i="55"/>
  <c r="Q22" i="55"/>
  <c r="S22" i="55"/>
  <c r="T22" i="55"/>
  <c r="V22" i="55"/>
  <c r="X22" i="55"/>
  <c r="Y22" i="55"/>
  <c r="Z22" i="55"/>
  <c r="AA22" i="55"/>
  <c r="AB22" i="55"/>
  <c r="AC22" i="55"/>
  <c r="AF22" i="55"/>
  <c r="AG22" i="55"/>
  <c r="AH22" i="55"/>
  <c r="AI22" i="55"/>
  <c r="AJ22" i="55"/>
  <c r="AL22" i="55"/>
  <c r="AM22" i="55"/>
  <c r="AN22" i="55"/>
  <c r="AO22" i="55"/>
  <c r="AP22" i="55"/>
  <c r="AQ22" i="55"/>
  <c r="AR22" i="55"/>
  <c r="AS22" i="55"/>
  <c r="AT22" i="55"/>
  <c r="AU22" i="55"/>
  <c r="AV22" i="55"/>
  <c r="AW22" i="55"/>
  <c r="AX22" i="55"/>
  <c r="AY22" i="55"/>
  <c r="BB22" i="55"/>
  <c r="BC22" i="55"/>
  <c r="BD22" i="55"/>
  <c r="BE22" i="55"/>
  <c r="BF22" i="55"/>
  <c r="BG22" i="55"/>
  <c r="BH22" i="55"/>
  <c r="BI22" i="55"/>
  <c r="BJ22" i="55"/>
  <c r="BK22" i="55"/>
  <c r="BL22" i="55"/>
  <c r="BM22" i="55"/>
  <c r="BN22" i="55"/>
  <c r="BO22" i="55"/>
  <c r="D23" i="55"/>
  <c r="F23" i="55"/>
  <c r="G23" i="55"/>
  <c r="H23" i="55"/>
  <c r="I23" i="55"/>
  <c r="K23" i="55"/>
  <c r="L23" i="55"/>
  <c r="N23" i="55"/>
  <c r="O23" i="55"/>
  <c r="P23" i="55"/>
  <c r="Q23" i="55"/>
  <c r="S23" i="55"/>
  <c r="T23" i="55"/>
  <c r="V23" i="55"/>
  <c r="X23" i="55"/>
  <c r="Y23" i="55"/>
  <c r="Z23" i="55"/>
  <c r="AA23" i="55"/>
  <c r="AB23" i="55"/>
  <c r="AC23" i="55"/>
  <c r="AF23" i="55"/>
  <c r="AG23" i="55"/>
  <c r="AH23" i="55"/>
  <c r="AI23" i="55"/>
  <c r="AJ23" i="55"/>
  <c r="AL23" i="55"/>
  <c r="AM23" i="55"/>
  <c r="AN23" i="55"/>
  <c r="AO23" i="55"/>
  <c r="AP23" i="55"/>
  <c r="AQ23" i="55"/>
  <c r="AR23" i="55"/>
  <c r="AS23" i="55"/>
  <c r="AT23" i="55"/>
  <c r="AU23" i="55"/>
  <c r="AV23" i="55"/>
  <c r="AW23" i="55"/>
  <c r="AX23" i="55"/>
  <c r="AY23" i="55"/>
  <c r="BB23" i="55"/>
  <c r="BC23" i="55"/>
  <c r="BD23" i="55"/>
  <c r="BE23" i="55"/>
  <c r="BF23" i="55"/>
  <c r="BG23" i="55"/>
  <c r="BH23" i="55"/>
  <c r="BI23" i="55"/>
  <c r="BJ23" i="55"/>
  <c r="BK23" i="55"/>
  <c r="BL23" i="55"/>
  <c r="BM23" i="55"/>
  <c r="BN23" i="55"/>
  <c r="BO23" i="55"/>
  <c r="D24" i="55"/>
  <c r="F24" i="55"/>
  <c r="G24" i="55"/>
  <c r="H24" i="55"/>
  <c r="I24" i="55"/>
  <c r="K24" i="55"/>
  <c r="L24" i="55"/>
  <c r="N24" i="55"/>
  <c r="O24" i="55"/>
  <c r="P24" i="55"/>
  <c r="Q24" i="55"/>
  <c r="S24" i="55"/>
  <c r="T24" i="55"/>
  <c r="V24" i="55"/>
  <c r="X24" i="55"/>
  <c r="Y24" i="55"/>
  <c r="Z24" i="55"/>
  <c r="AA24" i="55"/>
  <c r="AB24" i="55"/>
  <c r="AC24" i="55"/>
  <c r="AF24" i="55"/>
  <c r="AG24" i="55"/>
  <c r="AH24" i="55"/>
  <c r="AI24" i="55"/>
  <c r="AJ24" i="55"/>
  <c r="AL24" i="55"/>
  <c r="AM24" i="55"/>
  <c r="AN24" i="55"/>
  <c r="AO24" i="55"/>
  <c r="AP24" i="55"/>
  <c r="AQ24" i="55"/>
  <c r="AR24" i="55"/>
  <c r="AS24" i="55"/>
  <c r="AT24" i="55"/>
  <c r="AU24" i="55"/>
  <c r="AV24" i="55"/>
  <c r="AW24" i="55"/>
  <c r="AX24" i="55"/>
  <c r="AY24" i="55"/>
  <c r="BB24" i="55"/>
  <c r="BC24" i="55"/>
  <c r="BD24" i="55"/>
  <c r="BE24" i="55"/>
  <c r="BF24" i="55"/>
  <c r="BG24" i="55"/>
  <c r="BH24" i="55"/>
  <c r="BI24" i="55"/>
  <c r="BJ24" i="55"/>
  <c r="BK24" i="55"/>
  <c r="BL24" i="55"/>
  <c r="BM24" i="55"/>
  <c r="BN24" i="55"/>
  <c r="BO24" i="55"/>
  <c r="D25" i="55"/>
  <c r="F25" i="55"/>
  <c r="G25" i="55"/>
  <c r="H25" i="55"/>
  <c r="I25" i="55"/>
  <c r="K25" i="55"/>
  <c r="L25" i="55"/>
  <c r="N25" i="55"/>
  <c r="O25" i="55"/>
  <c r="P25" i="55"/>
  <c r="Q25" i="55"/>
  <c r="S25" i="55"/>
  <c r="T25" i="55"/>
  <c r="V25" i="55"/>
  <c r="X25" i="55"/>
  <c r="Y25" i="55"/>
  <c r="Z25" i="55"/>
  <c r="AA25" i="55"/>
  <c r="AB25" i="55"/>
  <c r="AC25" i="55"/>
  <c r="AF25" i="55"/>
  <c r="AG25" i="55"/>
  <c r="AH25" i="55"/>
  <c r="AI25" i="55"/>
  <c r="AJ25" i="55"/>
  <c r="AL25" i="55"/>
  <c r="AM25" i="55"/>
  <c r="AN25" i="55"/>
  <c r="AO25" i="55"/>
  <c r="AP25" i="55"/>
  <c r="AQ25" i="55"/>
  <c r="AR25" i="55"/>
  <c r="AS25" i="55"/>
  <c r="AT25" i="55"/>
  <c r="AU25" i="55"/>
  <c r="AV25" i="55"/>
  <c r="AW25" i="55"/>
  <c r="AX25" i="55"/>
  <c r="AY25" i="55"/>
  <c r="BB25" i="55"/>
  <c r="BC25" i="55"/>
  <c r="BD25" i="55"/>
  <c r="BE25" i="55"/>
  <c r="BF25" i="55"/>
  <c r="BG25" i="55"/>
  <c r="BH25" i="55"/>
  <c r="BI25" i="55"/>
  <c r="BJ25" i="55"/>
  <c r="BK25" i="55"/>
  <c r="BL25" i="55"/>
  <c r="BM25" i="55"/>
  <c r="BN25" i="55"/>
  <c r="BO25" i="55"/>
  <c r="D26" i="55"/>
  <c r="F26" i="55"/>
  <c r="G26" i="55"/>
  <c r="H26" i="55"/>
  <c r="I26" i="55"/>
  <c r="K26" i="55"/>
  <c r="L26" i="55"/>
  <c r="N26" i="55"/>
  <c r="O26" i="55"/>
  <c r="P26" i="55"/>
  <c r="Q26" i="55"/>
  <c r="S26" i="55"/>
  <c r="T26" i="55"/>
  <c r="V26" i="55"/>
  <c r="X26" i="55"/>
  <c r="Y26" i="55"/>
  <c r="Z26" i="55"/>
  <c r="AA26" i="55"/>
  <c r="AB26" i="55"/>
  <c r="AC26" i="55"/>
  <c r="AF26" i="55"/>
  <c r="AG26" i="55"/>
  <c r="AH26" i="55"/>
  <c r="AI26" i="55"/>
  <c r="AJ26" i="55"/>
  <c r="AL26" i="55"/>
  <c r="AM26" i="55"/>
  <c r="AN26" i="55"/>
  <c r="AO26" i="55"/>
  <c r="AP26" i="55"/>
  <c r="AQ26" i="55"/>
  <c r="AR26" i="55"/>
  <c r="AS26" i="55"/>
  <c r="AT26" i="55"/>
  <c r="AU26" i="55"/>
  <c r="AV26" i="55"/>
  <c r="AW26" i="55"/>
  <c r="AX26" i="55"/>
  <c r="AY26" i="55"/>
  <c r="BB26" i="55"/>
  <c r="BC26" i="55"/>
  <c r="BD26" i="55"/>
  <c r="BE26" i="55"/>
  <c r="BF26" i="55"/>
  <c r="BG26" i="55"/>
  <c r="BH26" i="55"/>
  <c r="BI26" i="55"/>
  <c r="BJ26" i="55"/>
  <c r="BK26" i="55"/>
  <c r="BL26" i="55"/>
  <c r="BM26" i="55"/>
  <c r="BN26" i="55"/>
  <c r="BO26" i="55"/>
  <c r="F1" i="56"/>
  <c r="AV1" i="56"/>
  <c r="A2" i="56"/>
  <c r="F2" i="56"/>
  <c r="G2" i="56"/>
  <c r="N2" i="56"/>
  <c r="AV2" i="56"/>
  <c r="AW2" i="56"/>
  <c r="AX2" i="56"/>
  <c r="AY2" i="56"/>
  <c r="BW2" i="56"/>
  <c r="BX2" i="56"/>
  <c r="BY2" i="56"/>
  <c r="BZ2" i="56"/>
  <c r="CA2" i="56"/>
  <c r="CB2" i="56"/>
  <c r="CC2" i="56"/>
  <c r="CD2" i="56"/>
  <c r="CE2" i="56"/>
  <c r="CF2" i="56"/>
  <c r="CG2" i="56"/>
  <c r="CH2" i="56"/>
  <c r="CI2" i="56"/>
  <c r="CJ2" i="56"/>
  <c r="CK2" i="56"/>
  <c r="CL2" i="56"/>
  <c r="CM2" i="56"/>
  <c r="CN2" i="56"/>
  <c r="CO2" i="56"/>
  <c r="CP2" i="56"/>
  <c r="CQ2" i="56"/>
  <c r="CR2" i="56"/>
  <c r="CS2" i="56"/>
  <c r="CT2" i="56"/>
  <c r="CU2" i="56"/>
  <c r="CV2" i="56"/>
  <c r="CW2" i="56"/>
  <c r="CX2" i="56"/>
  <c r="A3" i="56"/>
  <c r="AH3" i="56"/>
  <c r="AK3" i="56"/>
  <c r="AV3" i="56"/>
  <c r="AW3" i="56"/>
  <c r="AX3" i="56"/>
  <c r="AY3" i="56"/>
  <c r="A4" i="56"/>
  <c r="N4" i="56"/>
  <c r="P4" i="56"/>
  <c r="T4" i="56"/>
  <c r="V4" i="56"/>
  <c r="W4" i="56"/>
  <c r="AH4" i="56"/>
  <c r="AK4" i="56"/>
  <c r="AM4" i="56"/>
  <c r="AN4" i="56"/>
  <c r="AO4" i="56"/>
  <c r="AP4" i="56"/>
  <c r="AQ4" i="56"/>
  <c r="AR4" i="56"/>
  <c r="AS4" i="56"/>
  <c r="AT4" i="56"/>
  <c r="AV4" i="56"/>
  <c r="AW4" i="56"/>
  <c r="AX4" i="56"/>
  <c r="AY4" i="56"/>
  <c r="A5" i="56"/>
  <c r="G5" i="56"/>
  <c r="N5" i="56"/>
  <c r="P5" i="56"/>
  <c r="T5" i="56"/>
  <c r="V5" i="56"/>
  <c r="W5" i="56"/>
  <c r="AH5" i="56"/>
  <c r="AK5" i="56"/>
  <c r="AM5" i="56"/>
  <c r="AN5" i="56"/>
  <c r="AO5" i="56"/>
  <c r="AP5" i="56"/>
  <c r="AQ5" i="56"/>
  <c r="AR5" i="56"/>
  <c r="AS5" i="56"/>
  <c r="AT5" i="56"/>
  <c r="AV5" i="56"/>
  <c r="AW5" i="56"/>
  <c r="AX5" i="56"/>
  <c r="AY5" i="56"/>
  <c r="BV5" i="56"/>
  <c r="A6" i="56"/>
  <c r="N6" i="56"/>
  <c r="P6" i="56"/>
  <c r="T6" i="56"/>
  <c r="V6" i="56"/>
  <c r="W6" i="56"/>
  <c r="AH6" i="56"/>
  <c r="AK6" i="56"/>
  <c r="AM6" i="56"/>
  <c r="AN6" i="56"/>
  <c r="AO6" i="56"/>
  <c r="AP6" i="56"/>
  <c r="AQ6" i="56"/>
  <c r="AR6" i="56"/>
  <c r="AS6" i="56"/>
  <c r="AT6" i="56"/>
  <c r="A7" i="56"/>
  <c r="G7" i="56"/>
  <c r="N7" i="56"/>
  <c r="N7" i="56" a="1"/>
  <c r="P7" i="56"/>
  <c r="T7" i="56"/>
  <c r="AH7" i="56"/>
  <c r="AK7" i="56"/>
  <c r="AM7" i="56"/>
  <c r="AN7" i="56"/>
  <c r="AO7" i="56"/>
  <c r="AP7" i="56"/>
  <c r="AQ7" i="56"/>
  <c r="AR7" i="56"/>
  <c r="AS7" i="56"/>
  <c r="AT7" i="56"/>
  <c r="AV7" i="56"/>
  <c r="AW7" i="56"/>
  <c r="AX7" i="56"/>
  <c r="AY7" i="56"/>
  <c r="G8" i="56"/>
  <c r="N8" i="56"/>
  <c r="N8" i="56" a="1"/>
  <c r="P8" i="56"/>
  <c r="T8" i="56"/>
  <c r="V8" i="56"/>
  <c r="W8" i="56"/>
  <c r="Y8" i="56"/>
  <c r="Z8" i="56"/>
  <c r="AH8" i="56"/>
  <c r="AK8" i="56"/>
  <c r="AM8" i="56"/>
  <c r="AN8" i="56"/>
  <c r="AO8" i="56"/>
  <c r="AP8" i="56"/>
  <c r="AQ8" i="56"/>
  <c r="AR8" i="56"/>
  <c r="AS8" i="56"/>
  <c r="AT8" i="56"/>
  <c r="AV8" i="56"/>
  <c r="AW8" i="56"/>
  <c r="AX8" i="56"/>
  <c r="AY8" i="56"/>
  <c r="N9" i="56"/>
  <c r="N9" i="56" a="1"/>
  <c r="P9" i="56"/>
  <c r="AK9" i="56"/>
  <c r="AM9" i="56"/>
  <c r="AN9" i="56"/>
  <c r="AO9" i="56"/>
  <c r="AP9" i="56"/>
  <c r="AQ9" i="56"/>
  <c r="AR9" i="56"/>
  <c r="AS9" i="56"/>
  <c r="AT9" i="56"/>
  <c r="AV9" i="56"/>
  <c r="AW9" i="56"/>
  <c r="AX9" i="56"/>
  <c r="AY9" i="56"/>
  <c r="K10" i="56"/>
  <c r="N10" i="56"/>
  <c r="P10" i="56"/>
  <c r="AH10" i="56"/>
  <c r="AM10" i="56"/>
  <c r="AN10" i="56"/>
  <c r="AO10" i="56"/>
  <c r="AP10" i="56"/>
  <c r="AQ10" i="56"/>
  <c r="AR10" i="56"/>
  <c r="AS10" i="56"/>
  <c r="AT10" i="56"/>
  <c r="AV10" i="56"/>
  <c r="AW10" i="56"/>
  <c r="AX10" i="56"/>
  <c r="AY10" i="56"/>
  <c r="D11" i="56"/>
  <c r="K11" i="56"/>
  <c r="N11" i="56"/>
  <c r="P11" i="56"/>
  <c r="AM11" i="56"/>
  <c r="AN11" i="56"/>
  <c r="AO11" i="56"/>
  <c r="AP11" i="56"/>
  <c r="AQ11" i="56"/>
  <c r="AR11" i="56"/>
  <c r="AS11" i="56"/>
  <c r="AT11" i="56"/>
  <c r="AV11" i="56"/>
  <c r="AW11" i="56"/>
  <c r="AX11" i="56"/>
  <c r="AY11" i="56"/>
  <c r="D12" i="56"/>
  <c r="N12" i="56"/>
  <c r="P12" i="56"/>
  <c r="AH12" i="56"/>
  <c r="AM12" i="56"/>
  <c r="AN12" i="56"/>
  <c r="AO12" i="56"/>
  <c r="AP12" i="56"/>
  <c r="AQ12" i="56"/>
  <c r="AR12" i="56"/>
  <c r="AS12" i="56"/>
  <c r="AT12" i="56"/>
  <c r="AV12" i="56"/>
  <c r="AW12" i="56"/>
  <c r="AX12" i="56"/>
  <c r="AY12" i="56"/>
  <c r="N13" i="56"/>
  <c r="P13" i="56"/>
  <c r="AH13" i="56"/>
  <c r="AM13" i="56"/>
  <c r="AN13" i="56"/>
  <c r="AO13" i="56"/>
  <c r="AP13" i="56"/>
  <c r="AQ13" i="56"/>
  <c r="AR13" i="56"/>
  <c r="AS13" i="56"/>
  <c r="AT13" i="56"/>
  <c r="AV13" i="56"/>
  <c r="AW13" i="56"/>
  <c r="AX13" i="56"/>
  <c r="AY13" i="56"/>
  <c r="N14" i="56"/>
  <c r="P14" i="56"/>
  <c r="S14" i="56"/>
  <c r="T14" i="56"/>
  <c r="AM14" i="56"/>
  <c r="AN14" i="56"/>
  <c r="AO14" i="56"/>
  <c r="AP14" i="56"/>
  <c r="AQ14" i="56"/>
  <c r="AR14" i="56"/>
  <c r="AS14" i="56"/>
  <c r="AT14" i="56"/>
  <c r="AV14" i="56"/>
  <c r="AW14" i="56"/>
  <c r="AX14" i="56"/>
  <c r="AY14" i="56"/>
  <c r="N15" i="56"/>
  <c r="P15" i="56"/>
  <c r="AM15" i="56"/>
  <c r="AN15" i="56"/>
  <c r="AO15" i="56"/>
  <c r="AP15" i="56"/>
  <c r="AQ15" i="56"/>
  <c r="AR15" i="56"/>
  <c r="AS15" i="56"/>
  <c r="AT15" i="56"/>
  <c r="AV15" i="56"/>
  <c r="AW15" i="56"/>
  <c r="AX15" i="56"/>
  <c r="AY15" i="56"/>
  <c r="N16" i="56"/>
  <c r="P16" i="56"/>
  <c r="AV16" i="56"/>
  <c r="AW16" i="56"/>
  <c r="AX16" i="56"/>
  <c r="AY16" i="56"/>
  <c r="N17" i="56"/>
  <c r="P17" i="56"/>
  <c r="AV17" i="56"/>
  <c r="AW17" i="56"/>
  <c r="AX17" i="56"/>
  <c r="AY17" i="56"/>
  <c r="N18" i="56"/>
  <c r="P18" i="56"/>
  <c r="AX18" i="56"/>
  <c r="AY18" i="56"/>
  <c r="N19" i="56"/>
  <c r="P19" i="56"/>
  <c r="S20" i="56"/>
  <c r="T20" i="56"/>
  <c r="AM20" i="56"/>
  <c r="AO20" i="56"/>
  <c r="AV20" i="56"/>
  <c r="AW20" i="56"/>
  <c r="AX20" i="56"/>
  <c r="AY20" i="56"/>
  <c r="D22" i="56"/>
  <c r="F22" i="56"/>
  <c r="G22" i="56"/>
  <c r="H22" i="56"/>
  <c r="I22" i="56"/>
  <c r="K22" i="56"/>
  <c r="L22" i="56"/>
  <c r="N22" i="56"/>
  <c r="O22" i="56"/>
  <c r="P22" i="56"/>
  <c r="Q22" i="56"/>
  <c r="S22" i="56"/>
  <c r="T22" i="56"/>
  <c r="V22" i="56"/>
  <c r="X22" i="56"/>
  <c r="Y22" i="56"/>
  <c r="Z22" i="56"/>
  <c r="AA22" i="56"/>
  <c r="AB22" i="56"/>
  <c r="AC22" i="56"/>
  <c r="AF22" i="56"/>
  <c r="AG22" i="56"/>
  <c r="AH22" i="56"/>
  <c r="AI22" i="56"/>
  <c r="AJ22" i="56"/>
  <c r="AL22" i="56"/>
  <c r="AM22" i="56"/>
  <c r="AN22" i="56"/>
  <c r="AO22" i="56"/>
  <c r="AP22" i="56"/>
  <c r="AQ22" i="56"/>
  <c r="AR22" i="56"/>
  <c r="AS22" i="56"/>
  <c r="AT22" i="56"/>
  <c r="AU22" i="56"/>
  <c r="AV22" i="56"/>
  <c r="AW22" i="56"/>
  <c r="AX22" i="56"/>
  <c r="AY22" i="56"/>
  <c r="BB22" i="56"/>
  <c r="BC22" i="56"/>
  <c r="BD22" i="56"/>
  <c r="BE22" i="56"/>
  <c r="BF22" i="56"/>
  <c r="BG22" i="56"/>
  <c r="BH22" i="56"/>
  <c r="BI22" i="56"/>
  <c r="BJ22" i="56"/>
  <c r="BK22" i="56"/>
  <c r="BL22" i="56"/>
  <c r="BM22" i="56"/>
  <c r="BN22" i="56"/>
  <c r="BO22" i="56"/>
  <c r="D23" i="56"/>
  <c r="F23" i="56"/>
  <c r="G23" i="56"/>
  <c r="H23" i="56"/>
  <c r="I23" i="56"/>
  <c r="K23" i="56"/>
  <c r="L23" i="56"/>
  <c r="N23" i="56"/>
  <c r="O23" i="56"/>
  <c r="P23" i="56"/>
  <c r="Q23" i="56"/>
  <c r="S23" i="56"/>
  <c r="T23" i="56"/>
  <c r="V23" i="56"/>
  <c r="X23" i="56"/>
  <c r="Y23" i="56"/>
  <c r="Z23" i="56"/>
  <c r="AA23" i="56"/>
  <c r="AB23" i="56"/>
  <c r="AC23" i="56"/>
  <c r="AF23" i="56"/>
  <c r="AG23" i="56"/>
  <c r="AH23" i="56"/>
  <c r="AI23" i="56"/>
  <c r="AJ23" i="56"/>
  <c r="AL23" i="56"/>
  <c r="AM23" i="56"/>
  <c r="AN23" i="56"/>
  <c r="AO23" i="56"/>
  <c r="AP23" i="56"/>
  <c r="AQ23" i="56"/>
  <c r="AR23" i="56"/>
  <c r="AS23" i="56"/>
  <c r="AT23" i="56"/>
  <c r="AU23" i="56"/>
  <c r="AV23" i="56"/>
  <c r="AW23" i="56"/>
  <c r="AX23" i="56"/>
  <c r="AY23" i="56"/>
  <c r="BB23" i="56"/>
  <c r="BC23" i="56"/>
  <c r="BD23" i="56"/>
  <c r="BE23" i="56"/>
  <c r="BF23" i="56"/>
  <c r="BG23" i="56"/>
  <c r="BH23" i="56"/>
  <c r="BI23" i="56"/>
  <c r="BJ23" i="56"/>
  <c r="BK23" i="56"/>
  <c r="BL23" i="56"/>
  <c r="BM23" i="56"/>
  <c r="BN23" i="56"/>
  <c r="BO23" i="56"/>
  <c r="D24" i="56"/>
  <c r="F24" i="56"/>
  <c r="G24" i="56"/>
  <c r="H24" i="56"/>
  <c r="I24" i="56"/>
  <c r="K24" i="56"/>
  <c r="L24" i="56"/>
  <c r="N24" i="56"/>
  <c r="O24" i="56"/>
  <c r="P24" i="56"/>
  <c r="Q24" i="56"/>
  <c r="S24" i="56"/>
  <c r="T24" i="56"/>
  <c r="V24" i="56"/>
  <c r="X24" i="56"/>
  <c r="Y24" i="56"/>
  <c r="Z24" i="56"/>
  <c r="AA24" i="56"/>
  <c r="AB24" i="56"/>
  <c r="AC24" i="56"/>
  <c r="AF24" i="56"/>
  <c r="AG24" i="56"/>
  <c r="AH24" i="56"/>
  <c r="AI24" i="56"/>
  <c r="AJ24" i="56"/>
  <c r="AL24" i="56"/>
  <c r="AM24" i="56"/>
  <c r="AN24" i="56"/>
  <c r="AO24" i="56"/>
  <c r="AP24" i="56"/>
  <c r="AQ24" i="56"/>
  <c r="AR24" i="56"/>
  <c r="AS24" i="56"/>
  <c r="AT24" i="56"/>
  <c r="AU24" i="56"/>
  <c r="AV24" i="56"/>
  <c r="AW24" i="56"/>
  <c r="AX24" i="56"/>
  <c r="AY24" i="56"/>
  <c r="BB24" i="56"/>
  <c r="BC24" i="56"/>
  <c r="BD24" i="56"/>
  <c r="BE24" i="56"/>
  <c r="BF24" i="56"/>
  <c r="BG24" i="56"/>
  <c r="BH24" i="56"/>
  <c r="BI24" i="56"/>
  <c r="BJ24" i="56"/>
  <c r="BK24" i="56"/>
  <c r="BL24" i="56"/>
  <c r="BM24" i="56"/>
  <c r="BN24" i="56"/>
  <c r="BO24" i="56"/>
  <c r="D25" i="56"/>
  <c r="F25" i="56"/>
  <c r="G25" i="56"/>
  <c r="H25" i="56"/>
  <c r="I25" i="56"/>
  <c r="K25" i="56"/>
  <c r="L25" i="56"/>
  <c r="N25" i="56"/>
  <c r="O25" i="56"/>
  <c r="P25" i="56"/>
  <c r="Q25" i="56"/>
  <c r="S25" i="56"/>
  <c r="T25" i="56"/>
  <c r="V25" i="56"/>
  <c r="X25" i="56"/>
  <c r="Y25" i="56"/>
  <c r="Z25" i="56"/>
  <c r="AA25" i="56"/>
  <c r="AB25" i="56"/>
  <c r="AC25" i="56"/>
  <c r="AF25" i="56"/>
  <c r="AG25" i="56"/>
  <c r="AH25" i="56"/>
  <c r="AI25" i="56"/>
  <c r="AJ25" i="56"/>
  <c r="AL25" i="56"/>
  <c r="AM25" i="56"/>
  <c r="AN25" i="56"/>
  <c r="AO25" i="56"/>
  <c r="AP25" i="56"/>
  <c r="AQ25" i="56"/>
  <c r="AR25" i="56"/>
  <c r="AS25" i="56"/>
  <c r="AT25" i="56"/>
  <c r="AU25" i="56"/>
  <c r="AV25" i="56"/>
  <c r="AW25" i="56"/>
  <c r="AX25" i="56"/>
  <c r="AY25" i="56"/>
  <c r="BB25" i="56"/>
  <c r="BC25" i="56"/>
  <c r="BD25" i="56"/>
  <c r="BE25" i="56"/>
  <c r="BF25" i="56"/>
  <c r="BG25" i="56"/>
  <c r="BH25" i="56"/>
  <c r="BI25" i="56"/>
  <c r="BJ25" i="56"/>
  <c r="BK25" i="56"/>
  <c r="BL25" i="56"/>
  <c r="BM25" i="56"/>
  <c r="BN25" i="56"/>
  <c r="BO25" i="56"/>
  <c r="D26" i="56"/>
  <c r="F26" i="56"/>
  <c r="G26" i="56"/>
  <c r="H26" i="56"/>
  <c r="I26" i="56"/>
  <c r="K26" i="56"/>
  <c r="L26" i="56"/>
  <c r="N26" i="56"/>
  <c r="O26" i="56"/>
  <c r="P26" i="56"/>
  <c r="Q26" i="56"/>
  <c r="S26" i="56"/>
  <c r="T26" i="56"/>
  <c r="V26" i="56"/>
  <c r="X26" i="56"/>
  <c r="Y26" i="56"/>
  <c r="Z26" i="56"/>
  <c r="AA26" i="56"/>
  <c r="AB26" i="56"/>
  <c r="AC26" i="56"/>
  <c r="AF26" i="56"/>
  <c r="AG26" i="56"/>
  <c r="AH26" i="56"/>
  <c r="AI26" i="56"/>
  <c r="AJ26" i="56"/>
  <c r="AL26" i="56"/>
  <c r="AM26" i="56"/>
  <c r="AN26" i="56"/>
  <c r="AO26" i="56"/>
  <c r="AP26" i="56"/>
  <c r="AQ26" i="56"/>
  <c r="AR26" i="56"/>
  <c r="AS26" i="56"/>
  <c r="AT26" i="56"/>
  <c r="AU26" i="56"/>
  <c r="AV26" i="56"/>
  <c r="AW26" i="56"/>
  <c r="AX26" i="56"/>
  <c r="AY26" i="56"/>
  <c r="BB26" i="56"/>
  <c r="BC26" i="56"/>
  <c r="BD26" i="56"/>
  <c r="BE26" i="56"/>
  <c r="BF26" i="56"/>
  <c r="BG26" i="56"/>
  <c r="BH26" i="56"/>
  <c r="BI26" i="56"/>
  <c r="BJ26" i="56"/>
  <c r="BK26" i="56"/>
  <c r="BL26" i="56"/>
  <c r="BM26" i="56"/>
  <c r="BN26" i="56"/>
  <c r="BO26" i="56"/>
  <c r="F1" i="57"/>
  <c r="AV1" i="57"/>
  <c r="A2" i="57"/>
  <c r="F2" i="57"/>
  <c r="G2" i="57"/>
  <c r="N2" i="57"/>
  <c r="AV2" i="57"/>
  <c r="AW2" i="57"/>
  <c r="AX2" i="57"/>
  <c r="AY2" i="57"/>
  <c r="BW2" i="57"/>
  <c r="BX2" i="57"/>
  <c r="BY2" i="57"/>
  <c r="BZ2" i="57"/>
  <c r="CA2" i="57"/>
  <c r="CB2" i="57"/>
  <c r="CC2" i="57"/>
  <c r="CD2" i="57"/>
  <c r="CE2" i="57"/>
  <c r="CF2" i="57"/>
  <c r="CG2" i="57"/>
  <c r="CH2" i="57"/>
  <c r="CI2" i="57"/>
  <c r="CJ2" i="57"/>
  <c r="CK2" i="57"/>
  <c r="CL2" i="57"/>
  <c r="CM2" i="57"/>
  <c r="CN2" i="57"/>
  <c r="CO2" i="57"/>
  <c r="CP2" i="57"/>
  <c r="CQ2" i="57"/>
  <c r="CR2" i="57"/>
  <c r="CS2" i="57"/>
  <c r="CT2" i="57"/>
  <c r="CU2" i="57"/>
  <c r="CV2" i="57"/>
  <c r="CW2" i="57"/>
  <c r="CX2" i="57"/>
  <c r="A3" i="57"/>
  <c r="AH3" i="57"/>
  <c r="AK3" i="57"/>
  <c r="AV3" i="57"/>
  <c r="AW3" i="57"/>
  <c r="AX3" i="57"/>
  <c r="AY3" i="57"/>
  <c r="A4" i="57"/>
  <c r="N4" i="57"/>
  <c r="P4" i="57"/>
  <c r="T4" i="57"/>
  <c r="V4" i="57"/>
  <c r="W4" i="57"/>
  <c r="AH4" i="57"/>
  <c r="AK4" i="57"/>
  <c r="AM4" i="57"/>
  <c r="AN4" i="57"/>
  <c r="AO4" i="57"/>
  <c r="AP4" i="57"/>
  <c r="AQ4" i="57"/>
  <c r="AR4" i="57"/>
  <c r="AS4" i="57"/>
  <c r="AT4" i="57"/>
  <c r="AV4" i="57"/>
  <c r="AW4" i="57"/>
  <c r="AX4" i="57"/>
  <c r="AY4" i="57"/>
  <c r="A5" i="57"/>
  <c r="G5" i="57"/>
  <c r="N5" i="57"/>
  <c r="P5" i="57"/>
  <c r="T5" i="57"/>
  <c r="V5" i="57"/>
  <c r="W5" i="57"/>
  <c r="AH5" i="57"/>
  <c r="AK5" i="57"/>
  <c r="AM5" i="57"/>
  <c r="AN5" i="57"/>
  <c r="AO5" i="57"/>
  <c r="AP5" i="57"/>
  <c r="AQ5" i="57"/>
  <c r="AR5" i="57"/>
  <c r="AS5" i="57"/>
  <c r="AT5" i="57"/>
  <c r="AV5" i="57"/>
  <c r="AW5" i="57"/>
  <c r="AX5" i="57"/>
  <c r="AY5" i="57"/>
  <c r="BV5" i="57"/>
  <c r="A6" i="57"/>
  <c r="N6" i="57"/>
  <c r="P6" i="57"/>
  <c r="T6" i="57"/>
  <c r="V6" i="57"/>
  <c r="W6" i="57"/>
  <c r="AH6" i="57"/>
  <c r="AK6" i="57"/>
  <c r="AM6" i="57"/>
  <c r="AN6" i="57"/>
  <c r="AO6" i="57"/>
  <c r="AP6" i="57"/>
  <c r="AQ6" i="57"/>
  <c r="AR6" i="57"/>
  <c r="AS6" i="57"/>
  <c r="AT6" i="57"/>
  <c r="A7" i="57"/>
  <c r="G7" i="57"/>
  <c r="N7" i="57"/>
  <c r="N7" i="57" a="1"/>
  <c r="P7" i="57"/>
  <c r="T7" i="57"/>
  <c r="AH7" i="57"/>
  <c r="AK7" i="57"/>
  <c r="AM7" i="57"/>
  <c r="AN7" i="57"/>
  <c r="AO7" i="57"/>
  <c r="AP7" i="57"/>
  <c r="AQ7" i="57"/>
  <c r="AR7" i="57"/>
  <c r="AS7" i="57"/>
  <c r="AT7" i="57"/>
  <c r="AV7" i="57"/>
  <c r="AW7" i="57"/>
  <c r="AX7" i="57"/>
  <c r="AY7" i="57"/>
  <c r="G8" i="57"/>
  <c r="N8" i="57"/>
  <c r="N8" i="57" a="1"/>
  <c r="P8" i="57"/>
  <c r="T8" i="57"/>
  <c r="V8" i="57"/>
  <c r="W8" i="57"/>
  <c r="Y8" i="57"/>
  <c r="Z8" i="57"/>
  <c r="AH8" i="57"/>
  <c r="AK8" i="57"/>
  <c r="AM8" i="57"/>
  <c r="AN8" i="57"/>
  <c r="AO8" i="57"/>
  <c r="AP8" i="57"/>
  <c r="AQ8" i="57"/>
  <c r="AR8" i="57"/>
  <c r="AS8" i="57"/>
  <c r="AT8" i="57"/>
  <c r="AV8" i="57"/>
  <c r="AW8" i="57"/>
  <c r="AX8" i="57"/>
  <c r="AY8" i="57"/>
  <c r="N9" i="57"/>
  <c r="N9" i="57" a="1"/>
  <c r="P9" i="57"/>
  <c r="AK9" i="57"/>
  <c r="AM9" i="57"/>
  <c r="AN9" i="57"/>
  <c r="AO9" i="57"/>
  <c r="AP9" i="57"/>
  <c r="AQ9" i="57"/>
  <c r="AR9" i="57"/>
  <c r="AS9" i="57"/>
  <c r="AT9" i="57"/>
  <c r="AV9" i="57"/>
  <c r="AW9" i="57"/>
  <c r="AX9" i="57"/>
  <c r="AY9" i="57"/>
  <c r="K10" i="57"/>
  <c r="N10" i="57"/>
  <c r="P10" i="57"/>
  <c r="AH10" i="57"/>
  <c r="AM10" i="57"/>
  <c r="AN10" i="57"/>
  <c r="AO10" i="57"/>
  <c r="AP10" i="57"/>
  <c r="AQ10" i="57"/>
  <c r="AR10" i="57"/>
  <c r="AS10" i="57"/>
  <c r="AT10" i="57"/>
  <c r="AV10" i="57"/>
  <c r="AW10" i="57"/>
  <c r="AX10" i="57"/>
  <c r="AY10" i="57"/>
  <c r="D11" i="57"/>
  <c r="K11" i="57"/>
  <c r="N11" i="57"/>
  <c r="P11" i="57"/>
  <c r="AM11" i="57"/>
  <c r="AN11" i="57"/>
  <c r="AO11" i="57"/>
  <c r="AP11" i="57"/>
  <c r="AQ11" i="57"/>
  <c r="AR11" i="57"/>
  <c r="AS11" i="57"/>
  <c r="AT11" i="57"/>
  <c r="AV11" i="57"/>
  <c r="AW11" i="57"/>
  <c r="AX11" i="57"/>
  <c r="AY11" i="57"/>
  <c r="D12" i="57"/>
  <c r="N12" i="57"/>
  <c r="P12" i="57"/>
  <c r="AH12" i="57"/>
  <c r="AM12" i="57"/>
  <c r="AN12" i="57"/>
  <c r="AO12" i="57"/>
  <c r="AP12" i="57"/>
  <c r="AQ12" i="57"/>
  <c r="AR12" i="57"/>
  <c r="AS12" i="57"/>
  <c r="AT12" i="57"/>
  <c r="AV12" i="57"/>
  <c r="AW12" i="57"/>
  <c r="AX12" i="57"/>
  <c r="AY12" i="57"/>
  <c r="N13" i="57"/>
  <c r="P13" i="57"/>
  <c r="AH13" i="57"/>
  <c r="AM13" i="57"/>
  <c r="AN13" i="57"/>
  <c r="AO13" i="57"/>
  <c r="AP13" i="57"/>
  <c r="AQ13" i="57"/>
  <c r="AR13" i="57"/>
  <c r="AS13" i="57"/>
  <c r="AT13" i="57"/>
  <c r="AV13" i="57"/>
  <c r="AW13" i="57"/>
  <c r="AX13" i="57"/>
  <c r="AY13" i="57"/>
  <c r="N14" i="57"/>
  <c r="P14" i="57"/>
  <c r="S14" i="57"/>
  <c r="T14" i="57"/>
  <c r="AM14" i="57"/>
  <c r="AN14" i="57"/>
  <c r="AO14" i="57"/>
  <c r="AP14" i="57"/>
  <c r="AQ14" i="57"/>
  <c r="AR14" i="57"/>
  <c r="AS14" i="57"/>
  <c r="AT14" i="57"/>
  <c r="AV14" i="57"/>
  <c r="AW14" i="57"/>
  <c r="AX14" i="57"/>
  <c r="AY14" i="57"/>
  <c r="N15" i="57"/>
  <c r="P15" i="57"/>
  <c r="AM15" i="57"/>
  <c r="AN15" i="57"/>
  <c r="AO15" i="57"/>
  <c r="AP15" i="57"/>
  <c r="AQ15" i="57"/>
  <c r="AR15" i="57"/>
  <c r="AS15" i="57"/>
  <c r="AT15" i="57"/>
  <c r="AV15" i="57"/>
  <c r="AW15" i="57"/>
  <c r="AX15" i="57"/>
  <c r="AY15" i="57"/>
  <c r="N16" i="57"/>
  <c r="P16" i="57"/>
  <c r="AV16" i="57"/>
  <c r="AW16" i="57"/>
  <c r="AX16" i="57"/>
  <c r="AY16" i="57"/>
  <c r="N17" i="57"/>
  <c r="P17" i="57"/>
  <c r="AV17" i="57"/>
  <c r="AW17" i="57"/>
  <c r="AX17" i="57"/>
  <c r="AY17" i="57"/>
  <c r="N18" i="57"/>
  <c r="P18" i="57"/>
  <c r="AX18" i="57"/>
  <c r="AY18" i="57"/>
  <c r="N19" i="57"/>
  <c r="P19" i="57"/>
  <c r="S20" i="57"/>
  <c r="T20" i="57"/>
  <c r="AM20" i="57"/>
  <c r="AO20" i="57"/>
  <c r="AV20" i="57"/>
  <c r="AW20" i="57"/>
  <c r="AX20" i="57"/>
  <c r="AY20" i="57"/>
  <c r="D22" i="57"/>
  <c r="F22" i="57"/>
  <c r="G22" i="57"/>
  <c r="H22" i="57"/>
  <c r="I22" i="57"/>
  <c r="K22" i="57"/>
  <c r="L22" i="57"/>
  <c r="N22" i="57"/>
  <c r="O22" i="57"/>
  <c r="P22" i="57"/>
  <c r="Q22" i="57"/>
  <c r="S22" i="57"/>
  <c r="T22" i="57"/>
  <c r="V22" i="57"/>
  <c r="X22" i="57"/>
  <c r="Y22" i="57"/>
  <c r="Z22" i="57"/>
  <c r="AA22" i="57"/>
  <c r="AB22" i="57"/>
  <c r="AC22" i="57"/>
  <c r="AF22" i="57"/>
  <c r="AG22" i="57"/>
  <c r="AH22" i="57"/>
  <c r="AI22" i="57"/>
  <c r="AJ22" i="57"/>
  <c r="AL22" i="57"/>
  <c r="AM22" i="57"/>
  <c r="AN22" i="57"/>
  <c r="AO22" i="57"/>
  <c r="AP22" i="57"/>
  <c r="AQ22" i="57"/>
  <c r="AR22" i="57"/>
  <c r="AS22" i="57"/>
  <c r="AT22" i="57"/>
  <c r="AU22" i="57"/>
  <c r="AV22" i="57"/>
  <c r="AW22" i="57"/>
  <c r="AX22" i="57"/>
  <c r="AY22" i="57"/>
  <c r="BB22" i="57"/>
  <c r="BC22" i="57"/>
  <c r="BD22" i="57"/>
  <c r="BE22" i="57"/>
  <c r="BF22" i="57"/>
  <c r="BG22" i="57"/>
  <c r="BH22" i="57"/>
  <c r="BI22" i="57"/>
  <c r="BJ22" i="57"/>
  <c r="BK22" i="57"/>
  <c r="BL22" i="57"/>
  <c r="BM22" i="57"/>
  <c r="BN22" i="57"/>
  <c r="BO22" i="57"/>
  <c r="D23" i="57"/>
  <c r="F23" i="57"/>
  <c r="G23" i="57"/>
  <c r="H23" i="57"/>
  <c r="I23" i="57"/>
  <c r="K23" i="57"/>
  <c r="L23" i="57"/>
  <c r="N23" i="57"/>
  <c r="O23" i="57"/>
  <c r="P23" i="57"/>
  <c r="Q23" i="57"/>
  <c r="S23" i="57"/>
  <c r="T23" i="57"/>
  <c r="V23" i="57"/>
  <c r="X23" i="57"/>
  <c r="Y23" i="57"/>
  <c r="Z23" i="57"/>
  <c r="AA23" i="57"/>
  <c r="AB23" i="57"/>
  <c r="AC23" i="57"/>
  <c r="AF23" i="57"/>
  <c r="AG23" i="57"/>
  <c r="AH23" i="57"/>
  <c r="AI23" i="57"/>
  <c r="AJ23" i="57"/>
  <c r="AL23" i="57"/>
  <c r="AM23" i="57"/>
  <c r="AN23" i="57"/>
  <c r="AO23" i="57"/>
  <c r="AP23" i="57"/>
  <c r="AQ23" i="57"/>
  <c r="AR23" i="57"/>
  <c r="AS23" i="57"/>
  <c r="AT23" i="57"/>
  <c r="AU23" i="57"/>
  <c r="AV23" i="57"/>
  <c r="AW23" i="57"/>
  <c r="AX23" i="57"/>
  <c r="AY23" i="57"/>
  <c r="BB23" i="57"/>
  <c r="BC23" i="57"/>
  <c r="BD23" i="57"/>
  <c r="BE23" i="57"/>
  <c r="BF23" i="57"/>
  <c r="BG23" i="57"/>
  <c r="BH23" i="57"/>
  <c r="BI23" i="57"/>
  <c r="BJ23" i="57"/>
  <c r="BK23" i="57"/>
  <c r="BL23" i="57"/>
  <c r="BM23" i="57"/>
  <c r="BN23" i="57"/>
  <c r="BO23" i="57"/>
  <c r="D24" i="57"/>
  <c r="F24" i="57"/>
  <c r="G24" i="57"/>
  <c r="H24" i="57"/>
  <c r="I24" i="57"/>
  <c r="K24" i="57"/>
  <c r="L24" i="57"/>
  <c r="N24" i="57"/>
  <c r="O24" i="57"/>
  <c r="P24" i="57"/>
  <c r="Q24" i="57"/>
  <c r="S24" i="57"/>
  <c r="T24" i="57"/>
  <c r="V24" i="57"/>
  <c r="X24" i="57"/>
  <c r="Y24" i="57"/>
  <c r="Z24" i="57"/>
  <c r="AA24" i="57"/>
  <c r="AB24" i="57"/>
  <c r="AC24" i="57"/>
  <c r="AF24" i="57"/>
  <c r="AG24" i="57"/>
  <c r="AH24" i="57"/>
  <c r="AI24" i="57"/>
  <c r="AJ24" i="57"/>
  <c r="AL24" i="57"/>
  <c r="AM24" i="57"/>
  <c r="AN24" i="57"/>
  <c r="AO24" i="57"/>
  <c r="AP24" i="57"/>
  <c r="AQ24" i="57"/>
  <c r="AR24" i="57"/>
  <c r="AS24" i="57"/>
  <c r="AT24" i="57"/>
  <c r="AU24" i="57"/>
  <c r="AV24" i="57"/>
  <c r="AW24" i="57"/>
  <c r="AX24" i="57"/>
  <c r="AY24" i="57"/>
  <c r="BB24" i="57"/>
  <c r="BC24" i="57"/>
  <c r="BD24" i="57"/>
  <c r="BE24" i="57"/>
  <c r="BF24" i="57"/>
  <c r="BG24" i="57"/>
  <c r="BH24" i="57"/>
  <c r="BI24" i="57"/>
  <c r="BJ24" i="57"/>
  <c r="BK24" i="57"/>
  <c r="BL24" i="57"/>
  <c r="BM24" i="57"/>
  <c r="BN24" i="57"/>
  <c r="BO24" i="57"/>
  <c r="D25" i="57"/>
  <c r="F25" i="57"/>
  <c r="G25" i="57"/>
  <c r="H25" i="57"/>
  <c r="I25" i="57"/>
  <c r="K25" i="57"/>
  <c r="L25" i="57"/>
  <c r="N25" i="57"/>
  <c r="O25" i="57"/>
  <c r="P25" i="57"/>
  <c r="Q25" i="57"/>
  <c r="S25" i="57"/>
  <c r="T25" i="57"/>
  <c r="V25" i="57"/>
  <c r="X25" i="57"/>
  <c r="Y25" i="57"/>
  <c r="Z25" i="57"/>
  <c r="AA25" i="57"/>
  <c r="AB25" i="57"/>
  <c r="AC25" i="57"/>
  <c r="AF25" i="57"/>
  <c r="AG25" i="57"/>
  <c r="AH25" i="57"/>
  <c r="AI25" i="57"/>
  <c r="AJ25" i="57"/>
  <c r="AL25" i="57"/>
  <c r="AM25" i="57"/>
  <c r="AN25" i="57"/>
  <c r="AO25" i="57"/>
  <c r="AP25" i="57"/>
  <c r="AQ25" i="57"/>
  <c r="AR25" i="57"/>
  <c r="AS25" i="57"/>
  <c r="AT25" i="57"/>
  <c r="AU25" i="57"/>
  <c r="AV25" i="57"/>
  <c r="AW25" i="57"/>
  <c r="AX25" i="57"/>
  <c r="AY25" i="57"/>
  <c r="BB25" i="57"/>
  <c r="BC25" i="57"/>
  <c r="BD25" i="57"/>
  <c r="BE25" i="57"/>
  <c r="BF25" i="57"/>
  <c r="BG25" i="57"/>
  <c r="BH25" i="57"/>
  <c r="BI25" i="57"/>
  <c r="BJ25" i="57"/>
  <c r="BK25" i="57"/>
  <c r="BL25" i="57"/>
  <c r="BM25" i="57"/>
  <c r="BN25" i="57"/>
  <c r="BO25" i="57"/>
  <c r="D26" i="57"/>
  <c r="F26" i="57"/>
  <c r="G26" i="57"/>
  <c r="H26" i="57"/>
  <c r="I26" i="57"/>
  <c r="K26" i="57"/>
  <c r="L26" i="57"/>
  <c r="N26" i="57"/>
  <c r="O26" i="57"/>
  <c r="P26" i="57"/>
  <c r="Q26" i="57"/>
  <c r="S26" i="57"/>
  <c r="T26" i="57"/>
  <c r="V26" i="57"/>
  <c r="X26" i="57"/>
  <c r="Y26" i="57"/>
  <c r="Z26" i="57"/>
  <c r="AA26" i="57"/>
  <c r="AB26" i="57"/>
  <c r="AC26" i="57"/>
  <c r="AF26" i="57"/>
  <c r="AG26" i="57"/>
  <c r="AH26" i="57"/>
  <c r="AI26" i="57"/>
  <c r="AJ26" i="57"/>
  <c r="AL26" i="57"/>
  <c r="AM26" i="57"/>
  <c r="AN26" i="57"/>
  <c r="AO26" i="57"/>
  <c r="AP26" i="57"/>
  <c r="AQ26" i="57"/>
  <c r="AR26" i="57"/>
  <c r="AS26" i="57"/>
  <c r="AT26" i="57"/>
  <c r="AU26" i="57"/>
  <c r="AV26" i="57"/>
  <c r="AW26" i="57"/>
  <c r="AX26" i="57"/>
  <c r="AY26" i="57"/>
  <c r="BB26" i="57"/>
  <c r="BC26" i="57"/>
  <c r="BD26" i="57"/>
  <c r="BE26" i="57"/>
  <c r="BF26" i="57"/>
  <c r="BG26" i="57"/>
  <c r="BH26" i="57"/>
  <c r="BI26" i="57"/>
  <c r="BJ26" i="57"/>
  <c r="BK26" i="57"/>
  <c r="BL26" i="57"/>
  <c r="BM26" i="57"/>
  <c r="BN26" i="57"/>
  <c r="BO26" i="57"/>
  <c r="F1" i="58"/>
  <c r="AV1" i="58"/>
  <c r="A2" i="58"/>
  <c r="F2" i="58"/>
  <c r="G2" i="58"/>
  <c r="N2" i="58"/>
  <c r="AV2" i="58"/>
  <c r="AW2" i="58"/>
  <c r="AX2" i="58"/>
  <c r="AY2" i="58"/>
  <c r="BW2" i="58"/>
  <c r="BX2" i="58"/>
  <c r="BY2" i="58"/>
  <c r="BZ2" i="58"/>
  <c r="CA2" i="58"/>
  <c r="CB2" i="58"/>
  <c r="CC2" i="58"/>
  <c r="CD2" i="58"/>
  <c r="CE2" i="58"/>
  <c r="CF2" i="58"/>
  <c r="CG2" i="58"/>
  <c r="CH2" i="58"/>
  <c r="CI2" i="58"/>
  <c r="CJ2" i="58"/>
  <c r="CK2" i="58"/>
  <c r="CL2" i="58"/>
  <c r="CM2" i="58"/>
  <c r="CN2" i="58"/>
  <c r="CO2" i="58"/>
  <c r="CP2" i="58"/>
  <c r="CQ2" i="58"/>
  <c r="CR2" i="58"/>
  <c r="CS2" i="58"/>
  <c r="CT2" i="58"/>
  <c r="CU2" i="58"/>
  <c r="CV2" i="58"/>
  <c r="CW2" i="58"/>
  <c r="CX2" i="58"/>
  <c r="A3" i="58"/>
  <c r="AH3" i="58"/>
  <c r="AK3" i="58"/>
  <c r="AV3" i="58"/>
  <c r="AW3" i="58"/>
  <c r="AX3" i="58"/>
  <c r="AY3" i="58"/>
  <c r="A4" i="58"/>
  <c r="N4" i="58"/>
  <c r="P4" i="58"/>
  <c r="T4" i="58"/>
  <c r="V4" i="58"/>
  <c r="W4" i="58"/>
  <c r="AH4" i="58"/>
  <c r="AK4" i="58"/>
  <c r="AM4" i="58"/>
  <c r="AN4" i="58"/>
  <c r="AO4" i="58"/>
  <c r="AP4" i="58"/>
  <c r="AQ4" i="58"/>
  <c r="AR4" i="58"/>
  <c r="AS4" i="58"/>
  <c r="AT4" i="58"/>
  <c r="AV4" i="58"/>
  <c r="AW4" i="58"/>
  <c r="AX4" i="58"/>
  <c r="AY4" i="58"/>
  <c r="A5" i="58"/>
  <c r="G5" i="58"/>
  <c r="N5" i="58"/>
  <c r="P5" i="58"/>
  <c r="T5" i="58"/>
  <c r="V5" i="58"/>
  <c r="W5" i="58"/>
  <c r="AH5" i="58"/>
  <c r="AK5" i="58"/>
  <c r="AM5" i="58"/>
  <c r="AN5" i="58"/>
  <c r="AO5" i="58"/>
  <c r="AP5" i="58"/>
  <c r="AQ5" i="58"/>
  <c r="AR5" i="58"/>
  <c r="AS5" i="58"/>
  <c r="AT5" i="58"/>
  <c r="AV5" i="58"/>
  <c r="AW5" i="58"/>
  <c r="AX5" i="58"/>
  <c r="AY5" i="58"/>
  <c r="BV5" i="58"/>
  <c r="A6" i="58"/>
  <c r="N6" i="58"/>
  <c r="P6" i="58"/>
  <c r="T6" i="58"/>
  <c r="V6" i="58"/>
  <c r="W6" i="58"/>
  <c r="AH6" i="58"/>
  <c r="AK6" i="58"/>
  <c r="AM6" i="58"/>
  <c r="AN6" i="58"/>
  <c r="AO6" i="58"/>
  <c r="AP6" i="58"/>
  <c r="AQ6" i="58"/>
  <c r="AR6" i="58"/>
  <c r="AS6" i="58"/>
  <c r="AT6" i="58"/>
  <c r="A7" i="58"/>
  <c r="G7" i="58"/>
  <c r="N7" i="58"/>
  <c r="N7" i="58" a="1"/>
  <c r="P7" i="58"/>
  <c r="T7" i="58"/>
  <c r="AH7" i="58"/>
  <c r="AK7" i="58"/>
  <c r="AM7" i="58"/>
  <c r="AN7" i="58"/>
  <c r="AO7" i="58"/>
  <c r="AP7" i="58"/>
  <c r="AQ7" i="58"/>
  <c r="AR7" i="58"/>
  <c r="AS7" i="58"/>
  <c r="AT7" i="58"/>
  <c r="AV7" i="58"/>
  <c r="AW7" i="58"/>
  <c r="AX7" i="58"/>
  <c r="AY7" i="58"/>
  <c r="G8" i="58"/>
  <c r="N8" i="58"/>
  <c r="N8" i="58" a="1"/>
  <c r="P8" i="58"/>
  <c r="T8" i="58"/>
  <c r="V8" i="58"/>
  <c r="W8" i="58"/>
  <c r="Y8" i="58"/>
  <c r="Z8" i="58"/>
  <c r="AH8" i="58"/>
  <c r="AK8" i="58"/>
  <c r="AM8" i="58"/>
  <c r="AN8" i="58"/>
  <c r="AO8" i="58"/>
  <c r="AP8" i="58"/>
  <c r="AQ8" i="58"/>
  <c r="AR8" i="58"/>
  <c r="AS8" i="58"/>
  <c r="AT8" i="58"/>
  <c r="AV8" i="58"/>
  <c r="AW8" i="58"/>
  <c r="AX8" i="58"/>
  <c r="AY8" i="58"/>
  <c r="N9" i="58"/>
  <c r="N9" i="58" a="1"/>
  <c r="P9" i="58"/>
  <c r="AK9" i="58"/>
  <c r="AM9" i="58"/>
  <c r="AN9" i="58"/>
  <c r="AO9" i="58"/>
  <c r="AP9" i="58"/>
  <c r="AQ9" i="58"/>
  <c r="AR9" i="58"/>
  <c r="AS9" i="58"/>
  <c r="AT9" i="58"/>
  <c r="AV9" i="58"/>
  <c r="AW9" i="58"/>
  <c r="AX9" i="58"/>
  <c r="AY9" i="58"/>
  <c r="K10" i="58"/>
  <c r="N10" i="58"/>
  <c r="P10" i="58"/>
  <c r="AH10" i="58"/>
  <c r="AM10" i="58"/>
  <c r="AN10" i="58"/>
  <c r="AO10" i="58"/>
  <c r="AP10" i="58"/>
  <c r="AQ10" i="58"/>
  <c r="AR10" i="58"/>
  <c r="AS10" i="58"/>
  <c r="AT10" i="58"/>
  <c r="AV10" i="58"/>
  <c r="AW10" i="58"/>
  <c r="AX10" i="58"/>
  <c r="AY10" i="58"/>
  <c r="D11" i="58"/>
  <c r="K11" i="58"/>
  <c r="N11" i="58"/>
  <c r="P11" i="58"/>
  <c r="AM11" i="58"/>
  <c r="AN11" i="58"/>
  <c r="AO11" i="58"/>
  <c r="AP11" i="58"/>
  <c r="AQ11" i="58"/>
  <c r="AR11" i="58"/>
  <c r="AS11" i="58"/>
  <c r="AT11" i="58"/>
  <c r="AV11" i="58"/>
  <c r="AW11" i="58"/>
  <c r="AX11" i="58"/>
  <c r="AY11" i="58"/>
  <c r="D12" i="58"/>
  <c r="N12" i="58"/>
  <c r="P12" i="58"/>
  <c r="AH12" i="58"/>
  <c r="AM12" i="58"/>
  <c r="AN12" i="58"/>
  <c r="AO12" i="58"/>
  <c r="AP12" i="58"/>
  <c r="AQ12" i="58"/>
  <c r="AR12" i="58"/>
  <c r="AS12" i="58"/>
  <c r="AT12" i="58"/>
  <c r="AV12" i="58"/>
  <c r="AW12" i="58"/>
  <c r="AX12" i="58"/>
  <c r="AY12" i="58"/>
  <c r="N13" i="58"/>
  <c r="P13" i="58"/>
  <c r="AH13" i="58"/>
  <c r="AM13" i="58"/>
  <c r="AN13" i="58"/>
  <c r="AO13" i="58"/>
  <c r="AP13" i="58"/>
  <c r="AQ13" i="58"/>
  <c r="AR13" i="58"/>
  <c r="AS13" i="58"/>
  <c r="AT13" i="58"/>
  <c r="AV13" i="58"/>
  <c r="AW13" i="58"/>
  <c r="AX13" i="58"/>
  <c r="AY13" i="58"/>
  <c r="N14" i="58"/>
  <c r="P14" i="58"/>
  <c r="S14" i="58"/>
  <c r="T14" i="58"/>
  <c r="AM14" i="58"/>
  <c r="AN14" i="58"/>
  <c r="AO14" i="58"/>
  <c r="AP14" i="58"/>
  <c r="AQ14" i="58"/>
  <c r="AR14" i="58"/>
  <c r="AS14" i="58"/>
  <c r="AT14" i="58"/>
  <c r="AV14" i="58"/>
  <c r="AW14" i="58"/>
  <c r="AX14" i="58"/>
  <c r="AY14" i="58"/>
  <c r="N15" i="58"/>
  <c r="P15" i="58"/>
  <c r="AM15" i="58"/>
  <c r="AN15" i="58"/>
  <c r="AO15" i="58"/>
  <c r="AP15" i="58"/>
  <c r="AQ15" i="58"/>
  <c r="AR15" i="58"/>
  <c r="AS15" i="58"/>
  <c r="AT15" i="58"/>
  <c r="AV15" i="58"/>
  <c r="AW15" i="58"/>
  <c r="AX15" i="58"/>
  <c r="AY15" i="58"/>
  <c r="N16" i="58"/>
  <c r="P16" i="58"/>
  <c r="AV16" i="58"/>
  <c r="AW16" i="58"/>
  <c r="AX16" i="58"/>
  <c r="AY16" i="58"/>
  <c r="N17" i="58"/>
  <c r="P17" i="58"/>
  <c r="AV17" i="58"/>
  <c r="AW17" i="58"/>
  <c r="AX17" i="58"/>
  <c r="AY17" i="58"/>
  <c r="N18" i="58"/>
  <c r="P18" i="58"/>
  <c r="AX18" i="58"/>
  <c r="AY18" i="58"/>
  <c r="N19" i="58"/>
  <c r="P19" i="58"/>
  <c r="S20" i="58"/>
  <c r="T20" i="58"/>
  <c r="AM20" i="58"/>
  <c r="AO20" i="58"/>
  <c r="AV20" i="58"/>
  <c r="AW20" i="58"/>
  <c r="AX20" i="58"/>
  <c r="AY20" i="58"/>
  <c r="D22" i="58"/>
  <c r="F22" i="58"/>
  <c r="G22" i="58"/>
  <c r="H22" i="58"/>
  <c r="I22" i="58"/>
  <c r="K22" i="58"/>
  <c r="L22" i="58"/>
  <c r="N22" i="58"/>
  <c r="O22" i="58"/>
  <c r="P22" i="58"/>
  <c r="Q22" i="58"/>
  <c r="S22" i="58"/>
  <c r="T22" i="58"/>
  <c r="V22" i="58"/>
  <c r="X22" i="58"/>
  <c r="Y22" i="58"/>
  <c r="Z22" i="58"/>
  <c r="AA22" i="58"/>
  <c r="AB22" i="58"/>
  <c r="AC22" i="58"/>
  <c r="AF22" i="58"/>
  <c r="AG22" i="58"/>
  <c r="AH22" i="58"/>
  <c r="AI22" i="58"/>
  <c r="AJ22" i="58"/>
  <c r="AL22" i="58"/>
  <c r="AM22" i="58"/>
  <c r="AN22" i="58"/>
  <c r="AO22" i="58"/>
  <c r="AP22" i="58"/>
  <c r="AQ22" i="58"/>
  <c r="AR22" i="58"/>
  <c r="AS22" i="58"/>
  <c r="AT22" i="58"/>
  <c r="AU22" i="58"/>
  <c r="AV22" i="58"/>
  <c r="AW22" i="58"/>
  <c r="AX22" i="58"/>
  <c r="AY22" i="58"/>
  <c r="BB22" i="58"/>
  <c r="BC22" i="58"/>
  <c r="BD22" i="58"/>
  <c r="BE22" i="58"/>
  <c r="BF22" i="58"/>
  <c r="BG22" i="58"/>
  <c r="BH22" i="58"/>
  <c r="BI22" i="58"/>
  <c r="BJ22" i="58"/>
  <c r="BK22" i="58"/>
  <c r="BL22" i="58"/>
  <c r="BM22" i="58"/>
  <c r="BN22" i="58"/>
  <c r="BO22" i="58"/>
  <c r="D23" i="58"/>
  <c r="F23" i="58"/>
  <c r="G23" i="58"/>
  <c r="H23" i="58"/>
  <c r="I23" i="58"/>
  <c r="K23" i="58"/>
  <c r="L23" i="58"/>
  <c r="N23" i="58"/>
  <c r="O23" i="58"/>
  <c r="P23" i="58"/>
  <c r="Q23" i="58"/>
  <c r="S23" i="58"/>
  <c r="T23" i="58"/>
  <c r="V23" i="58"/>
  <c r="X23" i="58"/>
  <c r="Y23" i="58"/>
  <c r="Z23" i="58"/>
  <c r="AA23" i="58"/>
  <c r="AB23" i="58"/>
  <c r="AC23" i="58"/>
  <c r="AF23" i="58"/>
  <c r="AG23" i="58"/>
  <c r="AH23" i="58"/>
  <c r="AI23" i="58"/>
  <c r="AJ23" i="58"/>
  <c r="AL23" i="58"/>
  <c r="AM23" i="58"/>
  <c r="AN23" i="58"/>
  <c r="AO23" i="58"/>
  <c r="AP23" i="58"/>
  <c r="AQ23" i="58"/>
  <c r="AR23" i="58"/>
  <c r="AS23" i="58"/>
  <c r="AT23" i="58"/>
  <c r="AU23" i="58"/>
  <c r="AV23" i="58"/>
  <c r="AW23" i="58"/>
  <c r="AX23" i="58"/>
  <c r="AY23" i="58"/>
  <c r="BB23" i="58"/>
  <c r="BC23" i="58"/>
  <c r="BD23" i="58"/>
  <c r="BE23" i="58"/>
  <c r="BF23" i="58"/>
  <c r="BG23" i="58"/>
  <c r="BH23" i="58"/>
  <c r="BI23" i="58"/>
  <c r="BJ23" i="58"/>
  <c r="BK23" i="58"/>
  <c r="BL23" i="58"/>
  <c r="BM23" i="58"/>
  <c r="BN23" i="58"/>
  <c r="BO23" i="58"/>
  <c r="D24" i="58"/>
  <c r="F24" i="58"/>
  <c r="G24" i="58"/>
  <c r="H24" i="58"/>
  <c r="I24" i="58"/>
  <c r="K24" i="58"/>
  <c r="L24" i="58"/>
  <c r="N24" i="58"/>
  <c r="O24" i="58"/>
  <c r="P24" i="58"/>
  <c r="Q24" i="58"/>
  <c r="S24" i="58"/>
  <c r="T24" i="58"/>
  <c r="V24" i="58"/>
  <c r="X24" i="58"/>
  <c r="Y24" i="58"/>
  <c r="Z24" i="58"/>
  <c r="AA24" i="58"/>
  <c r="AB24" i="58"/>
  <c r="AC24" i="58"/>
  <c r="AF24" i="58"/>
  <c r="AG24" i="58"/>
  <c r="AH24" i="58"/>
  <c r="AI24" i="58"/>
  <c r="AJ24" i="58"/>
  <c r="AL24" i="58"/>
  <c r="AM24" i="58"/>
  <c r="AN24" i="58"/>
  <c r="AO24" i="58"/>
  <c r="AP24" i="58"/>
  <c r="AQ24" i="58"/>
  <c r="AR24" i="58"/>
  <c r="AS24" i="58"/>
  <c r="AT24" i="58"/>
  <c r="AU24" i="58"/>
  <c r="AV24" i="58"/>
  <c r="AW24" i="58"/>
  <c r="AX24" i="58"/>
  <c r="AY24" i="58"/>
  <c r="BB24" i="58"/>
  <c r="BC24" i="58"/>
  <c r="BD24" i="58"/>
  <c r="BE24" i="58"/>
  <c r="BF24" i="58"/>
  <c r="BG24" i="58"/>
  <c r="BH24" i="58"/>
  <c r="BI24" i="58"/>
  <c r="BJ24" i="58"/>
  <c r="BK24" i="58"/>
  <c r="BL24" i="58"/>
  <c r="BM24" i="58"/>
  <c r="BN24" i="58"/>
  <c r="BO24" i="58"/>
  <c r="D25" i="58"/>
  <c r="F25" i="58"/>
  <c r="G25" i="58"/>
  <c r="H25" i="58"/>
  <c r="I25" i="58"/>
  <c r="K25" i="58"/>
  <c r="L25" i="58"/>
  <c r="N25" i="58"/>
  <c r="O25" i="58"/>
  <c r="P25" i="58"/>
  <c r="Q25" i="58"/>
  <c r="S25" i="58"/>
  <c r="T25" i="58"/>
  <c r="V25" i="58"/>
  <c r="X25" i="58"/>
  <c r="Y25" i="58"/>
  <c r="Z25" i="58"/>
  <c r="AA25" i="58"/>
  <c r="AB25" i="58"/>
  <c r="AC25" i="58"/>
  <c r="AF25" i="58"/>
  <c r="AG25" i="58"/>
  <c r="AH25" i="58"/>
  <c r="AI25" i="58"/>
  <c r="AJ25" i="58"/>
  <c r="AL25" i="58"/>
  <c r="AM25" i="58"/>
  <c r="AN25" i="58"/>
  <c r="AO25" i="58"/>
  <c r="AP25" i="58"/>
  <c r="AQ25" i="58"/>
  <c r="AR25" i="58"/>
  <c r="AS25" i="58"/>
  <c r="AT25" i="58"/>
  <c r="AU25" i="58"/>
  <c r="AV25" i="58"/>
  <c r="AW25" i="58"/>
  <c r="AX25" i="58"/>
  <c r="AY25" i="58"/>
  <c r="BB25" i="58"/>
  <c r="BC25" i="58"/>
  <c r="BD25" i="58"/>
  <c r="BE25" i="58"/>
  <c r="BF25" i="58"/>
  <c r="BG25" i="58"/>
  <c r="BH25" i="58"/>
  <c r="BI25" i="58"/>
  <c r="BJ25" i="58"/>
  <c r="BK25" i="58"/>
  <c r="BL25" i="58"/>
  <c r="BM25" i="58"/>
  <c r="BN25" i="58"/>
  <c r="BO25" i="58"/>
  <c r="D26" i="58"/>
  <c r="F26" i="58"/>
  <c r="G26" i="58"/>
  <c r="H26" i="58"/>
  <c r="I26" i="58"/>
  <c r="K26" i="58"/>
  <c r="L26" i="58"/>
  <c r="N26" i="58"/>
  <c r="O26" i="58"/>
  <c r="P26" i="58"/>
  <c r="Q26" i="58"/>
  <c r="S26" i="58"/>
  <c r="T26" i="58"/>
  <c r="V26" i="58"/>
  <c r="X26" i="58"/>
  <c r="Y26" i="58"/>
  <c r="Z26" i="58"/>
  <c r="AA26" i="58"/>
  <c r="AB26" i="58"/>
  <c r="AC26" i="58"/>
  <c r="AF26" i="58"/>
  <c r="AG26" i="58"/>
  <c r="AH26" i="58"/>
  <c r="AI26" i="58"/>
  <c r="AJ26" i="58"/>
  <c r="AL26" i="58"/>
  <c r="AM26" i="58"/>
  <c r="AN26" i="58"/>
  <c r="AO26" i="58"/>
  <c r="AP26" i="58"/>
  <c r="AQ26" i="58"/>
  <c r="AR26" i="58"/>
  <c r="AS26" i="58"/>
  <c r="AT26" i="58"/>
  <c r="AU26" i="58"/>
  <c r="AV26" i="58"/>
  <c r="AW26" i="58"/>
  <c r="AX26" i="58"/>
  <c r="AY26" i="58"/>
  <c r="BB26" i="58"/>
  <c r="BC26" i="58"/>
  <c r="BD26" i="58"/>
  <c r="BE26" i="58"/>
  <c r="BF26" i="58"/>
  <c r="BG26" i="58"/>
  <c r="BH26" i="58"/>
  <c r="BI26" i="58"/>
  <c r="BJ26" i="58"/>
  <c r="BK26" i="58"/>
  <c r="BL26" i="58"/>
  <c r="BM26" i="58"/>
  <c r="BN26" i="58"/>
  <c r="BO26" i="58"/>
  <c r="F1" i="59"/>
  <c r="AV1" i="59"/>
  <c r="A2" i="59"/>
  <c r="F2" i="59"/>
  <c r="G2" i="59"/>
  <c r="N2" i="59"/>
  <c r="AV2" i="59"/>
  <c r="AW2" i="59"/>
  <c r="AX2" i="59"/>
  <c r="AY2" i="59"/>
  <c r="BW2" i="59"/>
  <c r="BX2" i="59"/>
  <c r="BY2" i="59"/>
  <c r="BZ2" i="59"/>
  <c r="CA2" i="59"/>
  <c r="CB2" i="59"/>
  <c r="CC2" i="59"/>
  <c r="CD2" i="59"/>
  <c r="CE2" i="59"/>
  <c r="CF2" i="59"/>
  <c r="CG2" i="59"/>
  <c r="CH2" i="59"/>
  <c r="CI2" i="59"/>
  <c r="CJ2" i="59"/>
  <c r="CK2" i="59"/>
  <c r="CL2" i="59"/>
  <c r="CM2" i="59"/>
  <c r="CN2" i="59"/>
  <c r="CO2" i="59"/>
  <c r="CP2" i="59"/>
  <c r="CQ2" i="59"/>
  <c r="CR2" i="59"/>
  <c r="CS2" i="59"/>
  <c r="CT2" i="59"/>
  <c r="CU2" i="59"/>
  <c r="CV2" i="59"/>
  <c r="CW2" i="59"/>
  <c r="CX2" i="59"/>
  <c r="A3" i="59"/>
  <c r="AH3" i="59"/>
  <c r="AK3" i="59"/>
  <c r="AV3" i="59"/>
  <c r="AW3" i="59"/>
  <c r="AX3" i="59"/>
  <c r="AY3" i="59"/>
  <c r="A4" i="59"/>
  <c r="N4" i="59"/>
  <c r="P4" i="59"/>
  <c r="T4" i="59"/>
  <c r="V4" i="59"/>
  <c r="W4" i="59"/>
  <c r="AH4" i="59"/>
  <c r="AK4" i="59"/>
  <c r="AM4" i="59"/>
  <c r="AN4" i="59"/>
  <c r="AO4" i="59"/>
  <c r="AP4" i="59"/>
  <c r="AQ4" i="59"/>
  <c r="AR4" i="59"/>
  <c r="AS4" i="59"/>
  <c r="AT4" i="59"/>
  <c r="AV4" i="59"/>
  <c r="AW4" i="59"/>
  <c r="AX4" i="59"/>
  <c r="AY4" i="59"/>
  <c r="A5" i="59"/>
  <c r="G5" i="59"/>
  <c r="N5" i="59"/>
  <c r="P5" i="59"/>
  <c r="T5" i="59"/>
  <c r="V5" i="59"/>
  <c r="W5" i="59"/>
  <c r="AH5" i="59"/>
  <c r="AK5" i="59"/>
  <c r="AM5" i="59"/>
  <c r="AN5" i="59"/>
  <c r="AO5" i="59"/>
  <c r="AP5" i="59"/>
  <c r="AQ5" i="59"/>
  <c r="AR5" i="59"/>
  <c r="AS5" i="59"/>
  <c r="AT5" i="59"/>
  <c r="AV5" i="59"/>
  <c r="AW5" i="59"/>
  <c r="AX5" i="59"/>
  <c r="AY5" i="59"/>
  <c r="BV5" i="59"/>
  <c r="A6" i="59"/>
  <c r="N6" i="59"/>
  <c r="P6" i="59"/>
  <c r="T6" i="59"/>
  <c r="V6" i="59"/>
  <c r="W6" i="59"/>
  <c r="AH6" i="59"/>
  <c r="AK6" i="59"/>
  <c r="AM6" i="59"/>
  <c r="AN6" i="59"/>
  <c r="AO6" i="59"/>
  <c r="AP6" i="59"/>
  <c r="AQ6" i="59"/>
  <c r="AR6" i="59"/>
  <c r="AS6" i="59"/>
  <c r="AT6" i="59"/>
  <c r="A7" i="59"/>
  <c r="G7" i="59"/>
  <c r="N7" i="59"/>
  <c r="N7" i="59" a="1"/>
  <c r="P7" i="59"/>
  <c r="T7" i="59"/>
  <c r="AH7" i="59"/>
  <c r="AK7" i="59"/>
  <c r="AM7" i="59"/>
  <c r="AN7" i="59"/>
  <c r="AO7" i="59"/>
  <c r="AP7" i="59"/>
  <c r="AQ7" i="59"/>
  <c r="AR7" i="59"/>
  <c r="AS7" i="59"/>
  <c r="AT7" i="59"/>
  <c r="AV7" i="59"/>
  <c r="AW7" i="59"/>
  <c r="AX7" i="59"/>
  <c r="AY7" i="59"/>
  <c r="G8" i="59"/>
  <c r="N8" i="59"/>
  <c r="N8" i="59" a="1"/>
  <c r="P8" i="59"/>
  <c r="T8" i="59"/>
  <c r="V8" i="59"/>
  <c r="W8" i="59"/>
  <c r="Y8" i="59"/>
  <c r="Z8" i="59"/>
  <c r="AH8" i="59"/>
  <c r="AK8" i="59"/>
  <c r="AM8" i="59"/>
  <c r="AN8" i="59"/>
  <c r="AO8" i="59"/>
  <c r="AP8" i="59"/>
  <c r="AQ8" i="59"/>
  <c r="AR8" i="59"/>
  <c r="AS8" i="59"/>
  <c r="AT8" i="59"/>
  <c r="AV8" i="59"/>
  <c r="AW8" i="59"/>
  <c r="AX8" i="59"/>
  <c r="AY8" i="59"/>
  <c r="N9" i="59"/>
  <c r="N9" i="59" a="1"/>
  <c r="P9" i="59"/>
  <c r="AK9" i="59"/>
  <c r="AM9" i="59"/>
  <c r="AN9" i="59"/>
  <c r="AO9" i="59"/>
  <c r="AP9" i="59"/>
  <c r="AQ9" i="59"/>
  <c r="AR9" i="59"/>
  <c r="AS9" i="59"/>
  <c r="AT9" i="59"/>
  <c r="AV9" i="59"/>
  <c r="AW9" i="59"/>
  <c r="AX9" i="59"/>
  <c r="AY9" i="59"/>
  <c r="N10" i="59"/>
  <c r="P10" i="59"/>
  <c r="AH10" i="59"/>
  <c r="AM10" i="59"/>
  <c r="AN10" i="59"/>
  <c r="AO10" i="59"/>
  <c r="AP10" i="59"/>
  <c r="AQ10" i="59"/>
  <c r="AR10" i="59"/>
  <c r="AS10" i="59"/>
  <c r="AT10" i="59"/>
  <c r="AV10" i="59"/>
  <c r="AW10" i="59"/>
  <c r="AX10" i="59"/>
  <c r="AY10" i="59"/>
  <c r="D11" i="59"/>
  <c r="N11" i="59"/>
  <c r="P11" i="59"/>
  <c r="AM11" i="59"/>
  <c r="AN11" i="59"/>
  <c r="AO11" i="59"/>
  <c r="AP11" i="59"/>
  <c r="AQ11" i="59"/>
  <c r="AR11" i="59"/>
  <c r="AS11" i="59"/>
  <c r="AT11" i="59"/>
  <c r="AV11" i="59"/>
  <c r="AW11" i="59"/>
  <c r="AX11" i="59"/>
  <c r="AY11" i="59"/>
  <c r="D12" i="59"/>
  <c r="N12" i="59"/>
  <c r="P12" i="59"/>
  <c r="AH12" i="59"/>
  <c r="AM12" i="59"/>
  <c r="AN12" i="59"/>
  <c r="AO12" i="59"/>
  <c r="AP12" i="59"/>
  <c r="AQ12" i="59"/>
  <c r="AR12" i="59"/>
  <c r="AS12" i="59"/>
  <c r="AT12" i="59"/>
  <c r="AV12" i="59"/>
  <c r="AW12" i="59"/>
  <c r="AX12" i="59"/>
  <c r="AY12" i="59"/>
  <c r="N13" i="59"/>
  <c r="P13" i="59"/>
  <c r="AH13" i="59"/>
  <c r="AM13" i="59"/>
  <c r="AN13" i="59"/>
  <c r="AO13" i="59"/>
  <c r="AP13" i="59"/>
  <c r="AQ13" i="59"/>
  <c r="AR13" i="59"/>
  <c r="AS13" i="59"/>
  <c r="AT13" i="59"/>
  <c r="AV13" i="59"/>
  <c r="AW13" i="59"/>
  <c r="AX13" i="59"/>
  <c r="AY13" i="59"/>
  <c r="N14" i="59"/>
  <c r="P14" i="59"/>
  <c r="S14" i="59"/>
  <c r="T14" i="59"/>
  <c r="AM14" i="59"/>
  <c r="AN14" i="59"/>
  <c r="AO14" i="59"/>
  <c r="AP14" i="59"/>
  <c r="AQ14" i="59"/>
  <c r="AR14" i="59"/>
  <c r="AS14" i="59"/>
  <c r="AT14" i="59"/>
  <c r="AV14" i="59"/>
  <c r="AW14" i="59"/>
  <c r="AX14" i="59"/>
  <c r="AY14" i="59"/>
  <c r="N15" i="59"/>
  <c r="P15" i="59"/>
  <c r="AM15" i="59"/>
  <c r="AN15" i="59"/>
  <c r="AO15" i="59"/>
  <c r="AP15" i="59"/>
  <c r="AQ15" i="59"/>
  <c r="AR15" i="59"/>
  <c r="AS15" i="59"/>
  <c r="AT15" i="59"/>
  <c r="AV15" i="59"/>
  <c r="AW15" i="59"/>
  <c r="AX15" i="59"/>
  <c r="AY15" i="59"/>
  <c r="N16" i="59"/>
  <c r="P16" i="59"/>
  <c r="AV16" i="59"/>
  <c r="AW16" i="59"/>
  <c r="AX16" i="59"/>
  <c r="AY16" i="59"/>
  <c r="N17" i="59"/>
  <c r="P17" i="59"/>
  <c r="AV17" i="59"/>
  <c r="AW17" i="59"/>
  <c r="AX17" i="59"/>
  <c r="AY17" i="59"/>
  <c r="N18" i="59"/>
  <c r="P18" i="59"/>
  <c r="AX18" i="59"/>
  <c r="AY18" i="59"/>
  <c r="N19" i="59"/>
  <c r="P19" i="59"/>
  <c r="S20" i="59"/>
  <c r="T20" i="59"/>
  <c r="AM20" i="59"/>
  <c r="AO20" i="59"/>
  <c r="AV20" i="59"/>
  <c r="AW20" i="59"/>
  <c r="AX20" i="59"/>
  <c r="AY20" i="59"/>
  <c r="D22" i="59"/>
  <c r="F22" i="59"/>
  <c r="G22" i="59"/>
  <c r="H22" i="59"/>
  <c r="I22" i="59"/>
  <c r="K22" i="59"/>
  <c r="L22" i="59"/>
  <c r="N22" i="59"/>
  <c r="O22" i="59"/>
  <c r="P22" i="59"/>
  <c r="Q22" i="59"/>
  <c r="S22" i="59"/>
  <c r="T22" i="59"/>
  <c r="V22" i="59"/>
  <c r="X22" i="59"/>
  <c r="Y22" i="59"/>
  <c r="Z22" i="59"/>
  <c r="AA22" i="59"/>
  <c r="AB22" i="59"/>
  <c r="AC22" i="59"/>
  <c r="AF22" i="59"/>
  <c r="AG22" i="59"/>
  <c r="AH22" i="59"/>
  <c r="AI22" i="59"/>
  <c r="AJ22" i="59"/>
  <c r="AL22" i="59"/>
  <c r="AM22" i="59"/>
  <c r="AN22" i="59"/>
  <c r="AO22" i="59"/>
  <c r="AP22" i="59"/>
  <c r="AQ22" i="59"/>
  <c r="AR22" i="59"/>
  <c r="AS22" i="59"/>
  <c r="AT22" i="59"/>
  <c r="AU22" i="59"/>
  <c r="AV22" i="59"/>
  <c r="AW22" i="59"/>
  <c r="AX22" i="59"/>
  <c r="AY22" i="59"/>
  <c r="BB22" i="59"/>
  <c r="BC22" i="59"/>
  <c r="BD22" i="59"/>
  <c r="BE22" i="59"/>
  <c r="BF22" i="59"/>
  <c r="BG22" i="59"/>
  <c r="BH22" i="59"/>
  <c r="BI22" i="59"/>
  <c r="BJ22" i="59"/>
  <c r="BK22" i="59"/>
  <c r="BL22" i="59"/>
  <c r="BM22" i="59"/>
  <c r="BN22" i="59"/>
  <c r="BO22" i="59"/>
  <c r="D23" i="59"/>
  <c r="F23" i="59"/>
  <c r="G23" i="59"/>
  <c r="H23" i="59"/>
  <c r="I23" i="59"/>
  <c r="K23" i="59"/>
  <c r="L23" i="59"/>
  <c r="N23" i="59"/>
  <c r="O23" i="59"/>
  <c r="P23" i="59"/>
  <c r="Q23" i="59"/>
  <c r="S23" i="59"/>
  <c r="T23" i="59"/>
  <c r="V23" i="59"/>
  <c r="X23" i="59"/>
  <c r="Y23" i="59"/>
  <c r="Z23" i="59"/>
  <c r="AA23" i="59"/>
  <c r="AB23" i="59"/>
  <c r="AC23" i="59"/>
  <c r="AF23" i="59"/>
  <c r="AG23" i="59"/>
  <c r="AH23" i="59"/>
  <c r="AI23" i="59"/>
  <c r="AJ23" i="59"/>
  <c r="AL23" i="59"/>
  <c r="AM23" i="59"/>
  <c r="AN23" i="59"/>
  <c r="AO23" i="59"/>
  <c r="AP23" i="59"/>
  <c r="AQ23" i="59"/>
  <c r="AR23" i="59"/>
  <c r="AS23" i="59"/>
  <c r="AT23" i="59"/>
  <c r="AU23" i="59"/>
  <c r="AV23" i="59"/>
  <c r="AW23" i="59"/>
  <c r="AX23" i="59"/>
  <c r="AY23" i="59"/>
  <c r="BB23" i="59"/>
  <c r="BC23" i="59"/>
  <c r="BD23" i="59"/>
  <c r="BE23" i="59"/>
  <c r="BF23" i="59"/>
  <c r="BG23" i="59"/>
  <c r="BH23" i="59"/>
  <c r="BI23" i="59"/>
  <c r="BJ23" i="59"/>
  <c r="BK23" i="59"/>
  <c r="BL23" i="59"/>
  <c r="BM23" i="59"/>
  <c r="BN23" i="59"/>
  <c r="BO23" i="59"/>
  <c r="D24" i="59"/>
  <c r="F24" i="59"/>
  <c r="G24" i="59"/>
  <c r="H24" i="59"/>
  <c r="I24" i="59"/>
  <c r="K24" i="59"/>
  <c r="L24" i="59"/>
  <c r="N24" i="59"/>
  <c r="O24" i="59"/>
  <c r="P24" i="59"/>
  <c r="Q24" i="59"/>
  <c r="S24" i="59"/>
  <c r="T24" i="59"/>
  <c r="V24" i="59"/>
  <c r="X24" i="59"/>
  <c r="Y24" i="59"/>
  <c r="Z24" i="59"/>
  <c r="AA24" i="59"/>
  <c r="AB24" i="59"/>
  <c r="AC24" i="59"/>
  <c r="AF24" i="59"/>
  <c r="AG24" i="59"/>
  <c r="AH24" i="59"/>
  <c r="AI24" i="59"/>
  <c r="AJ24" i="59"/>
  <c r="AL24" i="59"/>
  <c r="AM24" i="59"/>
  <c r="AN24" i="59"/>
  <c r="AO24" i="59"/>
  <c r="AP24" i="59"/>
  <c r="AQ24" i="59"/>
  <c r="AR24" i="59"/>
  <c r="AS24" i="59"/>
  <c r="AT24" i="59"/>
  <c r="AU24" i="59"/>
  <c r="AV24" i="59"/>
  <c r="AW24" i="59"/>
  <c r="AX24" i="59"/>
  <c r="AY24" i="59"/>
  <c r="BB24" i="59"/>
  <c r="BC24" i="59"/>
  <c r="BD24" i="59"/>
  <c r="BE24" i="59"/>
  <c r="BF24" i="59"/>
  <c r="BG24" i="59"/>
  <c r="BH24" i="59"/>
  <c r="BI24" i="59"/>
  <c r="BJ24" i="59"/>
  <c r="BK24" i="59"/>
  <c r="BL24" i="59"/>
  <c r="BM24" i="59"/>
  <c r="BN24" i="59"/>
  <c r="BO24" i="59"/>
  <c r="D25" i="59"/>
  <c r="F25" i="59"/>
  <c r="G25" i="59"/>
  <c r="H25" i="59"/>
  <c r="I25" i="59"/>
  <c r="K25" i="59"/>
  <c r="L25" i="59"/>
  <c r="N25" i="59"/>
  <c r="O25" i="59"/>
  <c r="P25" i="59"/>
  <c r="Q25" i="59"/>
  <c r="S25" i="59"/>
  <c r="T25" i="59"/>
  <c r="V25" i="59"/>
  <c r="X25" i="59"/>
  <c r="Y25" i="59"/>
  <c r="Z25" i="59"/>
  <c r="AA25" i="59"/>
  <c r="AB25" i="59"/>
  <c r="AC25" i="59"/>
  <c r="AF25" i="59"/>
  <c r="AG25" i="59"/>
  <c r="AH25" i="59"/>
  <c r="AI25" i="59"/>
  <c r="AJ25" i="59"/>
  <c r="AL25" i="59"/>
  <c r="AM25" i="59"/>
  <c r="AN25" i="59"/>
  <c r="AO25" i="59"/>
  <c r="AP25" i="59"/>
  <c r="AQ25" i="59"/>
  <c r="AR25" i="59"/>
  <c r="AS25" i="59"/>
  <c r="AT25" i="59"/>
  <c r="AU25" i="59"/>
  <c r="AV25" i="59"/>
  <c r="AW25" i="59"/>
  <c r="AX25" i="59"/>
  <c r="AY25" i="59"/>
  <c r="BB25" i="59"/>
  <c r="BC25" i="59"/>
  <c r="BD25" i="59"/>
  <c r="BE25" i="59"/>
  <c r="BF25" i="59"/>
  <c r="BG25" i="59"/>
  <c r="BH25" i="59"/>
  <c r="BI25" i="59"/>
  <c r="BJ25" i="59"/>
  <c r="BK25" i="59"/>
  <c r="BL25" i="59"/>
  <c r="BM25" i="59"/>
  <c r="BN25" i="59"/>
  <c r="BO25" i="59"/>
  <c r="D26" i="59"/>
  <c r="F26" i="59"/>
  <c r="G26" i="59"/>
  <c r="H26" i="59"/>
  <c r="I26" i="59"/>
  <c r="K26" i="59"/>
  <c r="L26" i="59"/>
  <c r="N26" i="59"/>
  <c r="O26" i="59"/>
  <c r="P26" i="59"/>
  <c r="Q26" i="59"/>
  <c r="S26" i="59"/>
  <c r="T26" i="59"/>
  <c r="V26" i="59"/>
  <c r="X26" i="59"/>
  <c r="Y26" i="59"/>
  <c r="Z26" i="59"/>
  <c r="AA26" i="59"/>
  <c r="AB26" i="59"/>
  <c r="AC26" i="59"/>
  <c r="AF26" i="59"/>
  <c r="AG26" i="59"/>
  <c r="AH26" i="59"/>
  <c r="AI26" i="59"/>
  <c r="AJ26" i="59"/>
  <c r="AL26" i="59"/>
  <c r="AM26" i="59"/>
  <c r="AN26" i="59"/>
  <c r="AO26" i="59"/>
  <c r="AP26" i="59"/>
  <c r="AQ26" i="59"/>
  <c r="AR26" i="59"/>
  <c r="AS26" i="59"/>
  <c r="AT26" i="59"/>
  <c r="AU26" i="59"/>
  <c r="AV26" i="59"/>
  <c r="AW26" i="59"/>
  <c r="AX26" i="59"/>
  <c r="AY26" i="59"/>
  <c r="BB26" i="59"/>
  <c r="BC26" i="59"/>
  <c r="BD26" i="59"/>
  <c r="BE26" i="59"/>
  <c r="BF26" i="59"/>
  <c r="BG26" i="59"/>
  <c r="BH26" i="59"/>
  <c r="BI26" i="59"/>
  <c r="BJ26" i="59"/>
  <c r="BK26" i="59"/>
  <c r="BL26" i="59"/>
  <c r="BM26" i="59"/>
  <c r="BN26" i="59"/>
  <c r="BO26" i="59"/>
  <c r="D27" i="59"/>
  <c r="F27" i="59"/>
  <c r="G27" i="59"/>
  <c r="H27" i="59"/>
  <c r="I27" i="59"/>
  <c r="K27" i="59"/>
  <c r="L27" i="59"/>
  <c r="N27" i="59"/>
  <c r="O27" i="59"/>
  <c r="P27" i="59"/>
  <c r="Q27" i="59"/>
  <c r="S27" i="59"/>
  <c r="T27" i="59"/>
  <c r="V27" i="59"/>
  <c r="X27" i="59"/>
  <c r="Y27" i="59"/>
  <c r="Z27" i="59"/>
  <c r="AA27" i="59"/>
  <c r="AB27" i="59"/>
  <c r="AC27" i="59"/>
  <c r="AF27" i="59"/>
  <c r="AG27" i="59"/>
  <c r="AH27" i="59"/>
  <c r="AI27" i="59"/>
  <c r="AJ27" i="59"/>
  <c r="AL27" i="59"/>
  <c r="AM27" i="59"/>
  <c r="AN27" i="59"/>
  <c r="AO27" i="59"/>
  <c r="AP27" i="59"/>
  <c r="AQ27" i="59"/>
  <c r="AR27" i="59"/>
  <c r="AS27" i="59"/>
  <c r="AT27" i="59"/>
  <c r="AU27" i="59"/>
  <c r="AV27" i="59"/>
  <c r="AW27" i="59"/>
  <c r="AX27" i="59"/>
  <c r="AY27" i="59"/>
  <c r="BB27" i="59"/>
  <c r="BC27" i="59"/>
  <c r="BD27" i="59"/>
  <c r="BE27" i="59"/>
  <c r="BF27" i="59"/>
  <c r="BG27" i="59"/>
  <c r="BH27" i="59"/>
  <c r="BI27" i="59"/>
  <c r="BJ27" i="59"/>
  <c r="BK27" i="59"/>
  <c r="BL27" i="59"/>
  <c r="BM27" i="59"/>
  <c r="BN27" i="59"/>
  <c r="BO27" i="59"/>
  <c r="D28" i="59"/>
  <c r="F28" i="59"/>
  <c r="G28" i="59"/>
  <c r="H28" i="59"/>
  <c r="I28" i="59"/>
  <c r="K28" i="59"/>
  <c r="L28" i="59"/>
  <c r="N28" i="59"/>
  <c r="O28" i="59"/>
  <c r="P28" i="59"/>
  <c r="Q28" i="59"/>
  <c r="S28" i="59"/>
  <c r="T28" i="59"/>
  <c r="V28" i="59"/>
  <c r="X28" i="59"/>
  <c r="Y28" i="59"/>
  <c r="Z28" i="59"/>
  <c r="AA28" i="59"/>
  <c r="AB28" i="59"/>
  <c r="AC28" i="59"/>
  <c r="AF28" i="59"/>
  <c r="AG28" i="59"/>
  <c r="AH28" i="59"/>
  <c r="AI28" i="59"/>
  <c r="AJ28" i="59"/>
  <c r="AL28" i="59"/>
  <c r="AM28" i="59"/>
  <c r="AN28" i="59"/>
  <c r="AO28" i="59"/>
  <c r="AP28" i="59"/>
  <c r="AQ28" i="59"/>
  <c r="AR28" i="59"/>
  <c r="AS28" i="59"/>
  <c r="AT28" i="59"/>
  <c r="AU28" i="59"/>
  <c r="AV28" i="59"/>
  <c r="AW28" i="59"/>
  <c r="AX28" i="59"/>
  <c r="AY28" i="59"/>
  <c r="BB28" i="59"/>
  <c r="BC28" i="59"/>
  <c r="BD28" i="59"/>
  <c r="BE28" i="59"/>
  <c r="BF28" i="59"/>
  <c r="BG28" i="59"/>
  <c r="BH28" i="59"/>
  <c r="BI28" i="59"/>
  <c r="BJ28" i="59"/>
  <c r="BK28" i="59"/>
  <c r="BL28" i="59"/>
  <c r="BM28" i="59"/>
  <c r="BN28" i="59"/>
  <c r="BO28" i="59"/>
  <c r="D29" i="59"/>
  <c r="F29" i="59"/>
  <c r="G29" i="59"/>
  <c r="H29" i="59"/>
  <c r="I29" i="59"/>
  <c r="K29" i="59"/>
  <c r="L29" i="59"/>
  <c r="N29" i="59"/>
  <c r="O29" i="59"/>
  <c r="P29" i="59"/>
  <c r="Q29" i="59"/>
  <c r="S29" i="59"/>
  <c r="T29" i="59"/>
  <c r="V29" i="59"/>
  <c r="X29" i="59"/>
  <c r="Y29" i="59"/>
  <c r="Z29" i="59"/>
  <c r="AA29" i="59"/>
  <c r="AB29" i="59"/>
  <c r="AC29" i="59"/>
  <c r="AF29" i="59"/>
  <c r="AG29" i="59"/>
  <c r="AH29" i="59"/>
  <c r="AI29" i="59"/>
  <c r="AJ29" i="59"/>
  <c r="AL29" i="59"/>
  <c r="AM29" i="59"/>
  <c r="AN29" i="59"/>
  <c r="AO29" i="59"/>
  <c r="AP29" i="59"/>
  <c r="AQ29" i="59"/>
  <c r="AR29" i="59"/>
  <c r="AS29" i="59"/>
  <c r="AT29" i="59"/>
  <c r="AU29" i="59"/>
  <c r="AV29" i="59"/>
  <c r="AW29" i="59"/>
  <c r="AX29" i="59"/>
  <c r="AY29" i="59"/>
  <c r="BB29" i="59"/>
  <c r="BC29" i="59"/>
  <c r="BD29" i="59"/>
  <c r="BE29" i="59"/>
  <c r="BF29" i="59"/>
  <c r="BG29" i="59"/>
  <c r="BH29" i="59"/>
  <c r="BI29" i="59"/>
  <c r="BJ29" i="59"/>
  <c r="BK29" i="59"/>
  <c r="BL29" i="59"/>
  <c r="BM29" i="59"/>
  <c r="BN29" i="59"/>
  <c r="BO29" i="59"/>
  <c r="D30" i="59"/>
  <c r="F30" i="59"/>
  <c r="G30" i="59"/>
  <c r="H30" i="59"/>
  <c r="I30" i="59"/>
  <c r="K30" i="59"/>
  <c r="L30" i="59"/>
  <c r="N30" i="59"/>
  <c r="O30" i="59"/>
  <c r="P30" i="59"/>
  <c r="Q30" i="59"/>
  <c r="S30" i="59"/>
  <c r="T30" i="59"/>
  <c r="V30" i="59"/>
  <c r="X30" i="59"/>
  <c r="Y30" i="59"/>
  <c r="Z30" i="59"/>
  <c r="AA30" i="59"/>
  <c r="AB30" i="59"/>
  <c r="AC30" i="59"/>
  <c r="AF30" i="59"/>
  <c r="AG30" i="59"/>
  <c r="AH30" i="59"/>
  <c r="AI30" i="59"/>
  <c r="AJ30" i="59"/>
  <c r="AL30" i="59"/>
  <c r="AM30" i="59"/>
  <c r="AN30" i="59"/>
  <c r="AO30" i="59"/>
  <c r="AP30" i="59"/>
  <c r="AQ30" i="59"/>
  <c r="AR30" i="59"/>
  <c r="AS30" i="59"/>
  <c r="AT30" i="59"/>
  <c r="AU30" i="59"/>
  <c r="AV30" i="59"/>
  <c r="AW30" i="59"/>
  <c r="AX30" i="59"/>
  <c r="AY30" i="59"/>
  <c r="BB30" i="59"/>
  <c r="BC30" i="59"/>
  <c r="BD30" i="59"/>
  <c r="BE30" i="59"/>
  <c r="BF30" i="59"/>
  <c r="BG30" i="59"/>
  <c r="BH30" i="59"/>
  <c r="BI30" i="59"/>
  <c r="BJ30" i="59"/>
  <c r="BK30" i="59"/>
  <c r="BL30" i="59"/>
  <c r="BM30" i="59"/>
  <c r="BN30" i="59"/>
  <c r="BO30" i="59"/>
  <c r="D31" i="59"/>
  <c r="F31" i="59"/>
  <c r="G31" i="59"/>
  <c r="H31" i="59"/>
  <c r="I31" i="59"/>
  <c r="K31" i="59"/>
  <c r="L31" i="59"/>
  <c r="N31" i="59"/>
  <c r="O31" i="59"/>
  <c r="P31" i="59"/>
  <c r="Q31" i="59"/>
  <c r="S31" i="59"/>
  <c r="T31" i="59"/>
  <c r="V31" i="59"/>
  <c r="X31" i="59"/>
  <c r="Y31" i="59"/>
  <c r="Z31" i="59"/>
  <c r="AA31" i="59"/>
  <c r="AB31" i="59"/>
  <c r="AC31" i="59"/>
  <c r="AF31" i="59"/>
  <c r="AG31" i="59"/>
  <c r="AH31" i="59"/>
  <c r="AI31" i="59"/>
  <c r="AJ31" i="59"/>
  <c r="AL31" i="59"/>
  <c r="AM31" i="59"/>
  <c r="AN31" i="59"/>
  <c r="AO31" i="59"/>
  <c r="AP31" i="59"/>
  <c r="AQ31" i="59"/>
  <c r="AR31" i="59"/>
  <c r="AS31" i="59"/>
  <c r="AT31" i="59"/>
  <c r="AU31" i="59"/>
  <c r="AV31" i="59"/>
  <c r="AW31" i="59"/>
  <c r="AX31" i="59"/>
  <c r="AY31" i="59"/>
  <c r="BB31" i="59"/>
  <c r="BC31" i="59"/>
  <c r="BD31" i="59"/>
  <c r="BE31" i="59"/>
  <c r="BF31" i="59"/>
  <c r="BG31" i="59"/>
  <c r="BH31" i="59"/>
  <c r="BI31" i="59"/>
  <c r="BJ31" i="59"/>
  <c r="BK31" i="59"/>
  <c r="BL31" i="59"/>
  <c r="BM31" i="59"/>
  <c r="BN31" i="59"/>
  <c r="BO31" i="59"/>
  <c r="D32" i="59"/>
  <c r="F32" i="59"/>
  <c r="G32" i="59"/>
  <c r="H32" i="59"/>
  <c r="I32" i="59"/>
  <c r="K32" i="59"/>
  <c r="L32" i="59"/>
  <c r="N32" i="59"/>
  <c r="O32" i="59"/>
  <c r="P32" i="59"/>
  <c r="Q32" i="59"/>
  <c r="S32" i="59"/>
  <c r="T32" i="59"/>
  <c r="V32" i="59"/>
  <c r="X32" i="59"/>
  <c r="Y32" i="59"/>
  <c r="Z32" i="59"/>
  <c r="AA32" i="59"/>
  <c r="AB32" i="59"/>
  <c r="AC32" i="59"/>
  <c r="AF32" i="59"/>
  <c r="AG32" i="59"/>
  <c r="AH32" i="59"/>
  <c r="AI32" i="59"/>
  <c r="AJ32" i="59"/>
  <c r="AL32" i="59"/>
  <c r="AM32" i="59"/>
  <c r="AN32" i="59"/>
  <c r="AO32" i="59"/>
  <c r="AP32" i="59"/>
  <c r="AQ32" i="59"/>
  <c r="AR32" i="59"/>
  <c r="AS32" i="59"/>
  <c r="AT32" i="59"/>
  <c r="AU32" i="59"/>
  <c r="AV32" i="59"/>
  <c r="AW32" i="59"/>
  <c r="AX32" i="59"/>
  <c r="AY32" i="59"/>
  <c r="BB32" i="59"/>
  <c r="BC32" i="59"/>
  <c r="BD32" i="59"/>
  <c r="BE32" i="59"/>
  <c r="BF32" i="59"/>
  <c r="BG32" i="59"/>
  <c r="BH32" i="59"/>
  <c r="BI32" i="59"/>
  <c r="BJ32" i="59"/>
  <c r="BK32" i="59"/>
  <c r="BL32" i="59"/>
  <c r="BM32" i="59"/>
  <c r="BN32" i="59"/>
  <c r="BO32" i="59"/>
  <c r="D33" i="59"/>
  <c r="F33" i="59"/>
  <c r="G33" i="59"/>
  <c r="H33" i="59"/>
  <c r="I33" i="59"/>
  <c r="K33" i="59"/>
  <c r="L33" i="59"/>
  <c r="N33" i="59"/>
  <c r="O33" i="59"/>
  <c r="P33" i="59"/>
  <c r="Q33" i="59"/>
  <c r="S33" i="59"/>
  <c r="T33" i="59"/>
  <c r="V33" i="59"/>
  <c r="X33" i="59"/>
  <c r="Y33" i="59"/>
  <c r="Z33" i="59"/>
  <c r="AA33" i="59"/>
  <c r="AB33" i="59"/>
  <c r="AC33" i="59"/>
  <c r="AF33" i="59"/>
  <c r="AG33" i="59"/>
  <c r="AH33" i="59"/>
  <c r="AI33" i="59"/>
  <c r="AJ33" i="59"/>
  <c r="AL33" i="59"/>
  <c r="AM33" i="59"/>
  <c r="AN33" i="59"/>
  <c r="AO33" i="59"/>
  <c r="AP33" i="59"/>
  <c r="AQ33" i="59"/>
  <c r="AR33" i="59"/>
  <c r="AS33" i="59"/>
  <c r="AT33" i="59"/>
  <c r="AU33" i="59"/>
  <c r="AV33" i="59"/>
  <c r="AW33" i="59"/>
  <c r="AX33" i="59"/>
  <c r="AY33" i="59"/>
  <c r="BB33" i="59"/>
  <c r="BC33" i="59"/>
  <c r="BD33" i="59"/>
  <c r="BE33" i="59"/>
  <c r="BF33" i="59"/>
  <c r="BG33" i="59"/>
  <c r="BH33" i="59"/>
  <c r="BI33" i="59"/>
  <c r="BJ33" i="59"/>
  <c r="BK33" i="59"/>
  <c r="BL33" i="59"/>
  <c r="BM33" i="59"/>
  <c r="BN33" i="59"/>
  <c r="BO33" i="59"/>
  <c r="D34" i="59"/>
  <c r="F34" i="59"/>
  <c r="G34" i="59"/>
  <c r="H34" i="59"/>
  <c r="I34" i="59"/>
  <c r="K34" i="59"/>
  <c r="L34" i="59"/>
  <c r="N34" i="59"/>
  <c r="O34" i="59"/>
  <c r="P34" i="59"/>
  <c r="Q34" i="59"/>
  <c r="S34" i="59"/>
  <c r="T34" i="59"/>
  <c r="V34" i="59"/>
  <c r="X34" i="59"/>
  <c r="Y34" i="59"/>
  <c r="Z34" i="59"/>
  <c r="AA34" i="59"/>
  <c r="AB34" i="59"/>
  <c r="AC34" i="59"/>
  <c r="AF34" i="59"/>
  <c r="AG34" i="59"/>
  <c r="AH34" i="59"/>
  <c r="AI34" i="59"/>
  <c r="AJ34" i="59"/>
  <c r="AL34" i="59"/>
  <c r="AM34" i="59"/>
  <c r="AN34" i="59"/>
  <c r="AO34" i="59"/>
  <c r="AP34" i="59"/>
  <c r="AQ34" i="59"/>
  <c r="AR34" i="59"/>
  <c r="AS34" i="59"/>
  <c r="AT34" i="59"/>
  <c r="AU34" i="59"/>
  <c r="AV34" i="59"/>
  <c r="AW34" i="59"/>
  <c r="AX34" i="59"/>
  <c r="AY34" i="59"/>
  <c r="BB34" i="59"/>
  <c r="BC34" i="59"/>
  <c r="BD34" i="59"/>
  <c r="BE34" i="59"/>
  <c r="BF34" i="59"/>
  <c r="BG34" i="59"/>
  <c r="BH34" i="59"/>
  <c r="BI34" i="59"/>
  <c r="BJ34" i="59"/>
  <c r="BK34" i="59"/>
  <c r="BL34" i="59"/>
  <c r="BM34" i="59"/>
  <c r="BN34" i="59"/>
  <c r="BO34" i="59"/>
  <c r="D35" i="59"/>
  <c r="F35" i="59"/>
  <c r="G35" i="59"/>
  <c r="H35" i="59"/>
  <c r="I35" i="59"/>
  <c r="K35" i="59"/>
  <c r="L35" i="59"/>
  <c r="N35" i="59"/>
  <c r="O35" i="59"/>
  <c r="P35" i="59"/>
  <c r="Q35" i="59"/>
  <c r="S35" i="59"/>
  <c r="T35" i="59"/>
  <c r="V35" i="59"/>
  <c r="X35" i="59"/>
  <c r="Y35" i="59"/>
  <c r="Z35" i="59"/>
  <c r="AA35" i="59"/>
  <c r="AB35" i="59"/>
  <c r="AC35" i="59"/>
  <c r="AF35" i="59"/>
  <c r="AG35" i="59"/>
  <c r="AH35" i="59"/>
  <c r="AI35" i="59"/>
  <c r="AJ35" i="59"/>
  <c r="AL35" i="59"/>
  <c r="AM35" i="59"/>
  <c r="AN35" i="59"/>
  <c r="AO35" i="59"/>
  <c r="AP35" i="59"/>
  <c r="AQ35" i="59"/>
  <c r="AR35" i="59"/>
  <c r="AS35" i="59"/>
  <c r="AT35" i="59"/>
  <c r="AU35" i="59"/>
  <c r="AV35" i="59"/>
  <c r="AW35" i="59"/>
  <c r="AX35" i="59"/>
  <c r="AY35" i="59"/>
  <c r="BB35" i="59"/>
  <c r="BC35" i="59"/>
  <c r="BD35" i="59"/>
  <c r="BE35" i="59"/>
  <c r="BF35" i="59"/>
  <c r="BG35" i="59"/>
  <c r="BH35" i="59"/>
  <c r="BI35" i="59"/>
  <c r="BJ35" i="59"/>
  <c r="BK35" i="59"/>
  <c r="BL35" i="59"/>
  <c r="BM35" i="59"/>
  <c r="BN35" i="59"/>
  <c r="BO35" i="59"/>
  <c r="D36" i="59"/>
  <c r="F36" i="59"/>
  <c r="G36" i="59"/>
  <c r="H36" i="59"/>
  <c r="I36" i="59"/>
  <c r="K36" i="59"/>
  <c r="L36" i="59"/>
  <c r="N36" i="59"/>
  <c r="O36" i="59"/>
  <c r="P36" i="59"/>
  <c r="Q36" i="59"/>
  <c r="S36" i="59"/>
  <c r="T36" i="59"/>
  <c r="V36" i="59"/>
  <c r="X36" i="59"/>
  <c r="Y36" i="59"/>
  <c r="Z36" i="59"/>
  <c r="AA36" i="59"/>
  <c r="AB36" i="59"/>
  <c r="AC36" i="59"/>
  <c r="AF36" i="59"/>
  <c r="AG36" i="59"/>
  <c r="AH36" i="59"/>
  <c r="AI36" i="59"/>
  <c r="AJ36" i="59"/>
  <c r="AL36" i="59"/>
  <c r="AM36" i="59"/>
  <c r="AN36" i="59"/>
  <c r="AO36" i="59"/>
  <c r="AP36" i="59"/>
  <c r="AQ36" i="59"/>
  <c r="AR36" i="59"/>
  <c r="AS36" i="59"/>
  <c r="AT36" i="59"/>
  <c r="AU36" i="59"/>
  <c r="AV36" i="59"/>
  <c r="AW36" i="59"/>
  <c r="AX36" i="59"/>
  <c r="AY36" i="59"/>
  <c r="BB36" i="59"/>
  <c r="BC36" i="59"/>
  <c r="BD36" i="59"/>
  <c r="BE36" i="59"/>
  <c r="BF36" i="59"/>
  <c r="BG36" i="59"/>
  <c r="BH36" i="59"/>
  <c r="BI36" i="59"/>
  <c r="BJ36" i="59"/>
  <c r="BK36" i="59"/>
  <c r="BL36" i="59"/>
  <c r="BM36" i="59"/>
  <c r="BN36" i="59"/>
  <c r="BO36" i="59"/>
  <c r="D37" i="59"/>
  <c r="F37" i="59"/>
  <c r="G37" i="59"/>
  <c r="H37" i="59"/>
  <c r="I37" i="59"/>
  <c r="K37" i="59"/>
  <c r="L37" i="59"/>
  <c r="N37" i="59"/>
  <c r="O37" i="59"/>
  <c r="P37" i="59"/>
  <c r="Q37" i="59"/>
  <c r="S37" i="59"/>
  <c r="T37" i="59"/>
  <c r="V37" i="59"/>
  <c r="X37" i="59"/>
  <c r="Y37" i="59"/>
  <c r="Z37" i="59"/>
  <c r="AA37" i="59"/>
  <c r="AB37" i="59"/>
  <c r="AC37" i="59"/>
  <c r="AF37" i="59"/>
  <c r="AG37" i="59"/>
  <c r="AH37" i="59"/>
  <c r="AI37" i="59"/>
  <c r="AJ37" i="59"/>
  <c r="AL37" i="59"/>
  <c r="AM37" i="59"/>
  <c r="AN37" i="59"/>
  <c r="AO37" i="59"/>
  <c r="AP37" i="59"/>
  <c r="AQ37" i="59"/>
  <c r="AR37" i="59"/>
  <c r="AS37" i="59"/>
  <c r="AT37" i="59"/>
  <c r="AU37" i="59"/>
  <c r="AV37" i="59"/>
  <c r="AW37" i="59"/>
  <c r="AX37" i="59"/>
  <c r="AY37" i="59"/>
  <c r="BB37" i="59"/>
  <c r="BC37" i="59"/>
  <c r="BD37" i="59"/>
  <c r="BE37" i="59"/>
  <c r="BF37" i="59"/>
  <c r="BG37" i="59"/>
  <c r="BH37" i="59"/>
  <c r="BI37" i="59"/>
  <c r="BJ37" i="59"/>
  <c r="BK37" i="59"/>
  <c r="BL37" i="59"/>
  <c r="BM37" i="59"/>
  <c r="BN37" i="59"/>
  <c r="BO37" i="59"/>
  <c r="D38" i="59"/>
  <c r="F38" i="59"/>
  <c r="G38" i="59"/>
  <c r="H38" i="59"/>
  <c r="I38" i="59"/>
  <c r="K38" i="59"/>
  <c r="L38" i="59"/>
  <c r="N38" i="59"/>
  <c r="O38" i="59"/>
  <c r="P38" i="59"/>
  <c r="Q38" i="59"/>
  <c r="S38" i="59"/>
  <c r="T38" i="59"/>
  <c r="V38" i="59"/>
  <c r="X38" i="59"/>
  <c r="Y38" i="59"/>
  <c r="Z38" i="59"/>
  <c r="AA38" i="59"/>
  <c r="AB38" i="59"/>
  <c r="AC38" i="59"/>
  <c r="AF38" i="59"/>
  <c r="AG38" i="59"/>
  <c r="AH38" i="59"/>
  <c r="AI38" i="59"/>
  <c r="AJ38" i="59"/>
  <c r="AL38" i="59"/>
  <c r="AM38" i="59"/>
  <c r="AN38" i="59"/>
  <c r="AO38" i="59"/>
  <c r="AP38" i="59"/>
  <c r="AQ38" i="59"/>
  <c r="AR38" i="59"/>
  <c r="AS38" i="59"/>
  <c r="AT38" i="59"/>
  <c r="AU38" i="59"/>
  <c r="AV38" i="59"/>
  <c r="AW38" i="59"/>
  <c r="AX38" i="59"/>
  <c r="AY38" i="59"/>
  <c r="BB38" i="59"/>
  <c r="BC38" i="59"/>
  <c r="BD38" i="59"/>
  <c r="BE38" i="59"/>
  <c r="BF38" i="59"/>
  <c r="BG38" i="59"/>
  <c r="BH38" i="59"/>
  <c r="BI38" i="59"/>
  <c r="BJ38" i="59"/>
  <c r="BK38" i="59"/>
  <c r="BL38" i="59"/>
  <c r="BM38" i="59"/>
  <c r="BN38" i="59"/>
  <c r="BO38" i="59"/>
  <c r="D39" i="59"/>
  <c r="F39" i="59"/>
  <c r="G39" i="59"/>
  <c r="H39" i="59"/>
  <c r="I39" i="59"/>
  <c r="K39" i="59"/>
  <c r="L39" i="59"/>
  <c r="N39" i="59"/>
  <c r="O39" i="59"/>
  <c r="P39" i="59"/>
  <c r="Q39" i="59"/>
  <c r="S39" i="59"/>
  <c r="T39" i="59"/>
  <c r="V39" i="59"/>
  <c r="X39" i="59"/>
  <c r="Y39" i="59"/>
  <c r="Z39" i="59"/>
  <c r="AA39" i="59"/>
  <c r="AB39" i="59"/>
  <c r="AC39" i="59"/>
  <c r="AF39" i="59"/>
  <c r="AG39" i="59"/>
  <c r="AH39" i="59"/>
  <c r="AI39" i="59"/>
  <c r="AJ39" i="59"/>
  <c r="AL39" i="59"/>
  <c r="AM39" i="59"/>
  <c r="AN39" i="59"/>
  <c r="AO39" i="59"/>
  <c r="AP39" i="59"/>
  <c r="AQ39" i="59"/>
  <c r="AR39" i="59"/>
  <c r="AS39" i="59"/>
  <c r="AT39" i="59"/>
  <c r="AU39" i="59"/>
  <c r="AV39" i="59"/>
  <c r="AW39" i="59"/>
  <c r="AX39" i="59"/>
  <c r="AY39" i="59"/>
  <c r="BB39" i="59"/>
  <c r="BC39" i="59"/>
  <c r="BD39" i="59"/>
  <c r="BE39" i="59"/>
  <c r="BF39" i="59"/>
  <c r="BG39" i="59"/>
  <c r="BH39" i="59"/>
  <c r="BI39" i="59"/>
  <c r="BJ39" i="59"/>
  <c r="BK39" i="59"/>
  <c r="BL39" i="59"/>
  <c r="BM39" i="59"/>
  <c r="BN39" i="59"/>
  <c r="BO39" i="59"/>
  <c r="D40" i="59"/>
  <c r="F40" i="59"/>
  <c r="G40" i="59"/>
  <c r="H40" i="59"/>
  <c r="I40" i="59"/>
  <c r="K40" i="59"/>
  <c r="L40" i="59"/>
  <c r="N40" i="59"/>
  <c r="O40" i="59"/>
  <c r="P40" i="59"/>
  <c r="Q40" i="59"/>
  <c r="S40" i="59"/>
  <c r="T40" i="59"/>
  <c r="V40" i="59"/>
  <c r="X40" i="59"/>
  <c r="Y40" i="59"/>
  <c r="Z40" i="59"/>
  <c r="AA40" i="59"/>
  <c r="AB40" i="59"/>
  <c r="AC40" i="59"/>
  <c r="AF40" i="59"/>
  <c r="AG40" i="59"/>
  <c r="AH40" i="59"/>
  <c r="AI40" i="59"/>
  <c r="AJ40" i="59"/>
  <c r="AL40" i="59"/>
  <c r="AM40" i="59"/>
  <c r="AN40" i="59"/>
  <c r="AO40" i="59"/>
  <c r="AP40" i="59"/>
  <c r="AQ40" i="59"/>
  <c r="AR40" i="59"/>
  <c r="AS40" i="59"/>
  <c r="AT40" i="59"/>
  <c r="AU40" i="59"/>
  <c r="AV40" i="59"/>
  <c r="AW40" i="59"/>
  <c r="AX40" i="59"/>
  <c r="AY40" i="59"/>
  <c r="BB40" i="59"/>
  <c r="BC40" i="59"/>
  <c r="BD40" i="59"/>
  <c r="BE40" i="59"/>
  <c r="BF40" i="59"/>
  <c r="BG40" i="59"/>
  <c r="BH40" i="59"/>
  <c r="BI40" i="59"/>
  <c r="BJ40" i="59"/>
  <c r="BK40" i="59"/>
  <c r="BL40" i="59"/>
  <c r="BM40" i="59"/>
  <c r="BN40" i="59"/>
  <c r="BO40" i="59"/>
  <c r="D41" i="59"/>
  <c r="F41" i="59"/>
  <c r="G41" i="59"/>
  <c r="H41" i="59"/>
  <c r="I41" i="59"/>
  <c r="K41" i="59"/>
  <c r="L41" i="59"/>
  <c r="N41" i="59"/>
  <c r="O41" i="59"/>
  <c r="P41" i="59"/>
  <c r="Q41" i="59"/>
  <c r="S41" i="59"/>
  <c r="T41" i="59"/>
  <c r="V41" i="59"/>
  <c r="X41" i="59"/>
  <c r="Y41" i="59"/>
  <c r="Z41" i="59"/>
  <c r="AA41" i="59"/>
  <c r="AB41" i="59"/>
  <c r="AC41" i="59"/>
  <c r="AF41" i="59"/>
  <c r="AG41" i="59"/>
  <c r="AH41" i="59"/>
  <c r="AI41" i="59"/>
  <c r="AJ41" i="59"/>
  <c r="AL41" i="59"/>
  <c r="AM41" i="59"/>
  <c r="AN41" i="59"/>
  <c r="AO41" i="59"/>
  <c r="AP41" i="59"/>
  <c r="AQ41" i="59"/>
  <c r="AR41" i="59"/>
  <c r="AS41" i="59"/>
  <c r="AT41" i="59"/>
  <c r="AU41" i="59"/>
  <c r="AV41" i="59"/>
  <c r="AW41" i="59"/>
  <c r="AX41" i="59"/>
  <c r="AY41" i="59"/>
  <c r="BB41" i="59"/>
  <c r="BC41" i="59"/>
  <c r="BD41" i="59"/>
  <c r="BE41" i="59"/>
  <c r="BF41" i="59"/>
  <c r="BG41" i="59"/>
  <c r="BH41" i="59"/>
  <c r="BI41" i="59"/>
  <c r="BJ41" i="59"/>
  <c r="BK41" i="59"/>
  <c r="BL41" i="59"/>
  <c r="BM41" i="59"/>
  <c r="BN41" i="59"/>
  <c r="BO41" i="59"/>
  <c r="D42" i="59"/>
  <c r="F42" i="59"/>
  <c r="G42" i="59"/>
  <c r="H42" i="59"/>
  <c r="I42" i="59"/>
  <c r="K42" i="59"/>
  <c r="L42" i="59"/>
  <c r="N42" i="59"/>
  <c r="O42" i="59"/>
  <c r="P42" i="59"/>
  <c r="Q42" i="59"/>
  <c r="S42" i="59"/>
  <c r="T42" i="59"/>
  <c r="V42" i="59"/>
  <c r="X42" i="59"/>
  <c r="Y42" i="59"/>
  <c r="Z42" i="59"/>
  <c r="AA42" i="59"/>
  <c r="AB42" i="59"/>
  <c r="AC42" i="59"/>
  <c r="AF42" i="59"/>
  <c r="AG42" i="59"/>
  <c r="AH42" i="59"/>
  <c r="AI42" i="59"/>
  <c r="AJ42" i="59"/>
  <c r="AL42" i="59"/>
  <c r="AM42" i="59"/>
  <c r="AN42" i="59"/>
  <c r="AO42" i="59"/>
  <c r="AP42" i="59"/>
  <c r="AQ42" i="59"/>
  <c r="AR42" i="59"/>
  <c r="AS42" i="59"/>
  <c r="AT42" i="59"/>
  <c r="AU42" i="59"/>
  <c r="AV42" i="59"/>
  <c r="AW42" i="59"/>
  <c r="AX42" i="59"/>
  <c r="AY42" i="59"/>
  <c r="BB42" i="59"/>
  <c r="BC42" i="59"/>
  <c r="BD42" i="59"/>
  <c r="BE42" i="59"/>
  <c r="BF42" i="59"/>
  <c r="BG42" i="59"/>
  <c r="BH42" i="59"/>
  <c r="BI42" i="59"/>
  <c r="BJ42" i="59"/>
  <c r="BK42" i="59"/>
  <c r="BL42" i="59"/>
  <c r="BM42" i="59"/>
  <c r="BN42" i="59"/>
  <c r="BO42" i="59"/>
  <c r="D43" i="59"/>
  <c r="F43" i="59"/>
  <c r="G43" i="59"/>
  <c r="H43" i="59"/>
  <c r="I43" i="59"/>
  <c r="K43" i="59"/>
  <c r="L43" i="59"/>
  <c r="N43" i="59"/>
  <c r="O43" i="59"/>
  <c r="P43" i="59"/>
  <c r="Q43" i="59"/>
  <c r="S43" i="59"/>
  <c r="T43" i="59"/>
  <c r="V43" i="59"/>
  <c r="X43" i="59"/>
  <c r="Y43" i="59"/>
  <c r="Z43" i="59"/>
  <c r="AA43" i="59"/>
  <c r="AB43" i="59"/>
  <c r="AC43" i="59"/>
  <c r="AF43" i="59"/>
  <c r="AG43" i="59"/>
  <c r="AH43" i="59"/>
  <c r="AI43" i="59"/>
  <c r="AJ43" i="59"/>
  <c r="AL43" i="59"/>
  <c r="AM43" i="59"/>
  <c r="AN43" i="59"/>
  <c r="AO43" i="59"/>
  <c r="AP43" i="59"/>
  <c r="AQ43" i="59"/>
  <c r="AR43" i="59"/>
  <c r="AS43" i="59"/>
  <c r="AT43" i="59"/>
  <c r="AU43" i="59"/>
  <c r="AV43" i="59"/>
  <c r="AW43" i="59"/>
  <c r="AX43" i="59"/>
  <c r="AY43" i="59"/>
  <c r="BB43" i="59"/>
  <c r="BC43" i="59"/>
  <c r="BD43" i="59"/>
  <c r="BE43" i="59"/>
  <c r="BF43" i="59"/>
  <c r="BG43" i="59"/>
  <c r="BH43" i="59"/>
  <c r="BI43" i="59"/>
  <c r="BJ43" i="59"/>
  <c r="BK43" i="59"/>
  <c r="BL43" i="59"/>
  <c r="BM43" i="59"/>
  <c r="BN43" i="59"/>
  <c r="BO43" i="59"/>
  <c r="D44" i="59"/>
  <c r="F44" i="59"/>
  <c r="G44" i="59"/>
  <c r="H44" i="59"/>
  <c r="I44" i="59"/>
  <c r="K44" i="59"/>
  <c r="L44" i="59"/>
  <c r="N44" i="59"/>
  <c r="O44" i="59"/>
  <c r="P44" i="59"/>
  <c r="Q44" i="59"/>
  <c r="S44" i="59"/>
  <c r="T44" i="59"/>
  <c r="V44" i="59"/>
  <c r="X44" i="59"/>
  <c r="Y44" i="59"/>
  <c r="Z44" i="59"/>
  <c r="AA44" i="59"/>
  <c r="AB44" i="59"/>
  <c r="AC44" i="59"/>
  <c r="AF44" i="59"/>
  <c r="AG44" i="59"/>
  <c r="AH44" i="59"/>
  <c r="AI44" i="59"/>
  <c r="AJ44" i="59"/>
  <c r="AL44" i="59"/>
  <c r="AM44" i="59"/>
  <c r="AN44" i="59"/>
  <c r="AO44" i="59"/>
  <c r="AP44" i="59"/>
  <c r="AQ44" i="59"/>
  <c r="AR44" i="59"/>
  <c r="AS44" i="59"/>
  <c r="AT44" i="59"/>
  <c r="AU44" i="59"/>
  <c r="AV44" i="59"/>
  <c r="AW44" i="59"/>
  <c r="AX44" i="59"/>
  <c r="AY44" i="59"/>
  <c r="BB44" i="59"/>
  <c r="BC44" i="59"/>
  <c r="BD44" i="59"/>
  <c r="BE44" i="59"/>
  <c r="BF44" i="59"/>
  <c r="BG44" i="59"/>
  <c r="BH44" i="59"/>
  <c r="BI44" i="59"/>
  <c r="BJ44" i="59"/>
  <c r="BK44" i="59"/>
  <c r="BL44" i="59"/>
  <c r="BM44" i="59"/>
  <c r="BN44" i="59"/>
  <c r="BO44" i="59"/>
  <c r="D45" i="59"/>
  <c r="F45" i="59"/>
  <c r="G45" i="59"/>
  <c r="H45" i="59"/>
  <c r="I45" i="59"/>
  <c r="K45" i="59"/>
  <c r="L45" i="59"/>
  <c r="N45" i="59"/>
  <c r="O45" i="59"/>
  <c r="P45" i="59"/>
  <c r="Q45" i="59"/>
  <c r="S45" i="59"/>
  <c r="T45" i="59"/>
  <c r="V45" i="59"/>
  <c r="X45" i="59"/>
  <c r="Y45" i="59"/>
  <c r="Z45" i="59"/>
  <c r="AA45" i="59"/>
  <c r="AB45" i="59"/>
  <c r="AC45" i="59"/>
  <c r="AF45" i="59"/>
  <c r="AG45" i="59"/>
  <c r="AH45" i="59"/>
  <c r="AI45" i="59"/>
  <c r="AJ45" i="59"/>
  <c r="AL45" i="59"/>
  <c r="AM45" i="59"/>
  <c r="AN45" i="59"/>
  <c r="AO45" i="59"/>
  <c r="AP45" i="59"/>
  <c r="AQ45" i="59"/>
  <c r="AR45" i="59"/>
  <c r="AS45" i="59"/>
  <c r="AT45" i="59"/>
  <c r="AU45" i="59"/>
  <c r="AV45" i="59"/>
  <c r="AW45" i="59"/>
  <c r="AX45" i="59"/>
  <c r="AY45" i="59"/>
  <c r="BB45" i="59"/>
  <c r="BC45" i="59"/>
  <c r="BD45" i="59"/>
  <c r="BE45" i="59"/>
  <c r="BF45" i="59"/>
  <c r="BG45" i="59"/>
  <c r="BH45" i="59"/>
  <c r="BI45" i="59"/>
  <c r="BJ45" i="59"/>
  <c r="BK45" i="59"/>
  <c r="BL45" i="59"/>
  <c r="BM45" i="59"/>
  <c r="BN45" i="59"/>
  <c r="BO45" i="59"/>
  <c r="D46" i="59"/>
  <c r="F46" i="59"/>
  <c r="G46" i="59"/>
  <c r="H46" i="59"/>
  <c r="I46" i="59"/>
  <c r="K46" i="59"/>
  <c r="L46" i="59"/>
  <c r="N46" i="59"/>
  <c r="O46" i="59"/>
  <c r="P46" i="59"/>
  <c r="Q46" i="59"/>
  <c r="S46" i="59"/>
  <c r="T46" i="59"/>
  <c r="V46" i="59"/>
  <c r="X46" i="59"/>
  <c r="Y46" i="59"/>
  <c r="Z46" i="59"/>
  <c r="AA46" i="59"/>
  <c r="AB46" i="59"/>
  <c r="AC46" i="59"/>
  <c r="AF46" i="59"/>
  <c r="AG46" i="59"/>
  <c r="AH46" i="59"/>
  <c r="AI46" i="59"/>
  <c r="AJ46" i="59"/>
  <c r="AL46" i="59"/>
  <c r="AM46" i="59"/>
  <c r="AN46" i="59"/>
  <c r="AO46" i="59"/>
  <c r="AP46" i="59"/>
  <c r="AQ46" i="59"/>
  <c r="AR46" i="59"/>
  <c r="AS46" i="59"/>
  <c r="AT46" i="59"/>
  <c r="AU46" i="59"/>
  <c r="AV46" i="59"/>
  <c r="AW46" i="59"/>
  <c r="AX46" i="59"/>
  <c r="AY46" i="59"/>
  <c r="BB46" i="59"/>
  <c r="BC46" i="59"/>
  <c r="BD46" i="59"/>
  <c r="BE46" i="59"/>
  <c r="BF46" i="59"/>
  <c r="BG46" i="59"/>
  <c r="BH46" i="59"/>
  <c r="BI46" i="59"/>
  <c r="BJ46" i="59"/>
  <c r="BK46" i="59"/>
  <c r="BL46" i="59"/>
  <c r="BM46" i="59"/>
  <c r="BN46" i="59"/>
  <c r="BO46" i="59"/>
  <c r="D47" i="59"/>
  <c r="F47" i="59"/>
  <c r="G47" i="59"/>
  <c r="H47" i="59"/>
  <c r="I47" i="59"/>
  <c r="K47" i="59"/>
  <c r="L47" i="59"/>
  <c r="N47" i="59"/>
  <c r="O47" i="59"/>
  <c r="P47" i="59"/>
  <c r="Q47" i="59"/>
  <c r="S47" i="59"/>
  <c r="T47" i="59"/>
  <c r="V47" i="59"/>
  <c r="X47" i="59"/>
  <c r="Y47" i="59"/>
  <c r="Z47" i="59"/>
  <c r="AA47" i="59"/>
  <c r="AB47" i="59"/>
  <c r="AC47" i="59"/>
  <c r="AF47" i="59"/>
  <c r="AG47" i="59"/>
  <c r="AH47" i="59"/>
  <c r="AI47" i="59"/>
  <c r="AJ47" i="59"/>
  <c r="AL47" i="59"/>
  <c r="AM47" i="59"/>
  <c r="AN47" i="59"/>
  <c r="AO47" i="59"/>
  <c r="AP47" i="59"/>
  <c r="AQ47" i="59"/>
  <c r="AR47" i="59"/>
  <c r="AS47" i="59"/>
  <c r="AT47" i="59"/>
  <c r="AU47" i="59"/>
  <c r="AV47" i="59"/>
  <c r="AW47" i="59"/>
  <c r="AX47" i="59"/>
  <c r="AY47" i="59"/>
  <c r="BB47" i="59"/>
  <c r="BC47" i="59"/>
  <c r="BD47" i="59"/>
  <c r="BE47" i="59"/>
  <c r="BF47" i="59"/>
  <c r="BG47" i="59"/>
  <c r="BH47" i="59"/>
  <c r="BI47" i="59"/>
  <c r="BJ47" i="59"/>
  <c r="BK47" i="59"/>
  <c r="BL47" i="59"/>
  <c r="BM47" i="59"/>
  <c r="BN47" i="59"/>
  <c r="BO47" i="59"/>
  <c r="D48" i="59"/>
  <c r="F48" i="59"/>
  <c r="G48" i="59"/>
  <c r="H48" i="59"/>
  <c r="I48" i="59"/>
  <c r="K48" i="59"/>
  <c r="L48" i="59"/>
  <c r="N48" i="59"/>
  <c r="O48" i="59"/>
  <c r="P48" i="59"/>
  <c r="Q48" i="59"/>
  <c r="S48" i="59"/>
  <c r="T48" i="59"/>
  <c r="V48" i="59"/>
  <c r="X48" i="59"/>
  <c r="Y48" i="59"/>
  <c r="Z48" i="59"/>
  <c r="AA48" i="59"/>
  <c r="AB48" i="59"/>
  <c r="AC48" i="59"/>
  <c r="AF48" i="59"/>
  <c r="AG48" i="59"/>
  <c r="AH48" i="59"/>
  <c r="AI48" i="59"/>
  <c r="AJ48" i="59"/>
  <c r="AL48" i="59"/>
  <c r="AM48" i="59"/>
  <c r="AN48" i="59"/>
  <c r="AO48" i="59"/>
  <c r="AP48" i="59"/>
  <c r="AQ48" i="59"/>
  <c r="AR48" i="59"/>
  <c r="AS48" i="59"/>
  <c r="AT48" i="59"/>
  <c r="AU48" i="59"/>
  <c r="AV48" i="59"/>
  <c r="AW48" i="59"/>
  <c r="AX48" i="59"/>
  <c r="AY48" i="59"/>
  <c r="BB48" i="59"/>
  <c r="BC48" i="59"/>
  <c r="BD48" i="59"/>
  <c r="BE48" i="59"/>
  <c r="BF48" i="59"/>
  <c r="BG48" i="59"/>
  <c r="BH48" i="59"/>
  <c r="BI48" i="59"/>
  <c r="BJ48" i="59"/>
  <c r="BK48" i="59"/>
  <c r="BL48" i="59"/>
  <c r="BM48" i="59"/>
  <c r="BN48" i="59"/>
  <c r="BO48" i="59"/>
  <c r="D49" i="59"/>
  <c r="F49" i="59"/>
  <c r="G49" i="59"/>
  <c r="H49" i="59"/>
  <c r="I49" i="59"/>
  <c r="K49" i="59"/>
  <c r="L49" i="59"/>
  <c r="N49" i="59"/>
  <c r="O49" i="59"/>
  <c r="P49" i="59"/>
  <c r="Q49" i="59"/>
  <c r="S49" i="59"/>
  <c r="T49" i="59"/>
  <c r="V49" i="59"/>
  <c r="X49" i="59"/>
  <c r="Y49" i="59"/>
  <c r="Z49" i="59"/>
  <c r="AA49" i="59"/>
  <c r="AB49" i="59"/>
  <c r="AC49" i="59"/>
  <c r="AF49" i="59"/>
  <c r="AG49" i="59"/>
  <c r="AH49" i="59"/>
  <c r="AI49" i="59"/>
  <c r="AJ49" i="59"/>
  <c r="AL49" i="59"/>
  <c r="AM49" i="59"/>
  <c r="AN49" i="59"/>
  <c r="AO49" i="59"/>
  <c r="AP49" i="59"/>
  <c r="AQ49" i="59"/>
  <c r="AR49" i="59"/>
  <c r="AS49" i="59"/>
  <c r="AT49" i="59"/>
  <c r="AU49" i="59"/>
  <c r="AV49" i="59"/>
  <c r="AW49" i="59"/>
  <c r="AX49" i="59"/>
  <c r="AY49" i="59"/>
  <c r="BB49" i="59"/>
  <c r="BC49" i="59"/>
  <c r="BD49" i="59"/>
  <c r="BE49" i="59"/>
  <c r="BF49" i="59"/>
  <c r="BG49" i="59"/>
  <c r="BH49" i="59"/>
  <c r="BI49" i="59"/>
  <c r="BJ49" i="59"/>
  <c r="BK49" i="59"/>
  <c r="BL49" i="59"/>
  <c r="BM49" i="59"/>
  <c r="BN49" i="59"/>
  <c r="BO49" i="59"/>
  <c r="D50" i="59"/>
  <c r="F50" i="59"/>
  <c r="G50" i="59"/>
  <c r="H50" i="59"/>
  <c r="I50" i="59"/>
  <c r="K50" i="59"/>
  <c r="L50" i="59"/>
  <c r="N50" i="59"/>
  <c r="O50" i="59"/>
  <c r="P50" i="59"/>
  <c r="Q50" i="59"/>
  <c r="S50" i="59"/>
  <c r="T50" i="59"/>
  <c r="V50" i="59"/>
  <c r="X50" i="59"/>
  <c r="Y50" i="59"/>
  <c r="Z50" i="59"/>
  <c r="AA50" i="59"/>
  <c r="AB50" i="59"/>
  <c r="AC50" i="59"/>
  <c r="AF50" i="59"/>
  <c r="AG50" i="59"/>
  <c r="AH50" i="59"/>
  <c r="AI50" i="59"/>
  <c r="AJ50" i="59"/>
  <c r="AL50" i="59"/>
  <c r="AM50" i="59"/>
  <c r="AN50" i="59"/>
  <c r="AO50" i="59"/>
  <c r="AP50" i="59"/>
  <c r="AQ50" i="59"/>
  <c r="AR50" i="59"/>
  <c r="AS50" i="59"/>
  <c r="AT50" i="59"/>
  <c r="AU50" i="59"/>
  <c r="AV50" i="59"/>
  <c r="AW50" i="59"/>
  <c r="AX50" i="59"/>
  <c r="AY50" i="59"/>
  <c r="BB50" i="59"/>
  <c r="BC50" i="59"/>
  <c r="BD50" i="59"/>
  <c r="BE50" i="59"/>
  <c r="BF50" i="59"/>
  <c r="BG50" i="59"/>
  <c r="BH50" i="59"/>
  <c r="BI50" i="59"/>
  <c r="BJ50" i="59"/>
  <c r="BK50" i="59"/>
  <c r="BL50" i="59"/>
  <c r="BM50" i="59"/>
  <c r="BN50" i="59"/>
  <c r="BO50" i="59"/>
  <c r="D51" i="59"/>
  <c r="F51" i="59"/>
  <c r="G51" i="59"/>
  <c r="H51" i="59"/>
  <c r="I51" i="59"/>
  <c r="K51" i="59"/>
  <c r="L51" i="59"/>
  <c r="N51" i="59"/>
  <c r="O51" i="59"/>
  <c r="P51" i="59"/>
  <c r="Q51" i="59"/>
  <c r="S51" i="59"/>
  <c r="T51" i="59"/>
  <c r="V51" i="59"/>
  <c r="X51" i="59"/>
  <c r="Y51" i="59"/>
  <c r="Z51" i="59"/>
  <c r="AA51" i="59"/>
  <c r="AB51" i="59"/>
  <c r="AC51" i="59"/>
  <c r="AF51" i="59"/>
  <c r="AG51" i="59"/>
  <c r="AH51" i="59"/>
  <c r="AI51" i="59"/>
  <c r="AJ51" i="59"/>
  <c r="AL51" i="59"/>
  <c r="AM51" i="59"/>
  <c r="AN51" i="59"/>
  <c r="AO51" i="59"/>
  <c r="AP51" i="59"/>
  <c r="AQ51" i="59"/>
  <c r="AR51" i="59"/>
  <c r="AS51" i="59"/>
  <c r="AT51" i="59"/>
  <c r="AU51" i="59"/>
  <c r="AV51" i="59"/>
  <c r="AW51" i="59"/>
  <c r="AX51" i="59"/>
  <c r="AY51" i="59"/>
  <c r="BB51" i="59"/>
  <c r="BC51" i="59"/>
  <c r="BD51" i="59"/>
  <c r="BE51" i="59"/>
  <c r="BF51" i="59"/>
  <c r="BG51" i="59"/>
  <c r="BH51" i="59"/>
  <c r="BI51" i="59"/>
  <c r="BJ51" i="59"/>
  <c r="BK51" i="59"/>
  <c r="BL51" i="59"/>
  <c r="BM51" i="59"/>
  <c r="BN51" i="59"/>
  <c r="BO51" i="59"/>
  <c r="D52" i="59"/>
  <c r="F52" i="59"/>
  <c r="G52" i="59"/>
  <c r="H52" i="59"/>
  <c r="I52" i="59"/>
  <c r="K52" i="59"/>
  <c r="L52" i="59"/>
  <c r="N52" i="59"/>
  <c r="O52" i="59"/>
  <c r="P52" i="59"/>
  <c r="Q52" i="59"/>
  <c r="S52" i="59"/>
  <c r="T52" i="59"/>
  <c r="V52" i="59"/>
  <c r="X52" i="59"/>
  <c r="Y52" i="59"/>
  <c r="Z52" i="59"/>
  <c r="AA52" i="59"/>
  <c r="AB52" i="59"/>
  <c r="AC52" i="59"/>
  <c r="AF52" i="59"/>
  <c r="AG52" i="59"/>
  <c r="AH52" i="59"/>
  <c r="AI52" i="59"/>
  <c r="AJ52" i="59"/>
  <c r="AL52" i="59"/>
  <c r="AM52" i="59"/>
  <c r="AN52" i="59"/>
  <c r="AO52" i="59"/>
  <c r="AP52" i="59"/>
  <c r="AQ52" i="59"/>
  <c r="AR52" i="59"/>
  <c r="AS52" i="59"/>
  <c r="AT52" i="59"/>
  <c r="AU52" i="59"/>
  <c r="AV52" i="59"/>
  <c r="AW52" i="59"/>
  <c r="AX52" i="59"/>
  <c r="AY52" i="59"/>
  <c r="BB52" i="59"/>
  <c r="BC52" i="59"/>
  <c r="BD52" i="59"/>
  <c r="BE52" i="59"/>
  <c r="BF52" i="59"/>
  <c r="BG52" i="59"/>
  <c r="BH52" i="59"/>
  <c r="BI52" i="59"/>
  <c r="BJ52" i="59"/>
  <c r="BK52" i="59"/>
  <c r="BL52" i="59"/>
  <c r="BM52" i="59"/>
  <c r="BN52" i="59"/>
  <c r="BO52" i="59"/>
  <c r="D53" i="59"/>
  <c r="F53" i="59"/>
  <c r="G53" i="59"/>
  <c r="H53" i="59"/>
  <c r="I53" i="59"/>
  <c r="K53" i="59"/>
  <c r="L53" i="59"/>
  <c r="N53" i="59"/>
  <c r="O53" i="59"/>
  <c r="P53" i="59"/>
  <c r="Q53" i="59"/>
  <c r="S53" i="59"/>
  <c r="T53" i="59"/>
  <c r="V53" i="59"/>
  <c r="X53" i="59"/>
  <c r="Y53" i="59"/>
  <c r="Z53" i="59"/>
  <c r="AA53" i="59"/>
  <c r="AB53" i="59"/>
  <c r="AC53" i="59"/>
  <c r="AF53" i="59"/>
  <c r="AG53" i="59"/>
  <c r="AH53" i="59"/>
  <c r="AI53" i="59"/>
  <c r="AJ53" i="59"/>
  <c r="AL53" i="59"/>
  <c r="AM53" i="59"/>
  <c r="AN53" i="59"/>
  <c r="AO53" i="59"/>
  <c r="AP53" i="59"/>
  <c r="AQ53" i="59"/>
  <c r="AR53" i="59"/>
  <c r="AS53" i="59"/>
  <c r="AT53" i="59"/>
  <c r="AU53" i="59"/>
  <c r="AV53" i="59"/>
  <c r="AW53" i="59"/>
  <c r="AX53" i="59"/>
  <c r="AY53" i="59"/>
  <c r="BB53" i="59"/>
  <c r="BC53" i="59"/>
  <c r="BD53" i="59"/>
  <c r="BE53" i="59"/>
  <c r="BF53" i="59"/>
  <c r="BG53" i="59"/>
  <c r="BH53" i="59"/>
  <c r="BI53" i="59"/>
  <c r="BJ53" i="59"/>
  <c r="BK53" i="59"/>
  <c r="BL53" i="59"/>
  <c r="BM53" i="59"/>
  <c r="BN53" i="59"/>
  <c r="BO53" i="59"/>
  <c r="D54" i="59"/>
  <c r="F54" i="59"/>
  <c r="G54" i="59"/>
  <c r="H54" i="59"/>
  <c r="I54" i="59"/>
  <c r="K54" i="59"/>
  <c r="L54" i="59"/>
  <c r="N54" i="59"/>
  <c r="O54" i="59"/>
  <c r="P54" i="59"/>
  <c r="Q54" i="59"/>
  <c r="S54" i="59"/>
  <c r="T54" i="59"/>
  <c r="V54" i="59"/>
  <c r="X54" i="59"/>
  <c r="Y54" i="59"/>
  <c r="Z54" i="59"/>
  <c r="AA54" i="59"/>
  <c r="AB54" i="59"/>
  <c r="AC54" i="59"/>
  <c r="AF54" i="59"/>
  <c r="AG54" i="59"/>
  <c r="AH54" i="59"/>
  <c r="AI54" i="59"/>
  <c r="AJ54" i="59"/>
  <c r="AL54" i="59"/>
  <c r="AM54" i="59"/>
  <c r="AN54" i="59"/>
  <c r="AO54" i="59"/>
  <c r="AP54" i="59"/>
  <c r="AQ54" i="59"/>
  <c r="AR54" i="59"/>
  <c r="AS54" i="59"/>
  <c r="AT54" i="59"/>
  <c r="AU54" i="59"/>
  <c r="AV54" i="59"/>
  <c r="AW54" i="59"/>
  <c r="AX54" i="59"/>
  <c r="AY54" i="59"/>
  <c r="BB54" i="59"/>
  <c r="BC54" i="59"/>
  <c r="BD54" i="59"/>
  <c r="BE54" i="59"/>
  <c r="BF54" i="59"/>
  <c r="BG54" i="59"/>
  <c r="BH54" i="59"/>
  <c r="BI54" i="59"/>
  <c r="BJ54" i="59"/>
  <c r="BK54" i="59"/>
  <c r="BL54" i="59"/>
  <c r="BM54" i="59"/>
  <c r="BN54" i="59"/>
  <c r="BO54" i="59"/>
  <c r="D55" i="59"/>
  <c r="F55" i="59"/>
  <c r="G55" i="59"/>
  <c r="H55" i="59"/>
  <c r="I55" i="59"/>
  <c r="K55" i="59"/>
  <c r="L55" i="59"/>
  <c r="N55" i="59"/>
  <c r="O55" i="59"/>
  <c r="P55" i="59"/>
  <c r="Q55" i="59"/>
  <c r="S55" i="59"/>
  <c r="T55" i="59"/>
  <c r="V55" i="59"/>
  <c r="X55" i="59"/>
  <c r="Y55" i="59"/>
  <c r="Z55" i="59"/>
  <c r="AA55" i="59"/>
  <c r="AB55" i="59"/>
  <c r="AC55" i="59"/>
  <c r="AF55" i="59"/>
  <c r="AG55" i="59"/>
  <c r="AH55" i="59"/>
  <c r="AI55" i="59"/>
  <c r="AJ55" i="59"/>
  <c r="AL55" i="59"/>
  <c r="AM55" i="59"/>
  <c r="AN55" i="59"/>
  <c r="AO55" i="59"/>
  <c r="AP55" i="59"/>
  <c r="AQ55" i="59"/>
  <c r="AR55" i="59"/>
  <c r="AS55" i="59"/>
  <c r="AT55" i="59"/>
  <c r="AU55" i="59"/>
  <c r="AV55" i="59"/>
  <c r="AW55" i="59"/>
  <c r="AX55" i="59"/>
  <c r="AY55" i="59"/>
  <c r="BB55" i="59"/>
  <c r="BC55" i="59"/>
  <c r="BD55" i="59"/>
  <c r="BE55" i="59"/>
  <c r="BF55" i="59"/>
  <c r="BG55" i="59"/>
  <c r="BH55" i="59"/>
  <c r="BI55" i="59"/>
  <c r="BJ55" i="59"/>
  <c r="BK55" i="59"/>
  <c r="BL55" i="59"/>
  <c r="BM55" i="59"/>
  <c r="BN55" i="59"/>
  <c r="BO55" i="59"/>
  <c r="D56" i="59"/>
  <c r="F56" i="59"/>
  <c r="G56" i="59"/>
  <c r="H56" i="59"/>
  <c r="I56" i="59"/>
  <c r="K56" i="59"/>
  <c r="L56" i="59"/>
  <c r="N56" i="59"/>
  <c r="O56" i="59"/>
  <c r="P56" i="59"/>
  <c r="Q56" i="59"/>
  <c r="S56" i="59"/>
  <c r="T56" i="59"/>
  <c r="V56" i="59"/>
  <c r="X56" i="59"/>
  <c r="Y56" i="59"/>
  <c r="Z56" i="59"/>
  <c r="AA56" i="59"/>
  <c r="AB56" i="59"/>
  <c r="AC56" i="59"/>
  <c r="AF56" i="59"/>
  <c r="AG56" i="59"/>
  <c r="AH56" i="59"/>
  <c r="AI56" i="59"/>
  <c r="AJ56" i="59"/>
  <c r="AL56" i="59"/>
  <c r="AM56" i="59"/>
  <c r="AN56" i="59"/>
  <c r="AO56" i="59"/>
  <c r="AP56" i="59"/>
  <c r="AQ56" i="59"/>
  <c r="AR56" i="59"/>
  <c r="AS56" i="59"/>
  <c r="AT56" i="59"/>
  <c r="AU56" i="59"/>
  <c r="AV56" i="59"/>
  <c r="AW56" i="59"/>
  <c r="AX56" i="59"/>
  <c r="AY56" i="59"/>
  <c r="BB56" i="59"/>
  <c r="BC56" i="59"/>
  <c r="BD56" i="59"/>
  <c r="BE56" i="59"/>
  <c r="BF56" i="59"/>
  <c r="BG56" i="59"/>
  <c r="BH56" i="59"/>
  <c r="BI56" i="59"/>
  <c r="BJ56" i="59"/>
  <c r="BK56" i="59"/>
  <c r="BL56" i="59"/>
  <c r="BM56" i="59"/>
  <c r="BN56" i="59"/>
  <c r="BO56" i="59"/>
  <c r="D57" i="59"/>
  <c r="F57" i="59"/>
  <c r="G57" i="59"/>
  <c r="H57" i="59"/>
  <c r="I57" i="59"/>
  <c r="K57" i="59"/>
  <c r="L57" i="59"/>
  <c r="N57" i="59"/>
  <c r="O57" i="59"/>
  <c r="P57" i="59"/>
  <c r="Q57" i="59"/>
  <c r="S57" i="59"/>
  <c r="T57" i="59"/>
  <c r="V57" i="59"/>
  <c r="X57" i="59"/>
  <c r="Y57" i="59"/>
  <c r="Z57" i="59"/>
  <c r="AA57" i="59"/>
  <c r="AB57" i="59"/>
  <c r="AC57" i="59"/>
  <c r="AF57" i="59"/>
  <c r="AG57" i="59"/>
  <c r="AH57" i="59"/>
  <c r="AI57" i="59"/>
  <c r="AJ57" i="59"/>
  <c r="AL57" i="59"/>
  <c r="AM57" i="59"/>
  <c r="AN57" i="59"/>
  <c r="AO57" i="59"/>
  <c r="AP57" i="59"/>
  <c r="AQ57" i="59"/>
  <c r="AR57" i="59"/>
  <c r="AS57" i="59"/>
  <c r="AT57" i="59"/>
  <c r="AU57" i="59"/>
  <c r="AV57" i="59"/>
  <c r="AW57" i="59"/>
  <c r="AX57" i="59"/>
  <c r="AY57" i="59"/>
  <c r="BB57" i="59"/>
  <c r="BC57" i="59"/>
  <c r="BD57" i="59"/>
  <c r="BE57" i="59"/>
  <c r="BF57" i="59"/>
  <c r="BG57" i="59"/>
  <c r="BH57" i="59"/>
  <c r="BI57" i="59"/>
  <c r="BJ57" i="59"/>
  <c r="BK57" i="59"/>
  <c r="BL57" i="59"/>
  <c r="BM57" i="59"/>
  <c r="BN57" i="59"/>
  <c r="BO57" i="59"/>
  <c r="D58" i="59"/>
  <c r="F58" i="59"/>
  <c r="G58" i="59"/>
  <c r="H58" i="59"/>
  <c r="I58" i="59"/>
  <c r="K58" i="59"/>
  <c r="L58" i="59"/>
  <c r="N58" i="59"/>
  <c r="O58" i="59"/>
  <c r="P58" i="59"/>
  <c r="Q58" i="59"/>
  <c r="S58" i="59"/>
  <c r="T58" i="59"/>
  <c r="V58" i="59"/>
  <c r="X58" i="59"/>
  <c r="Y58" i="59"/>
  <c r="Z58" i="59"/>
  <c r="AA58" i="59"/>
  <c r="AB58" i="59"/>
  <c r="AC58" i="59"/>
  <c r="AF58" i="59"/>
  <c r="AG58" i="59"/>
  <c r="AH58" i="59"/>
  <c r="AI58" i="59"/>
  <c r="AJ58" i="59"/>
  <c r="AL58" i="59"/>
  <c r="AM58" i="59"/>
  <c r="AN58" i="59"/>
  <c r="AO58" i="59"/>
  <c r="AP58" i="59"/>
  <c r="AQ58" i="59"/>
  <c r="AR58" i="59"/>
  <c r="AS58" i="59"/>
  <c r="AT58" i="59"/>
  <c r="AU58" i="59"/>
  <c r="AV58" i="59"/>
  <c r="AW58" i="59"/>
  <c r="AX58" i="59"/>
  <c r="AY58" i="59"/>
  <c r="BB58" i="59"/>
  <c r="BC58" i="59"/>
  <c r="BD58" i="59"/>
  <c r="BE58" i="59"/>
  <c r="BF58" i="59"/>
  <c r="BG58" i="59"/>
  <c r="BH58" i="59"/>
  <c r="BI58" i="59"/>
  <c r="BJ58" i="59"/>
  <c r="BK58" i="59"/>
  <c r="BL58" i="59"/>
  <c r="BM58" i="59"/>
  <c r="BN58" i="59"/>
  <c r="BO58" i="59"/>
  <c r="D59" i="59"/>
  <c r="F59" i="59"/>
  <c r="G59" i="59"/>
  <c r="H59" i="59"/>
  <c r="I59" i="59"/>
  <c r="K59" i="59"/>
  <c r="L59" i="59"/>
  <c r="N59" i="59"/>
  <c r="O59" i="59"/>
  <c r="P59" i="59"/>
  <c r="Q59" i="59"/>
  <c r="S59" i="59"/>
  <c r="T59" i="59"/>
  <c r="V59" i="59"/>
  <c r="X59" i="59"/>
  <c r="Y59" i="59"/>
  <c r="Z59" i="59"/>
  <c r="AA59" i="59"/>
  <c r="AB59" i="59"/>
  <c r="AC59" i="59"/>
  <c r="AF59" i="59"/>
  <c r="AG59" i="59"/>
  <c r="AH59" i="59"/>
  <c r="AI59" i="59"/>
  <c r="AJ59" i="59"/>
  <c r="AL59" i="59"/>
  <c r="AM59" i="59"/>
  <c r="AN59" i="59"/>
  <c r="AO59" i="59"/>
  <c r="AP59" i="59"/>
  <c r="AQ59" i="59"/>
  <c r="AR59" i="59"/>
  <c r="AS59" i="59"/>
  <c r="AT59" i="59"/>
  <c r="AU59" i="59"/>
  <c r="AV59" i="59"/>
  <c r="AW59" i="59"/>
  <c r="AX59" i="59"/>
  <c r="AY59" i="59"/>
  <c r="BB59" i="59"/>
  <c r="BC59" i="59"/>
  <c r="BD59" i="59"/>
  <c r="BE59" i="59"/>
  <c r="BF59" i="59"/>
  <c r="BG59" i="59"/>
  <c r="BH59" i="59"/>
  <c r="BI59" i="59"/>
  <c r="BJ59" i="59"/>
  <c r="BK59" i="59"/>
  <c r="BL59" i="59"/>
  <c r="BM59" i="59"/>
  <c r="BN59" i="59"/>
  <c r="BO59" i="59"/>
  <c r="D60" i="59"/>
  <c r="F60" i="59"/>
  <c r="G60" i="59"/>
  <c r="H60" i="59"/>
  <c r="I60" i="59"/>
  <c r="K60" i="59"/>
  <c r="L60" i="59"/>
  <c r="N60" i="59"/>
  <c r="O60" i="59"/>
  <c r="P60" i="59"/>
  <c r="Q60" i="59"/>
  <c r="S60" i="59"/>
  <c r="T60" i="59"/>
  <c r="V60" i="59"/>
  <c r="X60" i="59"/>
  <c r="Y60" i="59"/>
  <c r="Z60" i="59"/>
  <c r="AA60" i="59"/>
  <c r="AB60" i="59"/>
  <c r="AC60" i="59"/>
  <c r="AF60" i="59"/>
  <c r="AG60" i="59"/>
  <c r="AH60" i="59"/>
  <c r="AI60" i="59"/>
  <c r="AJ60" i="59"/>
  <c r="AL60" i="59"/>
  <c r="AM60" i="59"/>
  <c r="AN60" i="59"/>
  <c r="AO60" i="59"/>
  <c r="AP60" i="59"/>
  <c r="AQ60" i="59"/>
  <c r="AR60" i="59"/>
  <c r="AS60" i="59"/>
  <c r="AT60" i="59"/>
  <c r="AU60" i="59"/>
  <c r="AV60" i="59"/>
  <c r="AW60" i="59"/>
  <c r="AX60" i="59"/>
  <c r="AY60" i="59"/>
  <c r="BB60" i="59"/>
  <c r="BC60" i="59"/>
  <c r="BD60" i="59"/>
  <c r="BE60" i="59"/>
  <c r="BF60" i="59"/>
  <c r="BG60" i="59"/>
  <c r="BH60" i="59"/>
  <c r="BI60" i="59"/>
  <c r="BJ60" i="59"/>
  <c r="BK60" i="59"/>
  <c r="BL60" i="59"/>
  <c r="BM60" i="59"/>
  <c r="BN60" i="59"/>
  <c r="BO60" i="59"/>
  <c r="D61" i="59"/>
  <c r="F61" i="59"/>
  <c r="G61" i="59"/>
  <c r="H61" i="59"/>
  <c r="I61" i="59"/>
  <c r="K61" i="59"/>
  <c r="L61" i="59"/>
  <c r="N61" i="59"/>
  <c r="O61" i="59"/>
  <c r="P61" i="59"/>
  <c r="Q61" i="59"/>
  <c r="S61" i="59"/>
  <c r="T61" i="59"/>
  <c r="V61" i="59"/>
  <c r="X61" i="59"/>
  <c r="Y61" i="59"/>
  <c r="Z61" i="59"/>
  <c r="AA61" i="59"/>
  <c r="AB61" i="59"/>
  <c r="AC61" i="59"/>
  <c r="AF61" i="59"/>
  <c r="AG61" i="59"/>
  <c r="AH61" i="59"/>
  <c r="AI61" i="59"/>
  <c r="AJ61" i="59"/>
  <c r="AL61" i="59"/>
  <c r="AM61" i="59"/>
  <c r="AN61" i="59"/>
  <c r="AO61" i="59"/>
  <c r="AP61" i="59"/>
  <c r="AQ61" i="59"/>
  <c r="AR61" i="59"/>
  <c r="AS61" i="59"/>
  <c r="AT61" i="59"/>
  <c r="AU61" i="59"/>
  <c r="AV61" i="59"/>
  <c r="AW61" i="59"/>
  <c r="AX61" i="59"/>
  <c r="AY61" i="59"/>
  <c r="BB61" i="59"/>
  <c r="BC61" i="59"/>
  <c r="BD61" i="59"/>
  <c r="BE61" i="59"/>
  <c r="BF61" i="59"/>
  <c r="BG61" i="59"/>
  <c r="BH61" i="59"/>
  <c r="BI61" i="59"/>
  <c r="BJ61" i="59"/>
  <c r="BK61" i="59"/>
  <c r="BL61" i="59"/>
  <c r="BM61" i="59"/>
  <c r="BN61" i="59"/>
  <c r="BO61" i="59"/>
  <c r="D62" i="59"/>
  <c r="F62" i="59"/>
  <c r="G62" i="59"/>
  <c r="H62" i="59"/>
  <c r="I62" i="59"/>
  <c r="K62" i="59"/>
  <c r="L62" i="59"/>
  <c r="N62" i="59"/>
  <c r="O62" i="59"/>
  <c r="P62" i="59"/>
  <c r="Q62" i="59"/>
  <c r="S62" i="59"/>
  <c r="T62" i="59"/>
  <c r="V62" i="59"/>
  <c r="X62" i="59"/>
  <c r="Y62" i="59"/>
  <c r="Z62" i="59"/>
  <c r="AA62" i="59"/>
  <c r="AB62" i="59"/>
  <c r="AC62" i="59"/>
  <c r="AF62" i="59"/>
  <c r="AG62" i="59"/>
  <c r="AH62" i="59"/>
  <c r="AI62" i="59"/>
  <c r="AJ62" i="59"/>
  <c r="AL62" i="59"/>
  <c r="AM62" i="59"/>
  <c r="AN62" i="59"/>
  <c r="AO62" i="59"/>
  <c r="AP62" i="59"/>
  <c r="AQ62" i="59"/>
  <c r="AR62" i="59"/>
  <c r="AS62" i="59"/>
  <c r="AT62" i="59"/>
  <c r="AU62" i="59"/>
  <c r="AV62" i="59"/>
  <c r="AW62" i="59"/>
  <c r="AX62" i="59"/>
  <c r="AY62" i="59"/>
  <c r="BB62" i="59"/>
  <c r="BC62" i="59"/>
  <c r="BD62" i="59"/>
  <c r="BE62" i="59"/>
  <c r="BF62" i="59"/>
  <c r="BG62" i="59"/>
  <c r="BH62" i="59"/>
  <c r="BI62" i="59"/>
  <c r="BJ62" i="59"/>
  <c r="BK62" i="59"/>
  <c r="BL62" i="59"/>
  <c r="BM62" i="59"/>
  <c r="BN62" i="59"/>
  <c r="BO62" i="59"/>
  <c r="D63" i="59"/>
  <c r="F63" i="59"/>
  <c r="G63" i="59"/>
  <c r="H63" i="59"/>
  <c r="I63" i="59"/>
  <c r="K63" i="59"/>
  <c r="L63" i="59"/>
  <c r="N63" i="59"/>
  <c r="O63" i="59"/>
  <c r="P63" i="59"/>
  <c r="Q63" i="59"/>
  <c r="S63" i="59"/>
  <c r="T63" i="59"/>
  <c r="V63" i="59"/>
  <c r="X63" i="59"/>
  <c r="Y63" i="59"/>
  <c r="Z63" i="59"/>
  <c r="AA63" i="59"/>
  <c r="AB63" i="59"/>
  <c r="AC63" i="59"/>
  <c r="AF63" i="59"/>
  <c r="AG63" i="59"/>
  <c r="AH63" i="59"/>
  <c r="AI63" i="59"/>
  <c r="AJ63" i="59"/>
  <c r="AL63" i="59"/>
  <c r="AM63" i="59"/>
  <c r="AN63" i="59"/>
  <c r="AO63" i="59"/>
  <c r="AP63" i="59"/>
  <c r="AQ63" i="59"/>
  <c r="AR63" i="59"/>
  <c r="AS63" i="59"/>
  <c r="AT63" i="59"/>
  <c r="AU63" i="59"/>
  <c r="AV63" i="59"/>
  <c r="AW63" i="59"/>
  <c r="AX63" i="59"/>
  <c r="AY63" i="59"/>
  <c r="BB63" i="59"/>
  <c r="BC63" i="59"/>
  <c r="BD63" i="59"/>
  <c r="BE63" i="59"/>
  <c r="BF63" i="59"/>
  <c r="BG63" i="59"/>
  <c r="BH63" i="59"/>
  <c r="BI63" i="59"/>
  <c r="BJ63" i="59"/>
  <c r="BK63" i="59"/>
  <c r="BL63" i="59"/>
  <c r="BM63" i="59"/>
  <c r="BN63" i="59"/>
  <c r="BO63" i="59"/>
  <c r="D64" i="59"/>
  <c r="F64" i="59"/>
  <c r="G64" i="59"/>
  <c r="H64" i="59"/>
  <c r="I64" i="59"/>
  <c r="K64" i="59"/>
  <c r="L64" i="59"/>
  <c r="N64" i="59"/>
  <c r="O64" i="59"/>
  <c r="P64" i="59"/>
  <c r="Q64" i="59"/>
  <c r="S64" i="59"/>
  <c r="T64" i="59"/>
  <c r="V64" i="59"/>
  <c r="X64" i="59"/>
  <c r="Y64" i="59"/>
  <c r="Z64" i="59"/>
  <c r="AA64" i="59"/>
  <c r="AB64" i="59"/>
  <c r="AC64" i="59"/>
  <c r="AF64" i="59"/>
  <c r="AG64" i="59"/>
  <c r="AH64" i="59"/>
  <c r="AI64" i="59"/>
  <c r="AJ64" i="59"/>
  <c r="AL64" i="59"/>
  <c r="AM64" i="59"/>
  <c r="AN64" i="59"/>
  <c r="AO64" i="59"/>
  <c r="AP64" i="59"/>
  <c r="AQ64" i="59"/>
  <c r="AR64" i="59"/>
  <c r="AS64" i="59"/>
  <c r="AT64" i="59"/>
  <c r="AU64" i="59"/>
  <c r="AV64" i="59"/>
  <c r="AW64" i="59"/>
  <c r="AX64" i="59"/>
  <c r="AY64" i="59"/>
  <c r="BB64" i="59"/>
  <c r="BC64" i="59"/>
  <c r="BD64" i="59"/>
  <c r="BE64" i="59"/>
  <c r="BF64" i="59"/>
  <c r="BG64" i="59"/>
  <c r="BH64" i="59"/>
  <c r="BI64" i="59"/>
  <c r="BJ64" i="59"/>
  <c r="BK64" i="59"/>
  <c r="BL64" i="59"/>
  <c r="BM64" i="59"/>
  <c r="BN64" i="59"/>
  <c r="BO64" i="59"/>
  <c r="D65" i="59"/>
  <c r="F65" i="59"/>
  <c r="G65" i="59"/>
  <c r="H65" i="59"/>
  <c r="I65" i="59"/>
  <c r="K65" i="59"/>
  <c r="L65" i="59"/>
  <c r="N65" i="59"/>
  <c r="O65" i="59"/>
  <c r="P65" i="59"/>
  <c r="Q65" i="59"/>
  <c r="S65" i="59"/>
  <c r="T65" i="59"/>
  <c r="V65" i="59"/>
  <c r="X65" i="59"/>
  <c r="Y65" i="59"/>
  <c r="Z65" i="59"/>
  <c r="AA65" i="59"/>
  <c r="AB65" i="59"/>
  <c r="AC65" i="59"/>
  <c r="AF65" i="59"/>
  <c r="AG65" i="59"/>
  <c r="AH65" i="59"/>
  <c r="AI65" i="59"/>
  <c r="AJ65" i="59"/>
  <c r="AL65" i="59"/>
  <c r="AM65" i="59"/>
  <c r="AN65" i="59"/>
  <c r="AO65" i="59"/>
  <c r="AP65" i="59"/>
  <c r="AQ65" i="59"/>
  <c r="AR65" i="59"/>
  <c r="AS65" i="59"/>
  <c r="AT65" i="59"/>
  <c r="AU65" i="59"/>
  <c r="AV65" i="59"/>
  <c r="AW65" i="59"/>
  <c r="AX65" i="59"/>
  <c r="AY65" i="59"/>
  <c r="BB65" i="59"/>
  <c r="BC65" i="59"/>
  <c r="BD65" i="59"/>
  <c r="BE65" i="59"/>
  <c r="BF65" i="59"/>
  <c r="BG65" i="59"/>
  <c r="BH65" i="59"/>
  <c r="BI65" i="59"/>
  <c r="BJ65" i="59"/>
  <c r="BK65" i="59"/>
  <c r="BL65" i="59"/>
  <c r="BM65" i="59"/>
  <c r="BN65" i="59"/>
  <c r="BO65" i="59"/>
  <c r="D66" i="59"/>
  <c r="F66" i="59"/>
  <c r="G66" i="59"/>
  <c r="H66" i="59"/>
  <c r="I66" i="59"/>
  <c r="K66" i="59"/>
  <c r="L66" i="59"/>
  <c r="N66" i="59"/>
  <c r="O66" i="59"/>
  <c r="P66" i="59"/>
  <c r="Q66" i="59"/>
  <c r="S66" i="59"/>
  <c r="T66" i="59"/>
  <c r="V66" i="59"/>
  <c r="X66" i="59"/>
  <c r="Y66" i="59"/>
  <c r="Z66" i="59"/>
  <c r="AA66" i="59"/>
  <c r="AB66" i="59"/>
  <c r="AC66" i="59"/>
  <c r="AF66" i="59"/>
  <c r="AG66" i="59"/>
  <c r="AH66" i="59"/>
  <c r="AI66" i="59"/>
  <c r="AJ66" i="59"/>
  <c r="AL66" i="59"/>
  <c r="AM66" i="59"/>
  <c r="AN66" i="59"/>
  <c r="AO66" i="59"/>
  <c r="AP66" i="59"/>
  <c r="AQ66" i="59"/>
  <c r="AR66" i="59"/>
  <c r="AS66" i="59"/>
  <c r="AT66" i="59"/>
  <c r="AU66" i="59"/>
  <c r="AV66" i="59"/>
  <c r="AW66" i="59"/>
  <c r="AX66" i="59"/>
  <c r="AY66" i="59"/>
  <c r="BB66" i="59"/>
  <c r="BC66" i="59"/>
  <c r="BD66" i="59"/>
  <c r="BE66" i="59"/>
  <c r="BF66" i="59"/>
  <c r="BG66" i="59"/>
  <c r="BH66" i="59"/>
  <c r="BI66" i="59"/>
  <c r="BJ66" i="59"/>
  <c r="BK66" i="59"/>
  <c r="BL66" i="59"/>
  <c r="BM66" i="59"/>
  <c r="BN66" i="59"/>
  <c r="BO66" i="59"/>
  <c r="D67" i="59"/>
  <c r="F67" i="59"/>
  <c r="G67" i="59"/>
  <c r="H67" i="59"/>
  <c r="I67" i="59"/>
  <c r="K67" i="59"/>
  <c r="L67" i="59"/>
  <c r="N67" i="59"/>
  <c r="O67" i="59"/>
  <c r="P67" i="59"/>
  <c r="Q67" i="59"/>
  <c r="S67" i="59"/>
  <c r="T67" i="59"/>
  <c r="V67" i="59"/>
  <c r="X67" i="59"/>
  <c r="Y67" i="59"/>
  <c r="Z67" i="59"/>
  <c r="AA67" i="59"/>
  <c r="AB67" i="59"/>
  <c r="AC67" i="59"/>
  <c r="AF67" i="59"/>
  <c r="AG67" i="59"/>
  <c r="AH67" i="59"/>
  <c r="AI67" i="59"/>
  <c r="AJ67" i="59"/>
  <c r="AL67" i="59"/>
  <c r="AM67" i="59"/>
  <c r="AN67" i="59"/>
  <c r="AO67" i="59"/>
  <c r="AP67" i="59"/>
  <c r="AQ67" i="59"/>
  <c r="AR67" i="59"/>
  <c r="AS67" i="59"/>
  <c r="AT67" i="59"/>
  <c r="AU67" i="59"/>
  <c r="AV67" i="59"/>
  <c r="AW67" i="59"/>
  <c r="AX67" i="59"/>
  <c r="AY67" i="59"/>
  <c r="BB67" i="59"/>
  <c r="BC67" i="59"/>
  <c r="BD67" i="59"/>
  <c r="BE67" i="59"/>
  <c r="BF67" i="59"/>
  <c r="BG67" i="59"/>
  <c r="BH67" i="59"/>
  <c r="BI67" i="59"/>
  <c r="BJ67" i="59"/>
  <c r="BK67" i="59"/>
  <c r="BL67" i="59"/>
  <c r="BM67" i="59"/>
  <c r="BN67" i="59"/>
  <c r="BO67" i="59"/>
  <c r="D68" i="59"/>
  <c r="F68" i="59"/>
  <c r="G68" i="59"/>
  <c r="H68" i="59"/>
  <c r="I68" i="59"/>
  <c r="K68" i="59"/>
  <c r="L68" i="59"/>
  <c r="N68" i="59"/>
  <c r="O68" i="59"/>
  <c r="P68" i="59"/>
  <c r="Q68" i="59"/>
  <c r="S68" i="59"/>
  <c r="T68" i="59"/>
  <c r="V68" i="59"/>
  <c r="X68" i="59"/>
  <c r="Y68" i="59"/>
  <c r="Z68" i="59"/>
  <c r="AA68" i="59"/>
  <c r="AB68" i="59"/>
  <c r="AC68" i="59"/>
  <c r="AF68" i="59"/>
  <c r="AG68" i="59"/>
  <c r="AH68" i="59"/>
  <c r="AI68" i="59"/>
  <c r="AJ68" i="59"/>
  <c r="AL68" i="59"/>
  <c r="AM68" i="59"/>
  <c r="AN68" i="59"/>
  <c r="AO68" i="59"/>
  <c r="AP68" i="59"/>
  <c r="AQ68" i="59"/>
  <c r="AR68" i="59"/>
  <c r="AS68" i="59"/>
  <c r="AT68" i="59"/>
  <c r="AU68" i="59"/>
  <c r="AV68" i="59"/>
  <c r="AW68" i="59"/>
  <c r="AX68" i="59"/>
  <c r="AY68" i="59"/>
  <c r="BB68" i="59"/>
  <c r="BC68" i="59"/>
  <c r="BD68" i="59"/>
  <c r="BE68" i="59"/>
  <c r="BF68" i="59"/>
  <c r="BG68" i="59"/>
  <c r="BH68" i="59"/>
  <c r="BI68" i="59"/>
  <c r="BJ68" i="59"/>
  <c r="BK68" i="59"/>
  <c r="BL68" i="59"/>
  <c r="BM68" i="59"/>
  <c r="BN68" i="59"/>
  <c r="BO68" i="59"/>
  <c r="D69" i="59"/>
  <c r="F69" i="59"/>
  <c r="G69" i="59"/>
  <c r="H69" i="59"/>
  <c r="I69" i="59"/>
  <c r="K69" i="59"/>
  <c r="L69" i="59"/>
  <c r="N69" i="59"/>
  <c r="O69" i="59"/>
  <c r="P69" i="59"/>
  <c r="Q69" i="59"/>
  <c r="S69" i="59"/>
  <c r="T69" i="59"/>
  <c r="V69" i="59"/>
  <c r="X69" i="59"/>
  <c r="Y69" i="59"/>
  <c r="Z69" i="59"/>
  <c r="AA69" i="59"/>
  <c r="AB69" i="59"/>
  <c r="AC69" i="59"/>
  <c r="AF69" i="59"/>
  <c r="AG69" i="59"/>
  <c r="AH69" i="59"/>
  <c r="AI69" i="59"/>
  <c r="AJ69" i="59"/>
  <c r="AL69" i="59"/>
  <c r="AM69" i="59"/>
  <c r="AN69" i="59"/>
  <c r="AO69" i="59"/>
  <c r="AP69" i="59"/>
  <c r="AQ69" i="59"/>
  <c r="AR69" i="59"/>
  <c r="AS69" i="59"/>
  <c r="AT69" i="59"/>
  <c r="AU69" i="59"/>
  <c r="AV69" i="59"/>
  <c r="AW69" i="59"/>
  <c r="AX69" i="59"/>
  <c r="AY69" i="59"/>
  <c r="BB69" i="59"/>
  <c r="BC69" i="59"/>
  <c r="BD69" i="59"/>
  <c r="BE69" i="59"/>
  <c r="BF69" i="59"/>
  <c r="BG69" i="59"/>
  <c r="BH69" i="59"/>
  <c r="BI69" i="59"/>
  <c r="BJ69" i="59"/>
  <c r="BK69" i="59"/>
  <c r="BL69" i="59"/>
  <c r="BM69" i="59"/>
  <c r="BN69" i="59"/>
  <c r="BO69" i="59"/>
  <c r="D70" i="59"/>
  <c r="F70" i="59"/>
  <c r="G70" i="59"/>
  <c r="H70" i="59"/>
  <c r="I70" i="59"/>
  <c r="K70" i="59"/>
  <c r="L70" i="59"/>
  <c r="N70" i="59"/>
  <c r="O70" i="59"/>
  <c r="P70" i="59"/>
  <c r="Q70" i="59"/>
  <c r="S70" i="59"/>
  <c r="T70" i="59"/>
  <c r="V70" i="59"/>
  <c r="X70" i="59"/>
  <c r="Y70" i="59"/>
  <c r="Z70" i="59"/>
  <c r="AA70" i="59"/>
  <c r="AB70" i="59"/>
  <c r="AC70" i="59"/>
  <c r="AF70" i="59"/>
  <c r="AG70" i="59"/>
  <c r="AH70" i="59"/>
  <c r="AI70" i="59"/>
  <c r="AJ70" i="59"/>
  <c r="AL70" i="59"/>
  <c r="AM70" i="59"/>
  <c r="AN70" i="59"/>
  <c r="AO70" i="59"/>
  <c r="AP70" i="59"/>
  <c r="AQ70" i="59"/>
  <c r="AR70" i="59"/>
  <c r="AS70" i="59"/>
  <c r="AT70" i="59"/>
  <c r="AU70" i="59"/>
  <c r="AV70" i="59"/>
  <c r="AW70" i="59"/>
  <c r="AX70" i="59"/>
  <c r="AY70" i="59"/>
  <c r="BB70" i="59"/>
  <c r="BC70" i="59"/>
  <c r="BD70" i="59"/>
  <c r="BE70" i="59"/>
  <c r="BF70" i="59"/>
  <c r="BG70" i="59"/>
  <c r="BH70" i="59"/>
  <c r="BI70" i="59"/>
  <c r="BJ70" i="59"/>
  <c r="BK70" i="59"/>
  <c r="BL70" i="59"/>
  <c r="BM70" i="59"/>
  <c r="BN70" i="59"/>
  <c r="BO70" i="59"/>
  <c r="D71" i="59"/>
  <c r="F71" i="59"/>
  <c r="G71" i="59"/>
  <c r="H71" i="59"/>
  <c r="I71" i="59"/>
  <c r="K71" i="59"/>
  <c r="L71" i="59"/>
  <c r="N71" i="59"/>
  <c r="O71" i="59"/>
  <c r="P71" i="59"/>
  <c r="Q71" i="59"/>
  <c r="S71" i="59"/>
  <c r="T71" i="59"/>
  <c r="V71" i="59"/>
  <c r="X71" i="59"/>
  <c r="Y71" i="59"/>
  <c r="Z71" i="59"/>
  <c r="AA71" i="59"/>
  <c r="AB71" i="59"/>
  <c r="AC71" i="59"/>
  <c r="AF71" i="59"/>
  <c r="AG71" i="59"/>
  <c r="AH71" i="59"/>
  <c r="AI71" i="59"/>
  <c r="AJ71" i="59"/>
  <c r="AL71" i="59"/>
  <c r="AM71" i="59"/>
  <c r="AN71" i="59"/>
  <c r="AO71" i="59"/>
  <c r="AP71" i="59"/>
  <c r="AQ71" i="59"/>
  <c r="AR71" i="59"/>
  <c r="AS71" i="59"/>
  <c r="AT71" i="59"/>
  <c r="AU71" i="59"/>
  <c r="AV71" i="59"/>
  <c r="AW71" i="59"/>
  <c r="AX71" i="59"/>
  <c r="AY71" i="59"/>
  <c r="BB71" i="59"/>
  <c r="BC71" i="59"/>
  <c r="BD71" i="59"/>
  <c r="BE71" i="59"/>
  <c r="BF71" i="59"/>
  <c r="BG71" i="59"/>
  <c r="BH71" i="59"/>
  <c r="BI71" i="59"/>
  <c r="BJ71" i="59"/>
  <c r="BK71" i="59"/>
  <c r="BL71" i="59"/>
  <c r="BM71" i="59"/>
  <c r="BN71" i="59"/>
  <c r="BO71" i="59"/>
  <c r="D72" i="59"/>
  <c r="F72" i="59"/>
  <c r="G72" i="59"/>
  <c r="H72" i="59"/>
  <c r="I72" i="59"/>
  <c r="K72" i="59"/>
  <c r="L72" i="59"/>
  <c r="N72" i="59"/>
  <c r="O72" i="59"/>
  <c r="P72" i="59"/>
  <c r="Q72" i="59"/>
  <c r="S72" i="59"/>
  <c r="T72" i="59"/>
  <c r="V72" i="59"/>
  <c r="X72" i="59"/>
  <c r="Y72" i="59"/>
  <c r="Z72" i="59"/>
  <c r="AA72" i="59"/>
  <c r="AB72" i="59"/>
  <c r="AC72" i="59"/>
  <c r="AF72" i="59"/>
  <c r="AG72" i="59"/>
  <c r="AH72" i="59"/>
  <c r="AI72" i="59"/>
  <c r="AJ72" i="59"/>
  <c r="AL72" i="59"/>
  <c r="AM72" i="59"/>
  <c r="AN72" i="59"/>
  <c r="AO72" i="59"/>
  <c r="AP72" i="59"/>
  <c r="AQ72" i="59"/>
  <c r="AR72" i="59"/>
  <c r="AS72" i="59"/>
  <c r="AT72" i="59"/>
  <c r="AU72" i="59"/>
  <c r="AV72" i="59"/>
  <c r="AW72" i="59"/>
  <c r="AX72" i="59"/>
  <c r="AY72" i="59"/>
  <c r="BB72" i="59"/>
  <c r="BC72" i="59"/>
  <c r="BD72" i="59"/>
  <c r="BE72" i="59"/>
  <c r="BF72" i="59"/>
  <c r="BG72" i="59"/>
  <c r="BH72" i="59"/>
  <c r="BI72" i="59"/>
  <c r="BJ72" i="59"/>
  <c r="BK72" i="59"/>
  <c r="BL72" i="59"/>
  <c r="BM72" i="59"/>
  <c r="BN72" i="59"/>
  <c r="BO72" i="59"/>
  <c r="D73" i="59"/>
  <c r="F73" i="59"/>
  <c r="G73" i="59"/>
  <c r="H73" i="59"/>
  <c r="I73" i="59"/>
  <c r="K73" i="59"/>
  <c r="L73" i="59"/>
  <c r="N73" i="59"/>
  <c r="O73" i="59"/>
  <c r="P73" i="59"/>
  <c r="Q73" i="59"/>
  <c r="S73" i="59"/>
  <c r="T73" i="59"/>
  <c r="V73" i="59"/>
  <c r="X73" i="59"/>
  <c r="Y73" i="59"/>
  <c r="Z73" i="59"/>
  <c r="AA73" i="59"/>
  <c r="AB73" i="59"/>
  <c r="AC73" i="59"/>
  <c r="AF73" i="59"/>
  <c r="AG73" i="59"/>
  <c r="AH73" i="59"/>
  <c r="AI73" i="59"/>
  <c r="AJ73" i="59"/>
  <c r="AL73" i="59"/>
  <c r="AM73" i="59"/>
  <c r="AN73" i="59"/>
  <c r="AO73" i="59"/>
  <c r="AP73" i="59"/>
  <c r="AQ73" i="59"/>
  <c r="AR73" i="59"/>
  <c r="AS73" i="59"/>
  <c r="AT73" i="59"/>
  <c r="AU73" i="59"/>
  <c r="AV73" i="59"/>
  <c r="AW73" i="59"/>
  <c r="AX73" i="59"/>
  <c r="AY73" i="59"/>
  <c r="BB73" i="59"/>
  <c r="BC73" i="59"/>
  <c r="BD73" i="59"/>
  <c r="BE73" i="59"/>
  <c r="BF73" i="59"/>
  <c r="BG73" i="59"/>
  <c r="BH73" i="59"/>
  <c r="BI73" i="59"/>
  <c r="BJ73" i="59"/>
  <c r="BK73" i="59"/>
  <c r="BL73" i="59"/>
  <c r="BM73" i="59"/>
  <c r="BN73" i="59"/>
  <c r="BO73" i="59"/>
  <c r="D74" i="59"/>
  <c r="F74" i="59"/>
  <c r="G74" i="59"/>
  <c r="H74" i="59"/>
  <c r="I74" i="59"/>
  <c r="K74" i="59"/>
  <c r="L74" i="59"/>
  <c r="N74" i="59"/>
  <c r="O74" i="59"/>
  <c r="P74" i="59"/>
  <c r="Q74" i="59"/>
  <c r="S74" i="59"/>
  <c r="T74" i="59"/>
  <c r="V74" i="59"/>
  <c r="X74" i="59"/>
  <c r="Y74" i="59"/>
  <c r="Z74" i="59"/>
  <c r="AA74" i="59"/>
  <c r="AB74" i="59"/>
  <c r="AC74" i="59"/>
  <c r="AF74" i="59"/>
  <c r="AG74" i="59"/>
  <c r="AH74" i="59"/>
  <c r="AI74" i="59"/>
  <c r="AJ74" i="59"/>
  <c r="AL74" i="59"/>
  <c r="AM74" i="59"/>
  <c r="AN74" i="59"/>
  <c r="AO74" i="59"/>
  <c r="AP74" i="59"/>
  <c r="AQ74" i="59"/>
  <c r="AR74" i="59"/>
  <c r="AS74" i="59"/>
  <c r="AT74" i="59"/>
  <c r="AU74" i="59"/>
  <c r="AV74" i="59"/>
  <c r="AW74" i="59"/>
  <c r="AX74" i="59"/>
  <c r="AY74" i="59"/>
  <c r="BB74" i="59"/>
  <c r="BC74" i="59"/>
  <c r="BD74" i="59"/>
  <c r="BE74" i="59"/>
  <c r="BF74" i="59"/>
  <c r="BG74" i="59"/>
  <c r="BH74" i="59"/>
  <c r="BI74" i="59"/>
  <c r="BJ74" i="59"/>
  <c r="BK74" i="59"/>
  <c r="BL74" i="59"/>
  <c r="BM74" i="59"/>
  <c r="BN74" i="59"/>
  <c r="BO74" i="59"/>
  <c r="D75" i="59"/>
  <c r="F75" i="59"/>
  <c r="G75" i="59"/>
  <c r="H75" i="59"/>
  <c r="I75" i="59"/>
  <c r="K75" i="59"/>
  <c r="L75" i="59"/>
  <c r="N75" i="59"/>
  <c r="O75" i="59"/>
  <c r="P75" i="59"/>
  <c r="Q75" i="59"/>
  <c r="S75" i="59"/>
  <c r="T75" i="59"/>
  <c r="V75" i="59"/>
  <c r="X75" i="59"/>
  <c r="Y75" i="59"/>
  <c r="Z75" i="59"/>
  <c r="AA75" i="59"/>
  <c r="AB75" i="59"/>
  <c r="AC75" i="59"/>
  <c r="AF75" i="59"/>
  <c r="AG75" i="59"/>
  <c r="AH75" i="59"/>
  <c r="AI75" i="59"/>
  <c r="AJ75" i="59"/>
  <c r="AL75" i="59"/>
  <c r="AM75" i="59"/>
  <c r="AN75" i="59"/>
  <c r="AO75" i="59"/>
  <c r="AP75" i="59"/>
  <c r="AQ75" i="59"/>
  <c r="AR75" i="59"/>
  <c r="AS75" i="59"/>
  <c r="AT75" i="59"/>
  <c r="AU75" i="59"/>
  <c r="AV75" i="59"/>
  <c r="AW75" i="59"/>
  <c r="AX75" i="59"/>
  <c r="AY75" i="59"/>
  <c r="BB75" i="59"/>
  <c r="BC75" i="59"/>
  <c r="BD75" i="59"/>
  <c r="BE75" i="59"/>
  <c r="BF75" i="59"/>
  <c r="BG75" i="59"/>
  <c r="BH75" i="59"/>
  <c r="BI75" i="59"/>
  <c r="BJ75" i="59"/>
  <c r="BK75" i="59"/>
  <c r="BL75" i="59"/>
  <c r="BM75" i="59"/>
  <c r="BN75" i="59"/>
  <c r="BO75" i="59"/>
  <c r="D76" i="59"/>
  <c r="F76" i="59"/>
  <c r="G76" i="59"/>
  <c r="H76" i="59"/>
  <c r="I76" i="59"/>
  <c r="K76" i="59"/>
  <c r="L76" i="59"/>
  <c r="N76" i="59"/>
  <c r="O76" i="59"/>
  <c r="P76" i="59"/>
  <c r="Q76" i="59"/>
  <c r="S76" i="59"/>
  <c r="T76" i="59"/>
  <c r="V76" i="59"/>
  <c r="X76" i="59"/>
  <c r="Y76" i="59"/>
  <c r="Z76" i="59"/>
  <c r="AA76" i="59"/>
  <c r="AB76" i="59"/>
  <c r="AC76" i="59"/>
  <c r="AF76" i="59"/>
  <c r="AG76" i="59"/>
  <c r="AH76" i="59"/>
  <c r="AI76" i="59"/>
  <c r="AJ76" i="59"/>
  <c r="AL76" i="59"/>
  <c r="AM76" i="59"/>
  <c r="AN76" i="59"/>
  <c r="AO76" i="59"/>
  <c r="AP76" i="59"/>
  <c r="AQ76" i="59"/>
  <c r="AR76" i="59"/>
  <c r="AS76" i="59"/>
  <c r="AT76" i="59"/>
  <c r="AU76" i="59"/>
  <c r="AV76" i="59"/>
  <c r="AW76" i="59"/>
  <c r="AX76" i="59"/>
  <c r="AY76" i="59"/>
  <c r="BB76" i="59"/>
  <c r="BC76" i="59"/>
  <c r="BD76" i="59"/>
  <c r="BE76" i="59"/>
  <c r="BF76" i="59"/>
  <c r="BG76" i="59"/>
  <c r="BH76" i="59"/>
  <c r="BI76" i="59"/>
  <c r="BJ76" i="59"/>
  <c r="BK76" i="59"/>
  <c r="BL76" i="59"/>
  <c r="BM76" i="59"/>
  <c r="BN76" i="59"/>
  <c r="BO76" i="59"/>
  <c r="D77" i="59"/>
  <c r="F77" i="59"/>
  <c r="G77" i="59"/>
  <c r="H77" i="59"/>
  <c r="I77" i="59"/>
  <c r="K77" i="59"/>
  <c r="L77" i="59"/>
  <c r="N77" i="59"/>
  <c r="O77" i="59"/>
  <c r="P77" i="59"/>
  <c r="Q77" i="59"/>
  <c r="S77" i="59"/>
  <c r="T77" i="59"/>
  <c r="V77" i="59"/>
  <c r="X77" i="59"/>
  <c r="Y77" i="59"/>
  <c r="Z77" i="59"/>
  <c r="AA77" i="59"/>
  <c r="AB77" i="59"/>
  <c r="AC77" i="59"/>
  <c r="AF77" i="59"/>
  <c r="AG77" i="59"/>
  <c r="AH77" i="59"/>
  <c r="AI77" i="59"/>
  <c r="AJ77" i="59"/>
  <c r="AL77" i="59"/>
  <c r="AM77" i="59"/>
  <c r="AN77" i="59"/>
  <c r="AO77" i="59"/>
  <c r="AP77" i="59"/>
  <c r="AQ77" i="59"/>
  <c r="AR77" i="59"/>
  <c r="AS77" i="59"/>
  <c r="AT77" i="59"/>
  <c r="AU77" i="59"/>
  <c r="AV77" i="59"/>
  <c r="AW77" i="59"/>
  <c r="AX77" i="59"/>
  <c r="AY77" i="59"/>
  <c r="BB77" i="59"/>
  <c r="BC77" i="59"/>
  <c r="BD77" i="59"/>
  <c r="BE77" i="59"/>
  <c r="BF77" i="59"/>
  <c r="BG77" i="59"/>
  <c r="BH77" i="59"/>
  <c r="BI77" i="59"/>
  <c r="BJ77" i="59"/>
  <c r="BK77" i="59"/>
  <c r="BL77" i="59"/>
  <c r="BM77" i="59"/>
  <c r="BN77" i="59"/>
  <c r="BO77" i="59"/>
  <c r="D78" i="59"/>
  <c r="F78" i="59"/>
  <c r="G78" i="59"/>
  <c r="H78" i="59"/>
  <c r="I78" i="59"/>
  <c r="K78" i="59"/>
  <c r="L78" i="59"/>
  <c r="N78" i="59"/>
  <c r="O78" i="59"/>
  <c r="P78" i="59"/>
  <c r="Q78" i="59"/>
  <c r="S78" i="59"/>
  <c r="T78" i="59"/>
  <c r="V78" i="59"/>
  <c r="X78" i="59"/>
  <c r="Y78" i="59"/>
  <c r="Z78" i="59"/>
  <c r="AA78" i="59"/>
  <c r="AB78" i="59"/>
  <c r="AC78" i="59"/>
  <c r="AF78" i="59"/>
  <c r="AG78" i="59"/>
  <c r="AH78" i="59"/>
  <c r="AI78" i="59"/>
  <c r="AJ78" i="59"/>
  <c r="AL78" i="59"/>
  <c r="AM78" i="59"/>
  <c r="AN78" i="59"/>
  <c r="AO78" i="59"/>
  <c r="AP78" i="59"/>
  <c r="AQ78" i="59"/>
  <c r="AR78" i="59"/>
  <c r="AS78" i="59"/>
  <c r="AT78" i="59"/>
  <c r="AU78" i="59"/>
  <c r="AV78" i="59"/>
  <c r="AW78" i="59"/>
  <c r="AX78" i="59"/>
  <c r="AY78" i="59"/>
  <c r="BB78" i="59"/>
  <c r="BC78" i="59"/>
  <c r="BD78" i="59"/>
  <c r="BE78" i="59"/>
  <c r="BF78" i="59"/>
  <c r="BG78" i="59"/>
  <c r="BH78" i="59"/>
  <c r="BI78" i="59"/>
  <c r="BJ78" i="59"/>
  <c r="BK78" i="59"/>
  <c r="BL78" i="59"/>
  <c r="BM78" i="59"/>
  <c r="BN78" i="59"/>
  <c r="BO78" i="59"/>
  <c r="D79" i="59"/>
  <c r="F79" i="59"/>
  <c r="G79" i="59"/>
  <c r="H79" i="59"/>
  <c r="I79" i="59"/>
  <c r="K79" i="59"/>
  <c r="L79" i="59"/>
  <c r="N79" i="59"/>
  <c r="O79" i="59"/>
  <c r="P79" i="59"/>
  <c r="Q79" i="59"/>
  <c r="S79" i="59"/>
  <c r="T79" i="59"/>
  <c r="V79" i="59"/>
  <c r="X79" i="59"/>
  <c r="Y79" i="59"/>
  <c r="Z79" i="59"/>
  <c r="AA79" i="59"/>
  <c r="AB79" i="59"/>
  <c r="AC79" i="59"/>
  <c r="AF79" i="59"/>
  <c r="AG79" i="59"/>
  <c r="AH79" i="59"/>
  <c r="AI79" i="59"/>
  <c r="AJ79" i="59"/>
  <c r="AL79" i="59"/>
  <c r="AM79" i="59"/>
  <c r="AN79" i="59"/>
  <c r="AO79" i="59"/>
  <c r="AP79" i="59"/>
  <c r="AQ79" i="59"/>
  <c r="AR79" i="59"/>
  <c r="AS79" i="59"/>
  <c r="AT79" i="59"/>
  <c r="AU79" i="59"/>
  <c r="AV79" i="59"/>
  <c r="AW79" i="59"/>
  <c r="AX79" i="59"/>
  <c r="AY79" i="59"/>
  <c r="BB79" i="59"/>
  <c r="BC79" i="59"/>
  <c r="BD79" i="59"/>
  <c r="BE79" i="59"/>
  <c r="BF79" i="59"/>
  <c r="BG79" i="59"/>
  <c r="BH79" i="59"/>
  <c r="BI79" i="59"/>
  <c r="BJ79" i="59"/>
  <c r="BK79" i="59"/>
  <c r="BL79" i="59"/>
  <c r="BM79" i="59"/>
  <c r="BN79" i="59"/>
  <c r="BO79" i="59"/>
  <c r="D80" i="59"/>
  <c r="F80" i="59"/>
  <c r="G80" i="59"/>
  <c r="H80" i="59"/>
  <c r="I80" i="59"/>
  <c r="K80" i="59"/>
  <c r="L80" i="59"/>
  <c r="N80" i="59"/>
  <c r="O80" i="59"/>
  <c r="P80" i="59"/>
  <c r="Q80" i="59"/>
  <c r="S80" i="59"/>
  <c r="T80" i="59"/>
  <c r="V80" i="59"/>
  <c r="X80" i="59"/>
  <c r="Y80" i="59"/>
  <c r="Z80" i="59"/>
  <c r="AA80" i="59"/>
  <c r="AB80" i="59"/>
  <c r="AC80" i="59"/>
  <c r="AF80" i="59"/>
  <c r="AG80" i="59"/>
  <c r="AH80" i="59"/>
  <c r="AI80" i="59"/>
  <c r="AJ80" i="59"/>
  <c r="AL80" i="59"/>
  <c r="AM80" i="59"/>
  <c r="AN80" i="59"/>
  <c r="AO80" i="59"/>
  <c r="AP80" i="59"/>
  <c r="AQ80" i="59"/>
  <c r="AR80" i="59"/>
  <c r="AS80" i="59"/>
  <c r="AT80" i="59"/>
  <c r="AU80" i="59"/>
  <c r="AV80" i="59"/>
  <c r="AW80" i="59"/>
  <c r="AX80" i="59"/>
  <c r="AY80" i="59"/>
  <c r="BB80" i="59"/>
  <c r="BC80" i="59"/>
  <c r="BD80" i="59"/>
  <c r="BE80" i="59"/>
  <c r="BF80" i="59"/>
  <c r="BG80" i="59"/>
  <c r="BH80" i="59"/>
  <c r="BI80" i="59"/>
  <c r="BJ80" i="59"/>
  <c r="BK80" i="59"/>
  <c r="BL80" i="59"/>
  <c r="BM80" i="59"/>
  <c r="BN80" i="59"/>
  <c r="BO80" i="59"/>
  <c r="D81" i="59"/>
  <c r="F81" i="59"/>
  <c r="G81" i="59"/>
  <c r="H81" i="59"/>
  <c r="I81" i="59"/>
  <c r="K81" i="59"/>
  <c r="L81" i="59"/>
  <c r="N81" i="59"/>
  <c r="O81" i="59"/>
  <c r="P81" i="59"/>
  <c r="Q81" i="59"/>
  <c r="S81" i="59"/>
  <c r="T81" i="59"/>
  <c r="V81" i="59"/>
  <c r="X81" i="59"/>
  <c r="Y81" i="59"/>
  <c r="Z81" i="59"/>
  <c r="AA81" i="59"/>
  <c r="AB81" i="59"/>
  <c r="AC81" i="59"/>
  <c r="AF81" i="59"/>
  <c r="AG81" i="59"/>
  <c r="AH81" i="59"/>
  <c r="AI81" i="59"/>
  <c r="AJ81" i="59"/>
  <c r="AL81" i="59"/>
  <c r="AM81" i="59"/>
  <c r="AN81" i="59"/>
  <c r="AO81" i="59"/>
  <c r="AP81" i="59"/>
  <c r="AQ81" i="59"/>
  <c r="AR81" i="59"/>
  <c r="AS81" i="59"/>
  <c r="AT81" i="59"/>
  <c r="AU81" i="59"/>
  <c r="AV81" i="59"/>
  <c r="AW81" i="59"/>
  <c r="AX81" i="59"/>
  <c r="AY81" i="59"/>
  <c r="BB81" i="59"/>
  <c r="BC81" i="59"/>
  <c r="BD81" i="59"/>
  <c r="BE81" i="59"/>
  <c r="BF81" i="59"/>
  <c r="BG81" i="59"/>
  <c r="BH81" i="59"/>
  <c r="BI81" i="59"/>
  <c r="BJ81" i="59"/>
  <c r="BK81" i="59"/>
  <c r="BL81" i="59"/>
  <c r="BM81" i="59"/>
  <c r="BN81" i="59"/>
  <c r="BO81" i="59"/>
  <c r="D82" i="59"/>
  <c r="F82" i="59"/>
  <c r="G82" i="59"/>
  <c r="H82" i="59"/>
  <c r="I82" i="59"/>
  <c r="K82" i="59"/>
  <c r="L82" i="59"/>
  <c r="N82" i="59"/>
  <c r="O82" i="59"/>
  <c r="P82" i="59"/>
  <c r="Q82" i="59"/>
  <c r="S82" i="59"/>
  <c r="T82" i="59"/>
  <c r="V82" i="59"/>
  <c r="X82" i="59"/>
  <c r="Y82" i="59"/>
  <c r="Z82" i="59"/>
  <c r="AA82" i="59"/>
  <c r="AB82" i="59"/>
  <c r="AC82" i="59"/>
  <c r="AF82" i="59"/>
  <c r="AG82" i="59"/>
  <c r="AH82" i="59"/>
  <c r="AI82" i="59"/>
  <c r="AJ82" i="59"/>
  <c r="AL82" i="59"/>
  <c r="AM82" i="59"/>
  <c r="AN82" i="59"/>
  <c r="AO82" i="59"/>
  <c r="AP82" i="59"/>
  <c r="AQ82" i="59"/>
  <c r="AR82" i="59"/>
  <c r="AS82" i="59"/>
  <c r="AT82" i="59"/>
  <c r="AU82" i="59"/>
  <c r="AV82" i="59"/>
  <c r="AW82" i="59"/>
  <c r="AX82" i="59"/>
  <c r="AY82" i="59"/>
  <c r="BB82" i="59"/>
  <c r="BC82" i="59"/>
  <c r="BD82" i="59"/>
  <c r="BE82" i="59"/>
  <c r="BF82" i="59"/>
  <c r="BG82" i="59"/>
  <c r="BH82" i="59"/>
  <c r="BI82" i="59"/>
  <c r="BJ82" i="59"/>
  <c r="BK82" i="59"/>
  <c r="BL82" i="59"/>
  <c r="BM82" i="59"/>
  <c r="BN82" i="59"/>
  <c r="BO82" i="59"/>
  <c r="D83" i="59"/>
  <c r="F83" i="59"/>
  <c r="G83" i="59"/>
  <c r="H83" i="59"/>
  <c r="I83" i="59"/>
  <c r="K83" i="59"/>
  <c r="L83" i="59"/>
  <c r="N83" i="59"/>
  <c r="O83" i="59"/>
  <c r="P83" i="59"/>
  <c r="Q83" i="59"/>
  <c r="S83" i="59"/>
  <c r="T83" i="59"/>
  <c r="V83" i="59"/>
  <c r="X83" i="59"/>
  <c r="Y83" i="59"/>
  <c r="Z83" i="59"/>
  <c r="AA83" i="59"/>
  <c r="AB83" i="59"/>
  <c r="AC83" i="59"/>
  <c r="AF83" i="59"/>
  <c r="AG83" i="59"/>
  <c r="AH83" i="59"/>
  <c r="AI83" i="59"/>
  <c r="AJ83" i="59"/>
  <c r="AL83" i="59"/>
  <c r="AM83" i="59"/>
  <c r="AN83" i="59"/>
  <c r="AO83" i="59"/>
  <c r="AP83" i="59"/>
  <c r="AQ83" i="59"/>
  <c r="AR83" i="59"/>
  <c r="AS83" i="59"/>
  <c r="AT83" i="59"/>
  <c r="AU83" i="59"/>
  <c r="AV83" i="59"/>
  <c r="AW83" i="59"/>
  <c r="AX83" i="59"/>
  <c r="AY83" i="59"/>
  <c r="BB83" i="59"/>
  <c r="BC83" i="59"/>
  <c r="BD83" i="59"/>
  <c r="BE83" i="59"/>
  <c r="BF83" i="59"/>
  <c r="BG83" i="59"/>
  <c r="BH83" i="59"/>
  <c r="BI83" i="59"/>
  <c r="BJ83" i="59"/>
  <c r="BK83" i="59"/>
  <c r="BL83" i="59"/>
  <c r="BM83" i="59"/>
  <c r="BN83" i="59"/>
  <c r="BO83" i="59"/>
  <c r="D84" i="59"/>
  <c r="F84" i="59"/>
  <c r="G84" i="59"/>
  <c r="H84" i="59"/>
  <c r="I84" i="59"/>
  <c r="K84" i="59"/>
  <c r="L84" i="59"/>
  <c r="N84" i="59"/>
  <c r="O84" i="59"/>
  <c r="P84" i="59"/>
  <c r="Q84" i="59"/>
  <c r="S84" i="59"/>
  <c r="T84" i="59"/>
  <c r="V84" i="59"/>
  <c r="X84" i="59"/>
  <c r="Y84" i="59"/>
  <c r="Z84" i="59"/>
  <c r="AA84" i="59"/>
  <c r="AB84" i="59"/>
  <c r="AC84" i="59"/>
  <c r="AF84" i="59"/>
  <c r="AG84" i="59"/>
  <c r="AH84" i="59"/>
  <c r="AI84" i="59"/>
  <c r="AJ84" i="59"/>
  <c r="AL84" i="59"/>
  <c r="AM84" i="59"/>
  <c r="AN84" i="59"/>
  <c r="AO84" i="59"/>
  <c r="AP84" i="59"/>
  <c r="AQ84" i="59"/>
  <c r="AR84" i="59"/>
  <c r="AS84" i="59"/>
  <c r="AT84" i="59"/>
  <c r="AU84" i="59"/>
  <c r="AV84" i="59"/>
  <c r="AW84" i="59"/>
  <c r="AX84" i="59"/>
  <c r="AY84" i="59"/>
  <c r="BB84" i="59"/>
  <c r="BC84" i="59"/>
  <c r="BD84" i="59"/>
  <c r="BE84" i="59"/>
  <c r="BF84" i="59"/>
  <c r="BG84" i="59"/>
  <c r="BH84" i="59"/>
  <c r="BI84" i="59"/>
  <c r="BJ84" i="59"/>
  <c r="BK84" i="59"/>
  <c r="BL84" i="59"/>
  <c r="BM84" i="59"/>
  <c r="BN84" i="59"/>
  <c r="BO84" i="59"/>
  <c r="D85" i="59"/>
  <c r="F85" i="59"/>
  <c r="G85" i="59"/>
  <c r="H85" i="59"/>
  <c r="I85" i="59"/>
  <c r="K85" i="59"/>
  <c r="L85" i="59"/>
  <c r="N85" i="59"/>
  <c r="O85" i="59"/>
  <c r="P85" i="59"/>
  <c r="Q85" i="59"/>
  <c r="S85" i="59"/>
  <c r="T85" i="59"/>
  <c r="V85" i="59"/>
  <c r="X85" i="59"/>
  <c r="Y85" i="59"/>
  <c r="Z85" i="59"/>
  <c r="AA85" i="59"/>
  <c r="AB85" i="59"/>
  <c r="AC85" i="59"/>
  <c r="AF85" i="59"/>
  <c r="AG85" i="59"/>
  <c r="AH85" i="59"/>
  <c r="AI85" i="59"/>
  <c r="AJ85" i="59"/>
  <c r="AL85" i="59"/>
  <c r="AM85" i="59"/>
  <c r="AN85" i="59"/>
  <c r="AO85" i="59"/>
  <c r="AP85" i="59"/>
  <c r="AQ85" i="59"/>
  <c r="AR85" i="59"/>
  <c r="AS85" i="59"/>
  <c r="AT85" i="59"/>
  <c r="AU85" i="59"/>
  <c r="AV85" i="59"/>
  <c r="AW85" i="59"/>
  <c r="AX85" i="59"/>
  <c r="AY85" i="59"/>
  <c r="BB85" i="59"/>
  <c r="BC85" i="59"/>
  <c r="BD85" i="59"/>
  <c r="BE85" i="59"/>
  <c r="BF85" i="59"/>
  <c r="BG85" i="59"/>
  <c r="BH85" i="59"/>
  <c r="BI85" i="59"/>
  <c r="BJ85" i="59"/>
  <c r="BK85" i="59"/>
  <c r="BL85" i="59"/>
  <c r="BM85" i="59"/>
  <c r="BN85" i="59"/>
  <c r="BO85" i="59"/>
  <c r="D86" i="59"/>
  <c r="F86" i="59"/>
  <c r="G86" i="59"/>
  <c r="H86" i="59"/>
  <c r="I86" i="59"/>
  <c r="K86" i="59"/>
  <c r="L86" i="59"/>
  <c r="N86" i="59"/>
  <c r="O86" i="59"/>
  <c r="P86" i="59"/>
  <c r="Q86" i="59"/>
  <c r="S86" i="59"/>
  <c r="T86" i="59"/>
  <c r="V86" i="59"/>
  <c r="X86" i="59"/>
  <c r="Y86" i="59"/>
  <c r="Z86" i="59"/>
  <c r="AA86" i="59"/>
  <c r="AB86" i="59"/>
  <c r="AC86" i="59"/>
  <c r="AF86" i="59"/>
  <c r="AG86" i="59"/>
  <c r="AH86" i="59"/>
  <c r="AI86" i="59"/>
  <c r="AJ86" i="59"/>
  <c r="AL86" i="59"/>
  <c r="AM86" i="59"/>
  <c r="AN86" i="59"/>
  <c r="AO86" i="59"/>
  <c r="AP86" i="59"/>
  <c r="AQ86" i="59"/>
  <c r="AR86" i="59"/>
  <c r="AS86" i="59"/>
  <c r="AT86" i="59"/>
  <c r="AU86" i="59"/>
  <c r="AV86" i="59"/>
  <c r="AW86" i="59"/>
  <c r="AX86" i="59"/>
  <c r="AY86" i="59"/>
  <c r="BB86" i="59"/>
  <c r="BC86" i="59"/>
  <c r="BD86" i="59"/>
  <c r="BE86" i="59"/>
  <c r="BF86" i="59"/>
  <c r="BG86" i="59"/>
  <c r="BH86" i="59"/>
  <c r="BI86" i="59"/>
  <c r="BJ86" i="59"/>
  <c r="BK86" i="59"/>
  <c r="BL86" i="59"/>
  <c r="BM86" i="59"/>
  <c r="BN86" i="59"/>
  <c r="BO86" i="59"/>
  <c r="D87" i="59"/>
  <c r="F87" i="59"/>
  <c r="G87" i="59"/>
  <c r="H87" i="59"/>
  <c r="I87" i="59"/>
  <c r="K87" i="59"/>
  <c r="L87" i="59"/>
  <c r="N87" i="59"/>
  <c r="O87" i="59"/>
  <c r="P87" i="59"/>
  <c r="Q87" i="59"/>
  <c r="S87" i="59"/>
  <c r="T87" i="59"/>
  <c r="V87" i="59"/>
  <c r="X87" i="59"/>
  <c r="Y87" i="59"/>
  <c r="Z87" i="59"/>
  <c r="AA87" i="59"/>
  <c r="AB87" i="59"/>
  <c r="AC87" i="59"/>
  <c r="AF87" i="59"/>
  <c r="AG87" i="59"/>
  <c r="AH87" i="59"/>
  <c r="AI87" i="59"/>
  <c r="AJ87" i="59"/>
  <c r="AL87" i="59"/>
  <c r="AM87" i="59"/>
  <c r="AN87" i="59"/>
  <c r="AO87" i="59"/>
  <c r="AP87" i="59"/>
  <c r="AQ87" i="59"/>
  <c r="AR87" i="59"/>
  <c r="AS87" i="59"/>
  <c r="AT87" i="59"/>
  <c r="AU87" i="59"/>
  <c r="AV87" i="59"/>
  <c r="AW87" i="59"/>
  <c r="AX87" i="59"/>
  <c r="AY87" i="59"/>
  <c r="BB87" i="59"/>
  <c r="BC87" i="59"/>
  <c r="BD87" i="59"/>
  <c r="BE87" i="59"/>
  <c r="BF87" i="59"/>
  <c r="BG87" i="59"/>
  <c r="BH87" i="59"/>
  <c r="BI87" i="59"/>
  <c r="BJ87" i="59"/>
  <c r="BK87" i="59"/>
  <c r="BL87" i="59"/>
  <c r="BM87" i="59"/>
  <c r="BN87" i="59"/>
  <c r="BO87" i="59"/>
  <c r="D88" i="59"/>
  <c r="F88" i="59"/>
  <c r="G88" i="59"/>
  <c r="H88" i="59"/>
  <c r="I88" i="59"/>
  <c r="K88" i="59"/>
  <c r="L88" i="59"/>
  <c r="N88" i="59"/>
  <c r="O88" i="59"/>
  <c r="P88" i="59"/>
  <c r="Q88" i="59"/>
  <c r="S88" i="59"/>
  <c r="T88" i="59"/>
  <c r="V88" i="59"/>
  <c r="X88" i="59"/>
  <c r="Y88" i="59"/>
  <c r="Z88" i="59"/>
  <c r="AA88" i="59"/>
  <c r="AB88" i="59"/>
  <c r="AC88" i="59"/>
  <c r="AF88" i="59"/>
  <c r="AG88" i="59"/>
  <c r="AH88" i="59"/>
  <c r="AI88" i="59"/>
  <c r="AJ88" i="59"/>
  <c r="AL88" i="59"/>
  <c r="AM88" i="59"/>
  <c r="AN88" i="59"/>
  <c r="AO88" i="59"/>
  <c r="AP88" i="59"/>
  <c r="AQ88" i="59"/>
  <c r="AR88" i="59"/>
  <c r="AS88" i="59"/>
  <c r="AT88" i="59"/>
  <c r="AU88" i="59"/>
  <c r="AV88" i="59"/>
  <c r="AW88" i="59"/>
  <c r="AX88" i="59"/>
  <c r="AY88" i="59"/>
  <c r="BB88" i="59"/>
  <c r="BC88" i="59"/>
  <c r="BD88" i="59"/>
  <c r="BE88" i="59"/>
  <c r="BF88" i="59"/>
  <c r="BG88" i="59"/>
  <c r="BH88" i="59"/>
  <c r="BI88" i="59"/>
  <c r="BJ88" i="59"/>
  <c r="BK88" i="59"/>
  <c r="BL88" i="59"/>
  <c r="BM88" i="59"/>
  <c r="BN88" i="59"/>
  <c r="BO88" i="59"/>
  <c r="D89" i="59"/>
  <c r="F89" i="59"/>
  <c r="G89" i="59"/>
  <c r="H89" i="59"/>
  <c r="I89" i="59"/>
  <c r="K89" i="59"/>
  <c r="L89" i="59"/>
  <c r="N89" i="59"/>
  <c r="O89" i="59"/>
  <c r="P89" i="59"/>
  <c r="Q89" i="59"/>
  <c r="S89" i="59"/>
  <c r="T89" i="59"/>
  <c r="V89" i="59"/>
  <c r="X89" i="59"/>
  <c r="Y89" i="59"/>
  <c r="Z89" i="59"/>
  <c r="AA89" i="59"/>
  <c r="AB89" i="59"/>
  <c r="AC89" i="59"/>
  <c r="AF89" i="59"/>
  <c r="AG89" i="59"/>
  <c r="AH89" i="59"/>
  <c r="AI89" i="59"/>
  <c r="AJ89" i="59"/>
  <c r="AL89" i="59"/>
  <c r="AM89" i="59"/>
  <c r="AN89" i="59"/>
  <c r="AO89" i="59"/>
  <c r="AP89" i="59"/>
  <c r="AQ89" i="59"/>
  <c r="AR89" i="59"/>
  <c r="AS89" i="59"/>
  <c r="AT89" i="59"/>
  <c r="AU89" i="59"/>
  <c r="AV89" i="59"/>
  <c r="AW89" i="59"/>
  <c r="AX89" i="59"/>
  <c r="AY89" i="59"/>
  <c r="BB89" i="59"/>
  <c r="BC89" i="59"/>
  <c r="BD89" i="59"/>
  <c r="BE89" i="59"/>
  <c r="BF89" i="59"/>
  <c r="BG89" i="59"/>
  <c r="BH89" i="59"/>
  <c r="BI89" i="59"/>
  <c r="BJ89" i="59"/>
  <c r="BK89" i="59"/>
  <c r="BL89" i="59"/>
  <c r="BM89" i="59"/>
  <c r="BN89" i="59"/>
  <c r="BO89" i="59"/>
  <c r="D90" i="59"/>
  <c r="F90" i="59"/>
  <c r="G90" i="59"/>
  <c r="H90" i="59"/>
  <c r="I90" i="59"/>
  <c r="K90" i="59"/>
  <c r="L90" i="59"/>
  <c r="N90" i="59"/>
  <c r="O90" i="59"/>
  <c r="P90" i="59"/>
  <c r="Q90" i="59"/>
  <c r="S90" i="59"/>
  <c r="T90" i="59"/>
  <c r="V90" i="59"/>
  <c r="X90" i="59"/>
  <c r="Y90" i="59"/>
  <c r="Z90" i="59"/>
  <c r="AA90" i="59"/>
  <c r="AB90" i="59"/>
  <c r="AC90" i="59"/>
  <c r="AF90" i="59"/>
  <c r="AG90" i="59"/>
  <c r="AH90" i="59"/>
  <c r="AI90" i="59"/>
  <c r="AJ90" i="59"/>
  <c r="AL90" i="59"/>
  <c r="AM90" i="59"/>
  <c r="AN90" i="59"/>
  <c r="AO90" i="59"/>
  <c r="AP90" i="59"/>
  <c r="AQ90" i="59"/>
  <c r="AR90" i="59"/>
  <c r="AS90" i="59"/>
  <c r="AT90" i="59"/>
  <c r="AU90" i="59"/>
  <c r="AV90" i="59"/>
  <c r="AW90" i="59"/>
  <c r="AX90" i="59"/>
  <c r="AY90" i="59"/>
  <c r="BB90" i="59"/>
  <c r="BC90" i="59"/>
  <c r="BD90" i="59"/>
  <c r="BE90" i="59"/>
  <c r="BF90" i="59"/>
  <c r="BG90" i="59"/>
  <c r="BH90" i="59"/>
  <c r="BI90" i="59"/>
  <c r="BJ90" i="59"/>
  <c r="BK90" i="59"/>
  <c r="BL90" i="59"/>
  <c r="BM90" i="59"/>
  <c r="BN90" i="59"/>
  <c r="BO90" i="59"/>
  <c r="D91" i="59"/>
  <c r="F91" i="59"/>
  <c r="G91" i="59"/>
  <c r="H91" i="59"/>
  <c r="I91" i="59"/>
  <c r="K91" i="59"/>
  <c r="L91" i="59"/>
  <c r="N91" i="59"/>
  <c r="O91" i="59"/>
  <c r="P91" i="59"/>
  <c r="Q91" i="59"/>
  <c r="S91" i="59"/>
  <c r="T91" i="59"/>
  <c r="V91" i="59"/>
  <c r="X91" i="59"/>
  <c r="Y91" i="59"/>
  <c r="Z91" i="59"/>
  <c r="AA91" i="59"/>
  <c r="AB91" i="59"/>
  <c r="AC91" i="59"/>
  <c r="AF91" i="59"/>
  <c r="AG91" i="59"/>
  <c r="AH91" i="59"/>
  <c r="AI91" i="59"/>
  <c r="AJ91" i="59"/>
  <c r="AL91" i="59"/>
  <c r="AM91" i="59"/>
  <c r="AN91" i="59"/>
  <c r="AO91" i="59"/>
  <c r="AP91" i="59"/>
  <c r="AQ91" i="59"/>
  <c r="AR91" i="59"/>
  <c r="AS91" i="59"/>
  <c r="AT91" i="59"/>
  <c r="AU91" i="59"/>
  <c r="AV91" i="59"/>
  <c r="AW91" i="59"/>
  <c r="AX91" i="59"/>
  <c r="AY91" i="59"/>
  <c r="BB91" i="59"/>
  <c r="BC91" i="59"/>
  <c r="BD91" i="59"/>
  <c r="BE91" i="59"/>
  <c r="BF91" i="59"/>
  <c r="BG91" i="59"/>
  <c r="BH91" i="59"/>
  <c r="BI91" i="59"/>
  <c r="BJ91" i="59"/>
  <c r="BK91" i="59"/>
  <c r="BL91" i="59"/>
  <c r="BM91" i="59"/>
  <c r="BN91" i="59"/>
  <c r="BO91" i="59"/>
  <c r="D92" i="59"/>
  <c r="F92" i="59"/>
  <c r="G92" i="59"/>
  <c r="H92" i="59"/>
  <c r="I92" i="59"/>
  <c r="K92" i="59"/>
  <c r="L92" i="59"/>
  <c r="N92" i="59"/>
  <c r="O92" i="59"/>
  <c r="P92" i="59"/>
  <c r="Q92" i="59"/>
  <c r="S92" i="59"/>
  <c r="T92" i="59"/>
  <c r="V92" i="59"/>
  <c r="X92" i="59"/>
  <c r="Y92" i="59"/>
  <c r="Z92" i="59"/>
  <c r="AA92" i="59"/>
  <c r="AB92" i="59"/>
  <c r="AC92" i="59"/>
  <c r="AF92" i="59"/>
  <c r="AG92" i="59"/>
  <c r="AH92" i="59"/>
  <c r="AI92" i="59"/>
  <c r="AJ92" i="59"/>
  <c r="AL92" i="59"/>
  <c r="AM92" i="59"/>
  <c r="AN92" i="59"/>
  <c r="AO92" i="59"/>
  <c r="AP92" i="59"/>
  <c r="AQ92" i="59"/>
  <c r="AR92" i="59"/>
  <c r="AS92" i="59"/>
  <c r="AT92" i="59"/>
  <c r="AU92" i="59"/>
  <c r="AV92" i="59"/>
  <c r="AW92" i="59"/>
  <c r="AX92" i="59"/>
  <c r="AY92" i="59"/>
  <c r="BB92" i="59"/>
  <c r="BC92" i="59"/>
  <c r="BD92" i="59"/>
  <c r="BE92" i="59"/>
  <c r="BF92" i="59"/>
  <c r="BG92" i="59"/>
  <c r="BH92" i="59"/>
  <c r="BI92" i="59"/>
  <c r="BJ92" i="59"/>
  <c r="BK92" i="59"/>
  <c r="BL92" i="59"/>
  <c r="BM92" i="59"/>
  <c r="BN92" i="59"/>
  <c r="BO92" i="59"/>
  <c r="D93" i="59"/>
  <c r="F93" i="59"/>
  <c r="G93" i="59"/>
  <c r="H93" i="59"/>
  <c r="I93" i="59"/>
  <c r="K93" i="59"/>
  <c r="L93" i="59"/>
  <c r="N93" i="59"/>
  <c r="O93" i="59"/>
  <c r="P93" i="59"/>
  <c r="Q93" i="59"/>
  <c r="S93" i="59"/>
  <c r="T93" i="59"/>
  <c r="V93" i="59"/>
  <c r="X93" i="59"/>
  <c r="Y93" i="59"/>
  <c r="Z93" i="59"/>
  <c r="AA93" i="59"/>
  <c r="AB93" i="59"/>
  <c r="AC93" i="59"/>
  <c r="AF93" i="59"/>
  <c r="AG93" i="59"/>
  <c r="AH93" i="59"/>
  <c r="AI93" i="59"/>
  <c r="AJ93" i="59"/>
  <c r="AL93" i="59"/>
  <c r="AM93" i="59"/>
  <c r="AN93" i="59"/>
  <c r="AO93" i="59"/>
  <c r="AP93" i="59"/>
  <c r="AQ93" i="59"/>
  <c r="AR93" i="59"/>
  <c r="AS93" i="59"/>
  <c r="AT93" i="59"/>
  <c r="AU93" i="59"/>
  <c r="AV93" i="59"/>
  <c r="AW93" i="59"/>
  <c r="AX93" i="59"/>
  <c r="AY93" i="59"/>
  <c r="BB93" i="59"/>
  <c r="BC93" i="59"/>
  <c r="BD93" i="59"/>
  <c r="BE93" i="59"/>
  <c r="BF93" i="59"/>
  <c r="BG93" i="59"/>
  <c r="BH93" i="59"/>
  <c r="BI93" i="59"/>
  <c r="BJ93" i="59"/>
  <c r="BK93" i="59"/>
  <c r="BL93" i="59"/>
  <c r="BM93" i="59"/>
  <c r="BN93" i="59"/>
  <c r="BO93" i="59"/>
  <c r="D94" i="59"/>
  <c r="F94" i="59"/>
  <c r="G94" i="59"/>
  <c r="H94" i="59"/>
  <c r="I94" i="59"/>
  <c r="K94" i="59"/>
  <c r="L94" i="59"/>
  <c r="N94" i="59"/>
  <c r="O94" i="59"/>
  <c r="P94" i="59"/>
  <c r="Q94" i="59"/>
  <c r="S94" i="59"/>
  <c r="T94" i="59"/>
  <c r="V94" i="59"/>
  <c r="X94" i="59"/>
  <c r="Y94" i="59"/>
  <c r="Z94" i="59"/>
  <c r="AA94" i="59"/>
  <c r="AB94" i="59"/>
  <c r="AC94" i="59"/>
  <c r="AF94" i="59"/>
  <c r="AG94" i="59"/>
  <c r="AH94" i="59"/>
  <c r="AI94" i="59"/>
  <c r="AJ94" i="59"/>
  <c r="AL94" i="59"/>
  <c r="AM94" i="59"/>
  <c r="AN94" i="59"/>
  <c r="AO94" i="59"/>
  <c r="AP94" i="59"/>
  <c r="AQ94" i="59"/>
  <c r="AR94" i="59"/>
  <c r="AS94" i="59"/>
  <c r="AT94" i="59"/>
  <c r="AU94" i="59"/>
  <c r="AV94" i="59"/>
  <c r="AW94" i="59"/>
  <c r="AX94" i="59"/>
  <c r="AY94" i="59"/>
  <c r="BB94" i="59"/>
  <c r="BC94" i="59"/>
  <c r="BD94" i="59"/>
  <c r="BE94" i="59"/>
  <c r="BF94" i="59"/>
  <c r="BG94" i="59"/>
  <c r="BH94" i="59"/>
  <c r="BI94" i="59"/>
  <c r="BJ94" i="59"/>
  <c r="BK94" i="59"/>
  <c r="BL94" i="59"/>
  <c r="BM94" i="59"/>
  <c r="BN94" i="59"/>
  <c r="BO94" i="59"/>
  <c r="D95" i="59"/>
  <c r="F95" i="59"/>
  <c r="G95" i="59"/>
  <c r="H95" i="59"/>
  <c r="I95" i="59"/>
  <c r="K95" i="59"/>
  <c r="L95" i="59"/>
  <c r="N95" i="59"/>
  <c r="O95" i="59"/>
  <c r="P95" i="59"/>
  <c r="Q95" i="59"/>
  <c r="S95" i="59"/>
  <c r="T95" i="59"/>
  <c r="V95" i="59"/>
  <c r="X95" i="59"/>
  <c r="Y95" i="59"/>
  <c r="Z95" i="59"/>
  <c r="AA95" i="59"/>
  <c r="AB95" i="59"/>
  <c r="AC95" i="59"/>
  <c r="AF95" i="59"/>
  <c r="AG95" i="59"/>
  <c r="AH95" i="59"/>
  <c r="AI95" i="59"/>
  <c r="AJ95" i="59"/>
  <c r="AL95" i="59"/>
  <c r="AM95" i="59"/>
  <c r="AN95" i="59"/>
  <c r="AO95" i="59"/>
  <c r="AP95" i="59"/>
  <c r="AQ95" i="59"/>
  <c r="AR95" i="59"/>
  <c r="AS95" i="59"/>
  <c r="AT95" i="59"/>
  <c r="AU95" i="59"/>
  <c r="AV95" i="59"/>
  <c r="AW95" i="59"/>
  <c r="AX95" i="59"/>
  <c r="AY95" i="59"/>
  <c r="BB95" i="59"/>
  <c r="BC95" i="59"/>
  <c r="BD95" i="59"/>
  <c r="BE95" i="59"/>
  <c r="BF95" i="59"/>
  <c r="BG95" i="59"/>
  <c r="BH95" i="59"/>
  <c r="BI95" i="59"/>
  <c r="BJ95" i="59"/>
  <c r="BK95" i="59"/>
  <c r="BL95" i="59"/>
  <c r="BM95" i="59"/>
  <c r="BN95" i="59"/>
  <c r="BO95" i="59"/>
  <c r="D96" i="59"/>
  <c r="F96" i="59"/>
  <c r="G96" i="59"/>
  <c r="H96" i="59"/>
  <c r="I96" i="59"/>
  <c r="K96" i="59"/>
  <c r="L96" i="59"/>
  <c r="N96" i="59"/>
  <c r="O96" i="59"/>
  <c r="P96" i="59"/>
  <c r="Q96" i="59"/>
  <c r="S96" i="59"/>
  <c r="T96" i="59"/>
  <c r="V96" i="59"/>
  <c r="X96" i="59"/>
  <c r="Y96" i="59"/>
  <c r="Z96" i="59"/>
  <c r="AA96" i="59"/>
  <c r="AB96" i="59"/>
  <c r="AC96" i="59"/>
  <c r="AF96" i="59"/>
  <c r="AG96" i="59"/>
  <c r="AH96" i="59"/>
  <c r="AI96" i="59"/>
  <c r="AJ96" i="59"/>
  <c r="AL96" i="59"/>
  <c r="AM96" i="59"/>
  <c r="AN96" i="59"/>
  <c r="AO96" i="59"/>
  <c r="AP96" i="59"/>
  <c r="AQ96" i="59"/>
  <c r="AR96" i="59"/>
  <c r="AS96" i="59"/>
  <c r="AT96" i="59"/>
  <c r="AU96" i="59"/>
  <c r="AV96" i="59"/>
  <c r="AW96" i="59"/>
  <c r="AX96" i="59"/>
  <c r="AY96" i="59"/>
  <c r="BB96" i="59"/>
  <c r="BC96" i="59"/>
  <c r="BD96" i="59"/>
  <c r="BE96" i="59"/>
  <c r="BF96" i="59"/>
  <c r="BG96" i="59"/>
  <c r="BH96" i="59"/>
  <c r="BI96" i="59"/>
  <c r="BJ96" i="59"/>
  <c r="BK96" i="59"/>
  <c r="BL96" i="59"/>
  <c r="BM96" i="59"/>
  <c r="BN96" i="59"/>
  <c r="BO96" i="59"/>
  <c r="D97" i="59"/>
  <c r="F97" i="59"/>
  <c r="G97" i="59"/>
  <c r="H97" i="59"/>
  <c r="I97" i="59"/>
  <c r="K97" i="59"/>
  <c r="L97" i="59"/>
  <c r="N97" i="59"/>
  <c r="O97" i="59"/>
  <c r="P97" i="59"/>
  <c r="Q97" i="59"/>
  <c r="S97" i="59"/>
  <c r="T97" i="59"/>
  <c r="V97" i="59"/>
  <c r="X97" i="59"/>
  <c r="Y97" i="59"/>
  <c r="Z97" i="59"/>
  <c r="AA97" i="59"/>
  <c r="AB97" i="59"/>
  <c r="AC97" i="59"/>
  <c r="AF97" i="59"/>
  <c r="AG97" i="59"/>
  <c r="AH97" i="59"/>
  <c r="AI97" i="59"/>
  <c r="AJ97" i="59"/>
  <c r="AL97" i="59"/>
  <c r="AM97" i="59"/>
  <c r="AN97" i="59"/>
  <c r="AO97" i="59"/>
  <c r="AP97" i="59"/>
  <c r="AQ97" i="59"/>
  <c r="AR97" i="59"/>
  <c r="AS97" i="59"/>
  <c r="AT97" i="59"/>
  <c r="AU97" i="59"/>
  <c r="AV97" i="59"/>
  <c r="AW97" i="59"/>
  <c r="AX97" i="59"/>
  <c r="AY97" i="59"/>
  <c r="BB97" i="59"/>
  <c r="BC97" i="59"/>
  <c r="BD97" i="59"/>
  <c r="BE97" i="59"/>
  <c r="BF97" i="59"/>
  <c r="BG97" i="59"/>
  <c r="BH97" i="59"/>
  <c r="BI97" i="59"/>
  <c r="BJ97" i="59"/>
  <c r="BK97" i="59"/>
  <c r="BL97" i="59"/>
  <c r="BM97" i="59"/>
  <c r="BN97" i="59"/>
  <c r="BO97" i="59"/>
  <c r="D98" i="59"/>
  <c r="F98" i="59"/>
  <c r="G98" i="59"/>
  <c r="H98" i="59"/>
  <c r="I98" i="59"/>
  <c r="K98" i="59"/>
  <c r="L98" i="59"/>
  <c r="N98" i="59"/>
  <c r="O98" i="59"/>
  <c r="P98" i="59"/>
  <c r="Q98" i="59"/>
  <c r="S98" i="59"/>
  <c r="T98" i="59"/>
  <c r="V98" i="59"/>
  <c r="X98" i="59"/>
  <c r="Y98" i="59"/>
  <c r="Z98" i="59"/>
  <c r="AA98" i="59"/>
  <c r="AB98" i="59"/>
  <c r="AC98" i="59"/>
  <c r="AF98" i="59"/>
  <c r="AG98" i="59"/>
  <c r="AH98" i="59"/>
  <c r="AI98" i="59"/>
  <c r="AJ98" i="59"/>
  <c r="AL98" i="59"/>
  <c r="AM98" i="59"/>
  <c r="AN98" i="59"/>
  <c r="AO98" i="59"/>
  <c r="AP98" i="59"/>
  <c r="AQ98" i="59"/>
  <c r="AR98" i="59"/>
  <c r="AS98" i="59"/>
  <c r="AT98" i="59"/>
  <c r="AU98" i="59"/>
  <c r="AV98" i="59"/>
  <c r="AW98" i="59"/>
  <c r="AX98" i="59"/>
  <c r="AY98" i="59"/>
  <c r="BB98" i="59"/>
  <c r="BC98" i="59"/>
  <c r="BD98" i="59"/>
  <c r="BE98" i="59"/>
  <c r="BF98" i="59"/>
  <c r="BG98" i="59"/>
  <c r="BH98" i="59"/>
  <c r="BI98" i="59"/>
  <c r="BJ98" i="59"/>
  <c r="BK98" i="59"/>
  <c r="BL98" i="59"/>
  <c r="BM98" i="59"/>
  <c r="BN98" i="59"/>
  <c r="BO98" i="59"/>
  <c r="D99" i="59"/>
  <c r="F99" i="59"/>
  <c r="G99" i="59"/>
  <c r="H99" i="59"/>
  <c r="I99" i="59"/>
  <c r="K99" i="59"/>
  <c r="L99" i="59"/>
  <c r="N99" i="59"/>
  <c r="O99" i="59"/>
  <c r="P99" i="59"/>
  <c r="Q99" i="59"/>
  <c r="S99" i="59"/>
  <c r="T99" i="59"/>
  <c r="V99" i="59"/>
  <c r="X99" i="59"/>
  <c r="Y99" i="59"/>
  <c r="Z99" i="59"/>
  <c r="AA99" i="59"/>
  <c r="AB99" i="59"/>
  <c r="AC99" i="59"/>
  <c r="AF99" i="59"/>
  <c r="AG99" i="59"/>
  <c r="AH99" i="59"/>
  <c r="AI99" i="59"/>
  <c r="AJ99" i="59"/>
  <c r="AL99" i="59"/>
  <c r="AM99" i="59"/>
  <c r="AN99" i="59"/>
  <c r="AO99" i="59"/>
  <c r="AP99" i="59"/>
  <c r="AQ99" i="59"/>
  <c r="AR99" i="59"/>
  <c r="AS99" i="59"/>
  <c r="AT99" i="59"/>
  <c r="AU99" i="59"/>
  <c r="AV99" i="59"/>
  <c r="AW99" i="59"/>
  <c r="AX99" i="59"/>
  <c r="AY99" i="59"/>
  <c r="BB99" i="59"/>
  <c r="BC99" i="59"/>
  <c r="BD99" i="59"/>
  <c r="BE99" i="59"/>
  <c r="BF99" i="59"/>
  <c r="BG99" i="59"/>
  <c r="BH99" i="59"/>
  <c r="BI99" i="59"/>
  <c r="BJ99" i="59"/>
  <c r="BK99" i="59"/>
  <c r="BL99" i="59"/>
  <c r="BM99" i="59"/>
  <c r="BN99" i="59"/>
  <c r="BO99" i="59"/>
  <c r="D100" i="59"/>
  <c r="F100" i="59"/>
  <c r="G100" i="59"/>
  <c r="H100" i="59"/>
  <c r="I100" i="59"/>
  <c r="K100" i="59"/>
  <c r="L100" i="59"/>
  <c r="N100" i="59"/>
  <c r="O100" i="59"/>
  <c r="P100" i="59"/>
  <c r="Q100" i="59"/>
  <c r="S100" i="59"/>
  <c r="T100" i="59"/>
  <c r="V100" i="59"/>
  <c r="X100" i="59"/>
  <c r="Y100" i="59"/>
  <c r="Z100" i="59"/>
  <c r="AA100" i="59"/>
  <c r="AB100" i="59"/>
  <c r="AC100" i="59"/>
  <c r="AF100" i="59"/>
  <c r="AG100" i="59"/>
  <c r="AH100" i="59"/>
  <c r="AI100" i="59"/>
  <c r="AJ100" i="59"/>
  <c r="AL100" i="59"/>
  <c r="AM100" i="59"/>
  <c r="AN100" i="59"/>
  <c r="AO100" i="59"/>
  <c r="AP100" i="59"/>
  <c r="AQ100" i="59"/>
  <c r="AR100" i="59"/>
  <c r="AS100" i="59"/>
  <c r="AT100" i="59"/>
  <c r="AU100" i="59"/>
  <c r="AV100" i="59"/>
  <c r="AW100" i="59"/>
  <c r="AX100" i="59"/>
  <c r="AY100" i="59"/>
  <c r="BB100" i="59"/>
  <c r="BC100" i="59"/>
  <c r="BD100" i="59"/>
  <c r="BE100" i="59"/>
  <c r="BF100" i="59"/>
  <c r="BG100" i="59"/>
  <c r="BH100" i="59"/>
  <c r="BI100" i="59"/>
  <c r="BJ100" i="59"/>
  <c r="BK100" i="59"/>
  <c r="BL100" i="59"/>
  <c r="BM100" i="59"/>
  <c r="BN100" i="59"/>
  <c r="BO100" i="59"/>
  <c r="D101" i="59"/>
  <c r="F101" i="59"/>
  <c r="G101" i="59"/>
  <c r="H101" i="59"/>
  <c r="I101" i="59"/>
  <c r="K101" i="59"/>
  <c r="L101" i="59"/>
  <c r="N101" i="59"/>
  <c r="O101" i="59"/>
  <c r="P101" i="59"/>
  <c r="Q101" i="59"/>
  <c r="S101" i="59"/>
  <c r="T101" i="59"/>
  <c r="V101" i="59"/>
  <c r="X101" i="59"/>
  <c r="Y101" i="59"/>
  <c r="Z101" i="59"/>
  <c r="AA101" i="59"/>
  <c r="AB101" i="59"/>
  <c r="AC101" i="59"/>
  <c r="AF101" i="59"/>
  <c r="AG101" i="59"/>
  <c r="AH101" i="59"/>
  <c r="AI101" i="59"/>
  <c r="AJ101" i="59"/>
  <c r="AL101" i="59"/>
  <c r="AM101" i="59"/>
  <c r="AN101" i="59"/>
  <c r="AO101" i="59"/>
  <c r="AP101" i="59"/>
  <c r="AQ101" i="59"/>
  <c r="AR101" i="59"/>
  <c r="AS101" i="59"/>
  <c r="AT101" i="59"/>
  <c r="AU101" i="59"/>
  <c r="AV101" i="59"/>
  <c r="AW101" i="59"/>
  <c r="AX101" i="59"/>
  <c r="AY101" i="59"/>
  <c r="BB101" i="59"/>
  <c r="BC101" i="59"/>
  <c r="BD101" i="59"/>
  <c r="BE101" i="59"/>
  <c r="BF101" i="59"/>
  <c r="BG101" i="59"/>
  <c r="BH101" i="59"/>
  <c r="BI101" i="59"/>
  <c r="BJ101" i="59"/>
  <c r="BK101" i="59"/>
  <c r="BL101" i="59"/>
  <c r="BM101" i="59"/>
  <c r="BN101" i="59"/>
  <c r="BO101" i="59"/>
  <c r="D102" i="59"/>
  <c r="F102" i="59"/>
  <c r="G102" i="59"/>
  <c r="H102" i="59"/>
  <c r="I102" i="59"/>
  <c r="K102" i="59"/>
  <c r="L102" i="59"/>
  <c r="N102" i="59"/>
  <c r="O102" i="59"/>
  <c r="P102" i="59"/>
  <c r="Q102" i="59"/>
  <c r="S102" i="59"/>
  <c r="T102" i="59"/>
  <c r="V102" i="59"/>
  <c r="X102" i="59"/>
  <c r="Y102" i="59"/>
  <c r="Z102" i="59"/>
  <c r="AA102" i="59"/>
  <c r="AB102" i="59"/>
  <c r="AC102" i="59"/>
  <c r="AF102" i="59"/>
  <c r="AG102" i="59"/>
  <c r="AH102" i="59"/>
  <c r="AI102" i="59"/>
  <c r="AJ102" i="59"/>
  <c r="AL102" i="59"/>
  <c r="AM102" i="59"/>
  <c r="AN102" i="59"/>
  <c r="AO102" i="59"/>
  <c r="AP102" i="59"/>
  <c r="AQ102" i="59"/>
  <c r="AR102" i="59"/>
  <c r="AS102" i="59"/>
  <c r="AT102" i="59"/>
  <c r="AU102" i="59"/>
  <c r="AV102" i="59"/>
  <c r="AW102" i="59"/>
  <c r="AX102" i="59"/>
  <c r="AY102" i="59"/>
  <c r="BB102" i="59"/>
  <c r="BC102" i="59"/>
  <c r="BD102" i="59"/>
  <c r="BE102" i="59"/>
  <c r="BF102" i="59"/>
  <c r="BG102" i="59"/>
  <c r="BH102" i="59"/>
  <c r="BI102" i="59"/>
  <c r="BJ102" i="59"/>
  <c r="BK102" i="59"/>
  <c r="BL102" i="59"/>
  <c r="BM102" i="59"/>
  <c r="BN102" i="59"/>
  <c r="BO102" i="59"/>
  <c r="D103" i="59"/>
  <c r="F103" i="59"/>
  <c r="G103" i="59"/>
  <c r="H103" i="59"/>
  <c r="I103" i="59"/>
  <c r="K103" i="59"/>
  <c r="L103" i="59"/>
  <c r="N103" i="59"/>
  <c r="O103" i="59"/>
  <c r="P103" i="59"/>
  <c r="Q103" i="59"/>
  <c r="S103" i="59"/>
  <c r="T103" i="59"/>
  <c r="V103" i="59"/>
  <c r="X103" i="59"/>
  <c r="Y103" i="59"/>
  <c r="Z103" i="59"/>
  <c r="AA103" i="59"/>
  <c r="AB103" i="59"/>
  <c r="AC103" i="59"/>
  <c r="AF103" i="59"/>
  <c r="AG103" i="59"/>
  <c r="AH103" i="59"/>
  <c r="AI103" i="59"/>
  <c r="AJ103" i="59"/>
  <c r="AL103" i="59"/>
  <c r="AM103" i="59"/>
  <c r="AN103" i="59"/>
  <c r="AO103" i="59"/>
  <c r="AP103" i="59"/>
  <c r="AQ103" i="59"/>
  <c r="AR103" i="59"/>
  <c r="AS103" i="59"/>
  <c r="AT103" i="59"/>
  <c r="AU103" i="59"/>
  <c r="AV103" i="59"/>
  <c r="AW103" i="59"/>
  <c r="AX103" i="59"/>
  <c r="AY103" i="59"/>
  <c r="BB103" i="59"/>
  <c r="BC103" i="59"/>
  <c r="BD103" i="59"/>
  <c r="BE103" i="59"/>
  <c r="BF103" i="59"/>
  <c r="BG103" i="59"/>
  <c r="BH103" i="59"/>
  <c r="BI103" i="59"/>
  <c r="BJ103" i="59"/>
  <c r="BK103" i="59"/>
  <c r="BL103" i="59"/>
  <c r="BM103" i="59"/>
  <c r="BN103" i="59"/>
  <c r="BO103" i="59"/>
  <c r="D104" i="59"/>
  <c r="F104" i="59"/>
  <c r="G104" i="59"/>
  <c r="H104" i="59"/>
  <c r="I104" i="59"/>
  <c r="K104" i="59"/>
  <c r="L104" i="59"/>
  <c r="N104" i="59"/>
  <c r="O104" i="59"/>
  <c r="P104" i="59"/>
  <c r="Q104" i="59"/>
  <c r="S104" i="59"/>
  <c r="T104" i="59"/>
  <c r="V104" i="59"/>
  <c r="X104" i="59"/>
  <c r="Y104" i="59"/>
  <c r="Z104" i="59"/>
  <c r="AA104" i="59"/>
  <c r="AB104" i="59"/>
  <c r="AC104" i="59"/>
  <c r="AF104" i="59"/>
  <c r="AG104" i="59"/>
  <c r="AH104" i="59"/>
  <c r="AI104" i="59"/>
  <c r="AJ104" i="59"/>
  <c r="AL104" i="59"/>
  <c r="AM104" i="59"/>
  <c r="AN104" i="59"/>
  <c r="AO104" i="59"/>
  <c r="AP104" i="59"/>
  <c r="AQ104" i="59"/>
  <c r="AR104" i="59"/>
  <c r="AS104" i="59"/>
  <c r="AT104" i="59"/>
  <c r="AU104" i="59"/>
  <c r="AV104" i="59"/>
  <c r="AW104" i="59"/>
  <c r="AX104" i="59"/>
  <c r="AY104" i="59"/>
  <c r="BB104" i="59"/>
  <c r="BC104" i="59"/>
  <c r="BD104" i="59"/>
  <c r="BE104" i="59"/>
  <c r="BF104" i="59"/>
  <c r="BG104" i="59"/>
  <c r="BH104" i="59"/>
  <c r="BI104" i="59"/>
  <c r="BJ104" i="59"/>
  <c r="BK104" i="59"/>
  <c r="BL104" i="59"/>
  <c r="BM104" i="59"/>
  <c r="BN104" i="59"/>
  <c r="BO104" i="59"/>
  <c r="D105" i="59"/>
  <c r="F105" i="59"/>
  <c r="G105" i="59"/>
  <c r="H105" i="59"/>
  <c r="I105" i="59"/>
  <c r="K105" i="59"/>
  <c r="L105" i="59"/>
  <c r="N105" i="59"/>
  <c r="O105" i="59"/>
  <c r="P105" i="59"/>
  <c r="Q105" i="59"/>
  <c r="S105" i="59"/>
  <c r="T105" i="59"/>
  <c r="V105" i="59"/>
  <c r="X105" i="59"/>
  <c r="Y105" i="59"/>
  <c r="Z105" i="59"/>
  <c r="AA105" i="59"/>
  <c r="AB105" i="59"/>
  <c r="AC105" i="59"/>
  <c r="AF105" i="59"/>
  <c r="AG105" i="59"/>
  <c r="AH105" i="59"/>
  <c r="AI105" i="59"/>
  <c r="AJ105" i="59"/>
  <c r="AL105" i="59"/>
  <c r="AM105" i="59"/>
  <c r="AN105" i="59"/>
  <c r="AO105" i="59"/>
  <c r="AP105" i="59"/>
  <c r="AQ105" i="59"/>
  <c r="AR105" i="59"/>
  <c r="AS105" i="59"/>
  <c r="AT105" i="59"/>
  <c r="AU105" i="59"/>
  <c r="AV105" i="59"/>
  <c r="AW105" i="59"/>
  <c r="AX105" i="59"/>
  <c r="AY105" i="59"/>
  <c r="BB105" i="59"/>
  <c r="BC105" i="59"/>
  <c r="BD105" i="59"/>
  <c r="BE105" i="59"/>
  <c r="BF105" i="59"/>
  <c r="BG105" i="59"/>
  <c r="BH105" i="59"/>
  <c r="BI105" i="59"/>
  <c r="BJ105" i="59"/>
  <c r="BK105" i="59"/>
  <c r="BL105" i="59"/>
  <c r="BM105" i="59"/>
  <c r="BN105" i="59"/>
  <c r="BO105" i="59"/>
  <c r="D106" i="59"/>
  <c r="F106" i="59"/>
  <c r="G106" i="59"/>
  <c r="H106" i="59"/>
  <c r="I106" i="59"/>
  <c r="K106" i="59"/>
  <c r="L106" i="59"/>
  <c r="N106" i="59"/>
  <c r="O106" i="59"/>
  <c r="P106" i="59"/>
  <c r="Q106" i="59"/>
  <c r="S106" i="59"/>
  <c r="T106" i="59"/>
  <c r="V106" i="59"/>
  <c r="X106" i="59"/>
  <c r="Y106" i="59"/>
  <c r="Z106" i="59"/>
  <c r="AA106" i="59"/>
  <c r="AB106" i="59"/>
  <c r="AC106" i="59"/>
  <c r="AF106" i="59"/>
  <c r="AG106" i="59"/>
  <c r="AH106" i="59"/>
  <c r="AI106" i="59"/>
  <c r="AJ106" i="59"/>
  <c r="AL106" i="59"/>
  <c r="AM106" i="59"/>
  <c r="AN106" i="59"/>
  <c r="AO106" i="59"/>
  <c r="AP106" i="59"/>
  <c r="AQ106" i="59"/>
  <c r="AR106" i="59"/>
  <c r="AS106" i="59"/>
  <c r="AT106" i="59"/>
  <c r="AU106" i="59"/>
  <c r="AV106" i="59"/>
  <c r="AW106" i="59"/>
  <c r="AX106" i="59"/>
  <c r="AY106" i="59"/>
  <c r="BB106" i="59"/>
  <c r="BC106" i="59"/>
  <c r="BD106" i="59"/>
  <c r="BE106" i="59"/>
  <c r="BF106" i="59"/>
  <c r="BG106" i="59"/>
  <c r="BH106" i="59"/>
  <c r="BI106" i="59"/>
  <c r="BJ106" i="59"/>
  <c r="BK106" i="59"/>
  <c r="BL106" i="59"/>
  <c r="BM106" i="59"/>
  <c r="BN106" i="59"/>
  <c r="BO106" i="59"/>
  <c r="D107" i="59"/>
  <c r="F107" i="59"/>
  <c r="G107" i="59"/>
  <c r="H107" i="59"/>
  <c r="I107" i="59"/>
  <c r="K107" i="59"/>
  <c r="L107" i="59"/>
  <c r="N107" i="59"/>
  <c r="O107" i="59"/>
  <c r="P107" i="59"/>
  <c r="Q107" i="59"/>
  <c r="S107" i="59"/>
  <c r="T107" i="59"/>
  <c r="V107" i="59"/>
  <c r="X107" i="59"/>
  <c r="Y107" i="59"/>
  <c r="Z107" i="59"/>
  <c r="AA107" i="59"/>
  <c r="AB107" i="59"/>
  <c r="AC107" i="59"/>
  <c r="AF107" i="59"/>
  <c r="AG107" i="59"/>
  <c r="AH107" i="59"/>
  <c r="AI107" i="59"/>
  <c r="AJ107" i="59"/>
  <c r="AL107" i="59"/>
  <c r="AM107" i="59"/>
  <c r="AN107" i="59"/>
  <c r="AO107" i="59"/>
  <c r="AP107" i="59"/>
  <c r="AQ107" i="59"/>
  <c r="AR107" i="59"/>
  <c r="AS107" i="59"/>
  <c r="AT107" i="59"/>
  <c r="AU107" i="59"/>
  <c r="AV107" i="59"/>
  <c r="AW107" i="59"/>
  <c r="AX107" i="59"/>
  <c r="AY107" i="59"/>
  <c r="BB107" i="59"/>
  <c r="BC107" i="59"/>
  <c r="BD107" i="59"/>
  <c r="BE107" i="59"/>
  <c r="BF107" i="59"/>
  <c r="BG107" i="59"/>
  <c r="BH107" i="59"/>
  <c r="BI107" i="59"/>
  <c r="BJ107" i="59"/>
  <c r="BK107" i="59"/>
  <c r="BL107" i="59"/>
  <c r="BM107" i="59"/>
  <c r="BN107" i="59"/>
  <c r="BO107" i="59"/>
  <c r="D108" i="59"/>
  <c r="F108" i="59"/>
  <c r="G108" i="59"/>
  <c r="H108" i="59"/>
  <c r="I108" i="59"/>
  <c r="K108" i="59"/>
  <c r="L108" i="59"/>
  <c r="N108" i="59"/>
  <c r="O108" i="59"/>
  <c r="P108" i="59"/>
  <c r="Q108" i="59"/>
  <c r="S108" i="59"/>
  <c r="T108" i="59"/>
  <c r="V108" i="59"/>
  <c r="X108" i="59"/>
  <c r="Y108" i="59"/>
  <c r="Z108" i="59"/>
  <c r="AA108" i="59"/>
  <c r="AB108" i="59"/>
  <c r="AC108" i="59"/>
  <c r="AF108" i="59"/>
  <c r="AG108" i="59"/>
  <c r="AH108" i="59"/>
  <c r="AI108" i="59"/>
  <c r="AJ108" i="59"/>
  <c r="AL108" i="59"/>
  <c r="AM108" i="59"/>
  <c r="AN108" i="59"/>
  <c r="AO108" i="59"/>
  <c r="AP108" i="59"/>
  <c r="AQ108" i="59"/>
  <c r="AR108" i="59"/>
  <c r="AS108" i="59"/>
  <c r="AT108" i="59"/>
  <c r="AU108" i="59"/>
  <c r="AV108" i="59"/>
  <c r="AW108" i="59"/>
  <c r="AX108" i="59"/>
  <c r="AY108" i="59"/>
  <c r="BB108" i="59"/>
  <c r="BC108" i="59"/>
  <c r="BD108" i="59"/>
  <c r="BE108" i="59"/>
  <c r="BF108" i="59"/>
  <c r="BG108" i="59"/>
  <c r="BH108" i="59"/>
  <c r="BI108" i="59"/>
  <c r="BJ108" i="59"/>
  <c r="BK108" i="59"/>
  <c r="BL108" i="59"/>
  <c r="BM108" i="59"/>
  <c r="BN108" i="59"/>
  <c r="BO108" i="59"/>
  <c r="D109" i="59"/>
  <c r="F109" i="59"/>
  <c r="G109" i="59"/>
  <c r="H109" i="59"/>
  <c r="I109" i="59"/>
  <c r="K109" i="59"/>
  <c r="L109" i="59"/>
  <c r="N109" i="59"/>
  <c r="O109" i="59"/>
  <c r="P109" i="59"/>
  <c r="Q109" i="59"/>
  <c r="S109" i="59"/>
  <c r="T109" i="59"/>
  <c r="V109" i="59"/>
  <c r="X109" i="59"/>
  <c r="Y109" i="59"/>
  <c r="Z109" i="59"/>
  <c r="AA109" i="59"/>
  <c r="AB109" i="59"/>
  <c r="AC109" i="59"/>
  <c r="AF109" i="59"/>
  <c r="AG109" i="59"/>
  <c r="AH109" i="59"/>
  <c r="AI109" i="59"/>
  <c r="AJ109" i="59"/>
  <c r="AL109" i="59"/>
  <c r="AM109" i="59"/>
  <c r="AN109" i="59"/>
  <c r="AO109" i="59"/>
  <c r="AP109" i="59"/>
  <c r="AQ109" i="59"/>
  <c r="AR109" i="59"/>
  <c r="AS109" i="59"/>
  <c r="AT109" i="59"/>
  <c r="AU109" i="59"/>
  <c r="AV109" i="59"/>
  <c r="AW109" i="59"/>
  <c r="AX109" i="59"/>
  <c r="AY109" i="59"/>
  <c r="BB109" i="59"/>
  <c r="BC109" i="59"/>
  <c r="BD109" i="59"/>
  <c r="BE109" i="59"/>
  <c r="BF109" i="59"/>
  <c r="BG109" i="59"/>
  <c r="BH109" i="59"/>
  <c r="BI109" i="59"/>
  <c r="BJ109" i="59"/>
  <c r="BK109" i="59"/>
  <c r="BL109" i="59"/>
  <c r="BM109" i="59"/>
  <c r="BN109" i="59"/>
  <c r="BO109" i="59"/>
  <c r="D110" i="59"/>
  <c r="F110" i="59"/>
  <c r="G110" i="59"/>
  <c r="H110" i="59"/>
  <c r="I110" i="59"/>
  <c r="K110" i="59"/>
  <c r="L110" i="59"/>
  <c r="N110" i="59"/>
  <c r="O110" i="59"/>
  <c r="P110" i="59"/>
  <c r="Q110" i="59"/>
  <c r="S110" i="59"/>
  <c r="T110" i="59"/>
  <c r="V110" i="59"/>
  <c r="X110" i="59"/>
  <c r="Y110" i="59"/>
  <c r="Z110" i="59"/>
  <c r="AA110" i="59"/>
  <c r="AB110" i="59"/>
  <c r="AC110" i="59"/>
  <c r="AF110" i="59"/>
  <c r="AG110" i="59"/>
  <c r="AH110" i="59"/>
  <c r="AI110" i="59"/>
  <c r="AJ110" i="59"/>
  <c r="AL110" i="59"/>
  <c r="AM110" i="59"/>
  <c r="AN110" i="59"/>
  <c r="AO110" i="59"/>
  <c r="AP110" i="59"/>
  <c r="AQ110" i="59"/>
  <c r="AR110" i="59"/>
  <c r="AS110" i="59"/>
  <c r="AT110" i="59"/>
  <c r="AU110" i="59"/>
  <c r="AV110" i="59"/>
  <c r="AW110" i="59"/>
  <c r="AX110" i="59"/>
  <c r="AY110" i="59"/>
  <c r="BB110" i="59"/>
  <c r="BC110" i="59"/>
  <c r="BD110" i="59"/>
  <c r="BE110" i="59"/>
  <c r="BF110" i="59"/>
  <c r="BG110" i="59"/>
  <c r="BH110" i="59"/>
  <c r="BI110" i="59"/>
  <c r="BJ110" i="59"/>
  <c r="BK110" i="59"/>
  <c r="BL110" i="59"/>
  <c r="BM110" i="59"/>
  <c r="BN110" i="59"/>
  <c r="BO110" i="59"/>
  <c r="D111" i="59"/>
  <c r="F111" i="59"/>
  <c r="G111" i="59"/>
  <c r="H111" i="59"/>
  <c r="I111" i="59"/>
  <c r="K111" i="59"/>
  <c r="L111" i="59"/>
  <c r="N111" i="59"/>
  <c r="O111" i="59"/>
  <c r="P111" i="59"/>
  <c r="Q111" i="59"/>
  <c r="S111" i="59"/>
  <c r="T111" i="59"/>
  <c r="V111" i="59"/>
  <c r="X111" i="59"/>
  <c r="Y111" i="59"/>
  <c r="Z111" i="59"/>
  <c r="AA111" i="59"/>
  <c r="AB111" i="59"/>
  <c r="AC111" i="59"/>
  <c r="AF111" i="59"/>
  <c r="AG111" i="59"/>
  <c r="AH111" i="59"/>
  <c r="AI111" i="59"/>
  <c r="AJ111" i="59"/>
  <c r="AL111" i="59"/>
  <c r="AM111" i="59"/>
  <c r="AN111" i="59"/>
  <c r="AO111" i="59"/>
  <c r="AP111" i="59"/>
  <c r="AQ111" i="59"/>
  <c r="AR111" i="59"/>
  <c r="AS111" i="59"/>
  <c r="AT111" i="59"/>
  <c r="AU111" i="59"/>
  <c r="AV111" i="59"/>
  <c r="AW111" i="59"/>
  <c r="AX111" i="59"/>
  <c r="AY111" i="59"/>
  <c r="BB111" i="59"/>
  <c r="BC111" i="59"/>
  <c r="BD111" i="59"/>
  <c r="BE111" i="59"/>
  <c r="BF111" i="59"/>
  <c r="BG111" i="59"/>
  <c r="BH111" i="59"/>
  <c r="BI111" i="59"/>
  <c r="BJ111" i="59"/>
  <c r="BK111" i="59"/>
  <c r="BL111" i="59"/>
  <c r="BM111" i="59"/>
  <c r="BN111" i="59"/>
  <c r="BO111" i="59"/>
  <c r="D112" i="59"/>
  <c r="F112" i="59"/>
  <c r="G112" i="59"/>
  <c r="H112" i="59"/>
  <c r="I112" i="59"/>
  <c r="K112" i="59"/>
  <c r="L112" i="59"/>
  <c r="N112" i="59"/>
  <c r="O112" i="59"/>
  <c r="P112" i="59"/>
  <c r="Q112" i="59"/>
  <c r="S112" i="59"/>
  <c r="T112" i="59"/>
  <c r="V112" i="59"/>
  <c r="X112" i="59"/>
  <c r="Y112" i="59"/>
  <c r="Z112" i="59"/>
  <c r="AA112" i="59"/>
  <c r="AB112" i="59"/>
  <c r="AC112" i="59"/>
  <c r="AF112" i="59"/>
  <c r="AG112" i="59"/>
  <c r="AH112" i="59"/>
  <c r="AI112" i="59"/>
  <c r="AJ112" i="59"/>
  <c r="AL112" i="59"/>
  <c r="AM112" i="59"/>
  <c r="AN112" i="59"/>
  <c r="AO112" i="59"/>
  <c r="AP112" i="59"/>
  <c r="AQ112" i="59"/>
  <c r="AR112" i="59"/>
  <c r="AS112" i="59"/>
  <c r="AT112" i="59"/>
  <c r="AU112" i="59"/>
  <c r="AV112" i="59"/>
  <c r="AW112" i="59"/>
  <c r="AX112" i="59"/>
  <c r="AY112" i="59"/>
  <c r="BB112" i="59"/>
  <c r="BC112" i="59"/>
  <c r="BD112" i="59"/>
  <c r="BE112" i="59"/>
  <c r="BF112" i="59"/>
  <c r="BG112" i="59"/>
  <c r="BH112" i="59"/>
  <c r="BI112" i="59"/>
  <c r="BJ112" i="59"/>
  <c r="BK112" i="59"/>
  <c r="BL112" i="59"/>
  <c r="BM112" i="59"/>
  <c r="BN112" i="59"/>
  <c r="BO112" i="59"/>
  <c r="D113" i="59"/>
  <c r="F113" i="59"/>
  <c r="G113" i="59"/>
  <c r="H113" i="59"/>
  <c r="I113" i="59"/>
  <c r="K113" i="59"/>
  <c r="L113" i="59"/>
  <c r="N113" i="59"/>
  <c r="O113" i="59"/>
  <c r="P113" i="59"/>
  <c r="Q113" i="59"/>
  <c r="S113" i="59"/>
  <c r="T113" i="59"/>
  <c r="V113" i="59"/>
  <c r="X113" i="59"/>
  <c r="Y113" i="59"/>
  <c r="Z113" i="59"/>
  <c r="AA113" i="59"/>
  <c r="AB113" i="59"/>
  <c r="AC113" i="59"/>
  <c r="AF113" i="59"/>
  <c r="AG113" i="59"/>
  <c r="AH113" i="59"/>
  <c r="AI113" i="59"/>
  <c r="AJ113" i="59"/>
  <c r="AL113" i="59"/>
  <c r="AM113" i="59"/>
  <c r="AN113" i="59"/>
  <c r="AO113" i="59"/>
  <c r="AP113" i="59"/>
  <c r="AQ113" i="59"/>
  <c r="AR113" i="59"/>
  <c r="AS113" i="59"/>
  <c r="AT113" i="59"/>
  <c r="AU113" i="59"/>
  <c r="AV113" i="59"/>
  <c r="AW113" i="59"/>
  <c r="AX113" i="59"/>
  <c r="AY113" i="59"/>
  <c r="BB113" i="59"/>
  <c r="BC113" i="59"/>
  <c r="BD113" i="59"/>
  <c r="BE113" i="59"/>
  <c r="BF113" i="59"/>
  <c r="BG113" i="59"/>
  <c r="BH113" i="59"/>
  <c r="BI113" i="59"/>
  <c r="BJ113" i="59"/>
  <c r="BK113" i="59"/>
  <c r="BL113" i="59"/>
  <c r="BM113" i="59"/>
  <c r="BN113" i="59"/>
  <c r="BO113" i="59"/>
  <c r="D114" i="59"/>
  <c r="F114" i="59"/>
  <c r="G114" i="59"/>
  <c r="H114" i="59"/>
  <c r="I114" i="59"/>
  <c r="K114" i="59"/>
  <c r="L114" i="59"/>
  <c r="N114" i="59"/>
  <c r="O114" i="59"/>
  <c r="P114" i="59"/>
  <c r="Q114" i="59"/>
  <c r="S114" i="59"/>
  <c r="T114" i="59"/>
  <c r="V114" i="59"/>
  <c r="X114" i="59"/>
  <c r="Y114" i="59"/>
  <c r="Z114" i="59"/>
  <c r="AA114" i="59"/>
  <c r="AB114" i="59"/>
  <c r="AC114" i="59"/>
  <c r="AF114" i="59"/>
  <c r="AG114" i="59"/>
  <c r="AH114" i="59"/>
  <c r="AI114" i="59"/>
  <c r="AJ114" i="59"/>
  <c r="AL114" i="59"/>
  <c r="AM114" i="59"/>
  <c r="AN114" i="59"/>
  <c r="AO114" i="59"/>
  <c r="AP114" i="59"/>
  <c r="AQ114" i="59"/>
  <c r="AR114" i="59"/>
  <c r="AS114" i="59"/>
  <c r="AT114" i="59"/>
  <c r="AU114" i="59"/>
  <c r="AV114" i="59"/>
  <c r="AW114" i="59"/>
  <c r="AX114" i="59"/>
  <c r="AY114" i="59"/>
  <c r="BB114" i="59"/>
  <c r="BC114" i="59"/>
  <c r="BD114" i="59"/>
  <c r="BE114" i="59"/>
  <c r="BF114" i="59"/>
  <c r="BG114" i="59"/>
  <c r="BH114" i="59"/>
  <c r="BI114" i="59"/>
  <c r="BJ114" i="59"/>
  <c r="BK114" i="59"/>
  <c r="BL114" i="59"/>
  <c r="BM114" i="59"/>
  <c r="BN114" i="59"/>
  <c r="BO114" i="59"/>
  <c r="D115" i="59"/>
  <c r="F115" i="59"/>
  <c r="G115" i="59"/>
  <c r="H115" i="59"/>
  <c r="I115" i="59"/>
  <c r="K115" i="59"/>
  <c r="L115" i="59"/>
  <c r="N115" i="59"/>
  <c r="O115" i="59"/>
  <c r="P115" i="59"/>
  <c r="Q115" i="59"/>
  <c r="S115" i="59"/>
  <c r="T115" i="59"/>
  <c r="V115" i="59"/>
  <c r="X115" i="59"/>
  <c r="Y115" i="59"/>
  <c r="Z115" i="59"/>
  <c r="AA115" i="59"/>
  <c r="AB115" i="59"/>
  <c r="AC115" i="59"/>
  <c r="AF115" i="59"/>
  <c r="AG115" i="59"/>
  <c r="AH115" i="59"/>
  <c r="AI115" i="59"/>
  <c r="AJ115" i="59"/>
  <c r="AL115" i="59"/>
  <c r="AM115" i="59"/>
  <c r="AN115" i="59"/>
  <c r="AO115" i="59"/>
  <c r="AP115" i="59"/>
  <c r="AQ115" i="59"/>
  <c r="AR115" i="59"/>
  <c r="AS115" i="59"/>
  <c r="AT115" i="59"/>
  <c r="AU115" i="59"/>
  <c r="AV115" i="59"/>
  <c r="AW115" i="59"/>
  <c r="AX115" i="59"/>
  <c r="AY115" i="59"/>
  <c r="BB115" i="59"/>
  <c r="BC115" i="59"/>
  <c r="BD115" i="59"/>
  <c r="BE115" i="59"/>
  <c r="BF115" i="59"/>
  <c r="BG115" i="59"/>
  <c r="BH115" i="59"/>
  <c r="BI115" i="59"/>
  <c r="BJ115" i="59"/>
  <c r="BK115" i="59"/>
  <c r="BL115" i="59"/>
  <c r="BM115" i="59"/>
  <c r="BN115" i="59"/>
  <c r="BO115" i="59"/>
  <c r="D116" i="59"/>
  <c r="F116" i="59"/>
  <c r="G116" i="59"/>
  <c r="H116" i="59"/>
  <c r="I116" i="59"/>
  <c r="K116" i="59"/>
  <c r="L116" i="59"/>
  <c r="N116" i="59"/>
  <c r="O116" i="59"/>
  <c r="P116" i="59"/>
  <c r="Q116" i="59"/>
  <c r="S116" i="59"/>
  <c r="T116" i="59"/>
  <c r="V116" i="59"/>
  <c r="X116" i="59"/>
  <c r="Y116" i="59"/>
  <c r="Z116" i="59"/>
  <c r="AA116" i="59"/>
  <c r="AB116" i="59"/>
  <c r="AC116" i="59"/>
  <c r="AF116" i="59"/>
  <c r="AG116" i="59"/>
  <c r="AH116" i="59"/>
  <c r="AI116" i="59"/>
  <c r="AJ116" i="59"/>
  <c r="AL116" i="59"/>
  <c r="AM116" i="59"/>
  <c r="AN116" i="59"/>
  <c r="AO116" i="59"/>
  <c r="AP116" i="59"/>
  <c r="AQ116" i="59"/>
  <c r="AR116" i="59"/>
  <c r="AS116" i="59"/>
  <c r="AT116" i="59"/>
  <c r="AU116" i="59"/>
  <c r="AV116" i="59"/>
  <c r="AW116" i="59"/>
  <c r="AX116" i="59"/>
  <c r="AY116" i="59"/>
  <c r="BB116" i="59"/>
  <c r="BC116" i="59"/>
  <c r="BD116" i="59"/>
  <c r="BE116" i="59"/>
  <c r="BF116" i="59"/>
  <c r="BG116" i="59"/>
  <c r="BH116" i="59"/>
  <c r="BI116" i="59"/>
  <c r="BJ116" i="59"/>
  <c r="BK116" i="59"/>
  <c r="BL116" i="59"/>
  <c r="BM116" i="59"/>
  <c r="BN116" i="59"/>
  <c r="BO116" i="59"/>
  <c r="D117" i="59"/>
  <c r="F117" i="59"/>
  <c r="G117" i="59"/>
  <c r="H117" i="59"/>
  <c r="I117" i="59"/>
  <c r="K117" i="59"/>
  <c r="L117" i="59"/>
  <c r="N117" i="59"/>
  <c r="O117" i="59"/>
  <c r="P117" i="59"/>
  <c r="Q117" i="59"/>
  <c r="S117" i="59"/>
  <c r="T117" i="59"/>
  <c r="V117" i="59"/>
  <c r="X117" i="59"/>
  <c r="Y117" i="59"/>
  <c r="Z117" i="59"/>
  <c r="AA117" i="59"/>
  <c r="AB117" i="59"/>
  <c r="AC117" i="59"/>
  <c r="AF117" i="59"/>
  <c r="AG117" i="59"/>
  <c r="AH117" i="59"/>
  <c r="AI117" i="59"/>
  <c r="AJ117" i="59"/>
  <c r="AL117" i="59"/>
  <c r="AM117" i="59"/>
  <c r="AN117" i="59"/>
  <c r="AO117" i="59"/>
  <c r="AP117" i="59"/>
  <c r="AQ117" i="59"/>
  <c r="AR117" i="59"/>
  <c r="AS117" i="59"/>
  <c r="AT117" i="59"/>
  <c r="AU117" i="59"/>
  <c r="AV117" i="59"/>
  <c r="AW117" i="59"/>
  <c r="AX117" i="59"/>
  <c r="AY117" i="59"/>
  <c r="BB117" i="59"/>
  <c r="BC117" i="59"/>
  <c r="BD117" i="59"/>
  <c r="BE117" i="59"/>
  <c r="BF117" i="59"/>
  <c r="BG117" i="59"/>
  <c r="BH117" i="59"/>
  <c r="BI117" i="59"/>
  <c r="BJ117" i="59"/>
  <c r="BK117" i="59"/>
  <c r="BL117" i="59"/>
  <c r="BM117" i="59"/>
  <c r="BN117" i="59"/>
  <c r="BO117" i="59"/>
  <c r="F1" i="60"/>
  <c r="AV1" i="60"/>
  <c r="A2" i="60"/>
  <c r="F2" i="60"/>
  <c r="G2" i="60"/>
  <c r="N2" i="60"/>
  <c r="AV2" i="60"/>
  <c r="AW2" i="60"/>
  <c r="AX2" i="60"/>
  <c r="AY2" i="60"/>
  <c r="BW2" i="60"/>
  <c r="BX2" i="60"/>
  <c r="BY2" i="60"/>
  <c r="BZ2" i="60"/>
  <c r="CA2" i="60"/>
  <c r="CB2" i="60"/>
  <c r="CC2" i="60"/>
  <c r="CD2" i="60"/>
  <c r="CE2" i="60"/>
  <c r="CF2" i="60"/>
  <c r="CG2" i="60"/>
  <c r="CH2" i="60"/>
  <c r="CI2" i="60"/>
  <c r="CJ2" i="60"/>
  <c r="CK2" i="60"/>
  <c r="CL2" i="60"/>
  <c r="CM2" i="60"/>
  <c r="CN2" i="60"/>
  <c r="CO2" i="60"/>
  <c r="CP2" i="60"/>
  <c r="CQ2" i="60"/>
  <c r="CR2" i="60"/>
  <c r="CS2" i="60"/>
  <c r="CT2" i="60"/>
  <c r="CU2" i="60"/>
  <c r="CV2" i="60"/>
  <c r="CW2" i="60"/>
  <c r="CX2" i="60"/>
  <c r="A3" i="60"/>
  <c r="AH3" i="60"/>
  <c r="AK3" i="60"/>
  <c r="AV3" i="60"/>
  <c r="AW3" i="60"/>
  <c r="AX3" i="60"/>
  <c r="AY3" i="60"/>
  <c r="A4" i="60"/>
  <c r="N4" i="60"/>
  <c r="P4" i="60"/>
  <c r="T4" i="60"/>
  <c r="V4" i="60"/>
  <c r="W4" i="60"/>
  <c r="AH4" i="60"/>
  <c r="AK4" i="60"/>
  <c r="AM4" i="60"/>
  <c r="AN4" i="60"/>
  <c r="AO4" i="60"/>
  <c r="AP4" i="60"/>
  <c r="AQ4" i="60"/>
  <c r="AR4" i="60"/>
  <c r="AS4" i="60"/>
  <c r="AT4" i="60"/>
  <c r="AV4" i="60"/>
  <c r="AW4" i="60"/>
  <c r="AX4" i="60"/>
  <c r="AY4" i="60"/>
  <c r="A5" i="60"/>
  <c r="G5" i="60"/>
  <c r="N5" i="60"/>
  <c r="P5" i="60"/>
  <c r="T5" i="60"/>
  <c r="V5" i="60"/>
  <c r="W5" i="60"/>
  <c r="AH5" i="60"/>
  <c r="AK5" i="60"/>
  <c r="AM5" i="60"/>
  <c r="AN5" i="60"/>
  <c r="AO5" i="60"/>
  <c r="AP5" i="60"/>
  <c r="AQ5" i="60"/>
  <c r="AR5" i="60"/>
  <c r="AS5" i="60"/>
  <c r="AT5" i="60"/>
  <c r="AV5" i="60"/>
  <c r="AW5" i="60"/>
  <c r="AX5" i="60"/>
  <c r="AY5" i="60"/>
  <c r="BV5" i="60"/>
  <c r="A6" i="60"/>
  <c r="N6" i="60"/>
  <c r="P6" i="60"/>
  <c r="T6" i="60"/>
  <c r="V6" i="60"/>
  <c r="W6" i="60"/>
  <c r="AH6" i="60"/>
  <c r="AK6" i="60"/>
  <c r="AM6" i="60"/>
  <c r="AN6" i="60"/>
  <c r="AO6" i="60"/>
  <c r="AP6" i="60"/>
  <c r="AQ6" i="60"/>
  <c r="AR6" i="60"/>
  <c r="AS6" i="60"/>
  <c r="AT6" i="60"/>
  <c r="A7" i="60"/>
  <c r="G7" i="60"/>
  <c r="N7" i="60"/>
  <c r="N7" i="60" a="1"/>
  <c r="P7" i="60"/>
  <c r="T7" i="60"/>
  <c r="AH7" i="60"/>
  <c r="AK7" i="60"/>
  <c r="AM7" i="60"/>
  <c r="AN7" i="60"/>
  <c r="AO7" i="60"/>
  <c r="AP7" i="60"/>
  <c r="AQ7" i="60"/>
  <c r="AR7" i="60"/>
  <c r="AS7" i="60"/>
  <c r="AT7" i="60"/>
  <c r="AV7" i="60"/>
  <c r="AW7" i="60"/>
  <c r="AX7" i="60"/>
  <c r="AY7" i="60"/>
  <c r="G8" i="60"/>
  <c r="N8" i="60"/>
  <c r="N8" i="60" a="1"/>
  <c r="P8" i="60"/>
  <c r="T8" i="60"/>
  <c r="V8" i="60"/>
  <c r="W8" i="60"/>
  <c r="Y8" i="60"/>
  <c r="Z8" i="60"/>
  <c r="AH8" i="60"/>
  <c r="AK8" i="60"/>
  <c r="AM8" i="60"/>
  <c r="AN8" i="60"/>
  <c r="AO8" i="60"/>
  <c r="AP8" i="60"/>
  <c r="AQ8" i="60"/>
  <c r="AR8" i="60"/>
  <c r="AS8" i="60"/>
  <c r="AT8" i="60"/>
  <c r="AV8" i="60"/>
  <c r="AW8" i="60"/>
  <c r="AX8" i="60"/>
  <c r="AY8" i="60"/>
  <c r="N9" i="60"/>
  <c r="N9" i="60" a="1"/>
  <c r="P9" i="60"/>
  <c r="AK9" i="60"/>
  <c r="AM9" i="60"/>
  <c r="AN9" i="60"/>
  <c r="AO9" i="60"/>
  <c r="AP9" i="60"/>
  <c r="AQ9" i="60"/>
  <c r="AR9" i="60"/>
  <c r="AS9" i="60"/>
  <c r="AT9" i="60"/>
  <c r="AV9" i="60"/>
  <c r="AW9" i="60"/>
  <c r="AX9" i="60"/>
  <c r="AY9" i="60"/>
  <c r="N10" i="60"/>
  <c r="P10" i="60"/>
  <c r="AH10" i="60"/>
  <c r="AM10" i="60"/>
  <c r="AN10" i="60"/>
  <c r="AO10" i="60"/>
  <c r="AP10" i="60"/>
  <c r="AQ10" i="60"/>
  <c r="AR10" i="60"/>
  <c r="AS10" i="60"/>
  <c r="AT10" i="60"/>
  <c r="AV10" i="60"/>
  <c r="AW10" i="60"/>
  <c r="AX10" i="60"/>
  <c r="AY10" i="60"/>
  <c r="D11" i="60"/>
  <c r="N11" i="60"/>
  <c r="P11" i="60"/>
  <c r="AM11" i="60"/>
  <c r="AN11" i="60"/>
  <c r="AO11" i="60"/>
  <c r="AP11" i="60"/>
  <c r="AQ11" i="60"/>
  <c r="AR11" i="60"/>
  <c r="AS11" i="60"/>
  <c r="AT11" i="60"/>
  <c r="AV11" i="60"/>
  <c r="AW11" i="60"/>
  <c r="AX11" i="60"/>
  <c r="AY11" i="60"/>
  <c r="D12" i="60"/>
  <c r="N12" i="60"/>
  <c r="P12" i="60"/>
  <c r="AH12" i="60"/>
  <c r="AM12" i="60"/>
  <c r="AN12" i="60"/>
  <c r="AO12" i="60"/>
  <c r="AP12" i="60"/>
  <c r="AQ12" i="60"/>
  <c r="AR12" i="60"/>
  <c r="AS12" i="60"/>
  <c r="AT12" i="60"/>
  <c r="AV12" i="60"/>
  <c r="AW12" i="60"/>
  <c r="AX12" i="60"/>
  <c r="AY12" i="60"/>
  <c r="N13" i="60"/>
  <c r="P13" i="60"/>
  <c r="AH13" i="60"/>
  <c r="AM13" i="60"/>
  <c r="AN13" i="60"/>
  <c r="AO13" i="60"/>
  <c r="AP13" i="60"/>
  <c r="AQ13" i="60"/>
  <c r="AR13" i="60"/>
  <c r="AS13" i="60"/>
  <c r="AT13" i="60"/>
  <c r="AV13" i="60"/>
  <c r="AW13" i="60"/>
  <c r="AX13" i="60"/>
  <c r="AY13" i="60"/>
  <c r="N14" i="60"/>
  <c r="P14" i="60"/>
  <c r="S14" i="60"/>
  <c r="T14" i="60"/>
  <c r="AM14" i="60"/>
  <c r="AN14" i="60"/>
  <c r="AO14" i="60"/>
  <c r="AP14" i="60"/>
  <c r="AQ14" i="60"/>
  <c r="AR14" i="60"/>
  <c r="AS14" i="60"/>
  <c r="AT14" i="60"/>
  <c r="AV14" i="60"/>
  <c r="AW14" i="60"/>
  <c r="AX14" i="60"/>
  <c r="AY14" i="60"/>
  <c r="N15" i="60"/>
  <c r="P15" i="60"/>
  <c r="AM15" i="60"/>
  <c r="AN15" i="60"/>
  <c r="AO15" i="60"/>
  <c r="AP15" i="60"/>
  <c r="AQ15" i="60"/>
  <c r="AR15" i="60"/>
  <c r="AS15" i="60"/>
  <c r="AT15" i="60"/>
  <c r="AV15" i="60"/>
  <c r="AW15" i="60"/>
  <c r="AX15" i="60"/>
  <c r="AY15" i="60"/>
  <c r="N16" i="60"/>
  <c r="P16" i="60"/>
  <c r="AV16" i="60"/>
  <c r="AW16" i="60"/>
  <c r="AX16" i="60"/>
  <c r="AY16" i="60"/>
  <c r="N17" i="60"/>
  <c r="P17" i="60"/>
  <c r="AV17" i="60"/>
  <c r="AW17" i="60"/>
  <c r="AX17" i="60"/>
  <c r="AY17" i="60"/>
  <c r="N18" i="60"/>
  <c r="P18" i="60"/>
  <c r="AX18" i="60"/>
  <c r="AY18" i="60"/>
  <c r="N19" i="60"/>
  <c r="P19" i="60"/>
  <c r="S20" i="60"/>
  <c r="T20" i="60"/>
  <c r="AM20" i="60"/>
  <c r="AO20" i="60"/>
  <c r="AV20" i="60"/>
  <c r="AW20" i="60"/>
  <c r="AX20" i="60"/>
  <c r="AY20" i="60"/>
  <c r="D22" i="60"/>
  <c r="F22" i="60"/>
  <c r="G22" i="60"/>
  <c r="H22" i="60"/>
  <c r="I22" i="60"/>
  <c r="K22" i="60"/>
  <c r="L22" i="60"/>
  <c r="N22" i="60"/>
  <c r="O22" i="60"/>
  <c r="P22" i="60"/>
  <c r="Q22" i="60"/>
  <c r="S22" i="60"/>
  <c r="T22" i="60"/>
  <c r="V22" i="60"/>
  <c r="X22" i="60"/>
  <c r="Y22" i="60"/>
  <c r="Z22" i="60"/>
  <c r="AA22" i="60"/>
  <c r="AB22" i="60"/>
  <c r="AC22" i="60"/>
  <c r="AF22" i="60"/>
  <c r="AG22" i="60"/>
  <c r="AH22" i="60"/>
  <c r="AI22" i="60"/>
  <c r="AJ22" i="60"/>
  <c r="AL22" i="60"/>
  <c r="AM22" i="60"/>
  <c r="AN22" i="60"/>
  <c r="AO22" i="60"/>
  <c r="AP22" i="60"/>
  <c r="AQ22" i="60"/>
  <c r="AR22" i="60"/>
  <c r="AS22" i="60"/>
  <c r="AT22" i="60"/>
  <c r="AU22" i="60"/>
  <c r="AV22" i="60"/>
  <c r="AW22" i="60"/>
  <c r="AX22" i="60"/>
  <c r="AY22" i="60"/>
  <c r="BB22" i="60"/>
  <c r="BC22" i="60"/>
  <c r="BD22" i="60"/>
  <c r="BE22" i="60"/>
  <c r="BF22" i="60"/>
  <c r="BG22" i="60"/>
  <c r="BH22" i="60"/>
  <c r="BI22" i="60"/>
  <c r="BJ22" i="60"/>
  <c r="BK22" i="60"/>
  <c r="BL22" i="60"/>
  <c r="BM22" i="60"/>
  <c r="BN22" i="60"/>
  <c r="BO22" i="60"/>
  <c r="D23" i="60"/>
  <c r="F23" i="60"/>
  <c r="G23" i="60"/>
  <c r="H23" i="60"/>
  <c r="I23" i="60"/>
  <c r="K23" i="60"/>
  <c r="L23" i="60"/>
  <c r="N23" i="60"/>
  <c r="O23" i="60"/>
  <c r="P23" i="60"/>
  <c r="Q23" i="60"/>
  <c r="S23" i="60"/>
  <c r="T23" i="60"/>
  <c r="V23" i="60"/>
  <c r="X23" i="60"/>
  <c r="Y23" i="60"/>
  <c r="Z23" i="60"/>
  <c r="AA23" i="60"/>
  <c r="AB23" i="60"/>
  <c r="AC23" i="60"/>
  <c r="AF23" i="60"/>
  <c r="AG23" i="60"/>
  <c r="AH23" i="60"/>
  <c r="AI23" i="60"/>
  <c r="AJ23" i="60"/>
  <c r="AL23" i="60"/>
  <c r="AM23" i="60"/>
  <c r="AN23" i="60"/>
  <c r="AO23" i="60"/>
  <c r="AP23" i="60"/>
  <c r="AQ23" i="60"/>
  <c r="AR23" i="60"/>
  <c r="AS23" i="60"/>
  <c r="AT23" i="60"/>
  <c r="AU23" i="60"/>
  <c r="AV23" i="60"/>
  <c r="AW23" i="60"/>
  <c r="AX23" i="60"/>
  <c r="AY23" i="60"/>
  <c r="BB23" i="60"/>
  <c r="BC23" i="60"/>
  <c r="BD23" i="60"/>
  <c r="BE23" i="60"/>
  <c r="BF23" i="60"/>
  <c r="BG23" i="60"/>
  <c r="BH23" i="60"/>
  <c r="BI23" i="60"/>
  <c r="BJ23" i="60"/>
  <c r="BK23" i="60"/>
  <c r="BL23" i="60"/>
  <c r="BM23" i="60"/>
  <c r="BN23" i="60"/>
  <c r="BO23" i="60"/>
  <c r="D24" i="60"/>
  <c r="F24" i="60"/>
  <c r="G24" i="60"/>
  <c r="H24" i="60"/>
  <c r="I24" i="60"/>
  <c r="K24" i="60"/>
  <c r="L24" i="60"/>
  <c r="N24" i="60"/>
  <c r="O24" i="60"/>
  <c r="P24" i="60"/>
  <c r="Q24" i="60"/>
  <c r="S24" i="60"/>
  <c r="T24" i="60"/>
  <c r="V24" i="60"/>
  <c r="X24" i="60"/>
  <c r="Y24" i="60"/>
  <c r="Z24" i="60"/>
  <c r="AA24" i="60"/>
  <c r="AB24" i="60"/>
  <c r="AC24" i="60"/>
  <c r="AF24" i="60"/>
  <c r="AG24" i="60"/>
  <c r="AH24" i="60"/>
  <c r="AI24" i="60"/>
  <c r="AJ24" i="60"/>
  <c r="AL24" i="60"/>
  <c r="AM24" i="60"/>
  <c r="AN24" i="60"/>
  <c r="AO24" i="60"/>
  <c r="AP24" i="60"/>
  <c r="AQ24" i="60"/>
  <c r="AR24" i="60"/>
  <c r="AS24" i="60"/>
  <c r="AT24" i="60"/>
  <c r="AU24" i="60"/>
  <c r="AV24" i="60"/>
  <c r="AW24" i="60"/>
  <c r="AX24" i="60"/>
  <c r="AY24" i="60"/>
  <c r="BB24" i="60"/>
  <c r="BC24" i="60"/>
  <c r="BD24" i="60"/>
  <c r="BE24" i="60"/>
  <c r="BF24" i="60"/>
  <c r="BG24" i="60"/>
  <c r="BH24" i="60"/>
  <c r="BI24" i="60"/>
  <c r="BJ24" i="60"/>
  <c r="BK24" i="60"/>
  <c r="BL24" i="60"/>
  <c r="BM24" i="60"/>
  <c r="BN24" i="60"/>
  <c r="BO24" i="60"/>
  <c r="D25" i="60"/>
  <c r="F25" i="60"/>
  <c r="G25" i="60"/>
  <c r="H25" i="60"/>
  <c r="I25" i="60"/>
  <c r="K25" i="60"/>
  <c r="L25" i="60"/>
  <c r="N25" i="60"/>
  <c r="O25" i="60"/>
  <c r="P25" i="60"/>
  <c r="Q25" i="60"/>
  <c r="S25" i="60"/>
  <c r="T25" i="60"/>
  <c r="V25" i="60"/>
  <c r="X25" i="60"/>
  <c r="Y25" i="60"/>
  <c r="Z25" i="60"/>
  <c r="AA25" i="60"/>
  <c r="AB25" i="60"/>
  <c r="AC25" i="60"/>
  <c r="AF25" i="60"/>
  <c r="AG25" i="60"/>
  <c r="AH25" i="60"/>
  <c r="AI25" i="60"/>
  <c r="AJ25" i="60"/>
  <c r="AL25" i="60"/>
  <c r="AM25" i="60"/>
  <c r="AN25" i="60"/>
  <c r="AO25" i="60"/>
  <c r="AP25" i="60"/>
  <c r="AQ25" i="60"/>
  <c r="AR25" i="60"/>
  <c r="AS25" i="60"/>
  <c r="AT25" i="60"/>
  <c r="AU25" i="60"/>
  <c r="AV25" i="60"/>
  <c r="AW25" i="60"/>
  <c r="AX25" i="60"/>
  <c r="AY25" i="60"/>
  <c r="BB25" i="60"/>
  <c r="BC25" i="60"/>
  <c r="BD25" i="60"/>
  <c r="BE25" i="60"/>
  <c r="BF25" i="60"/>
  <c r="BG25" i="60"/>
  <c r="BH25" i="60"/>
  <c r="BI25" i="60"/>
  <c r="BJ25" i="60"/>
  <c r="BK25" i="60"/>
  <c r="BL25" i="60"/>
  <c r="BM25" i="60"/>
  <c r="BN25" i="60"/>
  <c r="BO25" i="60"/>
  <c r="D26" i="60"/>
  <c r="F26" i="60"/>
  <c r="G26" i="60"/>
  <c r="H26" i="60"/>
  <c r="I26" i="60"/>
  <c r="K26" i="60"/>
  <c r="L26" i="60"/>
  <c r="N26" i="60"/>
  <c r="O26" i="60"/>
  <c r="P26" i="60"/>
  <c r="Q26" i="60"/>
  <c r="S26" i="60"/>
  <c r="T26" i="60"/>
  <c r="V26" i="60"/>
  <c r="X26" i="60"/>
  <c r="Y26" i="60"/>
  <c r="Z26" i="60"/>
  <c r="AA26" i="60"/>
  <c r="AB26" i="60"/>
  <c r="AC26" i="60"/>
  <c r="AF26" i="60"/>
  <c r="AG26" i="60"/>
  <c r="AH26" i="60"/>
  <c r="AI26" i="60"/>
  <c r="AJ26" i="60"/>
  <c r="AL26" i="60"/>
  <c r="AM26" i="60"/>
  <c r="AN26" i="60"/>
  <c r="AO26" i="60"/>
  <c r="AP26" i="60"/>
  <c r="AQ26" i="60"/>
  <c r="AR26" i="60"/>
  <c r="AS26" i="60"/>
  <c r="AT26" i="60"/>
  <c r="AU26" i="60"/>
  <c r="AV26" i="60"/>
  <c r="AW26" i="60"/>
  <c r="AX26" i="60"/>
  <c r="AY26" i="60"/>
  <c r="BB26" i="60"/>
  <c r="BC26" i="60"/>
  <c r="BD26" i="60"/>
  <c r="BE26" i="60"/>
  <c r="BF26" i="60"/>
  <c r="BG26" i="60"/>
  <c r="BH26" i="60"/>
  <c r="BI26" i="60"/>
  <c r="BJ26" i="60"/>
  <c r="BK26" i="60"/>
  <c r="BL26" i="60"/>
  <c r="BM26" i="60"/>
  <c r="BN26" i="60"/>
  <c r="BO26" i="60"/>
  <c r="D27" i="60"/>
  <c r="F27" i="60"/>
  <c r="G27" i="60"/>
  <c r="H27" i="60"/>
  <c r="I27" i="60"/>
  <c r="K27" i="60"/>
  <c r="L27" i="60"/>
  <c r="N27" i="60"/>
  <c r="O27" i="60"/>
  <c r="P27" i="60"/>
  <c r="Q27" i="60"/>
  <c r="S27" i="60"/>
  <c r="T27" i="60"/>
  <c r="V27" i="60"/>
  <c r="X27" i="60"/>
  <c r="Y27" i="60"/>
  <c r="Z27" i="60"/>
  <c r="AA27" i="60"/>
  <c r="AB27" i="60"/>
  <c r="AC27" i="60"/>
  <c r="AF27" i="60"/>
  <c r="AG27" i="60"/>
  <c r="AH27" i="60"/>
  <c r="AI27" i="60"/>
  <c r="AJ27" i="60"/>
  <c r="AL27" i="60"/>
  <c r="AM27" i="60"/>
  <c r="AN27" i="60"/>
  <c r="AO27" i="60"/>
  <c r="AP27" i="60"/>
  <c r="AQ27" i="60"/>
  <c r="AR27" i="60"/>
  <c r="AS27" i="60"/>
  <c r="AT27" i="60"/>
  <c r="AU27" i="60"/>
  <c r="AV27" i="60"/>
  <c r="AW27" i="60"/>
  <c r="AX27" i="60"/>
  <c r="AY27" i="60"/>
  <c r="BB27" i="60"/>
  <c r="BC27" i="60"/>
  <c r="BD27" i="60"/>
  <c r="BE27" i="60"/>
  <c r="BF27" i="60"/>
  <c r="BG27" i="60"/>
  <c r="BH27" i="60"/>
  <c r="BI27" i="60"/>
  <c r="BJ27" i="60"/>
  <c r="BK27" i="60"/>
  <c r="BL27" i="60"/>
  <c r="BM27" i="60"/>
  <c r="BN27" i="60"/>
  <c r="BO27" i="60"/>
  <c r="D28" i="60"/>
  <c r="F28" i="60"/>
  <c r="G28" i="60"/>
  <c r="H28" i="60"/>
  <c r="I28" i="60"/>
  <c r="K28" i="60"/>
  <c r="L28" i="60"/>
  <c r="N28" i="60"/>
  <c r="O28" i="60"/>
  <c r="P28" i="60"/>
  <c r="Q28" i="60"/>
  <c r="S28" i="60"/>
  <c r="T28" i="60"/>
  <c r="V28" i="60"/>
  <c r="X28" i="60"/>
  <c r="Y28" i="60"/>
  <c r="Z28" i="60"/>
  <c r="AA28" i="60"/>
  <c r="AB28" i="60"/>
  <c r="AC28" i="60"/>
  <c r="AF28" i="60"/>
  <c r="AG28" i="60"/>
  <c r="AH28" i="60"/>
  <c r="AI28" i="60"/>
  <c r="AJ28" i="60"/>
  <c r="AL28" i="60"/>
  <c r="AM28" i="60"/>
  <c r="AN28" i="60"/>
  <c r="AO28" i="60"/>
  <c r="AP28" i="60"/>
  <c r="AQ28" i="60"/>
  <c r="AR28" i="60"/>
  <c r="AS28" i="60"/>
  <c r="AT28" i="60"/>
  <c r="AU28" i="60"/>
  <c r="AV28" i="60"/>
  <c r="AW28" i="60"/>
  <c r="AX28" i="60"/>
  <c r="AY28" i="60"/>
  <c r="BB28" i="60"/>
  <c r="BC28" i="60"/>
  <c r="BD28" i="60"/>
  <c r="BE28" i="60"/>
  <c r="BF28" i="60"/>
  <c r="BG28" i="60"/>
  <c r="BH28" i="60"/>
  <c r="BI28" i="60"/>
  <c r="BJ28" i="60"/>
  <c r="BK28" i="60"/>
  <c r="BL28" i="60"/>
  <c r="BM28" i="60"/>
  <c r="BN28" i="60"/>
  <c r="BO28" i="60"/>
  <c r="D29" i="60"/>
  <c r="F29" i="60"/>
  <c r="G29" i="60"/>
  <c r="H29" i="60"/>
  <c r="I29" i="60"/>
  <c r="K29" i="60"/>
  <c r="L29" i="60"/>
  <c r="N29" i="60"/>
  <c r="O29" i="60"/>
  <c r="P29" i="60"/>
  <c r="Q29" i="60"/>
  <c r="S29" i="60"/>
  <c r="T29" i="60"/>
  <c r="V29" i="60"/>
  <c r="X29" i="60"/>
  <c r="Y29" i="60"/>
  <c r="Z29" i="60"/>
  <c r="AA29" i="60"/>
  <c r="AB29" i="60"/>
  <c r="AC29" i="60"/>
  <c r="AF29" i="60"/>
  <c r="AG29" i="60"/>
  <c r="AH29" i="60"/>
  <c r="AI29" i="60"/>
  <c r="AJ29" i="60"/>
  <c r="AL29" i="60"/>
  <c r="AM29" i="60"/>
  <c r="AN29" i="60"/>
  <c r="AO29" i="60"/>
  <c r="AP29" i="60"/>
  <c r="AQ29" i="60"/>
  <c r="AR29" i="60"/>
  <c r="AS29" i="60"/>
  <c r="AT29" i="60"/>
  <c r="AU29" i="60"/>
  <c r="AV29" i="60"/>
  <c r="AW29" i="60"/>
  <c r="AX29" i="60"/>
  <c r="AY29" i="60"/>
  <c r="BB29" i="60"/>
  <c r="BC29" i="60"/>
  <c r="BD29" i="60"/>
  <c r="BE29" i="60"/>
  <c r="BF29" i="60"/>
  <c r="BG29" i="60"/>
  <c r="BH29" i="60"/>
  <c r="BI29" i="60"/>
  <c r="BJ29" i="60"/>
  <c r="BK29" i="60"/>
  <c r="BL29" i="60"/>
  <c r="BM29" i="60"/>
  <c r="BN29" i="60"/>
  <c r="BO29" i="60"/>
  <c r="D30" i="60"/>
  <c r="F30" i="60"/>
  <c r="G30" i="60"/>
  <c r="H30" i="60"/>
  <c r="I30" i="60"/>
  <c r="K30" i="60"/>
  <c r="L30" i="60"/>
  <c r="N30" i="60"/>
  <c r="O30" i="60"/>
  <c r="P30" i="60"/>
  <c r="Q30" i="60"/>
  <c r="S30" i="60"/>
  <c r="T30" i="60"/>
  <c r="V30" i="60"/>
  <c r="X30" i="60"/>
  <c r="Y30" i="60"/>
  <c r="Z30" i="60"/>
  <c r="AA30" i="60"/>
  <c r="AB30" i="60"/>
  <c r="AC30" i="60"/>
  <c r="AF30" i="60"/>
  <c r="AG30" i="60"/>
  <c r="AH30" i="60"/>
  <c r="AI30" i="60"/>
  <c r="AJ30" i="60"/>
  <c r="AL30" i="60"/>
  <c r="AM30" i="60"/>
  <c r="AN30" i="60"/>
  <c r="AO30" i="60"/>
  <c r="AP30" i="60"/>
  <c r="AQ30" i="60"/>
  <c r="AR30" i="60"/>
  <c r="AS30" i="60"/>
  <c r="AT30" i="60"/>
  <c r="AU30" i="60"/>
  <c r="AV30" i="60"/>
  <c r="AW30" i="60"/>
  <c r="AX30" i="60"/>
  <c r="AY30" i="60"/>
  <c r="BB30" i="60"/>
  <c r="BC30" i="60"/>
  <c r="BD30" i="60"/>
  <c r="BE30" i="60"/>
  <c r="BF30" i="60"/>
  <c r="BG30" i="60"/>
  <c r="BH30" i="60"/>
  <c r="BI30" i="60"/>
  <c r="BJ30" i="60"/>
  <c r="BK30" i="60"/>
  <c r="BL30" i="60"/>
  <c r="BM30" i="60"/>
  <c r="BN30" i="60"/>
  <c r="BO30" i="60"/>
  <c r="D31" i="60"/>
  <c r="F31" i="60"/>
  <c r="G31" i="60"/>
  <c r="H31" i="60"/>
  <c r="I31" i="60"/>
  <c r="K31" i="60"/>
  <c r="L31" i="60"/>
  <c r="N31" i="60"/>
  <c r="O31" i="60"/>
  <c r="P31" i="60"/>
  <c r="Q31" i="60"/>
  <c r="S31" i="60"/>
  <c r="T31" i="60"/>
  <c r="V31" i="60"/>
  <c r="X31" i="60"/>
  <c r="Y31" i="60"/>
  <c r="Z31" i="60"/>
  <c r="AA31" i="60"/>
  <c r="AB31" i="60"/>
  <c r="AC31" i="60"/>
  <c r="AF31" i="60"/>
  <c r="AG31" i="60"/>
  <c r="AH31" i="60"/>
  <c r="AI31" i="60"/>
  <c r="AJ31" i="60"/>
  <c r="AL31" i="60"/>
  <c r="AM31" i="60"/>
  <c r="AN31" i="60"/>
  <c r="AO31" i="60"/>
  <c r="AP31" i="60"/>
  <c r="AQ31" i="60"/>
  <c r="AR31" i="60"/>
  <c r="AS31" i="60"/>
  <c r="AT31" i="60"/>
  <c r="AU31" i="60"/>
  <c r="AV31" i="60"/>
  <c r="AW31" i="60"/>
  <c r="AX31" i="60"/>
  <c r="AY31" i="60"/>
  <c r="BB31" i="60"/>
  <c r="BC31" i="60"/>
  <c r="BD31" i="60"/>
  <c r="BE31" i="60"/>
  <c r="BF31" i="60"/>
  <c r="BG31" i="60"/>
  <c r="BH31" i="60"/>
  <c r="BI31" i="60"/>
  <c r="BJ31" i="60"/>
  <c r="BK31" i="60"/>
  <c r="BL31" i="60"/>
  <c r="BM31" i="60"/>
  <c r="BN31" i="60"/>
  <c r="BO31" i="60"/>
  <c r="D32" i="60"/>
  <c r="F32" i="60"/>
  <c r="G32" i="60"/>
  <c r="H32" i="60"/>
  <c r="I32" i="60"/>
  <c r="K32" i="60"/>
  <c r="L32" i="60"/>
  <c r="N32" i="60"/>
  <c r="O32" i="60"/>
  <c r="P32" i="60"/>
  <c r="Q32" i="60"/>
  <c r="S32" i="60"/>
  <c r="T32" i="60"/>
  <c r="V32" i="60"/>
  <c r="X32" i="60"/>
  <c r="Y32" i="60"/>
  <c r="Z32" i="60"/>
  <c r="AA32" i="60"/>
  <c r="AB32" i="60"/>
  <c r="AC32" i="60"/>
  <c r="AF32" i="60"/>
  <c r="AG32" i="60"/>
  <c r="AH32" i="60"/>
  <c r="AI32" i="60"/>
  <c r="AJ32" i="60"/>
  <c r="AL32" i="60"/>
  <c r="AM32" i="60"/>
  <c r="AN32" i="60"/>
  <c r="AO32" i="60"/>
  <c r="AP32" i="60"/>
  <c r="AQ32" i="60"/>
  <c r="AR32" i="60"/>
  <c r="AS32" i="60"/>
  <c r="AT32" i="60"/>
  <c r="AU32" i="60"/>
  <c r="AV32" i="60"/>
  <c r="AW32" i="60"/>
  <c r="AX32" i="60"/>
  <c r="AY32" i="60"/>
  <c r="BB32" i="60"/>
  <c r="BC32" i="60"/>
  <c r="BD32" i="60"/>
  <c r="BE32" i="60"/>
  <c r="BF32" i="60"/>
  <c r="BG32" i="60"/>
  <c r="BH32" i="60"/>
  <c r="BI32" i="60"/>
  <c r="BJ32" i="60"/>
  <c r="BK32" i="60"/>
  <c r="BL32" i="60"/>
  <c r="BM32" i="60"/>
  <c r="BN32" i="60"/>
  <c r="BO32" i="60"/>
  <c r="D33" i="60"/>
  <c r="F33" i="60"/>
  <c r="G33" i="60"/>
  <c r="H33" i="60"/>
  <c r="I33" i="60"/>
  <c r="K33" i="60"/>
  <c r="L33" i="60"/>
  <c r="N33" i="60"/>
  <c r="O33" i="60"/>
  <c r="P33" i="60"/>
  <c r="Q33" i="60"/>
  <c r="S33" i="60"/>
  <c r="T33" i="60"/>
  <c r="V33" i="60"/>
  <c r="X33" i="60"/>
  <c r="Y33" i="60"/>
  <c r="Z33" i="60"/>
  <c r="AA33" i="60"/>
  <c r="AB33" i="60"/>
  <c r="AC33" i="60"/>
  <c r="AF33" i="60"/>
  <c r="AG33" i="60"/>
  <c r="AH33" i="60"/>
  <c r="AI33" i="60"/>
  <c r="AJ33" i="60"/>
  <c r="AL33" i="60"/>
  <c r="AM33" i="60"/>
  <c r="AN33" i="60"/>
  <c r="AO33" i="60"/>
  <c r="AP33" i="60"/>
  <c r="AQ33" i="60"/>
  <c r="AR33" i="60"/>
  <c r="AS33" i="60"/>
  <c r="AT33" i="60"/>
  <c r="AU33" i="60"/>
  <c r="AV33" i="60"/>
  <c r="AW33" i="60"/>
  <c r="AX33" i="60"/>
  <c r="AY33" i="60"/>
  <c r="BB33" i="60"/>
  <c r="BC33" i="60"/>
  <c r="BD33" i="60"/>
  <c r="BE33" i="60"/>
  <c r="BF33" i="60"/>
  <c r="BG33" i="60"/>
  <c r="BH33" i="60"/>
  <c r="BI33" i="60"/>
  <c r="BJ33" i="60"/>
  <c r="BK33" i="60"/>
  <c r="BL33" i="60"/>
  <c r="BM33" i="60"/>
  <c r="BN33" i="60"/>
  <c r="BO33" i="60"/>
  <c r="D34" i="60"/>
  <c r="F34" i="60"/>
  <c r="G34" i="60"/>
  <c r="H34" i="60"/>
  <c r="I34" i="60"/>
  <c r="K34" i="60"/>
  <c r="L34" i="60"/>
  <c r="N34" i="60"/>
  <c r="O34" i="60"/>
  <c r="P34" i="60"/>
  <c r="Q34" i="60"/>
  <c r="S34" i="60"/>
  <c r="T34" i="60"/>
  <c r="V34" i="60"/>
  <c r="X34" i="60"/>
  <c r="Y34" i="60"/>
  <c r="Z34" i="60"/>
  <c r="AA34" i="60"/>
  <c r="AB34" i="60"/>
  <c r="AC34" i="60"/>
  <c r="AF34" i="60"/>
  <c r="AG34" i="60"/>
  <c r="AH34" i="60"/>
  <c r="AI34" i="60"/>
  <c r="AJ34" i="60"/>
  <c r="AL34" i="60"/>
  <c r="AM34" i="60"/>
  <c r="AN34" i="60"/>
  <c r="AO34" i="60"/>
  <c r="AP34" i="60"/>
  <c r="AQ34" i="60"/>
  <c r="AR34" i="60"/>
  <c r="AS34" i="60"/>
  <c r="AT34" i="60"/>
  <c r="AU34" i="60"/>
  <c r="AV34" i="60"/>
  <c r="AW34" i="60"/>
  <c r="AX34" i="60"/>
  <c r="AY34" i="60"/>
  <c r="BB34" i="60"/>
  <c r="BC34" i="60"/>
  <c r="BD34" i="60"/>
  <c r="BE34" i="60"/>
  <c r="BF34" i="60"/>
  <c r="BG34" i="60"/>
  <c r="BH34" i="60"/>
  <c r="BI34" i="60"/>
  <c r="BJ34" i="60"/>
  <c r="BK34" i="60"/>
  <c r="BL34" i="60"/>
  <c r="BM34" i="60"/>
  <c r="BN34" i="60"/>
  <c r="BO34" i="60"/>
  <c r="D35" i="60"/>
  <c r="F35" i="60"/>
  <c r="G35" i="60"/>
  <c r="H35" i="60"/>
  <c r="I35" i="60"/>
  <c r="K35" i="60"/>
  <c r="L35" i="60"/>
  <c r="N35" i="60"/>
  <c r="O35" i="60"/>
  <c r="P35" i="60"/>
  <c r="Q35" i="60"/>
  <c r="S35" i="60"/>
  <c r="T35" i="60"/>
  <c r="V35" i="60"/>
  <c r="X35" i="60"/>
  <c r="Y35" i="60"/>
  <c r="Z35" i="60"/>
  <c r="AA35" i="60"/>
  <c r="AB35" i="60"/>
  <c r="AC35" i="60"/>
  <c r="AF35" i="60"/>
  <c r="AG35" i="60"/>
  <c r="AH35" i="60"/>
  <c r="AI35" i="60"/>
  <c r="AJ35" i="60"/>
  <c r="AL35" i="60"/>
  <c r="AM35" i="60"/>
  <c r="AN35" i="60"/>
  <c r="AO35" i="60"/>
  <c r="AP35" i="60"/>
  <c r="AQ35" i="60"/>
  <c r="AR35" i="60"/>
  <c r="AS35" i="60"/>
  <c r="AT35" i="60"/>
  <c r="AU35" i="60"/>
  <c r="AV35" i="60"/>
  <c r="AW35" i="60"/>
  <c r="AX35" i="60"/>
  <c r="AY35" i="60"/>
  <c r="BB35" i="60"/>
  <c r="BC35" i="60"/>
  <c r="BD35" i="60"/>
  <c r="BE35" i="60"/>
  <c r="BF35" i="60"/>
  <c r="BG35" i="60"/>
  <c r="BH35" i="60"/>
  <c r="BI35" i="60"/>
  <c r="BJ35" i="60"/>
  <c r="BK35" i="60"/>
  <c r="BL35" i="60"/>
  <c r="BM35" i="60"/>
  <c r="BN35" i="60"/>
  <c r="BO35" i="60"/>
  <c r="D36" i="60"/>
  <c r="F36" i="60"/>
  <c r="G36" i="60"/>
  <c r="H36" i="60"/>
  <c r="I36" i="60"/>
  <c r="K36" i="60"/>
  <c r="L36" i="60"/>
  <c r="N36" i="60"/>
  <c r="O36" i="60"/>
  <c r="P36" i="60"/>
  <c r="Q36" i="60"/>
  <c r="S36" i="60"/>
  <c r="T36" i="60"/>
  <c r="V36" i="60"/>
  <c r="X36" i="60"/>
  <c r="Y36" i="60"/>
  <c r="Z36" i="60"/>
  <c r="AA36" i="60"/>
  <c r="AB36" i="60"/>
  <c r="AC36" i="60"/>
  <c r="AF36" i="60"/>
  <c r="AG36" i="60"/>
  <c r="AH36" i="60"/>
  <c r="AI36" i="60"/>
  <c r="AJ36" i="60"/>
  <c r="AL36" i="60"/>
  <c r="AM36" i="60"/>
  <c r="AN36" i="60"/>
  <c r="AO36" i="60"/>
  <c r="AP36" i="60"/>
  <c r="AQ36" i="60"/>
  <c r="AR36" i="60"/>
  <c r="AS36" i="60"/>
  <c r="AT36" i="60"/>
  <c r="AU36" i="60"/>
  <c r="AV36" i="60"/>
  <c r="AW36" i="60"/>
  <c r="AX36" i="60"/>
  <c r="AY36" i="60"/>
  <c r="BB36" i="60"/>
  <c r="BC36" i="60"/>
  <c r="BD36" i="60"/>
  <c r="BE36" i="60"/>
  <c r="BF36" i="60"/>
  <c r="BG36" i="60"/>
  <c r="BH36" i="60"/>
  <c r="BI36" i="60"/>
  <c r="BJ36" i="60"/>
  <c r="BK36" i="60"/>
  <c r="BL36" i="60"/>
  <c r="BM36" i="60"/>
  <c r="BN36" i="60"/>
  <c r="BO36" i="60"/>
  <c r="D37" i="60"/>
  <c r="F37" i="60"/>
  <c r="G37" i="60"/>
  <c r="H37" i="60"/>
  <c r="I37" i="60"/>
  <c r="K37" i="60"/>
  <c r="L37" i="60"/>
  <c r="N37" i="60"/>
  <c r="O37" i="60"/>
  <c r="P37" i="60"/>
  <c r="Q37" i="60"/>
  <c r="S37" i="60"/>
  <c r="T37" i="60"/>
  <c r="V37" i="60"/>
  <c r="X37" i="60"/>
  <c r="Y37" i="60"/>
  <c r="Z37" i="60"/>
  <c r="AA37" i="60"/>
  <c r="AB37" i="60"/>
  <c r="AC37" i="60"/>
  <c r="AF37" i="60"/>
  <c r="AG37" i="60"/>
  <c r="AH37" i="60"/>
  <c r="AI37" i="60"/>
  <c r="AJ37" i="60"/>
  <c r="AL37" i="60"/>
  <c r="AM37" i="60"/>
  <c r="AN37" i="60"/>
  <c r="AO37" i="60"/>
  <c r="AP37" i="60"/>
  <c r="AQ37" i="60"/>
  <c r="AR37" i="60"/>
  <c r="AS37" i="60"/>
  <c r="AT37" i="60"/>
  <c r="AU37" i="60"/>
  <c r="AV37" i="60"/>
  <c r="AW37" i="60"/>
  <c r="AX37" i="60"/>
  <c r="AY37" i="60"/>
  <c r="BB37" i="60"/>
  <c r="BC37" i="60"/>
  <c r="BD37" i="60"/>
  <c r="BE37" i="60"/>
  <c r="BF37" i="60"/>
  <c r="BG37" i="60"/>
  <c r="BH37" i="60"/>
  <c r="BI37" i="60"/>
  <c r="BJ37" i="60"/>
  <c r="BK37" i="60"/>
  <c r="BL37" i="60"/>
  <c r="BM37" i="60"/>
  <c r="BN37" i="60"/>
  <c r="BO37" i="60"/>
  <c r="D38" i="60"/>
  <c r="F38" i="60"/>
  <c r="G38" i="60"/>
  <c r="H38" i="60"/>
  <c r="I38" i="60"/>
  <c r="K38" i="60"/>
  <c r="L38" i="60"/>
  <c r="N38" i="60"/>
  <c r="O38" i="60"/>
  <c r="P38" i="60"/>
  <c r="Q38" i="60"/>
  <c r="S38" i="60"/>
  <c r="T38" i="60"/>
  <c r="V38" i="60"/>
  <c r="X38" i="60"/>
  <c r="Y38" i="60"/>
  <c r="Z38" i="60"/>
  <c r="AA38" i="60"/>
  <c r="AB38" i="60"/>
  <c r="AC38" i="60"/>
  <c r="AF38" i="60"/>
  <c r="AG38" i="60"/>
  <c r="AH38" i="60"/>
  <c r="AI38" i="60"/>
  <c r="AJ38" i="60"/>
  <c r="AL38" i="60"/>
  <c r="AM38" i="60"/>
  <c r="AN38" i="60"/>
  <c r="AO38" i="60"/>
  <c r="AP38" i="60"/>
  <c r="AQ38" i="60"/>
  <c r="AR38" i="60"/>
  <c r="AS38" i="60"/>
  <c r="AT38" i="60"/>
  <c r="AU38" i="60"/>
  <c r="AV38" i="60"/>
  <c r="AW38" i="60"/>
  <c r="AX38" i="60"/>
  <c r="AY38" i="60"/>
  <c r="BB38" i="60"/>
  <c r="BC38" i="60"/>
  <c r="BD38" i="60"/>
  <c r="BE38" i="60"/>
  <c r="BF38" i="60"/>
  <c r="BG38" i="60"/>
  <c r="BH38" i="60"/>
  <c r="BI38" i="60"/>
  <c r="BJ38" i="60"/>
  <c r="BK38" i="60"/>
  <c r="BL38" i="60"/>
  <c r="BM38" i="60"/>
  <c r="BN38" i="60"/>
  <c r="BO38" i="60"/>
  <c r="D39" i="60"/>
  <c r="F39" i="60"/>
  <c r="G39" i="60"/>
  <c r="H39" i="60"/>
  <c r="I39" i="60"/>
  <c r="K39" i="60"/>
  <c r="L39" i="60"/>
  <c r="N39" i="60"/>
  <c r="O39" i="60"/>
  <c r="P39" i="60"/>
  <c r="Q39" i="60"/>
  <c r="S39" i="60"/>
  <c r="T39" i="60"/>
  <c r="V39" i="60"/>
  <c r="X39" i="60"/>
  <c r="Y39" i="60"/>
  <c r="Z39" i="60"/>
  <c r="AA39" i="60"/>
  <c r="AB39" i="60"/>
  <c r="AC39" i="60"/>
  <c r="AF39" i="60"/>
  <c r="AG39" i="60"/>
  <c r="AH39" i="60"/>
  <c r="AI39" i="60"/>
  <c r="AJ39" i="60"/>
  <c r="AL39" i="60"/>
  <c r="AM39" i="60"/>
  <c r="AN39" i="60"/>
  <c r="AO39" i="60"/>
  <c r="AP39" i="60"/>
  <c r="AQ39" i="60"/>
  <c r="AR39" i="60"/>
  <c r="AS39" i="60"/>
  <c r="AT39" i="60"/>
  <c r="AU39" i="60"/>
  <c r="AV39" i="60"/>
  <c r="AW39" i="60"/>
  <c r="AX39" i="60"/>
  <c r="AY39" i="60"/>
  <c r="BB39" i="60"/>
  <c r="BC39" i="60"/>
  <c r="BD39" i="60"/>
  <c r="BE39" i="60"/>
  <c r="BF39" i="60"/>
  <c r="BG39" i="60"/>
  <c r="BH39" i="60"/>
  <c r="BI39" i="60"/>
  <c r="BJ39" i="60"/>
  <c r="BK39" i="60"/>
  <c r="BL39" i="60"/>
  <c r="BM39" i="60"/>
  <c r="BN39" i="60"/>
  <c r="BO39" i="60"/>
  <c r="D40" i="60"/>
  <c r="F40" i="60"/>
  <c r="G40" i="60"/>
  <c r="H40" i="60"/>
  <c r="I40" i="60"/>
  <c r="K40" i="60"/>
  <c r="L40" i="60"/>
  <c r="N40" i="60"/>
  <c r="O40" i="60"/>
  <c r="P40" i="60"/>
  <c r="Q40" i="60"/>
  <c r="S40" i="60"/>
  <c r="T40" i="60"/>
  <c r="V40" i="60"/>
  <c r="X40" i="60"/>
  <c r="Y40" i="60"/>
  <c r="Z40" i="60"/>
  <c r="AA40" i="60"/>
  <c r="AB40" i="60"/>
  <c r="AC40" i="60"/>
  <c r="AF40" i="60"/>
  <c r="AG40" i="60"/>
  <c r="AH40" i="60"/>
  <c r="AI40" i="60"/>
  <c r="AJ40" i="60"/>
  <c r="AL40" i="60"/>
  <c r="AM40" i="60"/>
  <c r="AN40" i="60"/>
  <c r="AO40" i="60"/>
  <c r="AP40" i="60"/>
  <c r="AQ40" i="60"/>
  <c r="AR40" i="60"/>
  <c r="AS40" i="60"/>
  <c r="AT40" i="60"/>
  <c r="AU40" i="60"/>
  <c r="AV40" i="60"/>
  <c r="AW40" i="60"/>
  <c r="AX40" i="60"/>
  <c r="AY40" i="60"/>
  <c r="BB40" i="60"/>
  <c r="BC40" i="60"/>
  <c r="BD40" i="60"/>
  <c r="BE40" i="60"/>
  <c r="BF40" i="60"/>
  <c r="BG40" i="60"/>
  <c r="BH40" i="60"/>
  <c r="BI40" i="60"/>
  <c r="BJ40" i="60"/>
  <c r="BK40" i="60"/>
  <c r="BL40" i="60"/>
  <c r="BM40" i="60"/>
  <c r="BN40" i="60"/>
  <c r="BO40" i="60"/>
  <c r="D41" i="60"/>
  <c r="F41" i="60"/>
  <c r="G41" i="60"/>
  <c r="H41" i="60"/>
  <c r="I41" i="60"/>
  <c r="K41" i="60"/>
  <c r="L41" i="60"/>
  <c r="N41" i="60"/>
  <c r="O41" i="60"/>
  <c r="P41" i="60"/>
  <c r="Q41" i="60"/>
  <c r="S41" i="60"/>
  <c r="T41" i="60"/>
  <c r="V41" i="60"/>
  <c r="X41" i="60"/>
  <c r="Y41" i="60"/>
  <c r="Z41" i="60"/>
  <c r="AA41" i="60"/>
  <c r="AB41" i="60"/>
  <c r="AC41" i="60"/>
  <c r="AF41" i="60"/>
  <c r="AG41" i="60"/>
  <c r="AH41" i="60"/>
  <c r="AI41" i="60"/>
  <c r="AJ41" i="60"/>
  <c r="AL41" i="60"/>
  <c r="AM41" i="60"/>
  <c r="AN41" i="60"/>
  <c r="AO41" i="60"/>
  <c r="AP41" i="60"/>
  <c r="AQ41" i="60"/>
  <c r="AR41" i="60"/>
  <c r="AS41" i="60"/>
  <c r="AT41" i="60"/>
  <c r="AU41" i="60"/>
  <c r="AV41" i="60"/>
  <c r="AW41" i="60"/>
  <c r="AX41" i="60"/>
  <c r="AY41" i="60"/>
  <c r="BB41" i="60"/>
  <c r="BC41" i="60"/>
  <c r="BD41" i="60"/>
  <c r="BE41" i="60"/>
  <c r="BF41" i="60"/>
  <c r="BG41" i="60"/>
  <c r="BH41" i="60"/>
  <c r="BI41" i="60"/>
  <c r="BJ41" i="60"/>
  <c r="BK41" i="60"/>
  <c r="BL41" i="60"/>
  <c r="BM41" i="60"/>
  <c r="BN41" i="60"/>
  <c r="BO41" i="60"/>
  <c r="D42" i="60"/>
  <c r="F42" i="60"/>
  <c r="G42" i="60"/>
  <c r="H42" i="60"/>
  <c r="I42" i="60"/>
  <c r="K42" i="60"/>
  <c r="L42" i="60"/>
  <c r="N42" i="60"/>
  <c r="O42" i="60"/>
  <c r="P42" i="60"/>
  <c r="Q42" i="60"/>
  <c r="S42" i="60"/>
  <c r="T42" i="60"/>
  <c r="V42" i="60"/>
  <c r="X42" i="60"/>
  <c r="Y42" i="60"/>
  <c r="Z42" i="60"/>
  <c r="AA42" i="60"/>
  <c r="AB42" i="60"/>
  <c r="AC42" i="60"/>
  <c r="AF42" i="60"/>
  <c r="AG42" i="60"/>
  <c r="AH42" i="60"/>
  <c r="AI42" i="60"/>
  <c r="AJ42" i="60"/>
  <c r="AL42" i="60"/>
  <c r="AM42" i="60"/>
  <c r="AN42" i="60"/>
  <c r="AO42" i="60"/>
  <c r="AP42" i="60"/>
  <c r="AQ42" i="60"/>
  <c r="AR42" i="60"/>
  <c r="AS42" i="60"/>
  <c r="AT42" i="60"/>
  <c r="AU42" i="60"/>
  <c r="AV42" i="60"/>
  <c r="AW42" i="60"/>
  <c r="AX42" i="60"/>
  <c r="AY42" i="60"/>
  <c r="BB42" i="60"/>
  <c r="BC42" i="60"/>
  <c r="BD42" i="60"/>
  <c r="BE42" i="60"/>
  <c r="BF42" i="60"/>
  <c r="BG42" i="60"/>
  <c r="BH42" i="60"/>
  <c r="BI42" i="60"/>
  <c r="BJ42" i="60"/>
  <c r="BK42" i="60"/>
  <c r="BL42" i="60"/>
  <c r="BM42" i="60"/>
  <c r="BN42" i="60"/>
  <c r="BO42" i="60"/>
  <c r="D43" i="60"/>
  <c r="F43" i="60"/>
  <c r="G43" i="60"/>
  <c r="H43" i="60"/>
  <c r="I43" i="60"/>
  <c r="K43" i="60"/>
  <c r="L43" i="60"/>
  <c r="N43" i="60"/>
  <c r="O43" i="60"/>
  <c r="P43" i="60"/>
  <c r="Q43" i="60"/>
  <c r="S43" i="60"/>
  <c r="T43" i="60"/>
  <c r="V43" i="60"/>
  <c r="X43" i="60"/>
  <c r="Y43" i="60"/>
  <c r="Z43" i="60"/>
  <c r="AA43" i="60"/>
  <c r="AB43" i="60"/>
  <c r="AC43" i="60"/>
  <c r="AF43" i="60"/>
  <c r="AG43" i="60"/>
  <c r="AH43" i="60"/>
  <c r="AI43" i="60"/>
  <c r="AJ43" i="60"/>
  <c r="AL43" i="60"/>
  <c r="AM43" i="60"/>
  <c r="AN43" i="60"/>
  <c r="AO43" i="60"/>
  <c r="AP43" i="60"/>
  <c r="AQ43" i="60"/>
  <c r="AR43" i="60"/>
  <c r="AS43" i="60"/>
  <c r="AT43" i="60"/>
  <c r="AU43" i="60"/>
  <c r="AV43" i="60"/>
  <c r="AW43" i="60"/>
  <c r="AX43" i="60"/>
  <c r="AY43" i="60"/>
  <c r="BB43" i="60"/>
  <c r="BC43" i="60"/>
  <c r="BD43" i="60"/>
  <c r="BE43" i="60"/>
  <c r="BF43" i="60"/>
  <c r="BG43" i="60"/>
  <c r="BH43" i="60"/>
  <c r="BI43" i="60"/>
  <c r="BJ43" i="60"/>
  <c r="BK43" i="60"/>
  <c r="BL43" i="60"/>
  <c r="BM43" i="60"/>
  <c r="BN43" i="60"/>
  <c r="BO43" i="60"/>
  <c r="D44" i="60"/>
  <c r="F44" i="60"/>
  <c r="G44" i="60"/>
  <c r="H44" i="60"/>
  <c r="I44" i="60"/>
  <c r="K44" i="60"/>
  <c r="L44" i="60"/>
  <c r="N44" i="60"/>
  <c r="O44" i="60"/>
  <c r="P44" i="60"/>
  <c r="Q44" i="60"/>
  <c r="S44" i="60"/>
  <c r="T44" i="60"/>
  <c r="V44" i="60"/>
  <c r="X44" i="60"/>
  <c r="Y44" i="60"/>
  <c r="Z44" i="60"/>
  <c r="AA44" i="60"/>
  <c r="AB44" i="60"/>
  <c r="AC44" i="60"/>
  <c r="AF44" i="60"/>
  <c r="AG44" i="60"/>
  <c r="AH44" i="60"/>
  <c r="AI44" i="60"/>
  <c r="AJ44" i="60"/>
  <c r="AL44" i="60"/>
  <c r="AM44" i="60"/>
  <c r="AN44" i="60"/>
  <c r="AO44" i="60"/>
  <c r="AP44" i="60"/>
  <c r="AQ44" i="60"/>
  <c r="AR44" i="60"/>
  <c r="AS44" i="60"/>
  <c r="AT44" i="60"/>
  <c r="AU44" i="60"/>
  <c r="AV44" i="60"/>
  <c r="AW44" i="60"/>
  <c r="AX44" i="60"/>
  <c r="AY44" i="60"/>
  <c r="BB44" i="60"/>
  <c r="BC44" i="60"/>
  <c r="BD44" i="60"/>
  <c r="BE44" i="60"/>
  <c r="BF44" i="60"/>
  <c r="BG44" i="60"/>
  <c r="BH44" i="60"/>
  <c r="BI44" i="60"/>
  <c r="BJ44" i="60"/>
  <c r="BK44" i="60"/>
  <c r="BL44" i="60"/>
  <c r="BM44" i="60"/>
  <c r="BN44" i="60"/>
  <c r="BO44" i="60"/>
  <c r="D45" i="60"/>
  <c r="F45" i="60"/>
  <c r="G45" i="60"/>
  <c r="H45" i="60"/>
  <c r="I45" i="60"/>
  <c r="K45" i="60"/>
  <c r="L45" i="60"/>
  <c r="N45" i="60"/>
  <c r="O45" i="60"/>
  <c r="P45" i="60"/>
  <c r="Q45" i="60"/>
  <c r="S45" i="60"/>
  <c r="T45" i="60"/>
  <c r="V45" i="60"/>
  <c r="X45" i="60"/>
  <c r="Y45" i="60"/>
  <c r="Z45" i="60"/>
  <c r="AA45" i="60"/>
  <c r="AB45" i="60"/>
  <c r="AC45" i="60"/>
  <c r="AF45" i="60"/>
  <c r="AG45" i="60"/>
  <c r="AH45" i="60"/>
  <c r="AI45" i="60"/>
  <c r="AJ45" i="60"/>
  <c r="AL45" i="60"/>
  <c r="AM45" i="60"/>
  <c r="AN45" i="60"/>
  <c r="AO45" i="60"/>
  <c r="AP45" i="60"/>
  <c r="AQ45" i="60"/>
  <c r="AR45" i="60"/>
  <c r="AS45" i="60"/>
  <c r="AT45" i="60"/>
  <c r="AU45" i="60"/>
  <c r="AV45" i="60"/>
  <c r="AW45" i="60"/>
  <c r="AX45" i="60"/>
  <c r="AY45" i="60"/>
  <c r="BB45" i="60"/>
  <c r="BC45" i="60"/>
  <c r="BD45" i="60"/>
  <c r="BE45" i="60"/>
  <c r="BF45" i="60"/>
  <c r="BG45" i="60"/>
  <c r="BH45" i="60"/>
  <c r="BI45" i="60"/>
  <c r="BJ45" i="60"/>
  <c r="BK45" i="60"/>
  <c r="BL45" i="60"/>
  <c r="BM45" i="60"/>
  <c r="BN45" i="60"/>
  <c r="BO45" i="60"/>
  <c r="D46" i="60"/>
  <c r="F46" i="60"/>
  <c r="G46" i="60"/>
  <c r="H46" i="60"/>
  <c r="I46" i="60"/>
  <c r="K46" i="60"/>
  <c r="L46" i="60"/>
  <c r="N46" i="60"/>
  <c r="O46" i="60"/>
  <c r="P46" i="60"/>
  <c r="Q46" i="60"/>
  <c r="S46" i="60"/>
  <c r="T46" i="60"/>
  <c r="V46" i="60"/>
  <c r="X46" i="60"/>
  <c r="Y46" i="60"/>
  <c r="Z46" i="60"/>
  <c r="AA46" i="60"/>
  <c r="AB46" i="60"/>
  <c r="AC46" i="60"/>
  <c r="AF46" i="60"/>
  <c r="AG46" i="60"/>
  <c r="AH46" i="60"/>
  <c r="AI46" i="60"/>
  <c r="AJ46" i="60"/>
  <c r="AL46" i="60"/>
  <c r="AM46" i="60"/>
  <c r="AN46" i="60"/>
  <c r="AO46" i="60"/>
  <c r="AP46" i="60"/>
  <c r="AQ46" i="60"/>
  <c r="AR46" i="60"/>
  <c r="AS46" i="60"/>
  <c r="AT46" i="60"/>
  <c r="AU46" i="60"/>
  <c r="AV46" i="60"/>
  <c r="AW46" i="60"/>
  <c r="AX46" i="60"/>
  <c r="AY46" i="60"/>
  <c r="BB46" i="60"/>
  <c r="BC46" i="60"/>
  <c r="BD46" i="60"/>
  <c r="BE46" i="60"/>
  <c r="BF46" i="60"/>
  <c r="BG46" i="60"/>
  <c r="BH46" i="60"/>
  <c r="BI46" i="60"/>
  <c r="BJ46" i="60"/>
  <c r="BK46" i="60"/>
  <c r="BL46" i="60"/>
  <c r="BM46" i="60"/>
  <c r="BN46" i="60"/>
  <c r="BO46" i="60"/>
  <c r="D47" i="60"/>
  <c r="F47" i="60"/>
  <c r="G47" i="60"/>
  <c r="H47" i="60"/>
  <c r="I47" i="60"/>
  <c r="K47" i="60"/>
  <c r="L47" i="60"/>
  <c r="N47" i="60"/>
  <c r="O47" i="60"/>
  <c r="P47" i="60"/>
  <c r="Q47" i="60"/>
  <c r="S47" i="60"/>
  <c r="T47" i="60"/>
  <c r="V47" i="60"/>
  <c r="X47" i="60"/>
  <c r="Y47" i="60"/>
  <c r="Z47" i="60"/>
  <c r="AA47" i="60"/>
  <c r="AB47" i="60"/>
  <c r="AC47" i="60"/>
  <c r="AF47" i="60"/>
  <c r="AG47" i="60"/>
  <c r="AH47" i="60"/>
  <c r="AI47" i="60"/>
  <c r="AJ47" i="60"/>
  <c r="AL47" i="60"/>
  <c r="AM47" i="60"/>
  <c r="AN47" i="60"/>
  <c r="AO47" i="60"/>
  <c r="AP47" i="60"/>
  <c r="AQ47" i="60"/>
  <c r="AR47" i="60"/>
  <c r="AS47" i="60"/>
  <c r="AT47" i="60"/>
  <c r="AU47" i="60"/>
  <c r="AV47" i="60"/>
  <c r="AW47" i="60"/>
  <c r="AX47" i="60"/>
  <c r="AY47" i="60"/>
  <c r="BB47" i="60"/>
  <c r="BC47" i="60"/>
  <c r="BD47" i="60"/>
  <c r="BE47" i="60"/>
  <c r="BF47" i="60"/>
  <c r="BG47" i="60"/>
  <c r="BH47" i="60"/>
  <c r="BI47" i="60"/>
  <c r="BJ47" i="60"/>
  <c r="BK47" i="60"/>
  <c r="BL47" i="60"/>
  <c r="BM47" i="60"/>
  <c r="BN47" i="60"/>
  <c r="BO47" i="60"/>
  <c r="D48" i="60"/>
  <c r="F48" i="60"/>
  <c r="G48" i="60"/>
  <c r="H48" i="60"/>
  <c r="I48" i="60"/>
  <c r="K48" i="60"/>
  <c r="L48" i="60"/>
  <c r="N48" i="60"/>
  <c r="O48" i="60"/>
  <c r="P48" i="60"/>
  <c r="Q48" i="60"/>
  <c r="S48" i="60"/>
  <c r="T48" i="60"/>
  <c r="V48" i="60"/>
  <c r="X48" i="60"/>
  <c r="Y48" i="60"/>
  <c r="Z48" i="60"/>
  <c r="AA48" i="60"/>
  <c r="AB48" i="60"/>
  <c r="AC48" i="60"/>
  <c r="AF48" i="60"/>
  <c r="AG48" i="60"/>
  <c r="AH48" i="60"/>
  <c r="AI48" i="60"/>
  <c r="AJ48" i="60"/>
  <c r="AL48" i="60"/>
  <c r="AM48" i="60"/>
  <c r="AN48" i="60"/>
  <c r="AO48" i="60"/>
  <c r="AP48" i="60"/>
  <c r="AQ48" i="60"/>
  <c r="AR48" i="60"/>
  <c r="AS48" i="60"/>
  <c r="AT48" i="60"/>
  <c r="AU48" i="60"/>
  <c r="AV48" i="60"/>
  <c r="AW48" i="60"/>
  <c r="AX48" i="60"/>
  <c r="AY48" i="60"/>
  <c r="BB48" i="60"/>
  <c r="BC48" i="60"/>
  <c r="BD48" i="60"/>
  <c r="BE48" i="60"/>
  <c r="BF48" i="60"/>
  <c r="BG48" i="60"/>
  <c r="BH48" i="60"/>
  <c r="BI48" i="60"/>
  <c r="BJ48" i="60"/>
  <c r="BK48" i="60"/>
  <c r="BL48" i="60"/>
  <c r="BM48" i="60"/>
  <c r="BN48" i="60"/>
  <c r="BO48" i="60"/>
  <c r="D49" i="60"/>
  <c r="F49" i="60"/>
  <c r="G49" i="60"/>
  <c r="H49" i="60"/>
  <c r="I49" i="60"/>
  <c r="K49" i="60"/>
  <c r="L49" i="60"/>
  <c r="N49" i="60"/>
  <c r="O49" i="60"/>
  <c r="P49" i="60"/>
  <c r="Q49" i="60"/>
  <c r="S49" i="60"/>
  <c r="T49" i="60"/>
  <c r="V49" i="60"/>
  <c r="X49" i="60"/>
  <c r="Y49" i="60"/>
  <c r="Z49" i="60"/>
  <c r="AA49" i="60"/>
  <c r="AB49" i="60"/>
  <c r="AC49" i="60"/>
  <c r="AF49" i="60"/>
  <c r="AG49" i="60"/>
  <c r="AH49" i="60"/>
  <c r="AI49" i="60"/>
  <c r="AJ49" i="60"/>
  <c r="AL49" i="60"/>
  <c r="AM49" i="60"/>
  <c r="AN49" i="60"/>
  <c r="AO49" i="60"/>
  <c r="AP49" i="60"/>
  <c r="AQ49" i="60"/>
  <c r="AR49" i="60"/>
  <c r="AS49" i="60"/>
  <c r="AT49" i="60"/>
  <c r="AU49" i="60"/>
  <c r="AV49" i="60"/>
  <c r="AW49" i="60"/>
  <c r="AX49" i="60"/>
  <c r="AY49" i="60"/>
  <c r="BB49" i="60"/>
  <c r="BC49" i="60"/>
  <c r="BD49" i="60"/>
  <c r="BE49" i="60"/>
  <c r="BF49" i="60"/>
  <c r="BG49" i="60"/>
  <c r="BH49" i="60"/>
  <c r="BI49" i="60"/>
  <c r="BJ49" i="60"/>
  <c r="BK49" i="60"/>
  <c r="BL49" i="60"/>
  <c r="BM49" i="60"/>
  <c r="BN49" i="60"/>
  <c r="BO49" i="60"/>
  <c r="D50" i="60"/>
  <c r="F50" i="60"/>
  <c r="G50" i="60"/>
  <c r="H50" i="60"/>
  <c r="I50" i="60"/>
  <c r="K50" i="60"/>
  <c r="L50" i="60"/>
  <c r="N50" i="60"/>
  <c r="O50" i="60"/>
  <c r="P50" i="60"/>
  <c r="Q50" i="60"/>
  <c r="S50" i="60"/>
  <c r="T50" i="60"/>
  <c r="V50" i="60"/>
  <c r="X50" i="60"/>
  <c r="Y50" i="60"/>
  <c r="Z50" i="60"/>
  <c r="AA50" i="60"/>
  <c r="AB50" i="60"/>
  <c r="AC50" i="60"/>
  <c r="AF50" i="60"/>
  <c r="AG50" i="60"/>
  <c r="AH50" i="60"/>
  <c r="AI50" i="60"/>
  <c r="AJ50" i="60"/>
  <c r="AL50" i="60"/>
  <c r="AM50" i="60"/>
  <c r="AN50" i="60"/>
  <c r="AO50" i="60"/>
  <c r="AP50" i="60"/>
  <c r="AQ50" i="60"/>
  <c r="AR50" i="60"/>
  <c r="AS50" i="60"/>
  <c r="AT50" i="60"/>
  <c r="AU50" i="60"/>
  <c r="AV50" i="60"/>
  <c r="AW50" i="60"/>
  <c r="AX50" i="60"/>
  <c r="AY50" i="60"/>
  <c r="BB50" i="60"/>
  <c r="BC50" i="60"/>
  <c r="BD50" i="60"/>
  <c r="BE50" i="60"/>
  <c r="BF50" i="60"/>
  <c r="BG50" i="60"/>
  <c r="BH50" i="60"/>
  <c r="BI50" i="60"/>
  <c r="BJ50" i="60"/>
  <c r="BK50" i="60"/>
  <c r="BL50" i="60"/>
  <c r="BM50" i="60"/>
  <c r="BN50" i="60"/>
  <c r="BO50" i="60"/>
  <c r="D51" i="60"/>
  <c r="F51" i="60"/>
  <c r="G51" i="60"/>
  <c r="H51" i="60"/>
  <c r="I51" i="60"/>
  <c r="K51" i="60"/>
  <c r="L51" i="60"/>
  <c r="N51" i="60"/>
  <c r="O51" i="60"/>
  <c r="P51" i="60"/>
  <c r="Q51" i="60"/>
  <c r="S51" i="60"/>
  <c r="T51" i="60"/>
  <c r="V51" i="60"/>
  <c r="X51" i="60"/>
  <c r="Y51" i="60"/>
  <c r="Z51" i="60"/>
  <c r="AA51" i="60"/>
  <c r="AB51" i="60"/>
  <c r="AC51" i="60"/>
  <c r="AF51" i="60"/>
  <c r="AG51" i="60"/>
  <c r="AH51" i="60"/>
  <c r="AI51" i="60"/>
  <c r="AJ51" i="60"/>
  <c r="AL51" i="60"/>
  <c r="AM51" i="60"/>
  <c r="AN51" i="60"/>
  <c r="AO51" i="60"/>
  <c r="AP51" i="60"/>
  <c r="AQ51" i="60"/>
  <c r="AR51" i="60"/>
  <c r="AS51" i="60"/>
  <c r="AT51" i="60"/>
  <c r="AU51" i="60"/>
  <c r="AV51" i="60"/>
  <c r="AW51" i="60"/>
  <c r="AX51" i="60"/>
  <c r="AY51" i="60"/>
  <c r="BB51" i="60"/>
  <c r="BC51" i="60"/>
  <c r="BD51" i="60"/>
  <c r="BE51" i="60"/>
  <c r="BF51" i="60"/>
  <c r="BG51" i="60"/>
  <c r="BH51" i="60"/>
  <c r="BI51" i="60"/>
  <c r="BJ51" i="60"/>
  <c r="BK51" i="60"/>
  <c r="BL51" i="60"/>
  <c r="BM51" i="60"/>
  <c r="BN51" i="60"/>
  <c r="BO51" i="60"/>
  <c r="D52" i="60"/>
  <c r="F52" i="60"/>
  <c r="G52" i="60"/>
  <c r="H52" i="60"/>
  <c r="I52" i="60"/>
  <c r="K52" i="60"/>
  <c r="L52" i="60"/>
  <c r="N52" i="60"/>
  <c r="O52" i="60"/>
  <c r="P52" i="60"/>
  <c r="Q52" i="60"/>
  <c r="S52" i="60"/>
  <c r="T52" i="60"/>
  <c r="V52" i="60"/>
  <c r="X52" i="60"/>
  <c r="Y52" i="60"/>
  <c r="Z52" i="60"/>
  <c r="AA52" i="60"/>
  <c r="AB52" i="60"/>
  <c r="AC52" i="60"/>
  <c r="AF52" i="60"/>
  <c r="AG52" i="60"/>
  <c r="AH52" i="60"/>
  <c r="AI52" i="60"/>
  <c r="AJ52" i="60"/>
  <c r="AL52" i="60"/>
  <c r="AM52" i="60"/>
  <c r="AN52" i="60"/>
  <c r="AO52" i="60"/>
  <c r="AP52" i="60"/>
  <c r="AQ52" i="60"/>
  <c r="AR52" i="60"/>
  <c r="AS52" i="60"/>
  <c r="AT52" i="60"/>
  <c r="AU52" i="60"/>
  <c r="AV52" i="60"/>
  <c r="AW52" i="60"/>
  <c r="AX52" i="60"/>
  <c r="AY52" i="60"/>
  <c r="BB52" i="60"/>
  <c r="BC52" i="60"/>
  <c r="BD52" i="60"/>
  <c r="BE52" i="60"/>
  <c r="BF52" i="60"/>
  <c r="BG52" i="60"/>
  <c r="BH52" i="60"/>
  <c r="BI52" i="60"/>
  <c r="BJ52" i="60"/>
  <c r="BK52" i="60"/>
  <c r="BL52" i="60"/>
  <c r="BM52" i="60"/>
  <c r="BN52" i="60"/>
  <c r="BO52" i="60"/>
  <c r="D53" i="60"/>
  <c r="F53" i="60"/>
  <c r="G53" i="60"/>
  <c r="H53" i="60"/>
  <c r="I53" i="60"/>
  <c r="K53" i="60"/>
  <c r="L53" i="60"/>
  <c r="N53" i="60"/>
  <c r="O53" i="60"/>
  <c r="P53" i="60"/>
  <c r="Q53" i="60"/>
  <c r="S53" i="60"/>
  <c r="T53" i="60"/>
  <c r="V53" i="60"/>
  <c r="X53" i="60"/>
  <c r="Y53" i="60"/>
  <c r="Z53" i="60"/>
  <c r="AA53" i="60"/>
  <c r="AB53" i="60"/>
  <c r="AC53" i="60"/>
  <c r="AF53" i="60"/>
  <c r="AG53" i="60"/>
  <c r="AH53" i="60"/>
  <c r="AI53" i="60"/>
  <c r="AJ53" i="60"/>
  <c r="AL53" i="60"/>
  <c r="AM53" i="60"/>
  <c r="AN53" i="60"/>
  <c r="AO53" i="60"/>
  <c r="AP53" i="60"/>
  <c r="AQ53" i="60"/>
  <c r="AR53" i="60"/>
  <c r="AS53" i="60"/>
  <c r="AT53" i="60"/>
  <c r="AU53" i="60"/>
  <c r="AV53" i="60"/>
  <c r="AW53" i="60"/>
  <c r="AX53" i="60"/>
  <c r="AY53" i="60"/>
  <c r="BB53" i="60"/>
  <c r="BC53" i="60"/>
  <c r="BD53" i="60"/>
  <c r="BE53" i="60"/>
  <c r="BF53" i="60"/>
  <c r="BG53" i="60"/>
  <c r="BH53" i="60"/>
  <c r="BI53" i="60"/>
  <c r="BJ53" i="60"/>
  <c r="BK53" i="60"/>
  <c r="BL53" i="60"/>
  <c r="BM53" i="60"/>
  <c r="BN53" i="60"/>
  <c r="BO53" i="60"/>
  <c r="D54" i="60"/>
  <c r="F54" i="60"/>
  <c r="G54" i="60"/>
  <c r="H54" i="60"/>
  <c r="I54" i="60"/>
  <c r="K54" i="60"/>
  <c r="L54" i="60"/>
  <c r="N54" i="60"/>
  <c r="O54" i="60"/>
  <c r="P54" i="60"/>
  <c r="Q54" i="60"/>
  <c r="S54" i="60"/>
  <c r="T54" i="60"/>
  <c r="V54" i="60"/>
  <c r="X54" i="60"/>
  <c r="Y54" i="60"/>
  <c r="Z54" i="60"/>
  <c r="AA54" i="60"/>
  <c r="AB54" i="60"/>
  <c r="AC54" i="60"/>
  <c r="AF54" i="60"/>
  <c r="AG54" i="60"/>
  <c r="AH54" i="60"/>
  <c r="AI54" i="60"/>
  <c r="AJ54" i="60"/>
  <c r="AL54" i="60"/>
  <c r="AM54" i="60"/>
  <c r="AN54" i="60"/>
  <c r="AO54" i="60"/>
  <c r="AP54" i="60"/>
  <c r="AQ54" i="60"/>
  <c r="AR54" i="60"/>
  <c r="AS54" i="60"/>
  <c r="AT54" i="60"/>
  <c r="AU54" i="60"/>
  <c r="AV54" i="60"/>
  <c r="AW54" i="60"/>
  <c r="AX54" i="60"/>
  <c r="AY54" i="60"/>
  <c r="BB54" i="60"/>
  <c r="BC54" i="60"/>
  <c r="BD54" i="60"/>
  <c r="BE54" i="60"/>
  <c r="BF54" i="60"/>
  <c r="BG54" i="60"/>
  <c r="BH54" i="60"/>
  <c r="BI54" i="60"/>
  <c r="BJ54" i="60"/>
  <c r="BK54" i="60"/>
  <c r="BL54" i="60"/>
  <c r="BM54" i="60"/>
  <c r="BN54" i="60"/>
  <c r="BO54" i="60"/>
  <c r="D55" i="60"/>
  <c r="F55" i="60"/>
  <c r="G55" i="60"/>
  <c r="H55" i="60"/>
  <c r="I55" i="60"/>
  <c r="K55" i="60"/>
  <c r="L55" i="60"/>
  <c r="N55" i="60"/>
  <c r="O55" i="60"/>
  <c r="P55" i="60"/>
  <c r="Q55" i="60"/>
  <c r="S55" i="60"/>
  <c r="T55" i="60"/>
  <c r="V55" i="60"/>
  <c r="X55" i="60"/>
  <c r="Y55" i="60"/>
  <c r="Z55" i="60"/>
  <c r="AA55" i="60"/>
  <c r="AB55" i="60"/>
  <c r="AC55" i="60"/>
  <c r="AF55" i="60"/>
  <c r="AG55" i="60"/>
  <c r="AH55" i="60"/>
  <c r="AI55" i="60"/>
  <c r="AJ55" i="60"/>
  <c r="AL55" i="60"/>
  <c r="AM55" i="60"/>
  <c r="AN55" i="60"/>
  <c r="AO55" i="60"/>
  <c r="AP55" i="60"/>
  <c r="AQ55" i="60"/>
  <c r="AR55" i="60"/>
  <c r="AS55" i="60"/>
  <c r="AT55" i="60"/>
  <c r="AU55" i="60"/>
  <c r="AV55" i="60"/>
  <c r="AW55" i="60"/>
  <c r="AX55" i="60"/>
  <c r="AY55" i="60"/>
  <c r="BB55" i="60"/>
  <c r="BC55" i="60"/>
  <c r="BD55" i="60"/>
  <c r="BE55" i="60"/>
  <c r="BF55" i="60"/>
  <c r="BG55" i="60"/>
  <c r="BH55" i="60"/>
  <c r="BI55" i="60"/>
  <c r="BJ55" i="60"/>
  <c r="BK55" i="60"/>
  <c r="BL55" i="60"/>
  <c r="BM55" i="60"/>
  <c r="BN55" i="60"/>
  <c r="BO55" i="60"/>
  <c r="D56" i="60"/>
  <c r="F56" i="60"/>
  <c r="G56" i="60"/>
  <c r="H56" i="60"/>
  <c r="I56" i="60"/>
  <c r="K56" i="60"/>
  <c r="L56" i="60"/>
  <c r="N56" i="60"/>
  <c r="O56" i="60"/>
  <c r="P56" i="60"/>
  <c r="Q56" i="60"/>
  <c r="S56" i="60"/>
  <c r="T56" i="60"/>
  <c r="V56" i="60"/>
  <c r="X56" i="60"/>
  <c r="Y56" i="60"/>
  <c r="Z56" i="60"/>
  <c r="AA56" i="60"/>
  <c r="AB56" i="60"/>
  <c r="AC56" i="60"/>
  <c r="AF56" i="60"/>
  <c r="AG56" i="60"/>
  <c r="AH56" i="60"/>
  <c r="AI56" i="60"/>
  <c r="AJ56" i="60"/>
  <c r="AL56" i="60"/>
  <c r="AM56" i="60"/>
  <c r="AN56" i="60"/>
  <c r="AO56" i="60"/>
  <c r="AP56" i="60"/>
  <c r="AQ56" i="60"/>
  <c r="AR56" i="60"/>
  <c r="AS56" i="60"/>
  <c r="AT56" i="60"/>
  <c r="AU56" i="60"/>
  <c r="AV56" i="60"/>
  <c r="AW56" i="60"/>
  <c r="AX56" i="60"/>
  <c r="AY56" i="60"/>
  <c r="BB56" i="60"/>
  <c r="BC56" i="60"/>
  <c r="BD56" i="60"/>
  <c r="BE56" i="60"/>
  <c r="BF56" i="60"/>
  <c r="BG56" i="60"/>
  <c r="BH56" i="60"/>
  <c r="BI56" i="60"/>
  <c r="BJ56" i="60"/>
  <c r="BK56" i="60"/>
  <c r="BL56" i="60"/>
  <c r="BM56" i="60"/>
  <c r="BN56" i="60"/>
  <c r="BO56" i="60"/>
  <c r="D57" i="60"/>
  <c r="F57" i="60"/>
  <c r="G57" i="60"/>
  <c r="H57" i="60"/>
  <c r="I57" i="60"/>
  <c r="K57" i="60"/>
  <c r="L57" i="60"/>
  <c r="N57" i="60"/>
  <c r="O57" i="60"/>
  <c r="P57" i="60"/>
  <c r="Q57" i="60"/>
  <c r="S57" i="60"/>
  <c r="T57" i="60"/>
  <c r="V57" i="60"/>
  <c r="X57" i="60"/>
  <c r="Y57" i="60"/>
  <c r="Z57" i="60"/>
  <c r="AA57" i="60"/>
  <c r="AB57" i="60"/>
  <c r="AC57" i="60"/>
  <c r="AF57" i="60"/>
  <c r="AG57" i="60"/>
  <c r="AH57" i="60"/>
  <c r="AI57" i="60"/>
  <c r="AJ57" i="60"/>
  <c r="AL57" i="60"/>
  <c r="AM57" i="60"/>
  <c r="AN57" i="60"/>
  <c r="AO57" i="60"/>
  <c r="AP57" i="60"/>
  <c r="AQ57" i="60"/>
  <c r="AR57" i="60"/>
  <c r="AS57" i="60"/>
  <c r="AT57" i="60"/>
  <c r="AU57" i="60"/>
  <c r="AV57" i="60"/>
  <c r="AW57" i="60"/>
  <c r="AX57" i="60"/>
  <c r="AY57" i="60"/>
  <c r="BB57" i="60"/>
  <c r="BC57" i="60"/>
  <c r="BD57" i="60"/>
  <c r="BE57" i="60"/>
  <c r="BF57" i="60"/>
  <c r="BG57" i="60"/>
  <c r="BH57" i="60"/>
  <c r="BI57" i="60"/>
  <c r="BJ57" i="60"/>
  <c r="BK57" i="60"/>
  <c r="BL57" i="60"/>
  <c r="BM57" i="60"/>
  <c r="BN57" i="60"/>
  <c r="BO57" i="60"/>
  <c r="D58" i="60"/>
  <c r="F58" i="60"/>
  <c r="G58" i="60"/>
  <c r="H58" i="60"/>
  <c r="I58" i="60"/>
  <c r="K58" i="60"/>
  <c r="L58" i="60"/>
  <c r="N58" i="60"/>
  <c r="O58" i="60"/>
  <c r="P58" i="60"/>
  <c r="Q58" i="60"/>
  <c r="S58" i="60"/>
  <c r="T58" i="60"/>
  <c r="V58" i="60"/>
  <c r="X58" i="60"/>
  <c r="Y58" i="60"/>
  <c r="Z58" i="60"/>
  <c r="AA58" i="60"/>
  <c r="AB58" i="60"/>
  <c r="AC58" i="60"/>
  <c r="AF58" i="60"/>
  <c r="AG58" i="60"/>
  <c r="AH58" i="60"/>
  <c r="AI58" i="60"/>
  <c r="AJ58" i="60"/>
  <c r="AL58" i="60"/>
  <c r="AM58" i="60"/>
  <c r="AN58" i="60"/>
  <c r="AO58" i="60"/>
  <c r="AP58" i="60"/>
  <c r="AQ58" i="60"/>
  <c r="AR58" i="60"/>
  <c r="AS58" i="60"/>
  <c r="AT58" i="60"/>
  <c r="AU58" i="60"/>
  <c r="AV58" i="60"/>
  <c r="AW58" i="60"/>
  <c r="AX58" i="60"/>
  <c r="AY58" i="60"/>
  <c r="BB58" i="60"/>
  <c r="BC58" i="60"/>
  <c r="BD58" i="60"/>
  <c r="BE58" i="60"/>
  <c r="BF58" i="60"/>
  <c r="BG58" i="60"/>
  <c r="BH58" i="60"/>
  <c r="BI58" i="60"/>
  <c r="BJ58" i="60"/>
  <c r="BK58" i="60"/>
  <c r="BL58" i="60"/>
  <c r="BM58" i="60"/>
  <c r="BN58" i="60"/>
  <c r="BO58" i="60"/>
  <c r="D59" i="60"/>
  <c r="F59" i="60"/>
  <c r="G59" i="60"/>
  <c r="H59" i="60"/>
  <c r="I59" i="60"/>
  <c r="K59" i="60"/>
  <c r="L59" i="60"/>
  <c r="N59" i="60"/>
  <c r="O59" i="60"/>
  <c r="P59" i="60"/>
  <c r="Q59" i="60"/>
  <c r="S59" i="60"/>
  <c r="T59" i="60"/>
  <c r="V59" i="60"/>
  <c r="X59" i="60"/>
  <c r="Y59" i="60"/>
  <c r="Z59" i="60"/>
  <c r="AA59" i="60"/>
  <c r="AB59" i="60"/>
  <c r="AC59" i="60"/>
  <c r="AF59" i="60"/>
  <c r="AG59" i="60"/>
  <c r="AH59" i="60"/>
  <c r="AI59" i="60"/>
  <c r="AJ59" i="60"/>
  <c r="AL59" i="60"/>
  <c r="AM59" i="60"/>
  <c r="AN59" i="60"/>
  <c r="AO59" i="60"/>
  <c r="AP59" i="60"/>
  <c r="AQ59" i="60"/>
  <c r="AR59" i="60"/>
  <c r="AS59" i="60"/>
  <c r="AT59" i="60"/>
  <c r="AU59" i="60"/>
  <c r="AV59" i="60"/>
  <c r="AW59" i="60"/>
  <c r="AX59" i="60"/>
  <c r="AY59" i="60"/>
  <c r="BB59" i="60"/>
  <c r="BC59" i="60"/>
  <c r="BD59" i="60"/>
  <c r="BE59" i="60"/>
  <c r="BF59" i="60"/>
  <c r="BG59" i="60"/>
  <c r="BH59" i="60"/>
  <c r="BI59" i="60"/>
  <c r="BJ59" i="60"/>
  <c r="BK59" i="60"/>
  <c r="BL59" i="60"/>
  <c r="BM59" i="60"/>
  <c r="BN59" i="60"/>
  <c r="BO59" i="60"/>
  <c r="D60" i="60"/>
  <c r="F60" i="60"/>
  <c r="G60" i="60"/>
  <c r="H60" i="60"/>
  <c r="I60" i="60"/>
  <c r="K60" i="60"/>
  <c r="L60" i="60"/>
  <c r="N60" i="60"/>
  <c r="O60" i="60"/>
  <c r="P60" i="60"/>
  <c r="Q60" i="60"/>
  <c r="S60" i="60"/>
  <c r="T60" i="60"/>
  <c r="V60" i="60"/>
  <c r="X60" i="60"/>
  <c r="Y60" i="60"/>
  <c r="Z60" i="60"/>
  <c r="AA60" i="60"/>
  <c r="AB60" i="60"/>
  <c r="AC60" i="60"/>
  <c r="AF60" i="60"/>
  <c r="AG60" i="60"/>
  <c r="AH60" i="60"/>
  <c r="AI60" i="60"/>
  <c r="AJ60" i="60"/>
  <c r="AL60" i="60"/>
  <c r="AM60" i="60"/>
  <c r="AN60" i="60"/>
  <c r="AO60" i="60"/>
  <c r="AP60" i="60"/>
  <c r="AQ60" i="60"/>
  <c r="AR60" i="60"/>
  <c r="AS60" i="60"/>
  <c r="AT60" i="60"/>
  <c r="AU60" i="60"/>
  <c r="AV60" i="60"/>
  <c r="AW60" i="60"/>
  <c r="AX60" i="60"/>
  <c r="AY60" i="60"/>
  <c r="BB60" i="60"/>
  <c r="BC60" i="60"/>
  <c r="BD60" i="60"/>
  <c r="BE60" i="60"/>
  <c r="BF60" i="60"/>
  <c r="BG60" i="60"/>
  <c r="BH60" i="60"/>
  <c r="BI60" i="60"/>
  <c r="BJ60" i="60"/>
  <c r="BK60" i="60"/>
  <c r="BL60" i="60"/>
  <c r="BM60" i="60"/>
  <c r="BN60" i="60"/>
  <c r="BO60" i="60"/>
  <c r="D61" i="60"/>
  <c r="F61" i="60"/>
  <c r="G61" i="60"/>
  <c r="H61" i="60"/>
  <c r="I61" i="60"/>
  <c r="K61" i="60"/>
  <c r="L61" i="60"/>
  <c r="N61" i="60"/>
  <c r="O61" i="60"/>
  <c r="P61" i="60"/>
  <c r="Q61" i="60"/>
  <c r="S61" i="60"/>
  <c r="T61" i="60"/>
  <c r="V61" i="60"/>
  <c r="X61" i="60"/>
  <c r="Y61" i="60"/>
  <c r="Z61" i="60"/>
  <c r="AA61" i="60"/>
  <c r="AB61" i="60"/>
  <c r="AC61" i="60"/>
  <c r="AF61" i="60"/>
  <c r="AG61" i="60"/>
  <c r="AH61" i="60"/>
  <c r="AI61" i="60"/>
  <c r="AJ61" i="60"/>
  <c r="AL61" i="60"/>
  <c r="AM61" i="60"/>
  <c r="AN61" i="60"/>
  <c r="AO61" i="60"/>
  <c r="AP61" i="60"/>
  <c r="AQ61" i="60"/>
  <c r="AR61" i="60"/>
  <c r="AS61" i="60"/>
  <c r="AT61" i="60"/>
  <c r="AU61" i="60"/>
  <c r="AV61" i="60"/>
  <c r="AW61" i="60"/>
  <c r="AX61" i="60"/>
  <c r="AY61" i="60"/>
  <c r="BB61" i="60"/>
  <c r="BC61" i="60"/>
  <c r="BD61" i="60"/>
  <c r="BE61" i="60"/>
  <c r="BF61" i="60"/>
  <c r="BG61" i="60"/>
  <c r="BH61" i="60"/>
  <c r="BI61" i="60"/>
  <c r="BJ61" i="60"/>
  <c r="BK61" i="60"/>
  <c r="BL61" i="60"/>
  <c r="BM61" i="60"/>
  <c r="BN61" i="60"/>
  <c r="BO61" i="60"/>
  <c r="D62" i="60"/>
  <c r="F62" i="60"/>
  <c r="G62" i="60"/>
  <c r="H62" i="60"/>
  <c r="I62" i="60"/>
  <c r="K62" i="60"/>
  <c r="L62" i="60"/>
  <c r="N62" i="60"/>
  <c r="O62" i="60"/>
  <c r="P62" i="60"/>
  <c r="Q62" i="60"/>
  <c r="S62" i="60"/>
  <c r="T62" i="60"/>
  <c r="V62" i="60"/>
  <c r="X62" i="60"/>
  <c r="Y62" i="60"/>
  <c r="Z62" i="60"/>
  <c r="AA62" i="60"/>
  <c r="AB62" i="60"/>
  <c r="AC62" i="60"/>
  <c r="AF62" i="60"/>
  <c r="AG62" i="60"/>
  <c r="AH62" i="60"/>
  <c r="AI62" i="60"/>
  <c r="AJ62" i="60"/>
  <c r="AL62" i="60"/>
  <c r="AM62" i="60"/>
  <c r="AN62" i="60"/>
  <c r="AO62" i="60"/>
  <c r="AP62" i="60"/>
  <c r="AQ62" i="60"/>
  <c r="AR62" i="60"/>
  <c r="AS62" i="60"/>
  <c r="AT62" i="60"/>
  <c r="AU62" i="60"/>
  <c r="AV62" i="60"/>
  <c r="AW62" i="60"/>
  <c r="AX62" i="60"/>
  <c r="AY62" i="60"/>
  <c r="BB62" i="60"/>
  <c r="BC62" i="60"/>
  <c r="BD62" i="60"/>
  <c r="BE62" i="60"/>
  <c r="BF62" i="60"/>
  <c r="BG62" i="60"/>
  <c r="BH62" i="60"/>
  <c r="BI62" i="60"/>
  <c r="BJ62" i="60"/>
  <c r="BK62" i="60"/>
  <c r="BL62" i="60"/>
  <c r="BM62" i="60"/>
  <c r="BN62" i="60"/>
  <c r="BO62" i="60"/>
  <c r="D63" i="60"/>
  <c r="F63" i="60"/>
  <c r="G63" i="60"/>
  <c r="H63" i="60"/>
  <c r="I63" i="60"/>
  <c r="K63" i="60"/>
  <c r="L63" i="60"/>
  <c r="N63" i="60"/>
  <c r="O63" i="60"/>
  <c r="P63" i="60"/>
  <c r="Q63" i="60"/>
  <c r="S63" i="60"/>
  <c r="T63" i="60"/>
  <c r="V63" i="60"/>
  <c r="X63" i="60"/>
  <c r="Y63" i="60"/>
  <c r="Z63" i="60"/>
  <c r="AA63" i="60"/>
  <c r="AB63" i="60"/>
  <c r="AC63" i="60"/>
  <c r="AF63" i="60"/>
  <c r="AG63" i="60"/>
  <c r="AH63" i="60"/>
  <c r="AI63" i="60"/>
  <c r="AJ63" i="60"/>
  <c r="AL63" i="60"/>
  <c r="AM63" i="60"/>
  <c r="AN63" i="60"/>
  <c r="AO63" i="60"/>
  <c r="AP63" i="60"/>
  <c r="AQ63" i="60"/>
  <c r="AR63" i="60"/>
  <c r="AS63" i="60"/>
  <c r="AT63" i="60"/>
  <c r="AU63" i="60"/>
  <c r="AV63" i="60"/>
  <c r="AW63" i="60"/>
  <c r="AX63" i="60"/>
  <c r="AY63" i="60"/>
  <c r="BB63" i="60"/>
  <c r="BC63" i="60"/>
  <c r="BD63" i="60"/>
  <c r="BE63" i="60"/>
  <c r="BF63" i="60"/>
  <c r="BG63" i="60"/>
  <c r="BH63" i="60"/>
  <c r="BI63" i="60"/>
  <c r="BJ63" i="60"/>
  <c r="BK63" i="60"/>
  <c r="BL63" i="60"/>
  <c r="BM63" i="60"/>
  <c r="BN63" i="60"/>
  <c r="BO63" i="60"/>
  <c r="D64" i="60"/>
  <c r="F64" i="60"/>
  <c r="G64" i="60"/>
  <c r="H64" i="60"/>
  <c r="I64" i="60"/>
  <c r="K64" i="60"/>
  <c r="L64" i="60"/>
  <c r="N64" i="60"/>
  <c r="O64" i="60"/>
  <c r="P64" i="60"/>
  <c r="Q64" i="60"/>
  <c r="S64" i="60"/>
  <c r="T64" i="60"/>
  <c r="V64" i="60"/>
  <c r="X64" i="60"/>
  <c r="Y64" i="60"/>
  <c r="Z64" i="60"/>
  <c r="AA64" i="60"/>
  <c r="AB64" i="60"/>
  <c r="AC64" i="60"/>
  <c r="AF64" i="60"/>
  <c r="AG64" i="60"/>
  <c r="AH64" i="60"/>
  <c r="AI64" i="60"/>
  <c r="AJ64" i="60"/>
  <c r="AL64" i="60"/>
  <c r="AM64" i="60"/>
  <c r="AN64" i="60"/>
  <c r="AO64" i="60"/>
  <c r="AP64" i="60"/>
  <c r="AQ64" i="60"/>
  <c r="AR64" i="60"/>
  <c r="AS64" i="60"/>
  <c r="AT64" i="60"/>
  <c r="AU64" i="60"/>
  <c r="AV64" i="60"/>
  <c r="AW64" i="60"/>
  <c r="AX64" i="60"/>
  <c r="AY64" i="60"/>
  <c r="BB64" i="60"/>
  <c r="BC64" i="60"/>
  <c r="BD64" i="60"/>
  <c r="BE64" i="60"/>
  <c r="BF64" i="60"/>
  <c r="BG64" i="60"/>
  <c r="BH64" i="60"/>
  <c r="BI64" i="60"/>
  <c r="BJ64" i="60"/>
  <c r="BK64" i="60"/>
  <c r="BL64" i="60"/>
  <c r="BM64" i="60"/>
  <c r="BN64" i="60"/>
  <c r="BO64" i="60"/>
  <c r="D65" i="60"/>
  <c r="F65" i="60"/>
  <c r="G65" i="60"/>
  <c r="H65" i="60"/>
  <c r="I65" i="60"/>
  <c r="K65" i="60"/>
  <c r="L65" i="60"/>
  <c r="N65" i="60"/>
  <c r="O65" i="60"/>
  <c r="P65" i="60"/>
  <c r="Q65" i="60"/>
  <c r="S65" i="60"/>
  <c r="T65" i="60"/>
  <c r="V65" i="60"/>
  <c r="X65" i="60"/>
  <c r="Y65" i="60"/>
  <c r="Z65" i="60"/>
  <c r="AA65" i="60"/>
  <c r="AB65" i="60"/>
  <c r="AC65" i="60"/>
  <c r="AF65" i="60"/>
  <c r="AG65" i="60"/>
  <c r="AH65" i="60"/>
  <c r="AI65" i="60"/>
  <c r="AJ65" i="60"/>
  <c r="AL65" i="60"/>
  <c r="AM65" i="60"/>
  <c r="AN65" i="60"/>
  <c r="AO65" i="60"/>
  <c r="AP65" i="60"/>
  <c r="AQ65" i="60"/>
  <c r="AR65" i="60"/>
  <c r="AS65" i="60"/>
  <c r="AT65" i="60"/>
  <c r="AU65" i="60"/>
  <c r="AV65" i="60"/>
  <c r="AW65" i="60"/>
  <c r="AX65" i="60"/>
  <c r="AY65" i="60"/>
  <c r="BB65" i="60"/>
  <c r="BC65" i="60"/>
  <c r="BD65" i="60"/>
  <c r="BE65" i="60"/>
  <c r="BF65" i="60"/>
  <c r="BG65" i="60"/>
  <c r="BH65" i="60"/>
  <c r="BI65" i="60"/>
  <c r="BJ65" i="60"/>
  <c r="BK65" i="60"/>
  <c r="BL65" i="60"/>
  <c r="BM65" i="60"/>
  <c r="BN65" i="60"/>
  <c r="BO65" i="60"/>
  <c r="D66" i="60"/>
  <c r="F66" i="60"/>
  <c r="G66" i="60"/>
  <c r="H66" i="60"/>
  <c r="I66" i="60"/>
  <c r="K66" i="60"/>
  <c r="L66" i="60"/>
  <c r="N66" i="60"/>
  <c r="O66" i="60"/>
  <c r="P66" i="60"/>
  <c r="Q66" i="60"/>
  <c r="S66" i="60"/>
  <c r="T66" i="60"/>
  <c r="V66" i="60"/>
  <c r="X66" i="60"/>
  <c r="Y66" i="60"/>
  <c r="Z66" i="60"/>
  <c r="AA66" i="60"/>
  <c r="AB66" i="60"/>
  <c r="AC66" i="60"/>
  <c r="AF66" i="60"/>
  <c r="AG66" i="60"/>
  <c r="AH66" i="60"/>
  <c r="AI66" i="60"/>
  <c r="AJ66" i="60"/>
  <c r="AL66" i="60"/>
  <c r="AM66" i="60"/>
  <c r="AN66" i="60"/>
  <c r="AO66" i="60"/>
  <c r="AP66" i="60"/>
  <c r="AQ66" i="60"/>
  <c r="AR66" i="60"/>
  <c r="AS66" i="60"/>
  <c r="AT66" i="60"/>
  <c r="AU66" i="60"/>
  <c r="AV66" i="60"/>
  <c r="AW66" i="60"/>
  <c r="AX66" i="60"/>
  <c r="AY66" i="60"/>
  <c r="BB66" i="60"/>
  <c r="BC66" i="60"/>
  <c r="BD66" i="60"/>
  <c r="BE66" i="60"/>
  <c r="BF66" i="60"/>
  <c r="BG66" i="60"/>
  <c r="BH66" i="60"/>
  <c r="BI66" i="60"/>
  <c r="BJ66" i="60"/>
  <c r="BK66" i="60"/>
  <c r="BL66" i="60"/>
  <c r="BM66" i="60"/>
  <c r="BN66" i="60"/>
  <c r="BO66" i="60"/>
  <c r="D67" i="60"/>
  <c r="F67" i="60"/>
  <c r="G67" i="60"/>
  <c r="H67" i="60"/>
  <c r="I67" i="60"/>
  <c r="K67" i="60"/>
  <c r="L67" i="60"/>
  <c r="N67" i="60"/>
  <c r="O67" i="60"/>
  <c r="P67" i="60"/>
  <c r="Q67" i="60"/>
  <c r="S67" i="60"/>
  <c r="T67" i="60"/>
  <c r="V67" i="60"/>
  <c r="X67" i="60"/>
  <c r="Y67" i="60"/>
  <c r="Z67" i="60"/>
  <c r="AA67" i="60"/>
  <c r="AB67" i="60"/>
  <c r="AC67" i="60"/>
  <c r="AF67" i="60"/>
  <c r="AG67" i="60"/>
  <c r="AH67" i="60"/>
  <c r="AI67" i="60"/>
  <c r="AJ67" i="60"/>
  <c r="AL67" i="60"/>
  <c r="AM67" i="60"/>
  <c r="AN67" i="60"/>
  <c r="AO67" i="60"/>
  <c r="AP67" i="60"/>
  <c r="AQ67" i="60"/>
  <c r="AR67" i="60"/>
  <c r="AS67" i="60"/>
  <c r="AT67" i="60"/>
  <c r="AU67" i="60"/>
  <c r="AV67" i="60"/>
  <c r="AW67" i="60"/>
  <c r="AX67" i="60"/>
  <c r="AY67" i="60"/>
  <c r="BB67" i="60"/>
  <c r="BC67" i="60"/>
  <c r="BD67" i="60"/>
  <c r="BE67" i="60"/>
  <c r="BF67" i="60"/>
  <c r="BG67" i="60"/>
  <c r="BH67" i="60"/>
  <c r="BI67" i="60"/>
  <c r="BJ67" i="60"/>
  <c r="BK67" i="60"/>
  <c r="BL67" i="60"/>
  <c r="BM67" i="60"/>
  <c r="BN67" i="60"/>
  <c r="BO67" i="60"/>
  <c r="D68" i="60"/>
  <c r="F68" i="60"/>
  <c r="G68" i="60"/>
  <c r="H68" i="60"/>
  <c r="I68" i="60"/>
  <c r="K68" i="60"/>
  <c r="L68" i="60"/>
  <c r="N68" i="60"/>
  <c r="O68" i="60"/>
  <c r="P68" i="60"/>
  <c r="Q68" i="60"/>
  <c r="S68" i="60"/>
  <c r="T68" i="60"/>
  <c r="V68" i="60"/>
  <c r="X68" i="60"/>
  <c r="Y68" i="60"/>
  <c r="Z68" i="60"/>
  <c r="AA68" i="60"/>
  <c r="AB68" i="60"/>
  <c r="AC68" i="60"/>
  <c r="AF68" i="60"/>
  <c r="AG68" i="60"/>
  <c r="AH68" i="60"/>
  <c r="AI68" i="60"/>
  <c r="AJ68" i="60"/>
  <c r="AL68" i="60"/>
  <c r="AM68" i="60"/>
  <c r="AN68" i="60"/>
  <c r="AO68" i="60"/>
  <c r="AP68" i="60"/>
  <c r="AQ68" i="60"/>
  <c r="AR68" i="60"/>
  <c r="AS68" i="60"/>
  <c r="AT68" i="60"/>
  <c r="AU68" i="60"/>
  <c r="AV68" i="60"/>
  <c r="AW68" i="60"/>
  <c r="AX68" i="60"/>
  <c r="AY68" i="60"/>
  <c r="BB68" i="60"/>
  <c r="BC68" i="60"/>
  <c r="BD68" i="60"/>
  <c r="BE68" i="60"/>
  <c r="BF68" i="60"/>
  <c r="BG68" i="60"/>
  <c r="BH68" i="60"/>
  <c r="BI68" i="60"/>
  <c r="BJ68" i="60"/>
  <c r="BK68" i="60"/>
  <c r="BL68" i="60"/>
  <c r="BM68" i="60"/>
  <c r="BN68" i="60"/>
  <c r="BO68" i="60"/>
  <c r="D69" i="60"/>
  <c r="F69" i="60"/>
  <c r="G69" i="60"/>
  <c r="H69" i="60"/>
  <c r="I69" i="60"/>
  <c r="K69" i="60"/>
  <c r="L69" i="60"/>
  <c r="N69" i="60"/>
  <c r="O69" i="60"/>
  <c r="P69" i="60"/>
  <c r="Q69" i="60"/>
  <c r="S69" i="60"/>
  <c r="T69" i="60"/>
  <c r="V69" i="60"/>
  <c r="X69" i="60"/>
  <c r="Y69" i="60"/>
  <c r="Z69" i="60"/>
  <c r="AA69" i="60"/>
  <c r="AB69" i="60"/>
  <c r="AC69" i="60"/>
  <c r="AF69" i="60"/>
  <c r="AG69" i="60"/>
  <c r="AH69" i="60"/>
  <c r="AI69" i="60"/>
  <c r="AJ69" i="60"/>
  <c r="AL69" i="60"/>
  <c r="AM69" i="60"/>
  <c r="AN69" i="60"/>
  <c r="AO69" i="60"/>
  <c r="AP69" i="60"/>
  <c r="AQ69" i="60"/>
  <c r="AR69" i="60"/>
  <c r="AS69" i="60"/>
  <c r="AT69" i="60"/>
  <c r="AU69" i="60"/>
  <c r="AV69" i="60"/>
  <c r="AW69" i="60"/>
  <c r="AX69" i="60"/>
  <c r="AY69" i="60"/>
  <c r="BB69" i="60"/>
  <c r="BC69" i="60"/>
  <c r="BD69" i="60"/>
  <c r="BE69" i="60"/>
  <c r="BF69" i="60"/>
  <c r="BG69" i="60"/>
  <c r="BH69" i="60"/>
  <c r="BI69" i="60"/>
  <c r="BJ69" i="60"/>
  <c r="BK69" i="60"/>
  <c r="BL69" i="60"/>
  <c r="BM69" i="60"/>
  <c r="BN69" i="60"/>
  <c r="BO69" i="60"/>
  <c r="D70" i="60"/>
  <c r="F70" i="60"/>
  <c r="G70" i="60"/>
  <c r="H70" i="60"/>
  <c r="I70" i="60"/>
  <c r="K70" i="60"/>
  <c r="L70" i="60"/>
  <c r="N70" i="60"/>
  <c r="O70" i="60"/>
  <c r="P70" i="60"/>
  <c r="Q70" i="60"/>
  <c r="S70" i="60"/>
  <c r="T70" i="60"/>
  <c r="V70" i="60"/>
  <c r="X70" i="60"/>
  <c r="Y70" i="60"/>
  <c r="Z70" i="60"/>
  <c r="AA70" i="60"/>
  <c r="AB70" i="60"/>
  <c r="AC70" i="60"/>
  <c r="AF70" i="60"/>
  <c r="AG70" i="60"/>
  <c r="AH70" i="60"/>
  <c r="AI70" i="60"/>
  <c r="AJ70" i="60"/>
  <c r="AL70" i="60"/>
  <c r="AM70" i="60"/>
  <c r="AN70" i="60"/>
  <c r="AO70" i="60"/>
  <c r="AP70" i="60"/>
  <c r="AQ70" i="60"/>
  <c r="AR70" i="60"/>
  <c r="AS70" i="60"/>
  <c r="AT70" i="60"/>
  <c r="AU70" i="60"/>
  <c r="AV70" i="60"/>
  <c r="AW70" i="60"/>
  <c r="AX70" i="60"/>
  <c r="AY70" i="60"/>
  <c r="BB70" i="60"/>
  <c r="BC70" i="60"/>
  <c r="BD70" i="60"/>
  <c r="BE70" i="60"/>
  <c r="BF70" i="60"/>
  <c r="BG70" i="60"/>
  <c r="BH70" i="60"/>
  <c r="BI70" i="60"/>
  <c r="BJ70" i="60"/>
  <c r="BK70" i="60"/>
  <c r="BL70" i="60"/>
  <c r="BM70" i="60"/>
  <c r="BN70" i="60"/>
  <c r="BO70" i="60"/>
  <c r="D71" i="60"/>
  <c r="F71" i="60"/>
  <c r="G71" i="60"/>
  <c r="H71" i="60"/>
  <c r="I71" i="60"/>
  <c r="K71" i="60"/>
  <c r="L71" i="60"/>
  <c r="N71" i="60"/>
  <c r="O71" i="60"/>
  <c r="P71" i="60"/>
  <c r="Q71" i="60"/>
  <c r="S71" i="60"/>
  <c r="T71" i="60"/>
  <c r="V71" i="60"/>
  <c r="X71" i="60"/>
  <c r="Y71" i="60"/>
  <c r="Z71" i="60"/>
  <c r="AA71" i="60"/>
  <c r="AB71" i="60"/>
  <c r="AC71" i="60"/>
  <c r="AF71" i="60"/>
  <c r="AG71" i="60"/>
  <c r="AH71" i="60"/>
  <c r="AI71" i="60"/>
  <c r="AJ71" i="60"/>
  <c r="AL71" i="60"/>
  <c r="AM71" i="60"/>
  <c r="AN71" i="60"/>
  <c r="AO71" i="60"/>
  <c r="AP71" i="60"/>
  <c r="AQ71" i="60"/>
  <c r="AR71" i="60"/>
  <c r="AS71" i="60"/>
  <c r="AT71" i="60"/>
  <c r="AU71" i="60"/>
  <c r="AV71" i="60"/>
  <c r="AW71" i="60"/>
  <c r="AX71" i="60"/>
  <c r="AY71" i="60"/>
  <c r="BB71" i="60"/>
  <c r="BC71" i="60"/>
  <c r="BD71" i="60"/>
  <c r="BE71" i="60"/>
  <c r="BF71" i="60"/>
  <c r="BG71" i="60"/>
  <c r="BH71" i="60"/>
  <c r="BI71" i="60"/>
  <c r="BJ71" i="60"/>
  <c r="BK71" i="60"/>
  <c r="BL71" i="60"/>
  <c r="BM71" i="60"/>
  <c r="BN71" i="60"/>
  <c r="BO71" i="60"/>
  <c r="D72" i="60"/>
  <c r="F72" i="60"/>
  <c r="G72" i="60"/>
  <c r="H72" i="60"/>
  <c r="I72" i="60"/>
  <c r="K72" i="60"/>
  <c r="L72" i="60"/>
  <c r="N72" i="60"/>
  <c r="O72" i="60"/>
  <c r="P72" i="60"/>
  <c r="Q72" i="60"/>
  <c r="S72" i="60"/>
  <c r="T72" i="60"/>
  <c r="V72" i="60"/>
  <c r="X72" i="60"/>
  <c r="Y72" i="60"/>
  <c r="Z72" i="60"/>
  <c r="AA72" i="60"/>
  <c r="AB72" i="60"/>
  <c r="AC72" i="60"/>
  <c r="AF72" i="60"/>
  <c r="AG72" i="60"/>
  <c r="AH72" i="60"/>
  <c r="AI72" i="60"/>
  <c r="AJ72" i="60"/>
  <c r="AL72" i="60"/>
  <c r="AM72" i="60"/>
  <c r="AN72" i="60"/>
  <c r="AO72" i="60"/>
  <c r="AP72" i="60"/>
  <c r="AQ72" i="60"/>
  <c r="AR72" i="60"/>
  <c r="AS72" i="60"/>
  <c r="AT72" i="60"/>
  <c r="AU72" i="60"/>
  <c r="AV72" i="60"/>
  <c r="AW72" i="60"/>
  <c r="AX72" i="60"/>
  <c r="AY72" i="60"/>
  <c r="BB72" i="60"/>
  <c r="BC72" i="60"/>
  <c r="BD72" i="60"/>
  <c r="BE72" i="60"/>
  <c r="BF72" i="60"/>
  <c r="BG72" i="60"/>
  <c r="BH72" i="60"/>
  <c r="BI72" i="60"/>
  <c r="BJ72" i="60"/>
  <c r="BK72" i="60"/>
  <c r="BL72" i="60"/>
  <c r="BM72" i="60"/>
  <c r="BN72" i="60"/>
  <c r="BO72" i="60"/>
  <c r="D73" i="60"/>
  <c r="F73" i="60"/>
  <c r="G73" i="60"/>
  <c r="H73" i="60"/>
  <c r="I73" i="60"/>
  <c r="K73" i="60"/>
  <c r="L73" i="60"/>
  <c r="N73" i="60"/>
  <c r="O73" i="60"/>
  <c r="P73" i="60"/>
  <c r="Q73" i="60"/>
  <c r="S73" i="60"/>
  <c r="T73" i="60"/>
  <c r="V73" i="60"/>
  <c r="X73" i="60"/>
  <c r="Y73" i="60"/>
  <c r="Z73" i="60"/>
  <c r="AA73" i="60"/>
  <c r="AB73" i="60"/>
  <c r="AC73" i="60"/>
  <c r="AF73" i="60"/>
  <c r="AG73" i="60"/>
  <c r="AH73" i="60"/>
  <c r="AI73" i="60"/>
  <c r="AJ73" i="60"/>
  <c r="AL73" i="60"/>
  <c r="AM73" i="60"/>
  <c r="AN73" i="60"/>
  <c r="AO73" i="60"/>
  <c r="AP73" i="60"/>
  <c r="AQ73" i="60"/>
  <c r="AR73" i="60"/>
  <c r="AS73" i="60"/>
  <c r="AT73" i="60"/>
  <c r="AU73" i="60"/>
  <c r="AV73" i="60"/>
  <c r="AW73" i="60"/>
  <c r="AX73" i="60"/>
  <c r="AY73" i="60"/>
  <c r="BB73" i="60"/>
  <c r="BC73" i="60"/>
  <c r="BD73" i="60"/>
  <c r="BE73" i="60"/>
  <c r="BF73" i="60"/>
  <c r="BG73" i="60"/>
  <c r="BH73" i="60"/>
  <c r="BI73" i="60"/>
  <c r="BJ73" i="60"/>
  <c r="BK73" i="60"/>
  <c r="BL73" i="60"/>
  <c r="BM73" i="60"/>
  <c r="BN73" i="60"/>
  <c r="BO73" i="60"/>
  <c r="D74" i="60"/>
  <c r="F74" i="60"/>
  <c r="G74" i="60"/>
  <c r="H74" i="60"/>
  <c r="I74" i="60"/>
  <c r="K74" i="60"/>
  <c r="L74" i="60"/>
  <c r="N74" i="60"/>
  <c r="O74" i="60"/>
  <c r="P74" i="60"/>
  <c r="Q74" i="60"/>
  <c r="S74" i="60"/>
  <c r="T74" i="60"/>
  <c r="V74" i="60"/>
  <c r="X74" i="60"/>
  <c r="Y74" i="60"/>
  <c r="Z74" i="60"/>
  <c r="AA74" i="60"/>
  <c r="AB74" i="60"/>
  <c r="AC74" i="60"/>
  <c r="AF74" i="60"/>
  <c r="AG74" i="60"/>
  <c r="AH74" i="60"/>
  <c r="AI74" i="60"/>
  <c r="AJ74" i="60"/>
  <c r="AL74" i="60"/>
  <c r="AM74" i="60"/>
  <c r="AN74" i="60"/>
  <c r="AO74" i="60"/>
  <c r="AP74" i="60"/>
  <c r="AQ74" i="60"/>
  <c r="AR74" i="60"/>
  <c r="AS74" i="60"/>
  <c r="AT74" i="60"/>
  <c r="AU74" i="60"/>
  <c r="AV74" i="60"/>
  <c r="AW74" i="60"/>
  <c r="AX74" i="60"/>
  <c r="AY74" i="60"/>
  <c r="BB74" i="60"/>
  <c r="BC74" i="60"/>
  <c r="BD74" i="60"/>
  <c r="BE74" i="60"/>
  <c r="BF74" i="60"/>
  <c r="BG74" i="60"/>
  <c r="BH74" i="60"/>
  <c r="BI74" i="60"/>
  <c r="BJ74" i="60"/>
  <c r="BK74" i="60"/>
  <c r="BL74" i="60"/>
  <c r="BM74" i="60"/>
  <c r="BN74" i="60"/>
  <c r="BO74" i="60"/>
  <c r="D75" i="60"/>
  <c r="F75" i="60"/>
  <c r="G75" i="60"/>
  <c r="H75" i="60"/>
  <c r="I75" i="60"/>
  <c r="K75" i="60"/>
  <c r="L75" i="60"/>
  <c r="N75" i="60"/>
  <c r="O75" i="60"/>
  <c r="P75" i="60"/>
  <c r="Q75" i="60"/>
  <c r="S75" i="60"/>
  <c r="T75" i="60"/>
  <c r="V75" i="60"/>
  <c r="X75" i="60"/>
  <c r="Y75" i="60"/>
  <c r="Z75" i="60"/>
  <c r="AA75" i="60"/>
  <c r="AB75" i="60"/>
  <c r="AC75" i="60"/>
  <c r="AF75" i="60"/>
  <c r="AG75" i="60"/>
  <c r="AH75" i="60"/>
  <c r="AI75" i="60"/>
  <c r="AJ75" i="60"/>
  <c r="AL75" i="60"/>
  <c r="AM75" i="60"/>
  <c r="AN75" i="60"/>
  <c r="AO75" i="60"/>
  <c r="AP75" i="60"/>
  <c r="AQ75" i="60"/>
  <c r="AR75" i="60"/>
  <c r="AS75" i="60"/>
  <c r="AT75" i="60"/>
  <c r="AU75" i="60"/>
  <c r="AV75" i="60"/>
  <c r="AW75" i="60"/>
  <c r="AX75" i="60"/>
  <c r="AY75" i="60"/>
  <c r="BB75" i="60"/>
  <c r="BC75" i="60"/>
  <c r="BD75" i="60"/>
  <c r="BE75" i="60"/>
  <c r="BF75" i="60"/>
  <c r="BG75" i="60"/>
  <c r="BH75" i="60"/>
  <c r="BI75" i="60"/>
  <c r="BJ75" i="60"/>
  <c r="BK75" i="60"/>
  <c r="BL75" i="60"/>
  <c r="BM75" i="60"/>
  <c r="BN75" i="60"/>
  <c r="BO75" i="60"/>
  <c r="D76" i="60"/>
  <c r="F76" i="60"/>
  <c r="G76" i="60"/>
  <c r="H76" i="60"/>
  <c r="I76" i="60"/>
  <c r="K76" i="60"/>
  <c r="L76" i="60"/>
  <c r="N76" i="60"/>
  <c r="O76" i="60"/>
  <c r="P76" i="60"/>
  <c r="Q76" i="60"/>
  <c r="S76" i="60"/>
  <c r="T76" i="60"/>
  <c r="V76" i="60"/>
  <c r="X76" i="60"/>
  <c r="Y76" i="60"/>
  <c r="Z76" i="60"/>
  <c r="AA76" i="60"/>
  <c r="AB76" i="60"/>
  <c r="AC76" i="60"/>
  <c r="AF76" i="60"/>
  <c r="AG76" i="60"/>
  <c r="AH76" i="60"/>
  <c r="AI76" i="60"/>
  <c r="AJ76" i="60"/>
  <c r="AL76" i="60"/>
  <c r="AM76" i="60"/>
  <c r="AN76" i="60"/>
  <c r="AO76" i="60"/>
  <c r="AP76" i="60"/>
  <c r="AQ76" i="60"/>
  <c r="AR76" i="60"/>
  <c r="AS76" i="60"/>
  <c r="AT76" i="60"/>
  <c r="AU76" i="60"/>
  <c r="AV76" i="60"/>
  <c r="AW76" i="60"/>
  <c r="AX76" i="60"/>
  <c r="AY76" i="60"/>
  <c r="BB76" i="60"/>
  <c r="BC76" i="60"/>
  <c r="BD76" i="60"/>
  <c r="BE76" i="60"/>
  <c r="BF76" i="60"/>
  <c r="BG76" i="60"/>
  <c r="BH76" i="60"/>
  <c r="BI76" i="60"/>
  <c r="BJ76" i="60"/>
  <c r="BK76" i="60"/>
  <c r="BL76" i="60"/>
  <c r="BM76" i="60"/>
  <c r="BN76" i="60"/>
  <c r="BO76" i="60"/>
  <c r="D77" i="60"/>
  <c r="F77" i="60"/>
  <c r="G77" i="60"/>
  <c r="H77" i="60"/>
  <c r="I77" i="60"/>
  <c r="K77" i="60"/>
  <c r="L77" i="60"/>
  <c r="N77" i="60"/>
  <c r="O77" i="60"/>
  <c r="P77" i="60"/>
  <c r="Q77" i="60"/>
  <c r="S77" i="60"/>
  <c r="T77" i="60"/>
  <c r="V77" i="60"/>
  <c r="X77" i="60"/>
  <c r="Y77" i="60"/>
  <c r="Z77" i="60"/>
  <c r="AA77" i="60"/>
  <c r="AB77" i="60"/>
  <c r="AC77" i="60"/>
  <c r="AF77" i="60"/>
  <c r="AG77" i="60"/>
  <c r="AH77" i="60"/>
  <c r="AI77" i="60"/>
  <c r="AJ77" i="60"/>
  <c r="AL77" i="60"/>
  <c r="AM77" i="60"/>
  <c r="AN77" i="60"/>
  <c r="AO77" i="60"/>
  <c r="AP77" i="60"/>
  <c r="AQ77" i="60"/>
  <c r="AR77" i="60"/>
  <c r="AS77" i="60"/>
  <c r="AT77" i="60"/>
  <c r="AU77" i="60"/>
  <c r="AV77" i="60"/>
  <c r="AW77" i="60"/>
  <c r="AX77" i="60"/>
  <c r="AY77" i="60"/>
  <c r="BB77" i="60"/>
  <c r="BC77" i="60"/>
  <c r="BD77" i="60"/>
  <c r="BE77" i="60"/>
  <c r="BF77" i="60"/>
  <c r="BG77" i="60"/>
  <c r="BH77" i="60"/>
  <c r="BI77" i="60"/>
  <c r="BJ77" i="60"/>
  <c r="BK77" i="60"/>
  <c r="BL77" i="60"/>
  <c r="BM77" i="60"/>
  <c r="BN77" i="60"/>
  <c r="BO77" i="60"/>
  <c r="D78" i="60"/>
  <c r="F78" i="60"/>
  <c r="G78" i="60"/>
  <c r="H78" i="60"/>
  <c r="I78" i="60"/>
  <c r="K78" i="60"/>
  <c r="L78" i="60"/>
  <c r="N78" i="60"/>
  <c r="O78" i="60"/>
  <c r="P78" i="60"/>
  <c r="Q78" i="60"/>
  <c r="S78" i="60"/>
  <c r="T78" i="60"/>
  <c r="V78" i="60"/>
  <c r="X78" i="60"/>
  <c r="Y78" i="60"/>
  <c r="Z78" i="60"/>
  <c r="AA78" i="60"/>
  <c r="AB78" i="60"/>
  <c r="AC78" i="60"/>
  <c r="AF78" i="60"/>
  <c r="AG78" i="60"/>
  <c r="AH78" i="60"/>
  <c r="AI78" i="60"/>
  <c r="AJ78" i="60"/>
  <c r="AL78" i="60"/>
  <c r="AM78" i="60"/>
  <c r="AN78" i="60"/>
  <c r="AO78" i="60"/>
  <c r="AP78" i="60"/>
  <c r="AQ78" i="60"/>
  <c r="AR78" i="60"/>
  <c r="AS78" i="60"/>
  <c r="AT78" i="60"/>
  <c r="AU78" i="60"/>
  <c r="AV78" i="60"/>
  <c r="AW78" i="60"/>
  <c r="AX78" i="60"/>
  <c r="AY78" i="60"/>
  <c r="BB78" i="60"/>
  <c r="BC78" i="60"/>
  <c r="BD78" i="60"/>
  <c r="BE78" i="60"/>
  <c r="BF78" i="60"/>
  <c r="BG78" i="60"/>
  <c r="BH78" i="60"/>
  <c r="BI78" i="60"/>
  <c r="BJ78" i="60"/>
  <c r="BK78" i="60"/>
  <c r="BL78" i="60"/>
  <c r="BM78" i="60"/>
  <c r="BN78" i="60"/>
  <c r="BO78" i="60"/>
  <c r="D79" i="60"/>
  <c r="F79" i="60"/>
  <c r="G79" i="60"/>
  <c r="H79" i="60"/>
  <c r="I79" i="60"/>
  <c r="K79" i="60"/>
  <c r="L79" i="60"/>
  <c r="N79" i="60"/>
  <c r="O79" i="60"/>
  <c r="P79" i="60"/>
  <c r="Q79" i="60"/>
  <c r="S79" i="60"/>
  <c r="T79" i="60"/>
  <c r="V79" i="60"/>
  <c r="X79" i="60"/>
  <c r="Y79" i="60"/>
  <c r="Z79" i="60"/>
  <c r="AA79" i="60"/>
  <c r="AB79" i="60"/>
  <c r="AC79" i="60"/>
  <c r="AF79" i="60"/>
  <c r="AG79" i="60"/>
  <c r="AH79" i="60"/>
  <c r="AI79" i="60"/>
  <c r="AJ79" i="60"/>
  <c r="AL79" i="60"/>
  <c r="AM79" i="60"/>
  <c r="AN79" i="60"/>
  <c r="AO79" i="60"/>
  <c r="AP79" i="60"/>
  <c r="AQ79" i="60"/>
  <c r="AR79" i="60"/>
  <c r="AS79" i="60"/>
  <c r="AT79" i="60"/>
  <c r="AU79" i="60"/>
  <c r="AV79" i="60"/>
  <c r="AW79" i="60"/>
  <c r="AX79" i="60"/>
  <c r="AY79" i="60"/>
  <c r="BB79" i="60"/>
  <c r="BC79" i="60"/>
  <c r="BD79" i="60"/>
  <c r="BE79" i="60"/>
  <c r="BF79" i="60"/>
  <c r="BG79" i="60"/>
  <c r="BH79" i="60"/>
  <c r="BI79" i="60"/>
  <c r="BJ79" i="60"/>
  <c r="BK79" i="60"/>
  <c r="BL79" i="60"/>
  <c r="BM79" i="60"/>
  <c r="BN79" i="60"/>
  <c r="BO79" i="60"/>
  <c r="D80" i="60"/>
  <c r="F80" i="60"/>
  <c r="G80" i="60"/>
  <c r="H80" i="60"/>
  <c r="I80" i="60"/>
  <c r="K80" i="60"/>
  <c r="L80" i="60"/>
  <c r="N80" i="60"/>
  <c r="O80" i="60"/>
  <c r="P80" i="60"/>
  <c r="Q80" i="60"/>
  <c r="S80" i="60"/>
  <c r="T80" i="60"/>
  <c r="V80" i="60"/>
  <c r="X80" i="60"/>
  <c r="Y80" i="60"/>
  <c r="Z80" i="60"/>
  <c r="AA80" i="60"/>
  <c r="AB80" i="60"/>
  <c r="AC80" i="60"/>
  <c r="AF80" i="60"/>
  <c r="AG80" i="60"/>
  <c r="AH80" i="60"/>
  <c r="AI80" i="60"/>
  <c r="AJ80" i="60"/>
  <c r="AL80" i="60"/>
  <c r="AM80" i="60"/>
  <c r="AN80" i="60"/>
  <c r="AO80" i="60"/>
  <c r="AP80" i="60"/>
  <c r="AQ80" i="60"/>
  <c r="AR80" i="60"/>
  <c r="AS80" i="60"/>
  <c r="AT80" i="60"/>
  <c r="AU80" i="60"/>
  <c r="AV80" i="60"/>
  <c r="AW80" i="60"/>
  <c r="AX80" i="60"/>
  <c r="AY80" i="60"/>
  <c r="BB80" i="60"/>
  <c r="BC80" i="60"/>
  <c r="BD80" i="60"/>
  <c r="BE80" i="60"/>
  <c r="BF80" i="60"/>
  <c r="BG80" i="60"/>
  <c r="BH80" i="60"/>
  <c r="BI80" i="60"/>
  <c r="BJ80" i="60"/>
  <c r="BK80" i="60"/>
  <c r="BL80" i="60"/>
  <c r="BM80" i="60"/>
  <c r="BN80" i="60"/>
  <c r="BO80" i="60"/>
  <c r="D81" i="60"/>
  <c r="F81" i="60"/>
  <c r="G81" i="60"/>
  <c r="H81" i="60"/>
  <c r="I81" i="60"/>
  <c r="K81" i="60"/>
  <c r="L81" i="60"/>
  <c r="N81" i="60"/>
  <c r="O81" i="60"/>
  <c r="P81" i="60"/>
  <c r="Q81" i="60"/>
  <c r="S81" i="60"/>
  <c r="T81" i="60"/>
  <c r="V81" i="60"/>
  <c r="X81" i="60"/>
  <c r="Y81" i="60"/>
  <c r="Z81" i="60"/>
  <c r="AA81" i="60"/>
  <c r="AB81" i="60"/>
  <c r="AC81" i="60"/>
  <c r="AF81" i="60"/>
  <c r="AG81" i="60"/>
  <c r="AH81" i="60"/>
  <c r="AI81" i="60"/>
  <c r="AJ81" i="60"/>
  <c r="AL81" i="60"/>
  <c r="AM81" i="60"/>
  <c r="AN81" i="60"/>
  <c r="AO81" i="60"/>
  <c r="AP81" i="60"/>
  <c r="AQ81" i="60"/>
  <c r="AR81" i="60"/>
  <c r="AS81" i="60"/>
  <c r="AT81" i="60"/>
  <c r="AU81" i="60"/>
  <c r="AV81" i="60"/>
  <c r="AW81" i="60"/>
  <c r="AX81" i="60"/>
  <c r="AY81" i="60"/>
  <c r="BB81" i="60"/>
  <c r="BC81" i="60"/>
  <c r="BD81" i="60"/>
  <c r="BE81" i="60"/>
  <c r="BF81" i="60"/>
  <c r="BG81" i="60"/>
  <c r="BH81" i="60"/>
  <c r="BI81" i="60"/>
  <c r="BJ81" i="60"/>
  <c r="BK81" i="60"/>
  <c r="BL81" i="60"/>
  <c r="BM81" i="60"/>
  <c r="BN81" i="60"/>
  <c r="BO81" i="60"/>
  <c r="D82" i="60"/>
  <c r="F82" i="60"/>
  <c r="G82" i="60"/>
  <c r="H82" i="60"/>
  <c r="I82" i="60"/>
  <c r="K82" i="60"/>
  <c r="L82" i="60"/>
  <c r="N82" i="60"/>
  <c r="O82" i="60"/>
  <c r="P82" i="60"/>
  <c r="Q82" i="60"/>
  <c r="S82" i="60"/>
  <c r="T82" i="60"/>
  <c r="V82" i="60"/>
  <c r="X82" i="60"/>
  <c r="Y82" i="60"/>
  <c r="Z82" i="60"/>
  <c r="AA82" i="60"/>
  <c r="AB82" i="60"/>
  <c r="AC82" i="60"/>
  <c r="AF82" i="60"/>
  <c r="AG82" i="60"/>
  <c r="AH82" i="60"/>
  <c r="AI82" i="60"/>
  <c r="AJ82" i="60"/>
  <c r="AL82" i="60"/>
  <c r="AM82" i="60"/>
  <c r="AN82" i="60"/>
  <c r="AO82" i="60"/>
  <c r="AP82" i="60"/>
  <c r="AQ82" i="60"/>
  <c r="AR82" i="60"/>
  <c r="AS82" i="60"/>
  <c r="AT82" i="60"/>
  <c r="AU82" i="60"/>
  <c r="AV82" i="60"/>
  <c r="AW82" i="60"/>
  <c r="AX82" i="60"/>
  <c r="AY82" i="60"/>
  <c r="BB82" i="60"/>
  <c r="BC82" i="60"/>
  <c r="BD82" i="60"/>
  <c r="BE82" i="60"/>
  <c r="BF82" i="60"/>
  <c r="BG82" i="60"/>
  <c r="BH82" i="60"/>
  <c r="BI82" i="60"/>
  <c r="BJ82" i="60"/>
  <c r="BK82" i="60"/>
  <c r="BL82" i="60"/>
  <c r="BM82" i="60"/>
  <c r="BN82" i="60"/>
  <c r="BO82" i="60"/>
  <c r="D83" i="60"/>
  <c r="F83" i="60"/>
  <c r="G83" i="60"/>
  <c r="H83" i="60"/>
  <c r="I83" i="60"/>
  <c r="K83" i="60"/>
  <c r="L83" i="60"/>
  <c r="N83" i="60"/>
  <c r="O83" i="60"/>
  <c r="P83" i="60"/>
  <c r="Q83" i="60"/>
  <c r="S83" i="60"/>
  <c r="T83" i="60"/>
  <c r="V83" i="60"/>
  <c r="X83" i="60"/>
  <c r="Y83" i="60"/>
  <c r="Z83" i="60"/>
  <c r="AA83" i="60"/>
  <c r="AB83" i="60"/>
  <c r="AC83" i="60"/>
  <c r="AF83" i="60"/>
  <c r="AG83" i="60"/>
  <c r="AH83" i="60"/>
  <c r="AI83" i="60"/>
  <c r="AJ83" i="60"/>
  <c r="AL83" i="60"/>
  <c r="AM83" i="60"/>
  <c r="AN83" i="60"/>
  <c r="AO83" i="60"/>
  <c r="AP83" i="60"/>
  <c r="AQ83" i="60"/>
  <c r="AR83" i="60"/>
  <c r="AS83" i="60"/>
  <c r="AT83" i="60"/>
  <c r="AU83" i="60"/>
  <c r="AV83" i="60"/>
  <c r="AW83" i="60"/>
  <c r="AX83" i="60"/>
  <c r="AY83" i="60"/>
  <c r="BB83" i="60"/>
  <c r="BC83" i="60"/>
  <c r="BD83" i="60"/>
  <c r="BE83" i="60"/>
  <c r="BF83" i="60"/>
  <c r="BG83" i="60"/>
  <c r="BH83" i="60"/>
  <c r="BI83" i="60"/>
  <c r="BJ83" i="60"/>
  <c r="BK83" i="60"/>
  <c r="BL83" i="60"/>
  <c r="BM83" i="60"/>
  <c r="BN83" i="60"/>
  <c r="BO83" i="60"/>
  <c r="D84" i="60"/>
  <c r="F84" i="60"/>
  <c r="G84" i="60"/>
  <c r="H84" i="60"/>
  <c r="I84" i="60"/>
  <c r="K84" i="60"/>
  <c r="L84" i="60"/>
  <c r="N84" i="60"/>
  <c r="O84" i="60"/>
  <c r="P84" i="60"/>
  <c r="Q84" i="60"/>
  <c r="S84" i="60"/>
  <c r="T84" i="60"/>
  <c r="V84" i="60"/>
  <c r="X84" i="60"/>
  <c r="Y84" i="60"/>
  <c r="Z84" i="60"/>
  <c r="AA84" i="60"/>
  <c r="AB84" i="60"/>
  <c r="AC84" i="60"/>
  <c r="AF84" i="60"/>
  <c r="AG84" i="60"/>
  <c r="AH84" i="60"/>
  <c r="AI84" i="60"/>
  <c r="AJ84" i="60"/>
  <c r="AL84" i="60"/>
  <c r="AM84" i="60"/>
  <c r="AN84" i="60"/>
  <c r="AO84" i="60"/>
  <c r="AP84" i="60"/>
  <c r="AQ84" i="60"/>
  <c r="AR84" i="60"/>
  <c r="AS84" i="60"/>
  <c r="AT84" i="60"/>
  <c r="AU84" i="60"/>
  <c r="AV84" i="60"/>
  <c r="AW84" i="60"/>
  <c r="AX84" i="60"/>
  <c r="AY84" i="60"/>
  <c r="BB84" i="60"/>
  <c r="BC84" i="60"/>
  <c r="BD84" i="60"/>
  <c r="BE84" i="60"/>
  <c r="BF84" i="60"/>
  <c r="BG84" i="60"/>
  <c r="BH84" i="60"/>
  <c r="BI84" i="60"/>
  <c r="BJ84" i="60"/>
  <c r="BK84" i="60"/>
  <c r="BL84" i="60"/>
  <c r="BM84" i="60"/>
  <c r="BN84" i="60"/>
  <c r="BO84" i="60"/>
  <c r="D85" i="60"/>
  <c r="F85" i="60"/>
  <c r="G85" i="60"/>
  <c r="H85" i="60"/>
  <c r="I85" i="60"/>
  <c r="K85" i="60"/>
  <c r="L85" i="60"/>
  <c r="N85" i="60"/>
  <c r="O85" i="60"/>
  <c r="P85" i="60"/>
  <c r="Q85" i="60"/>
  <c r="S85" i="60"/>
  <c r="T85" i="60"/>
  <c r="V85" i="60"/>
  <c r="X85" i="60"/>
  <c r="Y85" i="60"/>
  <c r="Z85" i="60"/>
  <c r="AA85" i="60"/>
  <c r="AB85" i="60"/>
  <c r="AC85" i="60"/>
  <c r="AF85" i="60"/>
  <c r="AG85" i="60"/>
  <c r="AH85" i="60"/>
  <c r="AI85" i="60"/>
  <c r="AJ85" i="60"/>
  <c r="AL85" i="60"/>
  <c r="AM85" i="60"/>
  <c r="AN85" i="60"/>
  <c r="AO85" i="60"/>
  <c r="AP85" i="60"/>
  <c r="AQ85" i="60"/>
  <c r="AR85" i="60"/>
  <c r="AS85" i="60"/>
  <c r="AT85" i="60"/>
  <c r="AU85" i="60"/>
  <c r="AV85" i="60"/>
  <c r="AW85" i="60"/>
  <c r="AX85" i="60"/>
  <c r="AY85" i="60"/>
  <c r="BB85" i="60"/>
  <c r="BC85" i="60"/>
  <c r="BD85" i="60"/>
  <c r="BE85" i="60"/>
  <c r="BF85" i="60"/>
  <c r="BG85" i="60"/>
  <c r="BH85" i="60"/>
  <c r="BI85" i="60"/>
  <c r="BJ85" i="60"/>
  <c r="BK85" i="60"/>
  <c r="BL85" i="60"/>
  <c r="BM85" i="60"/>
  <c r="BN85" i="60"/>
  <c r="BO85" i="60"/>
  <c r="D86" i="60"/>
  <c r="F86" i="60"/>
  <c r="G86" i="60"/>
  <c r="H86" i="60"/>
  <c r="I86" i="60"/>
  <c r="K86" i="60"/>
  <c r="L86" i="60"/>
  <c r="N86" i="60"/>
  <c r="O86" i="60"/>
  <c r="P86" i="60"/>
  <c r="Q86" i="60"/>
  <c r="S86" i="60"/>
  <c r="T86" i="60"/>
  <c r="V86" i="60"/>
  <c r="X86" i="60"/>
  <c r="Y86" i="60"/>
  <c r="Z86" i="60"/>
  <c r="AA86" i="60"/>
  <c r="AB86" i="60"/>
  <c r="AC86" i="60"/>
  <c r="AF86" i="60"/>
  <c r="AG86" i="60"/>
  <c r="AH86" i="60"/>
  <c r="AI86" i="60"/>
  <c r="AJ86" i="60"/>
  <c r="AL86" i="60"/>
  <c r="AM86" i="60"/>
  <c r="AN86" i="60"/>
  <c r="AO86" i="60"/>
  <c r="AP86" i="60"/>
  <c r="AQ86" i="60"/>
  <c r="AR86" i="60"/>
  <c r="AS86" i="60"/>
  <c r="AT86" i="60"/>
  <c r="AU86" i="60"/>
  <c r="AV86" i="60"/>
  <c r="AW86" i="60"/>
  <c r="AX86" i="60"/>
  <c r="AY86" i="60"/>
  <c r="BB86" i="60"/>
  <c r="BC86" i="60"/>
  <c r="BD86" i="60"/>
  <c r="BE86" i="60"/>
  <c r="BF86" i="60"/>
  <c r="BG86" i="60"/>
  <c r="BH86" i="60"/>
  <c r="BI86" i="60"/>
  <c r="BJ86" i="60"/>
  <c r="BK86" i="60"/>
  <c r="BL86" i="60"/>
  <c r="BM86" i="60"/>
  <c r="BN86" i="60"/>
  <c r="BO86" i="60"/>
  <c r="D87" i="60"/>
  <c r="F87" i="60"/>
  <c r="G87" i="60"/>
  <c r="H87" i="60"/>
  <c r="I87" i="60"/>
  <c r="K87" i="60"/>
  <c r="L87" i="60"/>
  <c r="N87" i="60"/>
  <c r="O87" i="60"/>
  <c r="P87" i="60"/>
  <c r="Q87" i="60"/>
  <c r="S87" i="60"/>
  <c r="T87" i="60"/>
  <c r="V87" i="60"/>
  <c r="X87" i="60"/>
  <c r="Y87" i="60"/>
  <c r="Z87" i="60"/>
  <c r="AA87" i="60"/>
  <c r="AB87" i="60"/>
  <c r="AC87" i="60"/>
  <c r="AF87" i="60"/>
  <c r="AG87" i="60"/>
  <c r="AH87" i="60"/>
  <c r="AI87" i="60"/>
  <c r="AJ87" i="60"/>
  <c r="AL87" i="60"/>
  <c r="AM87" i="60"/>
  <c r="AN87" i="60"/>
  <c r="AO87" i="60"/>
  <c r="AP87" i="60"/>
  <c r="AQ87" i="60"/>
  <c r="AR87" i="60"/>
  <c r="AS87" i="60"/>
  <c r="AT87" i="60"/>
  <c r="AU87" i="60"/>
  <c r="AV87" i="60"/>
  <c r="AW87" i="60"/>
  <c r="AX87" i="60"/>
  <c r="AY87" i="60"/>
  <c r="BB87" i="60"/>
  <c r="BC87" i="60"/>
  <c r="BD87" i="60"/>
  <c r="BE87" i="60"/>
  <c r="BF87" i="60"/>
  <c r="BG87" i="60"/>
  <c r="BH87" i="60"/>
  <c r="BI87" i="60"/>
  <c r="BJ87" i="60"/>
  <c r="BK87" i="60"/>
  <c r="BL87" i="60"/>
  <c r="BM87" i="60"/>
  <c r="BN87" i="60"/>
  <c r="BO87" i="60"/>
  <c r="D88" i="60"/>
  <c r="F88" i="60"/>
  <c r="G88" i="60"/>
  <c r="H88" i="60"/>
  <c r="I88" i="60"/>
  <c r="K88" i="60"/>
  <c r="L88" i="60"/>
  <c r="N88" i="60"/>
  <c r="O88" i="60"/>
  <c r="P88" i="60"/>
  <c r="Q88" i="60"/>
  <c r="S88" i="60"/>
  <c r="T88" i="60"/>
  <c r="V88" i="60"/>
  <c r="X88" i="60"/>
  <c r="Y88" i="60"/>
  <c r="Z88" i="60"/>
  <c r="AA88" i="60"/>
  <c r="AB88" i="60"/>
  <c r="AC88" i="60"/>
  <c r="AF88" i="60"/>
  <c r="AG88" i="60"/>
  <c r="AH88" i="60"/>
  <c r="AI88" i="60"/>
  <c r="AJ88" i="60"/>
  <c r="AL88" i="60"/>
  <c r="AM88" i="60"/>
  <c r="AN88" i="60"/>
  <c r="AO88" i="60"/>
  <c r="AP88" i="60"/>
  <c r="AQ88" i="60"/>
  <c r="AR88" i="60"/>
  <c r="AS88" i="60"/>
  <c r="AT88" i="60"/>
  <c r="AU88" i="60"/>
  <c r="AV88" i="60"/>
  <c r="AW88" i="60"/>
  <c r="AX88" i="60"/>
  <c r="AY88" i="60"/>
  <c r="BB88" i="60"/>
  <c r="BC88" i="60"/>
  <c r="BD88" i="60"/>
  <c r="BE88" i="60"/>
  <c r="BF88" i="60"/>
  <c r="BG88" i="60"/>
  <c r="BH88" i="60"/>
  <c r="BI88" i="60"/>
  <c r="BJ88" i="60"/>
  <c r="BK88" i="60"/>
  <c r="BL88" i="60"/>
  <c r="BM88" i="60"/>
  <c r="BN88" i="60"/>
  <c r="BO88" i="60"/>
  <c r="D89" i="60"/>
  <c r="F89" i="60"/>
  <c r="G89" i="60"/>
  <c r="H89" i="60"/>
  <c r="I89" i="60"/>
  <c r="K89" i="60"/>
  <c r="L89" i="60"/>
  <c r="N89" i="60"/>
  <c r="O89" i="60"/>
  <c r="P89" i="60"/>
  <c r="Q89" i="60"/>
  <c r="S89" i="60"/>
  <c r="T89" i="60"/>
  <c r="V89" i="60"/>
  <c r="X89" i="60"/>
  <c r="Y89" i="60"/>
  <c r="Z89" i="60"/>
  <c r="AA89" i="60"/>
  <c r="AB89" i="60"/>
  <c r="AC89" i="60"/>
  <c r="AF89" i="60"/>
  <c r="AG89" i="60"/>
  <c r="AH89" i="60"/>
  <c r="AI89" i="60"/>
  <c r="AJ89" i="60"/>
  <c r="AL89" i="60"/>
  <c r="AM89" i="60"/>
  <c r="AN89" i="60"/>
  <c r="AO89" i="60"/>
  <c r="AP89" i="60"/>
  <c r="AQ89" i="60"/>
  <c r="AR89" i="60"/>
  <c r="AS89" i="60"/>
  <c r="AT89" i="60"/>
  <c r="AU89" i="60"/>
  <c r="AV89" i="60"/>
  <c r="AW89" i="60"/>
  <c r="AX89" i="60"/>
  <c r="AY89" i="60"/>
  <c r="BB89" i="60"/>
  <c r="BC89" i="60"/>
  <c r="BD89" i="60"/>
  <c r="BE89" i="60"/>
  <c r="BF89" i="60"/>
  <c r="BG89" i="60"/>
  <c r="BH89" i="60"/>
  <c r="BI89" i="60"/>
  <c r="BJ89" i="60"/>
  <c r="BK89" i="60"/>
  <c r="BL89" i="60"/>
  <c r="BM89" i="60"/>
  <c r="BN89" i="60"/>
  <c r="BO89" i="60"/>
  <c r="D90" i="60"/>
  <c r="F90" i="60"/>
  <c r="G90" i="60"/>
  <c r="H90" i="60"/>
  <c r="I90" i="60"/>
  <c r="K90" i="60"/>
  <c r="L90" i="60"/>
  <c r="N90" i="60"/>
  <c r="O90" i="60"/>
  <c r="P90" i="60"/>
  <c r="Q90" i="60"/>
  <c r="S90" i="60"/>
  <c r="T90" i="60"/>
  <c r="V90" i="60"/>
  <c r="X90" i="60"/>
  <c r="Y90" i="60"/>
  <c r="Z90" i="60"/>
  <c r="AA90" i="60"/>
  <c r="AB90" i="60"/>
  <c r="AC90" i="60"/>
  <c r="AF90" i="60"/>
  <c r="AG90" i="60"/>
  <c r="AH90" i="60"/>
  <c r="AI90" i="60"/>
  <c r="AJ90" i="60"/>
  <c r="AL90" i="60"/>
  <c r="AM90" i="60"/>
  <c r="AN90" i="60"/>
  <c r="AO90" i="60"/>
  <c r="AP90" i="60"/>
  <c r="AQ90" i="60"/>
  <c r="AR90" i="60"/>
  <c r="AS90" i="60"/>
  <c r="AT90" i="60"/>
  <c r="AU90" i="60"/>
  <c r="AV90" i="60"/>
  <c r="AW90" i="60"/>
  <c r="AX90" i="60"/>
  <c r="AY90" i="60"/>
  <c r="BB90" i="60"/>
  <c r="BC90" i="60"/>
  <c r="BD90" i="60"/>
  <c r="BE90" i="60"/>
  <c r="BF90" i="60"/>
  <c r="BG90" i="60"/>
  <c r="BH90" i="60"/>
  <c r="BI90" i="60"/>
  <c r="BJ90" i="60"/>
  <c r="BK90" i="60"/>
  <c r="BL90" i="60"/>
  <c r="BM90" i="60"/>
  <c r="BN90" i="60"/>
  <c r="BO90" i="60"/>
  <c r="D91" i="60"/>
  <c r="F91" i="60"/>
  <c r="G91" i="60"/>
  <c r="H91" i="60"/>
  <c r="I91" i="60"/>
  <c r="K91" i="60"/>
  <c r="L91" i="60"/>
  <c r="N91" i="60"/>
  <c r="O91" i="60"/>
  <c r="P91" i="60"/>
  <c r="Q91" i="60"/>
  <c r="S91" i="60"/>
  <c r="T91" i="60"/>
  <c r="V91" i="60"/>
  <c r="X91" i="60"/>
  <c r="Y91" i="60"/>
  <c r="Z91" i="60"/>
  <c r="AA91" i="60"/>
  <c r="AB91" i="60"/>
  <c r="AC91" i="60"/>
  <c r="AF91" i="60"/>
  <c r="AG91" i="60"/>
  <c r="AH91" i="60"/>
  <c r="AI91" i="60"/>
  <c r="AJ91" i="60"/>
  <c r="AL91" i="60"/>
  <c r="AM91" i="60"/>
  <c r="AN91" i="60"/>
  <c r="AO91" i="60"/>
  <c r="AP91" i="60"/>
  <c r="AQ91" i="60"/>
  <c r="AR91" i="60"/>
  <c r="AS91" i="60"/>
  <c r="AT91" i="60"/>
  <c r="AU91" i="60"/>
  <c r="AV91" i="60"/>
  <c r="AW91" i="60"/>
  <c r="AX91" i="60"/>
  <c r="AY91" i="60"/>
  <c r="BB91" i="60"/>
  <c r="BC91" i="60"/>
  <c r="BD91" i="60"/>
  <c r="BE91" i="60"/>
  <c r="BF91" i="60"/>
  <c r="BG91" i="60"/>
  <c r="BH91" i="60"/>
  <c r="BI91" i="60"/>
  <c r="BJ91" i="60"/>
  <c r="BK91" i="60"/>
  <c r="BL91" i="60"/>
  <c r="BM91" i="60"/>
  <c r="BN91" i="60"/>
  <c r="BO91" i="60"/>
  <c r="D92" i="60"/>
  <c r="F92" i="60"/>
  <c r="G92" i="60"/>
  <c r="H92" i="60"/>
  <c r="I92" i="60"/>
  <c r="K92" i="60"/>
  <c r="L92" i="60"/>
  <c r="N92" i="60"/>
  <c r="O92" i="60"/>
  <c r="P92" i="60"/>
  <c r="Q92" i="60"/>
  <c r="S92" i="60"/>
  <c r="T92" i="60"/>
  <c r="V92" i="60"/>
  <c r="X92" i="60"/>
  <c r="Y92" i="60"/>
  <c r="Z92" i="60"/>
  <c r="AA92" i="60"/>
  <c r="AB92" i="60"/>
  <c r="AC92" i="60"/>
  <c r="AF92" i="60"/>
  <c r="AG92" i="60"/>
  <c r="AH92" i="60"/>
  <c r="AI92" i="60"/>
  <c r="AJ92" i="60"/>
  <c r="AL92" i="60"/>
  <c r="AM92" i="60"/>
  <c r="AN92" i="60"/>
  <c r="AO92" i="60"/>
  <c r="AP92" i="60"/>
  <c r="AQ92" i="60"/>
  <c r="AR92" i="60"/>
  <c r="AS92" i="60"/>
  <c r="AT92" i="60"/>
  <c r="AU92" i="60"/>
  <c r="AV92" i="60"/>
  <c r="AW92" i="60"/>
  <c r="AX92" i="60"/>
  <c r="AY92" i="60"/>
  <c r="BB92" i="60"/>
  <c r="BC92" i="60"/>
  <c r="BD92" i="60"/>
  <c r="BE92" i="60"/>
  <c r="BF92" i="60"/>
  <c r="BG92" i="60"/>
  <c r="BH92" i="60"/>
  <c r="BI92" i="60"/>
  <c r="BJ92" i="60"/>
  <c r="BK92" i="60"/>
  <c r="BL92" i="60"/>
  <c r="BM92" i="60"/>
  <c r="BN92" i="60"/>
  <c r="BO92" i="60"/>
  <c r="D93" i="60"/>
  <c r="F93" i="60"/>
  <c r="G93" i="60"/>
  <c r="H93" i="60"/>
  <c r="I93" i="60"/>
  <c r="K93" i="60"/>
  <c r="L93" i="60"/>
  <c r="N93" i="60"/>
  <c r="O93" i="60"/>
  <c r="P93" i="60"/>
  <c r="Q93" i="60"/>
  <c r="S93" i="60"/>
  <c r="T93" i="60"/>
  <c r="V93" i="60"/>
  <c r="X93" i="60"/>
  <c r="Y93" i="60"/>
  <c r="Z93" i="60"/>
  <c r="AA93" i="60"/>
  <c r="AB93" i="60"/>
  <c r="AC93" i="60"/>
  <c r="AF93" i="60"/>
  <c r="AG93" i="60"/>
  <c r="AH93" i="60"/>
  <c r="AI93" i="60"/>
  <c r="AJ93" i="60"/>
  <c r="AL93" i="60"/>
  <c r="AM93" i="60"/>
  <c r="AN93" i="60"/>
  <c r="AO93" i="60"/>
  <c r="AP93" i="60"/>
  <c r="AQ93" i="60"/>
  <c r="AR93" i="60"/>
  <c r="AS93" i="60"/>
  <c r="AT93" i="60"/>
  <c r="AU93" i="60"/>
  <c r="AV93" i="60"/>
  <c r="AW93" i="60"/>
  <c r="AX93" i="60"/>
  <c r="AY93" i="60"/>
  <c r="BB93" i="60"/>
  <c r="BC93" i="60"/>
  <c r="BD93" i="60"/>
  <c r="BE93" i="60"/>
  <c r="BF93" i="60"/>
  <c r="BG93" i="60"/>
  <c r="BH93" i="60"/>
  <c r="BI93" i="60"/>
  <c r="BJ93" i="60"/>
  <c r="BK93" i="60"/>
  <c r="BL93" i="60"/>
  <c r="BM93" i="60"/>
  <c r="BN93" i="60"/>
  <c r="BO93" i="60"/>
  <c r="D94" i="60"/>
  <c r="F94" i="60"/>
  <c r="G94" i="60"/>
  <c r="H94" i="60"/>
  <c r="I94" i="60"/>
  <c r="K94" i="60"/>
  <c r="L94" i="60"/>
  <c r="N94" i="60"/>
  <c r="O94" i="60"/>
  <c r="P94" i="60"/>
  <c r="Q94" i="60"/>
  <c r="S94" i="60"/>
  <c r="T94" i="60"/>
  <c r="V94" i="60"/>
  <c r="X94" i="60"/>
  <c r="Y94" i="60"/>
  <c r="Z94" i="60"/>
  <c r="AA94" i="60"/>
  <c r="AB94" i="60"/>
  <c r="AC94" i="60"/>
  <c r="AF94" i="60"/>
  <c r="AG94" i="60"/>
  <c r="AH94" i="60"/>
  <c r="AI94" i="60"/>
  <c r="AJ94" i="60"/>
  <c r="AL94" i="60"/>
  <c r="AM94" i="60"/>
  <c r="AN94" i="60"/>
  <c r="AO94" i="60"/>
  <c r="AP94" i="60"/>
  <c r="AQ94" i="60"/>
  <c r="AR94" i="60"/>
  <c r="AS94" i="60"/>
  <c r="AT94" i="60"/>
  <c r="AU94" i="60"/>
  <c r="AV94" i="60"/>
  <c r="AW94" i="60"/>
  <c r="AX94" i="60"/>
  <c r="AY94" i="60"/>
  <c r="BB94" i="60"/>
  <c r="BC94" i="60"/>
  <c r="BD94" i="60"/>
  <c r="BE94" i="60"/>
  <c r="BF94" i="60"/>
  <c r="BG94" i="60"/>
  <c r="BH94" i="60"/>
  <c r="BI94" i="60"/>
  <c r="BJ94" i="60"/>
  <c r="BK94" i="60"/>
  <c r="BL94" i="60"/>
  <c r="BM94" i="60"/>
  <c r="BN94" i="60"/>
  <c r="BO94" i="60"/>
  <c r="D95" i="60"/>
  <c r="F95" i="60"/>
  <c r="G95" i="60"/>
  <c r="H95" i="60"/>
  <c r="I95" i="60"/>
  <c r="K95" i="60"/>
  <c r="L95" i="60"/>
  <c r="N95" i="60"/>
  <c r="O95" i="60"/>
  <c r="P95" i="60"/>
  <c r="Q95" i="60"/>
  <c r="S95" i="60"/>
  <c r="T95" i="60"/>
  <c r="V95" i="60"/>
  <c r="X95" i="60"/>
  <c r="Y95" i="60"/>
  <c r="Z95" i="60"/>
  <c r="AA95" i="60"/>
  <c r="AB95" i="60"/>
  <c r="AC95" i="60"/>
  <c r="AF95" i="60"/>
  <c r="AG95" i="60"/>
  <c r="AH95" i="60"/>
  <c r="AI95" i="60"/>
  <c r="AJ95" i="60"/>
  <c r="AL95" i="60"/>
  <c r="AM95" i="60"/>
  <c r="AN95" i="60"/>
  <c r="AO95" i="60"/>
  <c r="AP95" i="60"/>
  <c r="AQ95" i="60"/>
  <c r="AR95" i="60"/>
  <c r="AS95" i="60"/>
  <c r="AT95" i="60"/>
  <c r="AU95" i="60"/>
  <c r="AV95" i="60"/>
  <c r="AW95" i="60"/>
  <c r="AX95" i="60"/>
  <c r="AY95" i="60"/>
  <c r="BB95" i="60"/>
  <c r="BC95" i="60"/>
  <c r="BD95" i="60"/>
  <c r="BE95" i="60"/>
  <c r="BF95" i="60"/>
  <c r="BG95" i="60"/>
  <c r="BH95" i="60"/>
  <c r="BI95" i="60"/>
  <c r="BJ95" i="60"/>
  <c r="BK95" i="60"/>
  <c r="BL95" i="60"/>
  <c r="BM95" i="60"/>
  <c r="BN95" i="60"/>
  <c r="BO95" i="60"/>
  <c r="D96" i="60"/>
  <c r="F96" i="60"/>
  <c r="G96" i="60"/>
  <c r="H96" i="60"/>
  <c r="I96" i="60"/>
  <c r="K96" i="60"/>
  <c r="L96" i="60"/>
  <c r="N96" i="60"/>
  <c r="O96" i="60"/>
  <c r="P96" i="60"/>
  <c r="Q96" i="60"/>
  <c r="S96" i="60"/>
  <c r="T96" i="60"/>
  <c r="V96" i="60"/>
  <c r="X96" i="60"/>
  <c r="Y96" i="60"/>
  <c r="Z96" i="60"/>
  <c r="AA96" i="60"/>
  <c r="AB96" i="60"/>
  <c r="AC96" i="60"/>
  <c r="AF96" i="60"/>
  <c r="AG96" i="60"/>
  <c r="AH96" i="60"/>
  <c r="AI96" i="60"/>
  <c r="AJ96" i="60"/>
  <c r="AL96" i="60"/>
  <c r="AM96" i="60"/>
  <c r="AN96" i="60"/>
  <c r="AO96" i="60"/>
  <c r="AP96" i="60"/>
  <c r="AQ96" i="60"/>
  <c r="AR96" i="60"/>
  <c r="AS96" i="60"/>
  <c r="AT96" i="60"/>
  <c r="AU96" i="60"/>
  <c r="AV96" i="60"/>
  <c r="AW96" i="60"/>
  <c r="AX96" i="60"/>
  <c r="AY96" i="60"/>
  <c r="BB96" i="60"/>
  <c r="BC96" i="60"/>
  <c r="BD96" i="60"/>
  <c r="BE96" i="60"/>
  <c r="BF96" i="60"/>
  <c r="BG96" i="60"/>
  <c r="BH96" i="60"/>
  <c r="BI96" i="60"/>
  <c r="BJ96" i="60"/>
  <c r="BK96" i="60"/>
  <c r="BL96" i="60"/>
  <c r="BM96" i="60"/>
  <c r="BN96" i="60"/>
  <c r="BO96" i="60"/>
  <c r="D97" i="60"/>
  <c r="F97" i="60"/>
  <c r="G97" i="60"/>
  <c r="H97" i="60"/>
  <c r="I97" i="60"/>
  <c r="K97" i="60"/>
  <c r="L97" i="60"/>
  <c r="N97" i="60"/>
  <c r="O97" i="60"/>
  <c r="P97" i="60"/>
  <c r="Q97" i="60"/>
  <c r="S97" i="60"/>
  <c r="T97" i="60"/>
  <c r="V97" i="60"/>
  <c r="X97" i="60"/>
  <c r="Y97" i="60"/>
  <c r="Z97" i="60"/>
  <c r="AA97" i="60"/>
  <c r="AB97" i="60"/>
  <c r="AC97" i="60"/>
  <c r="AF97" i="60"/>
  <c r="AG97" i="60"/>
  <c r="AH97" i="60"/>
  <c r="AI97" i="60"/>
  <c r="AJ97" i="60"/>
  <c r="AL97" i="60"/>
  <c r="AM97" i="60"/>
  <c r="AN97" i="60"/>
  <c r="AO97" i="60"/>
  <c r="AP97" i="60"/>
  <c r="AQ97" i="60"/>
  <c r="AR97" i="60"/>
  <c r="AS97" i="60"/>
  <c r="AT97" i="60"/>
  <c r="AU97" i="60"/>
  <c r="AV97" i="60"/>
  <c r="AW97" i="60"/>
  <c r="AX97" i="60"/>
  <c r="AY97" i="60"/>
  <c r="BB97" i="60"/>
  <c r="BC97" i="60"/>
  <c r="BD97" i="60"/>
  <c r="BE97" i="60"/>
  <c r="BF97" i="60"/>
  <c r="BG97" i="60"/>
  <c r="BH97" i="60"/>
  <c r="BI97" i="60"/>
  <c r="BJ97" i="60"/>
  <c r="BK97" i="60"/>
  <c r="BL97" i="60"/>
  <c r="BM97" i="60"/>
  <c r="BN97" i="60"/>
  <c r="BO97" i="60"/>
  <c r="D98" i="60"/>
  <c r="F98" i="60"/>
  <c r="G98" i="60"/>
  <c r="H98" i="60"/>
  <c r="I98" i="60"/>
  <c r="K98" i="60"/>
  <c r="L98" i="60"/>
  <c r="N98" i="60"/>
  <c r="O98" i="60"/>
  <c r="P98" i="60"/>
  <c r="Q98" i="60"/>
  <c r="S98" i="60"/>
  <c r="T98" i="60"/>
  <c r="V98" i="60"/>
  <c r="X98" i="60"/>
  <c r="Y98" i="60"/>
  <c r="Z98" i="60"/>
  <c r="AA98" i="60"/>
  <c r="AB98" i="60"/>
  <c r="AC98" i="60"/>
  <c r="AF98" i="60"/>
  <c r="AG98" i="60"/>
  <c r="AH98" i="60"/>
  <c r="AI98" i="60"/>
  <c r="AJ98" i="60"/>
  <c r="AL98" i="60"/>
  <c r="AM98" i="60"/>
  <c r="AN98" i="60"/>
  <c r="AO98" i="60"/>
  <c r="AP98" i="60"/>
  <c r="AQ98" i="60"/>
  <c r="AR98" i="60"/>
  <c r="AS98" i="60"/>
  <c r="AT98" i="60"/>
  <c r="AU98" i="60"/>
  <c r="AV98" i="60"/>
  <c r="AW98" i="60"/>
  <c r="AX98" i="60"/>
  <c r="AY98" i="60"/>
  <c r="BB98" i="60"/>
  <c r="BC98" i="60"/>
  <c r="BD98" i="60"/>
  <c r="BE98" i="60"/>
  <c r="BF98" i="60"/>
  <c r="BG98" i="60"/>
  <c r="BH98" i="60"/>
  <c r="BI98" i="60"/>
  <c r="BJ98" i="60"/>
  <c r="BK98" i="60"/>
  <c r="BL98" i="60"/>
  <c r="BM98" i="60"/>
  <c r="BN98" i="60"/>
  <c r="BO98" i="60"/>
  <c r="D99" i="60"/>
  <c r="F99" i="60"/>
  <c r="G99" i="60"/>
  <c r="H99" i="60"/>
  <c r="I99" i="60"/>
  <c r="K99" i="60"/>
  <c r="L99" i="60"/>
  <c r="N99" i="60"/>
  <c r="O99" i="60"/>
  <c r="P99" i="60"/>
  <c r="Q99" i="60"/>
  <c r="S99" i="60"/>
  <c r="T99" i="60"/>
  <c r="V99" i="60"/>
  <c r="X99" i="60"/>
  <c r="Y99" i="60"/>
  <c r="Z99" i="60"/>
  <c r="AA99" i="60"/>
  <c r="AB99" i="60"/>
  <c r="AC99" i="60"/>
  <c r="AF99" i="60"/>
  <c r="AG99" i="60"/>
  <c r="AH99" i="60"/>
  <c r="AI99" i="60"/>
  <c r="AJ99" i="60"/>
  <c r="AL99" i="60"/>
  <c r="AM99" i="60"/>
  <c r="AN99" i="60"/>
  <c r="AO99" i="60"/>
  <c r="AP99" i="60"/>
  <c r="AQ99" i="60"/>
  <c r="AR99" i="60"/>
  <c r="AS99" i="60"/>
  <c r="AT99" i="60"/>
  <c r="AU99" i="60"/>
  <c r="AV99" i="60"/>
  <c r="AW99" i="60"/>
  <c r="AX99" i="60"/>
  <c r="AY99" i="60"/>
  <c r="BB99" i="60"/>
  <c r="BC99" i="60"/>
  <c r="BD99" i="60"/>
  <c r="BE99" i="60"/>
  <c r="BF99" i="60"/>
  <c r="BG99" i="60"/>
  <c r="BH99" i="60"/>
  <c r="BI99" i="60"/>
  <c r="BJ99" i="60"/>
  <c r="BK99" i="60"/>
  <c r="BL99" i="60"/>
  <c r="BM99" i="60"/>
  <c r="BN99" i="60"/>
  <c r="BO99" i="60"/>
  <c r="D100" i="60"/>
  <c r="F100" i="60"/>
  <c r="G100" i="60"/>
  <c r="H100" i="60"/>
  <c r="I100" i="60"/>
  <c r="K100" i="60"/>
  <c r="L100" i="60"/>
  <c r="N100" i="60"/>
  <c r="O100" i="60"/>
  <c r="P100" i="60"/>
  <c r="Q100" i="60"/>
  <c r="S100" i="60"/>
  <c r="T100" i="60"/>
  <c r="V100" i="60"/>
  <c r="X100" i="60"/>
  <c r="Y100" i="60"/>
  <c r="Z100" i="60"/>
  <c r="AA100" i="60"/>
  <c r="AB100" i="60"/>
  <c r="AC100" i="60"/>
  <c r="AF100" i="60"/>
  <c r="AG100" i="60"/>
  <c r="AH100" i="60"/>
  <c r="AI100" i="60"/>
  <c r="AJ100" i="60"/>
  <c r="AL100" i="60"/>
  <c r="AM100" i="60"/>
  <c r="AN100" i="60"/>
  <c r="AO100" i="60"/>
  <c r="AP100" i="60"/>
  <c r="AQ100" i="60"/>
  <c r="AR100" i="60"/>
  <c r="AS100" i="60"/>
  <c r="AT100" i="60"/>
  <c r="AU100" i="60"/>
  <c r="AV100" i="60"/>
  <c r="AW100" i="60"/>
  <c r="AX100" i="60"/>
  <c r="AY100" i="60"/>
  <c r="BB100" i="60"/>
  <c r="BC100" i="60"/>
  <c r="BD100" i="60"/>
  <c r="BE100" i="60"/>
  <c r="BF100" i="60"/>
  <c r="BG100" i="60"/>
  <c r="BH100" i="60"/>
  <c r="BI100" i="60"/>
  <c r="BJ100" i="60"/>
  <c r="BK100" i="60"/>
  <c r="BL100" i="60"/>
  <c r="BM100" i="60"/>
  <c r="BN100" i="60"/>
  <c r="BO100" i="60"/>
  <c r="D101" i="60"/>
  <c r="F101" i="60"/>
  <c r="G101" i="60"/>
  <c r="H101" i="60"/>
  <c r="I101" i="60"/>
  <c r="K101" i="60"/>
  <c r="L101" i="60"/>
  <c r="N101" i="60"/>
  <c r="O101" i="60"/>
  <c r="P101" i="60"/>
  <c r="Q101" i="60"/>
  <c r="S101" i="60"/>
  <c r="T101" i="60"/>
  <c r="V101" i="60"/>
  <c r="X101" i="60"/>
  <c r="Y101" i="60"/>
  <c r="Z101" i="60"/>
  <c r="AA101" i="60"/>
  <c r="AB101" i="60"/>
  <c r="AC101" i="60"/>
  <c r="AF101" i="60"/>
  <c r="AG101" i="60"/>
  <c r="AH101" i="60"/>
  <c r="AI101" i="60"/>
  <c r="AJ101" i="60"/>
  <c r="AL101" i="60"/>
  <c r="AM101" i="60"/>
  <c r="AN101" i="60"/>
  <c r="AO101" i="60"/>
  <c r="AP101" i="60"/>
  <c r="AQ101" i="60"/>
  <c r="AR101" i="60"/>
  <c r="AS101" i="60"/>
  <c r="AT101" i="60"/>
  <c r="AU101" i="60"/>
  <c r="AV101" i="60"/>
  <c r="AW101" i="60"/>
  <c r="AX101" i="60"/>
  <c r="AY101" i="60"/>
  <c r="BB101" i="60"/>
  <c r="BC101" i="60"/>
  <c r="BD101" i="60"/>
  <c r="BE101" i="60"/>
  <c r="BF101" i="60"/>
  <c r="BG101" i="60"/>
  <c r="BH101" i="60"/>
  <c r="BI101" i="60"/>
  <c r="BJ101" i="60"/>
  <c r="BK101" i="60"/>
  <c r="BL101" i="60"/>
  <c r="BM101" i="60"/>
  <c r="BN101" i="60"/>
  <c r="BO101" i="60"/>
  <c r="D102" i="60"/>
  <c r="F102" i="60"/>
  <c r="G102" i="60"/>
  <c r="H102" i="60"/>
  <c r="I102" i="60"/>
  <c r="K102" i="60"/>
  <c r="L102" i="60"/>
  <c r="N102" i="60"/>
  <c r="O102" i="60"/>
  <c r="P102" i="60"/>
  <c r="Q102" i="60"/>
  <c r="S102" i="60"/>
  <c r="T102" i="60"/>
  <c r="V102" i="60"/>
  <c r="X102" i="60"/>
  <c r="Y102" i="60"/>
  <c r="Z102" i="60"/>
  <c r="AA102" i="60"/>
  <c r="AB102" i="60"/>
  <c r="AC102" i="60"/>
  <c r="AF102" i="60"/>
  <c r="AG102" i="60"/>
  <c r="AH102" i="60"/>
  <c r="AI102" i="60"/>
  <c r="AJ102" i="60"/>
  <c r="AL102" i="60"/>
  <c r="AM102" i="60"/>
  <c r="AN102" i="60"/>
  <c r="AO102" i="60"/>
  <c r="AP102" i="60"/>
  <c r="AQ102" i="60"/>
  <c r="AR102" i="60"/>
  <c r="AS102" i="60"/>
  <c r="AT102" i="60"/>
  <c r="AU102" i="60"/>
  <c r="AV102" i="60"/>
  <c r="AW102" i="60"/>
  <c r="AX102" i="60"/>
  <c r="AY102" i="60"/>
  <c r="BB102" i="60"/>
  <c r="BC102" i="60"/>
  <c r="BD102" i="60"/>
  <c r="BE102" i="60"/>
  <c r="BF102" i="60"/>
  <c r="BG102" i="60"/>
  <c r="BH102" i="60"/>
  <c r="BI102" i="60"/>
  <c r="BJ102" i="60"/>
  <c r="BK102" i="60"/>
  <c r="BL102" i="60"/>
  <c r="BM102" i="60"/>
  <c r="BN102" i="60"/>
  <c r="BO102" i="60"/>
  <c r="D103" i="60"/>
  <c r="F103" i="60"/>
  <c r="G103" i="60"/>
  <c r="H103" i="60"/>
  <c r="I103" i="60"/>
  <c r="K103" i="60"/>
  <c r="L103" i="60"/>
  <c r="N103" i="60"/>
  <c r="O103" i="60"/>
  <c r="P103" i="60"/>
  <c r="Q103" i="60"/>
  <c r="S103" i="60"/>
  <c r="T103" i="60"/>
  <c r="V103" i="60"/>
  <c r="X103" i="60"/>
  <c r="Y103" i="60"/>
  <c r="Z103" i="60"/>
  <c r="AA103" i="60"/>
  <c r="AB103" i="60"/>
  <c r="AC103" i="60"/>
  <c r="AF103" i="60"/>
  <c r="AG103" i="60"/>
  <c r="AH103" i="60"/>
  <c r="AI103" i="60"/>
  <c r="AJ103" i="60"/>
  <c r="AL103" i="60"/>
  <c r="AM103" i="60"/>
  <c r="AN103" i="60"/>
  <c r="AO103" i="60"/>
  <c r="AP103" i="60"/>
  <c r="AQ103" i="60"/>
  <c r="AR103" i="60"/>
  <c r="AS103" i="60"/>
  <c r="AT103" i="60"/>
  <c r="AU103" i="60"/>
  <c r="AV103" i="60"/>
  <c r="AW103" i="60"/>
  <c r="AX103" i="60"/>
  <c r="AY103" i="60"/>
  <c r="BB103" i="60"/>
  <c r="BC103" i="60"/>
  <c r="BD103" i="60"/>
  <c r="BE103" i="60"/>
  <c r="BF103" i="60"/>
  <c r="BG103" i="60"/>
  <c r="BH103" i="60"/>
  <c r="BI103" i="60"/>
  <c r="BJ103" i="60"/>
  <c r="BK103" i="60"/>
  <c r="BL103" i="60"/>
  <c r="BM103" i="60"/>
  <c r="BN103" i="60"/>
  <c r="BO103" i="60"/>
  <c r="D104" i="60"/>
  <c r="F104" i="60"/>
  <c r="G104" i="60"/>
  <c r="H104" i="60"/>
  <c r="I104" i="60"/>
  <c r="K104" i="60"/>
  <c r="L104" i="60"/>
  <c r="N104" i="60"/>
  <c r="O104" i="60"/>
  <c r="P104" i="60"/>
  <c r="Q104" i="60"/>
  <c r="S104" i="60"/>
  <c r="T104" i="60"/>
  <c r="V104" i="60"/>
  <c r="X104" i="60"/>
  <c r="Y104" i="60"/>
  <c r="Z104" i="60"/>
  <c r="AA104" i="60"/>
  <c r="AB104" i="60"/>
  <c r="AC104" i="60"/>
  <c r="AF104" i="60"/>
  <c r="AG104" i="60"/>
  <c r="AH104" i="60"/>
  <c r="AI104" i="60"/>
  <c r="AJ104" i="60"/>
  <c r="AL104" i="60"/>
  <c r="AM104" i="60"/>
  <c r="AN104" i="60"/>
  <c r="AO104" i="60"/>
  <c r="AP104" i="60"/>
  <c r="AQ104" i="60"/>
  <c r="AR104" i="60"/>
  <c r="AS104" i="60"/>
  <c r="AT104" i="60"/>
  <c r="AU104" i="60"/>
  <c r="AV104" i="60"/>
  <c r="AW104" i="60"/>
  <c r="AX104" i="60"/>
  <c r="AY104" i="60"/>
  <c r="BB104" i="60"/>
  <c r="BC104" i="60"/>
  <c r="BD104" i="60"/>
  <c r="BE104" i="60"/>
  <c r="BF104" i="60"/>
  <c r="BG104" i="60"/>
  <c r="BH104" i="60"/>
  <c r="BI104" i="60"/>
  <c r="BJ104" i="60"/>
  <c r="BK104" i="60"/>
  <c r="BL104" i="60"/>
  <c r="BM104" i="60"/>
  <c r="BN104" i="60"/>
  <c r="BO104" i="60"/>
  <c r="D105" i="60"/>
  <c r="F105" i="60"/>
  <c r="G105" i="60"/>
  <c r="H105" i="60"/>
  <c r="I105" i="60"/>
  <c r="K105" i="60"/>
  <c r="L105" i="60"/>
  <c r="N105" i="60"/>
  <c r="O105" i="60"/>
  <c r="P105" i="60"/>
  <c r="Q105" i="60"/>
  <c r="S105" i="60"/>
  <c r="T105" i="60"/>
  <c r="V105" i="60"/>
  <c r="X105" i="60"/>
  <c r="Y105" i="60"/>
  <c r="Z105" i="60"/>
  <c r="AA105" i="60"/>
  <c r="AB105" i="60"/>
  <c r="AC105" i="60"/>
  <c r="AF105" i="60"/>
  <c r="AG105" i="60"/>
  <c r="AH105" i="60"/>
  <c r="AI105" i="60"/>
  <c r="AJ105" i="60"/>
  <c r="AL105" i="60"/>
  <c r="AM105" i="60"/>
  <c r="AN105" i="60"/>
  <c r="AO105" i="60"/>
  <c r="AP105" i="60"/>
  <c r="AQ105" i="60"/>
  <c r="AR105" i="60"/>
  <c r="AS105" i="60"/>
  <c r="AT105" i="60"/>
  <c r="AU105" i="60"/>
  <c r="AV105" i="60"/>
  <c r="AW105" i="60"/>
  <c r="AX105" i="60"/>
  <c r="AY105" i="60"/>
  <c r="BB105" i="60"/>
  <c r="BC105" i="60"/>
  <c r="BD105" i="60"/>
  <c r="BE105" i="60"/>
  <c r="BF105" i="60"/>
  <c r="BG105" i="60"/>
  <c r="BH105" i="60"/>
  <c r="BI105" i="60"/>
  <c r="BJ105" i="60"/>
  <c r="BK105" i="60"/>
  <c r="BL105" i="60"/>
  <c r="BM105" i="60"/>
  <c r="BN105" i="60"/>
  <c r="BO105" i="60"/>
  <c r="D106" i="60"/>
  <c r="F106" i="60"/>
  <c r="G106" i="60"/>
  <c r="H106" i="60"/>
  <c r="I106" i="60"/>
  <c r="K106" i="60"/>
  <c r="L106" i="60"/>
  <c r="N106" i="60"/>
  <c r="O106" i="60"/>
  <c r="P106" i="60"/>
  <c r="Q106" i="60"/>
  <c r="S106" i="60"/>
  <c r="T106" i="60"/>
  <c r="V106" i="60"/>
  <c r="X106" i="60"/>
  <c r="Y106" i="60"/>
  <c r="Z106" i="60"/>
  <c r="AA106" i="60"/>
  <c r="AB106" i="60"/>
  <c r="AC106" i="60"/>
  <c r="AF106" i="60"/>
  <c r="AG106" i="60"/>
  <c r="AH106" i="60"/>
  <c r="AI106" i="60"/>
  <c r="AJ106" i="60"/>
  <c r="AL106" i="60"/>
  <c r="AM106" i="60"/>
  <c r="AN106" i="60"/>
  <c r="AO106" i="60"/>
  <c r="AP106" i="60"/>
  <c r="AQ106" i="60"/>
  <c r="AR106" i="60"/>
  <c r="AS106" i="60"/>
  <c r="AT106" i="60"/>
  <c r="AU106" i="60"/>
  <c r="AV106" i="60"/>
  <c r="AW106" i="60"/>
  <c r="AX106" i="60"/>
  <c r="AY106" i="60"/>
  <c r="BB106" i="60"/>
  <c r="BC106" i="60"/>
  <c r="BD106" i="60"/>
  <c r="BE106" i="60"/>
  <c r="BF106" i="60"/>
  <c r="BG106" i="60"/>
  <c r="BH106" i="60"/>
  <c r="BI106" i="60"/>
  <c r="BJ106" i="60"/>
  <c r="BK106" i="60"/>
  <c r="BL106" i="60"/>
  <c r="BM106" i="60"/>
  <c r="BN106" i="60"/>
  <c r="BO106" i="60"/>
  <c r="D107" i="60"/>
  <c r="F107" i="60"/>
  <c r="G107" i="60"/>
  <c r="H107" i="60"/>
  <c r="I107" i="60"/>
  <c r="K107" i="60"/>
  <c r="L107" i="60"/>
  <c r="N107" i="60"/>
  <c r="O107" i="60"/>
  <c r="P107" i="60"/>
  <c r="Q107" i="60"/>
  <c r="S107" i="60"/>
  <c r="T107" i="60"/>
  <c r="V107" i="60"/>
  <c r="X107" i="60"/>
  <c r="Y107" i="60"/>
  <c r="Z107" i="60"/>
  <c r="AA107" i="60"/>
  <c r="AB107" i="60"/>
  <c r="AC107" i="60"/>
  <c r="AF107" i="60"/>
  <c r="AG107" i="60"/>
  <c r="AH107" i="60"/>
  <c r="AI107" i="60"/>
  <c r="AJ107" i="60"/>
  <c r="AL107" i="60"/>
  <c r="AM107" i="60"/>
  <c r="AN107" i="60"/>
  <c r="AO107" i="60"/>
  <c r="AP107" i="60"/>
  <c r="AQ107" i="60"/>
  <c r="AR107" i="60"/>
  <c r="AS107" i="60"/>
  <c r="AT107" i="60"/>
  <c r="AU107" i="60"/>
  <c r="AV107" i="60"/>
  <c r="AW107" i="60"/>
  <c r="AX107" i="60"/>
  <c r="AY107" i="60"/>
  <c r="BB107" i="60"/>
  <c r="BC107" i="60"/>
  <c r="BD107" i="60"/>
  <c r="BE107" i="60"/>
  <c r="BF107" i="60"/>
  <c r="BG107" i="60"/>
  <c r="BH107" i="60"/>
  <c r="BI107" i="60"/>
  <c r="BJ107" i="60"/>
  <c r="BK107" i="60"/>
  <c r="BL107" i="60"/>
  <c r="BM107" i="60"/>
  <c r="BN107" i="60"/>
  <c r="BO107" i="60"/>
  <c r="D108" i="60"/>
  <c r="F108" i="60"/>
  <c r="G108" i="60"/>
  <c r="H108" i="60"/>
  <c r="I108" i="60"/>
  <c r="K108" i="60"/>
  <c r="L108" i="60"/>
  <c r="N108" i="60"/>
  <c r="O108" i="60"/>
  <c r="P108" i="60"/>
  <c r="Q108" i="60"/>
  <c r="S108" i="60"/>
  <c r="T108" i="60"/>
  <c r="V108" i="60"/>
  <c r="X108" i="60"/>
  <c r="Y108" i="60"/>
  <c r="Z108" i="60"/>
  <c r="AA108" i="60"/>
  <c r="AB108" i="60"/>
  <c r="AC108" i="60"/>
  <c r="AF108" i="60"/>
  <c r="AG108" i="60"/>
  <c r="AH108" i="60"/>
  <c r="AI108" i="60"/>
  <c r="AJ108" i="60"/>
  <c r="AL108" i="60"/>
  <c r="AM108" i="60"/>
  <c r="AN108" i="60"/>
  <c r="AO108" i="60"/>
  <c r="AP108" i="60"/>
  <c r="AQ108" i="60"/>
  <c r="AR108" i="60"/>
  <c r="AS108" i="60"/>
  <c r="AT108" i="60"/>
  <c r="AU108" i="60"/>
  <c r="AV108" i="60"/>
  <c r="AW108" i="60"/>
  <c r="AX108" i="60"/>
  <c r="AY108" i="60"/>
  <c r="BB108" i="60"/>
  <c r="BC108" i="60"/>
  <c r="BD108" i="60"/>
  <c r="BE108" i="60"/>
  <c r="BF108" i="60"/>
  <c r="BG108" i="60"/>
  <c r="BH108" i="60"/>
  <c r="BI108" i="60"/>
  <c r="BJ108" i="60"/>
  <c r="BK108" i="60"/>
  <c r="BL108" i="60"/>
  <c r="BM108" i="60"/>
  <c r="BN108" i="60"/>
  <c r="BO108" i="60"/>
  <c r="D109" i="60"/>
  <c r="F109" i="60"/>
  <c r="G109" i="60"/>
  <c r="H109" i="60"/>
  <c r="I109" i="60"/>
  <c r="K109" i="60"/>
  <c r="L109" i="60"/>
  <c r="N109" i="60"/>
  <c r="O109" i="60"/>
  <c r="P109" i="60"/>
  <c r="Q109" i="60"/>
  <c r="S109" i="60"/>
  <c r="T109" i="60"/>
  <c r="V109" i="60"/>
  <c r="X109" i="60"/>
  <c r="Y109" i="60"/>
  <c r="Z109" i="60"/>
  <c r="AA109" i="60"/>
  <c r="AB109" i="60"/>
  <c r="AC109" i="60"/>
  <c r="AF109" i="60"/>
  <c r="AG109" i="60"/>
  <c r="AH109" i="60"/>
  <c r="AI109" i="60"/>
  <c r="AJ109" i="60"/>
  <c r="AL109" i="60"/>
  <c r="AM109" i="60"/>
  <c r="AN109" i="60"/>
  <c r="AO109" i="60"/>
  <c r="AP109" i="60"/>
  <c r="AQ109" i="60"/>
  <c r="AR109" i="60"/>
  <c r="AS109" i="60"/>
  <c r="AT109" i="60"/>
  <c r="AU109" i="60"/>
  <c r="AV109" i="60"/>
  <c r="AW109" i="60"/>
  <c r="AX109" i="60"/>
  <c r="AY109" i="60"/>
  <c r="BB109" i="60"/>
  <c r="BC109" i="60"/>
  <c r="BD109" i="60"/>
  <c r="BE109" i="60"/>
  <c r="BF109" i="60"/>
  <c r="BG109" i="60"/>
  <c r="BH109" i="60"/>
  <c r="BI109" i="60"/>
  <c r="BJ109" i="60"/>
  <c r="BK109" i="60"/>
  <c r="BL109" i="60"/>
  <c r="BM109" i="60"/>
  <c r="BN109" i="60"/>
  <c r="BO109" i="60"/>
  <c r="D110" i="60"/>
  <c r="F110" i="60"/>
  <c r="G110" i="60"/>
  <c r="H110" i="60"/>
  <c r="I110" i="60"/>
  <c r="K110" i="60"/>
  <c r="L110" i="60"/>
  <c r="N110" i="60"/>
  <c r="O110" i="60"/>
  <c r="P110" i="60"/>
  <c r="Q110" i="60"/>
  <c r="S110" i="60"/>
  <c r="T110" i="60"/>
  <c r="V110" i="60"/>
  <c r="X110" i="60"/>
  <c r="Y110" i="60"/>
  <c r="Z110" i="60"/>
  <c r="AA110" i="60"/>
  <c r="AB110" i="60"/>
  <c r="AC110" i="60"/>
  <c r="AF110" i="60"/>
  <c r="AG110" i="60"/>
  <c r="AH110" i="60"/>
  <c r="AI110" i="60"/>
  <c r="AJ110" i="60"/>
  <c r="AL110" i="60"/>
  <c r="AM110" i="60"/>
  <c r="AN110" i="60"/>
  <c r="AO110" i="60"/>
  <c r="AP110" i="60"/>
  <c r="AQ110" i="60"/>
  <c r="AR110" i="60"/>
  <c r="AS110" i="60"/>
  <c r="AT110" i="60"/>
  <c r="AU110" i="60"/>
  <c r="AV110" i="60"/>
  <c r="AW110" i="60"/>
  <c r="AX110" i="60"/>
  <c r="AY110" i="60"/>
  <c r="BB110" i="60"/>
  <c r="BC110" i="60"/>
  <c r="BD110" i="60"/>
  <c r="BE110" i="60"/>
  <c r="BF110" i="60"/>
  <c r="BG110" i="60"/>
  <c r="BH110" i="60"/>
  <c r="BI110" i="60"/>
  <c r="BJ110" i="60"/>
  <c r="BK110" i="60"/>
  <c r="BL110" i="60"/>
  <c r="BM110" i="60"/>
  <c r="BN110" i="60"/>
  <c r="BO110" i="60"/>
  <c r="D111" i="60"/>
  <c r="F111" i="60"/>
  <c r="G111" i="60"/>
  <c r="H111" i="60"/>
  <c r="I111" i="60"/>
  <c r="K111" i="60"/>
  <c r="L111" i="60"/>
  <c r="N111" i="60"/>
  <c r="O111" i="60"/>
  <c r="P111" i="60"/>
  <c r="Q111" i="60"/>
  <c r="S111" i="60"/>
  <c r="T111" i="60"/>
  <c r="V111" i="60"/>
  <c r="X111" i="60"/>
  <c r="Y111" i="60"/>
  <c r="Z111" i="60"/>
  <c r="AA111" i="60"/>
  <c r="AB111" i="60"/>
  <c r="AC111" i="60"/>
  <c r="AF111" i="60"/>
  <c r="AG111" i="60"/>
  <c r="AH111" i="60"/>
  <c r="AI111" i="60"/>
  <c r="AJ111" i="60"/>
  <c r="AL111" i="60"/>
  <c r="AM111" i="60"/>
  <c r="AN111" i="60"/>
  <c r="AO111" i="60"/>
  <c r="AP111" i="60"/>
  <c r="AQ111" i="60"/>
  <c r="AR111" i="60"/>
  <c r="AS111" i="60"/>
  <c r="AT111" i="60"/>
  <c r="AU111" i="60"/>
  <c r="AV111" i="60"/>
  <c r="AW111" i="60"/>
  <c r="AX111" i="60"/>
  <c r="AY111" i="60"/>
  <c r="BB111" i="60"/>
  <c r="BC111" i="60"/>
  <c r="BD111" i="60"/>
  <c r="BE111" i="60"/>
  <c r="BF111" i="60"/>
  <c r="BG111" i="60"/>
  <c r="BH111" i="60"/>
  <c r="BI111" i="60"/>
  <c r="BJ111" i="60"/>
  <c r="BK111" i="60"/>
  <c r="BL111" i="60"/>
  <c r="BM111" i="60"/>
  <c r="BN111" i="60"/>
  <c r="BO111" i="60"/>
  <c r="D112" i="60"/>
  <c r="F112" i="60"/>
  <c r="G112" i="60"/>
  <c r="H112" i="60"/>
  <c r="I112" i="60"/>
  <c r="K112" i="60"/>
  <c r="L112" i="60"/>
  <c r="N112" i="60"/>
  <c r="O112" i="60"/>
  <c r="P112" i="60"/>
  <c r="Q112" i="60"/>
  <c r="S112" i="60"/>
  <c r="T112" i="60"/>
  <c r="V112" i="60"/>
  <c r="X112" i="60"/>
  <c r="Y112" i="60"/>
  <c r="Z112" i="60"/>
  <c r="AA112" i="60"/>
  <c r="AB112" i="60"/>
  <c r="AC112" i="60"/>
  <c r="AF112" i="60"/>
  <c r="AG112" i="60"/>
  <c r="AH112" i="60"/>
  <c r="AI112" i="60"/>
  <c r="AJ112" i="60"/>
  <c r="AL112" i="60"/>
  <c r="AM112" i="60"/>
  <c r="AN112" i="60"/>
  <c r="AO112" i="60"/>
  <c r="AP112" i="60"/>
  <c r="AQ112" i="60"/>
  <c r="AR112" i="60"/>
  <c r="AS112" i="60"/>
  <c r="AT112" i="60"/>
  <c r="AU112" i="60"/>
  <c r="AV112" i="60"/>
  <c r="AW112" i="60"/>
  <c r="AX112" i="60"/>
  <c r="AY112" i="60"/>
  <c r="BB112" i="60"/>
  <c r="BC112" i="60"/>
  <c r="BD112" i="60"/>
  <c r="BE112" i="60"/>
  <c r="BF112" i="60"/>
  <c r="BG112" i="60"/>
  <c r="BH112" i="60"/>
  <c r="BI112" i="60"/>
  <c r="BJ112" i="60"/>
  <c r="BK112" i="60"/>
  <c r="BL112" i="60"/>
  <c r="BM112" i="60"/>
  <c r="BN112" i="60"/>
  <c r="BO112" i="60"/>
  <c r="D113" i="60"/>
  <c r="F113" i="60"/>
  <c r="G113" i="60"/>
  <c r="H113" i="60"/>
  <c r="I113" i="60"/>
  <c r="K113" i="60"/>
  <c r="L113" i="60"/>
  <c r="N113" i="60"/>
  <c r="O113" i="60"/>
  <c r="P113" i="60"/>
  <c r="Q113" i="60"/>
  <c r="S113" i="60"/>
  <c r="T113" i="60"/>
  <c r="V113" i="60"/>
  <c r="X113" i="60"/>
  <c r="Y113" i="60"/>
  <c r="Z113" i="60"/>
  <c r="AA113" i="60"/>
  <c r="AB113" i="60"/>
  <c r="AC113" i="60"/>
  <c r="AF113" i="60"/>
  <c r="AG113" i="60"/>
  <c r="AH113" i="60"/>
  <c r="AI113" i="60"/>
  <c r="AJ113" i="60"/>
  <c r="AL113" i="60"/>
  <c r="AM113" i="60"/>
  <c r="AN113" i="60"/>
  <c r="AO113" i="60"/>
  <c r="AP113" i="60"/>
  <c r="AQ113" i="60"/>
  <c r="AR113" i="60"/>
  <c r="AS113" i="60"/>
  <c r="AT113" i="60"/>
  <c r="AU113" i="60"/>
  <c r="AV113" i="60"/>
  <c r="AW113" i="60"/>
  <c r="AX113" i="60"/>
  <c r="AY113" i="60"/>
  <c r="BB113" i="60"/>
  <c r="BC113" i="60"/>
  <c r="BD113" i="60"/>
  <c r="BE113" i="60"/>
  <c r="BF113" i="60"/>
  <c r="BG113" i="60"/>
  <c r="BH113" i="60"/>
  <c r="BI113" i="60"/>
  <c r="BJ113" i="60"/>
  <c r="BK113" i="60"/>
  <c r="BL113" i="60"/>
  <c r="BM113" i="60"/>
  <c r="BN113" i="60"/>
  <c r="BO113" i="60"/>
  <c r="D114" i="60"/>
  <c r="F114" i="60"/>
  <c r="G114" i="60"/>
  <c r="H114" i="60"/>
  <c r="I114" i="60"/>
  <c r="K114" i="60"/>
  <c r="L114" i="60"/>
  <c r="N114" i="60"/>
  <c r="O114" i="60"/>
  <c r="P114" i="60"/>
  <c r="Q114" i="60"/>
  <c r="S114" i="60"/>
  <c r="T114" i="60"/>
  <c r="V114" i="60"/>
  <c r="X114" i="60"/>
  <c r="Y114" i="60"/>
  <c r="Z114" i="60"/>
  <c r="AA114" i="60"/>
  <c r="AB114" i="60"/>
  <c r="AC114" i="60"/>
  <c r="AF114" i="60"/>
  <c r="AG114" i="60"/>
  <c r="AH114" i="60"/>
  <c r="AI114" i="60"/>
  <c r="AJ114" i="60"/>
  <c r="AL114" i="60"/>
  <c r="AM114" i="60"/>
  <c r="AN114" i="60"/>
  <c r="AO114" i="60"/>
  <c r="AP114" i="60"/>
  <c r="AQ114" i="60"/>
  <c r="AR114" i="60"/>
  <c r="AS114" i="60"/>
  <c r="AT114" i="60"/>
  <c r="AU114" i="60"/>
  <c r="AV114" i="60"/>
  <c r="AW114" i="60"/>
  <c r="AX114" i="60"/>
  <c r="AY114" i="60"/>
  <c r="BB114" i="60"/>
  <c r="BC114" i="60"/>
  <c r="BD114" i="60"/>
  <c r="BE114" i="60"/>
  <c r="BF114" i="60"/>
  <c r="BG114" i="60"/>
  <c r="BH114" i="60"/>
  <c r="BI114" i="60"/>
  <c r="BJ114" i="60"/>
  <c r="BK114" i="60"/>
  <c r="BL114" i="60"/>
  <c r="BM114" i="60"/>
  <c r="BN114" i="60"/>
  <c r="BO114" i="60"/>
  <c r="D115" i="60"/>
  <c r="F115" i="60"/>
  <c r="G115" i="60"/>
  <c r="H115" i="60"/>
  <c r="I115" i="60"/>
  <c r="K115" i="60"/>
  <c r="L115" i="60"/>
  <c r="N115" i="60"/>
  <c r="O115" i="60"/>
  <c r="P115" i="60"/>
  <c r="Q115" i="60"/>
  <c r="S115" i="60"/>
  <c r="T115" i="60"/>
  <c r="V115" i="60"/>
  <c r="X115" i="60"/>
  <c r="Y115" i="60"/>
  <c r="Z115" i="60"/>
  <c r="AA115" i="60"/>
  <c r="AB115" i="60"/>
  <c r="AC115" i="60"/>
  <c r="AF115" i="60"/>
  <c r="AG115" i="60"/>
  <c r="AH115" i="60"/>
  <c r="AI115" i="60"/>
  <c r="AJ115" i="60"/>
  <c r="AL115" i="60"/>
  <c r="AM115" i="60"/>
  <c r="AN115" i="60"/>
  <c r="AO115" i="60"/>
  <c r="AP115" i="60"/>
  <c r="AQ115" i="60"/>
  <c r="AR115" i="60"/>
  <c r="AS115" i="60"/>
  <c r="AT115" i="60"/>
  <c r="AU115" i="60"/>
  <c r="AV115" i="60"/>
  <c r="AW115" i="60"/>
  <c r="AX115" i="60"/>
  <c r="AY115" i="60"/>
  <c r="BB115" i="60"/>
  <c r="BC115" i="60"/>
  <c r="BD115" i="60"/>
  <c r="BE115" i="60"/>
  <c r="BF115" i="60"/>
  <c r="BG115" i="60"/>
  <c r="BH115" i="60"/>
  <c r="BI115" i="60"/>
  <c r="BJ115" i="60"/>
  <c r="BK115" i="60"/>
  <c r="BL115" i="60"/>
  <c r="BM115" i="60"/>
  <c r="BN115" i="60"/>
  <c r="BO115" i="60"/>
  <c r="D116" i="60"/>
  <c r="F116" i="60"/>
  <c r="G116" i="60"/>
  <c r="H116" i="60"/>
  <c r="I116" i="60"/>
  <c r="K116" i="60"/>
  <c r="L116" i="60"/>
  <c r="N116" i="60"/>
  <c r="O116" i="60"/>
  <c r="P116" i="60"/>
  <c r="Q116" i="60"/>
  <c r="S116" i="60"/>
  <c r="T116" i="60"/>
  <c r="V116" i="60"/>
  <c r="X116" i="60"/>
  <c r="Y116" i="60"/>
  <c r="Z116" i="60"/>
  <c r="AA116" i="60"/>
  <c r="AB116" i="60"/>
  <c r="AC116" i="60"/>
  <c r="AF116" i="60"/>
  <c r="AG116" i="60"/>
  <c r="AH116" i="60"/>
  <c r="AI116" i="60"/>
  <c r="AJ116" i="60"/>
  <c r="AL116" i="60"/>
  <c r="AM116" i="60"/>
  <c r="AN116" i="60"/>
  <c r="AO116" i="60"/>
  <c r="AP116" i="60"/>
  <c r="AQ116" i="60"/>
  <c r="AR116" i="60"/>
  <c r="AS116" i="60"/>
  <c r="AT116" i="60"/>
  <c r="AU116" i="60"/>
  <c r="AV116" i="60"/>
  <c r="AW116" i="60"/>
  <c r="AX116" i="60"/>
  <c r="AY116" i="60"/>
  <c r="BB116" i="60"/>
  <c r="BC116" i="60"/>
  <c r="BD116" i="60"/>
  <c r="BE116" i="60"/>
  <c r="BF116" i="60"/>
  <c r="BG116" i="60"/>
  <c r="BH116" i="60"/>
  <c r="BI116" i="60"/>
  <c r="BJ116" i="60"/>
  <c r="BK116" i="60"/>
  <c r="BL116" i="60"/>
  <c r="BM116" i="60"/>
  <c r="BN116" i="60"/>
  <c r="BO116" i="60"/>
  <c r="D117" i="60"/>
  <c r="F117" i="60"/>
  <c r="G117" i="60"/>
  <c r="H117" i="60"/>
  <c r="I117" i="60"/>
  <c r="K117" i="60"/>
  <c r="L117" i="60"/>
  <c r="N117" i="60"/>
  <c r="O117" i="60"/>
  <c r="P117" i="60"/>
  <c r="Q117" i="60"/>
  <c r="S117" i="60"/>
  <c r="T117" i="60"/>
  <c r="V117" i="60"/>
  <c r="X117" i="60"/>
  <c r="Y117" i="60"/>
  <c r="Z117" i="60"/>
  <c r="AA117" i="60"/>
  <c r="AB117" i="60"/>
  <c r="AC117" i="60"/>
  <c r="AF117" i="60"/>
  <c r="AG117" i="60"/>
  <c r="AH117" i="60"/>
  <c r="AI117" i="60"/>
  <c r="AJ117" i="60"/>
  <c r="AL117" i="60"/>
  <c r="AM117" i="60"/>
  <c r="AN117" i="60"/>
  <c r="AO117" i="60"/>
  <c r="AP117" i="60"/>
  <c r="AQ117" i="60"/>
  <c r="AR117" i="60"/>
  <c r="AS117" i="60"/>
  <c r="AT117" i="60"/>
  <c r="AU117" i="60"/>
  <c r="AV117" i="60"/>
  <c r="AW117" i="60"/>
  <c r="AX117" i="60"/>
  <c r="AY117" i="60"/>
  <c r="BB117" i="60"/>
  <c r="BC117" i="60"/>
  <c r="BD117" i="60"/>
  <c r="BE117" i="60"/>
  <c r="BF117" i="60"/>
  <c r="BG117" i="60"/>
  <c r="BH117" i="60"/>
  <c r="BI117" i="60"/>
  <c r="BJ117" i="60"/>
  <c r="BK117" i="60"/>
  <c r="BL117" i="60"/>
  <c r="BM117" i="60"/>
  <c r="BN117" i="60"/>
  <c r="BO117" i="60"/>
  <c r="F1" i="25"/>
  <c r="AV1" i="25"/>
  <c r="A2" i="25"/>
  <c r="F2" i="25"/>
  <c r="G2" i="25"/>
  <c r="N2" i="25"/>
  <c r="AV2" i="25"/>
  <c r="AW2" i="25"/>
  <c r="AX2" i="25"/>
  <c r="AY2" i="25"/>
  <c r="BW2" i="25"/>
  <c r="BX2" i="25"/>
  <c r="BY2" i="25"/>
  <c r="BZ2" i="25"/>
  <c r="CA2" i="25"/>
  <c r="CB2" i="25"/>
  <c r="CC2" i="25"/>
  <c r="CD2" i="25"/>
  <c r="CE2" i="25"/>
  <c r="CF2" i="25"/>
  <c r="CG2" i="25"/>
  <c r="CH2" i="25"/>
  <c r="CI2" i="25"/>
  <c r="CJ2" i="25"/>
  <c r="CK2" i="25"/>
  <c r="CL2" i="25"/>
  <c r="CM2" i="25"/>
  <c r="CN2" i="25"/>
  <c r="CO2" i="25"/>
  <c r="CP2" i="25"/>
  <c r="CQ2" i="25"/>
  <c r="CR2" i="25"/>
  <c r="CS2" i="25"/>
  <c r="CT2" i="25"/>
  <c r="CU2" i="25"/>
  <c r="CV2" i="25"/>
  <c r="CW2" i="25"/>
  <c r="CX2" i="25"/>
  <c r="A3" i="25"/>
  <c r="AH3" i="25"/>
  <c r="AK3" i="25"/>
  <c r="AV3" i="25"/>
  <c r="AW3" i="25"/>
  <c r="AX3" i="25"/>
  <c r="AY3" i="25"/>
  <c r="A4" i="25"/>
  <c r="N4" i="25"/>
  <c r="P4" i="25"/>
  <c r="T4" i="25"/>
  <c r="V4" i="25"/>
  <c r="W4" i="25"/>
  <c r="AH4" i="25"/>
  <c r="AK4" i="25"/>
  <c r="AM4" i="25"/>
  <c r="AN4" i="25"/>
  <c r="AO4" i="25"/>
  <c r="AP4" i="25"/>
  <c r="AQ4" i="25"/>
  <c r="AR4" i="25"/>
  <c r="AS4" i="25"/>
  <c r="AT4" i="25"/>
  <c r="AV4" i="25"/>
  <c r="AW4" i="25"/>
  <c r="AX4" i="25"/>
  <c r="AY4" i="25"/>
  <c r="A5" i="25"/>
  <c r="G5" i="25"/>
  <c r="N5" i="25"/>
  <c r="P5" i="25"/>
  <c r="T5" i="25"/>
  <c r="V5" i="25"/>
  <c r="W5" i="25"/>
  <c r="AH5" i="25"/>
  <c r="AK5" i="25"/>
  <c r="AM5" i="25"/>
  <c r="AN5" i="25"/>
  <c r="AO5" i="25"/>
  <c r="AP5" i="25"/>
  <c r="AQ5" i="25"/>
  <c r="AR5" i="25"/>
  <c r="AS5" i="25"/>
  <c r="AT5" i="25"/>
  <c r="AV5" i="25"/>
  <c r="AW5" i="25"/>
  <c r="AX5" i="25"/>
  <c r="AY5" i="25"/>
  <c r="BV5" i="25"/>
  <c r="A6" i="25"/>
  <c r="N6" i="25"/>
  <c r="P6" i="25"/>
  <c r="T6" i="25"/>
  <c r="V6" i="25"/>
  <c r="W6" i="25"/>
  <c r="AH6" i="25"/>
  <c r="AK6" i="25"/>
  <c r="AM6" i="25"/>
  <c r="AN6" i="25"/>
  <c r="AO6" i="25"/>
  <c r="AP6" i="25"/>
  <c r="AQ6" i="25"/>
  <c r="AR6" i="25"/>
  <c r="AS6" i="25"/>
  <c r="AT6" i="25"/>
  <c r="A7" i="25"/>
  <c r="G7" i="25"/>
  <c r="N7" i="25"/>
  <c r="N7" i="25" a="1"/>
  <c r="P7" i="25"/>
  <c r="T7" i="25"/>
  <c r="AH7" i="25"/>
  <c r="AK7" i="25"/>
  <c r="AM7" i="25"/>
  <c r="AN7" i="25"/>
  <c r="AO7" i="25"/>
  <c r="AP7" i="25"/>
  <c r="AQ7" i="25"/>
  <c r="AR7" i="25"/>
  <c r="AS7" i="25"/>
  <c r="AT7" i="25"/>
  <c r="AV7" i="25"/>
  <c r="AW7" i="25"/>
  <c r="AX7" i="25"/>
  <c r="AY7" i="25"/>
  <c r="G8" i="25"/>
  <c r="N8" i="25"/>
  <c r="N8" i="25" a="1"/>
  <c r="P8" i="25"/>
  <c r="T8" i="25"/>
  <c r="V8" i="25"/>
  <c r="W8" i="25"/>
  <c r="Y8" i="25"/>
  <c r="Z8" i="25"/>
  <c r="AH8" i="25"/>
  <c r="AK8" i="25"/>
  <c r="AM8" i="25"/>
  <c r="AN8" i="25"/>
  <c r="AO8" i="25"/>
  <c r="AP8" i="25"/>
  <c r="AQ8" i="25"/>
  <c r="AR8" i="25"/>
  <c r="AS8" i="25"/>
  <c r="AT8" i="25"/>
  <c r="AV8" i="25"/>
  <c r="AW8" i="25"/>
  <c r="AX8" i="25"/>
  <c r="AY8" i="25"/>
  <c r="N9" i="25"/>
  <c r="N9" i="25" a="1"/>
  <c r="P9" i="25"/>
  <c r="AK9" i="25"/>
  <c r="AM9" i="25"/>
  <c r="AN9" i="25"/>
  <c r="AO9" i="25"/>
  <c r="AP9" i="25"/>
  <c r="AQ9" i="25"/>
  <c r="AR9" i="25"/>
  <c r="AS9" i="25"/>
  <c r="AT9" i="25"/>
  <c r="AV9" i="25"/>
  <c r="AW9" i="25"/>
  <c r="AX9" i="25"/>
  <c r="AY9" i="25"/>
  <c r="N10" i="25"/>
  <c r="P10" i="25"/>
  <c r="AH10" i="25"/>
  <c r="AM10" i="25"/>
  <c r="AN10" i="25"/>
  <c r="AO10" i="25"/>
  <c r="AP10" i="25"/>
  <c r="AQ10" i="25"/>
  <c r="AR10" i="25"/>
  <c r="AS10" i="25"/>
  <c r="AT10" i="25"/>
  <c r="AV10" i="25"/>
  <c r="AW10" i="25"/>
  <c r="AX10" i="25"/>
  <c r="AY10" i="25"/>
  <c r="D11" i="25"/>
  <c r="N11" i="25"/>
  <c r="P11" i="25"/>
  <c r="AM11" i="25"/>
  <c r="AN11" i="25"/>
  <c r="AO11" i="25"/>
  <c r="AP11" i="25"/>
  <c r="AQ11" i="25"/>
  <c r="AR11" i="25"/>
  <c r="AS11" i="25"/>
  <c r="AT11" i="25"/>
  <c r="AV11" i="25"/>
  <c r="AW11" i="25"/>
  <c r="AX11" i="25"/>
  <c r="AY11" i="25"/>
  <c r="D12" i="25"/>
  <c r="N12" i="25"/>
  <c r="P12" i="25"/>
  <c r="AH12" i="25"/>
  <c r="AM12" i="25"/>
  <c r="AN12" i="25"/>
  <c r="AO12" i="25"/>
  <c r="AP12" i="25"/>
  <c r="AQ12" i="25"/>
  <c r="AR12" i="25"/>
  <c r="AS12" i="25"/>
  <c r="AT12" i="25"/>
  <c r="AV12" i="25"/>
  <c r="AW12" i="25"/>
  <c r="AX12" i="25"/>
  <c r="AY12" i="25"/>
  <c r="N13" i="25"/>
  <c r="P13" i="25"/>
  <c r="AH13" i="25"/>
  <c r="AM13" i="25"/>
  <c r="AN13" i="25"/>
  <c r="AO13" i="25"/>
  <c r="AP13" i="25"/>
  <c r="AQ13" i="25"/>
  <c r="AR13" i="25"/>
  <c r="AS13" i="25"/>
  <c r="AT13" i="25"/>
  <c r="AV13" i="25"/>
  <c r="AW13" i="25"/>
  <c r="AX13" i="25"/>
  <c r="AY13" i="25"/>
  <c r="N14" i="25"/>
  <c r="P14" i="25"/>
  <c r="S14" i="25"/>
  <c r="T14" i="25"/>
  <c r="AM14" i="25"/>
  <c r="AN14" i="25"/>
  <c r="AO14" i="25"/>
  <c r="AP14" i="25"/>
  <c r="AQ14" i="25"/>
  <c r="AR14" i="25"/>
  <c r="AS14" i="25"/>
  <c r="AT14" i="25"/>
  <c r="AV14" i="25"/>
  <c r="AW14" i="25"/>
  <c r="AX14" i="25"/>
  <c r="AY14" i="25"/>
  <c r="N15" i="25"/>
  <c r="P15" i="25"/>
  <c r="AM15" i="25"/>
  <c r="AN15" i="25"/>
  <c r="AO15" i="25"/>
  <c r="AP15" i="25"/>
  <c r="AQ15" i="25"/>
  <c r="AR15" i="25"/>
  <c r="AS15" i="25"/>
  <c r="AT15" i="25"/>
  <c r="AV15" i="25"/>
  <c r="AW15" i="25"/>
  <c r="AX15" i="25"/>
  <c r="AY15" i="25"/>
  <c r="N16" i="25"/>
  <c r="P16" i="25"/>
  <c r="AV16" i="25"/>
  <c r="AW16" i="25"/>
  <c r="AX16" i="25"/>
  <c r="AY16" i="25"/>
  <c r="N17" i="25"/>
  <c r="P17" i="25"/>
  <c r="AV17" i="25"/>
  <c r="AW17" i="25"/>
  <c r="AX17" i="25"/>
  <c r="AY17" i="25"/>
  <c r="N18" i="25"/>
  <c r="P18" i="25"/>
  <c r="AX18" i="25"/>
  <c r="AY18" i="25"/>
  <c r="N19" i="25"/>
  <c r="P19" i="25"/>
  <c r="S20" i="25"/>
  <c r="T20" i="25"/>
  <c r="AM20" i="25"/>
  <c r="AO20" i="25"/>
  <c r="AV20" i="25"/>
  <c r="AW20" i="25"/>
  <c r="AX20" i="25"/>
  <c r="AY20" i="25"/>
  <c r="D22" i="25"/>
  <c r="F22" i="25"/>
  <c r="G22" i="25"/>
  <c r="H22" i="25"/>
  <c r="I22" i="25"/>
  <c r="K22" i="25"/>
  <c r="L22" i="25"/>
  <c r="N22" i="25"/>
  <c r="O22" i="25"/>
  <c r="P22" i="25"/>
  <c r="Q22" i="25"/>
  <c r="S22" i="25"/>
  <c r="T22" i="25"/>
  <c r="V22" i="25"/>
  <c r="X22" i="25"/>
  <c r="Y22" i="25"/>
  <c r="Z22" i="25"/>
  <c r="AA22" i="25"/>
  <c r="AB22" i="25"/>
  <c r="AC22" i="25"/>
  <c r="AF22" i="25"/>
  <c r="AG22" i="25"/>
  <c r="AH22" i="25"/>
  <c r="AI22" i="25"/>
  <c r="AJ22" i="25"/>
  <c r="AL22" i="25"/>
  <c r="AM22" i="25"/>
  <c r="AN22" i="25"/>
  <c r="AO22" i="25"/>
  <c r="AP22" i="25"/>
  <c r="AQ22" i="25"/>
  <c r="AR22" i="25"/>
  <c r="AS22" i="25"/>
  <c r="AT22" i="25"/>
  <c r="AU22" i="25"/>
  <c r="AV22" i="25"/>
  <c r="AW22" i="25"/>
  <c r="AX22" i="25"/>
  <c r="AY22" i="25"/>
  <c r="BB22" i="25"/>
  <c r="BC22" i="25"/>
  <c r="BD22" i="25"/>
  <c r="BE22" i="25"/>
  <c r="BF22" i="25"/>
  <c r="BG22" i="25"/>
  <c r="BH22" i="25"/>
  <c r="BI22" i="25"/>
  <c r="BJ22" i="25"/>
  <c r="BK22" i="25"/>
  <c r="BL22" i="25"/>
  <c r="BM22" i="25"/>
  <c r="BN22" i="25"/>
  <c r="BO22" i="25"/>
  <c r="D23" i="25"/>
  <c r="F23" i="25"/>
  <c r="G23" i="25"/>
  <c r="H23" i="25"/>
  <c r="I23" i="25"/>
  <c r="K23" i="25"/>
  <c r="L23" i="25"/>
  <c r="N23" i="25"/>
  <c r="O23" i="25"/>
  <c r="P23" i="25"/>
  <c r="Q23" i="25"/>
  <c r="S23" i="25"/>
  <c r="T23" i="25"/>
  <c r="V23" i="25"/>
  <c r="X23" i="25"/>
  <c r="Y23" i="25"/>
  <c r="Z23" i="25"/>
  <c r="AA23" i="25"/>
  <c r="AB23" i="25"/>
  <c r="AC23" i="25"/>
  <c r="AF23" i="25"/>
  <c r="AG23" i="25"/>
  <c r="AH23" i="25"/>
  <c r="AI23" i="25"/>
  <c r="AJ23" i="25"/>
  <c r="AL23" i="25"/>
  <c r="AM23" i="25"/>
  <c r="AN23" i="25"/>
  <c r="AO23" i="25"/>
  <c r="AP23" i="25"/>
  <c r="AQ23" i="25"/>
  <c r="AR23" i="25"/>
  <c r="AS23" i="25"/>
  <c r="AT23" i="25"/>
  <c r="AU23" i="25"/>
  <c r="AV23" i="25"/>
  <c r="AW23" i="25"/>
  <c r="AX23" i="25"/>
  <c r="AY23" i="25"/>
  <c r="BB23" i="25"/>
  <c r="BC23" i="25"/>
  <c r="BD23" i="25"/>
  <c r="BE23" i="25"/>
  <c r="BF23" i="25"/>
  <c r="BG23" i="25"/>
  <c r="BH23" i="25"/>
  <c r="BI23" i="25"/>
  <c r="BJ23" i="25"/>
  <c r="BK23" i="25"/>
  <c r="BL23" i="25"/>
  <c r="BM23" i="25"/>
  <c r="BN23" i="25"/>
  <c r="BO23" i="25"/>
  <c r="D24" i="25"/>
  <c r="F24" i="25"/>
  <c r="G24" i="25"/>
  <c r="H24" i="25"/>
  <c r="I24" i="25"/>
  <c r="K24" i="25"/>
  <c r="L24" i="25"/>
  <c r="N24" i="25"/>
  <c r="O24" i="25"/>
  <c r="P24" i="25"/>
  <c r="Q24" i="25"/>
  <c r="S24" i="25"/>
  <c r="T24" i="25"/>
  <c r="V24" i="25"/>
  <c r="X24" i="25"/>
  <c r="Y24" i="25"/>
  <c r="Z24" i="25"/>
  <c r="AA24" i="25"/>
  <c r="AB24" i="25"/>
  <c r="AC24" i="25"/>
  <c r="AF24" i="25"/>
  <c r="AG24" i="25"/>
  <c r="AH24" i="25"/>
  <c r="AI24" i="25"/>
  <c r="AJ24" i="25"/>
  <c r="AL24" i="25"/>
  <c r="AM24" i="25"/>
  <c r="AN24" i="25"/>
  <c r="AO24" i="25"/>
  <c r="AP24" i="25"/>
  <c r="AQ24" i="25"/>
  <c r="AR24" i="25"/>
  <c r="AS24" i="25"/>
  <c r="AT24" i="25"/>
  <c r="AU24" i="25"/>
  <c r="AV24" i="25"/>
  <c r="AW24" i="25"/>
  <c r="AX24" i="25"/>
  <c r="AY24" i="25"/>
  <c r="BB24" i="25"/>
  <c r="BC24" i="25"/>
  <c r="BD24" i="25"/>
  <c r="BE24" i="25"/>
  <c r="BF24" i="25"/>
  <c r="BG24" i="25"/>
  <c r="BH24" i="25"/>
  <c r="BI24" i="25"/>
  <c r="BJ24" i="25"/>
  <c r="BK24" i="25"/>
  <c r="BL24" i="25"/>
  <c r="BM24" i="25"/>
  <c r="BN24" i="25"/>
  <c r="BO24" i="25"/>
  <c r="D25" i="25"/>
  <c r="F25" i="25"/>
  <c r="G25" i="25"/>
  <c r="H25" i="25"/>
  <c r="I25" i="25"/>
  <c r="K25" i="25"/>
  <c r="L25" i="25"/>
  <c r="N25" i="25"/>
  <c r="O25" i="25"/>
  <c r="P25" i="25"/>
  <c r="Q25" i="25"/>
  <c r="S25" i="25"/>
  <c r="T25" i="25"/>
  <c r="V25" i="25"/>
  <c r="X25" i="25"/>
  <c r="Y25" i="25"/>
  <c r="Z25" i="25"/>
  <c r="AA25" i="25"/>
  <c r="AB25" i="25"/>
  <c r="AC25" i="25"/>
  <c r="AF25" i="25"/>
  <c r="AG25" i="25"/>
  <c r="AH25" i="25"/>
  <c r="AI25" i="25"/>
  <c r="AJ25" i="25"/>
  <c r="AL25" i="25"/>
  <c r="AM25" i="25"/>
  <c r="AN25" i="25"/>
  <c r="AO25" i="25"/>
  <c r="AP25" i="25"/>
  <c r="AQ25" i="25"/>
  <c r="AR25" i="25"/>
  <c r="AS25" i="25"/>
  <c r="AT25" i="25"/>
  <c r="AU25" i="25"/>
  <c r="AV25" i="25"/>
  <c r="AW25" i="25"/>
  <c r="AX25" i="25"/>
  <c r="AY25" i="25"/>
  <c r="BB25" i="25"/>
  <c r="BC25" i="25"/>
  <c r="BD25" i="25"/>
  <c r="BE25" i="25"/>
  <c r="BF25" i="25"/>
  <c r="BG25" i="25"/>
  <c r="BH25" i="25"/>
  <c r="BI25" i="25"/>
  <c r="BJ25" i="25"/>
  <c r="BK25" i="25"/>
  <c r="BL25" i="25"/>
  <c r="BM25" i="25"/>
  <c r="BN25" i="25"/>
  <c r="BO25" i="25"/>
  <c r="D26" i="25"/>
  <c r="F26" i="25"/>
  <c r="G26" i="25"/>
  <c r="H26" i="25"/>
  <c r="I26" i="25"/>
  <c r="K26" i="25"/>
  <c r="L26" i="25"/>
  <c r="N26" i="25"/>
  <c r="O26" i="25"/>
  <c r="P26" i="25"/>
  <c r="Q26" i="25"/>
  <c r="S26" i="25"/>
  <c r="T26" i="25"/>
  <c r="V26" i="25"/>
  <c r="X26" i="25"/>
  <c r="Y26" i="25"/>
  <c r="Z26" i="25"/>
  <c r="AA26" i="25"/>
  <c r="AB26" i="25"/>
  <c r="AC26" i="25"/>
  <c r="AF26" i="25"/>
  <c r="AG26" i="25"/>
  <c r="AH26" i="25"/>
  <c r="AI26" i="25"/>
  <c r="AJ26" i="25"/>
  <c r="AL26" i="25"/>
  <c r="AM26" i="25"/>
  <c r="AN26" i="25"/>
  <c r="AO26" i="25"/>
  <c r="AP26" i="25"/>
  <c r="AQ26" i="25"/>
  <c r="AR26" i="25"/>
  <c r="AS26" i="25"/>
  <c r="AT26" i="25"/>
  <c r="AU26" i="25"/>
  <c r="AV26" i="25"/>
  <c r="AW26" i="25"/>
  <c r="AX26" i="25"/>
  <c r="AY26" i="25"/>
  <c r="BB26" i="25"/>
  <c r="BC26" i="25"/>
  <c r="BD26" i="25"/>
  <c r="BE26" i="25"/>
  <c r="BF26" i="25"/>
  <c r="BG26" i="25"/>
  <c r="BH26" i="25"/>
  <c r="BI26" i="25"/>
  <c r="BJ26" i="25"/>
  <c r="BK26" i="25"/>
  <c r="BL26" i="25"/>
  <c r="BM26" i="25"/>
  <c r="BN26" i="25"/>
  <c r="BO26" i="25"/>
  <c r="D27" i="25"/>
  <c r="F27" i="25"/>
  <c r="G27" i="25"/>
  <c r="H27" i="25"/>
  <c r="I27" i="25"/>
  <c r="K27" i="25"/>
  <c r="L27" i="25"/>
  <c r="N27" i="25"/>
  <c r="O27" i="25"/>
  <c r="P27" i="25"/>
  <c r="Q27" i="25"/>
  <c r="S27" i="25"/>
  <c r="T27" i="25"/>
  <c r="V27" i="25"/>
  <c r="X27" i="25"/>
  <c r="Y27" i="25"/>
  <c r="Z27" i="25"/>
  <c r="AA27" i="25"/>
  <c r="AB27" i="25"/>
  <c r="AC27" i="25"/>
  <c r="AF27" i="25"/>
  <c r="AG27" i="25"/>
  <c r="AH27" i="25"/>
  <c r="AI27" i="25"/>
  <c r="AJ27" i="25"/>
  <c r="AL27" i="25"/>
  <c r="AM27" i="25"/>
  <c r="AN27" i="25"/>
  <c r="AO27" i="25"/>
  <c r="AP27" i="25"/>
  <c r="AQ27" i="25"/>
  <c r="AR27" i="25"/>
  <c r="AS27" i="25"/>
  <c r="AT27" i="25"/>
  <c r="AU27" i="25"/>
  <c r="AV27" i="25"/>
  <c r="AW27" i="25"/>
  <c r="AX27" i="25"/>
  <c r="AY27" i="25"/>
  <c r="BB27" i="25"/>
  <c r="BC27" i="25"/>
  <c r="BD27" i="25"/>
  <c r="BE27" i="25"/>
  <c r="BF27" i="25"/>
  <c r="BG27" i="25"/>
  <c r="BH27" i="25"/>
  <c r="BI27" i="25"/>
  <c r="BJ27" i="25"/>
  <c r="BK27" i="25"/>
  <c r="BL27" i="25"/>
  <c r="BM27" i="25"/>
  <c r="BN27" i="25"/>
  <c r="BO27" i="25"/>
  <c r="D28" i="25"/>
  <c r="F28" i="25"/>
  <c r="G28" i="25"/>
  <c r="H28" i="25"/>
  <c r="I28" i="25"/>
  <c r="K28" i="25"/>
  <c r="L28" i="25"/>
  <c r="N28" i="25"/>
  <c r="O28" i="25"/>
  <c r="P28" i="25"/>
  <c r="Q28" i="25"/>
  <c r="S28" i="25"/>
  <c r="T28" i="25"/>
  <c r="V28" i="25"/>
  <c r="X28" i="25"/>
  <c r="Y28" i="25"/>
  <c r="Z28" i="25"/>
  <c r="AA28" i="25"/>
  <c r="AB28" i="25"/>
  <c r="AC28" i="25"/>
  <c r="AF28" i="25"/>
  <c r="AG28" i="25"/>
  <c r="AH28" i="25"/>
  <c r="AI28" i="25"/>
  <c r="AJ28" i="25"/>
  <c r="AL28" i="25"/>
  <c r="AM28" i="25"/>
  <c r="AN28" i="25"/>
  <c r="AO28" i="25"/>
  <c r="AP28" i="25"/>
  <c r="AQ28" i="25"/>
  <c r="AR28" i="25"/>
  <c r="AS28" i="25"/>
  <c r="AT28" i="25"/>
  <c r="AU28" i="25"/>
  <c r="AV28" i="25"/>
  <c r="AW28" i="25"/>
  <c r="AX28" i="25"/>
  <c r="AY28" i="25"/>
  <c r="BB28" i="25"/>
  <c r="BC28" i="25"/>
  <c r="BD28" i="25"/>
  <c r="BE28" i="25"/>
  <c r="BF28" i="25"/>
  <c r="BG28" i="25"/>
  <c r="BH28" i="25"/>
  <c r="BI28" i="25"/>
  <c r="BJ28" i="25"/>
  <c r="BK28" i="25"/>
  <c r="BL28" i="25"/>
  <c r="BM28" i="25"/>
  <c r="BN28" i="25"/>
  <c r="BO28" i="25"/>
  <c r="D29" i="25"/>
  <c r="F29" i="25"/>
  <c r="G29" i="25"/>
  <c r="H29" i="25"/>
  <c r="I29" i="25"/>
  <c r="K29" i="25"/>
  <c r="L29" i="25"/>
  <c r="N29" i="25"/>
  <c r="O29" i="25"/>
  <c r="P29" i="25"/>
  <c r="Q29" i="25"/>
  <c r="S29" i="25"/>
  <c r="T29" i="25"/>
  <c r="V29" i="25"/>
  <c r="X29" i="25"/>
  <c r="Y29" i="25"/>
  <c r="Z29" i="25"/>
  <c r="AA29" i="25"/>
  <c r="AB29" i="25"/>
  <c r="AC29" i="25"/>
  <c r="AF29" i="25"/>
  <c r="AG29" i="25"/>
  <c r="AH29" i="25"/>
  <c r="AI29" i="25"/>
  <c r="AJ29" i="25"/>
  <c r="AL29" i="25"/>
  <c r="AM29" i="25"/>
  <c r="AN29" i="25"/>
  <c r="AO29" i="25"/>
  <c r="AP29" i="25"/>
  <c r="AQ29" i="25"/>
  <c r="AR29" i="25"/>
  <c r="AS29" i="25"/>
  <c r="AT29" i="25"/>
  <c r="AU29" i="25"/>
  <c r="AV29" i="25"/>
  <c r="AW29" i="25"/>
  <c r="AX29" i="25"/>
  <c r="AY29" i="25"/>
  <c r="BB29" i="25"/>
  <c r="BC29" i="25"/>
  <c r="BD29" i="25"/>
  <c r="BE29" i="25"/>
  <c r="BF29" i="25"/>
  <c r="BG29" i="25"/>
  <c r="BH29" i="25"/>
  <c r="BI29" i="25"/>
  <c r="BJ29" i="25"/>
  <c r="BK29" i="25"/>
  <c r="BL29" i="25"/>
  <c r="BM29" i="25"/>
  <c r="BN29" i="25"/>
  <c r="BO29" i="25"/>
  <c r="D30" i="25"/>
  <c r="F30" i="25"/>
  <c r="G30" i="25"/>
  <c r="H30" i="25"/>
  <c r="I30" i="25"/>
  <c r="K30" i="25"/>
  <c r="L30" i="25"/>
  <c r="N30" i="25"/>
  <c r="O30" i="25"/>
  <c r="P30" i="25"/>
  <c r="Q30" i="25"/>
  <c r="S30" i="25"/>
  <c r="T30" i="25"/>
  <c r="V30" i="25"/>
  <c r="X30" i="25"/>
  <c r="Y30" i="25"/>
  <c r="Z30" i="25"/>
  <c r="AA30" i="25"/>
  <c r="AB30" i="25"/>
  <c r="AC30" i="25"/>
  <c r="AF30" i="25"/>
  <c r="AG30" i="25"/>
  <c r="AH30" i="25"/>
  <c r="AI30" i="25"/>
  <c r="AJ30" i="25"/>
  <c r="AL30" i="25"/>
  <c r="AM30" i="25"/>
  <c r="AN30" i="25"/>
  <c r="AO30" i="25"/>
  <c r="AP30" i="25"/>
  <c r="AQ30" i="25"/>
  <c r="AR30" i="25"/>
  <c r="AS30" i="25"/>
  <c r="AT30" i="25"/>
  <c r="AU30" i="25"/>
  <c r="AV30" i="25"/>
  <c r="AW30" i="25"/>
  <c r="AX30" i="25"/>
  <c r="AY30" i="25"/>
  <c r="BB30" i="25"/>
  <c r="BC30" i="25"/>
  <c r="BD30" i="25"/>
  <c r="BE30" i="25"/>
  <c r="BF30" i="25"/>
  <c r="BG30" i="25"/>
  <c r="BH30" i="25"/>
  <c r="BI30" i="25"/>
  <c r="BJ30" i="25"/>
  <c r="BK30" i="25"/>
  <c r="BL30" i="25"/>
  <c r="BM30" i="25"/>
  <c r="BN30" i="25"/>
  <c r="BO30" i="25"/>
  <c r="D31" i="25"/>
  <c r="F31" i="25"/>
  <c r="G31" i="25"/>
  <c r="H31" i="25"/>
  <c r="I31" i="25"/>
  <c r="K31" i="25"/>
  <c r="L31" i="25"/>
  <c r="N31" i="25"/>
  <c r="O31" i="25"/>
  <c r="P31" i="25"/>
  <c r="Q31" i="25"/>
  <c r="S31" i="25"/>
  <c r="T31" i="25"/>
  <c r="V31" i="25"/>
  <c r="X31" i="25"/>
  <c r="Y31" i="25"/>
  <c r="Z31" i="25"/>
  <c r="AA31" i="25"/>
  <c r="AB31" i="25"/>
  <c r="AC31" i="25"/>
  <c r="AF31" i="25"/>
  <c r="AG31" i="25"/>
  <c r="AH31" i="25"/>
  <c r="AI31" i="25"/>
  <c r="AJ31" i="25"/>
  <c r="AL31" i="25"/>
  <c r="AM31" i="25"/>
  <c r="AN31" i="25"/>
  <c r="AO31" i="25"/>
  <c r="AP31" i="25"/>
  <c r="AQ31" i="25"/>
  <c r="AR31" i="25"/>
  <c r="AS31" i="25"/>
  <c r="AT31" i="25"/>
  <c r="AU31" i="25"/>
  <c r="AV31" i="25"/>
  <c r="AW31" i="25"/>
  <c r="AX31" i="25"/>
  <c r="AY31" i="25"/>
  <c r="BB31" i="25"/>
  <c r="BC31" i="25"/>
  <c r="BD31" i="25"/>
  <c r="BE31" i="25"/>
  <c r="BF31" i="25"/>
  <c r="BG31" i="25"/>
  <c r="BH31" i="25"/>
  <c r="BI31" i="25"/>
  <c r="BJ31" i="25"/>
  <c r="BK31" i="25"/>
  <c r="BL31" i="25"/>
  <c r="BM31" i="25"/>
  <c r="BN31" i="25"/>
  <c r="BO31" i="25"/>
  <c r="D32" i="25"/>
  <c r="F32" i="25"/>
  <c r="G32" i="25"/>
  <c r="H32" i="25"/>
  <c r="I32" i="25"/>
  <c r="K32" i="25"/>
  <c r="L32" i="25"/>
  <c r="N32" i="25"/>
  <c r="O32" i="25"/>
  <c r="P32" i="25"/>
  <c r="Q32" i="25"/>
  <c r="S32" i="25"/>
  <c r="T32" i="25"/>
  <c r="V32" i="25"/>
  <c r="X32" i="25"/>
  <c r="Y32" i="25"/>
  <c r="Z32" i="25"/>
  <c r="AA32" i="25"/>
  <c r="AB32" i="25"/>
  <c r="AC32" i="25"/>
  <c r="AF32" i="25"/>
  <c r="AG32" i="25"/>
  <c r="AH32" i="25"/>
  <c r="AI32" i="25"/>
  <c r="AJ32" i="25"/>
  <c r="AL32" i="25"/>
  <c r="AM32" i="25"/>
  <c r="AN32" i="25"/>
  <c r="AO32" i="25"/>
  <c r="AP32" i="25"/>
  <c r="AQ32" i="25"/>
  <c r="AR32" i="25"/>
  <c r="AS32" i="25"/>
  <c r="AT32" i="25"/>
  <c r="AU32" i="25"/>
  <c r="AV32" i="25"/>
  <c r="AW32" i="25"/>
  <c r="AX32" i="25"/>
  <c r="AY32" i="25"/>
  <c r="BB32" i="25"/>
  <c r="BC32" i="25"/>
  <c r="BD32" i="25"/>
  <c r="BE32" i="25"/>
  <c r="BF32" i="25"/>
  <c r="BG32" i="25"/>
  <c r="BH32" i="25"/>
  <c r="BI32" i="25"/>
  <c r="BJ32" i="25"/>
  <c r="BK32" i="25"/>
  <c r="BL32" i="25"/>
  <c r="BM32" i="25"/>
  <c r="BN32" i="25"/>
  <c r="BO32" i="25"/>
  <c r="D33" i="25"/>
  <c r="F33" i="25"/>
  <c r="G33" i="25"/>
  <c r="H33" i="25"/>
  <c r="I33" i="25"/>
  <c r="K33" i="25"/>
  <c r="L33" i="25"/>
  <c r="N33" i="25"/>
  <c r="O33" i="25"/>
  <c r="P33" i="25"/>
  <c r="Q33" i="25"/>
  <c r="S33" i="25"/>
  <c r="T33" i="25"/>
  <c r="V33" i="25"/>
  <c r="X33" i="25"/>
  <c r="Y33" i="25"/>
  <c r="Z33" i="25"/>
  <c r="AA33" i="25"/>
  <c r="AB33" i="25"/>
  <c r="AC33" i="25"/>
  <c r="AF33" i="25"/>
  <c r="AG33" i="25"/>
  <c r="AH33" i="25"/>
  <c r="AI33" i="25"/>
  <c r="AJ33" i="25"/>
  <c r="AL33" i="25"/>
  <c r="AM33" i="25"/>
  <c r="AN33" i="25"/>
  <c r="AO33" i="25"/>
  <c r="AP33" i="25"/>
  <c r="AQ33" i="25"/>
  <c r="AR33" i="25"/>
  <c r="AS33" i="25"/>
  <c r="AT33" i="25"/>
  <c r="AU33" i="25"/>
  <c r="AV33" i="25"/>
  <c r="AW33" i="25"/>
  <c r="AX33" i="25"/>
  <c r="AY33" i="25"/>
  <c r="BB33" i="25"/>
  <c r="BC33" i="25"/>
  <c r="BD33" i="25"/>
  <c r="BE33" i="25"/>
  <c r="BF33" i="25"/>
  <c r="BG33" i="25"/>
  <c r="BH33" i="25"/>
  <c r="BI33" i="25"/>
  <c r="BJ33" i="25"/>
  <c r="BK33" i="25"/>
  <c r="BL33" i="25"/>
  <c r="BM33" i="25"/>
  <c r="BN33" i="25"/>
  <c r="BO33" i="25"/>
  <c r="D34" i="25"/>
  <c r="F34" i="25"/>
  <c r="G34" i="25"/>
  <c r="H34" i="25"/>
  <c r="I34" i="25"/>
  <c r="K34" i="25"/>
  <c r="L34" i="25"/>
  <c r="N34" i="25"/>
  <c r="O34" i="25"/>
  <c r="P34" i="25"/>
  <c r="Q34" i="25"/>
  <c r="S34" i="25"/>
  <c r="T34" i="25"/>
  <c r="V34" i="25"/>
  <c r="X34" i="25"/>
  <c r="Y34" i="25"/>
  <c r="Z34" i="25"/>
  <c r="AA34" i="25"/>
  <c r="AB34" i="25"/>
  <c r="AC34" i="25"/>
  <c r="AF34" i="25"/>
  <c r="AG34" i="25"/>
  <c r="AH34" i="25"/>
  <c r="AI34" i="25"/>
  <c r="AJ34" i="25"/>
  <c r="AL34" i="25"/>
  <c r="AM34" i="25"/>
  <c r="AN34" i="25"/>
  <c r="AO34" i="25"/>
  <c r="AP34" i="25"/>
  <c r="AQ34" i="25"/>
  <c r="AR34" i="25"/>
  <c r="AS34" i="25"/>
  <c r="AT34" i="25"/>
  <c r="AU34" i="25"/>
  <c r="AV34" i="25"/>
  <c r="AW34" i="25"/>
  <c r="AX34" i="25"/>
  <c r="AY34" i="25"/>
  <c r="BB34" i="25"/>
  <c r="BC34" i="25"/>
  <c r="BD34" i="25"/>
  <c r="BE34" i="25"/>
  <c r="BF34" i="25"/>
  <c r="BG34" i="25"/>
  <c r="BH34" i="25"/>
  <c r="BI34" i="25"/>
  <c r="BJ34" i="25"/>
  <c r="BK34" i="25"/>
  <c r="BL34" i="25"/>
  <c r="BM34" i="25"/>
  <c r="BN34" i="25"/>
  <c r="BO34" i="25"/>
  <c r="D35" i="25"/>
  <c r="F35" i="25"/>
  <c r="G35" i="25"/>
  <c r="H35" i="25"/>
  <c r="I35" i="25"/>
  <c r="K35" i="25"/>
  <c r="L35" i="25"/>
  <c r="N35" i="25"/>
  <c r="O35" i="25"/>
  <c r="P35" i="25"/>
  <c r="Q35" i="25"/>
  <c r="S35" i="25"/>
  <c r="T35" i="25"/>
  <c r="V35" i="25"/>
  <c r="X35" i="25"/>
  <c r="Y35" i="25"/>
  <c r="Z35" i="25"/>
  <c r="AA35" i="25"/>
  <c r="AB35" i="25"/>
  <c r="AC35" i="25"/>
  <c r="AF35" i="25"/>
  <c r="AG35" i="25"/>
  <c r="AH35" i="25"/>
  <c r="AI35" i="25"/>
  <c r="AJ35" i="25"/>
  <c r="AL35" i="25"/>
  <c r="AM35" i="25"/>
  <c r="AN35" i="25"/>
  <c r="AO35" i="25"/>
  <c r="AP35" i="25"/>
  <c r="AQ35" i="25"/>
  <c r="AR35" i="25"/>
  <c r="AS35" i="25"/>
  <c r="AT35" i="25"/>
  <c r="AU35" i="25"/>
  <c r="AV35" i="25"/>
  <c r="AW35" i="25"/>
  <c r="AX35" i="25"/>
  <c r="AY35" i="25"/>
  <c r="BB35" i="25"/>
  <c r="BC35" i="25"/>
  <c r="BD35" i="25"/>
  <c r="BE35" i="25"/>
  <c r="BF35" i="25"/>
  <c r="BG35" i="25"/>
  <c r="BH35" i="25"/>
  <c r="BI35" i="25"/>
  <c r="BJ35" i="25"/>
  <c r="BK35" i="25"/>
  <c r="BL35" i="25"/>
  <c r="BM35" i="25"/>
  <c r="BN35" i="25"/>
  <c r="BO35" i="25"/>
  <c r="D36" i="25"/>
  <c r="F36" i="25"/>
  <c r="G36" i="25"/>
  <c r="H36" i="25"/>
  <c r="I36" i="25"/>
  <c r="K36" i="25"/>
  <c r="L36" i="25"/>
  <c r="N36" i="25"/>
  <c r="O36" i="25"/>
  <c r="P36" i="25"/>
  <c r="Q36" i="25"/>
  <c r="S36" i="25"/>
  <c r="T36" i="25"/>
  <c r="V36" i="25"/>
  <c r="X36" i="25"/>
  <c r="Y36" i="25"/>
  <c r="Z36" i="25"/>
  <c r="AA36" i="25"/>
  <c r="AB36" i="25"/>
  <c r="AC36" i="25"/>
  <c r="AF36" i="25"/>
  <c r="AG36" i="25"/>
  <c r="AH36" i="25"/>
  <c r="AI36" i="25"/>
  <c r="AJ36" i="25"/>
  <c r="AL36" i="25"/>
  <c r="AM36" i="25"/>
  <c r="AN36" i="25"/>
  <c r="AO36" i="25"/>
  <c r="AP36" i="25"/>
  <c r="AQ36" i="25"/>
  <c r="AR36" i="25"/>
  <c r="AS36" i="25"/>
  <c r="AT36" i="25"/>
  <c r="AU36" i="25"/>
  <c r="AV36" i="25"/>
  <c r="AW36" i="25"/>
  <c r="AX36" i="25"/>
  <c r="AY36" i="25"/>
  <c r="BB36" i="25"/>
  <c r="BC36" i="25"/>
  <c r="BD36" i="25"/>
  <c r="BE36" i="25"/>
  <c r="BF36" i="25"/>
  <c r="BG36" i="25"/>
  <c r="BH36" i="25"/>
  <c r="BI36" i="25"/>
  <c r="BJ36" i="25"/>
  <c r="BK36" i="25"/>
  <c r="BL36" i="25"/>
  <c r="BM36" i="25"/>
  <c r="BN36" i="25"/>
  <c r="BO36" i="25"/>
  <c r="D37" i="25"/>
  <c r="F37" i="25"/>
  <c r="G37" i="25"/>
  <c r="H37" i="25"/>
  <c r="I37" i="25"/>
  <c r="K37" i="25"/>
  <c r="L37" i="25"/>
  <c r="N37" i="25"/>
  <c r="O37" i="25"/>
  <c r="P37" i="25"/>
  <c r="Q37" i="25"/>
  <c r="S37" i="25"/>
  <c r="T37" i="25"/>
  <c r="V37" i="25"/>
  <c r="X37" i="25"/>
  <c r="Y37" i="25"/>
  <c r="Z37" i="25"/>
  <c r="AA37" i="25"/>
  <c r="AB37" i="25"/>
  <c r="AC37" i="25"/>
  <c r="AF37" i="25"/>
  <c r="AG37" i="25"/>
  <c r="AH37" i="25"/>
  <c r="AI37" i="25"/>
  <c r="AJ37" i="25"/>
  <c r="AL37" i="25"/>
  <c r="AM37" i="25"/>
  <c r="AN37" i="25"/>
  <c r="AO37" i="25"/>
  <c r="AP37" i="25"/>
  <c r="AQ37" i="25"/>
  <c r="AR37" i="25"/>
  <c r="AS37" i="25"/>
  <c r="AT37" i="25"/>
  <c r="AU37" i="25"/>
  <c r="AV37" i="25"/>
  <c r="AW37" i="25"/>
  <c r="AX37" i="25"/>
  <c r="AY37" i="25"/>
  <c r="BB37" i="25"/>
  <c r="BC37" i="25"/>
  <c r="BD37" i="25"/>
  <c r="BE37" i="25"/>
  <c r="BF37" i="25"/>
  <c r="BG37" i="25"/>
  <c r="BH37" i="25"/>
  <c r="BI37" i="25"/>
  <c r="BJ37" i="25"/>
  <c r="BK37" i="25"/>
  <c r="BL37" i="25"/>
  <c r="BM37" i="25"/>
  <c r="BN37" i="25"/>
  <c r="BO37" i="25"/>
  <c r="D38" i="25"/>
  <c r="F38" i="25"/>
  <c r="G38" i="25"/>
  <c r="H38" i="25"/>
  <c r="I38" i="25"/>
  <c r="K38" i="25"/>
  <c r="L38" i="25"/>
  <c r="N38" i="25"/>
  <c r="O38" i="25"/>
  <c r="P38" i="25"/>
  <c r="Q38" i="25"/>
  <c r="S38" i="25"/>
  <c r="T38" i="25"/>
  <c r="V38" i="25"/>
  <c r="X38" i="25"/>
  <c r="Y38" i="25"/>
  <c r="Z38" i="25"/>
  <c r="AA38" i="25"/>
  <c r="AB38" i="25"/>
  <c r="AC38" i="25"/>
  <c r="AF38" i="25"/>
  <c r="AG38" i="25"/>
  <c r="AH38" i="25"/>
  <c r="AI38" i="25"/>
  <c r="AJ38" i="25"/>
  <c r="AL38" i="25"/>
  <c r="AM38" i="25"/>
  <c r="AN38" i="25"/>
  <c r="AO38" i="25"/>
  <c r="AP38" i="25"/>
  <c r="AQ38" i="25"/>
  <c r="AR38" i="25"/>
  <c r="AS38" i="25"/>
  <c r="AT38" i="25"/>
  <c r="AU38" i="25"/>
  <c r="AV38" i="25"/>
  <c r="AW38" i="25"/>
  <c r="AX38" i="25"/>
  <c r="AY38" i="25"/>
  <c r="BB38" i="25"/>
  <c r="BC38" i="25"/>
  <c r="BD38" i="25"/>
  <c r="BE38" i="25"/>
  <c r="BF38" i="25"/>
  <c r="BG38" i="25"/>
  <c r="BH38" i="25"/>
  <c r="BI38" i="25"/>
  <c r="BJ38" i="25"/>
  <c r="BK38" i="25"/>
  <c r="BL38" i="25"/>
  <c r="BM38" i="25"/>
  <c r="BN38" i="25"/>
  <c r="BO38" i="25"/>
  <c r="D39" i="25"/>
  <c r="F39" i="25"/>
  <c r="G39" i="25"/>
  <c r="H39" i="25"/>
  <c r="I39" i="25"/>
  <c r="K39" i="25"/>
  <c r="L39" i="25"/>
  <c r="N39" i="25"/>
  <c r="O39" i="25"/>
  <c r="P39" i="25"/>
  <c r="Q39" i="25"/>
  <c r="S39" i="25"/>
  <c r="T39" i="25"/>
  <c r="V39" i="25"/>
  <c r="X39" i="25"/>
  <c r="Y39" i="25"/>
  <c r="Z39" i="25"/>
  <c r="AA39" i="25"/>
  <c r="AB39" i="25"/>
  <c r="AC39" i="25"/>
  <c r="AF39" i="25"/>
  <c r="AG39" i="25"/>
  <c r="AH39" i="25"/>
  <c r="AI39" i="25"/>
  <c r="AJ39" i="25"/>
  <c r="AL39" i="25"/>
  <c r="AM39" i="25"/>
  <c r="AN39" i="25"/>
  <c r="AO39" i="25"/>
  <c r="AP39" i="25"/>
  <c r="AQ39" i="25"/>
  <c r="AR39" i="25"/>
  <c r="AS39" i="25"/>
  <c r="AT39" i="25"/>
  <c r="AU39" i="25"/>
  <c r="AV39" i="25"/>
  <c r="AW39" i="25"/>
  <c r="AX39" i="25"/>
  <c r="AY39" i="25"/>
  <c r="BB39" i="25"/>
  <c r="BC39" i="25"/>
  <c r="BD39" i="25"/>
  <c r="BE39" i="25"/>
  <c r="BF39" i="25"/>
  <c r="BG39" i="25"/>
  <c r="BH39" i="25"/>
  <c r="BI39" i="25"/>
  <c r="BJ39" i="25"/>
  <c r="BK39" i="25"/>
  <c r="BL39" i="25"/>
  <c r="BM39" i="25"/>
  <c r="BN39" i="25"/>
  <c r="BO39" i="25"/>
  <c r="D40" i="25"/>
  <c r="F40" i="25"/>
  <c r="G40" i="25"/>
  <c r="H40" i="25"/>
  <c r="I40" i="25"/>
  <c r="K40" i="25"/>
  <c r="L40" i="25"/>
  <c r="N40" i="25"/>
  <c r="O40" i="25"/>
  <c r="P40" i="25"/>
  <c r="Q40" i="25"/>
  <c r="S40" i="25"/>
  <c r="T40" i="25"/>
  <c r="V40" i="25"/>
  <c r="X40" i="25"/>
  <c r="Y40" i="25"/>
  <c r="Z40" i="25"/>
  <c r="AA40" i="25"/>
  <c r="AB40" i="25"/>
  <c r="AC40" i="25"/>
  <c r="AF40" i="25"/>
  <c r="AG40" i="25"/>
  <c r="AH40" i="25"/>
  <c r="AI40" i="25"/>
  <c r="AJ40" i="25"/>
  <c r="AL40" i="25"/>
  <c r="AM40" i="25"/>
  <c r="AN40" i="25"/>
  <c r="AO40" i="25"/>
  <c r="AP40" i="25"/>
  <c r="AQ40" i="25"/>
  <c r="AR40" i="25"/>
  <c r="AS40" i="25"/>
  <c r="AT40" i="25"/>
  <c r="AU40" i="25"/>
  <c r="AV40" i="25"/>
  <c r="AW40" i="25"/>
  <c r="AX40" i="25"/>
  <c r="AY40" i="25"/>
  <c r="BB40" i="25"/>
  <c r="BC40" i="25"/>
  <c r="BD40" i="25"/>
  <c r="BE40" i="25"/>
  <c r="BF40" i="25"/>
  <c r="BG40" i="25"/>
  <c r="BH40" i="25"/>
  <c r="BI40" i="25"/>
  <c r="BJ40" i="25"/>
  <c r="BK40" i="25"/>
  <c r="BL40" i="25"/>
  <c r="BM40" i="25"/>
  <c r="BN40" i="25"/>
  <c r="BO40" i="25"/>
  <c r="D41" i="25"/>
  <c r="F41" i="25"/>
  <c r="G41" i="25"/>
  <c r="H41" i="25"/>
  <c r="I41" i="25"/>
  <c r="K41" i="25"/>
  <c r="L41" i="25"/>
  <c r="N41" i="25"/>
  <c r="O41" i="25"/>
  <c r="P41" i="25"/>
  <c r="Q41" i="25"/>
  <c r="S41" i="25"/>
  <c r="T41" i="25"/>
  <c r="V41" i="25"/>
  <c r="X41" i="25"/>
  <c r="Y41" i="25"/>
  <c r="Z41" i="25"/>
  <c r="AA41" i="25"/>
  <c r="AB41" i="25"/>
  <c r="AC41" i="25"/>
  <c r="AF41" i="25"/>
  <c r="AG41" i="25"/>
  <c r="AH41" i="25"/>
  <c r="AI41" i="25"/>
  <c r="AJ41" i="25"/>
  <c r="AL41" i="25"/>
  <c r="AM41" i="25"/>
  <c r="AN41" i="25"/>
  <c r="AO41" i="25"/>
  <c r="AP41" i="25"/>
  <c r="AQ41" i="25"/>
  <c r="AR41" i="25"/>
  <c r="AS41" i="25"/>
  <c r="AT41" i="25"/>
  <c r="AU41" i="25"/>
  <c r="AV41" i="25"/>
  <c r="AW41" i="25"/>
  <c r="AX41" i="25"/>
  <c r="AY41" i="25"/>
  <c r="BB41" i="25"/>
  <c r="BC41" i="25"/>
  <c r="BD41" i="25"/>
  <c r="BE41" i="25"/>
  <c r="BF41" i="25"/>
  <c r="BG41" i="25"/>
  <c r="BH41" i="25"/>
  <c r="BI41" i="25"/>
  <c r="BJ41" i="25"/>
  <c r="BK41" i="25"/>
  <c r="BL41" i="25"/>
  <c r="BM41" i="25"/>
  <c r="BN41" i="25"/>
  <c r="BO41" i="25"/>
  <c r="D42" i="25"/>
  <c r="F42" i="25"/>
  <c r="G42" i="25"/>
  <c r="H42" i="25"/>
  <c r="I42" i="25"/>
  <c r="K42" i="25"/>
  <c r="L42" i="25"/>
  <c r="N42" i="25"/>
  <c r="O42" i="25"/>
  <c r="P42" i="25"/>
  <c r="Q42" i="25"/>
  <c r="S42" i="25"/>
  <c r="T42" i="25"/>
  <c r="V42" i="25"/>
  <c r="X42" i="25"/>
  <c r="Y42" i="25"/>
  <c r="Z42" i="25"/>
  <c r="AA42" i="25"/>
  <c r="AB42" i="25"/>
  <c r="AC42" i="25"/>
  <c r="AF42" i="25"/>
  <c r="AG42" i="25"/>
  <c r="AH42" i="25"/>
  <c r="AI42" i="25"/>
  <c r="AJ42" i="25"/>
  <c r="AL42" i="25"/>
  <c r="AM42" i="25"/>
  <c r="AN42" i="25"/>
  <c r="AO42" i="25"/>
  <c r="AP42" i="25"/>
  <c r="AQ42" i="25"/>
  <c r="AR42" i="25"/>
  <c r="AS42" i="25"/>
  <c r="AT42" i="25"/>
  <c r="AU42" i="25"/>
  <c r="AV42" i="25"/>
  <c r="AW42" i="25"/>
  <c r="AX42" i="25"/>
  <c r="AY42" i="25"/>
  <c r="BB42" i="25"/>
  <c r="BC42" i="25"/>
  <c r="BD42" i="25"/>
  <c r="BE42" i="25"/>
  <c r="BF42" i="25"/>
  <c r="BG42" i="25"/>
  <c r="BH42" i="25"/>
  <c r="BI42" i="25"/>
  <c r="BJ42" i="25"/>
  <c r="BK42" i="25"/>
  <c r="BL42" i="25"/>
  <c r="BM42" i="25"/>
  <c r="BN42" i="25"/>
  <c r="BO42" i="25"/>
  <c r="D43" i="25"/>
  <c r="F43" i="25"/>
  <c r="G43" i="25"/>
  <c r="H43" i="25"/>
  <c r="I43" i="25"/>
  <c r="K43" i="25"/>
  <c r="L43" i="25"/>
  <c r="N43" i="25"/>
  <c r="O43" i="25"/>
  <c r="P43" i="25"/>
  <c r="Q43" i="25"/>
  <c r="S43" i="25"/>
  <c r="T43" i="25"/>
  <c r="V43" i="25"/>
  <c r="X43" i="25"/>
  <c r="Y43" i="25"/>
  <c r="Z43" i="25"/>
  <c r="AA43" i="25"/>
  <c r="AB43" i="25"/>
  <c r="AC43" i="25"/>
  <c r="AF43" i="25"/>
  <c r="AG43" i="25"/>
  <c r="AH43" i="25"/>
  <c r="AI43" i="25"/>
  <c r="AJ43" i="25"/>
  <c r="AL43" i="25"/>
  <c r="AM43" i="25"/>
  <c r="AN43" i="25"/>
  <c r="AO43" i="25"/>
  <c r="AP43" i="25"/>
  <c r="AQ43" i="25"/>
  <c r="AR43" i="25"/>
  <c r="AS43" i="25"/>
  <c r="AT43" i="25"/>
  <c r="AU43" i="25"/>
  <c r="AV43" i="25"/>
  <c r="AW43" i="25"/>
  <c r="AX43" i="25"/>
  <c r="AY43" i="25"/>
  <c r="BB43" i="25"/>
  <c r="BC43" i="25"/>
  <c r="BD43" i="25"/>
  <c r="BE43" i="25"/>
  <c r="BF43" i="25"/>
  <c r="BG43" i="25"/>
  <c r="BH43" i="25"/>
  <c r="BI43" i="25"/>
  <c r="BJ43" i="25"/>
  <c r="BK43" i="25"/>
  <c r="BL43" i="25"/>
  <c r="BM43" i="25"/>
  <c r="BN43" i="25"/>
  <c r="BO43" i="25"/>
  <c r="D44" i="25"/>
  <c r="F44" i="25"/>
  <c r="G44" i="25"/>
  <c r="H44" i="25"/>
  <c r="I44" i="25"/>
  <c r="K44" i="25"/>
  <c r="L44" i="25"/>
  <c r="N44" i="25"/>
  <c r="O44" i="25"/>
  <c r="P44" i="25"/>
  <c r="Q44" i="25"/>
  <c r="S44" i="25"/>
  <c r="T44" i="25"/>
  <c r="V44" i="25"/>
  <c r="X44" i="25"/>
  <c r="Y44" i="25"/>
  <c r="Z44" i="25"/>
  <c r="AA44" i="25"/>
  <c r="AB44" i="25"/>
  <c r="AC44" i="25"/>
  <c r="AF44" i="25"/>
  <c r="AG44" i="25"/>
  <c r="AH44" i="25"/>
  <c r="AI44" i="25"/>
  <c r="AJ44" i="25"/>
  <c r="AL44" i="25"/>
  <c r="AM44" i="25"/>
  <c r="AN44" i="25"/>
  <c r="AO44" i="25"/>
  <c r="AP44" i="25"/>
  <c r="AQ44" i="25"/>
  <c r="AR44" i="25"/>
  <c r="AS44" i="25"/>
  <c r="AT44" i="25"/>
  <c r="AU44" i="25"/>
  <c r="AV44" i="25"/>
  <c r="AW44" i="25"/>
  <c r="AX44" i="25"/>
  <c r="AY44" i="25"/>
  <c r="BB44" i="25"/>
  <c r="BC44" i="25"/>
  <c r="BD44" i="25"/>
  <c r="BE44" i="25"/>
  <c r="BF44" i="25"/>
  <c r="BG44" i="25"/>
  <c r="BH44" i="25"/>
  <c r="BI44" i="25"/>
  <c r="BJ44" i="25"/>
  <c r="BK44" i="25"/>
  <c r="BL44" i="25"/>
  <c r="BM44" i="25"/>
  <c r="BN44" i="25"/>
  <c r="BO44" i="25"/>
  <c r="D45" i="25"/>
  <c r="F45" i="25"/>
  <c r="G45" i="25"/>
  <c r="H45" i="25"/>
  <c r="I45" i="25"/>
  <c r="K45" i="25"/>
  <c r="L45" i="25"/>
  <c r="N45" i="25"/>
  <c r="O45" i="25"/>
  <c r="P45" i="25"/>
  <c r="Q45" i="25"/>
  <c r="S45" i="25"/>
  <c r="T45" i="25"/>
  <c r="V45" i="25"/>
  <c r="X45" i="25"/>
  <c r="Y45" i="25"/>
  <c r="Z45" i="25"/>
  <c r="AA45" i="25"/>
  <c r="AB45" i="25"/>
  <c r="AC45" i="25"/>
  <c r="AF45" i="25"/>
  <c r="AG45" i="25"/>
  <c r="AH45" i="25"/>
  <c r="AI45" i="25"/>
  <c r="AJ45" i="25"/>
  <c r="AL45" i="25"/>
  <c r="AM45" i="25"/>
  <c r="AN45" i="25"/>
  <c r="AO45" i="25"/>
  <c r="AP45" i="25"/>
  <c r="AQ45" i="25"/>
  <c r="AR45" i="25"/>
  <c r="AS45" i="25"/>
  <c r="AT45" i="25"/>
  <c r="AU45" i="25"/>
  <c r="AV45" i="25"/>
  <c r="AW45" i="25"/>
  <c r="AX45" i="25"/>
  <c r="AY45" i="25"/>
  <c r="BB45" i="25"/>
  <c r="BC45" i="25"/>
  <c r="BD45" i="25"/>
  <c r="BE45" i="25"/>
  <c r="BF45" i="25"/>
  <c r="BG45" i="25"/>
  <c r="BH45" i="25"/>
  <c r="BI45" i="25"/>
  <c r="BJ45" i="25"/>
  <c r="BK45" i="25"/>
  <c r="BL45" i="25"/>
  <c r="BM45" i="25"/>
  <c r="BN45" i="25"/>
  <c r="BO45" i="25"/>
  <c r="D46" i="25"/>
  <c r="F46" i="25"/>
  <c r="G46" i="25"/>
  <c r="H46" i="25"/>
  <c r="I46" i="25"/>
  <c r="K46" i="25"/>
  <c r="L46" i="25"/>
  <c r="N46" i="25"/>
  <c r="O46" i="25"/>
  <c r="P46" i="25"/>
  <c r="Q46" i="25"/>
  <c r="S46" i="25"/>
  <c r="T46" i="25"/>
  <c r="V46" i="25"/>
  <c r="X46" i="25"/>
  <c r="Y46" i="25"/>
  <c r="Z46" i="25"/>
  <c r="AA46" i="25"/>
  <c r="AB46" i="25"/>
  <c r="AC46" i="25"/>
  <c r="AF46" i="25"/>
  <c r="AG46" i="25"/>
  <c r="AH46" i="25"/>
  <c r="AI46" i="25"/>
  <c r="AJ46" i="25"/>
  <c r="AL46" i="25"/>
  <c r="AM46" i="25"/>
  <c r="AN46" i="25"/>
  <c r="AO46" i="25"/>
  <c r="AP46" i="25"/>
  <c r="AQ46" i="25"/>
  <c r="AR46" i="25"/>
  <c r="AS46" i="25"/>
  <c r="AT46" i="25"/>
  <c r="AU46" i="25"/>
  <c r="AV46" i="25"/>
  <c r="AW46" i="25"/>
  <c r="AX46" i="25"/>
  <c r="AY46" i="25"/>
  <c r="BB46" i="25"/>
  <c r="BC46" i="25"/>
  <c r="BD46" i="25"/>
  <c r="BE46" i="25"/>
  <c r="BF46" i="25"/>
  <c r="BG46" i="25"/>
  <c r="BH46" i="25"/>
  <c r="BI46" i="25"/>
  <c r="BJ46" i="25"/>
  <c r="BK46" i="25"/>
  <c r="BL46" i="25"/>
  <c r="BM46" i="25"/>
  <c r="BN46" i="25"/>
  <c r="BO46" i="25"/>
  <c r="D47" i="25"/>
  <c r="F47" i="25"/>
  <c r="G47" i="25"/>
  <c r="H47" i="25"/>
  <c r="I47" i="25"/>
  <c r="K47" i="25"/>
  <c r="L47" i="25"/>
  <c r="N47" i="25"/>
  <c r="O47" i="25"/>
  <c r="P47" i="25"/>
  <c r="Q47" i="25"/>
  <c r="S47" i="25"/>
  <c r="T47" i="25"/>
  <c r="V47" i="25"/>
  <c r="X47" i="25"/>
  <c r="Y47" i="25"/>
  <c r="Z47" i="25"/>
  <c r="AA47" i="25"/>
  <c r="AB47" i="25"/>
  <c r="AC47" i="25"/>
  <c r="AF47" i="25"/>
  <c r="AG47" i="25"/>
  <c r="AH47" i="25"/>
  <c r="AI47" i="25"/>
  <c r="AJ47" i="25"/>
  <c r="AL47" i="25"/>
  <c r="AM47" i="25"/>
  <c r="AN47" i="25"/>
  <c r="AO47" i="25"/>
  <c r="AP47" i="25"/>
  <c r="AQ47" i="25"/>
  <c r="AR47" i="25"/>
  <c r="AS47" i="25"/>
  <c r="AT47" i="25"/>
  <c r="AU47" i="25"/>
  <c r="AV47" i="25"/>
  <c r="AW47" i="25"/>
  <c r="AX47" i="25"/>
  <c r="AY47" i="25"/>
  <c r="BB47" i="25"/>
  <c r="BC47" i="25"/>
  <c r="BD47" i="25"/>
  <c r="BE47" i="25"/>
  <c r="BF47" i="25"/>
  <c r="BG47" i="25"/>
  <c r="BH47" i="25"/>
  <c r="BI47" i="25"/>
  <c r="BJ47" i="25"/>
  <c r="BK47" i="25"/>
  <c r="BL47" i="25"/>
  <c r="BM47" i="25"/>
  <c r="BN47" i="25"/>
  <c r="BO47" i="25"/>
  <c r="D48" i="25"/>
  <c r="F48" i="25"/>
  <c r="G48" i="25"/>
  <c r="H48" i="25"/>
  <c r="I48" i="25"/>
  <c r="K48" i="25"/>
  <c r="L48" i="25"/>
  <c r="N48" i="25"/>
  <c r="O48" i="25"/>
  <c r="P48" i="25"/>
  <c r="Q48" i="25"/>
  <c r="S48" i="25"/>
  <c r="T48" i="25"/>
  <c r="V48" i="25"/>
  <c r="X48" i="25"/>
  <c r="Y48" i="25"/>
  <c r="Z48" i="25"/>
  <c r="AA48" i="25"/>
  <c r="AB48" i="25"/>
  <c r="AC48" i="25"/>
  <c r="AF48" i="25"/>
  <c r="AG48" i="25"/>
  <c r="AH48" i="25"/>
  <c r="AI48" i="25"/>
  <c r="AJ48" i="25"/>
  <c r="AL48" i="25"/>
  <c r="AM48" i="25"/>
  <c r="AN48" i="25"/>
  <c r="AO48" i="25"/>
  <c r="AP48" i="25"/>
  <c r="AQ48" i="25"/>
  <c r="AR48" i="25"/>
  <c r="AS48" i="25"/>
  <c r="AT48" i="25"/>
  <c r="AU48" i="25"/>
  <c r="AV48" i="25"/>
  <c r="AW48" i="25"/>
  <c r="AX48" i="25"/>
  <c r="AY48" i="25"/>
  <c r="BB48" i="25"/>
  <c r="BC48" i="25"/>
  <c r="BD48" i="25"/>
  <c r="BE48" i="25"/>
  <c r="BF48" i="25"/>
  <c r="BG48" i="25"/>
  <c r="BH48" i="25"/>
  <c r="BI48" i="25"/>
  <c r="BJ48" i="25"/>
  <c r="BK48" i="25"/>
  <c r="BL48" i="25"/>
  <c r="BM48" i="25"/>
  <c r="BN48" i="25"/>
  <c r="BO48" i="25"/>
  <c r="D49" i="25"/>
  <c r="F49" i="25"/>
  <c r="G49" i="25"/>
  <c r="H49" i="25"/>
  <c r="I49" i="25"/>
  <c r="K49" i="25"/>
  <c r="L49" i="25"/>
  <c r="N49" i="25"/>
  <c r="O49" i="25"/>
  <c r="P49" i="25"/>
  <c r="Q49" i="25"/>
  <c r="S49" i="25"/>
  <c r="T49" i="25"/>
  <c r="V49" i="25"/>
  <c r="X49" i="25"/>
  <c r="Y49" i="25"/>
  <c r="Z49" i="25"/>
  <c r="AA49" i="25"/>
  <c r="AB49" i="25"/>
  <c r="AC49" i="25"/>
  <c r="AF49" i="25"/>
  <c r="AG49" i="25"/>
  <c r="AH49" i="25"/>
  <c r="AI49" i="25"/>
  <c r="AJ49" i="25"/>
  <c r="AL49" i="25"/>
  <c r="AM49" i="25"/>
  <c r="AN49" i="25"/>
  <c r="AO49" i="25"/>
  <c r="AP49" i="25"/>
  <c r="AQ49" i="25"/>
  <c r="AR49" i="25"/>
  <c r="AS49" i="25"/>
  <c r="AT49" i="25"/>
  <c r="AU49" i="25"/>
  <c r="AV49" i="25"/>
  <c r="AW49" i="25"/>
  <c r="AX49" i="25"/>
  <c r="AY49" i="25"/>
  <c r="BB49" i="25"/>
  <c r="BC49" i="25"/>
  <c r="BD49" i="25"/>
  <c r="BE49" i="25"/>
  <c r="BF49" i="25"/>
  <c r="BG49" i="25"/>
  <c r="BH49" i="25"/>
  <c r="BI49" i="25"/>
  <c r="BJ49" i="25"/>
  <c r="BK49" i="25"/>
  <c r="BL49" i="25"/>
  <c r="BM49" i="25"/>
  <c r="BN49" i="25"/>
  <c r="BO49" i="25"/>
  <c r="D50" i="25"/>
  <c r="F50" i="25"/>
  <c r="G50" i="25"/>
  <c r="H50" i="25"/>
  <c r="I50" i="25"/>
  <c r="K50" i="25"/>
  <c r="L50" i="25"/>
  <c r="N50" i="25"/>
  <c r="O50" i="25"/>
  <c r="P50" i="25"/>
  <c r="Q50" i="25"/>
  <c r="S50" i="25"/>
  <c r="T50" i="25"/>
  <c r="V50" i="25"/>
  <c r="X50" i="25"/>
  <c r="Y50" i="25"/>
  <c r="Z50" i="25"/>
  <c r="AA50" i="25"/>
  <c r="AB50" i="25"/>
  <c r="AC50" i="25"/>
  <c r="AF50" i="25"/>
  <c r="AG50" i="25"/>
  <c r="AH50" i="25"/>
  <c r="AI50" i="25"/>
  <c r="AJ50" i="25"/>
  <c r="AL50" i="25"/>
  <c r="AM50" i="25"/>
  <c r="AN50" i="25"/>
  <c r="AO50" i="25"/>
  <c r="AP50" i="25"/>
  <c r="AQ50" i="25"/>
  <c r="AR50" i="25"/>
  <c r="AS50" i="25"/>
  <c r="AT50" i="25"/>
  <c r="AU50" i="25"/>
  <c r="AV50" i="25"/>
  <c r="AW50" i="25"/>
  <c r="AX50" i="25"/>
  <c r="AY50" i="25"/>
  <c r="BB50" i="25"/>
  <c r="BC50" i="25"/>
  <c r="BD50" i="25"/>
  <c r="BE50" i="25"/>
  <c r="BF50" i="25"/>
  <c r="BG50" i="25"/>
  <c r="BH50" i="25"/>
  <c r="BI50" i="25"/>
  <c r="BJ50" i="25"/>
  <c r="BK50" i="25"/>
  <c r="BL50" i="25"/>
  <c r="BM50" i="25"/>
  <c r="BN50" i="25"/>
  <c r="BO50" i="25"/>
  <c r="D51" i="25"/>
  <c r="F51" i="25"/>
  <c r="G51" i="25"/>
  <c r="H51" i="25"/>
  <c r="I51" i="25"/>
  <c r="K51" i="25"/>
  <c r="L51" i="25"/>
  <c r="N51" i="25"/>
  <c r="O51" i="25"/>
  <c r="P51" i="25"/>
  <c r="Q51" i="25"/>
  <c r="S51" i="25"/>
  <c r="T51" i="25"/>
  <c r="V51" i="25"/>
  <c r="X51" i="25"/>
  <c r="Y51" i="25"/>
  <c r="Z51" i="25"/>
  <c r="AA51" i="25"/>
  <c r="AB51" i="25"/>
  <c r="AC51" i="25"/>
  <c r="AF51" i="25"/>
  <c r="AG51" i="25"/>
  <c r="AH51" i="25"/>
  <c r="AI51" i="25"/>
  <c r="AJ51" i="25"/>
  <c r="AL51" i="25"/>
  <c r="AM51" i="25"/>
  <c r="AN51" i="25"/>
  <c r="AO51" i="25"/>
  <c r="AP51" i="25"/>
  <c r="AQ51" i="25"/>
  <c r="AR51" i="25"/>
  <c r="AS51" i="25"/>
  <c r="AT51" i="25"/>
  <c r="AU51" i="25"/>
  <c r="AV51" i="25"/>
  <c r="AW51" i="25"/>
  <c r="AX51" i="25"/>
  <c r="AY51" i="25"/>
  <c r="BB51" i="25"/>
  <c r="BC51" i="25"/>
  <c r="BD51" i="25"/>
  <c r="BE51" i="25"/>
  <c r="BF51" i="25"/>
  <c r="BG51" i="25"/>
  <c r="BH51" i="25"/>
  <c r="BI51" i="25"/>
  <c r="BJ51" i="25"/>
  <c r="BK51" i="25"/>
  <c r="BL51" i="25"/>
  <c r="BM51" i="25"/>
  <c r="BN51" i="25"/>
  <c r="BO51" i="25"/>
  <c r="D52" i="25"/>
  <c r="F52" i="25"/>
  <c r="G52" i="25"/>
  <c r="H52" i="25"/>
  <c r="I52" i="25"/>
  <c r="K52" i="25"/>
  <c r="L52" i="25"/>
  <c r="N52" i="25"/>
  <c r="O52" i="25"/>
  <c r="P52" i="25"/>
  <c r="Q52" i="25"/>
  <c r="S52" i="25"/>
  <c r="T52" i="25"/>
  <c r="V52" i="25"/>
  <c r="X52" i="25"/>
  <c r="Y52" i="25"/>
  <c r="Z52" i="25"/>
  <c r="AA52" i="25"/>
  <c r="AB52" i="25"/>
  <c r="AC52" i="25"/>
  <c r="AF52" i="25"/>
  <c r="AG52" i="25"/>
  <c r="AH52" i="25"/>
  <c r="AI52" i="25"/>
  <c r="AJ52" i="25"/>
  <c r="AL52" i="25"/>
  <c r="AM52" i="25"/>
  <c r="AN52" i="25"/>
  <c r="AO52" i="25"/>
  <c r="AP52" i="25"/>
  <c r="AQ52" i="25"/>
  <c r="AR52" i="25"/>
  <c r="AS52" i="25"/>
  <c r="AT52" i="25"/>
  <c r="AU52" i="25"/>
  <c r="AV52" i="25"/>
  <c r="AW52" i="25"/>
  <c r="AX52" i="25"/>
  <c r="AY52" i="25"/>
  <c r="BB52" i="25"/>
  <c r="BC52" i="25"/>
  <c r="BD52" i="25"/>
  <c r="BE52" i="25"/>
  <c r="BF52" i="25"/>
  <c r="BG52" i="25"/>
  <c r="BH52" i="25"/>
  <c r="BI52" i="25"/>
  <c r="BJ52" i="25"/>
  <c r="BK52" i="25"/>
  <c r="BL52" i="25"/>
  <c r="BM52" i="25"/>
  <c r="BN52" i="25"/>
  <c r="BO52" i="25"/>
  <c r="D53" i="25"/>
  <c r="F53" i="25"/>
  <c r="G53" i="25"/>
  <c r="H53" i="25"/>
  <c r="I53" i="25"/>
  <c r="K53" i="25"/>
  <c r="L53" i="25"/>
  <c r="N53" i="25"/>
  <c r="O53" i="25"/>
  <c r="P53" i="25"/>
  <c r="Q53" i="25"/>
  <c r="S53" i="25"/>
  <c r="T53" i="25"/>
  <c r="V53" i="25"/>
  <c r="X53" i="25"/>
  <c r="Y53" i="25"/>
  <c r="Z53" i="25"/>
  <c r="AA53" i="25"/>
  <c r="AB53" i="25"/>
  <c r="AC53" i="25"/>
  <c r="AF53" i="25"/>
  <c r="AG53" i="25"/>
  <c r="AH53" i="25"/>
  <c r="AI53" i="25"/>
  <c r="AJ53" i="25"/>
  <c r="AL53" i="25"/>
  <c r="AM53" i="25"/>
  <c r="AN53" i="25"/>
  <c r="AO53" i="25"/>
  <c r="AP53" i="25"/>
  <c r="AQ53" i="25"/>
  <c r="AR53" i="25"/>
  <c r="AS53" i="25"/>
  <c r="AT53" i="25"/>
  <c r="AU53" i="25"/>
  <c r="AV53" i="25"/>
  <c r="AW53" i="25"/>
  <c r="AX53" i="25"/>
  <c r="AY53" i="25"/>
  <c r="BB53" i="25"/>
  <c r="BC53" i="25"/>
  <c r="BD53" i="25"/>
  <c r="BE53" i="25"/>
  <c r="BF53" i="25"/>
  <c r="BG53" i="25"/>
  <c r="BH53" i="25"/>
  <c r="BI53" i="25"/>
  <c r="BJ53" i="25"/>
  <c r="BK53" i="25"/>
  <c r="BL53" i="25"/>
  <c r="BM53" i="25"/>
  <c r="BN53" i="25"/>
  <c r="BO53" i="25"/>
  <c r="D54" i="25"/>
  <c r="F54" i="25"/>
  <c r="G54" i="25"/>
  <c r="H54" i="25"/>
  <c r="I54" i="25"/>
  <c r="K54" i="25"/>
  <c r="L54" i="25"/>
  <c r="N54" i="25"/>
  <c r="O54" i="25"/>
  <c r="P54" i="25"/>
  <c r="Q54" i="25"/>
  <c r="S54" i="25"/>
  <c r="T54" i="25"/>
  <c r="V54" i="25"/>
  <c r="X54" i="25"/>
  <c r="Y54" i="25"/>
  <c r="Z54" i="25"/>
  <c r="AA54" i="25"/>
  <c r="AB54" i="25"/>
  <c r="AC54" i="25"/>
  <c r="AF54" i="25"/>
  <c r="AG54" i="25"/>
  <c r="AH54" i="25"/>
  <c r="AI54" i="25"/>
  <c r="AJ54" i="25"/>
  <c r="AL54" i="25"/>
  <c r="AM54" i="25"/>
  <c r="AN54" i="25"/>
  <c r="AO54" i="25"/>
  <c r="AP54" i="25"/>
  <c r="AQ54" i="25"/>
  <c r="AR54" i="25"/>
  <c r="AS54" i="25"/>
  <c r="AT54" i="25"/>
  <c r="AU54" i="25"/>
  <c r="AV54" i="25"/>
  <c r="AW54" i="25"/>
  <c r="AX54" i="25"/>
  <c r="AY54" i="25"/>
  <c r="BB54" i="25"/>
  <c r="BC54" i="25"/>
  <c r="BD54" i="25"/>
  <c r="BE54" i="25"/>
  <c r="BF54" i="25"/>
  <c r="BG54" i="25"/>
  <c r="BH54" i="25"/>
  <c r="BI54" i="25"/>
  <c r="BJ54" i="25"/>
  <c r="BK54" i="25"/>
  <c r="BL54" i="25"/>
  <c r="BM54" i="25"/>
  <c r="BN54" i="25"/>
  <c r="BO54" i="25"/>
  <c r="D55" i="25"/>
  <c r="F55" i="25"/>
  <c r="G55" i="25"/>
  <c r="H55" i="25"/>
  <c r="I55" i="25"/>
  <c r="K55" i="25"/>
  <c r="L55" i="25"/>
  <c r="N55" i="25"/>
  <c r="O55" i="25"/>
  <c r="P55" i="25"/>
  <c r="Q55" i="25"/>
  <c r="S55" i="25"/>
  <c r="T55" i="25"/>
  <c r="V55" i="25"/>
  <c r="X55" i="25"/>
  <c r="Y55" i="25"/>
  <c r="Z55" i="25"/>
  <c r="AA55" i="25"/>
  <c r="AB55" i="25"/>
  <c r="AC55" i="25"/>
  <c r="AF55" i="25"/>
  <c r="AG55" i="25"/>
  <c r="AH55" i="25"/>
  <c r="AI55" i="25"/>
  <c r="AJ55" i="25"/>
  <c r="AL55" i="25"/>
  <c r="AM55" i="25"/>
  <c r="AN55" i="25"/>
  <c r="AO55" i="25"/>
  <c r="AP55" i="25"/>
  <c r="AQ55" i="25"/>
  <c r="AR55" i="25"/>
  <c r="AS55" i="25"/>
  <c r="AT55" i="25"/>
  <c r="AU55" i="25"/>
  <c r="AV55" i="25"/>
  <c r="AW55" i="25"/>
  <c r="AX55" i="25"/>
  <c r="AY55" i="25"/>
  <c r="BB55" i="25"/>
  <c r="BC55" i="25"/>
  <c r="BD55" i="25"/>
  <c r="BE55" i="25"/>
  <c r="BF55" i="25"/>
  <c r="BG55" i="25"/>
  <c r="BH55" i="25"/>
  <c r="BI55" i="25"/>
  <c r="BJ55" i="25"/>
  <c r="BK55" i="25"/>
  <c r="BL55" i="25"/>
  <c r="BM55" i="25"/>
  <c r="BN55" i="25"/>
  <c r="BO55" i="25"/>
  <c r="D56" i="25"/>
  <c r="F56" i="25"/>
  <c r="G56" i="25"/>
  <c r="H56" i="25"/>
  <c r="I56" i="25"/>
  <c r="K56" i="25"/>
  <c r="L56" i="25"/>
  <c r="N56" i="25"/>
  <c r="O56" i="25"/>
  <c r="P56" i="25"/>
  <c r="Q56" i="25"/>
  <c r="S56" i="25"/>
  <c r="T56" i="25"/>
  <c r="V56" i="25"/>
  <c r="X56" i="25"/>
  <c r="Y56" i="25"/>
  <c r="Z56" i="25"/>
  <c r="AA56" i="25"/>
  <c r="AB56" i="25"/>
  <c r="AC56" i="25"/>
  <c r="AF56" i="25"/>
  <c r="AG56" i="25"/>
  <c r="AH56" i="25"/>
  <c r="AI56" i="25"/>
  <c r="AJ56" i="25"/>
  <c r="AL56" i="25"/>
  <c r="AM56" i="25"/>
  <c r="AN56" i="25"/>
  <c r="AO56" i="25"/>
  <c r="AP56" i="25"/>
  <c r="AQ56" i="25"/>
  <c r="AR56" i="25"/>
  <c r="AS56" i="25"/>
  <c r="AT56" i="25"/>
  <c r="AU56" i="25"/>
  <c r="AV56" i="25"/>
  <c r="AW56" i="25"/>
  <c r="AX56" i="25"/>
  <c r="AY56" i="25"/>
  <c r="BB56" i="25"/>
  <c r="BC56" i="25"/>
  <c r="BD56" i="25"/>
  <c r="BE56" i="25"/>
  <c r="BF56" i="25"/>
  <c r="BG56" i="25"/>
  <c r="BH56" i="25"/>
  <c r="BI56" i="25"/>
  <c r="BJ56" i="25"/>
  <c r="BK56" i="25"/>
  <c r="BL56" i="25"/>
  <c r="BM56" i="25"/>
  <c r="BN56" i="25"/>
  <c r="BO56" i="25"/>
  <c r="D57" i="25"/>
  <c r="F57" i="25"/>
  <c r="G57" i="25"/>
  <c r="H57" i="25"/>
  <c r="I57" i="25"/>
  <c r="K57" i="25"/>
  <c r="L57" i="25"/>
  <c r="N57" i="25"/>
  <c r="O57" i="25"/>
  <c r="P57" i="25"/>
  <c r="Q57" i="25"/>
  <c r="S57" i="25"/>
  <c r="T57" i="25"/>
  <c r="V57" i="25"/>
  <c r="X57" i="25"/>
  <c r="Y57" i="25"/>
  <c r="Z57" i="25"/>
  <c r="AA57" i="25"/>
  <c r="AB57" i="25"/>
  <c r="AC57" i="25"/>
  <c r="AF57" i="25"/>
  <c r="AG57" i="25"/>
  <c r="AH57" i="25"/>
  <c r="AI57" i="25"/>
  <c r="AJ57" i="25"/>
  <c r="AL57" i="25"/>
  <c r="AM57" i="25"/>
  <c r="AN57" i="25"/>
  <c r="AO57" i="25"/>
  <c r="AP57" i="25"/>
  <c r="AQ57" i="25"/>
  <c r="AR57" i="25"/>
  <c r="AS57" i="25"/>
  <c r="AT57" i="25"/>
  <c r="AU57" i="25"/>
  <c r="AV57" i="25"/>
  <c r="AW57" i="25"/>
  <c r="AX57" i="25"/>
  <c r="AY57" i="25"/>
  <c r="BB57" i="25"/>
  <c r="BC57" i="25"/>
  <c r="BD57" i="25"/>
  <c r="BE57" i="25"/>
  <c r="BF57" i="25"/>
  <c r="BG57" i="25"/>
  <c r="BH57" i="25"/>
  <c r="BI57" i="25"/>
  <c r="BJ57" i="25"/>
  <c r="BK57" i="25"/>
  <c r="BL57" i="25"/>
  <c r="BM57" i="25"/>
  <c r="BN57" i="25"/>
  <c r="BO57" i="25"/>
  <c r="D58" i="25"/>
  <c r="F58" i="25"/>
  <c r="G58" i="25"/>
  <c r="H58" i="25"/>
  <c r="I58" i="25"/>
  <c r="K58" i="25"/>
  <c r="L58" i="25"/>
  <c r="N58" i="25"/>
  <c r="O58" i="25"/>
  <c r="P58" i="25"/>
  <c r="Q58" i="25"/>
  <c r="S58" i="25"/>
  <c r="T58" i="25"/>
  <c r="V58" i="25"/>
  <c r="X58" i="25"/>
  <c r="Y58" i="25"/>
  <c r="Z58" i="25"/>
  <c r="AA58" i="25"/>
  <c r="AB58" i="25"/>
  <c r="AC58" i="25"/>
  <c r="AF58" i="25"/>
  <c r="AG58" i="25"/>
  <c r="AH58" i="25"/>
  <c r="AI58" i="25"/>
  <c r="AJ58" i="25"/>
  <c r="AL58" i="25"/>
  <c r="AM58" i="25"/>
  <c r="AN58" i="25"/>
  <c r="AO58" i="25"/>
  <c r="AP58" i="25"/>
  <c r="AQ58" i="25"/>
  <c r="AR58" i="25"/>
  <c r="AS58" i="25"/>
  <c r="AT58" i="25"/>
  <c r="AU58" i="25"/>
  <c r="AV58" i="25"/>
  <c r="AW58" i="25"/>
  <c r="AX58" i="25"/>
  <c r="AY58" i="25"/>
  <c r="BB58" i="25"/>
  <c r="BC58" i="25"/>
  <c r="BD58" i="25"/>
  <c r="BE58" i="25"/>
  <c r="BF58" i="25"/>
  <c r="BG58" i="25"/>
  <c r="BH58" i="25"/>
  <c r="BI58" i="25"/>
  <c r="BJ58" i="25"/>
  <c r="BK58" i="25"/>
  <c r="BL58" i="25"/>
  <c r="BM58" i="25"/>
  <c r="BN58" i="25"/>
  <c r="BO58" i="25"/>
  <c r="D59" i="25"/>
  <c r="F59" i="25"/>
  <c r="G59" i="25"/>
  <c r="H59" i="25"/>
  <c r="I59" i="25"/>
  <c r="K59" i="25"/>
  <c r="L59" i="25"/>
  <c r="N59" i="25"/>
  <c r="O59" i="25"/>
  <c r="P59" i="25"/>
  <c r="Q59" i="25"/>
  <c r="S59" i="25"/>
  <c r="T59" i="25"/>
  <c r="V59" i="25"/>
  <c r="X59" i="25"/>
  <c r="Y59" i="25"/>
  <c r="Z59" i="25"/>
  <c r="AA59" i="25"/>
  <c r="AB59" i="25"/>
  <c r="AC59" i="25"/>
  <c r="AF59" i="25"/>
  <c r="AG59" i="25"/>
  <c r="AH59" i="25"/>
  <c r="AI59" i="25"/>
  <c r="AJ59" i="25"/>
  <c r="AL59" i="25"/>
  <c r="AM59" i="25"/>
  <c r="AN59" i="25"/>
  <c r="AO59" i="25"/>
  <c r="AP59" i="25"/>
  <c r="AQ59" i="25"/>
  <c r="AR59" i="25"/>
  <c r="AS59" i="25"/>
  <c r="AT59" i="25"/>
  <c r="AU59" i="25"/>
  <c r="AV59" i="25"/>
  <c r="AW59" i="25"/>
  <c r="AX59" i="25"/>
  <c r="AY59" i="25"/>
  <c r="BB59" i="25"/>
  <c r="BC59" i="25"/>
  <c r="BD59" i="25"/>
  <c r="BE59" i="25"/>
  <c r="BF59" i="25"/>
  <c r="BG59" i="25"/>
  <c r="BH59" i="25"/>
  <c r="BI59" i="25"/>
  <c r="BJ59" i="25"/>
  <c r="BK59" i="25"/>
  <c r="BL59" i="25"/>
  <c r="BM59" i="25"/>
  <c r="BN59" i="25"/>
  <c r="BO59" i="25"/>
  <c r="D60" i="25"/>
  <c r="F60" i="25"/>
  <c r="G60" i="25"/>
  <c r="H60" i="25"/>
  <c r="I60" i="25"/>
  <c r="K60" i="25"/>
  <c r="L60" i="25"/>
  <c r="N60" i="25"/>
  <c r="O60" i="25"/>
  <c r="P60" i="25"/>
  <c r="Q60" i="25"/>
  <c r="S60" i="25"/>
  <c r="T60" i="25"/>
  <c r="V60" i="25"/>
  <c r="X60" i="25"/>
  <c r="Y60" i="25"/>
  <c r="Z60" i="25"/>
  <c r="AA60" i="25"/>
  <c r="AB60" i="25"/>
  <c r="AC60" i="25"/>
  <c r="AF60" i="25"/>
  <c r="AG60" i="25"/>
  <c r="AH60" i="25"/>
  <c r="AI60" i="25"/>
  <c r="AJ60" i="25"/>
  <c r="AL60" i="25"/>
  <c r="AM60" i="25"/>
  <c r="AN60" i="25"/>
  <c r="AO60" i="25"/>
  <c r="AP60" i="25"/>
  <c r="AQ60" i="25"/>
  <c r="AR60" i="25"/>
  <c r="AS60" i="25"/>
  <c r="AT60" i="25"/>
  <c r="AU60" i="25"/>
  <c r="AV60" i="25"/>
  <c r="AW60" i="25"/>
  <c r="AX60" i="25"/>
  <c r="AY60" i="25"/>
  <c r="BB60" i="25"/>
  <c r="BC60" i="25"/>
  <c r="BD60" i="25"/>
  <c r="BE60" i="25"/>
  <c r="BF60" i="25"/>
  <c r="BG60" i="25"/>
  <c r="BH60" i="25"/>
  <c r="BI60" i="25"/>
  <c r="BJ60" i="25"/>
  <c r="BK60" i="25"/>
  <c r="BL60" i="25"/>
  <c r="BM60" i="25"/>
  <c r="BN60" i="25"/>
  <c r="BO60" i="25"/>
  <c r="D61" i="25"/>
  <c r="F61" i="25"/>
  <c r="G61" i="25"/>
  <c r="H61" i="25"/>
  <c r="I61" i="25"/>
  <c r="K61" i="25"/>
  <c r="L61" i="25"/>
  <c r="N61" i="25"/>
  <c r="O61" i="25"/>
  <c r="P61" i="25"/>
  <c r="Q61" i="25"/>
  <c r="S61" i="25"/>
  <c r="T61" i="25"/>
  <c r="V61" i="25"/>
  <c r="X61" i="25"/>
  <c r="Y61" i="25"/>
  <c r="Z61" i="25"/>
  <c r="AA61" i="25"/>
  <c r="AB61" i="25"/>
  <c r="AC61" i="25"/>
  <c r="AF61" i="25"/>
  <c r="AG61" i="25"/>
  <c r="AH61" i="25"/>
  <c r="AI61" i="25"/>
  <c r="AJ61" i="25"/>
  <c r="AL61" i="25"/>
  <c r="AM61" i="25"/>
  <c r="AN61" i="25"/>
  <c r="AO61" i="25"/>
  <c r="AP61" i="25"/>
  <c r="AQ61" i="25"/>
  <c r="AR61" i="25"/>
  <c r="AS61" i="25"/>
  <c r="AT61" i="25"/>
  <c r="AU61" i="25"/>
  <c r="AV61" i="25"/>
  <c r="AW61" i="25"/>
  <c r="AX61" i="25"/>
  <c r="AY61" i="25"/>
  <c r="BB61" i="25"/>
  <c r="BC61" i="25"/>
  <c r="BD61" i="25"/>
  <c r="BE61" i="25"/>
  <c r="BF61" i="25"/>
  <c r="BG61" i="25"/>
  <c r="BH61" i="25"/>
  <c r="BI61" i="25"/>
  <c r="BJ61" i="25"/>
  <c r="BK61" i="25"/>
  <c r="BL61" i="25"/>
  <c r="BM61" i="25"/>
  <c r="BN61" i="25"/>
  <c r="BO61" i="25"/>
  <c r="D62" i="25"/>
  <c r="F62" i="25"/>
  <c r="G62" i="25"/>
  <c r="H62" i="25"/>
  <c r="I62" i="25"/>
  <c r="K62" i="25"/>
  <c r="L62" i="25"/>
  <c r="N62" i="25"/>
  <c r="O62" i="25"/>
  <c r="P62" i="25"/>
  <c r="Q62" i="25"/>
  <c r="S62" i="25"/>
  <c r="T62" i="25"/>
  <c r="V62" i="25"/>
  <c r="X62" i="25"/>
  <c r="Y62" i="25"/>
  <c r="Z62" i="25"/>
  <c r="AA62" i="25"/>
  <c r="AB62" i="25"/>
  <c r="AC62" i="25"/>
  <c r="AF62" i="25"/>
  <c r="AG62" i="25"/>
  <c r="AH62" i="25"/>
  <c r="AI62" i="25"/>
  <c r="AJ62" i="25"/>
  <c r="AL62" i="25"/>
  <c r="AM62" i="25"/>
  <c r="AN62" i="25"/>
  <c r="AO62" i="25"/>
  <c r="AP62" i="25"/>
  <c r="AQ62" i="25"/>
  <c r="AR62" i="25"/>
  <c r="AS62" i="25"/>
  <c r="AT62" i="25"/>
  <c r="AU62" i="25"/>
  <c r="AV62" i="25"/>
  <c r="AW62" i="25"/>
  <c r="AX62" i="25"/>
  <c r="AY62" i="25"/>
  <c r="BB62" i="25"/>
  <c r="BC62" i="25"/>
  <c r="BD62" i="25"/>
  <c r="BE62" i="25"/>
  <c r="BF62" i="25"/>
  <c r="BG62" i="25"/>
  <c r="BH62" i="25"/>
  <c r="BI62" i="25"/>
  <c r="BJ62" i="25"/>
  <c r="BK62" i="25"/>
  <c r="BL62" i="25"/>
  <c r="BM62" i="25"/>
  <c r="BN62" i="25"/>
  <c r="BO62" i="25"/>
  <c r="D63" i="25"/>
  <c r="F63" i="25"/>
  <c r="G63" i="25"/>
  <c r="H63" i="25"/>
  <c r="I63" i="25"/>
  <c r="K63" i="25"/>
  <c r="L63" i="25"/>
  <c r="N63" i="25"/>
  <c r="O63" i="25"/>
  <c r="P63" i="25"/>
  <c r="Q63" i="25"/>
  <c r="S63" i="25"/>
  <c r="T63" i="25"/>
  <c r="V63" i="25"/>
  <c r="X63" i="25"/>
  <c r="Y63" i="25"/>
  <c r="Z63" i="25"/>
  <c r="AA63" i="25"/>
  <c r="AB63" i="25"/>
  <c r="AC63" i="25"/>
  <c r="AF63" i="25"/>
  <c r="AG63" i="25"/>
  <c r="AH63" i="25"/>
  <c r="AI63" i="25"/>
  <c r="AJ63" i="25"/>
  <c r="AL63" i="25"/>
  <c r="AM63" i="25"/>
  <c r="AN63" i="25"/>
  <c r="AO63" i="25"/>
  <c r="AP63" i="25"/>
  <c r="AQ63" i="25"/>
  <c r="AR63" i="25"/>
  <c r="AS63" i="25"/>
  <c r="AT63" i="25"/>
  <c r="AU63" i="25"/>
  <c r="AV63" i="25"/>
  <c r="AW63" i="25"/>
  <c r="AX63" i="25"/>
  <c r="AY63" i="25"/>
  <c r="BB63" i="25"/>
  <c r="BC63" i="25"/>
  <c r="BD63" i="25"/>
  <c r="BE63" i="25"/>
  <c r="BF63" i="25"/>
  <c r="BG63" i="25"/>
  <c r="BH63" i="25"/>
  <c r="BI63" i="25"/>
  <c r="BJ63" i="25"/>
  <c r="BK63" i="25"/>
  <c r="BL63" i="25"/>
  <c r="BM63" i="25"/>
  <c r="BN63" i="25"/>
  <c r="BO63" i="25"/>
  <c r="D64" i="25"/>
  <c r="F64" i="25"/>
  <c r="G64" i="25"/>
  <c r="H64" i="25"/>
  <c r="I64" i="25"/>
  <c r="K64" i="25"/>
  <c r="L64" i="25"/>
  <c r="N64" i="25"/>
  <c r="O64" i="25"/>
  <c r="P64" i="25"/>
  <c r="Q64" i="25"/>
  <c r="S64" i="25"/>
  <c r="T64" i="25"/>
  <c r="V64" i="25"/>
  <c r="X64" i="25"/>
  <c r="Y64" i="25"/>
  <c r="Z64" i="25"/>
  <c r="AA64" i="25"/>
  <c r="AB64" i="25"/>
  <c r="AC64" i="25"/>
  <c r="AF64" i="25"/>
  <c r="AG64" i="25"/>
  <c r="AH64" i="25"/>
  <c r="AI64" i="25"/>
  <c r="AJ64" i="25"/>
  <c r="AL64" i="25"/>
  <c r="AM64" i="25"/>
  <c r="AN64" i="25"/>
  <c r="AO64" i="25"/>
  <c r="AP64" i="25"/>
  <c r="AQ64" i="25"/>
  <c r="AR64" i="25"/>
  <c r="AS64" i="25"/>
  <c r="AT64" i="25"/>
  <c r="AU64" i="25"/>
  <c r="AV64" i="25"/>
  <c r="AW64" i="25"/>
  <c r="AX64" i="25"/>
  <c r="AY64" i="25"/>
  <c r="BB64" i="25"/>
  <c r="BC64" i="25"/>
  <c r="BD64" i="25"/>
  <c r="BE64" i="25"/>
  <c r="BF64" i="25"/>
  <c r="BG64" i="25"/>
  <c r="BH64" i="25"/>
  <c r="BI64" i="25"/>
  <c r="BJ64" i="25"/>
  <c r="BK64" i="25"/>
  <c r="BL64" i="25"/>
  <c r="BM64" i="25"/>
  <c r="BN64" i="25"/>
  <c r="BO64" i="25"/>
  <c r="D65" i="25"/>
  <c r="F65" i="25"/>
  <c r="G65" i="25"/>
  <c r="H65" i="25"/>
  <c r="I65" i="25"/>
  <c r="K65" i="25"/>
  <c r="L65" i="25"/>
  <c r="N65" i="25"/>
  <c r="O65" i="25"/>
  <c r="P65" i="25"/>
  <c r="Q65" i="25"/>
  <c r="S65" i="25"/>
  <c r="T65" i="25"/>
  <c r="V65" i="25"/>
  <c r="X65" i="25"/>
  <c r="Y65" i="25"/>
  <c r="Z65" i="25"/>
  <c r="AA65" i="25"/>
  <c r="AB65" i="25"/>
  <c r="AC65" i="25"/>
  <c r="AF65" i="25"/>
  <c r="AG65" i="25"/>
  <c r="AH65" i="25"/>
  <c r="AI65" i="25"/>
  <c r="AJ65" i="25"/>
  <c r="AL65" i="25"/>
  <c r="AM65" i="25"/>
  <c r="AN65" i="25"/>
  <c r="AO65" i="25"/>
  <c r="AP65" i="25"/>
  <c r="AQ65" i="25"/>
  <c r="AR65" i="25"/>
  <c r="AS65" i="25"/>
  <c r="AT65" i="25"/>
  <c r="AU65" i="25"/>
  <c r="AV65" i="25"/>
  <c r="AW65" i="25"/>
  <c r="AX65" i="25"/>
  <c r="AY65" i="25"/>
  <c r="BB65" i="25"/>
  <c r="BC65" i="25"/>
  <c r="BD65" i="25"/>
  <c r="BE65" i="25"/>
  <c r="BF65" i="25"/>
  <c r="BG65" i="25"/>
  <c r="BH65" i="25"/>
  <c r="BI65" i="25"/>
  <c r="BJ65" i="25"/>
  <c r="BK65" i="25"/>
  <c r="BL65" i="25"/>
  <c r="BM65" i="25"/>
  <c r="BN65" i="25"/>
  <c r="BO65" i="25"/>
  <c r="D66" i="25"/>
  <c r="F66" i="25"/>
  <c r="G66" i="25"/>
  <c r="H66" i="25"/>
  <c r="I66" i="25"/>
  <c r="K66" i="25"/>
  <c r="L66" i="25"/>
  <c r="N66" i="25"/>
  <c r="O66" i="25"/>
  <c r="P66" i="25"/>
  <c r="Q66" i="25"/>
  <c r="S66" i="25"/>
  <c r="T66" i="25"/>
  <c r="V66" i="25"/>
  <c r="X66" i="25"/>
  <c r="Y66" i="25"/>
  <c r="Z66" i="25"/>
  <c r="AA66" i="25"/>
  <c r="AB66" i="25"/>
  <c r="AC66" i="25"/>
  <c r="AF66" i="25"/>
  <c r="AG66" i="25"/>
  <c r="AH66" i="25"/>
  <c r="AI66" i="25"/>
  <c r="AJ66" i="25"/>
  <c r="AL66" i="25"/>
  <c r="AM66" i="25"/>
  <c r="AN66" i="25"/>
  <c r="AO66" i="25"/>
  <c r="AP66" i="25"/>
  <c r="AQ66" i="25"/>
  <c r="AR66" i="25"/>
  <c r="AS66" i="25"/>
  <c r="AT66" i="25"/>
  <c r="AU66" i="25"/>
  <c r="AV66" i="25"/>
  <c r="AW66" i="25"/>
  <c r="AX66" i="25"/>
  <c r="AY66" i="25"/>
  <c r="BB66" i="25"/>
  <c r="BC66" i="25"/>
  <c r="BD66" i="25"/>
  <c r="BE66" i="25"/>
  <c r="BF66" i="25"/>
  <c r="BG66" i="25"/>
  <c r="BH66" i="25"/>
  <c r="BI66" i="25"/>
  <c r="BJ66" i="25"/>
  <c r="BK66" i="25"/>
  <c r="BL66" i="25"/>
  <c r="BM66" i="25"/>
  <c r="BN66" i="25"/>
  <c r="BO66" i="25"/>
  <c r="D67" i="25"/>
  <c r="F67" i="25"/>
  <c r="G67" i="25"/>
  <c r="H67" i="25"/>
  <c r="I67" i="25"/>
  <c r="K67" i="25"/>
  <c r="L67" i="25"/>
  <c r="N67" i="25"/>
  <c r="O67" i="25"/>
  <c r="P67" i="25"/>
  <c r="Q67" i="25"/>
  <c r="S67" i="25"/>
  <c r="T67" i="25"/>
  <c r="V67" i="25"/>
  <c r="X67" i="25"/>
  <c r="Y67" i="25"/>
  <c r="Z67" i="25"/>
  <c r="AA67" i="25"/>
  <c r="AB67" i="25"/>
  <c r="AC67" i="25"/>
  <c r="AF67" i="25"/>
  <c r="AG67" i="25"/>
  <c r="AH67" i="25"/>
  <c r="AI67" i="25"/>
  <c r="AJ67" i="25"/>
  <c r="AL67" i="25"/>
  <c r="AM67" i="25"/>
  <c r="AN67" i="25"/>
  <c r="AO67" i="25"/>
  <c r="AP67" i="25"/>
  <c r="AQ67" i="25"/>
  <c r="AR67" i="25"/>
  <c r="AS67" i="25"/>
  <c r="AT67" i="25"/>
  <c r="AU67" i="25"/>
  <c r="AV67" i="25"/>
  <c r="AW67" i="25"/>
  <c r="AX67" i="25"/>
  <c r="AY67" i="25"/>
  <c r="BB67" i="25"/>
  <c r="BC67" i="25"/>
  <c r="BD67" i="25"/>
  <c r="BE67" i="25"/>
  <c r="BF67" i="25"/>
  <c r="BG67" i="25"/>
  <c r="BH67" i="25"/>
  <c r="BI67" i="25"/>
  <c r="BJ67" i="25"/>
  <c r="BK67" i="25"/>
  <c r="BL67" i="25"/>
  <c r="BM67" i="25"/>
  <c r="BN67" i="25"/>
  <c r="BO67" i="25"/>
  <c r="D68" i="25"/>
  <c r="F68" i="25"/>
  <c r="G68" i="25"/>
  <c r="H68" i="25"/>
  <c r="I68" i="25"/>
  <c r="K68" i="25"/>
  <c r="L68" i="25"/>
  <c r="N68" i="25"/>
  <c r="O68" i="25"/>
  <c r="P68" i="25"/>
  <c r="Q68" i="25"/>
  <c r="S68" i="25"/>
  <c r="T68" i="25"/>
  <c r="V68" i="25"/>
  <c r="X68" i="25"/>
  <c r="Y68" i="25"/>
  <c r="Z68" i="25"/>
  <c r="AA68" i="25"/>
  <c r="AB68" i="25"/>
  <c r="AC68" i="25"/>
  <c r="AF68" i="25"/>
  <c r="AG68" i="25"/>
  <c r="AH68" i="25"/>
  <c r="AI68" i="25"/>
  <c r="AJ68" i="25"/>
  <c r="AL68" i="25"/>
  <c r="AM68" i="25"/>
  <c r="AN68" i="25"/>
  <c r="AO68" i="25"/>
  <c r="AP68" i="25"/>
  <c r="AQ68" i="25"/>
  <c r="AR68" i="25"/>
  <c r="AS68" i="25"/>
  <c r="AT68" i="25"/>
  <c r="AU68" i="25"/>
  <c r="AV68" i="25"/>
  <c r="AW68" i="25"/>
  <c r="AX68" i="25"/>
  <c r="AY68" i="25"/>
  <c r="BB68" i="25"/>
  <c r="BC68" i="25"/>
  <c r="BD68" i="25"/>
  <c r="BE68" i="25"/>
  <c r="BF68" i="25"/>
  <c r="BG68" i="25"/>
  <c r="BH68" i="25"/>
  <c r="BI68" i="25"/>
  <c r="BJ68" i="25"/>
  <c r="BK68" i="25"/>
  <c r="BL68" i="25"/>
  <c r="BM68" i="25"/>
  <c r="BN68" i="25"/>
  <c r="BO68" i="25"/>
  <c r="D69" i="25"/>
  <c r="F69" i="25"/>
  <c r="G69" i="25"/>
  <c r="H69" i="25"/>
  <c r="I69" i="25"/>
  <c r="K69" i="25"/>
  <c r="L69" i="25"/>
  <c r="N69" i="25"/>
  <c r="O69" i="25"/>
  <c r="P69" i="25"/>
  <c r="Q69" i="25"/>
  <c r="S69" i="25"/>
  <c r="T69" i="25"/>
  <c r="V69" i="25"/>
  <c r="X69" i="25"/>
  <c r="Y69" i="25"/>
  <c r="Z69" i="25"/>
  <c r="AA69" i="25"/>
  <c r="AB69" i="25"/>
  <c r="AC69" i="25"/>
  <c r="AF69" i="25"/>
  <c r="AG69" i="25"/>
  <c r="AH69" i="25"/>
  <c r="AI69" i="25"/>
  <c r="AJ69" i="25"/>
  <c r="AL69" i="25"/>
  <c r="AM69" i="25"/>
  <c r="AN69" i="25"/>
  <c r="AO69" i="25"/>
  <c r="AP69" i="25"/>
  <c r="AQ69" i="25"/>
  <c r="AR69" i="25"/>
  <c r="AS69" i="25"/>
  <c r="AT69" i="25"/>
  <c r="AU69" i="25"/>
  <c r="AV69" i="25"/>
  <c r="AW69" i="25"/>
  <c r="AX69" i="25"/>
  <c r="AY69" i="25"/>
  <c r="BB69" i="25"/>
  <c r="BC69" i="25"/>
  <c r="BD69" i="25"/>
  <c r="BE69" i="25"/>
  <c r="BF69" i="25"/>
  <c r="BG69" i="25"/>
  <c r="BH69" i="25"/>
  <c r="BI69" i="25"/>
  <c r="BJ69" i="25"/>
  <c r="BK69" i="25"/>
  <c r="BL69" i="25"/>
  <c r="BM69" i="25"/>
  <c r="BN69" i="25"/>
  <c r="BO69" i="25"/>
  <c r="D70" i="25"/>
  <c r="F70" i="25"/>
  <c r="G70" i="25"/>
  <c r="H70" i="25"/>
  <c r="I70" i="25"/>
  <c r="K70" i="25"/>
  <c r="L70" i="25"/>
  <c r="N70" i="25"/>
  <c r="O70" i="25"/>
  <c r="P70" i="25"/>
  <c r="Q70" i="25"/>
  <c r="S70" i="25"/>
  <c r="T70" i="25"/>
  <c r="V70" i="25"/>
  <c r="X70" i="25"/>
  <c r="Y70" i="25"/>
  <c r="Z70" i="25"/>
  <c r="AA70" i="25"/>
  <c r="AB70" i="25"/>
  <c r="AC70" i="25"/>
  <c r="AF70" i="25"/>
  <c r="AG70" i="25"/>
  <c r="AH70" i="25"/>
  <c r="AI70" i="25"/>
  <c r="AJ70" i="25"/>
  <c r="AL70" i="25"/>
  <c r="AM70" i="25"/>
  <c r="AN70" i="25"/>
  <c r="AO70" i="25"/>
  <c r="AP70" i="25"/>
  <c r="AQ70" i="25"/>
  <c r="AR70" i="25"/>
  <c r="AS70" i="25"/>
  <c r="AT70" i="25"/>
  <c r="AU70" i="25"/>
  <c r="AV70" i="25"/>
  <c r="AW70" i="25"/>
  <c r="AX70" i="25"/>
  <c r="AY70" i="25"/>
  <c r="BB70" i="25"/>
  <c r="BC70" i="25"/>
  <c r="BD70" i="25"/>
  <c r="BE70" i="25"/>
  <c r="BF70" i="25"/>
  <c r="BG70" i="25"/>
  <c r="BH70" i="25"/>
  <c r="BI70" i="25"/>
  <c r="BJ70" i="25"/>
  <c r="BK70" i="25"/>
  <c r="BL70" i="25"/>
  <c r="BM70" i="25"/>
  <c r="BN70" i="25"/>
  <c r="BO70" i="25"/>
  <c r="D71" i="25"/>
  <c r="F71" i="25"/>
  <c r="G71" i="25"/>
  <c r="H71" i="25"/>
  <c r="I71" i="25"/>
  <c r="K71" i="25"/>
  <c r="L71" i="25"/>
  <c r="N71" i="25"/>
  <c r="O71" i="25"/>
  <c r="P71" i="25"/>
  <c r="Q71" i="25"/>
  <c r="S71" i="25"/>
  <c r="T71" i="25"/>
  <c r="V71" i="25"/>
  <c r="X71" i="25"/>
  <c r="Y71" i="25"/>
  <c r="Z71" i="25"/>
  <c r="AA71" i="25"/>
  <c r="AB71" i="25"/>
  <c r="AC71" i="25"/>
  <c r="AF71" i="25"/>
  <c r="AG71" i="25"/>
  <c r="AH71" i="25"/>
  <c r="AI71" i="25"/>
  <c r="AJ71" i="25"/>
  <c r="AL71" i="25"/>
  <c r="AM71" i="25"/>
  <c r="AN71" i="25"/>
  <c r="AO71" i="25"/>
  <c r="AP71" i="25"/>
  <c r="AQ71" i="25"/>
  <c r="AR71" i="25"/>
  <c r="AS71" i="25"/>
  <c r="AT71" i="25"/>
  <c r="AU71" i="25"/>
  <c r="AV71" i="25"/>
  <c r="AW71" i="25"/>
  <c r="AX71" i="25"/>
  <c r="AY71" i="25"/>
  <c r="BB71" i="25"/>
  <c r="BC71" i="25"/>
  <c r="BD71" i="25"/>
  <c r="BE71" i="25"/>
  <c r="BF71" i="25"/>
  <c r="BG71" i="25"/>
  <c r="BH71" i="25"/>
  <c r="BI71" i="25"/>
  <c r="BJ71" i="25"/>
  <c r="BK71" i="25"/>
  <c r="BL71" i="25"/>
  <c r="BM71" i="25"/>
  <c r="BN71" i="25"/>
  <c r="BO71" i="25"/>
  <c r="D72" i="25"/>
  <c r="F72" i="25"/>
  <c r="G72" i="25"/>
  <c r="H72" i="25"/>
  <c r="I72" i="25"/>
  <c r="K72" i="25"/>
  <c r="L72" i="25"/>
  <c r="N72" i="25"/>
  <c r="O72" i="25"/>
  <c r="P72" i="25"/>
  <c r="Q72" i="25"/>
  <c r="S72" i="25"/>
  <c r="T72" i="25"/>
  <c r="V72" i="25"/>
  <c r="X72" i="25"/>
  <c r="Y72" i="25"/>
  <c r="Z72" i="25"/>
  <c r="AA72" i="25"/>
  <c r="AB72" i="25"/>
  <c r="AC72" i="25"/>
  <c r="AF72" i="25"/>
  <c r="AG72" i="25"/>
  <c r="AH72" i="25"/>
  <c r="AI72" i="25"/>
  <c r="AJ72" i="25"/>
  <c r="AL72" i="25"/>
  <c r="AM72" i="25"/>
  <c r="AN72" i="25"/>
  <c r="AO72" i="25"/>
  <c r="AP72" i="25"/>
  <c r="AQ72" i="25"/>
  <c r="AR72" i="25"/>
  <c r="AS72" i="25"/>
  <c r="AT72" i="25"/>
  <c r="AU72" i="25"/>
  <c r="AV72" i="25"/>
  <c r="AW72" i="25"/>
  <c r="AX72" i="25"/>
  <c r="AY72" i="25"/>
  <c r="BB72" i="25"/>
  <c r="BC72" i="25"/>
  <c r="BD72" i="25"/>
  <c r="BE72" i="25"/>
  <c r="BF72" i="25"/>
  <c r="BG72" i="25"/>
  <c r="BH72" i="25"/>
  <c r="BI72" i="25"/>
  <c r="BJ72" i="25"/>
  <c r="BK72" i="25"/>
  <c r="BL72" i="25"/>
  <c r="BM72" i="25"/>
  <c r="BN72" i="25"/>
  <c r="BO72" i="25"/>
  <c r="D73" i="25"/>
  <c r="F73" i="25"/>
  <c r="G73" i="25"/>
  <c r="H73" i="25"/>
  <c r="I73" i="25"/>
  <c r="K73" i="25"/>
  <c r="L73" i="25"/>
  <c r="N73" i="25"/>
  <c r="O73" i="25"/>
  <c r="P73" i="25"/>
  <c r="Q73" i="25"/>
  <c r="S73" i="25"/>
  <c r="T73" i="25"/>
  <c r="V73" i="25"/>
  <c r="X73" i="25"/>
  <c r="Y73" i="25"/>
  <c r="Z73" i="25"/>
  <c r="AA73" i="25"/>
  <c r="AB73" i="25"/>
  <c r="AC73" i="25"/>
  <c r="AF73" i="25"/>
  <c r="AG73" i="25"/>
  <c r="AH73" i="25"/>
  <c r="AI73" i="25"/>
  <c r="AJ73" i="25"/>
  <c r="AL73" i="25"/>
  <c r="AM73" i="25"/>
  <c r="AN73" i="25"/>
  <c r="AO73" i="25"/>
  <c r="AP73" i="25"/>
  <c r="AQ73" i="25"/>
  <c r="AR73" i="25"/>
  <c r="AS73" i="25"/>
  <c r="AT73" i="25"/>
  <c r="AU73" i="25"/>
  <c r="AV73" i="25"/>
  <c r="AW73" i="25"/>
  <c r="AX73" i="25"/>
  <c r="AY73" i="25"/>
  <c r="BB73" i="25"/>
  <c r="BC73" i="25"/>
  <c r="BD73" i="25"/>
  <c r="BE73" i="25"/>
  <c r="BF73" i="25"/>
  <c r="BG73" i="25"/>
  <c r="BH73" i="25"/>
  <c r="BI73" i="25"/>
  <c r="BJ73" i="25"/>
  <c r="BK73" i="25"/>
  <c r="BL73" i="25"/>
  <c r="BM73" i="25"/>
  <c r="BN73" i="25"/>
  <c r="BO73" i="25"/>
  <c r="D74" i="25"/>
  <c r="F74" i="25"/>
  <c r="G74" i="25"/>
  <c r="H74" i="25"/>
  <c r="I74" i="25"/>
  <c r="K74" i="25"/>
  <c r="L74" i="25"/>
  <c r="N74" i="25"/>
  <c r="O74" i="25"/>
  <c r="P74" i="25"/>
  <c r="Q74" i="25"/>
  <c r="S74" i="25"/>
  <c r="T74" i="25"/>
  <c r="V74" i="25"/>
  <c r="X74" i="25"/>
  <c r="Y74" i="25"/>
  <c r="Z74" i="25"/>
  <c r="AA74" i="25"/>
  <c r="AB74" i="25"/>
  <c r="AC74" i="25"/>
  <c r="AF74" i="25"/>
  <c r="AG74" i="25"/>
  <c r="AH74" i="25"/>
  <c r="AI74" i="25"/>
  <c r="AJ74" i="25"/>
  <c r="AL74" i="25"/>
  <c r="AM74" i="25"/>
  <c r="AN74" i="25"/>
  <c r="AO74" i="25"/>
  <c r="AP74" i="25"/>
  <c r="AQ74" i="25"/>
  <c r="AR74" i="25"/>
  <c r="AS74" i="25"/>
  <c r="AT74" i="25"/>
  <c r="AU74" i="25"/>
  <c r="AV74" i="25"/>
  <c r="AW74" i="25"/>
  <c r="AX74" i="25"/>
  <c r="AY74" i="25"/>
  <c r="BB74" i="25"/>
  <c r="BC74" i="25"/>
  <c r="BD74" i="25"/>
  <c r="BE74" i="25"/>
  <c r="BF74" i="25"/>
  <c r="BG74" i="25"/>
  <c r="BH74" i="25"/>
  <c r="BI74" i="25"/>
  <c r="BJ74" i="25"/>
  <c r="BK74" i="25"/>
  <c r="BL74" i="25"/>
  <c r="BM74" i="25"/>
  <c r="BN74" i="25"/>
  <c r="BO74" i="25"/>
  <c r="D75" i="25"/>
  <c r="F75" i="25"/>
  <c r="G75" i="25"/>
  <c r="H75" i="25"/>
  <c r="I75" i="25"/>
  <c r="K75" i="25"/>
  <c r="L75" i="25"/>
  <c r="N75" i="25"/>
  <c r="O75" i="25"/>
  <c r="P75" i="25"/>
  <c r="Q75" i="25"/>
  <c r="S75" i="25"/>
  <c r="T75" i="25"/>
  <c r="V75" i="25"/>
  <c r="X75" i="25"/>
  <c r="Y75" i="25"/>
  <c r="Z75" i="25"/>
  <c r="AA75" i="25"/>
  <c r="AB75" i="25"/>
  <c r="AC75" i="25"/>
  <c r="AF75" i="25"/>
  <c r="AG75" i="25"/>
  <c r="AH75" i="25"/>
  <c r="AI75" i="25"/>
  <c r="AJ75" i="25"/>
  <c r="AL75" i="25"/>
  <c r="AM75" i="25"/>
  <c r="AN75" i="25"/>
  <c r="AO75" i="25"/>
  <c r="AP75" i="25"/>
  <c r="AQ75" i="25"/>
  <c r="AR75" i="25"/>
  <c r="AS75" i="25"/>
  <c r="AT75" i="25"/>
  <c r="AU75" i="25"/>
  <c r="AV75" i="25"/>
  <c r="AW75" i="25"/>
  <c r="AX75" i="25"/>
  <c r="AY75" i="25"/>
  <c r="BB75" i="25"/>
  <c r="BC75" i="25"/>
  <c r="BD75" i="25"/>
  <c r="BE75" i="25"/>
  <c r="BF75" i="25"/>
  <c r="BG75" i="25"/>
  <c r="BH75" i="25"/>
  <c r="BI75" i="25"/>
  <c r="BJ75" i="25"/>
  <c r="BK75" i="25"/>
  <c r="BL75" i="25"/>
  <c r="BM75" i="25"/>
  <c r="BN75" i="25"/>
  <c r="BO75" i="25"/>
  <c r="D76" i="25"/>
  <c r="F76" i="25"/>
  <c r="G76" i="25"/>
  <c r="H76" i="25"/>
  <c r="I76" i="25"/>
  <c r="K76" i="25"/>
  <c r="L76" i="25"/>
  <c r="N76" i="25"/>
  <c r="O76" i="25"/>
  <c r="P76" i="25"/>
  <c r="Q76" i="25"/>
  <c r="S76" i="25"/>
  <c r="T76" i="25"/>
  <c r="V76" i="25"/>
  <c r="X76" i="25"/>
  <c r="Y76" i="25"/>
  <c r="Z76" i="25"/>
  <c r="AA76" i="25"/>
  <c r="AB76" i="25"/>
  <c r="AC76" i="25"/>
  <c r="AF76" i="25"/>
  <c r="AG76" i="25"/>
  <c r="AH76" i="25"/>
  <c r="AI76" i="25"/>
  <c r="AJ76" i="25"/>
  <c r="AL76" i="25"/>
  <c r="AM76" i="25"/>
  <c r="AN76" i="25"/>
  <c r="AO76" i="25"/>
  <c r="AP76" i="25"/>
  <c r="AQ76" i="25"/>
  <c r="AR76" i="25"/>
  <c r="AS76" i="25"/>
  <c r="AT76" i="25"/>
  <c r="AU76" i="25"/>
  <c r="AV76" i="25"/>
  <c r="AW76" i="25"/>
  <c r="AX76" i="25"/>
  <c r="AY76" i="25"/>
  <c r="BB76" i="25"/>
  <c r="BC76" i="25"/>
  <c r="BD76" i="25"/>
  <c r="BE76" i="25"/>
  <c r="BF76" i="25"/>
  <c r="BG76" i="25"/>
  <c r="BH76" i="25"/>
  <c r="BI76" i="25"/>
  <c r="BJ76" i="25"/>
  <c r="BK76" i="25"/>
  <c r="BL76" i="25"/>
  <c r="BM76" i="25"/>
  <c r="BN76" i="25"/>
  <c r="BO76" i="25"/>
  <c r="D77" i="25"/>
  <c r="F77" i="25"/>
  <c r="G77" i="25"/>
  <c r="H77" i="25"/>
  <c r="I77" i="25"/>
  <c r="K77" i="25"/>
  <c r="L77" i="25"/>
  <c r="N77" i="25"/>
  <c r="O77" i="25"/>
  <c r="P77" i="25"/>
  <c r="Q77" i="25"/>
  <c r="S77" i="25"/>
  <c r="T77" i="25"/>
  <c r="V77" i="25"/>
  <c r="X77" i="25"/>
  <c r="Y77" i="25"/>
  <c r="Z77" i="25"/>
  <c r="AA77" i="25"/>
  <c r="AB77" i="25"/>
  <c r="AC77" i="25"/>
  <c r="AF77" i="25"/>
  <c r="AG77" i="25"/>
  <c r="AH77" i="25"/>
  <c r="AI77" i="25"/>
  <c r="AJ77" i="25"/>
  <c r="AL77" i="25"/>
  <c r="AM77" i="25"/>
  <c r="AN77" i="25"/>
  <c r="AO77" i="25"/>
  <c r="AP77" i="25"/>
  <c r="AQ77" i="25"/>
  <c r="AR77" i="25"/>
  <c r="AS77" i="25"/>
  <c r="AT77" i="25"/>
  <c r="AU77" i="25"/>
  <c r="AV77" i="25"/>
  <c r="AW77" i="25"/>
  <c r="AX77" i="25"/>
  <c r="AY77" i="25"/>
  <c r="BB77" i="25"/>
  <c r="BC77" i="25"/>
  <c r="BD77" i="25"/>
  <c r="BE77" i="25"/>
  <c r="BF77" i="25"/>
  <c r="BG77" i="25"/>
  <c r="BH77" i="25"/>
  <c r="BI77" i="25"/>
  <c r="BJ77" i="25"/>
  <c r="BK77" i="25"/>
  <c r="BL77" i="25"/>
  <c r="BM77" i="25"/>
  <c r="BN77" i="25"/>
  <c r="BO77" i="25"/>
  <c r="D78" i="25"/>
  <c r="F78" i="25"/>
  <c r="G78" i="25"/>
  <c r="H78" i="25"/>
  <c r="I78" i="25"/>
  <c r="K78" i="25"/>
  <c r="L78" i="25"/>
  <c r="N78" i="25"/>
  <c r="O78" i="25"/>
  <c r="P78" i="25"/>
  <c r="Q78" i="25"/>
  <c r="S78" i="25"/>
  <c r="T78" i="25"/>
  <c r="V78" i="25"/>
  <c r="X78" i="25"/>
  <c r="Y78" i="25"/>
  <c r="Z78" i="25"/>
  <c r="AA78" i="25"/>
  <c r="AB78" i="25"/>
  <c r="AC78" i="25"/>
  <c r="AF78" i="25"/>
  <c r="AG78" i="25"/>
  <c r="AH78" i="25"/>
  <c r="AI78" i="25"/>
  <c r="AJ78" i="25"/>
  <c r="AL78" i="25"/>
  <c r="AM78" i="25"/>
  <c r="AN78" i="25"/>
  <c r="AO78" i="25"/>
  <c r="AP78" i="25"/>
  <c r="AQ78" i="25"/>
  <c r="AR78" i="25"/>
  <c r="AS78" i="25"/>
  <c r="AT78" i="25"/>
  <c r="AU78" i="25"/>
  <c r="AV78" i="25"/>
  <c r="AW78" i="25"/>
  <c r="AX78" i="25"/>
  <c r="AY78" i="25"/>
  <c r="BB78" i="25"/>
  <c r="BC78" i="25"/>
  <c r="BD78" i="25"/>
  <c r="BE78" i="25"/>
  <c r="BF78" i="25"/>
  <c r="BG78" i="25"/>
  <c r="BH78" i="25"/>
  <c r="BI78" i="25"/>
  <c r="BJ78" i="25"/>
  <c r="BK78" i="25"/>
  <c r="BL78" i="25"/>
  <c r="BM78" i="25"/>
  <c r="BN78" i="25"/>
  <c r="BO78" i="25"/>
  <c r="D79" i="25"/>
  <c r="F79" i="25"/>
  <c r="G79" i="25"/>
  <c r="H79" i="25"/>
  <c r="I79" i="25"/>
  <c r="K79" i="25"/>
  <c r="L79" i="25"/>
  <c r="N79" i="25"/>
  <c r="O79" i="25"/>
  <c r="P79" i="25"/>
  <c r="Q79" i="25"/>
  <c r="S79" i="25"/>
  <c r="T79" i="25"/>
  <c r="V79" i="25"/>
  <c r="X79" i="25"/>
  <c r="Y79" i="25"/>
  <c r="Z79" i="25"/>
  <c r="AA79" i="25"/>
  <c r="AB79" i="25"/>
  <c r="AC79" i="25"/>
  <c r="AF79" i="25"/>
  <c r="AG79" i="25"/>
  <c r="AH79" i="25"/>
  <c r="AI79" i="25"/>
  <c r="AJ79" i="25"/>
  <c r="AL79" i="25"/>
  <c r="AM79" i="25"/>
  <c r="AN79" i="25"/>
  <c r="AO79" i="25"/>
  <c r="AP79" i="25"/>
  <c r="AQ79" i="25"/>
  <c r="AR79" i="25"/>
  <c r="AS79" i="25"/>
  <c r="AT79" i="25"/>
  <c r="AU79" i="25"/>
  <c r="AV79" i="25"/>
  <c r="AW79" i="25"/>
  <c r="AX79" i="25"/>
  <c r="AY79" i="25"/>
  <c r="BB79" i="25"/>
  <c r="BC79" i="25"/>
  <c r="BD79" i="25"/>
  <c r="BE79" i="25"/>
  <c r="BF79" i="25"/>
  <c r="BG79" i="25"/>
  <c r="BH79" i="25"/>
  <c r="BI79" i="25"/>
  <c r="BJ79" i="25"/>
  <c r="BK79" i="25"/>
  <c r="BL79" i="25"/>
  <c r="BM79" i="25"/>
  <c r="BN79" i="25"/>
  <c r="BO79" i="25"/>
  <c r="D80" i="25"/>
  <c r="F80" i="25"/>
  <c r="G80" i="25"/>
  <c r="H80" i="25"/>
  <c r="I80" i="25"/>
  <c r="K80" i="25"/>
  <c r="L80" i="25"/>
  <c r="N80" i="25"/>
  <c r="O80" i="25"/>
  <c r="P80" i="25"/>
  <c r="Q80" i="25"/>
  <c r="S80" i="25"/>
  <c r="T80" i="25"/>
  <c r="V80" i="25"/>
  <c r="X80" i="25"/>
  <c r="Y80" i="25"/>
  <c r="Z80" i="25"/>
  <c r="AA80" i="25"/>
  <c r="AB80" i="25"/>
  <c r="AC80" i="25"/>
  <c r="AF80" i="25"/>
  <c r="AG80" i="25"/>
  <c r="AH80" i="25"/>
  <c r="AI80" i="25"/>
  <c r="AJ80" i="25"/>
  <c r="AL80" i="25"/>
  <c r="AM80" i="25"/>
  <c r="AN80" i="25"/>
  <c r="AO80" i="25"/>
  <c r="AP80" i="25"/>
  <c r="AQ80" i="25"/>
  <c r="AR80" i="25"/>
  <c r="AS80" i="25"/>
  <c r="AT80" i="25"/>
  <c r="AU80" i="25"/>
  <c r="AV80" i="25"/>
  <c r="AW80" i="25"/>
  <c r="AX80" i="25"/>
  <c r="AY80" i="25"/>
  <c r="BB80" i="25"/>
  <c r="BC80" i="25"/>
  <c r="BD80" i="25"/>
  <c r="BE80" i="25"/>
  <c r="BF80" i="25"/>
  <c r="BG80" i="25"/>
  <c r="BH80" i="25"/>
  <c r="BI80" i="25"/>
  <c r="BJ80" i="25"/>
  <c r="BK80" i="25"/>
  <c r="BL80" i="25"/>
  <c r="BM80" i="25"/>
  <c r="BN80" i="25"/>
  <c r="BO80" i="25"/>
  <c r="D81" i="25"/>
  <c r="F81" i="25"/>
  <c r="G81" i="25"/>
  <c r="H81" i="25"/>
  <c r="I81" i="25"/>
  <c r="K81" i="25"/>
  <c r="L81" i="25"/>
  <c r="N81" i="25"/>
  <c r="O81" i="25"/>
  <c r="P81" i="25"/>
  <c r="Q81" i="25"/>
  <c r="S81" i="25"/>
  <c r="T81" i="25"/>
  <c r="V81" i="25"/>
  <c r="X81" i="25"/>
  <c r="Y81" i="25"/>
  <c r="Z81" i="25"/>
  <c r="AA81" i="25"/>
  <c r="AB81" i="25"/>
  <c r="AC81" i="25"/>
  <c r="AF81" i="25"/>
  <c r="AG81" i="25"/>
  <c r="AH81" i="25"/>
  <c r="AI81" i="25"/>
  <c r="AJ81" i="25"/>
  <c r="AL81" i="25"/>
  <c r="AM81" i="25"/>
  <c r="AN81" i="25"/>
  <c r="AO81" i="25"/>
  <c r="AP81" i="25"/>
  <c r="AQ81" i="25"/>
  <c r="AR81" i="25"/>
  <c r="AS81" i="25"/>
  <c r="AT81" i="25"/>
  <c r="AU81" i="25"/>
  <c r="AV81" i="25"/>
  <c r="AW81" i="25"/>
  <c r="AX81" i="25"/>
  <c r="AY81" i="25"/>
  <c r="BB81" i="25"/>
  <c r="BC81" i="25"/>
  <c r="BD81" i="25"/>
  <c r="BE81" i="25"/>
  <c r="BF81" i="25"/>
  <c r="BG81" i="25"/>
  <c r="BH81" i="25"/>
  <c r="BI81" i="25"/>
  <c r="BJ81" i="25"/>
  <c r="BK81" i="25"/>
  <c r="BL81" i="25"/>
  <c r="BM81" i="25"/>
  <c r="BN81" i="25"/>
  <c r="BO81" i="25"/>
  <c r="D82" i="25"/>
  <c r="F82" i="25"/>
  <c r="G82" i="25"/>
  <c r="H82" i="25"/>
  <c r="I82" i="25"/>
  <c r="K82" i="25"/>
  <c r="L82" i="25"/>
  <c r="N82" i="25"/>
  <c r="O82" i="25"/>
  <c r="P82" i="25"/>
  <c r="Q82" i="25"/>
  <c r="S82" i="25"/>
  <c r="T82" i="25"/>
  <c r="V82" i="25"/>
  <c r="X82" i="25"/>
  <c r="Y82" i="25"/>
  <c r="Z82" i="25"/>
  <c r="AA82" i="25"/>
  <c r="AB82" i="25"/>
  <c r="AC82" i="25"/>
  <c r="AF82" i="25"/>
  <c r="AG82" i="25"/>
  <c r="AH82" i="25"/>
  <c r="AI82" i="25"/>
  <c r="AJ82" i="25"/>
  <c r="AL82" i="25"/>
  <c r="AM82" i="25"/>
  <c r="AN82" i="25"/>
  <c r="AO82" i="25"/>
  <c r="AP82" i="25"/>
  <c r="AQ82" i="25"/>
  <c r="AR82" i="25"/>
  <c r="AS82" i="25"/>
  <c r="AT82" i="25"/>
  <c r="AU82" i="25"/>
  <c r="AV82" i="25"/>
  <c r="AW82" i="25"/>
  <c r="AX82" i="25"/>
  <c r="AY82" i="25"/>
  <c r="BB82" i="25"/>
  <c r="BC82" i="25"/>
  <c r="BD82" i="25"/>
  <c r="BE82" i="25"/>
  <c r="BF82" i="25"/>
  <c r="BG82" i="25"/>
  <c r="BH82" i="25"/>
  <c r="BI82" i="25"/>
  <c r="BJ82" i="25"/>
  <c r="BK82" i="25"/>
  <c r="BL82" i="25"/>
  <c r="BM82" i="25"/>
  <c r="BN82" i="25"/>
  <c r="BO82" i="25"/>
  <c r="D83" i="25"/>
  <c r="F83" i="25"/>
  <c r="G83" i="25"/>
  <c r="H83" i="25"/>
  <c r="I83" i="25"/>
  <c r="K83" i="25"/>
  <c r="L83" i="25"/>
  <c r="N83" i="25"/>
  <c r="O83" i="25"/>
  <c r="P83" i="25"/>
  <c r="Q83" i="25"/>
  <c r="S83" i="25"/>
  <c r="T83" i="25"/>
  <c r="V83" i="25"/>
  <c r="X83" i="25"/>
  <c r="Y83" i="25"/>
  <c r="Z83" i="25"/>
  <c r="AA83" i="25"/>
  <c r="AB83" i="25"/>
  <c r="AC83" i="25"/>
  <c r="AF83" i="25"/>
  <c r="AG83" i="25"/>
  <c r="AH83" i="25"/>
  <c r="AI83" i="25"/>
  <c r="AJ83" i="25"/>
  <c r="AL83" i="25"/>
  <c r="AM83" i="25"/>
  <c r="AN83" i="25"/>
  <c r="AO83" i="25"/>
  <c r="AP83" i="25"/>
  <c r="AQ83" i="25"/>
  <c r="AR83" i="25"/>
  <c r="AS83" i="25"/>
  <c r="AT83" i="25"/>
  <c r="AU83" i="25"/>
  <c r="AV83" i="25"/>
  <c r="AW83" i="25"/>
  <c r="AX83" i="25"/>
  <c r="AY83" i="25"/>
  <c r="BB83" i="25"/>
  <c r="BC83" i="25"/>
  <c r="BD83" i="25"/>
  <c r="BE83" i="25"/>
  <c r="BF83" i="25"/>
  <c r="BG83" i="25"/>
  <c r="BH83" i="25"/>
  <c r="BI83" i="25"/>
  <c r="BJ83" i="25"/>
  <c r="BK83" i="25"/>
  <c r="BL83" i="25"/>
  <c r="BM83" i="25"/>
  <c r="BN83" i="25"/>
  <c r="BO83" i="25"/>
  <c r="D84" i="25"/>
  <c r="F84" i="25"/>
  <c r="G84" i="25"/>
  <c r="H84" i="25"/>
  <c r="I84" i="25"/>
  <c r="K84" i="25"/>
  <c r="L84" i="25"/>
  <c r="N84" i="25"/>
  <c r="O84" i="25"/>
  <c r="P84" i="25"/>
  <c r="Q84" i="25"/>
  <c r="S84" i="25"/>
  <c r="T84" i="25"/>
  <c r="V84" i="25"/>
  <c r="X84" i="25"/>
  <c r="Y84" i="25"/>
  <c r="Z84" i="25"/>
  <c r="AA84" i="25"/>
  <c r="AB84" i="25"/>
  <c r="AC84" i="25"/>
  <c r="AF84" i="25"/>
  <c r="AG84" i="25"/>
  <c r="AH84" i="25"/>
  <c r="AI84" i="25"/>
  <c r="AJ84" i="25"/>
  <c r="AL84" i="25"/>
  <c r="AM84" i="25"/>
  <c r="AN84" i="25"/>
  <c r="AO84" i="25"/>
  <c r="AP84" i="25"/>
  <c r="AQ84" i="25"/>
  <c r="AR84" i="25"/>
  <c r="AS84" i="25"/>
  <c r="AT84" i="25"/>
  <c r="AU84" i="25"/>
  <c r="AV84" i="25"/>
  <c r="AW84" i="25"/>
  <c r="AX84" i="25"/>
  <c r="AY84" i="25"/>
  <c r="BB84" i="25"/>
  <c r="BC84" i="25"/>
  <c r="BD84" i="25"/>
  <c r="BE84" i="25"/>
  <c r="BF84" i="25"/>
  <c r="BG84" i="25"/>
  <c r="BH84" i="25"/>
  <c r="BI84" i="25"/>
  <c r="BJ84" i="25"/>
  <c r="BK84" i="25"/>
  <c r="BL84" i="25"/>
  <c r="BM84" i="25"/>
  <c r="BN84" i="25"/>
  <c r="BO84" i="25"/>
  <c r="D85" i="25"/>
  <c r="F85" i="25"/>
  <c r="G85" i="25"/>
  <c r="H85" i="25"/>
  <c r="I85" i="25"/>
  <c r="K85" i="25"/>
  <c r="L85" i="25"/>
  <c r="N85" i="25"/>
  <c r="O85" i="25"/>
  <c r="P85" i="25"/>
  <c r="Q85" i="25"/>
  <c r="S85" i="25"/>
  <c r="T85" i="25"/>
  <c r="V85" i="25"/>
  <c r="X85" i="25"/>
  <c r="Y85" i="25"/>
  <c r="Z85" i="25"/>
  <c r="AA85" i="25"/>
  <c r="AB85" i="25"/>
  <c r="AC85" i="25"/>
  <c r="AF85" i="25"/>
  <c r="AG85" i="25"/>
  <c r="AH85" i="25"/>
  <c r="AI85" i="25"/>
  <c r="AJ85" i="25"/>
  <c r="AL85" i="25"/>
  <c r="AM85" i="25"/>
  <c r="AN85" i="25"/>
  <c r="AO85" i="25"/>
  <c r="AP85" i="25"/>
  <c r="AQ85" i="25"/>
  <c r="AR85" i="25"/>
  <c r="AS85" i="25"/>
  <c r="AT85" i="25"/>
  <c r="AU85" i="25"/>
  <c r="AV85" i="25"/>
  <c r="AW85" i="25"/>
  <c r="AX85" i="25"/>
  <c r="AY85" i="25"/>
  <c r="BB85" i="25"/>
  <c r="BC85" i="25"/>
  <c r="BD85" i="25"/>
  <c r="BE85" i="25"/>
  <c r="BF85" i="25"/>
  <c r="BG85" i="25"/>
  <c r="BH85" i="25"/>
  <c r="BI85" i="25"/>
  <c r="BJ85" i="25"/>
  <c r="BK85" i="25"/>
  <c r="BL85" i="25"/>
  <c r="BM85" i="25"/>
  <c r="BN85" i="25"/>
  <c r="BO85" i="25"/>
  <c r="D86" i="25"/>
  <c r="F86" i="25"/>
  <c r="G86" i="25"/>
  <c r="H86" i="25"/>
  <c r="I86" i="25"/>
  <c r="K86" i="25"/>
  <c r="L86" i="25"/>
  <c r="N86" i="25"/>
  <c r="O86" i="25"/>
  <c r="P86" i="25"/>
  <c r="Q86" i="25"/>
  <c r="S86" i="25"/>
  <c r="T86" i="25"/>
  <c r="V86" i="25"/>
  <c r="X86" i="25"/>
  <c r="Y86" i="25"/>
  <c r="Z86" i="25"/>
  <c r="AA86" i="25"/>
  <c r="AB86" i="25"/>
  <c r="AC86" i="25"/>
  <c r="AF86" i="25"/>
  <c r="AG86" i="25"/>
  <c r="AH86" i="25"/>
  <c r="AI86" i="25"/>
  <c r="AJ86" i="25"/>
  <c r="AL86" i="25"/>
  <c r="AM86" i="25"/>
  <c r="AN86" i="25"/>
  <c r="AO86" i="25"/>
  <c r="AP86" i="25"/>
  <c r="AQ86" i="25"/>
  <c r="AR86" i="25"/>
  <c r="AS86" i="25"/>
  <c r="AT86" i="25"/>
  <c r="AU86" i="25"/>
  <c r="AV86" i="25"/>
  <c r="AW86" i="25"/>
  <c r="AX86" i="25"/>
  <c r="AY86" i="25"/>
  <c r="BB86" i="25"/>
  <c r="BC86" i="25"/>
  <c r="BD86" i="25"/>
  <c r="BE86" i="25"/>
  <c r="BF86" i="25"/>
  <c r="BG86" i="25"/>
  <c r="BH86" i="25"/>
  <c r="BI86" i="25"/>
  <c r="BJ86" i="25"/>
  <c r="BK86" i="25"/>
  <c r="BL86" i="25"/>
  <c r="BM86" i="25"/>
  <c r="BN86" i="25"/>
  <c r="BO86" i="25"/>
  <c r="D87" i="25"/>
  <c r="F87" i="25"/>
  <c r="G87" i="25"/>
  <c r="H87" i="25"/>
  <c r="I87" i="25"/>
  <c r="K87" i="25"/>
  <c r="L87" i="25"/>
  <c r="N87" i="25"/>
  <c r="O87" i="25"/>
  <c r="P87" i="25"/>
  <c r="Q87" i="25"/>
  <c r="S87" i="25"/>
  <c r="T87" i="25"/>
  <c r="V87" i="25"/>
  <c r="X87" i="25"/>
  <c r="Y87" i="25"/>
  <c r="Z87" i="25"/>
  <c r="AA87" i="25"/>
  <c r="AB87" i="25"/>
  <c r="AC87" i="25"/>
  <c r="AF87" i="25"/>
  <c r="AG87" i="25"/>
  <c r="AH87" i="25"/>
  <c r="AI87" i="25"/>
  <c r="AJ87" i="25"/>
  <c r="AL87" i="25"/>
  <c r="AM87" i="25"/>
  <c r="AN87" i="25"/>
  <c r="AO87" i="25"/>
  <c r="AP87" i="25"/>
  <c r="AQ87" i="25"/>
  <c r="AR87" i="25"/>
  <c r="AS87" i="25"/>
  <c r="AT87" i="25"/>
  <c r="AU87" i="25"/>
  <c r="AV87" i="25"/>
  <c r="AW87" i="25"/>
  <c r="AX87" i="25"/>
  <c r="AY87" i="25"/>
  <c r="BB87" i="25"/>
  <c r="BC87" i="25"/>
  <c r="BD87" i="25"/>
  <c r="BE87" i="25"/>
  <c r="BF87" i="25"/>
  <c r="BG87" i="25"/>
  <c r="BH87" i="25"/>
  <c r="BI87" i="25"/>
  <c r="BJ87" i="25"/>
  <c r="BK87" i="25"/>
  <c r="BL87" i="25"/>
  <c r="BM87" i="25"/>
  <c r="BN87" i="25"/>
  <c r="BO87" i="25"/>
  <c r="D88" i="25"/>
  <c r="F88" i="25"/>
  <c r="G88" i="25"/>
  <c r="H88" i="25"/>
  <c r="I88" i="25"/>
  <c r="K88" i="25"/>
  <c r="L88" i="25"/>
  <c r="N88" i="25"/>
  <c r="O88" i="25"/>
  <c r="P88" i="25"/>
  <c r="Q88" i="25"/>
  <c r="S88" i="25"/>
  <c r="T88" i="25"/>
  <c r="V88" i="25"/>
  <c r="X88" i="25"/>
  <c r="Y88" i="25"/>
  <c r="Z88" i="25"/>
  <c r="AA88" i="25"/>
  <c r="AB88" i="25"/>
  <c r="AC88" i="25"/>
  <c r="AF88" i="25"/>
  <c r="AG88" i="25"/>
  <c r="AH88" i="25"/>
  <c r="AI88" i="25"/>
  <c r="AJ88" i="25"/>
  <c r="AL88" i="25"/>
  <c r="AM88" i="25"/>
  <c r="AN88" i="25"/>
  <c r="AO88" i="25"/>
  <c r="AP88" i="25"/>
  <c r="AQ88" i="25"/>
  <c r="AR88" i="25"/>
  <c r="AS88" i="25"/>
  <c r="AT88" i="25"/>
  <c r="AU88" i="25"/>
  <c r="AV88" i="25"/>
  <c r="AW88" i="25"/>
  <c r="AX88" i="25"/>
  <c r="AY88" i="25"/>
  <c r="BB88" i="25"/>
  <c r="BC88" i="25"/>
  <c r="BD88" i="25"/>
  <c r="BE88" i="25"/>
  <c r="BF88" i="25"/>
  <c r="BG88" i="25"/>
  <c r="BH88" i="25"/>
  <c r="BI88" i="25"/>
  <c r="BJ88" i="25"/>
  <c r="BK88" i="25"/>
  <c r="BL88" i="25"/>
  <c r="BM88" i="25"/>
  <c r="BN88" i="25"/>
  <c r="BO88" i="25"/>
  <c r="D89" i="25"/>
  <c r="F89" i="25"/>
  <c r="G89" i="25"/>
  <c r="H89" i="25"/>
  <c r="I89" i="25"/>
  <c r="K89" i="25"/>
  <c r="L89" i="25"/>
  <c r="N89" i="25"/>
  <c r="O89" i="25"/>
  <c r="P89" i="25"/>
  <c r="Q89" i="25"/>
  <c r="S89" i="25"/>
  <c r="T89" i="25"/>
  <c r="V89" i="25"/>
  <c r="X89" i="25"/>
  <c r="Y89" i="25"/>
  <c r="Z89" i="25"/>
  <c r="AA89" i="25"/>
  <c r="AB89" i="25"/>
  <c r="AC89" i="25"/>
  <c r="AF89" i="25"/>
  <c r="AG89" i="25"/>
  <c r="AH89" i="25"/>
  <c r="AI89" i="25"/>
  <c r="AJ89" i="25"/>
  <c r="AL89" i="25"/>
  <c r="AM89" i="25"/>
  <c r="AN89" i="25"/>
  <c r="AO89" i="25"/>
  <c r="AP89" i="25"/>
  <c r="AQ89" i="25"/>
  <c r="AR89" i="25"/>
  <c r="AS89" i="25"/>
  <c r="AT89" i="25"/>
  <c r="AU89" i="25"/>
  <c r="AV89" i="25"/>
  <c r="AW89" i="25"/>
  <c r="AX89" i="25"/>
  <c r="AY89" i="25"/>
  <c r="BB89" i="25"/>
  <c r="BC89" i="25"/>
  <c r="BD89" i="25"/>
  <c r="BE89" i="25"/>
  <c r="BF89" i="25"/>
  <c r="BG89" i="25"/>
  <c r="BH89" i="25"/>
  <c r="BI89" i="25"/>
  <c r="BJ89" i="25"/>
  <c r="BK89" i="25"/>
  <c r="BL89" i="25"/>
  <c r="BM89" i="25"/>
  <c r="BN89" i="25"/>
  <c r="BO89" i="25"/>
  <c r="D90" i="25"/>
  <c r="F90" i="25"/>
  <c r="G90" i="25"/>
  <c r="H90" i="25"/>
  <c r="I90" i="25"/>
  <c r="K90" i="25"/>
  <c r="L90" i="25"/>
  <c r="N90" i="25"/>
  <c r="O90" i="25"/>
  <c r="P90" i="25"/>
  <c r="Q90" i="25"/>
  <c r="S90" i="25"/>
  <c r="T90" i="25"/>
  <c r="V90" i="25"/>
  <c r="X90" i="25"/>
  <c r="Y90" i="25"/>
  <c r="Z90" i="25"/>
  <c r="AA90" i="25"/>
  <c r="AB90" i="25"/>
  <c r="AC90" i="25"/>
  <c r="AF90" i="25"/>
  <c r="AG90" i="25"/>
  <c r="AH90" i="25"/>
  <c r="AI90" i="25"/>
  <c r="AJ90" i="25"/>
  <c r="AL90" i="25"/>
  <c r="AM90" i="25"/>
  <c r="AN90" i="25"/>
  <c r="AO90" i="25"/>
  <c r="AP90" i="25"/>
  <c r="AQ90" i="25"/>
  <c r="AR90" i="25"/>
  <c r="AS90" i="25"/>
  <c r="AT90" i="25"/>
  <c r="AU90" i="25"/>
  <c r="AV90" i="25"/>
  <c r="AW90" i="25"/>
  <c r="AX90" i="25"/>
  <c r="AY90" i="25"/>
  <c r="BB90" i="25"/>
  <c r="BC90" i="25"/>
  <c r="BD90" i="25"/>
  <c r="BE90" i="25"/>
  <c r="BF90" i="25"/>
  <c r="BG90" i="25"/>
  <c r="BH90" i="25"/>
  <c r="BI90" i="25"/>
  <c r="BJ90" i="25"/>
  <c r="BK90" i="25"/>
  <c r="BL90" i="25"/>
  <c r="BM90" i="25"/>
  <c r="BN90" i="25"/>
  <c r="BO90" i="25"/>
  <c r="D91" i="25"/>
  <c r="F91" i="25"/>
  <c r="G91" i="25"/>
  <c r="H91" i="25"/>
  <c r="I91" i="25"/>
  <c r="K91" i="25"/>
  <c r="L91" i="25"/>
  <c r="N91" i="25"/>
  <c r="O91" i="25"/>
  <c r="P91" i="25"/>
  <c r="Q91" i="25"/>
  <c r="S91" i="25"/>
  <c r="T91" i="25"/>
  <c r="V91" i="25"/>
  <c r="X91" i="25"/>
  <c r="Y91" i="25"/>
  <c r="Z91" i="25"/>
  <c r="AA91" i="25"/>
  <c r="AB91" i="25"/>
  <c r="AC91" i="25"/>
  <c r="AF91" i="25"/>
  <c r="AG91" i="25"/>
  <c r="AH91" i="25"/>
  <c r="AI91" i="25"/>
  <c r="AJ91" i="25"/>
  <c r="AL91" i="25"/>
  <c r="AM91" i="25"/>
  <c r="AN91" i="25"/>
  <c r="AO91" i="25"/>
  <c r="AP91" i="25"/>
  <c r="AQ91" i="25"/>
  <c r="AR91" i="25"/>
  <c r="AS91" i="25"/>
  <c r="AT91" i="25"/>
  <c r="AU91" i="25"/>
  <c r="AV91" i="25"/>
  <c r="AW91" i="25"/>
  <c r="AX91" i="25"/>
  <c r="AY91" i="25"/>
  <c r="BB91" i="25"/>
  <c r="BC91" i="25"/>
  <c r="BD91" i="25"/>
  <c r="BE91" i="25"/>
  <c r="BF91" i="25"/>
  <c r="BG91" i="25"/>
  <c r="BH91" i="25"/>
  <c r="BI91" i="25"/>
  <c r="BJ91" i="25"/>
  <c r="BK91" i="25"/>
  <c r="BL91" i="25"/>
  <c r="BM91" i="25"/>
  <c r="BN91" i="25"/>
  <c r="BO91" i="25"/>
  <c r="D92" i="25"/>
  <c r="F92" i="25"/>
  <c r="G92" i="25"/>
  <c r="H92" i="25"/>
  <c r="I92" i="25"/>
  <c r="K92" i="25"/>
  <c r="L92" i="25"/>
  <c r="N92" i="25"/>
  <c r="O92" i="25"/>
  <c r="P92" i="25"/>
  <c r="Q92" i="25"/>
  <c r="S92" i="25"/>
  <c r="T92" i="25"/>
  <c r="V92" i="25"/>
  <c r="X92" i="25"/>
  <c r="Y92" i="25"/>
  <c r="Z92" i="25"/>
  <c r="AA92" i="25"/>
  <c r="AB92" i="25"/>
  <c r="AC92" i="25"/>
  <c r="AF92" i="25"/>
  <c r="AG92" i="25"/>
  <c r="AH92" i="25"/>
  <c r="AI92" i="25"/>
  <c r="AJ92" i="25"/>
  <c r="AL92" i="25"/>
  <c r="AM92" i="25"/>
  <c r="AN92" i="25"/>
  <c r="AO92" i="25"/>
  <c r="AP92" i="25"/>
  <c r="AQ92" i="25"/>
  <c r="AR92" i="25"/>
  <c r="AS92" i="25"/>
  <c r="AT92" i="25"/>
  <c r="AU92" i="25"/>
  <c r="AV92" i="25"/>
  <c r="AW92" i="25"/>
  <c r="AX92" i="25"/>
  <c r="AY92" i="25"/>
  <c r="BB92" i="25"/>
  <c r="BC92" i="25"/>
  <c r="BD92" i="25"/>
  <c r="BE92" i="25"/>
  <c r="BF92" i="25"/>
  <c r="BG92" i="25"/>
  <c r="BH92" i="25"/>
  <c r="BI92" i="25"/>
  <c r="BJ92" i="25"/>
  <c r="BK92" i="25"/>
  <c r="BL92" i="25"/>
  <c r="BM92" i="25"/>
  <c r="BN92" i="25"/>
  <c r="BO92" i="25"/>
  <c r="D93" i="25"/>
  <c r="F93" i="25"/>
  <c r="G93" i="25"/>
  <c r="H93" i="25"/>
  <c r="I93" i="25"/>
  <c r="K93" i="25"/>
  <c r="L93" i="25"/>
  <c r="N93" i="25"/>
  <c r="O93" i="25"/>
  <c r="P93" i="25"/>
  <c r="Q93" i="25"/>
  <c r="S93" i="25"/>
  <c r="T93" i="25"/>
  <c r="V93" i="25"/>
  <c r="X93" i="25"/>
  <c r="Y93" i="25"/>
  <c r="Z93" i="25"/>
  <c r="AA93" i="25"/>
  <c r="AB93" i="25"/>
  <c r="AC93" i="25"/>
  <c r="AF93" i="25"/>
  <c r="AG93" i="25"/>
  <c r="AH93" i="25"/>
  <c r="AI93" i="25"/>
  <c r="AJ93" i="25"/>
  <c r="AL93" i="25"/>
  <c r="AM93" i="25"/>
  <c r="AN93" i="25"/>
  <c r="AO93" i="25"/>
  <c r="AP93" i="25"/>
  <c r="AQ93" i="25"/>
  <c r="AR93" i="25"/>
  <c r="AS93" i="25"/>
  <c r="AT93" i="25"/>
  <c r="AU93" i="25"/>
  <c r="AV93" i="25"/>
  <c r="AW93" i="25"/>
  <c r="AX93" i="25"/>
  <c r="AY93" i="25"/>
  <c r="BB93" i="25"/>
  <c r="BC93" i="25"/>
  <c r="BD93" i="25"/>
  <c r="BE93" i="25"/>
  <c r="BF93" i="25"/>
  <c r="BG93" i="25"/>
  <c r="BH93" i="25"/>
  <c r="BI93" i="25"/>
  <c r="BJ93" i="25"/>
  <c r="BK93" i="25"/>
  <c r="BL93" i="25"/>
  <c r="BM93" i="25"/>
  <c r="BN93" i="25"/>
  <c r="BO93" i="25"/>
  <c r="D94" i="25"/>
  <c r="F94" i="25"/>
  <c r="G94" i="25"/>
  <c r="H94" i="25"/>
  <c r="I94" i="25"/>
  <c r="K94" i="25"/>
  <c r="L94" i="25"/>
  <c r="N94" i="25"/>
  <c r="O94" i="25"/>
  <c r="P94" i="25"/>
  <c r="Q94" i="25"/>
  <c r="S94" i="25"/>
  <c r="T94" i="25"/>
  <c r="V94" i="25"/>
  <c r="X94" i="25"/>
  <c r="Y94" i="25"/>
  <c r="Z94" i="25"/>
  <c r="AA94" i="25"/>
  <c r="AB94" i="25"/>
  <c r="AC94" i="25"/>
  <c r="AF94" i="25"/>
  <c r="AG94" i="25"/>
  <c r="AH94" i="25"/>
  <c r="AI94" i="25"/>
  <c r="AJ94" i="25"/>
  <c r="AL94" i="25"/>
  <c r="AM94" i="25"/>
  <c r="AN94" i="25"/>
  <c r="AO94" i="25"/>
  <c r="AP94" i="25"/>
  <c r="AQ94" i="25"/>
  <c r="AR94" i="25"/>
  <c r="AS94" i="25"/>
  <c r="AT94" i="25"/>
  <c r="AU94" i="25"/>
  <c r="AV94" i="25"/>
  <c r="AW94" i="25"/>
  <c r="AX94" i="25"/>
  <c r="AY94" i="25"/>
  <c r="BB94" i="25"/>
  <c r="BC94" i="25"/>
  <c r="BD94" i="25"/>
  <c r="BE94" i="25"/>
  <c r="BF94" i="25"/>
  <c r="BG94" i="25"/>
  <c r="BH94" i="25"/>
  <c r="BI94" i="25"/>
  <c r="BJ94" i="25"/>
  <c r="BK94" i="25"/>
  <c r="BL94" i="25"/>
  <c r="BM94" i="25"/>
  <c r="BN94" i="25"/>
  <c r="BO94" i="25"/>
  <c r="D95" i="25"/>
  <c r="F95" i="25"/>
  <c r="G95" i="25"/>
  <c r="H95" i="25"/>
  <c r="I95" i="25"/>
  <c r="K95" i="25"/>
  <c r="L95" i="25"/>
  <c r="N95" i="25"/>
  <c r="O95" i="25"/>
  <c r="P95" i="25"/>
  <c r="Q95" i="25"/>
  <c r="S95" i="25"/>
  <c r="T95" i="25"/>
  <c r="V95" i="25"/>
  <c r="X95" i="25"/>
  <c r="Y95" i="25"/>
  <c r="Z95" i="25"/>
  <c r="AA95" i="25"/>
  <c r="AB95" i="25"/>
  <c r="AC95" i="25"/>
  <c r="AF95" i="25"/>
  <c r="AG95" i="25"/>
  <c r="AH95" i="25"/>
  <c r="AI95" i="25"/>
  <c r="AJ95" i="25"/>
  <c r="AL95" i="25"/>
  <c r="AM95" i="25"/>
  <c r="AN95" i="25"/>
  <c r="AO95" i="25"/>
  <c r="AP95" i="25"/>
  <c r="AQ95" i="25"/>
  <c r="AR95" i="25"/>
  <c r="AS95" i="25"/>
  <c r="AT95" i="25"/>
  <c r="AU95" i="25"/>
  <c r="AV95" i="25"/>
  <c r="AW95" i="25"/>
  <c r="AX95" i="25"/>
  <c r="AY95" i="25"/>
  <c r="BB95" i="25"/>
  <c r="BC95" i="25"/>
  <c r="BD95" i="25"/>
  <c r="BE95" i="25"/>
  <c r="BF95" i="25"/>
  <c r="BG95" i="25"/>
  <c r="BH95" i="25"/>
  <c r="BI95" i="25"/>
  <c r="BJ95" i="25"/>
  <c r="BK95" i="25"/>
  <c r="BL95" i="25"/>
  <c r="BM95" i="25"/>
  <c r="BN95" i="25"/>
  <c r="BO95" i="25"/>
  <c r="D96" i="25"/>
  <c r="F96" i="25"/>
  <c r="G96" i="25"/>
  <c r="H96" i="25"/>
  <c r="I96" i="25"/>
  <c r="K96" i="25"/>
  <c r="L96" i="25"/>
  <c r="N96" i="25"/>
  <c r="O96" i="25"/>
  <c r="P96" i="25"/>
  <c r="Q96" i="25"/>
  <c r="S96" i="25"/>
  <c r="T96" i="25"/>
  <c r="V96" i="25"/>
  <c r="X96" i="25"/>
  <c r="Y96" i="25"/>
  <c r="Z96" i="25"/>
  <c r="AA96" i="25"/>
  <c r="AB96" i="25"/>
  <c r="AC96" i="25"/>
  <c r="AF96" i="25"/>
  <c r="AG96" i="25"/>
  <c r="AH96" i="25"/>
  <c r="AI96" i="25"/>
  <c r="AJ96" i="25"/>
  <c r="AL96" i="25"/>
  <c r="AM96" i="25"/>
  <c r="AN96" i="25"/>
  <c r="AO96" i="25"/>
  <c r="AP96" i="25"/>
  <c r="AQ96" i="25"/>
  <c r="AR96" i="25"/>
  <c r="AS96" i="25"/>
  <c r="AT96" i="25"/>
  <c r="AU96" i="25"/>
  <c r="AV96" i="25"/>
  <c r="AW96" i="25"/>
  <c r="AX96" i="25"/>
  <c r="AY96" i="25"/>
  <c r="BB96" i="25"/>
  <c r="BC96" i="25"/>
  <c r="BD96" i="25"/>
  <c r="BE96" i="25"/>
  <c r="BF96" i="25"/>
  <c r="BG96" i="25"/>
  <c r="BH96" i="25"/>
  <c r="BI96" i="25"/>
  <c r="BJ96" i="25"/>
  <c r="BK96" i="25"/>
  <c r="BL96" i="25"/>
  <c r="BM96" i="25"/>
  <c r="BN96" i="25"/>
  <c r="BO96" i="25"/>
  <c r="D97" i="25"/>
  <c r="F97" i="25"/>
  <c r="G97" i="25"/>
  <c r="H97" i="25"/>
  <c r="I97" i="25"/>
  <c r="K97" i="25"/>
  <c r="L97" i="25"/>
  <c r="N97" i="25"/>
  <c r="O97" i="25"/>
  <c r="P97" i="25"/>
  <c r="Q97" i="25"/>
  <c r="S97" i="25"/>
  <c r="T97" i="25"/>
  <c r="V97" i="25"/>
  <c r="X97" i="25"/>
  <c r="Y97" i="25"/>
  <c r="Z97" i="25"/>
  <c r="AA97" i="25"/>
  <c r="AB97" i="25"/>
  <c r="AC97" i="25"/>
  <c r="AF97" i="25"/>
  <c r="AG97" i="25"/>
  <c r="AH97" i="25"/>
  <c r="AI97" i="25"/>
  <c r="AJ97" i="25"/>
  <c r="AL97" i="25"/>
  <c r="AM97" i="25"/>
  <c r="AN97" i="25"/>
  <c r="AO97" i="25"/>
  <c r="AP97" i="25"/>
  <c r="AQ97" i="25"/>
  <c r="AR97" i="25"/>
  <c r="AS97" i="25"/>
  <c r="AT97" i="25"/>
  <c r="AU97" i="25"/>
  <c r="AV97" i="25"/>
  <c r="AW97" i="25"/>
  <c r="AX97" i="25"/>
  <c r="AY97" i="25"/>
  <c r="BB97" i="25"/>
  <c r="BC97" i="25"/>
  <c r="BD97" i="25"/>
  <c r="BE97" i="25"/>
  <c r="BF97" i="25"/>
  <c r="BG97" i="25"/>
  <c r="BH97" i="25"/>
  <c r="BI97" i="25"/>
  <c r="BJ97" i="25"/>
  <c r="BK97" i="25"/>
  <c r="BL97" i="25"/>
  <c r="BM97" i="25"/>
  <c r="BN97" i="25"/>
  <c r="BO97" i="25"/>
  <c r="D98" i="25"/>
  <c r="F98" i="25"/>
  <c r="G98" i="25"/>
  <c r="H98" i="25"/>
  <c r="I98" i="25"/>
  <c r="K98" i="25"/>
  <c r="L98" i="25"/>
  <c r="N98" i="25"/>
  <c r="O98" i="25"/>
  <c r="P98" i="25"/>
  <c r="Q98" i="25"/>
  <c r="S98" i="25"/>
  <c r="T98" i="25"/>
  <c r="V98" i="25"/>
  <c r="X98" i="25"/>
  <c r="Y98" i="25"/>
  <c r="Z98" i="25"/>
  <c r="AA98" i="25"/>
  <c r="AB98" i="25"/>
  <c r="AC98" i="25"/>
  <c r="AF98" i="25"/>
  <c r="AG98" i="25"/>
  <c r="AH98" i="25"/>
  <c r="AI98" i="25"/>
  <c r="AJ98" i="25"/>
  <c r="AL98" i="25"/>
  <c r="AM98" i="25"/>
  <c r="AN98" i="25"/>
  <c r="AO98" i="25"/>
  <c r="AP98" i="25"/>
  <c r="AQ98" i="25"/>
  <c r="AR98" i="25"/>
  <c r="AS98" i="25"/>
  <c r="AT98" i="25"/>
  <c r="AU98" i="25"/>
  <c r="AV98" i="25"/>
  <c r="AW98" i="25"/>
  <c r="AX98" i="25"/>
  <c r="AY98" i="25"/>
  <c r="BB98" i="25"/>
  <c r="BC98" i="25"/>
  <c r="BD98" i="25"/>
  <c r="BE98" i="25"/>
  <c r="BF98" i="25"/>
  <c r="BG98" i="25"/>
  <c r="BH98" i="25"/>
  <c r="BI98" i="25"/>
  <c r="BJ98" i="25"/>
  <c r="BK98" i="25"/>
  <c r="BL98" i="25"/>
  <c r="BM98" i="25"/>
  <c r="BN98" i="25"/>
  <c r="BO98" i="25"/>
  <c r="D99" i="25"/>
  <c r="F99" i="25"/>
  <c r="G99" i="25"/>
  <c r="H99" i="25"/>
  <c r="I99" i="25"/>
  <c r="K99" i="25"/>
  <c r="L99" i="25"/>
  <c r="N99" i="25"/>
  <c r="O99" i="25"/>
  <c r="P99" i="25"/>
  <c r="Q99" i="25"/>
  <c r="S99" i="25"/>
  <c r="T99" i="25"/>
  <c r="V99" i="25"/>
  <c r="X99" i="25"/>
  <c r="Y99" i="25"/>
  <c r="Z99" i="25"/>
  <c r="AA99" i="25"/>
  <c r="AB99" i="25"/>
  <c r="AC99" i="25"/>
  <c r="AF99" i="25"/>
  <c r="AG99" i="25"/>
  <c r="AH99" i="25"/>
  <c r="AI99" i="25"/>
  <c r="AJ99" i="25"/>
  <c r="AL99" i="25"/>
  <c r="AM99" i="25"/>
  <c r="AN99" i="25"/>
  <c r="AO99" i="25"/>
  <c r="AP99" i="25"/>
  <c r="AQ99" i="25"/>
  <c r="AR99" i="25"/>
  <c r="AS99" i="25"/>
  <c r="AT99" i="25"/>
  <c r="AU99" i="25"/>
  <c r="AV99" i="25"/>
  <c r="AW99" i="25"/>
  <c r="AX99" i="25"/>
  <c r="AY99" i="25"/>
  <c r="BB99" i="25"/>
  <c r="BC99" i="25"/>
  <c r="BD99" i="25"/>
  <c r="BE99" i="25"/>
  <c r="BF99" i="25"/>
  <c r="BG99" i="25"/>
  <c r="BH99" i="25"/>
  <c r="BI99" i="25"/>
  <c r="BJ99" i="25"/>
  <c r="BK99" i="25"/>
  <c r="BL99" i="25"/>
  <c r="BM99" i="25"/>
  <c r="BN99" i="25"/>
  <c r="BO99" i="25"/>
  <c r="D100" i="25"/>
  <c r="F100" i="25"/>
  <c r="G100" i="25"/>
  <c r="H100" i="25"/>
  <c r="I100" i="25"/>
  <c r="K100" i="25"/>
  <c r="L100" i="25"/>
  <c r="N100" i="25"/>
  <c r="O100" i="25"/>
  <c r="P100" i="25"/>
  <c r="Q100" i="25"/>
  <c r="S100" i="25"/>
  <c r="T100" i="25"/>
  <c r="V100" i="25"/>
  <c r="X100" i="25"/>
  <c r="Y100" i="25"/>
  <c r="Z100" i="25"/>
  <c r="AA100" i="25"/>
  <c r="AB100" i="25"/>
  <c r="AC100" i="25"/>
  <c r="AF100" i="25"/>
  <c r="AG100" i="25"/>
  <c r="AH100" i="25"/>
  <c r="AI100" i="25"/>
  <c r="AJ100" i="25"/>
  <c r="AL100" i="25"/>
  <c r="AM100" i="25"/>
  <c r="AN100" i="25"/>
  <c r="AO100" i="25"/>
  <c r="AP100" i="25"/>
  <c r="AQ100" i="25"/>
  <c r="AR100" i="25"/>
  <c r="AS100" i="25"/>
  <c r="AT100" i="25"/>
  <c r="AU100" i="25"/>
  <c r="AV100" i="25"/>
  <c r="AW100" i="25"/>
  <c r="AX100" i="25"/>
  <c r="AY100" i="25"/>
  <c r="BB100" i="25"/>
  <c r="BC100" i="25"/>
  <c r="BD100" i="25"/>
  <c r="BE100" i="25"/>
  <c r="BF100" i="25"/>
  <c r="BG100" i="25"/>
  <c r="BH100" i="25"/>
  <c r="BI100" i="25"/>
  <c r="BJ100" i="25"/>
  <c r="BK100" i="25"/>
  <c r="BL100" i="25"/>
  <c r="BM100" i="25"/>
  <c r="BN100" i="25"/>
  <c r="BO100" i="25"/>
  <c r="D101" i="25"/>
  <c r="F101" i="25"/>
  <c r="G101" i="25"/>
  <c r="H101" i="25"/>
  <c r="I101" i="25"/>
  <c r="K101" i="25"/>
  <c r="L101" i="25"/>
  <c r="N101" i="25"/>
  <c r="O101" i="25"/>
  <c r="P101" i="25"/>
  <c r="Q101" i="25"/>
  <c r="S101" i="25"/>
  <c r="T101" i="25"/>
  <c r="V101" i="25"/>
  <c r="X101" i="25"/>
  <c r="Y101" i="25"/>
  <c r="Z101" i="25"/>
  <c r="AA101" i="25"/>
  <c r="AB101" i="25"/>
  <c r="AC101" i="25"/>
  <c r="AF101" i="25"/>
  <c r="AG101" i="25"/>
  <c r="AH101" i="25"/>
  <c r="AI101" i="25"/>
  <c r="AJ101" i="25"/>
  <c r="AL101" i="25"/>
  <c r="AM101" i="25"/>
  <c r="AN101" i="25"/>
  <c r="AO101" i="25"/>
  <c r="AP101" i="25"/>
  <c r="AQ101" i="25"/>
  <c r="AR101" i="25"/>
  <c r="AS101" i="25"/>
  <c r="AT101" i="25"/>
  <c r="AU101" i="25"/>
  <c r="AV101" i="25"/>
  <c r="AW101" i="25"/>
  <c r="AX101" i="25"/>
  <c r="AY101" i="25"/>
  <c r="BB101" i="25"/>
  <c r="BC101" i="25"/>
  <c r="BD101" i="25"/>
  <c r="BE101" i="25"/>
  <c r="BF101" i="25"/>
  <c r="BG101" i="25"/>
  <c r="BH101" i="25"/>
  <c r="BI101" i="25"/>
  <c r="BJ101" i="25"/>
  <c r="BK101" i="25"/>
  <c r="BL101" i="25"/>
  <c r="BM101" i="25"/>
  <c r="BN101" i="25"/>
  <c r="BO101" i="25"/>
  <c r="D102" i="25"/>
  <c r="F102" i="25"/>
  <c r="G102" i="25"/>
  <c r="H102" i="25"/>
  <c r="I102" i="25"/>
  <c r="K102" i="25"/>
  <c r="L102" i="25"/>
  <c r="N102" i="25"/>
  <c r="O102" i="25"/>
  <c r="P102" i="25"/>
  <c r="Q102" i="25"/>
  <c r="S102" i="25"/>
  <c r="T102" i="25"/>
  <c r="V102" i="25"/>
  <c r="X102" i="25"/>
  <c r="Y102" i="25"/>
  <c r="Z102" i="25"/>
  <c r="AA102" i="25"/>
  <c r="AB102" i="25"/>
  <c r="AC102" i="25"/>
  <c r="AF102" i="25"/>
  <c r="AG102" i="25"/>
  <c r="AH102" i="25"/>
  <c r="AI102" i="25"/>
  <c r="AJ102" i="25"/>
  <c r="AL102" i="25"/>
  <c r="AM102" i="25"/>
  <c r="AN102" i="25"/>
  <c r="AO102" i="25"/>
  <c r="AP102" i="25"/>
  <c r="AQ102" i="25"/>
  <c r="AR102" i="25"/>
  <c r="AS102" i="25"/>
  <c r="AT102" i="25"/>
  <c r="AU102" i="25"/>
  <c r="AV102" i="25"/>
  <c r="AW102" i="25"/>
  <c r="AX102" i="25"/>
  <c r="AY102" i="25"/>
  <c r="BB102" i="25"/>
  <c r="BC102" i="25"/>
  <c r="BD102" i="25"/>
  <c r="BE102" i="25"/>
  <c r="BF102" i="25"/>
  <c r="BG102" i="25"/>
  <c r="BH102" i="25"/>
  <c r="BI102" i="25"/>
  <c r="BJ102" i="25"/>
  <c r="BK102" i="25"/>
  <c r="BL102" i="25"/>
  <c r="BM102" i="25"/>
  <c r="BN102" i="25"/>
  <c r="BO102" i="25"/>
  <c r="D103" i="25"/>
  <c r="F103" i="25"/>
  <c r="G103" i="25"/>
  <c r="H103" i="25"/>
  <c r="I103" i="25"/>
  <c r="K103" i="25"/>
  <c r="L103" i="25"/>
  <c r="N103" i="25"/>
  <c r="O103" i="25"/>
  <c r="P103" i="25"/>
  <c r="Q103" i="25"/>
  <c r="S103" i="25"/>
  <c r="T103" i="25"/>
  <c r="V103" i="25"/>
  <c r="X103" i="25"/>
  <c r="Y103" i="25"/>
  <c r="Z103" i="25"/>
  <c r="AA103" i="25"/>
  <c r="AB103" i="25"/>
  <c r="AC103" i="25"/>
  <c r="AF103" i="25"/>
  <c r="AG103" i="25"/>
  <c r="AH103" i="25"/>
  <c r="AI103" i="25"/>
  <c r="AJ103" i="25"/>
  <c r="AL103" i="25"/>
  <c r="AM103" i="25"/>
  <c r="AN103" i="25"/>
  <c r="AO103" i="25"/>
  <c r="AP103" i="25"/>
  <c r="AQ103" i="25"/>
  <c r="AR103" i="25"/>
  <c r="AS103" i="25"/>
  <c r="AT103" i="25"/>
  <c r="AU103" i="25"/>
  <c r="AV103" i="25"/>
  <c r="AW103" i="25"/>
  <c r="AX103" i="25"/>
  <c r="AY103" i="25"/>
  <c r="BB103" i="25"/>
  <c r="BC103" i="25"/>
  <c r="BD103" i="25"/>
  <c r="BE103" i="25"/>
  <c r="BF103" i="25"/>
  <c r="BG103" i="25"/>
  <c r="BH103" i="25"/>
  <c r="BI103" i="25"/>
  <c r="BJ103" i="25"/>
  <c r="BK103" i="25"/>
  <c r="BL103" i="25"/>
  <c r="BM103" i="25"/>
  <c r="BN103" i="25"/>
  <c r="BO103" i="25"/>
  <c r="D104" i="25"/>
  <c r="F104" i="25"/>
  <c r="G104" i="25"/>
  <c r="H104" i="25"/>
  <c r="I104" i="25"/>
  <c r="K104" i="25"/>
  <c r="L104" i="25"/>
  <c r="N104" i="25"/>
  <c r="O104" i="25"/>
  <c r="P104" i="25"/>
  <c r="Q104" i="25"/>
  <c r="S104" i="25"/>
  <c r="T104" i="25"/>
  <c r="V104" i="25"/>
  <c r="X104" i="25"/>
  <c r="Y104" i="25"/>
  <c r="Z104" i="25"/>
  <c r="AA104" i="25"/>
  <c r="AB104" i="25"/>
  <c r="AC104" i="25"/>
  <c r="AF104" i="25"/>
  <c r="AG104" i="25"/>
  <c r="AH104" i="25"/>
  <c r="AI104" i="25"/>
  <c r="AJ104" i="25"/>
  <c r="AL104" i="25"/>
  <c r="AM104" i="25"/>
  <c r="AN104" i="25"/>
  <c r="AO104" i="25"/>
  <c r="AP104" i="25"/>
  <c r="AQ104" i="25"/>
  <c r="AR104" i="25"/>
  <c r="AS104" i="25"/>
  <c r="AT104" i="25"/>
  <c r="AU104" i="25"/>
  <c r="AV104" i="25"/>
  <c r="AW104" i="25"/>
  <c r="AX104" i="25"/>
  <c r="AY104" i="25"/>
  <c r="BB104" i="25"/>
  <c r="BC104" i="25"/>
  <c r="BD104" i="25"/>
  <c r="BE104" i="25"/>
  <c r="BF104" i="25"/>
  <c r="BG104" i="25"/>
  <c r="BH104" i="25"/>
  <c r="BI104" i="25"/>
  <c r="BJ104" i="25"/>
  <c r="BK104" i="25"/>
  <c r="BL104" i="25"/>
  <c r="BM104" i="25"/>
  <c r="BN104" i="25"/>
  <c r="BO104" i="25"/>
  <c r="D105" i="25"/>
  <c r="F105" i="25"/>
  <c r="G105" i="25"/>
  <c r="H105" i="25"/>
  <c r="I105" i="25"/>
  <c r="K105" i="25"/>
  <c r="L105" i="25"/>
  <c r="N105" i="25"/>
  <c r="O105" i="25"/>
  <c r="P105" i="25"/>
  <c r="Q105" i="25"/>
  <c r="S105" i="25"/>
  <c r="T105" i="25"/>
  <c r="V105" i="25"/>
  <c r="X105" i="25"/>
  <c r="Y105" i="25"/>
  <c r="Z105" i="25"/>
  <c r="AA105" i="25"/>
  <c r="AB105" i="25"/>
  <c r="AC105" i="25"/>
  <c r="AF105" i="25"/>
  <c r="AG105" i="25"/>
  <c r="AH105" i="25"/>
  <c r="AI105" i="25"/>
  <c r="AJ105" i="25"/>
  <c r="AL105" i="25"/>
  <c r="AM105" i="25"/>
  <c r="AN105" i="25"/>
  <c r="AO105" i="25"/>
  <c r="AP105" i="25"/>
  <c r="AQ105" i="25"/>
  <c r="AR105" i="25"/>
  <c r="AS105" i="25"/>
  <c r="AT105" i="25"/>
  <c r="AU105" i="25"/>
  <c r="AV105" i="25"/>
  <c r="AW105" i="25"/>
  <c r="AX105" i="25"/>
  <c r="AY105" i="25"/>
  <c r="BB105" i="25"/>
  <c r="BC105" i="25"/>
  <c r="BD105" i="25"/>
  <c r="BE105" i="25"/>
  <c r="BF105" i="25"/>
  <c r="BG105" i="25"/>
  <c r="BH105" i="25"/>
  <c r="BI105" i="25"/>
  <c r="BJ105" i="25"/>
  <c r="BK105" i="25"/>
  <c r="BL105" i="25"/>
  <c r="BM105" i="25"/>
  <c r="BN105" i="25"/>
  <c r="BO105" i="25"/>
  <c r="D106" i="25"/>
  <c r="F106" i="25"/>
  <c r="G106" i="25"/>
  <c r="H106" i="25"/>
  <c r="I106" i="25"/>
  <c r="K106" i="25"/>
  <c r="L106" i="25"/>
  <c r="N106" i="25"/>
  <c r="O106" i="25"/>
  <c r="P106" i="25"/>
  <c r="Q106" i="25"/>
  <c r="S106" i="25"/>
  <c r="T106" i="25"/>
  <c r="V106" i="25"/>
  <c r="X106" i="25"/>
  <c r="Y106" i="25"/>
  <c r="Z106" i="25"/>
  <c r="AA106" i="25"/>
  <c r="AB106" i="25"/>
  <c r="AC106" i="25"/>
  <c r="AF106" i="25"/>
  <c r="AG106" i="25"/>
  <c r="AH106" i="25"/>
  <c r="AI106" i="25"/>
  <c r="AJ106" i="25"/>
  <c r="AL106" i="25"/>
  <c r="AM106" i="25"/>
  <c r="AN106" i="25"/>
  <c r="AO106" i="25"/>
  <c r="AP106" i="25"/>
  <c r="AQ106" i="25"/>
  <c r="AR106" i="25"/>
  <c r="AS106" i="25"/>
  <c r="AT106" i="25"/>
  <c r="AU106" i="25"/>
  <c r="AV106" i="25"/>
  <c r="AW106" i="25"/>
  <c r="AX106" i="25"/>
  <c r="AY106" i="25"/>
  <c r="BB106" i="25"/>
  <c r="BC106" i="25"/>
  <c r="BD106" i="25"/>
  <c r="BE106" i="25"/>
  <c r="BF106" i="25"/>
  <c r="BG106" i="25"/>
  <c r="BH106" i="25"/>
  <c r="BI106" i="25"/>
  <c r="BJ106" i="25"/>
  <c r="BK106" i="25"/>
  <c r="BL106" i="25"/>
  <c r="BM106" i="25"/>
  <c r="BN106" i="25"/>
  <c r="BO106" i="25"/>
  <c r="D107" i="25"/>
  <c r="F107" i="25"/>
  <c r="G107" i="25"/>
  <c r="H107" i="25"/>
  <c r="I107" i="25"/>
  <c r="K107" i="25"/>
  <c r="L107" i="25"/>
  <c r="N107" i="25"/>
  <c r="O107" i="25"/>
  <c r="P107" i="25"/>
  <c r="Q107" i="25"/>
  <c r="S107" i="25"/>
  <c r="T107" i="25"/>
  <c r="V107" i="25"/>
  <c r="X107" i="25"/>
  <c r="Y107" i="25"/>
  <c r="Z107" i="25"/>
  <c r="AA107" i="25"/>
  <c r="AB107" i="25"/>
  <c r="AC107" i="25"/>
  <c r="AF107" i="25"/>
  <c r="AG107" i="25"/>
  <c r="AH107" i="25"/>
  <c r="AI107" i="25"/>
  <c r="AJ107" i="25"/>
  <c r="AL107" i="25"/>
  <c r="AM107" i="25"/>
  <c r="AN107" i="25"/>
  <c r="AO107" i="25"/>
  <c r="AP107" i="25"/>
  <c r="AQ107" i="25"/>
  <c r="AR107" i="25"/>
  <c r="AS107" i="25"/>
  <c r="AT107" i="25"/>
  <c r="AU107" i="25"/>
  <c r="AV107" i="25"/>
  <c r="AW107" i="25"/>
  <c r="AX107" i="25"/>
  <c r="AY107" i="25"/>
  <c r="BB107" i="25"/>
  <c r="BC107" i="25"/>
  <c r="BD107" i="25"/>
  <c r="BE107" i="25"/>
  <c r="BF107" i="25"/>
  <c r="BG107" i="25"/>
  <c r="BH107" i="25"/>
  <c r="BI107" i="25"/>
  <c r="BJ107" i="25"/>
  <c r="BK107" i="25"/>
  <c r="BL107" i="25"/>
  <c r="BM107" i="25"/>
  <c r="BN107" i="25"/>
  <c r="BO107" i="25"/>
  <c r="D108" i="25"/>
  <c r="F108" i="25"/>
  <c r="G108" i="25"/>
  <c r="H108" i="25"/>
  <c r="I108" i="25"/>
  <c r="K108" i="25"/>
  <c r="L108" i="25"/>
  <c r="N108" i="25"/>
  <c r="O108" i="25"/>
  <c r="P108" i="25"/>
  <c r="Q108" i="25"/>
  <c r="S108" i="25"/>
  <c r="T108" i="25"/>
  <c r="V108" i="25"/>
  <c r="X108" i="25"/>
  <c r="Y108" i="25"/>
  <c r="Z108" i="25"/>
  <c r="AA108" i="25"/>
  <c r="AB108" i="25"/>
  <c r="AC108" i="25"/>
  <c r="AF108" i="25"/>
  <c r="AG108" i="25"/>
  <c r="AH108" i="25"/>
  <c r="AI108" i="25"/>
  <c r="AJ108" i="25"/>
  <c r="AL108" i="25"/>
  <c r="AM108" i="25"/>
  <c r="AN108" i="25"/>
  <c r="AO108" i="25"/>
  <c r="AP108" i="25"/>
  <c r="AQ108" i="25"/>
  <c r="AR108" i="25"/>
  <c r="AS108" i="25"/>
  <c r="AT108" i="25"/>
  <c r="AU108" i="25"/>
  <c r="AV108" i="25"/>
  <c r="AW108" i="25"/>
  <c r="AX108" i="25"/>
  <c r="AY108" i="25"/>
  <c r="BB108" i="25"/>
  <c r="BC108" i="25"/>
  <c r="BD108" i="25"/>
  <c r="BE108" i="25"/>
  <c r="BF108" i="25"/>
  <c r="BG108" i="25"/>
  <c r="BH108" i="25"/>
  <c r="BI108" i="25"/>
  <c r="BJ108" i="25"/>
  <c r="BK108" i="25"/>
  <c r="BL108" i="25"/>
  <c r="BM108" i="25"/>
  <c r="BN108" i="25"/>
  <c r="BO108" i="25"/>
  <c r="D109" i="25"/>
  <c r="F109" i="25"/>
  <c r="G109" i="25"/>
  <c r="H109" i="25"/>
  <c r="I109" i="25"/>
  <c r="K109" i="25"/>
  <c r="L109" i="25"/>
  <c r="N109" i="25"/>
  <c r="O109" i="25"/>
  <c r="P109" i="25"/>
  <c r="Q109" i="25"/>
  <c r="S109" i="25"/>
  <c r="T109" i="25"/>
  <c r="V109" i="25"/>
  <c r="X109" i="25"/>
  <c r="Y109" i="25"/>
  <c r="Z109" i="25"/>
  <c r="AA109" i="25"/>
  <c r="AB109" i="25"/>
  <c r="AC109" i="25"/>
  <c r="AF109" i="25"/>
  <c r="AG109" i="25"/>
  <c r="AH109" i="25"/>
  <c r="AI109" i="25"/>
  <c r="AJ109" i="25"/>
  <c r="AL109" i="25"/>
  <c r="AM109" i="25"/>
  <c r="AN109" i="25"/>
  <c r="AO109" i="25"/>
  <c r="AP109" i="25"/>
  <c r="AQ109" i="25"/>
  <c r="AR109" i="25"/>
  <c r="AS109" i="25"/>
  <c r="AT109" i="25"/>
  <c r="AU109" i="25"/>
  <c r="AV109" i="25"/>
  <c r="AW109" i="25"/>
  <c r="AX109" i="25"/>
  <c r="AY109" i="25"/>
  <c r="BB109" i="25"/>
  <c r="BC109" i="25"/>
  <c r="BD109" i="25"/>
  <c r="BE109" i="25"/>
  <c r="BF109" i="25"/>
  <c r="BG109" i="25"/>
  <c r="BH109" i="25"/>
  <c r="BI109" i="25"/>
  <c r="BJ109" i="25"/>
  <c r="BK109" i="25"/>
  <c r="BL109" i="25"/>
  <c r="BM109" i="25"/>
  <c r="BN109" i="25"/>
  <c r="BO109" i="25"/>
  <c r="D110" i="25"/>
  <c r="F110" i="25"/>
  <c r="G110" i="25"/>
  <c r="H110" i="25"/>
  <c r="I110" i="25"/>
  <c r="K110" i="25"/>
  <c r="L110" i="25"/>
  <c r="N110" i="25"/>
  <c r="O110" i="25"/>
  <c r="P110" i="25"/>
  <c r="Q110" i="25"/>
  <c r="S110" i="25"/>
  <c r="T110" i="25"/>
  <c r="V110" i="25"/>
  <c r="X110" i="25"/>
  <c r="Y110" i="25"/>
  <c r="Z110" i="25"/>
  <c r="AA110" i="25"/>
  <c r="AB110" i="25"/>
  <c r="AC110" i="25"/>
  <c r="AF110" i="25"/>
  <c r="AG110" i="25"/>
  <c r="AH110" i="25"/>
  <c r="AI110" i="25"/>
  <c r="AJ110" i="25"/>
  <c r="AL110" i="25"/>
  <c r="AM110" i="25"/>
  <c r="AN110" i="25"/>
  <c r="AO110" i="25"/>
  <c r="AP110" i="25"/>
  <c r="AQ110" i="25"/>
  <c r="AR110" i="25"/>
  <c r="AS110" i="25"/>
  <c r="AT110" i="25"/>
  <c r="AU110" i="25"/>
  <c r="AV110" i="25"/>
  <c r="AW110" i="25"/>
  <c r="AX110" i="25"/>
  <c r="AY110" i="25"/>
  <c r="BB110" i="25"/>
  <c r="BC110" i="25"/>
  <c r="BD110" i="25"/>
  <c r="BE110" i="25"/>
  <c r="BF110" i="25"/>
  <c r="BG110" i="25"/>
  <c r="BH110" i="25"/>
  <c r="BI110" i="25"/>
  <c r="BJ110" i="25"/>
  <c r="BK110" i="25"/>
  <c r="BL110" i="25"/>
  <c r="BM110" i="25"/>
  <c r="BN110" i="25"/>
  <c r="BO110" i="25"/>
  <c r="D111" i="25"/>
  <c r="F111" i="25"/>
  <c r="G111" i="25"/>
  <c r="H111" i="25"/>
  <c r="I111" i="25"/>
  <c r="K111" i="25"/>
  <c r="L111" i="25"/>
  <c r="N111" i="25"/>
  <c r="O111" i="25"/>
  <c r="P111" i="25"/>
  <c r="Q111" i="25"/>
  <c r="S111" i="25"/>
  <c r="T111" i="25"/>
  <c r="V111" i="25"/>
  <c r="X111" i="25"/>
  <c r="Y111" i="25"/>
  <c r="Z111" i="25"/>
  <c r="AA111" i="25"/>
  <c r="AB111" i="25"/>
  <c r="AC111" i="25"/>
  <c r="AF111" i="25"/>
  <c r="AG111" i="25"/>
  <c r="AH111" i="25"/>
  <c r="AI111" i="25"/>
  <c r="AJ111" i="25"/>
  <c r="AL111" i="25"/>
  <c r="AM111" i="25"/>
  <c r="AN111" i="25"/>
  <c r="AO111" i="25"/>
  <c r="AP111" i="25"/>
  <c r="AQ111" i="25"/>
  <c r="AR111" i="25"/>
  <c r="AS111" i="25"/>
  <c r="AT111" i="25"/>
  <c r="AU111" i="25"/>
  <c r="AV111" i="25"/>
  <c r="AW111" i="25"/>
  <c r="AX111" i="25"/>
  <c r="AY111" i="25"/>
  <c r="BB111" i="25"/>
  <c r="BC111" i="25"/>
  <c r="BD111" i="25"/>
  <c r="BE111" i="25"/>
  <c r="BF111" i="25"/>
  <c r="BG111" i="25"/>
  <c r="BH111" i="25"/>
  <c r="BI111" i="25"/>
  <c r="BJ111" i="25"/>
  <c r="BK111" i="25"/>
  <c r="BL111" i="25"/>
  <c r="BM111" i="25"/>
  <c r="BN111" i="25"/>
  <c r="BO111" i="25"/>
  <c r="D112" i="25"/>
  <c r="F112" i="25"/>
  <c r="G112" i="25"/>
  <c r="H112" i="25"/>
  <c r="I112" i="25"/>
  <c r="K112" i="25"/>
  <c r="L112" i="25"/>
  <c r="N112" i="25"/>
  <c r="O112" i="25"/>
  <c r="P112" i="25"/>
  <c r="Q112" i="25"/>
  <c r="S112" i="25"/>
  <c r="T112" i="25"/>
  <c r="V112" i="25"/>
  <c r="X112" i="25"/>
  <c r="Y112" i="25"/>
  <c r="Z112" i="25"/>
  <c r="AA112" i="25"/>
  <c r="AB112" i="25"/>
  <c r="AC112" i="25"/>
  <c r="AF112" i="25"/>
  <c r="AG112" i="25"/>
  <c r="AH112" i="25"/>
  <c r="AI112" i="25"/>
  <c r="AJ112" i="25"/>
  <c r="AL112" i="25"/>
  <c r="AM112" i="25"/>
  <c r="AN112" i="25"/>
  <c r="AO112" i="25"/>
  <c r="AP112" i="25"/>
  <c r="AQ112" i="25"/>
  <c r="AR112" i="25"/>
  <c r="AS112" i="25"/>
  <c r="AT112" i="25"/>
  <c r="AU112" i="25"/>
  <c r="AV112" i="25"/>
  <c r="AW112" i="25"/>
  <c r="AX112" i="25"/>
  <c r="AY112" i="25"/>
  <c r="BB112" i="25"/>
  <c r="BC112" i="25"/>
  <c r="BD112" i="25"/>
  <c r="BE112" i="25"/>
  <c r="BF112" i="25"/>
  <c r="BG112" i="25"/>
  <c r="BH112" i="25"/>
  <c r="BI112" i="25"/>
  <c r="BJ112" i="25"/>
  <c r="BK112" i="25"/>
  <c r="BL112" i="25"/>
  <c r="BM112" i="25"/>
  <c r="BN112" i="25"/>
  <c r="BO112" i="25"/>
  <c r="D113" i="25"/>
  <c r="F113" i="25"/>
  <c r="G113" i="25"/>
  <c r="H113" i="25"/>
  <c r="I113" i="25"/>
  <c r="K113" i="25"/>
  <c r="L113" i="25"/>
  <c r="N113" i="25"/>
  <c r="O113" i="25"/>
  <c r="P113" i="25"/>
  <c r="Q113" i="25"/>
  <c r="S113" i="25"/>
  <c r="T113" i="25"/>
  <c r="V113" i="25"/>
  <c r="X113" i="25"/>
  <c r="Y113" i="25"/>
  <c r="Z113" i="25"/>
  <c r="AA113" i="25"/>
  <c r="AB113" i="25"/>
  <c r="AC113" i="25"/>
  <c r="AF113" i="25"/>
  <c r="AG113" i="25"/>
  <c r="AH113" i="25"/>
  <c r="AI113" i="25"/>
  <c r="AJ113" i="25"/>
  <c r="AL113" i="25"/>
  <c r="AM113" i="25"/>
  <c r="AN113" i="25"/>
  <c r="AO113" i="25"/>
  <c r="AP113" i="25"/>
  <c r="AQ113" i="25"/>
  <c r="AR113" i="25"/>
  <c r="AS113" i="25"/>
  <c r="AT113" i="25"/>
  <c r="AU113" i="25"/>
  <c r="AV113" i="25"/>
  <c r="AW113" i="25"/>
  <c r="AX113" i="25"/>
  <c r="AY113" i="25"/>
  <c r="BB113" i="25"/>
  <c r="BC113" i="25"/>
  <c r="BD113" i="25"/>
  <c r="BE113" i="25"/>
  <c r="BF113" i="25"/>
  <c r="BG113" i="25"/>
  <c r="BH113" i="25"/>
  <c r="BI113" i="25"/>
  <c r="BJ113" i="25"/>
  <c r="BK113" i="25"/>
  <c r="BL113" i="25"/>
  <c r="BM113" i="25"/>
  <c r="BN113" i="25"/>
  <c r="BO113" i="25"/>
  <c r="D114" i="25"/>
  <c r="F114" i="25"/>
  <c r="G114" i="25"/>
  <c r="H114" i="25"/>
  <c r="I114" i="25"/>
  <c r="K114" i="25"/>
  <c r="L114" i="25"/>
  <c r="N114" i="25"/>
  <c r="O114" i="25"/>
  <c r="P114" i="25"/>
  <c r="Q114" i="25"/>
  <c r="S114" i="25"/>
  <c r="T114" i="25"/>
  <c r="V114" i="25"/>
  <c r="X114" i="25"/>
  <c r="Y114" i="25"/>
  <c r="Z114" i="25"/>
  <c r="AA114" i="25"/>
  <c r="AB114" i="25"/>
  <c r="AC114" i="25"/>
  <c r="AF114" i="25"/>
  <c r="AG114" i="25"/>
  <c r="AH114" i="25"/>
  <c r="AI114" i="25"/>
  <c r="AJ114" i="25"/>
  <c r="AL114" i="25"/>
  <c r="AM114" i="25"/>
  <c r="AN114" i="25"/>
  <c r="AO114" i="25"/>
  <c r="AP114" i="25"/>
  <c r="AQ114" i="25"/>
  <c r="AR114" i="25"/>
  <c r="AS114" i="25"/>
  <c r="AT114" i="25"/>
  <c r="AU114" i="25"/>
  <c r="AV114" i="25"/>
  <c r="AW114" i="25"/>
  <c r="AX114" i="25"/>
  <c r="AY114" i="25"/>
  <c r="BB114" i="25"/>
  <c r="BC114" i="25"/>
  <c r="BD114" i="25"/>
  <c r="BE114" i="25"/>
  <c r="BF114" i="25"/>
  <c r="BG114" i="25"/>
  <c r="BH114" i="25"/>
  <c r="BI114" i="25"/>
  <c r="BJ114" i="25"/>
  <c r="BK114" i="25"/>
  <c r="BL114" i="25"/>
  <c r="BM114" i="25"/>
  <c r="BN114" i="25"/>
  <c r="BO114" i="25"/>
  <c r="D115" i="25"/>
  <c r="F115" i="25"/>
  <c r="G115" i="25"/>
  <c r="H115" i="25"/>
  <c r="I115" i="25"/>
  <c r="K115" i="25"/>
  <c r="L115" i="25"/>
  <c r="N115" i="25"/>
  <c r="O115" i="25"/>
  <c r="P115" i="25"/>
  <c r="Q115" i="25"/>
  <c r="S115" i="25"/>
  <c r="T115" i="25"/>
  <c r="V115" i="25"/>
  <c r="X115" i="25"/>
  <c r="Y115" i="25"/>
  <c r="Z115" i="25"/>
  <c r="AA115" i="25"/>
  <c r="AB115" i="25"/>
  <c r="AC115" i="25"/>
  <c r="AF115" i="25"/>
  <c r="AG115" i="25"/>
  <c r="AH115" i="25"/>
  <c r="AI115" i="25"/>
  <c r="AJ115" i="25"/>
  <c r="AL115" i="25"/>
  <c r="AM115" i="25"/>
  <c r="AN115" i="25"/>
  <c r="AO115" i="25"/>
  <c r="AP115" i="25"/>
  <c r="AQ115" i="25"/>
  <c r="AR115" i="25"/>
  <c r="AS115" i="25"/>
  <c r="AT115" i="25"/>
  <c r="AU115" i="25"/>
  <c r="AV115" i="25"/>
  <c r="AW115" i="25"/>
  <c r="AX115" i="25"/>
  <c r="AY115" i="25"/>
  <c r="BB115" i="25"/>
  <c r="BC115" i="25"/>
  <c r="BD115" i="25"/>
  <c r="BE115" i="25"/>
  <c r="BF115" i="25"/>
  <c r="BG115" i="25"/>
  <c r="BH115" i="25"/>
  <c r="BI115" i="25"/>
  <c r="BJ115" i="25"/>
  <c r="BK115" i="25"/>
  <c r="BL115" i="25"/>
  <c r="BM115" i="25"/>
  <c r="BN115" i="25"/>
  <c r="BO115" i="25"/>
  <c r="D116" i="25"/>
  <c r="F116" i="25"/>
  <c r="G116" i="25"/>
  <c r="H116" i="25"/>
  <c r="I116" i="25"/>
  <c r="K116" i="25"/>
  <c r="L116" i="25"/>
  <c r="N116" i="25"/>
  <c r="O116" i="25"/>
  <c r="P116" i="25"/>
  <c r="Q116" i="25"/>
  <c r="S116" i="25"/>
  <c r="T116" i="25"/>
  <c r="V116" i="25"/>
  <c r="X116" i="25"/>
  <c r="Y116" i="25"/>
  <c r="Z116" i="25"/>
  <c r="AA116" i="25"/>
  <c r="AB116" i="25"/>
  <c r="AC116" i="25"/>
  <c r="AF116" i="25"/>
  <c r="AG116" i="25"/>
  <c r="AH116" i="25"/>
  <c r="AI116" i="25"/>
  <c r="AJ116" i="25"/>
  <c r="AL116" i="25"/>
  <c r="AM116" i="25"/>
  <c r="AN116" i="25"/>
  <c r="AO116" i="25"/>
  <c r="AP116" i="25"/>
  <c r="AQ116" i="25"/>
  <c r="AR116" i="25"/>
  <c r="AS116" i="25"/>
  <c r="AT116" i="25"/>
  <c r="AU116" i="25"/>
  <c r="AV116" i="25"/>
  <c r="AW116" i="25"/>
  <c r="AX116" i="25"/>
  <c r="AY116" i="25"/>
  <c r="BB116" i="25"/>
  <c r="BC116" i="25"/>
  <c r="BD116" i="25"/>
  <c r="BE116" i="25"/>
  <c r="BF116" i="25"/>
  <c r="BG116" i="25"/>
  <c r="BH116" i="25"/>
  <c r="BI116" i="25"/>
  <c r="BJ116" i="25"/>
  <c r="BK116" i="25"/>
  <c r="BL116" i="25"/>
  <c r="BM116" i="25"/>
  <c r="BN116" i="25"/>
  <c r="BO116" i="25"/>
  <c r="D117" i="25"/>
  <c r="F117" i="25"/>
  <c r="G117" i="25"/>
  <c r="H117" i="25"/>
  <c r="I117" i="25"/>
  <c r="K117" i="25"/>
  <c r="L117" i="25"/>
  <c r="N117" i="25"/>
  <c r="O117" i="25"/>
  <c r="P117" i="25"/>
  <c r="Q117" i="25"/>
  <c r="S117" i="25"/>
  <c r="T117" i="25"/>
  <c r="V117" i="25"/>
  <c r="X117" i="25"/>
  <c r="Y117" i="25"/>
  <c r="Z117" i="25"/>
  <c r="AA117" i="25"/>
  <c r="AB117" i="25"/>
  <c r="AC117" i="25"/>
  <c r="AF117" i="25"/>
  <c r="AG117" i="25"/>
  <c r="AH117" i="25"/>
  <c r="AI117" i="25"/>
  <c r="AJ117" i="25"/>
  <c r="AL117" i="25"/>
  <c r="AM117" i="25"/>
  <c r="AN117" i="25"/>
  <c r="AO117" i="25"/>
  <c r="AP117" i="25"/>
  <c r="AQ117" i="25"/>
  <c r="AR117" i="25"/>
  <c r="AS117" i="25"/>
  <c r="AT117" i="25"/>
  <c r="AU117" i="25"/>
  <c r="AV117" i="25"/>
  <c r="AW117" i="25"/>
  <c r="AX117" i="25"/>
  <c r="AY117" i="25"/>
  <c r="BB117" i="25"/>
  <c r="BC117" i="25"/>
  <c r="BD117" i="25"/>
  <c r="BE117" i="25"/>
  <c r="BF117" i="25"/>
  <c r="BG117" i="25"/>
  <c r="BH117" i="25"/>
  <c r="BI117" i="25"/>
  <c r="BJ117" i="25"/>
  <c r="BK117" i="25"/>
  <c r="BL117" i="25"/>
  <c r="BM117" i="25"/>
  <c r="BN117" i="25"/>
  <c r="BO117" i="25"/>
  <c r="D118" i="25"/>
  <c r="F118" i="25"/>
  <c r="G118" i="25"/>
  <c r="H118" i="25"/>
  <c r="I118" i="25"/>
  <c r="K118" i="25"/>
  <c r="L118" i="25"/>
  <c r="N118" i="25"/>
  <c r="O118" i="25"/>
  <c r="P118" i="25"/>
  <c r="Q118" i="25"/>
  <c r="S118" i="25"/>
  <c r="T118" i="25"/>
  <c r="V118" i="25"/>
  <c r="X118" i="25"/>
  <c r="Y118" i="25"/>
  <c r="Z118" i="25"/>
  <c r="AA118" i="25"/>
  <c r="AB118" i="25"/>
  <c r="AC118" i="25"/>
  <c r="AF118" i="25"/>
  <c r="AG118" i="25"/>
  <c r="AH118" i="25"/>
  <c r="AI118" i="25"/>
  <c r="AJ118" i="25"/>
  <c r="AL118" i="25"/>
  <c r="AM118" i="25"/>
  <c r="AN118" i="25"/>
  <c r="AO118" i="25"/>
  <c r="AP118" i="25"/>
  <c r="AQ118" i="25"/>
  <c r="AR118" i="25"/>
  <c r="AS118" i="25"/>
  <c r="AT118" i="25"/>
  <c r="AU118" i="25"/>
  <c r="AV118" i="25"/>
  <c r="AW118" i="25"/>
  <c r="AX118" i="25"/>
  <c r="AY118" i="25"/>
  <c r="BB118" i="25"/>
  <c r="BC118" i="25"/>
  <c r="BD118" i="25"/>
  <c r="BE118" i="25"/>
  <c r="BF118" i="25"/>
  <c r="BG118" i="25"/>
  <c r="BH118" i="25"/>
  <c r="BI118" i="25"/>
  <c r="BJ118" i="25"/>
  <c r="BK118" i="25"/>
  <c r="BL118" i="25"/>
  <c r="BM118" i="25"/>
  <c r="BN118" i="25"/>
  <c r="BO118" i="25"/>
  <c r="D119" i="25"/>
  <c r="F119" i="25"/>
  <c r="G119" i="25"/>
  <c r="H119" i="25"/>
  <c r="I119" i="25"/>
  <c r="K119" i="25"/>
  <c r="L119" i="25"/>
  <c r="N119" i="25"/>
  <c r="O119" i="25"/>
  <c r="P119" i="25"/>
  <c r="Q119" i="25"/>
  <c r="S119" i="25"/>
  <c r="T119" i="25"/>
  <c r="V119" i="25"/>
  <c r="X119" i="25"/>
  <c r="Y119" i="25"/>
  <c r="Z119" i="25"/>
  <c r="AA119" i="25"/>
  <c r="AB119" i="25"/>
  <c r="AC119" i="25"/>
  <c r="AF119" i="25"/>
  <c r="AG119" i="25"/>
  <c r="AH119" i="25"/>
  <c r="AI119" i="25"/>
  <c r="AJ119" i="25"/>
  <c r="AL119" i="25"/>
  <c r="AM119" i="25"/>
  <c r="AN119" i="25"/>
  <c r="AO119" i="25"/>
  <c r="AP119" i="25"/>
  <c r="AQ119" i="25"/>
  <c r="AR119" i="25"/>
  <c r="AS119" i="25"/>
  <c r="AT119" i="25"/>
  <c r="AU119" i="25"/>
  <c r="AV119" i="25"/>
  <c r="AW119" i="25"/>
  <c r="AX119" i="25"/>
  <c r="AY119" i="25"/>
  <c r="BB119" i="25"/>
  <c r="BC119" i="25"/>
  <c r="BD119" i="25"/>
  <c r="BE119" i="25"/>
  <c r="BF119" i="25"/>
  <c r="BG119" i="25"/>
  <c r="BH119" i="25"/>
  <c r="BI119" i="25"/>
  <c r="BJ119" i="25"/>
  <c r="BK119" i="25"/>
  <c r="BL119" i="25"/>
  <c r="BM119" i="25"/>
  <c r="BN119" i="25"/>
  <c r="BO119" i="25"/>
  <c r="D120" i="25"/>
  <c r="F120" i="25"/>
  <c r="G120" i="25"/>
  <c r="H120" i="25"/>
  <c r="I120" i="25"/>
  <c r="K120" i="25"/>
  <c r="L120" i="25"/>
  <c r="N120" i="25"/>
  <c r="O120" i="25"/>
  <c r="P120" i="25"/>
  <c r="Q120" i="25"/>
  <c r="S120" i="25"/>
  <c r="T120" i="25"/>
  <c r="V120" i="25"/>
  <c r="X120" i="25"/>
  <c r="Y120" i="25"/>
  <c r="Z120" i="25"/>
  <c r="AA120" i="25"/>
  <c r="AB120" i="25"/>
  <c r="AC120" i="25"/>
  <c r="AF120" i="25"/>
  <c r="AG120" i="25"/>
  <c r="AH120" i="25"/>
  <c r="AI120" i="25"/>
  <c r="AJ120" i="25"/>
  <c r="AL120" i="25"/>
  <c r="AM120" i="25"/>
  <c r="AN120" i="25"/>
  <c r="AO120" i="25"/>
  <c r="AP120" i="25"/>
  <c r="AQ120" i="25"/>
  <c r="AR120" i="25"/>
  <c r="AS120" i="25"/>
  <c r="AT120" i="25"/>
  <c r="AU120" i="25"/>
  <c r="AV120" i="25"/>
  <c r="AW120" i="25"/>
  <c r="AX120" i="25"/>
  <c r="AY120" i="25"/>
  <c r="BB120" i="25"/>
  <c r="BC120" i="25"/>
  <c r="BD120" i="25"/>
  <c r="BE120" i="25"/>
  <c r="BF120" i="25"/>
  <c r="BG120" i="25"/>
  <c r="BH120" i="25"/>
  <c r="BI120" i="25"/>
  <c r="BJ120" i="25"/>
  <c r="BK120" i="25"/>
  <c r="BL120" i="25"/>
  <c r="BM120" i="25"/>
  <c r="BN120" i="25"/>
  <c r="BO120" i="25"/>
  <c r="D121" i="25"/>
  <c r="F121" i="25"/>
  <c r="G121" i="25"/>
  <c r="H121" i="25"/>
  <c r="I121" i="25"/>
  <c r="K121" i="25"/>
  <c r="L121" i="25"/>
  <c r="N121" i="25"/>
  <c r="O121" i="25"/>
  <c r="P121" i="25"/>
  <c r="Q121" i="25"/>
  <c r="S121" i="25"/>
  <c r="T121" i="25"/>
  <c r="V121" i="25"/>
  <c r="X121" i="25"/>
  <c r="Y121" i="25"/>
  <c r="Z121" i="25"/>
  <c r="AA121" i="25"/>
  <c r="AB121" i="25"/>
  <c r="AC121" i="25"/>
  <c r="AF121" i="25"/>
  <c r="AG121" i="25"/>
  <c r="AH121" i="25"/>
  <c r="AI121" i="25"/>
  <c r="AJ121" i="25"/>
  <c r="AL121" i="25"/>
  <c r="AM121" i="25"/>
  <c r="AN121" i="25"/>
  <c r="AO121" i="25"/>
  <c r="AP121" i="25"/>
  <c r="AQ121" i="25"/>
  <c r="AR121" i="25"/>
  <c r="AS121" i="25"/>
  <c r="AT121" i="25"/>
  <c r="AU121" i="25"/>
  <c r="AV121" i="25"/>
  <c r="AW121" i="25"/>
  <c r="AX121" i="25"/>
  <c r="AY121" i="25"/>
  <c r="BB121" i="25"/>
  <c r="BC121" i="25"/>
  <c r="BD121" i="25"/>
  <c r="BE121" i="25"/>
  <c r="BF121" i="25"/>
  <c r="BG121" i="25"/>
  <c r="BH121" i="25"/>
  <c r="BI121" i="25"/>
  <c r="BJ121" i="25"/>
  <c r="BK121" i="25"/>
  <c r="BL121" i="25"/>
  <c r="BM121" i="25"/>
  <c r="BN121" i="25"/>
  <c r="BO121" i="25"/>
  <c r="D122" i="25"/>
  <c r="F122" i="25"/>
  <c r="G122" i="25"/>
  <c r="H122" i="25"/>
  <c r="I122" i="25"/>
  <c r="K122" i="25"/>
  <c r="L122" i="25"/>
  <c r="N122" i="25"/>
  <c r="O122" i="25"/>
  <c r="P122" i="25"/>
  <c r="Q122" i="25"/>
  <c r="S122" i="25"/>
  <c r="T122" i="25"/>
  <c r="V122" i="25"/>
  <c r="X122" i="25"/>
  <c r="Y122" i="25"/>
  <c r="Z122" i="25"/>
  <c r="AA122" i="25"/>
  <c r="AB122" i="25"/>
  <c r="AC122" i="25"/>
  <c r="AF122" i="25"/>
  <c r="AG122" i="25"/>
  <c r="AH122" i="25"/>
  <c r="AI122" i="25"/>
  <c r="AJ122" i="25"/>
  <c r="AL122" i="25"/>
  <c r="AM122" i="25"/>
  <c r="AN122" i="25"/>
  <c r="AO122" i="25"/>
  <c r="AP122" i="25"/>
  <c r="AQ122" i="25"/>
  <c r="AR122" i="25"/>
  <c r="AS122" i="25"/>
  <c r="AT122" i="25"/>
  <c r="AU122" i="25"/>
  <c r="AV122" i="25"/>
  <c r="AW122" i="25"/>
  <c r="AX122" i="25"/>
  <c r="AY122" i="25"/>
  <c r="BB122" i="25"/>
  <c r="BC122" i="25"/>
  <c r="BD122" i="25"/>
  <c r="BE122" i="25"/>
  <c r="BF122" i="25"/>
  <c r="BG122" i="25"/>
  <c r="BH122" i="25"/>
  <c r="BI122" i="25"/>
  <c r="BJ122" i="25"/>
  <c r="BK122" i="25"/>
  <c r="BL122" i="25"/>
  <c r="BM122" i="25"/>
  <c r="BN122" i="25"/>
  <c r="BO122" i="25"/>
  <c r="F1" i="26"/>
  <c r="AV1" i="26"/>
  <c r="A2" i="26"/>
  <c r="F2" i="26"/>
  <c r="G2" i="26"/>
  <c r="N2" i="26"/>
  <c r="AV2" i="26"/>
  <c r="AW2" i="26"/>
  <c r="AX2" i="26"/>
  <c r="AY2" i="26"/>
  <c r="BW2" i="26"/>
  <c r="BX2" i="26"/>
  <c r="BY2" i="26"/>
  <c r="BZ2" i="26"/>
  <c r="CA2" i="26"/>
  <c r="CB2" i="26"/>
  <c r="CC2" i="26"/>
  <c r="CD2" i="26"/>
  <c r="CE2" i="26"/>
  <c r="CF2" i="26"/>
  <c r="CG2" i="26"/>
  <c r="CH2" i="26"/>
  <c r="CI2" i="26"/>
  <c r="CJ2" i="26"/>
  <c r="CK2" i="26"/>
  <c r="CL2" i="26"/>
  <c r="CM2" i="26"/>
  <c r="CN2" i="26"/>
  <c r="CO2" i="26"/>
  <c r="CP2" i="26"/>
  <c r="CQ2" i="26"/>
  <c r="CR2" i="26"/>
  <c r="CS2" i="26"/>
  <c r="CT2" i="26"/>
  <c r="CU2" i="26"/>
  <c r="CV2" i="26"/>
  <c r="CW2" i="26"/>
  <c r="CX2" i="26"/>
  <c r="A3" i="26"/>
  <c r="AH3" i="26"/>
  <c r="AK3" i="26"/>
  <c r="AV3" i="26"/>
  <c r="AW3" i="26"/>
  <c r="AX3" i="26"/>
  <c r="AY3" i="26"/>
  <c r="A4" i="26"/>
  <c r="N4" i="26"/>
  <c r="P4" i="26"/>
  <c r="T4" i="26"/>
  <c r="V4" i="26"/>
  <c r="W4" i="26"/>
  <c r="AH4" i="26"/>
  <c r="AK4" i="26"/>
  <c r="AM4" i="26"/>
  <c r="AN4" i="26"/>
  <c r="AO4" i="26"/>
  <c r="AP4" i="26"/>
  <c r="AQ4" i="26"/>
  <c r="AR4" i="26"/>
  <c r="AS4" i="26"/>
  <c r="AT4" i="26"/>
  <c r="AV4" i="26"/>
  <c r="AW4" i="26"/>
  <c r="AX4" i="26"/>
  <c r="AY4" i="26"/>
  <c r="A5" i="26"/>
  <c r="G5" i="26"/>
  <c r="N5" i="26"/>
  <c r="P5" i="26"/>
  <c r="T5" i="26"/>
  <c r="V5" i="26"/>
  <c r="W5" i="26"/>
  <c r="AH5" i="26"/>
  <c r="AK5" i="26"/>
  <c r="AM5" i="26"/>
  <c r="AN5" i="26"/>
  <c r="AO5" i="26"/>
  <c r="AP5" i="26"/>
  <c r="AQ5" i="26"/>
  <c r="AR5" i="26"/>
  <c r="AS5" i="26"/>
  <c r="AT5" i="26"/>
  <c r="AV5" i="26"/>
  <c r="AW5" i="26"/>
  <c r="AX5" i="26"/>
  <c r="AY5" i="26"/>
  <c r="BV5" i="26"/>
  <c r="A6" i="26"/>
  <c r="N6" i="26"/>
  <c r="P6" i="26"/>
  <c r="T6" i="26"/>
  <c r="V6" i="26"/>
  <c r="W6" i="26"/>
  <c r="AH6" i="26"/>
  <c r="AK6" i="26"/>
  <c r="AM6" i="26"/>
  <c r="AN6" i="26"/>
  <c r="AO6" i="26"/>
  <c r="AP6" i="26"/>
  <c r="AQ6" i="26"/>
  <c r="AR6" i="26"/>
  <c r="AS6" i="26"/>
  <c r="AT6" i="26"/>
  <c r="A7" i="26"/>
  <c r="G7" i="26"/>
  <c r="N7" i="26"/>
  <c r="N7" i="26" a="1"/>
  <c r="P7" i="26"/>
  <c r="T7" i="26"/>
  <c r="AH7" i="26"/>
  <c r="AK7" i="26"/>
  <c r="AM7" i="26"/>
  <c r="AN7" i="26"/>
  <c r="AO7" i="26"/>
  <c r="AP7" i="26"/>
  <c r="AQ7" i="26"/>
  <c r="AR7" i="26"/>
  <c r="AS7" i="26"/>
  <c r="AT7" i="26"/>
  <c r="AV7" i="26"/>
  <c r="AW7" i="26"/>
  <c r="AX7" i="26"/>
  <c r="AY7" i="26"/>
  <c r="G8" i="26"/>
  <c r="N8" i="26"/>
  <c r="N8" i="26" a="1"/>
  <c r="P8" i="26"/>
  <c r="T8" i="26"/>
  <c r="V8" i="26"/>
  <c r="W8" i="26"/>
  <c r="Y8" i="26"/>
  <c r="Z8" i="26"/>
  <c r="AH8" i="26"/>
  <c r="AK8" i="26"/>
  <c r="AM8" i="26"/>
  <c r="AN8" i="26"/>
  <c r="AO8" i="26"/>
  <c r="AP8" i="26"/>
  <c r="AQ8" i="26"/>
  <c r="AR8" i="26"/>
  <c r="AS8" i="26"/>
  <c r="AT8" i="26"/>
  <c r="AV8" i="26"/>
  <c r="AW8" i="26"/>
  <c r="AX8" i="26"/>
  <c r="AY8" i="26"/>
  <c r="N9" i="26"/>
  <c r="N9" i="26" a="1"/>
  <c r="P9" i="26"/>
  <c r="AK9" i="26"/>
  <c r="AM9" i="26"/>
  <c r="AN9" i="26"/>
  <c r="AO9" i="26"/>
  <c r="AP9" i="26"/>
  <c r="AQ9" i="26"/>
  <c r="AR9" i="26"/>
  <c r="AS9" i="26"/>
  <c r="AT9" i="26"/>
  <c r="AV9" i="26"/>
  <c r="AW9" i="26"/>
  <c r="AX9" i="26"/>
  <c r="AY9" i="26"/>
  <c r="N10" i="26"/>
  <c r="P10" i="26"/>
  <c r="AH10" i="26"/>
  <c r="AM10" i="26"/>
  <c r="AN10" i="26"/>
  <c r="AO10" i="26"/>
  <c r="AP10" i="26"/>
  <c r="AQ10" i="26"/>
  <c r="AR10" i="26"/>
  <c r="AS10" i="26"/>
  <c r="AT10" i="26"/>
  <c r="AV10" i="26"/>
  <c r="AW10" i="26"/>
  <c r="AX10" i="26"/>
  <c r="AY10" i="26"/>
  <c r="D11" i="26"/>
  <c r="N11" i="26"/>
  <c r="P11" i="26"/>
  <c r="AM11" i="26"/>
  <c r="AN11" i="26"/>
  <c r="AO11" i="26"/>
  <c r="AP11" i="26"/>
  <c r="AQ11" i="26"/>
  <c r="AR11" i="26"/>
  <c r="AS11" i="26"/>
  <c r="AT11" i="26"/>
  <c r="AV11" i="26"/>
  <c r="AW11" i="26"/>
  <c r="AX11" i="26"/>
  <c r="AY11" i="26"/>
  <c r="D12" i="26"/>
  <c r="N12" i="26"/>
  <c r="P12" i="26"/>
  <c r="AH12" i="26"/>
  <c r="AM12" i="26"/>
  <c r="AN12" i="26"/>
  <c r="AO12" i="26"/>
  <c r="AP12" i="26"/>
  <c r="AQ12" i="26"/>
  <c r="AR12" i="26"/>
  <c r="AS12" i="26"/>
  <c r="AT12" i="26"/>
  <c r="AV12" i="26"/>
  <c r="AW12" i="26"/>
  <c r="AX12" i="26"/>
  <c r="AY12" i="26"/>
  <c r="N13" i="26"/>
  <c r="P13" i="26"/>
  <c r="AH13" i="26"/>
  <c r="AM13" i="26"/>
  <c r="AN13" i="26"/>
  <c r="AO13" i="26"/>
  <c r="AP13" i="26"/>
  <c r="AQ13" i="26"/>
  <c r="AR13" i="26"/>
  <c r="AS13" i="26"/>
  <c r="AT13" i="26"/>
  <c r="AV13" i="26"/>
  <c r="AW13" i="26"/>
  <c r="AX13" i="26"/>
  <c r="AY13" i="26"/>
  <c r="N14" i="26"/>
  <c r="P14" i="26"/>
  <c r="S14" i="26"/>
  <c r="T14" i="26"/>
  <c r="AM14" i="26"/>
  <c r="AN14" i="26"/>
  <c r="AO14" i="26"/>
  <c r="AP14" i="26"/>
  <c r="AQ14" i="26"/>
  <c r="AR14" i="26"/>
  <c r="AS14" i="26"/>
  <c r="AT14" i="26"/>
  <c r="AV14" i="26"/>
  <c r="AW14" i="26"/>
  <c r="AX14" i="26"/>
  <c r="AY14" i="26"/>
  <c r="N15" i="26"/>
  <c r="P15" i="26"/>
  <c r="AM15" i="26"/>
  <c r="AN15" i="26"/>
  <c r="AO15" i="26"/>
  <c r="AP15" i="26"/>
  <c r="AQ15" i="26"/>
  <c r="AR15" i="26"/>
  <c r="AS15" i="26"/>
  <c r="AT15" i="26"/>
  <c r="AV15" i="26"/>
  <c r="AW15" i="26"/>
  <c r="AX15" i="26"/>
  <c r="AY15" i="26"/>
  <c r="N16" i="26"/>
  <c r="P16" i="26"/>
  <c r="AV16" i="26"/>
  <c r="AW16" i="26"/>
  <c r="AX16" i="26"/>
  <c r="AY16" i="26"/>
  <c r="N17" i="26"/>
  <c r="P17" i="26"/>
  <c r="AV17" i="26"/>
  <c r="AW17" i="26"/>
  <c r="AX17" i="26"/>
  <c r="AY17" i="26"/>
  <c r="N18" i="26"/>
  <c r="P18" i="26"/>
  <c r="AX18" i="26"/>
  <c r="AY18" i="26"/>
  <c r="N19" i="26"/>
  <c r="P19" i="26"/>
  <c r="S20" i="26"/>
  <c r="T20" i="26"/>
  <c r="AM20" i="26"/>
  <c r="AO20" i="26"/>
  <c r="AV20" i="26"/>
  <c r="AW20" i="26"/>
  <c r="AX20" i="26"/>
  <c r="AY20" i="26"/>
  <c r="D22" i="26"/>
  <c r="F22" i="26"/>
  <c r="G22" i="26"/>
  <c r="H22" i="26"/>
  <c r="I22" i="26"/>
  <c r="K22" i="26"/>
  <c r="L22" i="26"/>
  <c r="N22" i="26"/>
  <c r="O22" i="26"/>
  <c r="P22" i="26"/>
  <c r="Q22" i="26"/>
  <c r="S22" i="26"/>
  <c r="T22" i="26"/>
  <c r="V22" i="26"/>
  <c r="X22" i="26"/>
  <c r="Y22" i="26"/>
  <c r="Z22" i="26"/>
  <c r="AA22" i="26"/>
  <c r="AB22" i="26"/>
  <c r="AC22" i="26"/>
  <c r="AF22" i="26"/>
  <c r="AG22" i="26"/>
  <c r="AH22" i="26"/>
  <c r="AI22" i="26"/>
  <c r="AJ22" i="26"/>
  <c r="AL22" i="26"/>
  <c r="AM22" i="26"/>
  <c r="AN22" i="26"/>
  <c r="AO22" i="26"/>
  <c r="AP22" i="26"/>
  <c r="AQ22" i="26"/>
  <c r="AR22" i="26"/>
  <c r="AS22" i="26"/>
  <c r="AT22" i="26"/>
  <c r="AU22" i="26"/>
  <c r="AV22" i="26"/>
  <c r="AW22" i="26"/>
  <c r="AX22" i="26"/>
  <c r="AY22" i="26"/>
  <c r="BB22" i="26"/>
  <c r="BC22" i="26"/>
  <c r="BD22" i="26"/>
  <c r="BE22" i="26"/>
  <c r="BF22" i="26"/>
  <c r="BG22" i="26"/>
  <c r="BH22" i="26"/>
  <c r="BI22" i="26"/>
  <c r="BJ22" i="26"/>
  <c r="BK22" i="26"/>
  <c r="BL22" i="26"/>
  <c r="BM22" i="26"/>
  <c r="BN22" i="26"/>
  <c r="BO22" i="26"/>
  <c r="D23" i="26"/>
  <c r="F23" i="26"/>
  <c r="G23" i="26"/>
  <c r="H23" i="26"/>
  <c r="I23" i="26"/>
  <c r="K23" i="26"/>
  <c r="L23" i="26"/>
  <c r="N23" i="26"/>
  <c r="O23" i="26"/>
  <c r="P23" i="26"/>
  <c r="Q23" i="26"/>
  <c r="S23" i="26"/>
  <c r="T23" i="26"/>
  <c r="V23" i="26"/>
  <c r="X23" i="26"/>
  <c r="Y23" i="26"/>
  <c r="Z23" i="26"/>
  <c r="AA23" i="26"/>
  <c r="AB23" i="26"/>
  <c r="AC23" i="26"/>
  <c r="AF23" i="26"/>
  <c r="AG23" i="26"/>
  <c r="AH23" i="26"/>
  <c r="AI23" i="26"/>
  <c r="AJ23" i="26"/>
  <c r="AL23" i="26"/>
  <c r="AM23" i="26"/>
  <c r="AN23" i="26"/>
  <c r="AO23" i="26"/>
  <c r="AP23" i="26"/>
  <c r="AQ23" i="26"/>
  <c r="AR23" i="26"/>
  <c r="AS23" i="26"/>
  <c r="AT23" i="26"/>
  <c r="AU23" i="26"/>
  <c r="AV23" i="26"/>
  <c r="AW23" i="26"/>
  <c r="AX23" i="26"/>
  <c r="AY23" i="26"/>
  <c r="BB23" i="26"/>
  <c r="BC23" i="26"/>
  <c r="BD23" i="26"/>
  <c r="BE23" i="26"/>
  <c r="BF23" i="26"/>
  <c r="BG23" i="26"/>
  <c r="BH23" i="26"/>
  <c r="BI23" i="26"/>
  <c r="BJ23" i="26"/>
  <c r="BK23" i="26"/>
  <c r="BL23" i="26"/>
  <c r="BM23" i="26"/>
  <c r="BN23" i="26"/>
  <c r="BO23" i="26"/>
  <c r="D24" i="26"/>
  <c r="F24" i="26"/>
  <c r="G24" i="26"/>
  <c r="H24" i="26"/>
  <c r="I24" i="26"/>
  <c r="K24" i="26"/>
  <c r="L24" i="26"/>
  <c r="N24" i="26"/>
  <c r="O24" i="26"/>
  <c r="P24" i="26"/>
  <c r="Q24" i="26"/>
  <c r="S24" i="26"/>
  <c r="T24" i="26"/>
  <c r="V24" i="26"/>
  <c r="X24" i="26"/>
  <c r="Y24" i="26"/>
  <c r="Z24" i="26"/>
  <c r="AA24" i="26"/>
  <c r="AB24" i="26"/>
  <c r="AC24" i="26"/>
  <c r="AF24" i="26"/>
  <c r="AG24" i="26"/>
  <c r="AH24" i="26"/>
  <c r="AI24" i="26"/>
  <c r="AJ24" i="26"/>
  <c r="AL24" i="26"/>
  <c r="AM24" i="26"/>
  <c r="AN24" i="26"/>
  <c r="AO24" i="26"/>
  <c r="AP24" i="26"/>
  <c r="AQ24" i="26"/>
  <c r="AR24" i="26"/>
  <c r="AS24" i="26"/>
  <c r="AT24" i="26"/>
  <c r="AU24" i="26"/>
  <c r="AV24" i="26"/>
  <c r="AW24" i="26"/>
  <c r="AX24" i="26"/>
  <c r="AY24" i="26"/>
  <c r="BB24" i="26"/>
  <c r="BC24" i="26"/>
  <c r="BD24" i="26"/>
  <c r="BE24" i="26"/>
  <c r="BF24" i="26"/>
  <c r="BG24" i="26"/>
  <c r="BH24" i="26"/>
  <c r="BI24" i="26"/>
  <c r="BJ24" i="26"/>
  <c r="BK24" i="26"/>
  <c r="BL24" i="26"/>
  <c r="BM24" i="26"/>
  <c r="BN24" i="26"/>
  <c r="BO24" i="26"/>
  <c r="D25" i="26"/>
  <c r="F25" i="26"/>
  <c r="G25" i="26"/>
  <c r="H25" i="26"/>
  <c r="I25" i="26"/>
  <c r="K25" i="26"/>
  <c r="L25" i="26"/>
  <c r="N25" i="26"/>
  <c r="O25" i="26"/>
  <c r="P25" i="26"/>
  <c r="Q25" i="26"/>
  <c r="S25" i="26"/>
  <c r="T25" i="26"/>
  <c r="V25" i="26"/>
  <c r="X25" i="26"/>
  <c r="Y25" i="26"/>
  <c r="Z25" i="26"/>
  <c r="AA25" i="26"/>
  <c r="AB25" i="26"/>
  <c r="AC25" i="26"/>
  <c r="AF25" i="26"/>
  <c r="AG25" i="26"/>
  <c r="AH25" i="26"/>
  <c r="AI25" i="26"/>
  <c r="AJ25" i="26"/>
  <c r="AL25" i="26"/>
  <c r="AM25" i="26"/>
  <c r="AN25" i="26"/>
  <c r="AO25" i="26"/>
  <c r="AP25" i="26"/>
  <c r="AQ25" i="26"/>
  <c r="AR25" i="26"/>
  <c r="AS25" i="26"/>
  <c r="AT25" i="26"/>
  <c r="AU25" i="26"/>
  <c r="AV25" i="26"/>
  <c r="AW25" i="26"/>
  <c r="AX25" i="26"/>
  <c r="AY25" i="26"/>
  <c r="BB25" i="26"/>
  <c r="BC25" i="26"/>
  <c r="BD25" i="26"/>
  <c r="BE25" i="26"/>
  <c r="BF25" i="26"/>
  <c r="BG25" i="26"/>
  <c r="BH25" i="26"/>
  <c r="BI25" i="26"/>
  <c r="BJ25" i="26"/>
  <c r="BK25" i="26"/>
  <c r="BL25" i="26"/>
  <c r="BM25" i="26"/>
  <c r="BN25" i="26"/>
  <c r="BO25" i="26"/>
  <c r="D26" i="26"/>
  <c r="F26" i="26"/>
  <c r="G26" i="26"/>
  <c r="H26" i="26"/>
  <c r="I26" i="26"/>
  <c r="K26" i="26"/>
  <c r="L26" i="26"/>
  <c r="N26" i="26"/>
  <c r="O26" i="26"/>
  <c r="P26" i="26"/>
  <c r="Q26" i="26"/>
  <c r="S26" i="26"/>
  <c r="T26" i="26"/>
  <c r="V26" i="26"/>
  <c r="X26" i="26"/>
  <c r="Y26" i="26"/>
  <c r="Z26" i="26"/>
  <c r="AA26" i="26"/>
  <c r="AB26" i="26"/>
  <c r="AC26" i="26"/>
  <c r="AF26" i="26"/>
  <c r="AG26" i="26"/>
  <c r="AH26" i="26"/>
  <c r="AI26" i="26"/>
  <c r="AJ26" i="26"/>
  <c r="AL26" i="26"/>
  <c r="AM26" i="26"/>
  <c r="AN26" i="26"/>
  <c r="AO26" i="26"/>
  <c r="AP26" i="26"/>
  <c r="AQ26" i="26"/>
  <c r="AR26" i="26"/>
  <c r="AS26" i="26"/>
  <c r="AT26" i="26"/>
  <c r="AU26" i="26"/>
  <c r="AV26" i="26"/>
  <c r="AW26" i="26"/>
  <c r="AX26" i="26"/>
  <c r="AY26" i="26"/>
  <c r="BB26" i="26"/>
  <c r="BC26" i="26"/>
  <c r="BD26" i="26"/>
  <c r="BE26" i="26"/>
  <c r="BF26" i="26"/>
  <c r="BG26" i="26"/>
  <c r="BH26" i="26"/>
  <c r="BI26" i="26"/>
  <c r="BJ26" i="26"/>
  <c r="BK26" i="26"/>
  <c r="BL26" i="26"/>
  <c r="BM26" i="26"/>
  <c r="BN26" i="26"/>
  <c r="BO26" i="26"/>
  <c r="D27" i="26"/>
  <c r="F27" i="26"/>
  <c r="G27" i="26"/>
  <c r="H27" i="26"/>
  <c r="I27" i="26"/>
  <c r="K27" i="26"/>
  <c r="L27" i="26"/>
  <c r="N27" i="26"/>
  <c r="O27" i="26"/>
  <c r="P27" i="26"/>
  <c r="Q27" i="26"/>
  <c r="S27" i="26"/>
  <c r="T27" i="26"/>
  <c r="V27" i="26"/>
  <c r="X27" i="26"/>
  <c r="Y27" i="26"/>
  <c r="Z27" i="26"/>
  <c r="AA27" i="26"/>
  <c r="AB27" i="26"/>
  <c r="AC27" i="26"/>
  <c r="AF27" i="26"/>
  <c r="AG27" i="26"/>
  <c r="AH27" i="26"/>
  <c r="AI27" i="26"/>
  <c r="AJ27" i="26"/>
  <c r="AL27" i="26"/>
  <c r="AM27" i="26"/>
  <c r="AN27" i="26"/>
  <c r="AO27" i="26"/>
  <c r="AP27" i="26"/>
  <c r="AQ27" i="26"/>
  <c r="AR27" i="26"/>
  <c r="AS27" i="26"/>
  <c r="AT27" i="26"/>
  <c r="AU27" i="26"/>
  <c r="AV27" i="26"/>
  <c r="AW27" i="26"/>
  <c r="AX27" i="26"/>
  <c r="AY27" i="26"/>
  <c r="BB27" i="26"/>
  <c r="BC27" i="26"/>
  <c r="BD27" i="26"/>
  <c r="BE27" i="26"/>
  <c r="BF27" i="26"/>
  <c r="BG27" i="26"/>
  <c r="BH27" i="26"/>
  <c r="BI27" i="26"/>
  <c r="BJ27" i="26"/>
  <c r="BK27" i="26"/>
  <c r="BL27" i="26"/>
  <c r="BM27" i="26"/>
  <c r="BN27" i="26"/>
  <c r="BO27" i="26"/>
  <c r="D28" i="26"/>
  <c r="F28" i="26"/>
  <c r="G28" i="26"/>
  <c r="H28" i="26"/>
  <c r="I28" i="26"/>
  <c r="K28" i="26"/>
  <c r="L28" i="26"/>
  <c r="N28" i="26"/>
  <c r="O28" i="26"/>
  <c r="P28" i="26"/>
  <c r="Q28" i="26"/>
  <c r="S28" i="26"/>
  <c r="T28" i="26"/>
  <c r="V28" i="26"/>
  <c r="X28" i="26"/>
  <c r="Y28" i="26"/>
  <c r="Z28" i="26"/>
  <c r="AA28" i="26"/>
  <c r="AB28" i="26"/>
  <c r="AC28" i="26"/>
  <c r="AF28" i="26"/>
  <c r="AG28" i="26"/>
  <c r="AH28" i="26"/>
  <c r="AI28" i="26"/>
  <c r="AJ28" i="26"/>
  <c r="AL28" i="26"/>
  <c r="AM28" i="26"/>
  <c r="AN28" i="26"/>
  <c r="AO28" i="26"/>
  <c r="AP28" i="26"/>
  <c r="AQ28" i="26"/>
  <c r="AR28" i="26"/>
  <c r="AS28" i="26"/>
  <c r="AT28" i="26"/>
  <c r="AU28" i="26"/>
  <c r="AV28" i="26"/>
  <c r="AW28" i="26"/>
  <c r="AX28" i="26"/>
  <c r="AY28" i="26"/>
  <c r="BB28" i="26"/>
  <c r="BC28" i="26"/>
  <c r="BD28" i="26"/>
  <c r="BE28" i="26"/>
  <c r="BF28" i="26"/>
  <c r="BG28" i="26"/>
  <c r="BH28" i="26"/>
  <c r="BI28" i="26"/>
  <c r="BJ28" i="26"/>
  <c r="BK28" i="26"/>
  <c r="BL28" i="26"/>
  <c r="BM28" i="26"/>
  <c r="BN28" i="26"/>
  <c r="BO28" i="26"/>
  <c r="D29" i="26"/>
  <c r="F29" i="26"/>
  <c r="G29" i="26"/>
  <c r="H29" i="26"/>
  <c r="I29" i="26"/>
  <c r="K29" i="26"/>
  <c r="L29" i="26"/>
  <c r="N29" i="26"/>
  <c r="O29" i="26"/>
  <c r="P29" i="26"/>
  <c r="Q29" i="26"/>
  <c r="S29" i="26"/>
  <c r="T29" i="26"/>
  <c r="V29" i="26"/>
  <c r="X29" i="26"/>
  <c r="Y29" i="26"/>
  <c r="Z29" i="26"/>
  <c r="AA29" i="26"/>
  <c r="AB29" i="26"/>
  <c r="AC29" i="26"/>
  <c r="AF29" i="26"/>
  <c r="AG29" i="26"/>
  <c r="AH29" i="26"/>
  <c r="AI29" i="26"/>
  <c r="AJ29" i="26"/>
  <c r="AL29" i="26"/>
  <c r="AM29" i="26"/>
  <c r="AN29" i="26"/>
  <c r="AO29" i="26"/>
  <c r="AP29" i="26"/>
  <c r="AQ29" i="26"/>
  <c r="AR29" i="26"/>
  <c r="AS29" i="26"/>
  <c r="AT29" i="26"/>
  <c r="AU29" i="26"/>
  <c r="AV29" i="26"/>
  <c r="AW29" i="26"/>
  <c r="AX29" i="26"/>
  <c r="AY29" i="26"/>
  <c r="BB29" i="26"/>
  <c r="BC29" i="26"/>
  <c r="BD29" i="26"/>
  <c r="BE29" i="26"/>
  <c r="BF29" i="26"/>
  <c r="BG29" i="26"/>
  <c r="BH29" i="26"/>
  <c r="BI29" i="26"/>
  <c r="BJ29" i="26"/>
  <c r="BK29" i="26"/>
  <c r="BL29" i="26"/>
  <c r="BM29" i="26"/>
  <c r="BN29" i="26"/>
  <c r="BO29" i="26"/>
  <c r="D30" i="26"/>
  <c r="F30" i="26"/>
  <c r="G30" i="26"/>
  <c r="H30" i="26"/>
  <c r="I30" i="26"/>
  <c r="K30" i="26"/>
  <c r="L30" i="26"/>
  <c r="N30" i="26"/>
  <c r="O30" i="26"/>
  <c r="P30" i="26"/>
  <c r="Q30" i="26"/>
  <c r="S30" i="26"/>
  <c r="T30" i="26"/>
  <c r="V30" i="26"/>
  <c r="X30" i="26"/>
  <c r="Y30" i="26"/>
  <c r="Z30" i="26"/>
  <c r="AA30" i="26"/>
  <c r="AB30" i="26"/>
  <c r="AC30" i="26"/>
  <c r="AF30" i="26"/>
  <c r="AG30" i="26"/>
  <c r="AH30" i="26"/>
  <c r="AI30" i="26"/>
  <c r="AJ30" i="26"/>
  <c r="AL30" i="26"/>
  <c r="AM30" i="26"/>
  <c r="AN30" i="26"/>
  <c r="AO30" i="26"/>
  <c r="AP30" i="26"/>
  <c r="AQ30" i="26"/>
  <c r="AR30" i="26"/>
  <c r="AS30" i="26"/>
  <c r="AT30" i="26"/>
  <c r="AU30" i="26"/>
  <c r="AV30" i="26"/>
  <c r="AW30" i="26"/>
  <c r="AX30" i="26"/>
  <c r="AY30" i="26"/>
  <c r="BB30" i="26"/>
  <c r="BC30" i="26"/>
  <c r="BD30" i="26"/>
  <c r="BE30" i="26"/>
  <c r="BF30" i="26"/>
  <c r="BG30" i="26"/>
  <c r="BH30" i="26"/>
  <c r="BI30" i="26"/>
  <c r="BJ30" i="26"/>
  <c r="BK30" i="26"/>
  <c r="BL30" i="26"/>
  <c r="BM30" i="26"/>
  <c r="BN30" i="26"/>
  <c r="BO30" i="26"/>
  <c r="D31" i="26"/>
  <c r="F31" i="26"/>
  <c r="G31" i="26"/>
  <c r="H31" i="26"/>
  <c r="I31" i="26"/>
  <c r="K31" i="26"/>
  <c r="L31" i="26"/>
  <c r="N31" i="26"/>
  <c r="O31" i="26"/>
  <c r="P31" i="26"/>
  <c r="Q31" i="26"/>
  <c r="S31" i="26"/>
  <c r="T31" i="26"/>
  <c r="V31" i="26"/>
  <c r="X31" i="26"/>
  <c r="Y31" i="26"/>
  <c r="Z31" i="26"/>
  <c r="AA31" i="26"/>
  <c r="AB31" i="26"/>
  <c r="AC31" i="26"/>
  <c r="AF31" i="26"/>
  <c r="AG31" i="26"/>
  <c r="AH31" i="26"/>
  <c r="AI31" i="26"/>
  <c r="AJ31" i="26"/>
  <c r="AL31" i="26"/>
  <c r="AM31" i="26"/>
  <c r="AN31" i="26"/>
  <c r="AO31" i="26"/>
  <c r="AP31" i="26"/>
  <c r="AQ31" i="26"/>
  <c r="AR31" i="26"/>
  <c r="AS31" i="26"/>
  <c r="AT31" i="26"/>
  <c r="AU31" i="26"/>
  <c r="AV31" i="26"/>
  <c r="AW31" i="26"/>
  <c r="AX31" i="26"/>
  <c r="AY31" i="26"/>
  <c r="BB31" i="26"/>
  <c r="BC31" i="26"/>
  <c r="BD31" i="26"/>
  <c r="BE31" i="26"/>
  <c r="BF31" i="26"/>
  <c r="BG31" i="26"/>
  <c r="BH31" i="26"/>
  <c r="BI31" i="26"/>
  <c r="BJ31" i="26"/>
  <c r="BK31" i="26"/>
  <c r="BL31" i="26"/>
  <c r="BM31" i="26"/>
  <c r="BN31" i="26"/>
  <c r="BO31" i="26"/>
  <c r="D32" i="26"/>
  <c r="F32" i="26"/>
  <c r="G32" i="26"/>
  <c r="H32" i="26"/>
  <c r="I32" i="26"/>
  <c r="K32" i="26"/>
  <c r="L32" i="26"/>
  <c r="N32" i="26"/>
  <c r="O32" i="26"/>
  <c r="P32" i="26"/>
  <c r="Q32" i="26"/>
  <c r="S32" i="26"/>
  <c r="T32" i="26"/>
  <c r="V32" i="26"/>
  <c r="X32" i="26"/>
  <c r="Y32" i="26"/>
  <c r="Z32" i="26"/>
  <c r="AA32" i="26"/>
  <c r="AB32" i="26"/>
  <c r="AC32" i="26"/>
  <c r="AF32" i="26"/>
  <c r="AG32" i="26"/>
  <c r="AH32" i="26"/>
  <c r="AI32" i="26"/>
  <c r="AJ32" i="26"/>
  <c r="AL32" i="26"/>
  <c r="AM32" i="26"/>
  <c r="AN32" i="26"/>
  <c r="AO32" i="26"/>
  <c r="AP32" i="26"/>
  <c r="AQ32" i="26"/>
  <c r="AR32" i="26"/>
  <c r="AS32" i="26"/>
  <c r="AT32" i="26"/>
  <c r="AU32" i="26"/>
  <c r="AV32" i="26"/>
  <c r="AW32" i="26"/>
  <c r="AX32" i="26"/>
  <c r="AY32" i="26"/>
  <c r="BB32" i="26"/>
  <c r="BC32" i="26"/>
  <c r="BD32" i="26"/>
  <c r="BE32" i="26"/>
  <c r="BF32" i="26"/>
  <c r="BG32" i="26"/>
  <c r="BH32" i="26"/>
  <c r="BI32" i="26"/>
  <c r="BJ32" i="26"/>
  <c r="BK32" i="26"/>
  <c r="BL32" i="26"/>
  <c r="BM32" i="26"/>
  <c r="BN32" i="26"/>
  <c r="BO32" i="26"/>
  <c r="D33" i="26"/>
  <c r="F33" i="26"/>
  <c r="G33" i="26"/>
  <c r="H33" i="26"/>
  <c r="I33" i="26"/>
  <c r="K33" i="26"/>
  <c r="L33" i="26"/>
  <c r="N33" i="26"/>
  <c r="O33" i="26"/>
  <c r="P33" i="26"/>
  <c r="Q33" i="26"/>
  <c r="S33" i="26"/>
  <c r="T33" i="26"/>
  <c r="V33" i="26"/>
  <c r="X33" i="26"/>
  <c r="Y33" i="26"/>
  <c r="Z33" i="26"/>
  <c r="AA33" i="26"/>
  <c r="AB33" i="26"/>
  <c r="AC33" i="26"/>
  <c r="AF33" i="26"/>
  <c r="AG33" i="26"/>
  <c r="AH33" i="26"/>
  <c r="AI33" i="26"/>
  <c r="AJ33" i="26"/>
  <c r="AL33" i="26"/>
  <c r="AM33" i="26"/>
  <c r="AN33" i="26"/>
  <c r="AO33" i="26"/>
  <c r="AP33" i="26"/>
  <c r="AQ33" i="26"/>
  <c r="AR33" i="26"/>
  <c r="AS33" i="26"/>
  <c r="AT33" i="26"/>
  <c r="AU33" i="26"/>
  <c r="AV33" i="26"/>
  <c r="AW33" i="26"/>
  <c r="AX33" i="26"/>
  <c r="AY33" i="26"/>
  <c r="BB33" i="26"/>
  <c r="BC33" i="26"/>
  <c r="BD33" i="26"/>
  <c r="BE33" i="26"/>
  <c r="BF33" i="26"/>
  <c r="BG33" i="26"/>
  <c r="BH33" i="26"/>
  <c r="BI33" i="26"/>
  <c r="BJ33" i="26"/>
  <c r="BK33" i="26"/>
  <c r="BL33" i="26"/>
  <c r="BM33" i="26"/>
  <c r="BN33" i="26"/>
  <c r="BO33" i="26"/>
  <c r="D34" i="26"/>
  <c r="F34" i="26"/>
  <c r="G34" i="26"/>
  <c r="H34" i="26"/>
  <c r="I34" i="26"/>
  <c r="K34" i="26"/>
  <c r="L34" i="26"/>
  <c r="N34" i="26"/>
  <c r="O34" i="26"/>
  <c r="P34" i="26"/>
  <c r="Q34" i="26"/>
  <c r="S34" i="26"/>
  <c r="T34" i="26"/>
  <c r="V34" i="26"/>
  <c r="X34" i="26"/>
  <c r="Y34" i="26"/>
  <c r="Z34" i="26"/>
  <c r="AA34" i="26"/>
  <c r="AB34" i="26"/>
  <c r="AC34" i="26"/>
  <c r="AF34" i="26"/>
  <c r="AG34" i="26"/>
  <c r="AH34" i="26"/>
  <c r="AI34" i="26"/>
  <c r="AJ34" i="26"/>
  <c r="AL34" i="26"/>
  <c r="AM34" i="26"/>
  <c r="AN34" i="26"/>
  <c r="AO34" i="26"/>
  <c r="AP34" i="26"/>
  <c r="AQ34" i="26"/>
  <c r="AR34" i="26"/>
  <c r="AS34" i="26"/>
  <c r="AT34" i="26"/>
  <c r="AU34" i="26"/>
  <c r="AV34" i="26"/>
  <c r="AW34" i="26"/>
  <c r="AX34" i="26"/>
  <c r="AY34" i="26"/>
  <c r="BB34" i="26"/>
  <c r="BC34" i="26"/>
  <c r="BD34" i="26"/>
  <c r="BE34" i="26"/>
  <c r="BF34" i="26"/>
  <c r="BG34" i="26"/>
  <c r="BH34" i="26"/>
  <c r="BI34" i="26"/>
  <c r="BJ34" i="26"/>
  <c r="BK34" i="26"/>
  <c r="BL34" i="26"/>
  <c r="BM34" i="26"/>
  <c r="BN34" i="26"/>
  <c r="BO34" i="26"/>
  <c r="D35" i="26"/>
  <c r="F35" i="26"/>
  <c r="G35" i="26"/>
  <c r="H35" i="26"/>
  <c r="I35" i="26"/>
  <c r="K35" i="26"/>
  <c r="L35" i="26"/>
  <c r="N35" i="26"/>
  <c r="O35" i="26"/>
  <c r="P35" i="26"/>
  <c r="Q35" i="26"/>
  <c r="S35" i="26"/>
  <c r="T35" i="26"/>
  <c r="V35" i="26"/>
  <c r="X35" i="26"/>
  <c r="Y35" i="26"/>
  <c r="Z35" i="26"/>
  <c r="AA35" i="26"/>
  <c r="AB35" i="26"/>
  <c r="AC35" i="26"/>
  <c r="AF35" i="26"/>
  <c r="AG35" i="26"/>
  <c r="AH35" i="26"/>
  <c r="AI35" i="26"/>
  <c r="AJ35" i="26"/>
  <c r="AL35" i="26"/>
  <c r="AM35" i="26"/>
  <c r="AN35" i="26"/>
  <c r="AO35" i="26"/>
  <c r="AP35" i="26"/>
  <c r="AQ35" i="26"/>
  <c r="AR35" i="26"/>
  <c r="AS35" i="26"/>
  <c r="AT35" i="26"/>
  <c r="AU35" i="26"/>
  <c r="AV35" i="26"/>
  <c r="AW35" i="26"/>
  <c r="AX35" i="26"/>
  <c r="AY35" i="26"/>
  <c r="BB35" i="26"/>
  <c r="BC35" i="26"/>
  <c r="BD35" i="26"/>
  <c r="BE35" i="26"/>
  <c r="BF35" i="26"/>
  <c r="BG35" i="26"/>
  <c r="BH35" i="26"/>
  <c r="BI35" i="26"/>
  <c r="BJ35" i="26"/>
  <c r="BK35" i="26"/>
  <c r="BL35" i="26"/>
  <c r="BM35" i="26"/>
  <c r="BN35" i="26"/>
  <c r="BO35" i="26"/>
  <c r="D36" i="26"/>
  <c r="F36" i="26"/>
  <c r="G36" i="26"/>
  <c r="H36" i="26"/>
  <c r="I36" i="26"/>
  <c r="K36" i="26"/>
  <c r="L36" i="26"/>
  <c r="N36" i="26"/>
  <c r="O36" i="26"/>
  <c r="P36" i="26"/>
  <c r="Q36" i="26"/>
  <c r="S36" i="26"/>
  <c r="T36" i="26"/>
  <c r="V36" i="26"/>
  <c r="X36" i="26"/>
  <c r="Y36" i="26"/>
  <c r="Z36" i="26"/>
  <c r="AA36" i="26"/>
  <c r="AB36" i="26"/>
  <c r="AC36" i="26"/>
  <c r="AF36" i="26"/>
  <c r="AG36" i="26"/>
  <c r="AH36" i="26"/>
  <c r="AI36" i="26"/>
  <c r="AJ36" i="26"/>
  <c r="AL36" i="26"/>
  <c r="AM36" i="26"/>
  <c r="AN36" i="26"/>
  <c r="AO36" i="26"/>
  <c r="AP36" i="26"/>
  <c r="AQ36" i="26"/>
  <c r="AR36" i="26"/>
  <c r="AS36" i="26"/>
  <c r="AT36" i="26"/>
  <c r="AU36" i="26"/>
  <c r="AV36" i="26"/>
  <c r="AW36" i="26"/>
  <c r="AX36" i="26"/>
  <c r="AY36" i="26"/>
  <c r="BB36" i="26"/>
  <c r="BC36" i="26"/>
  <c r="BD36" i="26"/>
  <c r="BE36" i="26"/>
  <c r="BF36" i="26"/>
  <c r="BG36" i="26"/>
  <c r="BH36" i="26"/>
  <c r="BI36" i="26"/>
  <c r="BJ36" i="26"/>
  <c r="BK36" i="26"/>
  <c r="BL36" i="26"/>
  <c r="BM36" i="26"/>
  <c r="BN36" i="26"/>
  <c r="BO36" i="26"/>
  <c r="D37" i="26"/>
  <c r="F37" i="26"/>
  <c r="G37" i="26"/>
  <c r="H37" i="26"/>
  <c r="I37" i="26"/>
  <c r="K37" i="26"/>
  <c r="L37" i="26"/>
  <c r="N37" i="26"/>
  <c r="O37" i="26"/>
  <c r="P37" i="26"/>
  <c r="Q37" i="26"/>
  <c r="S37" i="26"/>
  <c r="T37" i="26"/>
  <c r="V37" i="26"/>
  <c r="X37" i="26"/>
  <c r="Y37" i="26"/>
  <c r="Z37" i="26"/>
  <c r="AA37" i="26"/>
  <c r="AB37" i="26"/>
  <c r="AC37" i="26"/>
  <c r="AF37" i="26"/>
  <c r="AG37" i="26"/>
  <c r="AH37" i="26"/>
  <c r="AI37" i="26"/>
  <c r="AJ37" i="26"/>
  <c r="AL37" i="26"/>
  <c r="AM37" i="26"/>
  <c r="AN37" i="26"/>
  <c r="AO37" i="26"/>
  <c r="AP37" i="26"/>
  <c r="AQ37" i="26"/>
  <c r="AR37" i="26"/>
  <c r="AS37" i="26"/>
  <c r="AT37" i="26"/>
  <c r="AU37" i="26"/>
  <c r="AV37" i="26"/>
  <c r="AW37" i="26"/>
  <c r="AX37" i="26"/>
  <c r="AY37" i="26"/>
  <c r="BB37" i="26"/>
  <c r="BC37" i="26"/>
  <c r="BD37" i="26"/>
  <c r="BE37" i="26"/>
  <c r="BF37" i="26"/>
  <c r="BG37" i="26"/>
  <c r="BH37" i="26"/>
  <c r="BI37" i="26"/>
  <c r="BJ37" i="26"/>
  <c r="BK37" i="26"/>
  <c r="BL37" i="26"/>
  <c r="BM37" i="26"/>
  <c r="BN37" i="26"/>
  <c r="BO37" i="26"/>
  <c r="D38" i="26"/>
  <c r="F38" i="26"/>
  <c r="G38" i="26"/>
  <c r="H38" i="26"/>
  <c r="I38" i="26"/>
  <c r="K38" i="26"/>
  <c r="L38" i="26"/>
  <c r="N38" i="26"/>
  <c r="O38" i="26"/>
  <c r="P38" i="26"/>
  <c r="Q38" i="26"/>
  <c r="S38" i="26"/>
  <c r="T38" i="26"/>
  <c r="V38" i="26"/>
  <c r="X38" i="26"/>
  <c r="Y38" i="26"/>
  <c r="Z38" i="26"/>
  <c r="AA38" i="26"/>
  <c r="AB38" i="26"/>
  <c r="AC38" i="26"/>
  <c r="AF38" i="26"/>
  <c r="AG38" i="26"/>
  <c r="AH38" i="26"/>
  <c r="AI38" i="26"/>
  <c r="AJ38" i="26"/>
  <c r="AL38" i="26"/>
  <c r="AM38" i="26"/>
  <c r="AN38" i="26"/>
  <c r="AO38" i="26"/>
  <c r="AP38" i="26"/>
  <c r="AQ38" i="26"/>
  <c r="AR38" i="26"/>
  <c r="AS38" i="26"/>
  <c r="AT38" i="26"/>
  <c r="AU38" i="26"/>
  <c r="AV38" i="26"/>
  <c r="AW38" i="26"/>
  <c r="AX38" i="26"/>
  <c r="AY38" i="26"/>
  <c r="BB38" i="26"/>
  <c r="BC38" i="26"/>
  <c r="BD38" i="26"/>
  <c r="BE38" i="26"/>
  <c r="BF38" i="26"/>
  <c r="BG38" i="26"/>
  <c r="BH38" i="26"/>
  <c r="BI38" i="26"/>
  <c r="BJ38" i="26"/>
  <c r="BK38" i="26"/>
  <c r="BL38" i="26"/>
  <c r="BM38" i="26"/>
  <c r="BN38" i="26"/>
  <c r="BO38" i="26"/>
  <c r="D39" i="26"/>
  <c r="F39" i="26"/>
  <c r="G39" i="26"/>
  <c r="H39" i="26"/>
  <c r="I39" i="26"/>
  <c r="K39" i="26"/>
  <c r="L39" i="26"/>
  <c r="N39" i="26"/>
  <c r="O39" i="26"/>
  <c r="P39" i="26"/>
  <c r="Q39" i="26"/>
  <c r="S39" i="26"/>
  <c r="T39" i="26"/>
  <c r="V39" i="26"/>
  <c r="X39" i="26"/>
  <c r="Y39" i="26"/>
  <c r="Z39" i="26"/>
  <c r="AA39" i="26"/>
  <c r="AB39" i="26"/>
  <c r="AC39" i="26"/>
  <c r="AF39" i="26"/>
  <c r="AG39" i="26"/>
  <c r="AH39" i="26"/>
  <c r="AI39" i="26"/>
  <c r="AJ39" i="26"/>
  <c r="AL39" i="26"/>
  <c r="AM39" i="26"/>
  <c r="AN39" i="26"/>
  <c r="AO39" i="26"/>
  <c r="AP39" i="26"/>
  <c r="AQ39" i="26"/>
  <c r="AR39" i="26"/>
  <c r="AS39" i="26"/>
  <c r="AT39" i="26"/>
  <c r="AU39" i="26"/>
  <c r="AV39" i="26"/>
  <c r="AW39" i="26"/>
  <c r="AX39" i="26"/>
  <c r="AY39" i="26"/>
  <c r="BB39" i="26"/>
  <c r="BC39" i="26"/>
  <c r="BD39" i="26"/>
  <c r="BE39" i="26"/>
  <c r="BF39" i="26"/>
  <c r="BG39" i="26"/>
  <c r="BH39" i="26"/>
  <c r="BI39" i="26"/>
  <c r="BJ39" i="26"/>
  <c r="BK39" i="26"/>
  <c r="BL39" i="26"/>
  <c r="BM39" i="26"/>
  <c r="BN39" i="26"/>
  <c r="BO39" i="26"/>
  <c r="D40" i="26"/>
  <c r="F40" i="26"/>
  <c r="G40" i="26"/>
  <c r="H40" i="26"/>
  <c r="I40" i="26"/>
  <c r="K40" i="26"/>
  <c r="L40" i="26"/>
  <c r="N40" i="26"/>
  <c r="O40" i="26"/>
  <c r="P40" i="26"/>
  <c r="Q40" i="26"/>
  <c r="S40" i="26"/>
  <c r="T40" i="26"/>
  <c r="V40" i="26"/>
  <c r="X40" i="26"/>
  <c r="Y40" i="26"/>
  <c r="Z40" i="26"/>
  <c r="AA40" i="26"/>
  <c r="AB40" i="26"/>
  <c r="AC40" i="26"/>
  <c r="AF40" i="26"/>
  <c r="AG40" i="26"/>
  <c r="AH40" i="26"/>
  <c r="AI40" i="26"/>
  <c r="AJ40" i="26"/>
  <c r="AL40" i="26"/>
  <c r="AM40" i="26"/>
  <c r="AN40" i="26"/>
  <c r="AO40" i="26"/>
  <c r="AP40" i="26"/>
  <c r="AQ40" i="26"/>
  <c r="AR40" i="26"/>
  <c r="AS40" i="26"/>
  <c r="AT40" i="26"/>
  <c r="AU40" i="26"/>
  <c r="AV40" i="26"/>
  <c r="AW40" i="26"/>
  <c r="AX40" i="26"/>
  <c r="AY40" i="26"/>
  <c r="BB40" i="26"/>
  <c r="BC40" i="26"/>
  <c r="BD40" i="26"/>
  <c r="BE40" i="26"/>
  <c r="BF40" i="26"/>
  <c r="BG40" i="26"/>
  <c r="BH40" i="26"/>
  <c r="BI40" i="26"/>
  <c r="BJ40" i="26"/>
  <c r="BK40" i="26"/>
  <c r="BL40" i="26"/>
  <c r="BM40" i="26"/>
  <c r="BN40" i="26"/>
  <c r="BO40" i="26"/>
  <c r="D41" i="26"/>
  <c r="F41" i="26"/>
  <c r="G41" i="26"/>
  <c r="H41" i="26"/>
  <c r="I41" i="26"/>
  <c r="K41" i="26"/>
  <c r="L41" i="26"/>
  <c r="N41" i="26"/>
  <c r="O41" i="26"/>
  <c r="P41" i="26"/>
  <c r="Q41" i="26"/>
  <c r="S41" i="26"/>
  <c r="T41" i="26"/>
  <c r="V41" i="26"/>
  <c r="X41" i="26"/>
  <c r="Y41" i="26"/>
  <c r="Z41" i="26"/>
  <c r="AA41" i="26"/>
  <c r="AB41" i="26"/>
  <c r="AC41" i="26"/>
  <c r="AF41" i="26"/>
  <c r="AG41" i="26"/>
  <c r="AH41" i="26"/>
  <c r="AI41" i="26"/>
  <c r="AJ41" i="26"/>
  <c r="AL41" i="26"/>
  <c r="AM41" i="26"/>
  <c r="AN41" i="26"/>
  <c r="AO41" i="26"/>
  <c r="AP41" i="26"/>
  <c r="AQ41" i="26"/>
  <c r="AR41" i="26"/>
  <c r="AS41" i="26"/>
  <c r="AT41" i="26"/>
  <c r="AU41" i="26"/>
  <c r="AV41" i="26"/>
  <c r="AW41" i="26"/>
  <c r="AX41" i="26"/>
  <c r="AY41" i="26"/>
  <c r="BB41" i="26"/>
  <c r="BC41" i="26"/>
  <c r="BD41" i="26"/>
  <c r="BE41" i="26"/>
  <c r="BF41" i="26"/>
  <c r="BG41" i="26"/>
  <c r="BH41" i="26"/>
  <c r="BI41" i="26"/>
  <c r="BJ41" i="26"/>
  <c r="BK41" i="26"/>
  <c r="BL41" i="26"/>
  <c r="BM41" i="26"/>
  <c r="BN41" i="26"/>
  <c r="BO41" i="26"/>
  <c r="D42" i="26"/>
  <c r="F42" i="26"/>
  <c r="G42" i="26"/>
  <c r="H42" i="26"/>
  <c r="I42" i="26"/>
  <c r="K42" i="26"/>
  <c r="L42" i="26"/>
  <c r="N42" i="26"/>
  <c r="O42" i="26"/>
  <c r="P42" i="26"/>
  <c r="Q42" i="26"/>
  <c r="S42" i="26"/>
  <c r="T42" i="26"/>
  <c r="V42" i="26"/>
  <c r="X42" i="26"/>
  <c r="Y42" i="26"/>
  <c r="Z42" i="26"/>
  <c r="AA42" i="26"/>
  <c r="AB42" i="26"/>
  <c r="AC42" i="26"/>
  <c r="AF42" i="26"/>
  <c r="AG42" i="26"/>
  <c r="AH42" i="26"/>
  <c r="AI42" i="26"/>
  <c r="AJ42" i="26"/>
  <c r="AL42" i="26"/>
  <c r="AM42" i="26"/>
  <c r="AN42" i="26"/>
  <c r="AO42" i="26"/>
  <c r="AP42" i="26"/>
  <c r="AQ42" i="26"/>
  <c r="AR42" i="26"/>
  <c r="AS42" i="26"/>
  <c r="AT42" i="26"/>
  <c r="AU42" i="26"/>
  <c r="AV42" i="26"/>
  <c r="AW42" i="26"/>
  <c r="AX42" i="26"/>
  <c r="AY42" i="26"/>
  <c r="BB42" i="26"/>
  <c r="BC42" i="26"/>
  <c r="BD42" i="26"/>
  <c r="BE42" i="26"/>
  <c r="BF42" i="26"/>
  <c r="BG42" i="26"/>
  <c r="BH42" i="26"/>
  <c r="BI42" i="26"/>
  <c r="BJ42" i="26"/>
  <c r="BK42" i="26"/>
  <c r="BL42" i="26"/>
  <c r="BM42" i="26"/>
  <c r="BN42" i="26"/>
  <c r="BO42" i="26"/>
  <c r="D43" i="26"/>
  <c r="F43" i="26"/>
  <c r="G43" i="26"/>
  <c r="H43" i="26"/>
  <c r="I43" i="26"/>
  <c r="K43" i="26"/>
  <c r="L43" i="26"/>
  <c r="N43" i="26"/>
  <c r="O43" i="26"/>
  <c r="P43" i="26"/>
  <c r="Q43" i="26"/>
  <c r="S43" i="26"/>
  <c r="T43" i="26"/>
  <c r="V43" i="26"/>
  <c r="X43" i="26"/>
  <c r="Y43" i="26"/>
  <c r="Z43" i="26"/>
  <c r="AA43" i="26"/>
  <c r="AB43" i="26"/>
  <c r="AC43" i="26"/>
  <c r="AF43" i="26"/>
  <c r="AG43" i="26"/>
  <c r="AH43" i="26"/>
  <c r="AI43" i="26"/>
  <c r="AJ43" i="26"/>
  <c r="AL43" i="26"/>
  <c r="AM43" i="26"/>
  <c r="AN43" i="26"/>
  <c r="AO43" i="26"/>
  <c r="AP43" i="26"/>
  <c r="AQ43" i="26"/>
  <c r="AR43" i="26"/>
  <c r="AS43" i="26"/>
  <c r="AT43" i="26"/>
  <c r="AU43" i="26"/>
  <c r="AV43" i="26"/>
  <c r="AW43" i="26"/>
  <c r="AX43" i="26"/>
  <c r="AY43" i="26"/>
  <c r="BB43" i="26"/>
  <c r="BC43" i="26"/>
  <c r="BD43" i="26"/>
  <c r="BE43" i="26"/>
  <c r="BF43" i="26"/>
  <c r="BG43" i="26"/>
  <c r="BH43" i="26"/>
  <c r="BI43" i="26"/>
  <c r="BJ43" i="26"/>
  <c r="BK43" i="26"/>
  <c r="BL43" i="26"/>
  <c r="BM43" i="26"/>
  <c r="BN43" i="26"/>
  <c r="BO43" i="26"/>
  <c r="D44" i="26"/>
  <c r="F44" i="26"/>
  <c r="G44" i="26"/>
  <c r="H44" i="26"/>
  <c r="I44" i="26"/>
  <c r="K44" i="26"/>
  <c r="L44" i="26"/>
  <c r="N44" i="26"/>
  <c r="O44" i="26"/>
  <c r="P44" i="26"/>
  <c r="Q44" i="26"/>
  <c r="S44" i="26"/>
  <c r="T44" i="26"/>
  <c r="V44" i="26"/>
  <c r="X44" i="26"/>
  <c r="Y44" i="26"/>
  <c r="Z44" i="26"/>
  <c r="AA44" i="26"/>
  <c r="AB44" i="26"/>
  <c r="AC44" i="26"/>
  <c r="AF44" i="26"/>
  <c r="AG44" i="26"/>
  <c r="AH44" i="26"/>
  <c r="AI44" i="26"/>
  <c r="AJ44" i="26"/>
  <c r="AL44" i="26"/>
  <c r="AM44" i="26"/>
  <c r="AN44" i="26"/>
  <c r="AO44" i="26"/>
  <c r="AP44" i="26"/>
  <c r="AQ44" i="26"/>
  <c r="AR44" i="26"/>
  <c r="AS44" i="26"/>
  <c r="AT44" i="26"/>
  <c r="AU44" i="26"/>
  <c r="AV44" i="26"/>
  <c r="AW44" i="26"/>
  <c r="AX44" i="26"/>
  <c r="AY44" i="26"/>
  <c r="BB44" i="26"/>
  <c r="BC44" i="26"/>
  <c r="BD44" i="26"/>
  <c r="BE44" i="26"/>
  <c r="BF44" i="26"/>
  <c r="BG44" i="26"/>
  <c r="BH44" i="26"/>
  <c r="BI44" i="26"/>
  <c r="BJ44" i="26"/>
  <c r="BK44" i="26"/>
  <c r="BL44" i="26"/>
  <c r="BM44" i="26"/>
  <c r="BN44" i="26"/>
  <c r="BO44" i="26"/>
  <c r="D45" i="26"/>
  <c r="F45" i="26"/>
  <c r="G45" i="26"/>
  <c r="H45" i="26"/>
  <c r="I45" i="26"/>
  <c r="K45" i="26"/>
  <c r="L45" i="26"/>
  <c r="N45" i="26"/>
  <c r="O45" i="26"/>
  <c r="P45" i="26"/>
  <c r="Q45" i="26"/>
  <c r="S45" i="26"/>
  <c r="T45" i="26"/>
  <c r="V45" i="26"/>
  <c r="X45" i="26"/>
  <c r="Y45" i="26"/>
  <c r="Z45" i="26"/>
  <c r="AA45" i="26"/>
  <c r="AB45" i="26"/>
  <c r="AC45" i="26"/>
  <c r="AF45" i="26"/>
  <c r="AG45" i="26"/>
  <c r="AH45" i="26"/>
  <c r="AI45" i="26"/>
  <c r="AJ45" i="26"/>
  <c r="AL45" i="26"/>
  <c r="AM45" i="26"/>
  <c r="AN45" i="26"/>
  <c r="AO45" i="26"/>
  <c r="AP45" i="26"/>
  <c r="AQ45" i="26"/>
  <c r="AR45" i="26"/>
  <c r="AS45" i="26"/>
  <c r="AT45" i="26"/>
  <c r="AU45" i="26"/>
  <c r="AV45" i="26"/>
  <c r="AW45" i="26"/>
  <c r="AX45" i="26"/>
  <c r="AY45" i="26"/>
  <c r="BB45" i="26"/>
  <c r="BC45" i="26"/>
  <c r="BD45" i="26"/>
  <c r="BE45" i="26"/>
  <c r="BF45" i="26"/>
  <c r="BG45" i="26"/>
  <c r="BH45" i="26"/>
  <c r="BI45" i="26"/>
  <c r="BJ45" i="26"/>
  <c r="BK45" i="26"/>
  <c r="BL45" i="26"/>
  <c r="BM45" i="26"/>
  <c r="BN45" i="26"/>
  <c r="BO45" i="26"/>
  <c r="D46" i="26"/>
  <c r="F46" i="26"/>
  <c r="G46" i="26"/>
  <c r="H46" i="26"/>
  <c r="I46" i="26"/>
  <c r="K46" i="26"/>
  <c r="L46" i="26"/>
  <c r="N46" i="26"/>
  <c r="O46" i="26"/>
  <c r="P46" i="26"/>
  <c r="Q46" i="26"/>
  <c r="S46" i="26"/>
  <c r="T46" i="26"/>
  <c r="V46" i="26"/>
  <c r="X46" i="26"/>
  <c r="Y46" i="26"/>
  <c r="Z46" i="26"/>
  <c r="AA46" i="26"/>
  <c r="AB46" i="26"/>
  <c r="AC46" i="26"/>
  <c r="AF46" i="26"/>
  <c r="AG46" i="26"/>
  <c r="AH46" i="26"/>
  <c r="AI46" i="26"/>
  <c r="AJ46" i="26"/>
  <c r="AL46" i="26"/>
  <c r="AM46" i="26"/>
  <c r="AN46" i="26"/>
  <c r="AO46" i="26"/>
  <c r="AP46" i="26"/>
  <c r="AQ46" i="26"/>
  <c r="AR46" i="26"/>
  <c r="AS46" i="26"/>
  <c r="AT46" i="26"/>
  <c r="AU46" i="26"/>
  <c r="AV46" i="26"/>
  <c r="AW46" i="26"/>
  <c r="AX46" i="26"/>
  <c r="AY46" i="26"/>
  <c r="BB46" i="26"/>
  <c r="BC46" i="26"/>
  <c r="BD46" i="26"/>
  <c r="BE46" i="26"/>
  <c r="BF46" i="26"/>
  <c r="BG46" i="26"/>
  <c r="BH46" i="26"/>
  <c r="BI46" i="26"/>
  <c r="BJ46" i="26"/>
  <c r="BK46" i="26"/>
  <c r="BL46" i="26"/>
  <c r="BM46" i="26"/>
  <c r="BN46" i="26"/>
  <c r="BO46" i="26"/>
  <c r="D47" i="26"/>
  <c r="F47" i="26"/>
  <c r="G47" i="26"/>
  <c r="H47" i="26"/>
  <c r="I47" i="26"/>
  <c r="K47" i="26"/>
  <c r="L47" i="26"/>
  <c r="N47" i="26"/>
  <c r="O47" i="26"/>
  <c r="P47" i="26"/>
  <c r="Q47" i="26"/>
  <c r="S47" i="26"/>
  <c r="T47" i="26"/>
  <c r="V47" i="26"/>
  <c r="X47" i="26"/>
  <c r="Y47" i="26"/>
  <c r="Z47" i="26"/>
  <c r="AA47" i="26"/>
  <c r="AB47" i="26"/>
  <c r="AC47" i="26"/>
  <c r="AF47" i="26"/>
  <c r="AG47" i="26"/>
  <c r="AH47" i="26"/>
  <c r="AI47" i="26"/>
  <c r="AJ47" i="26"/>
  <c r="AL47" i="26"/>
  <c r="AM47" i="26"/>
  <c r="AN47" i="26"/>
  <c r="AO47" i="26"/>
  <c r="AP47" i="26"/>
  <c r="AQ47" i="26"/>
  <c r="AR47" i="26"/>
  <c r="AS47" i="26"/>
  <c r="AT47" i="26"/>
  <c r="AU47" i="26"/>
  <c r="AV47" i="26"/>
  <c r="AW47" i="26"/>
  <c r="AX47" i="26"/>
  <c r="AY47" i="26"/>
  <c r="BB47" i="26"/>
  <c r="BC47" i="26"/>
  <c r="BD47" i="26"/>
  <c r="BE47" i="26"/>
  <c r="BF47" i="26"/>
  <c r="BG47" i="26"/>
  <c r="BH47" i="26"/>
  <c r="BI47" i="26"/>
  <c r="BJ47" i="26"/>
  <c r="BK47" i="26"/>
  <c r="BL47" i="26"/>
  <c r="BM47" i="26"/>
  <c r="BN47" i="26"/>
  <c r="BO47" i="26"/>
  <c r="D48" i="26"/>
  <c r="F48" i="26"/>
  <c r="G48" i="26"/>
  <c r="H48" i="26"/>
  <c r="I48" i="26"/>
  <c r="K48" i="26"/>
  <c r="L48" i="26"/>
  <c r="N48" i="26"/>
  <c r="O48" i="26"/>
  <c r="P48" i="26"/>
  <c r="Q48" i="26"/>
  <c r="S48" i="26"/>
  <c r="T48" i="26"/>
  <c r="V48" i="26"/>
  <c r="X48" i="26"/>
  <c r="Y48" i="26"/>
  <c r="Z48" i="26"/>
  <c r="AA48" i="26"/>
  <c r="AB48" i="26"/>
  <c r="AC48" i="26"/>
  <c r="AF48" i="26"/>
  <c r="AG48" i="26"/>
  <c r="AH48" i="26"/>
  <c r="AI48" i="26"/>
  <c r="AJ48" i="26"/>
  <c r="AL48" i="26"/>
  <c r="AM48" i="26"/>
  <c r="AN48" i="26"/>
  <c r="AO48" i="26"/>
  <c r="AP48" i="26"/>
  <c r="AQ48" i="26"/>
  <c r="AR48" i="26"/>
  <c r="AS48" i="26"/>
  <c r="AT48" i="26"/>
  <c r="AU48" i="26"/>
  <c r="AV48" i="26"/>
  <c r="AW48" i="26"/>
  <c r="AX48" i="26"/>
  <c r="AY48" i="26"/>
  <c r="BB48" i="26"/>
  <c r="BC48" i="26"/>
  <c r="BD48" i="26"/>
  <c r="BE48" i="26"/>
  <c r="BF48" i="26"/>
  <c r="BG48" i="26"/>
  <c r="BH48" i="26"/>
  <c r="BI48" i="26"/>
  <c r="BJ48" i="26"/>
  <c r="BK48" i="26"/>
  <c r="BL48" i="26"/>
  <c r="BM48" i="26"/>
  <c r="BN48" i="26"/>
  <c r="BO48" i="26"/>
  <c r="D49" i="26"/>
  <c r="F49" i="26"/>
  <c r="G49" i="26"/>
  <c r="H49" i="26"/>
  <c r="I49" i="26"/>
  <c r="K49" i="26"/>
  <c r="L49" i="26"/>
  <c r="N49" i="26"/>
  <c r="O49" i="26"/>
  <c r="P49" i="26"/>
  <c r="Q49" i="26"/>
  <c r="S49" i="26"/>
  <c r="T49" i="26"/>
  <c r="V49" i="26"/>
  <c r="X49" i="26"/>
  <c r="Y49" i="26"/>
  <c r="Z49" i="26"/>
  <c r="AA49" i="26"/>
  <c r="AB49" i="26"/>
  <c r="AC49" i="26"/>
  <c r="AF49" i="26"/>
  <c r="AG49" i="26"/>
  <c r="AH49" i="26"/>
  <c r="AI49" i="26"/>
  <c r="AJ49" i="26"/>
  <c r="AL49" i="26"/>
  <c r="AM49" i="26"/>
  <c r="AN49" i="26"/>
  <c r="AO49" i="26"/>
  <c r="AP49" i="26"/>
  <c r="AQ49" i="26"/>
  <c r="AR49" i="26"/>
  <c r="AS49" i="26"/>
  <c r="AT49" i="26"/>
  <c r="AU49" i="26"/>
  <c r="AV49" i="26"/>
  <c r="AW49" i="26"/>
  <c r="AX49" i="26"/>
  <c r="AY49" i="26"/>
  <c r="BB49" i="26"/>
  <c r="BC49" i="26"/>
  <c r="BD49" i="26"/>
  <c r="BE49" i="26"/>
  <c r="BF49" i="26"/>
  <c r="BG49" i="26"/>
  <c r="BH49" i="26"/>
  <c r="BI49" i="26"/>
  <c r="BJ49" i="26"/>
  <c r="BK49" i="26"/>
  <c r="BL49" i="26"/>
  <c r="BM49" i="26"/>
  <c r="BN49" i="26"/>
  <c r="BO49" i="26"/>
  <c r="D50" i="26"/>
  <c r="F50" i="26"/>
  <c r="G50" i="26"/>
  <c r="H50" i="26"/>
  <c r="I50" i="26"/>
  <c r="K50" i="26"/>
  <c r="L50" i="26"/>
  <c r="N50" i="26"/>
  <c r="O50" i="26"/>
  <c r="P50" i="26"/>
  <c r="Q50" i="26"/>
  <c r="S50" i="26"/>
  <c r="T50" i="26"/>
  <c r="V50" i="26"/>
  <c r="X50" i="26"/>
  <c r="Y50" i="26"/>
  <c r="Z50" i="26"/>
  <c r="AA50" i="26"/>
  <c r="AB50" i="26"/>
  <c r="AC50" i="26"/>
  <c r="AF50" i="26"/>
  <c r="AG50" i="26"/>
  <c r="AH50" i="26"/>
  <c r="AI50" i="26"/>
  <c r="AJ50" i="26"/>
  <c r="AL50" i="26"/>
  <c r="AM50" i="26"/>
  <c r="AN50" i="26"/>
  <c r="AO50" i="26"/>
  <c r="AP50" i="26"/>
  <c r="AQ50" i="26"/>
  <c r="AR50" i="26"/>
  <c r="AS50" i="26"/>
  <c r="AT50" i="26"/>
  <c r="AU50" i="26"/>
  <c r="AV50" i="26"/>
  <c r="AW50" i="26"/>
  <c r="AX50" i="26"/>
  <c r="AY50" i="26"/>
  <c r="BB50" i="26"/>
  <c r="BC50" i="26"/>
  <c r="BD50" i="26"/>
  <c r="BE50" i="26"/>
  <c r="BF50" i="26"/>
  <c r="BG50" i="26"/>
  <c r="BH50" i="26"/>
  <c r="BI50" i="26"/>
  <c r="BJ50" i="26"/>
  <c r="BK50" i="26"/>
  <c r="BL50" i="26"/>
  <c r="BM50" i="26"/>
  <c r="BN50" i="26"/>
  <c r="BO50" i="26"/>
  <c r="D51" i="26"/>
  <c r="F51" i="26"/>
  <c r="G51" i="26"/>
  <c r="H51" i="26"/>
  <c r="I51" i="26"/>
  <c r="K51" i="26"/>
  <c r="L51" i="26"/>
  <c r="N51" i="26"/>
  <c r="O51" i="26"/>
  <c r="P51" i="26"/>
  <c r="Q51" i="26"/>
  <c r="S51" i="26"/>
  <c r="T51" i="26"/>
  <c r="V51" i="26"/>
  <c r="X51" i="26"/>
  <c r="Y51" i="26"/>
  <c r="Z51" i="26"/>
  <c r="AA51" i="26"/>
  <c r="AB51" i="26"/>
  <c r="AC51" i="26"/>
  <c r="AF51" i="26"/>
  <c r="AG51" i="26"/>
  <c r="AH51" i="26"/>
  <c r="AI51" i="26"/>
  <c r="AJ51" i="26"/>
  <c r="AL51" i="26"/>
  <c r="AM51" i="26"/>
  <c r="AN51" i="26"/>
  <c r="AO51" i="26"/>
  <c r="AP51" i="26"/>
  <c r="AQ51" i="26"/>
  <c r="AR51" i="26"/>
  <c r="AS51" i="26"/>
  <c r="AT51" i="26"/>
  <c r="AU51" i="26"/>
  <c r="AV51" i="26"/>
  <c r="AW51" i="26"/>
  <c r="AX51" i="26"/>
  <c r="AY51" i="26"/>
  <c r="BB51" i="26"/>
  <c r="BC51" i="26"/>
  <c r="BD51" i="26"/>
  <c r="BE51" i="26"/>
  <c r="BF51" i="26"/>
  <c r="BG51" i="26"/>
  <c r="BH51" i="26"/>
  <c r="BI51" i="26"/>
  <c r="BJ51" i="26"/>
  <c r="BK51" i="26"/>
  <c r="BL51" i="26"/>
  <c r="BM51" i="26"/>
  <c r="BN51" i="26"/>
  <c r="BO51" i="26"/>
  <c r="F1" i="22"/>
  <c r="AV1" i="22"/>
  <c r="A2" i="22"/>
  <c r="F2" i="22"/>
  <c r="G2" i="22"/>
  <c r="N2" i="22"/>
  <c r="AV2" i="22"/>
  <c r="AW2" i="22"/>
  <c r="AX2" i="22"/>
  <c r="AY2" i="22"/>
  <c r="BW2" i="22"/>
  <c r="BX2" i="22"/>
  <c r="BY2" i="22"/>
  <c r="BZ2" i="22"/>
  <c r="CA2" i="22"/>
  <c r="CB2" i="22"/>
  <c r="CC2" i="22"/>
  <c r="CD2" i="22"/>
  <c r="CE2" i="22"/>
  <c r="CF2" i="22"/>
  <c r="CG2" i="22"/>
  <c r="CH2" i="22"/>
  <c r="CI2" i="22"/>
  <c r="CJ2" i="22"/>
  <c r="CK2" i="22"/>
  <c r="CL2" i="22"/>
  <c r="CM2" i="22"/>
  <c r="CN2" i="22"/>
  <c r="CO2" i="22"/>
  <c r="CP2" i="22"/>
  <c r="CQ2" i="22"/>
  <c r="CR2" i="22"/>
  <c r="CS2" i="22"/>
  <c r="CT2" i="22"/>
  <c r="CU2" i="22"/>
  <c r="CV2" i="22"/>
  <c r="CW2" i="22"/>
  <c r="CX2" i="22"/>
  <c r="A3" i="22"/>
  <c r="AH3" i="22"/>
  <c r="AK3" i="22"/>
  <c r="AV3" i="22"/>
  <c r="AW3" i="22"/>
  <c r="AX3" i="22"/>
  <c r="AY3" i="22"/>
  <c r="A4" i="22"/>
  <c r="N4" i="22"/>
  <c r="P4" i="22"/>
  <c r="T4" i="22"/>
  <c r="V4" i="22"/>
  <c r="W4" i="22"/>
  <c r="AH4" i="22"/>
  <c r="AK4" i="22"/>
  <c r="AM4" i="22"/>
  <c r="AN4" i="22"/>
  <c r="AO4" i="22"/>
  <c r="AP4" i="22"/>
  <c r="AQ4" i="22"/>
  <c r="AR4" i="22"/>
  <c r="AS4" i="22"/>
  <c r="AT4" i="22"/>
  <c r="AV4" i="22"/>
  <c r="AW4" i="22"/>
  <c r="AX4" i="22"/>
  <c r="AY4" i="22"/>
  <c r="A5" i="22"/>
  <c r="G5" i="22"/>
  <c r="N5" i="22"/>
  <c r="P5" i="22"/>
  <c r="T5" i="22"/>
  <c r="V5" i="22"/>
  <c r="W5" i="22"/>
  <c r="AH5" i="22"/>
  <c r="AK5" i="22"/>
  <c r="AM5" i="22"/>
  <c r="AN5" i="22"/>
  <c r="AO5" i="22"/>
  <c r="AP5" i="22"/>
  <c r="AQ5" i="22"/>
  <c r="AR5" i="22"/>
  <c r="AS5" i="22"/>
  <c r="AT5" i="22"/>
  <c r="AV5" i="22"/>
  <c r="AW5" i="22"/>
  <c r="AX5" i="22"/>
  <c r="AY5" i="22"/>
  <c r="BV5" i="22"/>
  <c r="A6" i="22"/>
  <c r="N6" i="22"/>
  <c r="P6" i="22"/>
  <c r="T6" i="22"/>
  <c r="V6" i="22"/>
  <c r="W6" i="22"/>
  <c r="AH6" i="22"/>
  <c r="AK6" i="22"/>
  <c r="AM6" i="22"/>
  <c r="AN6" i="22"/>
  <c r="AO6" i="22"/>
  <c r="AP6" i="22"/>
  <c r="AQ6" i="22"/>
  <c r="AR6" i="22"/>
  <c r="AS6" i="22"/>
  <c r="AT6" i="22"/>
  <c r="A7" i="22"/>
  <c r="G7" i="22"/>
  <c r="N7" i="22"/>
  <c r="N7" i="22" a="1"/>
  <c r="P7" i="22"/>
  <c r="T7" i="22"/>
  <c r="AH7" i="22"/>
  <c r="AK7" i="22"/>
  <c r="AM7" i="22"/>
  <c r="AN7" i="22"/>
  <c r="AO7" i="22"/>
  <c r="AP7" i="22"/>
  <c r="AQ7" i="22"/>
  <c r="AR7" i="22"/>
  <c r="AS7" i="22"/>
  <c r="AT7" i="22"/>
  <c r="AV7" i="22"/>
  <c r="AW7" i="22"/>
  <c r="AX7" i="22"/>
  <c r="AY7" i="22"/>
  <c r="G8" i="22"/>
  <c r="N8" i="22"/>
  <c r="N8" i="22" a="1"/>
  <c r="P8" i="22"/>
  <c r="T8" i="22"/>
  <c r="V8" i="22"/>
  <c r="W8" i="22"/>
  <c r="Y8" i="22"/>
  <c r="Z8" i="22"/>
  <c r="AH8" i="22"/>
  <c r="AK8" i="22"/>
  <c r="AM8" i="22"/>
  <c r="AN8" i="22"/>
  <c r="AO8" i="22"/>
  <c r="AP8" i="22"/>
  <c r="AQ8" i="22"/>
  <c r="AR8" i="22"/>
  <c r="AS8" i="22"/>
  <c r="AT8" i="22"/>
  <c r="AV8" i="22"/>
  <c r="AW8" i="22"/>
  <c r="AX8" i="22"/>
  <c r="AY8" i="22"/>
  <c r="N9" i="22"/>
  <c r="N9" i="22" a="1"/>
  <c r="P9" i="22"/>
  <c r="AK9" i="22"/>
  <c r="AM9" i="22"/>
  <c r="AN9" i="22"/>
  <c r="AO9" i="22"/>
  <c r="AP9" i="22"/>
  <c r="AQ9" i="22"/>
  <c r="AR9" i="22"/>
  <c r="AS9" i="22"/>
  <c r="AT9" i="22"/>
  <c r="AV9" i="22"/>
  <c r="AW9" i="22"/>
  <c r="AX9" i="22"/>
  <c r="AY9" i="22"/>
  <c r="N10" i="22"/>
  <c r="P10" i="22"/>
  <c r="AH10" i="22"/>
  <c r="AM10" i="22"/>
  <c r="AN10" i="22"/>
  <c r="AO10" i="22"/>
  <c r="AP10" i="22"/>
  <c r="AQ10" i="22"/>
  <c r="AR10" i="22"/>
  <c r="AS10" i="22"/>
  <c r="AT10" i="22"/>
  <c r="AV10" i="22"/>
  <c r="AW10" i="22"/>
  <c r="AX10" i="22"/>
  <c r="AY10" i="22"/>
  <c r="D11" i="22"/>
  <c r="N11" i="22"/>
  <c r="P11" i="22"/>
  <c r="AM11" i="22"/>
  <c r="AN11" i="22"/>
  <c r="AO11" i="22"/>
  <c r="AP11" i="22"/>
  <c r="AQ11" i="22"/>
  <c r="AR11" i="22"/>
  <c r="AS11" i="22"/>
  <c r="AT11" i="22"/>
  <c r="AV11" i="22"/>
  <c r="AW11" i="22"/>
  <c r="AX11" i="22"/>
  <c r="AY11" i="22"/>
  <c r="D12" i="22"/>
  <c r="N12" i="22"/>
  <c r="P12" i="22"/>
  <c r="AH12" i="22"/>
  <c r="AM12" i="22"/>
  <c r="AN12" i="22"/>
  <c r="AO12" i="22"/>
  <c r="AP12" i="22"/>
  <c r="AQ12" i="22"/>
  <c r="AR12" i="22"/>
  <c r="AS12" i="22"/>
  <c r="AT12" i="22"/>
  <c r="AV12" i="22"/>
  <c r="AW12" i="22"/>
  <c r="AX12" i="22"/>
  <c r="AY12" i="22"/>
  <c r="N13" i="22"/>
  <c r="P13" i="22"/>
  <c r="AH13" i="22"/>
  <c r="AM13" i="22"/>
  <c r="AN13" i="22"/>
  <c r="AO13" i="22"/>
  <c r="AP13" i="22"/>
  <c r="AQ13" i="22"/>
  <c r="AR13" i="22"/>
  <c r="AS13" i="22"/>
  <c r="AT13" i="22"/>
  <c r="AV13" i="22"/>
  <c r="AW13" i="22"/>
  <c r="AX13" i="22"/>
  <c r="AY13" i="22"/>
  <c r="N14" i="22"/>
  <c r="P14" i="22"/>
  <c r="S14" i="22"/>
  <c r="T14" i="22"/>
  <c r="AM14" i="22"/>
  <c r="AN14" i="22"/>
  <c r="AO14" i="22"/>
  <c r="AP14" i="22"/>
  <c r="AQ14" i="22"/>
  <c r="AR14" i="22"/>
  <c r="AS14" i="22"/>
  <c r="AT14" i="22"/>
  <c r="AV14" i="22"/>
  <c r="AW14" i="22"/>
  <c r="AX14" i="22"/>
  <c r="AY14" i="22"/>
  <c r="N15" i="22"/>
  <c r="P15" i="22"/>
  <c r="AM15" i="22"/>
  <c r="AN15" i="22"/>
  <c r="AO15" i="22"/>
  <c r="AP15" i="22"/>
  <c r="AQ15" i="22"/>
  <c r="AR15" i="22"/>
  <c r="AS15" i="22"/>
  <c r="AT15" i="22"/>
  <c r="AV15" i="22"/>
  <c r="AW15" i="22"/>
  <c r="AX15" i="22"/>
  <c r="AY15" i="22"/>
  <c r="N16" i="22"/>
  <c r="P16" i="22"/>
  <c r="AV16" i="22"/>
  <c r="AW16" i="22"/>
  <c r="AX16" i="22"/>
  <c r="AY16" i="22"/>
  <c r="N17" i="22"/>
  <c r="P17" i="22"/>
  <c r="AV17" i="22"/>
  <c r="AW17" i="22"/>
  <c r="AX17" i="22"/>
  <c r="AY17" i="22"/>
  <c r="N18" i="22"/>
  <c r="P18" i="22"/>
  <c r="AX18" i="22"/>
  <c r="AY18" i="22"/>
  <c r="N19" i="22"/>
  <c r="P19" i="22"/>
  <c r="S20" i="22"/>
  <c r="T20" i="22"/>
  <c r="AM20" i="22"/>
  <c r="AO20" i="22"/>
  <c r="AV20" i="22"/>
  <c r="AW20" i="22"/>
  <c r="AX20" i="22"/>
  <c r="AY20" i="22"/>
  <c r="D22" i="22"/>
  <c r="F22" i="22"/>
  <c r="G22" i="22"/>
  <c r="H22" i="22"/>
  <c r="I22" i="22"/>
  <c r="K22" i="22"/>
  <c r="L22" i="22"/>
  <c r="N22" i="22"/>
  <c r="O22" i="22"/>
  <c r="P22" i="22"/>
  <c r="Q22" i="22"/>
  <c r="S22" i="22"/>
  <c r="T22" i="22"/>
  <c r="V22" i="22"/>
  <c r="X22" i="22"/>
  <c r="Y22" i="22"/>
  <c r="Z22" i="22"/>
  <c r="AA22" i="22"/>
  <c r="AB22" i="22"/>
  <c r="AC22" i="22"/>
  <c r="AF22" i="22"/>
  <c r="AG22" i="22"/>
  <c r="AH22" i="22"/>
  <c r="AI22" i="22"/>
  <c r="AJ22" i="22"/>
  <c r="AL22" i="22"/>
  <c r="AM22" i="22"/>
  <c r="AN22" i="22"/>
  <c r="AO22" i="22"/>
  <c r="AP22" i="22"/>
  <c r="AQ22" i="22"/>
  <c r="AR22" i="22"/>
  <c r="AS22" i="22"/>
  <c r="AT22" i="22"/>
  <c r="AU22" i="22"/>
  <c r="AV22" i="22"/>
  <c r="AW22" i="22"/>
  <c r="AX22" i="22"/>
  <c r="AY22" i="22"/>
  <c r="BB22" i="22"/>
  <c r="BC22" i="22"/>
  <c r="BD22" i="22"/>
  <c r="BE22" i="22"/>
  <c r="BF22" i="22"/>
  <c r="BG22" i="22"/>
  <c r="BH22" i="22"/>
  <c r="BI22" i="22"/>
  <c r="BJ22" i="22"/>
  <c r="BK22" i="22"/>
  <c r="BL22" i="22"/>
  <c r="BM22" i="22"/>
  <c r="BN22" i="22"/>
  <c r="BO22" i="22"/>
  <c r="D23" i="22"/>
  <c r="F23" i="22"/>
  <c r="G23" i="22"/>
  <c r="H23" i="22"/>
  <c r="I23" i="22"/>
  <c r="K23" i="22"/>
  <c r="L23" i="22"/>
  <c r="N23" i="22"/>
  <c r="O23" i="22"/>
  <c r="P23" i="22"/>
  <c r="Q23" i="22"/>
  <c r="S23" i="22"/>
  <c r="T23" i="22"/>
  <c r="V23" i="22"/>
  <c r="X23" i="22"/>
  <c r="Y23" i="22"/>
  <c r="Z23" i="22"/>
  <c r="AA23" i="22"/>
  <c r="AB23" i="22"/>
  <c r="AC23" i="22"/>
  <c r="AF23" i="22"/>
  <c r="AG23" i="22"/>
  <c r="AH23" i="22"/>
  <c r="AI23" i="22"/>
  <c r="AJ23" i="22"/>
  <c r="AL23" i="22"/>
  <c r="AM23" i="22"/>
  <c r="AN23" i="22"/>
  <c r="AO23" i="22"/>
  <c r="AP23" i="22"/>
  <c r="AQ23" i="22"/>
  <c r="AR23" i="22"/>
  <c r="AS23" i="22"/>
  <c r="AT23" i="22"/>
  <c r="AU23" i="22"/>
  <c r="AV23" i="22"/>
  <c r="AW23" i="22"/>
  <c r="AX23" i="22"/>
  <c r="AY23" i="22"/>
  <c r="BB23" i="22"/>
  <c r="BC23" i="22"/>
  <c r="BD23" i="22"/>
  <c r="BE23" i="22"/>
  <c r="BF23" i="22"/>
  <c r="BG23" i="22"/>
  <c r="BH23" i="22"/>
  <c r="BI23" i="22"/>
  <c r="BJ23" i="22"/>
  <c r="BK23" i="22"/>
  <c r="BL23" i="22"/>
  <c r="BM23" i="22"/>
  <c r="BN23" i="22"/>
  <c r="BO23" i="22"/>
  <c r="D24" i="22"/>
  <c r="F24" i="22"/>
  <c r="G24" i="22"/>
  <c r="H24" i="22"/>
  <c r="I24" i="22"/>
  <c r="K24" i="22"/>
  <c r="L24" i="22"/>
  <c r="N24" i="22"/>
  <c r="O24" i="22"/>
  <c r="P24" i="22"/>
  <c r="Q24" i="22"/>
  <c r="S24" i="22"/>
  <c r="T24" i="22"/>
  <c r="V24" i="22"/>
  <c r="X24" i="22"/>
  <c r="Y24" i="22"/>
  <c r="Z24" i="22"/>
  <c r="AA24" i="22"/>
  <c r="AB24" i="22"/>
  <c r="AC24" i="22"/>
  <c r="AF24" i="22"/>
  <c r="AG24" i="22"/>
  <c r="AH24" i="22"/>
  <c r="AI24" i="22"/>
  <c r="AJ24" i="22"/>
  <c r="AL24" i="22"/>
  <c r="AM24" i="22"/>
  <c r="AN24" i="22"/>
  <c r="AO24" i="22"/>
  <c r="AP24" i="22"/>
  <c r="AQ24" i="22"/>
  <c r="AR24" i="22"/>
  <c r="AS24" i="22"/>
  <c r="AT24" i="22"/>
  <c r="AU24" i="22"/>
  <c r="AV24" i="22"/>
  <c r="AW24" i="22"/>
  <c r="AX24" i="22"/>
  <c r="AY24" i="22"/>
  <c r="BB24" i="22"/>
  <c r="BC24" i="22"/>
  <c r="BD24" i="22"/>
  <c r="BE24" i="22"/>
  <c r="BF24" i="22"/>
  <c r="BG24" i="22"/>
  <c r="BH24" i="22"/>
  <c r="BI24" i="22"/>
  <c r="BJ24" i="22"/>
  <c r="BK24" i="22"/>
  <c r="BL24" i="22"/>
  <c r="BM24" i="22"/>
  <c r="BN24" i="22"/>
  <c r="BO24" i="22"/>
  <c r="D25" i="22"/>
  <c r="F25" i="22"/>
  <c r="G25" i="22"/>
  <c r="H25" i="22"/>
  <c r="I25" i="22"/>
  <c r="K25" i="22"/>
  <c r="L25" i="22"/>
  <c r="N25" i="22"/>
  <c r="O25" i="22"/>
  <c r="P25" i="22"/>
  <c r="Q25" i="22"/>
  <c r="S25" i="22"/>
  <c r="T25" i="22"/>
  <c r="V25" i="22"/>
  <c r="X25" i="22"/>
  <c r="Y25" i="22"/>
  <c r="Z25" i="22"/>
  <c r="AA25" i="22"/>
  <c r="AB25" i="22"/>
  <c r="AC25" i="22"/>
  <c r="AF25" i="22"/>
  <c r="AG25" i="22"/>
  <c r="AH25" i="22"/>
  <c r="AI25" i="22"/>
  <c r="AJ25" i="22"/>
  <c r="AL25" i="22"/>
  <c r="AM25" i="22"/>
  <c r="AN25" i="22"/>
  <c r="AO25" i="22"/>
  <c r="AP25" i="22"/>
  <c r="AQ25" i="22"/>
  <c r="AR25" i="22"/>
  <c r="AS25" i="22"/>
  <c r="AT25" i="22"/>
  <c r="AU25" i="22"/>
  <c r="AV25" i="22"/>
  <c r="AW25" i="22"/>
  <c r="AX25" i="22"/>
  <c r="AY25" i="22"/>
  <c r="BB25" i="22"/>
  <c r="BC25" i="22"/>
  <c r="BD25" i="22"/>
  <c r="BE25" i="22"/>
  <c r="BF25" i="22"/>
  <c r="BG25" i="22"/>
  <c r="BH25" i="22"/>
  <c r="BI25" i="22"/>
  <c r="BJ25" i="22"/>
  <c r="BK25" i="22"/>
  <c r="BL25" i="22"/>
  <c r="BM25" i="22"/>
  <c r="BN25" i="22"/>
  <c r="BO25" i="22"/>
  <c r="D26" i="22"/>
  <c r="F26" i="22"/>
  <c r="G26" i="22"/>
  <c r="H26" i="22"/>
  <c r="I26" i="22"/>
  <c r="K26" i="22"/>
  <c r="L26" i="22"/>
  <c r="N26" i="22"/>
  <c r="O26" i="22"/>
  <c r="P26" i="22"/>
  <c r="Q26" i="22"/>
  <c r="S26" i="22"/>
  <c r="T26" i="22"/>
  <c r="V26" i="22"/>
  <c r="X26" i="22"/>
  <c r="Y26" i="22"/>
  <c r="Z26" i="22"/>
  <c r="AA26" i="22"/>
  <c r="AB26" i="22"/>
  <c r="AC26" i="22"/>
  <c r="AF26" i="22"/>
  <c r="AG26" i="22"/>
  <c r="AH26" i="22"/>
  <c r="AI26" i="22"/>
  <c r="AJ26" i="22"/>
  <c r="AL26" i="22"/>
  <c r="AM26" i="22"/>
  <c r="AN26" i="22"/>
  <c r="AO26" i="22"/>
  <c r="AP26" i="22"/>
  <c r="AQ26" i="22"/>
  <c r="AR26" i="22"/>
  <c r="AS26" i="22"/>
  <c r="AT26" i="22"/>
  <c r="AU26" i="22"/>
  <c r="AV26" i="22"/>
  <c r="AW26" i="22"/>
  <c r="AX26" i="22"/>
  <c r="AY26" i="22"/>
  <c r="BB26" i="22"/>
  <c r="BC26" i="22"/>
  <c r="BD26" i="22"/>
  <c r="BE26" i="22"/>
  <c r="BF26" i="22"/>
  <c r="BG26" i="22"/>
  <c r="BH26" i="22"/>
  <c r="BI26" i="22"/>
  <c r="BJ26" i="22"/>
  <c r="BK26" i="22"/>
  <c r="BL26" i="22"/>
  <c r="BM26" i="22"/>
  <c r="BN26" i="22"/>
  <c r="BO26" i="22"/>
  <c r="D27" i="22"/>
  <c r="F27" i="22"/>
  <c r="G27" i="22"/>
  <c r="H27" i="22"/>
  <c r="I27" i="22"/>
  <c r="K27" i="22"/>
  <c r="L27" i="22"/>
  <c r="N27" i="22"/>
  <c r="O27" i="22"/>
  <c r="P27" i="22"/>
  <c r="Q27" i="22"/>
  <c r="S27" i="22"/>
  <c r="T27" i="22"/>
  <c r="V27" i="22"/>
  <c r="X27" i="22"/>
  <c r="Y27" i="22"/>
  <c r="Z27" i="22"/>
  <c r="AA27" i="22"/>
  <c r="AB27" i="22"/>
  <c r="AC27" i="22"/>
  <c r="AF27" i="22"/>
  <c r="AG27" i="22"/>
  <c r="AH27" i="22"/>
  <c r="AI27" i="22"/>
  <c r="AJ27" i="22"/>
  <c r="AL27" i="22"/>
  <c r="AM27" i="22"/>
  <c r="AN27" i="22"/>
  <c r="AO27" i="22"/>
  <c r="AP27" i="22"/>
  <c r="AQ27" i="22"/>
  <c r="AR27" i="22"/>
  <c r="AS27" i="22"/>
  <c r="AT27" i="22"/>
  <c r="AU27" i="22"/>
  <c r="AV27" i="22"/>
  <c r="AW27" i="22"/>
  <c r="AX27" i="22"/>
  <c r="AY27" i="22"/>
  <c r="BB27" i="22"/>
  <c r="BC27" i="22"/>
  <c r="BD27" i="22"/>
  <c r="BE27" i="22"/>
  <c r="BF27" i="22"/>
  <c r="BG27" i="22"/>
  <c r="BH27" i="22"/>
  <c r="BI27" i="22"/>
  <c r="BJ27" i="22"/>
  <c r="BK27" i="22"/>
  <c r="BL27" i="22"/>
  <c r="BM27" i="22"/>
  <c r="BN27" i="22"/>
  <c r="BO27" i="22"/>
  <c r="D28" i="22"/>
  <c r="F28" i="22"/>
  <c r="G28" i="22"/>
  <c r="H28" i="22"/>
  <c r="I28" i="22"/>
  <c r="K28" i="22"/>
  <c r="L28" i="22"/>
  <c r="N28" i="22"/>
  <c r="O28" i="22"/>
  <c r="P28" i="22"/>
  <c r="Q28" i="22"/>
  <c r="S28" i="22"/>
  <c r="T28" i="22"/>
  <c r="V28" i="22"/>
  <c r="X28" i="22"/>
  <c r="Y28" i="22"/>
  <c r="Z28" i="22"/>
  <c r="AA28" i="22"/>
  <c r="AB28" i="22"/>
  <c r="AC28" i="22"/>
  <c r="AF28" i="22"/>
  <c r="AG28" i="22"/>
  <c r="AH28" i="22"/>
  <c r="AI28" i="22"/>
  <c r="AJ28" i="22"/>
  <c r="AL28" i="22"/>
  <c r="AM28" i="22"/>
  <c r="AN28" i="22"/>
  <c r="AO28" i="22"/>
  <c r="AP28" i="22"/>
  <c r="AQ28" i="22"/>
  <c r="AR28" i="22"/>
  <c r="AS28" i="22"/>
  <c r="AT28" i="22"/>
  <c r="AU28" i="22"/>
  <c r="AV28" i="22"/>
  <c r="AW28" i="22"/>
  <c r="AX28" i="22"/>
  <c r="AY28" i="22"/>
  <c r="BB28" i="22"/>
  <c r="BC28" i="22"/>
  <c r="BD28" i="22"/>
  <c r="BE28" i="22"/>
  <c r="BF28" i="22"/>
  <c r="BG28" i="22"/>
  <c r="BH28" i="22"/>
  <c r="BI28" i="22"/>
  <c r="BJ28" i="22"/>
  <c r="BK28" i="22"/>
  <c r="BL28" i="22"/>
  <c r="BM28" i="22"/>
  <c r="BN28" i="22"/>
  <c r="BO28" i="22"/>
  <c r="D29" i="22"/>
  <c r="F29" i="22"/>
  <c r="G29" i="22"/>
  <c r="H29" i="22"/>
  <c r="I29" i="22"/>
  <c r="K29" i="22"/>
  <c r="L29" i="22"/>
  <c r="N29" i="22"/>
  <c r="O29" i="22"/>
  <c r="P29" i="22"/>
  <c r="Q29" i="22"/>
  <c r="S29" i="22"/>
  <c r="T29" i="22"/>
  <c r="V29" i="22"/>
  <c r="X29" i="22"/>
  <c r="Y29" i="22"/>
  <c r="Z29" i="22"/>
  <c r="AA29" i="22"/>
  <c r="AB29" i="22"/>
  <c r="AC29" i="22"/>
  <c r="AF29" i="22"/>
  <c r="AG29" i="22"/>
  <c r="AH29" i="22"/>
  <c r="AI29" i="22"/>
  <c r="AJ29" i="22"/>
  <c r="AL29" i="22"/>
  <c r="AM29" i="22"/>
  <c r="AN29" i="22"/>
  <c r="AO29" i="22"/>
  <c r="AP29" i="22"/>
  <c r="AQ29" i="22"/>
  <c r="AR29" i="22"/>
  <c r="AS29" i="22"/>
  <c r="AT29" i="22"/>
  <c r="AU29" i="22"/>
  <c r="AV29" i="22"/>
  <c r="AW29" i="22"/>
  <c r="AX29" i="22"/>
  <c r="AY29" i="22"/>
  <c r="BB29" i="22"/>
  <c r="BC29" i="22"/>
  <c r="BD29" i="22"/>
  <c r="BE29" i="22"/>
  <c r="BF29" i="22"/>
  <c r="BG29" i="22"/>
  <c r="BH29" i="22"/>
  <c r="BI29" i="22"/>
  <c r="BJ29" i="22"/>
  <c r="BK29" i="22"/>
  <c r="BL29" i="22"/>
  <c r="BM29" i="22"/>
  <c r="BN29" i="22"/>
  <c r="BO29" i="22"/>
  <c r="D30" i="22"/>
  <c r="F30" i="22"/>
  <c r="G30" i="22"/>
  <c r="H30" i="22"/>
  <c r="I30" i="22"/>
  <c r="K30" i="22"/>
  <c r="L30" i="22"/>
  <c r="N30" i="22"/>
  <c r="O30" i="22"/>
  <c r="P30" i="22"/>
  <c r="Q30" i="22"/>
  <c r="S30" i="22"/>
  <c r="T30" i="22"/>
  <c r="V30" i="22"/>
  <c r="X30" i="22"/>
  <c r="Y30" i="22"/>
  <c r="Z30" i="22"/>
  <c r="AA30" i="22"/>
  <c r="AB30" i="22"/>
  <c r="AC30" i="22"/>
  <c r="AF30" i="22"/>
  <c r="AG30" i="22"/>
  <c r="AH30" i="22"/>
  <c r="AI30" i="22"/>
  <c r="AJ30" i="22"/>
  <c r="AL30" i="22"/>
  <c r="AM30" i="22"/>
  <c r="AN30" i="22"/>
  <c r="AO30" i="22"/>
  <c r="AP30" i="22"/>
  <c r="AQ30" i="22"/>
  <c r="AR30" i="22"/>
  <c r="AS30" i="22"/>
  <c r="AT30" i="22"/>
  <c r="AU30" i="22"/>
  <c r="AV30" i="22"/>
  <c r="AW30" i="22"/>
  <c r="AX30" i="22"/>
  <c r="AY30" i="22"/>
  <c r="BB30" i="22"/>
  <c r="BC30" i="22"/>
  <c r="BD30" i="22"/>
  <c r="BE30" i="22"/>
  <c r="BF30" i="22"/>
  <c r="BG30" i="22"/>
  <c r="BH30" i="22"/>
  <c r="BI30" i="22"/>
  <c r="BJ30" i="22"/>
  <c r="BK30" i="22"/>
  <c r="BL30" i="22"/>
  <c r="BM30" i="22"/>
  <c r="BN30" i="22"/>
  <c r="BO30" i="22"/>
  <c r="F1" i="27"/>
  <c r="AV1" i="27"/>
  <c r="A2" i="27"/>
  <c r="F2" i="27"/>
  <c r="G2" i="27"/>
  <c r="N2" i="27"/>
  <c r="AV2" i="27"/>
  <c r="AW2" i="27"/>
  <c r="AX2" i="27"/>
  <c r="AY2" i="27"/>
  <c r="BW2" i="27"/>
  <c r="BX2" i="27"/>
  <c r="BY2" i="27"/>
  <c r="BZ2" i="27"/>
  <c r="CA2" i="27"/>
  <c r="CB2" i="27"/>
  <c r="CC2" i="27"/>
  <c r="CD2" i="27"/>
  <c r="CE2" i="27"/>
  <c r="CF2" i="27"/>
  <c r="CG2" i="27"/>
  <c r="CH2" i="27"/>
  <c r="CI2" i="27"/>
  <c r="CJ2" i="27"/>
  <c r="CK2" i="27"/>
  <c r="CL2" i="27"/>
  <c r="CM2" i="27"/>
  <c r="CN2" i="27"/>
  <c r="CO2" i="27"/>
  <c r="CP2" i="27"/>
  <c r="CQ2" i="27"/>
  <c r="CR2" i="27"/>
  <c r="CS2" i="27"/>
  <c r="CT2" i="27"/>
  <c r="CU2" i="27"/>
  <c r="CV2" i="27"/>
  <c r="CW2" i="27"/>
  <c r="CX2" i="27"/>
  <c r="A3" i="27"/>
  <c r="AH3" i="27"/>
  <c r="AK3" i="27"/>
  <c r="AV3" i="27"/>
  <c r="AW3" i="27"/>
  <c r="AX3" i="27"/>
  <c r="AY3" i="27"/>
  <c r="A4" i="27"/>
  <c r="N4" i="27"/>
  <c r="P4" i="27"/>
  <c r="T4" i="27"/>
  <c r="V4" i="27"/>
  <c r="W4" i="27"/>
  <c r="AH4" i="27"/>
  <c r="AK4" i="27"/>
  <c r="AM4" i="27"/>
  <c r="AN4" i="27"/>
  <c r="AO4" i="27"/>
  <c r="AP4" i="27"/>
  <c r="AQ4" i="27"/>
  <c r="AR4" i="27"/>
  <c r="AS4" i="27"/>
  <c r="AT4" i="27"/>
  <c r="AV4" i="27"/>
  <c r="AW4" i="27"/>
  <c r="AX4" i="27"/>
  <c r="AY4" i="27"/>
  <c r="A5" i="27"/>
  <c r="G5" i="27"/>
  <c r="N5" i="27"/>
  <c r="P5" i="27"/>
  <c r="T5" i="27"/>
  <c r="V5" i="27"/>
  <c r="W5" i="27"/>
  <c r="AH5" i="27"/>
  <c r="AK5" i="27"/>
  <c r="AM5" i="27"/>
  <c r="AN5" i="27"/>
  <c r="AO5" i="27"/>
  <c r="AP5" i="27"/>
  <c r="AQ5" i="27"/>
  <c r="AR5" i="27"/>
  <c r="AS5" i="27"/>
  <c r="AT5" i="27"/>
  <c r="AV5" i="27"/>
  <c r="AW5" i="27"/>
  <c r="AX5" i="27"/>
  <c r="AY5" i="27"/>
  <c r="BV5" i="27"/>
  <c r="A6" i="27"/>
  <c r="N6" i="27"/>
  <c r="P6" i="27"/>
  <c r="T6" i="27"/>
  <c r="V6" i="27"/>
  <c r="W6" i="27"/>
  <c r="AH6" i="27"/>
  <c r="AK6" i="27"/>
  <c r="AM6" i="27"/>
  <c r="AN6" i="27"/>
  <c r="AO6" i="27"/>
  <c r="AP6" i="27"/>
  <c r="AQ6" i="27"/>
  <c r="AR6" i="27"/>
  <c r="AS6" i="27"/>
  <c r="AT6" i="27"/>
  <c r="A7" i="27"/>
  <c r="G7" i="27"/>
  <c r="N7" i="27"/>
  <c r="N7" i="27" a="1"/>
  <c r="P7" i="27"/>
  <c r="T7" i="27"/>
  <c r="AH7" i="27"/>
  <c r="AK7" i="27"/>
  <c r="AM7" i="27"/>
  <c r="AN7" i="27"/>
  <c r="AO7" i="27"/>
  <c r="AP7" i="27"/>
  <c r="AQ7" i="27"/>
  <c r="AR7" i="27"/>
  <c r="AS7" i="27"/>
  <c r="AT7" i="27"/>
  <c r="AV7" i="27"/>
  <c r="AW7" i="27"/>
  <c r="AX7" i="27"/>
  <c r="AY7" i="27"/>
  <c r="G8" i="27"/>
  <c r="N8" i="27"/>
  <c r="N8" i="27" a="1"/>
  <c r="P8" i="27"/>
  <c r="T8" i="27"/>
  <c r="V8" i="27"/>
  <c r="W8" i="27"/>
  <c r="Y8" i="27"/>
  <c r="Z8" i="27"/>
  <c r="AH8" i="27"/>
  <c r="AK8" i="27"/>
  <c r="AM8" i="27"/>
  <c r="AN8" i="27"/>
  <c r="AO8" i="27"/>
  <c r="AP8" i="27"/>
  <c r="AQ8" i="27"/>
  <c r="AR8" i="27"/>
  <c r="AS8" i="27"/>
  <c r="AT8" i="27"/>
  <c r="AV8" i="27"/>
  <c r="AW8" i="27"/>
  <c r="AX8" i="27"/>
  <c r="AY8" i="27"/>
  <c r="N9" i="27"/>
  <c r="N9" i="27" a="1"/>
  <c r="P9" i="27"/>
  <c r="AK9" i="27"/>
  <c r="AM9" i="27"/>
  <c r="AN9" i="27"/>
  <c r="AO9" i="27"/>
  <c r="AP9" i="27"/>
  <c r="AQ9" i="27"/>
  <c r="AR9" i="27"/>
  <c r="AS9" i="27"/>
  <c r="AT9" i="27"/>
  <c r="AV9" i="27"/>
  <c r="AW9" i="27"/>
  <c r="AX9" i="27"/>
  <c r="AY9" i="27"/>
  <c r="N10" i="27"/>
  <c r="P10" i="27"/>
  <c r="AH10" i="27"/>
  <c r="AM10" i="27"/>
  <c r="AN10" i="27"/>
  <c r="AO10" i="27"/>
  <c r="AP10" i="27"/>
  <c r="AQ10" i="27"/>
  <c r="AR10" i="27"/>
  <c r="AS10" i="27"/>
  <c r="AT10" i="27"/>
  <c r="AV10" i="27"/>
  <c r="AW10" i="27"/>
  <c r="AX10" i="27"/>
  <c r="AY10" i="27"/>
  <c r="D11" i="27"/>
  <c r="N11" i="27"/>
  <c r="P11" i="27"/>
  <c r="AM11" i="27"/>
  <c r="AN11" i="27"/>
  <c r="AO11" i="27"/>
  <c r="AP11" i="27"/>
  <c r="AQ11" i="27"/>
  <c r="AR11" i="27"/>
  <c r="AS11" i="27"/>
  <c r="AT11" i="27"/>
  <c r="AV11" i="27"/>
  <c r="AW11" i="27"/>
  <c r="AX11" i="27"/>
  <c r="AY11" i="27"/>
  <c r="D12" i="27"/>
  <c r="N12" i="27"/>
  <c r="P12" i="27"/>
  <c r="AH12" i="27"/>
  <c r="AM12" i="27"/>
  <c r="AN12" i="27"/>
  <c r="AO12" i="27"/>
  <c r="AP12" i="27"/>
  <c r="AQ12" i="27"/>
  <c r="AR12" i="27"/>
  <c r="AS12" i="27"/>
  <c r="AT12" i="27"/>
  <c r="AV12" i="27"/>
  <c r="AW12" i="27"/>
  <c r="AX12" i="27"/>
  <c r="AY12" i="27"/>
  <c r="N13" i="27"/>
  <c r="P13" i="27"/>
  <c r="AH13" i="27"/>
  <c r="AM13" i="27"/>
  <c r="AN13" i="27"/>
  <c r="AO13" i="27"/>
  <c r="AP13" i="27"/>
  <c r="AQ13" i="27"/>
  <c r="AR13" i="27"/>
  <c r="AS13" i="27"/>
  <c r="AT13" i="27"/>
  <c r="AV13" i="27"/>
  <c r="AW13" i="27"/>
  <c r="AX13" i="27"/>
  <c r="AY13" i="27"/>
  <c r="N14" i="27"/>
  <c r="P14" i="27"/>
  <c r="S14" i="27"/>
  <c r="T14" i="27"/>
  <c r="AM14" i="27"/>
  <c r="AN14" i="27"/>
  <c r="AO14" i="27"/>
  <c r="AP14" i="27"/>
  <c r="AQ14" i="27"/>
  <c r="AR14" i="27"/>
  <c r="AS14" i="27"/>
  <c r="AT14" i="27"/>
  <c r="AV14" i="27"/>
  <c r="AW14" i="27"/>
  <c r="AX14" i="27"/>
  <c r="AY14" i="27"/>
  <c r="N15" i="27"/>
  <c r="P15" i="27"/>
  <c r="AM15" i="27"/>
  <c r="AN15" i="27"/>
  <c r="AO15" i="27"/>
  <c r="AP15" i="27"/>
  <c r="AQ15" i="27"/>
  <c r="AR15" i="27"/>
  <c r="AS15" i="27"/>
  <c r="AT15" i="27"/>
  <c r="AV15" i="27"/>
  <c r="AW15" i="27"/>
  <c r="AX15" i="27"/>
  <c r="AY15" i="27"/>
  <c r="N16" i="27"/>
  <c r="P16" i="27"/>
  <c r="AV16" i="27"/>
  <c r="AW16" i="27"/>
  <c r="AX16" i="27"/>
  <c r="AY16" i="27"/>
  <c r="N17" i="27"/>
  <c r="P17" i="27"/>
  <c r="AV17" i="27"/>
  <c r="AW17" i="27"/>
  <c r="AX17" i="27"/>
  <c r="AY17" i="27"/>
  <c r="N18" i="27"/>
  <c r="P18" i="27"/>
  <c r="AX18" i="27"/>
  <c r="AY18" i="27"/>
  <c r="N19" i="27"/>
  <c r="P19" i="27"/>
  <c r="S20" i="27"/>
  <c r="T20" i="27"/>
  <c r="AM20" i="27"/>
  <c r="AO20" i="27"/>
  <c r="AV20" i="27"/>
  <c r="AW20" i="27"/>
  <c r="AX20" i="27"/>
  <c r="AY20" i="27"/>
  <c r="D22" i="27"/>
  <c r="F22" i="27"/>
  <c r="G22" i="27"/>
  <c r="H22" i="27"/>
  <c r="I22" i="27"/>
  <c r="K22" i="27"/>
  <c r="L22" i="27"/>
  <c r="N22" i="27"/>
  <c r="O22" i="27"/>
  <c r="P22" i="27"/>
  <c r="Q22" i="27"/>
  <c r="S22" i="27"/>
  <c r="T22" i="27"/>
  <c r="V22" i="27"/>
  <c r="X22" i="27"/>
  <c r="Y22" i="27"/>
  <c r="Z22" i="27"/>
  <c r="AA22" i="27"/>
  <c r="AB22" i="27"/>
  <c r="AC22" i="27"/>
  <c r="AF22" i="27"/>
  <c r="AG22" i="27"/>
  <c r="AH22" i="27"/>
  <c r="AI22" i="27"/>
  <c r="AJ22" i="27"/>
  <c r="AL22" i="27"/>
  <c r="AM22" i="27"/>
  <c r="AN22" i="27"/>
  <c r="AO22" i="27"/>
  <c r="AP22" i="27"/>
  <c r="AQ22" i="27"/>
  <c r="AR22" i="27"/>
  <c r="AS22" i="27"/>
  <c r="AT22" i="27"/>
  <c r="AU22" i="27"/>
  <c r="AV22" i="27"/>
  <c r="AW22" i="27"/>
  <c r="AX22" i="27"/>
  <c r="AY22" i="27"/>
  <c r="BB22" i="27"/>
  <c r="BC22" i="27"/>
  <c r="BD22" i="27"/>
  <c r="BE22" i="27"/>
  <c r="BF22" i="27"/>
  <c r="BG22" i="27"/>
  <c r="BH22" i="27"/>
  <c r="BI22" i="27"/>
  <c r="BJ22" i="27"/>
  <c r="BK22" i="27"/>
  <c r="BL22" i="27"/>
  <c r="BM22" i="27"/>
  <c r="BN22" i="27"/>
  <c r="BO22" i="27"/>
  <c r="D23" i="27"/>
  <c r="F23" i="27"/>
  <c r="G23" i="27"/>
  <c r="H23" i="27"/>
  <c r="I23" i="27"/>
  <c r="K23" i="27"/>
  <c r="L23" i="27"/>
  <c r="N23" i="27"/>
  <c r="O23" i="27"/>
  <c r="P23" i="27"/>
  <c r="Q23" i="27"/>
  <c r="S23" i="27"/>
  <c r="T23" i="27"/>
  <c r="V23" i="27"/>
  <c r="X23" i="27"/>
  <c r="Y23" i="27"/>
  <c r="Z23" i="27"/>
  <c r="AA23" i="27"/>
  <c r="AB23" i="27"/>
  <c r="AC23" i="27"/>
  <c r="AF23" i="27"/>
  <c r="AG23" i="27"/>
  <c r="AH23" i="27"/>
  <c r="AI23" i="27"/>
  <c r="AJ23" i="27"/>
  <c r="AL23" i="27"/>
  <c r="AM23" i="27"/>
  <c r="AN23" i="27"/>
  <c r="AO23" i="27"/>
  <c r="AP23" i="27"/>
  <c r="AQ23" i="27"/>
  <c r="AR23" i="27"/>
  <c r="AS23" i="27"/>
  <c r="AT23" i="27"/>
  <c r="AU23" i="27"/>
  <c r="AV23" i="27"/>
  <c r="AW23" i="27"/>
  <c r="AX23" i="27"/>
  <c r="AY23" i="27"/>
  <c r="BB23" i="27"/>
  <c r="BC23" i="27"/>
  <c r="BD23" i="27"/>
  <c r="BE23" i="27"/>
  <c r="BF23" i="27"/>
  <c r="BG23" i="27"/>
  <c r="BH23" i="27"/>
  <c r="BI23" i="27"/>
  <c r="BJ23" i="27"/>
  <c r="BK23" i="27"/>
  <c r="BL23" i="27"/>
  <c r="BM23" i="27"/>
  <c r="BN23" i="27"/>
  <c r="BO23" i="27"/>
  <c r="D24" i="27"/>
  <c r="F24" i="27"/>
  <c r="G24" i="27"/>
  <c r="H24" i="27"/>
  <c r="I24" i="27"/>
  <c r="K24" i="27"/>
  <c r="L24" i="27"/>
  <c r="N24" i="27"/>
  <c r="O24" i="27"/>
  <c r="P24" i="27"/>
  <c r="Q24" i="27"/>
  <c r="S24" i="27"/>
  <c r="T24" i="27"/>
  <c r="V24" i="27"/>
  <c r="X24" i="27"/>
  <c r="Y24" i="27"/>
  <c r="Z24" i="27"/>
  <c r="AA24" i="27"/>
  <c r="AB24" i="27"/>
  <c r="AC24" i="27"/>
  <c r="AF24" i="27"/>
  <c r="AG24" i="27"/>
  <c r="AH24" i="27"/>
  <c r="AI24" i="27"/>
  <c r="AJ24" i="27"/>
  <c r="AL24" i="27"/>
  <c r="AM24" i="27"/>
  <c r="AN24" i="27"/>
  <c r="AO24" i="27"/>
  <c r="AP24" i="27"/>
  <c r="AQ24" i="27"/>
  <c r="AR24" i="27"/>
  <c r="AS24" i="27"/>
  <c r="AT24" i="27"/>
  <c r="AU24" i="27"/>
  <c r="AV24" i="27"/>
  <c r="AW24" i="27"/>
  <c r="AX24" i="27"/>
  <c r="AY24" i="27"/>
  <c r="BB24" i="27"/>
  <c r="BC24" i="27"/>
  <c r="BD24" i="27"/>
  <c r="BE24" i="27"/>
  <c r="BF24" i="27"/>
  <c r="BG24" i="27"/>
  <c r="BH24" i="27"/>
  <c r="BI24" i="27"/>
  <c r="BJ24" i="27"/>
  <c r="BK24" i="27"/>
  <c r="BL24" i="27"/>
  <c r="BM24" i="27"/>
  <c r="BN24" i="27"/>
  <c r="BO24" i="27"/>
  <c r="D25" i="27"/>
  <c r="F25" i="27"/>
  <c r="G25" i="27"/>
  <c r="H25" i="27"/>
  <c r="I25" i="27"/>
  <c r="K25" i="27"/>
  <c r="L25" i="27"/>
  <c r="N25" i="27"/>
  <c r="O25" i="27"/>
  <c r="P25" i="27"/>
  <c r="Q25" i="27"/>
  <c r="S25" i="27"/>
  <c r="T25" i="27"/>
  <c r="V25" i="27"/>
  <c r="X25" i="27"/>
  <c r="Y25" i="27"/>
  <c r="Z25" i="27"/>
  <c r="AA25" i="27"/>
  <c r="AB25" i="27"/>
  <c r="AC25" i="27"/>
  <c r="AF25" i="27"/>
  <c r="AG25" i="27"/>
  <c r="AH25" i="27"/>
  <c r="AI25" i="27"/>
  <c r="AJ25" i="27"/>
  <c r="AL25" i="27"/>
  <c r="AM25" i="27"/>
  <c r="AN25" i="27"/>
  <c r="AO25" i="27"/>
  <c r="AP25" i="27"/>
  <c r="AQ25" i="27"/>
  <c r="AR25" i="27"/>
  <c r="AS25" i="27"/>
  <c r="AT25" i="27"/>
  <c r="AU25" i="27"/>
  <c r="AV25" i="27"/>
  <c r="AW25" i="27"/>
  <c r="AX25" i="27"/>
  <c r="AY25" i="27"/>
  <c r="BB25" i="27"/>
  <c r="BC25" i="27"/>
  <c r="BD25" i="27"/>
  <c r="BE25" i="27"/>
  <c r="BF25" i="27"/>
  <c r="BG25" i="27"/>
  <c r="BH25" i="27"/>
  <c r="BI25" i="27"/>
  <c r="BJ25" i="27"/>
  <c r="BK25" i="27"/>
  <c r="BL25" i="27"/>
  <c r="BM25" i="27"/>
  <c r="BN25" i="27"/>
  <c r="BO25" i="27"/>
  <c r="D26" i="27"/>
  <c r="F26" i="27"/>
  <c r="G26" i="27"/>
  <c r="H26" i="27"/>
  <c r="I26" i="27"/>
  <c r="K26" i="27"/>
  <c r="L26" i="27"/>
  <c r="N26" i="27"/>
  <c r="O26" i="27"/>
  <c r="P26" i="27"/>
  <c r="Q26" i="27"/>
  <c r="S26" i="27"/>
  <c r="T26" i="27"/>
  <c r="V26" i="27"/>
  <c r="X26" i="27"/>
  <c r="Y26" i="27"/>
  <c r="Z26" i="27"/>
  <c r="AA26" i="27"/>
  <c r="AB26" i="27"/>
  <c r="AC26" i="27"/>
  <c r="AF26" i="27"/>
  <c r="AG26" i="27"/>
  <c r="AH26" i="27"/>
  <c r="AI26" i="27"/>
  <c r="AJ26" i="27"/>
  <c r="AL26" i="27"/>
  <c r="AM26" i="27"/>
  <c r="AN26" i="27"/>
  <c r="AO26" i="27"/>
  <c r="AP26" i="27"/>
  <c r="AQ26" i="27"/>
  <c r="AR26" i="27"/>
  <c r="AS26" i="27"/>
  <c r="AT26" i="27"/>
  <c r="AU26" i="27"/>
  <c r="AV26" i="27"/>
  <c r="AW26" i="27"/>
  <c r="AX26" i="27"/>
  <c r="AY26" i="27"/>
  <c r="BB26" i="27"/>
  <c r="BC26" i="27"/>
  <c r="BD26" i="27"/>
  <c r="BE26" i="27"/>
  <c r="BF26" i="27"/>
  <c r="BG26" i="27"/>
  <c r="BH26" i="27"/>
  <c r="BI26" i="27"/>
  <c r="BJ26" i="27"/>
  <c r="BK26" i="27"/>
  <c r="BL26" i="27"/>
  <c r="BM26" i="27"/>
  <c r="BN26" i="27"/>
  <c r="BO26" i="27"/>
  <c r="D27" i="27"/>
  <c r="F27" i="27"/>
  <c r="G27" i="27"/>
  <c r="H27" i="27"/>
  <c r="I27" i="27"/>
  <c r="K27" i="27"/>
  <c r="L27" i="27"/>
  <c r="N27" i="27"/>
  <c r="O27" i="27"/>
  <c r="P27" i="27"/>
  <c r="Q27" i="27"/>
  <c r="S27" i="27"/>
  <c r="T27" i="27"/>
  <c r="V27" i="27"/>
  <c r="X27" i="27"/>
  <c r="Y27" i="27"/>
  <c r="Z27" i="27"/>
  <c r="AA27" i="27"/>
  <c r="AB27" i="27"/>
  <c r="AC27" i="27"/>
  <c r="AF27" i="27"/>
  <c r="AG27" i="27"/>
  <c r="AH27" i="27"/>
  <c r="AI27" i="27"/>
  <c r="AJ27" i="27"/>
  <c r="AL27" i="27"/>
  <c r="AM27" i="27"/>
  <c r="AN27" i="27"/>
  <c r="AO27" i="27"/>
  <c r="AP27" i="27"/>
  <c r="AQ27" i="27"/>
  <c r="AR27" i="27"/>
  <c r="AS27" i="27"/>
  <c r="AT27" i="27"/>
  <c r="AU27" i="27"/>
  <c r="AV27" i="27"/>
  <c r="AW27" i="27"/>
  <c r="AX27" i="27"/>
  <c r="AY27" i="27"/>
  <c r="BB27" i="27"/>
  <c r="BC27" i="27"/>
  <c r="BD27" i="27"/>
  <c r="BE27" i="27"/>
  <c r="BF27" i="27"/>
  <c r="BG27" i="27"/>
  <c r="BH27" i="27"/>
  <c r="BI27" i="27"/>
  <c r="BJ27" i="27"/>
  <c r="BK27" i="27"/>
  <c r="BL27" i="27"/>
  <c r="BM27" i="27"/>
  <c r="BN27" i="27"/>
  <c r="BO27" i="27"/>
  <c r="D28" i="27"/>
  <c r="F28" i="27"/>
  <c r="G28" i="27"/>
  <c r="H28" i="27"/>
  <c r="I28" i="27"/>
  <c r="K28" i="27"/>
  <c r="L28" i="27"/>
  <c r="N28" i="27"/>
  <c r="O28" i="27"/>
  <c r="P28" i="27"/>
  <c r="Q28" i="27"/>
  <c r="S28" i="27"/>
  <c r="T28" i="27"/>
  <c r="V28" i="27"/>
  <c r="X28" i="27"/>
  <c r="Y28" i="27"/>
  <c r="Z28" i="27"/>
  <c r="AA28" i="27"/>
  <c r="AB28" i="27"/>
  <c r="AC28" i="27"/>
  <c r="AF28" i="27"/>
  <c r="AG28" i="27"/>
  <c r="AH28" i="27"/>
  <c r="AI28" i="27"/>
  <c r="AJ28" i="27"/>
  <c r="AL28" i="27"/>
  <c r="AM28" i="27"/>
  <c r="AN28" i="27"/>
  <c r="AO28" i="27"/>
  <c r="AP28" i="27"/>
  <c r="AQ28" i="27"/>
  <c r="AR28" i="27"/>
  <c r="AS28" i="27"/>
  <c r="AT28" i="27"/>
  <c r="AU28" i="27"/>
  <c r="AV28" i="27"/>
  <c r="AW28" i="27"/>
  <c r="AX28" i="27"/>
  <c r="AY28" i="27"/>
  <c r="BB28" i="27"/>
  <c r="BC28" i="27"/>
  <c r="BD28" i="27"/>
  <c r="BE28" i="27"/>
  <c r="BF28" i="27"/>
  <c r="BG28" i="27"/>
  <c r="BH28" i="27"/>
  <c r="BI28" i="27"/>
  <c r="BJ28" i="27"/>
  <c r="BK28" i="27"/>
  <c r="BL28" i="27"/>
  <c r="BM28" i="27"/>
  <c r="BN28" i="27"/>
  <c r="BO28" i="27"/>
  <c r="D29" i="27"/>
  <c r="F29" i="27"/>
  <c r="G29" i="27"/>
  <c r="H29" i="27"/>
  <c r="I29" i="27"/>
  <c r="K29" i="27"/>
  <c r="L29" i="27"/>
  <c r="N29" i="27"/>
  <c r="O29" i="27"/>
  <c r="P29" i="27"/>
  <c r="Q29" i="27"/>
  <c r="S29" i="27"/>
  <c r="T29" i="27"/>
  <c r="V29" i="27"/>
  <c r="X29" i="27"/>
  <c r="Y29" i="27"/>
  <c r="Z29" i="27"/>
  <c r="AA29" i="27"/>
  <c r="AB29" i="27"/>
  <c r="AC29" i="27"/>
  <c r="AF29" i="27"/>
  <c r="AG29" i="27"/>
  <c r="AH29" i="27"/>
  <c r="AI29" i="27"/>
  <c r="AJ29" i="27"/>
  <c r="AL29" i="27"/>
  <c r="AM29" i="27"/>
  <c r="AN29" i="27"/>
  <c r="AO29" i="27"/>
  <c r="AP29" i="27"/>
  <c r="AQ29" i="27"/>
  <c r="AR29" i="27"/>
  <c r="AS29" i="27"/>
  <c r="AT29" i="27"/>
  <c r="AU29" i="27"/>
  <c r="AV29" i="27"/>
  <c r="AW29" i="27"/>
  <c r="AX29" i="27"/>
  <c r="AY29" i="27"/>
  <c r="BB29" i="27"/>
  <c r="BC29" i="27"/>
  <c r="BD29" i="27"/>
  <c r="BE29" i="27"/>
  <c r="BF29" i="27"/>
  <c r="BG29" i="27"/>
  <c r="BH29" i="27"/>
  <c r="BI29" i="27"/>
  <c r="BJ29" i="27"/>
  <c r="BK29" i="27"/>
  <c r="BL29" i="27"/>
  <c r="BM29" i="27"/>
  <c r="BN29" i="27"/>
  <c r="BO29" i="27"/>
  <c r="D30" i="27"/>
  <c r="F30" i="27"/>
  <c r="G30" i="27"/>
  <c r="H30" i="27"/>
  <c r="I30" i="27"/>
  <c r="K30" i="27"/>
  <c r="L30" i="27"/>
  <c r="N30" i="27"/>
  <c r="O30" i="27"/>
  <c r="P30" i="27"/>
  <c r="Q30" i="27"/>
  <c r="S30" i="27"/>
  <c r="T30" i="27"/>
  <c r="V30" i="27"/>
  <c r="X30" i="27"/>
  <c r="Y30" i="27"/>
  <c r="Z30" i="27"/>
  <c r="AA30" i="27"/>
  <c r="AB30" i="27"/>
  <c r="AC30" i="27"/>
  <c r="AF30" i="27"/>
  <c r="AG30" i="27"/>
  <c r="AH30" i="27"/>
  <c r="AI30" i="27"/>
  <c r="AJ30" i="27"/>
  <c r="AL30" i="27"/>
  <c r="AM30" i="27"/>
  <c r="AN30" i="27"/>
  <c r="AO30" i="27"/>
  <c r="AP30" i="27"/>
  <c r="AQ30" i="27"/>
  <c r="AR30" i="27"/>
  <c r="AS30" i="27"/>
  <c r="AT30" i="27"/>
  <c r="AU30" i="27"/>
  <c r="AV30" i="27"/>
  <c r="AW30" i="27"/>
  <c r="AX30" i="27"/>
  <c r="AY30" i="27"/>
  <c r="BB30" i="27"/>
  <c r="BC30" i="27"/>
  <c r="BD30" i="27"/>
  <c r="BE30" i="27"/>
  <c r="BF30" i="27"/>
  <c r="BG30" i="27"/>
  <c r="BH30" i="27"/>
  <c r="BI30" i="27"/>
  <c r="BJ30" i="27"/>
  <c r="BK30" i="27"/>
  <c r="BL30" i="27"/>
  <c r="BM30" i="27"/>
  <c r="BN30" i="27"/>
  <c r="BO30" i="27"/>
  <c r="D31" i="27"/>
  <c r="F31" i="27"/>
  <c r="G31" i="27"/>
  <c r="H31" i="27"/>
  <c r="I31" i="27"/>
  <c r="K31" i="27"/>
  <c r="L31" i="27"/>
  <c r="N31" i="27"/>
  <c r="O31" i="27"/>
  <c r="P31" i="27"/>
  <c r="Q31" i="27"/>
  <c r="S31" i="27"/>
  <c r="T31" i="27"/>
  <c r="V31" i="27"/>
  <c r="X31" i="27"/>
  <c r="Y31" i="27"/>
  <c r="Z31" i="27"/>
  <c r="AA31" i="27"/>
  <c r="AB31" i="27"/>
  <c r="AC31" i="27"/>
  <c r="AF31" i="27"/>
  <c r="AG31" i="27"/>
  <c r="AH31" i="27"/>
  <c r="AI31" i="27"/>
  <c r="AJ31" i="27"/>
  <c r="AL31" i="27"/>
  <c r="AM31" i="27"/>
  <c r="AN31" i="27"/>
  <c r="AO31" i="27"/>
  <c r="AP31" i="27"/>
  <c r="AQ31" i="27"/>
  <c r="AR31" i="27"/>
  <c r="AS31" i="27"/>
  <c r="AT31" i="27"/>
  <c r="AU31" i="27"/>
  <c r="AV31" i="27"/>
  <c r="AW31" i="27"/>
  <c r="AX31" i="27"/>
  <c r="AY31" i="27"/>
  <c r="BB31" i="27"/>
  <c r="BC31" i="27"/>
  <c r="BD31" i="27"/>
  <c r="BE31" i="27"/>
  <c r="BF31" i="27"/>
  <c r="BG31" i="27"/>
  <c r="BH31" i="27"/>
  <c r="BI31" i="27"/>
  <c r="BJ31" i="27"/>
  <c r="BK31" i="27"/>
  <c r="BL31" i="27"/>
  <c r="BM31" i="27"/>
  <c r="BN31" i="27"/>
  <c r="BO31" i="27"/>
  <c r="D32" i="27"/>
  <c r="F32" i="27"/>
  <c r="G32" i="27"/>
  <c r="H32" i="27"/>
  <c r="I32" i="27"/>
  <c r="K32" i="27"/>
  <c r="L32" i="27"/>
  <c r="N32" i="27"/>
  <c r="O32" i="27"/>
  <c r="P32" i="27"/>
  <c r="Q32" i="27"/>
  <c r="S32" i="27"/>
  <c r="T32" i="27"/>
  <c r="V32" i="27"/>
  <c r="X32" i="27"/>
  <c r="Y32" i="27"/>
  <c r="Z32" i="27"/>
  <c r="AA32" i="27"/>
  <c r="AB32" i="27"/>
  <c r="AC32" i="27"/>
  <c r="AF32" i="27"/>
  <c r="AG32" i="27"/>
  <c r="AH32" i="27"/>
  <c r="AI32" i="27"/>
  <c r="AJ32" i="27"/>
  <c r="AL32" i="27"/>
  <c r="AM32" i="27"/>
  <c r="AN32" i="27"/>
  <c r="AO32" i="27"/>
  <c r="AP32" i="27"/>
  <c r="AQ32" i="27"/>
  <c r="AR32" i="27"/>
  <c r="AS32" i="27"/>
  <c r="AT32" i="27"/>
  <c r="AU32" i="27"/>
  <c r="AV32" i="27"/>
  <c r="AW32" i="27"/>
  <c r="AX32" i="27"/>
  <c r="AY32" i="27"/>
  <c r="BB32" i="27"/>
  <c r="BC32" i="27"/>
  <c r="BD32" i="27"/>
  <c r="BE32" i="27"/>
  <c r="BF32" i="27"/>
  <c r="BG32" i="27"/>
  <c r="BH32" i="27"/>
  <c r="BI32" i="27"/>
  <c r="BJ32" i="27"/>
  <c r="BK32" i="27"/>
  <c r="BL32" i="27"/>
  <c r="BM32" i="27"/>
  <c r="BN32" i="27"/>
  <c r="BO32" i="27"/>
  <c r="D33" i="27"/>
  <c r="F33" i="27"/>
  <c r="G33" i="27"/>
  <c r="H33" i="27"/>
  <c r="I33" i="27"/>
  <c r="K33" i="27"/>
  <c r="L33" i="27"/>
  <c r="N33" i="27"/>
  <c r="O33" i="27"/>
  <c r="P33" i="27"/>
  <c r="Q33" i="27"/>
  <c r="S33" i="27"/>
  <c r="T33" i="27"/>
  <c r="V33" i="27"/>
  <c r="X33" i="27"/>
  <c r="Y33" i="27"/>
  <c r="Z33" i="27"/>
  <c r="AA33" i="27"/>
  <c r="AB33" i="27"/>
  <c r="AC33" i="27"/>
  <c r="AF33" i="27"/>
  <c r="AG33" i="27"/>
  <c r="AH33" i="27"/>
  <c r="AI33" i="27"/>
  <c r="AJ33" i="27"/>
  <c r="AL33" i="27"/>
  <c r="AM33" i="27"/>
  <c r="AN33" i="27"/>
  <c r="AO33" i="27"/>
  <c r="AP33" i="27"/>
  <c r="AQ33" i="27"/>
  <c r="AR33" i="27"/>
  <c r="AS33" i="27"/>
  <c r="AT33" i="27"/>
  <c r="AU33" i="27"/>
  <c r="AV33" i="27"/>
  <c r="AW33" i="27"/>
  <c r="AX33" i="27"/>
  <c r="AY33" i="27"/>
  <c r="BB33" i="27"/>
  <c r="BC33" i="27"/>
  <c r="BD33" i="27"/>
  <c r="BE33" i="27"/>
  <c r="BF33" i="27"/>
  <c r="BG33" i="27"/>
  <c r="BH33" i="27"/>
  <c r="BI33" i="27"/>
  <c r="BJ33" i="27"/>
  <c r="BK33" i="27"/>
  <c r="BL33" i="27"/>
  <c r="BM33" i="27"/>
  <c r="BN33" i="27"/>
  <c r="BO33" i="27"/>
  <c r="D34" i="27"/>
  <c r="F34" i="27"/>
  <c r="G34" i="27"/>
  <c r="H34" i="27"/>
  <c r="I34" i="27"/>
  <c r="K34" i="27"/>
  <c r="L34" i="27"/>
  <c r="N34" i="27"/>
  <c r="O34" i="27"/>
  <c r="P34" i="27"/>
  <c r="Q34" i="27"/>
  <c r="S34" i="27"/>
  <c r="T34" i="27"/>
  <c r="V34" i="27"/>
  <c r="X34" i="27"/>
  <c r="Y34" i="27"/>
  <c r="Z34" i="27"/>
  <c r="AA34" i="27"/>
  <c r="AB34" i="27"/>
  <c r="AC34" i="27"/>
  <c r="AF34" i="27"/>
  <c r="AG34" i="27"/>
  <c r="AH34" i="27"/>
  <c r="AI34" i="27"/>
  <c r="AJ34" i="27"/>
  <c r="AL34" i="27"/>
  <c r="AM34" i="27"/>
  <c r="AN34" i="27"/>
  <c r="AO34" i="27"/>
  <c r="AP34" i="27"/>
  <c r="AQ34" i="27"/>
  <c r="AR34" i="27"/>
  <c r="AS34" i="27"/>
  <c r="AT34" i="27"/>
  <c r="AU34" i="27"/>
  <c r="AV34" i="27"/>
  <c r="AW34" i="27"/>
  <c r="AX34" i="27"/>
  <c r="AY34" i="27"/>
  <c r="BB34" i="27"/>
  <c r="BC34" i="27"/>
  <c r="BD34" i="27"/>
  <c r="BE34" i="27"/>
  <c r="BF34" i="27"/>
  <c r="BG34" i="27"/>
  <c r="BH34" i="27"/>
  <c r="BI34" i="27"/>
  <c r="BJ34" i="27"/>
  <c r="BK34" i="27"/>
  <c r="BL34" i="27"/>
  <c r="BM34" i="27"/>
  <c r="BN34" i="27"/>
  <c r="BO34" i="27"/>
  <c r="D35" i="27"/>
  <c r="F35" i="27"/>
  <c r="G35" i="27"/>
  <c r="H35" i="27"/>
  <c r="I35" i="27"/>
  <c r="K35" i="27"/>
  <c r="L35" i="27"/>
  <c r="N35" i="27"/>
  <c r="O35" i="27"/>
  <c r="P35" i="27"/>
  <c r="Q35" i="27"/>
  <c r="S35" i="27"/>
  <c r="T35" i="27"/>
  <c r="V35" i="27"/>
  <c r="X35" i="27"/>
  <c r="Y35" i="27"/>
  <c r="Z35" i="27"/>
  <c r="AA35" i="27"/>
  <c r="AB35" i="27"/>
  <c r="AC35" i="27"/>
  <c r="AF35" i="27"/>
  <c r="AG35" i="27"/>
  <c r="AH35" i="27"/>
  <c r="AI35" i="27"/>
  <c r="AJ35" i="27"/>
  <c r="AL35" i="27"/>
  <c r="AM35" i="27"/>
  <c r="AN35" i="27"/>
  <c r="AO35" i="27"/>
  <c r="AP35" i="27"/>
  <c r="AQ35" i="27"/>
  <c r="AR35" i="27"/>
  <c r="AS35" i="27"/>
  <c r="AT35" i="27"/>
  <c r="AU35" i="27"/>
  <c r="AV35" i="27"/>
  <c r="AW35" i="27"/>
  <c r="AX35" i="27"/>
  <c r="AY35" i="27"/>
  <c r="BB35" i="27"/>
  <c r="BC35" i="27"/>
  <c r="BD35" i="27"/>
  <c r="BE35" i="27"/>
  <c r="BF35" i="27"/>
  <c r="BG35" i="27"/>
  <c r="BH35" i="27"/>
  <c r="BI35" i="27"/>
  <c r="BJ35" i="27"/>
  <c r="BK35" i="27"/>
  <c r="BL35" i="27"/>
  <c r="BM35" i="27"/>
  <c r="BN35" i="27"/>
  <c r="BO35" i="27"/>
  <c r="D36" i="27"/>
  <c r="F36" i="27"/>
  <c r="G36" i="27"/>
  <c r="H36" i="27"/>
  <c r="I36" i="27"/>
  <c r="K36" i="27"/>
  <c r="L36" i="27"/>
  <c r="N36" i="27"/>
  <c r="O36" i="27"/>
  <c r="P36" i="27"/>
  <c r="Q36" i="27"/>
  <c r="S36" i="27"/>
  <c r="T36" i="27"/>
  <c r="V36" i="27"/>
  <c r="X36" i="27"/>
  <c r="Y36" i="27"/>
  <c r="Z36" i="27"/>
  <c r="AA36" i="27"/>
  <c r="AB36" i="27"/>
  <c r="AC36" i="27"/>
  <c r="AF36" i="27"/>
  <c r="AG36" i="27"/>
  <c r="AH36" i="27"/>
  <c r="AI36" i="27"/>
  <c r="AJ36" i="27"/>
  <c r="AL36" i="27"/>
  <c r="AM36" i="27"/>
  <c r="AN36" i="27"/>
  <c r="AO36" i="27"/>
  <c r="AP36" i="27"/>
  <c r="AQ36" i="27"/>
  <c r="AR36" i="27"/>
  <c r="AS36" i="27"/>
  <c r="AT36" i="27"/>
  <c r="AU36" i="27"/>
  <c r="AV36" i="27"/>
  <c r="AW36" i="27"/>
  <c r="AX36" i="27"/>
  <c r="AY36" i="27"/>
  <c r="BB36" i="27"/>
  <c r="BC36" i="27"/>
  <c r="BD36" i="27"/>
  <c r="BE36" i="27"/>
  <c r="BF36" i="27"/>
  <c r="BG36" i="27"/>
  <c r="BH36" i="27"/>
  <c r="BI36" i="27"/>
  <c r="BJ36" i="27"/>
  <c r="BK36" i="27"/>
  <c r="BL36" i="27"/>
  <c r="BM36" i="27"/>
  <c r="BN36" i="27"/>
  <c r="BO36" i="27"/>
  <c r="D37" i="27"/>
  <c r="F37" i="27"/>
  <c r="G37" i="27"/>
  <c r="H37" i="27"/>
  <c r="I37" i="27"/>
  <c r="K37" i="27"/>
  <c r="L37" i="27"/>
  <c r="N37" i="27"/>
  <c r="O37" i="27"/>
  <c r="P37" i="27"/>
  <c r="Q37" i="27"/>
  <c r="S37" i="27"/>
  <c r="T37" i="27"/>
  <c r="V37" i="27"/>
  <c r="X37" i="27"/>
  <c r="Y37" i="27"/>
  <c r="Z37" i="27"/>
  <c r="AA37" i="27"/>
  <c r="AB37" i="27"/>
  <c r="AC37" i="27"/>
  <c r="AF37" i="27"/>
  <c r="AG37" i="27"/>
  <c r="AH37" i="27"/>
  <c r="AI37" i="27"/>
  <c r="AJ37" i="27"/>
  <c r="AL37" i="27"/>
  <c r="AM37" i="27"/>
  <c r="AN37" i="27"/>
  <c r="AO37" i="27"/>
  <c r="AP37" i="27"/>
  <c r="AQ37" i="27"/>
  <c r="AR37" i="27"/>
  <c r="AS37" i="27"/>
  <c r="AT37" i="27"/>
  <c r="AU37" i="27"/>
  <c r="AV37" i="27"/>
  <c r="AW37" i="27"/>
  <c r="AX37" i="27"/>
  <c r="AY37" i="27"/>
  <c r="BB37" i="27"/>
  <c r="BC37" i="27"/>
  <c r="BD37" i="27"/>
  <c r="BE37" i="27"/>
  <c r="BF37" i="27"/>
  <c r="BG37" i="27"/>
  <c r="BH37" i="27"/>
  <c r="BI37" i="27"/>
  <c r="BJ37" i="27"/>
  <c r="BK37" i="27"/>
  <c r="BL37" i="27"/>
  <c r="BM37" i="27"/>
  <c r="BN37" i="27"/>
  <c r="BO37" i="27"/>
  <c r="D38" i="27"/>
  <c r="F38" i="27"/>
  <c r="G38" i="27"/>
  <c r="H38" i="27"/>
  <c r="I38" i="27"/>
  <c r="K38" i="27"/>
  <c r="L38" i="27"/>
  <c r="N38" i="27"/>
  <c r="O38" i="27"/>
  <c r="P38" i="27"/>
  <c r="Q38" i="27"/>
  <c r="S38" i="27"/>
  <c r="T38" i="27"/>
  <c r="V38" i="27"/>
  <c r="X38" i="27"/>
  <c r="Y38" i="27"/>
  <c r="Z38" i="27"/>
  <c r="AA38" i="27"/>
  <c r="AB38" i="27"/>
  <c r="AC38" i="27"/>
  <c r="AF38" i="27"/>
  <c r="AG38" i="27"/>
  <c r="AH38" i="27"/>
  <c r="AI38" i="27"/>
  <c r="AJ38" i="27"/>
  <c r="AL38" i="27"/>
  <c r="AM38" i="27"/>
  <c r="AN38" i="27"/>
  <c r="AO38" i="27"/>
  <c r="AP38" i="27"/>
  <c r="AQ38" i="27"/>
  <c r="AR38" i="27"/>
  <c r="AS38" i="27"/>
  <c r="AT38" i="27"/>
  <c r="AU38" i="27"/>
  <c r="AV38" i="27"/>
  <c r="AW38" i="27"/>
  <c r="AX38" i="27"/>
  <c r="AY38" i="27"/>
  <c r="BB38" i="27"/>
  <c r="BC38" i="27"/>
  <c r="BD38" i="27"/>
  <c r="BE38" i="27"/>
  <c r="BF38" i="27"/>
  <c r="BG38" i="27"/>
  <c r="BH38" i="27"/>
  <c r="BI38" i="27"/>
  <c r="BJ38" i="27"/>
  <c r="BK38" i="27"/>
  <c r="BL38" i="27"/>
  <c r="BM38" i="27"/>
  <c r="BN38" i="27"/>
  <c r="BO38" i="27"/>
  <c r="D39" i="27"/>
  <c r="F39" i="27"/>
  <c r="G39" i="27"/>
  <c r="H39" i="27"/>
  <c r="I39" i="27"/>
  <c r="K39" i="27"/>
  <c r="L39" i="27"/>
  <c r="N39" i="27"/>
  <c r="O39" i="27"/>
  <c r="P39" i="27"/>
  <c r="Q39" i="27"/>
  <c r="S39" i="27"/>
  <c r="T39" i="27"/>
  <c r="V39" i="27"/>
  <c r="X39" i="27"/>
  <c r="Y39" i="27"/>
  <c r="Z39" i="27"/>
  <c r="AA39" i="27"/>
  <c r="AB39" i="27"/>
  <c r="AC39" i="27"/>
  <c r="AF39" i="27"/>
  <c r="AG39" i="27"/>
  <c r="AH39" i="27"/>
  <c r="AI39" i="27"/>
  <c r="AJ39" i="27"/>
  <c r="AL39" i="27"/>
  <c r="AM39" i="27"/>
  <c r="AN39" i="27"/>
  <c r="AO39" i="27"/>
  <c r="AP39" i="27"/>
  <c r="AQ39" i="27"/>
  <c r="AR39" i="27"/>
  <c r="AS39" i="27"/>
  <c r="AT39" i="27"/>
  <c r="AU39" i="27"/>
  <c r="AV39" i="27"/>
  <c r="AW39" i="27"/>
  <c r="AX39" i="27"/>
  <c r="AY39" i="27"/>
  <c r="BB39" i="27"/>
  <c r="BC39" i="27"/>
  <c r="BD39" i="27"/>
  <c r="BE39" i="27"/>
  <c r="BF39" i="27"/>
  <c r="BG39" i="27"/>
  <c r="BH39" i="27"/>
  <c r="BI39" i="27"/>
  <c r="BJ39" i="27"/>
  <c r="BK39" i="27"/>
  <c r="BL39" i="27"/>
  <c r="BM39" i="27"/>
  <c r="BN39" i="27"/>
  <c r="BO39" i="27"/>
  <c r="D40" i="27"/>
  <c r="F40" i="27"/>
  <c r="G40" i="27"/>
  <c r="H40" i="27"/>
  <c r="I40" i="27"/>
  <c r="K40" i="27"/>
  <c r="L40" i="27"/>
  <c r="N40" i="27"/>
  <c r="O40" i="27"/>
  <c r="P40" i="27"/>
  <c r="Q40" i="27"/>
  <c r="S40" i="27"/>
  <c r="T40" i="27"/>
  <c r="V40" i="27"/>
  <c r="X40" i="27"/>
  <c r="Y40" i="27"/>
  <c r="Z40" i="27"/>
  <c r="AA40" i="27"/>
  <c r="AB40" i="27"/>
  <c r="AC40" i="27"/>
  <c r="AF40" i="27"/>
  <c r="AG40" i="27"/>
  <c r="AH40" i="27"/>
  <c r="AI40" i="27"/>
  <c r="AJ40" i="27"/>
  <c r="AL40" i="27"/>
  <c r="AM40" i="27"/>
  <c r="AN40" i="27"/>
  <c r="AO40" i="27"/>
  <c r="AP40" i="27"/>
  <c r="AQ40" i="27"/>
  <c r="AR40" i="27"/>
  <c r="AS40" i="27"/>
  <c r="AT40" i="27"/>
  <c r="AU40" i="27"/>
  <c r="AV40" i="27"/>
  <c r="AW40" i="27"/>
  <c r="AX40" i="27"/>
  <c r="AY40" i="27"/>
  <c r="BB40" i="27"/>
  <c r="BC40" i="27"/>
  <c r="BD40" i="27"/>
  <c r="BE40" i="27"/>
  <c r="BF40" i="27"/>
  <c r="BG40" i="27"/>
  <c r="BH40" i="27"/>
  <c r="BI40" i="27"/>
  <c r="BJ40" i="27"/>
  <c r="BK40" i="27"/>
  <c r="BL40" i="27"/>
  <c r="BM40" i="27"/>
  <c r="BN40" i="27"/>
  <c r="BO40" i="27"/>
  <c r="D41" i="27"/>
  <c r="F41" i="27"/>
  <c r="G41" i="27"/>
  <c r="H41" i="27"/>
  <c r="I41" i="27"/>
  <c r="K41" i="27"/>
  <c r="L41" i="27"/>
  <c r="N41" i="27"/>
  <c r="O41" i="27"/>
  <c r="P41" i="27"/>
  <c r="Q41" i="27"/>
  <c r="S41" i="27"/>
  <c r="T41" i="27"/>
  <c r="V41" i="27"/>
  <c r="X41" i="27"/>
  <c r="Y41" i="27"/>
  <c r="Z41" i="27"/>
  <c r="AA41" i="27"/>
  <c r="AB41" i="27"/>
  <c r="AC41" i="27"/>
  <c r="AF41" i="27"/>
  <c r="AG41" i="27"/>
  <c r="AH41" i="27"/>
  <c r="AI41" i="27"/>
  <c r="AJ41" i="27"/>
  <c r="AL41" i="27"/>
  <c r="AM41" i="27"/>
  <c r="AN41" i="27"/>
  <c r="AO41" i="27"/>
  <c r="AP41" i="27"/>
  <c r="AQ41" i="27"/>
  <c r="AR41" i="27"/>
  <c r="AS41" i="27"/>
  <c r="AT41" i="27"/>
  <c r="AU41" i="27"/>
  <c r="AV41" i="27"/>
  <c r="AW41" i="27"/>
  <c r="AX41" i="27"/>
  <c r="AY41" i="27"/>
  <c r="BB41" i="27"/>
  <c r="BC41" i="27"/>
  <c r="BD41" i="27"/>
  <c r="BE41" i="27"/>
  <c r="BF41" i="27"/>
  <c r="BG41" i="27"/>
  <c r="BH41" i="27"/>
  <c r="BI41" i="27"/>
  <c r="BJ41" i="27"/>
  <c r="BK41" i="27"/>
  <c r="BL41" i="27"/>
  <c r="BM41" i="27"/>
  <c r="BN41" i="27"/>
  <c r="BO41" i="27"/>
  <c r="D42" i="27"/>
  <c r="F42" i="27"/>
  <c r="G42" i="27"/>
  <c r="H42" i="27"/>
  <c r="I42" i="27"/>
  <c r="K42" i="27"/>
  <c r="L42" i="27"/>
  <c r="N42" i="27"/>
  <c r="O42" i="27"/>
  <c r="P42" i="27"/>
  <c r="Q42" i="27"/>
  <c r="S42" i="27"/>
  <c r="T42" i="27"/>
  <c r="V42" i="27"/>
  <c r="X42" i="27"/>
  <c r="Y42" i="27"/>
  <c r="Z42" i="27"/>
  <c r="AA42" i="27"/>
  <c r="AB42" i="27"/>
  <c r="AC42" i="27"/>
  <c r="AF42" i="27"/>
  <c r="AG42" i="27"/>
  <c r="AH42" i="27"/>
  <c r="AI42" i="27"/>
  <c r="AJ42" i="27"/>
  <c r="AL42" i="27"/>
  <c r="AM42" i="27"/>
  <c r="AN42" i="27"/>
  <c r="AO42" i="27"/>
  <c r="AP42" i="27"/>
  <c r="AQ42" i="27"/>
  <c r="AR42" i="27"/>
  <c r="AS42" i="27"/>
  <c r="AT42" i="27"/>
  <c r="AU42" i="27"/>
  <c r="AV42" i="27"/>
  <c r="AW42" i="27"/>
  <c r="AX42" i="27"/>
  <c r="AY42" i="27"/>
  <c r="BB42" i="27"/>
  <c r="BC42" i="27"/>
  <c r="BD42" i="27"/>
  <c r="BE42" i="27"/>
  <c r="BF42" i="27"/>
  <c r="BG42" i="27"/>
  <c r="BH42" i="27"/>
  <c r="BI42" i="27"/>
  <c r="BJ42" i="27"/>
  <c r="BK42" i="27"/>
  <c r="BL42" i="27"/>
  <c r="BM42" i="27"/>
  <c r="BN42" i="27"/>
  <c r="BO42" i="27"/>
  <c r="D43" i="27"/>
  <c r="F43" i="27"/>
  <c r="G43" i="27"/>
  <c r="H43" i="27"/>
  <c r="I43" i="27"/>
  <c r="K43" i="27"/>
  <c r="L43" i="27"/>
  <c r="N43" i="27"/>
  <c r="O43" i="27"/>
  <c r="P43" i="27"/>
  <c r="Q43" i="27"/>
  <c r="S43" i="27"/>
  <c r="T43" i="27"/>
  <c r="V43" i="27"/>
  <c r="X43" i="27"/>
  <c r="Y43" i="27"/>
  <c r="Z43" i="27"/>
  <c r="AA43" i="27"/>
  <c r="AB43" i="27"/>
  <c r="AC43" i="27"/>
  <c r="AF43" i="27"/>
  <c r="AG43" i="27"/>
  <c r="AH43" i="27"/>
  <c r="AI43" i="27"/>
  <c r="AJ43" i="27"/>
  <c r="AL43" i="27"/>
  <c r="AM43" i="27"/>
  <c r="AN43" i="27"/>
  <c r="AO43" i="27"/>
  <c r="AP43" i="27"/>
  <c r="AQ43" i="27"/>
  <c r="AR43" i="27"/>
  <c r="AS43" i="27"/>
  <c r="AT43" i="27"/>
  <c r="AU43" i="27"/>
  <c r="AV43" i="27"/>
  <c r="AW43" i="27"/>
  <c r="AX43" i="27"/>
  <c r="AY43" i="27"/>
  <c r="BB43" i="27"/>
  <c r="BC43" i="27"/>
  <c r="BD43" i="27"/>
  <c r="BE43" i="27"/>
  <c r="BF43" i="27"/>
  <c r="BG43" i="27"/>
  <c r="BH43" i="27"/>
  <c r="BI43" i="27"/>
  <c r="BJ43" i="27"/>
  <c r="BK43" i="27"/>
  <c r="BL43" i="27"/>
  <c r="BM43" i="27"/>
  <c r="BN43" i="27"/>
  <c r="BO43" i="27"/>
  <c r="D44" i="27"/>
  <c r="F44" i="27"/>
  <c r="G44" i="27"/>
  <c r="H44" i="27"/>
  <c r="I44" i="27"/>
  <c r="K44" i="27"/>
  <c r="L44" i="27"/>
  <c r="N44" i="27"/>
  <c r="O44" i="27"/>
  <c r="P44" i="27"/>
  <c r="Q44" i="27"/>
  <c r="S44" i="27"/>
  <c r="T44" i="27"/>
  <c r="V44" i="27"/>
  <c r="X44" i="27"/>
  <c r="Y44" i="27"/>
  <c r="Z44" i="27"/>
  <c r="AA44" i="27"/>
  <c r="AB44" i="27"/>
  <c r="AC44" i="27"/>
  <c r="AF44" i="27"/>
  <c r="AG44" i="27"/>
  <c r="AH44" i="27"/>
  <c r="AI44" i="27"/>
  <c r="AJ44" i="27"/>
  <c r="AL44" i="27"/>
  <c r="AM44" i="27"/>
  <c r="AN44" i="27"/>
  <c r="AO44" i="27"/>
  <c r="AP44" i="27"/>
  <c r="AQ44" i="27"/>
  <c r="AR44" i="27"/>
  <c r="AS44" i="27"/>
  <c r="AT44" i="27"/>
  <c r="AU44" i="27"/>
  <c r="AV44" i="27"/>
  <c r="AW44" i="27"/>
  <c r="AX44" i="27"/>
  <c r="AY44" i="27"/>
  <c r="BB44" i="27"/>
  <c r="BC44" i="27"/>
  <c r="BD44" i="27"/>
  <c r="BE44" i="27"/>
  <c r="BF44" i="27"/>
  <c r="BG44" i="27"/>
  <c r="BH44" i="27"/>
  <c r="BI44" i="27"/>
  <c r="BJ44" i="27"/>
  <c r="BK44" i="27"/>
  <c r="BL44" i="27"/>
  <c r="BM44" i="27"/>
  <c r="BN44" i="27"/>
  <c r="BO44" i="27"/>
  <c r="D45" i="27"/>
  <c r="F45" i="27"/>
  <c r="G45" i="27"/>
  <c r="H45" i="27"/>
  <c r="I45" i="27"/>
  <c r="K45" i="27"/>
  <c r="L45" i="27"/>
  <c r="N45" i="27"/>
  <c r="O45" i="27"/>
  <c r="P45" i="27"/>
  <c r="Q45" i="27"/>
  <c r="S45" i="27"/>
  <c r="T45" i="27"/>
  <c r="V45" i="27"/>
  <c r="X45" i="27"/>
  <c r="Y45" i="27"/>
  <c r="Z45" i="27"/>
  <c r="AA45" i="27"/>
  <c r="AB45" i="27"/>
  <c r="AC45" i="27"/>
  <c r="AF45" i="27"/>
  <c r="AG45" i="27"/>
  <c r="AH45" i="27"/>
  <c r="AI45" i="27"/>
  <c r="AJ45" i="27"/>
  <c r="AL45" i="27"/>
  <c r="AM45" i="27"/>
  <c r="AN45" i="27"/>
  <c r="AO45" i="27"/>
  <c r="AP45" i="27"/>
  <c r="AQ45" i="27"/>
  <c r="AR45" i="27"/>
  <c r="AS45" i="27"/>
  <c r="AT45" i="27"/>
  <c r="AU45" i="27"/>
  <c r="AV45" i="27"/>
  <c r="AW45" i="27"/>
  <c r="AX45" i="27"/>
  <c r="AY45" i="27"/>
  <c r="BB45" i="27"/>
  <c r="BC45" i="27"/>
  <c r="BD45" i="27"/>
  <c r="BE45" i="27"/>
  <c r="BF45" i="27"/>
  <c r="BG45" i="27"/>
  <c r="BH45" i="27"/>
  <c r="BI45" i="27"/>
  <c r="BJ45" i="27"/>
  <c r="BK45" i="27"/>
  <c r="BL45" i="27"/>
  <c r="BM45" i="27"/>
  <c r="BN45" i="27"/>
  <c r="BO45" i="27"/>
  <c r="D46" i="27"/>
  <c r="F46" i="27"/>
  <c r="G46" i="27"/>
  <c r="H46" i="27"/>
  <c r="I46" i="27"/>
  <c r="K46" i="27"/>
  <c r="L46" i="27"/>
  <c r="N46" i="27"/>
  <c r="O46" i="27"/>
  <c r="P46" i="27"/>
  <c r="Q46" i="27"/>
  <c r="S46" i="27"/>
  <c r="T46" i="27"/>
  <c r="V46" i="27"/>
  <c r="X46" i="27"/>
  <c r="Y46" i="27"/>
  <c r="Z46" i="27"/>
  <c r="AA46" i="27"/>
  <c r="AB46" i="27"/>
  <c r="AC46" i="27"/>
  <c r="AF46" i="27"/>
  <c r="AG46" i="27"/>
  <c r="AH46" i="27"/>
  <c r="AI46" i="27"/>
  <c r="AJ46" i="27"/>
  <c r="AL46" i="27"/>
  <c r="AM46" i="27"/>
  <c r="AN46" i="27"/>
  <c r="AO46" i="27"/>
  <c r="AP46" i="27"/>
  <c r="AQ46" i="27"/>
  <c r="AR46" i="27"/>
  <c r="AS46" i="27"/>
  <c r="AT46" i="27"/>
  <c r="AU46" i="27"/>
  <c r="AV46" i="27"/>
  <c r="AW46" i="27"/>
  <c r="AX46" i="27"/>
  <c r="AY46" i="27"/>
  <c r="BB46" i="27"/>
  <c r="BC46" i="27"/>
  <c r="BD46" i="27"/>
  <c r="BE46" i="27"/>
  <c r="BF46" i="27"/>
  <c r="BG46" i="27"/>
  <c r="BH46" i="27"/>
  <c r="BI46" i="27"/>
  <c r="BJ46" i="27"/>
  <c r="BK46" i="27"/>
  <c r="BL46" i="27"/>
  <c r="BM46" i="27"/>
  <c r="BN46" i="27"/>
  <c r="BO46" i="27"/>
  <c r="D47" i="27"/>
  <c r="F47" i="27"/>
  <c r="G47" i="27"/>
  <c r="H47" i="27"/>
  <c r="I47" i="27"/>
  <c r="K47" i="27"/>
  <c r="L47" i="27"/>
  <c r="N47" i="27"/>
  <c r="O47" i="27"/>
  <c r="P47" i="27"/>
  <c r="Q47" i="27"/>
  <c r="S47" i="27"/>
  <c r="T47" i="27"/>
  <c r="V47" i="27"/>
  <c r="X47" i="27"/>
  <c r="Y47" i="27"/>
  <c r="Z47" i="27"/>
  <c r="AA47" i="27"/>
  <c r="AB47" i="27"/>
  <c r="AC47" i="27"/>
  <c r="AF47" i="27"/>
  <c r="AG47" i="27"/>
  <c r="AH47" i="27"/>
  <c r="AI47" i="27"/>
  <c r="AJ47" i="27"/>
  <c r="AL47" i="27"/>
  <c r="AM47" i="27"/>
  <c r="AN47" i="27"/>
  <c r="AO47" i="27"/>
  <c r="AP47" i="27"/>
  <c r="AQ47" i="27"/>
  <c r="AR47" i="27"/>
  <c r="AS47" i="27"/>
  <c r="AT47" i="27"/>
  <c r="AU47" i="27"/>
  <c r="AV47" i="27"/>
  <c r="AW47" i="27"/>
  <c r="AX47" i="27"/>
  <c r="AY47" i="27"/>
  <c r="BB47" i="27"/>
  <c r="BC47" i="27"/>
  <c r="BD47" i="27"/>
  <c r="BE47" i="27"/>
  <c r="BF47" i="27"/>
  <c r="BG47" i="27"/>
  <c r="BH47" i="27"/>
  <c r="BI47" i="27"/>
  <c r="BJ47" i="27"/>
  <c r="BK47" i="27"/>
  <c r="BL47" i="27"/>
  <c r="BM47" i="27"/>
  <c r="BN47" i="27"/>
  <c r="BO47" i="27"/>
  <c r="D48" i="27"/>
  <c r="F48" i="27"/>
  <c r="G48" i="27"/>
  <c r="H48" i="27"/>
  <c r="I48" i="27"/>
  <c r="K48" i="27"/>
  <c r="L48" i="27"/>
  <c r="N48" i="27"/>
  <c r="O48" i="27"/>
  <c r="P48" i="27"/>
  <c r="Q48" i="27"/>
  <c r="S48" i="27"/>
  <c r="T48" i="27"/>
  <c r="V48" i="27"/>
  <c r="X48" i="27"/>
  <c r="Y48" i="27"/>
  <c r="Z48" i="27"/>
  <c r="AA48" i="27"/>
  <c r="AB48" i="27"/>
  <c r="AC48" i="27"/>
  <c r="AF48" i="27"/>
  <c r="AG48" i="27"/>
  <c r="AH48" i="27"/>
  <c r="AI48" i="27"/>
  <c r="AJ48" i="27"/>
  <c r="AL48" i="27"/>
  <c r="AM48" i="27"/>
  <c r="AN48" i="27"/>
  <c r="AO48" i="27"/>
  <c r="AP48" i="27"/>
  <c r="AQ48" i="27"/>
  <c r="AR48" i="27"/>
  <c r="AS48" i="27"/>
  <c r="AT48" i="27"/>
  <c r="AU48" i="27"/>
  <c r="AV48" i="27"/>
  <c r="AW48" i="27"/>
  <c r="AX48" i="27"/>
  <c r="AY48" i="27"/>
  <c r="BB48" i="27"/>
  <c r="BC48" i="27"/>
  <c r="BD48" i="27"/>
  <c r="BE48" i="27"/>
  <c r="BF48" i="27"/>
  <c r="BG48" i="27"/>
  <c r="BH48" i="27"/>
  <c r="BI48" i="27"/>
  <c r="BJ48" i="27"/>
  <c r="BK48" i="27"/>
  <c r="BL48" i="27"/>
  <c r="BM48" i="27"/>
  <c r="BN48" i="27"/>
  <c r="BO48" i="27"/>
  <c r="D49" i="27"/>
  <c r="F49" i="27"/>
  <c r="G49" i="27"/>
  <c r="H49" i="27"/>
  <c r="I49" i="27"/>
  <c r="K49" i="27"/>
  <c r="L49" i="27"/>
  <c r="N49" i="27"/>
  <c r="O49" i="27"/>
  <c r="P49" i="27"/>
  <c r="Q49" i="27"/>
  <c r="S49" i="27"/>
  <c r="T49" i="27"/>
  <c r="V49" i="27"/>
  <c r="X49" i="27"/>
  <c r="Y49" i="27"/>
  <c r="Z49" i="27"/>
  <c r="AA49" i="27"/>
  <c r="AB49" i="27"/>
  <c r="AC49" i="27"/>
  <c r="AF49" i="27"/>
  <c r="AG49" i="27"/>
  <c r="AH49" i="27"/>
  <c r="AI49" i="27"/>
  <c r="AJ49" i="27"/>
  <c r="AL49" i="27"/>
  <c r="AM49" i="27"/>
  <c r="AN49" i="27"/>
  <c r="AO49" i="27"/>
  <c r="AP49" i="27"/>
  <c r="AQ49" i="27"/>
  <c r="AR49" i="27"/>
  <c r="AS49" i="27"/>
  <c r="AT49" i="27"/>
  <c r="AU49" i="27"/>
  <c r="AV49" i="27"/>
  <c r="AW49" i="27"/>
  <c r="AX49" i="27"/>
  <c r="AY49" i="27"/>
  <c r="BB49" i="27"/>
  <c r="BC49" i="27"/>
  <c r="BD49" i="27"/>
  <c r="BE49" i="27"/>
  <c r="BF49" i="27"/>
  <c r="BG49" i="27"/>
  <c r="BH49" i="27"/>
  <c r="BI49" i="27"/>
  <c r="BJ49" i="27"/>
  <c r="BK49" i="27"/>
  <c r="BL49" i="27"/>
  <c r="BM49" i="27"/>
  <c r="BN49" i="27"/>
  <c r="BO49" i="27"/>
  <c r="D50" i="27"/>
  <c r="F50" i="27"/>
  <c r="G50" i="27"/>
  <c r="H50" i="27"/>
  <c r="I50" i="27"/>
  <c r="K50" i="27"/>
  <c r="L50" i="27"/>
  <c r="N50" i="27"/>
  <c r="O50" i="27"/>
  <c r="P50" i="27"/>
  <c r="Q50" i="27"/>
  <c r="S50" i="27"/>
  <c r="T50" i="27"/>
  <c r="V50" i="27"/>
  <c r="X50" i="27"/>
  <c r="Y50" i="27"/>
  <c r="Z50" i="27"/>
  <c r="AA50" i="27"/>
  <c r="AB50" i="27"/>
  <c r="AC50" i="27"/>
  <c r="AF50" i="27"/>
  <c r="AG50" i="27"/>
  <c r="AH50" i="27"/>
  <c r="AI50" i="27"/>
  <c r="AJ50" i="27"/>
  <c r="AL50" i="27"/>
  <c r="AM50" i="27"/>
  <c r="AN50" i="27"/>
  <c r="AO50" i="27"/>
  <c r="AP50" i="27"/>
  <c r="AQ50" i="27"/>
  <c r="AR50" i="27"/>
  <c r="AS50" i="27"/>
  <c r="AT50" i="27"/>
  <c r="AU50" i="27"/>
  <c r="AV50" i="27"/>
  <c r="AW50" i="27"/>
  <c r="AX50" i="27"/>
  <c r="AY50" i="27"/>
  <c r="BB50" i="27"/>
  <c r="BC50" i="27"/>
  <c r="BD50" i="27"/>
  <c r="BE50" i="27"/>
  <c r="BF50" i="27"/>
  <c r="BG50" i="27"/>
  <c r="BH50" i="27"/>
  <c r="BI50" i="27"/>
  <c r="BJ50" i="27"/>
  <c r="BK50" i="27"/>
  <c r="BL50" i="27"/>
  <c r="BM50" i="27"/>
  <c r="BN50" i="27"/>
  <c r="BO50" i="27"/>
  <c r="D51" i="27"/>
  <c r="F51" i="27"/>
  <c r="G51" i="27"/>
  <c r="H51" i="27"/>
  <c r="I51" i="27"/>
  <c r="K51" i="27"/>
  <c r="L51" i="27"/>
  <c r="N51" i="27"/>
  <c r="O51" i="27"/>
  <c r="P51" i="27"/>
  <c r="Q51" i="27"/>
  <c r="S51" i="27"/>
  <c r="T51" i="27"/>
  <c r="V51" i="27"/>
  <c r="X51" i="27"/>
  <c r="Y51" i="27"/>
  <c r="Z51" i="27"/>
  <c r="AA51" i="27"/>
  <c r="AB51" i="27"/>
  <c r="AC51" i="27"/>
  <c r="AF51" i="27"/>
  <c r="AG51" i="27"/>
  <c r="AH51" i="27"/>
  <c r="AI51" i="27"/>
  <c r="AJ51" i="27"/>
  <c r="AL51" i="27"/>
  <c r="AM51" i="27"/>
  <c r="AN51" i="27"/>
  <c r="AO51" i="27"/>
  <c r="AP51" i="27"/>
  <c r="AQ51" i="27"/>
  <c r="AR51" i="27"/>
  <c r="AS51" i="27"/>
  <c r="AT51" i="27"/>
  <c r="AU51" i="27"/>
  <c r="AV51" i="27"/>
  <c r="AW51" i="27"/>
  <c r="AX51" i="27"/>
  <c r="AY51" i="27"/>
  <c r="BB51" i="27"/>
  <c r="BC51" i="27"/>
  <c r="BD51" i="27"/>
  <c r="BE51" i="27"/>
  <c r="BF51" i="27"/>
  <c r="BG51" i="27"/>
  <c r="BH51" i="27"/>
  <c r="BI51" i="27"/>
  <c r="BJ51" i="27"/>
  <c r="BK51" i="27"/>
  <c r="BL51" i="27"/>
  <c r="BM51" i="27"/>
  <c r="BN51" i="27"/>
  <c r="BO51" i="27"/>
  <c r="D52" i="27"/>
  <c r="F52" i="27"/>
  <c r="G52" i="27"/>
  <c r="H52" i="27"/>
  <c r="I52" i="27"/>
  <c r="K52" i="27"/>
  <c r="L52" i="27"/>
  <c r="N52" i="27"/>
  <c r="O52" i="27"/>
  <c r="P52" i="27"/>
  <c r="Q52" i="27"/>
  <c r="S52" i="27"/>
  <c r="T52" i="27"/>
  <c r="V52" i="27"/>
  <c r="X52" i="27"/>
  <c r="Y52" i="27"/>
  <c r="Z52" i="27"/>
  <c r="AA52" i="27"/>
  <c r="AB52" i="27"/>
  <c r="AC52" i="27"/>
  <c r="AF52" i="27"/>
  <c r="AG52" i="27"/>
  <c r="AH52" i="27"/>
  <c r="AI52" i="27"/>
  <c r="AJ52" i="27"/>
  <c r="AL52" i="27"/>
  <c r="AM52" i="27"/>
  <c r="AN52" i="27"/>
  <c r="AO52" i="27"/>
  <c r="AP52" i="27"/>
  <c r="AQ52" i="27"/>
  <c r="AR52" i="27"/>
  <c r="AS52" i="27"/>
  <c r="AT52" i="27"/>
  <c r="AU52" i="27"/>
  <c r="AV52" i="27"/>
  <c r="AW52" i="27"/>
  <c r="AX52" i="27"/>
  <c r="AY52" i="27"/>
  <c r="BB52" i="27"/>
  <c r="BC52" i="27"/>
  <c r="BD52" i="27"/>
  <c r="BE52" i="27"/>
  <c r="BF52" i="27"/>
  <c r="BG52" i="27"/>
  <c r="BH52" i="27"/>
  <c r="BI52" i="27"/>
  <c r="BJ52" i="27"/>
  <c r="BK52" i="27"/>
  <c r="BL52" i="27"/>
  <c r="BM52" i="27"/>
  <c r="BN52" i="27"/>
  <c r="BO52" i="27"/>
  <c r="D53" i="27"/>
  <c r="F53" i="27"/>
  <c r="G53" i="27"/>
  <c r="H53" i="27"/>
  <c r="I53" i="27"/>
  <c r="K53" i="27"/>
  <c r="L53" i="27"/>
  <c r="N53" i="27"/>
  <c r="O53" i="27"/>
  <c r="P53" i="27"/>
  <c r="Q53" i="27"/>
  <c r="S53" i="27"/>
  <c r="T53" i="27"/>
  <c r="V53" i="27"/>
  <c r="X53" i="27"/>
  <c r="Y53" i="27"/>
  <c r="Z53" i="27"/>
  <c r="AA53" i="27"/>
  <c r="AB53" i="27"/>
  <c r="AC53" i="27"/>
  <c r="AF53" i="27"/>
  <c r="AG53" i="27"/>
  <c r="AH53" i="27"/>
  <c r="AI53" i="27"/>
  <c r="AJ53" i="27"/>
  <c r="AL53" i="27"/>
  <c r="AM53" i="27"/>
  <c r="AN53" i="27"/>
  <c r="AO53" i="27"/>
  <c r="AP53" i="27"/>
  <c r="AQ53" i="27"/>
  <c r="AR53" i="27"/>
  <c r="AS53" i="27"/>
  <c r="AT53" i="27"/>
  <c r="AU53" i="27"/>
  <c r="AV53" i="27"/>
  <c r="AW53" i="27"/>
  <c r="AX53" i="27"/>
  <c r="AY53" i="27"/>
  <c r="BB53" i="27"/>
  <c r="BC53" i="27"/>
  <c r="BD53" i="27"/>
  <c r="BE53" i="27"/>
  <c r="BF53" i="27"/>
  <c r="BG53" i="27"/>
  <c r="BH53" i="27"/>
  <c r="BI53" i="27"/>
  <c r="BJ53" i="27"/>
  <c r="BK53" i="27"/>
  <c r="BL53" i="27"/>
  <c r="BM53" i="27"/>
  <c r="BN53" i="27"/>
  <c r="BO53" i="27"/>
  <c r="D54" i="27"/>
  <c r="F54" i="27"/>
  <c r="G54" i="27"/>
  <c r="H54" i="27"/>
  <c r="I54" i="27"/>
  <c r="K54" i="27"/>
  <c r="L54" i="27"/>
  <c r="N54" i="27"/>
  <c r="O54" i="27"/>
  <c r="P54" i="27"/>
  <c r="Q54" i="27"/>
  <c r="S54" i="27"/>
  <c r="T54" i="27"/>
  <c r="V54" i="27"/>
  <c r="X54" i="27"/>
  <c r="Y54" i="27"/>
  <c r="Z54" i="27"/>
  <c r="AA54" i="27"/>
  <c r="AB54" i="27"/>
  <c r="AC54" i="27"/>
  <c r="AF54" i="27"/>
  <c r="AG54" i="27"/>
  <c r="AH54" i="27"/>
  <c r="AI54" i="27"/>
  <c r="AJ54" i="27"/>
  <c r="AL54" i="27"/>
  <c r="AM54" i="27"/>
  <c r="AN54" i="27"/>
  <c r="AO54" i="27"/>
  <c r="AP54" i="27"/>
  <c r="AQ54" i="27"/>
  <c r="AR54" i="27"/>
  <c r="AS54" i="27"/>
  <c r="AT54" i="27"/>
  <c r="AU54" i="27"/>
  <c r="AV54" i="27"/>
  <c r="AW54" i="27"/>
  <c r="AX54" i="27"/>
  <c r="AY54" i="27"/>
  <c r="BB54" i="27"/>
  <c r="BC54" i="27"/>
  <c r="BD54" i="27"/>
  <c r="BE54" i="27"/>
  <c r="BF54" i="27"/>
  <c r="BG54" i="27"/>
  <c r="BH54" i="27"/>
  <c r="BI54" i="27"/>
  <c r="BJ54" i="27"/>
  <c r="BK54" i="27"/>
  <c r="BL54" i="27"/>
  <c r="BM54" i="27"/>
  <c r="BN54" i="27"/>
  <c r="BO54" i="27"/>
  <c r="D55" i="27"/>
  <c r="F55" i="27"/>
  <c r="G55" i="27"/>
  <c r="H55" i="27"/>
  <c r="I55" i="27"/>
  <c r="K55" i="27"/>
  <c r="L55" i="27"/>
  <c r="N55" i="27"/>
  <c r="O55" i="27"/>
  <c r="P55" i="27"/>
  <c r="Q55" i="27"/>
  <c r="S55" i="27"/>
  <c r="T55" i="27"/>
  <c r="V55" i="27"/>
  <c r="X55" i="27"/>
  <c r="Y55" i="27"/>
  <c r="Z55" i="27"/>
  <c r="AA55" i="27"/>
  <c r="AB55" i="27"/>
  <c r="AC55" i="27"/>
  <c r="AF55" i="27"/>
  <c r="AG55" i="27"/>
  <c r="AH55" i="27"/>
  <c r="AI55" i="27"/>
  <c r="AJ55" i="27"/>
  <c r="AL55" i="27"/>
  <c r="AM55" i="27"/>
  <c r="AN55" i="27"/>
  <c r="AO55" i="27"/>
  <c r="AP55" i="27"/>
  <c r="AQ55" i="27"/>
  <c r="AR55" i="27"/>
  <c r="AS55" i="27"/>
  <c r="AT55" i="27"/>
  <c r="AU55" i="27"/>
  <c r="AV55" i="27"/>
  <c r="AW55" i="27"/>
  <c r="AX55" i="27"/>
  <c r="AY55" i="27"/>
  <c r="BB55" i="27"/>
  <c r="BC55" i="27"/>
  <c r="BD55" i="27"/>
  <c r="BE55" i="27"/>
  <c r="BF55" i="27"/>
  <c r="BG55" i="27"/>
  <c r="BH55" i="27"/>
  <c r="BI55" i="27"/>
  <c r="BJ55" i="27"/>
  <c r="BK55" i="27"/>
  <c r="BL55" i="27"/>
  <c r="BM55" i="27"/>
  <c r="BN55" i="27"/>
  <c r="BO55" i="27"/>
  <c r="D56" i="27"/>
  <c r="F56" i="27"/>
  <c r="G56" i="27"/>
  <c r="H56" i="27"/>
  <c r="I56" i="27"/>
  <c r="K56" i="27"/>
  <c r="L56" i="27"/>
  <c r="N56" i="27"/>
  <c r="O56" i="27"/>
  <c r="P56" i="27"/>
  <c r="Q56" i="27"/>
  <c r="S56" i="27"/>
  <c r="T56" i="27"/>
  <c r="V56" i="27"/>
  <c r="X56" i="27"/>
  <c r="Y56" i="27"/>
  <c r="Z56" i="27"/>
  <c r="AA56" i="27"/>
  <c r="AB56" i="27"/>
  <c r="AC56" i="27"/>
  <c r="AF56" i="27"/>
  <c r="AG56" i="27"/>
  <c r="AH56" i="27"/>
  <c r="AI56" i="27"/>
  <c r="AJ56" i="27"/>
  <c r="AL56" i="27"/>
  <c r="AM56" i="27"/>
  <c r="AN56" i="27"/>
  <c r="AO56" i="27"/>
  <c r="AP56" i="27"/>
  <c r="AQ56" i="27"/>
  <c r="AR56" i="27"/>
  <c r="AS56" i="27"/>
  <c r="AT56" i="27"/>
  <c r="AU56" i="27"/>
  <c r="AV56" i="27"/>
  <c r="AW56" i="27"/>
  <c r="AX56" i="27"/>
  <c r="AY56" i="27"/>
  <c r="BB56" i="27"/>
  <c r="BC56" i="27"/>
  <c r="BD56" i="27"/>
  <c r="BE56" i="27"/>
  <c r="BF56" i="27"/>
  <c r="BG56" i="27"/>
  <c r="BH56" i="27"/>
  <c r="BI56" i="27"/>
  <c r="BJ56" i="27"/>
  <c r="BK56" i="27"/>
  <c r="BL56" i="27"/>
  <c r="BM56" i="27"/>
  <c r="BN56" i="27"/>
  <c r="BO56" i="27"/>
  <c r="D57" i="27"/>
  <c r="F57" i="27"/>
  <c r="G57" i="27"/>
  <c r="H57" i="27"/>
  <c r="I57" i="27"/>
  <c r="K57" i="27"/>
  <c r="L57" i="27"/>
  <c r="N57" i="27"/>
  <c r="O57" i="27"/>
  <c r="P57" i="27"/>
  <c r="Q57" i="27"/>
  <c r="S57" i="27"/>
  <c r="T57" i="27"/>
  <c r="V57" i="27"/>
  <c r="X57" i="27"/>
  <c r="Y57" i="27"/>
  <c r="Z57" i="27"/>
  <c r="AA57" i="27"/>
  <c r="AB57" i="27"/>
  <c r="AC57" i="27"/>
  <c r="AF57" i="27"/>
  <c r="AG57" i="27"/>
  <c r="AH57" i="27"/>
  <c r="AI57" i="27"/>
  <c r="AJ57" i="27"/>
  <c r="AL57" i="27"/>
  <c r="AM57" i="27"/>
  <c r="AN57" i="27"/>
  <c r="AO57" i="27"/>
  <c r="AP57" i="27"/>
  <c r="AQ57" i="27"/>
  <c r="AR57" i="27"/>
  <c r="AS57" i="27"/>
  <c r="AT57" i="27"/>
  <c r="AU57" i="27"/>
  <c r="AV57" i="27"/>
  <c r="AW57" i="27"/>
  <c r="AX57" i="27"/>
  <c r="AY57" i="27"/>
  <c r="BB57" i="27"/>
  <c r="BC57" i="27"/>
  <c r="BD57" i="27"/>
  <c r="BE57" i="27"/>
  <c r="BF57" i="27"/>
  <c r="BG57" i="27"/>
  <c r="BH57" i="27"/>
  <c r="BI57" i="27"/>
  <c r="BJ57" i="27"/>
  <c r="BK57" i="27"/>
  <c r="BL57" i="27"/>
  <c r="BM57" i="27"/>
  <c r="BN57" i="27"/>
  <c r="BO57" i="27"/>
  <c r="D58" i="27"/>
  <c r="F58" i="27"/>
  <c r="G58" i="27"/>
  <c r="H58" i="27"/>
  <c r="I58" i="27"/>
  <c r="K58" i="27"/>
  <c r="L58" i="27"/>
  <c r="N58" i="27"/>
  <c r="O58" i="27"/>
  <c r="P58" i="27"/>
  <c r="Q58" i="27"/>
  <c r="S58" i="27"/>
  <c r="T58" i="27"/>
  <c r="V58" i="27"/>
  <c r="X58" i="27"/>
  <c r="Y58" i="27"/>
  <c r="Z58" i="27"/>
  <c r="AA58" i="27"/>
  <c r="AB58" i="27"/>
  <c r="AC58" i="27"/>
  <c r="AF58" i="27"/>
  <c r="AG58" i="27"/>
  <c r="AH58" i="27"/>
  <c r="AI58" i="27"/>
  <c r="AJ58" i="27"/>
  <c r="AL58" i="27"/>
  <c r="AM58" i="27"/>
  <c r="AN58" i="27"/>
  <c r="AO58" i="27"/>
  <c r="AP58" i="27"/>
  <c r="AQ58" i="27"/>
  <c r="AR58" i="27"/>
  <c r="AS58" i="27"/>
  <c r="AT58" i="27"/>
  <c r="AU58" i="27"/>
  <c r="AV58" i="27"/>
  <c r="AW58" i="27"/>
  <c r="AX58" i="27"/>
  <c r="AY58" i="27"/>
  <c r="BB58" i="27"/>
  <c r="BC58" i="27"/>
  <c r="BD58" i="27"/>
  <c r="BE58" i="27"/>
  <c r="BF58" i="27"/>
  <c r="BG58" i="27"/>
  <c r="BH58" i="27"/>
  <c r="BI58" i="27"/>
  <c r="BJ58" i="27"/>
  <c r="BK58" i="27"/>
  <c r="BL58" i="27"/>
  <c r="BM58" i="27"/>
  <c r="BN58" i="27"/>
  <c r="BO58" i="27"/>
  <c r="D59" i="27"/>
  <c r="F59" i="27"/>
  <c r="G59" i="27"/>
  <c r="H59" i="27"/>
  <c r="I59" i="27"/>
  <c r="K59" i="27"/>
  <c r="L59" i="27"/>
  <c r="N59" i="27"/>
  <c r="O59" i="27"/>
  <c r="P59" i="27"/>
  <c r="Q59" i="27"/>
  <c r="S59" i="27"/>
  <c r="T59" i="27"/>
  <c r="V59" i="27"/>
  <c r="X59" i="27"/>
  <c r="Y59" i="27"/>
  <c r="Z59" i="27"/>
  <c r="AA59" i="27"/>
  <c r="AB59" i="27"/>
  <c r="AC59" i="27"/>
  <c r="AF59" i="27"/>
  <c r="AG59" i="27"/>
  <c r="AH59" i="27"/>
  <c r="AI59" i="27"/>
  <c r="AJ59" i="27"/>
  <c r="AL59" i="27"/>
  <c r="AM59" i="27"/>
  <c r="AN59" i="27"/>
  <c r="AO59" i="27"/>
  <c r="AP59" i="27"/>
  <c r="AQ59" i="27"/>
  <c r="AR59" i="27"/>
  <c r="AS59" i="27"/>
  <c r="AT59" i="27"/>
  <c r="AU59" i="27"/>
  <c r="AV59" i="27"/>
  <c r="AW59" i="27"/>
  <c r="AX59" i="27"/>
  <c r="AY59" i="27"/>
  <c r="BB59" i="27"/>
  <c r="BC59" i="27"/>
  <c r="BD59" i="27"/>
  <c r="BE59" i="27"/>
  <c r="BF59" i="27"/>
  <c r="BG59" i="27"/>
  <c r="BH59" i="27"/>
  <c r="BI59" i="27"/>
  <c r="BJ59" i="27"/>
  <c r="BK59" i="27"/>
  <c r="BL59" i="27"/>
  <c r="BM59" i="27"/>
  <c r="BN59" i="27"/>
  <c r="BO59" i="27"/>
  <c r="D60" i="27"/>
  <c r="F60" i="27"/>
  <c r="G60" i="27"/>
  <c r="H60" i="27"/>
  <c r="I60" i="27"/>
  <c r="K60" i="27"/>
  <c r="L60" i="27"/>
  <c r="N60" i="27"/>
  <c r="O60" i="27"/>
  <c r="P60" i="27"/>
  <c r="Q60" i="27"/>
  <c r="S60" i="27"/>
  <c r="T60" i="27"/>
  <c r="V60" i="27"/>
  <c r="X60" i="27"/>
  <c r="Y60" i="27"/>
  <c r="Z60" i="27"/>
  <c r="AA60" i="27"/>
  <c r="AB60" i="27"/>
  <c r="AC60" i="27"/>
  <c r="AF60" i="27"/>
  <c r="AG60" i="27"/>
  <c r="AH60" i="27"/>
  <c r="AI60" i="27"/>
  <c r="AJ60" i="27"/>
  <c r="AL60" i="27"/>
  <c r="AM60" i="27"/>
  <c r="AN60" i="27"/>
  <c r="AO60" i="27"/>
  <c r="AP60" i="27"/>
  <c r="AQ60" i="27"/>
  <c r="AR60" i="27"/>
  <c r="AS60" i="27"/>
  <c r="AT60" i="27"/>
  <c r="AU60" i="27"/>
  <c r="AV60" i="27"/>
  <c r="AW60" i="27"/>
  <c r="AX60" i="27"/>
  <c r="AY60" i="27"/>
  <c r="BB60" i="27"/>
  <c r="BC60" i="27"/>
  <c r="BD60" i="27"/>
  <c r="BE60" i="27"/>
  <c r="BF60" i="27"/>
  <c r="BG60" i="27"/>
  <c r="BH60" i="27"/>
  <c r="BI60" i="27"/>
  <c r="BJ60" i="27"/>
  <c r="BK60" i="27"/>
  <c r="BL60" i="27"/>
  <c r="BM60" i="27"/>
  <c r="BN60" i="27"/>
  <c r="BO60" i="27"/>
  <c r="D61" i="27"/>
  <c r="F61" i="27"/>
  <c r="G61" i="27"/>
  <c r="H61" i="27"/>
  <c r="I61" i="27"/>
  <c r="K61" i="27"/>
  <c r="L61" i="27"/>
  <c r="N61" i="27"/>
  <c r="O61" i="27"/>
  <c r="P61" i="27"/>
  <c r="Q61" i="27"/>
  <c r="S61" i="27"/>
  <c r="T61" i="27"/>
  <c r="V61" i="27"/>
  <c r="X61" i="27"/>
  <c r="Y61" i="27"/>
  <c r="Z61" i="27"/>
  <c r="AA61" i="27"/>
  <c r="AB61" i="27"/>
  <c r="AC61" i="27"/>
  <c r="AF61" i="27"/>
  <c r="AG61" i="27"/>
  <c r="AH61" i="27"/>
  <c r="AI61" i="27"/>
  <c r="AJ61" i="27"/>
  <c r="AL61" i="27"/>
  <c r="AM61" i="27"/>
  <c r="AN61" i="27"/>
  <c r="AO61" i="27"/>
  <c r="AP61" i="27"/>
  <c r="AQ61" i="27"/>
  <c r="AR61" i="27"/>
  <c r="AS61" i="27"/>
  <c r="AT61" i="27"/>
  <c r="AU61" i="27"/>
  <c r="AV61" i="27"/>
  <c r="AW61" i="27"/>
  <c r="AX61" i="27"/>
  <c r="AY61" i="27"/>
  <c r="BB61" i="27"/>
  <c r="BC61" i="27"/>
  <c r="BD61" i="27"/>
  <c r="BE61" i="27"/>
  <c r="BF61" i="27"/>
  <c r="BG61" i="27"/>
  <c r="BH61" i="27"/>
  <c r="BI61" i="27"/>
  <c r="BJ61" i="27"/>
  <c r="BK61" i="27"/>
  <c r="BL61" i="27"/>
  <c r="BM61" i="27"/>
  <c r="BN61" i="27"/>
  <c r="BO61" i="27"/>
  <c r="D62" i="27"/>
  <c r="F62" i="27"/>
  <c r="G62" i="27"/>
  <c r="H62" i="27"/>
  <c r="I62" i="27"/>
  <c r="K62" i="27"/>
  <c r="L62" i="27"/>
  <c r="N62" i="27"/>
  <c r="O62" i="27"/>
  <c r="P62" i="27"/>
  <c r="Q62" i="27"/>
  <c r="S62" i="27"/>
  <c r="T62" i="27"/>
  <c r="V62" i="27"/>
  <c r="X62" i="27"/>
  <c r="Y62" i="27"/>
  <c r="Z62" i="27"/>
  <c r="AA62" i="27"/>
  <c r="AB62" i="27"/>
  <c r="AC62" i="27"/>
  <c r="AF62" i="27"/>
  <c r="AG62" i="27"/>
  <c r="AH62" i="27"/>
  <c r="AI62" i="27"/>
  <c r="AJ62" i="27"/>
  <c r="AL62" i="27"/>
  <c r="AM62" i="27"/>
  <c r="AN62" i="27"/>
  <c r="AO62" i="27"/>
  <c r="AP62" i="27"/>
  <c r="AQ62" i="27"/>
  <c r="AR62" i="27"/>
  <c r="AS62" i="27"/>
  <c r="AT62" i="27"/>
  <c r="AU62" i="27"/>
  <c r="AV62" i="27"/>
  <c r="AW62" i="27"/>
  <c r="AX62" i="27"/>
  <c r="AY62" i="27"/>
  <c r="BB62" i="27"/>
  <c r="BC62" i="27"/>
  <c r="BD62" i="27"/>
  <c r="BE62" i="27"/>
  <c r="BF62" i="27"/>
  <c r="BG62" i="27"/>
  <c r="BH62" i="27"/>
  <c r="BI62" i="27"/>
  <c r="BJ62" i="27"/>
  <c r="BK62" i="27"/>
  <c r="BL62" i="27"/>
  <c r="BM62" i="27"/>
  <c r="BN62" i="27"/>
  <c r="BO62" i="27"/>
  <c r="F1" i="28"/>
  <c r="AV1" i="28"/>
  <c r="A2" i="28"/>
  <c r="F2" i="28"/>
  <c r="G2" i="28"/>
  <c r="N2" i="28"/>
  <c r="AV2" i="28"/>
  <c r="AW2" i="28"/>
  <c r="AX2" i="28"/>
  <c r="AY2" i="28"/>
  <c r="BW2" i="28"/>
  <c r="BX2" i="28"/>
  <c r="BY2" i="28"/>
  <c r="BZ2" i="28"/>
  <c r="CA2" i="28"/>
  <c r="CB2" i="28"/>
  <c r="CC2" i="28"/>
  <c r="CD2" i="28"/>
  <c r="CE2" i="28"/>
  <c r="CF2" i="28"/>
  <c r="CG2" i="28"/>
  <c r="CH2" i="28"/>
  <c r="CI2" i="28"/>
  <c r="CJ2" i="28"/>
  <c r="CK2" i="28"/>
  <c r="CL2" i="28"/>
  <c r="CM2" i="28"/>
  <c r="CN2" i="28"/>
  <c r="CO2" i="28"/>
  <c r="CP2" i="28"/>
  <c r="CQ2" i="28"/>
  <c r="CR2" i="28"/>
  <c r="CS2" i="28"/>
  <c r="CT2" i="28"/>
  <c r="CU2" i="28"/>
  <c r="CV2" i="28"/>
  <c r="CW2" i="28"/>
  <c r="CX2" i="28"/>
  <c r="A3" i="28"/>
  <c r="AH3" i="28"/>
  <c r="AK3" i="28"/>
  <c r="AV3" i="28"/>
  <c r="AW3" i="28"/>
  <c r="AX3" i="28"/>
  <c r="AY3" i="28"/>
  <c r="A4" i="28"/>
  <c r="N4" i="28"/>
  <c r="P4" i="28"/>
  <c r="T4" i="28"/>
  <c r="V4" i="28"/>
  <c r="W4" i="28"/>
  <c r="AH4" i="28"/>
  <c r="AK4" i="28"/>
  <c r="AM4" i="28"/>
  <c r="AN4" i="28"/>
  <c r="AO4" i="28"/>
  <c r="AP4" i="28"/>
  <c r="AQ4" i="28"/>
  <c r="AR4" i="28"/>
  <c r="AS4" i="28"/>
  <c r="AT4" i="28"/>
  <c r="AV4" i="28"/>
  <c r="AW4" i="28"/>
  <c r="AX4" i="28"/>
  <c r="AY4" i="28"/>
  <c r="A5" i="28"/>
  <c r="G5" i="28"/>
  <c r="N5" i="28"/>
  <c r="P5" i="28"/>
  <c r="T5" i="28"/>
  <c r="V5" i="28"/>
  <c r="W5" i="28"/>
  <c r="AH5" i="28"/>
  <c r="AK5" i="28"/>
  <c r="AM5" i="28"/>
  <c r="AN5" i="28"/>
  <c r="AO5" i="28"/>
  <c r="AP5" i="28"/>
  <c r="AQ5" i="28"/>
  <c r="AR5" i="28"/>
  <c r="AS5" i="28"/>
  <c r="AT5" i="28"/>
  <c r="AV5" i="28"/>
  <c r="AW5" i="28"/>
  <c r="AX5" i="28"/>
  <c r="AY5" i="28"/>
  <c r="BV5" i="28"/>
  <c r="A6" i="28"/>
  <c r="N6" i="28"/>
  <c r="P6" i="28"/>
  <c r="T6" i="28"/>
  <c r="V6" i="28"/>
  <c r="W6" i="28"/>
  <c r="AH6" i="28"/>
  <c r="AK6" i="28"/>
  <c r="AM6" i="28"/>
  <c r="AN6" i="28"/>
  <c r="AO6" i="28"/>
  <c r="AP6" i="28"/>
  <c r="AQ6" i="28"/>
  <c r="AR6" i="28"/>
  <c r="AS6" i="28"/>
  <c r="AT6" i="28"/>
  <c r="A7" i="28"/>
  <c r="G7" i="28"/>
  <c r="N7" i="28"/>
  <c r="N7" i="28" a="1"/>
  <c r="P7" i="28"/>
  <c r="T7" i="28"/>
  <c r="AH7" i="28"/>
  <c r="AK7" i="28"/>
  <c r="AM7" i="28"/>
  <c r="AN7" i="28"/>
  <c r="AO7" i="28"/>
  <c r="AP7" i="28"/>
  <c r="AQ7" i="28"/>
  <c r="AR7" i="28"/>
  <c r="AS7" i="28"/>
  <c r="AT7" i="28"/>
  <c r="AV7" i="28"/>
  <c r="AW7" i="28"/>
  <c r="AX7" i="28"/>
  <c r="AY7" i="28"/>
  <c r="G8" i="28"/>
  <c r="N8" i="28"/>
  <c r="N8" i="28" a="1"/>
  <c r="P8" i="28"/>
  <c r="T8" i="28"/>
  <c r="V8" i="28"/>
  <c r="W8" i="28"/>
  <c r="Y8" i="28"/>
  <c r="Z8" i="28"/>
  <c r="AH8" i="28"/>
  <c r="AK8" i="28"/>
  <c r="AM8" i="28"/>
  <c r="AN8" i="28"/>
  <c r="AO8" i="28"/>
  <c r="AP8" i="28"/>
  <c r="AQ8" i="28"/>
  <c r="AR8" i="28"/>
  <c r="AS8" i="28"/>
  <c r="AT8" i="28"/>
  <c r="AV8" i="28"/>
  <c r="AW8" i="28"/>
  <c r="AX8" i="28"/>
  <c r="AY8" i="28"/>
  <c r="N9" i="28"/>
  <c r="N9" i="28" a="1"/>
  <c r="P9" i="28"/>
  <c r="AK9" i="28"/>
  <c r="AM9" i="28"/>
  <c r="AN9" i="28"/>
  <c r="AO9" i="28"/>
  <c r="AP9" i="28"/>
  <c r="AQ9" i="28"/>
  <c r="AR9" i="28"/>
  <c r="AS9" i="28"/>
  <c r="AT9" i="28"/>
  <c r="AV9" i="28"/>
  <c r="AW9" i="28"/>
  <c r="AX9" i="28"/>
  <c r="AY9" i="28"/>
  <c r="N10" i="28"/>
  <c r="P10" i="28"/>
  <c r="AH10" i="28"/>
  <c r="AM10" i="28"/>
  <c r="AN10" i="28"/>
  <c r="AO10" i="28"/>
  <c r="AP10" i="28"/>
  <c r="AQ10" i="28"/>
  <c r="AR10" i="28"/>
  <c r="AS10" i="28"/>
  <c r="AT10" i="28"/>
  <c r="AV10" i="28"/>
  <c r="AW10" i="28"/>
  <c r="AX10" i="28"/>
  <c r="AY10" i="28"/>
  <c r="D11" i="28"/>
  <c r="N11" i="28"/>
  <c r="P11" i="28"/>
  <c r="AM11" i="28"/>
  <c r="AN11" i="28"/>
  <c r="AO11" i="28"/>
  <c r="AP11" i="28"/>
  <c r="AQ11" i="28"/>
  <c r="AR11" i="28"/>
  <c r="AS11" i="28"/>
  <c r="AT11" i="28"/>
  <c r="AV11" i="28"/>
  <c r="AW11" i="28"/>
  <c r="AX11" i="28"/>
  <c r="AY11" i="28"/>
  <c r="D12" i="28"/>
  <c r="N12" i="28"/>
  <c r="P12" i="28"/>
  <c r="AH12" i="28"/>
  <c r="AM12" i="28"/>
  <c r="AN12" i="28"/>
  <c r="AO12" i="28"/>
  <c r="AP12" i="28"/>
  <c r="AQ12" i="28"/>
  <c r="AR12" i="28"/>
  <c r="AS12" i="28"/>
  <c r="AT12" i="28"/>
  <c r="AV12" i="28"/>
  <c r="AW12" i="28"/>
  <c r="AX12" i="28"/>
  <c r="AY12" i="28"/>
  <c r="N13" i="28"/>
  <c r="P13" i="28"/>
  <c r="AH13" i="28"/>
  <c r="AM13" i="28"/>
  <c r="AN13" i="28"/>
  <c r="AO13" i="28"/>
  <c r="AP13" i="28"/>
  <c r="AQ13" i="28"/>
  <c r="AR13" i="28"/>
  <c r="AS13" i="28"/>
  <c r="AT13" i="28"/>
  <c r="AV13" i="28"/>
  <c r="AW13" i="28"/>
  <c r="AX13" i="28"/>
  <c r="AY13" i="28"/>
  <c r="N14" i="28"/>
  <c r="P14" i="28"/>
  <c r="S14" i="28"/>
  <c r="T14" i="28"/>
  <c r="AM14" i="28"/>
  <c r="AN14" i="28"/>
  <c r="AO14" i="28"/>
  <c r="AP14" i="28"/>
  <c r="AQ14" i="28"/>
  <c r="AR14" i="28"/>
  <c r="AS14" i="28"/>
  <c r="AT14" i="28"/>
  <c r="AV14" i="28"/>
  <c r="AW14" i="28"/>
  <c r="AX14" i="28"/>
  <c r="AY14" i="28"/>
  <c r="N15" i="28"/>
  <c r="P15" i="28"/>
  <c r="AM15" i="28"/>
  <c r="AN15" i="28"/>
  <c r="AO15" i="28"/>
  <c r="AP15" i="28"/>
  <c r="AQ15" i="28"/>
  <c r="AR15" i="28"/>
  <c r="AS15" i="28"/>
  <c r="AT15" i="28"/>
  <c r="AV15" i="28"/>
  <c r="AW15" i="28"/>
  <c r="AX15" i="28"/>
  <c r="AY15" i="28"/>
  <c r="N16" i="28"/>
  <c r="P16" i="28"/>
  <c r="AV16" i="28"/>
  <c r="AW16" i="28"/>
  <c r="AX16" i="28"/>
  <c r="AY16" i="28"/>
  <c r="N17" i="28"/>
  <c r="P17" i="28"/>
  <c r="AV17" i="28"/>
  <c r="AW17" i="28"/>
  <c r="AX17" i="28"/>
  <c r="AY17" i="28"/>
  <c r="N18" i="28"/>
  <c r="P18" i="28"/>
  <c r="AX18" i="28"/>
  <c r="AY18" i="28"/>
  <c r="N19" i="28"/>
  <c r="P19" i="28"/>
  <c r="S20" i="28"/>
  <c r="T20" i="28"/>
  <c r="AM20" i="28"/>
  <c r="AO20" i="28"/>
  <c r="AV20" i="28"/>
  <c r="AW20" i="28"/>
  <c r="AX20" i="28"/>
  <c r="AY20" i="28"/>
  <c r="D22" i="28"/>
  <c r="F22" i="28"/>
  <c r="G22" i="28"/>
  <c r="H22" i="28"/>
  <c r="I22" i="28"/>
  <c r="K22" i="28"/>
  <c r="L22" i="28"/>
  <c r="N22" i="28"/>
  <c r="O22" i="28"/>
  <c r="P22" i="28"/>
  <c r="Q22" i="28"/>
  <c r="S22" i="28"/>
  <c r="T22" i="28"/>
  <c r="V22" i="28"/>
  <c r="X22" i="28"/>
  <c r="Y22" i="28"/>
  <c r="Z22" i="28"/>
  <c r="AA22" i="28"/>
  <c r="AB22" i="28"/>
  <c r="AC22" i="28"/>
  <c r="AF22" i="28"/>
  <c r="AG22" i="28"/>
  <c r="AH22" i="28"/>
  <c r="AI22" i="28"/>
  <c r="AJ22" i="28"/>
  <c r="AL22" i="28"/>
  <c r="AM22" i="28"/>
  <c r="AN22" i="28"/>
  <c r="AO22" i="28"/>
  <c r="AP22" i="28"/>
  <c r="AQ22" i="28"/>
  <c r="AR22" i="28"/>
  <c r="AS22" i="28"/>
  <c r="AT22" i="28"/>
  <c r="AU22" i="28"/>
  <c r="AV22" i="28"/>
  <c r="AW22" i="28"/>
  <c r="AX22" i="28"/>
  <c r="AY22" i="28"/>
  <c r="BB22" i="28"/>
  <c r="BC22" i="28"/>
  <c r="BD22" i="28"/>
  <c r="BE22" i="28"/>
  <c r="BF22" i="28"/>
  <c r="BG22" i="28"/>
  <c r="BH22" i="28"/>
  <c r="BI22" i="28"/>
  <c r="BJ22" i="28"/>
  <c r="BK22" i="28"/>
  <c r="BL22" i="28"/>
  <c r="BM22" i="28"/>
  <c r="BN22" i="28"/>
  <c r="BO22" i="28"/>
  <c r="D23" i="28"/>
  <c r="F23" i="28"/>
  <c r="G23" i="28"/>
  <c r="H23" i="28"/>
  <c r="I23" i="28"/>
  <c r="K23" i="28"/>
  <c r="L23" i="28"/>
  <c r="N23" i="28"/>
  <c r="O23" i="28"/>
  <c r="P23" i="28"/>
  <c r="Q23" i="28"/>
  <c r="S23" i="28"/>
  <c r="T23" i="28"/>
  <c r="V23" i="28"/>
  <c r="X23" i="28"/>
  <c r="Y23" i="28"/>
  <c r="Z23" i="28"/>
  <c r="AA23" i="28"/>
  <c r="AB23" i="28"/>
  <c r="AC23" i="28"/>
  <c r="AF23" i="28"/>
  <c r="AG23" i="28"/>
  <c r="AH23" i="28"/>
  <c r="AI23" i="28"/>
  <c r="AJ23" i="28"/>
  <c r="AL23" i="28"/>
  <c r="AM23" i="28"/>
  <c r="AN23" i="28"/>
  <c r="AO23" i="28"/>
  <c r="AP23" i="28"/>
  <c r="AQ23" i="28"/>
  <c r="AR23" i="28"/>
  <c r="AS23" i="28"/>
  <c r="AT23" i="28"/>
  <c r="AU23" i="28"/>
  <c r="AV23" i="28"/>
  <c r="AW23" i="28"/>
  <c r="AX23" i="28"/>
  <c r="AY23" i="28"/>
  <c r="BB23" i="28"/>
  <c r="BC23" i="28"/>
  <c r="BD23" i="28"/>
  <c r="BE23" i="28"/>
  <c r="BF23" i="28"/>
  <c r="BG23" i="28"/>
  <c r="BH23" i="28"/>
  <c r="BI23" i="28"/>
  <c r="BJ23" i="28"/>
  <c r="BK23" i="28"/>
  <c r="BL23" i="28"/>
  <c r="BM23" i="28"/>
  <c r="BN23" i="28"/>
  <c r="BO23" i="28"/>
  <c r="D24" i="28"/>
  <c r="F24" i="28"/>
  <c r="G24" i="28"/>
  <c r="H24" i="28"/>
  <c r="I24" i="28"/>
  <c r="K24" i="28"/>
  <c r="L24" i="28"/>
  <c r="N24" i="28"/>
  <c r="O24" i="28"/>
  <c r="P24" i="28"/>
  <c r="Q24" i="28"/>
  <c r="S24" i="28"/>
  <c r="T24" i="28"/>
  <c r="V24" i="28"/>
  <c r="X24" i="28"/>
  <c r="Y24" i="28"/>
  <c r="Z24" i="28"/>
  <c r="AA24" i="28"/>
  <c r="AB24" i="28"/>
  <c r="AC24" i="28"/>
  <c r="AF24" i="28"/>
  <c r="AG24" i="28"/>
  <c r="AH24" i="28"/>
  <c r="AI24" i="28"/>
  <c r="AJ24" i="28"/>
  <c r="AL24" i="28"/>
  <c r="AM24" i="28"/>
  <c r="AN24" i="28"/>
  <c r="AO24" i="28"/>
  <c r="AP24" i="28"/>
  <c r="AQ24" i="28"/>
  <c r="AR24" i="28"/>
  <c r="AS24" i="28"/>
  <c r="AT24" i="28"/>
  <c r="AU24" i="28"/>
  <c r="AV24" i="28"/>
  <c r="AW24" i="28"/>
  <c r="AX24" i="28"/>
  <c r="AY24" i="28"/>
  <c r="BB24" i="28"/>
  <c r="BC24" i="28"/>
  <c r="BD24" i="28"/>
  <c r="BE24" i="28"/>
  <c r="BF24" i="28"/>
  <c r="BG24" i="28"/>
  <c r="BH24" i="28"/>
  <c r="BI24" i="28"/>
  <c r="BJ24" i="28"/>
  <c r="BK24" i="28"/>
  <c r="BL24" i="28"/>
  <c r="BM24" i="28"/>
  <c r="BN24" i="28"/>
  <c r="BO24" i="28"/>
  <c r="D25" i="28"/>
  <c r="F25" i="28"/>
  <c r="G25" i="28"/>
  <c r="H25" i="28"/>
  <c r="I25" i="28"/>
  <c r="K25" i="28"/>
  <c r="L25" i="28"/>
  <c r="N25" i="28"/>
  <c r="O25" i="28"/>
  <c r="P25" i="28"/>
  <c r="Q25" i="28"/>
  <c r="S25" i="28"/>
  <c r="T25" i="28"/>
  <c r="V25" i="28"/>
  <c r="X25" i="28"/>
  <c r="Y25" i="28"/>
  <c r="Z25" i="28"/>
  <c r="AA25" i="28"/>
  <c r="AB25" i="28"/>
  <c r="AC25" i="28"/>
  <c r="AF25" i="28"/>
  <c r="AG25" i="28"/>
  <c r="AH25" i="28"/>
  <c r="AI25" i="28"/>
  <c r="AJ25" i="28"/>
  <c r="AL25" i="28"/>
  <c r="AM25" i="28"/>
  <c r="AN25" i="28"/>
  <c r="AO25" i="28"/>
  <c r="AP25" i="28"/>
  <c r="AQ25" i="28"/>
  <c r="AR25" i="28"/>
  <c r="AS25" i="28"/>
  <c r="AT25" i="28"/>
  <c r="AU25" i="28"/>
  <c r="AV25" i="28"/>
  <c r="AW25" i="28"/>
  <c r="AX25" i="28"/>
  <c r="AY25" i="28"/>
  <c r="BB25" i="28"/>
  <c r="BC25" i="28"/>
  <c r="BD25" i="28"/>
  <c r="BE25" i="28"/>
  <c r="BF25" i="28"/>
  <c r="BG25" i="28"/>
  <c r="BH25" i="28"/>
  <c r="BI25" i="28"/>
  <c r="BJ25" i="28"/>
  <c r="BK25" i="28"/>
  <c r="BL25" i="28"/>
  <c r="BM25" i="28"/>
  <c r="BN25" i="28"/>
  <c r="BO25" i="28"/>
  <c r="D26" i="28"/>
  <c r="F26" i="28"/>
  <c r="G26" i="28"/>
  <c r="H26" i="28"/>
  <c r="I26" i="28"/>
  <c r="K26" i="28"/>
  <c r="L26" i="28"/>
  <c r="N26" i="28"/>
  <c r="O26" i="28"/>
  <c r="P26" i="28"/>
  <c r="Q26" i="28"/>
  <c r="S26" i="28"/>
  <c r="T26" i="28"/>
  <c r="V26" i="28"/>
  <c r="X26" i="28"/>
  <c r="Y26" i="28"/>
  <c r="Z26" i="28"/>
  <c r="AA26" i="28"/>
  <c r="AB26" i="28"/>
  <c r="AC26" i="28"/>
  <c r="AF26" i="28"/>
  <c r="AG26" i="28"/>
  <c r="AH26" i="28"/>
  <c r="AI26" i="28"/>
  <c r="AJ26" i="28"/>
  <c r="AL26" i="28"/>
  <c r="AM26" i="28"/>
  <c r="AN26" i="28"/>
  <c r="AO26" i="28"/>
  <c r="AP26" i="28"/>
  <c r="AQ26" i="28"/>
  <c r="AR26" i="28"/>
  <c r="AS26" i="28"/>
  <c r="AT26" i="28"/>
  <c r="AU26" i="28"/>
  <c r="AV26" i="28"/>
  <c r="AW26" i="28"/>
  <c r="AX26" i="28"/>
  <c r="AY26" i="28"/>
  <c r="BB26" i="28"/>
  <c r="BC26" i="28"/>
  <c r="BD26" i="28"/>
  <c r="BE26" i="28"/>
  <c r="BF26" i="28"/>
  <c r="BG26" i="28"/>
  <c r="BH26" i="28"/>
  <c r="BI26" i="28"/>
  <c r="BJ26" i="28"/>
  <c r="BK26" i="28"/>
  <c r="BL26" i="28"/>
  <c r="BM26" i="28"/>
  <c r="BN26" i="28"/>
  <c r="BO26" i="28"/>
  <c r="D27" i="28"/>
  <c r="F27" i="28"/>
  <c r="G27" i="28"/>
  <c r="H27" i="28"/>
  <c r="I27" i="28"/>
  <c r="K27" i="28"/>
  <c r="L27" i="28"/>
  <c r="N27" i="28"/>
  <c r="O27" i="28"/>
  <c r="P27" i="28"/>
  <c r="Q27" i="28"/>
  <c r="S27" i="28"/>
  <c r="T27" i="28"/>
  <c r="V27" i="28"/>
  <c r="X27" i="28"/>
  <c r="Y27" i="28"/>
  <c r="Z27" i="28"/>
  <c r="AA27" i="28"/>
  <c r="AB27" i="28"/>
  <c r="AC27" i="28"/>
  <c r="AF27" i="28"/>
  <c r="AG27" i="28"/>
  <c r="AH27" i="28"/>
  <c r="AI27" i="28"/>
  <c r="AJ27" i="28"/>
  <c r="AL27" i="28"/>
  <c r="AM27" i="28"/>
  <c r="AN27" i="28"/>
  <c r="AO27" i="28"/>
  <c r="AP27" i="28"/>
  <c r="AQ27" i="28"/>
  <c r="AR27" i="28"/>
  <c r="AS27" i="28"/>
  <c r="AT27" i="28"/>
  <c r="AU27" i="28"/>
  <c r="AV27" i="28"/>
  <c r="AW27" i="28"/>
  <c r="AX27" i="28"/>
  <c r="AY27" i="28"/>
  <c r="BB27" i="28"/>
  <c r="BC27" i="28"/>
  <c r="BD27" i="28"/>
  <c r="BE27" i="28"/>
  <c r="BF27" i="28"/>
  <c r="BG27" i="28"/>
  <c r="BH27" i="28"/>
  <c r="BI27" i="28"/>
  <c r="BJ27" i="28"/>
  <c r="BK27" i="28"/>
  <c r="BL27" i="28"/>
  <c r="BM27" i="28"/>
  <c r="BN27" i="28"/>
  <c r="BO27" i="28"/>
  <c r="D28" i="28"/>
  <c r="F28" i="28"/>
  <c r="G28" i="28"/>
  <c r="H28" i="28"/>
  <c r="I28" i="28"/>
  <c r="K28" i="28"/>
  <c r="L28" i="28"/>
  <c r="N28" i="28"/>
  <c r="O28" i="28"/>
  <c r="P28" i="28"/>
  <c r="Q28" i="28"/>
  <c r="S28" i="28"/>
  <c r="T28" i="28"/>
  <c r="V28" i="28"/>
  <c r="X28" i="28"/>
  <c r="Y28" i="28"/>
  <c r="Z28" i="28"/>
  <c r="AA28" i="28"/>
  <c r="AB28" i="28"/>
  <c r="AC28" i="28"/>
  <c r="AF28" i="28"/>
  <c r="AG28" i="28"/>
  <c r="AH28" i="28"/>
  <c r="AI28" i="28"/>
  <c r="AJ28" i="28"/>
  <c r="AL28" i="28"/>
  <c r="AM28" i="28"/>
  <c r="AN28" i="28"/>
  <c r="AO28" i="28"/>
  <c r="AP28" i="28"/>
  <c r="AQ28" i="28"/>
  <c r="AR28" i="28"/>
  <c r="AS28" i="28"/>
  <c r="AT28" i="28"/>
  <c r="AU28" i="28"/>
  <c r="AV28" i="28"/>
  <c r="AW28" i="28"/>
  <c r="AX28" i="28"/>
  <c r="AY28" i="28"/>
  <c r="BB28" i="28"/>
  <c r="BC28" i="28"/>
  <c r="BD28" i="28"/>
  <c r="BE28" i="28"/>
  <c r="BF28" i="28"/>
  <c r="BG28" i="28"/>
  <c r="BH28" i="28"/>
  <c r="BI28" i="28"/>
  <c r="BJ28" i="28"/>
  <c r="BK28" i="28"/>
  <c r="BL28" i="28"/>
  <c r="BM28" i="28"/>
  <c r="BN28" i="28"/>
  <c r="BO28" i="28"/>
  <c r="D29" i="28"/>
  <c r="F29" i="28"/>
  <c r="G29" i="28"/>
  <c r="H29" i="28"/>
  <c r="I29" i="28"/>
  <c r="K29" i="28"/>
  <c r="L29" i="28"/>
  <c r="N29" i="28"/>
  <c r="O29" i="28"/>
  <c r="P29" i="28"/>
  <c r="Q29" i="28"/>
  <c r="S29" i="28"/>
  <c r="T29" i="28"/>
  <c r="V29" i="28"/>
  <c r="X29" i="28"/>
  <c r="Y29" i="28"/>
  <c r="Z29" i="28"/>
  <c r="AA29" i="28"/>
  <c r="AB29" i="28"/>
  <c r="AC29" i="28"/>
  <c r="AF29" i="28"/>
  <c r="AG29" i="28"/>
  <c r="AH29" i="28"/>
  <c r="AI29" i="28"/>
  <c r="AJ29" i="28"/>
  <c r="AL29" i="28"/>
  <c r="AM29" i="28"/>
  <c r="AN29" i="28"/>
  <c r="AO29" i="28"/>
  <c r="AP29" i="28"/>
  <c r="AQ29" i="28"/>
  <c r="AR29" i="28"/>
  <c r="AS29" i="28"/>
  <c r="AT29" i="28"/>
  <c r="AU29" i="28"/>
  <c r="AV29" i="28"/>
  <c r="AW29" i="28"/>
  <c r="AX29" i="28"/>
  <c r="AY29" i="28"/>
  <c r="BB29" i="28"/>
  <c r="BC29" i="28"/>
  <c r="BD29" i="28"/>
  <c r="BE29" i="28"/>
  <c r="BF29" i="28"/>
  <c r="BG29" i="28"/>
  <c r="BH29" i="28"/>
  <c r="BI29" i="28"/>
  <c r="BJ29" i="28"/>
  <c r="BK29" i="28"/>
  <c r="BL29" i="28"/>
  <c r="BM29" i="28"/>
  <c r="BN29" i="28"/>
  <c r="BO29" i="28"/>
  <c r="D30" i="28"/>
  <c r="F30" i="28"/>
  <c r="G30" i="28"/>
  <c r="H30" i="28"/>
  <c r="I30" i="28"/>
  <c r="K30" i="28"/>
  <c r="L30" i="28"/>
  <c r="N30" i="28"/>
  <c r="O30" i="28"/>
  <c r="P30" i="28"/>
  <c r="Q30" i="28"/>
  <c r="S30" i="28"/>
  <c r="T30" i="28"/>
  <c r="V30" i="28"/>
  <c r="X30" i="28"/>
  <c r="Y30" i="28"/>
  <c r="Z30" i="28"/>
  <c r="AA30" i="28"/>
  <c r="AB30" i="28"/>
  <c r="AC30" i="28"/>
  <c r="AF30" i="28"/>
  <c r="AG30" i="28"/>
  <c r="AH30" i="28"/>
  <c r="AI30" i="28"/>
  <c r="AJ30" i="28"/>
  <c r="AL30" i="28"/>
  <c r="AM30" i="28"/>
  <c r="AN30" i="28"/>
  <c r="AO30" i="28"/>
  <c r="AP30" i="28"/>
  <c r="AQ30" i="28"/>
  <c r="AR30" i="28"/>
  <c r="AS30" i="28"/>
  <c r="AT30" i="28"/>
  <c r="AU30" i="28"/>
  <c r="AV30" i="28"/>
  <c r="AW30" i="28"/>
  <c r="AX30" i="28"/>
  <c r="AY30" i="28"/>
  <c r="BB30" i="28"/>
  <c r="BC30" i="28"/>
  <c r="BD30" i="28"/>
  <c r="BE30" i="28"/>
  <c r="BF30" i="28"/>
  <c r="BG30" i="28"/>
  <c r="BH30" i="28"/>
  <c r="BI30" i="28"/>
  <c r="BJ30" i="28"/>
  <c r="BK30" i="28"/>
  <c r="BL30" i="28"/>
  <c r="BM30" i="28"/>
  <c r="BN30" i="28"/>
  <c r="BO30" i="28"/>
  <c r="D31" i="28"/>
  <c r="F31" i="28"/>
  <c r="G31" i="28"/>
  <c r="H31" i="28"/>
  <c r="I31" i="28"/>
  <c r="K31" i="28"/>
  <c r="L31" i="28"/>
  <c r="N31" i="28"/>
  <c r="O31" i="28"/>
  <c r="P31" i="28"/>
  <c r="Q31" i="28"/>
  <c r="S31" i="28"/>
  <c r="T31" i="28"/>
  <c r="V31" i="28"/>
  <c r="X31" i="28"/>
  <c r="Y31" i="28"/>
  <c r="Z31" i="28"/>
  <c r="AA31" i="28"/>
  <c r="AB31" i="28"/>
  <c r="AC31" i="28"/>
  <c r="AF31" i="28"/>
  <c r="AG31" i="28"/>
  <c r="AH31" i="28"/>
  <c r="AI31" i="28"/>
  <c r="AJ31" i="28"/>
  <c r="AL31" i="28"/>
  <c r="AM31" i="28"/>
  <c r="AN31" i="28"/>
  <c r="AO31" i="28"/>
  <c r="AP31" i="28"/>
  <c r="AQ31" i="28"/>
  <c r="AR31" i="28"/>
  <c r="AS31" i="28"/>
  <c r="AT31" i="28"/>
  <c r="AU31" i="28"/>
  <c r="AV31" i="28"/>
  <c r="AW31" i="28"/>
  <c r="AX31" i="28"/>
  <c r="AY31" i="28"/>
  <c r="BB31" i="28"/>
  <c r="BC31" i="28"/>
  <c r="BD31" i="28"/>
  <c r="BE31" i="28"/>
  <c r="BF31" i="28"/>
  <c r="BG31" i="28"/>
  <c r="BH31" i="28"/>
  <c r="BI31" i="28"/>
  <c r="BJ31" i="28"/>
  <c r="BK31" i="28"/>
  <c r="BL31" i="28"/>
  <c r="BM31" i="28"/>
  <c r="BN31" i="28"/>
  <c r="BO31" i="28"/>
  <c r="D32" i="28"/>
  <c r="F32" i="28"/>
  <c r="G32" i="28"/>
  <c r="H32" i="28"/>
  <c r="I32" i="28"/>
  <c r="K32" i="28"/>
  <c r="L32" i="28"/>
  <c r="N32" i="28"/>
  <c r="O32" i="28"/>
  <c r="P32" i="28"/>
  <c r="Q32" i="28"/>
  <c r="S32" i="28"/>
  <c r="T32" i="28"/>
  <c r="V32" i="28"/>
  <c r="X32" i="28"/>
  <c r="Y32" i="28"/>
  <c r="Z32" i="28"/>
  <c r="AA32" i="28"/>
  <c r="AB32" i="28"/>
  <c r="AC32" i="28"/>
  <c r="AF32" i="28"/>
  <c r="AG32" i="28"/>
  <c r="AH32" i="28"/>
  <c r="AI32" i="28"/>
  <c r="AJ32" i="28"/>
  <c r="AL32" i="28"/>
  <c r="AM32" i="28"/>
  <c r="AN32" i="28"/>
  <c r="AO32" i="28"/>
  <c r="AP32" i="28"/>
  <c r="AQ32" i="28"/>
  <c r="AR32" i="28"/>
  <c r="AS32" i="28"/>
  <c r="AT32" i="28"/>
  <c r="AU32" i="28"/>
  <c r="AV32" i="28"/>
  <c r="AW32" i="28"/>
  <c r="AX32" i="28"/>
  <c r="AY32" i="28"/>
  <c r="BB32" i="28"/>
  <c r="BC32" i="28"/>
  <c r="BD32" i="28"/>
  <c r="BE32" i="28"/>
  <c r="BF32" i="28"/>
  <c r="BG32" i="28"/>
  <c r="BH32" i="28"/>
  <c r="BI32" i="28"/>
  <c r="BJ32" i="28"/>
  <c r="BK32" i="28"/>
  <c r="BL32" i="28"/>
  <c r="BM32" i="28"/>
  <c r="BN32" i="28"/>
  <c r="BO32" i="28"/>
  <c r="D33" i="28"/>
  <c r="F33" i="28"/>
  <c r="G33" i="28"/>
  <c r="H33" i="28"/>
  <c r="I33" i="28"/>
  <c r="K33" i="28"/>
  <c r="L33" i="28"/>
  <c r="N33" i="28"/>
  <c r="O33" i="28"/>
  <c r="P33" i="28"/>
  <c r="Q33" i="28"/>
  <c r="S33" i="28"/>
  <c r="T33" i="28"/>
  <c r="V33" i="28"/>
  <c r="X33" i="28"/>
  <c r="Y33" i="28"/>
  <c r="Z33" i="28"/>
  <c r="AA33" i="28"/>
  <c r="AB33" i="28"/>
  <c r="AC33" i="28"/>
  <c r="AF33" i="28"/>
  <c r="AG33" i="28"/>
  <c r="AH33" i="28"/>
  <c r="AI33" i="28"/>
  <c r="AJ33" i="28"/>
  <c r="AL33" i="28"/>
  <c r="AM33" i="28"/>
  <c r="AN33" i="28"/>
  <c r="AO33" i="28"/>
  <c r="AP33" i="28"/>
  <c r="AQ33" i="28"/>
  <c r="AR33" i="28"/>
  <c r="AS33" i="28"/>
  <c r="AT33" i="28"/>
  <c r="AU33" i="28"/>
  <c r="AV33" i="28"/>
  <c r="AW33" i="28"/>
  <c r="AX33" i="28"/>
  <c r="AY33" i="28"/>
  <c r="BB33" i="28"/>
  <c r="BC33" i="28"/>
  <c r="BD33" i="28"/>
  <c r="BE33" i="28"/>
  <c r="BF33" i="28"/>
  <c r="BG33" i="28"/>
  <c r="BH33" i="28"/>
  <c r="BI33" i="28"/>
  <c r="BJ33" i="28"/>
  <c r="BK33" i="28"/>
  <c r="BL33" i="28"/>
  <c r="BM33" i="28"/>
  <c r="BN33" i="28"/>
  <c r="BO33" i="28"/>
  <c r="D34" i="28"/>
  <c r="F34" i="28"/>
  <c r="G34" i="28"/>
  <c r="H34" i="28"/>
  <c r="I34" i="28"/>
  <c r="K34" i="28"/>
  <c r="L34" i="28"/>
  <c r="N34" i="28"/>
  <c r="O34" i="28"/>
  <c r="P34" i="28"/>
  <c r="Q34" i="28"/>
  <c r="S34" i="28"/>
  <c r="T34" i="28"/>
  <c r="V34" i="28"/>
  <c r="X34" i="28"/>
  <c r="Y34" i="28"/>
  <c r="Z34" i="28"/>
  <c r="AA34" i="28"/>
  <c r="AB34" i="28"/>
  <c r="AC34" i="28"/>
  <c r="AF34" i="28"/>
  <c r="AG34" i="28"/>
  <c r="AH34" i="28"/>
  <c r="AI34" i="28"/>
  <c r="AJ34" i="28"/>
  <c r="AL34" i="28"/>
  <c r="AM34" i="28"/>
  <c r="AN34" i="28"/>
  <c r="AO34" i="28"/>
  <c r="AP34" i="28"/>
  <c r="AQ34" i="28"/>
  <c r="AR34" i="28"/>
  <c r="AS34" i="28"/>
  <c r="AT34" i="28"/>
  <c r="AU34" i="28"/>
  <c r="AV34" i="28"/>
  <c r="AW34" i="28"/>
  <c r="AX34" i="28"/>
  <c r="AY34" i="28"/>
  <c r="BB34" i="28"/>
  <c r="BC34" i="28"/>
  <c r="BD34" i="28"/>
  <c r="BE34" i="28"/>
  <c r="BF34" i="28"/>
  <c r="BG34" i="28"/>
  <c r="BH34" i="28"/>
  <c r="BI34" i="28"/>
  <c r="BJ34" i="28"/>
  <c r="BK34" i="28"/>
  <c r="BL34" i="28"/>
  <c r="BM34" i="28"/>
  <c r="BN34" i="28"/>
  <c r="BO34" i="28"/>
  <c r="D35" i="28"/>
  <c r="F35" i="28"/>
  <c r="G35" i="28"/>
  <c r="H35" i="28"/>
  <c r="I35" i="28"/>
  <c r="K35" i="28"/>
  <c r="L35" i="28"/>
  <c r="N35" i="28"/>
  <c r="O35" i="28"/>
  <c r="P35" i="28"/>
  <c r="Q35" i="28"/>
  <c r="S35" i="28"/>
  <c r="T35" i="28"/>
  <c r="V35" i="28"/>
  <c r="X35" i="28"/>
  <c r="Y35" i="28"/>
  <c r="Z35" i="28"/>
  <c r="AA35" i="28"/>
  <c r="AB35" i="28"/>
  <c r="AC35" i="28"/>
  <c r="AF35" i="28"/>
  <c r="AG35" i="28"/>
  <c r="AH35" i="28"/>
  <c r="AI35" i="28"/>
  <c r="AJ35" i="28"/>
  <c r="AL35" i="28"/>
  <c r="AM35" i="28"/>
  <c r="AN35" i="28"/>
  <c r="AO35" i="28"/>
  <c r="AP35" i="28"/>
  <c r="AQ35" i="28"/>
  <c r="AR35" i="28"/>
  <c r="AS35" i="28"/>
  <c r="AT35" i="28"/>
  <c r="AU35" i="28"/>
  <c r="AV35" i="28"/>
  <c r="AW35" i="28"/>
  <c r="AX35" i="28"/>
  <c r="AY35" i="28"/>
  <c r="BB35" i="28"/>
  <c r="BC35" i="28"/>
  <c r="BD35" i="28"/>
  <c r="BE35" i="28"/>
  <c r="BF35" i="28"/>
  <c r="BG35" i="28"/>
  <c r="BH35" i="28"/>
  <c r="BI35" i="28"/>
  <c r="BJ35" i="28"/>
  <c r="BK35" i="28"/>
  <c r="BL35" i="28"/>
  <c r="BM35" i="28"/>
  <c r="BN35" i="28"/>
  <c r="BO35" i="28"/>
  <c r="D36" i="28"/>
  <c r="F36" i="28"/>
  <c r="G36" i="28"/>
  <c r="H36" i="28"/>
  <c r="I36" i="28"/>
  <c r="K36" i="28"/>
  <c r="L36" i="28"/>
  <c r="N36" i="28"/>
  <c r="O36" i="28"/>
  <c r="P36" i="28"/>
  <c r="Q36" i="28"/>
  <c r="S36" i="28"/>
  <c r="T36" i="28"/>
  <c r="V36" i="28"/>
  <c r="X36" i="28"/>
  <c r="Y36" i="28"/>
  <c r="Z36" i="28"/>
  <c r="AA36" i="28"/>
  <c r="AB36" i="28"/>
  <c r="AC36" i="28"/>
  <c r="AF36" i="28"/>
  <c r="AG36" i="28"/>
  <c r="AH36" i="28"/>
  <c r="AI36" i="28"/>
  <c r="AJ36" i="28"/>
  <c r="AL36" i="28"/>
  <c r="AM36" i="28"/>
  <c r="AN36" i="28"/>
  <c r="AO36" i="28"/>
  <c r="AP36" i="28"/>
  <c r="AQ36" i="28"/>
  <c r="AR36" i="28"/>
  <c r="AS36" i="28"/>
  <c r="AT36" i="28"/>
  <c r="AU36" i="28"/>
  <c r="AV36" i="28"/>
  <c r="AW36" i="28"/>
  <c r="AX36" i="28"/>
  <c r="AY36" i="28"/>
  <c r="BB36" i="28"/>
  <c r="BC36" i="28"/>
  <c r="BD36" i="28"/>
  <c r="BE36" i="28"/>
  <c r="BF36" i="28"/>
  <c r="BG36" i="28"/>
  <c r="BH36" i="28"/>
  <c r="BI36" i="28"/>
  <c r="BJ36" i="28"/>
  <c r="BK36" i="28"/>
  <c r="BL36" i="28"/>
  <c r="BM36" i="28"/>
  <c r="BN36" i="28"/>
  <c r="BO36" i="28"/>
  <c r="D37" i="28"/>
  <c r="F37" i="28"/>
  <c r="G37" i="28"/>
  <c r="H37" i="28"/>
  <c r="I37" i="28"/>
  <c r="K37" i="28"/>
  <c r="L37" i="28"/>
  <c r="N37" i="28"/>
  <c r="O37" i="28"/>
  <c r="P37" i="28"/>
  <c r="Q37" i="28"/>
  <c r="S37" i="28"/>
  <c r="T37" i="28"/>
  <c r="V37" i="28"/>
  <c r="X37" i="28"/>
  <c r="Y37" i="28"/>
  <c r="Z37" i="28"/>
  <c r="AA37" i="28"/>
  <c r="AB37" i="28"/>
  <c r="AC37" i="28"/>
  <c r="AF37" i="28"/>
  <c r="AG37" i="28"/>
  <c r="AH37" i="28"/>
  <c r="AI37" i="28"/>
  <c r="AJ37" i="28"/>
  <c r="AL37" i="28"/>
  <c r="AM37" i="28"/>
  <c r="AN37" i="28"/>
  <c r="AO37" i="28"/>
  <c r="AP37" i="28"/>
  <c r="AQ37" i="28"/>
  <c r="AR37" i="28"/>
  <c r="AS37" i="28"/>
  <c r="AT37" i="28"/>
  <c r="AU37" i="28"/>
  <c r="AV37" i="28"/>
  <c r="AW37" i="28"/>
  <c r="AX37" i="28"/>
  <c r="AY37" i="28"/>
  <c r="BB37" i="28"/>
  <c r="BC37" i="28"/>
  <c r="BD37" i="28"/>
  <c r="BE37" i="28"/>
  <c r="BF37" i="28"/>
  <c r="BG37" i="28"/>
  <c r="BH37" i="28"/>
  <c r="BI37" i="28"/>
  <c r="BJ37" i="28"/>
  <c r="BK37" i="28"/>
  <c r="BL37" i="28"/>
  <c r="BM37" i="28"/>
  <c r="BN37" i="28"/>
  <c r="BO37" i="28"/>
  <c r="D38" i="28"/>
  <c r="F38" i="28"/>
  <c r="G38" i="28"/>
  <c r="H38" i="28"/>
  <c r="I38" i="28"/>
  <c r="K38" i="28"/>
  <c r="L38" i="28"/>
  <c r="N38" i="28"/>
  <c r="O38" i="28"/>
  <c r="P38" i="28"/>
  <c r="Q38" i="28"/>
  <c r="S38" i="28"/>
  <c r="T38" i="28"/>
  <c r="V38" i="28"/>
  <c r="X38" i="28"/>
  <c r="Y38" i="28"/>
  <c r="Z38" i="28"/>
  <c r="AA38" i="28"/>
  <c r="AB38" i="28"/>
  <c r="AC38" i="28"/>
  <c r="AF38" i="28"/>
  <c r="AG38" i="28"/>
  <c r="AH38" i="28"/>
  <c r="AI38" i="28"/>
  <c r="AJ38" i="28"/>
  <c r="AL38" i="28"/>
  <c r="AM38" i="28"/>
  <c r="AN38" i="28"/>
  <c r="AO38" i="28"/>
  <c r="AP38" i="28"/>
  <c r="AQ38" i="28"/>
  <c r="AR38" i="28"/>
  <c r="AS38" i="28"/>
  <c r="AT38" i="28"/>
  <c r="AU38" i="28"/>
  <c r="AV38" i="28"/>
  <c r="AW38" i="28"/>
  <c r="AX38" i="28"/>
  <c r="AY38" i="28"/>
  <c r="BB38" i="28"/>
  <c r="BC38" i="28"/>
  <c r="BD38" i="28"/>
  <c r="BE38" i="28"/>
  <c r="BF38" i="28"/>
  <c r="BG38" i="28"/>
  <c r="BH38" i="28"/>
  <c r="BI38" i="28"/>
  <c r="BJ38" i="28"/>
  <c r="BK38" i="28"/>
  <c r="BL38" i="28"/>
  <c r="BM38" i="28"/>
  <c r="BN38" i="28"/>
  <c r="BO38" i="28"/>
  <c r="D39" i="28"/>
  <c r="F39" i="28"/>
  <c r="G39" i="28"/>
  <c r="H39" i="28"/>
  <c r="I39" i="28"/>
  <c r="K39" i="28"/>
  <c r="L39" i="28"/>
  <c r="N39" i="28"/>
  <c r="O39" i="28"/>
  <c r="P39" i="28"/>
  <c r="Q39" i="28"/>
  <c r="S39" i="28"/>
  <c r="T39" i="28"/>
  <c r="V39" i="28"/>
  <c r="X39" i="28"/>
  <c r="Y39" i="28"/>
  <c r="Z39" i="28"/>
  <c r="AA39" i="28"/>
  <c r="AB39" i="28"/>
  <c r="AC39" i="28"/>
  <c r="AF39" i="28"/>
  <c r="AG39" i="28"/>
  <c r="AH39" i="28"/>
  <c r="AI39" i="28"/>
  <c r="AJ39" i="28"/>
  <c r="AL39" i="28"/>
  <c r="AM39" i="28"/>
  <c r="AN39" i="28"/>
  <c r="AO39" i="28"/>
  <c r="AP39" i="28"/>
  <c r="AQ39" i="28"/>
  <c r="AR39" i="28"/>
  <c r="AS39" i="28"/>
  <c r="AT39" i="28"/>
  <c r="AU39" i="28"/>
  <c r="AV39" i="28"/>
  <c r="AW39" i="28"/>
  <c r="AX39" i="28"/>
  <c r="AY39" i="28"/>
  <c r="BB39" i="28"/>
  <c r="BC39" i="28"/>
  <c r="BD39" i="28"/>
  <c r="BE39" i="28"/>
  <c r="BF39" i="28"/>
  <c r="BG39" i="28"/>
  <c r="BH39" i="28"/>
  <c r="BI39" i="28"/>
  <c r="BJ39" i="28"/>
  <c r="BK39" i="28"/>
  <c r="BL39" i="28"/>
  <c r="BM39" i="28"/>
  <c r="BN39" i="28"/>
  <c r="BO39" i="28"/>
  <c r="D40" i="28"/>
  <c r="F40" i="28"/>
  <c r="G40" i="28"/>
  <c r="H40" i="28"/>
  <c r="I40" i="28"/>
  <c r="K40" i="28"/>
  <c r="L40" i="28"/>
  <c r="N40" i="28"/>
  <c r="O40" i="28"/>
  <c r="P40" i="28"/>
  <c r="Q40" i="28"/>
  <c r="S40" i="28"/>
  <c r="T40" i="28"/>
  <c r="V40" i="28"/>
  <c r="X40" i="28"/>
  <c r="Y40" i="28"/>
  <c r="Z40" i="28"/>
  <c r="AA40" i="28"/>
  <c r="AB40" i="28"/>
  <c r="AC40" i="28"/>
  <c r="AF40" i="28"/>
  <c r="AG40" i="28"/>
  <c r="AH40" i="28"/>
  <c r="AI40" i="28"/>
  <c r="AJ40" i="28"/>
  <c r="AL40" i="28"/>
  <c r="AM40" i="28"/>
  <c r="AN40" i="28"/>
  <c r="AO40" i="28"/>
  <c r="AP40" i="28"/>
  <c r="AQ40" i="28"/>
  <c r="AR40" i="28"/>
  <c r="AS40" i="28"/>
  <c r="AT40" i="28"/>
  <c r="AU40" i="28"/>
  <c r="AV40" i="28"/>
  <c r="AW40" i="28"/>
  <c r="AX40" i="28"/>
  <c r="AY40" i="28"/>
  <c r="BB40" i="28"/>
  <c r="BC40" i="28"/>
  <c r="BD40" i="28"/>
  <c r="BE40" i="28"/>
  <c r="BF40" i="28"/>
  <c r="BG40" i="28"/>
  <c r="BH40" i="28"/>
  <c r="BI40" i="28"/>
  <c r="BJ40" i="28"/>
  <c r="BK40" i="28"/>
  <c r="BL40" i="28"/>
  <c r="BM40" i="28"/>
  <c r="BN40" i="28"/>
  <c r="BO40" i="28"/>
  <c r="D41" i="28"/>
  <c r="F41" i="28"/>
  <c r="G41" i="28"/>
  <c r="H41" i="28"/>
  <c r="I41" i="28"/>
  <c r="K41" i="28"/>
  <c r="L41" i="28"/>
  <c r="N41" i="28"/>
  <c r="O41" i="28"/>
  <c r="P41" i="28"/>
  <c r="Q41" i="28"/>
  <c r="S41" i="28"/>
  <c r="T41" i="28"/>
  <c r="V41" i="28"/>
  <c r="X41" i="28"/>
  <c r="Y41" i="28"/>
  <c r="Z41" i="28"/>
  <c r="AA41" i="28"/>
  <c r="AB41" i="28"/>
  <c r="AC41" i="28"/>
  <c r="AF41" i="28"/>
  <c r="AG41" i="28"/>
  <c r="AH41" i="28"/>
  <c r="AI41" i="28"/>
  <c r="AJ41" i="28"/>
  <c r="AL41" i="28"/>
  <c r="AM41" i="28"/>
  <c r="AN41" i="28"/>
  <c r="AO41" i="28"/>
  <c r="AP41" i="28"/>
  <c r="AQ41" i="28"/>
  <c r="AR41" i="28"/>
  <c r="AS41" i="28"/>
  <c r="AT41" i="28"/>
  <c r="AU41" i="28"/>
  <c r="AV41" i="28"/>
  <c r="AW41" i="28"/>
  <c r="AX41" i="28"/>
  <c r="AY41" i="28"/>
  <c r="BB41" i="28"/>
  <c r="BC41" i="28"/>
  <c r="BD41" i="28"/>
  <c r="BE41" i="28"/>
  <c r="BF41" i="28"/>
  <c r="BG41" i="28"/>
  <c r="BH41" i="28"/>
  <c r="BI41" i="28"/>
  <c r="BJ41" i="28"/>
  <c r="BK41" i="28"/>
  <c r="BL41" i="28"/>
  <c r="BM41" i="28"/>
  <c r="BN41" i="28"/>
  <c r="BO41" i="28"/>
  <c r="D42" i="28"/>
  <c r="F42" i="28"/>
  <c r="G42" i="28"/>
  <c r="H42" i="28"/>
  <c r="I42" i="28"/>
  <c r="K42" i="28"/>
  <c r="L42" i="28"/>
  <c r="N42" i="28"/>
  <c r="O42" i="28"/>
  <c r="P42" i="28"/>
  <c r="Q42" i="28"/>
  <c r="S42" i="28"/>
  <c r="T42" i="28"/>
  <c r="V42" i="28"/>
  <c r="X42" i="28"/>
  <c r="Y42" i="28"/>
  <c r="Z42" i="28"/>
  <c r="AA42" i="28"/>
  <c r="AB42" i="28"/>
  <c r="AC42" i="28"/>
  <c r="AF42" i="28"/>
  <c r="AG42" i="28"/>
  <c r="AH42" i="28"/>
  <c r="AI42" i="28"/>
  <c r="AJ42" i="28"/>
  <c r="AL42" i="28"/>
  <c r="AM42" i="28"/>
  <c r="AN42" i="28"/>
  <c r="AO42" i="28"/>
  <c r="AP42" i="28"/>
  <c r="AQ42" i="28"/>
  <c r="AR42" i="28"/>
  <c r="AS42" i="28"/>
  <c r="AT42" i="28"/>
  <c r="AU42" i="28"/>
  <c r="AV42" i="28"/>
  <c r="AW42" i="28"/>
  <c r="AX42" i="28"/>
  <c r="AY42" i="28"/>
  <c r="BB42" i="28"/>
  <c r="BC42" i="28"/>
  <c r="BD42" i="28"/>
  <c r="BE42" i="28"/>
  <c r="BF42" i="28"/>
  <c r="BG42" i="28"/>
  <c r="BH42" i="28"/>
  <c r="BI42" i="28"/>
  <c r="BJ42" i="28"/>
  <c r="BK42" i="28"/>
  <c r="BL42" i="28"/>
  <c r="BM42" i="28"/>
  <c r="BN42" i="28"/>
  <c r="BO42" i="28"/>
  <c r="D43" i="28"/>
  <c r="F43" i="28"/>
  <c r="G43" i="28"/>
  <c r="H43" i="28"/>
  <c r="I43" i="28"/>
  <c r="K43" i="28"/>
  <c r="L43" i="28"/>
  <c r="N43" i="28"/>
  <c r="O43" i="28"/>
  <c r="P43" i="28"/>
  <c r="Q43" i="28"/>
  <c r="S43" i="28"/>
  <c r="T43" i="28"/>
  <c r="V43" i="28"/>
  <c r="X43" i="28"/>
  <c r="Y43" i="28"/>
  <c r="Z43" i="28"/>
  <c r="AA43" i="28"/>
  <c r="AB43" i="28"/>
  <c r="AC43" i="28"/>
  <c r="AF43" i="28"/>
  <c r="AG43" i="28"/>
  <c r="AH43" i="28"/>
  <c r="AI43" i="28"/>
  <c r="AJ43" i="28"/>
  <c r="AL43" i="28"/>
  <c r="AM43" i="28"/>
  <c r="AN43" i="28"/>
  <c r="AO43" i="28"/>
  <c r="AP43" i="28"/>
  <c r="AQ43" i="28"/>
  <c r="AR43" i="28"/>
  <c r="AS43" i="28"/>
  <c r="AT43" i="28"/>
  <c r="AU43" i="28"/>
  <c r="AV43" i="28"/>
  <c r="AW43" i="28"/>
  <c r="AX43" i="28"/>
  <c r="AY43" i="28"/>
  <c r="BB43" i="28"/>
  <c r="BC43" i="28"/>
  <c r="BD43" i="28"/>
  <c r="BE43" i="28"/>
  <c r="BF43" i="28"/>
  <c r="BG43" i="28"/>
  <c r="BH43" i="28"/>
  <c r="BI43" i="28"/>
  <c r="BJ43" i="28"/>
  <c r="BK43" i="28"/>
  <c r="BL43" i="28"/>
  <c r="BM43" i="28"/>
  <c r="BN43" i="28"/>
  <c r="BO43" i="28"/>
  <c r="D44" i="28"/>
  <c r="F44" i="28"/>
  <c r="G44" i="28"/>
  <c r="H44" i="28"/>
  <c r="I44" i="28"/>
  <c r="K44" i="28"/>
  <c r="L44" i="28"/>
  <c r="N44" i="28"/>
  <c r="O44" i="28"/>
  <c r="P44" i="28"/>
  <c r="Q44" i="28"/>
  <c r="S44" i="28"/>
  <c r="T44" i="28"/>
  <c r="V44" i="28"/>
  <c r="X44" i="28"/>
  <c r="Y44" i="28"/>
  <c r="Z44" i="28"/>
  <c r="AA44" i="28"/>
  <c r="AB44" i="28"/>
  <c r="AC44" i="28"/>
  <c r="AF44" i="28"/>
  <c r="AG44" i="28"/>
  <c r="AH44" i="28"/>
  <c r="AI44" i="28"/>
  <c r="AJ44" i="28"/>
  <c r="AL44" i="28"/>
  <c r="AM44" i="28"/>
  <c r="AN44" i="28"/>
  <c r="AO44" i="28"/>
  <c r="AP44" i="28"/>
  <c r="AQ44" i="28"/>
  <c r="AR44" i="28"/>
  <c r="AS44" i="28"/>
  <c r="AT44" i="28"/>
  <c r="AU44" i="28"/>
  <c r="AV44" i="28"/>
  <c r="AW44" i="28"/>
  <c r="AX44" i="28"/>
  <c r="AY44" i="28"/>
  <c r="BB44" i="28"/>
  <c r="BC44" i="28"/>
  <c r="BD44" i="28"/>
  <c r="BE44" i="28"/>
  <c r="BF44" i="28"/>
  <c r="BG44" i="28"/>
  <c r="BH44" i="28"/>
  <c r="BI44" i="28"/>
  <c r="BJ44" i="28"/>
  <c r="BK44" i="28"/>
  <c r="BL44" i="28"/>
  <c r="BM44" i="28"/>
  <c r="BN44" i="28"/>
  <c r="BO44" i="28"/>
  <c r="D45" i="28"/>
  <c r="F45" i="28"/>
  <c r="G45" i="28"/>
  <c r="H45" i="28"/>
  <c r="I45" i="28"/>
  <c r="K45" i="28"/>
  <c r="L45" i="28"/>
  <c r="N45" i="28"/>
  <c r="O45" i="28"/>
  <c r="P45" i="28"/>
  <c r="Q45" i="28"/>
  <c r="S45" i="28"/>
  <c r="T45" i="28"/>
  <c r="V45" i="28"/>
  <c r="X45" i="28"/>
  <c r="Y45" i="28"/>
  <c r="Z45" i="28"/>
  <c r="AA45" i="28"/>
  <c r="AB45" i="28"/>
  <c r="AC45" i="28"/>
  <c r="AF45" i="28"/>
  <c r="AG45" i="28"/>
  <c r="AH45" i="28"/>
  <c r="AI45" i="28"/>
  <c r="AJ45" i="28"/>
  <c r="AL45" i="28"/>
  <c r="AM45" i="28"/>
  <c r="AN45" i="28"/>
  <c r="AO45" i="28"/>
  <c r="AP45" i="28"/>
  <c r="AQ45" i="28"/>
  <c r="AR45" i="28"/>
  <c r="AS45" i="28"/>
  <c r="AT45" i="28"/>
  <c r="AU45" i="28"/>
  <c r="AV45" i="28"/>
  <c r="AW45" i="28"/>
  <c r="AX45" i="28"/>
  <c r="AY45" i="28"/>
  <c r="BB45" i="28"/>
  <c r="BC45" i="28"/>
  <c r="BD45" i="28"/>
  <c r="BE45" i="28"/>
  <c r="BF45" i="28"/>
  <c r="BG45" i="28"/>
  <c r="BH45" i="28"/>
  <c r="BI45" i="28"/>
  <c r="BJ45" i="28"/>
  <c r="BK45" i="28"/>
  <c r="BL45" i="28"/>
  <c r="BM45" i="28"/>
  <c r="BN45" i="28"/>
  <c r="BO45" i="28"/>
  <c r="D46" i="28"/>
  <c r="F46" i="28"/>
  <c r="G46" i="28"/>
  <c r="H46" i="28"/>
  <c r="I46" i="28"/>
  <c r="K46" i="28"/>
  <c r="L46" i="28"/>
  <c r="N46" i="28"/>
  <c r="O46" i="28"/>
  <c r="P46" i="28"/>
  <c r="Q46" i="28"/>
  <c r="S46" i="28"/>
  <c r="T46" i="28"/>
  <c r="V46" i="28"/>
  <c r="X46" i="28"/>
  <c r="Y46" i="28"/>
  <c r="Z46" i="28"/>
  <c r="AA46" i="28"/>
  <c r="AB46" i="28"/>
  <c r="AC46" i="28"/>
  <c r="AF46" i="28"/>
  <c r="AG46" i="28"/>
  <c r="AH46" i="28"/>
  <c r="AI46" i="28"/>
  <c r="AJ46" i="28"/>
  <c r="AL46" i="28"/>
  <c r="AM46" i="28"/>
  <c r="AN46" i="28"/>
  <c r="AO46" i="28"/>
  <c r="AP46" i="28"/>
  <c r="AQ46" i="28"/>
  <c r="AR46" i="28"/>
  <c r="AS46" i="28"/>
  <c r="AT46" i="28"/>
  <c r="AU46" i="28"/>
  <c r="AV46" i="28"/>
  <c r="AW46" i="28"/>
  <c r="AX46" i="28"/>
  <c r="AY46" i="28"/>
  <c r="BB46" i="28"/>
  <c r="BC46" i="28"/>
  <c r="BD46" i="28"/>
  <c r="BE46" i="28"/>
  <c r="BF46" i="28"/>
  <c r="BG46" i="28"/>
  <c r="BH46" i="28"/>
  <c r="BI46" i="28"/>
  <c r="BJ46" i="28"/>
  <c r="BK46" i="28"/>
  <c r="BL46" i="28"/>
  <c r="BM46" i="28"/>
  <c r="BN46" i="28"/>
  <c r="BO46" i="28"/>
  <c r="D47" i="28"/>
  <c r="F47" i="28"/>
  <c r="G47" i="28"/>
  <c r="H47" i="28"/>
  <c r="I47" i="28"/>
  <c r="K47" i="28"/>
  <c r="L47" i="28"/>
  <c r="N47" i="28"/>
  <c r="O47" i="28"/>
  <c r="P47" i="28"/>
  <c r="Q47" i="28"/>
  <c r="S47" i="28"/>
  <c r="T47" i="28"/>
  <c r="V47" i="28"/>
  <c r="X47" i="28"/>
  <c r="Y47" i="28"/>
  <c r="Z47" i="28"/>
  <c r="AA47" i="28"/>
  <c r="AB47" i="28"/>
  <c r="AC47" i="28"/>
  <c r="AF47" i="28"/>
  <c r="AG47" i="28"/>
  <c r="AH47" i="28"/>
  <c r="AI47" i="28"/>
  <c r="AJ47" i="28"/>
  <c r="AL47" i="28"/>
  <c r="AM47" i="28"/>
  <c r="AN47" i="28"/>
  <c r="AO47" i="28"/>
  <c r="AP47" i="28"/>
  <c r="AQ47" i="28"/>
  <c r="AR47" i="28"/>
  <c r="AS47" i="28"/>
  <c r="AT47" i="28"/>
  <c r="AU47" i="28"/>
  <c r="AV47" i="28"/>
  <c r="AW47" i="28"/>
  <c r="AX47" i="28"/>
  <c r="AY47" i="28"/>
  <c r="BB47" i="28"/>
  <c r="BC47" i="28"/>
  <c r="BD47" i="28"/>
  <c r="BE47" i="28"/>
  <c r="BF47" i="28"/>
  <c r="BG47" i="28"/>
  <c r="BH47" i="28"/>
  <c r="BI47" i="28"/>
  <c r="BJ47" i="28"/>
  <c r="BK47" i="28"/>
  <c r="BL47" i="28"/>
  <c r="BM47" i="28"/>
  <c r="BN47" i="28"/>
  <c r="BO47" i="28"/>
  <c r="D48" i="28"/>
  <c r="F48" i="28"/>
  <c r="G48" i="28"/>
  <c r="H48" i="28"/>
  <c r="I48" i="28"/>
  <c r="K48" i="28"/>
  <c r="L48" i="28"/>
  <c r="N48" i="28"/>
  <c r="O48" i="28"/>
  <c r="P48" i="28"/>
  <c r="Q48" i="28"/>
  <c r="S48" i="28"/>
  <c r="T48" i="28"/>
  <c r="V48" i="28"/>
  <c r="X48" i="28"/>
  <c r="Y48" i="28"/>
  <c r="Z48" i="28"/>
  <c r="AA48" i="28"/>
  <c r="AB48" i="28"/>
  <c r="AC48" i="28"/>
  <c r="AF48" i="28"/>
  <c r="AG48" i="28"/>
  <c r="AH48" i="28"/>
  <c r="AI48" i="28"/>
  <c r="AJ48" i="28"/>
  <c r="AL48" i="28"/>
  <c r="AM48" i="28"/>
  <c r="AN48" i="28"/>
  <c r="AO48" i="28"/>
  <c r="AP48" i="28"/>
  <c r="AQ48" i="28"/>
  <c r="AR48" i="28"/>
  <c r="AS48" i="28"/>
  <c r="AT48" i="28"/>
  <c r="AU48" i="28"/>
  <c r="AV48" i="28"/>
  <c r="AW48" i="28"/>
  <c r="AX48" i="28"/>
  <c r="AY48" i="28"/>
  <c r="BB48" i="28"/>
  <c r="BC48" i="28"/>
  <c r="BD48" i="28"/>
  <c r="BE48" i="28"/>
  <c r="BF48" i="28"/>
  <c r="BG48" i="28"/>
  <c r="BH48" i="28"/>
  <c r="BI48" i="28"/>
  <c r="BJ48" i="28"/>
  <c r="BK48" i="28"/>
  <c r="BL48" i="28"/>
  <c r="BM48" i="28"/>
  <c r="BN48" i="28"/>
  <c r="BO48" i="28"/>
  <c r="D49" i="28"/>
  <c r="F49" i="28"/>
  <c r="G49" i="28"/>
  <c r="H49" i="28"/>
  <c r="I49" i="28"/>
  <c r="K49" i="28"/>
  <c r="L49" i="28"/>
  <c r="N49" i="28"/>
  <c r="O49" i="28"/>
  <c r="P49" i="28"/>
  <c r="Q49" i="28"/>
  <c r="S49" i="28"/>
  <c r="T49" i="28"/>
  <c r="V49" i="28"/>
  <c r="X49" i="28"/>
  <c r="Y49" i="28"/>
  <c r="Z49" i="28"/>
  <c r="AA49" i="28"/>
  <c r="AB49" i="28"/>
  <c r="AC49" i="28"/>
  <c r="AF49" i="28"/>
  <c r="AG49" i="28"/>
  <c r="AH49" i="28"/>
  <c r="AI49" i="28"/>
  <c r="AJ49" i="28"/>
  <c r="AL49" i="28"/>
  <c r="AM49" i="28"/>
  <c r="AN49" i="28"/>
  <c r="AO49" i="28"/>
  <c r="AP49" i="28"/>
  <c r="AQ49" i="28"/>
  <c r="AR49" i="28"/>
  <c r="AS49" i="28"/>
  <c r="AT49" i="28"/>
  <c r="AU49" i="28"/>
  <c r="AV49" i="28"/>
  <c r="AW49" i="28"/>
  <c r="AX49" i="28"/>
  <c r="AY49" i="28"/>
  <c r="BB49" i="28"/>
  <c r="BC49" i="28"/>
  <c r="BD49" i="28"/>
  <c r="BE49" i="28"/>
  <c r="BF49" i="28"/>
  <c r="BG49" i="28"/>
  <c r="BH49" i="28"/>
  <c r="BI49" i="28"/>
  <c r="BJ49" i="28"/>
  <c r="BK49" i="28"/>
  <c r="BL49" i="28"/>
  <c r="BM49" i="28"/>
  <c r="BN49" i="28"/>
  <c r="BO49" i="28"/>
  <c r="D50" i="28"/>
  <c r="F50" i="28"/>
  <c r="G50" i="28"/>
  <c r="H50" i="28"/>
  <c r="I50" i="28"/>
  <c r="K50" i="28"/>
  <c r="L50" i="28"/>
  <c r="N50" i="28"/>
  <c r="O50" i="28"/>
  <c r="P50" i="28"/>
  <c r="Q50" i="28"/>
  <c r="S50" i="28"/>
  <c r="T50" i="28"/>
  <c r="V50" i="28"/>
  <c r="X50" i="28"/>
  <c r="Y50" i="28"/>
  <c r="Z50" i="28"/>
  <c r="AA50" i="28"/>
  <c r="AB50" i="28"/>
  <c r="AC50" i="28"/>
  <c r="AF50" i="28"/>
  <c r="AG50" i="28"/>
  <c r="AH50" i="28"/>
  <c r="AI50" i="28"/>
  <c r="AJ50" i="28"/>
  <c r="AL50" i="28"/>
  <c r="AM50" i="28"/>
  <c r="AN50" i="28"/>
  <c r="AO50" i="28"/>
  <c r="AP50" i="28"/>
  <c r="AQ50" i="28"/>
  <c r="AR50" i="28"/>
  <c r="AS50" i="28"/>
  <c r="AT50" i="28"/>
  <c r="AU50" i="28"/>
  <c r="AV50" i="28"/>
  <c r="AW50" i="28"/>
  <c r="AX50" i="28"/>
  <c r="AY50" i="28"/>
  <c r="BB50" i="28"/>
  <c r="BC50" i="28"/>
  <c r="BD50" i="28"/>
  <c r="BE50" i="28"/>
  <c r="BF50" i="28"/>
  <c r="BG50" i="28"/>
  <c r="BH50" i="28"/>
  <c r="BI50" i="28"/>
  <c r="BJ50" i="28"/>
  <c r="BK50" i="28"/>
  <c r="BL50" i="28"/>
  <c r="BM50" i="28"/>
  <c r="BN50" i="28"/>
  <c r="BO50" i="28"/>
  <c r="D51" i="28"/>
  <c r="F51" i="28"/>
  <c r="G51" i="28"/>
  <c r="H51" i="28"/>
  <c r="I51" i="28"/>
  <c r="K51" i="28"/>
  <c r="L51" i="28"/>
  <c r="N51" i="28"/>
  <c r="O51" i="28"/>
  <c r="P51" i="28"/>
  <c r="Q51" i="28"/>
  <c r="S51" i="28"/>
  <c r="T51" i="28"/>
  <c r="V51" i="28"/>
  <c r="X51" i="28"/>
  <c r="Y51" i="28"/>
  <c r="Z51" i="28"/>
  <c r="AA51" i="28"/>
  <c r="AB51" i="28"/>
  <c r="AC51" i="28"/>
  <c r="AF51" i="28"/>
  <c r="AG51" i="28"/>
  <c r="AH51" i="28"/>
  <c r="AI51" i="28"/>
  <c r="AJ51" i="28"/>
  <c r="AL51" i="28"/>
  <c r="AM51" i="28"/>
  <c r="AN51" i="28"/>
  <c r="AO51" i="28"/>
  <c r="AP51" i="28"/>
  <c r="AQ51" i="28"/>
  <c r="AR51" i="28"/>
  <c r="AS51" i="28"/>
  <c r="AT51" i="28"/>
  <c r="AU51" i="28"/>
  <c r="AV51" i="28"/>
  <c r="AW51" i="28"/>
  <c r="AX51" i="28"/>
  <c r="AY51" i="28"/>
  <c r="BB51" i="28"/>
  <c r="BC51" i="28"/>
  <c r="BD51" i="28"/>
  <c r="BE51" i="28"/>
  <c r="BF51" i="28"/>
  <c r="BG51" i="28"/>
  <c r="BH51" i="28"/>
  <c r="BI51" i="28"/>
  <c r="BJ51" i="28"/>
  <c r="BK51" i="28"/>
  <c r="BL51" i="28"/>
  <c r="BM51" i="28"/>
  <c r="BN51" i="28"/>
  <c r="BO51" i="28"/>
  <c r="D52" i="28"/>
  <c r="F52" i="28"/>
  <c r="G52" i="28"/>
  <c r="H52" i="28"/>
  <c r="I52" i="28"/>
  <c r="K52" i="28"/>
  <c r="L52" i="28"/>
  <c r="N52" i="28"/>
  <c r="O52" i="28"/>
  <c r="P52" i="28"/>
  <c r="Q52" i="28"/>
  <c r="S52" i="28"/>
  <c r="T52" i="28"/>
  <c r="V52" i="28"/>
  <c r="X52" i="28"/>
  <c r="Y52" i="28"/>
  <c r="Z52" i="28"/>
  <c r="AA52" i="28"/>
  <c r="AB52" i="28"/>
  <c r="AC52" i="28"/>
  <c r="AF52" i="28"/>
  <c r="AG52" i="28"/>
  <c r="AH52" i="28"/>
  <c r="AI52" i="28"/>
  <c r="AJ52" i="28"/>
  <c r="AL52" i="28"/>
  <c r="AM52" i="28"/>
  <c r="AN52" i="28"/>
  <c r="AO52" i="28"/>
  <c r="AP52" i="28"/>
  <c r="AQ52" i="28"/>
  <c r="AR52" i="28"/>
  <c r="AS52" i="28"/>
  <c r="AT52" i="28"/>
  <c r="AU52" i="28"/>
  <c r="AV52" i="28"/>
  <c r="AW52" i="28"/>
  <c r="AX52" i="28"/>
  <c r="AY52" i="28"/>
  <c r="BB52" i="28"/>
  <c r="BC52" i="28"/>
  <c r="BD52" i="28"/>
  <c r="BE52" i="28"/>
  <c r="BF52" i="28"/>
  <c r="BG52" i="28"/>
  <c r="BH52" i="28"/>
  <c r="BI52" i="28"/>
  <c r="BJ52" i="28"/>
  <c r="BK52" i="28"/>
  <c r="BL52" i="28"/>
  <c r="BM52" i="28"/>
  <c r="BN52" i="28"/>
  <c r="BO52" i="28"/>
  <c r="D53" i="28"/>
  <c r="F53" i="28"/>
  <c r="G53" i="28"/>
  <c r="H53" i="28"/>
  <c r="I53" i="28"/>
  <c r="K53" i="28"/>
  <c r="L53" i="28"/>
  <c r="N53" i="28"/>
  <c r="O53" i="28"/>
  <c r="P53" i="28"/>
  <c r="Q53" i="28"/>
  <c r="S53" i="28"/>
  <c r="T53" i="28"/>
  <c r="V53" i="28"/>
  <c r="X53" i="28"/>
  <c r="Y53" i="28"/>
  <c r="Z53" i="28"/>
  <c r="AA53" i="28"/>
  <c r="AB53" i="28"/>
  <c r="AC53" i="28"/>
  <c r="AF53" i="28"/>
  <c r="AG53" i="28"/>
  <c r="AH53" i="28"/>
  <c r="AI53" i="28"/>
  <c r="AJ53" i="28"/>
  <c r="AL53" i="28"/>
  <c r="AM53" i="28"/>
  <c r="AN53" i="28"/>
  <c r="AO53" i="28"/>
  <c r="AP53" i="28"/>
  <c r="AQ53" i="28"/>
  <c r="AR53" i="28"/>
  <c r="AS53" i="28"/>
  <c r="AT53" i="28"/>
  <c r="AU53" i="28"/>
  <c r="AV53" i="28"/>
  <c r="AW53" i="28"/>
  <c r="AX53" i="28"/>
  <c r="AY53" i="28"/>
  <c r="BB53" i="28"/>
  <c r="BC53" i="28"/>
  <c r="BD53" i="28"/>
  <c r="BE53" i="28"/>
  <c r="BF53" i="28"/>
  <c r="BG53" i="28"/>
  <c r="BH53" i="28"/>
  <c r="BI53" i="28"/>
  <c r="BJ53" i="28"/>
  <c r="BK53" i="28"/>
  <c r="BL53" i="28"/>
  <c r="BM53" i="28"/>
  <c r="BN53" i="28"/>
  <c r="BO53" i="28"/>
  <c r="D54" i="28"/>
  <c r="F54" i="28"/>
  <c r="G54" i="28"/>
  <c r="H54" i="28"/>
  <c r="I54" i="28"/>
  <c r="K54" i="28"/>
  <c r="L54" i="28"/>
  <c r="N54" i="28"/>
  <c r="O54" i="28"/>
  <c r="P54" i="28"/>
  <c r="Q54" i="28"/>
  <c r="S54" i="28"/>
  <c r="T54" i="28"/>
  <c r="V54" i="28"/>
  <c r="X54" i="28"/>
  <c r="Y54" i="28"/>
  <c r="Z54" i="28"/>
  <c r="AA54" i="28"/>
  <c r="AB54" i="28"/>
  <c r="AC54" i="28"/>
  <c r="AF54" i="28"/>
  <c r="AG54" i="28"/>
  <c r="AH54" i="28"/>
  <c r="AI54" i="28"/>
  <c r="AJ54" i="28"/>
  <c r="AL54" i="28"/>
  <c r="AM54" i="28"/>
  <c r="AN54" i="28"/>
  <c r="AO54" i="28"/>
  <c r="AP54" i="28"/>
  <c r="AQ54" i="28"/>
  <c r="AR54" i="28"/>
  <c r="AS54" i="28"/>
  <c r="AT54" i="28"/>
  <c r="AU54" i="28"/>
  <c r="AV54" i="28"/>
  <c r="AW54" i="28"/>
  <c r="AX54" i="28"/>
  <c r="AY54" i="28"/>
  <c r="BB54" i="28"/>
  <c r="BC54" i="28"/>
  <c r="BD54" i="28"/>
  <c r="BE54" i="28"/>
  <c r="BF54" i="28"/>
  <c r="BG54" i="28"/>
  <c r="BH54" i="28"/>
  <c r="BI54" i="28"/>
  <c r="BJ54" i="28"/>
  <c r="BK54" i="28"/>
  <c r="BL54" i="28"/>
  <c r="BM54" i="28"/>
  <c r="BN54" i="28"/>
  <c r="BO54" i="28"/>
  <c r="D55" i="28"/>
  <c r="F55" i="28"/>
  <c r="G55" i="28"/>
  <c r="H55" i="28"/>
  <c r="I55" i="28"/>
  <c r="K55" i="28"/>
  <c r="L55" i="28"/>
  <c r="N55" i="28"/>
  <c r="O55" i="28"/>
  <c r="P55" i="28"/>
  <c r="Q55" i="28"/>
  <c r="S55" i="28"/>
  <c r="T55" i="28"/>
  <c r="V55" i="28"/>
  <c r="X55" i="28"/>
  <c r="Y55" i="28"/>
  <c r="Z55" i="28"/>
  <c r="AA55" i="28"/>
  <c r="AB55" i="28"/>
  <c r="AC55" i="28"/>
  <c r="AF55" i="28"/>
  <c r="AG55" i="28"/>
  <c r="AH55" i="28"/>
  <c r="AI55" i="28"/>
  <c r="AJ55" i="28"/>
  <c r="AL55" i="28"/>
  <c r="AM55" i="28"/>
  <c r="AN55" i="28"/>
  <c r="AO55" i="28"/>
  <c r="AP55" i="28"/>
  <c r="AQ55" i="28"/>
  <c r="AR55" i="28"/>
  <c r="AS55" i="28"/>
  <c r="AT55" i="28"/>
  <c r="AU55" i="28"/>
  <c r="AV55" i="28"/>
  <c r="AW55" i="28"/>
  <c r="AX55" i="28"/>
  <c r="AY55" i="28"/>
  <c r="BB55" i="28"/>
  <c r="BC55" i="28"/>
  <c r="BD55" i="28"/>
  <c r="BE55" i="28"/>
  <c r="BF55" i="28"/>
  <c r="BG55" i="28"/>
  <c r="BH55" i="28"/>
  <c r="BI55" i="28"/>
  <c r="BJ55" i="28"/>
  <c r="BK55" i="28"/>
  <c r="BL55" i="28"/>
  <c r="BM55" i="28"/>
  <c r="BN55" i="28"/>
  <c r="BO55" i="28"/>
  <c r="D56" i="28"/>
  <c r="F56" i="28"/>
  <c r="G56" i="28"/>
  <c r="H56" i="28"/>
  <c r="I56" i="28"/>
  <c r="K56" i="28"/>
  <c r="L56" i="28"/>
  <c r="N56" i="28"/>
  <c r="O56" i="28"/>
  <c r="P56" i="28"/>
  <c r="Q56" i="28"/>
  <c r="S56" i="28"/>
  <c r="T56" i="28"/>
  <c r="V56" i="28"/>
  <c r="X56" i="28"/>
  <c r="Y56" i="28"/>
  <c r="Z56" i="28"/>
  <c r="AA56" i="28"/>
  <c r="AB56" i="28"/>
  <c r="AC56" i="28"/>
  <c r="AF56" i="28"/>
  <c r="AG56" i="28"/>
  <c r="AH56" i="28"/>
  <c r="AI56" i="28"/>
  <c r="AJ56" i="28"/>
  <c r="AL56" i="28"/>
  <c r="AM56" i="28"/>
  <c r="AN56" i="28"/>
  <c r="AO56" i="28"/>
  <c r="AP56" i="28"/>
  <c r="AQ56" i="28"/>
  <c r="AR56" i="28"/>
  <c r="AS56" i="28"/>
  <c r="AT56" i="28"/>
  <c r="AU56" i="28"/>
  <c r="AV56" i="28"/>
  <c r="AW56" i="28"/>
  <c r="AX56" i="28"/>
  <c r="AY56" i="28"/>
  <c r="BB56" i="28"/>
  <c r="BC56" i="28"/>
  <c r="BD56" i="28"/>
  <c r="BE56" i="28"/>
  <c r="BF56" i="28"/>
  <c r="BG56" i="28"/>
  <c r="BH56" i="28"/>
  <c r="BI56" i="28"/>
  <c r="BJ56" i="28"/>
  <c r="BK56" i="28"/>
  <c r="BL56" i="28"/>
  <c r="BM56" i="28"/>
  <c r="BN56" i="28"/>
  <c r="BO56" i="28"/>
  <c r="D57" i="28"/>
  <c r="F57" i="28"/>
  <c r="G57" i="28"/>
  <c r="H57" i="28"/>
  <c r="I57" i="28"/>
  <c r="K57" i="28"/>
  <c r="L57" i="28"/>
  <c r="N57" i="28"/>
  <c r="O57" i="28"/>
  <c r="P57" i="28"/>
  <c r="Q57" i="28"/>
  <c r="S57" i="28"/>
  <c r="T57" i="28"/>
  <c r="V57" i="28"/>
  <c r="X57" i="28"/>
  <c r="Y57" i="28"/>
  <c r="Z57" i="28"/>
  <c r="AA57" i="28"/>
  <c r="AB57" i="28"/>
  <c r="AC57" i="28"/>
  <c r="AF57" i="28"/>
  <c r="AG57" i="28"/>
  <c r="AH57" i="28"/>
  <c r="AI57" i="28"/>
  <c r="AJ57" i="28"/>
  <c r="AL57" i="28"/>
  <c r="AM57" i="28"/>
  <c r="AN57" i="28"/>
  <c r="AO57" i="28"/>
  <c r="AP57" i="28"/>
  <c r="AQ57" i="28"/>
  <c r="AR57" i="28"/>
  <c r="AS57" i="28"/>
  <c r="AT57" i="28"/>
  <c r="AU57" i="28"/>
  <c r="AV57" i="28"/>
  <c r="AW57" i="28"/>
  <c r="AX57" i="28"/>
  <c r="AY57" i="28"/>
  <c r="BB57" i="28"/>
  <c r="BC57" i="28"/>
  <c r="BD57" i="28"/>
  <c r="BE57" i="28"/>
  <c r="BF57" i="28"/>
  <c r="BG57" i="28"/>
  <c r="BH57" i="28"/>
  <c r="BI57" i="28"/>
  <c r="BJ57" i="28"/>
  <c r="BK57" i="28"/>
  <c r="BL57" i="28"/>
  <c r="BM57" i="28"/>
  <c r="BN57" i="28"/>
  <c r="BO57" i="28"/>
  <c r="D58" i="28"/>
  <c r="F58" i="28"/>
  <c r="G58" i="28"/>
  <c r="H58" i="28"/>
  <c r="I58" i="28"/>
  <c r="K58" i="28"/>
  <c r="L58" i="28"/>
  <c r="N58" i="28"/>
  <c r="O58" i="28"/>
  <c r="P58" i="28"/>
  <c r="Q58" i="28"/>
  <c r="S58" i="28"/>
  <c r="T58" i="28"/>
  <c r="V58" i="28"/>
  <c r="X58" i="28"/>
  <c r="Y58" i="28"/>
  <c r="Z58" i="28"/>
  <c r="AA58" i="28"/>
  <c r="AB58" i="28"/>
  <c r="AC58" i="28"/>
  <c r="AF58" i="28"/>
  <c r="AG58" i="28"/>
  <c r="AH58" i="28"/>
  <c r="AI58" i="28"/>
  <c r="AJ58" i="28"/>
  <c r="AL58" i="28"/>
  <c r="AM58" i="28"/>
  <c r="AN58" i="28"/>
  <c r="AO58" i="28"/>
  <c r="AP58" i="28"/>
  <c r="AQ58" i="28"/>
  <c r="AR58" i="28"/>
  <c r="AS58" i="28"/>
  <c r="AT58" i="28"/>
  <c r="AU58" i="28"/>
  <c r="AV58" i="28"/>
  <c r="AW58" i="28"/>
  <c r="AX58" i="28"/>
  <c r="AY58" i="28"/>
  <c r="BB58" i="28"/>
  <c r="BC58" i="28"/>
  <c r="BD58" i="28"/>
  <c r="BE58" i="28"/>
  <c r="BF58" i="28"/>
  <c r="BG58" i="28"/>
  <c r="BH58" i="28"/>
  <c r="BI58" i="28"/>
  <c r="BJ58" i="28"/>
  <c r="BK58" i="28"/>
  <c r="BL58" i="28"/>
  <c r="BM58" i="28"/>
  <c r="BN58" i="28"/>
  <c r="BO58" i="28"/>
  <c r="D59" i="28"/>
  <c r="F59" i="28"/>
  <c r="G59" i="28"/>
  <c r="H59" i="28"/>
  <c r="I59" i="28"/>
  <c r="K59" i="28"/>
  <c r="L59" i="28"/>
  <c r="N59" i="28"/>
  <c r="O59" i="28"/>
  <c r="P59" i="28"/>
  <c r="Q59" i="28"/>
  <c r="S59" i="28"/>
  <c r="T59" i="28"/>
  <c r="V59" i="28"/>
  <c r="X59" i="28"/>
  <c r="Y59" i="28"/>
  <c r="Z59" i="28"/>
  <c r="AA59" i="28"/>
  <c r="AB59" i="28"/>
  <c r="AC59" i="28"/>
  <c r="AF59" i="28"/>
  <c r="AG59" i="28"/>
  <c r="AH59" i="28"/>
  <c r="AI59" i="28"/>
  <c r="AJ59" i="28"/>
  <c r="AL59" i="28"/>
  <c r="AM59" i="28"/>
  <c r="AN59" i="28"/>
  <c r="AO59" i="28"/>
  <c r="AP59" i="28"/>
  <c r="AQ59" i="28"/>
  <c r="AR59" i="28"/>
  <c r="AS59" i="28"/>
  <c r="AT59" i="28"/>
  <c r="AU59" i="28"/>
  <c r="AV59" i="28"/>
  <c r="AW59" i="28"/>
  <c r="AX59" i="28"/>
  <c r="AY59" i="28"/>
  <c r="BB59" i="28"/>
  <c r="BC59" i="28"/>
  <c r="BD59" i="28"/>
  <c r="BE59" i="28"/>
  <c r="BF59" i="28"/>
  <c r="BG59" i="28"/>
  <c r="BH59" i="28"/>
  <c r="BI59" i="28"/>
  <c r="BJ59" i="28"/>
  <c r="BK59" i="28"/>
  <c r="BL59" i="28"/>
  <c r="BM59" i="28"/>
  <c r="BN59" i="28"/>
  <c r="BO59" i="28"/>
  <c r="D60" i="28"/>
  <c r="F60" i="28"/>
  <c r="G60" i="28"/>
  <c r="H60" i="28"/>
  <c r="I60" i="28"/>
  <c r="K60" i="28"/>
  <c r="L60" i="28"/>
  <c r="N60" i="28"/>
  <c r="O60" i="28"/>
  <c r="P60" i="28"/>
  <c r="Q60" i="28"/>
  <c r="S60" i="28"/>
  <c r="T60" i="28"/>
  <c r="V60" i="28"/>
  <c r="X60" i="28"/>
  <c r="Y60" i="28"/>
  <c r="Z60" i="28"/>
  <c r="AA60" i="28"/>
  <c r="AB60" i="28"/>
  <c r="AC60" i="28"/>
  <c r="AF60" i="28"/>
  <c r="AG60" i="28"/>
  <c r="AH60" i="28"/>
  <c r="AI60" i="28"/>
  <c r="AJ60" i="28"/>
  <c r="AL60" i="28"/>
  <c r="AM60" i="28"/>
  <c r="AN60" i="28"/>
  <c r="AO60" i="28"/>
  <c r="AP60" i="28"/>
  <c r="AQ60" i="28"/>
  <c r="AR60" i="28"/>
  <c r="AS60" i="28"/>
  <c r="AT60" i="28"/>
  <c r="AU60" i="28"/>
  <c r="AV60" i="28"/>
  <c r="AW60" i="28"/>
  <c r="AX60" i="28"/>
  <c r="AY60" i="28"/>
  <c r="BB60" i="28"/>
  <c r="BC60" i="28"/>
  <c r="BD60" i="28"/>
  <c r="BE60" i="28"/>
  <c r="BF60" i="28"/>
  <c r="BG60" i="28"/>
  <c r="BH60" i="28"/>
  <c r="BI60" i="28"/>
  <c r="BJ60" i="28"/>
  <c r="BK60" i="28"/>
  <c r="BL60" i="28"/>
  <c r="BM60" i="28"/>
  <c r="BN60" i="28"/>
  <c r="BO60" i="28"/>
  <c r="D61" i="28"/>
  <c r="F61" i="28"/>
  <c r="G61" i="28"/>
  <c r="H61" i="28"/>
  <c r="I61" i="28"/>
  <c r="K61" i="28"/>
  <c r="L61" i="28"/>
  <c r="N61" i="28"/>
  <c r="O61" i="28"/>
  <c r="P61" i="28"/>
  <c r="Q61" i="28"/>
  <c r="S61" i="28"/>
  <c r="T61" i="28"/>
  <c r="V61" i="28"/>
  <c r="X61" i="28"/>
  <c r="Y61" i="28"/>
  <c r="Z61" i="28"/>
  <c r="AA61" i="28"/>
  <c r="AB61" i="28"/>
  <c r="AC61" i="28"/>
  <c r="AF61" i="28"/>
  <c r="AG61" i="28"/>
  <c r="AH61" i="28"/>
  <c r="AI61" i="28"/>
  <c r="AJ61" i="28"/>
  <c r="AL61" i="28"/>
  <c r="AM61" i="28"/>
  <c r="AN61" i="28"/>
  <c r="AO61" i="28"/>
  <c r="AP61" i="28"/>
  <c r="AQ61" i="28"/>
  <c r="AR61" i="28"/>
  <c r="AS61" i="28"/>
  <c r="AT61" i="28"/>
  <c r="AU61" i="28"/>
  <c r="AV61" i="28"/>
  <c r="AW61" i="28"/>
  <c r="AX61" i="28"/>
  <c r="AY61" i="28"/>
  <c r="BB61" i="28"/>
  <c r="BC61" i="28"/>
  <c r="BD61" i="28"/>
  <c r="BE61" i="28"/>
  <c r="BF61" i="28"/>
  <c r="BG61" i="28"/>
  <c r="BH61" i="28"/>
  <c r="BI61" i="28"/>
  <c r="BJ61" i="28"/>
  <c r="BK61" i="28"/>
  <c r="BL61" i="28"/>
  <c r="BM61" i="28"/>
  <c r="BN61" i="28"/>
  <c r="BO61" i="28"/>
  <c r="D62" i="28"/>
  <c r="F62" i="28"/>
  <c r="G62" i="28"/>
  <c r="H62" i="28"/>
  <c r="I62" i="28"/>
  <c r="K62" i="28"/>
  <c r="L62" i="28"/>
  <c r="N62" i="28"/>
  <c r="O62" i="28"/>
  <c r="P62" i="28"/>
  <c r="Q62" i="28"/>
  <c r="S62" i="28"/>
  <c r="T62" i="28"/>
  <c r="V62" i="28"/>
  <c r="X62" i="28"/>
  <c r="Y62" i="28"/>
  <c r="Z62" i="28"/>
  <c r="AA62" i="28"/>
  <c r="AB62" i="28"/>
  <c r="AC62" i="28"/>
  <c r="AF62" i="28"/>
  <c r="AG62" i="28"/>
  <c r="AH62" i="28"/>
  <c r="AI62" i="28"/>
  <c r="AJ62" i="28"/>
  <c r="AL62" i="28"/>
  <c r="AM62" i="28"/>
  <c r="AN62" i="28"/>
  <c r="AO62" i="28"/>
  <c r="AP62" i="28"/>
  <c r="AQ62" i="28"/>
  <c r="AR62" i="28"/>
  <c r="AS62" i="28"/>
  <c r="AT62" i="28"/>
  <c r="AU62" i="28"/>
  <c r="AV62" i="28"/>
  <c r="AW62" i="28"/>
  <c r="AX62" i="28"/>
  <c r="AY62" i="28"/>
  <c r="BB62" i="28"/>
  <c r="BC62" i="28"/>
  <c r="BD62" i="28"/>
  <c r="BE62" i="28"/>
  <c r="BF62" i="28"/>
  <c r="BG62" i="28"/>
  <c r="BH62" i="28"/>
  <c r="BI62" i="28"/>
  <c r="BJ62" i="28"/>
  <c r="BK62" i="28"/>
  <c r="BL62" i="28"/>
  <c r="BM62" i="28"/>
  <c r="BN62" i="28"/>
  <c r="BO62" i="28"/>
  <c r="D63" i="28"/>
  <c r="F63" i="28"/>
  <c r="G63" i="28"/>
  <c r="H63" i="28"/>
  <c r="I63" i="28"/>
  <c r="K63" i="28"/>
  <c r="L63" i="28"/>
  <c r="N63" i="28"/>
  <c r="O63" i="28"/>
  <c r="P63" i="28"/>
  <c r="Q63" i="28"/>
  <c r="S63" i="28"/>
  <c r="T63" i="28"/>
  <c r="V63" i="28"/>
  <c r="X63" i="28"/>
  <c r="Y63" i="28"/>
  <c r="Z63" i="28"/>
  <c r="AA63" i="28"/>
  <c r="AB63" i="28"/>
  <c r="AC63" i="28"/>
  <c r="AF63" i="28"/>
  <c r="AG63" i="28"/>
  <c r="AH63" i="28"/>
  <c r="AI63" i="28"/>
  <c r="AJ63" i="28"/>
  <c r="AL63" i="28"/>
  <c r="AM63" i="28"/>
  <c r="AN63" i="28"/>
  <c r="AO63" i="28"/>
  <c r="AP63" i="28"/>
  <c r="AQ63" i="28"/>
  <c r="AR63" i="28"/>
  <c r="AS63" i="28"/>
  <c r="AT63" i="28"/>
  <c r="AU63" i="28"/>
  <c r="AV63" i="28"/>
  <c r="AW63" i="28"/>
  <c r="AX63" i="28"/>
  <c r="AY63" i="28"/>
  <c r="BB63" i="28"/>
  <c r="BC63" i="28"/>
  <c r="BD63" i="28"/>
  <c r="BE63" i="28"/>
  <c r="BF63" i="28"/>
  <c r="BG63" i="28"/>
  <c r="BH63" i="28"/>
  <c r="BI63" i="28"/>
  <c r="BJ63" i="28"/>
  <c r="BK63" i="28"/>
  <c r="BL63" i="28"/>
  <c r="BM63" i="28"/>
  <c r="BN63" i="28"/>
  <c r="BO63" i="28"/>
  <c r="D64" i="28"/>
  <c r="F64" i="28"/>
  <c r="G64" i="28"/>
  <c r="H64" i="28"/>
  <c r="I64" i="28"/>
  <c r="K64" i="28"/>
  <c r="L64" i="28"/>
  <c r="N64" i="28"/>
  <c r="O64" i="28"/>
  <c r="P64" i="28"/>
  <c r="Q64" i="28"/>
  <c r="S64" i="28"/>
  <c r="T64" i="28"/>
  <c r="V64" i="28"/>
  <c r="X64" i="28"/>
  <c r="Y64" i="28"/>
  <c r="Z64" i="28"/>
  <c r="AA64" i="28"/>
  <c r="AB64" i="28"/>
  <c r="AC64" i="28"/>
  <c r="AF64" i="28"/>
  <c r="AG64" i="28"/>
  <c r="AH64" i="28"/>
  <c r="AI64" i="28"/>
  <c r="AJ64" i="28"/>
  <c r="AL64" i="28"/>
  <c r="AM64" i="28"/>
  <c r="AN64" i="28"/>
  <c r="AO64" i="28"/>
  <c r="AP64" i="28"/>
  <c r="AQ64" i="28"/>
  <c r="AR64" i="28"/>
  <c r="AS64" i="28"/>
  <c r="AT64" i="28"/>
  <c r="AU64" i="28"/>
  <c r="AV64" i="28"/>
  <c r="AW64" i="28"/>
  <c r="AX64" i="28"/>
  <c r="AY64" i="28"/>
  <c r="BB64" i="28"/>
  <c r="BC64" i="28"/>
  <c r="BD64" i="28"/>
  <c r="BE64" i="28"/>
  <c r="BF64" i="28"/>
  <c r="BG64" i="28"/>
  <c r="BH64" i="28"/>
  <c r="BI64" i="28"/>
  <c r="BJ64" i="28"/>
  <c r="BK64" i="28"/>
  <c r="BL64" i="28"/>
  <c r="BM64" i="28"/>
  <c r="BN64" i="28"/>
  <c r="BO64" i="28"/>
  <c r="D65" i="28"/>
  <c r="F65" i="28"/>
  <c r="G65" i="28"/>
  <c r="H65" i="28"/>
  <c r="I65" i="28"/>
  <c r="K65" i="28"/>
  <c r="L65" i="28"/>
  <c r="N65" i="28"/>
  <c r="O65" i="28"/>
  <c r="P65" i="28"/>
  <c r="Q65" i="28"/>
  <c r="S65" i="28"/>
  <c r="T65" i="28"/>
  <c r="V65" i="28"/>
  <c r="X65" i="28"/>
  <c r="Y65" i="28"/>
  <c r="Z65" i="28"/>
  <c r="AA65" i="28"/>
  <c r="AB65" i="28"/>
  <c r="AC65" i="28"/>
  <c r="AF65" i="28"/>
  <c r="AG65" i="28"/>
  <c r="AH65" i="28"/>
  <c r="AI65" i="28"/>
  <c r="AJ65" i="28"/>
  <c r="AL65" i="28"/>
  <c r="AM65" i="28"/>
  <c r="AN65" i="28"/>
  <c r="AO65" i="28"/>
  <c r="AP65" i="28"/>
  <c r="AQ65" i="28"/>
  <c r="AR65" i="28"/>
  <c r="AS65" i="28"/>
  <c r="AT65" i="28"/>
  <c r="AU65" i="28"/>
  <c r="AV65" i="28"/>
  <c r="AW65" i="28"/>
  <c r="AX65" i="28"/>
  <c r="AY65" i="28"/>
  <c r="BB65" i="28"/>
  <c r="BC65" i="28"/>
  <c r="BD65" i="28"/>
  <c r="BE65" i="28"/>
  <c r="BF65" i="28"/>
  <c r="BG65" i="28"/>
  <c r="BH65" i="28"/>
  <c r="BI65" i="28"/>
  <c r="BJ65" i="28"/>
  <c r="BK65" i="28"/>
  <c r="BL65" i="28"/>
  <c r="BM65" i="28"/>
  <c r="BN65" i="28"/>
  <c r="BO65" i="28"/>
  <c r="D66" i="28"/>
  <c r="F66" i="28"/>
  <c r="G66" i="28"/>
  <c r="H66" i="28"/>
  <c r="I66" i="28"/>
  <c r="K66" i="28"/>
  <c r="L66" i="28"/>
  <c r="N66" i="28"/>
  <c r="O66" i="28"/>
  <c r="P66" i="28"/>
  <c r="Q66" i="28"/>
  <c r="S66" i="28"/>
  <c r="T66" i="28"/>
  <c r="V66" i="28"/>
  <c r="X66" i="28"/>
  <c r="Y66" i="28"/>
  <c r="Z66" i="28"/>
  <c r="AA66" i="28"/>
  <c r="AB66" i="28"/>
  <c r="AC66" i="28"/>
  <c r="AF66" i="28"/>
  <c r="AG66" i="28"/>
  <c r="AH66" i="28"/>
  <c r="AI66" i="28"/>
  <c r="AJ66" i="28"/>
  <c r="AL66" i="28"/>
  <c r="AM66" i="28"/>
  <c r="AN66" i="28"/>
  <c r="AO66" i="28"/>
  <c r="AP66" i="28"/>
  <c r="AQ66" i="28"/>
  <c r="AR66" i="28"/>
  <c r="AS66" i="28"/>
  <c r="AT66" i="28"/>
  <c r="AU66" i="28"/>
  <c r="AV66" i="28"/>
  <c r="AW66" i="28"/>
  <c r="AX66" i="28"/>
  <c r="AY66" i="28"/>
  <c r="BB66" i="28"/>
  <c r="BC66" i="28"/>
  <c r="BD66" i="28"/>
  <c r="BE66" i="28"/>
  <c r="BF66" i="28"/>
  <c r="BG66" i="28"/>
  <c r="BH66" i="28"/>
  <c r="BI66" i="28"/>
  <c r="BJ66" i="28"/>
  <c r="BK66" i="28"/>
  <c r="BL66" i="28"/>
  <c r="BM66" i="28"/>
  <c r="BN66" i="28"/>
  <c r="BO66" i="28"/>
  <c r="D67" i="28"/>
  <c r="F67" i="28"/>
  <c r="G67" i="28"/>
  <c r="H67" i="28"/>
  <c r="I67" i="28"/>
  <c r="K67" i="28"/>
  <c r="L67" i="28"/>
  <c r="N67" i="28"/>
  <c r="O67" i="28"/>
  <c r="P67" i="28"/>
  <c r="Q67" i="28"/>
  <c r="S67" i="28"/>
  <c r="T67" i="28"/>
  <c r="V67" i="28"/>
  <c r="X67" i="28"/>
  <c r="Y67" i="28"/>
  <c r="Z67" i="28"/>
  <c r="AA67" i="28"/>
  <c r="AB67" i="28"/>
  <c r="AC67" i="28"/>
  <c r="AF67" i="28"/>
  <c r="AG67" i="28"/>
  <c r="AH67" i="28"/>
  <c r="AI67" i="28"/>
  <c r="AJ67" i="28"/>
  <c r="AL67" i="28"/>
  <c r="AM67" i="28"/>
  <c r="AN67" i="28"/>
  <c r="AO67" i="28"/>
  <c r="AP67" i="28"/>
  <c r="AQ67" i="28"/>
  <c r="AR67" i="28"/>
  <c r="AS67" i="28"/>
  <c r="AT67" i="28"/>
  <c r="AU67" i="28"/>
  <c r="AV67" i="28"/>
  <c r="AW67" i="28"/>
  <c r="AX67" i="28"/>
  <c r="AY67" i="28"/>
  <c r="BB67" i="28"/>
  <c r="BC67" i="28"/>
  <c r="BD67" i="28"/>
  <c r="BE67" i="28"/>
  <c r="BF67" i="28"/>
  <c r="BG67" i="28"/>
  <c r="BH67" i="28"/>
  <c r="BI67" i="28"/>
  <c r="BJ67" i="28"/>
  <c r="BK67" i="28"/>
  <c r="BL67" i="28"/>
  <c r="BM67" i="28"/>
  <c r="BN67" i="28"/>
  <c r="BO67" i="28"/>
  <c r="F1" i="29"/>
  <c r="AV1" i="29"/>
  <c r="A2" i="29"/>
  <c r="F2" i="29"/>
  <c r="G2" i="29"/>
  <c r="N2" i="29"/>
  <c r="AV2" i="29"/>
  <c r="AW2" i="29"/>
  <c r="AX2" i="29"/>
  <c r="AY2" i="29"/>
  <c r="BW2" i="29"/>
  <c r="BX2" i="29"/>
  <c r="BY2" i="29"/>
  <c r="BZ2" i="29"/>
  <c r="CA2" i="29"/>
  <c r="CB2" i="29"/>
  <c r="CC2" i="29"/>
  <c r="CD2" i="29"/>
  <c r="CE2" i="29"/>
  <c r="CF2" i="29"/>
  <c r="CG2" i="29"/>
  <c r="CH2" i="29"/>
  <c r="CI2" i="29"/>
  <c r="CJ2" i="29"/>
  <c r="CK2" i="29"/>
  <c r="CL2" i="29"/>
  <c r="CM2" i="29"/>
  <c r="CN2" i="29"/>
  <c r="CO2" i="29"/>
  <c r="CP2" i="29"/>
  <c r="CQ2" i="29"/>
  <c r="CR2" i="29"/>
  <c r="CS2" i="29"/>
  <c r="CT2" i="29"/>
  <c r="CU2" i="29"/>
  <c r="CV2" i="29"/>
  <c r="CW2" i="29"/>
  <c r="CX2" i="29"/>
  <c r="A3" i="29"/>
  <c r="AH3" i="29"/>
  <c r="AK3" i="29"/>
  <c r="AV3" i="29"/>
  <c r="AW3" i="29"/>
  <c r="AX3" i="29"/>
  <c r="AY3" i="29"/>
  <c r="A4" i="29"/>
  <c r="N4" i="29"/>
  <c r="P4" i="29"/>
  <c r="T4" i="29"/>
  <c r="V4" i="29"/>
  <c r="W4" i="29"/>
  <c r="AH4" i="29"/>
  <c r="AK4" i="29"/>
  <c r="AM4" i="29"/>
  <c r="AN4" i="29"/>
  <c r="AO4" i="29"/>
  <c r="AP4" i="29"/>
  <c r="AQ4" i="29"/>
  <c r="AR4" i="29"/>
  <c r="AS4" i="29"/>
  <c r="AT4" i="29"/>
  <c r="AV4" i="29"/>
  <c r="AW4" i="29"/>
  <c r="AX4" i="29"/>
  <c r="AY4" i="29"/>
  <c r="A5" i="29"/>
  <c r="G5" i="29"/>
  <c r="N5" i="29"/>
  <c r="P5" i="29"/>
  <c r="T5" i="29"/>
  <c r="V5" i="29"/>
  <c r="W5" i="29"/>
  <c r="AH5" i="29"/>
  <c r="AK5" i="29"/>
  <c r="AM5" i="29"/>
  <c r="AN5" i="29"/>
  <c r="AO5" i="29"/>
  <c r="AP5" i="29"/>
  <c r="AQ5" i="29"/>
  <c r="AR5" i="29"/>
  <c r="AS5" i="29"/>
  <c r="AT5" i="29"/>
  <c r="AV5" i="29"/>
  <c r="AW5" i="29"/>
  <c r="AX5" i="29"/>
  <c r="AY5" i="29"/>
  <c r="BV5" i="29"/>
  <c r="A6" i="29"/>
  <c r="N6" i="29"/>
  <c r="P6" i="29"/>
  <c r="T6" i="29"/>
  <c r="V6" i="29"/>
  <c r="W6" i="29"/>
  <c r="AH6" i="29"/>
  <c r="AK6" i="29"/>
  <c r="AM6" i="29"/>
  <c r="AN6" i="29"/>
  <c r="AO6" i="29"/>
  <c r="AP6" i="29"/>
  <c r="AQ6" i="29"/>
  <c r="AR6" i="29"/>
  <c r="AS6" i="29"/>
  <c r="AT6" i="29"/>
  <c r="A7" i="29"/>
  <c r="G7" i="29"/>
  <c r="N7" i="29"/>
  <c r="N7" i="29" a="1"/>
  <c r="P7" i="29"/>
  <c r="T7" i="29"/>
  <c r="AH7" i="29"/>
  <c r="AK7" i="29"/>
  <c r="AM7" i="29"/>
  <c r="AN7" i="29"/>
  <c r="AO7" i="29"/>
  <c r="AP7" i="29"/>
  <c r="AQ7" i="29"/>
  <c r="AR7" i="29"/>
  <c r="AS7" i="29"/>
  <c r="AT7" i="29"/>
  <c r="AV7" i="29"/>
  <c r="AW7" i="29"/>
  <c r="AX7" i="29"/>
  <c r="AY7" i="29"/>
  <c r="G8" i="29"/>
  <c r="N8" i="29"/>
  <c r="N8" i="29" a="1"/>
  <c r="P8" i="29"/>
  <c r="T8" i="29"/>
  <c r="V8" i="29"/>
  <c r="W8" i="29"/>
  <c r="Y8" i="29"/>
  <c r="Z8" i="29"/>
  <c r="AH8" i="29"/>
  <c r="AK8" i="29"/>
  <c r="AM8" i="29"/>
  <c r="AN8" i="29"/>
  <c r="AO8" i="29"/>
  <c r="AP8" i="29"/>
  <c r="AQ8" i="29"/>
  <c r="AR8" i="29"/>
  <c r="AS8" i="29"/>
  <c r="AT8" i="29"/>
  <c r="AV8" i="29"/>
  <c r="AW8" i="29"/>
  <c r="AX8" i="29"/>
  <c r="AY8" i="29"/>
  <c r="N9" i="29"/>
  <c r="N9" i="29" a="1"/>
  <c r="P9" i="29"/>
  <c r="AK9" i="29"/>
  <c r="AM9" i="29"/>
  <c r="AN9" i="29"/>
  <c r="AO9" i="29"/>
  <c r="AP9" i="29"/>
  <c r="AQ9" i="29"/>
  <c r="AR9" i="29"/>
  <c r="AS9" i="29"/>
  <c r="AT9" i="29"/>
  <c r="AV9" i="29"/>
  <c r="AW9" i="29"/>
  <c r="AX9" i="29"/>
  <c r="AY9" i="29"/>
  <c r="N10" i="29"/>
  <c r="P10" i="29"/>
  <c r="AH10" i="29"/>
  <c r="AM10" i="29"/>
  <c r="AN10" i="29"/>
  <c r="AO10" i="29"/>
  <c r="AP10" i="29"/>
  <c r="AQ10" i="29"/>
  <c r="AR10" i="29"/>
  <c r="AS10" i="29"/>
  <c r="AT10" i="29"/>
  <c r="AV10" i="29"/>
  <c r="AW10" i="29"/>
  <c r="AX10" i="29"/>
  <c r="AY10" i="29"/>
  <c r="D11" i="29"/>
  <c r="N11" i="29"/>
  <c r="P11" i="29"/>
  <c r="AM11" i="29"/>
  <c r="AN11" i="29"/>
  <c r="AO11" i="29"/>
  <c r="AP11" i="29"/>
  <c r="AQ11" i="29"/>
  <c r="AR11" i="29"/>
  <c r="AS11" i="29"/>
  <c r="AT11" i="29"/>
  <c r="AV11" i="29"/>
  <c r="AW11" i="29"/>
  <c r="AX11" i="29"/>
  <c r="AY11" i="29"/>
  <c r="D12" i="29"/>
  <c r="N12" i="29"/>
  <c r="P12" i="29"/>
  <c r="AH12" i="29"/>
  <c r="AM12" i="29"/>
  <c r="AN12" i="29"/>
  <c r="AO12" i="29"/>
  <c r="AP12" i="29"/>
  <c r="AQ12" i="29"/>
  <c r="AR12" i="29"/>
  <c r="AS12" i="29"/>
  <c r="AT12" i="29"/>
  <c r="AV12" i="29"/>
  <c r="AW12" i="29"/>
  <c r="AX12" i="29"/>
  <c r="AY12" i="29"/>
  <c r="N13" i="29"/>
  <c r="P13" i="29"/>
  <c r="AH13" i="29"/>
  <c r="AM13" i="29"/>
  <c r="AN13" i="29"/>
  <c r="AO13" i="29"/>
  <c r="AP13" i="29"/>
  <c r="AQ13" i="29"/>
  <c r="AR13" i="29"/>
  <c r="AS13" i="29"/>
  <c r="AT13" i="29"/>
  <c r="AV13" i="29"/>
  <c r="AW13" i="29"/>
  <c r="AX13" i="29"/>
  <c r="AY13" i="29"/>
  <c r="N14" i="29"/>
  <c r="P14" i="29"/>
  <c r="S14" i="29"/>
  <c r="T14" i="29"/>
  <c r="AM14" i="29"/>
  <c r="AN14" i="29"/>
  <c r="AO14" i="29"/>
  <c r="AP14" i="29"/>
  <c r="AQ14" i="29"/>
  <c r="AR14" i="29"/>
  <c r="AS14" i="29"/>
  <c r="AT14" i="29"/>
  <c r="AV14" i="29"/>
  <c r="AW14" i="29"/>
  <c r="AX14" i="29"/>
  <c r="AY14" i="29"/>
  <c r="N15" i="29"/>
  <c r="P15" i="29"/>
  <c r="AM15" i="29"/>
  <c r="AN15" i="29"/>
  <c r="AO15" i="29"/>
  <c r="AP15" i="29"/>
  <c r="AQ15" i="29"/>
  <c r="AR15" i="29"/>
  <c r="AS15" i="29"/>
  <c r="AT15" i="29"/>
  <c r="AV15" i="29"/>
  <c r="AW15" i="29"/>
  <c r="AX15" i="29"/>
  <c r="AY15" i="29"/>
  <c r="N16" i="29"/>
  <c r="P16" i="29"/>
  <c r="AV16" i="29"/>
  <c r="AW16" i="29"/>
  <c r="AX16" i="29"/>
  <c r="AY16" i="29"/>
  <c r="N17" i="29"/>
  <c r="P17" i="29"/>
  <c r="AV17" i="29"/>
  <c r="AW17" i="29"/>
  <c r="AX17" i="29"/>
  <c r="AY17" i="29"/>
  <c r="N18" i="29"/>
  <c r="P18" i="29"/>
  <c r="AX18" i="29"/>
  <c r="AY18" i="29"/>
  <c r="N19" i="29"/>
  <c r="P19" i="29"/>
  <c r="S20" i="29"/>
  <c r="T20" i="29"/>
  <c r="AM20" i="29"/>
  <c r="AO20" i="29"/>
  <c r="AV20" i="29"/>
  <c r="AW20" i="29"/>
  <c r="AX20" i="29"/>
  <c r="AY20" i="29"/>
  <c r="D22" i="29"/>
  <c r="F22" i="29"/>
  <c r="G22" i="29"/>
  <c r="H22" i="29"/>
  <c r="I22" i="29"/>
  <c r="K22" i="29"/>
  <c r="L22" i="29"/>
  <c r="N22" i="29"/>
  <c r="O22" i="29"/>
  <c r="P22" i="29"/>
  <c r="Q22" i="29"/>
  <c r="S22" i="29"/>
  <c r="T22" i="29"/>
  <c r="V22" i="29"/>
  <c r="X22" i="29"/>
  <c r="Y22" i="29"/>
  <c r="Z22" i="29"/>
  <c r="AA22" i="29"/>
  <c r="AB22" i="29"/>
  <c r="AC22" i="29"/>
  <c r="AF22" i="29"/>
  <c r="AG22" i="29"/>
  <c r="AH22" i="29"/>
  <c r="AI22" i="29"/>
  <c r="AJ22" i="29"/>
  <c r="AL22" i="29"/>
  <c r="AM22" i="29"/>
  <c r="AN22" i="29"/>
  <c r="AO22" i="29"/>
  <c r="AP22" i="29"/>
  <c r="AQ22" i="29"/>
  <c r="AR22" i="29"/>
  <c r="AS22" i="29"/>
  <c r="AT22" i="29"/>
  <c r="AU22" i="29"/>
  <c r="AV22" i="29"/>
  <c r="AW22" i="29"/>
  <c r="AX22" i="29"/>
  <c r="AY22" i="29"/>
  <c r="BB22" i="29"/>
  <c r="BC22" i="29"/>
  <c r="BD22" i="29"/>
  <c r="BE22" i="29"/>
  <c r="BF22" i="29"/>
  <c r="BG22" i="29"/>
  <c r="BH22" i="29"/>
  <c r="BI22" i="29"/>
  <c r="BJ22" i="29"/>
  <c r="BK22" i="29"/>
  <c r="BL22" i="29"/>
  <c r="BM22" i="29"/>
  <c r="BN22" i="29"/>
  <c r="BO22" i="29"/>
  <c r="D23" i="29"/>
  <c r="F23" i="29"/>
  <c r="G23" i="29"/>
  <c r="H23" i="29"/>
  <c r="I23" i="29"/>
  <c r="K23" i="29"/>
  <c r="L23" i="29"/>
  <c r="N23" i="29"/>
  <c r="O23" i="29"/>
  <c r="P23" i="29"/>
  <c r="Q23" i="29"/>
  <c r="S23" i="29"/>
  <c r="T23" i="29"/>
  <c r="V23" i="29"/>
  <c r="X23" i="29"/>
  <c r="Y23" i="29"/>
  <c r="Z23" i="29"/>
  <c r="AA23" i="29"/>
  <c r="AB23" i="29"/>
  <c r="AC23" i="29"/>
  <c r="AF23" i="29"/>
  <c r="AG23" i="29"/>
  <c r="AH23" i="29"/>
  <c r="AI23" i="29"/>
  <c r="AJ23" i="29"/>
  <c r="AL23" i="29"/>
  <c r="AM23" i="29"/>
  <c r="AN23" i="29"/>
  <c r="AO23" i="29"/>
  <c r="AP23" i="29"/>
  <c r="AQ23" i="29"/>
  <c r="AR23" i="29"/>
  <c r="AS23" i="29"/>
  <c r="AT23" i="29"/>
  <c r="AU23" i="29"/>
  <c r="AV23" i="29"/>
  <c r="AW23" i="29"/>
  <c r="AX23" i="29"/>
  <c r="AY23" i="29"/>
  <c r="BB23" i="29"/>
  <c r="BC23" i="29"/>
  <c r="BD23" i="29"/>
  <c r="BE23" i="29"/>
  <c r="BF23" i="29"/>
  <c r="BG23" i="29"/>
  <c r="BH23" i="29"/>
  <c r="BI23" i="29"/>
  <c r="BJ23" i="29"/>
  <c r="BK23" i="29"/>
  <c r="BL23" i="29"/>
  <c r="BM23" i="29"/>
  <c r="BN23" i="29"/>
  <c r="BO23" i="29"/>
  <c r="D24" i="29"/>
  <c r="F24" i="29"/>
  <c r="G24" i="29"/>
  <c r="H24" i="29"/>
  <c r="I24" i="29"/>
  <c r="K24" i="29"/>
  <c r="L24" i="29"/>
  <c r="N24" i="29"/>
  <c r="O24" i="29"/>
  <c r="P24" i="29"/>
  <c r="Q24" i="29"/>
  <c r="S24" i="29"/>
  <c r="T24" i="29"/>
  <c r="V24" i="29"/>
  <c r="X24" i="29"/>
  <c r="Y24" i="29"/>
  <c r="Z24" i="29"/>
  <c r="AA24" i="29"/>
  <c r="AB24" i="29"/>
  <c r="AC24" i="29"/>
  <c r="AF24" i="29"/>
  <c r="AG24" i="29"/>
  <c r="AH24" i="29"/>
  <c r="AI24" i="29"/>
  <c r="AJ24" i="29"/>
  <c r="AL24" i="29"/>
  <c r="AM24" i="29"/>
  <c r="AN24" i="29"/>
  <c r="AO24" i="29"/>
  <c r="AP24" i="29"/>
  <c r="AQ24" i="29"/>
  <c r="AR24" i="29"/>
  <c r="AS24" i="29"/>
  <c r="AT24" i="29"/>
  <c r="AU24" i="29"/>
  <c r="AV24" i="29"/>
  <c r="AW24" i="29"/>
  <c r="AX24" i="29"/>
  <c r="AY24" i="29"/>
  <c r="BB24" i="29"/>
  <c r="BC24" i="29"/>
  <c r="BD24" i="29"/>
  <c r="BE24" i="29"/>
  <c r="BF24" i="29"/>
  <c r="BG24" i="29"/>
  <c r="BH24" i="29"/>
  <c r="BI24" i="29"/>
  <c r="BJ24" i="29"/>
  <c r="BK24" i="29"/>
  <c r="BL24" i="29"/>
  <c r="BM24" i="29"/>
  <c r="BN24" i="29"/>
  <c r="BO24" i="29"/>
  <c r="D25" i="29"/>
  <c r="F25" i="29"/>
  <c r="G25" i="29"/>
  <c r="H25" i="29"/>
  <c r="I25" i="29"/>
  <c r="K25" i="29"/>
  <c r="L25" i="29"/>
  <c r="N25" i="29"/>
  <c r="O25" i="29"/>
  <c r="P25" i="29"/>
  <c r="Q25" i="29"/>
  <c r="S25" i="29"/>
  <c r="T25" i="29"/>
  <c r="V25" i="29"/>
  <c r="X25" i="29"/>
  <c r="Y25" i="29"/>
  <c r="Z25" i="29"/>
  <c r="AA25" i="29"/>
  <c r="AB25" i="29"/>
  <c r="AC25" i="29"/>
  <c r="AF25" i="29"/>
  <c r="AG25" i="29"/>
  <c r="AH25" i="29"/>
  <c r="AI25" i="29"/>
  <c r="AJ25" i="29"/>
  <c r="AL25" i="29"/>
  <c r="AM25" i="29"/>
  <c r="AN25" i="29"/>
  <c r="AO25" i="29"/>
  <c r="AP25" i="29"/>
  <c r="AQ25" i="29"/>
  <c r="AR25" i="29"/>
  <c r="AS25" i="29"/>
  <c r="AT25" i="29"/>
  <c r="AU25" i="29"/>
  <c r="AV25" i="29"/>
  <c r="AW25" i="29"/>
  <c r="AX25" i="29"/>
  <c r="AY25" i="29"/>
  <c r="BB25" i="29"/>
  <c r="BC25" i="29"/>
  <c r="BD25" i="29"/>
  <c r="BE25" i="29"/>
  <c r="BF25" i="29"/>
  <c r="BG25" i="29"/>
  <c r="BH25" i="29"/>
  <c r="BI25" i="29"/>
  <c r="BJ25" i="29"/>
  <c r="BK25" i="29"/>
  <c r="BL25" i="29"/>
  <c r="BM25" i="29"/>
  <c r="BN25" i="29"/>
  <c r="BO25" i="29"/>
  <c r="D26" i="29"/>
  <c r="F26" i="29"/>
  <c r="G26" i="29"/>
  <c r="H26" i="29"/>
  <c r="I26" i="29"/>
  <c r="K26" i="29"/>
  <c r="L26" i="29"/>
  <c r="N26" i="29"/>
  <c r="O26" i="29"/>
  <c r="P26" i="29"/>
  <c r="Q26" i="29"/>
  <c r="S26" i="29"/>
  <c r="T26" i="29"/>
  <c r="V26" i="29"/>
  <c r="X26" i="29"/>
  <c r="Y26" i="29"/>
  <c r="Z26" i="29"/>
  <c r="AA26" i="29"/>
  <c r="AB26" i="29"/>
  <c r="AC26" i="29"/>
  <c r="AF26" i="29"/>
  <c r="AG26" i="29"/>
  <c r="AH26" i="29"/>
  <c r="AI26" i="29"/>
  <c r="AJ26" i="29"/>
  <c r="AL26" i="29"/>
  <c r="AM26" i="29"/>
  <c r="AN26" i="29"/>
  <c r="AO26" i="29"/>
  <c r="AP26" i="29"/>
  <c r="AQ26" i="29"/>
  <c r="AR26" i="29"/>
  <c r="AS26" i="29"/>
  <c r="AT26" i="29"/>
  <c r="AU26" i="29"/>
  <c r="AV26" i="29"/>
  <c r="AW26" i="29"/>
  <c r="AX26" i="29"/>
  <c r="AY26" i="29"/>
  <c r="BB26" i="29"/>
  <c r="BC26" i="29"/>
  <c r="BD26" i="29"/>
  <c r="BE26" i="29"/>
  <c r="BF26" i="29"/>
  <c r="BG26" i="29"/>
  <c r="BH26" i="29"/>
  <c r="BI26" i="29"/>
  <c r="BJ26" i="29"/>
  <c r="BK26" i="29"/>
  <c r="BL26" i="29"/>
  <c r="BM26" i="29"/>
  <c r="BN26" i="29"/>
  <c r="BO26" i="29"/>
  <c r="D27" i="29"/>
  <c r="F27" i="29"/>
  <c r="G27" i="29"/>
  <c r="H27" i="29"/>
  <c r="I27" i="29"/>
  <c r="K27" i="29"/>
  <c r="L27" i="29"/>
  <c r="N27" i="29"/>
  <c r="O27" i="29"/>
  <c r="P27" i="29"/>
  <c r="Q27" i="29"/>
  <c r="S27" i="29"/>
  <c r="T27" i="29"/>
  <c r="V27" i="29"/>
  <c r="X27" i="29"/>
  <c r="Y27" i="29"/>
  <c r="Z27" i="29"/>
  <c r="AA27" i="29"/>
  <c r="AB27" i="29"/>
  <c r="AC27" i="29"/>
  <c r="AF27" i="29"/>
  <c r="AG27" i="29"/>
  <c r="AH27" i="29"/>
  <c r="AI27" i="29"/>
  <c r="AJ27" i="29"/>
  <c r="AL27" i="29"/>
  <c r="AM27" i="29"/>
  <c r="AN27" i="29"/>
  <c r="AO27" i="29"/>
  <c r="AP27" i="29"/>
  <c r="AQ27" i="29"/>
  <c r="AR27" i="29"/>
  <c r="AS27" i="29"/>
  <c r="AT27" i="29"/>
  <c r="AU27" i="29"/>
  <c r="AV27" i="29"/>
  <c r="AW27" i="29"/>
  <c r="AX27" i="29"/>
  <c r="AY27" i="29"/>
  <c r="BB27" i="29"/>
  <c r="BC27" i="29"/>
  <c r="BD27" i="29"/>
  <c r="BE27" i="29"/>
  <c r="BF27" i="29"/>
  <c r="BG27" i="29"/>
  <c r="BH27" i="29"/>
  <c r="BI27" i="29"/>
  <c r="BJ27" i="29"/>
  <c r="BK27" i="29"/>
  <c r="BL27" i="29"/>
  <c r="BM27" i="29"/>
  <c r="BN27" i="29"/>
  <c r="BO27" i="29"/>
  <c r="D28" i="29"/>
  <c r="F28" i="29"/>
  <c r="G28" i="29"/>
  <c r="H28" i="29"/>
  <c r="I28" i="29"/>
  <c r="K28" i="29"/>
  <c r="L28" i="29"/>
  <c r="N28" i="29"/>
  <c r="O28" i="29"/>
  <c r="P28" i="29"/>
  <c r="Q28" i="29"/>
  <c r="S28" i="29"/>
  <c r="T28" i="29"/>
  <c r="V28" i="29"/>
  <c r="X28" i="29"/>
  <c r="Y28" i="29"/>
  <c r="Z28" i="29"/>
  <c r="AA28" i="29"/>
  <c r="AB28" i="29"/>
  <c r="AC28" i="29"/>
  <c r="AF28" i="29"/>
  <c r="AG28" i="29"/>
  <c r="AH28" i="29"/>
  <c r="AI28" i="29"/>
  <c r="AJ28" i="29"/>
  <c r="AL28" i="29"/>
  <c r="AM28" i="29"/>
  <c r="AN28" i="29"/>
  <c r="AO28" i="29"/>
  <c r="AP28" i="29"/>
  <c r="AQ28" i="29"/>
  <c r="AR28" i="29"/>
  <c r="AS28" i="29"/>
  <c r="AT28" i="29"/>
  <c r="AU28" i="29"/>
  <c r="AV28" i="29"/>
  <c r="AW28" i="29"/>
  <c r="AX28" i="29"/>
  <c r="AY28" i="29"/>
  <c r="BB28" i="29"/>
  <c r="BC28" i="29"/>
  <c r="BD28" i="29"/>
  <c r="BE28" i="29"/>
  <c r="BF28" i="29"/>
  <c r="BG28" i="29"/>
  <c r="BH28" i="29"/>
  <c r="BI28" i="29"/>
  <c r="BJ28" i="29"/>
  <c r="BK28" i="29"/>
  <c r="BL28" i="29"/>
  <c r="BM28" i="29"/>
  <c r="BN28" i="29"/>
  <c r="BO28" i="29"/>
  <c r="D29" i="29"/>
  <c r="F29" i="29"/>
  <c r="G29" i="29"/>
  <c r="H29" i="29"/>
  <c r="I29" i="29"/>
  <c r="K29" i="29"/>
  <c r="L29" i="29"/>
  <c r="N29" i="29"/>
  <c r="O29" i="29"/>
  <c r="P29" i="29"/>
  <c r="Q29" i="29"/>
  <c r="S29" i="29"/>
  <c r="T29" i="29"/>
  <c r="V29" i="29"/>
  <c r="X29" i="29"/>
  <c r="Y29" i="29"/>
  <c r="Z29" i="29"/>
  <c r="AA29" i="29"/>
  <c r="AB29" i="29"/>
  <c r="AC29" i="29"/>
  <c r="AF29" i="29"/>
  <c r="AG29" i="29"/>
  <c r="AH29" i="29"/>
  <c r="AI29" i="29"/>
  <c r="AJ29" i="29"/>
  <c r="AL29" i="29"/>
  <c r="AM29" i="29"/>
  <c r="AN29" i="29"/>
  <c r="AO29" i="29"/>
  <c r="AP29" i="29"/>
  <c r="AQ29" i="29"/>
  <c r="AR29" i="29"/>
  <c r="AS29" i="29"/>
  <c r="AT29" i="29"/>
  <c r="AU29" i="29"/>
  <c r="AV29" i="29"/>
  <c r="AW29" i="29"/>
  <c r="AX29" i="29"/>
  <c r="AY29" i="29"/>
  <c r="BB29" i="29"/>
  <c r="BC29" i="29"/>
  <c r="BD29" i="29"/>
  <c r="BE29" i="29"/>
  <c r="BF29" i="29"/>
  <c r="BG29" i="29"/>
  <c r="BH29" i="29"/>
  <c r="BI29" i="29"/>
  <c r="BJ29" i="29"/>
  <c r="BK29" i="29"/>
  <c r="BL29" i="29"/>
  <c r="BM29" i="29"/>
  <c r="BN29" i="29"/>
  <c r="BO29" i="29"/>
  <c r="D30" i="29"/>
  <c r="F30" i="29"/>
  <c r="G30" i="29"/>
  <c r="H30" i="29"/>
  <c r="I30" i="29"/>
  <c r="K30" i="29"/>
  <c r="L30" i="29"/>
  <c r="N30" i="29"/>
  <c r="O30" i="29"/>
  <c r="P30" i="29"/>
  <c r="Q30" i="29"/>
  <c r="S30" i="29"/>
  <c r="T30" i="29"/>
  <c r="V30" i="29"/>
  <c r="X30" i="29"/>
  <c r="Y30" i="29"/>
  <c r="Z30" i="29"/>
  <c r="AA30" i="29"/>
  <c r="AB30" i="29"/>
  <c r="AC30" i="29"/>
  <c r="AF30" i="29"/>
  <c r="AG30" i="29"/>
  <c r="AH30" i="29"/>
  <c r="AI30" i="29"/>
  <c r="AJ30" i="29"/>
  <c r="AL30" i="29"/>
  <c r="AM30" i="29"/>
  <c r="AN30" i="29"/>
  <c r="AO30" i="29"/>
  <c r="AP30" i="29"/>
  <c r="AQ30" i="29"/>
  <c r="AR30" i="29"/>
  <c r="AS30" i="29"/>
  <c r="AT30" i="29"/>
  <c r="AU30" i="29"/>
  <c r="AV30" i="29"/>
  <c r="AW30" i="29"/>
  <c r="AX30" i="29"/>
  <c r="AY30" i="29"/>
  <c r="BB30" i="29"/>
  <c r="BC30" i="29"/>
  <c r="BD30" i="29"/>
  <c r="BE30" i="29"/>
  <c r="BF30" i="29"/>
  <c r="BG30" i="29"/>
  <c r="BH30" i="29"/>
  <c r="BI30" i="29"/>
  <c r="BJ30" i="29"/>
  <c r="BK30" i="29"/>
  <c r="BL30" i="29"/>
  <c r="BM30" i="29"/>
  <c r="BN30" i="29"/>
  <c r="BO30" i="29"/>
  <c r="D31" i="29"/>
  <c r="F31" i="29"/>
  <c r="G31" i="29"/>
  <c r="H31" i="29"/>
  <c r="I31" i="29"/>
  <c r="K31" i="29"/>
  <c r="L31" i="29"/>
  <c r="N31" i="29"/>
  <c r="O31" i="29"/>
  <c r="P31" i="29"/>
  <c r="Q31" i="29"/>
  <c r="S31" i="29"/>
  <c r="T31" i="29"/>
  <c r="V31" i="29"/>
  <c r="X31" i="29"/>
  <c r="Y31" i="29"/>
  <c r="Z31" i="29"/>
  <c r="AA31" i="29"/>
  <c r="AB31" i="29"/>
  <c r="AC31" i="29"/>
  <c r="AF31" i="29"/>
  <c r="AG31" i="29"/>
  <c r="AH31" i="29"/>
  <c r="AI31" i="29"/>
  <c r="AJ31" i="29"/>
  <c r="AL31" i="29"/>
  <c r="AM31" i="29"/>
  <c r="AN31" i="29"/>
  <c r="AO31" i="29"/>
  <c r="AP31" i="29"/>
  <c r="AQ31" i="29"/>
  <c r="AR31" i="29"/>
  <c r="AS31" i="29"/>
  <c r="AT31" i="29"/>
  <c r="AU31" i="29"/>
  <c r="AV31" i="29"/>
  <c r="AW31" i="29"/>
  <c r="AX31" i="29"/>
  <c r="AY31" i="29"/>
  <c r="BB31" i="29"/>
  <c r="BC31" i="29"/>
  <c r="BD31" i="29"/>
  <c r="BE31" i="29"/>
  <c r="BF31" i="29"/>
  <c r="BG31" i="29"/>
  <c r="BH31" i="29"/>
  <c r="BI31" i="29"/>
  <c r="BJ31" i="29"/>
  <c r="BK31" i="29"/>
  <c r="BL31" i="29"/>
  <c r="BM31" i="29"/>
  <c r="BN31" i="29"/>
  <c r="BO31" i="29"/>
  <c r="F1" i="30"/>
  <c r="AV1" i="30"/>
  <c r="A2" i="30"/>
  <c r="F2" i="30"/>
  <c r="G2" i="30"/>
  <c r="N2" i="30"/>
  <c r="AV2" i="30"/>
  <c r="AW2" i="30"/>
  <c r="AX2" i="30"/>
  <c r="AY2" i="30"/>
  <c r="BW2" i="30"/>
  <c r="BX2" i="30"/>
  <c r="BY2" i="30"/>
  <c r="BZ2" i="30"/>
  <c r="CA2" i="30"/>
  <c r="CB2" i="30"/>
  <c r="CC2" i="30"/>
  <c r="CD2" i="30"/>
  <c r="CE2" i="30"/>
  <c r="CF2" i="30"/>
  <c r="CG2" i="30"/>
  <c r="CH2" i="30"/>
  <c r="CI2" i="30"/>
  <c r="CJ2" i="30"/>
  <c r="CK2" i="30"/>
  <c r="CL2" i="30"/>
  <c r="CM2" i="30"/>
  <c r="CN2" i="30"/>
  <c r="CO2" i="30"/>
  <c r="CP2" i="30"/>
  <c r="CQ2" i="30"/>
  <c r="CR2" i="30"/>
  <c r="CS2" i="30"/>
  <c r="CT2" i="30"/>
  <c r="CU2" i="30"/>
  <c r="CV2" i="30"/>
  <c r="CW2" i="30"/>
  <c r="CX2" i="30"/>
  <c r="A3" i="30"/>
  <c r="AH3" i="30"/>
  <c r="AK3" i="30"/>
  <c r="AV3" i="30"/>
  <c r="AW3" i="30"/>
  <c r="AX3" i="30"/>
  <c r="AY3" i="30"/>
  <c r="A4" i="30"/>
  <c r="N4" i="30"/>
  <c r="P4" i="30"/>
  <c r="T4" i="30"/>
  <c r="V4" i="30"/>
  <c r="W4" i="30"/>
  <c r="AH4" i="30"/>
  <c r="AK4" i="30"/>
  <c r="AM4" i="30"/>
  <c r="AN4" i="30"/>
  <c r="AO4" i="30"/>
  <c r="AP4" i="30"/>
  <c r="AQ4" i="30"/>
  <c r="AR4" i="30"/>
  <c r="AS4" i="30"/>
  <c r="AT4" i="30"/>
  <c r="AV4" i="30"/>
  <c r="AW4" i="30"/>
  <c r="AX4" i="30"/>
  <c r="AY4" i="30"/>
  <c r="A5" i="30"/>
  <c r="G5" i="30"/>
  <c r="N5" i="30"/>
  <c r="P5" i="30"/>
  <c r="T5" i="30"/>
  <c r="V5" i="30"/>
  <c r="W5" i="30"/>
  <c r="AH5" i="30"/>
  <c r="AK5" i="30"/>
  <c r="AM5" i="30"/>
  <c r="AN5" i="30"/>
  <c r="AO5" i="30"/>
  <c r="AP5" i="30"/>
  <c r="AQ5" i="30"/>
  <c r="AR5" i="30"/>
  <c r="AS5" i="30"/>
  <c r="AT5" i="30"/>
  <c r="AV5" i="30"/>
  <c r="AW5" i="30"/>
  <c r="AX5" i="30"/>
  <c r="AY5" i="30"/>
  <c r="BV5" i="30"/>
  <c r="A6" i="30"/>
  <c r="N6" i="30"/>
  <c r="P6" i="30"/>
  <c r="T6" i="30"/>
  <c r="V6" i="30"/>
  <c r="W6" i="30"/>
  <c r="AH6" i="30"/>
  <c r="AK6" i="30"/>
  <c r="AM6" i="30"/>
  <c r="AN6" i="30"/>
  <c r="AO6" i="30"/>
  <c r="AP6" i="30"/>
  <c r="AQ6" i="30"/>
  <c r="AR6" i="30"/>
  <c r="AS6" i="30"/>
  <c r="AT6" i="30"/>
  <c r="A7" i="30"/>
  <c r="G7" i="30"/>
  <c r="N7" i="30"/>
  <c r="N7" i="30" a="1"/>
  <c r="P7" i="30"/>
  <c r="T7" i="30"/>
  <c r="AH7" i="30"/>
  <c r="AK7" i="30"/>
  <c r="AM7" i="30"/>
  <c r="AN7" i="30"/>
  <c r="AO7" i="30"/>
  <c r="AP7" i="30"/>
  <c r="AQ7" i="30"/>
  <c r="AR7" i="30"/>
  <c r="AS7" i="30"/>
  <c r="AT7" i="30"/>
  <c r="AV7" i="30"/>
  <c r="AW7" i="30"/>
  <c r="AX7" i="30"/>
  <c r="AY7" i="30"/>
  <c r="G8" i="30"/>
  <c r="N8" i="30"/>
  <c r="N8" i="30" a="1"/>
  <c r="P8" i="30"/>
  <c r="T8" i="30"/>
  <c r="V8" i="30"/>
  <c r="W8" i="30"/>
  <c r="Y8" i="30"/>
  <c r="Z8" i="30"/>
  <c r="AH8" i="30"/>
  <c r="AK8" i="30"/>
  <c r="AM8" i="30"/>
  <c r="AN8" i="30"/>
  <c r="AO8" i="30"/>
  <c r="AP8" i="30"/>
  <c r="AQ8" i="30"/>
  <c r="AR8" i="30"/>
  <c r="AS8" i="30"/>
  <c r="AT8" i="30"/>
  <c r="AV8" i="30"/>
  <c r="AW8" i="30"/>
  <c r="AX8" i="30"/>
  <c r="AY8" i="30"/>
  <c r="N9" i="30"/>
  <c r="N9" i="30" a="1"/>
  <c r="P9" i="30"/>
  <c r="AK9" i="30"/>
  <c r="AM9" i="30"/>
  <c r="AN9" i="30"/>
  <c r="AO9" i="30"/>
  <c r="AP9" i="30"/>
  <c r="AQ9" i="30"/>
  <c r="AR9" i="30"/>
  <c r="AS9" i="30"/>
  <c r="AT9" i="30"/>
  <c r="AV9" i="30"/>
  <c r="AW9" i="30"/>
  <c r="AX9" i="30"/>
  <c r="AY9" i="30"/>
  <c r="N10" i="30"/>
  <c r="P10" i="30"/>
  <c r="AH10" i="30"/>
  <c r="AM10" i="30"/>
  <c r="AN10" i="30"/>
  <c r="AO10" i="30"/>
  <c r="AP10" i="30"/>
  <c r="AQ10" i="30"/>
  <c r="AR10" i="30"/>
  <c r="AS10" i="30"/>
  <c r="AT10" i="30"/>
  <c r="AV10" i="30"/>
  <c r="AW10" i="30"/>
  <c r="AX10" i="30"/>
  <c r="AY10" i="30"/>
  <c r="D11" i="30"/>
  <c r="N11" i="30"/>
  <c r="P11" i="30"/>
  <c r="AM11" i="30"/>
  <c r="AN11" i="30"/>
  <c r="AO11" i="30"/>
  <c r="AP11" i="30"/>
  <c r="AQ11" i="30"/>
  <c r="AR11" i="30"/>
  <c r="AS11" i="30"/>
  <c r="AT11" i="30"/>
  <c r="AV11" i="30"/>
  <c r="AW11" i="30"/>
  <c r="AX11" i="30"/>
  <c r="AY11" i="30"/>
  <c r="D12" i="30"/>
  <c r="N12" i="30"/>
  <c r="P12" i="30"/>
  <c r="AH12" i="30"/>
  <c r="AM12" i="30"/>
  <c r="AN12" i="30"/>
  <c r="AO12" i="30"/>
  <c r="AP12" i="30"/>
  <c r="AQ12" i="30"/>
  <c r="AR12" i="30"/>
  <c r="AS12" i="30"/>
  <c r="AT12" i="30"/>
  <c r="AV12" i="30"/>
  <c r="AW12" i="30"/>
  <c r="AX12" i="30"/>
  <c r="AY12" i="30"/>
  <c r="N13" i="30"/>
  <c r="P13" i="30"/>
  <c r="AH13" i="30"/>
  <c r="AM13" i="30"/>
  <c r="AN13" i="30"/>
  <c r="AO13" i="30"/>
  <c r="AP13" i="30"/>
  <c r="AQ13" i="30"/>
  <c r="AR13" i="30"/>
  <c r="AS13" i="30"/>
  <c r="AT13" i="30"/>
  <c r="AV13" i="30"/>
  <c r="AW13" i="30"/>
  <c r="AX13" i="30"/>
  <c r="AY13" i="30"/>
  <c r="N14" i="30"/>
  <c r="P14" i="30"/>
  <c r="S14" i="30"/>
  <c r="T14" i="30"/>
  <c r="AM14" i="30"/>
  <c r="AN14" i="30"/>
  <c r="AO14" i="30"/>
  <c r="AP14" i="30"/>
  <c r="AQ14" i="30"/>
  <c r="AR14" i="30"/>
  <c r="AS14" i="30"/>
  <c r="AT14" i="30"/>
  <c r="AV14" i="30"/>
  <c r="AW14" i="30"/>
  <c r="AX14" i="30"/>
  <c r="AY14" i="30"/>
  <c r="N15" i="30"/>
  <c r="P15" i="30"/>
  <c r="AM15" i="30"/>
  <c r="AN15" i="30"/>
  <c r="AO15" i="30"/>
  <c r="AP15" i="30"/>
  <c r="AQ15" i="30"/>
  <c r="AR15" i="30"/>
  <c r="AS15" i="30"/>
  <c r="AT15" i="30"/>
  <c r="AV15" i="30"/>
  <c r="AW15" i="30"/>
  <c r="AX15" i="30"/>
  <c r="AY15" i="30"/>
  <c r="N16" i="30"/>
  <c r="P16" i="30"/>
  <c r="AV16" i="30"/>
  <c r="AW16" i="30"/>
  <c r="AX16" i="30"/>
  <c r="AY16" i="30"/>
  <c r="N17" i="30"/>
  <c r="P17" i="30"/>
  <c r="AV17" i="30"/>
  <c r="AW17" i="30"/>
  <c r="AX17" i="30"/>
  <c r="AY17" i="30"/>
  <c r="N18" i="30"/>
  <c r="P18" i="30"/>
  <c r="AX18" i="30"/>
  <c r="AY18" i="30"/>
  <c r="N19" i="30"/>
  <c r="P19" i="30"/>
  <c r="S20" i="30"/>
  <c r="T20" i="30"/>
  <c r="AM20" i="30"/>
  <c r="AO20" i="30"/>
  <c r="AV20" i="30"/>
  <c r="AW20" i="30"/>
  <c r="AX20" i="30"/>
  <c r="AY20" i="30"/>
  <c r="D22" i="30"/>
  <c r="F22" i="30"/>
  <c r="G22" i="30"/>
  <c r="H22" i="30"/>
  <c r="I22" i="30"/>
  <c r="K22" i="30"/>
  <c r="L22" i="30"/>
  <c r="N22" i="30"/>
  <c r="O22" i="30"/>
  <c r="P22" i="30"/>
  <c r="Q22" i="30"/>
  <c r="S22" i="30"/>
  <c r="T22" i="30"/>
  <c r="V22" i="30"/>
  <c r="X22" i="30"/>
  <c r="Y22" i="30"/>
  <c r="Z22" i="30"/>
  <c r="AA22" i="30"/>
  <c r="AB22" i="30"/>
  <c r="AC22" i="30"/>
  <c r="AF22" i="30"/>
  <c r="AG22" i="30"/>
  <c r="AH22" i="30"/>
  <c r="AI22" i="30"/>
  <c r="AJ22" i="30"/>
  <c r="AL22" i="30"/>
  <c r="AM22" i="30"/>
  <c r="AN22" i="30"/>
  <c r="AO22" i="30"/>
  <c r="AP22" i="30"/>
  <c r="AQ22" i="30"/>
  <c r="AR22" i="30"/>
  <c r="AS22" i="30"/>
  <c r="AT22" i="30"/>
  <c r="AU22" i="30"/>
  <c r="AV22" i="30"/>
  <c r="AW22" i="30"/>
  <c r="AX22" i="30"/>
  <c r="AY22" i="30"/>
  <c r="BB22" i="30"/>
  <c r="BC22" i="30"/>
  <c r="BD22" i="30"/>
  <c r="BE22" i="30"/>
  <c r="BF22" i="30"/>
  <c r="BG22" i="30"/>
  <c r="BH22" i="30"/>
  <c r="BI22" i="30"/>
  <c r="BJ22" i="30"/>
  <c r="BK22" i="30"/>
  <c r="BL22" i="30"/>
  <c r="BM22" i="30"/>
  <c r="BN22" i="30"/>
  <c r="BO22" i="30"/>
  <c r="D23" i="30"/>
  <c r="F23" i="30"/>
  <c r="G23" i="30"/>
  <c r="H23" i="30"/>
  <c r="I23" i="30"/>
  <c r="K23" i="30"/>
  <c r="L23" i="30"/>
  <c r="N23" i="30"/>
  <c r="O23" i="30"/>
  <c r="P23" i="30"/>
  <c r="Q23" i="30"/>
  <c r="S23" i="30"/>
  <c r="T23" i="30"/>
  <c r="V23" i="30"/>
  <c r="X23" i="30"/>
  <c r="Y23" i="30"/>
  <c r="Z23" i="30"/>
  <c r="AA23" i="30"/>
  <c r="AB23" i="30"/>
  <c r="AC23" i="30"/>
  <c r="AF23" i="30"/>
  <c r="AG23" i="30"/>
  <c r="AH23" i="30"/>
  <c r="AI23" i="30"/>
  <c r="AJ23" i="30"/>
  <c r="AL23" i="30"/>
  <c r="AM23" i="30"/>
  <c r="AN23" i="30"/>
  <c r="AO23" i="30"/>
  <c r="AP23" i="30"/>
  <c r="AQ23" i="30"/>
  <c r="AR23" i="30"/>
  <c r="AS23" i="30"/>
  <c r="AT23" i="30"/>
  <c r="AU23" i="30"/>
  <c r="AV23" i="30"/>
  <c r="AW23" i="30"/>
  <c r="AX23" i="30"/>
  <c r="AY23" i="30"/>
  <c r="BB23" i="30"/>
  <c r="BC23" i="30"/>
  <c r="BD23" i="30"/>
  <c r="BE23" i="30"/>
  <c r="BF23" i="30"/>
  <c r="BG23" i="30"/>
  <c r="BH23" i="30"/>
  <c r="BI23" i="30"/>
  <c r="BJ23" i="30"/>
  <c r="BK23" i="30"/>
  <c r="BL23" i="30"/>
  <c r="BM23" i="30"/>
  <c r="BN23" i="30"/>
  <c r="BO23" i="30"/>
  <c r="D24" i="30"/>
  <c r="F24" i="30"/>
  <c r="G24" i="30"/>
  <c r="H24" i="30"/>
  <c r="I24" i="30"/>
  <c r="K24" i="30"/>
  <c r="L24" i="30"/>
  <c r="N24" i="30"/>
  <c r="O24" i="30"/>
  <c r="P24" i="30"/>
  <c r="Q24" i="30"/>
  <c r="S24" i="30"/>
  <c r="T24" i="30"/>
  <c r="V24" i="30"/>
  <c r="X24" i="30"/>
  <c r="Y24" i="30"/>
  <c r="Z24" i="30"/>
  <c r="AA24" i="30"/>
  <c r="AB24" i="30"/>
  <c r="AC24" i="30"/>
  <c r="AF24" i="30"/>
  <c r="AG24" i="30"/>
  <c r="AH24" i="30"/>
  <c r="AI24" i="30"/>
  <c r="AJ24" i="30"/>
  <c r="AL24" i="30"/>
  <c r="AM24" i="30"/>
  <c r="AN24" i="30"/>
  <c r="AO24" i="30"/>
  <c r="AP24" i="30"/>
  <c r="AQ24" i="30"/>
  <c r="AR24" i="30"/>
  <c r="AS24" i="30"/>
  <c r="AT24" i="30"/>
  <c r="AU24" i="30"/>
  <c r="AV24" i="30"/>
  <c r="AW24" i="30"/>
  <c r="AX24" i="30"/>
  <c r="AY24" i="30"/>
  <c r="BB24" i="30"/>
  <c r="BC24" i="30"/>
  <c r="BD24" i="30"/>
  <c r="BE24" i="30"/>
  <c r="BF24" i="30"/>
  <c r="BG24" i="30"/>
  <c r="BH24" i="30"/>
  <c r="BI24" i="30"/>
  <c r="BJ24" i="30"/>
  <c r="BK24" i="30"/>
  <c r="BL24" i="30"/>
  <c r="BM24" i="30"/>
  <c r="BN24" i="30"/>
  <c r="BO24" i="30"/>
  <c r="D25" i="30"/>
  <c r="F25" i="30"/>
  <c r="G25" i="30"/>
  <c r="H25" i="30"/>
  <c r="I25" i="30"/>
  <c r="K25" i="30"/>
  <c r="L25" i="30"/>
  <c r="N25" i="30"/>
  <c r="O25" i="30"/>
  <c r="P25" i="30"/>
  <c r="Q25" i="30"/>
  <c r="S25" i="30"/>
  <c r="T25" i="30"/>
  <c r="V25" i="30"/>
  <c r="X25" i="30"/>
  <c r="Y25" i="30"/>
  <c r="Z25" i="30"/>
  <c r="AA25" i="30"/>
  <c r="AB25" i="30"/>
  <c r="AC25" i="30"/>
  <c r="AF25" i="30"/>
  <c r="AG25" i="30"/>
  <c r="AH25" i="30"/>
  <c r="AI25" i="30"/>
  <c r="AJ25" i="30"/>
  <c r="AL25" i="30"/>
  <c r="AM25" i="30"/>
  <c r="AN25" i="30"/>
  <c r="AO25" i="30"/>
  <c r="AP25" i="30"/>
  <c r="AQ25" i="30"/>
  <c r="AR25" i="30"/>
  <c r="AS25" i="30"/>
  <c r="AT25" i="30"/>
  <c r="AU25" i="30"/>
  <c r="AV25" i="30"/>
  <c r="AW25" i="30"/>
  <c r="AX25" i="30"/>
  <c r="AY25" i="30"/>
  <c r="BB25" i="30"/>
  <c r="BC25" i="30"/>
  <c r="BD25" i="30"/>
  <c r="BE25" i="30"/>
  <c r="BF25" i="30"/>
  <c r="BG25" i="30"/>
  <c r="BH25" i="30"/>
  <c r="BI25" i="30"/>
  <c r="BJ25" i="30"/>
  <c r="BK25" i="30"/>
  <c r="BL25" i="30"/>
  <c r="BM25" i="30"/>
  <c r="BN25" i="30"/>
  <c r="BO25" i="30"/>
  <c r="D26" i="30"/>
  <c r="F26" i="30"/>
  <c r="G26" i="30"/>
  <c r="H26" i="30"/>
  <c r="I26" i="30"/>
  <c r="K26" i="30"/>
  <c r="L26" i="30"/>
  <c r="N26" i="30"/>
  <c r="O26" i="30"/>
  <c r="P26" i="30"/>
  <c r="Q26" i="30"/>
  <c r="S26" i="30"/>
  <c r="T26" i="30"/>
  <c r="V26" i="30"/>
  <c r="X26" i="30"/>
  <c r="Y26" i="30"/>
  <c r="Z26" i="30"/>
  <c r="AA26" i="30"/>
  <c r="AB26" i="30"/>
  <c r="AC26" i="30"/>
  <c r="AF26" i="30"/>
  <c r="AG26" i="30"/>
  <c r="AH26" i="30"/>
  <c r="AI26" i="30"/>
  <c r="AJ26" i="30"/>
  <c r="AL26" i="30"/>
  <c r="AM26" i="30"/>
  <c r="AN26" i="30"/>
  <c r="AO26" i="30"/>
  <c r="AP26" i="30"/>
  <c r="AQ26" i="30"/>
  <c r="AR26" i="30"/>
  <c r="AS26" i="30"/>
  <c r="AT26" i="30"/>
  <c r="AU26" i="30"/>
  <c r="AV26" i="30"/>
  <c r="AW26" i="30"/>
  <c r="AX26" i="30"/>
  <c r="AY26" i="30"/>
  <c r="BB26" i="30"/>
  <c r="BC26" i="30"/>
  <c r="BD26" i="30"/>
  <c r="BE26" i="30"/>
  <c r="BF26" i="30"/>
  <c r="BG26" i="30"/>
  <c r="BH26" i="30"/>
  <c r="BI26" i="30"/>
  <c r="BJ26" i="30"/>
  <c r="BK26" i="30"/>
  <c r="BL26" i="30"/>
  <c r="BM26" i="30"/>
  <c r="BN26" i="30"/>
  <c r="BO26" i="30"/>
  <c r="D27" i="30"/>
  <c r="F27" i="30"/>
  <c r="G27" i="30"/>
  <c r="H27" i="30"/>
  <c r="I27" i="30"/>
  <c r="K27" i="30"/>
  <c r="L27" i="30"/>
  <c r="N27" i="30"/>
  <c r="O27" i="30"/>
  <c r="P27" i="30"/>
  <c r="Q27" i="30"/>
  <c r="S27" i="30"/>
  <c r="T27" i="30"/>
  <c r="V27" i="30"/>
  <c r="X27" i="30"/>
  <c r="Y27" i="30"/>
  <c r="Z27" i="30"/>
  <c r="AA27" i="30"/>
  <c r="AB27" i="30"/>
  <c r="AC27" i="30"/>
  <c r="AF27" i="30"/>
  <c r="AG27" i="30"/>
  <c r="AH27" i="30"/>
  <c r="AI27" i="30"/>
  <c r="AJ27" i="30"/>
  <c r="AL27" i="30"/>
  <c r="AM27" i="30"/>
  <c r="AN27" i="30"/>
  <c r="AO27" i="30"/>
  <c r="AP27" i="30"/>
  <c r="AQ27" i="30"/>
  <c r="AR27" i="30"/>
  <c r="AS27" i="30"/>
  <c r="AT27" i="30"/>
  <c r="AU27" i="30"/>
  <c r="AV27" i="30"/>
  <c r="AW27" i="30"/>
  <c r="AX27" i="30"/>
  <c r="AY27" i="30"/>
  <c r="BB27" i="30"/>
  <c r="BC27" i="30"/>
  <c r="BD27" i="30"/>
  <c r="BE27" i="30"/>
  <c r="BF27" i="30"/>
  <c r="BG27" i="30"/>
  <c r="BH27" i="30"/>
  <c r="BI27" i="30"/>
  <c r="BJ27" i="30"/>
  <c r="BK27" i="30"/>
  <c r="BL27" i="30"/>
  <c r="BM27" i="30"/>
  <c r="BN27" i="30"/>
  <c r="BO27" i="30"/>
  <c r="D28" i="30"/>
  <c r="F28" i="30"/>
  <c r="G28" i="30"/>
  <c r="H28" i="30"/>
  <c r="I28" i="30"/>
  <c r="K28" i="30"/>
  <c r="L28" i="30"/>
  <c r="N28" i="30"/>
  <c r="O28" i="30"/>
  <c r="P28" i="30"/>
  <c r="Q28" i="30"/>
  <c r="S28" i="30"/>
  <c r="T28" i="30"/>
  <c r="V28" i="30"/>
  <c r="X28" i="30"/>
  <c r="Y28" i="30"/>
  <c r="Z28" i="30"/>
  <c r="AA28" i="30"/>
  <c r="AB28" i="30"/>
  <c r="AC28" i="30"/>
  <c r="AF28" i="30"/>
  <c r="AG28" i="30"/>
  <c r="AH28" i="30"/>
  <c r="AI28" i="30"/>
  <c r="AJ28" i="30"/>
  <c r="AL28" i="30"/>
  <c r="AM28" i="30"/>
  <c r="AN28" i="30"/>
  <c r="AO28" i="30"/>
  <c r="AP28" i="30"/>
  <c r="AQ28" i="30"/>
  <c r="AR28" i="30"/>
  <c r="AS28" i="30"/>
  <c r="AT28" i="30"/>
  <c r="AU28" i="30"/>
  <c r="AV28" i="30"/>
  <c r="AW28" i="30"/>
  <c r="AX28" i="30"/>
  <c r="AY28" i="30"/>
  <c r="BB28" i="30"/>
  <c r="BC28" i="30"/>
  <c r="BD28" i="30"/>
  <c r="BE28" i="30"/>
  <c r="BF28" i="30"/>
  <c r="BG28" i="30"/>
  <c r="BH28" i="30"/>
  <c r="BI28" i="30"/>
  <c r="BJ28" i="30"/>
  <c r="BK28" i="30"/>
  <c r="BL28" i="30"/>
  <c r="BM28" i="30"/>
  <c r="BN28" i="30"/>
  <c r="BO28" i="30"/>
  <c r="D29" i="30"/>
  <c r="F29" i="30"/>
  <c r="G29" i="30"/>
  <c r="H29" i="30"/>
  <c r="I29" i="30"/>
  <c r="K29" i="30"/>
  <c r="L29" i="30"/>
  <c r="N29" i="30"/>
  <c r="O29" i="30"/>
  <c r="P29" i="30"/>
  <c r="Q29" i="30"/>
  <c r="S29" i="30"/>
  <c r="T29" i="30"/>
  <c r="V29" i="30"/>
  <c r="X29" i="30"/>
  <c r="Y29" i="30"/>
  <c r="Z29" i="30"/>
  <c r="AA29" i="30"/>
  <c r="AB29" i="30"/>
  <c r="AC29" i="30"/>
  <c r="AF29" i="30"/>
  <c r="AG29" i="30"/>
  <c r="AH29" i="30"/>
  <c r="AI29" i="30"/>
  <c r="AJ29" i="30"/>
  <c r="AL29" i="30"/>
  <c r="AM29" i="30"/>
  <c r="AN29" i="30"/>
  <c r="AO29" i="30"/>
  <c r="AP29" i="30"/>
  <c r="AQ29" i="30"/>
  <c r="AR29" i="30"/>
  <c r="AS29" i="30"/>
  <c r="AT29" i="30"/>
  <c r="AU29" i="30"/>
  <c r="AV29" i="30"/>
  <c r="AW29" i="30"/>
  <c r="AX29" i="30"/>
  <c r="AY29" i="30"/>
  <c r="BB29" i="30"/>
  <c r="BC29" i="30"/>
  <c r="BD29" i="30"/>
  <c r="BE29" i="30"/>
  <c r="BF29" i="30"/>
  <c r="BG29" i="30"/>
  <c r="BH29" i="30"/>
  <c r="BI29" i="30"/>
  <c r="BJ29" i="30"/>
  <c r="BK29" i="30"/>
  <c r="BL29" i="30"/>
  <c r="BM29" i="30"/>
  <c r="BN29" i="30"/>
  <c r="BO29" i="30"/>
  <c r="D30" i="30"/>
  <c r="F30" i="30"/>
  <c r="G30" i="30"/>
  <c r="H30" i="30"/>
  <c r="I30" i="30"/>
  <c r="K30" i="30"/>
  <c r="L30" i="30"/>
  <c r="N30" i="30"/>
  <c r="O30" i="30"/>
  <c r="P30" i="30"/>
  <c r="Q30" i="30"/>
  <c r="S30" i="30"/>
  <c r="T30" i="30"/>
  <c r="V30" i="30"/>
  <c r="X30" i="30"/>
  <c r="Y30" i="30"/>
  <c r="Z30" i="30"/>
  <c r="AA30" i="30"/>
  <c r="AB30" i="30"/>
  <c r="AC30" i="30"/>
  <c r="AF30" i="30"/>
  <c r="AG30" i="30"/>
  <c r="AH30" i="30"/>
  <c r="AI30" i="30"/>
  <c r="AJ30" i="30"/>
  <c r="AL30" i="30"/>
  <c r="AM30" i="30"/>
  <c r="AN30" i="30"/>
  <c r="AO30" i="30"/>
  <c r="AP30" i="30"/>
  <c r="AQ30" i="30"/>
  <c r="AR30" i="30"/>
  <c r="AS30" i="30"/>
  <c r="AT30" i="30"/>
  <c r="AU30" i="30"/>
  <c r="AV30" i="30"/>
  <c r="AW30" i="30"/>
  <c r="AX30" i="30"/>
  <c r="AY30" i="30"/>
  <c r="BB30" i="30"/>
  <c r="BC30" i="30"/>
  <c r="BD30" i="30"/>
  <c r="BE30" i="30"/>
  <c r="BF30" i="30"/>
  <c r="BG30" i="30"/>
  <c r="BH30" i="30"/>
  <c r="BI30" i="30"/>
  <c r="BJ30" i="30"/>
  <c r="BK30" i="30"/>
  <c r="BL30" i="30"/>
  <c r="BM30" i="30"/>
  <c r="BN30" i="30"/>
  <c r="BO30" i="30"/>
  <c r="D31" i="30"/>
  <c r="F31" i="30"/>
  <c r="G31" i="30"/>
  <c r="H31" i="30"/>
  <c r="I31" i="30"/>
  <c r="K31" i="30"/>
  <c r="L31" i="30"/>
  <c r="N31" i="30"/>
  <c r="O31" i="30"/>
  <c r="P31" i="30"/>
  <c r="Q31" i="30"/>
  <c r="S31" i="30"/>
  <c r="T31" i="30"/>
  <c r="V31" i="30"/>
  <c r="X31" i="30"/>
  <c r="Y31" i="30"/>
  <c r="Z31" i="30"/>
  <c r="AA31" i="30"/>
  <c r="AB31" i="30"/>
  <c r="AC31" i="30"/>
  <c r="AF31" i="30"/>
  <c r="AG31" i="30"/>
  <c r="AH31" i="30"/>
  <c r="AI31" i="30"/>
  <c r="AJ31" i="30"/>
  <c r="AL31" i="30"/>
  <c r="AM31" i="30"/>
  <c r="AN31" i="30"/>
  <c r="AO31" i="30"/>
  <c r="AP31" i="30"/>
  <c r="AQ31" i="30"/>
  <c r="AR31" i="30"/>
  <c r="AS31" i="30"/>
  <c r="AT31" i="30"/>
  <c r="AU31" i="30"/>
  <c r="AV31" i="30"/>
  <c r="AW31" i="30"/>
  <c r="AX31" i="30"/>
  <c r="AY31" i="30"/>
  <c r="BB31" i="30"/>
  <c r="BC31" i="30"/>
  <c r="BD31" i="30"/>
  <c r="BE31" i="30"/>
  <c r="BF31" i="30"/>
  <c r="BG31" i="30"/>
  <c r="BH31" i="30"/>
  <c r="BI31" i="30"/>
  <c r="BJ31" i="30"/>
  <c r="BK31" i="30"/>
  <c r="BL31" i="30"/>
  <c r="BM31" i="30"/>
  <c r="BN31" i="30"/>
  <c r="BO31" i="30"/>
  <c r="D32" i="30"/>
  <c r="F32" i="30"/>
  <c r="G32" i="30"/>
  <c r="H32" i="30"/>
  <c r="I32" i="30"/>
  <c r="K32" i="30"/>
  <c r="L32" i="30"/>
  <c r="N32" i="30"/>
  <c r="O32" i="30"/>
  <c r="P32" i="30"/>
  <c r="Q32" i="30"/>
  <c r="S32" i="30"/>
  <c r="T32" i="30"/>
  <c r="V32" i="30"/>
  <c r="X32" i="30"/>
  <c r="Y32" i="30"/>
  <c r="Z32" i="30"/>
  <c r="AA32" i="30"/>
  <c r="AB32" i="30"/>
  <c r="AC32" i="30"/>
  <c r="AF32" i="30"/>
  <c r="AG32" i="30"/>
  <c r="AH32" i="30"/>
  <c r="AI32" i="30"/>
  <c r="AJ32" i="30"/>
  <c r="AL32" i="30"/>
  <c r="AM32" i="30"/>
  <c r="AN32" i="30"/>
  <c r="AO32" i="30"/>
  <c r="AP32" i="30"/>
  <c r="AQ32" i="30"/>
  <c r="AR32" i="30"/>
  <c r="AS32" i="30"/>
  <c r="AT32" i="30"/>
  <c r="AU32" i="30"/>
  <c r="AV32" i="30"/>
  <c r="AW32" i="30"/>
  <c r="AX32" i="30"/>
  <c r="AY32" i="30"/>
  <c r="BB32" i="30"/>
  <c r="BC32" i="30"/>
  <c r="BD32" i="30"/>
  <c r="BE32" i="30"/>
  <c r="BF32" i="30"/>
  <c r="BG32" i="30"/>
  <c r="BH32" i="30"/>
  <c r="BI32" i="30"/>
  <c r="BJ32" i="30"/>
  <c r="BK32" i="30"/>
  <c r="BL32" i="30"/>
  <c r="BM32" i="30"/>
  <c r="BN32" i="30"/>
  <c r="BO32" i="30"/>
  <c r="D33" i="30"/>
  <c r="F33" i="30"/>
  <c r="G33" i="30"/>
  <c r="H33" i="30"/>
  <c r="I33" i="30"/>
  <c r="K33" i="30"/>
  <c r="L33" i="30"/>
  <c r="N33" i="30"/>
  <c r="O33" i="30"/>
  <c r="P33" i="30"/>
  <c r="Q33" i="30"/>
  <c r="S33" i="30"/>
  <c r="T33" i="30"/>
  <c r="V33" i="30"/>
  <c r="X33" i="30"/>
  <c r="Y33" i="30"/>
  <c r="Z33" i="30"/>
  <c r="AA33" i="30"/>
  <c r="AB33" i="30"/>
  <c r="AC33" i="30"/>
  <c r="AF33" i="30"/>
  <c r="AG33" i="30"/>
  <c r="AH33" i="30"/>
  <c r="AI33" i="30"/>
  <c r="AJ33" i="30"/>
  <c r="AL33" i="30"/>
  <c r="AM33" i="30"/>
  <c r="AN33" i="30"/>
  <c r="AO33" i="30"/>
  <c r="AP33" i="30"/>
  <c r="AQ33" i="30"/>
  <c r="AR33" i="30"/>
  <c r="AS33" i="30"/>
  <c r="AT33" i="30"/>
  <c r="AU33" i="30"/>
  <c r="AV33" i="30"/>
  <c r="AW33" i="30"/>
  <c r="AX33" i="30"/>
  <c r="AY33" i="30"/>
  <c r="BB33" i="30"/>
  <c r="BC33" i="30"/>
  <c r="BD33" i="30"/>
  <c r="BE33" i="30"/>
  <c r="BF33" i="30"/>
  <c r="BG33" i="30"/>
  <c r="BH33" i="30"/>
  <c r="BI33" i="30"/>
  <c r="BJ33" i="30"/>
  <c r="BK33" i="30"/>
  <c r="BL33" i="30"/>
  <c r="BM33" i="30"/>
  <c r="BN33" i="30"/>
  <c r="BO33" i="30"/>
  <c r="D34" i="30"/>
  <c r="F34" i="30"/>
  <c r="G34" i="30"/>
  <c r="H34" i="30"/>
  <c r="I34" i="30"/>
  <c r="K34" i="30"/>
  <c r="L34" i="30"/>
  <c r="N34" i="30"/>
  <c r="O34" i="30"/>
  <c r="P34" i="30"/>
  <c r="Q34" i="30"/>
  <c r="S34" i="30"/>
  <c r="T34" i="30"/>
  <c r="V34" i="30"/>
  <c r="X34" i="30"/>
  <c r="Y34" i="30"/>
  <c r="Z34" i="30"/>
  <c r="AA34" i="30"/>
  <c r="AB34" i="30"/>
  <c r="AC34" i="30"/>
  <c r="AF34" i="30"/>
  <c r="AG34" i="30"/>
  <c r="AH34" i="30"/>
  <c r="AI34" i="30"/>
  <c r="AJ34" i="30"/>
  <c r="AL34" i="30"/>
  <c r="AM34" i="30"/>
  <c r="AN34" i="30"/>
  <c r="AO34" i="30"/>
  <c r="AP34" i="30"/>
  <c r="AQ34" i="30"/>
  <c r="AR34" i="30"/>
  <c r="AS34" i="30"/>
  <c r="AT34" i="30"/>
  <c r="AU34" i="30"/>
  <c r="AV34" i="30"/>
  <c r="AW34" i="30"/>
  <c r="AX34" i="30"/>
  <c r="AY34" i="30"/>
  <c r="BB34" i="30"/>
  <c r="BC34" i="30"/>
  <c r="BD34" i="30"/>
  <c r="BE34" i="30"/>
  <c r="BF34" i="30"/>
  <c r="BG34" i="30"/>
  <c r="BH34" i="30"/>
  <c r="BI34" i="30"/>
  <c r="BJ34" i="30"/>
  <c r="BK34" i="30"/>
  <c r="BL34" i="30"/>
  <c r="BM34" i="30"/>
  <c r="BN34" i="30"/>
  <c r="BO34" i="30"/>
  <c r="D35" i="30"/>
  <c r="F35" i="30"/>
  <c r="G35" i="30"/>
  <c r="H35" i="30"/>
  <c r="I35" i="30"/>
  <c r="K35" i="30"/>
  <c r="L35" i="30"/>
  <c r="N35" i="30"/>
  <c r="O35" i="30"/>
  <c r="P35" i="30"/>
  <c r="Q35" i="30"/>
  <c r="S35" i="30"/>
  <c r="T35" i="30"/>
  <c r="V35" i="30"/>
  <c r="X35" i="30"/>
  <c r="Y35" i="30"/>
  <c r="Z35" i="30"/>
  <c r="AA35" i="30"/>
  <c r="AB35" i="30"/>
  <c r="AC35" i="30"/>
  <c r="AF35" i="30"/>
  <c r="AG35" i="30"/>
  <c r="AH35" i="30"/>
  <c r="AI35" i="30"/>
  <c r="AJ35" i="30"/>
  <c r="AL35" i="30"/>
  <c r="AM35" i="30"/>
  <c r="AN35" i="30"/>
  <c r="AO35" i="30"/>
  <c r="AP35" i="30"/>
  <c r="AQ35" i="30"/>
  <c r="AR35" i="30"/>
  <c r="AS35" i="30"/>
  <c r="AT35" i="30"/>
  <c r="AU35" i="30"/>
  <c r="AV35" i="30"/>
  <c r="AW35" i="30"/>
  <c r="AX35" i="30"/>
  <c r="AY35" i="30"/>
  <c r="BB35" i="30"/>
  <c r="BC35" i="30"/>
  <c r="BD35" i="30"/>
  <c r="BE35" i="30"/>
  <c r="BF35" i="30"/>
  <c r="BG35" i="30"/>
  <c r="BH35" i="30"/>
  <c r="BI35" i="30"/>
  <c r="BJ35" i="30"/>
  <c r="BK35" i="30"/>
  <c r="BL35" i="30"/>
  <c r="BM35" i="30"/>
  <c r="BN35" i="30"/>
  <c r="BO35" i="30"/>
  <c r="D36" i="30"/>
  <c r="F36" i="30"/>
  <c r="G36" i="30"/>
  <c r="H36" i="30"/>
  <c r="I36" i="30"/>
  <c r="K36" i="30"/>
  <c r="L36" i="30"/>
  <c r="N36" i="30"/>
  <c r="O36" i="30"/>
  <c r="P36" i="30"/>
  <c r="Q36" i="30"/>
  <c r="S36" i="30"/>
  <c r="T36" i="30"/>
  <c r="V36" i="30"/>
  <c r="X36" i="30"/>
  <c r="Y36" i="30"/>
  <c r="Z36" i="30"/>
  <c r="AA36" i="30"/>
  <c r="AB36" i="30"/>
  <c r="AC36" i="30"/>
  <c r="AF36" i="30"/>
  <c r="AG36" i="30"/>
  <c r="AH36" i="30"/>
  <c r="AI36" i="30"/>
  <c r="AJ36" i="30"/>
  <c r="AL36" i="30"/>
  <c r="AM36" i="30"/>
  <c r="AN36" i="30"/>
  <c r="AO36" i="30"/>
  <c r="AP36" i="30"/>
  <c r="AQ36" i="30"/>
  <c r="AR36" i="30"/>
  <c r="AS36" i="30"/>
  <c r="AT36" i="30"/>
  <c r="AU36" i="30"/>
  <c r="AV36" i="30"/>
  <c r="AW36" i="30"/>
  <c r="AX36" i="30"/>
  <c r="AY36" i="30"/>
  <c r="BB36" i="30"/>
  <c r="BC36" i="30"/>
  <c r="BD36" i="30"/>
  <c r="BE36" i="30"/>
  <c r="BF36" i="30"/>
  <c r="BG36" i="30"/>
  <c r="BH36" i="30"/>
  <c r="BI36" i="30"/>
  <c r="BJ36" i="30"/>
  <c r="BK36" i="30"/>
  <c r="BL36" i="30"/>
  <c r="BM36" i="30"/>
  <c r="BN36" i="30"/>
  <c r="BO36" i="30"/>
  <c r="D37" i="30"/>
  <c r="F37" i="30"/>
  <c r="G37" i="30"/>
  <c r="H37" i="30"/>
  <c r="I37" i="30"/>
  <c r="K37" i="30"/>
  <c r="L37" i="30"/>
  <c r="N37" i="30"/>
  <c r="O37" i="30"/>
  <c r="P37" i="30"/>
  <c r="Q37" i="30"/>
  <c r="S37" i="30"/>
  <c r="T37" i="30"/>
  <c r="V37" i="30"/>
  <c r="X37" i="30"/>
  <c r="Y37" i="30"/>
  <c r="Z37" i="30"/>
  <c r="AA37" i="30"/>
  <c r="AB37" i="30"/>
  <c r="AC37" i="30"/>
  <c r="AF37" i="30"/>
  <c r="AG37" i="30"/>
  <c r="AH37" i="30"/>
  <c r="AI37" i="30"/>
  <c r="AJ37" i="30"/>
  <c r="AL37" i="30"/>
  <c r="AM37" i="30"/>
  <c r="AN37" i="30"/>
  <c r="AO37" i="30"/>
  <c r="AP37" i="30"/>
  <c r="AQ37" i="30"/>
  <c r="AR37" i="30"/>
  <c r="AS37" i="30"/>
  <c r="AT37" i="30"/>
  <c r="AU37" i="30"/>
  <c r="AV37" i="30"/>
  <c r="AW37" i="30"/>
  <c r="AX37" i="30"/>
  <c r="AY37" i="30"/>
  <c r="BB37" i="30"/>
  <c r="BC37" i="30"/>
  <c r="BD37" i="30"/>
  <c r="BE37" i="30"/>
  <c r="BF37" i="30"/>
  <c r="BG37" i="30"/>
  <c r="BH37" i="30"/>
  <c r="BI37" i="30"/>
  <c r="BJ37" i="30"/>
  <c r="BK37" i="30"/>
  <c r="BL37" i="30"/>
  <c r="BM37" i="30"/>
  <c r="BN37" i="30"/>
  <c r="BO37" i="30"/>
  <c r="D38" i="30"/>
  <c r="F38" i="30"/>
  <c r="G38" i="30"/>
  <c r="H38" i="30"/>
  <c r="I38" i="30"/>
  <c r="K38" i="30"/>
  <c r="L38" i="30"/>
  <c r="N38" i="30"/>
  <c r="O38" i="30"/>
  <c r="P38" i="30"/>
  <c r="Q38" i="30"/>
  <c r="S38" i="30"/>
  <c r="T38" i="30"/>
  <c r="V38" i="30"/>
  <c r="X38" i="30"/>
  <c r="Y38" i="30"/>
  <c r="Z38" i="30"/>
  <c r="AA38" i="30"/>
  <c r="AB38" i="30"/>
  <c r="AC38" i="30"/>
  <c r="AF38" i="30"/>
  <c r="AG38" i="30"/>
  <c r="AH38" i="30"/>
  <c r="AI38" i="30"/>
  <c r="AJ38" i="30"/>
  <c r="AL38" i="30"/>
  <c r="AM38" i="30"/>
  <c r="AN38" i="30"/>
  <c r="AO38" i="30"/>
  <c r="AP38" i="30"/>
  <c r="AQ38" i="30"/>
  <c r="AR38" i="30"/>
  <c r="AS38" i="30"/>
  <c r="AT38" i="30"/>
  <c r="AU38" i="30"/>
  <c r="AV38" i="30"/>
  <c r="AW38" i="30"/>
  <c r="AX38" i="30"/>
  <c r="AY38" i="30"/>
  <c r="BB38" i="30"/>
  <c r="BC38" i="30"/>
  <c r="BD38" i="30"/>
  <c r="BE38" i="30"/>
  <c r="BF38" i="30"/>
  <c r="BG38" i="30"/>
  <c r="BH38" i="30"/>
  <c r="BI38" i="30"/>
  <c r="BJ38" i="30"/>
  <c r="BK38" i="30"/>
  <c r="BL38" i="30"/>
  <c r="BM38" i="30"/>
  <c r="BN38" i="30"/>
  <c r="BO38" i="30"/>
  <c r="D39" i="30"/>
  <c r="F39" i="30"/>
  <c r="G39" i="30"/>
  <c r="H39" i="30"/>
  <c r="I39" i="30"/>
  <c r="K39" i="30"/>
  <c r="L39" i="30"/>
  <c r="N39" i="30"/>
  <c r="O39" i="30"/>
  <c r="P39" i="30"/>
  <c r="Q39" i="30"/>
  <c r="S39" i="30"/>
  <c r="T39" i="30"/>
  <c r="V39" i="30"/>
  <c r="X39" i="30"/>
  <c r="Y39" i="30"/>
  <c r="Z39" i="30"/>
  <c r="AA39" i="30"/>
  <c r="AB39" i="30"/>
  <c r="AC39" i="30"/>
  <c r="AF39" i="30"/>
  <c r="AG39" i="30"/>
  <c r="AH39" i="30"/>
  <c r="AI39" i="30"/>
  <c r="AJ39" i="30"/>
  <c r="AL39" i="30"/>
  <c r="AM39" i="30"/>
  <c r="AN39" i="30"/>
  <c r="AO39" i="30"/>
  <c r="AP39" i="30"/>
  <c r="AQ39" i="30"/>
  <c r="AR39" i="30"/>
  <c r="AS39" i="30"/>
  <c r="AT39" i="30"/>
  <c r="AU39" i="30"/>
  <c r="AV39" i="30"/>
  <c r="AW39" i="30"/>
  <c r="AX39" i="30"/>
  <c r="AY39" i="30"/>
  <c r="BB39" i="30"/>
  <c r="BC39" i="30"/>
  <c r="BD39" i="30"/>
  <c r="BE39" i="30"/>
  <c r="BF39" i="30"/>
  <c r="BG39" i="30"/>
  <c r="BH39" i="30"/>
  <c r="BI39" i="30"/>
  <c r="BJ39" i="30"/>
  <c r="BK39" i="30"/>
  <c r="BL39" i="30"/>
  <c r="BM39" i="30"/>
  <c r="BN39" i="30"/>
  <c r="BO39" i="30"/>
  <c r="D40" i="30"/>
  <c r="F40" i="30"/>
  <c r="G40" i="30"/>
  <c r="H40" i="30"/>
  <c r="I40" i="30"/>
  <c r="K40" i="30"/>
  <c r="L40" i="30"/>
  <c r="N40" i="30"/>
  <c r="O40" i="30"/>
  <c r="P40" i="30"/>
  <c r="Q40" i="30"/>
  <c r="S40" i="30"/>
  <c r="T40" i="30"/>
  <c r="V40" i="30"/>
  <c r="X40" i="30"/>
  <c r="Y40" i="30"/>
  <c r="Z40" i="30"/>
  <c r="AA40" i="30"/>
  <c r="AB40" i="30"/>
  <c r="AC40" i="30"/>
  <c r="AF40" i="30"/>
  <c r="AG40" i="30"/>
  <c r="AH40" i="30"/>
  <c r="AI40" i="30"/>
  <c r="AJ40" i="30"/>
  <c r="AL40" i="30"/>
  <c r="AM40" i="30"/>
  <c r="AN40" i="30"/>
  <c r="AO40" i="30"/>
  <c r="AP40" i="30"/>
  <c r="AQ40" i="30"/>
  <c r="AR40" i="30"/>
  <c r="AS40" i="30"/>
  <c r="AT40" i="30"/>
  <c r="AU40" i="30"/>
  <c r="AV40" i="30"/>
  <c r="AW40" i="30"/>
  <c r="AX40" i="30"/>
  <c r="AY40" i="30"/>
  <c r="BB40" i="30"/>
  <c r="BC40" i="30"/>
  <c r="BD40" i="30"/>
  <c r="BE40" i="30"/>
  <c r="BF40" i="30"/>
  <c r="BG40" i="30"/>
  <c r="BH40" i="30"/>
  <c r="BI40" i="30"/>
  <c r="BJ40" i="30"/>
  <c r="BK40" i="30"/>
  <c r="BL40" i="30"/>
  <c r="BM40" i="30"/>
  <c r="BN40" i="30"/>
  <c r="BO40" i="30"/>
  <c r="D41" i="30"/>
  <c r="F41" i="30"/>
  <c r="G41" i="30"/>
  <c r="H41" i="30"/>
  <c r="I41" i="30"/>
  <c r="K41" i="30"/>
  <c r="L41" i="30"/>
  <c r="N41" i="30"/>
  <c r="O41" i="30"/>
  <c r="P41" i="30"/>
  <c r="Q41" i="30"/>
  <c r="S41" i="30"/>
  <c r="T41" i="30"/>
  <c r="V41" i="30"/>
  <c r="X41" i="30"/>
  <c r="Y41" i="30"/>
  <c r="Z41" i="30"/>
  <c r="AA41" i="30"/>
  <c r="AB41" i="30"/>
  <c r="AC41" i="30"/>
  <c r="AF41" i="30"/>
  <c r="AG41" i="30"/>
  <c r="AH41" i="30"/>
  <c r="AI41" i="30"/>
  <c r="AJ41" i="30"/>
  <c r="AL41" i="30"/>
  <c r="AM41" i="30"/>
  <c r="AN41" i="30"/>
  <c r="AO41" i="30"/>
  <c r="AP41" i="30"/>
  <c r="AQ41" i="30"/>
  <c r="AR41" i="30"/>
  <c r="AS41" i="30"/>
  <c r="AT41" i="30"/>
  <c r="AU41" i="30"/>
  <c r="AV41" i="30"/>
  <c r="AW41" i="30"/>
  <c r="AX41" i="30"/>
  <c r="AY41" i="30"/>
  <c r="BB41" i="30"/>
  <c r="BC41" i="30"/>
  <c r="BD41" i="30"/>
  <c r="BE41" i="30"/>
  <c r="BF41" i="30"/>
  <c r="BG41" i="30"/>
  <c r="BH41" i="30"/>
  <c r="BI41" i="30"/>
  <c r="BJ41" i="30"/>
  <c r="BK41" i="30"/>
  <c r="BL41" i="30"/>
  <c r="BM41" i="30"/>
  <c r="BN41" i="30"/>
  <c r="BO41" i="30"/>
  <c r="D42" i="30"/>
  <c r="F42" i="30"/>
  <c r="G42" i="30"/>
  <c r="H42" i="30"/>
  <c r="I42" i="30"/>
  <c r="K42" i="30"/>
  <c r="L42" i="30"/>
  <c r="N42" i="30"/>
  <c r="O42" i="30"/>
  <c r="P42" i="30"/>
  <c r="Q42" i="30"/>
  <c r="S42" i="30"/>
  <c r="T42" i="30"/>
  <c r="V42" i="30"/>
  <c r="X42" i="30"/>
  <c r="Y42" i="30"/>
  <c r="Z42" i="30"/>
  <c r="AA42" i="30"/>
  <c r="AB42" i="30"/>
  <c r="AC42" i="30"/>
  <c r="AF42" i="30"/>
  <c r="AG42" i="30"/>
  <c r="AH42" i="30"/>
  <c r="AI42" i="30"/>
  <c r="AJ42" i="30"/>
  <c r="AL42" i="30"/>
  <c r="AM42" i="30"/>
  <c r="AN42" i="30"/>
  <c r="AO42" i="30"/>
  <c r="AP42" i="30"/>
  <c r="AQ42" i="30"/>
  <c r="AR42" i="30"/>
  <c r="AS42" i="30"/>
  <c r="AT42" i="30"/>
  <c r="AU42" i="30"/>
  <c r="AV42" i="30"/>
  <c r="AW42" i="30"/>
  <c r="AX42" i="30"/>
  <c r="AY42" i="30"/>
  <c r="BB42" i="30"/>
  <c r="BC42" i="30"/>
  <c r="BD42" i="30"/>
  <c r="BE42" i="30"/>
  <c r="BF42" i="30"/>
  <c r="BG42" i="30"/>
  <c r="BH42" i="30"/>
  <c r="BI42" i="30"/>
  <c r="BJ42" i="30"/>
  <c r="BK42" i="30"/>
  <c r="BL42" i="30"/>
  <c r="BM42" i="30"/>
  <c r="BN42" i="30"/>
  <c r="BO42" i="30"/>
  <c r="D43" i="30"/>
  <c r="F43" i="30"/>
  <c r="G43" i="30"/>
  <c r="H43" i="30"/>
  <c r="I43" i="30"/>
  <c r="K43" i="30"/>
  <c r="L43" i="30"/>
  <c r="N43" i="30"/>
  <c r="O43" i="30"/>
  <c r="P43" i="30"/>
  <c r="Q43" i="30"/>
  <c r="S43" i="30"/>
  <c r="T43" i="30"/>
  <c r="V43" i="30"/>
  <c r="X43" i="30"/>
  <c r="Y43" i="30"/>
  <c r="Z43" i="30"/>
  <c r="AA43" i="30"/>
  <c r="AB43" i="30"/>
  <c r="AC43" i="30"/>
  <c r="AF43" i="30"/>
  <c r="AG43" i="30"/>
  <c r="AH43" i="30"/>
  <c r="AI43" i="30"/>
  <c r="AJ43" i="30"/>
  <c r="AL43" i="30"/>
  <c r="AM43" i="30"/>
  <c r="AN43" i="30"/>
  <c r="AO43" i="30"/>
  <c r="AP43" i="30"/>
  <c r="AQ43" i="30"/>
  <c r="AR43" i="30"/>
  <c r="AS43" i="30"/>
  <c r="AT43" i="30"/>
  <c r="AU43" i="30"/>
  <c r="AV43" i="30"/>
  <c r="AW43" i="30"/>
  <c r="AX43" i="30"/>
  <c r="AY43" i="30"/>
  <c r="BB43" i="30"/>
  <c r="BC43" i="30"/>
  <c r="BD43" i="30"/>
  <c r="BE43" i="30"/>
  <c r="BF43" i="30"/>
  <c r="BG43" i="30"/>
  <c r="BH43" i="30"/>
  <c r="BI43" i="30"/>
  <c r="BJ43" i="30"/>
  <c r="BK43" i="30"/>
  <c r="BL43" i="30"/>
  <c r="BM43" i="30"/>
  <c r="BN43" i="30"/>
  <c r="BO43" i="30"/>
  <c r="D44" i="30"/>
  <c r="F44" i="30"/>
  <c r="G44" i="30"/>
  <c r="H44" i="30"/>
  <c r="I44" i="30"/>
  <c r="K44" i="30"/>
  <c r="L44" i="30"/>
  <c r="N44" i="30"/>
  <c r="O44" i="30"/>
  <c r="P44" i="30"/>
  <c r="Q44" i="30"/>
  <c r="S44" i="30"/>
  <c r="T44" i="30"/>
  <c r="V44" i="30"/>
  <c r="X44" i="30"/>
  <c r="Y44" i="30"/>
  <c r="Z44" i="30"/>
  <c r="AA44" i="30"/>
  <c r="AB44" i="30"/>
  <c r="AC44" i="30"/>
  <c r="AF44" i="30"/>
  <c r="AG44" i="30"/>
  <c r="AH44" i="30"/>
  <c r="AI44" i="30"/>
  <c r="AJ44" i="30"/>
  <c r="AL44" i="30"/>
  <c r="AM44" i="30"/>
  <c r="AN44" i="30"/>
  <c r="AO44" i="30"/>
  <c r="AP44" i="30"/>
  <c r="AQ44" i="30"/>
  <c r="AR44" i="30"/>
  <c r="AS44" i="30"/>
  <c r="AT44" i="30"/>
  <c r="AU44" i="30"/>
  <c r="AV44" i="30"/>
  <c r="AW44" i="30"/>
  <c r="AX44" i="30"/>
  <c r="AY44" i="30"/>
  <c r="BB44" i="30"/>
  <c r="BC44" i="30"/>
  <c r="BD44" i="30"/>
  <c r="BE44" i="30"/>
  <c r="BF44" i="30"/>
  <c r="BG44" i="30"/>
  <c r="BH44" i="30"/>
  <c r="BI44" i="30"/>
  <c r="BJ44" i="30"/>
  <c r="BK44" i="30"/>
  <c r="BL44" i="30"/>
  <c r="BM44" i="30"/>
  <c r="BN44" i="30"/>
  <c r="BO44" i="30"/>
  <c r="D45" i="30"/>
  <c r="F45" i="30"/>
  <c r="G45" i="30"/>
  <c r="H45" i="30"/>
  <c r="I45" i="30"/>
  <c r="K45" i="30"/>
  <c r="L45" i="30"/>
  <c r="N45" i="30"/>
  <c r="O45" i="30"/>
  <c r="P45" i="30"/>
  <c r="Q45" i="30"/>
  <c r="S45" i="30"/>
  <c r="T45" i="30"/>
  <c r="V45" i="30"/>
  <c r="X45" i="30"/>
  <c r="Y45" i="30"/>
  <c r="Z45" i="30"/>
  <c r="AA45" i="30"/>
  <c r="AB45" i="30"/>
  <c r="AC45" i="30"/>
  <c r="AF45" i="30"/>
  <c r="AG45" i="30"/>
  <c r="AH45" i="30"/>
  <c r="AI45" i="30"/>
  <c r="AJ45" i="30"/>
  <c r="AL45" i="30"/>
  <c r="AM45" i="30"/>
  <c r="AN45" i="30"/>
  <c r="AO45" i="30"/>
  <c r="AP45" i="30"/>
  <c r="AQ45" i="30"/>
  <c r="AR45" i="30"/>
  <c r="AS45" i="30"/>
  <c r="AT45" i="30"/>
  <c r="AU45" i="30"/>
  <c r="AV45" i="30"/>
  <c r="AW45" i="30"/>
  <c r="AX45" i="30"/>
  <c r="AY45" i="30"/>
  <c r="BB45" i="30"/>
  <c r="BC45" i="30"/>
  <c r="BD45" i="30"/>
  <c r="BE45" i="30"/>
  <c r="BF45" i="30"/>
  <c r="BG45" i="30"/>
  <c r="BH45" i="30"/>
  <c r="BI45" i="30"/>
  <c r="BJ45" i="30"/>
  <c r="BK45" i="30"/>
  <c r="BL45" i="30"/>
  <c r="BM45" i="30"/>
  <c r="BN45" i="30"/>
  <c r="BO45" i="30"/>
  <c r="D46" i="30"/>
  <c r="F46" i="30"/>
  <c r="G46" i="30"/>
  <c r="H46" i="30"/>
  <c r="I46" i="30"/>
  <c r="K46" i="30"/>
  <c r="L46" i="30"/>
  <c r="N46" i="30"/>
  <c r="O46" i="30"/>
  <c r="P46" i="30"/>
  <c r="Q46" i="30"/>
  <c r="S46" i="30"/>
  <c r="T46" i="30"/>
  <c r="V46" i="30"/>
  <c r="X46" i="30"/>
  <c r="Y46" i="30"/>
  <c r="Z46" i="30"/>
  <c r="AA46" i="30"/>
  <c r="AB46" i="30"/>
  <c r="AC46" i="30"/>
  <c r="AF46" i="30"/>
  <c r="AG46" i="30"/>
  <c r="AH46" i="30"/>
  <c r="AI46" i="30"/>
  <c r="AJ46" i="30"/>
  <c r="AL46" i="30"/>
  <c r="AM46" i="30"/>
  <c r="AN46" i="30"/>
  <c r="AO46" i="30"/>
  <c r="AP46" i="30"/>
  <c r="AQ46" i="30"/>
  <c r="AR46" i="30"/>
  <c r="AS46" i="30"/>
  <c r="AT46" i="30"/>
  <c r="AU46" i="30"/>
  <c r="AV46" i="30"/>
  <c r="AW46" i="30"/>
  <c r="AX46" i="30"/>
  <c r="AY46" i="30"/>
  <c r="BB46" i="30"/>
  <c r="BC46" i="30"/>
  <c r="BD46" i="30"/>
  <c r="BE46" i="30"/>
  <c r="BF46" i="30"/>
  <c r="BG46" i="30"/>
  <c r="BH46" i="30"/>
  <c r="BI46" i="30"/>
  <c r="BJ46" i="30"/>
  <c r="BK46" i="30"/>
  <c r="BL46" i="30"/>
  <c r="BM46" i="30"/>
  <c r="BN46" i="30"/>
  <c r="BO46" i="30"/>
  <c r="D47" i="30"/>
  <c r="F47" i="30"/>
  <c r="G47" i="30"/>
  <c r="H47" i="30"/>
  <c r="I47" i="30"/>
  <c r="K47" i="30"/>
  <c r="L47" i="30"/>
  <c r="N47" i="30"/>
  <c r="O47" i="30"/>
  <c r="P47" i="30"/>
  <c r="Q47" i="30"/>
  <c r="S47" i="30"/>
  <c r="T47" i="30"/>
  <c r="V47" i="30"/>
  <c r="X47" i="30"/>
  <c r="Y47" i="30"/>
  <c r="Z47" i="30"/>
  <c r="AA47" i="30"/>
  <c r="AB47" i="30"/>
  <c r="AC47" i="30"/>
  <c r="AF47" i="30"/>
  <c r="AG47" i="30"/>
  <c r="AH47" i="30"/>
  <c r="AI47" i="30"/>
  <c r="AJ47" i="30"/>
  <c r="AL47" i="30"/>
  <c r="AM47" i="30"/>
  <c r="AN47" i="30"/>
  <c r="AO47" i="30"/>
  <c r="AP47" i="30"/>
  <c r="AQ47" i="30"/>
  <c r="AR47" i="30"/>
  <c r="AS47" i="30"/>
  <c r="AT47" i="30"/>
  <c r="AU47" i="30"/>
  <c r="AV47" i="30"/>
  <c r="AW47" i="30"/>
  <c r="AX47" i="30"/>
  <c r="AY47" i="30"/>
  <c r="BB47" i="30"/>
  <c r="BC47" i="30"/>
  <c r="BD47" i="30"/>
  <c r="BE47" i="30"/>
  <c r="BF47" i="30"/>
  <c r="BG47" i="30"/>
  <c r="BH47" i="30"/>
  <c r="BI47" i="30"/>
  <c r="BJ47" i="30"/>
  <c r="BK47" i="30"/>
  <c r="BL47" i="30"/>
  <c r="BM47" i="30"/>
  <c r="BN47" i="30"/>
  <c r="BO47" i="30"/>
  <c r="D48" i="30"/>
  <c r="F48" i="30"/>
  <c r="G48" i="30"/>
  <c r="H48" i="30"/>
  <c r="I48" i="30"/>
  <c r="K48" i="30"/>
  <c r="L48" i="30"/>
  <c r="N48" i="30"/>
  <c r="O48" i="30"/>
  <c r="P48" i="30"/>
  <c r="Q48" i="30"/>
  <c r="S48" i="30"/>
  <c r="T48" i="30"/>
  <c r="V48" i="30"/>
  <c r="X48" i="30"/>
  <c r="Y48" i="30"/>
  <c r="Z48" i="30"/>
  <c r="AA48" i="30"/>
  <c r="AB48" i="30"/>
  <c r="AC48" i="30"/>
  <c r="AF48" i="30"/>
  <c r="AG48" i="30"/>
  <c r="AH48" i="30"/>
  <c r="AI48" i="30"/>
  <c r="AJ48" i="30"/>
  <c r="AL48" i="30"/>
  <c r="AM48" i="30"/>
  <c r="AN48" i="30"/>
  <c r="AO48" i="30"/>
  <c r="AP48" i="30"/>
  <c r="AQ48" i="30"/>
  <c r="AR48" i="30"/>
  <c r="AS48" i="30"/>
  <c r="AT48" i="30"/>
  <c r="AU48" i="30"/>
  <c r="AV48" i="30"/>
  <c r="AW48" i="30"/>
  <c r="AX48" i="30"/>
  <c r="AY48" i="30"/>
  <c r="BB48" i="30"/>
  <c r="BC48" i="30"/>
  <c r="BD48" i="30"/>
  <c r="BE48" i="30"/>
  <c r="BF48" i="30"/>
  <c r="BG48" i="30"/>
  <c r="BH48" i="30"/>
  <c r="BI48" i="30"/>
  <c r="BJ48" i="30"/>
  <c r="BK48" i="30"/>
  <c r="BL48" i="30"/>
  <c r="BM48" i="30"/>
  <c r="BN48" i="30"/>
  <c r="BO48" i="30"/>
  <c r="D49" i="30"/>
  <c r="F49" i="30"/>
  <c r="G49" i="30"/>
  <c r="H49" i="30"/>
  <c r="I49" i="30"/>
  <c r="K49" i="30"/>
  <c r="L49" i="30"/>
  <c r="N49" i="30"/>
  <c r="O49" i="30"/>
  <c r="P49" i="30"/>
  <c r="Q49" i="30"/>
  <c r="S49" i="30"/>
  <c r="T49" i="30"/>
  <c r="V49" i="30"/>
  <c r="X49" i="30"/>
  <c r="Y49" i="30"/>
  <c r="Z49" i="30"/>
  <c r="AA49" i="30"/>
  <c r="AB49" i="30"/>
  <c r="AC49" i="30"/>
  <c r="AF49" i="30"/>
  <c r="AG49" i="30"/>
  <c r="AH49" i="30"/>
  <c r="AI49" i="30"/>
  <c r="AJ49" i="30"/>
  <c r="AL49" i="30"/>
  <c r="AM49" i="30"/>
  <c r="AN49" i="30"/>
  <c r="AO49" i="30"/>
  <c r="AP49" i="30"/>
  <c r="AQ49" i="30"/>
  <c r="AR49" i="30"/>
  <c r="AS49" i="30"/>
  <c r="AT49" i="30"/>
  <c r="AU49" i="30"/>
  <c r="AV49" i="30"/>
  <c r="AW49" i="30"/>
  <c r="AX49" i="30"/>
  <c r="AY49" i="30"/>
  <c r="BB49" i="30"/>
  <c r="BC49" i="30"/>
  <c r="BD49" i="30"/>
  <c r="BE49" i="30"/>
  <c r="BF49" i="30"/>
  <c r="BG49" i="30"/>
  <c r="BH49" i="30"/>
  <c r="BI49" i="30"/>
  <c r="BJ49" i="30"/>
  <c r="BK49" i="30"/>
  <c r="BL49" i="30"/>
  <c r="BM49" i="30"/>
  <c r="BN49" i="30"/>
  <c r="BO49" i="30"/>
  <c r="D50" i="30"/>
  <c r="F50" i="30"/>
  <c r="G50" i="30"/>
  <c r="H50" i="30"/>
  <c r="I50" i="30"/>
  <c r="K50" i="30"/>
  <c r="L50" i="30"/>
  <c r="N50" i="30"/>
  <c r="O50" i="30"/>
  <c r="P50" i="30"/>
  <c r="Q50" i="30"/>
  <c r="S50" i="30"/>
  <c r="T50" i="30"/>
  <c r="V50" i="30"/>
  <c r="X50" i="30"/>
  <c r="Y50" i="30"/>
  <c r="Z50" i="30"/>
  <c r="AA50" i="30"/>
  <c r="AB50" i="30"/>
  <c r="AC50" i="30"/>
  <c r="AF50" i="30"/>
  <c r="AG50" i="30"/>
  <c r="AH50" i="30"/>
  <c r="AI50" i="30"/>
  <c r="AJ50" i="30"/>
  <c r="AL50" i="30"/>
  <c r="AM50" i="30"/>
  <c r="AN50" i="30"/>
  <c r="AO50" i="30"/>
  <c r="AP50" i="30"/>
  <c r="AQ50" i="30"/>
  <c r="AR50" i="30"/>
  <c r="AS50" i="30"/>
  <c r="AT50" i="30"/>
  <c r="AU50" i="30"/>
  <c r="AV50" i="30"/>
  <c r="AW50" i="30"/>
  <c r="AX50" i="30"/>
  <c r="AY50" i="30"/>
  <c r="BB50" i="30"/>
  <c r="BC50" i="30"/>
  <c r="BD50" i="30"/>
  <c r="BE50" i="30"/>
  <c r="BF50" i="30"/>
  <c r="BG50" i="30"/>
  <c r="BH50" i="30"/>
  <c r="BI50" i="30"/>
  <c r="BJ50" i="30"/>
  <c r="BK50" i="30"/>
  <c r="BL50" i="30"/>
  <c r="BM50" i="30"/>
  <c r="BN50" i="30"/>
  <c r="BO50" i="30"/>
  <c r="D51" i="30"/>
  <c r="F51" i="30"/>
  <c r="G51" i="30"/>
  <c r="H51" i="30"/>
  <c r="I51" i="30"/>
  <c r="K51" i="30"/>
  <c r="L51" i="30"/>
  <c r="N51" i="30"/>
  <c r="O51" i="30"/>
  <c r="P51" i="30"/>
  <c r="Q51" i="30"/>
  <c r="S51" i="30"/>
  <c r="T51" i="30"/>
  <c r="V51" i="30"/>
  <c r="X51" i="30"/>
  <c r="Y51" i="30"/>
  <c r="Z51" i="30"/>
  <c r="AA51" i="30"/>
  <c r="AB51" i="30"/>
  <c r="AC51" i="30"/>
  <c r="AF51" i="30"/>
  <c r="AG51" i="30"/>
  <c r="AH51" i="30"/>
  <c r="AI51" i="30"/>
  <c r="AJ51" i="30"/>
  <c r="AL51" i="30"/>
  <c r="AM51" i="30"/>
  <c r="AN51" i="30"/>
  <c r="AO51" i="30"/>
  <c r="AP51" i="30"/>
  <c r="AQ51" i="30"/>
  <c r="AR51" i="30"/>
  <c r="AS51" i="30"/>
  <c r="AT51" i="30"/>
  <c r="AU51" i="30"/>
  <c r="AV51" i="30"/>
  <c r="AW51" i="30"/>
  <c r="AX51" i="30"/>
  <c r="AY51" i="30"/>
  <c r="BB51" i="30"/>
  <c r="BC51" i="30"/>
  <c r="BD51" i="30"/>
  <c r="BE51" i="30"/>
  <c r="BF51" i="30"/>
  <c r="BG51" i="30"/>
  <c r="BH51" i="30"/>
  <c r="BI51" i="30"/>
  <c r="BJ51" i="30"/>
  <c r="BK51" i="30"/>
  <c r="BL51" i="30"/>
  <c r="BM51" i="30"/>
  <c r="BN51" i="30"/>
  <c r="BO51" i="30"/>
  <c r="D52" i="30"/>
  <c r="F52" i="30"/>
  <c r="G52" i="30"/>
  <c r="H52" i="30"/>
  <c r="I52" i="30"/>
  <c r="K52" i="30"/>
  <c r="L52" i="30"/>
  <c r="N52" i="30"/>
  <c r="O52" i="30"/>
  <c r="P52" i="30"/>
  <c r="Q52" i="30"/>
  <c r="S52" i="30"/>
  <c r="T52" i="30"/>
  <c r="V52" i="30"/>
  <c r="X52" i="30"/>
  <c r="Y52" i="30"/>
  <c r="Z52" i="30"/>
  <c r="AA52" i="30"/>
  <c r="AB52" i="30"/>
  <c r="AC52" i="30"/>
  <c r="AF52" i="30"/>
  <c r="AG52" i="30"/>
  <c r="AH52" i="30"/>
  <c r="AI52" i="30"/>
  <c r="AJ52" i="30"/>
  <c r="AL52" i="30"/>
  <c r="AM52" i="30"/>
  <c r="AN52" i="30"/>
  <c r="AO52" i="30"/>
  <c r="AP52" i="30"/>
  <c r="AQ52" i="30"/>
  <c r="AR52" i="30"/>
  <c r="AS52" i="30"/>
  <c r="AT52" i="30"/>
  <c r="AU52" i="30"/>
  <c r="AV52" i="30"/>
  <c r="AW52" i="30"/>
  <c r="AX52" i="30"/>
  <c r="AY52" i="30"/>
  <c r="BB52" i="30"/>
  <c r="BC52" i="30"/>
  <c r="BD52" i="30"/>
  <c r="BE52" i="30"/>
  <c r="BF52" i="30"/>
  <c r="BG52" i="30"/>
  <c r="BH52" i="30"/>
  <c r="BI52" i="30"/>
  <c r="BJ52" i="30"/>
  <c r="BK52" i="30"/>
  <c r="BL52" i="30"/>
  <c r="BM52" i="30"/>
  <c r="BN52" i="30"/>
  <c r="BO52" i="30"/>
  <c r="D53" i="30"/>
  <c r="F53" i="30"/>
  <c r="G53" i="30"/>
  <c r="H53" i="30"/>
  <c r="I53" i="30"/>
  <c r="K53" i="30"/>
  <c r="L53" i="30"/>
  <c r="N53" i="30"/>
  <c r="O53" i="30"/>
  <c r="P53" i="30"/>
  <c r="Q53" i="30"/>
  <c r="S53" i="30"/>
  <c r="T53" i="30"/>
  <c r="V53" i="30"/>
  <c r="X53" i="30"/>
  <c r="Y53" i="30"/>
  <c r="Z53" i="30"/>
  <c r="AA53" i="30"/>
  <c r="AB53" i="30"/>
  <c r="AC53" i="30"/>
  <c r="AF53" i="30"/>
  <c r="AG53" i="30"/>
  <c r="AH53" i="30"/>
  <c r="AI53" i="30"/>
  <c r="AJ53" i="30"/>
  <c r="AL53" i="30"/>
  <c r="AM53" i="30"/>
  <c r="AN53" i="30"/>
  <c r="AO53" i="30"/>
  <c r="AP53" i="30"/>
  <c r="AQ53" i="30"/>
  <c r="AR53" i="30"/>
  <c r="AS53" i="30"/>
  <c r="AT53" i="30"/>
  <c r="AU53" i="30"/>
  <c r="AV53" i="30"/>
  <c r="AW53" i="30"/>
  <c r="AX53" i="30"/>
  <c r="AY53" i="30"/>
  <c r="BB53" i="30"/>
  <c r="BC53" i="30"/>
  <c r="BD53" i="30"/>
  <c r="BE53" i="30"/>
  <c r="BF53" i="30"/>
  <c r="BG53" i="30"/>
  <c r="BH53" i="30"/>
  <c r="BI53" i="30"/>
  <c r="BJ53" i="30"/>
  <c r="BK53" i="30"/>
  <c r="BL53" i="30"/>
  <c r="BM53" i="30"/>
  <c r="BN53" i="30"/>
  <c r="BO53" i="30"/>
  <c r="D54" i="30"/>
  <c r="F54" i="30"/>
  <c r="G54" i="30"/>
  <c r="H54" i="30"/>
  <c r="I54" i="30"/>
  <c r="K54" i="30"/>
  <c r="L54" i="30"/>
  <c r="N54" i="30"/>
  <c r="O54" i="30"/>
  <c r="P54" i="30"/>
  <c r="Q54" i="30"/>
  <c r="S54" i="30"/>
  <c r="T54" i="30"/>
  <c r="V54" i="30"/>
  <c r="X54" i="30"/>
  <c r="Y54" i="30"/>
  <c r="Z54" i="30"/>
  <c r="AA54" i="30"/>
  <c r="AB54" i="30"/>
  <c r="AC54" i="30"/>
  <c r="AF54" i="30"/>
  <c r="AG54" i="30"/>
  <c r="AH54" i="30"/>
  <c r="AI54" i="30"/>
  <c r="AJ54" i="30"/>
  <c r="AL54" i="30"/>
  <c r="AM54" i="30"/>
  <c r="AN54" i="30"/>
  <c r="AO54" i="30"/>
  <c r="AP54" i="30"/>
  <c r="AQ54" i="30"/>
  <c r="AR54" i="30"/>
  <c r="AS54" i="30"/>
  <c r="AT54" i="30"/>
  <c r="AU54" i="30"/>
  <c r="AV54" i="30"/>
  <c r="AW54" i="30"/>
  <c r="AX54" i="30"/>
  <c r="AY54" i="30"/>
  <c r="BB54" i="30"/>
  <c r="BC54" i="30"/>
  <c r="BD54" i="30"/>
  <c r="BE54" i="30"/>
  <c r="BF54" i="30"/>
  <c r="BG54" i="30"/>
  <c r="BH54" i="30"/>
  <c r="BI54" i="30"/>
  <c r="BJ54" i="30"/>
  <c r="BK54" i="30"/>
  <c r="BL54" i="30"/>
  <c r="BM54" i="30"/>
  <c r="BN54" i="30"/>
  <c r="BO54" i="30"/>
  <c r="D55" i="30"/>
  <c r="F55" i="30"/>
  <c r="G55" i="30"/>
  <c r="H55" i="30"/>
  <c r="I55" i="30"/>
  <c r="K55" i="30"/>
  <c r="L55" i="30"/>
  <c r="N55" i="30"/>
  <c r="O55" i="30"/>
  <c r="P55" i="30"/>
  <c r="Q55" i="30"/>
  <c r="S55" i="30"/>
  <c r="T55" i="30"/>
  <c r="V55" i="30"/>
  <c r="X55" i="30"/>
  <c r="Y55" i="30"/>
  <c r="Z55" i="30"/>
  <c r="AA55" i="30"/>
  <c r="AB55" i="30"/>
  <c r="AC55" i="30"/>
  <c r="AF55" i="30"/>
  <c r="AG55" i="30"/>
  <c r="AH55" i="30"/>
  <c r="AI55" i="30"/>
  <c r="AJ55" i="30"/>
  <c r="AL55" i="30"/>
  <c r="AM55" i="30"/>
  <c r="AN55" i="30"/>
  <c r="AO55" i="30"/>
  <c r="AP55" i="30"/>
  <c r="AQ55" i="30"/>
  <c r="AR55" i="30"/>
  <c r="AS55" i="30"/>
  <c r="AT55" i="30"/>
  <c r="AU55" i="30"/>
  <c r="AV55" i="30"/>
  <c r="AW55" i="30"/>
  <c r="AX55" i="30"/>
  <c r="AY55" i="30"/>
  <c r="BB55" i="30"/>
  <c r="BC55" i="30"/>
  <c r="BD55" i="30"/>
  <c r="BE55" i="30"/>
  <c r="BF55" i="30"/>
  <c r="BG55" i="30"/>
  <c r="BH55" i="30"/>
  <c r="BI55" i="30"/>
  <c r="BJ55" i="30"/>
  <c r="BK55" i="30"/>
  <c r="BL55" i="30"/>
  <c r="BM55" i="30"/>
  <c r="BN55" i="30"/>
  <c r="BO55" i="30"/>
  <c r="D56" i="30"/>
  <c r="F56" i="30"/>
  <c r="G56" i="30"/>
  <c r="H56" i="30"/>
  <c r="I56" i="30"/>
  <c r="K56" i="30"/>
  <c r="L56" i="30"/>
  <c r="N56" i="30"/>
  <c r="O56" i="30"/>
  <c r="P56" i="30"/>
  <c r="Q56" i="30"/>
  <c r="S56" i="30"/>
  <c r="T56" i="30"/>
  <c r="V56" i="30"/>
  <c r="X56" i="30"/>
  <c r="Y56" i="30"/>
  <c r="Z56" i="30"/>
  <c r="AA56" i="30"/>
  <c r="AB56" i="30"/>
  <c r="AC56" i="30"/>
  <c r="AF56" i="30"/>
  <c r="AG56" i="30"/>
  <c r="AH56" i="30"/>
  <c r="AI56" i="30"/>
  <c r="AJ56" i="30"/>
  <c r="AL56" i="30"/>
  <c r="AM56" i="30"/>
  <c r="AN56" i="30"/>
  <c r="AO56" i="30"/>
  <c r="AP56" i="30"/>
  <c r="AQ56" i="30"/>
  <c r="AR56" i="30"/>
  <c r="AS56" i="30"/>
  <c r="AT56" i="30"/>
  <c r="AU56" i="30"/>
  <c r="AV56" i="30"/>
  <c r="AW56" i="30"/>
  <c r="AX56" i="30"/>
  <c r="AY56" i="30"/>
  <c r="BB56" i="30"/>
  <c r="BC56" i="30"/>
  <c r="BD56" i="30"/>
  <c r="BE56" i="30"/>
  <c r="BF56" i="30"/>
  <c r="BG56" i="30"/>
  <c r="BH56" i="30"/>
  <c r="BI56" i="30"/>
  <c r="BJ56" i="30"/>
  <c r="BK56" i="30"/>
  <c r="BL56" i="30"/>
  <c r="BM56" i="30"/>
  <c r="BN56" i="30"/>
  <c r="BO56" i="30"/>
  <c r="D57" i="30"/>
  <c r="F57" i="30"/>
  <c r="G57" i="30"/>
  <c r="H57" i="30"/>
  <c r="I57" i="30"/>
  <c r="K57" i="30"/>
  <c r="L57" i="30"/>
  <c r="N57" i="30"/>
  <c r="O57" i="30"/>
  <c r="P57" i="30"/>
  <c r="Q57" i="30"/>
  <c r="S57" i="30"/>
  <c r="T57" i="30"/>
  <c r="V57" i="30"/>
  <c r="X57" i="30"/>
  <c r="Y57" i="30"/>
  <c r="Z57" i="30"/>
  <c r="AA57" i="30"/>
  <c r="AB57" i="30"/>
  <c r="AC57" i="30"/>
  <c r="AF57" i="30"/>
  <c r="AG57" i="30"/>
  <c r="AH57" i="30"/>
  <c r="AI57" i="30"/>
  <c r="AJ57" i="30"/>
  <c r="AL57" i="30"/>
  <c r="AM57" i="30"/>
  <c r="AN57" i="30"/>
  <c r="AO57" i="30"/>
  <c r="AP57" i="30"/>
  <c r="AQ57" i="30"/>
  <c r="AR57" i="30"/>
  <c r="AS57" i="30"/>
  <c r="AT57" i="30"/>
  <c r="AU57" i="30"/>
  <c r="AV57" i="30"/>
  <c r="AW57" i="30"/>
  <c r="AX57" i="30"/>
  <c r="AY57" i="30"/>
  <c r="BB57" i="30"/>
  <c r="BC57" i="30"/>
  <c r="BD57" i="30"/>
  <c r="BE57" i="30"/>
  <c r="BF57" i="30"/>
  <c r="BG57" i="30"/>
  <c r="BH57" i="30"/>
  <c r="BI57" i="30"/>
  <c r="BJ57" i="30"/>
  <c r="BK57" i="30"/>
  <c r="BL57" i="30"/>
  <c r="BM57" i="30"/>
  <c r="BN57" i="30"/>
  <c r="BO57" i="30"/>
  <c r="D58" i="30"/>
  <c r="F58" i="30"/>
  <c r="G58" i="30"/>
  <c r="H58" i="30"/>
  <c r="I58" i="30"/>
  <c r="K58" i="30"/>
  <c r="L58" i="30"/>
  <c r="N58" i="30"/>
  <c r="O58" i="30"/>
  <c r="P58" i="30"/>
  <c r="Q58" i="30"/>
  <c r="S58" i="30"/>
  <c r="T58" i="30"/>
  <c r="V58" i="30"/>
  <c r="X58" i="30"/>
  <c r="Y58" i="30"/>
  <c r="Z58" i="30"/>
  <c r="AA58" i="30"/>
  <c r="AB58" i="30"/>
  <c r="AC58" i="30"/>
  <c r="AF58" i="30"/>
  <c r="AG58" i="30"/>
  <c r="AH58" i="30"/>
  <c r="AI58" i="30"/>
  <c r="AJ58" i="30"/>
  <c r="AL58" i="30"/>
  <c r="AM58" i="30"/>
  <c r="AN58" i="30"/>
  <c r="AO58" i="30"/>
  <c r="AP58" i="30"/>
  <c r="AQ58" i="30"/>
  <c r="AR58" i="30"/>
  <c r="AS58" i="30"/>
  <c r="AT58" i="30"/>
  <c r="AU58" i="30"/>
  <c r="AV58" i="30"/>
  <c r="AW58" i="30"/>
  <c r="AX58" i="30"/>
  <c r="AY58" i="30"/>
  <c r="BB58" i="30"/>
  <c r="BC58" i="30"/>
  <c r="BD58" i="30"/>
  <c r="BE58" i="30"/>
  <c r="BF58" i="30"/>
  <c r="BG58" i="30"/>
  <c r="BH58" i="30"/>
  <c r="BI58" i="30"/>
  <c r="BJ58" i="30"/>
  <c r="BK58" i="30"/>
  <c r="BL58" i="30"/>
  <c r="BM58" i="30"/>
  <c r="BN58" i="30"/>
  <c r="BO58" i="30"/>
  <c r="D59" i="30"/>
  <c r="F59" i="30"/>
  <c r="G59" i="30"/>
  <c r="H59" i="30"/>
  <c r="I59" i="30"/>
  <c r="K59" i="30"/>
  <c r="L59" i="30"/>
  <c r="N59" i="30"/>
  <c r="O59" i="30"/>
  <c r="P59" i="30"/>
  <c r="Q59" i="30"/>
  <c r="S59" i="30"/>
  <c r="T59" i="30"/>
  <c r="V59" i="30"/>
  <c r="X59" i="30"/>
  <c r="Y59" i="30"/>
  <c r="Z59" i="30"/>
  <c r="AA59" i="30"/>
  <c r="AB59" i="30"/>
  <c r="AC59" i="30"/>
  <c r="AF59" i="30"/>
  <c r="AG59" i="30"/>
  <c r="AH59" i="30"/>
  <c r="AI59" i="30"/>
  <c r="AJ59" i="30"/>
  <c r="AL59" i="30"/>
  <c r="AM59" i="30"/>
  <c r="AN59" i="30"/>
  <c r="AO59" i="30"/>
  <c r="AP59" i="30"/>
  <c r="AQ59" i="30"/>
  <c r="AR59" i="30"/>
  <c r="AS59" i="30"/>
  <c r="AT59" i="30"/>
  <c r="AU59" i="30"/>
  <c r="AV59" i="30"/>
  <c r="AW59" i="30"/>
  <c r="AX59" i="30"/>
  <c r="AY59" i="30"/>
  <c r="BB59" i="30"/>
  <c r="BC59" i="30"/>
  <c r="BD59" i="30"/>
  <c r="BE59" i="30"/>
  <c r="BF59" i="30"/>
  <c r="BG59" i="30"/>
  <c r="BH59" i="30"/>
  <c r="BI59" i="30"/>
  <c r="BJ59" i="30"/>
  <c r="BK59" i="30"/>
  <c r="BL59" i="30"/>
  <c r="BM59" i="30"/>
  <c r="BN59" i="30"/>
  <c r="BO59" i="30"/>
  <c r="D60" i="30"/>
  <c r="F60" i="30"/>
  <c r="G60" i="30"/>
  <c r="H60" i="30"/>
  <c r="I60" i="30"/>
  <c r="K60" i="30"/>
  <c r="L60" i="30"/>
  <c r="N60" i="30"/>
  <c r="O60" i="30"/>
  <c r="P60" i="30"/>
  <c r="Q60" i="30"/>
  <c r="S60" i="30"/>
  <c r="T60" i="30"/>
  <c r="V60" i="30"/>
  <c r="X60" i="30"/>
  <c r="Y60" i="30"/>
  <c r="Z60" i="30"/>
  <c r="AA60" i="30"/>
  <c r="AB60" i="30"/>
  <c r="AC60" i="30"/>
  <c r="AF60" i="30"/>
  <c r="AG60" i="30"/>
  <c r="AH60" i="30"/>
  <c r="AI60" i="30"/>
  <c r="AJ60" i="30"/>
  <c r="AL60" i="30"/>
  <c r="AM60" i="30"/>
  <c r="AN60" i="30"/>
  <c r="AO60" i="30"/>
  <c r="AP60" i="30"/>
  <c r="AQ60" i="30"/>
  <c r="AR60" i="30"/>
  <c r="AS60" i="30"/>
  <c r="AT60" i="30"/>
  <c r="AU60" i="30"/>
  <c r="AV60" i="30"/>
  <c r="AW60" i="30"/>
  <c r="AX60" i="30"/>
  <c r="AY60" i="30"/>
  <c r="BB60" i="30"/>
  <c r="BC60" i="30"/>
  <c r="BD60" i="30"/>
  <c r="BE60" i="30"/>
  <c r="BF60" i="30"/>
  <c r="BG60" i="30"/>
  <c r="BH60" i="30"/>
  <c r="BI60" i="30"/>
  <c r="BJ60" i="30"/>
  <c r="BK60" i="30"/>
  <c r="BL60" i="30"/>
  <c r="BM60" i="30"/>
  <c r="BN60" i="30"/>
  <c r="BO60" i="30"/>
  <c r="D61" i="30"/>
  <c r="F61" i="30"/>
  <c r="G61" i="30"/>
  <c r="H61" i="30"/>
  <c r="I61" i="30"/>
  <c r="K61" i="30"/>
  <c r="L61" i="30"/>
  <c r="N61" i="30"/>
  <c r="O61" i="30"/>
  <c r="P61" i="30"/>
  <c r="Q61" i="30"/>
  <c r="S61" i="30"/>
  <c r="T61" i="30"/>
  <c r="V61" i="30"/>
  <c r="X61" i="30"/>
  <c r="Y61" i="30"/>
  <c r="Z61" i="30"/>
  <c r="AA61" i="30"/>
  <c r="AB61" i="30"/>
  <c r="AC61" i="30"/>
  <c r="AF61" i="30"/>
  <c r="AG61" i="30"/>
  <c r="AH61" i="30"/>
  <c r="AI61" i="30"/>
  <c r="AJ61" i="30"/>
  <c r="AL61" i="30"/>
  <c r="AM61" i="30"/>
  <c r="AN61" i="30"/>
  <c r="AO61" i="30"/>
  <c r="AP61" i="30"/>
  <c r="AQ61" i="30"/>
  <c r="AR61" i="30"/>
  <c r="AS61" i="30"/>
  <c r="AT61" i="30"/>
  <c r="AU61" i="30"/>
  <c r="AV61" i="30"/>
  <c r="AW61" i="30"/>
  <c r="AX61" i="30"/>
  <c r="AY61" i="30"/>
  <c r="BB61" i="30"/>
  <c r="BC61" i="30"/>
  <c r="BD61" i="30"/>
  <c r="BE61" i="30"/>
  <c r="BF61" i="30"/>
  <c r="BG61" i="30"/>
  <c r="BH61" i="30"/>
  <c r="BI61" i="30"/>
  <c r="BJ61" i="30"/>
  <c r="BK61" i="30"/>
  <c r="BL61" i="30"/>
  <c r="BM61" i="30"/>
  <c r="BN61" i="30"/>
  <c r="BO61" i="30"/>
  <c r="D62" i="30"/>
  <c r="F62" i="30"/>
  <c r="G62" i="30"/>
  <c r="H62" i="30"/>
  <c r="I62" i="30"/>
  <c r="K62" i="30"/>
  <c r="L62" i="30"/>
  <c r="N62" i="30"/>
  <c r="O62" i="30"/>
  <c r="P62" i="30"/>
  <c r="Q62" i="30"/>
  <c r="S62" i="30"/>
  <c r="T62" i="30"/>
  <c r="V62" i="30"/>
  <c r="X62" i="30"/>
  <c r="Y62" i="30"/>
  <c r="Z62" i="30"/>
  <c r="AA62" i="30"/>
  <c r="AB62" i="30"/>
  <c r="AC62" i="30"/>
  <c r="AF62" i="30"/>
  <c r="AG62" i="30"/>
  <c r="AH62" i="30"/>
  <c r="AI62" i="30"/>
  <c r="AJ62" i="30"/>
  <c r="AL62" i="30"/>
  <c r="AM62" i="30"/>
  <c r="AN62" i="30"/>
  <c r="AO62" i="30"/>
  <c r="AP62" i="30"/>
  <c r="AQ62" i="30"/>
  <c r="AR62" i="30"/>
  <c r="AS62" i="30"/>
  <c r="AT62" i="30"/>
  <c r="AU62" i="30"/>
  <c r="AV62" i="30"/>
  <c r="AW62" i="30"/>
  <c r="AX62" i="30"/>
  <c r="AY62" i="30"/>
  <c r="BB62" i="30"/>
  <c r="BC62" i="30"/>
  <c r="BD62" i="30"/>
  <c r="BE62" i="30"/>
  <c r="BF62" i="30"/>
  <c r="BG62" i="30"/>
  <c r="BH62" i="30"/>
  <c r="BI62" i="30"/>
  <c r="BJ62" i="30"/>
  <c r="BK62" i="30"/>
  <c r="BL62" i="30"/>
  <c r="BM62" i="30"/>
  <c r="BN62" i="30"/>
  <c r="BO62" i="30"/>
  <c r="D63" i="30"/>
  <c r="F63" i="30"/>
  <c r="G63" i="30"/>
  <c r="H63" i="30"/>
  <c r="I63" i="30"/>
  <c r="K63" i="30"/>
  <c r="L63" i="30"/>
  <c r="N63" i="30"/>
  <c r="O63" i="30"/>
  <c r="P63" i="30"/>
  <c r="Q63" i="30"/>
  <c r="S63" i="30"/>
  <c r="T63" i="30"/>
  <c r="V63" i="30"/>
  <c r="X63" i="30"/>
  <c r="Y63" i="30"/>
  <c r="Z63" i="30"/>
  <c r="AA63" i="30"/>
  <c r="AB63" i="30"/>
  <c r="AC63" i="30"/>
  <c r="AF63" i="30"/>
  <c r="AG63" i="30"/>
  <c r="AH63" i="30"/>
  <c r="AI63" i="30"/>
  <c r="AJ63" i="30"/>
  <c r="AL63" i="30"/>
  <c r="AM63" i="30"/>
  <c r="AN63" i="30"/>
  <c r="AO63" i="30"/>
  <c r="AP63" i="30"/>
  <c r="AQ63" i="30"/>
  <c r="AR63" i="30"/>
  <c r="AS63" i="30"/>
  <c r="AT63" i="30"/>
  <c r="AU63" i="30"/>
  <c r="AV63" i="30"/>
  <c r="AW63" i="30"/>
  <c r="AX63" i="30"/>
  <c r="AY63" i="30"/>
  <c r="BB63" i="30"/>
  <c r="BC63" i="30"/>
  <c r="BD63" i="30"/>
  <c r="BE63" i="30"/>
  <c r="BF63" i="30"/>
  <c r="BG63" i="30"/>
  <c r="BH63" i="30"/>
  <c r="BI63" i="30"/>
  <c r="BJ63" i="30"/>
  <c r="BK63" i="30"/>
  <c r="BL63" i="30"/>
  <c r="BM63" i="30"/>
  <c r="BN63" i="30"/>
  <c r="BO63" i="30"/>
  <c r="D64" i="30"/>
  <c r="F64" i="30"/>
  <c r="G64" i="30"/>
  <c r="H64" i="30"/>
  <c r="I64" i="30"/>
  <c r="K64" i="30"/>
  <c r="L64" i="30"/>
  <c r="N64" i="30"/>
  <c r="O64" i="30"/>
  <c r="P64" i="30"/>
  <c r="Q64" i="30"/>
  <c r="S64" i="30"/>
  <c r="T64" i="30"/>
  <c r="V64" i="30"/>
  <c r="X64" i="30"/>
  <c r="Y64" i="30"/>
  <c r="Z64" i="30"/>
  <c r="AA64" i="30"/>
  <c r="AB64" i="30"/>
  <c r="AC64" i="30"/>
  <c r="AF64" i="30"/>
  <c r="AG64" i="30"/>
  <c r="AH64" i="30"/>
  <c r="AI64" i="30"/>
  <c r="AJ64" i="30"/>
  <c r="AL64" i="30"/>
  <c r="AM64" i="30"/>
  <c r="AN64" i="30"/>
  <c r="AO64" i="30"/>
  <c r="AP64" i="30"/>
  <c r="AQ64" i="30"/>
  <c r="AR64" i="30"/>
  <c r="AS64" i="30"/>
  <c r="AT64" i="30"/>
  <c r="AU64" i="30"/>
  <c r="AV64" i="30"/>
  <c r="AW64" i="30"/>
  <c r="AX64" i="30"/>
  <c r="AY64" i="30"/>
  <c r="BB64" i="30"/>
  <c r="BC64" i="30"/>
  <c r="BD64" i="30"/>
  <c r="BE64" i="30"/>
  <c r="BF64" i="30"/>
  <c r="BG64" i="30"/>
  <c r="BH64" i="30"/>
  <c r="BI64" i="30"/>
  <c r="BJ64" i="30"/>
  <c r="BK64" i="30"/>
  <c r="BL64" i="30"/>
  <c r="BM64" i="30"/>
  <c r="BN64" i="30"/>
  <c r="BO64" i="30"/>
  <c r="D65" i="30"/>
  <c r="F65" i="30"/>
  <c r="G65" i="30"/>
  <c r="H65" i="30"/>
  <c r="I65" i="30"/>
  <c r="K65" i="30"/>
  <c r="L65" i="30"/>
  <c r="N65" i="30"/>
  <c r="O65" i="30"/>
  <c r="P65" i="30"/>
  <c r="Q65" i="30"/>
  <c r="S65" i="30"/>
  <c r="T65" i="30"/>
  <c r="V65" i="30"/>
  <c r="X65" i="30"/>
  <c r="Y65" i="30"/>
  <c r="Z65" i="30"/>
  <c r="AA65" i="30"/>
  <c r="AB65" i="30"/>
  <c r="AC65" i="30"/>
  <c r="AF65" i="30"/>
  <c r="AG65" i="30"/>
  <c r="AH65" i="30"/>
  <c r="AI65" i="30"/>
  <c r="AJ65" i="30"/>
  <c r="AL65" i="30"/>
  <c r="AM65" i="30"/>
  <c r="AN65" i="30"/>
  <c r="AO65" i="30"/>
  <c r="AP65" i="30"/>
  <c r="AQ65" i="30"/>
  <c r="AR65" i="30"/>
  <c r="AS65" i="30"/>
  <c r="AT65" i="30"/>
  <c r="AU65" i="30"/>
  <c r="AV65" i="30"/>
  <c r="AW65" i="30"/>
  <c r="AX65" i="30"/>
  <c r="AY65" i="30"/>
  <c r="BB65" i="30"/>
  <c r="BC65" i="30"/>
  <c r="BD65" i="30"/>
  <c r="BE65" i="30"/>
  <c r="BF65" i="30"/>
  <c r="BG65" i="30"/>
  <c r="BH65" i="30"/>
  <c r="BI65" i="30"/>
  <c r="BJ65" i="30"/>
  <c r="BK65" i="30"/>
  <c r="BL65" i="30"/>
  <c r="BM65" i="30"/>
  <c r="BN65" i="30"/>
  <c r="BO65" i="30"/>
  <c r="D66" i="30"/>
  <c r="F66" i="30"/>
  <c r="G66" i="30"/>
  <c r="H66" i="30"/>
  <c r="I66" i="30"/>
  <c r="K66" i="30"/>
  <c r="L66" i="30"/>
  <c r="N66" i="30"/>
  <c r="O66" i="30"/>
  <c r="P66" i="30"/>
  <c r="Q66" i="30"/>
  <c r="S66" i="30"/>
  <c r="T66" i="30"/>
  <c r="V66" i="30"/>
  <c r="X66" i="30"/>
  <c r="Y66" i="30"/>
  <c r="Z66" i="30"/>
  <c r="AA66" i="30"/>
  <c r="AB66" i="30"/>
  <c r="AC66" i="30"/>
  <c r="AF66" i="30"/>
  <c r="AG66" i="30"/>
  <c r="AH66" i="30"/>
  <c r="AI66" i="30"/>
  <c r="AJ66" i="30"/>
  <c r="AL66" i="30"/>
  <c r="AM66" i="30"/>
  <c r="AN66" i="30"/>
  <c r="AO66" i="30"/>
  <c r="AP66" i="30"/>
  <c r="AQ66" i="30"/>
  <c r="AR66" i="30"/>
  <c r="AS66" i="30"/>
  <c r="AT66" i="30"/>
  <c r="AU66" i="30"/>
  <c r="AV66" i="30"/>
  <c r="AW66" i="30"/>
  <c r="AX66" i="30"/>
  <c r="AY66" i="30"/>
  <c r="BB66" i="30"/>
  <c r="BC66" i="30"/>
  <c r="BD66" i="30"/>
  <c r="BE66" i="30"/>
  <c r="BF66" i="30"/>
  <c r="BG66" i="30"/>
  <c r="BH66" i="30"/>
  <c r="BI66" i="30"/>
  <c r="BJ66" i="30"/>
  <c r="BK66" i="30"/>
  <c r="BL66" i="30"/>
  <c r="BM66" i="30"/>
  <c r="BN66" i="30"/>
  <c r="BO66" i="30"/>
  <c r="D67" i="30"/>
  <c r="F67" i="30"/>
  <c r="G67" i="30"/>
  <c r="H67" i="30"/>
  <c r="I67" i="30"/>
  <c r="K67" i="30"/>
  <c r="L67" i="30"/>
  <c r="N67" i="30"/>
  <c r="O67" i="30"/>
  <c r="P67" i="30"/>
  <c r="Q67" i="30"/>
  <c r="S67" i="30"/>
  <c r="T67" i="30"/>
  <c r="V67" i="30"/>
  <c r="X67" i="30"/>
  <c r="Y67" i="30"/>
  <c r="Z67" i="30"/>
  <c r="AA67" i="30"/>
  <c r="AB67" i="30"/>
  <c r="AC67" i="30"/>
  <c r="AF67" i="30"/>
  <c r="AG67" i="30"/>
  <c r="AH67" i="30"/>
  <c r="AI67" i="30"/>
  <c r="AJ67" i="30"/>
  <c r="AL67" i="30"/>
  <c r="AM67" i="30"/>
  <c r="AN67" i="30"/>
  <c r="AO67" i="30"/>
  <c r="AP67" i="30"/>
  <c r="AQ67" i="30"/>
  <c r="AR67" i="30"/>
  <c r="AS67" i="30"/>
  <c r="AT67" i="30"/>
  <c r="AU67" i="30"/>
  <c r="AV67" i="30"/>
  <c r="AW67" i="30"/>
  <c r="AX67" i="30"/>
  <c r="AY67" i="30"/>
  <c r="BB67" i="30"/>
  <c r="BC67" i="30"/>
  <c r="BD67" i="30"/>
  <c r="BE67" i="30"/>
  <c r="BF67" i="30"/>
  <c r="BG67" i="30"/>
  <c r="BH67" i="30"/>
  <c r="BI67" i="30"/>
  <c r="BJ67" i="30"/>
  <c r="BK67" i="30"/>
  <c r="BL67" i="30"/>
  <c r="BM67" i="30"/>
  <c r="BN67" i="30"/>
  <c r="BO67" i="30"/>
  <c r="D68" i="30"/>
  <c r="F68" i="30"/>
  <c r="G68" i="30"/>
  <c r="H68" i="30"/>
  <c r="I68" i="30"/>
  <c r="K68" i="30"/>
  <c r="L68" i="30"/>
  <c r="N68" i="30"/>
  <c r="O68" i="30"/>
  <c r="P68" i="30"/>
  <c r="Q68" i="30"/>
  <c r="S68" i="30"/>
  <c r="T68" i="30"/>
  <c r="V68" i="30"/>
  <c r="X68" i="30"/>
  <c r="Y68" i="30"/>
  <c r="Z68" i="30"/>
  <c r="AA68" i="30"/>
  <c r="AB68" i="30"/>
  <c r="AC68" i="30"/>
  <c r="AF68" i="30"/>
  <c r="AG68" i="30"/>
  <c r="AH68" i="30"/>
  <c r="AI68" i="30"/>
  <c r="AJ68" i="30"/>
  <c r="AL68" i="30"/>
  <c r="AM68" i="30"/>
  <c r="AN68" i="30"/>
  <c r="AO68" i="30"/>
  <c r="AP68" i="30"/>
  <c r="AQ68" i="30"/>
  <c r="AR68" i="30"/>
  <c r="AS68" i="30"/>
  <c r="AT68" i="30"/>
  <c r="AU68" i="30"/>
  <c r="AV68" i="30"/>
  <c r="AW68" i="30"/>
  <c r="AX68" i="30"/>
  <c r="AY68" i="30"/>
  <c r="BB68" i="30"/>
  <c r="BC68" i="30"/>
  <c r="BD68" i="30"/>
  <c r="BE68" i="30"/>
  <c r="BF68" i="30"/>
  <c r="BG68" i="30"/>
  <c r="BH68" i="30"/>
  <c r="BI68" i="30"/>
  <c r="BJ68" i="30"/>
  <c r="BK68" i="30"/>
  <c r="BL68" i="30"/>
  <c r="BM68" i="30"/>
  <c r="BN68" i="30"/>
  <c r="BO68" i="30"/>
  <c r="D69" i="30"/>
  <c r="F69" i="30"/>
  <c r="G69" i="30"/>
  <c r="H69" i="30"/>
  <c r="I69" i="30"/>
  <c r="K69" i="30"/>
  <c r="L69" i="30"/>
  <c r="N69" i="30"/>
  <c r="O69" i="30"/>
  <c r="P69" i="30"/>
  <c r="Q69" i="30"/>
  <c r="S69" i="30"/>
  <c r="T69" i="30"/>
  <c r="V69" i="30"/>
  <c r="X69" i="30"/>
  <c r="Y69" i="30"/>
  <c r="Z69" i="30"/>
  <c r="AA69" i="30"/>
  <c r="AB69" i="30"/>
  <c r="AC69" i="30"/>
  <c r="AF69" i="30"/>
  <c r="AG69" i="30"/>
  <c r="AH69" i="30"/>
  <c r="AI69" i="30"/>
  <c r="AJ69" i="30"/>
  <c r="AL69" i="30"/>
  <c r="AM69" i="30"/>
  <c r="AN69" i="30"/>
  <c r="AO69" i="30"/>
  <c r="AP69" i="30"/>
  <c r="AQ69" i="30"/>
  <c r="AR69" i="30"/>
  <c r="AS69" i="30"/>
  <c r="AT69" i="30"/>
  <c r="AU69" i="30"/>
  <c r="AV69" i="30"/>
  <c r="AW69" i="30"/>
  <c r="AX69" i="30"/>
  <c r="AY69" i="30"/>
  <c r="BB69" i="30"/>
  <c r="BC69" i="30"/>
  <c r="BD69" i="30"/>
  <c r="BE69" i="30"/>
  <c r="BF69" i="30"/>
  <c r="BG69" i="30"/>
  <c r="BH69" i="30"/>
  <c r="BI69" i="30"/>
  <c r="BJ69" i="30"/>
  <c r="BK69" i="30"/>
  <c r="BL69" i="30"/>
  <c r="BM69" i="30"/>
  <c r="BN69" i="30"/>
  <c r="BO69" i="30"/>
  <c r="D70" i="30"/>
  <c r="F70" i="30"/>
  <c r="G70" i="30"/>
  <c r="H70" i="30"/>
  <c r="I70" i="30"/>
  <c r="K70" i="30"/>
  <c r="L70" i="30"/>
  <c r="N70" i="30"/>
  <c r="O70" i="30"/>
  <c r="P70" i="30"/>
  <c r="Q70" i="30"/>
  <c r="S70" i="30"/>
  <c r="T70" i="30"/>
  <c r="V70" i="30"/>
  <c r="X70" i="30"/>
  <c r="Y70" i="30"/>
  <c r="Z70" i="30"/>
  <c r="AA70" i="30"/>
  <c r="AB70" i="30"/>
  <c r="AC70" i="30"/>
  <c r="AF70" i="30"/>
  <c r="AG70" i="30"/>
  <c r="AH70" i="30"/>
  <c r="AI70" i="30"/>
  <c r="AJ70" i="30"/>
  <c r="AL70" i="30"/>
  <c r="AM70" i="30"/>
  <c r="AN70" i="30"/>
  <c r="AO70" i="30"/>
  <c r="AP70" i="30"/>
  <c r="AQ70" i="30"/>
  <c r="AR70" i="30"/>
  <c r="AS70" i="30"/>
  <c r="AT70" i="30"/>
  <c r="AU70" i="30"/>
  <c r="AV70" i="30"/>
  <c r="AW70" i="30"/>
  <c r="AX70" i="30"/>
  <c r="AY70" i="30"/>
  <c r="BB70" i="30"/>
  <c r="BC70" i="30"/>
  <c r="BD70" i="30"/>
  <c r="BE70" i="30"/>
  <c r="BF70" i="30"/>
  <c r="BG70" i="30"/>
  <c r="BH70" i="30"/>
  <c r="BI70" i="30"/>
  <c r="BJ70" i="30"/>
  <c r="BK70" i="30"/>
  <c r="BL70" i="30"/>
  <c r="BM70" i="30"/>
  <c r="BN70" i="30"/>
  <c r="BO70" i="30"/>
  <c r="D71" i="30"/>
  <c r="F71" i="30"/>
  <c r="G71" i="30"/>
  <c r="H71" i="30"/>
  <c r="I71" i="30"/>
  <c r="K71" i="30"/>
  <c r="L71" i="30"/>
  <c r="N71" i="30"/>
  <c r="O71" i="30"/>
  <c r="P71" i="30"/>
  <c r="Q71" i="30"/>
  <c r="S71" i="30"/>
  <c r="T71" i="30"/>
  <c r="V71" i="30"/>
  <c r="X71" i="30"/>
  <c r="Y71" i="30"/>
  <c r="Z71" i="30"/>
  <c r="AA71" i="30"/>
  <c r="AB71" i="30"/>
  <c r="AC71" i="30"/>
  <c r="AF71" i="30"/>
  <c r="AG71" i="30"/>
  <c r="AH71" i="30"/>
  <c r="AI71" i="30"/>
  <c r="AJ71" i="30"/>
  <c r="AL71" i="30"/>
  <c r="AM71" i="30"/>
  <c r="AN71" i="30"/>
  <c r="AO71" i="30"/>
  <c r="AP71" i="30"/>
  <c r="AQ71" i="30"/>
  <c r="AR71" i="30"/>
  <c r="AS71" i="30"/>
  <c r="AT71" i="30"/>
  <c r="AU71" i="30"/>
  <c r="AV71" i="30"/>
  <c r="AW71" i="30"/>
  <c r="AX71" i="30"/>
  <c r="AY71" i="30"/>
  <c r="BB71" i="30"/>
  <c r="BC71" i="30"/>
  <c r="BD71" i="30"/>
  <c r="BE71" i="30"/>
  <c r="BF71" i="30"/>
  <c r="BG71" i="30"/>
  <c r="BH71" i="30"/>
  <c r="BI71" i="30"/>
  <c r="BJ71" i="30"/>
  <c r="BK71" i="30"/>
  <c r="BL71" i="30"/>
  <c r="BM71" i="30"/>
  <c r="BN71" i="30"/>
  <c r="BO71" i="30"/>
  <c r="D72" i="30"/>
  <c r="F72" i="30"/>
  <c r="G72" i="30"/>
  <c r="H72" i="30"/>
  <c r="I72" i="30"/>
  <c r="K72" i="30"/>
  <c r="L72" i="30"/>
  <c r="N72" i="30"/>
  <c r="O72" i="30"/>
  <c r="P72" i="30"/>
  <c r="Q72" i="30"/>
  <c r="S72" i="30"/>
  <c r="T72" i="30"/>
  <c r="V72" i="30"/>
  <c r="X72" i="30"/>
  <c r="Y72" i="30"/>
  <c r="Z72" i="30"/>
  <c r="AA72" i="30"/>
  <c r="AB72" i="30"/>
  <c r="AC72" i="30"/>
  <c r="AF72" i="30"/>
  <c r="AG72" i="30"/>
  <c r="AH72" i="30"/>
  <c r="AI72" i="30"/>
  <c r="AJ72" i="30"/>
  <c r="AL72" i="30"/>
  <c r="AM72" i="30"/>
  <c r="AN72" i="30"/>
  <c r="AO72" i="30"/>
  <c r="AP72" i="30"/>
  <c r="AQ72" i="30"/>
  <c r="AR72" i="30"/>
  <c r="AS72" i="30"/>
  <c r="AT72" i="30"/>
  <c r="AU72" i="30"/>
  <c r="AV72" i="30"/>
  <c r="AW72" i="30"/>
  <c r="AX72" i="30"/>
  <c r="AY72" i="30"/>
  <c r="BB72" i="30"/>
  <c r="BC72" i="30"/>
  <c r="BD72" i="30"/>
  <c r="BE72" i="30"/>
  <c r="BF72" i="30"/>
  <c r="BG72" i="30"/>
  <c r="BH72" i="30"/>
  <c r="BI72" i="30"/>
  <c r="BJ72" i="30"/>
  <c r="BK72" i="30"/>
  <c r="BL72" i="30"/>
  <c r="BM72" i="30"/>
  <c r="BN72" i="30"/>
  <c r="BO72" i="30"/>
  <c r="D73" i="30"/>
  <c r="F73" i="30"/>
  <c r="G73" i="30"/>
  <c r="H73" i="30"/>
  <c r="I73" i="30"/>
  <c r="K73" i="30"/>
  <c r="L73" i="30"/>
  <c r="N73" i="30"/>
  <c r="O73" i="30"/>
  <c r="P73" i="30"/>
  <c r="Q73" i="30"/>
  <c r="S73" i="30"/>
  <c r="T73" i="30"/>
  <c r="V73" i="30"/>
  <c r="X73" i="30"/>
  <c r="Y73" i="30"/>
  <c r="Z73" i="30"/>
  <c r="AA73" i="30"/>
  <c r="AB73" i="30"/>
  <c r="AC73" i="30"/>
  <c r="AF73" i="30"/>
  <c r="AG73" i="30"/>
  <c r="AH73" i="30"/>
  <c r="AI73" i="30"/>
  <c r="AJ73" i="30"/>
  <c r="AL73" i="30"/>
  <c r="AM73" i="30"/>
  <c r="AN73" i="30"/>
  <c r="AO73" i="30"/>
  <c r="AP73" i="30"/>
  <c r="AQ73" i="30"/>
  <c r="AR73" i="30"/>
  <c r="AS73" i="30"/>
  <c r="AT73" i="30"/>
  <c r="AU73" i="30"/>
  <c r="AV73" i="30"/>
  <c r="AW73" i="30"/>
  <c r="AX73" i="30"/>
  <c r="AY73" i="30"/>
  <c r="BB73" i="30"/>
  <c r="BC73" i="30"/>
  <c r="BD73" i="30"/>
  <c r="BE73" i="30"/>
  <c r="BF73" i="30"/>
  <c r="BG73" i="30"/>
  <c r="BH73" i="30"/>
  <c r="BI73" i="30"/>
  <c r="BJ73" i="30"/>
  <c r="BK73" i="30"/>
  <c r="BL73" i="30"/>
  <c r="BM73" i="30"/>
  <c r="BN73" i="30"/>
  <c r="BO73" i="30"/>
  <c r="D74" i="30"/>
  <c r="F74" i="30"/>
  <c r="G74" i="30"/>
  <c r="H74" i="30"/>
  <c r="I74" i="30"/>
  <c r="K74" i="30"/>
  <c r="L74" i="30"/>
  <c r="N74" i="30"/>
  <c r="O74" i="30"/>
  <c r="P74" i="30"/>
  <c r="Q74" i="30"/>
  <c r="S74" i="30"/>
  <c r="T74" i="30"/>
  <c r="V74" i="30"/>
  <c r="X74" i="30"/>
  <c r="Y74" i="30"/>
  <c r="Z74" i="30"/>
  <c r="AA74" i="30"/>
  <c r="AB74" i="30"/>
  <c r="AC74" i="30"/>
  <c r="AF74" i="30"/>
  <c r="AG74" i="30"/>
  <c r="AH74" i="30"/>
  <c r="AI74" i="30"/>
  <c r="AJ74" i="30"/>
  <c r="AL74" i="30"/>
  <c r="AM74" i="30"/>
  <c r="AN74" i="30"/>
  <c r="AO74" i="30"/>
  <c r="AP74" i="30"/>
  <c r="AQ74" i="30"/>
  <c r="AR74" i="30"/>
  <c r="AS74" i="30"/>
  <c r="AT74" i="30"/>
  <c r="AU74" i="30"/>
  <c r="AV74" i="30"/>
  <c r="AW74" i="30"/>
  <c r="AX74" i="30"/>
  <c r="AY74" i="30"/>
  <c r="BB74" i="30"/>
  <c r="BC74" i="30"/>
  <c r="BD74" i="30"/>
  <c r="BE74" i="30"/>
  <c r="BF74" i="30"/>
  <c r="BG74" i="30"/>
  <c r="BH74" i="30"/>
  <c r="BI74" i="30"/>
  <c r="BJ74" i="30"/>
  <c r="BK74" i="30"/>
  <c r="BL74" i="30"/>
  <c r="BM74" i="30"/>
  <c r="BN74" i="30"/>
  <c r="BO74" i="30"/>
  <c r="D75" i="30"/>
  <c r="F75" i="30"/>
  <c r="G75" i="30"/>
  <c r="H75" i="30"/>
  <c r="I75" i="30"/>
  <c r="K75" i="30"/>
  <c r="L75" i="30"/>
  <c r="N75" i="30"/>
  <c r="O75" i="30"/>
  <c r="P75" i="30"/>
  <c r="Q75" i="30"/>
  <c r="S75" i="30"/>
  <c r="T75" i="30"/>
  <c r="V75" i="30"/>
  <c r="X75" i="30"/>
  <c r="Y75" i="30"/>
  <c r="Z75" i="30"/>
  <c r="AA75" i="30"/>
  <c r="AB75" i="30"/>
  <c r="AC75" i="30"/>
  <c r="AF75" i="30"/>
  <c r="AG75" i="30"/>
  <c r="AH75" i="30"/>
  <c r="AI75" i="30"/>
  <c r="AJ75" i="30"/>
  <c r="AL75" i="30"/>
  <c r="AM75" i="30"/>
  <c r="AN75" i="30"/>
  <c r="AO75" i="30"/>
  <c r="AP75" i="30"/>
  <c r="AQ75" i="30"/>
  <c r="AR75" i="30"/>
  <c r="AS75" i="30"/>
  <c r="AT75" i="30"/>
  <c r="AU75" i="30"/>
  <c r="AV75" i="30"/>
  <c r="AW75" i="30"/>
  <c r="AX75" i="30"/>
  <c r="AY75" i="30"/>
  <c r="BB75" i="30"/>
  <c r="BC75" i="30"/>
  <c r="BD75" i="30"/>
  <c r="BE75" i="30"/>
  <c r="BF75" i="30"/>
  <c r="BG75" i="30"/>
  <c r="BH75" i="30"/>
  <c r="BI75" i="30"/>
  <c r="BJ75" i="30"/>
  <c r="BK75" i="30"/>
  <c r="BL75" i="30"/>
  <c r="BM75" i="30"/>
  <c r="BN75" i="30"/>
  <c r="BO75" i="30"/>
  <c r="D76" i="30"/>
  <c r="F76" i="30"/>
  <c r="G76" i="30"/>
  <c r="H76" i="30"/>
  <c r="I76" i="30"/>
  <c r="K76" i="30"/>
  <c r="L76" i="30"/>
  <c r="N76" i="30"/>
  <c r="O76" i="30"/>
  <c r="P76" i="30"/>
  <c r="Q76" i="30"/>
  <c r="S76" i="30"/>
  <c r="T76" i="30"/>
  <c r="V76" i="30"/>
  <c r="X76" i="30"/>
  <c r="Y76" i="30"/>
  <c r="Z76" i="30"/>
  <c r="AA76" i="30"/>
  <c r="AB76" i="30"/>
  <c r="AC76" i="30"/>
  <c r="AF76" i="30"/>
  <c r="AG76" i="30"/>
  <c r="AH76" i="30"/>
  <c r="AI76" i="30"/>
  <c r="AJ76" i="30"/>
  <c r="AL76" i="30"/>
  <c r="AM76" i="30"/>
  <c r="AN76" i="30"/>
  <c r="AO76" i="30"/>
  <c r="AP76" i="30"/>
  <c r="AQ76" i="30"/>
  <c r="AR76" i="30"/>
  <c r="AS76" i="30"/>
  <c r="AT76" i="30"/>
  <c r="AU76" i="30"/>
  <c r="AV76" i="30"/>
  <c r="AW76" i="30"/>
  <c r="AX76" i="30"/>
  <c r="AY76" i="30"/>
  <c r="BB76" i="30"/>
  <c r="BC76" i="30"/>
  <c r="BD76" i="30"/>
  <c r="BE76" i="30"/>
  <c r="BF76" i="30"/>
  <c r="BG76" i="30"/>
  <c r="BH76" i="30"/>
  <c r="BI76" i="30"/>
  <c r="BJ76" i="30"/>
  <c r="BK76" i="30"/>
  <c r="BL76" i="30"/>
  <c r="BM76" i="30"/>
  <c r="BN76" i="30"/>
  <c r="BO76" i="30"/>
  <c r="D77" i="30"/>
  <c r="F77" i="30"/>
  <c r="G77" i="30"/>
  <c r="H77" i="30"/>
  <c r="I77" i="30"/>
  <c r="K77" i="30"/>
  <c r="L77" i="30"/>
  <c r="N77" i="30"/>
  <c r="O77" i="30"/>
  <c r="P77" i="30"/>
  <c r="Q77" i="30"/>
  <c r="S77" i="30"/>
  <c r="T77" i="30"/>
  <c r="V77" i="30"/>
  <c r="X77" i="30"/>
  <c r="Y77" i="30"/>
  <c r="Z77" i="30"/>
  <c r="AA77" i="30"/>
  <c r="AB77" i="30"/>
  <c r="AC77" i="30"/>
  <c r="AF77" i="30"/>
  <c r="AG77" i="30"/>
  <c r="AH77" i="30"/>
  <c r="AI77" i="30"/>
  <c r="AJ77" i="30"/>
  <c r="AL77" i="30"/>
  <c r="AM77" i="30"/>
  <c r="AN77" i="30"/>
  <c r="AO77" i="30"/>
  <c r="AP77" i="30"/>
  <c r="AQ77" i="30"/>
  <c r="AR77" i="30"/>
  <c r="AS77" i="30"/>
  <c r="AT77" i="30"/>
  <c r="AU77" i="30"/>
  <c r="AV77" i="30"/>
  <c r="AW77" i="30"/>
  <c r="AX77" i="30"/>
  <c r="AY77" i="30"/>
  <c r="BB77" i="30"/>
  <c r="BC77" i="30"/>
  <c r="BD77" i="30"/>
  <c r="BE77" i="30"/>
  <c r="BF77" i="30"/>
  <c r="BG77" i="30"/>
  <c r="BH77" i="30"/>
  <c r="BI77" i="30"/>
  <c r="BJ77" i="30"/>
  <c r="BK77" i="30"/>
  <c r="BL77" i="30"/>
  <c r="BM77" i="30"/>
  <c r="BN77" i="30"/>
  <c r="BO77" i="30"/>
  <c r="D78" i="30"/>
  <c r="F78" i="30"/>
  <c r="G78" i="30"/>
  <c r="H78" i="30"/>
  <c r="I78" i="30"/>
  <c r="K78" i="30"/>
  <c r="L78" i="30"/>
  <c r="N78" i="30"/>
  <c r="O78" i="30"/>
  <c r="P78" i="30"/>
  <c r="Q78" i="30"/>
  <c r="S78" i="30"/>
  <c r="T78" i="30"/>
  <c r="V78" i="30"/>
  <c r="X78" i="30"/>
  <c r="Y78" i="30"/>
  <c r="Z78" i="30"/>
  <c r="AA78" i="30"/>
  <c r="AB78" i="30"/>
  <c r="AC78" i="30"/>
  <c r="AF78" i="30"/>
  <c r="AG78" i="30"/>
  <c r="AH78" i="30"/>
  <c r="AI78" i="30"/>
  <c r="AJ78" i="30"/>
  <c r="AL78" i="30"/>
  <c r="AM78" i="30"/>
  <c r="AN78" i="30"/>
  <c r="AO78" i="30"/>
  <c r="AP78" i="30"/>
  <c r="AQ78" i="30"/>
  <c r="AR78" i="30"/>
  <c r="AS78" i="30"/>
  <c r="AT78" i="30"/>
  <c r="AU78" i="30"/>
  <c r="AV78" i="30"/>
  <c r="AW78" i="30"/>
  <c r="AX78" i="30"/>
  <c r="AY78" i="30"/>
  <c r="BB78" i="30"/>
  <c r="BC78" i="30"/>
  <c r="BD78" i="30"/>
  <c r="BE78" i="30"/>
  <c r="BF78" i="30"/>
  <c r="BG78" i="30"/>
  <c r="BH78" i="30"/>
  <c r="BI78" i="30"/>
  <c r="BJ78" i="30"/>
  <c r="BK78" i="30"/>
  <c r="BL78" i="30"/>
  <c r="BM78" i="30"/>
  <c r="BN78" i="30"/>
  <c r="BO78" i="30"/>
  <c r="D79" i="30"/>
  <c r="F79" i="30"/>
  <c r="G79" i="30"/>
  <c r="H79" i="30"/>
  <c r="I79" i="30"/>
  <c r="K79" i="30"/>
  <c r="L79" i="30"/>
  <c r="N79" i="30"/>
  <c r="O79" i="30"/>
  <c r="P79" i="30"/>
  <c r="Q79" i="30"/>
  <c r="S79" i="30"/>
  <c r="T79" i="30"/>
  <c r="V79" i="30"/>
  <c r="X79" i="30"/>
  <c r="Y79" i="30"/>
  <c r="Z79" i="30"/>
  <c r="AA79" i="30"/>
  <c r="AB79" i="30"/>
  <c r="AC79" i="30"/>
  <c r="AF79" i="30"/>
  <c r="AG79" i="30"/>
  <c r="AH79" i="30"/>
  <c r="AI79" i="30"/>
  <c r="AJ79" i="30"/>
  <c r="AL79" i="30"/>
  <c r="AM79" i="30"/>
  <c r="AN79" i="30"/>
  <c r="AO79" i="30"/>
  <c r="AP79" i="30"/>
  <c r="AQ79" i="30"/>
  <c r="AR79" i="30"/>
  <c r="AS79" i="30"/>
  <c r="AT79" i="30"/>
  <c r="AU79" i="30"/>
  <c r="AV79" i="30"/>
  <c r="AW79" i="30"/>
  <c r="AX79" i="30"/>
  <c r="AY79" i="30"/>
  <c r="BB79" i="30"/>
  <c r="BC79" i="30"/>
  <c r="BD79" i="30"/>
  <c r="BE79" i="30"/>
  <c r="BF79" i="30"/>
  <c r="BG79" i="30"/>
  <c r="BH79" i="30"/>
  <c r="BI79" i="30"/>
  <c r="BJ79" i="30"/>
  <c r="BK79" i="30"/>
  <c r="BL79" i="30"/>
  <c r="BM79" i="30"/>
  <c r="BN79" i="30"/>
  <c r="BO79" i="30"/>
  <c r="D80" i="30"/>
  <c r="F80" i="30"/>
  <c r="G80" i="30"/>
  <c r="H80" i="30"/>
  <c r="I80" i="30"/>
  <c r="K80" i="30"/>
  <c r="L80" i="30"/>
  <c r="N80" i="30"/>
  <c r="O80" i="30"/>
  <c r="P80" i="30"/>
  <c r="Q80" i="30"/>
  <c r="S80" i="30"/>
  <c r="T80" i="30"/>
  <c r="V80" i="30"/>
  <c r="X80" i="30"/>
  <c r="Y80" i="30"/>
  <c r="Z80" i="30"/>
  <c r="AA80" i="30"/>
  <c r="AB80" i="30"/>
  <c r="AC80" i="30"/>
  <c r="AF80" i="30"/>
  <c r="AG80" i="30"/>
  <c r="AH80" i="30"/>
  <c r="AI80" i="30"/>
  <c r="AJ80" i="30"/>
  <c r="AL80" i="30"/>
  <c r="AM80" i="30"/>
  <c r="AN80" i="30"/>
  <c r="AO80" i="30"/>
  <c r="AP80" i="30"/>
  <c r="AQ80" i="30"/>
  <c r="AR80" i="30"/>
  <c r="AS80" i="30"/>
  <c r="AT80" i="30"/>
  <c r="AU80" i="30"/>
  <c r="AV80" i="30"/>
  <c r="AW80" i="30"/>
  <c r="AX80" i="30"/>
  <c r="AY80" i="30"/>
  <c r="BB80" i="30"/>
  <c r="BC80" i="30"/>
  <c r="BD80" i="30"/>
  <c r="BE80" i="30"/>
  <c r="BF80" i="30"/>
  <c r="BG80" i="30"/>
  <c r="BH80" i="30"/>
  <c r="BI80" i="30"/>
  <c r="BJ80" i="30"/>
  <c r="BK80" i="30"/>
  <c r="BL80" i="30"/>
  <c r="BM80" i="30"/>
  <c r="BN80" i="30"/>
  <c r="BO80" i="30"/>
  <c r="D81" i="30"/>
  <c r="F81" i="30"/>
  <c r="G81" i="30"/>
  <c r="H81" i="30"/>
  <c r="I81" i="30"/>
  <c r="K81" i="30"/>
  <c r="L81" i="30"/>
  <c r="N81" i="30"/>
  <c r="O81" i="30"/>
  <c r="P81" i="30"/>
  <c r="Q81" i="30"/>
  <c r="S81" i="30"/>
  <c r="T81" i="30"/>
  <c r="V81" i="30"/>
  <c r="X81" i="30"/>
  <c r="Y81" i="30"/>
  <c r="Z81" i="30"/>
  <c r="AA81" i="30"/>
  <c r="AB81" i="30"/>
  <c r="AC81" i="30"/>
  <c r="AF81" i="30"/>
  <c r="AG81" i="30"/>
  <c r="AH81" i="30"/>
  <c r="AI81" i="30"/>
  <c r="AJ81" i="30"/>
  <c r="AL81" i="30"/>
  <c r="AM81" i="30"/>
  <c r="AN81" i="30"/>
  <c r="AO81" i="30"/>
  <c r="AP81" i="30"/>
  <c r="AQ81" i="30"/>
  <c r="AR81" i="30"/>
  <c r="AS81" i="30"/>
  <c r="AT81" i="30"/>
  <c r="AU81" i="30"/>
  <c r="AV81" i="30"/>
  <c r="AW81" i="30"/>
  <c r="AX81" i="30"/>
  <c r="AY81" i="30"/>
  <c r="BB81" i="30"/>
  <c r="BC81" i="30"/>
  <c r="BD81" i="30"/>
  <c r="BE81" i="30"/>
  <c r="BF81" i="30"/>
  <c r="BG81" i="30"/>
  <c r="BH81" i="30"/>
  <c r="BI81" i="30"/>
  <c r="BJ81" i="30"/>
  <c r="BK81" i="30"/>
  <c r="BL81" i="30"/>
  <c r="BM81" i="30"/>
  <c r="BN81" i="30"/>
  <c r="BO81" i="30"/>
  <c r="D82" i="30"/>
  <c r="F82" i="30"/>
  <c r="G82" i="30"/>
  <c r="H82" i="30"/>
  <c r="I82" i="30"/>
  <c r="K82" i="30"/>
  <c r="L82" i="30"/>
  <c r="N82" i="30"/>
  <c r="O82" i="30"/>
  <c r="P82" i="30"/>
  <c r="Q82" i="30"/>
  <c r="S82" i="30"/>
  <c r="T82" i="30"/>
  <c r="V82" i="30"/>
  <c r="X82" i="30"/>
  <c r="Y82" i="30"/>
  <c r="Z82" i="30"/>
  <c r="AA82" i="30"/>
  <c r="AB82" i="30"/>
  <c r="AC82" i="30"/>
  <c r="AF82" i="30"/>
  <c r="AG82" i="30"/>
  <c r="AH82" i="30"/>
  <c r="AI82" i="30"/>
  <c r="AJ82" i="30"/>
  <c r="AL82" i="30"/>
  <c r="AM82" i="30"/>
  <c r="AN82" i="30"/>
  <c r="AO82" i="30"/>
  <c r="AP82" i="30"/>
  <c r="AQ82" i="30"/>
  <c r="AR82" i="30"/>
  <c r="AS82" i="30"/>
  <c r="AT82" i="30"/>
  <c r="AU82" i="30"/>
  <c r="AV82" i="30"/>
  <c r="AW82" i="30"/>
  <c r="AX82" i="30"/>
  <c r="AY82" i="30"/>
  <c r="BB82" i="30"/>
  <c r="BC82" i="30"/>
  <c r="BD82" i="30"/>
  <c r="BE82" i="30"/>
  <c r="BF82" i="30"/>
  <c r="BG82" i="30"/>
  <c r="BH82" i="30"/>
  <c r="BI82" i="30"/>
  <c r="BJ82" i="30"/>
  <c r="BK82" i="30"/>
  <c r="BL82" i="30"/>
  <c r="BM82" i="30"/>
  <c r="BN82" i="30"/>
  <c r="BO82" i="30"/>
  <c r="D83" i="30"/>
  <c r="F83" i="30"/>
  <c r="G83" i="30"/>
  <c r="H83" i="30"/>
  <c r="I83" i="30"/>
  <c r="K83" i="30"/>
  <c r="L83" i="30"/>
  <c r="N83" i="30"/>
  <c r="O83" i="30"/>
  <c r="P83" i="30"/>
  <c r="Q83" i="30"/>
  <c r="S83" i="30"/>
  <c r="T83" i="30"/>
  <c r="V83" i="30"/>
  <c r="X83" i="30"/>
  <c r="Y83" i="30"/>
  <c r="Z83" i="30"/>
  <c r="AA83" i="30"/>
  <c r="AB83" i="30"/>
  <c r="AC83" i="30"/>
  <c r="AF83" i="30"/>
  <c r="AG83" i="30"/>
  <c r="AH83" i="30"/>
  <c r="AI83" i="30"/>
  <c r="AJ83" i="30"/>
  <c r="AL83" i="30"/>
  <c r="AM83" i="30"/>
  <c r="AN83" i="30"/>
  <c r="AO83" i="30"/>
  <c r="AP83" i="30"/>
  <c r="AQ83" i="30"/>
  <c r="AR83" i="30"/>
  <c r="AS83" i="30"/>
  <c r="AT83" i="30"/>
  <c r="AU83" i="30"/>
  <c r="AV83" i="30"/>
  <c r="AW83" i="30"/>
  <c r="AX83" i="30"/>
  <c r="AY83" i="30"/>
  <c r="BB83" i="30"/>
  <c r="BC83" i="30"/>
  <c r="BD83" i="30"/>
  <c r="BE83" i="30"/>
  <c r="BF83" i="30"/>
  <c r="BG83" i="30"/>
  <c r="BH83" i="30"/>
  <c r="BI83" i="30"/>
  <c r="BJ83" i="30"/>
  <c r="BK83" i="30"/>
  <c r="BL83" i="30"/>
  <c r="BM83" i="30"/>
  <c r="BN83" i="30"/>
  <c r="BO83" i="30"/>
  <c r="D84" i="30"/>
  <c r="F84" i="30"/>
  <c r="G84" i="30"/>
  <c r="H84" i="30"/>
  <c r="I84" i="30"/>
  <c r="K84" i="30"/>
  <c r="L84" i="30"/>
  <c r="N84" i="30"/>
  <c r="O84" i="30"/>
  <c r="P84" i="30"/>
  <c r="Q84" i="30"/>
  <c r="S84" i="30"/>
  <c r="T84" i="30"/>
  <c r="V84" i="30"/>
  <c r="X84" i="30"/>
  <c r="Y84" i="30"/>
  <c r="Z84" i="30"/>
  <c r="AA84" i="30"/>
  <c r="AB84" i="30"/>
  <c r="AC84" i="30"/>
  <c r="AF84" i="30"/>
  <c r="AG84" i="30"/>
  <c r="AH84" i="30"/>
  <c r="AI84" i="30"/>
  <c r="AJ84" i="30"/>
  <c r="AL84" i="30"/>
  <c r="AM84" i="30"/>
  <c r="AN84" i="30"/>
  <c r="AO84" i="30"/>
  <c r="AP84" i="30"/>
  <c r="AQ84" i="30"/>
  <c r="AR84" i="30"/>
  <c r="AS84" i="30"/>
  <c r="AT84" i="30"/>
  <c r="AU84" i="30"/>
  <c r="AV84" i="30"/>
  <c r="AW84" i="30"/>
  <c r="AX84" i="30"/>
  <c r="AY84" i="30"/>
  <c r="BB84" i="30"/>
  <c r="BC84" i="30"/>
  <c r="BD84" i="30"/>
  <c r="BE84" i="30"/>
  <c r="BF84" i="30"/>
  <c r="BG84" i="30"/>
  <c r="BH84" i="30"/>
  <c r="BI84" i="30"/>
  <c r="BJ84" i="30"/>
  <c r="BK84" i="30"/>
  <c r="BL84" i="30"/>
  <c r="BM84" i="30"/>
  <c r="BN84" i="30"/>
  <c r="BO84" i="30"/>
  <c r="D85" i="30"/>
  <c r="F85" i="30"/>
  <c r="G85" i="30"/>
  <c r="H85" i="30"/>
  <c r="I85" i="30"/>
  <c r="K85" i="30"/>
  <c r="L85" i="30"/>
  <c r="N85" i="30"/>
  <c r="O85" i="30"/>
  <c r="P85" i="30"/>
  <c r="Q85" i="30"/>
  <c r="S85" i="30"/>
  <c r="T85" i="30"/>
  <c r="V85" i="30"/>
  <c r="X85" i="30"/>
  <c r="Y85" i="30"/>
  <c r="Z85" i="30"/>
  <c r="AA85" i="30"/>
  <c r="AB85" i="30"/>
  <c r="AC85" i="30"/>
  <c r="AF85" i="30"/>
  <c r="AG85" i="30"/>
  <c r="AH85" i="30"/>
  <c r="AI85" i="30"/>
  <c r="AJ85" i="30"/>
  <c r="AL85" i="30"/>
  <c r="AM85" i="30"/>
  <c r="AN85" i="30"/>
  <c r="AO85" i="30"/>
  <c r="AP85" i="30"/>
  <c r="AQ85" i="30"/>
  <c r="AR85" i="30"/>
  <c r="AS85" i="30"/>
  <c r="AT85" i="30"/>
  <c r="AU85" i="30"/>
  <c r="AV85" i="30"/>
  <c r="AW85" i="30"/>
  <c r="AX85" i="30"/>
  <c r="AY85" i="30"/>
  <c r="BB85" i="30"/>
  <c r="BC85" i="30"/>
  <c r="BD85" i="30"/>
  <c r="BE85" i="30"/>
  <c r="BF85" i="30"/>
  <c r="BG85" i="30"/>
  <c r="BH85" i="30"/>
  <c r="BI85" i="30"/>
  <c r="BJ85" i="30"/>
  <c r="BK85" i="30"/>
  <c r="BL85" i="30"/>
  <c r="BM85" i="30"/>
  <c r="BN85" i="30"/>
  <c r="BO85" i="30"/>
  <c r="D86" i="30"/>
  <c r="F86" i="30"/>
  <c r="G86" i="30"/>
  <c r="H86" i="30"/>
  <c r="I86" i="30"/>
  <c r="K86" i="30"/>
  <c r="L86" i="30"/>
  <c r="N86" i="30"/>
  <c r="O86" i="30"/>
  <c r="P86" i="30"/>
  <c r="Q86" i="30"/>
  <c r="S86" i="30"/>
  <c r="T86" i="30"/>
  <c r="V86" i="30"/>
  <c r="X86" i="30"/>
  <c r="Y86" i="30"/>
  <c r="Z86" i="30"/>
  <c r="AA86" i="30"/>
  <c r="AB86" i="30"/>
  <c r="AC86" i="30"/>
  <c r="AF86" i="30"/>
  <c r="AG86" i="30"/>
  <c r="AH86" i="30"/>
  <c r="AI86" i="30"/>
  <c r="AJ86" i="30"/>
  <c r="AL86" i="30"/>
  <c r="AM86" i="30"/>
  <c r="AN86" i="30"/>
  <c r="AO86" i="30"/>
  <c r="AP86" i="30"/>
  <c r="AQ86" i="30"/>
  <c r="AR86" i="30"/>
  <c r="AS86" i="30"/>
  <c r="AT86" i="30"/>
  <c r="AU86" i="30"/>
  <c r="AV86" i="30"/>
  <c r="AW86" i="30"/>
  <c r="AX86" i="30"/>
  <c r="AY86" i="30"/>
  <c r="BB86" i="30"/>
  <c r="BC86" i="30"/>
  <c r="BD86" i="30"/>
  <c r="BE86" i="30"/>
  <c r="BF86" i="30"/>
  <c r="BG86" i="30"/>
  <c r="BH86" i="30"/>
  <c r="BI86" i="30"/>
  <c r="BJ86" i="30"/>
  <c r="BK86" i="30"/>
  <c r="BL86" i="30"/>
  <c r="BM86" i="30"/>
  <c r="BN86" i="30"/>
  <c r="BO86" i="30"/>
  <c r="D87" i="30"/>
  <c r="F87" i="30"/>
  <c r="G87" i="30"/>
  <c r="H87" i="30"/>
  <c r="I87" i="30"/>
  <c r="K87" i="30"/>
  <c r="L87" i="30"/>
  <c r="N87" i="30"/>
  <c r="O87" i="30"/>
  <c r="P87" i="30"/>
  <c r="Q87" i="30"/>
  <c r="S87" i="30"/>
  <c r="T87" i="30"/>
  <c r="V87" i="30"/>
  <c r="X87" i="30"/>
  <c r="Y87" i="30"/>
  <c r="Z87" i="30"/>
  <c r="AA87" i="30"/>
  <c r="AB87" i="30"/>
  <c r="AC87" i="30"/>
  <c r="AF87" i="30"/>
  <c r="AG87" i="30"/>
  <c r="AH87" i="30"/>
  <c r="AI87" i="30"/>
  <c r="AJ87" i="30"/>
  <c r="AL87" i="30"/>
  <c r="AM87" i="30"/>
  <c r="AN87" i="30"/>
  <c r="AO87" i="30"/>
  <c r="AP87" i="30"/>
  <c r="AQ87" i="30"/>
  <c r="AR87" i="30"/>
  <c r="AS87" i="30"/>
  <c r="AT87" i="30"/>
  <c r="AU87" i="30"/>
  <c r="AV87" i="30"/>
  <c r="AW87" i="30"/>
  <c r="AX87" i="30"/>
  <c r="AY87" i="30"/>
  <c r="BB87" i="30"/>
  <c r="BC87" i="30"/>
  <c r="BD87" i="30"/>
  <c r="BE87" i="30"/>
  <c r="BF87" i="30"/>
  <c r="BG87" i="30"/>
  <c r="BH87" i="30"/>
  <c r="BI87" i="30"/>
  <c r="BJ87" i="30"/>
  <c r="BK87" i="30"/>
  <c r="BL87" i="30"/>
  <c r="BM87" i="30"/>
  <c r="BN87" i="30"/>
  <c r="BO87" i="30"/>
  <c r="D88" i="30"/>
  <c r="F88" i="30"/>
  <c r="G88" i="30"/>
  <c r="H88" i="30"/>
  <c r="I88" i="30"/>
  <c r="K88" i="30"/>
  <c r="L88" i="30"/>
  <c r="N88" i="30"/>
  <c r="O88" i="30"/>
  <c r="P88" i="30"/>
  <c r="Q88" i="30"/>
  <c r="S88" i="30"/>
  <c r="T88" i="30"/>
  <c r="V88" i="30"/>
  <c r="X88" i="30"/>
  <c r="Y88" i="30"/>
  <c r="Z88" i="30"/>
  <c r="AA88" i="30"/>
  <c r="AB88" i="30"/>
  <c r="AC88" i="30"/>
  <c r="AF88" i="30"/>
  <c r="AG88" i="30"/>
  <c r="AH88" i="30"/>
  <c r="AI88" i="30"/>
  <c r="AJ88" i="30"/>
  <c r="AL88" i="30"/>
  <c r="AM88" i="30"/>
  <c r="AN88" i="30"/>
  <c r="AO88" i="30"/>
  <c r="AP88" i="30"/>
  <c r="AQ88" i="30"/>
  <c r="AR88" i="30"/>
  <c r="AS88" i="30"/>
  <c r="AT88" i="30"/>
  <c r="AU88" i="30"/>
  <c r="AV88" i="30"/>
  <c r="AW88" i="30"/>
  <c r="AX88" i="30"/>
  <c r="AY88" i="30"/>
  <c r="BB88" i="30"/>
  <c r="BC88" i="30"/>
  <c r="BD88" i="30"/>
  <c r="BE88" i="30"/>
  <c r="BF88" i="30"/>
  <c r="BG88" i="30"/>
  <c r="BH88" i="30"/>
  <c r="BI88" i="30"/>
  <c r="BJ88" i="30"/>
  <c r="BK88" i="30"/>
  <c r="BL88" i="30"/>
  <c r="BM88" i="30"/>
  <c r="BN88" i="30"/>
  <c r="BO88" i="30"/>
  <c r="D89" i="30"/>
  <c r="F89" i="30"/>
  <c r="G89" i="30"/>
  <c r="H89" i="30"/>
  <c r="I89" i="30"/>
  <c r="K89" i="30"/>
  <c r="L89" i="30"/>
  <c r="N89" i="30"/>
  <c r="O89" i="30"/>
  <c r="P89" i="30"/>
  <c r="Q89" i="30"/>
  <c r="S89" i="30"/>
  <c r="T89" i="30"/>
  <c r="V89" i="30"/>
  <c r="X89" i="30"/>
  <c r="Y89" i="30"/>
  <c r="Z89" i="30"/>
  <c r="AA89" i="30"/>
  <c r="AB89" i="30"/>
  <c r="AC89" i="30"/>
  <c r="AF89" i="30"/>
  <c r="AG89" i="30"/>
  <c r="AH89" i="30"/>
  <c r="AI89" i="30"/>
  <c r="AJ89" i="30"/>
  <c r="AL89" i="30"/>
  <c r="AM89" i="30"/>
  <c r="AN89" i="30"/>
  <c r="AO89" i="30"/>
  <c r="AP89" i="30"/>
  <c r="AQ89" i="30"/>
  <c r="AR89" i="30"/>
  <c r="AS89" i="30"/>
  <c r="AT89" i="30"/>
  <c r="AU89" i="30"/>
  <c r="AV89" i="30"/>
  <c r="AW89" i="30"/>
  <c r="AX89" i="30"/>
  <c r="AY89" i="30"/>
  <c r="BB89" i="30"/>
  <c r="BC89" i="30"/>
  <c r="BD89" i="30"/>
  <c r="BE89" i="30"/>
  <c r="BF89" i="30"/>
  <c r="BG89" i="30"/>
  <c r="BH89" i="30"/>
  <c r="BI89" i="30"/>
  <c r="BJ89" i="30"/>
  <c r="BK89" i="30"/>
  <c r="BL89" i="30"/>
  <c r="BM89" i="30"/>
  <c r="BN89" i="30"/>
  <c r="BO89" i="30"/>
  <c r="D90" i="30"/>
  <c r="F90" i="30"/>
  <c r="G90" i="30"/>
  <c r="H90" i="30"/>
  <c r="I90" i="30"/>
  <c r="K90" i="30"/>
  <c r="L90" i="30"/>
  <c r="N90" i="30"/>
  <c r="O90" i="30"/>
  <c r="P90" i="30"/>
  <c r="Q90" i="30"/>
  <c r="S90" i="30"/>
  <c r="T90" i="30"/>
  <c r="V90" i="30"/>
  <c r="X90" i="30"/>
  <c r="Y90" i="30"/>
  <c r="Z90" i="30"/>
  <c r="AA90" i="30"/>
  <c r="AB90" i="30"/>
  <c r="AC90" i="30"/>
  <c r="AF90" i="30"/>
  <c r="AG90" i="30"/>
  <c r="AH90" i="30"/>
  <c r="AI90" i="30"/>
  <c r="AJ90" i="30"/>
  <c r="AL90" i="30"/>
  <c r="AM90" i="30"/>
  <c r="AN90" i="30"/>
  <c r="AO90" i="30"/>
  <c r="AP90" i="30"/>
  <c r="AQ90" i="30"/>
  <c r="AR90" i="30"/>
  <c r="AS90" i="30"/>
  <c r="AT90" i="30"/>
  <c r="AU90" i="30"/>
  <c r="AV90" i="30"/>
  <c r="AW90" i="30"/>
  <c r="AX90" i="30"/>
  <c r="AY90" i="30"/>
  <c r="BB90" i="30"/>
  <c r="BC90" i="30"/>
  <c r="BD90" i="30"/>
  <c r="BE90" i="30"/>
  <c r="BF90" i="30"/>
  <c r="BG90" i="30"/>
  <c r="BH90" i="30"/>
  <c r="BI90" i="30"/>
  <c r="BJ90" i="30"/>
  <c r="BK90" i="30"/>
  <c r="BL90" i="30"/>
  <c r="BM90" i="30"/>
  <c r="BN90" i="30"/>
  <c r="BO90" i="30"/>
  <c r="D91" i="30"/>
  <c r="F91" i="30"/>
  <c r="G91" i="30"/>
  <c r="H91" i="30"/>
  <c r="I91" i="30"/>
  <c r="K91" i="30"/>
  <c r="L91" i="30"/>
  <c r="N91" i="30"/>
  <c r="O91" i="30"/>
  <c r="P91" i="30"/>
  <c r="Q91" i="30"/>
  <c r="S91" i="30"/>
  <c r="T91" i="30"/>
  <c r="V91" i="30"/>
  <c r="X91" i="30"/>
  <c r="Y91" i="30"/>
  <c r="Z91" i="30"/>
  <c r="AA91" i="30"/>
  <c r="AB91" i="30"/>
  <c r="AC91" i="30"/>
  <c r="AF91" i="30"/>
  <c r="AG91" i="30"/>
  <c r="AH91" i="30"/>
  <c r="AI91" i="30"/>
  <c r="AJ91" i="30"/>
  <c r="AL91" i="30"/>
  <c r="AM91" i="30"/>
  <c r="AN91" i="30"/>
  <c r="AO91" i="30"/>
  <c r="AP91" i="30"/>
  <c r="AQ91" i="30"/>
  <c r="AR91" i="30"/>
  <c r="AS91" i="30"/>
  <c r="AT91" i="30"/>
  <c r="AU91" i="30"/>
  <c r="AV91" i="30"/>
  <c r="AW91" i="30"/>
  <c r="AX91" i="30"/>
  <c r="AY91" i="30"/>
  <c r="BB91" i="30"/>
  <c r="BC91" i="30"/>
  <c r="BD91" i="30"/>
  <c r="BE91" i="30"/>
  <c r="BF91" i="30"/>
  <c r="BG91" i="30"/>
  <c r="BH91" i="30"/>
  <c r="BI91" i="30"/>
  <c r="BJ91" i="30"/>
  <c r="BK91" i="30"/>
  <c r="BL91" i="30"/>
  <c r="BM91" i="30"/>
  <c r="BN91" i="30"/>
  <c r="BO91" i="30"/>
  <c r="D92" i="30"/>
  <c r="F92" i="30"/>
  <c r="G92" i="30"/>
  <c r="H92" i="30"/>
  <c r="I92" i="30"/>
  <c r="K92" i="30"/>
  <c r="L92" i="30"/>
  <c r="N92" i="30"/>
  <c r="O92" i="30"/>
  <c r="P92" i="30"/>
  <c r="Q92" i="30"/>
  <c r="S92" i="30"/>
  <c r="T92" i="30"/>
  <c r="V92" i="30"/>
  <c r="X92" i="30"/>
  <c r="Y92" i="30"/>
  <c r="Z92" i="30"/>
  <c r="AA92" i="30"/>
  <c r="AB92" i="30"/>
  <c r="AC92" i="30"/>
  <c r="AF92" i="30"/>
  <c r="AG92" i="30"/>
  <c r="AH92" i="30"/>
  <c r="AI92" i="30"/>
  <c r="AJ92" i="30"/>
  <c r="AL92" i="30"/>
  <c r="AM92" i="30"/>
  <c r="AN92" i="30"/>
  <c r="AO92" i="30"/>
  <c r="AP92" i="30"/>
  <c r="AQ92" i="30"/>
  <c r="AR92" i="30"/>
  <c r="AS92" i="30"/>
  <c r="AT92" i="30"/>
  <c r="AU92" i="30"/>
  <c r="AV92" i="30"/>
  <c r="AW92" i="30"/>
  <c r="AX92" i="30"/>
  <c r="AY92" i="30"/>
  <c r="BB92" i="30"/>
  <c r="BC92" i="30"/>
  <c r="BD92" i="30"/>
  <c r="BE92" i="30"/>
  <c r="BF92" i="30"/>
  <c r="BG92" i="30"/>
  <c r="BH92" i="30"/>
  <c r="BI92" i="30"/>
  <c r="BJ92" i="30"/>
  <c r="BK92" i="30"/>
  <c r="BL92" i="30"/>
  <c r="BM92" i="30"/>
  <c r="BN92" i="30"/>
  <c r="BO92" i="30"/>
  <c r="D93" i="30"/>
  <c r="F93" i="30"/>
  <c r="G93" i="30"/>
  <c r="H93" i="30"/>
  <c r="I93" i="30"/>
  <c r="K93" i="30"/>
  <c r="L93" i="30"/>
  <c r="N93" i="30"/>
  <c r="O93" i="30"/>
  <c r="P93" i="30"/>
  <c r="Q93" i="30"/>
  <c r="S93" i="30"/>
  <c r="T93" i="30"/>
  <c r="V93" i="30"/>
  <c r="X93" i="30"/>
  <c r="Y93" i="30"/>
  <c r="Z93" i="30"/>
  <c r="AA93" i="30"/>
  <c r="AB93" i="30"/>
  <c r="AC93" i="30"/>
  <c r="AF93" i="30"/>
  <c r="AG93" i="30"/>
  <c r="AH93" i="30"/>
  <c r="AI93" i="30"/>
  <c r="AJ93" i="30"/>
  <c r="AL93" i="30"/>
  <c r="AM93" i="30"/>
  <c r="AN93" i="30"/>
  <c r="AO93" i="30"/>
  <c r="AP93" i="30"/>
  <c r="AQ93" i="30"/>
  <c r="AR93" i="30"/>
  <c r="AS93" i="30"/>
  <c r="AT93" i="30"/>
  <c r="AU93" i="30"/>
  <c r="AV93" i="30"/>
  <c r="AW93" i="30"/>
  <c r="AX93" i="30"/>
  <c r="AY93" i="30"/>
  <c r="BB93" i="30"/>
  <c r="BC93" i="30"/>
  <c r="BD93" i="30"/>
  <c r="BE93" i="30"/>
  <c r="BF93" i="30"/>
  <c r="BG93" i="30"/>
  <c r="BH93" i="30"/>
  <c r="BI93" i="30"/>
  <c r="BJ93" i="30"/>
  <c r="BK93" i="30"/>
  <c r="BL93" i="30"/>
  <c r="BM93" i="30"/>
  <c r="BN93" i="30"/>
  <c r="BO93" i="30"/>
  <c r="D94" i="30"/>
  <c r="F94" i="30"/>
  <c r="G94" i="30"/>
  <c r="H94" i="30"/>
  <c r="I94" i="30"/>
  <c r="K94" i="30"/>
  <c r="L94" i="30"/>
  <c r="N94" i="30"/>
  <c r="O94" i="30"/>
  <c r="P94" i="30"/>
  <c r="Q94" i="30"/>
  <c r="S94" i="30"/>
  <c r="T94" i="30"/>
  <c r="V94" i="30"/>
  <c r="X94" i="30"/>
  <c r="Y94" i="30"/>
  <c r="Z94" i="30"/>
  <c r="AA94" i="30"/>
  <c r="AB94" i="30"/>
  <c r="AC94" i="30"/>
  <c r="AF94" i="30"/>
  <c r="AG94" i="30"/>
  <c r="AH94" i="30"/>
  <c r="AI94" i="30"/>
  <c r="AJ94" i="30"/>
  <c r="AL94" i="30"/>
  <c r="AM94" i="30"/>
  <c r="AN94" i="30"/>
  <c r="AO94" i="30"/>
  <c r="AP94" i="30"/>
  <c r="AQ94" i="30"/>
  <c r="AR94" i="30"/>
  <c r="AS94" i="30"/>
  <c r="AT94" i="30"/>
  <c r="AU94" i="30"/>
  <c r="AV94" i="30"/>
  <c r="AW94" i="30"/>
  <c r="AX94" i="30"/>
  <c r="AY94" i="30"/>
  <c r="BB94" i="30"/>
  <c r="BC94" i="30"/>
  <c r="BD94" i="30"/>
  <c r="BE94" i="30"/>
  <c r="BF94" i="30"/>
  <c r="BG94" i="30"/>
  <c r="BH94" i="30"/>
  <c r="BI94" i="30"/>
  <c r="BJ94" i="30"/>
  <c r="BK94" i="30"/>
  <c r="BL94" i="30"/>
  <c r="BM94" i="30"/>
  <c r="BN94" i="30"/>
  <c r="BO94" i="30"/>
  <c r="D95" i="30"/>
  <c r="F95" i="30"/>
  <c r="G95" i="30"/>
  <c r="H95" i="30"/>
  <c r="I95" i="30"/>
  <c r="K95" i="30"/>
  <c r="L95" i="30"/>
  <c r="N95" i="30"/>
  <c r="O95" i="30"/>
  <c r="P95" i="30"/>
  <c r="Q95" i="30"/>
  <c r="S95" i="30"/>
  <c r="T95" i="30"/>
  <c r="V95" i="30"/>
  <c r="X95" i="30"/>
  <c r="Y95" i="30"/>
  <c r="Z95" i="30"/>
  <c r="AA95" i="30"/>
  <c r="AB95" i="30"/>
  <c r="AC95" i="30"/>
  <c r="AF95" i="30"/>
  <c r="AG95" i="30"/>
  <c r="AH95" i="30"/>
  <c r="AI95" i="30"/>
  <c r="AJ95" i="30"/>
  <c r="AL95" i="30"/>
  <c r="AM95" i="30"/>
  <c r="AN95" i="30"/>
  <c r="AO95" i="30"/>
  <c r="AP95" i="30"/>
  <c r="AQ95" i="30"/>
  <c r="AR95" i="30"/>
  <c r="AS95" i="30"/>
  <c r="AT95" i="30"/>
  <c r="AU95" i="30"/>
  <c r="AV95" i="30"/>
  <c r="AW95" i="30"/>
  <c r="AX95" i="30"/>
  <c r="AY95" i="30"/>
  <c r="BB95" i="30"/>
  <c r="BC95" i="30"/>
  <c r="BD95" i="30"/>
  <c r="BE95" i="30"/>
  <c r="BF95" i="30"/>
  <c r="BG95" i="30"/>
  <c r="BH95" i="30"/>
  <c r="BI95" i="30"/>
  <c r="BJ95" i="30"/>
  <c r="BK95" i="30"/>
  <c r="BL95" i="30"/>
  <c r="BM95" i="30"/>
  <c r="BN95" i="30"/>
  <c r="BO95" i="30"/>
  <c r="D96" i="30"/>
  <c r="F96" i="30"/>
  <c r="G96" i="30"/>
  <c r="H96" i="30"/>
  <c r="I96" i="30"/>
  <c r="K96" i="30"/>
  <c r="L96" i="30"/>
  <c r="N96" i="30"/>
  <c r="O96" i="30"/>
  <c r="P96" i="30"/>
  <c r="Q96" i="30"/>
  <c r="S96" i="30"/>
  <c r="T96" i="30"/>
  <c r="V96" i="30"/>
  <c r="X96" i="30"/>
  <c r="Y96" i="30"/>
  <c r="Z96" i="30"/>
  <c r="AA96" i="30"/>
  <c r="AB96" i="30"/>
  <c r="AC96" i="30"/>
  <c r="AF96" i="30"/>
  <c r="AG96" i="30"/>
  <c r="AH96" i="30"/>
  <c r="AI96" i="30"/>
  <c r="AJ96" i="30"/>
  <c r="AL96" i="30"/>
  <c r="AM96" i="30"/>
  <c r="AN96" i="30"/>
  <c r="AO96" i="30"/>
  <c r="AP96" i="30"/>
  <c r="AQ96" i="30"/>
  <c r="AR96" i="30"/>
  <c r="AS96" i="30"/>
  <c r="AT96" i="30"/>
  <c r="AU96" i="30"/>
  <c r="AV96" i="30"/>
  <c r="AW96" i="30"/>
  <c r="AX96" i="30"/>
  <c r="AY96" i="30"/>
  <c r="BB96" i="30"/>
  <c r="BC96" i="30"/>
  <c r="BD96" i="30"/>
  <c r="BE96" i="30"/>
  <c r="BF96" i="30"/>
  <c r="BG96" i="30"/>
  <c r="BH96" i="30"/>
  <c r="BI96" i="30"/>
  <c r="BJ96" i="30"/>
  <c r="BK96" i="30"/>
  <c r="BL96" i="30"/>
  <c r="BM96" i="30"/>
  <c r="BN96" i="30"/>
  <c r="BO96" i="30"/>
  <c r="D97" i="30"/>
  <c r="F97" i="30"/>
  <c r="G97" i="30"/>
  <c r="H97" i="30"/>
  <c r="I97" i="30"/>
  <c r="K97" i="30"/>
  <c r="L97" i="30"/>
  <c r="N97" i="30"/>
  <c r="O97" i="30"/>
  <c r="P97" i="30"/>
  <c r="Q97" i="30"/>
  <c r="S97" i="30"/>
  <c r="T97" i="30"/>
  <c r="V97" i="30"/>
  <c r="X97" i="30"/>
  <c r="Y97" i="30"/>
  <c r="Z97" i="30"/>
  <c r="AA97" i="30"/>
  <c r="AB97" i="30"/>
  <c r="AC97" i="30"/>
  <c r="AF97" i="30"/>
  <c r="AG97" i="30"/>
  <c r="AH97" i="30"/>
  <c r="AI97" i="30"/>
  <c r="AJ97" i="30"/>
  <c r="AL97" i="30"/>
  <c r="AM97" i="30"/>
  <c r="AN97" i="30"/>
  <c r="AO97" i="30"/>
  <c r="AP97" i="30"/>
  <c r="AQ97" i="30"/>
  <c r="AR97" i="30"/>
  <c r="AS97" i="30"/>
  <c r="AT97" i="30"/>
  <c r="AU97" i="30"/>
  <c r="AV97" i="30"/>
  <c r="AW97" i="30"/>
  <c r="AX97" i="30"/>
  <c r="AY97" i="30"/>
  <c r="BB97" i="30"/>
  <c r="BC97" i="30"/>
  <c r="BD97" i="30"/>
  <c r="BE97" i="30"/>
  <c r="BF97" i="30"/>
  <c r="BG97" i="30"/>
  <c r="BH97" i="30"/>
  <c r="BI97" i="30"/>
  <c r="BJ97" i="30"/>
  <c r="BK97" i="30"/>
  <c r="BL97" i="30"/>
  <c r="BM97" i="30"/>
  <c r="BN97" i="30"/>
  <c r="BO97" i="30"/>
  <c r="D98" i="30"/>
  <c r="F98" i="30"/>
  <c r="G98" i="30"/>
  <c r="H98" i="30"/>
  <c r="I98" i="30"/>
  <c r="K98" i="30"/>
  <c r="L98" i="30"/>
  <c r="N98" i="30"/>
  <c r="O98" i="30"/>
  <c r="P98" i="30"/>
  <c r="Q98" i="30"/>
  <c r="S98" i="30"/>
  <c r="T98" i="30"/>
  <c r="V98" i="30"/>
  <c r="X98" i="30"/>
  <c r="Y98" i="30"/>
  <c r="Z98" i="30"/>
  <c r="AA98" i="30"/>
  <c r="AB98" i="30"/>
  <c r="AC98" i="30"/>
  <c r="AF98" i="30"/>
  <c r="AG98" i="30"/>
  <c r="AH98" i="30"/>
  <c r="AI98" i="30"/>
  <c r="AJ98" i="30"/>
  <c r="AL98" i="30"/>
  <c r="AM98" i="30"/>
  <c r="AN98" i="30"/>
  <c r="AO98" i="30"/>
  <c r="AP98" i="30"/>
  <c r="AQ98" i="30"/>
  <c r="AR98" i="30"/>
  <c r="AS98" i="30"/>
  <c r="AT98" i="30"/>
  <c r="AU98" i="30"/>
  <c r="AV98" i="30"/>
  <c r="AW98" i="30"/>
  <c r="AX98" i="30"/>
  <c r="AY98" i="30"/>
  <c r="BB98" i="30"/>
  <c r="BC98" i="30"/>
  <c r="BD98" i="30"/>
  <c r="BE98" i="30"/>
  <c r="BF98" i="30"/>
  <c r="BG98" i="30"/>
  <c r="BH98" i="30"/>
  <c r="BI98" i="30"/>
  <c r="BJ98" i="30"/>
  <c r="BK98" i="30"/>
  <c r="BL98" i="30"/>
  <c r="BM98" i="30"/>
  <c r="BN98" i="30"/>
  <c r="BO98" i="30"/>
  <c r="D99" i="30"/>
  <c r="F99" i="30"/>
  <c r="G99" i="30"/>
  <c r="H99" i="30"/>
  <c r="I99" i="30"/>
  <c r="K99" i="30"/>
  <c r="L99" i="30"/>
  <c r="N99" i="30"/>
  <c r="O99" i="30"/>
  <c r="P99" i="30"/>
  <c r="Q99" i="30"/>
  <c r="S99" i="30"/>
  <c r="T99" i="30"/>
  <c r="V99" i="30"/>
  <c r="X99" i="30"/>
  <c r="Y99" i="30"/>
  <c r="Z99" i="30"/>
  <c r="AA99" i="30"/>
  <c r="AB99" i="30"/>
  <c r="AC99" i="30"/>
  <c r="AF99" i="30"/>
  <c r="AG99" i="30"/>
  <c r="AH99" i="30"/>
  <c r="AI99" i="30"/>
  <c r="AJ99" i="30"/>
  <c r="AL99" i="30"/>
  <c r="AM99" i="30"/>
  <c r="AN99" i="30"/>
  <c r="AO99" i="30"/>
  <c r="AP99" i="30"/>
  <c r="AQ99" i="30"/>
  <c r="AR99" i="30"/>
  <c r="AS99" i="30"/>
  <c r="AT99" i="30"/>
  <c r="AU99" i="30"/>
  <c r="AV99" i="30"/>
  <c r="AW99" i="30"/>
  <c r="AX99" i="30"/>
  <c r="AY99" i="30"/>
  <c r="BB99" i="30"/>
  <c r="BC99" i="30"/>
  <c r="BD99" i="30"/>
  <c r="BE99" i="30"/>
  <c r="BF99" i="30"/>
  <c r="BG99" i="30"/>
  <c r="BH99" i="30"/>
  <c r="BI99" i="30"/>
  <c r="BJ99" i="30"/>
  <c r="BK99" i="30"/>
  <c r="BL99" i="30"/>
  <c r="BM99" i="30"/>
  <c r="BN99" i="30"/>
  <c r="BO99" i="30"/>
  <c r="D100" i="30"/>
  <c r="F100" i="30"/>
  <c r="G100" i="30"/>
  <c r="H100" i="30"/>
  <c r="I100" i="30"/>
  <c r="K100" i="30"/>
  <c r="L100" i="30"/>
  <c r="N100" i="30"/>
  <c r="O100" i="30"/>
  <c r="P100" i="30"/>
  <c r="Q100" i="30"/>
  <c r="S100" i="30"/>
  <c r="T100" i="30"/>
  <c r="V100" i="30"/>
  <c r="X100" i="30"/>
  <c r="Y100" i="30"/>
  <c r="Z100" i="30"/>
  <c r="AA100" i="30"/>
  <c r="AB100" i="30"/>
  <c r="AC100" i="30"/>
  <c r="AF100" i="30"/>
  <c r="AG100" i="30"/>
  <c r="AH100" i="30"/>
  <c r="AI100" i="30"/>
  <c r="AJ100" i="30"/>
  <c r="AL100" i="30"/>
  <c r="AM100" i="30"/>
  <c r="AN100" i="30"/>
  <c r="AO100" i="30"/>
  <c r="AP100" i="30"/>
  <c r="AQ100" i="30"/>
  <c r="AR100" i="30"/>
  <c r="AS100" i="30"/>
  <c r="AT100" i="30"/>
  <c r="AU100" i="30"/>
  <c r="AV100" i="30"/>
  <c r="AW100" i="30"/>
  <c r="AX100" i="30"/>
  <c r="AY100" i="30"/>
  <c r="BB100" i="30"/>
  <c r="BC100" i="30"/>
  <c r="BD100" i="30"/>
  <c r="BE100" i="30"/>
  <c r="BF100" i="30"/>
  <c r="BG100" i="30"/>
  <c r="BH100" i="30"/>
  <c r="BI100" i="30"/>
  <c r="BJ100" i="30"/>
  <c r="BK100" i="30"/>
  <c r="BL100" i="30"/>
  <c r="BM100" i="30"/>
  <c r="BN100" i="30"/>
  <c r="BO100" i="30"/>
  <c r="D101" i="30"/>
  <c r="F101" i="30"/>
  <c r="G101" i="30"/>
  <c r="H101" i="30"/>
  <c r="I101" i="30"/>
  <c r="K101" i="30"/>
  <c r="L101" i="30"/>
  <c r="N101" i="30"/>
  <c r="O101" i="30"/>
  <c r="P101" i="30"/>
  <c r="Q101" i="30"/>
  <c r="S101" i="30"/>
  <c r="T101" i="30"/>
  <c r="V101" i="30"/>
  <c r="X101" i="30"/>
  <c r="Y101" i="30"/>
  <c r="Z101" i="30"/>
  <c r="AA101" i="30"/>
  <c r="AB101" i="30"/>
  <c r="AC101" i="30"/>
  <c r="AF101" i="30"/>
  <c r="AG101" i="30"/>
  <c r="AH101" i="30"/>
  <c r="AI101" i="30"/>
  <c r="AJ101" i="30"/>
  <c r="AL101" i="30"/>
  <c r="AM101" i="30"/>
  <c r="AN101" i="30"/>
  <c r="AO101" i="30"/>
  <c r="AP101" i="30"/>
  <c r="AQ101" i="30"/>
  <c r="AR101" i="30"/>
  <c r="AS101" i="30"/>
  <c r="AT101" i="30"/>
  <c r="AU101" i="30"/>
  <c r="AV101" i="30"/>
  <c r="AW101" i="30"/>
  <c r="AX101" i="30"/>
  <c r="AY101" i="30"/>
  <c r="BB101" i="30"/>
  <c r="BC101" i="30"/>
  <c r="BD101" i="30"/>
  <c r="BE101" i="30"/>
  <c r="BF101" i="30"/>
  <c r="BG101" i="30"/>
  <c r="BH101" i="30"/>
  <c r="BI101" i="30"/>
  <c r="BJ101" i="30"/>
  <c r="BK101" i="30"/>
  <c r="BL101" i="30"/>
  <c r="BM101" i="30"/>
  <c r="BN101" i="30"/>
  <c r="BO101" i="30"/>
  <c r="D102" i="30"/>
  <c r="F102" i="30"/>
  <c r="G102" i="30"/>
  <c r="H102" i="30"/>
  <c r="I102" i="30"/>
  <c r="K102" i="30"/>
  <c r="L102" i="30"/>
  <c r="N102" i="30"/>
  <c r="O102" i="30"/>
  <c r="P102" i="30"/>
  <c r="Q102" i="30"/>
  <c r="S102" i="30"/>
  <c r="T102" i="30"/>
  <c r="V102" i="30"/>
  <c r="X102" i="30"/>
  <c r="Y102" i="30"/>
  <c r="Z102" i="30"/>
  <c r="AA102" i="30"/>
  <c r="AB102" i="30"/>
  <c r="AC102" i="30"/>
  <c r="AF102" i="30"/>
  <c r="AG102" i="30"/>
  <c r="AH102" i="30"/>
  <c r="AI102" i="30"/>
  <c r="AJ102" i="30"/>
  <c r="AL102" i="30"/>
  <c r="AM102" i="30"/>
  <c r="AN102" i="30"/>
  <c r="AO102" i="30"/>
  <c r="AP102" i="30"/>
  <c r="AQ102" i="30"/>
  <c r="AR102" i="30"/>
  <c r="AS102" i="30"/>
  <c r="AT102" i="30"/>
  <c r="AU102" i="30"/>
  <c r="AV102" i="30"/>
  <c r="AW102" i="30"/>
  <c r="AX102" i="30"/>
  <c r="AY102" i="30"/>
  <c r="BB102" i="30"/>
  <c r="BC102" i="30"/>
  <c r="BD102" i="30"/>
  <c r="BE102" i="30"/>
  <c r="BF102" i="30"/>
  <c r="BG102" i="30"/>
  <c r="BH102" i="30"/>
  <c r="BI102" i="30"/>
  <c r="BJ102" i="30"/>
  <c r="BK102" i="30"/>
  <c r="BL102" i="30"/>
  <c r="BM102" i="30"/>
  <c r="BN102" i="30"/>
  <c r="BO102" i="30"/>
  <c r="D103" i="30"/>
  <c r="F103" i="30"/>
  <c r="G103" i="30"/>
  <c r="H103" i="30"/>
  <c r="I103" i="30"/>
  <c r="K103" i="30"/>
  <c r="L103" i="30"/>
  <c r="N103" i="30"/>
  <c r="O103" i="30"/>
  <c r="P103" i="30"/>
  <c r="Q103" i="30"/>
  <c r="S103" i="30"/>
  <c r="T103" i="30"/>
  <c r="V103" i="30"/>
  <c r="X103" i="30"/>
  <c r="Y103" i="30"/>
  <c r="Z103" i="30"/>
  <c r="AA103" i="30"/>
  <c r="AB103" i="30"/>
  <c r="AC103" i="30"/>
  <c r="AF103" i="30"/>
  <c r="AG103" i="30"/>
  <c r="AH103" i="30"/>
  <c r="AI103" i="30"/>
  <c r="AJ103" i="30"/>
  <c r="AL103" i="30"/>
  <c r="AM103" i="30"/>
  <c r="AN103" i="30"/>
  <c r="AO103" i="30"/>
  <c r="AP103" i="30"/>
  <c r="AQ103" i="30"/>
  <c r="AR103" i="30"/>
  <c r="AS103" i="30"/>
  <c r="AT103" i="30"/>
  <c r="AU103" i="30"/>
  <c r="AV103" i="30"/>
  <c r="AW103" i="30"/>
  <c r="AX103" i="30"/>
  <c r="AY103" i="30"/>
  <c r="BB103" i="30"/>
  <c r="BC103" i="30"/>
  <c r="BD103" i="30"/>
  <c r="BE103" i="30"/>
  <c r="BF103" i="30"/>
  <c r="BG103" i="30"/>
  <c r="BH103" i="30"/>
  <c r="BI103" i="30"/>
  <c r="BJ103" i="30"/>
  <c r="BK103" i="30"/>
  <c r="BL103" i="30"/>
  <c r="BM103" i="30"/>
  <c r="BN103" i="30"/>
  <c r="BO103" i="30"/>
  <c r="D104" i="30"/>
  <c r="F104" i="30"/>
  <c r="G104" i="30"/>
  <c r="H104" i="30"/>
  <c r="I104" i="30"/>
  <c r="K104" i="30"/>
  <c r="L104" i="30"/>
  <c r="N104" i="30"/>
  <c r="O104" i="30"/>
  <c r="P104" i="30"/>
  <c r="Q104" i="30"/>
  <c r="S104" i="30"/>
  <c r="T104" i="30"/>
  <c r="V104" i="30"/>
  <c r="X104" i="30"/>
  <c r="Y104" i="30"/>
  <c r="Z104" i="30"/>
  <c r="AA104" i="30"/>
  <c r="AB104" i="30"/>
  <c r="AC104" i="30"/>
  <c r="AF104" i="30"/>
  <c r="AG104" i="30"/>
  <c r="AH104" i="30"/>
  <c r="AI104" i="30"/>
  <c r="AJ104" i="30"/>
  <c r="AL104" i="30"/>
  <c r="AM104" i="30"/>
  <c r="AN104" i="30"/>
  <c r="AO104" i="30"/>
  <c r="AP104" i="30"/>
  <c r="AQ104" i="30"/>
  <c r="AR104" i="30"/>
  <c r="AS104" i="30"/>
  <c r="AT104" i="30"/>
  <c r="AU104" i="30"/>
  <c r="AV104" i="30"/>
  <c r="AW104" i="30"/>
  <c r="AX104" i="30"/>
  <c r="AY104" i="30"/>
  <c r="BB104" i="30"/>
  <c r="BC104" i="30"/>
  <c r="BD104" i="30"/>
  <c r="BE104" i="30"/>
  <c r="BF104" i="30"/>
  <c r="BG104" i="30"/>
  <c r="BH104" i="30"/>
  <c r="BI104" i="30"/>
  <c r="BJ104" i="30"/>
  <c r="BK104" i="30"/>
  <c r="BL104" i="30"/>
  <c r="BM104" i="30"/>
  <c r="BN104" i="30"/>
  <c r="BO104" i="30"/>
  <c r="D105" i="30"/>
  <c r="F105" i="30"/>
  <c r="G105" i="30"/>
  <c r="H105" i="30"/>
  <c r="I105" i="30"/>
  <c r="K105" i="30"/>
  <c r="L105" i="30"/>
  <c r="N105" i="30"/>
  <c r="O105" i="30"/>
  <c r="P105" i="30"/>
  <c r="Q105" i="30"/>
  <c r="S105" i="30"/>
  <c r="T105" i="30"/>
  <c r="V105" i="30"/>
  <c r="X105" i="30"/>
  <c r="Y105" i="30"/>
  <c r="Z105" i="30"/>
  <c r="AA105" i="30"/>
  <c r="AB105" i="30"/>
  <c r="AC105" i="30"/>
  <c r="AF105" i="30"/>
  <c r="AG105" i="30"/>
  <c r="AH105" i="30"/>
  <c r="AI105" i="30"/>
  <c r="AJ105" i="30"/>
  <c r="AL105" i="30"/>
  <c r="AM105" i="30"/>
  <c r="AN105" i="30"/>
  <c r="AO105" i="30"/>
  <c r="AP105" i="30"/>
  <c r="AQ105" i="30"/>
  <c r="AR105" i="30"/>
  <c r="AS105" i="30"/>
  <c r="AT105" i="30"/>
  <c r="AU105" i="30"/>
  <c r="AV105" i="30"/>
  <c r="AW105" i="30"/>
  <c r="AX105" i="30"/>
  <c r="AY105" i="30"/>
  <c r="BB105" i="30"/>
  <c r="BC105" i="30"/>
  <c r="BD105" i="30"/>
  <c r="BE105" i="30"/>
  <c r="BF105" i="30"/>
  <c r="BG105" i="30"/>
  <c r="BH105" i="30"/>
  <c r="BI105" i="30"/>
  <c r="BJ105" i="30"/>
  <c r="BK105" i="30"/>
  <c r="BL105" i="30"/>
  <c r="BM105" i="30"/>
  <c r="BN105" i="30"/>
  <c r="BO105" i="30"/>
  <c r="F1" i="31"/>
  <c r="AV1" i="31"/>
  <c r="A2" i="31"/>
  <c r="F2" i="31"/>
  <c r="G2" i="31"/>
  <c r="N2" i="31"/>
  <c r="AV2" i="31"/>
  <c r="AW2" i="31"/>
  <c r="AX2" i="31"/>
  <c r="AY2" i="31"/>
  <c r="BW2" i="31"/>
  <c r="BX2" i="31"/>
  <c r="BY2" i="31"/>
  <c r="BZ2" i="31"/>
  <c r="CA2" i="31"/>
  <c r="CB2" i="31"/>
  <c r="CC2" i="31"/>
  <c r="CD2" i="31"/>
  <c r="CE2" i="31"/>
  <c r="CF2" i="31"/>
  <c r="CG2" i="31"/>
  <c r="CH2" i="31"/>
  <c r="CI2" i="31"/>
  <c r="CJ2" i="31"/>
  <c r="CK2" i="31"/>
  <c r="CL2" i="31"/>
  <c r="CM2" i="31"/>
  <c r="CN2" i="31"/>
  <c r="CO2" i="31"/>
  <c r="CP2" i="31"/>
  <c r="CQ2" i="31"/>
  <c r="CR2" i="31"/>
  <c r="CS2" i="31"/>
  <c r="CT2" i="31"/>
  <c r="CU2" i="31"/>
  <c r="CV2" i="31"/>
  <c r="CW2" i="31"/>
  <c r="CX2" i="31"/>
  <c r="A3" i="31"/>
  <c r="AH3" i="31"/>
  <c r="AK3" i="31"/>
  <c r="AV3" i="31"/>
  <c r="AW3" i="31"/>
  <c r="AX3" i="31"/>
  <c r="AY3" i="31"/>
  <c r="A4" i="31"/>
  <c r="N4" i="31"/>
  <c r="P4" i="31"/>
  <c r="T4" i="31"/>
  <c r="V4" i="31"/>
  <c r="W4" i="31"/>
  <c r="AH4" i="31"/>
  <c r="AK4" i="31"/>
  <c r="AM4" i="31"/>
  <c r="AN4" i="31"/>
  <c r="AO4" i="31"/>
  <c r="AP4" i="31"/>
  <c r="AQ4" i="31"/>
  <c r="AR4" i="31"/>
  <c r="AS4" i="31"/>
  <c r="AT4" i="31"/>
  <c r="AV4" i="31"/>
  <c r="AW4" i="31"/>
  <c r="AX4" i="31"/>
  <c r="AY4" i="31"/>
  <c r="A5" i="31"/>
  <c r="G5" i="31"/>
  <c r="N5" i="31"/>
  <c r="P5" i="31"/>
  <c r="T5" i="31"/>
  <c r="V5" i="31"/>
  <c r="W5" i="31"/>
  <c r="AH5" i="31"/>
  <c r="AK5" i="31"/>
  <c r="AM5" i="31"/>
  <c r="AN5" i="31"/>
  <c r="AO5" i="31"/>
  <c r="AP5" i="31"/>
  <c r="AQ5" i="31"/>
  <c r="AR5" i="31"/>
  <c r="AS5" i="31"/>
  <c r="AT5" i="31"/>
  <c r="AV5" i="31"/>
  <c r="AW5" i="31"/>
  <c r="AX5" i="31"/>
  <c r="AY5" i="31"/>
  <c r="BV5" i="31"/>
  <c r="A6" i="31"/>
  <c r="N6" i="31"/>
  <c r="P6" i="31"/>
  <c r="T6" i="31"/>
  <c r="V6" i="31"/>
  <c r="W6" i="31"/>
  <c r="AH6" i="31"/>
  <c r="AK6" i="31"/>
  <c r="AM6" i="31"/>
  <c r="AN6" i="31"/>
  <c r="AO6" i="31"/>
  <c r="AP6" i="31"/>
  <c r="AQ6" i="31"/>
  <c r="AR6" i="31"/>
  <c r="AS6" i="31"/>
  <c r="AT6" i="31"/>
  <c r="A7" i="31"/>
  <c r="G7" i="31"/>
  <c r="N7" i="31"/>
  <c r="N7" i="31" a="1"/>
  <c r="P7" i="31"/>
  <c r="T7" i="31"/>
  <c r="AH7" i="31"/>
  <c r="AK7" i="31"/>
  <c r="AM7" i="31"/>
  <c r="AN7" i="31"/>
  <c r="AO7" i="31"/>
  <c r="AP7" i="31"/>
  <c r="AQ7" i="31"/>
  <c r="AR7" i="31"/>
  <c r="AS7" i="31"/>
  <c r="AT7" i="31"/>
  <c r="AV7" i="31"/>
  <c r="AW7" i="31"/>
  <c r="AX7" i="31"/>
  <c r="AY7" i="31"/>
  <c r="G8" i="31"/>
  <c r="N8" i="31"/>
  <c r="N8" i="31" a="1"/>
  <c r="P8" i="31"/>
  <c r="T8" i="31"/>
  <c r="V8" i="31"/>
  <c r="W8" i="31"/>
  <c r="Y8" i="31"/>
  <c r="Z8" i="31"/>
  <c r="AH8" i="31"/>
  <c r="AK8" i="31"/>
  <c r="AM8" i="31"/>
  <c r="AN8" i="31"/>
  <c r="AO8" i="31"/>
  <c r="AP8" i="31"/>
  <c r="AQ8" i="31"/>
  <c r="AR8" i="31"/>
  <c r="AS8" i="31"/>
  <c r="AT8" i="31"/>
  <c r="AV8" i="31"/>
  <c r="AW8" i="31"/>
  <c r="AX8" i="31"/>
  <c r="AY8" i="31"/>
  <c r="N9" i="31"/>
  <c r="N9" i="31" a="1"/>
  <c r="P9" i="31"/>
  <c r="AK9" i="31"/>
  <c r="AM9" i="31"/>
  <c r="AN9" i="31"/>
  <c r="AO9" i="31"/>
  <c r="AP9" i="31"/>
  <c r="AQ9" i="31"/>
  <c r="AR9" i="31"/>
  <c r="AS9" i="31"/>
  <c r="AT9" i="31"/>
  <c r="AV9" i="31"/>
  <c r="AW9" i="31"/>
  <c r="AX9" i="31"/>
  <c r="AY9" i="31"/>
  <c r="N10" i="31"/>
  <c r="P10" i="31"/>
  <c r="AH10" i="31"/>
  <c r="AM10" i="31"/>
  <c r="AN10" i="31"/>
  <c r="AO10" i="31"/>
  <c r="AP10" i="31"/>
  <c r="AQ10" i="31"/>
  <c r="AR10" i="31"/>
  <c r="AS10" i="31"/>
  <c r="AT10" i="31"/>
  <c r="AV10" i="31"/>
  <c r="AW10" i="31"/>
  <c r="AX10" i="31"/>
  <c r="AY10" i="31"/>
  <c r="D11" i="31"/>
  <c r="N11" i="31"/>
  <c r="P11" i="31"/>
  <c r="AM11" i="31"/>
  <c r="AN11" i="31"/>
  <c r="AO11" i="31"/>
  <c r="AP11" i="31"/>
  <c r="AQ11" i="31"/>
  <c r="AR11" i="31"/>
  <c r="AS11" i="31"/>
  <c r="AT11" i="31"/>
  <c r="AV11" i="31"/>
  <c r="AW11" i="31"/>
  <c r="AX11" i="31"/>
  <c r="AY11" i="31"/>
  <c r="D12" i="31"/>
  <c r="N12" i="31"/>
  <c r="P12" i="31"/>
  <c r="AH12" i="31"/>
  <c r="AM12" i="31"/>
  <c r="AN12" i="31"/>
  <c r="AO12" i="31"/>
  <c r="AP12" i="31"/>
  <c r="AQ12" i="31"/>
  <c r="AR12" i="31"/>
  <c r="AS12" i="31"/>
  <c r="AT12" i="31"/>
  <c r="AV12" i="31"/>
  <c r="AW12" i="31"/>
  <c r="AX12" i="31"/>
  <c r="AY12" i="31"/>
  <c r="N13" i="31"/>
  <c r="P13" i="31"/>
  <c r="AH13" i="31"/>
  <c r="AM13" i="31"/>
  <c r="AN13" i="31"/>
  <c r="AO13" i="31"/>
  <c r="AP13" i="31"/>
  <c r="AQ13" i="31"/>
  <c r="AR13" i="31"/>
  <c r="AS13" i="31"/>
  <c r="AT13" i="31"/>
  <c r="AV13" i="31"/>
  <c r="AW13" i="31"/>
  <c r="AX13" i="31"/>
  <c r="AY13" i="31"/>
  <c r="N14" i="31"/>
  <c r="P14" i="31"/>
  <c r="S14" i="31"/>
  <c r="T14" i="31"/>
  <c r="AM14" i="31"/>
  <c r="AN14" i="31"/>
  <c r="AO14" i="31"/>
  <c r="AP14" i="31"/>
  <c r="AQ14" i="31"/>
  <c r="AR14" i="31"/>
  <c r="AS14" i="31"/>
  <c r="AT14" i="31"/>
  <c r="AV14" i="31"/>
  <c r="AW14" i="31"/>
  <c r="AX14" i="31"/>
  <c r="AY14" i="31"/>
  <c r="N15" i="31"/>
  <c r="P15" i="31"/>
  <c r="AM15" i="31"/>
  <c r="AN15" i="31"/>
  <c r="AO15" i="31"/>
  <c r="AP15" i="31"/>
  <c r="AQ15" i="31"/>
  <c r="AR15" i="31"/>
  <c r="AS15" i="31"/>
  <c r="AT15" i="31"/>
  <c r="AV15" i="31"/>
  <c r="AW15" i="31"/>
  <c r="AX15" i="31"/>
  <c r="AY15" i="31"/>
  <c r="N16" i="31"/>
  <c r="P16" i="31"/>
  <c r="AV16" i="31"/>
  <c r="AW16" i="31"/>
  <c r="AX16" i="31"/>
  <c r="AY16" i="31"/>
  <c r="N17" i="31"/>
  <c r="P17" i="31"/>
  <c r="AV17" i="31"/>
  <c r="AW17" i="31"/>
  <c r="AX17" i="31"/>
  <c r="AY17" i="31"/>
  <c r="N18" i="31"/>
  <c r="P18" i="31"/>
  <c r="AX18" i="31"/>
  <c r="AY18" i="31"/>
  <c r="N19" i="31"/>
  <c r="P19" i="31"/>
  <c r="S20" i="31"/>
  <c r="T20" i="31"/>
  <c r="AM20" i="31"/>
  <c r="AO20" i="31"/>
  <c r="AV20" i="31"/>
  <c r="AW20" i="31"/>
  <c r="AX20" i="31"/>
  <c r="AY20" i="31"/>
  <c r="D22" i="31"/>
  <c r="F22" i="31"/>
  <c r="G22" i="31"/>
  <c r="H22" i="31"/>
  <c r="I22" i="31"/>
  <c r="K22" i="31"/>
  <c r="L22" i="31"/>
  <c r="N22" i="31"/>
  <c r="O22" i="31"/>
  <c r="P22" i="31"/>
  <c r="Q22" i="31"/>
  <c r="S22" i="31"/>
  <c r="T22" i="31"/>
  <c r="V22" i="31"/>
  <c r="X22" i="31"/>
  <c r="Y22" i="31"/>
  <c r="Z22" i="31"/>
  <c r="AA22" i="31"/>
  <c r="AB22" i="31"/>
  <c r="AC22" i="31"/>
  <c r="AF22" i="31"/>
  <c r="AG22" i="31"/>
  <c r="AH22" i="31"/>
  <c r="AI22" i="31"/>
  <c r="AJ22" i="31"/>
  <c r="AL22" i="31"/>
  <c r="AM22" i="31"/>
  <c r="AN22" i="31"/>
  <c r="AO22" i="31"/>
  <c r="AP22" i="31"/>
  <c r="AQ22" i="31"/>
  <c r="AR22" i="31"/>
  <c r="AS22" i="31"/>
  <c r="AT22" i="31"/>
  <c r="AU22" i="31"/>
  <c r="AV22" i="31"/>
  <c r="AW22" i="31"/>
  <c r="AX22" i="31"/>
  <c r="AY22" i="31"/>
  <c r="BB22" i="31"/>
  <c r="BC22" i="31"/>
  <c r="BD22" i="31"/>
  <c r="BE22" i="31"/>
  <c r="BF22" i="31"/>
  <c r="BG22" i="31"/>
  <c r="BH22" i="31"/>
  <c r="BI22" i="31"/>
  <c r="BJ22" i="31"/>
  <c r="BK22" i="31"/>
  <c r="BL22" i="31"/>
  <c r="BM22" i="31"/>
  <c r="BN22" i="31"/>
  <c r="BO22" i="31"/>
  <c r="D23" i="31"/>
  <c r="F23" i="31"/>
  <c r="G23" i="31"/>
  <c r="H23" i="31"/>
  <c r="I23" i="31"/>
  <c r="K23" i="31"/>
  <c r="L23" i="31"/>
  <c r="N23" i="31"/>
  <c r="O23" i="31"/>
  <c r="P23" i="31"/>
  <c r="Q23" i="31"/>
  <c r="S23" i="31"/>
  <c r="T23" i="31"/>
  <c r="V23" i="31"/>
  <c r="X23" i="31"/>
  <c r="Y23" i="31"/>
  <c r="Z23" i="31"/>
  <c r="AA23" i="31"/>
  <c r="AB23" i="31"/>
  <c r="AC23" i="31"/>
  <c r="AF23" i="31"/>
  <c r="AG23" i="31"/>
  <c r="AH23" i="31"/>
  <c r="AI23" i="31"/>
  <c r="AJ23" i="31"/>
  <c r="AL23" i="31"/>
  <c r="AM23" i="31"/>
  <c r="AN23" i="31"/>
  <c r="AO23" i="31"/>
  <c r="AP23" i="31"/>
  <c r="AQ23" i="31"/>
  <c r="AR23" i="31"/>
  <c r="AS23" i="31"/>
  <c r="AT23" i="31"/>
  <c r="AU23" i="31"/>
  <c r="AV23" i="31"/>
  <c r="AW23" i="31"/>
  <c r="AX23" i="31"/>
  <c r="AY23" i="31"/>
  <c r="BB23" i="31"/>
  <c r="BC23" i="31"/>
  <c r="BD23" i="31"/>
  <c r="BE23" i="31"/>
  <c r="BF23" i="31"/>
  <c r="BG23" i="31"/>
  <c r="BH23" i="31"/>
  <c r="BI23" i="31"/>
  <c r="BJ23" i="31"/>
  <c r="BK23" i="31"/>
  <c r="BL23" i="31"/>
  <c r="BM23" i="31"/>
  <c r="BN23" i="31"/>
  <c r="BO23" i="31"/>
  <c r="D24" i="31"/>
  <c r="F24" i="31"/>
  <c r="G24" i="31"/>
  <c r="H24" i="31"/>
  <c r="I24" i="31"/>
  <c r="K24" i="31"/>
  <c r="L24" i="31"/>
  <c r="N24" i="31"/>
  <c r="O24" i="31"/>
  <c r="P24" i="31"/>
  <c r="Q24" i="31"/>
  <c r="S24" i="31"/>
  <c r="T24" i="31"/>
  <c r="V24" i="31"/>
  <c r="X24" i="31"/>
  <c r="Y24" i="31"/>
  <c r="Z24" i="31"/>
  <c r="AA24" i="31"/>
  <c r="AB24" i="31"/>
  <c r="AC24" i="31"/>
  <c r="AF24" i="31"/>
  <c r="AG24" i="31"/>
  <c r="AH24" i="31"/>
  <c r="AI24" i="31"/>
  <c r="AJ24" i="31"/>
  <c r="AL24" i="31"/>
  <c r="AM24" i="31"/>
  <c r="AN24" i="31"/>
  <c r="AO24" i="31"/>
  <c r="AP24" i="31"/>
  <c r="AQ24" i="31"/>
  <c r="AR24" i="31"/>
  <c r="AS24" i="31"/>
  <c r="AT24" i="31"/>
  <c r="AU24" i="31"/>
  <c r="AV24" i="31"/>
  <c r="AW24" i="31"/>
  <c r="AX24" i="31"/>
  <c r="AY24" i="31"/>
  <c r="BB24" i="31"/>
  <c r="BC24" i="31"/>
  <c r="BD24" i="31"/>
  <c r="BE24" i="31"/>
  <c r="BF24" i="31"/>
  <c r="BG24" i="31"/>
  <c r="BH24" i="31"/>
  <c r="BI24" i="31"/>
  <c r="BJ24" i="31"/>
  <c r="BK24" i="31"/>
  <c r="BL24" i="31"/>
  <c r="BM24" i="31"/>
  <c r="BN24" i="31"/>
  <c r="BO24" i="31"/>
  <c r="F1" i="32"/>
  <c r="AV1" i="32"/>
  <c r="A2" i="32"/>
  <c r="F2" i="32"/>
  <c r="G2" i="32"/>
  <c r="N2" i="32"/>
  <c r="AV2" i="32"/>
  <c r="AW2" i="32"/>
  <c r="AX2" i="32"/>
  <c r="AY2" i="32"/>
  <c r="BW2" i="32"/>
  <c r="BX2" i="32"/>
  <c r="BY2" i="32"/>
  <c r="BZ2" i="32"/>
  <c r="CA2" i="32"/>
  <c r="CB2" i="32"/>
  <c r="CC2" i="32"/>
  <c r="CD2" i="32"/>
  <c r="CE2" i="32"/>
  <c r="CF2" i="32"/>
  <c r="CG2" i="32"/>
  <c r="CH2" i="32"/>
  <c r="CI2" i="32"/>
  <c r="CJ2" i="32"/>
  <c r="CK2" i="32"/>
  <c r="CL2" i="32"/>
  <c r="CM2" i="32"/>
  <c r="CN2" i="32"/>
  <c r="CO2" i="32"/>
  <c r="CP2" i="32"/>
  <c r="CQ2" i="32"/>
  <c r="CR2" i="32"/>
  <c r="CS2" i="32"/>
  <c r="CT2" i="32"/>
  <c r="CU2" i="32"/>
  <c r="CV2" i="32"/>
  <c r="CW2" i="32"/>
  <c r="CX2" i="32"/>
  <c r="A3" i="32"/>
  <c r="AH3" i="32"/>
  <c r="AK3" i="32"/>
  <c r="AV3" i="32"/>
  <c r="AW3" i="32"/>
  <c r="AX3" i="32"/>
  <c r="AY3" i="32"/>
  <c r="A4" i="32"/>
  <c r="N4" i="32"/>
  <c r="P4" i="32"/>
  <c r="T4" i="32"/>
  <c r="V4" i="32"/>
  <c r="W4" i="32"/>
  <c r="AH4" i="32"/>
  <c r="AK4" i="32"/>
  <c r="AM4" i="32"/>
  <c r="AN4" i="32"/>
  <c r="AO4" i="32"/>
  <c r="AP4" i="32"/>
  <c r="AQ4" i="32"/>
  <c r="AR4" i="32"/>
  <c r="AS4" i="32"/>
  <c r="AT4" i="32"/>
  <c r="AV4" i="32"/>
  <c r="AW4" i="32"/>
  <c r="AX4" i="32"/>
  <c r="AY4" i="32"/>
  <c r="A5" i="32"/>
  <c r="G5" i="32"/>
  <c r="N5" i="32"/>
  <c r="P5" i="32"/>
  <c r="T5" i="32"/>
  <c r="V5" i="32"/>
  <c r="W5" i="32"/>
  <c r="AH5" i="32"/>
  <c r="AK5" i="32"/>
  <c r="AM5" i="32"/>
  <c r="AN5" i="32"/>
  <c r="AO5" i="32"/>
  <c r="AP5" i="32"/>
  <c r="AQ5" i="32"/>
  <c r="AR5" i="32"/>
  <c r="AS5" i="32"/>
  <c r="AT5" i="32"/>
  <c r="AV5" i="32"/>
  <c r="AW5" i="32"/>
  <c r="AX5" i="32"/>
  <c r="AY5" i="32"/>
  <c r="BV5" i="32"/>
  <c r="A6" i="32"/>
  <c r="N6" i="32"/>
  <c r="P6" i="32"/>
  <c r="T6" i="32"/>
  <c r="V6" i="32"/>
  <c r="W6" i="32"/>
  <c r="AH6" i="32"/>
  <c r="AK6" i="32"/>
  <c r="AM6" i="32"/>
  <c r="AN6" i="32"/>
  <c r="AO6" i="32"/>
  <c r="AP6" i="32"/>
  <c r="AQ6" i="32"/>
  <c r="AR6" i="32"/>
  <c r="AS6" i="32"/>
  <c r="AT6" i="32"/>
  <c r="A7" i="32"/>
  <c r="G7" i="32"/>
  <c r="N7" i="32"/>
  <c r="N7" i="32" a="1"/>
  <c r="P7" i="32"/>
  <c r="T7" i="32"/>
  <c r="AH7" i="32"/>
  <c r="AK7" i="32"/>
  <c r="AM7" i="32"/>
  <c r="AN7" i="32"/>
  <c r="AO7" i="32"/>
  <c r="AP7" i="32"/>
  <c r="AQ7" i="32"/>
  <c r="AR7" i="32"/>
  <c r="AS7" i="32"/>
  <c r="AT7" i="32"/>
  <c r="AV7" i="32"/>
  <c r="AW7" i="32"/>
  <c r="AX7" i="32"/>
  <c r="AY7" i="32"/>
  <c r="G8" i="32"/>
  <c r="N8" i="32"/>
  <c r="N8" i="32" a="1"/>
  <c r="P8" i="32"/>
  <c r="T8" i="32"/>
  <c r="V8" i="32"/>
  <c r="W8" i="32"/>
  <c r="Y8" i="32"/>
  <c r="Z8" i="32"/>
  <c r="AH8" i="32"/>
  <c r="AK8" i="32"/>
  <c r="AM8" i="32"/>
  <c r="AN8" i="32"/>
  <c r="AO8" i="32"/>
  <c r="AP8" i="32"/>
  <c r="AQ8" i="32"/>
  <c r="AR8" i="32"/>
  <c r="AS8" i="32"/>
  <c r="AT8" i="32"/>
  <c r="AV8" i="32"/>
  <c r="AW8" i="32"/>
  <c r="AX8" i="32"/>
  <c r="AY8" i="32"/>
  <c r="N9" i="32"/>
  <c r="N9" i="32" a="1"/>
  <c r="P9" i="32"/>
  <c r="AK9" i="32"/>
  <c r="AM9" i="32"/>
  <c r="AN9" i="32"/>
  <c r="AO9" i="32"/>
  <c r="AP9" i="32"/>
  <c r="AQ9" i="32"/>
  <c r="AR9" i="32"/>
  <c r="AS9" i="32"/>
  <c r="AT9" i="32"/>
  <c r="AV9" i="32"/>
  <c r="AW9" i="32"/>
  <c r="AX9" i="32"/>
  <c r="AY9" i="32"/>
  <c r="K10" i="32"/>
  <c r="N10" i="32"/>
  <c r="P10" i="32"/>
  <c r="AH10" i="32"/>
  <c r="AM10" i="32"/>
  <c r="AN10" i="32"/>
  <c r="AO10" i="32"/>
  <c r="AP10" i="32"/>
  <c r="AQ10" i="32"/>
  <c r="AR10" i="32"/>
  <c r="AS10" i="32"/>
  <c r="AT10" i="32"/>
  <c r="AV10" i="32"/>
  <c r="AW10" i="32"/>
  <c r="AX10" i="32"/>
  <c r="AY10" i="32"/>
  <c r="D11" i="32"/>
  <c r="K11" i="32"/>
  <c r="N11" i="32"/>
  <c r="P11" i="32"/>
  <c r="AM11" i="32"/>
  <c r="AN11" i="32"/>
  <c r="AO11" i="32"/>
  <c r="AP11" i="32"/>
  <c r="AQ11" i="32"/>
  <c r="AR11" i="32"/>
  <c r="AS11" i="32"/>
  <c r="AT11" i="32"/>
  <c r="AV11" i="32"/>
  <c r="AW11" i="32"/>
  <c r="AX11" i="32"/>
  <c r="AY11" i="32"/>
  <c r="D12" i="32"/>
  <c r="N12" i="32"/>
  <c r="P12" i="32"/>
  <c r="AH12" i="32"/>
  <c r="AM12" i="32"/>
  <c r="AN12" i="32"/>
  <c r="AO12" i="32"/>
  <c r="AP12" i="32"/>
  <c r="AQ12" i="32"/>
  <c r="AR12" i="32"/>
  <c r="AS12" i="32"/>
  <c r="AT12" i="32"/>
  <c r="AV12" i="32"/>
  <c r="AW12" i="32"/>
  <c r="AX12" i="32"/>
  <c r="AY12" i="32"/>
  <c r="N13" i="32"/>
  <c r="P13" i="32"/>
  <c r="AH13" i="32"/>
  <c r="AM13" i="32"/>
  <c r="AN13" i="32"/>
  <c r="AO13" i="32"/>
  <c r="AP13" i="32"/>
  <c r="AQ13" i="32"/>
  <c r="AR13" i="32"/>
  <c r="AS13" i="32"/>
  <c r="AT13" i="32"/>
  <c r="AV13" i="32"/>
  <c r="AW13" i="32"/>
  <c r="AX13" i="32"/>
  <c r="AY13" i="32"/>
  <c r="N14" i="32"/>
  <c r="P14" i="32"/>
  <c r="S14" i="32"/>
  <c r="T14" i="32"/>
  <c r="AM14" i="32"/>
  <c r="AN14" i="32"/>
  <c r="AO14" i="32"/>
  <c r="AP14" i="32"/>
  <c r="AQ14" i="32"/>
  <c r="AR14" i="32"/>
  <c r="AS14" i="32"/>
  <c r="AT14" i="32"/>
  <c r="AV14" i="32"/>
  <c r="AW14" i="32"/>
  <c r="AX14" i="32"/>
  <c r="AY14" i="32"/>
  <c r="N15" i="32"/>
  <c r="P15" i="32"/>
  <c r="AM15" i="32"/>
  <c r="AN15" i="32"/>
  <c r="AO15" i="32"/>
  <c r="AP15" i="32"/>
  <c r="AQ15" i="32"/>
  <c r="AR15" i="32"/>
  <c r="AS15" i="32"/>
  <c r="AT15" i="32"/>
  <c r="AV15" i="32"/>
  <c r="AW15" i="32"/>
  <c r="AX15" i="32"/>
  <c r="AY15" i="32"/>
  <c r="N16" i="32"/>
  <c r="P16" i="32"/>
  <c r="AV16" i="32"/>
  <c r="AW16" i="32"/>
  <c r="AX16" i="32"/>
  <c r="AY16" i="32"/>
  <c r="N17" i="32"/>
  <c r="P17" i="32"/>
  <c r="AV17" i="32"/>
  <c r="AW17" i="32"/>
  <c r="AX17" i="32"/>
  <c r="AY17" i="32"/>
  <c r="N18" i="32"/>
  <c r="P18" i="32"/>
  <c r="AX18" i="32"/>
  <c r="AY18" i="32"/>
  <c r="N19" i="32"/>
  <c r="P19" i="32"/>
  <c r="S20" i="32"/>
  <c r="T20" i="32"/>
  <c r="AM20" i="32"/>
  <c r="AO20" i="32"/>
  <c r="AV20" i="32"/>
  <c r="AW20" i="32"/>
  <c r="AX20" i="32"/>
  <c r="AY20" i="32"/>
  <c r="D22" i="32"/>
  <c r="F22" i="32"/>
  <c r="G22" i="32"/>
  <c r="H22" i="32"/>
  <c r="I22" i="32"/>
  <c r="K22" i="32"/>
  <c r="L22" i="32"/>
  <c r="N22" i="32"/>
  <c r="O22" i="32"/>
  <c r="P22" i="32"/>
  <c r="Q22" i="32"/>
  <c r="S22" i="32"/>
  <c r="T22" i="32"/>
  <c r="V22" i="32"/>
  <c r="X22" i="32"/>
  <c r="Y22" i="32"/>
  <c r="Z22" i="32"/>
  <c r="AA22" i="32"/>
  <c r="AB22" i="32"/>
  <c r="AC22" i="32"/>
  <c r="AF22" i="32"/>
  <c r="AG22" i="32"/>
  <c r="AH22" i="32"/>
  <c r="AI22" i="32"/>
  <c r="AJ22" i="32"/>
  <c r="AL22" i="32"/>
  <c r="AM22" i="32"/>
  <c r="AN22" i="32"/>
  <c r="AO22" i="32"/>
  <c r="AP22" i="32"/>
  <c r="AQ22" i="32"/>
  <c r="AR22" i="32"/>
  <c r="AS22" i="32"/>
  <c r="AT22" i="32"/>
  <c r="AU22" i="32"/>
  <c r="AV22" i="32"/>
  <c r="AW22" i="32"/>
  <c r="AX22" i="32"/>
  <c r="AY22" i="32"/>
  <c r="BB22" i="32"/>
  <c r="BC22" i="32"/>
  <c r="BD22" i="32"/>
  <c r="BE22" i="32"/>
  <c r="BF22" i="32"/>
  <c r="BG22" i="32"/>
  <c r="BH22" i="32"/>
  <c r="BI22" i="32"/>
  <c r="BJ22" i="32"/>
  <c r="BK22" i="32"/>
  <c r="BL22" i="32"/>
  <c r="BM22" i="32"/>
  <c r="BN22" i="32"/>
  <c r="BO22" i="32"/>
  <c r="D23" i="32"/>
  <c r="F23" i="32"/>
  <c r="G23" i="32"/>
  <c r="H23" i="32"/>
  <c r="I23" i="32"/>
  <c r="K23" i="32"/>
  <c r="L23" i="32"/>
  <c r="N23" i="32"/>
  <c r="O23" i="32"/>
  <c r="P23" i="32"/>
  <c r="Q23" i="32"/>
  <c r="S23" i="32"/>
  <c r="T23" i="32"/>
  <c r="V23" i="32"/>
  <c r="X23" i="32"/>
  <c r="Y23" i="32"/>
  <c r="Z23" i="32"/>
  <c r="AA23" i="32"/>
  <c r="AB23" i="32"/>
  <c r="AC23" i="32"/>
  <c r="AF23" i="32"/>
  <c r="AG23" i="32"/>
  <c r="AH23" i="32"/>
  <c r="AI23" i="32"/>
  <c r="AJ23" i="32"/>
  <c r="AL23" i="32"/>
  <c r="AM23" i="32"/>
  <c r="AN23" i="32"/>
  <c r="AO23" i="32"/>
  <c r="AP23" i="32"/>
  <c r="AQ23" i="32"/>
  <c r="AR23" i="32"/>
  <c r="AS23" i="32"/>
  <c r="AT23" i="32"/>
  <c r="AU23" i="32"/>
  <c r="AV23" i="32"/>
  <c r="AW23" i="32"/>
  <c r="AX23" i="32"/>
  <c r="AY23" i="32"/>
  <c r="BB23" i="32"/>
  <c r="BC23" i="32"/>
  <c r="BD23" i="32"/>
  <c r="BE23" i="32"/>
  <c r="BF23" i="32"/>
  <c r="BG23" i="32"/>
  <c r="BH23" i="32"/>
  <c r="BI23" i="32"/>
  <c r="BJ23" i="32"/>
  <c r="BK23" i="32"/>
  <c r="BL23" i="32"/>
  <c r="BM23" i="32"/>
  <c r="BN23" i="32"/>
  <c r="BO23" i="32"/>
  <c r="D24" i="32"/>
  <c r="F24" i="32"/>
  <c r="G24" i="32"/>
  <c r="H24" i="32"/>
  <c r="I24" i="32"/>
  <c r="K24" i="32"/>
  <c r="L24" i="32"/>
  <c r="N24" i="32"/>
  <c r="O24" i="32"/>
  <c r="P24" i="32"/>
  <c r="Q24" i="32"/>
  <c r="S24" i="32"/>
  <c r="T24" i="32"/>
  <c r="V24" i="32"/>
  <c r="X24" i="32"/>
  <c r="Y24" i="32"/>
  <c r="Z24" i="32"/>
  <c r="AA24" i="32"/>
  <c r="AB24" i="32"/>
  <c r="AC24" i="32"/>
  <c r="AF24" i="32"/>
  <c r="AG24" i="32"/>
  <c r="AH24" i="32"/>
  <c r="AI24" i="32"/>
  <c r="AJ24" i="32"/>
  <c r="AL24" i="32"/>
  <c r="AM24" i="32"/>
  <c r="AN24" i="32"/>
  <c r="AO24" i="32"/>
  <c r="AP24" i="32"/>
  <c r="AQ24" i="32"/>
  <c r="AR24" i="32"/>
  <c r="AS24" i="32"/>
  <c r="AT24" i="32"/>
  <c r="AU24" i="32"/>
  <c r="AV24" i="32"/>
  <c r="AW24" i="32"/>
  <c r="AX24" i="32"/>
  <c r="AY24" i="32"/>
  <c r="BB24" i="32"/>
  <c r="BC24" i="32"/>
  <c r="BD24" i="32"/>
  <c r="BE24" i="32"/>
  <c r="BF24" i="32"/>
  <c r="BG24" i="32"/>
  <c r="BH24" i="32"/>
  <c r="BI24" i="32"/>
  <c r="BJ24" i="32"/>
  <c r="BK24" i="32"/>
  <c r="BL24" i="32"/>
  <c r="BM24" i="32"/>
  <c r="BN24" i="32"/>
  <c r="BO24" i="32"/>
  <c r="D25" i="32"/>
  <c r="F25" i="32"/>
  <c r="G25" i="32"/>
  <c r="H25" i="32"/>
  <c r="I25" i="32"/>
  <c r="K25" i="32"/>
  <c r="L25" i="32"/>
  <c r="N25" i="32"/>
  <c r="O25" i="32"/>
  <c r="P25" i="32"/>
  <c r="Q25" i="32"/>
  <c r="S25" i="32"/>
  <c r="T25" i="32"/>
  <c r="V25" i="32"/>
  <c r="X25" i="32"/>
  <c r="Y25" i="32"/>
  <c r="Z25" i="32"/>
  <c r="AA25" i="32"/>
  <c r="AB25" i="32"/>
  <c r="AC25" i="32"/>
  <c r="AF25" i="32"/>
  <c r="AG25" i="32"/>
  <c r="AH25" i="32"/>
  <c r="AI25" i="32"/>
  <c r="AJ25" i="32"/>
  <c r="AL25" i="32"/>
  <c r="AM25" i="32"/>
  <c r="AN25" i="32"/>
  <c r="AO25" i="32"/>
  <c r="AP25" i="32"/>
  <c r="AQ25" i="32"/>
  <c r="AR25" i="32"/>
  <c r="AS25" i="32"/>
  <c r="AT25" i="32"/>
  <c r="AU25" i="32"/>
  <c r="AV25" i="32"/>
  <c r="AW25" i="32"/>
  <c r="AX25" i="32"/>
  <c r="AY25" i="32"/>
  <c r="BB25" i="32"/>
  <c r="BC25" i="32"/>
  <c r="BD25" i="32"/>
  <c r="BE25" i="32"/>
  <c r="BF25" i="32"/>
  <c r="BG25" i="32"/>
  <c r="BH25" i="32"/>
  <c r="BI25" i="32"/>
  <c r="BJ25" i="32"/>
  <c r="BK25" i="32"/>
  <c r="BL25" i="32"/>
  <c r="BM25" i="32"/>
  <c r="BN25" i="32"/>
  <c r="BO25" i="32"/>
  <c r="D26" i="32"/>
  <c r="F26" i="32"/>
  <c r="G26" i="32"/>
  <c r="H26" i="32"/>
  <c r="I26" i="32"/>
  <c r="K26" i="32"/>
  <c r="L26" i="32"/>
  <c r="N26" i="32"/>
  <c r="O26" i="32"/>
  <c r="P26" i="32"/>
  <c r="Q26" i="32"/>
  <c r="S26" i="32"/>
  <c r="T26" i="32"/>
  <c r="V26" i="32"/>
  <c r="X26" i="32"/>
  <c r="Y26" i="32"/>
  <c r="Z26" i="32"/>
  <c r="AA26" i="32"/>
  <c r="AB26" i="32"/>
  <c r="AC26" i="32"/>
  <c r="AF26" i="32"/>
  <c r="AG26" i="32"/>
  <c r="AH26" i="32"/>
  <c r="AI26" i="32"/>
  <c r="AJ26" i="32"/>
  <c r="AL26" i="32"/>
  <c r="AM26" i="32"/>
  <c r="AN26" i="32"/>
  <c r="AO26" i="32"/>
  <c r="AP26" i="32"/>
  <c r="AQ26" i="32"/>
  <c r="AR26" i="32"/>
  <c r="AS26" i="32"/>
  <c r="AT26" i="32"/>
  <c r="AU26" i="32"/>
  <c r="AV26" i="32"/>
  <c r="AW26" i="32"/>
  <c r="AX26" i="32"/>
  <c r="AY26" i="32"/>
  <c r="BB26" i="32"/>
  <c r="BC26" i="32"/>
  <c r="BD26" i="32"/>
  <c r="BE26" i="32"/>
  <c r="BF26" i="32"/>
  <c r="BG26" i="32"/>
  <c r="BH26" i="32"/>
  <c r="BI26" i="32"/>
  <c r="BJ26" i="32"/>
  <c r="BK26" i="32"/>
  <c r="BL26" i="32"/>
  <c r="BM26" i="32"/>
  <c r="BN26" i="32"/>
  <c r="BO26" i="32"/>
  <c r="D27" i="32"/>
  <c r="F27" i="32"/>
  <c r="G27" i="32"/>
  <c r="H27" i="32"/>
  <c r="I27" i="32"/>
  <c r="K27" i="32"/>
  <c r="L27" i="32"/>
  <c r="N27" i="32"/>
  <c r="O27" i="32"/>
  <c r="P27" i="32"/>
  <c r="Q27" i="32"/>
  <c r="S27" i="32"/>
  <c r="T27" i="32"/>
  <c r="V27" i="32"/>
  <c r="X27" i="32"/>
  <c r="Y27" i="32"/>
  <c r="Z27" i="32"/>
  <c r="AA27" i="32"/>
  <c r="AB27" i="32"/>
  <c r="AC27" i="32"/>
  <c r="AF27" i="32"/>
  <c r="AG27" i="32"/>
  <c r="AH27" i="32"/>
  <c r="AI27" i="32"/>
  <c r="AJ27" i="32"/>
  <c r="AL27" i="32"/>
  <c r="AM27" i="32"/>
  <c r="AN27" i="32"/>
  <c r="AO27" i="32"/>
  <c r="AP27" i="32"/>
  <c r="AQ27" i="32"/>
  <c r="AR27" i="32"/>
  <c r="AS27" i="32"/>
  <c r="AT27" i="32"/>
  <c r="AU27" i="32"/>
  <c r="AV27" i="32"/>
  <c r="AW27" i="32"/>
  <c r="AX27" i="32"/>
  <c r="AY27" i="32"/>
  <c r="BB27" i="32"/>
  <c r="BC27" i="32"/>
  <c r="BD27" i="32"/>
  <c r="BE27" i="32"/>
  <c r="BF27" i="32"/>
  <c r="BG27" i="32"/>
  <c r="BH27" i="32"/>
  <c r="BI27" i="32"/>
  <c r="BJ27" i="32"/>
  <c r="BK27" i="32"/>
  <c r="BL27" i="32"/>
  <c r="BM27" i="32"/>
  <c r="BN27" i="32"/>
  <c r="BO27" i="32"/>
  <c r="D28" i="32"/>
  <c r="F28" i="32"/>
  <c r="G28" i="32"/>
  <c r="H28" i="32"/>
  <c r="I28" i="32"/>
  <c r="K28" i="32"/>
  <c r="L28" i="32"/>
  <c r="N28" i="32"/>
  <c r="O28" i="32"/>
  <c r="P28" i="32"/>
  <c r="Q28" i="32"/>
  <c r="S28" i="32"/>
  <c r="T28" i="32"/>
  <c r="V28" i="32"/>
  <c r="X28" i="32"/>
  <c r="Y28" i="32"/>
  <c r="Z28" i="32"/>
  <c r="AA28" i="32"/>
  <c r="AB28" i="32"/>
  <c r="AC28" i="32"/>
  <c r="AF28" i="32"/>
  <c r="AG28" i="32"/>
  <c r="AH28" i="32"/>
  <c r="AI28" i="32"/>
  <c r="AJ28" i="32"/>
  <c r="AL28" i="32"/>
  <c r="AM28" i="32"/>
  <c r="AN28" i="32"/>
  <c r="AO28" i="32"/>
  <c r="AP28" i="32"/>
  <c r="AQ28" i="32"/>
  <c r="AR28" i="32"/>
  <c r="AS28" i="32"/>
  <c r="AT28" i="32"/>
  <c r="AU28" i="32"/>
  <c r="AV28" i="32"/>
  <c r="AW28" i="32"/>
  <c r="AX28" i="32"/>
  <c r="AY28" i="32"/>
  <c r="BB28" i="32"/>
  <c r="BC28" i="32"/>
  <c r="BD28" i="32"/>
  <c r="BE28" i="32"/>
  <c r="BF28" i="32"/>
  <c r="BG28" i="32"/>
  <c r="BH28" i="32"/>
  <c r="BI28" i="32"/>
  <c r="BJ28" i="32"/>
  <c r="BK28" i="32"/>
  <c r="BL28" i="32"/>
  <c r="BM28" i="32"/>
  <c r="BN28" i="32"/>
  <c r="BO28" i="32"/>
  <c r="D29" i="32"/>
  <c r="F29" i="32"/>
  <c r="G29" i="32"/>
  <c r="H29" i="32"/>
  <c r="I29" i="32"/>
  <c r="K29" i="32"/>
  <c r="L29" i="32"/>
  <c r="N29" i="32"/>
  <c r="O29" i="32"/>
  <c r="P29" i="32"/>
  <c r="Q29" i="32"/>
  <c r="S29" i="32"/>
  <c r="T29" i="32"/>
  <c r="V29" i="32"/>
  <c r="X29" i="32"/>
  <c r="Y29" i="32"/>
  <c r="Z29" i="32"/>
  <c r="AA29" i="32"/>
  <c r="AB29" i="32"/>
  <c r="AC29" i="32"/>
  <c r="AF29" i="32"/>
  <c r="AG29" i="32"/>
  <c r="AH29" i="32"/>
  <c r="AI29" i="32"/>
  <c r="AJ29" i="32"/>
  <c r="AL29" i="32"/>
  <c r="AM29" i="32"/>
  <c r="AN29" i="32"/>
  <c r="AO29" i="32"/>
  <c r="AP29" i="32"/>
  <c r="AQ29" i="32"/>
  <c r="AR29" i="32"/>
  <c r="AS29" i="32"/>
  <c r="AT29" i="32"/>
  <c r="AU29" i="32"/>
  <c r="AV29" i="32"/>
  <c r="AW29" i="32"/>
  <c r="AX29" i="32"/>
  <c r="AY29" i="32"/>
  <c r="BB29" i="32"/>
  <c r="BC29" i="32"/>
  <c r="BD29" i="32"/>
  <c r="BE29" i="32"/>
  <c r="BF29" i="32"/>
  <c r="BG29" i="32"/>
  <c r="BH29" i="32"/>
  <c r="BI29" i="32"/>
  <c r="BJ29" i="32"/>
  <c r="BK29" i="32"/>
  <c r="BL29" i="32"/>
  <c r="BM29" i="32"/>
  <c r="BN29" i="32"/>
  <c r="BO29" i="32"/>
  <c r="D30" i="32"/>
  <c r="F30" i="32"/>
  <c r="G30" i="32"/>
  <c r="H30" i="32"/>
  <c r="I30" i="32"/>
  <c r="K30" i="32"/>
  <c r="L30" i="32"/>
  <c r="N30" i="32"/>
  <c r="O30" i="32"/>
  <c r="P30" i="32"/>
  <c r="Q30" i="32"/>
  <c r="S30" i="32"/>
  <c r="T30" i="32"/>
  <c r="V30" i="32"/>
  <c r="X30" i="32"/>
  <c r="Y30" i="32"/>
  <c r="Z30" i="32"/>
  <c r="AA30" i="32"/>
  <c r="AB30" i="32"/>
  <c r="AC30" i="32"/>
  <c r="AF30" i="32"/>
  <c r="AG30" i="32"/>
  <c r="AH30" i="32"/>
  <c r="AI30" i="32"/>
  <c r="AJ30" i="32"/>
  <c r="AL30" i="32"/>
  <c r="AM30" i="32"/>
  <c r="AN30" i="32"/>
  <c r="AO30" i="32"/>
  <c r="AP30" i="32"/>
  <c r="AQ30" i="32"/>
  <c r="AR30" i="32"/>
  <c r="AS30" i="32"/>
  <c r="AT30" i="32"/>
  <c r="AU30" i="32"/>
  <c r="AV30" i="32"/>
  <c r="AW30" i="32"/>
  <c r="AX30" i="32"/>
  <c r="AY30" i="32"/>
  <c r="BB30" i="32"/>
  <c r="BC30" i="32"/>
  <c r="BD30" i="32"/>
  <c r="BE30" i="32"/>
  <c r="BF30" i="32"/>
  <c r="BG30" i="32"/>
  <c r="BH30" i="32"/>
  <c r="BI30" i="32"/>
  <c r="BJ30" i="32"/>
  <c r="BK30" i="32"/>
  <c r="BL30" i="32"/>
  <c r="BM30" i="32"/>
  <c r="BN30" i="32"/>
  <c r="BO30" i="32"/>
  <c r="D31" i="32"/>
  <c r="F31" i="32"/>
  <c r="G31" i="32"/>
  <c r="H31" i="32"/>
  <c r="I31" i="32"/>
  <c r="K31" i="32"/>
  <c r="L31" i="32"/>
  <c r="N31" i="32"/>
  <c r="O31" i="32"/>
  <c r="P31" i="32"/>
  <c r="Q31" i="32"/>
  <c r="S31" i="32"/>
  <c r="T31" i="32"/>
  <c r="V31" i="32"/>
  <c r="X31" i="32"/>
  <c r="Y31" i="32"/>
  <c r="Z31" i="32"/>
  <c r="AA31" i="32"/>
  <c r="AB31" i="32"/>
  <c r="AC31" i="32"/>
  <c r="AF31" i="32"/>
  <c r="AG31" i="32"/>
  <c r="AH31" i="32"/>
  <c r="AI31" i="32"/>
  <c r="AJ31" i="32"/>
  <c r="AL31" i="32"/>
  <c r="AM31" i="32"/>
  <c r="AN31" i="32"/>
  <c r="AO31" i="32"/>
  <c r="AP31" i="32"/>
  <c r="AQ31" i="32"/>
  <c r="AR31" i="32"/>
  <c r="AS31" i="32"/>
  <c r="AT31" i="32"/>
  <c r="AU31" i="32"/>
  <c r="AV31" i="32"/>
  <c r="AW31" i="32"/>
  <c r="AX31" i="32"/>
  <c r="AY31" i="32"/>
  <c r="BB31" i="32"/>
  <c r="BC31" i="32"/>
  <c r="BD31" i="32"/>
  <c r="BE31" i="32"/>
  <c r="BF31" i="32"/>
  <c r="BG31" i="32"/>
  <c r="BH31" i="32"/>
  <c r="BI31" i="32"/>
  <c r="BJ31" i="32"/>
  <c r="BK31" i="32"/>
  <c r="BL31" i="32"/>
  <c r="BM31" i="32"/>
  <c r="BN31" i="32"/>
  <c r="BO31" i="32"/>
  <c r="D32" i="32"/>
  <c r="F32" i="32"/>
  <c r="G32" i="32"/>
  <c r="H32" i="32"/>
  <c r="I32" i="32"/>
  <c r="K32" i="32"/>
  <c r="L32" i="32"/>
  <c r="N32" i="32"/>
  <c r="O32" i="32"/>
  <c r="P32" i="32"/>
  <c r="Q32" i="32"/>
  <c r="S32" i="32"/>
  <c r="T32" i="32"/>
  <c r="V32" i="32"/>
  <c r="X32" i="32"/>
  <c r="Y32" i="32"/>
  <c r="Z32" i="32"/>
  <c r="AA32" i="32"/>
  <c r="AB32" i="32"/>
  <c r="AC32" i="32"/>
  <c r="AF32" i="32"/>
  <c r="AG32" i="32"/>
  <c r="AH32" i="32"/>
  <c r="AI32" i="32"/>
  <c r="AJ32" i="32"/>
  <c r="AL32" i="32"/>
  <c r="AM32" i="32"/>
  <c r="AN32" i="32"/>
  <c r="AO32" i="32"/>
  <c r="AP32" i="32"/>
  <c r="AQ32" i="32"/>
  <c r="AR32" i="32"/>
  <c r="AS32" i="32"/>
  <c r="AT32" i="32"/>
  <c r="AU32" i="32"/>
  <c r="AV32" i="32"/>
  <c r="AW32" i="32"/>
  <c r="AX32" i="32"/>
  <c r="AY32" i="32"/>
  <c r="BB32" i="32"/>
  <c r="BC32" i="32"/>
  <c r="BD32" i="32"/>
  <c r="BE32" i="32"/>
  <c r="BF32" i="32"/>
  <c r="BG32" i="32"/>
  <c r="BH32" i="32"/>
  <c r="BI32" i="32"/>
  <c r="BJ32" i="32"/>
  <c r="BK32" i="32"/>
  <c r="BL32" i="32"/>
  <c r="BM32" i="32"/>
  <c r="BN32" i="32"/>
  <c r="BO32" i="32"/>
  <c r="D33" i="32"/>
  <c r="F33" i="32"/>
  <c r="G33" i="32"/>
  <c r="H33" i="32"/>
  <c r="I33" i="32"/>
  <c r="K33" i="32"/>
  <c r="L33" i="32"/>
  <c r="N33" i="32"/>
  <c r="O33" i="32"/>
  <c r="P33" i="32"/>
  <c r="Q33" i="32"/>
  <c r="S33" i="32"/>
  <c r="T33" i="32"/>
  <c r="V33" i="32"/>
  <c r="X33" i="32"/>
  <c r="Y33" i="32"/>
  <c r="Z33" i="32"/>
  <c r="AA33" i="32"/>
  <c r="AB33" i="32"/>
  <c r="AC33" i="32"/>
  <c r="AF33" i="32"/>
  <c r="AG33" i="32"/>
  <c r="AH33" i="32"/>
  <c r="AI33" i="32"/>
  <c r="AJ33" i="32"/>
  <c r="AL33" i="32"/>
  <c r="AM33" i="32"/>
  <c r="AN33" i="32"/>
  <c r="AO33" i="32"/>
  <c r="AP33" i="32"/>
  <c r="AQ33" i="32"/>
  <c r="AR33" i="32"/>
  <c r="AS33" i="32"/>
  <c r="AT33" i="32"/>
  <c r="AU33" i="32"/>
  <c r="AV33" i="32"/>
  <c r="AW33" i="32"/>
  <c r="AX33" i="32"/>
  <c r="AY33" i="32"/>
  <c r="BB33" i="32"/>
  <c r="BC33" i="32"/>
  <c r="BD33" i="32"/>
  <c r="BE33" i="32"/>
  <c r="BF33" i="32"/>
  <c r="BG33" i="32"/>
  <c r="BH33" i="32"/>
  <c r="BI33" i="32"/>
  <c r="BJ33" i="32"/>
  <c r="BK33" i="32"/>
  <c r="BL33" i="32"/>
  <c r="BM33" i="32"/>
  <c r="BN33" i="32"/>
  <c r="BO33" i="32"/>
  <c r="D34" i="32"/>
  <c r="F34" i="32"/>
  <c r="G34" i="32"/>
  <c r="H34" i="32"/>
  <c r="I34" i="32"/>
  <c r="K34" i="32"/>
  <c r="L34" i="32"/>
  <c r="N34" i="32"/>
  <c r="O34" i="32"/>
  <c r="P34" i="32"/>
  <c r="Q34" i="32"/>
  <c r="S34" i="32"/>
  <c r="T34" i="32"/>
  <c r="V34" i="32"/>
  <c r="X34" i="32"/>
  <c r="Y34" i="32"/>
  <c r="Z34" i="32"/>
  <c r="AA34" i="32"/>
  <c r="AB34" i="32"/>
  <c r="AC34" i="32"/>
  <c r="AF34" i="32"/>
  <c r="AG34" i="32"/>
  <c r="AH34" i="32"/>
  <c r="AI34" i="32"/>
  <c r="AJ34" i="32"/>
  <c r="AL34" i="32"/>
  <c r="AM34" i="32"/>
  <c r="AN34" i="32"/>
  <c r="AO34" i="32"/>
  <c r="AP34" i="32"/>
  <c r="AQ34" i="32"/>
  <c r="AR34" i="32"/>
  <c r="AS34" i="32"/>
  <c r="AT34" i="32"/>
  <c r="AU34" i="32"/>
  <c r="AV34" i="32"/>
  <c r="AW34" i="32"/>
  <c r="AX34" i="32"/>
  <c r="AY34" i="32"/>
  <c r="BB34" i="32"/>
  <c r="BC34" i="32"/>
  <c r="BD34" i="32"/>
  <c r="BE34" i="32"/>
  <c r="BF34" i="32"/>
  <c r="BG34" i="32"/>
  <c r="BH34" i="32"/>
  <c r="BI34" i="32"/>
  <c r="BJ34" i="32"/>
  <c r="BK34" i="32"/>
  <c r="BL34" i="32"/>
  <c r="BM34" i="32"/>
  <c r="BN34" i="32"/>
  <c r="BO34" i="32"/>
  <c r="D35" i="32"/>
  <c r="F35" i="32"/>
  <c r="G35" i="32"/>
  <c r="H35" i="32"/>
  <c r="I35" i="32"/>
  <c r="K35" i="32"/>
  <c r="L35" i="32"/>
  <c r="N35" i="32"/>
  <c r="O35" i="32"/>
  <c r="P35" i="32"/>
  <c r="Q35" i="32"/>
  <c r="S35" i="32"/>
  <c r="T35" i="32"/>
  <c r="V35" i="32"/>
  <c r="X35" i="32"/>
  <c r="Y35" i="32"/>
  <c r="Z35" i="32"/>
  <c r="AA35" i="32"/>
  <c r="AB35" i="32"/>
  <c r="AC35" i="32"/>
  <c r="AF35" i="32"/>
  <c r="AG35" i="32"/>
  <c r="AH35" i="32"/>
  <c r="AI35" i="32"/>
  <c r="AJ35" i="32"/>
  <c r="AL35" i="32"/>
  <c r="AM35" i="32"/>
  <c r="AN35" i="32"/>
  <c r="AO35" i="32"/>
  <c r="AP35" i="32"/>
  <c r="AQ35" i="32"/>
  <c r="AR35" i="32"/>
  <c r="AS35" i="32"/>
  <c r="AT35" i="32"/>
  <c r="AU35" i="32"/>
  <c r="AV35" i="32"/>
  <c r="AW35" i="32"/>
  <c r="AX35" i="32"/>
  <c r="AY35" i="32"/>
  <c r="BB35" i="32"/>
  <c r="BC35" i="32"/>
  <c r="BD35" i="32"/>
  <c r="BE35" i="32"/>
  <c r="BF35" i="32"/>
  <c r="BG35" i="32"/>
  <c r="BH35" i="32"/>
  <c r="BI35" i="32"/>
  <c r="BJ35" i="32"/>
  <c r="BK35" i="32"/>
  <c r="BL35" i="32"/>
  <c r="BM35" i="32"/>
  <c r="BN35" i="32"/>
  <c r="BO35" i="32"/>
  <c r="D36" i="32"/>
  <c r="F36" i="32"/>
  <c r="G36" i="32"/>
  <c r="H36" i="32"/>
  <c r="I36" i="32"/>
  <c r="K36" i="32"/>
  <c r="L36" i="32"/>
  <c r="N36" i="32"/>
  <c r="O36" i="32"/>
  <c r="P36" i="32"/>
  <c r="Q36" i="32"/>
  <c r="S36" i="32"/>
  <c r="T36" i="32"/>
  <c r="V36" i="32"/>
  <c r="X36" i="32"/>
  <c r="Y36" i="32"/>
  <c r="Z36" i="32"/>
  <c r="AA36" i="32"/>
  <c r="AB36" i="32"/>
  <c r="AC36" i="32"/>
  <c r="AF36" i="32"/>
  <c r="AG36" i="32"/>
  <c r="AH36" i="32"/>
  <c r="AI36" i="32"/>
  <c r="AJ36" i="32"/>
  <c r="AL36" i="32"/>
  <c r="AM36" i="32"/>
  <c r="AN36" i="32"/>
  <c r="AO36" i="32"/>
  <c r="AP36" i="32"/>
  <c r="AQ36" i="32"/>
  <c r="AR36" i="32"/>
  <c r="AS36" i="32"/>
  <c r="AT36" i="32"/>
  <c r="AU36" i="32"/>
  <c r="AV36" i="32"/>
  <c r="AW36" i="32"/>
  <c r="AX36" i="32"/>
  <c r="AY36" i="32"/>
  <c r="BB36" i="32"/>
  <c r="BC36" i="32"/>
  <c r="BD36" i="32"/>
  <c r="BE36" i="32"/>
  <c r="BF36" i="32"/>
  <c r="BG36" i="32"/>
  <c r="BH36" i="32"/>
  <c r="BI36" i="32"/>
  <c r="BJ36" i="32"/>
  <c r="BK36" i="32"/>
  <c r="BL36" i="32"/>
  <c r="BM36" i="32"/>
  <c r="BN36" i="32"/>
  <c r="BO36" i="32"/>
  <c r="D37" i="32"/>
  <c r="F37" i="32"/>
  <c r="G37" i="32"/>
  <c r="H37" i="32"/>
  <c r="I37" i="32"/>
  <c r="K37" i="32"/>
  <c r="L37" i="32"/>
  <c r="N37" i="32"/>
  <c r="O37" i="32"/>
  <c r="P37" i="32"/>
  <c r="Q37" i="32"/>
  <c r="S37" i="32"/>
  <c r="T37" i="32"/>
  <c r="V37" i="32"/>
  <c r="X37" i="32"/>
  <c r="Y37" i="32"/>
  <c r="Z37" i="32"/>
  <c r="AA37" i="32"/>
  <c r="AB37" i="32"/>
  <c r="AC37" i="32"/>
  <c r="AF37" i="32"/>
  <c r="AG37" i="32"/>
  <c r="AH37" i="32"/>
  <c r="AI37" i="32"/>
  <c r="AJ37" i="32"/>
  <c r="AL37" i="32"/>
  <c r="AM37" i="32"/>
  <c r="AN37" i="32"/>
  <c r="AO37" i="32"/>
  <c r="AP37" i="32"/>
  <c r="AQ37" i="32"/>
  <c r="AR37" i="32"/>
  <c r="AS37" i="32"/>
  <c r="AT37" i="32"/>
  <c r="AU37" i="32"/>
  <c r="AV37" i="32"/>
  <c r="AW37" i="32"/>
  <c r="AX37" i="32"/>
  <c r="AY37" i="32"/>
  <c r="BB37" i="32"/>
  <c r="BC37" i="32"/>
  <c r="BD37" i="32"/>
  <c r="BE37" i="32"/>
  <c r="BF37" i="32"/>
  <c r="BG37" i="32"/>
  <c r="BH37" i="32"/>
  <c r="BI37" i="32"/>
  <c r="BJ37" i="32"/>
  <c r="BK37" i="32"/>
  <c r="BL37" i="32"/>
  <c r="BM37" i="32"/>
  <c r="BN37" i="32"/>
  <c r="BO37" i="32"/>
  <c r="D38" i="32"/>
  <c r="F38" i="32"/>
  <c r="G38" i="32"/>
  <c r="H38" i="32"/>
  <c r="I38" i="32"/>
  <c r="K38" i="32"/>
  <c r="L38" i="32"/>
  <c r="N38" i="32"/>
  <c r="O38" i="32"/>
  <c r="P38" i="32"/>
  <c r="Q38" i="32"/>
  <c r="S38" i="32"/>
  <c r="T38" i="32"/>
  <c r="V38" i="32"/>
  <c r="X38" i="32"/>
  <c r="Y38" i="32"/>
  <c r="Z38" i="32"/>
  <c r="AA38" i="32"/>
  <c r="AB38" i="32"/>
  <c r="AC38" i="32"/>
  <c r="AF38" i="32"/>
  <c r="AG38" i="32"/>
  <c r="AH38" i="32"/>
  <c r="AI38" i="32"/>
  <c r="AJ38" i="32"/>
  <c r="AL38" i="32"/>
  <c r="AM38" i="32"/>
  <c r="AN38" i="32"/>
  <c r="AO38" i="32"/>
  <c r="AP38" i="32"/>
  <c r="AQ38" i="32"/>
  <c r="AR38" i="32"/>
  <c r="AS38" i="32"/>
  <c r="AT38" i="32"/>
  <c r="AU38" i="32"/>
  <c r="AV38" i="32"/>
  <c r="AW38" i="32"/>
  <c r="AX38" i="32"/>
  <c r="AY38" i="32"/>
  <c r="BB38" i="32"/>
  <c r="BC38" i="32"/>
  <c r="BD38" i="32"/>
  <c r="BE38" i="32"/>
  <c r="BF38" i="32"/>
  <c r="BG38" i="32"/>
  <c r="BH38" i="32"/>
  <c r="BI38" i="32"/>
  <c r="BJ38" i="32"/>
  <c r="BK38" i="32"/>
  <c r="BL38" i="32"/>
  <c r="BM38" i="32"/>
  <c r="BN38" i="32"/>
  <c r="BO38" i="32"/>
  <c r="D39" i="32"/>
  <c r="F39" i="32"/>
  <c r="G39" i="32"/>
  <c r="H39" i="32"/>
  <c r="I39" i="32"/>
  <c r="K39" i="32"/>
  <c r="L39" i="32"/>
  <c r="N39" i="32"/>
  <c r="O39" i="32"/>
  <c r="P39" i="32"/>
  <c r="Q39" i="32"/>
  <c r="S39" i="32"/>
  <c r="T39" i="32"/>
  <c r="V39" i="32"/>
  <c r="X39" i="32"/>
  <c r="Y39" i="32"/>
  <c r="Z39" i="32"/>
  <c r="AA39" i="32"/>
  <c r="AB39" i="32"/>
  <c r="AC39" i="32"/>
  <c r="AF39" i="32"/>
  <c r="AG39" i="32"/>
  <c r="AH39" i="32"/>
  <c r="AI39" i="32"/>
  <c r="AJ39" i="32"/>
  <c r="AL39" i="32"/>
  <c r="AM39" i="32"/>
  <c r="AN39" i="32"/>
  <c r="AO39" i="32"/>
  <c r="AP39" i="32"/>
  <c r="AQ39" i="32"/>
  <c r="AR39" i="32"/>
  <c r="AS39" i="32"/>
  <c r="AT39" i="32"/>
  <c r="AU39" i="32"/>
  <c r="AV39" i="32"/>
  <c r="AW39" i="32"/>
  <c r="AX39" i="32"/>
  <c r="AY39" i="32"/>
  <c r="BB39" i="32"/>
  <c r="BC39" i="32"/>
  <c r="BD39" i="32"/>
  <c r="BE39" i="32"/>
  <c r="BF39" i="32"/>
  <c r="BG39" i="32"/>
  <c r="BH39" i="32"/>
  <c r="BI39" i="32"/>
  <c r="BJ39" i="32"/>
  <c r="BK39" i="32"/>
  <c r="BL39" i="32"/>
  <c r="BM39" i="32"/>
  <c r="BN39" i="32"/>
  <c r="BO39" i="32"/>
  <c r="D40" i="32"/>
  <c r="F40" i="32"/>
  <c r="G40" i="32"/>
  <c r="H40" i="32"/>
  <c r="I40" i="32"/>
  <c r="K40" i="32"/>
  <c r="L40" i="32"/>
  <c r="N40" i="32"/>
  <c r="O40" i="32"/>
  <c r="P40" i="32"/>
  <c r="Q40" i="32"/>
  <c r="S40" i="32"/>
  <c r="T40" i="32"/>
  <c r="V40" i="32"/>
  <c r="X40" i="32"/>
  <c r="Y40" i="32"/>
  <c r="Z40" i="32"/>
  <c r="AA40" i="32"/>
  <c r="AB40" i="32"/>
  <c r="AC40" i="32"/>
  <c r="AF40" i="32"/>
  <c r="AG40" i="32"/>
  <c r="AH40" i="32"/>
  <c r="AI40" i="32"/>
  <c r="AJ40" i="32"/>
  <c r="AL40" i="32"/>
  <c r="AM40" i="32"/>
  <c r="AN40" i="32"/>
  <c r="AO40" i="32"/>
  <c r="AP40" i="32"/>
  <c r="AQ40" i="32"/>
  <c r="AR40" i="32"/>
  <c r="AS40" i="32"/>
  <c r="AT40" i="32"/>
  <c r="AU40" i="32"/>
  <c r="AV40" i="32"/>
  <c r="AW40" i="32"/>
  <c r="AX40" i="32"/>
  <c r="AY40" i="32"/>
  <c r="BB40" i="32"/>
  <c r="BC40" i="32"/>
  <c r="BD40" i="32"/>
  <c r="BE40" i="32"/>
  <c r="BF40" i="32"/>
  <c r="BG40" i="32"/>
  <c r="BH40" i="32"/>
  <c r="BI40" i="32"/>
  <c r="BJ40" i="32"/>
  <c r="BK40" i="32"/>
  <c r="BL40" i="32"/>
  <c r="BM40" i="32"/>
  <c r="BN40" i="32"/>
  <c r="BO40" i="32"/>
  <c r="D41" i="32"/>
  <c r="F41" i="32"/>
  <c r="G41" i="32"/>
  <c r="H41" i="32"/>
  <c r="I41" i="32"/>
  <c r="K41" i="32"/>
  <c r="L41" i="32"/>
  <c r="N41" i="32"/>
  <c r="O41" i="32"/>
  <c r="P41" i="32"/>
  <c r="Q41" i="32"/>
  <c r="S41" i="32"/>
  <c r="T41" i="32"/>
  <c r="V41" i="32"/>
  <c r="X41" i="32"/>
  <c r="Y41" i="32"/>
  <c r="Z41" i="32"/>
  <c r="AA41" i="32"/>
  <c r="AB41" i="32"/>
  <c r="AC41" i="32"/>
  <c r="AF41" i="32"/>
  <c r="AG41" i="32"/>
  <c r="AH41" i="32"/>
  <c r="AI41" i="32"/>
  <c r="AJ41" i="32"/>
  <c r="AL41" i="32"/>
  <c r="AM41" i="32"/>
  <c r="AN41" i="32"/>
  <c r="AO41" i="32"/>
  <c r="AP41" i="32"/>
  <c r="AQ41" i="32"/>
  <c r="AR41" i="32"/>
  <c r="AS41" i="32"/>
  <c r="AT41" i="32"/>
  <c r="AU41" i="32"/>
  <c r="AV41" i="32"/>
  <c r="AW41" i="32"/>
  <c r="AX41" i="32"/>
  <c r="AY41" i="32"/>
  <c r="BB41" i="32"/>
  <c r="BC41" i="32"/>
  <c r="BD41" i="32"/>
  <c r="BE41" i="32"/>
  <c r="BF41" i="32"/>
  <c r="BG41" i="32"/>
  <c r="BH41" i="32"/>
  <c r="BI41" i="32"/>
  <c r="BJ41" i="32"/>
  <c r="BK41" i="32"/>
  <c r="BL41" i="32"/>
  <c r="BM41" i="32"/>
  <c r="BN41" i="32"/>
  <c r="BO41" i="32"/>
  <c r="D42" i="32"/>
  <c r="F42" i="32"/>
  <c r="G42" i="32"/>
  <c r="H42" i="32"/>
  <c r="I42" i="32"/>
  <c r="K42" i="32"/>
  <c r="L42" i="32"/>
  <c r="N42" i="32"/>
  <c r="O42" i="32"/>
  <c r="P42" i="32"/>
  <c r="Q42" i="32"/>
  <c r="S42" i="32"/>
  <c r="T42" i="32"/>
  <c r="V42" i="32"/>
  <c r="X42" i="32"/>
  <c r="Y42" i="32"/>
  <c r="Z42" i="32"/>
  <c r="AA42" i="32"/>
  <c r="AB42" i="32"/>
  <c r="AC42" i="32"/>
  <c r="AF42" i="32"/>
  <c r="AG42" i="32"/>
  <c r="AH42" i="32"/>
  <c r="AI42" i="32"/>
  <c r="AJ42" i="32"/>
  <c r="AL42" i="32"/>
  <c r="AM42" i="32"/>
  <c r="AN42" i="32"/>
  <c r="AO42" i="32"/>
  <c r="AP42" i="32"/>
  <c r="AQ42" i="32"/>
  <c r="AR42" i="32"/>
  <c r="AS42" i="32"/>
  <c r="AT42" i="32"/>
  <c r="AU42" i="32"/>
  <c r="AV42" i="32"/>
  <c r="AW42" i="32"/>
  <c r="AX42" i="32"/>
  <c r="AY42" i="32"/>
  <c r="BB42" i="32"/>
  <c r="BC42" i="32"/>
  <c r="BD42" i="32"/>
  <c r="BE42" i="32"/>
  <c r="BF42" i="32"/>
  <c r="BG42" i="32"/>
  <c r="BH42" i="32"/>
  <c r="BI42" i="32"/>
  <c r="BJ42" i="32"/>
  <c r="BK42" i="32"/>
  <c r="BL42" i="32"/>
  <c r="BM42" i="32"/>
  <c r="BN42" i="32"/>
  <c r="BO42" i="32"/>
  <c r="D43" i="32"/>
  <c r="F43" i="32"/>
  <c r="G43" i="32"/>
  <c r="H43" i="32"/>
  <c r="I43" i="32"/>
  <c r="K43" i="32"/>
  <c r="L43" i="32"/>
  <c r="N43" i="32"/>
  <c r="O43" i="32"/>
  <c r="P43" i="32"/>
  <c r="Q43" i="32"/>
  <c r="S43" i="32"/>
  <c r="T43" i="32"/>
  <c r="V43" i="32"/>
  <c r="X43" i="32"/>
  <c r="Y43" i="32"/>
  <c r="Z43" i="32"/>
  <c r="AA43" i="32"/>
  <c r="AB43" i="32"/>
  <c r="AC43" i="32"/>
  <c r="AF43" i="32"/>
  <c r="AG43" i="32"/>
  <c r="AH43" i="32"/>
  <c r="AI43" i="32"/>
  <c r="AJ43" i="32"/>
  <c r="AL43" i="32"/>
  <c r="AM43" i="32"/>
  <c r="AN43" i="32"/>
  <c r="AO43" i="32"/>
  <c r="AP43" i="32"/>
  <c r="AQ43" i="32"/>
  <c r="AR43" i="32"/>
  <c r="AS43" i="32"/>
  <c r="AT43" i="32"/>
  <c r="AU43" i="32"/>
  <c r="AV43" i="32"/>
  <c r="AW43" i="32"/>
  <c r="AX43" i="32"/>
  <c r="AY43" i="32"/>
  <c r="BB43" i="32"/>
  <c r="BC43" i="32"/>
  <c r="BD43" i="32"/>
  <c r="BE43" i="32"/>
  <c r="BF43" i="32"/>
  <c r="BG43" i="32"/>
  <c r="BH43" i="32"/>
  <c r="BI43" i="32"/>
  <c r="BJ43" i="32"/>
  <c r="BK43" i="32"/>
  <c r="BL43" i="32"/>
  <c r="BM43" i="32"/>
  <c r="BN43" i="32"/>
  <c r="BO43" i="32"/>
  <c r="D44" i="32"/>
  <c r="F44" i="32"/>
  <c r="G44" i="32"/>
  <c r="H44" i="32"/>
  <c r="I44" i="32"/>
  <c r="K44" i="32"/>
  <c r="L44" i="32"/>
  <c r="N44" i="32"/>
  <c r="O44" i="32"/>
  <c r="P44" i="32"/>
  <c r="Q44" i="32"/>
  <c r="S44" i="32"/>
  <c r="T44" i="32"/>
  <c r="V44" i="32"/>
  <c r="X44" i="32"/>
  <c r="Y44" i="32"/>
  <c r="Z44" i="32"/>
  <c r="AA44" i="32"/>
  <c r="AB44" i="32"/>
  <c r="AC44" i="32"/>
  <c r="AF44" i="32"/>
  <c r="AG44" i="32"/>
  <c r="AH44" i="32"/>
  <c r="AI44" i="32"/>
  <c r="AJ44" i="32"/>
  <c r="AL44" i="32"/>
  <c r="AM44" i="32"/>
  <c r="AN44" i="32"/>
  <c r="AO44" i="32"/>
  <c r="AP44" i="32"/>
  <c r="AQ44" i="32"/>
  <c r="AR44" i="32"/>
  <c r="AS44" i="32"/>
  <c r="AT44" i="32"/>
  <c r="AU44" i="32"/>
  <c r="AV44" i="32"/>
  <c r="AW44" i="32"/>
  <c r="AX44" i="32"/>
  <c r="AY44" i="32"/>
  <c r="BB44" i="32"/>
  <c r="BC44" i="32"/>
  <c r="BD44" i="32"/>
  <c r="BE44" i="32"/>
  <c r="BF44" i="32"/>
  <c r="BG44" i="32"/>
  <c r="BH44" i="32"/>
  <c r="BI44" i="32"/>
  <c r="BJ44" i="32"/>
  <c r="BK44" i="32"/>
  <c r="BL44" i="32"/>
  <c r="BM44" i="32"/>
  <c r="BN44" i="32"/>
  <c r="BO44" i="32"/>
  <c r="D45" i="32"/>
  <c r="F45" i="32"/>
  <c r="G45" i="32"/>
  <c r="H45" i="32"/>
  <c r="I45" i="32"/>
  <c r="K45" i="32"/>
  <c r="L45" i="32"/>
  <c r="N45" i="32"/>
  <c r="O45" i="32"/>
  <c r="P45" i="32"/>
  <c r="Q45" i="32"/>
  <c r="S45" i="32"/>
  <c r="T45" i="32"/>
  <c r="V45" i="32"/>
  <c r="X45" i="32"/>
  <c r="Y45" i="32"/>
  <c r="Z45" i="32"/>
  <c r="AA45" i="32"/>
  <c r="AB45" i="32"/>
  <c r="AC45" i="32"/>
  <c r="AF45" i="32"/>
  <c r="AG45" i="32"/>
  <c r="AH45" i="32"/>
  <c r="AI45" i="32"/>
  <c r="AJ45" i="32"/>
  <c r="AL45" i="32"/>
  <c r="AM45" i="32"/>
  <c r="AN45" i="32"/>
  <c r="AO45" i="32"/>
  <c r="AP45" i="32"/>
  <c r="AQ45" i="32"/>
  <c r="AR45" i="32"/>
  <c r="AS45" i="32"/>
  <c r="AT45" i="32"/>
  <c r="AU45" i="32"/>
  <c r="AV45" i="32"/>
  <c r="AW45" i="32"/>
  <c r="AX45" i="32"/>
  <c r="AY45" i="32"/>
  <c r="BB45" i="32"/>
  <c r="BC45" i="32"/>
  <c r="BD45" i="32"/>
  <c r="BE45" i="32"/>
  <c r="BF45" i="32"/>
  <c r="BG45" i="32"/>
  <c r="BH45" i="32"/>
  <c r="BI45" i="32"/>
  <c r="BJ45" i="32"/>
  <c r="BK45" i="32"/>
  <c r="BL45" i="32"/>
  <c r="BM45" i="32"/>
  <c r="BN45" i="32"/>
  <c r="BO45" i="32"/>
  <c r="D46" i="32"/>
  <c r="F46" i="32"/>
  <c r="G46" i="32"/>
  <c r="H46" i="32"/>
  <c r="I46" i="32"/>
  <c r="K46" i="32"/>
  <c r="L46" i="32"/>
  <c r="N46" i="32"/>
  <c r="O46" i="32"/>
  <c r="P46" i="32"/>
  <c r="Q46" i="32"/>
  <c r="S46" i="32"/>
  <c r="T46" i="32"/>
  <c r="V46" i="32"/>
  <c r="X46" i="32"/>
  <c r="Y46" i="32"/>
  <c r="Z46" i="32"/>
  <c r="AA46" i="32"/>
  <c r="AB46" i="32"/>
  <c r="AC46" i="32"/>
  <c r="AF46" i="32"/>
  <c r="AG46" i="32"/>
  <c r="AH46" i="32"/>
  <c r="AI46" i="32"/>
  <c r="AJ46" i="32"/>
  <c r="AL46" i="32"/>
  <c r="AM46" i="32"/>
  <c r="AN46" i="32"/>
  <c r="AO46" i="32"/>
  <c r="AP46" i="32"/>
  <c r="AQ46" i="32"/>
  <c r="AR46" i="32"/>
  <c r="AS46" i="32"/>
  <c r="AT46" i="32"/>
  <c r="AU46" i="32"/>
  <c r="AV46" i="32"/>
  <c r="AW46" i="32"/>
  <c r="AX46" i="32"/>
  <c r="AY46" i="32"/>
  <c r="BB46" i="32"/>
  <c r="BC46" i="32"/>
  <c r="BD46" i="32"/>
  <c r="BE46" i="32"/>
  <c r="BF46" i="32"/>
  <c r="BG46" i="32"/>
  <c r="BH46" i="32"/>
  <c r="BI46" i="32"/>
  <c r="BJ46" i="32"/>
  <c r="BK46" i="32"/>
  <c r="BL46" i="32"/>
  <c r="BM46" i="32"/>
  <c r="BN46" i="32"/>
  <c r="BO46" i="32"/>
  <c r="D47" i="32"/>
  <c r="F47" i="32"/>
  <c r="G47" i="32"/>
  <c r="H47" i="32"/>
  <c r="I47" i="32"/>
  <c r="K47" i="32"/>
  <c r="L47" i="32"/>
  <c r="N47" i="32"/>
  <c r="O47" i="32"/>
  <c r="P47" i="32"/>
  <c r="Q47" i="32"/>
  <c r="S47" i="32"/>
  <c r="T47" i="32"/>
  <c r="V47" i="32"/>
  <c r="X47" i="32"/>
  <c r="Y47" i="32"/>
  <c r="Z47" i="32"/>
  <c r="AA47" i="32"/>
  <c r="AB47" i="32"/>
  <c r="AC47" i="32"/>
  <c r="AF47" i="32"/>
  <c r="AG47" i="32"/>
  <c r="AH47" i="32"/>
  <c r="AI47" i="32"/>
  <c r="AJ47" i="32"/>
  <c r="AL47" i="32"/>
  <c r="AM47" i="32"/>
  <c r="AN47" i="32"/>
  <c r="AO47" i="32"/>
  <c r="AP47" i="32"/>
  <c r="AQ47" i="32"/>
  <c r="AR47" i="32"/>
  <c r="AS47" i="32"/>
  <c r="AT47" i="32"/>
  <c r="AU47" i="32"/>
  <c r="AV47" i="32"/>
  <c r="AW47" i="32"/>
  <c r="AX47" i="32"/>
  <c r="AY47" i="32"/>
  <c r="BB47" i="32"/>
  <c r="BC47" i="32"/>
  <c r="BD47" i="32"/>
  <c r="BE47" i="32"/>
  <c r="BF47" i="32"/>
  <c r="BG47" i="32"/>
  <c r="BH47" i="32"/>
  <c r="BI47" i="32"/>
  <c r="BJ47" i="32"/>
  <c r="BK47" i="32"/>
  <c r="BL47" i="32"/>
  <c r="BM47" i="32"/>
  <c r="BN47" i="32"/>
  <c r="BO47" i="32"/>
  <c r="D48" i="32"/>
  <c r="F48" i="32"/>
  <c r="G48" i="32"/>
  <c r="H48" i="32"/>
  <c r="I48" i="32"/>
  <c r="K48" i="32"/>
  <c r="L48" i="32"/>
  <c r="N48" i="32"/>
  <c r="O48" i="32"/>
  <c r="P48" i="32"/>
  <c r="Q48" i="32"/>
  <c r="S48" i="32"/>
  <c r="T48" i="32"/>
  <c r="V48" i="32"/>
  <c r="X48" i="32"/>
  <c r="Y48" i="32"/>
  <c r="Z48" i="32"/>
  <c r="AA48" i="32"/>
  <c r="AB48" i="32"/>
  <c r="AC48" i="32"/>
  <c r="AF48" i="32"/>
  <c r="AG48" i="32"/>
  <c r="AH48" i="32"/>
  <c r="AI48" i="32"/>
  <c r="AJ48" i="32"/>
  <c r="AL48" i="32"/>
  <c r="AM48" i="32"/>
  <c r="AN48" i="32"/>
  <c r="AO48" i="32"/>
  <c r="AP48" i="32"/>
  <c r="AQ48" i="32"/>
  <c r="AR48" i="32"/>
  <c r="AS48" i="32"/>
  <c r="AT48" i="32"/>
  <c r="AU48" i="32"/>
  <c r="AV48" i="32"/>
  <c r="AW48" i="32"/>
  <c r="AX48" i="32"/>
  <c r="AY48" i="32"/>
  <c r="BB48" i="32"/>
  <c r="BC48" i="32"/>
  <c r="BD48" i="32"/>
  <c r="BE48" i="32"/>
  <c r="BF48" i="32"/>
  <c r="BG48" i="32"/>
  <c r="BH48" i="32"/>
  <c r="BI48" i="32"/>
  <c r="BJ48" i="32"/>
  <c r="BK48" i="32"/>
  <c r="BL48" i="32"/>
  <c r="BM48" i="32"/>
  <c r="BN48" i="32"/>
  <c r="BO48" i="32"/>
  <c r="D49" i="32"/>
  <c r="F49" i="32"/>
  <c r="G49" i="32"/>
  <c r="H49" i="32"/>
  <c r="I49" i="32"/>
  <c r="K49" i="32"/>
  <c r="L49" i="32"/>
  <c r="N49" i="32"/>
  <c r="O49" i="32"/>
  <c r="P49" i="32"/>
  <c r="Q49" i="32"/>
  <c r="S49" i="32"/>
  <c r="T49" i="32"/>
  <c r="V49" i="32"/>
  <c r="X49" i="32"/>
  <c r="Y49" i="32"/>
  <c r="Z49" i="32"/>
  <c r="AA49" i="32"/>
  <c r="AB49" i="32"/>
  <c r="AC49" i="32"/>
  <c r="AF49" i="32"/>
  <c r="AG49" i="32"/>
  <c r="AH49" i="32"/>
  <c r="AI49" i="32"/>
  <c r="AJ49" i="32"/>
  <c r="AL49" i="32"/>
  <c r="AM49" i="32"/>
  <c r="AN49" i="32"/>
  <c r="AO49" i="32"/>
  <c r="AP49" i="32"/>
  <c r="AQ49" i="32"/>
  <c r="AR49" i="32"/>
  <c r="AS49" i="32"/>
  <c r="AT49" i="32"/>
  <c r="AU49" i="32"/>
  <c r="AV49" i="32"/>
  <c r="AW49" i="32"/>
  <c r="AX49" i="32"/>
  <c r="AY49" i="32"/>
  <c r="BB49" i="32"/>
  <c r="BC49" i="32"/>
  <c r="BD49" i="32"/>
  <c r="BE49" i="32"/>
  <c r="BF49" i="32"/>
  <c r="BG49" i="32"/>
  <c r="BH49" i="32"/>
  <c r="BI49" i="32"/>
  <c r="BJ49" i="32"/>
  <c r="BK49" i="32"/>
  <c r="BL49" i="32"/>
  <c r="BM49" i="32"/>
  <c r="BN49" i="32"/>
  <c r="BO49" i="32"/>
  <c r="D50" i="32"/>
  <c r="F50" i="32"/>
  <c r="G50" i="32"/>
  <c r="H50" i="32"/>
  <c r="I50" i="32"/>
  <c r="K50" i="32"/>
  <c r="L50" i="32"/>
  <c r="N50" i="32"/>
  <c r="O50" i="32"/>
  <c r="P50" i="32"/>
  <c r="Q50" i="32"/>
  <c r="S50" i="32"/>
  <c r="T50" i="32"/>
  <c r="V50" i="32"/>
  <c r="X50" i="32"/>
  <c r="Y50" i="32"/>
  <c r="Z50" i="32"/>
  <c r="AA50" i="32"/>
  <c r="AB50" i="32"/>
  <c r="AC50" i="32"/>
  <c r="AF50" i="32"/>
  <c r="AG50" i="32"/>
  <c r="AH50" i="32"/>
  <c r="AI50" i="32"/>
  <c r="AJ50" i="32"/>
  <c r="AL50" i="32"/>
  <c r="AM50" i="32"/>
  <c r="AN50" i="32"/>
  <c r="AO50" i="32"/>
  <c r="AP50" i="32"/>
  <c r="AQ50" i="32"/>
  <c r="AR50" i="32"/>
  <c r="AS50" i="32"/>
  <c r="AT50" i="32"/>
  <c r="AU50" i="32"/>
  <c r="AV50" i="32"/>
  <c r="AW50" i="32"/>
  <c r="AX50" i="32"/>
  <c r="AY50" i="32"/>
  <c r="BB50" i="32"/>
  <c r="BC50" i="32"/>
  <c r="BD50" i="32"/>
  <c r="BE50" i="32"/>
  <c r="BF50" i="32"/>
  <c r="BG50" i="32"/>
  <c r="BH50" i="32"/>
  <c r="BI50" i="32"/>
  <c r="BJ50" i="32"/>
  <c r="BK50" i="32"/>
  <c r="BL50" i="32"/>
  <c r="BM50" i="32"/>
  <c r="BN50" i="32"/>
  <c r="BO50" i="32"/>
  <c r="D51" i="32"/>
  <c r="F51" i="32"/>
  <c r="G51" i="32"/>
  <c r="H51" i="32"/>
  <c r="I51" i="32"/>
  <c r="K51" i="32"/>
  <c r="L51" i="32"/>
  <c r="N51" i="32"/>
  <c r="O51" i="32"/>
  <c r="P51" i="32"/>
  <c r="Q51" i="32"/>
  <c r="S51" i="32"/>
  <c r="T51" i="32"/>
  <c r="V51" i="32"/>
  <c r="X51" i="32"/>
  <c r="Y51" i="32"/>
  <c r="Z51" i="32"/>
  <c r="AA51" i="32"/>
  <c r="AB51" i="32"/>
  <c r="AC51" i="32"/>
  <c r="AF51" i="32"/>
  <c r="AG51" i="32"/>
  <c r="AH51" i="32"/>
  <c r="AI51" i="32"/>
  <c r="AJ51" i="32"/>
  <c r="AL51" i="32"/>
  <c r="AM51" i="32"/>
  <c r="AN51" i="32"/>
  <c r="AO51" i="32"/>
  <c r="AP51" i="32"/>
  <c r="AQ51" i="32"/>
  <c r="AR51" i="32"/>
  <c r="AS51" i="32"/>
  <c r="AT51" i="32"/>
  <c r="AU51" i="32"/>
  <c r="AV51" i="32"/>
  <c r="AW51" i="32"/>
  <c r="AX51" i="32"/>
  <c r="AY51" i="32"/>
  <c r="BB51" i="32"/>
  <c r="BC51" i="32"/>
  <c r="BD51" i="32"/>
  <c r="BE51" i="32"/>
  <c r="BF51" i="32"/>
  <c r="BG51" i="32"/>
  <c r="BH51" i="32"/>
  <c r="BI51" i="32"/>
  <c r="BJ51" i="32"/>
  <c r="BK51" i="32"/>
  <c r="BL51" i="32"/>
  <c r="BM51" i="32"/>
  <c r="BN51" i="32"/>
  <c r="BO51" i="32"/>
  <c r="D52" i="32"/>
  <c r="F52" i="32"/>
  <c r="G52" i="32"/>
  <c r="H52" i="32"/>
  <c r="I52" i="32"/>
  <c r="K52" i="32"/>
  <c r="L52" i="32"/>
  <c r="N52" i="32"/>
  <c r="O52" i="32"/>
  <c r="P52" i="32"/>
  <c r="Q52" i="32"/>
  <c r="S52" i="32"/>
  <c r="T52" i="32"/>
  <c r="V52" i="32"/>
  <c r="X52" i="32"/>
  <c r="Y52" i="32"/>
  <c r="Z52" i="32"/>
  <c r="AA52" i="32"/>
  <c r="AB52" i="32"/>
  <c r="AC52" i="32"/>
  <c r="AF52" i="32"/>
  <c r="AG52" i="32"/>
  <c r="AH52" i="32"/>
  <c r="AI52" i="32"/>
  <c r="AJ52" i="32"/>
  <c r="AL52" i="32"/>
  <c r="AM52" i="32"/>
  <c r="AN52" i="32"/>
  <c r="AO52" i="32"/>
  <c r="AP52" i="32"/>
  <c r="AQ52" i="32"/>
  <c r="AR52" i="32"/>
  <c r="AS52" i="32"/>
  <c r="AT52" i="32"/>
  <c r="AU52" i="32"/>
  <c r="AV52" i="32"/>
  <c r="AW52" i="32"/>
  <c r="AX52" i="32"/>
  <c r="AY52" i="32"/>
  <c r="BB52" i="32"/>
  <c r="BC52" i="32"/>
  <c r="BD52" i="32"/>
  <c r="BE52" i="32"/>
  <c r="BF52" i="32"/>
  <c r="BG52" i="32"/>
  <c r="BH52" i="32"/>
  <c r="BI52" i="32"/>
  <c r="BJ52" i="32"/>
  <c r="BK52" i="32"/>
  <c r="BL52" i="32"/>
  <c r="BM52" i="32"/>
  <c r="BN52" i="32"/>
  <c r="BO52" i="32"/>
  <c r="D53" i="32"/>
  <c r="F53" i="32"/>
  <c r="G53" i="32"/>
  <c r="H53" i="32"/>
  <c r="I53" i="32"/>
  <c r="K53" i="32"/>
  <c r="L53" i="32"/>
  <c r="N53" i="32"/>
  <c r="O53" i="32"/>
  <c r="P53" i="32"/>
  <c r="Q53" i="32"/>
  <c r="S53" i="32"/>
  <c r="T53" i="32"/>
  <c r="V53" i="32"/>
  <c r="X53" i="32"/>
  <c r="Y53" i="32"/>
  <c r="Z53" i="32"/>
  <c r="AA53" i="32"/>
  <c r="AB53" i="32"/>
  <c r="AC53" i="32"/>
  <c r="AF53" i="32"/>
  <c r="AG53" i="32"/>
  <c r="AH53" i="32"/>
  <c r="AI53" i="32"/>
  <c r="AJ53" i="32"/>
  <c r="AL53" i="32"/>
  <c r="AM53" i="32"/>
  <c r="AN53" i="32"/>
  <c r="AO53" i="32"/>
  <c r="AP53" i="32"/>
  <c r="AQ53" i="32"/>
  <c r="AR53" i="32"/>
  <c r="AS53" i="32"/>
  <c r="AT53" i="32"/>
  <c r="AU53" i="32"/>
  <c r="AV53" i="32"/>
  <c r="AW53" i="32"/>
  <c r="AX53" i="32"/>
  <c r="AY53" i="32"/>
  <c r="BB53" i="32"/>
  <c r="BC53" i="32"/>
  <c r="BD53" i="32"/>
  <c r="BE53" i="32"/>
  <c r="BF53" i="32"/>
  <c r="BG53" i="32"/>
  <c r="BH53" i="32"/>
  <c r="BI53" i="32"/>
  <c r="BJ53" i="32"/>
  <c r="BK53" i="32"/>
  <c r="BL53" i="32"/>
  <c r="BM53" i="32"/>
  <c r="BN53" i="32"/>
  <c r="BO53" i="32"/>
  <c r="D54" i="32"/>
  <c r="F54" i="32"/>
  <c r="G54" i="32"/>
  <c r="H54" i="32"/>
  <c r="I54" i="32"/>
  <c r="K54" i="32"/>
  <c r="L54" i="32"/>
  <c r="N54" i="32"/>
  <c r="O54" i="32"/>
  <c r="P54" i="32"/>
  <c r="Q54" i="32"/>
  <c r="S54" i="32"/>
  <c r="T54" i="32"/>
  <c r="V54" i="32"/>
  <c r="X54" i="32"/>
  <c r="Y54" i="32"/>
  <c r="Z54" i="32"/>
  <c r="AA54" i="32"/>
  <c r="AB54" i="32"/>
  <c r="AC54" i="32"/>
  <c r="AF54" i="32"/>
  <c r="AG54" i="32"/>
  <c r="AH54" i="32"/>
  <c r="AI54" i="32"/>
  <c r="AJ54" i="32"/>
  <c r="AL54" i="32"/>
  <c r="AM54" i="32"/>
  <c r="AN54" i="32"/>
  <c r="AO54" i="32"/>
  <c r="AP54" i="32"/>
  <c r="AQ54" i="32"/>
  <c r="AR54" i="32"/>
  <c r="AS54" i="32"/>
  <c r="AT54" i="32"/>
  <c r="AU54" i="32"/>
  <c r="AV54" i="32"/>
  <c r="AW54" i="32"/>
  <c r="AX54" i="32"/>
  <c r="AY54" i="32"/>
  <c r="BB54" i="32"/>
  <c r="BC54" i="32"/>
  <c r="BD54" i="32"/>
  <c r="BE54" i="32"/>
  <c r="BF54" i="32"/>
  <c r="BG54" i="32"/>
  <c r="BH54" i="32"/>
  <c r="BI54" i="32"/>
  <c r="BJ54" i="32"/>
  <c r="BK54" i="32"/>
  <c r="BL54" i="32"/>
  <c r="BM54" i="32"/>
  <c r="BN54" i="32"/>
  <c r="BO54" i="32"/>
  <c r="D55" i="32"/>
  <c r="F55" i="32"/>
  <c r="G55" i="32"/>
  <c r="H55" i="32"/>
  <c r="I55" i="32"/>
  <c r="K55" i="32"/>
  <c r="L55" i="32"/>
  <c r="N55" i="32"/>
  <c r="O55" i="32"/>
  <c r="P55" i="32"/>
  <c r="Q55" i="32"/>
  <c r="S55" i="32"/>
  <c r="T55" i="32"/>
  <c r="V55" i="32"/>
  <c r="X55" i="32"/>
  <c r="Y55" i="32"/>
  <c r="Z55" i="32"/>
  <c r="AA55" i="32"/>
  <c r="AB55" i="32"/>
  <c r="AC55" i="32"/>
  <c r="AF55" i="32"/>
  <c r="AG55" i="32"/>
  <c r="AH55" i="32"/>
  <c r="AI55" i="32"/>
  <c r="AJ55" i="32"/>
  <c r="AL55" i="32"/>
  <c r="AM55" i="32"/>
  <c r="AN55" i="32"/>
  <c r="AO55" i="32"/>
  <c r="AP55" i="32"/>
  <c r="AQ55" i="32"/>
  <c r="AR55" i="32"/>
  <c r="AS55" i="32"/>
  <c r="AT55" i="32"/>
  <c r="AU55" i="32"/>
  <c r="AV55" i="32"/>
  <c r="AW55" i="32"/>
  <c r="AX55" i="32"/>
  <c r="AY55" i="32"/>
  <c r="BB55" i="32"/>
  <c r="BC55" i="32"/>
  <c r="BD55" i="32"/>
  <c r="BE55" i="32"/>
  <c r="BF55" i="32"/>
  <c r="BG55" i="32"/>
  <c r="BH55" i="32"/>
  <c r="BI55" i="32"/>
  <c r="BJ55" i="32"/>
  <c r="BK55" i="32"/>
  <c r="BL55" i="32"/>
  <c r="BM55" i="32"/>
  <c r="BN55" i="32"/>
  <c r="BO55" i="32"/>
  <c r="D56" i="32"/>
  <c r="F56" i="32"/>
  <c r="G56" i="32"/>
  <c r="H56" i="32"/>
  <c r="I56" i="32"/>
  <c r="K56" i="32"/>
  <c r="L56" i="32"/>
  <c r="N56" i="32"/>
  <c r="O56" i="32"/>
  <c r="P56" i="32"/>
  <c r="Q56" i="32"/>
  <c r="S56" i="32"/>
  <c r="T56" i="32"/>
  <c r="V56" i="32"/>
  <c r="X56" i="32"/>
  <c r="Y56" i="32"/>
  <c r="Z56" i="32"/>
  <c r="AA56" i="32"/>
  <c r="AB56" i="32"/>
  <c r="AC56" i="32"/>
  <c r="AF56" i="32"/>
  <c r="AG56" i="32"/>
  <c r="AH56" i="32"/>
  <c r="AI56" i="32"/>
  <c r="AJ56" i="32"/>
  <c r="AL56" i="32"/>
  <c r="AM56" i="32"/>
  <c r="AN56" i="32"/>
  <c r="AO56" i="32"/>
  <c r="AP56" i="32"/>
  <c r="AQ56" i="32"/>
  <c r="AR56" i="32"/>
  <c r="AS56" i="32"/>
  <c r="AT56" i="32"/>
  <c r="AU56" i="32"/>
  <c r="AV56" i="32"/>
  <c r="AW56" i="32"/>
  <c r="AX56" i="32"/>
  <c r="AY56" i="32"/>
  <c r="BB56" i="32"/>
  <c r="BC56" i="32"/>
  <c r="BD56" i="32"/>
  <c r="BE56" i="32"/>
  <c r="BF56" i="32"/>
  <c r="BG56" i="32"/>
  <c r="BH56" i="32"/>
  <c r="BI56" i="32"/>
  <c r="BJ56" i="32"/>
  <c r="BK56" i="32"/>
  <c r="BL56" i="32"/>
  <c r="BM56" i="32"/>
  <c r="BN56" i="32"/>
  <c r="BO56" i="32"/>
  <c r="D57" i="32"/>
  <c r="F57" i="32"/>
  <c r="G57" i="32"/>
  <c r="H57" i="32"/>
  <c r="I57" i="32"/>
  <c r="K57" i="32"/>
  <c r="L57" i="32"/>
  <c r="N57" i="32"/>
  <c r="O57" i="32"/>
  <c r="P57" i="32"/>
  <c r="Q57" i="32"/>
  <c r="S57" i="32"/>
  <c r="T57" i="32"/>
  <c r="V57" i="32"/>
  <c r="X57" i="32"/>
  <c r="Y57" i="32"/>
  <c r="Z57" i="32"/>
  <c r="AA57" i="32"/>
  <c r="AB57" i="32"/>
  <c r="AC57" i="32"/>
  <c r="AF57" i="32"/>
  <c r="AG57" i="32"/>
  <c r="AH57" i="32"/>
  <c r="AI57" i="32"/>
  <c r="AJ57" i="32"/>
  <c r="AL57" i="32"/>
  <c r="AM57" i="32"/>
  <c r="AN57" i="32"/>
  <c r="AO57" i="32"/>
  <c r="AP57" i="32"/>
  <c r="AQ57" i="32"/>
  <c r="AR57" i="32"/>
  <c r="AS57" i="32"/>
  <c r="AT57" i="32"/>
  <c r="AU57" i="32"/>
  <c r="AV57" i="32"/>
  <c r="AW57" i="32"/>
  <c r="AX57" i="32"/>
  <c r="AY57" i="32"/>
  <c r="BB57" i="32"/>
  <c r="BC57" i="32"/>
  <c r="BD57" i="32"/>
  <c r="BE57" i="32"/>
  <c r="BF57" i="32"/>
  <c r="BG57" i="32"/>
  <c r="BH57" i="32"/>
  <c r="BI57" i="32"/>
  <c r="BJ57" i="32"/>
  <c r="BK57" i="32"/>
  <c r="BL57" i="32"/>
  <c r="BM57" i="32"/>
  <c r="BN57" i="32"/>
  <c r="BO57" i="32"/>
  <c r="D58" i="32"/>
  <c r="F58" i="32"/>
  <c r="G58" i="32"/>
  <c r="H58" i="32"/>
  <c r="I58" i="32"/>
  <c r="K58" i="32"/>
  <c r="L58" i="32"/>
  <c r="N58" i="32"/>
  <c r="O58" i="32"/>
  <c r="P58" i="32"/>
  <c r="Q58" i="32"/>
  <c r="S58" i="32"/>
  <c r="T58" i="32"/>
  <c r="V58" i="32"/>
  <c r="X58" i="32"/>
  <c r="Y58" i="32"/>
  <c r="Z58" i="32"/>
  <c r="AA58" i="32"/>
  <c r="AB58" i="32"/>
  <c r="AC58" i="32"/>
  <c r="AF58" i="32"/>
  <c r="AG58" i="32"/>
  <c r="AH58" i="32"/>
  <c r="AI58" i="32"/>
  <c r="AJ58" i="32"/>
  <c r="AL58" i="32"/>
  <c r="AM58" i="32"/>
  <c r="AN58" i="32"/>
  <c r="AO58" i="32"/>
  <c r="AP58" i="32"/>
  <c r="AQ58" i="32"/>
  <c r="AR58" i="32"/>
  <c r="AS58" i="32"/>
  <c r="AT58" i="32"/>
  <c r="AU58" i="32"/>
  <c r="AV58" i="32"/>
  <c r="AW58" i="32"/>
  <c r="AX58" i="32"/>
  <c r="AY58" i="32"/>
  <c r="BB58" i="32"/>
  <c r="BC58" i="32"/>
  <c r="BD58" i="32"/>
  <c r="BE58" i="32"/>
  <c r="BF58" i="32"/>
  <c r="BG58" i="32"/>
  <c r="BH58" i="32"/>
  <c r="BI58" i="32"/>
  <c r="BJ58" i="32"/>
  <c r="BK58" i="32"/>
  <c r="BL58" i="32"/>
  <c r="BM58" i="32"/>
  <c r="BN58" i="32"/>
  <c r="BO58" i="32"/>
  <c r="D59" i="32"/>
  <c r="F59" i="32"/>
  <c r="G59" i="32"/>
  <c r="H59" i="32"/>
  <c r="I59" i="32"/>
  <c r="K59" i="32"/>
  <c r="L59" i="32"/>
  <c r="N59" i="32"/>
  <c r="O59" i="32"/>
  <c r="P59" i="32"/>
  <c r="Q59" i="32"/>
  <c r="S59" i="32"/>
  <c r="T59" i="32"/>
  <c r="V59" i="32"/>
  <c r="X59" i="32"/>
  <c r="Y59" i="32"/>
  <c r="Z59" i="32"/>
  <c r="AA59" i="32"/>
  <c r="AB59" i="32"/>
  <c r="AC59" i="32"/>
  <c r="AF59" i="32"/>
  <c r="AG59" i="32"/>
  <c r="AH59" i="32"/>
  <c r="AI59" i="32"/>
  <c r="AJ59" i="32"/>
  <c r="AL59" i="32"/>
  <c r="AM59" i="32"/>
  <c r="AN59" i="32"/>
  <c r="AO59" i="32"/>
  <c r="AP59" i="32"/>
  <c r="AQ59" i="32"/>
  <c r="AR59" i="32"/>
  <c r="AS59" i="32"/>
  <c r="AT59" i="32"/>
  <c r="AU59" i="32"/>
  <c r="AV59" i="32"/>
  <c r="AW59" i="32"/>
  <c r="AX59" i="32"/>
  <c r="AY59" i="32"/>
  <c r="BB59" i="32"/>
  <c r="BC59" i="32"/>
  <c r="BD59" i="32"/>
  <c r="BE59" i="32"/>
  <c r="BF59" i="32"/>
  <c r="BG59" i="32"/>
  <c r="BH59" i="32"/>
  <c r="BI59" i="32"/>
  <c r="BJ59" i="32"/>
  <c r="BK59" i="32"/>
  <c r="BL59" i="32"/>
  <c r="BM59" i="32"/>
  <c r="BN59" i="32"/>
  <c r="BO59" i="32"/>
  <c r="D60" i="32"/>
  <c r="F60" i="32"/>
  <c r="G60" i="32"/>
  <c r="H60" i="32"/>
  <c r="I60" i="32"/>
  <c r="K60" i="32"/>
  <c r="L60" i="32"/>
  <c r="N60" i="32"/>
  <c r="O60" i="32"/>
  <c r="P60" i="32"/>
  <c r="Q60" i="32"/>
  <c r="S60" i="32"/>
  <c r="T60" i="32"/>
  <c r="V60" i="32"/>
  <c r="X60" i="32"/>
  <c r="Y60" i="32"/>
  <c r="Z60" i="32"/>
  <c r="AA60" i="32"/>
  <c r="AB60" i="32"/>
  <c r="AC60" i="32"/>
  <c r="AF60" i="32"/>
  <c r="AG60" i="32"/>
  <c r="AH60" i="32"/>
  <c r="AI60" i="32"/>
  <c r="AJ60" i="32"/>
  <c r="AL60" i="32"/>
  <c r="AM60" i="32"/>
  <c r="AN60" i="32"/>
  <c r="AO60" i="32"/>
  <c r="AP60" i="32"/>
  <c r="AQ60" i="32"/>
  <c r="AR60" i="32"/>
  <c r="AS60" i="32"/>
  <c r="AT60" i="32"/>
  <c r="AU60" i="32"/>
  <c r="AV60" i="32"/>
  <c r="AW60" i="32"/>
  <c r="AX60" i="32"/>
  <c r="AY60" i="32"/>
  <c r="BB60" i="32"/>
  <c r="BC60" i="32"/>
  <c r="BD60" i="32"/>
  <c r="BE60" i="32"/>
  <c r="BF60" i="32"/>
  <c r="BG60" i="32"/>
  <c r="BH60" i="32"/>
  <c r="BI60" i="32"/>
  <c r="BJ60" i="32"/>
  <c r="BK60" i="32"/>
  <c r="BL60" i="32"/>
  <c r="BM60" i="32"/>
  <c r="BN60" i="32"/>
  <c r="BO60" i="32"/>
  <c r="D61" i="32"/>
  <c r="F61" i="32"/>
  <c r="G61" i="32"/>
  <c r="H61" i="32"/>
  <c r="I61" i="32"/>
  <c r="K61" i="32"/>
  <c r="L61" i="32"/>
  <c r="N61" i="32"/>
  <c r="O61" i="32"/>
  <c r="P61" i="32"/>
  <c r="Q61" i="32"/>
  <c r="S61" i="32"/>
  <c r="T61" i="32"/>
  <c r="V61" i="32"/>
  <c r="X61" i="32"/>
  <c r="Y61" i="32"/>
  <c r="Z61" i="32"/>
  <c r="AA61" i="32"/>
  <c r="AB61" i="32"/>
  <c r="AC61" i="32"/>
  <c r="AF61" i="32"/>
  <c r="AG61" i="32"/>
  <c r="AH61" i="32"/>
  <c r="AI61" i="32"/>
  <c r="AJ61" i="32"/>
  <c r="AL61" i="32"/>
  <c r="AM61" i="32"/>
  <c r="AN61" i="32"/>
  <c r="AO61" i="32"/>
  <c r="AP61" i="32"/>
  <c r="AQ61" i="32"/>
  <c r="AR61" i="32"/>
  <c r="AS61" i="32"/>
  <c r="AT61" i="32"/>
  <c r="AU61" i="32"/>
  <c r="AV61" i="32"/>
  <c r="AW61" i="32"/>
  <c r="AX61" i="32"/>
  <c r="AY61" i="32"/>
  <c r="BB61" i="32"/>
  <c r="BC61" i="32"/>
  <c r="BD61" i="32"/>
  <c r="BE61" i="32"/>
  <c r="BF61" i="32"/>
  <c r="BG61" i="32"/>
  <c r="BH61" i="32"/>
  <c r="BI61" i="32"/>
  <c r="BJ61" i="32"/>
  <c r="BK61" i="32"/>
  <c r="BL61" i="32"/>
  <c r="BM61" i="32"/>
  <c r="BN61" i="32"/>
  <c r="BO61" i="32"/>
  <c r="D62" i="32"/>
  <c r="F62" i="32"/>
  <c r="G62" i="32"/>
  <c r="H62" i="32"/>
  <c r="I62" i="32"/>
  <c r="K62" i="32"/>
  <c r="L62" i="32"/>
  <c r="N62" i="32"/>
  <c r="O62" i="32"/>
  <c r="P62" i="32"/>
  <c r="Q62" i="32"/>
  <c r="S62" i="32"/>
  <c r="T62" i="32"/>
  <c r="V62" i="32"/>
  <c r="X62" i="32"/>
  <c r="Y62" i="32"/>
  <c r="Z62" i="32"/>
  <c r="AA62" i="32"/>
  <c r="AB62" i="32"/>
  <c r="AC62" i="32"/>
  <c r="AF62" i="32"/>
  <c r="AG62" i="32"/>
  <c r="AH62" i="32"/>
  <c r="AI62" i="32"/>
  <c r="AJ62" i="32"/>
  <c r="AL62" i="32"/>
  <c r="AM62" i="32"/>
  <c r="AN62" i="32"/>
  <c r="AO62" i="32"/>
  <c r="AP62" i="32"/>
  <c r="AQ62" i="32"/>
  <c r="AR62" i="32"/>
  <c r="AS62" i="32"/>
  <c r="AT62" i="32"/>
  <c r="AU62" i="32"/>
  <c r="AV62" i="32"/>
  <c r="AW62" i="32"/>
  <c r="AX62" i="32"/>
  <c r="AY62" i="32"/>
  <c r="BB62" i="32"/>
  <c r="BC62" i="32"/>
  <c r="BD62" i="32"/>
  <c r="BE62" i="32"/>
  <c r="BF62" i="32"/>
  <c r="BG62" i="32"/>
  <c r="BH62" i="32"/>
  <c r="BI62" i="32"/>
  <c r="BJ62" i="32"/>
  <c r="BK62" i="32"/>
  <c r="BL62" i="32"/>
  <c r="BM62" i="32"/>
  <c r="BN62" i="32"/>
  <c r="BO62" i="32"/>
  <c r="D63" i="32"/>
  <c r="F63" i="32"/>
  <c r="G63" i="32"/>
  <c r="H63" i="32"/>
  <c r="I63" i="32"/>
  <c r="K63" i="32"/>
  <c r="L63" i="32"/>
  <c r="N63" i="32"/>
  <c r="O63" i="32"/>
  <c r="P63" i="32"/>
  <c r="Q63" i="32"/>
  <c r="S63" i="32"/>
  <c r="T63" i="32"/>
  <c r="V63" i="32"/>
  <c r="X63" i="32"/>
  <c r="Y63" i="32"/>
  <c r="Z63" i="32"/>
  <c r="AA63" i="32"/>
  <c r="AB63" i="32"/>
  <c r="AC63" i="32"/>
  <c r="AF63" i="32"/>
  <c r="AG63" i="32"/>
  <c r="AH63" i="32"/>
  <c r="AI63" i="32"/>
  <c r="AJ63" i="32"/>
  <c r="AL63" i="32"/>
  <c r="AM63" i="32"/>
  <c r="AN63" i="32"/>
  <c r="AO63" i="32"/>
  <c r="AP63" i="32"/>
  <c r="AQ63" i="32"/>
  <c r="AR63" i="32"/>
  <c r="AS63" i="32"/>
  <c r="AT63" i="32"/>
  <c r="AU63" i="32"/>
  <c r="AV63" i="32"/>
  <c r="AW63" i="32"/>
  <c r="AX63" i="32"/>
  <c r="AY63" i="32"/>
  <c r="BB63" i="32"/>
  <c r="BC63" i="32"/>
  <c r="BD63" i="32"/>
  <c r="BE63" i="32"/>
  <c r="BF63" i="32"/>
  <c r="BG63" i="32"/>
  <c r="BH63" i="32"/>
  <c r="BI63" i="32"/>
  <c r="BJ63" i="32"/>
  <c r="BK63" i="32"/>
  <c r="BL63" i="32"/>
  <c r="BM63" i="32"/>
  <c r="BN63" i="32"/>
  <c r="BO63" i="32"/>
  <c r="D64" i="32"/>
  <c r="F64" i="32"/>
  <c r="G64" i="32"/>
  <c r="H64" i="32"/>
  <c r="I64" i="32"/>
  <c r="K64" i="32"/>
  <c r="L64" i="32"/>
  <c r="N64" i="32"/>
  <c r="O64" i="32"/>
  <c r="P64" i="32"/>
  <c r="Q64" i="32"/>
  <c r="S64" i="32"/>
  <c r="T64" i="32"/>
  <c r="V64" i="32"/>
  <c r="X64" i="32"/>
  <c r="Y64" i="32"/>
  <c r="Z64" i="32"/>
  <c r="AA64" i="32"/>
  <c r="AB64" i="32"/>
  <c r="AC64" i="32"/>
  <c r="AF64" i="32"/>
  <c r="AG64" i="32"/>
  <c r="AH64" i="32"/>
  <c r="AI64" i="32"/>
  <c r="AJ64" i="32"/>
  <c r="AL64" i="32"/>
  <c r="AM64" i="32"/>
  <c r="AN64" i="32"/>
  <c r="AO64" i="32"/>
  <c r="AP64" i="32"/>
  <c r="AQ64" i="32"/>
  <c r="AR64" i="32"/>
  <c r="AS64" i="32"/>
  <c r="AT64" i="32"/>
  <c r="AU64" i="32"/>
  <c r="AV64" i="32"/>
  <c r="AW64" i="32"/>
  <c r="AX64" i="32"/>
  <c r="AY64" i="32"/>
  <c r="BB64" i="32"/>
  <c r="BC64" i="32"/>
  <c r="BD64" i="32"/>
  <c r="BE64" i="32"/>
  <c r="BF64" i="32"/>
  <c r="BG64" i="32"/>
  <c r="BH64" i="32"/>
  <c r="BI64" i="32"/>
  <c r="BJ64" i="32"/>
  <c r="BK64" i="32"/>
  <c r="BL64" i="32"/>
  <c r="BM64" i="32"/>
  <c r="BN64" i="32"/>
  <c r="BO64" i="32"/>
  <c r="D65" i="32"/>
  <c r="F65" i="32"/>
  <c r="G65" i="32"/>
  <c r="H65" i="32"/>
  <c r="I65" i="32"/>
  <c r="K65" i="32"/>
  <c r="L65" i="32"/>
  <c r="N65" i="32"/>
  <c r="O65" i="32"/>
  <c r="P65" i="32"/>
  <c r="Q65" i="32"/>
  <c r="S65" i="32"/>
  <c r="T65" i="32"/>
  <c r="V65" i="32"/>
  <c r="X65" i="32"/>
  <c r="Y65" i="32"/>
  <c r="Z65" i="32"/>
  <c r="AA65" i="32"/>
  <c r="AB65" i="32"/>
  <c r="AC65" i="32"/>
  <c r="AF65" i="32"/>
  <c r="AG65" i="32"/>
  <c r="AH65" i="32"/>
  <c r="AI65" i="32"/>
  <c r="AJ65" i="32"/>
  <c r="AL65" i="32"/>
  <c r="AM65" i="32"/>
  <c r="AN65" i="32"/>
  <c r="AO65" i="32"/>
  <c r="AP65" i="32"/>
  <c r="AQ65" i="32"/>
  <c r="AR65" i="32"/>
  <c r="AS65" i="32"/>
  <c r="AT65" i="32"/>
  <c r="AU65" i="32"/>
  <c r="AV65" i="32"/>
  <c r="AW65" i="32"/>
  <c r="AX65" i="32"/>
  <c r="AY65" i="32"/>
  <c r="BB65" i="32"/>
  <c r="BC65" i="32"/>
  <c r="BD65" i="32"/>
  <c r="BE65" i="32"/>
  <c r="BF65" i="32"/>
  <c r="BG65" i="32"/>
  <c r="BH65" i="32"/>
  <c r="BI65" i="32"/>
  <c r="BJ65" i="32"/>
  <c r="BK65" i="32"/>
  <c r="BL65" i="32"/>
  <c r="BM65" i="32"/>
  <c r="BN65" i="32"/>
  <c r="BO65" i="32"/>
  <c r="D66" i="32"/>
  <c r="F66" i="32"/>
  <c r="G66" i="32"/>
  <c r="H66" i="32"/>
  <c r="I66" i="32"/>
  <c r="K66" i="32"/>
  <c r="L66" i="32"/>
  <c r="N66" i="32"/>
  <c r="O66" i="32"/>
  <c r="P66" i="32"/>
  <c r="Q66" i="32"/>
  <c r="S66" i="32"/>
  <c r="T66" i="32"/>
  <c r="V66" i="32"/>
  <c r="X66" i="32"/>
  <c r="Y66" i="32"/>
  <c r="Z66" i="32"/>
  <c r="AA66" i="32"/>
  <c r="AB66" i="32"/>
  <c r="AC66" i="32"/>
  <c r="AF66" i="32"/>
  <c r="AG66" i="32"/>
  <c r="AH66" i="32"/>
  <c r="AI66" i="32"/>
  <c r="AJ66" i="32"/>
  <c r="AL66" i="32"/>
  <c r="AM66" i="32"/>
  <c r="AN66" i="32"/>
  <c r="AO66" i="32"/>
  <c r="AP66" i="32"/>
  <c r="AQ66" i="32"/>
  <c r="AR66" i="32"/>
  <c r="AS66" i="32"/>
  <c r="AT66" i="32"/>
  <c r="AU66" i="32"/>
  <c r="AV66" i="32"/>
  <c r="AW66" i="32"/>
  <c r="AX66" i="32"/>
  <c r="AY66" i="32"/>
  <c r="BB66" i="32"/>
  <c r="BC66" i="32"/>
  <c r="BD66" i="32"/>
  <c r="BE66" i="32"/>
  <c r="BF66" i="32"/>
  <c r="BG66" i="32"/>
  <c r="BH66" i="32"/>
  <c r="BI66" i="32"/>
  <c r="BJ66" i="32"/>
  <c r="BK66" i="32"/>
  <c r="BL66" i="32"/>
  <c r="BM66" i="32"/>
  <c r="BN66" i="32"/>
  <c r="BO66" i="32"/>
  <c r="D67" i="32"/>
  <c r="F67" i="32"/>
  <c r="G67" i="32"/>
  <c r="H67" i="32"/>
  <c r="I67" i="32"/>
  <c r="K67" i="32"/>
  <c r="L67" i="32"/>
  <c r="N67" i="32"/>
  <c r="O67" i="32"/>
  <c r="P67" i="32"/>
  <c r="Q67" i="32"/>
  <c r="S67" i="32"/>
  <c r="T67" i="32"/>
  <c r="V67" i="32"/>
  <c r="X67" i="32"/>
  <c r="Y67" i="32"/>
  <c r="Z67" i="32"/>
  <c r="AA67" i="32"/>
  <c r="AB67" i="32"/>
  <c r="AC67" i="32"/>
  <c r="AF67" i="32"/>
  <c r="AG67" i="32"/>
  <c r="AH67" i="32"/>
  <c r="AI67" i="32"/>
  <c r="AJ67" i="32"/>
  <c r="AL67" i="32"/>
  <c r="AM67" i="32"/>
  <c r="AN67" i="32"/>
  <c r="AO67" i="32"/>
  <c r="AP67" i="32"/>
  <c r="AQ67" i="32"/>
  <c r="AR67" i="32"/>
  <c r="AS67" i="32"/>
  <c r="AT67" i="32"/>
  <c r="AU67" i="32"/>
  <c r="AV67" i="32"/>
  <c r="AW67" i="32"/>
  <c r="AX67" i="32"/>
  <c r="AY67" i="32"/>
  <c r="BB67" i="32"/>
  <c r="BC67" i="32"/>
  <c r="BD67" i="32"/>
  <c r="BE67" i="32"/>
  <c r="BF67" i="32"/>
  <c r="BG67" i="32"/>
  <c r="BH67" i="32"/>
  <c r="BI67" i="32"/>
  <c r="BJ67" i="32"/>
  <c r="BK67" i="32"/>
  <c r="BL67" i="32"/>
  <c r="BM67" i="32"/>
  <c r="BN67" i="32"/>
  <c r="BO67" i="32"/>
  <c r="D68" i="32"/>
  <c r="F68" i="32"/>
  <c r="G68" i="32"/>
  <c r="H68" i="32"/>
  <c r="I68" i="32"/>
  <c r="K68" i="32"/>
  <c r="L68" i="32"/>
  <c r="N68" i="32"/>
  <c r="O68" i="32"/>
  <c r="P68" i="32"/>
  <c r="Q68" i="32"/>
  <c r="S68" i="32"/>
  <c r="T68" i="32"/>
  <c r="V68" i="32"/>
  <c r="X68" i="32"/>
  <c r="Y68" i="32"/>
  <c r="Z68" i="32"/>
  <c r="AA68" i="32"/>
  <c r="AB68" i="32"/>
  <c r="AC68" i="32"/>
  <c r="AF68" i="32"/>
  <c r="AG68" i="32"/>
  <c r="AH68" i="32"/>
  <c r="AI68" i="32"/>
  <c r="AJ68" i="32"/>
  <c r="AL68" i="32"/>
  <c r="AM68" i="32"/>
  <c r="AN68" i="32"/>
  <c r="AO68" i="32"/>
  <c r="AP68" i="32"/>
  <c r="AQ68" i="32"/>
  <c r="AR68" i="32"/>
  <c r="AS68" i="32"/>
  <c r="AT68" i="32"/>
  <c r="AU68" i="32"/>
  <c r="AV68" i="32"/>
  <c r="AW68" i="32"/>
  <c r="AX68" i="32"/>
  <c r="AY68" i="32"/>
  <c r="BB68" i="32"/>
  <c r="BC68" i="32"/>
  <c r="BD68" i="32"/>
  <c r="BE68" i="32"/>
  <c r="BF68" i="32"/>
  <c r="BG68" i="32"/>
  <c r="BH68" i="32"/>
  <c r="BI68" i="32"/>
  <c r="BJ68" i="32"/>
  <c r="BK68" i="32"/>
  <c r="BL68" i="32"/>
  <c r="BM68" i="32"/>
  <c r="BN68" i="32"/>
  <c r="BO68" i="32"/>
  <c r="D69" i="32"/>
  <c r="F69" i="32"/>
  <c r="G69" i="32"/>
  <c r="H69" i="32"/>
  <c r="I69" i="32"/>
  <c r="K69" i="32"/>
  <c r="L69" i="32"/>
  <c r="N69" i="32"/>
  <c r="O69" i="32"/>
  <c r="P69" i="32"/>
  <c r="Q69" i="32"/>
  <c r="S69" i="32"/>
  <c r="T69" i="32"/>
  <c r="V69" i="32"/>
  <c r="X69" i="32"/>
  <c r="Y69" i="32"/>
  <c r="Z69" i="32"/>
  <c r="AA69" i="32"/>
  <c r="AB69" i="32"/>
  <c r="AC69" i="32"/>
  <c r="AF69" i="32"/>
  <c r="AG69" i="32"/>
  <c r="AH69" i="32"/>
  <c r="AI69" i="32"/>
  <c r="AJ69" i="32"/>
  <c r="AL69" i="32"/>
  <c r="AM69" i="32"/>
  <c r="AN69" i="32"/>
  <c r="AO69" i="32"/>
  <c r="AP69" i="32"/>
  <c r="AQ69" i="32"/>
  <c r="AR69" i="32"/>
  <c r="AS69" i="32"/>
  <c r="AT69" i="32"/>
  <c r="AU69" i="32"/>
  <c r="AV69" i="32"/>
  <c r="AW69" i="32"/>
  <c r="AX69" i="32"/>
  <c r="AY69" i="32"/>
  <c r="BB69" i="32"/>
  <c r="BC69" i="32"/>
  <c r="BD69" i="32"/>
  <c r="BE69" i="32"/>
  <c r="BF69" i="32"/>
  <c r="BG69" i="32"/>
  <c r="BH69" i="32"/>
  <c r="BI69" i="32"/>
  <c r="BJ69" i="32"/>
  <c r="BK69" i="32"/>
  <c r="BL69" i="32"/>
  <c r="BM69" i="32"/>
  <c r="BN69" i="32"/>
  <c r="BO69" i="32"/>
  <c r="D70" i="32"/>
  <c r="F70" i="32"/>
  <c r="G70" i="32"/>
  <c r="H70" i="32"/>
  <c r="I70" i="32"/>
  <c r="K70" i="32"/>
  <c r="L70" i="32"/>
  <c r="N70" i="32"/>
  <c r="O70" i="32"/>
  <c r="P70" i="32"/>
  <c r="Q70" i="32"/>
  <c r="S70" i="32"/>
  <c r="T70" i="32"/>
  <c r="V70" i="32"/>
  <c r="X70" i="32"/>
  <c r="Y70" i="32"/>
  <c r="Z70" i="32"/>
  <c r="AA70" i="32"/>
  <c r="AB70" i="32"/>
  <c r="AC70" i="32"/>
  <c r="AF70" i="32"/>
  <c r="AG70" i="32"/>
  <c r="AH70" i="32"/>
  <c r="AI70" i="32"/>
  <c r="AJ70" i="32"/>
  <c r="AL70" i="32"/>
  <c r="AM70" i="32"/>
  <c r="AN70" i="32"/>
  <c r="AO70" i="32"/>
  <c r="AP70" i="32"/>
  <c r="AQ70" i="32"/>
  <c r="AR70" i="32"/>
  <c r="AS70" i="32"/>
  <c r="AT70" i="32"/>
  <c r="AU70" i="32"/>
  <c r="AV70" i="32"/>
  <c r="AW70" i="32"/>
  <c r="AX70" i="32"/>
  <c r="AY70" i="32"/>
  <c r="BB70" i="32"/>
  <c r="BC70" i="32"/>
  <c r="BD70" i="32"/>
  <c r="BE70" i="32"/>
  <c r="BF70" i="32"/>
  <c r="BG70" i="32"/>
  <c r="BH70" i="32"/>
  <c r="BI70" i="32"/>
  <c r="BJ70" i="32"/>
  <c r="BK70" i="32"/>
  <c r="BL70" i="32"/>
  <c r="BM70" i="32"/>
  <c r="BN70" i="32"/>
  <c r="BO70" i="32"/>
  <c r="D71" i="32"/>
  <c r="F71" i="32"/>
  <c r="G71" i="32"/>
  <c r="H71" i="32"/>
  <c r="I71" i="32"/>
  <c r="K71" i="32"/>
  <c r="L71" i="32"/>
  <c r="N71" i="32"/>
  <c r="O71" i="32"/>
  <c r="P71" i="32"/>
  <c r="Q71" i="32"/>
  <c r="S71" i="32"/>
  <c r="T71" i="32"/>
  <c r="V71" i="32"/>
  <c r="X71" i="32"/>
  <c r="Y71" i="32"/>
  <c r="Z71" i="32"/>
  <c r="AA71" i="32"/>
  <c r="AB71" i="32"/>
  <c r="AC71" i="32"/>
  <c r="AF71" i="32"/>
  <c r="AG71" i="32"/>
  <c r="AH71" i="32"/>
  <c r="AI71" i="32"/>
  <c r="AJ71" i="32"/>
  <c r="AL71" i="32"/>
  <c r="AM71" i="32"/>
  <c r="AN71" i="32"/>
  <c r="AO71" i="32"/>
  <c r="AP71" i="32"/>
  <c r="AQ71" i="32"/>
  <c r="AR71" i="32"/>
  <c r="AS71" i="32"/>
  <c r="AT71" i="32"/>
  <c r="AU71" i="32"/>
  <c r="AV71" i="32"/>
  <c r="AW71" i="32"/>
  <c r="AX71" i="32"/>
  <c r="AY71" i="32"/>
  <c r="BB71" i="32"/>
  <c r="BC71" i="32"/>
  <c r="BD71" i="32"/>
  <c r="BE71" i="32"/>
  <c r="BF71" i="32"/>
  <c r="BG71" i="32"/>
  <c r="BH71" i="32"/>
  <c r="BI71" i="32"/>
  <c r="BJ71" i="32"/>
  <c r="BK71" i="32"/>
  <c r="BL71" i="32"/>
  <c r="BM71" i="32"/>
  <c r="BN71" i="32"/>
  <c r="BO71" i="32"/>
  <c r="D72" i="32"/>
  <c r="F72" i="32"/>
  <c r="G72" i="32"/>
  <c r="H72" i="32"/>
  <c r="I72" i="32"/>
  <c r="K72" i="32"/>
  <c r="L72" i="32"/>
  <c r="N72" i="32"/>
  <c r="O72" i="32"/>
  <c r="P72" i="32"/>
  <c r="Q72" i="32"/>
  <c r="S72" i="32"/>
  <c r="T72" i="32"/>
  <c r="V72" i="32"/>
  <c r="X72" i="32"/>
  <c r="Y72" i="32"/>
  <c r="Z72" i="32"/>
  <c r="AA72" i="32"/>
  <c r="AB72" i="32"/>
  <c r="AC72" i="32"/>
  <c r="AF72" i="32"/>
  <c r="AG72" i="32"/>
  <c r="AH72" i="32"/>
  <c r="AI72" i="32"/>
  <c r="AJ72" i="32"/>
  <c r="AL72" i="32"/>
  <c r="AM72" i="32"/>
  <c r="AN72" i="32"/>
  <c r="AO72" i="32"/>
  <c r="AP72" i="32"/>
  <c r="AQ72" i="32"/>
  <c r="AR72" i="32"/>
  <c r="AS72" i="32"/>
  <c r="AT72" i="32"/>
  <c r="AU72" i="32"/>
  <c r="AV72" i="32"/>
  <c r="AW72" i="32"/>
  <c r="AX72" i="32"/>
  <c r="AY72" i="32"/>
  <c r="BB72" i="32"/>
  <c r="BC72" i="32"/>
  <c r="BD72" i="32"/>
  <c r="BE72" i="32"/>
  <c r="BF72" i="32"/>
  <c r="BG72" i="32"/>
  <c r="BH72" i="32"/>
  <c r="BI72" i="32"/>
  <c r="BJ72" i="32"/>
  <c r="BK72" i="32"/>
  <c r="BL72" i="32"/>
  <c r="BM72" i="32"/>
  <c r="BN72" i="32"/>
  <c r="BO72" i="32"/>
  <c r="D73" i="32"/>
  <c r="F73" i="32"/>
  <c r="G73" i="32"/>
  <c r="H73" i="32"/>
  <c r="I73" i="32"/>
  <c r="K73" i="32"/>
  <c r="L73" i="32"/>
  <c r="N73" i="32"/>
  <c r="O73" i="32"/>
  <c r="P73" i="32"/>
  <c r="Q73" i="32"/>
  <c r="S73" i="32"/>
  <c r="T73" i="32"/>
  <c r="V73" i="32"/>
  <c r="X73" i="32"/>
  <c r="Y73" i="32"/>
  <c r="Z73" i="32"/>
  <c r="AA73" i="32"/>
  <c r="AB73" i="32"/>
  <c r="AC73" i="32"/>
  <c r="AF73" i="32"/>
  <c r="AG73" i="32"/>
  <c r="AH73" i="32"/>
  <c r="AI73" i="32"/>
  <c r="AJ73" i="32"/>
  <c r="AL73" i="32"/>
  <c r="AM73" i="32"/>
  <c r="AN73" i="32"/>
  <c r="AO73" i="32"/>
  <c r="AP73" i="32"/>
  <c r="AQ73" i="32"/>
  <c r="AR73" i="32"/>
  <c r="AS73" i="32"/>
  <c r="AT73" i="32"/>
  <c r="AU73" i="32"/>
  <c r="AV73" i="32"/>
  <c r="AW73" i="32"/>
  <c r="AX73" i="32"/>
  <c r="AY73" i="32"/>
  <c r="BB73" i="32"/>
  <c r="BC73" i="32"/>
  <c r="BD73" i="32"/>
  <c r="BE73" i="32"/>
  <c r="BF73" i="32"/>
  <c r="BG73" i="32"/>
  <c r="BH73" i="32"/>
  <c r="BI73" i="32"/>
  <c r="BJ73" i="32"/>
  <c r="BK73" i="32"/>
  <c r="BL73" i="32"/>
  <c r="BM73" i="32"/>
  <c r="BN73" i="32"/>
  <c r="BO73" i="32"/>
  <c r="D74" i="32"/>
  <c r="F74" i="32"/>
  <c r="G74" i="32"/>
  <c r="H74" i="32"/>
  <c r="I74" i="32"/>
  <c r="K74" i="32"/>
  <c r="L74" i="32"/>
  <c r="N74" i="32"/>
  <c r="O74" i="32"/>
  <c r="P74" i="32"/>
  <c r="Q74" i="32"/>
  <c r="S74" i="32"/>
  <c r="T74" i="32"/>
  <c r="V74" i="32"/>
  <c r="X74" i="32"/>
  <c r="Y74" i="32"/>
  <c r="Z74" i="32"/>
  <c r="AA74" i="32"/>
  <c r="AB74" i="32"/>
  <c r="AC74" i="32"/>
  <c r="AF74" i="32"/>
  <c r="AG74" i="32"/>
  <c r="AH74" i="32"/>
  <c r="AI74" i="32"/>
  <c r="AJ74" i="32"/>
  <c r="AL74" i="32"/>
  <c r="AM74" i="32"/>
  <c r="AN74" i="32"/>
  <c r="AO74" i="32"/>
  <c r="AP74" i="32"/>
  <c r="AQ74" i="32"/>
  <c r="AR74" i="32"/>
  <c r="AS74" i="32"/>
  <c r="AT74" i="32"/>
  <c r="AU74" i="32"/>
  <c r="AV74" i="32"/>
  <c r="AW74" i="32"/>
  <c r="AX74" i="32"/>
  <c r="AY74" i="32"/>
  <c r="BB74" i="32"/>
  <c r="BC74" i="32"/>
  <c r="BD74" i="32"/>
  <c r="BE74" i="32"/>
  <c r="BF74" i="32"/>
  <c r="BG74" i="32"/>
  <c r="BH74" i="32"/>
  <c r="BI74" i="32"/>
  <c r="BJ74" i="32"/>
  <c r="BK74" i="32"/>
  <c r="BL74" i="32"/>
  <c r="BM74" i="32"/>
  <c r="BN74" i="32"/>
  <c r="BO74" i="32"/>
  <c r="D75" i="32"/>
  <c r="F75" i="32"/>
  <c r="G75" i="32"/>
  <c r="H75" i="32"/>
  <c r="I75" i="32"/>
  <c r="K75" i="32"/>
  <c r="L75" i="32"/>
  <c r="N75" i="32"/>
  <c r="O75" i="32"/>
  <c r="P75" i="32"/>
  <c r="Q75" i="32"/>
  <c r="S75" i="32"/>
  <c r="T75" i="32"/>
  <c r="V75" i="32"/>
  <c r="X75" i="32"/>
  <c r="Y75" i="32"/>
  <c r="Z75" i="32"/>
  <c r="AA75" i="32"/>
  <c r="AB75" i="32"/>
  <c r="AC75" i="32"/>
  <c r="AF75" i="32"/>
  <c r="AG75" i="32"/>
  <c r="AH75" i="32"/>
  <c r="AI75" i="32"/>
  <c r="AJ75" i="32"/>
  <c r="AL75" i="32"/>
  <c r="AM75" i="32"/>
  <c r="AN75" i="32"/>
  <c r="AO75" i="32"/>
  <c r="AP75" i="32"/>
  <c r="AQ75" i="32"/>
  <c r="AR75" i="32"/>
  <c r="AS75" i="32"/>
  <c r="AT75" i="32"/>
  <c r="AU75" i="32"/>
  <c r="AV75" i="32"/>
  <c r="AW75" i="32"/>
  <c r="AX75" i="32"/>
  <c r="AY75" i="32"/>
  <c r="BB75" i="32"/>
  <c r="BC75" i="32"/>
  <c r="BD75" i="32"/>
  <c r="BE75" i="32"/>
  <c r="BF75" i="32"/>
  <c r="BG75" i="32"/>
  <c r="BH75" i="32"/>
  <c r="BI75" i="32"/>
  <c r="BJ75" i="32"/>
  <c r="BK75" i="32"/>
  <c r="BL75" i="32"/>
  <c r="BM75" i="32"/>
  <c r="BN75" i="32"/>
  <c r="BO75" i="32"/>
  <c r="D76" i="32"/>
  <c r="F76" i="32"/>
  <c r="G76" i="32"/>
  <c r="H76" i="32"/>
  <c r="I76" i="32"/>
  <c r="K76" i="32"/>
  <c r="L76" i="32"/>
  <c r="N76" i="32"/>
  <c r="O76" i="32"/>
  <c r="P76" i="32"/>
  <c r="Q76" i="32"/>
  <c r="S76" i="32"/>
  <c r="T76" i="32"/>
  <c r="V76" i="32"/>
  <c r="X76" i="32"/>
  <c r="Y76" i="32"/>
  <c r="Z76" i="32"/>
  <c r="AA76" i="32"/>
  <c r="AB76" i="32"/>
  <c r="AC76" i="32"/>
  <c r="AF76" i="32"/>
  <c r="AG76" i="32"/>
  <c r="AH76" i="32"/>
  <c r="AI76" i="32"/>
  <c r="AJ76" i="32"/>
  <c r="AL76" i="32"/>
  <c r="AM76" i="32"/>
  <c r="AN76" i="32"/>
  <c r="AO76" i="32"/>
  <c r="AP76" i="32"/>
  <c r="AQ76" i="32"/>
  <c r="AR76" i="32"/>
  <c r="AS76" i="32"/>
  <c r="AT76" i="32"/>
  <c r="AU76" i="32"/>
  <c r="AV76" i="32"/>
  <c r="AW76" i="32"/>
  <c r="AX76" i="32"/>
  <c r="AY76" i="32"/>
  <c r="BB76" i="32"/>
  <c r="BC76" i="32"/>
  <c r="BD76" i="32"/>
  <c r="BE76" i="32"/>
  <c r="BF76" i="32"/>
  <c r="BG76" i="32"/>
  <c r="BH76" i="32"/>
  <c r="BI76" i="32"/>
  <c r="BJ76" i="32"/>
  <c r="BK76" i="32"/>
  <c r="BL76" i="32"/>
  <c r="BM76" i="32"/>
  <c r="BN76" i="32"/>
  <c r="BO76" i="32"/>
  <c r="D77" i="32"/>
  <c r="F77" i="32"/>
  <c r="G77" i="32"/>
  <c r="H77" i="32"/>
  <c r="I77" i="32"/>
  <c r="K77" i="32"/>
  <c r="L77" i="32"/>
  <c r="N77" i="32"/>
  <c r="O77" i="32"/>
  <c r="P77" i="32"/>
  <c r="Q77" i="32"/>
  <c r="S77" i="32"/>
  <c r="T77" i="32"/>
  <c r="V77" i="32"/>
  <c r="X77" i="32"/>
  <c r="Y77" i="32"/>
  <c r="Z77" i="32"/>
  <c r="AA77" i="32"/>
  <c r="AB77" i="32"/>
  <c r="AC77" i="32"/>
  <c r="AF77" i="32"/>
  <c r="AG77" i="32"/>
  <c r="AH77" i="32"/>
  <c r="AI77" i="32"/>
  <c r="AJ77" i="32"/>
  <c r="AL77" i="32"/>
  <c r="AM77" i="32"/>
  <c r="AN77" i="32"/>
  <c r="AO77" i="32"/>
  <c r="AP77" i="32"/>
  <c r="AQ77" i="32"/>
  <c r="AR77" i="32"/>
  <c r="AS77" i="32"/>
  <c r="AT77" i="32"/>
  <c r="AU77" i="32"/>
  <c r="AV77" i="32"/>
  <c r="AW77" i="32"/>
  <c r="AX77" i="32"/>
  <c r="AY77" i="32"/>
  <c r="BB77" i="32"/>
  <c r="BC77" i="32"/>
  <c r="BD77" i="32"/>
  <c r="BE77" i="32"/>
  <c r="BF77" i="32"/>
  <c r="BG77" i="32"/>
  <c r="BH77" i="32"/>
  <c r="BI77" i="32"/>
  <c r="BJ77" i="32"/>
  <c r="BK77" i="32"/>
  <c r="BL77" i="32"/>
  <c r="BM77" i="32"/>
  <c r="BN77" i="32"/>
  <c r="BO77" i="32"/>
  <c r="D78" i="32"/>
  <c r="F78" i="32"/>
  <c r="G78" i="32"/>
  <c r="H78" i="32"/>
  <c r="I78" i="32"/>
  <c r="K78" i="32"/>
  <c r="L78" i="32"/>
  <c r="N78" i="32"/>
  <c r="O78" i="32"/>
  <c r="P78" i="32"/>
  <c r="Q78" i="32"/>
  <c r="S78" i="32"/>
  <c r="T78" i="32"/>
  <c r="V78" i="32"/>
  <c r="X78" i="32"/>
  <c r="Y78" i="32"/>
  <c r="Z78" i="32"/>
  <c r="AA78" i="32"/>
  <c r="AB78" i="32"/>
  <c r="AC78" i="32"/>
  <c r="AF78" i="32"/>
  <c r="AG78" i="32"/>
  <c r="AH78" i="32"/>
  <c r="AI78" i="32"/>
  <c r="AJ78" i="32"/>
  <c r="AL78" i="32"/>
  <c r="AM78" i="32"/>
  <c r="AN78" i="32"/>
  <c r="AO78" i="32"/>
  <c r="AP78" i="32"/>
  <c r="AQ78" i="32"/>
  <c r="AR78" i="32"/>
  <c r="AS78" i="32"/>
  <c r="AT78" i="32"/>
  <c r="AU78" i="32"/>
  <c r="AV78" i="32"/>
  <c r="AW78" i="32"/>
  <c r="AX78" i="32"/>
  <c r="AY78" i="32"/>
  <c r="BB78" i="32"/>
  <c r="BC78" i="32"/>
  <c r="BD78" i="32"/>
  <c r="BE78" i="32"/>
  <c r="BF78" i="32"/>
  <c r="BG78" i="32"/>
  <c r="BH78" i="32"/>
  <c r="BI78" i="32"/>
  <c r="BJ78" i="32"/>
  <c r="BK78" i="32"/>
  <c r="BL78" i="32"/>
  <c r="BM78" i="32"/>
  <c r="BN78" i="32"/>
  <c r="BO78" i="32"/>
  <c r="D79" i="32"/>
  <c r="F79" i="32"/>
  <c r="G79" i="32"/>
  <c r="H79" i="32"/>
  <c r="I79" i="32"/>
  <c r="K79" i="32"/>
  <c r="L79" i="32"/>
  <c r="N79" i="32"/>
  <c r="O79" i="32"/>
  <c r="P79" i="32"/>
  <c r="Q79" i="32"/>
  <c r="S79" i="32"/>
  <c r="T79" i="32"/>
  <c r="V79" i="32"/>
  <c r="X79" i="32"/>
  <c r="Y79" i="32"/>
  <c r="Z79" i="32"/>
  <c r="AA79" i="32"/>
  <c r="AB79" i="32"/>
  <c r="AC79" i="32"/>
  <c r="AF79" i="32"/>
  <c r="AG79" i="32"/>
  <c r="AH79" i="32"/>
  <c r="AI79" i="32"/>
  <c r="AJ79" i="32"/>
  <c r="AL79" i="32"/>
  <c r="AM79" i="32"/>
  <c r="AN79" i="32"/>
  <c r="AO79" i="32"/>
  <c r="AP79" i="32"/>
  <c r="AQ79" i="32"/>
  <c r="AR79" i="32"/>
  <c r="AS79" i="32"/>
  <c r="AT79" i="32"/>
  <c r="AU79" i="32"/>
  <c r="AV79" i="32"/>
  <c r="AW79" i="32"/>
  <c r="AX79" i="32"/>
  <c r="AY79" i="32"/>
  <c r="BB79" i="32"/>
  <c r="BC79" i="32"/>
  <c r="BD79" i="32"/>
  <c r="BE79" i="32"/>
  <c r="BF79" i="32"/>
  <c r="BG79" i="32"/>
  <c r="BH79" i="32"/>
  <c r="BI79" i="32"/>
  <c r="BJ79" i="32"/>
  <c r="BK79" i="32"/>
  <c r="BL79" i="32"/>
  <c r="BM79" i="32"/>
  <c r="BN79" i="32"/>
  <c r="BO79" i="32"/>
  <c r="D80" i="32"/>
  <c r="F80" i="32"/>
  <c r="G80" i="32"/>
  <c r="H80" i="32"/>
  <c r="I80" i="32"/>
  <c r="K80" i="32"/>
  <c r="L80" i="32"/>
  <c r="N80" i="32"/>
  <c r="O80" i="32"/>
  <c r="P80" i="32"/>
  <c r="Q80" i="32"/>
  <c r="S80" i="32"/>
  <c r="T80" i="32"/>
  <c r="V80" i="32"/>
  <c r="X80" i="32"/>
  <c r="Y80" i="32"/>
  <c r="Z80" i="32"/>
  <c r="AA80" i="32"/>
  <c r="AB80" i="32"/>
  <c r="AC80" i="32"/>
  <c r="AF80" i="32"/>
  <c r="AG80" i="32"/>
  <c r="AH80" i="32"/>
  <c r="AI80" i="32"/>
  <c r="AJ80" i="32"/>
  <c r="AL80" i="32"/>
  <c r="AM80" i="32"/>
  <c r="AN80" i="32"/>
  <c r="AO80" i="32"/>
  <c r="AP80" i="32"/>
  <c r="AQ80" i="32"/>
  <c r="AR80" i="32"/>
  <c r="AS80" i="32"/>
  <c r="AT80" i="32"/>
  <c r="AU80" i="32"/>
  <c r="AV80" i="32"/>
  <c r="AW80" i="32"/>
  <c r="AX80" i="32"/>
  <c r="AY80" i="32"/>
  <c r="BB80" i="32"/>
  <c r="BC80" i="32"/>
  <c r="BD80" i="32"/>
  <c r="BE80" i="32"/>
  <c r="BF80" i="32"/>
  <c r="BG80" i="32"/>
  <c r="BH80" i="32"/>
  <c r="BI80" i="32"/>
  <c r="BJ80" i="32"/>
  <c r="BK80" i="32"/>
  <c r="BL80" i="32"/>
  <c r="BM80" i="32"/>
  <c r="BN80" i="32"/>
  <c r="BO80" i="32"/>
  <c r="D81" i="32"/>
  <c r="F81" i="32"/>
  <c r="G81" i="32"/>
  <c r="H81" i="32"/>
  <c r="I81" i="32"/>
  <c r="K81" i="32"/>
  <c r="L81" i="32"/>
  <c r="N81" i="32"/>
  <c r="O81" i="32"/>
  <c r="P81" i="32"/>
  <c r="Q81" i="32"/>
  <c r="S81" i="32"/>
  <c r="T81" i="32"/>
  <c r="V81" i="32"/>
  <c r="X81" i="32"/>
  <c r="Y81" i="32"/>
  <c r="Z81" i="32"/>
  <c r="AA81" i="32"/>
  <c r="AB81" i="32"/>
  <c r="AC81" i="32"/>
  <c r="AF81" i="32"/>
  <c r="AG81" i="32"/>
  <c r="AH81" i="32"/>
  <c r="AI81" i="32"/>
  <c r="AJ81" i="32"/>
  <c r="AL81" i="32"/>
  <c r="AM81" i="32"/>
  <c r="AN81" i="32"/>
  <c r="AO81" i="32"/>
  <c r="AP81" i="32"/>
  <c r="AQ81" i="32"/>
  <c r="AR81" i="32"/>
  <c r="AS81" i="32"/>
  <c r="AT81" i="32"/>
  <c r="AU81" i="32"/>
  <c r="AV81" i="32"/>
  <c r="AW81" i="32"/>
  <c r="AX81" i="32"/>
  <c r="AY81" i="32"/>
  <c r="BB81" i="32"/>
  <c r="BC81" i="32"/>
  <c r="BD81" i="32"/>
  <c r="BE81" i="32"/>
  <c r="BF81" i="32"/>
  <c r="BG81" i="32"/>
  <c r="BH81" i="32"/>
  <c r="BI81" i="32"/>
  <c r="BJ81" i="32"/>
  <c r="BK81" i="32"/>
  <c r="BL81" i="32"/>
  <c r="BM81" i="32"/>
  <c r="BN81" i="32"/>
  <c r="BO81" i="32"/>
  <c r="D82" i="32"/>
  <c r="F82" i="32"/>
  <c r="G82" i="32"/>
  <c r="H82" i="32"/>
  <c r="I82" i="32"/>
  <c r="K82" i="32"/>
  <c r="L82" i="32"/>
  <c r="N82" i="32"/>
  <c r="O82" i="32"/>
  <c r="P82" i="32"/>
  <c r="Q82" i="32"/>
  <c r="S82" i="32"/>
  <c r="T82" i="32"/>
  <c r="V82" i="32"/>
  <c r="X82" i="32"/>
  <c r="Y82" i="32"/>
  <c r="Z82" i="32"/>
  <c r="AA82" i="32"/>
  <c r="AB82" i="32"/>
  <c r="AC82" i="32"/>
  <c r="AF82" i="32"/>
  <c r="AG82" i="32"/>
  <c r="AH82" i="32"/>
  <c r="AI82" i="32"/>
  <c r="AJ82" i="32"/>
  <c r="AL82" i="32"/>
  <c r="AM82" i="32"/>
  <c r="AN82" i="32"/>
  <c r="AO82" i="32"/>
  <c r="AP82" i="32"/>
  <c r="AQ82" i="32"/>
  <c r="AR82" i="32"/>
  <c r="AS82" i="32"/>
  <c r="AT82" i="32"/>
  <c r="AU82" i="32"/>
  <c r="AV82" i="32"/>
  <c r="AW82" i="32"/>
  <c r="AX82" i="32"/>
  <c r="AY82" i="32"/>
  <c r="BB82" i="32"/>
  <c r="BC82" i="32"/>
  <c r="BD82" i="32"/>
  <c r="BE82" i="32"/>
  <c r="BF82" i="32"/>
  <c r="BG82" i="32"/>
  <c r="BH82" i="32"/>
  <c r="BI82" i="32"/>
  <c r="BJ82" i="32"/>
  <c r="BK82" i="32"/>
  <c r="BL82" i="32"/>
  <c r="BM82" i="32"/>
  <c r="BN82" i="32"/>
  <c r="BO82" i="32"/>
  <c r="D83" i="32"/>
  <c r="F83" i="32"/>
  <c r="G83" i="32"/>
  <c r="H83" i="32"/>
  <c r="I83" i="32"/>
  <c r="K83" i="32"/>
  <c r="L83" i="32"/>
  <c r="N83" i="32"/>
  <c r="O83" i="32"/>
  <c r="P83" i="32"/>
  <c r="Q83" i="32"/>
  <c r="S83" i="32"/>
  <c r="T83" i="32"/>
  <c r="V83" i="32"/>
  <c r="X83" i="32"/>
  <c r="Y83" i="32"/>
  <c r="Z83" i="32"/>
  <c r="AA83" i="32"/>
  <c r="AB83" i="32"/>
  <c r="AC83" i="32"/>
  <c r="AF83" i="32"/>
  <c r="AG83" i="32"/>
  <c r="AH83" i="32"/>
  <c r="AI83" i="32"/>
  <c r="AJ83" i="32"/>
  <c r="AL83" i="32"/>
  <c r="AM83" i="32"/>
  <c r="AN83" i="32"/>
  <c r="AO83" i="32"/>
  <c r="AP83" i="32"/>
  <c r="AQ83" i="32"/>
  <c r="AR83" i="32"/>
  <c r="AS83" i="32"/>
  <c r="AT83" i="32"/>
  <c r="AU83" i="32"/>
  <c r="AV83" i="32"/>
  <c r="AW83" i="32"/>
  <c r="AX83" i="32"/>
  <c r="AY83" i="32"/>
  <c r="BB83" i="32"/>
  <c r="BC83" i="32"/>
  <c r="BD83" i="32"/>
  <c r="BE83" i="32"/>
  <c r="BF83" i="32"/>
  <c r="BG83" i="32"/>
  <c r="BH83" i="32"/>
  <c r="BI83" i="32"/>
  <c r="BJ83" i="32"/>
  <c r="BK83" i="32"/>
  <c r="BL83" i="32"/>
  <c r="BM83" i="32"/>
  <c r="BN83" i="32"/>
  <c r="BO83" i="32"/>
  <c r="D84" i="32"/>
  <c r="F84" i="32"/>
  <c r="G84" i="32"/>
  <c r="H84" i="32"/>
  <c r="I84" i="32"/>
  <c r="K84" i="32"/>
  <c r="L84" i="32"/>
  <c r="N84" i="32"/>
  <c r="O84" i="32"/>
  <c r="P84" i="32"/>
  <c r="Q84" i="32"/>
  <c r="S84" i="32"/>
  <c r="T84" i="32"/>
  <c r="V84" i="32"/>
  <c r="X84" i="32"/>
  <c r="Y84" i="32"/>
  <c r="Z84" i="32"/>
  <c r="AA84" i="32"/>
  <c r="AB84" i="32"/>
  <c r="AC84" i="32"/>
  <c r="AF84" i="32"/>
  <c r="AG84" i="32"/>
  <c r="AH84" i="32"/>
  <c r="AI84" i="32"/>
  <c r="AJ84" i="32"/>
  <c r="AL84" i="32"/>
  <c r="AM84" i="32"/>
  <c r="AN84" i="32"/>
  <c r="AO84" i="32"/>
  <c r="AP84" i="32"/>
  <c r="AQ84" i="32"/>
  <c r="AR84" i="32"/>
  <c r="AS84" i="32"/>
  <c r="AT84" i="32"/>
  <c r="AU84" i="32"/>
  <c r="AV84" i="32"/>
  <c r="AW84" i="32"/>
  <c r="AX84" i="32"/>
  <c r="AY84" i="32"/>
  <c r="BB84" i="32"/>
  <c r="BC84" i="32"/>
  <c r="BD84" i="32"/>
  <c r="BE84" i="32"/>
  <c r="BF84" i="32"/>
  <c r="BG84" i="32"/>
  <c r="BH84" i="32"/>
  <c r="BI84" i="32"/>
  <c r="BJ84" i="32"/>
  <c r="BK84" i="32"/>
  <c r="BL84" i="32"/>
  <c r="BM84" i="32"/>
  <c r="BN84" i="32"/>
  <c r="BO84" i="32"/>
  <c r="D85" i="32"/>
  <c r="F85" i="32"/>
  <c r="G85" i="32"/>
  <c r="H85" i="32"/>
  <c r="I85" i="32"/>
  <c r="K85" i="32"/>
  <c r="L85" i="32"/>
  <c r="N85" i="32"/>
  <c r="O85" i="32"/>
  <c r="P85" i="32"/>
  <c r="Q85" i="32"/>
  <c r="S85" i="32"/>
  <c r="T85" i="32"/>
  <c r="V85" i="32"/>
  <c r="X85" i="32"/>
  <c r="Y85" i="32"/>
  <c r="Z85" i="32"/>
  <c r="AA85" i="32"/>
  <c r="AB85" i="32"/>
  <c r="AC85" i="32"/>
  <c r="AF85" i="32"/>
  <c r="AG85" i="32"/>
  <c r="AH85" i="32"/>
  <c r="AI85" i="32"/>
  <c r="AJ85" i="32"/>
  <c r="AL85" i="32"/>
  <c r="AM85" i="32"/>
  <c r="AN85" i="32"/>
  <c r="AO85" i="32"/>
  <c r="AP85" i="32"/>
  <c r="AQ85" i="32"/>
  <c r="AR85" i="32"/>
  <c r="AS85" i="32"/>
  <c r="AT85" i="32"/>
  <c r="AU85" i="32"/>
  <c r="AV85" i="32"/>
  <c r="AW85" i="32"/>
  <c r="AX85" i="32"/>
  <c r="AY85" i="32"/>
  <c r="BB85" i="32"/>
  <c r="BC85" i="32"/>
  <c r="BD85" i="32"/>
  <c r="BE85" i="32"/>
  <c r="BF85" i="32"/>
  <c r="BG85" i="32"/>
  <c r="BH85" i="32"/>
  <c r="BI85" i="32"/>
  <c r="BJ85" i="32"/>
  <c r="BK85" i="32"/>
  <c r="BL85" i="32"/>
  <c r="BM85" i="32"/>
  <c r="BN85" i="32"/>
  <c r="BO85" i="32"/>
  <c r="D86" i="32"/>
  <c r="F86" i="32"/>
  <c r="G86" i="32"/>
  <c r="H86" i="32"/>
  <c r="I86" i="32"/>
  <c r="K86" i="32"/>
  <c r="L86" i="32"/>
  <c r="N86" i="32"/>
  <c r="O86" i="32"/>
  <c r="P86" i="32"/>
  <c r="Q86" i="32"/>
  <c r="S86" i="32"/>
  <c r="T86" i="32"/>
  <c r="V86" i="32"/>
  <c r="X86" i="32"/>
  <c r="Y86" i="32"/>
  <c r="Z86" i="32"/>
  <c r="AA86" i="32"/>
  <c r="AB86" i="32"/>
  <c r="AC86" i="32"/>
  <c r="AF86" i="32"/>
  <c r="AG86" i="32"/>
  <c r="AH86" i="32"/>
  <c r="AI86" i="32"/>
  <c r="AJ86" i="32"/>
  <c r="AL86" i="32"/>
  <c r="AM86" i="32"/>
  <c r="AN86" i="32"/>
  <c r="AO86" i="32"/>
  <c r="AP86" i="32"/>
  <c r="AQ86" i="32"/>
  <c r="AR86" i="32"/>
  <c r="AS86" i="32"/>
  <c r="AT86" i="32"/>
  <c r="AU86" i="32"/>
  <c r="AV86" i="32"/>
  <c r="AW86" i="32"/>
  <c r="AX86" i="32"/>
  <c r="AY86" i="32"/>
  <c r="BB86" i="32"/>
  <c r="BC86" i="32"/>
  <c r="BD86" i="32"/>
  <c r="BE86" i="32"/>
  <c r="BF86" i="32"/>
  <c r="BG86" i="32"/>
  <c r="BH86" i="32"/>
  <c r="BI86" i="32"/>
  <c r="BJ86" i="32"/>
  <c r="BK86" i="32"/>
  <c r="BL86" i="32"/>
  <c r="BM86" i="32"/>
  <c r="BN86" i="32"/>
  <c r="BO86" i="32"/>
  <c r="D87" i="32"/>
  <c r="F87" i="32"/>
  <c r="G87" i="32"/>
  <c r="H87" i="32"/>
  <c r="I87" i="32"/>
  <c r="K87" i="32"/>
  <c r="L87" i="32"/>
  <c r="N87" i="32"/>
  <c r="O87" i="32"/>
  <c r="P87" i="32"/>
  <c r="Q87" i="32"/>
  <c r="S87" i="32"/>
  <c r="T87" i="32"/>
  <c r="V87" i="32"/>
  <c r="X87" i="32"/>
  <c r="Y87" i="32"/>
  <c r="Z87" i="32"/>
  <c r="AA87" i="32"/>
  <c r="AB87" i="32"/>
  <c r="AC87" i="32"/>
  <c r="AF87" i="32"/>
  <c r="AG87" i="32"/>
  <c r="AH87" i="32"/>
  <c r="AI87" i="32"/>
  <c r="AJ87" i="32"/>
  <c r="AL87" i="32"/>
  <c r="AM87" i="32"/>
  <c r="AN87" i="32"/>
  <c r="AO87" i="32"/>
  <c r="AP87" i="32"/>
  <c r="AQ87" i="32"/>
  <c r="AR87" i="32"/>
  <c r="AS87" i="32"/>
  <c r="AT87" i="32"/>
  <c r="AU87" i="32"/>
  <c r="AV87" i="32"/>
  <c r="AW87" i="32"/>
  <c r="AX87" i="32"/>
  <c r="AY87" i="32"/>
  <c r="BB87" i="32"/>
  <c r="BC87" i="32"/>
  <c r="BD87" i="32"/>
  <c r="BE87" i="32"/>
  <c r="BF87" i="32"/>
  <c r="BG87" i="32"/>
  <c r="BH87" i="32"/>
  <c r="BI87" i="32"/>
  <c r="BJ87" i="32"/>
  <c r="BK87" i="32"/>
  <c r="BL87" i="32"/>
  <c r="BM87" i="32"/>
  <c r="BN87" i="32"/>
  <c r="BO87" i="32"/>
  <c r="D88" i="32"/>
  <c r="F88" i="32"/>
  <c r="G88" i="32"/>
  <c r="H88" i="32"/>
  <c r="I88" i="32"/>
  <c r="K88" i="32"/>
  <c r="L88" i="32"/>
  <c r="N88" i="32"/>
  <c r="O88" i="32"/>
  <c r="P88" i="32"/>
  <c r="Q88" i="32"/>
  <c r="S88" i="32"/>
  <c r="T88" i="32"/>
  <c r="V88" i="32"/>
  <c r="X88" i="32"/>
  <c r="Y88" i="32"/>
  <c r="Z88" i="32"/>
  <c r="AA88" i="32"/>
  <c r="AB88" i="32"/>
  <c r="AC88" i="32"/>
  <c r="AF88" i="32"/>
  <c r="AG88" i="32"/>
  <c r="AH88" i="32"/>
  <c r="AI88" i="32"/>
  <c r="AJ88" i="32"/>
  <c r="AL88" i="32"/>
  <c r="AM88" i="32"/>
  <c r="AN88" i="32"/>
  <c r="AO88" i="32"/>
  <c r="AP88" i="32"/>
  <c r="AQ88" i="32"/>
  <c r="AR88" i="32"/>
  <c r="AS88" i="32"/>
  <c r="AT88" i="32"/>
  <c r="AU88" i="32"/>
  <c r="AV88" i="32"/>
  <c r="AW88" i="32"/>
  <c r="AX88" i="32"/>
  <c r="AY88" i="32"/>
  <c r="BB88" i="32"/>
  <c r="BC88" i="32"/>
  <c r="BD88" i="32"/>
  <c r="BE88" i="32"/>
  <c r="BF88" i="32"/>
  <c r="BG88" i="32"/>
  <c r="BH88" i="32"/>
  <c r="BI88" i="32"/>
  <c r="BJ88" i="32"/>
  <c r="BK88" i="32"/>
  <c r="BL88" i="32"/>
  <c r="BM88" i="32"/>
  <c r="BN88" i="32"/>
  <c r="BO88" i="32"/>
  <c r="D89" i="32"/>
  <c r="F89" i="32"/>
  <c r="G89" i="32"/>
  <c r="H89" i="32"/>
  <c r="I89" i="32"/>
  <c r="K89" i="32"/>
  <c r="L89" i="32"/>
  <c r="N89" i="32"/>
  <c r="O89" i="32"/>
  <c r="P89" i="32"/>
  <c r="Q89" i="32"/>
  <c r="S89" i="32"/>
  <c r="T89" i="32"/>
  <c r="V89" i="32"/>
  <c r="X89" i="32"/>
  <c r="Y89" i="32"/>
  <c r="Z89" i="32"/>
  <c r="AA89" i="32"/>
  <c r="AB89" i="32"/>
  <c r="AC89" i="32"/>
  <c r="AF89" i="32"/>
  <c r="AG89" i="32"/>
  <c r="AH89" i="32"/>
  <c r="AI89" i="32"/>
  <c r="AJ89" i="32"/>
  <c r="AL89" i="32"/>
  <c r="AM89" i="32"/>
  <c r="AN89" i="32"/>
  <c r="AO89" i="32"/>
  <c r="AP89" i="32"/>
  <c r="AQ89" i="32"/>
  <c r="AR89" i="32"/>
  <c r="AS89" i="32"/>
  <c r="AT89" i="32"/>
  <c r="AU89" i="32"/>
  <c r="AV89" i="32"/>
  <c r="AW89" i="32"/>
  <c r="AX89" i="32"/>
  <c r="AY89" i="32"/>
  <c r="BB89" i="32"/>
  <c r="BC89" i="32"/>
  <c r="BD89" i="32"/>
  <c r="BE89" i="32"/>
  <c r="BF89" i="32"/>
  <c r="BG89" i="32"/>
  <c r="BH89" i="32"/>
  <c r="BI89" i="32"/>
  <c r="BJ89" i="32"/>
  <c r="BK89" i="32"/>
  <c r="BL89" i="32"/>
  <c r="BM89" i="32"/>
  <c r="BN89" i="32"/>
  <c r="BO89" i="32"/>
  <c r="F1" i="33"/>
  <c r="AV1" i="33"/>
  <c r="A2" i="33"/>
  <c r="F2" i="33"/>
  <c r="G2" i="33"/>
  <c r="N2" i="33"/>
  <c r="AV2" i="33"/>
  <c r="AW2" i="33"/>
  <c r="AX2" i="33"/>
  <c r="AY2" i="33"/>
  <c r="BW2" i="33"/>
  <c r="BX2" i="33"/>
  <c r="BY2" i="33"/>
  <c r="BZ2" i="33"/>
  <c r="CA2" i="33"/>
  <c r="CB2" i="33"/>
  <c r="CC2" i="33"/>
  <c r="CD2" i="33"/>
  <c r="CE2" i="33"/>
  <c r="CF2" i="33"/>
  <c r="CG2" i="33"/>
  <c r="CH2" i="33"/>
  <c r="CI2" i="33"/>
  <c r="CJ2" i="33"/>
  <c r="CK2" i="33"/>
  <c r="CL2" i="33"/>
  <c r="CM2" i="33"/>
  <c r="CN2" i="33"/>
  <c r="CO2" i="33"/>
  <c r="CP2" i="33"/>
  <c r="CQ2" i="33"/>
  <c r="CR2" i="33"/>
  <c r="CS2" i="33"/>
  <c r="CT2" i="33"/>
  <c r="CU2" i="33"/>
  <c r="CV2" i="33"/>
  <c r="CW2" i="33"/>
  <c r="CX2" i="33"/>
  <c r="A3" i="33"/>
  <c r="AH3" i="33"/>
  <c r="AK3" i="33"/>
  <c r="AV3" i="33"/>
  <c r="AW3" i="33"/>
  <c r="AX3" i="33"/>
  <c r="AY3" i="33"/>
  <c r="A4" i="33"/>
  <c r="N4" i="33"/>
  <c r="P4" i="33"/>
  <c r="T4" i="33"/>
  <c r="V4" i="33"/>
  <c r="W4" i="33"/>
  <c r="AH4" i="33"/>
  <c r="AK4" i="33"/>
  <c r="AM4" i="33"/>
  <c r="AN4" i="33"/>
  <c r="AO4" i="33"/>
  <c r="AP4" i="33"/>
  <c r="AQ4" i="33"/>
  <c r="AR4" i="33"/>
  <c r="AS4" i="33"/>
  <c r="AT4" i="33"/>
  <c r="AV4" i="33"/>
  <c r="AW4" i="33"/>
  <c r="AX4" i="33"/>
  <c r="AY4" i="33"/>
  <c r="A5" i="33"/>
  <c r="G5" i="33"/>
  <c r="N5" i="33"/>
  <c r="P5" i="33"/>
  <c r="T5" i="33"/>
  <c r="V5" i="33"/>
  <c r="W5" i="33"/>
  <c r="AH5" i="33"/>
  <c r="AK5" i="33"/>
  <c r="AM5" i="33"/>
  <c r="AN5" i="33"/>
  <c r="AO5" i="33"/>
  <c r="AP5" i="33"/>
  <c r="AQ5" i="33"/>
  <c r="AR5" i="33"/>
  <c r="AS5" i="33"/>
  <c r="AT5" i="33"/>
  <c r="AV5" i="33"/>
  <c r="AW5" i="33"/>
  <c r="AX5" i="33"/>
  <c r="AY5" i="33"/>
  <c r="BV5" i="33"/>
  <c r="A6" i="33"/>
  <c r="N6" i="33"/>
  <c r="P6" i="33"/>
  <c r="T6" i="33"/>
  <c r="V6" i="33"/>
  <c r="W6" i="33"/>
  <c r="AH6" i="33"/>
  <c r="AK6" i="33"/>
  <c r="AM6" i="33"/>
  <c r="AN6" i="33"/>
  <c r="AO6" i="33"/>
  <c r="AP6" i="33"/>
  <c r="AQ6" i="33"/>
  <c r="AR6" i="33"/>
  <c r="AS6" i="33"/>
  <c r="AT6" i="33"/>
  <c r="A7" i="33"/>
  <c r="G7" i="33"/>
  <c r="N7" i="33"/>
  <c r="N7" i="33" a="1"/>
  <c r="P7" i="33"/>
  <c r="T7" i="33"/>
  <c r="AH7" i="33"/>
  <c r="AK7" i="33"/>
  <c r="AM7" i="33"/>
  <c r="AN7" i="33"/>
  <c r="AO7" i="33"/>
  <c r="AP7" i="33"/>
  <c r="AQ7" i="33"/>
  <c r="AR7" i="33"/>
  <c r="AS7" i="33"/>
  <c r="AT7" i="33"/>
  <c r="AV7" i="33"/>
  <c r="AW7" i="33"/>
  <c r="AX7" i="33"/>
  <c r="AY7" i="33"/>
  <c r="G8" i="33"/>
  <c r="N8" i="33"/>
  <c r="N8" i="33" a="1"/>
  <c r="P8" i="33"/>
  <c r="T8" i="33"/>
  <c r="V8" i="33"/>
  <c r="W8" i="33"/>
  <c r="Y8" i="33"/>
  <c r="Z8" i="33"/>
  <c r="AH8" i="33"/>
  <c r="AK8" i="33"/>
  <c r="AM8" i="33"/>
  <c r="AN8" i="33"/>
  <c r="AO8" i="33"/>
  <c r="AP8" i="33"/>
  <c r="AQ8" i="33"/>
  <c r="AR8" i="33"/>
  <c r="AS8" i="33"/>
  <c r="AT8" i="33"/>
  <c r="AV8" i="33"/>
  <c r="AW8" i="33"/>
  <c r="AX8" i="33"/>
  <c r="AY8" i="33"/>
  <c r="N9" i="33"/>
  <c r="N9" i="33" a="1"/>
  <c r="P9" i="33"/>
  <c r="AK9" i="33"/>
  <c r="AM9" i="33"/>
  <c r="AN9" i="33"/>
  <c r="AO9" i="33"/>
  <c r="AP9" i="33"/>
  <c r="AQ9" i="33"/>
  <c r="AR9" i="33"/>
  <c r="AS9" i="33"/>
  <c r="AT9" i="33"/>
  <c r="AV9" i="33"/>
  <c r="AW9" i="33"/>
  <c r="AX9" i="33"/>
  <c r="AY9" i="33"/>
  <c r="K10" i="33"/>
  <c r="N10" i="33"/>
  <c r="P10" i="33"/>
  <c r="AH10" i="33"/>
  <c r="AM10" i="33"/>
  <c r="AN10" i="33"/>
  <c r="AO10" i="33"/>
  <c r="AP10" i="33"/>
  <c r="AQ10" i="33"/>
  <c r="AR10" i="33"/>
  <c r="AS10" i="33"/>
  <c r="AT10" i="33"/>
  <c r="AV10" i="33"/>
  <c r="AW10" i="33"/>
  <c r="AX10" i="33"/>
  <c r="AY10" i="33"/>
  <c r="D11" i="33"/>
  <c r="K11" i="33"/>
  <c r="N11" i="33"/>
  <c r="P11" i="33"/>
  <c r="AM11" i="33"/>
  <c r="AN11" i="33"/>
  <c r="AO11" i="33"/>
  <c r="AP11" i="33"/>
  <c r="AQ11" i="33"/>
  <c r="AR11" i="33"/>
  <c r="AS11" i="33"/>
  <c r="AT11" i="33"/>
  <c r="AV11" i="33"/>
  <c r="AW11" i="33"/>
  <c r="AX11" i="33"/>
  <c r="AY11" i="33"/>
  <c r="D12" i="33"/>
  <c r="N12" i="33"/>
  <c r="P12" i="33"/>
  <c r="AH12" i="33"/>
  <c r="AM12" i="33"/>
  <c r="AN12" i="33"/>
  <c r="AO12" i="33"/>
  <c r="AP12" i="33"/>
  <c r="AQ12" i="33"/>
  <c r="AR12" i="33"/>
  <c r="AS12" i="33"/>
  <c r="AT12" i="33"/>
  <c r="AV12" i="33"/>
  <c r="AW12" i="33"/>
  <c r="AX12" i="33"/>
  <c r="AY12" i="33"/>
  <c r="N13" i="33"/>
  <c r="P13" i="33"/>
  <c r="AH13" i="33"/>
  <c r="AM13" i="33"/>
  <c r="AN13" i="33"/>
  <c r="AO13" i="33"/>
  <c r="AP13" i="33"/>
  <c r="AQ13" i="33"/>
  <c r="AR13" i="33"/>
  <c r="AS13" i="33"/>
  <c r="AT13" i="33"/>
  <c r="AV13" i="33"/>
  <c r="AW13" i="33"/>
  <c r="AX13" i="33"/>
  <c r="AY13" i="33"/>
  <c r="N14" i="33"/>
  <c r="P14" i="33"/>
  <c r="S14" i="33"/>
  <c r="T14" i="33"/>
  <c r="AM14" i="33"/>
  <c r="AN14" i="33"/>
  <c r="AO14" i="33"/>
  <c r="AP14" i="33"/>
  <c r="AQ14" i="33"/>
  <c r="AR14" i="33"/>
  <c r="AS14" i="33"/>
  <c r="AT14" i="33"/>
  <c r="AV14" i="33"/>
  <c r="AW14" i="33"/>
  <c r="AX14" i="33"/>
  <c r="AY14" i="33"/>
  <c r="N15" i="33"/>
  <c r="P15" i="33"/>
  <c r="AM15" i="33"/>
  <c r="AN15" i="33"/>
  <c r="AO15" i="33"/>
  <c r="AP15" i="33"/>
  <c r="AQ15" i="33"/>
  <c r="AR15" i="33"/>
  <c r="AS15" i="33"/>
  <c r="AT15" i="33"/>
  <c r="AV15" i="33"/>
  <c r="AW15" i="33"/>
  <c r="AX15" i="33"/>
  <c r="AY15" i="33"/>
  <c r="N16" i="33"/>
  <c r="P16" i="33"/>
  <c r="AV16" i="33"/>
  <c r="AW16" i="33"/>
  <c r="AX16" i="33"/>
  <c r="AY16" i="33"/>
  <c r="N17" i="33"/>
  <c r="P17" i="33"/>
  <c r="AV17" i="33"/>
  <c r="AW17" i="33"/>
  <c r="AX17" i="33"/>
  <c r="AY17" i="33"/>
  <c r="N18" i="33"/>
  <c r="P18" i="33"/>
  <c r="AX18" i="33"/>
  <c r="AY18" i="33"/>
  <c r="N19" i="33"/>
  <c r="P19" i="33"/>
  <c r="S20" i="33"/>
  <c r="T20" i="33"/>
  <c r="AM20" i="33"/>
  <c r="AO20" i="33"/>
  <c r="AV20" i="33"/>
  <c r="AW20" i="33"/>
  <c r="AX20" i="33"/>
  <c r="AY20" i="33"/>
  <c r="D22" i="33"/>
  <c r="F22" i="33"/>
  <c r="G22" i="33"/>
  <c r="H22" i="33"/>
  <c r="I22" i="33"/>
  <c r="K22" i="33"/>
  <c r="L22" i="33"/>
  <c r="N22" i="33"/>
  <c r="O22" i="33"/>
  <c r="P22" i="33"/>
  <c r="Q22" i="33"/>
  <c r="S22" i="33"/>
  <c r="T22" i="33"/>
  <c r="V22" i="33"/>
  <c r="X22" i="33"/>
  <c r="Y22" i="33"/>
  <c r="Z22" i="33"/>
  <c r="AA22" i="33"/>
  <c r="AB22" i="33"/>
  <c r="AC22" i="33"/>
  <c r="AF22" i="33"/>
  <c r="AG22" i="33"/>
  <c r="AH22" i="33"/>
  <c r="AI22" i="33"/>
  <c r="AJ22" i="33"/>
  <c r="AL22" i="33"/>
  <c r="AM22" i="33"/>
  <c r="AN22" i="33"/>
  <c r="AO22" i="33"/>
  <c r="AP22" i="33"/>
  <c r="AQ22" i="33"/>
  <c r="AR22" i="33"/>
  <c r="AS22" i="33"/>
  <c r="AT22" i="33"/>
  <c r="AU22" i="33"/>
  <c r="AV22" i="33"/>
  <c r="AW22" i="33"/>
  <c r="AX22" i="33"/>
  <c r="AY22" i="33"/>
  <c r="BB22" i="33"/>
  <c r="BC22" i="33"/>
  <c r="BD22" i="33"/>
  <c r="BE22" i="33"/>
  <c r="BF22" i="33"/>
  <c r="BG22" i="33"/>
  <c r="BH22" i="33"/>
  <c r="BI22" i="33"/>
  <c r="BJ22" i="33"/>
  <c r="BK22" i="33"/>
  <c r="BL22" i="33"/>
  <c r="BM22" i="33"/>
  <c r="BN22" i="33"/>
  <c r="BO22" i="33"/>
  <c r="D23" i="33"/>
  <c r="F23" i="33"/>
  <c r="G23" i="33"/>
  <c r="H23" i="33"/>
  <c r="I23" i="33"/>
  <c r="K23" i="33"/>
  <c r="L23" i="33"/>
  <c r="N23" i="33"/>
  <c r="O23" i="33"/>
  <c r="P23" i="33"/>
  <c r="Q23" i="33"/>
  <c r="S23" i="33"/>
  <c r="T23" i="33"/>
  <c r="V23" i="33"/>
  <c r="X23" i="33"/>
  <c r="Y23" i="33"/>
  <c r="Z23" i="33"/>
  <c r="AA23" i="33"/>
  <c r="AB23" i="33"/>
  <c r="AC23" i="33"/>
  <c r="AF23" i="33"/>
  <c r="AG23" i="33"/>
  <c r="AH23" i="33"/>
  <c r="AI23" i="33"/>
  <c r="AJ23" i="33"/>
  <c r="AL23" i="33"/>
  <c r="AM23" i="33"/>
  <c r="AN23" i="33"/>
  <c r="AO23" i="33"/>
  <c r="AP23" i="33"/>
  <c r="AQ23" i="33"/>
  <c r="AR23" i="33"/>
  <c r="AS23" i="33"/>
  <c r="AT23" i="33"/>
  <c r="AU23" i="33"/>
  <c r="AV23" i="33"/>
  <c r="AW23" i="33"/>
  <c r="AX23" i="33"/>
  <c r="AY23" i="33"/>
  <c r="BB23" i="33"/>
  <c r="BC23" i="33"/>
  <c r="BD23" i="33"/>
  <c r="BE23" i="33"/>
  <c r="BF23" i="33"/>
  <c r="BG23" i="33"/>
  <c r="BH23" i="33"/>
  <c r="BI23" i="33"/>
  <c r="BJ23" i="33"/>
  <c r="BK23" i="33"/>
  <c r="BL23" i="33"/>
  <c r="BM23" i="33"/>
  <c r="BN23" i="33"/>
  <c r="BO23" i="33"/>
  <c r="D24" i="33"/>
  <c r="F24" i="33"/>
  <c r="G24" i="33"/>
  <c r="H24" i="33"/>
  <c r="I24" i="33"/>
  <c r="K24" i="33"/>
  <c r="L24" i="33"/>
  <c r="N24" i="33"/>
  <c r="O24" i="33"/>
  <c r="P24" i="33"/>
  <c r="Q24" i="33"/>
  <c r="S24" i="33"/>
  <c r="T24" i="33"/>
  <c r="V24" i="33"/>
  <c r="X24" i="33"/>
  <c r="Y24" i="33"/>
  <c r="Z24" i="33"/>
  <c r="AA24" i="33"/>
  <c r="AB24" i="33"/>
  <c r="AC24" i="33"/>
  <c r="AF24" i="33"/>
  <c r="AG24" i="33"/>
  <c r="AH24" i="33"/>
  <c r="AI24" i="33"/>
  <c r="AJ24" i="33"/>
  <c r="AL24" i="33"/>
  <c r="AM24" i="33"/>
  <c r="AN24" i="33"/>
  <c r="AO24" i="33"/>
  <c r="AP24" i="33"/>
  <c r="AQ24" i="33"/>
  <c r="AR24" i="33"/>
  <c r="AS24" i="33"/>
  <c r="AT24" i="33"/>
  <c r="AU24" i="33"/>
  <c r="AV24" i="33"/>
  <c r="AW24" i="33"/>
  <c r="AX24" i="33"/>
  <c r="AY24" i="33"/>
  <c r="BB24" i="33"/>
  <c r="BC24" i="33"/>
  <c r="BD24" i="33"/>
  <c r="BE24" i="33"/>
  <c r="BF24" i="33"/>
  <c r="BG24" i="33"/>
  <c r="BH24" i="33"/>
  <c r="BI24" i="33"/>
  <c r="BJ24" i="33"/>
  <c r="BK24" i="33"/>
  <c r="BL24" i="33"/>
  <c r="BM24" i="33"/>
  <c r="BN24" i="33"/>
  <c r="BO24" i="33"/>
  <c r="D25" i="33"/>
  <c r="F25" i="33"/>
  <c r="G25" i="33"/>
  <c r="H25" i="33"/>
  <c r="I25" i="33"/>
  <c r="K25" i="33"/>
  <c r="L25" i="33"/>
  <c r="N25" i="33"/>
  <c r="O25" i="33"/>
  <c r="P25" i="33"/>
  <c r="Q25" i="33"/>
  <c r="S25" i="33"/>
  <c r="T25" i="33"/>
  <c r="V25" i="33"/>
  <c r="X25" i="33"/>
  <c r="Y25" i="33"/>
  <c r="Z25" i="33"/>
  <c r="AA25" i="33"/>
  <c r="AB25" i="33"/>
  <c r="AC25" i="33"/>
  <c r="AF25" i="33"/>
  <c r="AG25" i="33"/>
  <c r="AH25" i="33"/>
  <c r="AI25" i="33"/>
  <c r="AJ25" i="33"/>
  <c r="AL25" i="33"/>
  <c r="AM25" i="33"/>
  <c r="AN25" i="33"/>
  <c r="AO25" i="33"/>
  <c r="AP25" i="33"/>
  <c r="AQ25" i="33"/>
  <c r="AR25" i="33"/>
  <c r="AS25" i="33"/>
  <c r="AT25" i="33"/>
  <c r="AU25" i="33"/>
  <c r="AV25" i="33"/>
  <c r="AW25" i="33"/>
  <c r="AX25" i="33"/>
  <c r="AY25" i="33"/>
  <c r="BB25" i="33"/>
  <c r="BC25" i="33"/>
  <c r="BD25" i="33"/>
  <c r="BE25" i="33"/>
  <c r="BF25" i="33"/>
  <c r="BG25" i="33"/>
  <c r="BH25" i="33"/>
  <c r="BI25" i="33"/>
  <c r="BJ25" i="33"/>
  <c r="BK25" i="33"/>
  <c r="BL25" i="33"/>
  <c r="BM25" i="33"/>
  <c r="BN25" i="33"/>
  <c r="BO25" i="33"/>
  <c r="D26" i="33"/>
  <c r="F26" i="33"/>
  <c r="G26" i="33"/>
  <c r="H26" i="33"/>
  <c r="I26" i="33"/>
  <c r="K26" i="33"/>
  <c r="L26" i="33"/>
  <c r="N26" i="33"/>
  <c r="O26" i="33"/>
  <c r="P26" i="33"/>
  <c r="Q26" i="33"/>
  <c r="S26" i="33"/>
  <c r="T26" i="33"/>
  <c r="V26" i="33"/>
  <c r="X26" i="33"/>
  <c r="Y26" i="33"/>
  <c r="Z26" i="33"/>
  <c r="AA26" i="33"/>
  <c r="AB26" i="33"/>
  <c r="AC26" i="33"/>
  <c r="AF26" i="33"/>
  <c r="AG26" i="33"/>
  <c r="AH26" i="33"/>
  <c r="AI26" i="33"/>
  <c r="AJ26" i="33"/>
  <c r="AL26" i="33"/>
  <c r="AM26" i="33"/>
  <c r="AN26" i="33"/>
  <c r="AO26" i="33"/>
  <c r="AP26" i="33"/>
  <c r="AQ26" i="33"/>
  <c r="AR26" i="33"/>
  <c r="AS26" i="33"/>
  <c r="AT26" i="33"/>
  <c r="AU26" i="33"/>
  <c r="AV26" i="33"/>
  <c r="AW26" i="33"/>
  <c r="AX26" i="33"/>
  <c r="AY26" i="33"/>
  <c r="BB26" i="33"/>
  <c r="BC26" i="33"/>
  <c r="BD26" i="33"/>
  <c r="BE26" i="33"/>
  <c r="BF26" i="33"/>
  <c r="BG26" i="33"/>
  <c r="BH26" i="33"/>
  <c r="BI26" i="33"/>
  <c r="BJ26" i="33"/>
  <c r="BK26" i="33"/>
  <c r="BL26" i="33"/>
  <c r="BM26" i="33"/>
  <c r="BN26" i="33"/>
  <c r="BO26" i="33"/>
  <c r="D27" i="33"/>
  <c r="F27" i="33"/>
  <c r="G27" i="33"/>
  <c r="H27" i="33"/>
  <c r="I27" i="33"/>
  <c r="K27" i="33"/>
  <c r="L27" i="33"/>
  <c r="N27" i="33"/>
  <c r="O27" i="33"/>
  <c r="P27" i="33"/>
  <c r="Q27" i="33"/>
  <c r="S27" i="33"/>
  <c r="T27" i="33"/>
  <c r="V27" i="33"/>
  <c r="X27" i="33"/>
  <c r="Y27" i="33"/>
  <c r="Z27" i="33"/>
  <c r="AA27" i="33"/>
  <c r="AB27" i="33"/>
  <c r="AC27" i="33"/>
  <c r="AF27" i="33"/>
  <c r="AG27" i="33"/>
  <c r="AH27" i="33"/>
  <c r="AI27" i="33"/>
  <c r="AJ27" i="33"/>
  <c r="AL27" i="33"/>
  <c r="AM27" i="33"/>
  <c r="AN27" i="33"/>
  <c r="AO27" i="33"/>
  <c r="AP27" i="33"/>
  <c r="AQ27" i="33"/>
  <c r="AR27" i="33"/>
  <c r="AS27" i="33"/>
  <c r="AT27" i="33"/>
  <c r="AU27" i="33"/>
  <c r="AV27" i="33"/>
  <c r="AW27" i="33"/>
  <c r="AX27" i="33"/>
  <c r="AY27" i="33"/>
  <c r="BB27" i="33"/>
  <c r="BC27" i="33"/>
  <c r="BD27" i="33"/>
  <c r="BE27" i="33"/>
  <c r="BF27" i="33"/>
  <c r="BG27" i="33"/>
  <c r="BH27" i="33"/>
  <c r="BI27" i="33"/>
  <c r="BJ27" i="33"/>
  <c r="BK27" i="33"/>
  <c r="BL27" i="33"/>
  <c r="BM27" i="33"/>
  <c r="BN27" i="33"/>
  <c r="BO27" i="33"/>
  <c r="D28" i="33"/>
  <c r="F28" i="33"/>
  <c r="G28" i="33"/>
  <c r="H28" i="33"/>
  <c r="I28" i="33"/>
  <c r="K28" i="33"/>
  <c r="L28" i="33"/>
  <c r="N28" i="33"/>
  <c r="O28" i="33"/>
  <c r="P28" i="33"/>
  <c r="Q28" i="33"/>
  <c r="S28" i="33"/>
  <c r="T28" i="33"/>
  <c r="V28" i="33"/>
  <c r="X28" i="33"/>
  <c r="Y28" i="33"/>
  <c r="Z28" i="33"/>
  <c r="AA28" i="33"/>
  <c r="AB28" i="33"/>
  <c r="AC28" i="33"/>
  <c r="AF28" i="33"/>
  <c r="AG28" i="33"/>
  <c r="AH28" i="33"/>
  <c r="AI28" i="33"/>
  <c r="AJ28" i="33"/>
  <c r="AL28" i="33"/>
  <c r="AM28" i="33"/>
  <c r="AN28" i="33"/>
  <c r="AO28" i="33"/>
  <c r="AP28" i="33"/>
  <c r="AQ28" i="33"/>
  <c r="AR28" i="33"/>
  <c r="AS28" i="33"/>
  <c r="AT28" i="33"/>
  <c r="AU28" i="33"/>
  <c r="AV28" i="33"/>
  <c r="AW28" i="33"/>
  <c r="AX28" i="33"/>
  <c r="AY28" i="33"/>
  <c r="BB28" i="33"/>
  <c r="BC28" i="33"/>
  <c r="BD28" i="33"/>
  <c r="BE28" i="33"/>
  <c r="BF28" i="33"/>
  <c r="BG28" i="33"/>
  <c r="BH28" i="33"/>
  <c r="BI28" i="33"/>
  <c r="BJ28" i="33"/>
  <c r="BK28" i="33"/>
  <c r="BL28" i="33"/>
  <c r="BM28" i="33"/>
  <c r="BN28" i="33"/>
  <c r="BO28" i="33"/>
  <c r="D29" i="33"/>
  <c r="F29" i="33"/>
  <c r="G29" i="33"/>
  <c r="H29" i="33"/>
  <c r="I29" i="33"/>
  <c r="K29" i="33"/>
  <c r="L29" i="33"/>
  <c r="N29" i="33"/>
  <c r="O29" i="33"/>
  <c r="P29" i="33"/>
  <c r="Q29" i="33"/>
  <c r="S29" i="33"/>
  <c r="T29" i="33"/>
  <c r="V29" i="33"/>
  <c r="X29" i="33"/>
  <c r="Y29" i="33"/>
  <c r="Z29" i="33"/>
  <c r="AA29" i="33"/>
  <c r="AB29" i="33"/>
  <c r="AC29" i="33"/>
  <c r="AF29" i="33"/>
  <c r="AG29" i="33"/>
  <c r="AH29" i="33"/>
  <c r="AI29" i="33"/>
  <c r="AJ29" i="33"/>
  <c r="AL29" i="33"/>
  <c r="AM29" i="33"/>
  <c r="AN29" i="33"/>
  <c r="AO29" i="33"/>
  <c r="AP29" i="33"/>
  <c r="AQ29" i="33"/>
  <c r="AR29" i="33"/>
  <c r="AS29" i="33"/>
  <c r="AT29" i="33"/>
  <c r="AU29" i="33"/>
  <c r="AV29" i="33"/>
  <c r="AW29" i="33"/>
  <c r="AX29" i="33"/>
  <c r="AY29" i="33"/>
  <c r="BB29" i="33"/>
  <c r="BC29" i="33"/>
  <c r="BD29" i="33"/>
  <c r="BE29" i="33"/>
  <c r="BF29" i="33"/>
  <c r="BG29" i="33"/>
  <c r="BH29" i="33"/>
  <c r="BI29" i="33"/>
  <c r="BJ29" i="33"/>
  <c r="BK29" i="33"/>
  <c r="BL29" i="33"/>
  <c r="BM29" i="33"/>
  <c r="BN29" i="33"/>
  <c r="BO29" i="33"/>
  <c r="D30" i="33"/>
  <c r="F30" i="33"/>
  <c r="G30" i="33"/>
  <c r="H30" i="33"/>
  <c r="I30" i="33"/>
  <c r="K30" i="33"/>
  <c r="L30" i="33"/>
  <c r="N30" i="33"/>
  <c r="O30" i="33"/>
  <c r="P30" i="33"/>
  <c r="Q30" i="33"/>
  <c r="S30" i="33"/>
  <c r="T30" i="33"/>
  <c r="V30" i="33"/>
  <c r="X30" i="33"/>
  <c r="Y30" i="33"/>
  <c r="Z30" i="33"/>
  <c r="AA30" i="33"/>
  <c r="AB30" i="33"/>
  <c r="AC30" i="33"/>
  <c r="AF30" i="33"/>
  <c r="AG30" i="33"/>
  <c r="AH30" i="33"/>
  <c r="AI30" i="33"/>
  <c r="AJ30" i="33"/>
  <c r="AL30" i="33"/>
  <c r="AM30" i="33"/>
  <c r="AN30" i="33"/>
  <c r="AO30" i="33"/>
  <c r="AP30" i="33"/>
  <c r="AQ30" i="33"/>
  <c r="AR30" i="33"/>
  <c r="AS30" i="33"/>
  <c r="AT30" i="33"/>
  <c r="AU30" i="33"/>
  <c r="AV30" i="33"/>
  <c r="AW30" i="33"/>
  <c r="AX30" i="33"/>
  <c r="AY30" i="33"/>
  <c r="BB30" i="33"/>
  <c r="BC30" i="33"/>
  <c r="BD30" i="33"/>
  <c r="BE30" i="33"/>
  <c r="BF30" i="33"/>
  <c r="BG30" i="33"/>
  <c r="BH30" i="33"/>
  <c r="BI30" i="33"/>
  <c r="BJ30" i="33"/>
  <c r="BK30" i="33"/>
  <c r="BL30" i="33"/>
  <c r="BM30" i="33"/>
  <c r="BN30" i="33"/>
  <c r="BO30" i="33"/>
  <c r="D31" i="33"/>
  <c r="F31" i="33"/>
  <c r="G31" i="33"/>
  <c r="H31" i="33"/>
  <c r="I31" i="33"/>
  <c r="K31" i="33"/>
  <c r="L31" i="33"/>
  <c r="N31" i="33"/>
  <c r="O31" i="33"/>
  <c r="P31" i="33"/>
  <c r="Q31" i="33"/>
  <c r="S31" i="33"/>
  <c r="T31" i="33"/>
  <c r="V31" i="33"/>
  <c r="X31" i="33"/>
  <c r="Y31" i="33"/>
  <c r="Z31" i="33"/>
  <c r="AA31" i="33"/>
  <c r="AB31" i="33"/>
  <c r="AC31" i="33"/>
  <c r="AF31" i="33"/>
  <c r="AG31" i="33"/>
  <c r="AH31" i="33"/>
  <c r="AI31" i="33"/>
  <c r="AJ31" i="33"/>
  <c r="AL31" i="33"/>
  <c r="AM31" i="33"/>
  <c r="AN31" i="33"/>
  <c r="AO31" i="33"/>
  <c r="AP31" i="33"/>
  <c r="AQ31" i="33"/>
  <c r="AR31" i="33"/>
  <c r="AS31" i="33"/>
  <c r="AT31" i="33"/>
  <c r="AU31" i="33"/>
  <c r="AV31" i="33"/>
  <c r="AW31" i="33"/>
  <c r="AX31" i="33"/>
  <c r="AY31" i="33"/>
  <c r="BB31" i="33"/>
  <c r="BC31" i="33"/>
  <c r="BD31" i="33"/>
  <c r="BE31" i="33"/>
  <c r="BF31" i="33"/>
  <c r="BG31" i="33"/>
  <c r="BH31" i="33"/>
  <c r="BI31" i="33"/>
  <c r="BJ31" i="33"/>
  <c r="BK31" i="33"/>
  <c r="BL31" i="33"/>
  <c r="BM31" i="33"/>
  <c r="BN31" i="33"/>
  <c r="BO31" i="33"/>
  <c r="D32" i="33"/>
  <c r="F32" i="33"/>
  <c r="G32" i="33"/>
  <c r="H32" i="33"/>
  <c r="I32" i="33"/>
  <c r="K32" i="33"/>
  <c r="L32" i="33"/>
  <c r="N32" i="33"/>
  <c r="O32" i="33"/>
  <c r="P32" i="33"/>
  <c r="Q32" i="33"/>
  <c r="S32" i="33"/>
  <c r="T32" i="33"/>
  <c r="V32" i="33"/>
  <c r="X32" i="33"/>
  <c r="Y32" i="33"/>
  <c r="Z32" i="33"/>
  <c r="AA32" i="33"/>
  <c r="AB32" i="33"/>
  <c r="AC32" i="33"/>
  <c r="AF32" i="33"/>
  <c r="AG32" i="33"/>
  <c r="AH32" i="33"/>
  <c r="AI32" i="33"/>
  <c r="AJ32" i="33"/>
  <c r="AL32" i="33"/>
  <c r="AM32" i="33"/>
  <c r="AN32" i="33"/>
  <c r="AO32" i="33"/>
  <c r="AP32" i="33"/>
  <c r="AQ32" i="33"/>
  <c r="AR32" i="33"/>
  <c r="AS32" i="33"/>
  <c r="AT32" i="33"/>
  <c r="AU32" i="33"/>
  <c r="AV32" i="33"/>
  <c r="AW32" i="33"/>
  <c r="AX32" i="33"/>
  <c r="AY32" i="33"/>
  <c r="BB32" i="33"/>
  <c r="BC32" i="33"/>
  <c r="BD32" i="33"/>
  <c r="BE32" i="33"/>
  <c r="BF32" i="33"/>
  <c r="BG32" i="33"/>
  <c r="BH32" i="33"/>
  <c r="BI32" i="33"/>
  <c r="BJ32" i="33"/>
  <c r="BK32" i="33"/>
  <c r="BL32" i="33"/>
  <c r="BM32" i="33"/>
  <c r="BN32" i="33"/>
  <c r="BO32" i="33"/>
  <c r="D33" i="33"/>
  <c r="F33" i="33"/>
  <c r="G33" i="33"/>
  <c r="H33" i="33"/>
  <c r="I33" i="33"/>
  <c r="K33" i="33"/>
  <c r="L33" i="33"/>
  <c r="N33" i="33"/>
  <c r="O33" i="33"/>
  <c r="P33" i="33"/>
  <c r="Q33" i="33"/>
  <c r="S33" i="33"/>
  <c r="T33" i="33"/>
  <c r="V33" i="33"/>
  <c r="X33" i="33"/>
  <c r="Y33" i="33"/>
  <c r="Z33" i="33"/>
  <c r="AA33" i="33"/>
  <c r="AB33" i="33"/>
  <c r="AC33" i="33"/>
  <c r="AF33" i="33"/>
  <c r="AG33" i="33"/>
  <c r="AH33" i="33"/>
  <c r="AI33" i="33"/>
  <c r="AJ33" i="33"/>
  <c r="AL33" i="33"/>
  <c r="AM33" i="33"/>
  <c r="AN33" i="33"/>
  <c r="AO33" i="33"/>
  <c r="AP33" i="33"/>
  <c r="AQ33" i="33"/>
  <c r="AR33" i="33"/>
  <c r="AS33" i="33"/>
  <c r="AT33" i="33"/>
  <c r="AU33" i="33"/>
  <c r="AV33" i="33"/>
  <c r="AW33" i="33"/>
  <c r="AX33" i="33"/>
  <c r="AY33" i="33"/>
  <c r="BB33" i="33"/>
  <c r="BC33" i="33"/>
  <c r="BD33" i="33"/>
  <c r="BE33" i="33"/>
  <c r="BF33" i="33"/>
  <c r="BG33" i="33"/>
  <c r="BH33" i="33"/>
  <c r="BI33" i="33"/>
  <c r="BJ33" i="33"/>
  <c r="BK33" i="33"/>
  <c r="BL33" i="33"/>
  <c r="BM33" i="33"/>
  <c r="BN33" i="33"/>
  <c r="BO33" i="33"/>
  <c r="D34" i="33"/>
  <c r="F34" i="33"/>
  <c r="G34" i="33"/>
  <c r="H34" i="33"/>
  <c r="I34" i="33"/>
  <c r="K34" i="33"/>
  <c r="L34" i="33"/>
  <c r="N34" i="33"/>
  <c r="O34" i="33"/>
  <c r="P34" i="33"/>
  <c r="Q34" i="33"/>
  <c r="S34" i="33"/>
  <c r="T34" i="33"/>
  <c r="V34" i="33"/>
  <c r="X34" i="33"/>
  <c r="Y34" i="33"/>
  <c r="Z34" i="33"/>
  <c r="AA34" i="33"/>
  <c r="AB34" i="33"/>
  <c r="AC34" i="33"/>
  <c r="AF34" i="33"/>
  <c r="AG34" i="33"/>
  <c r="AH34" i="33"/>
  <c r="AI34" i="33"/>
  <c r="AJ34" i="33"/>
  <c r="AL34" i="33"/>
  <c r="AM34" i="33"/>
  <c r="AN34" i="33"/>
  <c r="AO34" i="33"/>
  <c r="AP34" i="33"/>
  <c r="AQ34" i="33"/>
  <c r="AR34" i="33"/>
  <c r="AS34" i="33"/>
  <c r="AT34" i="33"/>
  <c r="AU34" i="33"/>
  <c r="AV34" i="33"/>
  <c r="AW34" i="33"/>
  <c r="AX34" i="33"/>
  <c r="AY34" i="33"/>
  <c r="BB34" i="33"/>
  <c r="BC34" i="33"/>
  <c r="BD34" i="33"/>
  <c r="BE34" i="33"/>
  <c r="BF34" i="33"/>
  <c r="BG34" i="33"/>
  <c r="BH34" i="33"/>
  <c r="BI34" i="33"/>
  <c r="BJ34" i="33"/>
  <c r="BK34" i="33"/>
  <c r="BL34" i="33"/>
  <c r="BM34" i="33"/>
  <c r="BN34" i="33"/>
  <c r="BO34" i="33"/>
  <c r="D35" i="33"/>
  <c r="F35" i="33"/>
  <c r="G35" i="33"/>
  <c r="H35" i="33"/>
  <c r="I35" i="33"/>
  <c r="K35" i="33"/>
  <c r="L35" i="33"/>
  <c r="N35" i="33"/>
  <c r="O35" i="33"/>
  <c r="P35" i="33"/>
  <c r="Q35" i="33"/>
  <c r="S35" i="33"/>
  <c r="T35" i="33"/>
  <c r="V35" i="33"/>
  <c r="X35" i="33"/>
  <c r="Y35" i="33"/>
  <c r="Z35" i="33"/>
  <c r="AA35" i="33"/>
  <c r="AB35" i="33"/>
  <c r="AC35" i="33"/>
  <c r="AF35" i="33"/>
  <c r="AG35" i="33"/>
  <c r="AH35" i="33"/>
  <c r="AI35" i="33"/>
  <c r="AJ35" i="33"/>
  <c r="AL35" i="33"/>
  <c r="AM35" i="33"/>
  <c r="AN35" i="33"/>
  <c r="AO35" i="33"/>
  <c r="AP35" i="33"/>
  <c r="AQ35" i="33"/>
  <c r="AR35" i="33"/>
  <c r="AS35" i="33"/>
  <c r="AT35" i="33"/>
  <c r="AU35" i="33"/>
  <c r="AV35" i="33"/>
  <c r="AW35" i="33"/>
  <c r="AX35" i="33"/>
  <c r="AY35" i="33"/>
  <c r="BB35" i="33"/>
  <c r="BC35" i="33"/>
  <c r="BD35" i="33"/>
  <c r="BE35" i="33"/>
  <c r="BF35" i="33"/>
  <c r="BG35" i="33"/>
  <c r="BH35" i="33"/>
  <c r="BI35" i="33"/>
  <c r="BJ35" i="33"/>
  <c r="BK35" i="33"/>
  <c r="BL35" i="33"/>
  <c r="BM35" i="33"/>
  <c r="BN35" i="33"/>
  <c r="BO35" i="33"/>
  <c r="D36" i="33"/>
  <c r="F36" i="33"/>
  <c r="G36" i="33"/>
  <c r="H36" i="33"/>
  <c r="I36" i="33"/>
  <c r="K36" i="33"/>
  <c r="L36" i="33"/>
  <c r="N36" i="33"/>
  <c r="O36" i="33"/>
  <c r="P36" i="33"/>
  <c r="Q36" i="33"/>
  <c r="S36" i="33"/>
  <c r="T36" i="33"/>
  <c r="V36" i="33"/>
  <c r="X36" i="33"/>
  <c r="Y36" i="33"/>
  <c r="Z36" i="33"/>
  <c r="AA36" i="33"/>
  <c r="AB36" i="33"/>
  <c r="AC36" i="33"/>
  <c r="AF36" i="33"/>
  <c r="AG36" i="33"/>
  <c r="AH36" i="33"/>
  <c r="AI36" i="33"/>
  <c r="AJ36" i="33"/>
  <c r="AL36" i="33"/>
  <c r="AM36" i="33"/>
  <c r="AN36" i="33"/>
  <c r="AO36" i="33"/>
  <c r="AP36" i="33"/>
  <c r="AQ36" i="33"/>
  <c r="AR36" i="33"/>
  <c r="AS36" i="33"/>
  <c r="AT36" i="33"/>
  <c r="AU36" i="33"/>
  <c r="AV36" i="33"/>
  <c r="AW36" i="33"/>
  <c r="AX36" i="33"/>
  <c r="AY36" i="33"/>
  <c r="BB36" i="33"/>
  <c r="BC36" i="33"/>
  <c r="BD36" i="33"/>
  <c r="BE36" i="33"/>
  <c r="BF36" i="33"/>
  <c r="BG36" i="33"/>
  <c r="BH36" i="33"/>
  <c r="BI36" i="33"/>
  <c r="BJ36" i="33"/>
  <c r="BK36" i="33"/>
  <c r="BL36" i="33"/>
  <c r="BM36" i="33"/>
  <c r="BN36" i="33"/>
  <c r="BO36" i="33"/>
  <c r="D37" i="33"/>
  <c r="F37" i="33"/>
  <c r="G37" i="33"/>
  <c r="H37" i="33"/>
  <c r="I37" i="33"/>
  <c r="K37" i="33"/>
  <c r="L37" i="33"/>
  <c r="N37" i="33"/>
  <c r="O37" i="33"/>
  <c r="P37" i="33"/>
  <c r="Q37" i="33"/>
  <c r="S37" i="33"/>
  <c r="T37" i="33"/>
  <c r="V37" i="33"/>
  <c r="X37" i="33"/>
  <c r="Y37" i="33"/>
  <c r="Z37" i="33"/>
  <c r="AA37" i="33"/>
  <c r="AB37" i="33"/>
  <c r="AC37" i="33"/>
  <c r="AF37" i="33"/>
  <c r="AG37" i="33"/>
  <c r="AH37" i="33"/>
  <c r="AI37" i="33"/>
  <c r="AJ37" i="33"/>
  <c r="AL37" i="33"/>
  <c r="AM37" i="33"/>
  <c r="AN37" i="33"/>
  <c r="AO37" i="33"/>
  <c r="AP37" i="33"/>
  <c r="AQ37" i="33"/>
  <c r="AR37" i="33"/>
  <c r="AS37" i="33"/>
  <c r="AT37" i="33"/>
  <c r="AU37" i="33"/>
  <c r="AV37" i="33"/>
  <c r="AW37" i="33"/>
  <c r="AX37" i="33"/>
  <c r="AY37" i="33"/>
  <c r="BB37" i="33"/>
  <c r="BC37" i="33"/>
  <c r="BD37" i="33"/>
  <c r="BE37" i="33"/>
  <c r="BF37" i="33"/>
  <c r="BG37" i="33"/>
  <c r="BH37" i="33"/>
  <c r="BI37" i="33"/>
  <c r="BJ37" i="33"/>
  <c r="BK37" i="33"/>
  <c r="BL37" i="33"/>
  <c r="BM37" i="33"/>
  <c r="BN37" i="33"/>
  <c r="BO37" i="33"/>
  <c r="D38" i="33"/>
  <c r="F38" i="33"/>
  <c r="G38" i="33"/>
  <c r="H38" i="33"/>
  <c r="I38" i="33"/>
  <c r="K38" i="33"/>
  <c r="L38" i="33"/>
  <c r="N38" i="33"/>
  <c r="O38" i="33"/>
  <c r="P38" i="33"/>
  <c r="Q38" i="33"/>
  <c r="S38" i="33"/>
  <c r="T38" i="33"/>
  <c r="V38" i="33"/>
  <c r="X38" i="33"/>
  <c r="Y38" i="33"/>
  <c r="Z38" i="33"/>
  <c r="AA38" i="33"/>
  <c r="AB38" i="33"/>
  <c r="AC38" i="33"/>
  <c r="AF38" i="33"/>
  <c r="AG38" i="33"/>
  <c r="AH38" i="33"/>
  <c r="AI38" i="33"/>
  <c r="AJ38" i="33"/>
  <c r="AL38" i="33"/>
  <c r="AM38" i="33"/>
  <c r="AN38" i="33"/>
  <c r="AO38" i="33"/>
  <c r="AP38" i="33"/>
  <c r="AQ38" i="33"/>
  <c r="AR38" i="33"/>
  <c r="AS38" i="33"/>
  <c r="AT38" i="33"/>
  <c r="AU38" i="33"/>
  <c r="AV38" i="33"/>
  <c r="AW38" i="33"/>
  <c r="AX38" i="33"/>
  <c r="AY38" i="33"/>
  <c r="BB38" i="33"/>
  <c r="BC38" i="33"/>
  <c r="BD38" i="33"/>
  <c r="BE38" i="33"/>
  <c r="BF38" i="33"/>
  <c r="BG38" i="33"/>
  <c r="BH38" i="33"/>
  <c r="BI38" i="33"/>
  <c r="BJ38" i="33"/>
  <c r="BK38" i="33"/>
  <c r="BL38" i="33"/>
  <c r="BM38" i="33"/>
  <c r="BN38" i="33"/>
  <c r="BO38" i="33"/>
  <c r="D39" i="33"/>
  <c r="F39" i="33"/>
  <c r="G39" i="33"/>
  <c r="H39" i="33"/>
  <c r="I39" i="33"/>
  <c r="K39" i="33"/>
  <c r="L39" i="33"/>
  <c r="N39" i="33"/>
  <c r="O39" i="33"/>
  <c r="P39" i="33"/>
  <c r="Q39" i="33"/>
  <c r="S39" i="33"/>
  <c r="T39" i="33"/>
  <c r="V39" i="33"/>
  <c r="X39" i="33"/>
  <c r="Y39" i="33"/>
  <c r="Z39" i="33"/>
  <c r="AA39" i="33"/>
  <c r="AB39" i="33"/>
  <c r="AC39" i="33"/>
  <c r="AF39" i="33"/>
  <c r="AG39" i="33"/>
  <c r="AH39" i="33"/>
  <c r="AI39" i="33"/>
  <c r="AJ39" i="33"/>
  <c r="AL39" i="33"/>
  <c r="AM39" i="33"/>
  <c r="AN39" i="33"/>
  <c r="AO39" i="33"/>
  <c r="AP39" i="33"/>
  <c r="AQ39" i="33"/>
  <c r="AR39" i="33"/>
  <c r="AS39" i="33"/>
  <c r="AT39" i="33"/>
  <c r="AU39" i="33"/>
  <c r="AV39" i="33"/>
  <c r="AW39" i="33"/>
  <c r="AX39" i="33"/>
  <c r="AY39" i="33"/>
  <c r="BB39" i="33"/>
  <c r="BC39" i="33"/>
  <c r="BD39" i="33"/>
  <c r="BE39" i="33"/>
  <c r="BF39" i="33"/>
  <c r="BG39" i="33"/>
  <c r="BH39" i="33"/>
  <c r="BI39" i="33"/>
  <c r="BJ39" i="33"/>
  <c r="BK39" i="33"/>
  <c r="BL39" i="33"/>
  <c r="BM39" i="33"/>
  <c r="BN39" i="33"/>
  <c r="BO39" i="33"/>
  <c r="D40" i="33"/>
  <c r="F40" i="33"/>
  <c r="G40" i="33"/>
  <c r="H40" i="33"/>
  <c r="I40" i="33"/>
  <c r="K40" i="33"/>
  <c r="L40" i="33"/>
  <c r="N40" i="33"/>
  <c r="O40" i="33"/>
  <c r="P40" i="33"/>
  <c r="Q40" i="33"/>
  <c r="S40" i="33"/>
  <c r="T40" i="33"/>
  <c r="V40" i="33"/>
  <c r="X40" i="33"/>
  <c r="Y40" i="33"/>
  <c r="Z40" i="33"/>
  <c r="AA40" i="33"/>
  <c r="AB40" i="33"/>
  <c r="AC40" i="33"/>
  <c r="AF40" i="33"/>
  <c r="AG40" i="33"/>
  <c r="AH40" i="33"/>
  <c r="AI40" i="33"/>
  <c r="AJ40" i="33"/>
  <c r="AL40" i="33"/>
  <c r="AM40" i="33"/>
  <c r="AN40" i="33"/>
  <c r="AO40" i="33"/>
  <c r="AP40" i="33"/>
  <c r="AQ40" i="33"/>
  <c r="AR40" i="33"/>
  <c r="AS40" i="33"/>
  <c r="AT40" i="33"/>
  <c r="AU40" i="33"/>
  <c r="AV40" i="33"/>
  <c r="AW40" i="33"/>
  <c r="AX40" i="33"/>
  <c r="AY40" i="33"/>
  <c r="BB40" i="33"/>
  <c r="BC40" i="33"/>
  <c r="BD40" i="33"/>
  <c r="BE40" i="33"/>
  <c r="BF40" i="33"/>
  <c r="BG40" i="33"/>
  <c r="BH40" i="33"/>
  <c r="BI40" i="33"/>
  <c r="BJ40" i="33"/>
  <c r="BK40" i="33"/>
  <c r="BL40" i="33"/>
  <c r="BM40" i="33"/>
  <c r="BN40" i="33"/>
  <c r="BO40" i="33"/>
  <c r="D41" i="33"/>
  <c r="F41" i="33"/>
  <c r="G41" i="33"/>
  <c r="H41" i="33"/>
  <c r="I41" i="33"/>
  <c r="K41" i="33"/>
  <c r="L41" i="33"/>
  <c r="N41" i="33"/>
  <c r="O41" i="33"/>
  <c r="P41" i="33"/>
  <c r="Q41" i="33"/>
  <c r="S41" i="33"/>
  <c r="T41" i="33"/>
  <c r="V41" i="33"/>
  <c r="X41" i="33"/>
  <c r="Y41" i="33"/>
  <c r="Z41" i="33"/>
  <c r="AA41" i="33"/>
  <c r="AB41" i="33"/>
  <c r="AC41" i="33"/>
  <c r="AF41" i="33"/>
  <c r="AG41" i="33"/>
  <c r="AH41" i="33"/>
  <c r="AI41" i="33"/>
  <c r="AJ41" i="33"/>
  <c r="AL41" i="33"/>
  <c r="AM41" i="33"/>
  <c r="AN41" i="33"/>
  <c r="AO41" i="33"/>
  <c r="AP41" i="33"/>
  <c r="AQ41" i="33"/>
  <c r="AR41" i="33"/>
  <c r="AS41" i="33"/>
  <c r="AT41" i="33"/>
  <c r="AU41" i="33"/>
  <c r="AV41" i="33"/>
  <c r="AW41" i="33"/>
  <c r="AX41" i="33"/>
  <c r="AY41" i="33"/>
  <c r="BB41" i="33"/>
  <c r="BC41" i="33"/>
  <c r="BD41" i="33"/>
  <c r="BE41" i="33"/>
  <c r="BF41" i="33"/>
  <c r="BG41" i="33"/>
  <c r="BH41" i="33"/>
  <c r="BI41" i="33"/>
  <c r="BJ41" i="33"/>
  <c r="BK41" i="33"/>
  <c r="BL41" i="33"/>
  <c r="BM41" i="33"/>
  <c r="BN41" i="33"/>
  <c r="BO41" i="33"/>
  <c r="D42" i="33"/>
  <c r="F42" i="33"/>
  <c r="G42" i="33"/>
  <c r="H42" i="33"/>
  <c r="I42" i="33"/>
  <c r="K42" i="33"/>
  <c r="L42" i="33"/>
  <c r="N42" i="33"/>
  <c r="O42" i="33"/>
  <c r="P42" i="33"/>
  <c r="Q42" i="33"/>
  <c r="S42" i="33"/>
  <c r="T42" i="33"/>
  <c r="V42" i="33"/>
  <c r="X42" i="33"/>
  <c r="Y42" i="33"/>
  <c r="Z42" i="33"/>
  <c r="AA42" i="33"/>
  <c r="AB42" i="33"/>
  <c r="AC42" i="33"/>
  <c r="AF42" i="33"/>
  <c r="AG42" i="33"/>
  <c r="AH42" i="33"/>
  <c r="AI42" i="33"/>
  <c r="AJ42" i="33"/>
  <c r="AL42" i="33"/>
  <c r="AM42" i="33"/>
  <c r="AN42" i="33"/>
  <c r="AO42" i="33"/>
  <c r="AP42" i="33"/>
  <c r="AQ42" i="33"/>
  <c r="AR42" i="33"/>
  <c r="AS42" i="33"/>
  <c r="AT42" i="33"/>
  <c r="AU42" i="33"/>
  <c r="AV42" i="33"/>
  <c r="AW42" i="33"/>
  <c r="AX42" i="33"/>
  <c r="AY42" i="33"/>
  <c r="BB42" i="33"/>
  <c r="BC42" i="33"/>
  <c r="BD42" i="33"/>
  <c r="BE42" i="33"/>
  <c r="BF42" i="33"/>
  <c r="BG42" i="33"/>
  <c r="BH42" i="33"/>
  <c r="BI42" i="33"/>
  <c r="BJ42" i="33"/>
  <c r="BK42" i="33"/>
  <c r="BL42" i="33"/>
  <c r="BM42" i="33"/>
  <c r="BN42" i="33"/>
  <c r="BO42" i="33"/>
  <c r="D43" i="33"/>
  <c r="F43" i="33"/>
  <c r="G43" i="33"/>
  <c r="H43" i="33"/>
  <c r="I43" i="33"/>
  <c r="K43" i="33"/>
  <c r="L43" i="33"/>
  <c r="N43" i="33"/>
  <c r="O43" i="33"/>
  <c r="P43" i="33"/>
  <c r="Q43" i="33"/>
  <c r="S43" i="33"/>
  <c r="T43" i="33"/>
  <c r="V43" i="33"/>
  <c r="X43" i="33"/>
  <c r="Y43" i="33"/>
  <c r="Z43" i="33"/>
  <c r="AA43" i="33"/>
  <c r="AB43" i="33"/>
  <c r="AC43" i="33"/>
  <c r="AF43" i="33"/>
  <c r="AG43" i="33"/>
  <c r="AH43" i="33"/>
  <c r="AI43" i="33"/>
  <c r="AJ43" i="33"/>
  <c r="AL43" i="33"/>
  <c r="AM43" i="33"/>
  <c r="AN43" i="33"/>
  <c r="AO43" i="33"/>
  <c r="AP43" i="33"/>
  <c r="AQ43" i="33"/>
  <c r="AR43" i="33"/>
  <c r="AS43" i="33"/>
  <c r="AT43" i="33"/>
  <c r="AU43" i="33"/>
  <c r="AV43" i="33"/>
  <c r="AW43" i="33"/>
  <c r="AX43" i="33"/>
  <c r="AY43" i="33"/>
  <c r="BB43" i="33"/>
  <c r="BC43" i="33"/>
  <c r="BD43" i="33"/>
  <c r="BE43" i="33"/>
  <c r="BF43" i="33"/>
  <c r="BG43" i="33"/>
  <c r="BH43" i="33"/>
  <c r="BI43" i="33"/>
  <c r="BJ43" i="33"/>
  <c r="BK43" i="33"/>
  <c r="BL43" i="33"/>
  <c r="BM43" i="33"/>
  <c r="BN43" i="33"/>
  <c r="BO43" i="33"/>
  <c r="D44" i="33"/>
  <c r="F44" i="33"/>
  <c r="G44" i="33"/>
  <c r="H44" i="33"/>
  <c r="I44" i="33"/>
  <c r="K44" i="33"/>
  <c r="L44" i="33"/>
  <c r="N44" i="33"/>
  <c r="O44" i="33"/>
  <c r="P44" i="33"/>
  <c r="Q44" i="33"/>
  <c r="S44" i="33"/>
  <c r="T44" i="33"/>
  <c r="V44" i="33"/>
  <c r="X44" i="33"/>
  <c r="Y44" i="33"/>
  <c r="Z44" i="33"/>
  <c r="AA44" i="33"/>
  <c r="AB44" i="33"/>
  <c r="AC44" i="33"/>
  <c r="AF44" i="33"/>
  <c r="AG44" i="33"/>
  <c r="AH44" i="33"/>
  <c r="AI44" i="33"/>
  <c r="AJ44" i="33"/>
  <c r="AL44" i="33"/>
  <c r="AM44" i="33"/>
  <c r="AN44" i="33"/>
  <c r="AO44" i="33"/>
  <c r="AP44" i="33"/>
  <c r="AQ44" i="33"/>
  <c r="AR44" i="33"/>
  <c r="AS44" i="33"/>
  <c r="AT44" i="33"/>
  <c r="AU44" i="33"/>
  <c r="AV44" i="33"/>
  <c r="AW44" i="33"/>
  <c r="AX44" i="33"/>
  <c r="AY44" i="33"/>
  <c r="BB44" i="33"/>
  <c r="BC44" i="33"/>
  <c r="BD44" i="33"/>
  <c r="BE44" i="33"/>
  <c r="BF44" i="33"/>
  <c r="BG44" i="33"/>
  <c r="BH44" i="33"/>
  <c r="BI44" i="33"/>
  <c r="BJ44" i="33"/>
  <c r="BK44" i="33"/>
  <c r="BL44" i="33"/>
  <c r="BM44" i="33"/>
  <c r="BN44" i="33"/>
  <c r="BO44" i="33"/>
  <c r="D45" i="33"/>
  <c r="F45" i="33"/>
  <c r="G45" i="33"/>
  <c r="H45" i="33"/>
  <c r="I45" i="33"/>
  <c r="K45" i="33"/>
  <c r="L45" i="33"/>
  <c r="N45" i="33"/>
  <c r="O45" i="33"/>
  <c r="P45" i="33"/>
  <c r="Q45" i="33"/>
  <c r="S45" i="33"/>
  <c r="T45" i="33"/>
  <c r="V45" i="33"/>
  <c r="X45" i="33"/>
  <c r="Y45" i="33"/>
  <c r="Z45" i="33"/>
  <c r="AA45" i="33"/>
  <c r="AB45" i="33"/>
  <c r="AC45" i="33"/>
  <c r="AF45" i="33"/>
  <c r="AG45" i="33"/>
  <c r="AH45" i="33"/>
  <c r="AI45" i="33"/>
  <c r="AJ45" i="33"/>
  <c r="AL45" i="33"/>
  <c r="AM45" i="33"/>
  <c r="AN45" i="33"/>
  <c r="AO45" i="33"/>
  <c r="AP45" i="33"/>
  <c r="AQ45" i="33"/>
  <c r="AR45" i="33"/>
  <c r="AS45" i="33"/>
  <c r="AT45" i="33"/>
  <c r="AU45" i="33"/>
  <c r="AV45" i="33"/>
  <c r="AW45" i="33"/>
  <c r="AX45" i="33"/>
  <c r="AY45" i="33"/>
  <c r="BB45" i="33"/>
  <c r="BC45" i="33"/>
  <c r="BD45" i="33"/>
  <c r="BE45" i="33"/>
  <c r="BF45" i="33"/>
  <c r="BG45" i="33"/>
  <c r="BH45" i="33"/>
  <c r="BI45" i="33"/>
  <c r="BJ45" i="33"/>
  <c r="BK45" i="33"/>
  <c r="BL45" i="33"/>
  <c r="BM45" i="33"/>
  <c r="BN45" i="33"/>
  <c r="BO45" i="33"/>
  <c r="D46" i="33"/>
  <c r="F46" i="33"/>
  <c r="G46" i="33"/>
  <c r="H46" i="33"/>
  <c r="I46" i="33"/>
  <c r="K46" i="33"/>
  <c r="L46" i="33"/>
  <c r="N46" i="33"/>
  <c r="O46" i="33"/>
  <c r="P46" i="33"/>
  <c r="Q46" i="33"/>
  <c r="S46" i="33"/>
  <c r="T46" i="33"/>
  <c r="V46" i="33"/>
  <c r="X46" i="33"/>
  <c r="Y46" i="33"/>
  <c r="Z46" i="33"/>
  <c r="AA46" i="33"/>
  <c r="AB46" i="33"/>
  <c r="AC46" i="33"/>
  <c r="AF46" i="33"/>
  <c r="AG46" i="33"/>
  <c r="AH46" i="33"/>
  <c r="AI46" i="33"/>
  <c r="AJ46" i="33"/>
  <c r="AL46" i="33"/>
  <c r="AM46" i="33"/>
  <c r="AN46" i="33"/>
  <c r="AO46" i="33"/>
  <c r="AP46" i="33"/>
  <c r="AQ46" i="33"/>
  <c r="AR46" i="33"/>
  <c r="AS46" i="33"/>
  <c r="AT46" i="33"/>
  <c r="AU46" i="33"/>
  <c r="AV46" i="33"/>
  <c r="AW46" i="33"/>
  <c r="AX46" i="33"/>
  <c r="AY46" i="33"/>
  <c r="BB46" i="33"/>
  <c r="BC46" i="33"/>
  <c r="BD46" i="33"/>
  <c r="BE46" i="33"/>
  <c r="BF46" i="33"/>
  <c r="BG46" i="33"/>
  <c r="BH46" i="33"/>
  <c r="BI46" i="33"/>
  <c r="BJ46" i="33"/>
  <c r="BK46" i="33"/>
  <c r="BL46" i="33"/>
  <c r="BM46" i="33"/>
  <c r="BN46" i="33"/>
  <c r="BO46" i="33"/>
  <c r="D47" i="33"/>
  <c r="F47" i="33"/>
  <c r="G47" i="33"/>
  <c r="H47" i="33"/>
  <c r="I47" i="33"/>
  <c r="K47" i="33"/>
  <c r="L47" i="33"/>
  <c r="N47" i="33"/>
  <c r="O47" i="33"/>
  <c r="P47" i="33"/>
  <c r="Q47" i="33"/>
  <c r="S47" i="33"/>
  <c r="T47" i="33"/>
  <c r="V47" i="33"/>
  <c r="X47" i="33"/>
  <c r="Y47" i="33"/>
  <c r="Z47" i="33"/>
  <c r="AA47" i="33"/>
  <c r="AB47" i="33"/>
  <c r="AC47" i="33"/>
  <c r="AF47" i="33"/>
  <c r="AG47" i="33"/>
  <c r="AH47" i="33"/>
  <c r="AI47" i="33"/>
  <c r="AJ47" i="33"/>
  <c r="AL47" i="33"/>
  <c r="AM47" i="33"/>
  <c r="AN47" i="33"/>
  <c r="AO47" i="33"/>
  <c r="AP47" i="33"/>
  <c r="AQ47" i="33"/>
  <c r="AR47" i="33"/>
  <c r="AS47" i="33"/>
  <c r="AT47" i="33"/>
  <c r="AU47" i="33"/>
  <c r="AV47" i="33"/>
  <c r="AW47" i="33"/>
  <c r="AX47" i="33"/>
  <c r="AY47" i="33"/>
  <c r="BB47" i="33"/>
  <c r="BC47" i="33"/>
  <c r="BD47" i="33"/>
  <c r="BE47" i="33"/>
  <c r="BF47" i="33"/>
  <c r="BG47" i="33"/>
  <c r="BH47" i="33"/>
  <c r="BI47" i="33"/>
  <c r="BJ47" i="33"/>
  <c r="BK47" i="33"/>
  <c r="BL47" i="33"/>
  <c r="BM47" i="33"/>
  <c r="BN47" i="33"/>
  <c r="BO47" i="33"/>
  <c r="D48" i="33"/>
  <c r="F48" i="33"/>
  <c r="G48" i="33"/>
  <c r="H48" i="33"/>
  <c r="I48" i="33"/>
  <c r="K48" i="33"/>
  <c r="L48" i="33"/>
  <c r="N48" i="33"/>
  <c r="O48" i="33"/>
  <c r="P48" i="33"/>
  <c r="Q48" i="33"/>
  <c r="S48" i="33"/>
  <c r="T48" i="33"/>
  <c r="V48" i="33"/>
  <c r="X48" i="33"/>
  <c r="Y48" i="33"/>
  <c r="Z48" i="33"/>
  <c r="AA48" i="33"/>
  <c r="AB48" i="33"/>
  <c r="AC48" i="33"/>
  <c r="AF48" i="33"/>
  <c r="AG48" i="33"/>
  <c r="AH48" i="33"/>
  <c r="AI48" i="33"/>
  <c r="AJ48" i="33"/>
  <c r="AL48" i="33"/>
  <c r="AM48" i="33"/>
  <c r="AN48" i="33"/>
  <c r="AO48" i="33"/>
  <c r="AP48" i="33"/>
  <c r="AQ48" i="33"/>
  <c r="AR48" i="33"/>
  <c r="AS48" i="33"/>
  <c r="AT48" i="33"/>
  <c r="AU48" i="33"/>
  <c r="AV48" i="33"/>
  <c r="AW48" i="33"/>
  <c r="AX48" i="33"/>
  <c r="AY48" i="33"/>
  <c r="BB48" i="33"/>
  <c r="BC48" i="33"/>
  <c r="BD48" i="33"/>
  <c r="BE48" i="33"/>
  <c r="BF48" i="33"/>
  <c r="BG48" i="33"/>
  <c r="BH48" i="33"/>
  <c r="BI48" i="33"/>
  <c r="BJ48" i="33"/>
  <c r="BK48" i="33"/>
  <c r="BL48" i="33"/>
  <c r="BM48" i="33"/>
  <c r="BN48" i="33"/>
  <c r="BO48" i="33"/>
  <c r="D49" i="33"/>
  <c r="F49" i="33"/>
  <c r="G49" i="33"/>
  <c r="H49" i="33"/>
  <c r="I49" i="33"/>
  <c r="K49" i="33"/>
  <c r="L49" i="33"/>
  <c r="N49" i="33"/>
  <c r="O49" i="33"/>
  <c r="P49" i="33"/>
  <c r="Q49" i="33"/>
  <c r="S49" i="33"/>
  <c r="T49" i="33"/>
  <c r="V49" i="33"/>
  <c r="X49" i="33"/>
  <c r="Y49" i="33"/>
  <c r="Z49" i="33"/>
  <c r="AA49" i="33"/>
  <c r="AB49" i="33"/>
  <c r="AC49" i="33"/>
  <c r="AF49" i="33"/>
  <c r="AG49" i="33"/>
  <c r="AH49" i="33"/>
  <c r="AI49" i="33"/>
  <c r="AJ49" i="33"/>
  <c r="AL49" i="33"/>
  <c r="AM49" i="33"/>
  <c r="AN49" i="33"/>
  <c r="AO49" i="33"/>
  <c r="AP49" i="33"/>
  <c r="AQ49" i="33"/>
  <c r="AR49" i="33"/>
  <c r="AS49" i="33"/>
  <c r="AT49" i="33"/>
  <c r="AU49" i="33"/>
  <c r="AV49" i="33"/>
  <c r="AW49" i="33"/>
  <c r="AX49" i="33"/>
  <c r="AY49" i="33"/>
  <c r="BB49" i="33"/>
  <c r="BC49" i="33"/>
  <c r="BD49" i="33"/>
  <c r="BE49" i="33"/>
  <c r="BF49" i="33"/>
  <c r="BG49" i="33"/>
  <c r="BH49" i="33"/>
  <c r="BI49" i="33"/>
  <c r="BJ49" i="33"/>
  <c r="BK49" i="33"/>
  <c r="BL49" i="33"/>
  <c r="BM49" i="33"/>
  <c r="BN49" i="33"/>
  <c r="BO49" i="33"/>
  <c r="D50" i="33"/>
  <c r="F50" i="33"/>
  <c r="G50" i="33"/>
  <c r="H50" i="33"/>
  <c r="I50" i="33"/>
  <c r="K50" i="33"/>
  <c r="L50" i="33"/>
  <c r="N50" i="33"/>
  <c r="O50" i="33"/>
  <c r="P50" i="33"/>
  <c r="Q50" i="33"/>
  <c r="S50" i="33"/>
  <c r="T50" i="33"/>
  <c r="V50" i="33"/>
  <c r="X50" i="33"/>
  <c r="Y50" i="33"/>
  <c r="Z50" i="33"/>
  <c r="AA50" i="33"/>
  <c r="AB50" i="33"/>
  <c r="AC50" i="33"/>
  <c r="AF50" i="33"/>
  <c r="AG50" i="33"/>
  <c r="AH50" i="33"/>
  <c r="AI50" i="33"/>
  <c r="AJ50" i="33"/>
  <c r="AL50" i="33"/>
  <c r="AM50" i="33"/>
  <c r="AN50" i="33"/>
  <c r="AO50" i="33"/>
  <c r="AP50" i="33"/>
  <c r="AQ50" i="33"/>
  <c r="AR50" i="33"/>
  <c r="AS50" i="33"/>
  <c r="AT50" i="33"/>
  <c r="AU50" i="33"/>
  <c r="AV50" i="33"/>
  <c r="AW50" i="33"/>
  <c r="AX50" i="33"/>
  <c r="AY50" i="33"/>
  <c r="BB50" i="33"/>
  <c r="BC50" i="33"/>
  <c r="BD50" i="33"/>
  <c r="BE50" i="33"/>
  <c r="BF50" i="33"/>
  <c r="BG50" i="33"/>
  <c r="BH50" i="33"/>
  <c r="BI50" i="33"/>
  <c r="BJ50" i="33"/>
  <c r="BK50" i="33"/>
  <c r="BL50" i="33"/>
  <c r="BM50" i="33"/>
  <c r="BN50" i="33"/>
  <c r="BO50" i="33"/>
  <c r="D51" i="33"/>
  <c r="F51" i="33"/>
  <c r="G51" i="33"/>
  <c r="H51" i="33"/>
  <c r="I51" i="33"/>
  <c r="K51" i="33"/>
  <c r="L51" i="33"/>
  <c r="N51" i="33"/>
  <c r="O51" i="33"/>
  <c r="P51" i="33"/>
  <c r="Q51" i="33"/>
  <c r="S51" i="33"/>
  <c r="T51" i="33"/>
  <c r="V51" i="33"/>
  <c r="X51" i="33"/>
  <c r="Y51" i="33"/>
  <c r="Z51" i="33"/>
  <c r="AA51" i="33"/>
  <c r="AB51" i="33"/>
  <c r="AC51" i="33"/>
  <c r="AF51" i="33"/>
  <c r="AG51" i="33"/>
  <c r="AH51" i="33"/>
  <c r="AI51" i="33"/>
  <c r="AJ51" i="33"/>
  <c r="AL51" i="33"/>
  <c r="AM51" i="33"/>
  <c r="AN51" i="33"/>
  <c r="AO51" i="33"/>
  <c r="AP51" i="33"/>
  <c r="AQ51" i="33"/>
  <c r="AR51" i="33"/>
  <c r="AS51" i="33"/>
  <c r="AT51" i="33"/>
  <c r="AU51" i="33"/>
  <c r="AV51" i="33"/>
  <c r="AW51" i="33"/>
  <c r="AX51" i="33"/>
  <c r="AY51" i="33"/>
  <c r="BB51" i="33"/>
  <c r="BC51" i="33"/>
  <c r="BD51" i="33"/>
  <c r="BE51" i="33"/>
  <c r="BF51" i="33"/>
  <c r="BG51" i="33"/>
  <c r="BH51" i="33"/>
  <c r="BI51" i="33"/>
  <c r="BJ51" i="33"/>
  <c r="BK51" i="33"/>
  <c r="BL51" i="33"/>
  <c r="BM51" i="33"/>
  <c r="BN51" i="33"/>
  <c r="BO51" i="33"/>
  <c r="D52" i="33"/>
  <c r="F52" i="33"/>
  <c r="G52" i="33"/>
  <c r="H52" i="33"/>
  <c r="I52" i="33"/>
  <c r="K52" i="33"/>
  <c r="L52" i="33"/>
  <c r="N52" i="33"/>
  <c r="O52" i="33"/>
  <c r="P52" i="33"/>
  <c r="Q52" i="33"/>
  <c r="S52" i="33"/>
  <c r="T52" i="33"/>
  <c r="V52" i="33"/>
  <c r="X52" i="33"/>
  <c r="Y52" i="33"/>
  <c r="Z52" i="33"/>
  <c r="AA52" i="33"/>
  <c r="AB52" i="33"/>
  <c r="AC52" i="33"/>
  <c r="AF52" i="33"/>
  <c r="AG52" i="33"/>
  <c r="AH52" i="33"/>
  <c r="AI52" i="33"/>
  <c r="AJ52" i="33"/>
  <c r="AL52" i="33"/>
  <c r="AM52" i="33"/>
  <c r="AN52" i="33"/>
  <c r="AO52" i="33"/>
  <c r="AP52" i="33"/>
  <c r="AQ52" i="33"/>
  <c r="AR52" i="33"/>
  <c r="AS52" i="33"/>
  <c r="AT52" i="33"/>
  <c r="AU52" i="33"/>
  <c r="AV52" i="33"/>
  <c r="AW52" i="33"/>
  <c r="AX52" i="33"/>
  <c r="AY52" i="33"/>
  <c r="BB52" i="33"/>
  <c r="BC52" i="33"/>
  <c r="BD52" i="33"/>
  <c r="BE52" i="33"/>
  <c r="BF52" i="33"/>
  <c r="BG52" i="33"/>
  <c r="BH52" i="33"/>
  <c r="BI52" i="33"/>
  <c r="BJ52" i="33"/>
  <c r="BK52" i="33"/>
  <c r="BL52" i="33"/>
  <c r="BM52" i="33"/>
  <c r="BN52" i="33"/>
  <c r="BO52" i="33"/>
  <c r="D53" i="33"/>
  <c r="F53" i="33"/>
  <c r="G53" i="33"/>
  <c r="H53" i="33"/>
  <c r="I53" i="33"/>
  <c r="K53" i="33"/>
  <c r="L53" i="33"/>
  <c r="N53" i="33"/>
  <c r="O53" i="33"/>
  <c r="P53" i="33"/>
  <c r="Q53" i="33"/>
  <c r="S53" i="33"/>
  <c r="T53" i="33"/>
  <c r="V53" i="33"/>
  <c r="X53" i="33"/>
  <c r="Y53" i="33"/>
  <c r="Z53" i="33"/>
  <c r="AA53" i="33"/>
  <c r="AB53" i="33"/>
  <c r="AC53" i="33"/>
  <c r="AF53" i="33"/>
  <c r="AG53" i="33"/>
  <c r="AH53" i="33"/>
  <c r="AI53" i="33"/>
  <c r="AJ53" i="33"/>
  <c r="AL53" i="33"/>
  <c r="AM53" i="33"/>
  <c r="AN53" i="33"/>
  <c r="AO53" i="33"/>
  <c r="AP53" i="33"/>
  <c r="AQ53" i="33"/>
  <c r="AR53" i="33"/>
  <c r="AS53" i="33"/>
  <c r="AT53" i="33"/>
  <c r="AU53" i="33"/>
  <c r="AV53" i="33"/>
  <c r="AW53" i="33"/>
  <c r="AX53" i="33"/>
  <c r="AY53" i="33"/>
  <c r="BB53" i="33"/>
  <c r="BC53" i="33"/>
  <c r="BD53" i="33"/>
  <c r="BE53" i="33"/>
  <c r="BF53" i="33"/>
  <c r="BG53" i="33"/>
  <c r="BH53" i="33"/>
  <c r="BI53" i="33"/>
  <c r="BJ53" i="33"/>
  <c r="BK53" i="33"/>
  <c r="BL53" i="33"/>
  <c r="BM53" i="33"/>
  <c r="BN53" i="33"/>
  <c r="BO53" i="33"/>
  <c r="D54" i="33"/>
  <c r="F54" i="33"/>
  <c r="G54" i="33"/>
  <c r="H54" i="33"/>
  <c r="I54" i="33"/>
  <c r="K54" i="33"/>
  <c r="L54" i="33"/>
  <c r="N54" i="33"/>
  <c r="O54" i="33"/>
  <c r="P54" i="33"/>
  <c r="Q54" i="33"/>
  <c r="S54" i="33"/>
  <c r="T54" i="33"/>
  <c r="V54" i="33"/>
  <c r="X54" i="33"/>
  <c r="Y54" i="33"/>
  <c r="Z54" i="33"/>
  <c r="AA54" i="33"/>
  <c r="AB54" i="33"/>
  <c r="AC54" i="33"/>
  <c r="AF54" i="33"/>
  <c r="AG54" i="33"/>
  <c r="AH54" i="33"/>
  <c r="AI54" i="33"/>
  <c r="AJ54" i="33"/>
  <c r="AL54" i="33"/>
  <c r="AM54" i="33"/>
  <c r="AN54" i="33"/>
  <c r="AO54" i="33"/>
  <c r="AP54" i="33"/>
  <c r="AQ54" i="33"/>
  <c r="AR54" i="33"/>
  <c r="AS54" i="33"/>
  <c r="AT54" i="33"/>
  <c r="AU54" i="33"/>
  <c r="AV54" i="33"/>
  <c r="AW54" i="33"/>
  <c r="AX54" i="33"/>
  <c r="AY54" i="33"/>
  <c r="BB54" i="33"/>
  <c r="BC54" i="33"/>
  <c r="BD54" i="33"/>
  <c r="BE54" i="33"/>
  <c r="BF54" i="33"/>
  <c r="BG54" i="33"/>
  <c r="BH54" i="33"/>
  <c r="BI54" i="33"/>
  <c r="BJ54" i="33"/>
  <c r="BK54" i="33"/>
  <c r="BL54" i="33"/>
  <c r="BM54" i="33"/>
  <c r="BN54" i="33"/>
  <c r="BO54" i="33"/>
  <c r="D55" i="33"/>
  <c r="F55" i="33"/>
  <c r="G55" i="33"/>
  <c r="H55" i="33"/>
  <c r="I55" i="33"/>
  <c r="K55" i="33"/>
  <c r="L55" i="33"/>
  <c r="N55" i="33"/>
  <c r="O55" i="33"/>
  <c r="P55" i="33"/>
  <c r="Q55" i="33"/>
  <c r="S55" i="33"/>
  <c r="T55" i="33"/>
  <c r="V55" i="33"/>
  <c r="X55" i="33"/>
  <c r="Y55" i="33"/>
  <c r="Z55" i="33"/>
  <c r="AA55" i="33"/>
  <c r="AB55" i="33"/>
  <c r="AC55" i="33"/>
  <c r="AF55" i="33"/>
  <c r="AG55" i="33"/>
  <c r="AH55" i="33"/>
  <c r="AI55" i="33"/>
  <c r="AJ55" i="33"/>
  <c r="AL55" i="33"/>
  <c r="AM55" i="33"/>
  <c r="AN55" i="33"/>
  <c r="AO55" i="33"/>
  <c r="AP55" i="33"/>
  <c r="AQ55" i="33"/>
  <c r="AR55" i="33"/>
  <c r="AS55" i="33"/>
  <c r="AT55" i="33"/>
  <c r="AU55" i="33"/>
  <c r="AV55" i="33"/>
  <c r="AW55" i="33"/>
  <c r="AX55" i="33"/>
  <c r="AY55" i="33"/>
  <c r="BB55" i="33"/>
  <c r="BC55" i="33"/>
  <c r="BD55" i="33"/>
  <c r="BE55" i="33"/>
  <c r="BF55" i="33"/>
  <c r="BG55" i="33"/>
  <c r="BH55" i="33"/>
  <c r="BI55" i="33"/>
  <c r="BJ55" i="33"/>
  <c r="BK55" i="33"/>
  <c r="BL55" i="33"/>
  <c r="BM55" i="33"/>
  <c r="BN55" i="33"/>
  <c r="BO55" i="33"/>
  <c r="D56" i="33"/>
  <c r="F56" i="33"/>
  <c r="G56" i="33"/>
  <c r="H56" i="33"/>
  <c r="I56" i="33"/>
  <c r="K56" i="33"/>
  <c r="L56" i="33"/>
  <c r="N56" i="33"/>
  <c r="O56" i="33"/>
  <c r="P56" i="33"/>
  <c r="Q56" i="33"/>
  <c r="S56" i="33"/>
  <c r="T56" i="33"/>
  <c r="V56" i="33"/>
  <c r="X56" i="33"/>
  <c r="Y56" i="33"/>
  <c r="Z56" i="33"/>
  <c r="AA56" i="33"/>
  <c r="AB56" i="33"/>
  <c r="AC56" i="33"/>
  <c r="AF56" i="33"/>
  <c r="AG56" i="33"/>
  <c r="AH56" i="33"/>
  <c r="AI56" i="33"/>
  <c r="AJ56" i="33"/>
  <c r="AL56" i="33"/>
  <c r="AM56" i="33"/>
  <c r="AN56" i="33"/>
  <c r="AO56" i="33"/>
  <c r="AP56" i="33"/>
  <c r="AQ56" i="33"/>
  <c r="AR56" i="33"/>
  <c r="AS56" i="33"/>
  <c r="AT56" i="33"/>
  <c r="AU56" i="33"/>
  <c r="AV56" i="33"/>
  <c r="AW56" i="33"/>
  <c r="AX56" i="33"/>
  <c r="AY56" i="33"/>
  <c r="BB56" i="33"/>
  <c r="BC56" i="33"/>
  <c r="BD56" i="33"/>
  <c r="BE56" i="33"/>
  <c r="BF56" i="33"/>
  <c r="BG56" i="33"/>
  <c r="BH56" i="33"/>
  <c r="BI56" i="33"/>
  <c r="BJ56" i="33"/>
  <c r="BK56" i="33"/>
  <c r="BL56" i="33"/>
  <c r="BM56" i="33"/>
  <c r="BN56" i="33"/>
  <c r="BO56" i="33"/>
  <c r="D57" i="33"/>
  <c r="F57" i="33"/>
  <c r="G57" i="33"/>
  <c r="H57" i="33"/>
  <c r="I57" i="33"/>
  <c r="K57" i="33"/>
  <c r="L57" i="33"/>
  <c r="N57" i="33"/>
  <c r="O57" i="33"/>
  <c r="P57" i="33"/>
  <c r="Q57" i="33"/>
  <c r="S57" i="33"/>
  <c r="T57" i="33"/>
  <c r="V57" i="33"/>
  <c r="X57" i="33"/>
  <c r="Y57" i="33"/>
  <c r="Z57" i="33"/>
  <c r="AA57" i="33"/>
  <c r="AB57" i="33"/>
  <c r="AC57" i="33"/>
  <c r="AF57" i="33"/>
  <c r="AG57" i="33"/>
  <c r="AH57" i="33"/>
  <c r="AI57" i="33"/>
  <c r="AJ57" i="33"/>
  <c r="AL57" i="33"/>
  <c r="AM57" i="33"/>
  <c r="AN57" i="33"/>
  <c r="AO57" i="33"/>
  <c r="AP57" i="33"/>
  <c r="AQ57" i="33"/>
  <c r="AR57" i="33"/>
  <c r="AS57" i="33"/>
  <c r="AT57" i="33"/>
  <c r="AU57" i="33"/>
  <c r="AV57" i="33"/>
  <c r="AW57" i="33"/>
  <c r="AX57" i="33"/>
  <c r="AY57" i="33"/>
  <c r="BB57" i="33"/>
  <c r="BC57" i="33"/>
  <c r="BD57" i="33"/>
  <c r="BE57" i="33"/>
  <c r="BF57" i="33"/>
  <c r="BG57" i="33"/>
  <c r="BH57" i="33"/>
  <c r="BI57" i="33"/>
  <c r="BJ57" i="33"/>
  <c r="BK57" i="33"/>
  <c r="BL57" i="33"/>
  <c r="BM57" i="33"/>
  <c r="BN57" i="33"/>
  <c r="BO57" i="33"/>
  <c r="D58" i="33"/>
  <c r="F58" i="33"/>
  <c r="G58" i="33"/>
  <c r="H58" i="33"/>
  <c r="I58" i="33"/>
  <c r="K58" i="33"/>
  <c r="L58" i="33"/>
  <c r="N58" i="33"/>
  <c r="O58" i="33"/>
  <c r="P58" i="33"/>
  <c r="Q58" i="33"/>
  <c r="S58" i="33"/>
  <c r="T58" i="33"/>
  <c r="V58" i="33"/>
  <c r="X58" i="33"/>
  <c r="Y58" i="33"/>
  <c r="Z58" i="33"/>
  <c r="AA58" i="33"/>
  <c r="AB58" i="33"/>
  <c r="AC58" i="33"/>
  <c r="AF58" i="33"/>
  <c r="AG58" i="33"/>
  <c r="AH58" i="33"/>
  <c r="AI58" i="33"/>
  <c r="AJ58" i="33"/>
  <c r="AL58" i="33"/>
  <c r="AM58" i="33"/>
  <c r="AN58" i="33"/>
  <c r="AO58" i="33"/>
  <c r="AP58" i="33"/>
  <c r="AQ58" i="33"/>
  <c r="AR58" i="33"/>
  <c r="AS58" i="33"/>
  <c r="AT58" i="33"/>
  <c r="AU58" i="33"/>
  <c r="AV58" i="33"/>
  <c r="AW58" i="33"/>
  <c r="AX58" i="33"/>
  <c r="AY58" i="33"/>
  <c r="BB58" i="33"/>
  <c r="BC58" i="33"/>
  <c r="BD58" i="33"/>
  <c r="BE58" i="33"/>
  <c r="BF58" i="33"/>
  <c r="BG58" i="33"/>
  <c r="BH58" i="33"/>
  <c r="BI58" i="33"/>
  <c r="BJ58" i="33"/>
  <c r="BK58" i="33"/>
  <c r="BL58" i="33"/>
  <c r="BM58" i="33"/>
  <c r="BN58" i="33"/>
  <c r="BO58" i="33"/>
  <c r="D59" i="33"/>
  <c r="F59" i="33"/>
  <c r="G59" i="33"/>
  <c r="H59" i="33"/>
  <c r="I59" i="33"/>
  <c r="K59" i="33"/>
  <c r="L59" i="33"/>
  <c r="N59" i="33"/>
  <c r="O59" i="33"/>
  <c r="P59" i="33"/>
  <c r="Q59" i="33"/>
  <c r="S59" i="33"/>
  <c r="T59" i="33"/>
  <c r="V59" i="33"/>
  <c r="X59" i="33"/>
  <c r="Y59" i="33"/>
  <c r="Z59" i="33"/>
  <c r="AA59" i="33"/>
  <c r="AB59" i="33"/>
  <c r="AC59" i="33"/>
  <c r="AF59" i="33"/>
  <c r="AG59" i="33"/>
  <c r="AH59" i="33"/>
  <c r="AI59" i="33"/>
  <c r="AJ59" i="33"/>
  <c r="AL59" i="33"/>
  <c r="AM59" i="33"/>
  <c r="AN59" i="33"/>
  <c r="AO59" i="33"/>
  <c r="AP59" i="33"/>
  <c r="AQ59" i="33"/>
  <c r="AR59" i="33"/>
  <c r="AS59" i="33"/>
  <c r="AT59" i="33"/>
  <c r="AU59" i="33"/>
  <c r="AV59" i="33"/>
  <c r="AW59" i="33"/>
  <c r="AX59" i="33"/>
  <c r="AY59" i="33"/>
  <c r="BB59" i="33"/>
  <c r="BC59" i="33"/>
  <c r="BD59" i="33"/>
  <c r="BE59" i="33"/>
  <c r="BF59" i="33"/>
  <c r="BG59" i="33"/>
  <c r="BH59" i="33"/>
  <c r="BI59" i="33"/>
  <c r="BJ59" i="33"/>
  <c r="BK59" i="33"/>
  <c r="BL59" i="33"/>
  <c r="BM59" i="33"/>
  <c r="BN59" i="33"/>
  <c r="BO59" i="33"/>
  <c r="D60" i="33"/>
  <c r="F60" i="33"/>
  <c r="G60" i="33"/>
  <c r="H60" i="33"/>
  <c r="I60" i="33"/>
  <c r="K60" i="33"/>
  <c r="L60" i="33"/>
  <c r="N60" i="33"/>
  <c r="O60" i="33"/>
  <c r="P60" i="33"/>
  <c r="Q60" i="33"/>
  <c r="S60" i="33"/>
  <c r="T60" i="33"/>
  <c r="V60" i="33"/>
  <c r="X60" i="33"/>
  <c r="Y60" i="33"/>
  <c r="Z60" i="33"/>
  <c r="AA60" i="33"/>
  <c r="AB60" i="33"/>
  <c r="AC60" i="33"/>
  <c r="AF60" i="33"/>
  <c r="AG60" i="33"/>
  <c r="AH60" i="33"/>
  <c r="AI60" i="33"/>
  <c r="AJ60" i="33"/>
  <c r="AL60" i="33"/>
  <c r="AM60" i="33"/>
  <c r="AN60" i="33"/>
  <c r="AO60" i="33"/>
  <c r="AP60" i="33"/>
  <c r="AQ60" i="33"/>
  <c r="AR60" i="33"/>
  <c r="AS60" i="33"/>
  <c r="AT60" i="33"/>
  <c r="AU60" i="33"/>
  <c r="AV60" i="33"/>
  <c r="AW60" i="33"/>
  <c r="AX60" i="33"/>
  <c r="AY60" i="33"/>
  <c r="BB60" i="33"/>
  <c r="BC60" i="33"/>
  <c r="BD60" i="33"/>
  <c r="BE60" i="33"/>
  <c r="BF60" i="33"/>
  <c r="BG60" i="33"/>
  <c r="BH60" i="33"/>
  <c r="BI60" i="33"/>
  <c r="BJ60" i="33"/>
  <c r="BK60" i="33"/>
  <c r="BL60" i="33"/>
  <c r="BM60" i="33"/>
  <c r="BN60" i="33"/>
  <c r="BO60" i="33"/>
  <c r="D61" i="33"/>
  <c r="F61" i="33"/>
  <c r="G61" i="33"/>
  <c r="H61" i="33"/>
  <c r="I61" i="33"/>
  <c r="K61" i="33"/>
  <c r="L61" i="33"/>
  <c r="N61" i="33"/>
  <c r="O61" i="33"/>
  <c r="P61" i="33"/>
  <c r="Q61" i="33"/>
  <c r="S61" i="33"/>
  <c r="T61" i="33"/>
  <c r="V61" i="33"/>
  <c r="X61" i="33"/>
  <c r="Y61" i="33"/>
  <c r="Z61" i="33"/>
  <c r="AA61" i="33"/>
  <c r="AB61" i="33"/>
  <c r="AC61" i="33"/>
  <c r="AF61" i="33"/>
  <c r="AG61" i="33"/>
  <c r="AH61" i="33"/>
  <c r="AI61" i="33"/>
  <c r="AJ61" i="33"/>
  <c r="AL61" i="33"/>
  <c r="AM61" i="33"/>
  <c r="AN61" i="33"/>
  <c r="AO61" i="33"/>
  <c r="AP61" i="33"/>
  <c r="AQ61" i="33"/>
  <c r="AR61" i="33"/>
  <c r="AS61" i="33"/>
  <c r="AT61" i="33"/>
  <c r="AU61" i="33"/>
  <c r="AV61" i="33"/>
  <c r="AW61" i="33"/>
  <c r="AX61" i="33"/>
  <c r="AY61" i="33"/>
  <c r="BB61" i="33"/>
  <c r="BC61" i="33"/>
  <c r="BD61" i="33"/>
  <c r="BE61" i="33"/>
  <c r="BF61" i="33"/>
  <c r="BG61" i="33"/>
  <c r="BH61" i="33"/>
  <c r="BI61" i="33"/>
  <c r="BJ61" i="33"/>
  <c r="BK61" i="33"/>
  <c r="BL61" i="33"/>
  <c r="BM61" i="33"/>
  <c r="BN61" i="33"/>
  <c r="BO61" i="33"/>
  <c r="D62" i="33"/>
  <c r="F62" i="33"/>
  <c r="G62" i="33"/>
  <c r="H62" i="33"/>
  <c r="I62" i="33"/>
  <c r="K62" i="33"/>
  <c r="L62" i="33"/>
  <c r="N62" i="33"/>
  <c r="O62" i="33"/>
  <c r="P62" i="33"/>
  <c r="Q62" i="33"/>
  <c r="S62" i="33"/>
  <c r="T62" i="33"/>
  <c r="V62" i="33"/>
  <c r="X62" i="33"/>
  <c r="Y62" i="33"/>
  <c r="Z62" i="33"/>
  <c r="AA62" i="33"/>
  <c r="AB62" i="33"/>
  <c r="AC62" i="33"/>
  <c r="AF62" i="33"/>
  <c r="AG62" i="33"/>
  <c r="AH62" i="33"/>
  <c r="AI62" i="33"/>
  <c r="AJ62" i="33"/>
  <c r="AL62" i="33"/>
  <c r="AM62" i="33"/>
  <c r="AN62" i="33"/>
  <c r="AO62" i="33"/>
  <c r="AP62" i="33"/>
  <c r="AQ62" i="33"/>
  <c r="AR62" i="33"/>
  <c r="AS62" i="33"/>
  <c r="AT62" i="33"/>
  <c r="AU62" i="33"/>
  <c r="AV62" i="33"/>
  <c r="AW62" i="33"/>
  <c r="AX62" i="33"/>
  <c r="AY62" i="33"/>
  <c r="BB62" i="33"/>
  <c r="BC62" i="33"/>
  <c r="BD62" i="33"/>
  <c r="BE62" i="33"/>
  <c r="BF62" i="33"/>
  <c r="BG62" i="33"/>
  <c r="BH62" i="33"/>
  <c r="BI62" i="33"/>
  <c r="BJ62" i="33"/>
  <c r="BK62" i="33"/>
  <c r="BL62" i="33"/>
  <c r="BM62" i="33"/>
  <c r="BN62" i="33"/>
  <c r="BO62" i="33"/>
  <c r="D63" i="33"/>
  <c r="F63" i="33"/>
  <c r="G63" i="33"/>
  <c r="H63" i="33"/>
  <c r="I63" i="33"/>
  <c r="K63" i="33"/>
  <c r="L63" i="33"/>
  <c r="N63" i="33"/>
  <c r="O63" i="33"/>
  <c r="P63" i="33"/>
  <c r="Q63" i="33"/>
  <c r="S63" i="33"/>
  <c r="T63" i="33"/>
  <c r="V63" i="33"/>
  <c r="X63" i="33"/>
  <c r="Y63" i="33"/>
  <c r="Z63" i="33"/>
  <c r="AA63" i="33"/>
  <c r="AB63" i="33"/>
  <c r="AC63" i="33"/>
  <c r="AF63" i="33"/>
  <c r="AG63" i="33"/>
  <c r="AH63" i="33"/>
  <c r="AI63" i="33"/>
  <c r="AJ63" i="33"/>
  <c r="AL63" i="33"/>
  <c r="AM63" i="33"/>
  <c r="AN63" i="33"/>
  <c r="AO63" i="33"/>
  <c r="AP63" i="33"/>
  <c r="AQ63" i="33"/>
  <c r="AR63" i="33"/>
  <c r="AS63" i="33"/>
  <c r="AT63" i="33"/>
  <c r="AU63" i="33"/>
  <c r="AV63" i="33"/>
  <c r="AW63" i="33"/>
  <c r="AX63" i="33"/>
  <c r="AY63" i="33"/>
  <c r="BB63" i="33"/>
  <c r="BC63" i="33"/>
  <c r="BD63" i="33"/>
  <c r="BE63" i="33"/>
  <c r="BF63" i="33"/>
  <c r="BG63" i="33"/>
  <c r="BH63" i="33"/>
  <c r="BI63" i="33"/>
  <c r="BJ63" i="33"/>
  <c r="BK63" i="33"/>
  <c r="BL63" i="33"/>
  <c r="BM63" i="33"/>
  <c r="BN63" i="33"/>
  <c r="BO63" i="33"/>
  <c r="D64" i="33"/>
  <c r="F64" i="33"/>
  <c r="G64" i="33"/>
  <c r="H64" i="33"/>
  <c r="I64" i="33"/>
  <c r="K64" i="33"/>
  <c r="L64" i="33"/>
  <c r="N64" i="33"/>
  <c r="O64" i="33"/>
  <c r="P64" i="33"/>
  <c r="Q64" i="33"/>
  <c r="S64" i="33"/>
  <c r="T64" i="33"/>
  <c r="V64" i="33"/>
  <c r="X64" i="33"/>
  <c r="Y64" i="33"/>
  <c r="Z64" i="33"/>
  <c r="AA64" i="33"/>
  <c r="AB64" i="33"/>
  <c r="AC64" i="33"/>
  <c r="AF64" i="33"/>
  <c r="AG64" i="33"/>
  <c r="AH64" i="33"/>
  <c r="AI64" i="33"/>
  <c r="AJ64" i="33"/>
  <c r="AL64" i="33"/>
  <c r="AM64" i="33"/>
  <c r="AN64" i="33"/>
  <c r="AO64" i="33"/>
  <c r="AP64" i="33"/>
  <c r="AQ64" i="33"/>
  <c r="AR64" i="33"/>
  <c r="AS64" i="33"/>
  <c r="AT64" i="33"/>
  <c r="AU64" i="33"/>
  <c r="AV64" i="33"/>
  <c r="AW64" i="33"/>
  <c r="AX64" i="33"/>
  <c r="AY64" i="33"/>
  <c r="BB64" i="33"/>
  <c r="BC64" i="33"/>
  <c r="BD64" i="33"/>
  <c r="BE64" i="33"/>
  <c r="BF64" i="33"/>
  <c r="BG64" i="33"/>
  <c r="BH64" i="33"/>
  <c r="BI64" i="33"/>
  <c r="BJ64" i="33"/>
  <c r="BK64" i="33"/>
  <c r="BL64" i="33"/>
  <c r="BM64" i="33"/>
  <c r="BN64" i="33"/>
  <c r="BO64" i="33"/>
  <c r="D65" i="33"/>
  <c r="F65" i="33"/>
  <c r="G65" i="33"/>
  <c r="H65" i="33"/>
  <c r="I65" i="33"/>
  <c r="K65" i="33"/>
  <c r="L65" i="33"/>
  <c r="N65" i="33"/>
  <c r="O65" i="33"/>
  <c r="P65" i="33"/>
  <c r="Q65" i="33"/>
  <c r="S65" i="33"/>
  <c r="T65" i="33"/>
  <c r="V65" i="33"/>
  <c r="X65" i="33"/>
  <c r="Y65" i="33"/>
  <c r="Z65" i="33"/>
  <c r="AA65" i="33"/>
  <c r="AB65" i="33"/>
  <c r="AC65" i="33"/>
  <c r="AF65" i="33"/>
  <c r="AG65" i="33"/>
  <c r="AH65" i="33"/>
  <c r="AI65" i="33"/>
  <c r="AJ65" i="33"/>
  <c r="AL65" i="33"/>
  <c r="AM65" i="33"/>
  <c r="AN65" i="33"/>
  <c r="AO65" i="33"/>
  <c r="AP65" i="33"/>
  <c r="AQ65" i="33"/>
  <c r="AR65" i="33"/>
  <c r="AS65" i="33"/>
  <c r="AT65" i="33"/>
  <c r="AU65" i="33"/>
  <c r="AV65" i="33"/>
  <c r="AW65" i="33"/>
  <c r="AX65" i="33"/>
  <c r="AY65" i="33"/>
  <c r="BB65" i="33"/>
  <c r="BC65" i="33"/>
  <c r="BD65" i="33"/>
  <c r="BE65" i="33"/>
  <c r="BF65" i="33"/>
  <c r="BG65" i="33"/>
  <c r="BH65" i="33"/>
  <c r="BI65" i="33"/>
  <c r="BJ65" i="33"/>
  <c r="BK65" i="33"/>
  <c r="BL65" i="33"/>
  <c r="BM65" i="33"/>
  <c r="BN65" i="33"/>
  <c r="BO65" i="33"/>
  <c r="D66" i="33"/>
  <c r="F66" i="33"/>
  <c r="G66" i="33"/>
  <c r="H66" i="33"/>
  <c r="I66" i="33"/>
  <c r="K66" i="33"/>
  <c r="L66" i="33"/>
  <c r="N66" i="33"/>
  <c r="O66" i="33"/>
  <c r="P66" i="33"/>
  <c r="Q66" i="33"/>
  <c r="S66" i="33"/>
  <c r="T66" i="33"/>
  <c r="V66" i="33"/>
  <c r="X66" i="33"/>
  <c r="Y66" i="33"/>
  <c r="Z66" i="33"/>
  <c r="AA66" i="33"/>
  <c r="AB66" i="33"/>
  <c r="AC66" i="33"/>
  <c r="AF66" i="33"/>
  <c r="AG66" i="33"/>
  <c r="AH66" i="33"/>
  <c r="AI66" i="33"/>
  <c r="AJ66" i="33"/>
  <c r="AL66" i="33"/>
  <c r="AM66" i="33"/>
  <c r="AN66" i="33"/>
  <c r="AO66" i="33"/>
  <c r="AP66" i="33"/>
  <c r="AQ66" i="33"/>
  <c r="AR66" i="33"/>
  <c r="AS66" i="33"/>
  <c r="AT66" i="33"/>
  <c r="AU66" i="33"/>
  <c r="AV66" i="33"/>
  <c r="AW66" i="33"/>
  <c r="AX66" i="33"/>
  <c r="AY66" i="33"/>
  <c r="BB66" i="33"/>
  <c r="BC66" i="33"/>
  <c r="BD66" i="33"/>
  <c r="BE66" i="33"/>
  <c r="BF66" i="33"/>
  <c r="BG66" i="33"/>
  <c r="BH66" i="33"/>
  <c r="BI66" i="33"/>
  <c r="BJ66" i="33"/>
  <c r="BK66" i="33"/>
  <c r="BL66" i="33"/>
  <c r="BM66" i="33"/>
  <c r="BN66" i="33"/>
  <c r="BO66" i="33"/>
  <c r="D67" i="33"/>
  <c r="F67" i="33"/>
  <c r="G67" i="33"/>
  <c r="H67" i="33"/>
  <c r="I67" i="33"/>
  <c r="K67" i="33"/>
  <c r="L67" i="33"/>
  <c r="N67" i="33"/>
  <c r="O67" i="33"/>
  <c r="P67" i="33"/>
  <c r="Q67" i="33"/>
  <c r="S67" i="33"/>
  <c r="T67" i="33"/>
  <c r="V67" i="33"/>
  <c r="X67" i="33"/>
  <c r="Y67" i="33"/>
  <c r="Z67" i="33"/>
  <c r="AA67" i="33"/>
  <c r="AB67" i="33"/>
  <c r="AC67" i="33"/>
  <c r="AF67" i="33"/>
  <c r="AG67" i="33"/>
  <c r="AH67" i="33"/>
  <c r="AI67" i="33"/>
  <c r="AJ67" i="33"/>
  <c r="AL67" i="33"/>
  <c r="AM67" i="33"/>
  <c r="AN67" i="33"/>
  <c r="AO67" i="33"/>
  <c r="AP67" i="33"/>
  <c r="AQ67" i="33"/>
  <c r="AR67" i="33"/>
  <c r="AS67" i="33"/>
  <c r="AT67" i="33"/>
  <c r="AU67" i="33"/>
  <c r="AV67" i="33"/>
  <c r="AW67" i="33"/>
  <c r="AX67" i="33"/>
  <c r="AY67" i="33"/>
  <c r="BB67" i="33"/>
  <c r="BC67" i="33"/>
  <c r="BD67" i="33"/>
  <c r="BE67" i="33"/>
  <c r="BF67" i="33"/>
  <c r="BG67" i="33"/>
  <c r="BH67" i="33"/>
  <c r="BI67" i="33"/>
  <c r="BJ67" i="33"/>
  <c r="BK67" i="33"/>
  <c r="BL67" i="33"/>
  <c r="BM67" i="33"/>
  <c r="BN67" i="33"/>
  <c r="BO67" i="33"/>
  <c r="D68" i="33"/>
  <c r="F68" i="33"/>
  <c r="G68" i="33"/>
  <c r="H68" i="33"/>
  <c r="I68" i="33"/>
  <c r="K68" i="33"/>
  <c r="L68" i="33"/>
  <c r="N68" i="33"/>
  <c r="O68" i="33"/>
  <c r="P68" i="33"/>
  <c r="Q68" i="33"/>
  <c r="S68" i="33"/>
  <c r="T68" i="33"/>
  <c r="V68" i="33"/>
  <c r="X68" i="33"/>
  <c r="Y68" i="33"/>
  <c r="Z68" i="33"/>
  <c r="AA68" i="33"/>
  <c r="AB68" i="33"/>
  <c r="AC68" i="33"/>
  <c r="AF68" i="33"/>
  <c r="AG68" i="33"/>
  <c r="AH68" i="33"/>
  <c r="AI68" i="33"/>
  <c r="AJ68" i="33"/>
  <c r="AL68" i="33"/>
  <c r="AM68" i="33"/>
  <c r="AN68" i="33"/>
  <c r="AO68" i="33"/>
  <c r="AP68" i="33"/>
  <c r="AQ68" i="33"/>
  <c r="AR68" i="33"/>
  <c r="AS68" i="33"/>
  <c r="AT68" i="33"/>
  <c r="AU68" i="33"/>
  <c r="AV68" i="33"/>
  <c r="AW68" i="33"/>
  <c r="AX68" i="33"/>
  <c r="AY68" i="33"/>
  <c r="BB68" i="33"/>
  <c r="BC68" i="33"/>
  <c r="BD68" i="33"/>
  <c r="BE68" i="33"/>
  <c r="BF68" i="33"/>
  <c r="BG68" i="33"/>
  <c r="BH68" i="33"/>
  <c r="BI68" i="33"/>
  <c r="BJ68" i="33"/>
  <c r="BK68" i="33"/>
  <c r="BL68" i="33"/>
  <c r="BM68" i="33"/>
  <c r="BN68" i="33"/>
  <c r="BO68" i="33"/>
  <c r="D69" i="33"/>
  <c r="F69" i="33"/>
  <c r="G69" i="33"/>
  <c r="H69" i="33"/>
  <c r="I69" i="33"/>
  <c r="K69" i="33"/>
  <c r="L69" i="33"/>
  <c r="N69" i="33"/>
  <c r="O69" i="33"/>
  <c r="P69" i="33"/>
  <c r="Q69" i="33"/>
  <c r="S69" i="33"/>
  <c r="T69" i="33"/>
  <c r="V69" i="33"/>
  <c r="X69" i="33"/>
  <c r="Y69" i="33"/>
  <c r="Z69" i="33"/>
  <c r="AA69" i="33"/>
  <c r="AB69" i="33"/>
  <c r="AC69" i="33"/>
  <c r="AF69" i="33"/>
  <c r="AG69" i="33"/>
  <c r="AH69" i="33"/>
  <c r="AI69" i="33"/>
  <c r="AJ69" i="33"/>
  <c r="AL69" i="33"/>
  <c r="AM69" i="33"/>
  <c r="AN69" i="33"/>
  <c r="AO69" i="33"/>
  <c r="AP69" i="33"/>
  <c r="AQ69" i="33"/>
  <c r="AR69" i="33"/>
  <c r="AS69" i="33"/>
  <c r="AT69" i="33"/>
  <c r="AU69" i="33"/>
  <c r="AV69" i="33"/>
  <c r="AW69" i="33"/>
  <c r="AX69" i="33"/>
  <c r="AY69" i="33"/>
  <c r="BB69" i="33"/>
  <c r="BC69" i="33"/>
  <c r="BD69" i="33"/>
  <c r="BE69" i="33"/>
  <c r="BF69" i="33"/>
  <c r="BG69" i="33"/>
  <c r="BH69" i="33"/>
  <c r="BI69" i="33"/>
  <c r="BJ69" i="33"/>
  <c r="BK69" i="33"/>
  <c r="BL69" i="33"/>
  <c r="BM69" i="33"/>
  <c r="BN69" i="33"/>
  <c r="BO69" i="33"/>
  <c r="D70" i="33"/>
  <c r="F70" i="33"/>
  <c r="G70" i="33"/>
  <c r="H70" i="33"/>
  <c r="I70" i="33"/>
  <c r="K70" i="33"/>
  <c r="L70" i="33"/>
  <c r="N70" i="33"/>
  <c r="O70" i="33"/>
  <c r="P70" i="33"/>
  <c r="Q70" i="33"/>
  <c r="S70" i="33"/>
  <c r="T70" i="33"/>
  <c r="V70" i="33"/>
  <c r="X70" i="33"/>
  <c r="Y70" i="33"/>
  <c r="Z70" i="33"/>
  <c r="AA70" i="33"/>
  <c r="AB70" i="33"/>
  <c r="AC70" i="33"/>
  <c r="AF70" i="33"/>
  <c r="AG70" i="33"/>
  <c r="AH70" i="33"/>
  <c r="AI70" i="33"/>
  <c r="AJ70" i="33"/>
  <c r="AL70" i="33"/>
  <c r="AM70" i="33"/>
  <c r="AN70" i="33"/>
  <c r="AO70" i="33"/>
  <c r="AP70" i="33"/>
  <c r="AQ70" i="33"/>
  <c r="AR70" i="33"/>
  <c r="AS70" i="33"/>
  <c r="AT70" i="33"/>
  <c r="AU70" i="33"/>
  <c r="AV70" i="33"/>
  <c r="AW70" i="33"/>
  <c r="AX70" i="33"/>
  <c r="AY70" i="33"/>
  <c r="BB70" i="33"/>
  <c r="BC70" i="33"/>
  <c r="BD70" i="33"/>
  <c r="BE70" i="33"/>
  <c r="BF70" i="33"/>
  <c r="BG70" i="33"/>
  <c r="BH70" i="33"/>
  <c r="BI70" i="33"/>
  <c r="BJ70" i="33"/>
  <c r="BK70" i="33"/>
  <c r="BL70" i="33"/>
  <c r="BM70" i="33"/>
  <c r="BN70" i="33"/>
  <c r="BO70" i="33"/>
  <c r="D71" i="33"/>
  <c r="F71" i="33"/>
  <c r="G71" i="33"/>
  <c r="H71" i="33"/>
  <c r="I71" i="33"/>
  <c r="K71" i="33"/>
  <c r="L71" i="33"/>
  <c r="N71" i="33"/>
  <c r="O71" i="33"/>
  <c r="P71" i="33"/>
  <c r="Q71" i="33"/>
  <c r="S71" i="33"/>
  <c r="T71" i="33"/>
  <c r="V71" i="33"/>
  <c r="X71" i="33"/>
  <c r="Y71" i="33"/>
  <c r="Z71" i="33"/>
  <c r="AA71" i="33"/>
  <c r="AB71" i="33"/>
  <c r="AC71" i="33"/>
  <c r="AF71" i="33"/>
  <c r="AG71" i="33"/>
  <c r="AH71" i="33"/>
  <c r="AI71" i="33"/>
  <c r="AJ71" i="33"/>
  <c r="AL71" i="33"/>
  <c r="AM71" i="33"/>
  <c r="AN71" i="33"/>
  <c r="AO71" i="33"/>
  <c r="AP71" i="33"/>
  <c r="AQ71" i="33"/>
  <c r="AR71" i="33"/>
  <c r="AS71" i="33"/>
  <c r="AT71" i="33"/>
  <c r="AU71" i="33"/>
  <c r="AV71" i="33"/>
  <c r="AW71" i="33"/>
  <c r="AX71" i="33"/>
  <c r="AY71" i="33"/>
  <c r="BB71" i="33"/>
  <c r="BC71" i="33"/>
  <c r="BD71" i="33"/>
  <c r="BE71" i="33"/>
  <c r="BF71" i="33"/>
  <c r="BG71" i="33"/>
  <c r="BH71" i="33"/>
  <c r="BI71" i="33"/>
  <c r="BJ71" i="33"/>
  <c r="BK71" i="33"/>
  <c r="BL71" i="33"/>
  <c r="BM71" i="33"/>
  <c r="BN71" i="33"/>
  <c r="BO71" i="33"/>
  <c r="D72" i="33"/>
  <c r="F72" i="33"/>
  <c r="G72" i="33"/>
  <c r="H72" i="33"/>
  <c r="I72" i="33"/>
  <c r="K72" i="33"/>
  <c r="L72" i="33"/>
  <c r="N72" i="33"/>
  <c r="O72" i="33"/>
  <c r="P72" i="33"/>
  <c r="Q72" i="33"/>
  <c r="S72" i="33"/>
  <c r="T72" i="33"/>
  <c r="V72" i="33"/>
  <c r="X72" i="33"/>
  <c r="Y72" i="33"/>
  <c r="Z72" i="33"/>
  <c r="AA72" i="33"/>
  <c r="AB72" i="33"/>
  <c r="AC72" i="33"/>
  <c r="AF72" i="33"/>
  <c r="AG72" i="33"/>
  <c r="AH72" i="33"/>
  <c r="AI72" i="33"/>
  <c r="AJ72" i="33"/>
  <c r="AL72" i="33"/>
  <c r="AM72" i="33"/>
  <c r="AN72" i="33"/>
  <c r="AO72" i="33"/>
  <c r="AP72" i="33"/>
  <c r="AQ72" i="33"/>
  <c r="AR72" i="33"/>
  <c r="AS72" i="33"/>
  <c r="AT72" i="33"/>
  <c r="AU72" i="33"/>
  <c r="AV72" i="33"/>
  <c r="AW72" i="33"/>
  <c r="AX72" i="33"/>
  <c r="AY72" i="33"/>
  <c r="BB72" i="33"/>
  <c r="BC72" i="33"/>
  <c r="BD72" i="33"/>
  <c r="BE72" i="33"/>
  <c r="BF72" i="33"/>
  <c r="BG72" i="33"/>
  <c r="BH72" i="33"/>
  <c r="BI72" i="33"/>
  <c r="BJ72" i="33"/>
  <c r="BK72" i="33"/>
  <c r="BL72" i="33"/>
  <c r="BM72" i="33"/>
  <c r="BN72" i="33"/>
  <c r="BO72" i="33"/>
  <c r="D73" i="33"/>
  <c r="F73" i="33"/>
  <c r="G73" i="33"/>
  <c r="H73" i="33"/>
  <c r="I73" i="33"/>
  <c r="K73" i="33"/>
  <c r="L73" i="33"/>
  <c r="N73" i="33"/>
  <c r="O73" i="33"/>
  <c r="P73" i="33"/>
  <c r="Q73" i="33"/>
  <c r="S73" i="33"/>
  <c r="T73" i="33"/>
  <c r="V73" i="33"/>
  <c r="X73" i="33"/>
  <c r="Y73" i="33"/>
  <c r="Z73" i="33"/>
  <c r="AA73" i="33"/>
  <c r="AB73" i="33"/>
  <c r="AC73" i="33"/>
  <c r="AF73" i="33"/>
  <c r="AG73" i="33"/>
  <c r="AH73" i="33"/>
  <c r="AI73" i="33"/>
  <c r="AJ73" i="33"/>
  <c r="AL73" i="33"/>
  <c r="AM73" i="33"/>
  <c r="AN73" i="33"/>
  <c r="AO73" i="33"/>
  <c r="AP73" i="33"/>
  <c r="AQ73" i="33"/>
  <c r="AR73" i="33"/>
  <c r="AS73" i="33"/>
  <c r="AT73" i="33"/>
  <c r="AU73" i="33"/>
  <c r="AV73" i="33"/>
  <c r="AW73" i="33"/>
  <c r="AX73" i="33"/>
  <c r="AY73" i="33"/>
  <c r="BB73" i="33"/>
  <c r="BC73" i="33"/>
  <c r="BD73" i="33"/>
  <c r="BE73" i="33"/>
  <c r="BF73" i="33"/>
  <c r="BG73" i="33"/>
  <c r="BH73" i="33"/>
  <c r="BI73" i="33"/>
  <c r="BJ73" i="33"/>
  <c r="BK73" i="33"/>
  <c r="BL73" i="33"/>
  <c r="BM73" i="33"/>
  <c r="BN73" i="33"/>
  <c r="BO73" i="33"/>
  <c r="D74" i="33"/>
  <c r="F74" i="33"/>
  <c r="G74" i="33"/>
  <c r="H74" i="33"/>
  <c r="I74" i="33"/>
  <c r="K74" i="33"/>
  <c r="L74" i="33"/>
  <c r="N74" i="33"/>
  <c r="O74" i="33"/>
  <c r="P74" i="33"/>
  <c r="Q74" i="33"/>
  <c r="S74" i="33"/>
  <c r="T74" i="33"/>
  <c r="V74" i="33"/>
  <c r="X74" i="33"/>
  <c r="Y74" i="33"/>
  <c r="Z74" i="33"/>
  <c r="AA74" i="33"/>
  <c r="AB74" i="33"/>
  <c r="AC74" i="33"/>
  <c r="AF74" i="33"/>
  <c r="AG74" i="33"/>
  <c r="AH74" i="33"/>
  <c r="AI74" i="33"/>
  <c r="AJ74" i="33"/>
  <c r="AL74" i="33"/>
  <c r="AM74" i="33"/>
  <c r="AN74" i="33"/>
  <c r="AO74" i="33"/>
  <c r="AP74" i="33"/>
  <c r="AQ74" i="33"/>
  <c r="AR74" i="33"/>
  <c r="AS74" i="33"/>
  <c r="AT74" i="33"/>
  <c r="AU74" i="33"/>
  <c r="AV74" i="33"/>
  <c r="AW74" i="33"/>
  <c r="AX74" i="33"/>
  <c r="AY74" i="33"/>
  <c r="BB74" i="33"/>
  <c r="BC74" i="33"/>
  <c r="BD74" i="33"/>
  <c r="BE74" i="33"/>
  <c r="BF74" i="33"/>
  <c r="BG74" i="33"/>
  <c r="BH74" i="33"/>
  <c r="BI74" i="33"/>
  <c r="BJ74" i="33"/>
  <c r="BK74" i="33"/>
  <c r="BL74" i="33"/>
  <c r="BM74" i="33"/>
  <c r="BN74" i="33"/>
  <c r="BO74" i="33"/>
  <c r="D75" i="33"/>
  <c r="F75" i="33"/>
  <c r="G75" i="33"/>
  <c r="H75" i="33"/>
  <c r="I75" i="33"/>
  <c r="K75" i="33"/>
  <c r="L75" i="33"/>
  <c r="N75" i="33"/>
  <c r="O75" i="33"/>
  <c r="P75" i="33"/>
  <c r="Q75" i="33"/>
  <c r="S75" i="33"/>
  <c r="T75" i="33"/>
  <c r="V75" i="33"/>
  <c r="X75" i="33"/>
  <c r="Y75" i="33"/>
  <c r="Z75" i="33"/>
  <c r="AA75" i="33"/>
  <c r="AB75" i="33"/>
  <c r="AC75" i="33"/>
  <c r="AF75" i="33"/>
  <c r="AG75" i="33"/>
  <c r="AH75" i="33"/>
  <c r="AI75" i="33"/>
  <c r="AJ75" i="33"/>
  <c r="AL75" i="33"/>
  <c r="AM75" i="33"/>
  <c r="AN75" i="33"/>
  <c r="AO75" i="33"/>
  <c r="AP75" i="33"/>
  <c r="AQ75" i="33"/>
  <c r="AR75" i="33"/>
  <c r="AS75" i="33"/>
  <c r="AT75" i="33"/>
  <c r="AU75" i="33"/>
  <c r="AV75" i="33"/>
  <c r="AW75" i="33"/>
  <c r="AX75" i="33"/>
  <c r="AY75" i="33"/>
  <c r="BB75" i="33"/>
  <c r="BC75" i="33"/>
  <c r="BD75" i="33"/>
  <c r="BE75" i="33"/>
  <c r="BF75" i="33"/>
  <c r="BG75" i="33"/>
  <c r="BH75" i="33"/>
  <c r="BI75" i="33"/>
  <c r="BJ75" i="33"/>
  <c r="BK75" i="33"/>
  <c r="BL75" i="33"/>
  <c r="BM75" i="33"/>
  <c r="BN75" i="33"/>
  <c r="BO75" i="33"/>
  <c r="D76" i="33"/>
  <c r="F76" i="33"/>
  <c r="G76" i="33"/>
  <c r="H76" i="33"/>
  <c r="I76" i="33"/>
  <c r="K76" i="33"/>
  <c r="L76" i="33"/>
  <c r="N76" i="33"/>
  <c r="O76" i="33"/>
  <c r="P76" i="33"/>
  <c r="Q76" i="33"/>
  <c r="S76" i="33"/>
  <c r="T76" i="33"/>
  <c r="V76" i="33"/>
  <c r="X76" i="33"/>
  <c r="Y76" i="33"/>
  <c r="Z76" i="33"/>
  <c r="AA76" i="33"/>
  <c r="AB76" i="33"/>
  <c r="AC76" i="33"/>
  <c r="AF76" i="33"/>
  <c r="AG76" i="33"/>
  <c r="AH76" i="33"/>
  <c r="AI76" i="33"/>
  <c r="AJ76" i="33"/>
  <c r="AL76" i="33"/>
  <c r="AM76" i="33"/>
  <c r="AN76" i="33"/>
  <c r="AO76" i="33"/>
  <c r="AP76" i="33"/>
  <c r="AQ76" i="33"/>
  <c r="AR76" i="33"/>
  <c r="AS76" i="33"/>
  <c r="AT76" i="33"/>
  <c r="AU76" i="33"/>
  <c r="AV76" i="33"/>
  <c r="AW76" i="33"/>
  <c r="AX76" i="33"/>
  <c r="AY76" i="33"/>
  <c r="BB76" i="33"/>
  <c r="BC76" i="33"/>
  <c r="BD76" i="33"/>
  <c r="BE76" i="33"/>
  <c r="BF76" i="33"/>
  <c r="BG76" i="33"/>
  <c r="BH76" i="33"/>
  <c r="BI76" i="33"/>
  <c r="BJ76" i="33"/>
  <c r="BK76" i="33"/>
  <c r="BL76" i="33"/>
  <c r="BM76" i="33"/>
  <c r="BN76" i="33"/>
  <c r="BO76" i="33"/>
  <c r="D77" i="33"/>
  <c r="F77" i="33"/>
  <c r="G77" i="33"/>
  <c r="H77" i="33"/>
  <c r="I77" i="33"/>
  <c r="K77" i="33"/>
  <c r="L77" i="33"/>
  <c r="N77" i="33"/>
  <c r="O77" i="33"/>
  <c r="P77" i="33"/>
  <c r="Q77" i="33"/>
  <c r="S77" i="33"/>
  <c r="T77" i="33"/>
  <c r="V77" i="33"/>
  <c r="X77" i="33"/>
  <c r="Y77" i="33"/>
  <c r="Z77" i="33"/>
  <c r="AA77" i="33"/>
  <c r="AB77" i="33"/>
  <c r="AC77" i="33"/>
  <c r="AF77" i="33"/>
  <c r="AG77" i="33"/>
  <c r="AH77" i="33"/>
  <c r="AI77" i="33"/>
  <c r="AJ77" i="33"/>
  <c r="AL77" i="33"/>
  <c r="AM77" i="33"/>
  <c r="AN77" i="33"/>
  <c r="AO77" i="33"/>
  <c r="AP77" i="33"/>
  <c r="AQ77" i="33"/>
  <c r="AR77" i="33"/>
  <c r="AS77" i="33"/>
  <c r="AT77" i="33"/>
  <c r="AU77" i="33"/>
  <c r="AV77" i="33"/>
  <c r="AW77" i="33"/>
  <c r="AX77" i="33"/>
  <c r="AY77" i="33"/>
  <c r="BB77" i="33"/>
  <c r="BC77" i="33"/>
  <c r="BD77" i="33"/>
  <c r="BE77" i="33"/>
  <c r="BF77" i="33"/>
  <c r="BG77" i="33"/>
  <c r="BH77" i="33"/>
  <c r="BI77" i="33"/>
  <c r="BJ77" i="33"/>
  <c r="BK77" i="33"/>
  <c r="BL77" i="33"/>
  <c r="BM77" i="33"/>
  <c r="BN77" i="33"/>
  <c r="BO77" i="33"/>
  <c r="D78" i="33"/>
  <c r="F78" i="33"/>
  <c r="G78" i="33"/>
  <c r="H78" i="33"/>
  <c r="I78" i="33"/>
  <c r="K78" i="33"/>
  <c r="L78" i="33"/>
  <c r="N78" i="33"/>
  <c r="O78" i="33"/>
  <c r="P78" i="33"/>
  <c r="Q78" i="33"/>
  <c r="S78" i="33"/>
  <c r="T78" i="33"/>
  <c r="V78" i="33"/>
  <c r="X78" i="33"/>
  <c r="Y78" i="33"/>
  <c r="Z78" i="33"/>
  <c r="AA78" i="33"/>
  <c r="AB78" i="33"/>
  <c r="AC78" i="33"/>
  <c r="AF78" i="33"/>
  <c r="AG78" i="33"/>
  <c r="AH78" i="33"/>
  <c r="AI78" i="33"/>
  <c r="AJ78" i="33"/>
  <c r="AL78" i="33"/>
  <c r="AM78" i="33"/>
  <c r="AN78" i="33"/>
  <c r="AO78" i="33"/>
  <c r="AP78" i="33"/>
  <c r="AQ78" i="33"/>
  <c r="AR78" i="33"/>
  <c r="AS78" i="33"/>
  <c r="AT78" i="33"/>
  <c r="AU78" i="33"/>
  <c r="AV78" i="33"/>
  <c r="AW78" i="33"/>
  <c r="AX78" i="33"/>
  <c r="AY78" i="33"/>
  <c r="BB78" i="33"/>
  <c r="BC78" i="33"/>
  <c r="BD78" i="33"/>
  <c r="BE78" i="33"/>
  <c r="BF78" i="33"/>
  <c r="BG78" i="33"/>
  <c r="BH78" i="33"/>
  <c r="BI78" i="33"/>
  <c r="BJ78" i="33"/>
  <c r="BK78" i="33"/>
  <c r="BL78" i="33"/>
  <c r="BM78" i="33"/>
  <c r="BN78" i="33"/>
  <c r="BO78" i="33"/>
  <c r="D79" i="33"/>
  <c r="F79" i="33"/>
  <c r="G79" i="33"/>
  <c r="H79" i="33"/>
  <c r="I79" i="33"/>
  <c r="K79" i="33"/>
  <c r="L79" i="33"/>
  <c r="N79" i="33"/>
  <c r="O79" i="33"/>
  <c r="P79" i="33"/>
  <c r="Q79" i="33"/>
  <c r="S79" i="33"/>
  <c r="T79" i="33"/>
  <c r="V79" i="33"/>
  <c r="X79" i="33"/>
  <c r="Y79" i="33"/>
  <c r="Z79" i="33"/>
  <c r="AA79" i="33"/>
  <c r="AB79" i="33"/>
  <c r="AC79" i="33"/>
  <c r="AF79" i="33"/>
  <c r="AG79" i="33"/>
  <c r="AH79" i="33"/>
  <c r="AI79" i="33"/>
  <c r="AJ79" i="33"/>
  <c r="AL79" i="33"/>
  <c r="AM79" i="33"/>
  <c r="AN79" i="33"/>
  <c r="AO79" i="33"/>
  <c r="AP79" i="33"/>
  <c r="AQ79" i="33"/>
  <c r="AR79" i="33"/>
  <c r="AS79" i="33"/>
  <c r="AT79" i="33"/>
  <c r="AU79" i="33"/>
  <c r="AV79" i="33"/>
  <c r="AW79" i="33"/>
  <c r="AX79" i="33"/>
  <c r="AY79" i="33"/>
  <c r="BB79" i="33"/>
  <c r="BC79" i="33"/>
  <c r="BD79" i="33"/>
  <c r="BE79" i="33"/>
  <c r="BF79" i="33"/>
  <c r="BG79" i="33"/>
  <c r="BH79" i="33"/>
  <c r="BI79" i="33"/>
  <c r="BJ79" i="33"/>
  <c r="BK79" i="33"/>
  <c r="BL79" i="33"/>
  <c r="BM79" i="33"/>
  <c r="BN79" i="33"/>
  <c r="BO79" i="33"/>
  <c r="D80" i="33"/>
  <c r="F80" i="33"/>
  <c r="G80" i="33"/>
  <c r="H80" i="33"/>
  <c r="I80" i="33"/>
  <c r="K80" i="33"/>
  <c r="L80" i="33"/>
  <c r="N80" i="33"/>
  <c r="O80" i="33"/>
  <c r="P80" i="33"/>
  <c r="Q80" i="33"/>
  <c r="S80" i="33"/>
  <c r="T80" i="33"/>
  <c r="V80" i="33"/>
  <c r="X80" i="33"/>
  <c r="Y80" i="33"/>
  <c r="Z80" i="33"/>
  <c r="AA80" i="33"/>
  <c r="AB80" i="33"/>
  <c r="AC80" i="33"/>
  <c r="AF80" i="33"/>
  <c r="AG80" i="33"/>
  <c r="AH80" i="33"/>
  <c r="AI80" i="33"/>
  <c r="AJ80" i="33"/>
  <c r="AL80" i="33"/>
  <c r="AM80" i="33"/>
  <c r="AN80" i="33"/>
  <c r="AO80" i="33"/>
  <c r="AP80" i="33"/>
  <c r="AQ80" i="33"/>
  <c r="AR80" i="33"/>
  <c r="AS80" i="33"/>
  <c r="AT80" i="33"/>
  <c r="AU80" i="33"/>
  <c r="AV80" i="33"/>
  <c r="AW80" i="33"/>
  <c r="AX80" i="33"/>
  <c r="AY80" i="33"/>
  <c r="BB80" i="33"/>
  <c r="BC80" i="33"/>
  <c r="BD80" i="33"/>
  <c r="BE80" i="33"/>
  <c r="BF80" i="33"/>
  <c r="BG80" i="33"/>
  <c r="BH80" i="33"/>
  <c r="BI80" i="33"/>
  <c r="BJ80" i="33"/>
  <c r="BK80" i="33"/>
  <c r="BL80" i="33"/>
  <c r="BM80" i="33"/>
  <c r="BN80" i="33"/>
  <c r="BO80" i="33"/>
  <c r="D81" i="33"/>
  <c r="F81" i="33"/>
  <c r="G81" i="33"/>
  <c r="H81" i="33"/>
  <c r="I81" i="33"/>
  <c r="K81" i="33"/>
  <c r="L81" i="33"/>
  <c r="N81" i="33"/>
  <c r="O81" i="33"/>
  <c r="P81" i="33"/>
  <c r="Q81" i="33"/>
  <c r="S81" i="33"/>
  <c r="T81" i="33"/>
  <c r="V81" i="33"/>
  <c r="X81" i="33"/>
  <c r="Y81" i="33"/>
  <c r="Z81" i="33"/>
  <c r="AA81" i="33"/>
  <c r="AB81" i="33"/>
  <c r="AC81" i="33"/>
  <c r="AF81" i="33"/>
  <c r="AG81" i="33"/>
  <c r="AH81" i="33"/>
  <c r="AI81" i="33"/>
  <c r="AJ81" i="33"/>
  <c r="AL81" i="33"/>
  <c r="AM81" i="33"/>
  <c r="AN81" i="33"/>
  <c r="AO81" i="33"/>
  <c r="AP81" i="33"/>
  <c r="AQ81" i="33"/>
  <c r="AR81" i="33"/>
  <c r="AS81" i="33"/>
  <c r="AT81" i="33"/>
  <c r="AU81" i="33"/>
  <c r="AV81" i="33"/>
  <c r="AW81" i="33"/>
  <c r="AX81" i="33"/>
  <c r="AY81" i="33"/>
  <c r="BB81" i="33"/>
  <c r="BC81" i="33"/>
  <c r="BD81" i="33"/>
  <c r="BE81" i="33"/>
  <c r="BF81" i="33"/>
  <c r="BG81" i="33"/>
  <c r="BH81" i="33"/>
  <c r="BI81" i="33"/>
  <c r="BJ81" i="33"/>
  <c r="BK81" i="33"/>
  <c r="BL81" i="33"/>
  <c r="BM81" i="33"/>
  <c r="BN81" i="33"/>
  <c r="BO81" i="33"/>
  <c r="D82" i="33"/>
  <c r="F82" i="33"/>
  <c r="G82" i="33"/>
  <c r="H82" i="33"/>
  <c r="I82" i="33"/>
  <c r="K82" i="33"/>
  <c r="L82" i="33"/>
  <c r="N82" i="33"/>
  <c r="O82" i="33"/>
  <c r="P82" i="33"/>
  <c r="Q82" i="33"/>
  <c r="S82" i="33"/>
  <c r="T82" i="33"/>
  <c r="V82" i="33"/>
  <c r="X82" i="33"/>
  <c r="Y82" i="33"/>
  <c r="Z82" i="33"/>
  <c r="AA82" i="33"/>
  <c r="AB82" i="33"/>
  <c r="AC82" i="33"/>
  <c r="AF82" i="33"/>
  <c r="AG82" i="33"/>
  <c r="AH82" i="33"/>
  <c r="AI82" i="33"/>
  <c r="AJ82" i="33"/>
  <c r="AL82" i="33"/>
  <c r="AM82" i="33"/>
  <c r="AN82" i="33"/>
  <c r="AO82" i="33"/>
  <c r="AP82" i="33"/>
  <c r="AQ82" i="33"/>
  <c r="AR82" i="33"/>
  <c r="AS82" i="33"/>
  <c r="AT82" i="33"/>
  <c r="AU82" i="33"/>
  <c r="AV82" i="33"/>
  <c r="AW82" i="33"/>
  <c r="AX82" i="33"/>
  <c r="AY82" i="33"/>
  <c r="BB82" i="33"/>
  <c r="BC82" i="33"/>
  <c r="BD82" i="33"/>
  <c r="BE82" i="33"/>
  <c r="BF82" i="33"/>
  <c r="BG82" i="33"/>
  <c r="BH82" i="33"/>
  <c r="BI82" i="33"/>
  <c r="BJ82" i="33"/>
  <c r="BK82" i="33"/>
  <c r="BL82" i="33"/>
  <c r="BM82" i="33"/>
  <c r="BN82" i="33"/>
  <c r="BO82" i="33"/>
  <c r="D83" i="33"/>
  <c r="F83" i="33"/>
  <c r="G83" i="33"/>
  <c r="H83" i="33"/>
  <c r="I83" i="33"/>
  <c r="K83" i="33"/>
  <c r="L83" i="33"/>
  <c r="N83" i="33"/>
  <c r="O83" i="33"/>
  <c r="P83" i="33"/>
  <c r="Q83" i="33"/>
  <c r="S83" i="33"/>
  <c r="T83" i="33"/>
  <c r="V83" i="33"/>
  <c r="X83" i="33"/>
  <c r="Y83" i="33"/>
  <c r="Z83" i="33"/>
  <c r="AA83" i="33"/>
  <c r="AB83" i="33"/>
  <c r="AC83" i="33"/>
  <c r="AF83" i="33"/>
  <c r="AG83" i="33"/>
  <c r="AH83" i="33"/>
  <c r="AI83" i="33"/>
  <c r="AJ83" i="33"/>
  <c r="AL83" i="33"/>
  <c r="AM83" i="33"/>
  <c r="AN83" i="33"/>
  <c r="AO83" i="33"/>
  <c r="AP83" i="33"/>
  <c r="AQ83" i="33"/>
  <c r="AR83" i="33"/>
  <c r="AS83" i="33"/>
  <c r="AT83" i="33"/>
  <c r="AU83" i="33"/>
  <c r="AV83" i="33"/>
  <c r="AW83" i="33"/>
  <c r="AX83" i="33"/>
  <c r="AY83" i="33"/>
  <c r="BB83" i="33"/>
  <c r="BC83" i="33"/>
  <c r="BD83" i="33"/>
  <c r="BE83" i="33"/>
  <c r="BF83" i="33"/>
  <c r="BG83" i="33"/>
  <c r="BH83" i="33"/>
  <c r="BI83" i="33"/>
  <c r="BJ83" i="33"/>
  <c r="BK83" i="33"/>
  <c r="BL83" i="33"/>
  <c r="BM83" i="33"/>
  <c r="BN83" i="33"/>
  <c r="BO83" i="33"/>
  <c r="D84" i="33"/>
  <c r="F84" i="33"/>
  <c r="G84" i="33"/>
  <c r="H84" i="33"/>
  <c r="I84" i="33"/>
  <c r="K84" i="33"/>
  <c r="L84" i="33"/>
  <c r="N84" i="33"/>
  <c r="O84" i="33"/>
  <c r="P84" i="33"/>
  <c r="Q84" i="33"/>
  <c r="S84" i="33"/>
  <c r="T84" i="33"/>
  <c r="V84" i="33"/>
  <c r="X84" i="33"/>
  <c r="Y84" i="33"/>
  <c r="Z84" i="33"/>
  <c r="AA84" i="33"/>
  <c r="AB84" i="33"/>
  <c r="AC84" i="33"/>
  <c r="AF84" i="33"/>
  <c r="AG84" i="33"/>
  <c r="AH84" i="33"/>
  <c r="AI84" i="33"/>
  <c r="AJ84" i="33"/>
  <c r="AL84" i="33"/>
  <c r="AM84" i="33"/>
  <c r="AN84" i="33"/>
  <c r="AO84" i="33"/>
  <c r="AP84" i="33"/>
  <c r="AQ84" i="33"/>
  <c r="AR84" i="33"/>
  <c r="AS84" i="33"/>
  <c r="AT84" i="33"/>
  <c r="AU84" i="33"/>
  <c r="AV84" i="33"/>
  <c r="AW84" i="33"/>
  <c r="AX84" i="33"/>
  <c r="AY84" i="33"/>
  <c r="BB84" i="33"/>
  <c r="BC84" i="33"/>
  <c r="BD84" i="33"/>
  <c r="BE84" i="33"/>
  <c r="BF84" i="33"/>
  <c r="BG84" i="33"/>
  <c r="BH84" i="33"/>
  <c r="BI84" i="33"/>
  <c r="BJ84" i="33"/>
  <c r="BK84" i="33"/>
  <c r="BL84" i="33"/>
  <c r="BM84" i="33"/>
  <c r="BN84" i="33"/>
  <c r="BO84" i="33"/>
  <c r="D85" i="33"/>
  <c r="F85" i="33"/>
  <c r="G85" i="33"/>
  <c r="H85" i="33"/>
  <c r="I85" i="33"/>
  <c r="K85" i="33"/>
  <c r="L85" i="33"/>
  <c r="N85" i="33"/>
  <c r="O85" i="33"/>
  <c r="P85" i="33"/>
  <c r="Q85" i="33"/>
  <c r="S85" i="33"/>
  <c r="T85" i="33"/>
  <c r="V85" i="33"/>
  <c r="X85" i="33"/>
  <c r="Y85" i="33"/>
  <c r="Z85" i="33"/>
  <c r="AA85" i="33"/>
  <c r="AB85" i="33"/>
  <c r="AC85" i="33"/>
  <c r="AF85" i="33"/>
  <c r="AG85" i="33"/>
  <c r="AH85" i="33"/>
  <c r="AI85" i="33"/>
  <c r="AJ85" i="33"/>
  <c r="AL85" i="33"/>
  <c r="AM85" i="33"/>
  <c r="AN85" i="33"/>
  <c r="AO85" i="33"/>
  <c r="AP85" i="33"/>
  <c r="AQ85" i="33"/>
  <c r="AR85" i="33"/>
  <c r="AS85" i="33"/>
  <c r="AT85" i="33"/>
  <c r="AU85" i="33"/>
  <c r="AV85" i="33"/>
  <c r="AW85" i="33"/>
  <c r="AX85" i="33"/>
  <c r="AY85" i="33"/>
  <c r="BB85" i="33"/>
  <c r="BC85" i="33"/>
  <c r="BD85" i="33"/>
  <c r="BE85" i="33"/>
  <c r="BF85" i="33"/>
  <c r="BG85" i="33"/>
  <c r="BH85" i="33"/>
  <c r="BI85" i="33"/>
  <c r="BJ85" i="33"/>
  <c r="BK85" i="33"/>
  <c r="BL85" i="33"/>
  <c r="BM85" i="33"/>
  <c r="BN85" i="33"/>
  <c r="BO85" i="33"/>
  <c r="D86" i="33"/>
  <c r="F86" i="33"/>
  <c r="G86" i="33"/>
  <c r="H86" i="33"/>
  <c r="I86" i="33"/>
  <c r="K86" i="33"/>
  <c r="L86" i="33"/>
  <c r="N86" i="33"/>
  <c r="O86" i="33"/>
  <c r="P86" i="33"/>
  <c r="Q86" i="33"/>
  <c r="S86" i="33"/>
  <c r="T86" i="33"/>
  <c r="V86" i="33"/>
  <c r="X86" i="33"/>
  <c r="Y86" i="33"/>
  <c r="Z86" i="33"/>
  <c r="AA86" i="33"/>
  <c r="AB86" i="33"/>
  <c r="AC86" i="33"/>
  <c r="AF86" i="33"/>
  <c r="AG86" i="33"/>
  <c r="AH86" i="33"/>
  <c r="AI86" i="33"/>
  <c r="AJ86" i="33"/>
  <c r="AL86" i="33"/>
  <c r="AM86" i="33"/>
  <c r="AN86" i="33"/>
  <c r="AO86" i="33"/>
  <c r="AP86" i="33"/>
  <c r="AQ86" i="33"/>
  <c r="AR86" i="33"/>
  <c r="AS86" i="33"/>
  <c r="AT86" i="33"/>
  <c r="AU86" i="33"/>
  <c r="AV86" i="33"/>
  <c r="AW86" i="33"/>
  <c r="AX86" i="33"/>
  <c r="AY86" i="33"/>
  <c r="BB86" i="33"/>
  <c r="BC86" i="33"/>
  <c r="BD86" i="33"/>
  <c r="BE86" i="33"/>
  <c r="BF86" i="33"/>
  <c r="BG86" i="33"/>
  <c r="BH86" i="33"/>
  <c r="BI86" i="33"/>
  <c r="BJ86" i="33"/>
  <c r="BK86" i="33"/>
  <c r="BL86" i="33"/>
  <c r="BM86" i="33"/>
  <c r="BN86" i="33"/>
  <c r="BO86" i="33"/>
  <c r="D87" i="33"/>
  <c r="F87" i="33"/>
  <c r="G87" i="33"/>
  <c r="H87" i="33"/>
  <c r="I87" i="33"/>
  <c r="K87" i="33"/>
  <c r="L87" i="33"/>
  <c r="N87" i="33"/>
  <c r="O87" i="33"/>
  <c r="P87" i="33"/>
  <c r="Q87" i="33"/>
  <c r="S87" i="33"/>
  <c r="T87" i="33"/>
  <c r="V87" i="33"/>
  <c r="X87" i="33"/>
  <c r="Y87" i="33"/>
  <c r="Z87" i="33"/>
  <c r="AA87" i="33"/>
  <c r="AB87" i="33"/>
  <c r="AC87" i="33"/>
  <c r="AF87" i="33"/>
  <c r="AG87" i="33"/>
  <c r="AH87" i="33"/>
  <c r="AI87" i="33"/>
  <c r="AJ87" i="33"/>
  <c r="AL87" i="33"/>
  <c r="AM87" i="33"/>
  <c r="AN87" i="33"/>
  <c r="AO87" i="33"/>
  <c r="AP87" i="33"/>
  <c r="AQ87" i="33"/>
  <c r="AR87" i="33"/>
  <c r="AS87" i="33"/>
  <c r="AT87" i="33"/>
  <c r="AU87" i="33"/>
  <c r="AV87" i="33"/>
  <c r="AW87" i="33"/>
  <c r="AX87" i="33"/>
  <c r="AY87" i="33"/>
  <c r="BB87" i="33"/>
  <c r="BC87" i="33"/>
  <c r="BD87" i="33"/>
  <c r="BE87" i="33"/>
  <c r="BF87" i="33"/>
  <c r="BG87" i="33"/>
  <c r="BH87" i="33"/>
  <c r="BI87" i="33"/>
  <c r="BJ87" i="33"/>
  <c r="BK87" i="33"/>
  <c r="BL87" i="33"/>
  <c r="BM87" i="33"/>
  <c r="BN87" i="33"/>
  <c r="BO87" i="33"/>
  <c r="D88" i="33"/>
  <c r="F88" i="33"/>
  <c r="G88" i="33"/>
  <c r="H88" i="33"/>
  <c r="I88" i="33"/>
  <c r="K88" i="33"/>
  <c r="L88" i="33"/>
  <c r="N88" i="33"/>
  <c r="O88" i="33"/>
  <c r="P88" i="33"/>
  <c r="Q88" i="33"/>
  <c r="S88" i="33"/>
  <c r="T88" i="33"/>
  <c r="V88" i="33"/>
  <c r="X88" i="33"/>
  <c r="Y88" i="33"/>
  <c r="Z88" i="33"/>
  <c r="AA88" i="33"/>
  <c r="AB88" i="33"/>
  <c r="AC88" i="33"/>
  <c r="AF88" i="33"/>
  <c r="AG88" i="33"/>
  <c r="AH88" i="33"/>
  <c r="AI88" i="33"/>
  <c r="AJ88" i="33"/>
  <c r="AL88" i="33"/>
  <c r="AM88" i="33"/>
  <c r="AN88" i="33"/>
  <c r="AO88" i="33"/>
  <c r="AP88" i="33"/>
  <c r="AQ88" i="33"/>
  <c r="AR88" i="33"/>
  <c r="AS88" i="33"/>
  <c r="AT88" i="33"/>
  <c r="AU88" i="33"/>
  <c r="AV88" i="33"/>
  <c r="AW88" i="33"/>
  <c r="AX88" i="33"/>
  <c r="AY88" i="33"/>
  <c r="BB88" i="33"/>
  <c r="BC88" i="33"/>
  <c r="BD88" i="33"/>
  <c r="BE88" i="33"/>
  <c r="BF88" i="33"/>
  <c r="BG88" i="33"/>
  <c r="BH88" i="33"/>
  <c r="BI88" i="33"/>
  <c r="BJ88" i="33"/>
  <c r="BK88" i="33"/>
  <c r="BL88" i="33"/>
  <c r="BM88" i="33"/>
  <c r="BN88" i="33"/>
  <c r="BO88" i="33"/>
  <c r="D89" i="33"/>
  <c r="F89" i="33"/>
  <c r="G89" i="33"/>
  <c r="H89" i="33"/>
  <c r="I89" i="33"/>
  <c r="K89" i="33"/>
  <c r="L89" i="33"/>
  <c r="N89" i="33"/>
  <c r="O89" i="33"/>
  <c r="P89" i="33"/>
  <c r="Q89" i="33"/>
  <c r="S89" i="33"/>
  <c r="T89" i="33"/>
  <c r="V89" i="33"/>
  <c r="X89" i="33"/>
  <c r="Y89" i="33"/>
  <c r="Z89" i="33"/>
  <c r="AA89" i="33"/>
  <c r="AB89" i="33"/>
  <c r="AC89" i="33"/>
  <c r="AF89" i="33"/>
  <c r="AG89" i="33"/>
  <c r="AH89" i="33"/>
  <c r="AI89" i="33"/>
  <c r="AJ89" i="33"/>
  <c r="AL89" i="33"/>
  <c r="AM89" i="33"/>
  <c r="AN89" i="33"/>
  <c r="AO89" i="33"/>
  <c r="AP89" i="33"/>
  <c r="AQ89" i="33"/>
  <c r="AR89" i="33"/>
  <c r="AS89" i="33"/>
  <c r="AT89" i="33"/>
  <c r="AU89" i="33"/>
  <c r="AV89" i="33"/>
  <c r="AW89" i="33"/>
  <c r="AX89" i="33"/>
  <c r="AY89" i="33"/>
  <c r="BB89" i="33"/>
  <c r="BC89" i="33"/>
  <c r="BD89" i="33"/>
  <c r="BE89" i="33"/>
  <c r="BF89" i="33"/>
  <c r="BG89" i="33"/>
  <c r="BH89" i="33"/>
  <c r="BI89" i="33"/>
  <c r="BJ89" i="33"/>
  <c r="BK89" i="33"/>
  <c r="BL89" i="33"/>
  <c r="BM89" i="33"/>
  <c r="BN89" i="33"/>
  <c r="BO89" i="33"/>
  <c r="F1" i="34"/>
  <c r="AV1" i="34"/>
  <c r="A2" i="34"/>
  <c r="F2" i="34"/>
  <c r="G2" i="34"/>
  <c r="N2" i="34"/>
  <c r="AV2" i="34"/>
  <c r="AW2" i="34"/>
  <c r="AX2" i="34"/>
  <c r="AY2" i="34"/>
  <c r="BW2" i="34"/>
  <c r="BX2" i="34"/>
  <c r="BY2" i="34"/>
  <c r="BZ2" i="34"/>
  <c r="CA2" i="34"/>
  <c r="CB2" i="34"/>
  <c r="CC2" i="34"/>
  <c r="CD2" i="34"/>
  <c r="CE2" i="34"/>
  <c r="CF2" i="34"/>
  <c r="CG2" i="34"/>
  <c r="CH2" i="34"/>
  <c r="CI2" i="34"/>
  <c r="CJ2" i="34"/>
  <c r="CK2" i="34"/>
  <c r="CL2" i="34"/>
  <c r="CM2" i="34"/>
  <c r="CN2" i="34"/>
  <c r="CO2" i="34"/>
  <c r="CP2" i="34"/>
  <c r="CQ2" i="34"/>
  <c r="CR2" i="34"/>
  <c r="CS2" i="34"/>
  <c r="CT2" i="34"/>
  <c r="CU2" i="34"/>
  <c r="CV2" i="34"/>
  <c r="CW2" i="34"/>
  <c r="CX2" i="34"/>
  <c r="A3" i="34"/>
  <c r="AH3" i="34"/>
  <c r="AK3" i="34"/>
  <c r="AV3" i="34"/>
  <c r="AW3" i="34"/>
  <c r="AX3" i="34"/>
  <c r="AY3" i="34"/>
  <c r="A4" i="34"/>
  <c r="N4" i="34"/>
  <c r="P4" i="34"/>
  <c r="T4" i="34"/>
  <c r="V4" i="34"/>
  <c r="W4" i="34"/>
  <c r="AH4" i="34"/>
  <c r="AK4" i="34"/>
  <c r="AM4" i="34"/>
  <c r="AN4" i="34"/>
  <c r="AO4" i="34"/>
  <c r="AP4" i="34"/>
  <c r="AQ4" i="34"/>
  <c r="AR4" i="34"/>
  <c r="AS4" i="34"/>
  <c r="AT4" i="34"/>
  <c r="AV4" i="34"/>
  <c r="AW4" i="34"/>
  <c r="AX4" i="34"/>
  <c r="AY4" i="34"/>
  <c r="A5" i="34"/>
  <c r="G5" i="34"/>
  <c r="N5" i="34"/>
  <c r="P5" i="34"/>
  <c r="T5" i="34"/>
  <c r="V5" i="34"/>
  <c r="W5" i="34"/>
  <c r="AH5" i="34"/>
  <c r="AK5" i="34"/>
  <c r="AM5" i="34"/>
  <c r="AN5" i="34"/>
  <c r="AO5" i="34"/>
  <c r="AP5" i="34"/>
  <c r="AQ5" i="34"/>
  <c r="AR5" i="34"/>
  <c r="AS5" i="34"/>
  <c r="AT5" i="34"/>
  <c r="AV5" i="34"/>
  <c r="AW5" i="34"/>
  <c r="AX5" i="34"/>
  <c r="AY5" i="34"/>
  <c r="BV5" i="34"/>
  <c r="A6" i="34"/>
  <c r="N6" i="34"/>
  <c r="P6" i="34"/>
  <c r="T6" i="34"/>
  <c r="V6" i="34"/>
  <c r="W6" i="34"/>
  <c r="AH6" i="34"/>
  <c r="AK6" i="34"/>
  <c r="AM6" i="34"/>
  <c r="AN6" i="34"/>
  <c r="AO6" i="34"/>
  <c r="AP6" i="34"/>
  <c r="AQ6" i="34"/>
  <c r="AR6" i="34"/>
  <c r="AS6" i="34"/>
  <c r="AT6" i="34"/>
  <c r="A7" i="34"/>
  <c r="G7" i="34"/>
  <c r="N7" i="34"/>
  <c r="N7" i="34" a="1"/>
  <c r="P7" i="34"/>
  <c r="T7" i="34"/>
  <c r="AH7" i="34"/>
  <c r="AK7" i="34"/>
  <c r="AM7" i="34"/>
  <c r="AN7" i="34"/>
  <c r="AO7" i="34"/>
  <c r="AP7" i="34"/>
  <c r="AQ7" i="34"/>
  <c r="AR7" i="34"/>
  <c r="AS7" i="34"/>
  <c r="AT7" i="34"/>
  <c r="AV7" i="34"/>
  <c r="AW7" i="34"/>
  <c r="AX7" i="34"/>
  <c r="AY7" i="34"/>
  <c r="G8" i="34"/>
  <c r="N8" i="34"/>
  <c r="N8" i="34" a="1"/>
  <c r="P8" i="34"/>
  <c r="T8" i="34"/>
  <c r="V8" i="34"/>
  <c r="W8" i="34"/>
  <c r="Y8" i="34"/>
  <c r="Z8" i="34"/>
  <c r="AH8" i="34"/>
  <c r="AK8" i="34"/>
  <c r="AM8" i="34"/>
  <c r="AN8" i="34"/>
  <c r="AO8" i="34"/>
  <c r="AP8" i="34"/>
  <c r="AQ8" i="34"/>
  <c r="AR8" i="34"/>
  <c r="AS8" i="34"/>
  <c r="AT8" i="34"/>
  <c r="AV8" i="34"/>
  <c r="AW8" i="34"/>
  <c r="AX8" i="34"/>
  <c r="AY8" i="34"/>
  <c r="N9" i="34"/>
  <c r="N9" i="34" a="1"/>
  <c r="P9" i="34"/>
  <c r="AK9" i="34"/>
  <c r="AM9" i="34"/>
  <c r="AN9" i="34"/>
  <c r="AO9" i="34"/>
  <c r="AP9" i="34"/>
  <c r="AQ9" i="34"/>
  <c r="AR9" i="34"/>
  <c r="AS9" i="34"/>
  <c r="AT9" i="34"/>
  <c r="AV9" i="34"/>
  <c r="AW9" i="34"/>
  <c r="AX9" i="34"/>
  <c r="AY9" i="34"/>
  <c r="K10" i="34"/>
  <c r="N10" i="34"/>
  <c r="P10" i="34"/>
  <c r="AH10" i="34"/>
  <c r="AM10" i="34"/>
  <c r="AN10" i="34"/>
  <c r="AO10" i="34"/>
  <c r="AP10" i="34"/>
  <c r="AQ10" i="34"/>
  <c r="AR10" i="34"/>
  <c r="AS10" i="34"/>
  <c r="AT10" i="34"/>
  <c r="AV10" i="34"/>
  <c r="AW10" i="34"/>
  <c r="AX10" i="34"/>
  <c r="AY10" i="34"/>
  <c r="D11" i="34"/>
  <c r="K11" i="34"/>
  <c r="N11" i="34"/>
  <c r="P11" i="34"/>
  <c r="AM11" i="34"/>
  <c r="AN11" i="34"/>
  <c r="AO11" i="34"/>
  <c r="AP11" i="34"/>
  <c r="AQ11" i="34"/>
  <c r="AR11" i="34"/>
  <c r="AS11" i="34"/>
  <c r="AT11" i="34"/>
  <c r="AV11" i="34"/>
  <c r="AW11" i="34"/>
  <c r="AX11" i="34"/>
  <c r="AY11" i="34"/>
  <c r="D12" i="34"/>
  <c r="N12" i="34"/>
  <c r="P12" i="34"/>
  <c r="AH12" i="34"/>
  <c r="AM12" i="34"/>
  <c r="AN12" i="34"/>
  <c r="AO12" i="34"/>
  <c r="AP12" i="34"/>
  <c r="AQ12" i="34"/>
  <c r="AR12" i="34"/>
  <c r="AS12" i="34"/>
  <c r="AT12" i="34"/>
  <c r="AV12" i="34"/>
  <c r="AW12" i="34"/>
  <c r="AX12" i="34"/>
  <c r="AY12" i="34"/>
  <c r="N13" i="34"/>
  <c r="P13" i="34"/>
  <c r="AH13" i="34"/>
  <c r="AM13" i="34"/>
  <c r="AN13" i="34"/>
  <c r="AO13" i="34"/>
  <c r="AP13" i="34"/>
  <c r="AQ13" i="34"/>
  <c r="AR13" i="34"/>
  <c r="AS13" i="34"/>
  <c r="AT13" i="34"/>
  <c r="AV13" i="34"/>
  <c r="AW13" i="34"/>
  <c r="AX13" i="34"/>
  <c r="AY13" i="34"/>
  <c r="N14" i="34"/>
  <c r="P14" i="34"/>
  <c r="S14" i="34"/>
  <c r="T14" i="34"/>
  <c r="AM14" i="34"/>
  <c r="AN14" i="34"/>
  <c r="AO14" i="34"/>
  <c r="AP14" i="34"/>
  <c r="AQ14" i="34"/>
  <c r="AR14" i="34"/>
  <c r="AS14" i="34"/>
  <c r="AT14" i="34"/>
  <c r="AV14" i="34"/>
  <c r="AW14" i="34"/>
  <c r="AX14" i="34"/>
  <c r="AY14" i="34"/>
  <c r="N15" i="34"/>
  <c r="P15" i="34"/>
  <c r="AM15" i="34"/>
  <c r="AN15" i="34"/>
  <c r="AO15" i="34"/>
  <c r="AP15" i="34"/>
  <c r="AQ15" i="34"/>
  <c r="AR15" i="34"/>
  <c r="AS15" i="34"/>
  <c r="AT15" i="34"/>
  <c r="AV15" i="34"/>
  <c r="AW15" i="34"/>
  <c r="AX15" i="34"/>
  <c r="AY15" i="34"/>
  <c r="N16" i="34"/>
  <c r="P16" i="34"/>
  <c r="AV16" i="34"/>
  <c r="AW16" i="34"/>
  <c r="AX16" i="34"/>
  <c r="AY16" i="34"/>
  <c r="N17" i="34"/>
  <c r="P17" i="34"/>
  <c r="AV17" i="34"/>
  <c r="AW17" i="34"/>
  <c r="AX17" i="34"/>
  <c r="AY17" i="34"/>
  <c r="N18" i="34"/>
  <c r="P18" i="34"/>
  <c r="AX18" i="34"/>
  <c r="AY18" i="34"/>
  <c r="N19" i="34"/>
  <c r="P19" i="34"/>
  <c r="S20" i="34"/>
  <c r="T20" i="34"/>
  <c r="AM20" i="34"/>
  <c r="AO20" i="34"/>
  <c r="AV20" i="34"/>
  <c r="AW20" i="34"/>
  <c r="AX20" i="34"/>
  <c r="AY20" i="34"/>
  <c r="D22" i="34"/>
  <c r="F22" i="34"/>
  <c r="G22" i="34"/>
  <c r="H22" i="34"/>
  <c r="I22" i="34"/>
  <c r="K22" i="34"/>
  <c r="L22" i="34"/>
  <c r="N22" i="34"/>
  <c r="O22" i="34"/>
  <c r="P22" i="34"/>
  <c r="Q22" i="34"/>
  <c r="S22" i="34"/>
  <c r="T22" i="34"/>
  <c r="V22" i="34"/>
  <c r="X22" i="34"/>
  <c r="Y22" i="34"/>
  <c r="Z22" i="34"/>
  <c r="AA22" i="34"/>
  <c r="AB22" i="34"/>
  <c r="AC22" i="34"/>
  <c r="AF22" i="34"/>
  <c r="AG22" i="34"/>
  <c r="AH22" i="34"/>
  <c r="AI22" i="34"/>
  <c r="AJ22" i="34"/>
  <c r="AL22" i="34"/>
  <c r="AM22" i="34"/>
  <c r="AN22" i="34"/>
  <c r="AO22" i="34"/>
  <c r="AP22" i="34"/>
  <c r="AQ22" i="34"/>
  <c r="AR22" i="34"/>
  <c r="AS22" i="34"/>
  <c r="AT22" i="34"/>
  <c r="AU22" i="34"/>
  <c r="AV22" i="34"/>
  <c r="AW22" i="34"/>
  <c r="AX22" i="34"/>
  <c r="AY22" i="34"/>
  <c r="BB22" i="34"/>
  <c r="BC22" i="34"/>
  <c r="BD22" i="34"/>
  <c r="BE22" i="34"/>
  <c r="BF22" i="34"/>
  <c r="BG22" i="34"/>
  <c r="BH22" i="34"/>
  <c r="BI22" i="34"/>
  <c r="BJ22" i="34"/>
  <c r="BK22" i="34"/>
  <c r="BL22" i="34"/>
  <c r="BM22" i="34"/>
  <c r="BN22" i="34"/>
  <c r="BO22" i="34"/>
  <c r="D23" i="34"/>
  <c r="F23" i="34"/>
  <c r="G23" i="34"/>
  <c r="H23" i="34"/>
  <c r="I23" i="34"/>
  <c r="K23" i="34"/>
  <c r="L23" i="34"/>
  <c r="N23" i="34"/>
  <c r="O23" i="34"/>
  <c r="P23" i="34"/>
  <c r="Q23" i="34"/>
  <c r="S23" i="34"/>
  <c r="T23" i="34"/>
  <c r="V23" i="34"/>
  <c r="X23" i="34"/>
  <c r="Y23" i="34"/>
  <c r="Z23" i="34"/>
  <c r="AA23" i="34"/>
  <c r="AB23" i="34"/>
  <c r="AC23" i="34"/>
  <c r="AF23" i="34"/>
  <c r="AG23" i="34"/>
  <c r="AH23" i="34"/>
  <c r="AI23" i="34"/>
  <c r="AJ23" i="34"/>
  <c r="AL23" i="34"/>
  <c r="AM23" i="34"/>
  <c r="AN23" i="34"/>
  <c r="AO23" i="34"/>
  <c r="AP23" i="34"/>
  <c r="AQ23" i="34"/>
  <c r="AR23" i="34"/>
  <c r="AS23" i="34"/>
  <c r="AT23" i="34"/>
  <c r="AU23" i="34"/>
  <c r="AV23" i="34"/>
  <c r="AW23" i="34"/>
  <c r="AX23" i="34"/>
  <c r="AY23" i="34"/>
  <c r="BB23" i="34"/>
  <c r="BC23" i="34"/>
  <c r="BD23" i="34"/>
  <c r="BE23" i="34"/>
  <c r="BF23" i="34"/>
  <c r="BG23" i="34"/>
  <c r="BH23" i="34"/>
  <c r="BI23" i="34"/>
  <c r="BJ23" i="34"/>
  <c r="BK23" i="34"/>
  <c r="BL23" i="34"/>
  <c r="BM23" i="34"/>
  <c r="BN23" i="34"/>
  <c r="BO23" i="34"/>
  <c r="D24" i="34"/>
  <c r="F24" i="34"/>
  <c r="G24" i="34"/>
  <c r="H24" i="34"/>
  <c r="I24" i="34"/>
  <c r="K24" i="34"/>
  <c r="L24" i="34"/>
  <c r="N24" i="34"/>
  <c r="O24" i="34"/>
  <c r="P24" i="34"/>
  <c r="Q24" i="34"/>
  <c r="S24" i="34"/>
  <c r="T24" i="34"/>
  <c r="V24" i="34"/>
  <c r="X24" i="34"/>
  <c r="Y24" i="34"/>
  <c r="Z24" i="34"/>
  <c r="AA24" i="34"/>
  <c r="AB24" i="34"/>
  <c r="AC24" i="34"/>
  <c r="AF24" i="34"/>
  <c r="AG24" i="34"/>
  <c r="AH24" i="34"/>
  <c r="AI24" i="34"/>
  <c r="AJ24" i="34"/>
  <c r="AL24" i="34"/>
  <c r="AM24" i="34"/>
  <c r="AN24" i="34"/>
  <c r="AO24" i="34"/>
  <c r="AP24" i="34"/>
  <c r="AQ24" i="34"/>
  <c r="AR24" i="34"/>
  <c r="AS24" i="34"/>
  <c r="AT24" i="34"/>
  <c r="AU24" i="34"/>
  <c r="AV24" i="34"/>
  <c r="AW24" i="34"/>
  <c r="AX24" i="34"/>
  <c r="AY24" i="34"/>
  <c r="BB24" i="34"/>
  <c r="BC24" i="34"/>
  <c r="BD24" i="34"/>
  <c r="BE24" i="34"/>
  <c r="BF24" i="34"/>
  <c r="BG24" i="34"/>
  <c r="BH24" i="34"/>
  <c r="BI24" i="34"/>
  <c r="BJ24" i="34"/>
  <c r="BK24" i="34"/>
  <c r="BL24" i="34"/>
  <c r="BM24" i="34"/>
  <c r="BN24" i="34"/>
  <c r="BO24" i="34"/>
  <c r="D25" i="34"/>
  <c r="F25" i="34"/>
  <c r="G25" i="34"/>
  <c r="H25" i="34"/>
  <c r="I25" i="34"/>
  <c r="K25" i="34"/>
  <c r="L25" i="34"/>
  <c r="N25" i="34"/>
  <c r="O25" i="34"/>
  <c r="P25" i="34"/>
  <c r="Q25" i="34"/>
  <c r="S25" i="34"/>
  <c r="T25" i="34"/>
  <c r="V25" i="34"/>
  <c r="X25" i="34"/>
  <c r="Y25" i="34"/>
  <c r="Z25" i="34"/>
  <c r="AA25" i="34"/>
  <c r="AB25" i="34"/>
  <c r="AC25" i="34"/>
  <c r="AF25" i="34"/>
  <c r="AG25" i="34"/>
  <c r="AH25" i="34"/>
  <c r="AI25" i="34"/>
  <c r="AJ25" i="34"/>
  <c r="AL25" i="34"/>
  <c r="AM25" i="34"/>
  <c r="AN25" i="34"/>
  <c r="AO25" i="34"/>
  <c r="AP25" i="34"/>
  <c r="AQ25" i="34"/>
  <c r="AR25" i="34"/>
  <c r="AS25" i="34"/>
  <c r="AT25" i="34"/>
  <c r="AU25" i="34"/>
  <c r="AV25" i="34"/>
  <c r="AW25" i="34"/>
  <c r="AX25" i="34"/>
  <c r="AY25" i="34"/>
  <c r="BB25" i="34"/>
  <c r="BC25" i="34"/>
  <c r="BD25" i="34"/>
  <c r="BE25" i="34"/>
  <c r="BF25" i="34"/>
  <c r="BG25" i="34"/>
  <c r="BH25" i="34"/>
  <c r="BI25" i="34"/>
  <c r="BJ25" i="34"/>
  <c r="BK25" i="34"/>
  <c r="BL25" i="34"/>
  <c r="BM25" i="34"/>
  <c r="BN25" i="34"/>
  <c r="BO25" i="34"/>
  <c r="D26" i="34"/>
  <c r="F26" i="34"/>
  <c r="G26" i="34"/>
  <c r="H26" i="34"/>
  <c r="I26" i="34"/>
  <c r="K26" i="34"/>
  <c r="L26" i="34"/>
  <c r="N26" i="34"/>
  <c r="O26" i="34"/>
  <c r="P26" i="34"/>
  <c r="Q26" i="34"/>
  <c r="S26" i="34"/>
  <c r="T26" i="34"/>
  <c r="V26" i="34"/>
  <c r="X26" i="34"/>
  <c r="Y26" i="34"/>
  <c r="Z26" i="34"/>
  <c r="AA26" i="34"/>
  <c r="AB26" i="34"/>
  <c r="AC26" i="34"/>
  <c r="AF26" i="34"/>
  <c r="AG26" i="34"/>
  <c r="AH26" i="34"/>
  <c r="AI26" i="34"/>
  <c r="AJ26" i="34"/>
  <c r="AL26" i="34"/>
  <c r="AM26" i="34"/>
  <c r="AN26" i="34"/>
  <c r="AO26" i="34"/>
  <c r="AP26" i="34"/>
  <c r="AQ26" i="34"/>
  <c r="AR26" i="34"/>
  <c r="AS26" i="34"/>
  <c r="AT26" i="34"/>
  <c r="AU26" i="34"/>
  <c r="AV26" i="34"/>
  <c r="AW26" i="34"/>
  <c r="AX26" i="34"/>
  <c r="AY26" i="34"/>
  <c r="BB26" i="34"/>
  <c r="BC26" i="34"/>
  <c r="BD26" i="34"/>
  <c r="BE26" i="34"/>
  <c r="BF26" i="34"/>
  <c r="BG26" i="34"/>
  <c r="BH26" i="34"/>
  <c r="BI26" i="34"/>
  <c r="BJ26" i="34"/>
  <c r="BK26" i="34"/>
  <c r="BL26" i="34"/>
  <c r="BM26" i="34"/>
  <c r="BN26" i="34"/>
  <c r="BO26" i="34"/>
  <c r="D27" i="34"/>
  <c r="F27" i="34"/>
  <c r="G27" i="34"/>
  <c r="H27" i="34"/>
  <c r="I27" i="34"/>
  <c r="K27" i="34"/>
  <c r="L27" i="34"/>
  <c r="N27" i="34"/>
  <c r="O27" i="34"/>
  <c r="P27" i="34"/>
  <c r="Q27" i="34"/>
  <c r="S27" i="34"/>
  <c r="T27" i="34"/>
  <c r="V27" i="34"/>
  <c r="X27" i="34"/>
  <c r="Y27" i="34"/>
  <c r="Z27" i="34"/>
  <c r="AA27" i="34"/>
  <c r="AB27" i="34"/>
  <c r="AC27" i="34"/>
  <c r="AF27" i="34"/>
  <c r="AG27" i="34"/>
  <c r="AH27" i="34"/>
  <c r="AI27" i="34"/>
  <c r="AJ27" i="34"/>
  <c r="AL27" i="34"/>
  <c r="AM27" i="34"/>
  <c r="AN27" i="34"/>
  <c r="AO27" i="34"/>
  <c r="AP27" i="34"/>
  <c r="AQ27" i="34"/>
  <c r="AR27" i="34"/>
  <c r="AS27" i="34"/>
  <c r="AT27" i="34"/>
  <c r="AU27" i="34"/>
  <c r="AV27" i="34"/>
  <c r="AW27" i="34"/>
  <c r="AX27" i="34"/>
  <c r="AY27" i="34"/>
  <c r="BB27" i="34"/>
  <c r="BC27" i="34"/>
  <c r="BD27" i="34"/>
  <c r="BE27" i="34"/>
  <c r="BF27" i="34"/>
  <c r="BG27" i="34"/>
  <c r="BH27" i="34"/>
  <c r="BI27" i="34"/>
  <c r="BJ27" i="34"/>
  <c r="BK27" i="34"/>
  <c r="BL27" i="34"/>
  <c r="BM27" i="34"/>
  <c r="BN27" i="34"/>
  <c r="BO27" i="34"/>
  <c r="D28" i="34"/>
  <c r="F28" i="34"/>
  <c r="G28" i="34"/>
  <c r="H28" i="34"/>
  <c r="I28" i="34"/>
  <c r="K28" i="34"/>
  <c r="L28" i="34"/>
  <c r="N28" i="34"/>
  <c r="O28" i="34"/>
  <c r="P28" i="34"/>
  <c r="Q28" i="34"/>
  <c r="S28" i="34"/>
  <c r="T28" i="34"/>
  <c r="V28" i="34"/>
  <c r="X28" i="34"/>
  <c r="Y28" i="34"/>
  <c r="Z28" i="34"/>
  <c r="AA28" i="34"/>
  <c r="AB28" i="34"/>
  <c r="AC28" i="34"/>
  <c r="AF28" i="34"/>
  <c r="AG28" i="34"/>
  <c r="AH28" i="34"/>
  <c r="AI28" i="34"/>
  <c r="AJ28" i="34"/>
  <c r="AL28" i="34"/>
  <c r="AM28" i="34"/>
  <c r="AN28" i="34"/>
  <c r="AO28" i="34"/>
  <c r="AP28" i="34"/>
  <c r="AQ28" i="34"/>
  <c r="AR28" i="34"/>
  <c r="AS28" i="34"/>
  <c r="AT28" i="34"/>
  <c r="AU28" i="34"/>
  <c r="AV28" i="34"/>
  <c r="AW28" i="34"/>
  <c r="AX28" i="34"/>
  <c r="AY28" i="34"/>
  <c r="BB28" i="34"/>
  <c r="BC28" i="34"/>
  <c r="BD28" i="34"/>
  <c r="BE28" i="34"/>
  <c r="BF28" i="34"/>
  <c r="BG28" i="34"/>
  <c r="BH28" i="34"/>
  <c r="BI28" i="34"/>
  <c r="BJ28" i="34"/>
  <c r="BK28" i="34"/>
  <c r="BL28" i="34"/>
  <c r="BM28" i="34"/>
  <c r="BN28" i="34"/>
  <c r="BO28" i="34"/>
  <c r="D29" i="34"/>
  <c r="F29" i="34"/>
  <c r="G29" i="34"/>
  <c r="H29" i="34"/>
  <c r="I29" i="34"/>
  <c r="K29" i="34"/>
  <c r="L29" i="34"/>
  <c r="N29" i="34"/>
  <c r="O29" i="34"/>
  <c r="P29" i="34"/>
  <c r="Q29" i="34"/>
  <c r="S29" i="34"/>
  <c r="T29" i="34"/>
  <c r="V29" i="34"/>
  <c r="X29" i="34"/>
  <c r="Y29" i="34"/>
  <c r="Z29" i="34"/>
  <c r="AA29" i="34"/>
  <c r="AB29" i="34"/>
  <c r="AC29" i="34"/>
  <c r="AF29" i="34"/>
  <c r="AG29" i="34"/>
  <c r="AH29" i="34"/>
  <c r="AI29" i="34"/>
  <c r="AJ29" i="34"/>
  <c r="AL29" i="34"/>
  <c r="AM29" i="34"/>
  <c r="AN29" i="34"/>
  <c r="AO29" i="34"/>
  <c r="AP29" i="34"/>
  <c r="AQ29" i="34"/>
  <c r="AR29" i="34"/>
  <c r="AS29" i="34"/>
  <c r="AT29" i="34"/>
  <c r="AU29" i="34"/>
  <c r="AV29" i="34"/>
  <c r="AW29" i="34"/>
  <c r="AX29" i="34"/>
  <c r="AY29" i="34"/>
  <c r="BB29" i="34"/>
  <c r="BC29" i="34"/>
  <c r="BD29" i="34"/>
  <c r="BE29" i="34"/>
  <c r="BF29" i="34"/>
  <c r="BG29" i="34"/>
  <c r="BH29" i="34"/>
  <c r="BI29" i="34"/>
  <c r="BJ29" i="34"/>
  <c r="BK29" i="34"/>
  <c r="BL29" i="34"/>
  <c r="BM29" i="34"/>
  <c r="BN29" i="34"/>
  <c r="BO29" i="34"/>
  <c r="D30" i="34"/>
  <c r="F30" i="34"/>
  <c r="G30" i="34"/>
  <c r="H30" i="34"/>
  <c r="I30" i="34"/>
  <c r="K30" i="34"/>
  <c r="L30" i="34"/>
  <c r="N30" i="34"/>
  <c r="O30" i="34"/>
  <c r="P30" i="34"/>
  <c r="Q30" i="34"/>
  <c r="S30" i="34"/>
  <c r="T30" i="34"/>
  <c r="V30" i="34"/>
  <c r="X30" i="34"/>
  <c r="Y30" i="34"/>
  <c r="Z30" i="34"/>
  <c r="AA30" i="34"/>
  <c r="AB30" i="34"/>
  <c r="AC30" i="34"/>
  <c r="AF30" i="34"/>
  <c r="AG30" i="34"/>
  <c r="AH30" i="34"/>
  <c r="AI30" i="34"/>
  <c r="AJ30" i="34"/>
  <c r="AL30" i="34"/>
  <c r="AM30" i="34"/>
  <c r="AN30" i="34"/>
  <c r="AO30" i="34"/>
  <c r="AP30" i="34"/>
  <c r="AQ30" i="34"/>
  <c r="AR30" i="34"/>
  <c r="AS30" i="34"/>
  <c r="AT30" i="34"/>
  <c r="AU30" i="34"/>
  <c r="AV30" i="34"/>
  <c r="AW30" i="34"/>
  <c r="AX30" i="34"/>
  <c r="AY30" i="34"/>
  <c r="BB30" i="34"/>
  <c r="BC30" i="34"/>
  <c r="BD30" i="34"/>
  <c r="BE30" i="34"/>
  <c r="BF30" i="34"/>
  <c r="BG30" i="34"/>
  <c r="BH30" i="34"/>
  <c r="BI30" i="34"/>
  <c r="BJ30" i="34"/>
  <c r="BK30" i="34"/>
  <c r="BL30" i="34"/>
  <c r="BM30" i="34"/>
  <c r="BN30" i="34"/>
  <c r="BO30" i="34"/>
  <c r="D31" i="34"/>
  <c r="F31" i="34"/>
  <c r="G31" i="34"/>
  <c r="H31" i="34"/>
  <c r="I31" i="34"/>
  <c r="K31" i="34"/>
  <c r="L31" i="34"/>
  <c r="N31" i="34"/>
  <c r="O31" i="34"/>
  <c r="P31" i="34"/>
  <c r="Q31" i="34"/>
  <c r="S31" i="34"/>
  <c r="T31" i="34"/>
  <c r="V31" i="34"/>
  <c r="X31" i="34"/>
  <c r="Y31" i="34"/>
  <c r="Z31" i="34"/>
  <c r="AA31" i="34"/>
  <c r="AB31" i="34"/>
  <c r="AC31" i="34"/>
  <c r="AF31" i="34"/>
  <c r="AG31" i="34"/>
  <c r="AH31" i="34"/>
  <c r="AI31" i="34"/>
  <c r="AJ31" i="34"/>
  <c r="AL31" i="34"/>
  <c r="AM31" i="34"/>
  <c r="AN31" i="34"/>
  <c r="AO31" i="34"/>
  <c r="AP31" i="34"/>
  <c r="AQ31" i="34"/>
  <c r="AR31" i="34"/>
  <c r="AS31" i="34"/>
  <c r="AT31" i="34"/>
  <c r="AU31" i="34"/>
  <c r="AV31" i="34"/>
  <c r="AW31" i="34"/>
  <c r="AX31" i="34"/>
  <c r="AY31" i="34"/>
  <c r="BB31" i="34"/>
  <c r="BC31" i="34"/>
  <c r="BD31" i="34"/>
  <c r="BE31" i="34"/>
  <c r="BF31" i="34"/>
  <c r="BG31" i="34"/>
  <c r="BH31" i="34"/>
  <c r="BI31" i="34"/>
  <c r="BJ31" i="34"/>
  <c r="BK31" i="34"/>
  <c r="BL31" i="34"/>
  <c r="BM31" i="34"/>
  <c r="BN31" i="34"/>
  <c r="BO31" i="34"/>
  <c r="D32" i="34"/>
  <c r="F32" i="34"/>
  <c r="G32" i="34"/>
  <c r="H32" i="34"/>
  <c r="I32" i="34"/>
  <c r="K32" i="34"/>
  <c r="L32" i="34"/>
  <c r="N32" i="34"/>
  <c r="O32" i="34"/>
  <c r="P32" i="34"/>
  <c r="Q32" i="34"/>
  <c r="S32" i="34"/>
  <c r="T32" i="34"/>
  <c r="V32" i="34"/>
  <c r="X32" i="34"/>
  <c r="Y32" i="34"/>
  <c r="Z32" i="34"/>
  <c r="AA32" i="34"/>
  <c r="AB32" i="34"/>
  <c r="AC32" i="34"/>
  <c r="AF32" i="34"/>
  <c r="AG32" i="34"/>
  <c r="AH32" i="34"/>
  <c r="AI32" i="34"/>
  <c r="AJ32" i="34"/>
  <c r="AL32" i="34"/>
  <c r="AM32" i="34"/>
  <c r="AN32" i="34"/>
  <c r="AO32" i="34"/>
  <c r="AP32" i="34"/>
  <c r="AQ32" i="34"/>
  <c r="AR32" i="34"/>
  <c r="AS32" i="34"/>
  <c r="AT32" i="34"/>
  <c r="AU32" i="34"/>
  <c r="AV32" i="34"/>
  <c r="AW32" i="34"/>
  <c r="AX32" i="34"/>
  <c r="AY32" i="34"/>
  <c r="BB32" i="34"/>
  <c r="BC32" i="34"/>
  <c r="BD32" i="34"/>
  <c r="BE32" i="34"/>
  <c r="BF32" i="34"/>
  <c r="BG32" i="34"/>
  <c r="BH32" i="34"/>
  <c r="BI32" i="34"/>
  <c r="BJ32" i="34"/>
  <c r="BK32" i="34"/>
  <c r="BL32" i="34"/>
  <c r="BM32" i="34"/>
  <c r="BN32" i="34"/>
  <c r="BO32" i="34"/>
  <c r="D33" i="34"/>
  <c r="F33" i="34"/>
  <c r="G33" i="34"/>
  <c r="H33" i="34"/>
  <c r="I33" i="34"/>
  <c r="K33" i="34"/>
  <c r="L33" i="34"/>
  <c r="N33" i="34"/>
  <c r="O33" i="34"/>
  <c r="P33" i="34"/>
  <c r="Q33" i="34"/>
  <c r="S33" i="34"/>
  <c r="T33" i="34"/>
  <c r="V33" i="34"/>
  <c r="X33" i="34"/>
  <c r="Y33" i="34"/>
  <c r="Z33" i="34"/>
  <c r="AA33" i="34"/>
  <c r="AB33" i="34"/>
  <c r="AC33" i="34"/>
  <c r="AF33" i="34"/>
  <c r="AG33" i="34"/>
  <c r="AH33" i="34"/>
  <c r="AI33" i="34"/>
  <c r="AJ33" i="34"/>
  <c r="AL33" i="34"/>
  <c r="AM33" i="34"/>
  <c r="AN33" i="34"/>
  <c r="AO33" i="34"/>
  <c r="AP33" i="34"/>
  <c r="AQ33" i="34"/>
  <c r="AR33" i="34"/>
  <c r="AS33" i="34"/>
  <c r="AT33" i="34"/>
  <c r="AU33" i="34"/>
  <c r="AV33" i="34"/>
  <c r="AW33" i="34"/>
  <c r="AX33" i="34"/>
  <c r="AY33" i="34"/>
  <c r="BB33" i="34"/>
  <c r="BC33" i="34"/>
  <c r="BD33" i="34"/>
  <c r="BE33" i="34"/>
  <c r="BF33" i="34"/>
  <c r="BG33" i="34"/>
  <c r="BH33" i="34"/>
  <c r="BI33" i="34"/>
  <c r="BJ33" i="34"/>
  <c r="BK33" i="34"/>
  <c r="BL33" i="34"/>
  <c r="BM33" i="34"/>
  <c r="BN33" i="34"/>
  <c r="BO33" i="34"/>
  <c r="D34" i="34"/>
  <c r="F34" i="34"/>
  <c r="G34" i="34"/>
  <c r="H34" i="34"/>
  <c r="I34" i="34"/>
  <c r="K34" i="34"/>
  <c r="L34" i="34"/>
  <c r="N34" i="34"/>
  <c r="O34" i="34"/>
  <c r="P34" i="34"/>
  <c r="Q34" i="34"/>
  <c r="S34" i="34"/>
  <c r="T34" i="34"/>
  <c r="V34" i="34"/>
  <c r="X34" i="34"/>
  <c r="Y34" i="34"/>
  <c r="Z34" i="34"/>
  <c r="AA34" i="34"/>
  <c r="AB34" i="34"/>
  <c r="AC34" i="34"/>
  <c r="AF34" i="34"/>
  <c r="AG34" i="34"/>
  <c r="AH34" i="34"/>
  <c r="AI34" i="34"/>
  <c r="AJ34" i="34"/>
  <c r="AL34" i="34"/>
  <c r="AM34" i="34"/>
  <c r="AN34" i="34"/>
  <c r="AO34" i="34"/>
  <c r="AP34" i="34"/>
  <c r="AQ34" i="34"/>
  <c r="AR34" i="34"/>
  <c r="AS34" i="34"/>
  <c r="AT34" i="34"/>
  <c r="AU34" i="34"/>
  <c r="AV34" i="34"/>
  <c r="AW34" i="34"/>
  <c r="AX34" i="34"/>
  <c r="AY34" i="34"/>
  <c r="BB34" i="34"/>
  <c r="BC34" i="34"/>
  <c r="BD34" i="34"/>
  <c r="BE34" i="34"/>
  <c r="BF34" i="34"/>
  <c r="BG34" i="34"/>
  <c r="BH34" i="34"/>
  <c r="BI34" i="34"/>
  <c r="BJ34" i="34"/>
  <c r="BK34" i="34"/>
  <c r="BL34" i="34"/>
  <c r="BM34" i="34"/>
  <c r="BN34" i="34"/>
  <c r="BO34" i="34"/>
  <c r="D35" i="34"/>
  <c r="F35" i="34"/>
  <c r="G35" i="34"/>
  <c r="H35" i="34"/>
  <c r="I35" i="34"/>
  <c r="K35" i="34"/>
  <c r="L35" i="34"/>
  <c r="N35" i="34"/>
  <c r="O35" i="34"/>
  <c r="P35" i="34"/>
  <c r="Q35" i="34"/>
  <c r="S35" i="34"/>
  <c r="T35" i="34"/>
  <c r="V35" i="34"/>
  <c r="X35" i="34"/>
  <c r="Y35" i="34"/>
  <c r="Z35" i="34"/>
  <c r="AA35" i="34"/>
  <c r="AB35" i="34"/>
  <c r="AC35" i="34"/>
  <c r="AF35" i="34"/>
  <c r="AG35" i="34"/>
  <c r="AH35" i="34"/>
  <c r="AI35" i="34"/>
  <c r="AJ35" i="34"/>
  <c r="AL35" i="34"/>
  <c r="AM35" i="34"/>
  <c r="AN35" i="34"/>
  <c r="AO35" i="34"/>
  <c r="AP35" i="34"/>
  <c r="AQ35" i="34"/>
  <c r="AR35" i="34"/>
  <c r="AS35" i="34"/>
  <c r="AT35" i="34"/>
  <c r="AU35" i="34"/>
  <c r="AV35" i="34"/>
  <c r="AW35" i="34"/>
  <c r="AX35" i="34"/>
  <c r="AY35" i="34"/>
  <c r="BB35" i="34"/>
  <c r="BC35" i="34"/>
  <c r="BD35" i="34"/>
  <c r="BE35" i="34"/>
  <c r="BF35" i="34"/>
  <c r="BG35" i="34"/>
  <c r="BH35" i="34"/>
  <c r="BI35" i="34"/>
  <c r="BJ35" i="34"/>
  <c r="BK35" i="34"/>
  <c r="BL35" i="34"/>
  <c r="BM35" i="34"/>
  <c r="BN35" i="34"/>
  <c r="BO35" i="34"/>
  <c r="D36" i="34"/>
  <c r="F36" i="34"/>
  <c r="G36" i="34"/>
  <c r="H36" i="34"/>
  <c r="I36" i="34"/>
  <c r="K36" i="34"/>
  <c r="L36" i="34"/>
  <c r="N36" i="34"/>
  <c r="O36" i="34"/>
  <c r="P36" i="34"/>
  <c r="Q36" i="34"/>
  <c r="S36" i="34"/>
  <c r="T36" i="34"/>
  <c r="V36" i="34"/>
  <c r="X36" i="34"/>
  <c r="Y36" i="34"/>
  <c r="Z36" i="34"/>
  <c r="AA36" i="34"/>
  <c r="AB36" i="34"/>
  <c r="AC36" i="34"/>
  <c r="AF36" i="34"/>
  <c r="AG36" i="34"/>
  <c r="AH36" i="34"/>
  <c r="AI36" i="34"/>
  <c r="AJ36" i="34"/>
  <c r="AL36" i="34"/>
  <c r="AM36" i="34"/>
  <c r="AN36" i="34"/>
  <c r="AO36" i="34"/>
  <c r="AP36" i="34"/>
  <c r="AQ36" i="34"/>
  <c r="AR36" i="34"/>
  <c r="AS36" i="34"/>
  <c r="AT36" i="34"/>
  <c r="AU36" i="34"/>
  <c r="AV36" i="34"/>
  <c r="AW36" i="34"/>
  <c r="AX36" i="34"/>
  <c r="AY36" i="34"/>
  <c r="BB36" i="34"/>
  <c r="BC36" i="34"/>
  <c r="BD36" i="34"/>
  <c r="BE36" i="34"/>
  <c r="BF36" i="34"/>
  <c r="BG36" i="34"/>
  <c r="BH36" i="34"/>
  <c r="BI36" i="34"/>
  <c r="BJ36" i="34"/>
  <c r="BK36" i="34"/>
  <c r="BL36" i="34"/>
  <c r="BM36" i="34"/>
  <c r="BN36" i="34"/>
  <c r="BO36" i="34"/>
  <c r="D37" i="34"/>
  <c r="F37" i="34"/>
  <c r="G37" i="34"/>
  <c r="H37" i="34"/>
  <c r="I37" i="34"/>
  <c r="K37" i="34"/>
  <c r="L37" i="34"/>
  <c r="N37" i="34"/>
  <c r="O37" i="34"/>
  <c r="P37" i="34"/>
  <c r="Q37" i="34"/>
  <c r="S37" i="34"/>
  <c r="T37" i="34"/>
  <c r="V37" i="34"/>
  <c r="X37" i="34"/>
  <c r="Y37" i="34"/>
  <c r="Z37" i="34"/>
  <c r="AA37" i="34"/>
  <c r="AB37" i="34"/>
  <c r="AC37" i="34"/>
  <c r="AF37" i="34"/>
  <c r="AG37" i="34"/>
  <c r="AH37" i="34"/>
  <c r="AI37" i="34"/>
  <c r="AJ37" i="34"/>
  <c r="AL37" i="34"/>
  <c r="AM37" i="34"/>
  <c r="AN37" i="34"/>
  <c r="AO37" i="34"/>
  <c r="AP37" i="34"/>
  <c r="AQ37" i="34"/>
  <c r="AR37" i="34"/>
  <c r="AS37" i="34"/>
  <c r="AT37" i="34"/>
  <c r="AU37" i="34"/>
  <c r="AV37" i="34"/>
  <c r="AW37" i="34"/>
  <c r="AX37" i="34"/>
  <c r="AY37" i="34"/>
  <c r="BB37" i="34"/>
  <c r="BC37" i="34"/>
  <c r="BD37" i="34"/>
  <c r="BE37" i="34"/>
  <c r="BF37" i="34"/>
  <c r="BG37" i="34"/>
  <c r="BH37" i="34"/>
  <c r="BI37" i="34"/>
  <c r="BJ37" i="34"/>
  <c r="BK37" i="34"/>
  <c r="BL37" i="34"/>
  <c r="BM37" i="34"/>
  <c r="BN37" i="34"/>
  <c r="BO37" i="34"/>
  <c r="D38" i="34"/>
  <c r="F38" i="34"/>
  <c r="G38" i="34"/>
  <c r="H38" i="34"/>
  <c r="I38" i="34"/>
  <c r="K38" i="34"/>
  <c r="L38" i="34"/>
  <c r="N38" i="34"/>
  <c r="O38" i="34"/>
  <c r="P38" i="34"/>
  <c r="Q38" i="34"/>
  <c r="S38" i="34"/>
  <c r="T38" i="34"/>
  <c r="V38" i="34"/>
  <c r="X38" i="34"/>
  <c r="Y38" i="34"/>
  <c r="Z38" i="34"/>
  <c r="AA38" i="34"/>
  <c r="AB38" i="34"/>
  <c r="AC38" i="34"/>
  <c r="AF38" i="34"/>
  <c r="AG38" i="34"/>
  <c r="AH38" i="34"/>
  <c r="AI38" i="34"/>
  <c r="AJ38" i="34"/>
  <c r="AL38" i="34"/>
  <c r="AM38" i="34"/>
  <c r="AN38" i="34"/>
  <c r="AO38" i="34"/>
  <c r="AP38" i="34"/>
  <c r="AQ38" i="34"/>
  <c r="AR38" i="34"/>
  <c r="AS38" i="34"/>
  <c r="AT38" i="34"/>
  <c r="AU38" i="34"/>
  <c r="AV38" i="34"/>
  <c r="AW38" i="34"/>
  <c r="AX38" i="34"/>
  <c r="AY38" i="34"/>
  <c r="BB38" i="34"/>
  <c r="BC38" i="34"/>
  <c r="BD38" i="34"/>
  <c r="BE38" i="34"/>
  <c r="BF38" i="34"/>
  <c r="BG38" i="34"/>
  <c r="BH38" i="34"/>
  <c r="BI38" i="34"/>
  <c r="BJ38" i="34"/>
  <c r="BK38" i="34"/>
  <c r="BL38" i="34"/>
  <c r="BM38" i="34"/>
  <c r="BN38" i="34"/>
  <c r="BO38" i="34"/>
  <c r="D39" i="34"/>
  <c r="F39" i="34"/>
  <c r="G39" i="34"/>
  <c r="H39" i="34"/>
  <c r="I39" i="34"/>
  <c r="K39" i="34"/>
  <c r="L39" i="34"/>
  <c r="N39" i="34"/>
  <c r="O39" i="34"/>
  <c r="P39" i="34"/>
  <c r="Q39" i="34"/>
  <c r="S39" i="34"/>
  <c r="T39" i="34"/>
  <c r="V39" i="34"/>
  <c r="X39" i="34"/>
  <c r="Y39" i="34"/>
  <c r="Z39" i="34"/>
  <c r="AA39" i="34"/>
  <c r="AB39" i="34"/>
  <c r="AC39" i="34"/>
  <c r="AF39" i="34"/>
  <c r="AG39" i="34"/>
  <c r="AH39" i="34"/>
  <c r="AI39" i="34"/>
  <c r="AJ39" i="34"/>
  <c r="AL39" i="34"/>
  <c r="AM39" i="34"/>
  <c r="AN39" i="34"/>
  <c r="AO39" i="34"/>
  <c r="AP39" i="34"/>
  <c r="AQ39" i="34"/>
  <c r="AR39" i="34"/>
  <c r="AS39" i="34"/>
  <c r="AT39" i="34"/>
  <c r="AU39" i="34"/>
  <c r="AV39" i="34"/>
  <c r="AW39" i="34"/>
  <c r="AX39" i="34"/>
  <c r="AY39" i="34"/>
  <c r="BB39" i="34"/>
  <c r="BC39" i="34"/>
  <c r="BD39" i="34"/>
  <c r="BE39" i="34"/>
  <c r="BF39" i="34"/>
  <c r="BG39" i="34"/>
  <c r="BH39" i="34"/>
  <c r="BI39" i="34"/>
  <c r="BJ39" i="34"/>
  <c r="BK39" i="34"/>
  <c r="BL39" i="34"/>
  <c r="BM39" i="34"/>
  <c r="BN39" i="34"/>
  <c r="BO39" i="34"/>
  <c r="D40" i="34"/>
  <c r="F40" i="34"/>
  <c r="G40" i="34"/>
  <c r="H40" i="34"/>
  <c r="I40" i="34"/>
  <c r="K40" i="34"/>
  <c r="L40" i="34"/>
  <c r="N40" i="34"/>
  <c r="O40" i="34"/>
  <c r="P40" i="34"/>
  <c r="Q40" i="34"/>
  <c r="S40" i="34"/>
  <c r="T40" i="34"/>
  <c r="V40" i="34"/>
  <c r="X40" i="34"/>
  <c r="Y40" i="34"/>
  <c r="Z40" i="34"/>
  <c r="AA40" i="34"/>
  <c r="AB40" i="34"/>
  <c r="AC40" i="34"/>
  <c r="AF40" i="34"/>
  <c r="AG40" i="34"/>
  <c r="AH40" i="34"/>
  <c r="AI40" i="34"/>
  <c r="AJ40" i="34"/>
  <c r="AL40" i="34"/>
  <c r="AM40" i="34"/>
  <c r="AN40" i="34"/>
  <c r="AO40" i="34"/>
  <c r="AP40" i="34"/>
  <c r="AQ40" i="34"/>
  <c r="AR40" i="34"/>
  <c r="AS40" i="34"/>
  <c r="AT40" i="34"/>
  <c r="AU40" i="34"/>
  <c r="AV40" i="34"/>
  <c r="AW40" i="34"/>
  <c r="AX40" i="34"/>
  <c r="AY40" i="34"/>
  <c r="BB40" i="34"/>
  <c r="BC40" i="34"/>
  <c r="BD40" i="34"/>
  <c r="BE40" i="34"/>
  <c r="BF40" i="34"/>
  <c r="BG40" i="34"/>
  <c r="BH40" i="34"/>
  <c r="BI40" i="34"/>
  <c r="BJ40" i="34"/>
  <c r="BK40" i="34"/>
  <c r="BL40" i="34"/>
  <c r="BM40" i="34"/>
  <c r="BN40" i="34"/>
  <c r="BO40" i="34"/>
  <c r="D41" i="34"/>
  <c r="F41" i="34"/>
  <c r="G41" i="34"/>
  <c r="H41" i="34"/>
  <c r="I41" i="34"/>
  <c r="K41" i="34"/>
  <c r="L41" i="34"/>
  <c r="N41" i="34"/>
  <c r="O41" i="34"/>
  <c r="P41" i="34"/>
  <c r="Q41" i="34"/>
  <c r="S41" i="34"/>
  <c r="T41" i="34"/>
  <c r="V41" i="34"/>
  <c r="X41" i="34"/>
  <c r="Y41" i="34"/>
  <c r="Z41" i="34"/>
  <c r="AA41" i="34"/>
  <c r="AB41" i="34"/>
  <c r="AC41" i="34"/>
  <c r="AF41" i="34"/>
  <c r="AG41" i="34"/>
  <c r="AH41" i="34"/>
  <c r="AI41" i="34"/>
  <c r="AJ41" i="34"/>
  <c r="AL41" i="34"/>
  <c r="AM41" i="34"/>
  <c r="AN41" i="34"/>
  <c r="AO41" i="34"/>
  <c r="AP41" i="34"/>
  <c r="AQ41" i="34"/>
  <c r="AR41" i="34"/>
  <c r="AS41" i="34"/>
  <c r="AT41" i="34"/>
  <c r="AU41" i="34"/>
  <c r="AV41" i="34"/>
  <c r="AW41" i="34"/>
  <c r="AX41" i="34"/>
  <c r="AY41" i="34"/>
  <c r="BB41" i="34"/>
  <c r="BC41" i="34"/>
  <c r="BD41" i="34"/>
  <c r="BE41" i="34"/>
  <c r="BF41" i="34"/>
  <c r="BG41" i="34"/>
  <c r="BH41" i="34"/>
  <c r="BI41" i="34"/>
  <c r="BJ41" i="34"/>
  <c r="BK41" i="34"/>
  <c r="BL41" i="34"/>
  <c r="BM41" i="34"/>
  <c r="BN41" i="34"/>
  <c r="BO41" i="34"/>
  <c r="D42" i="34"/>
  <c r="F42" i="34"/>
  <c r="G42" i="34"/>
  <c r="H42" i="34"/>
  <c r="I42" i="34"/>
  <c r="K42" i="34"/>
  <c r="L42" i="34"/>
  <c r="N42" i="34"/>
  <c r="O42" i="34"/>
  <c r="P42" i="34"/>
  <c r="Q42" i="34"/>
  <c r="S42" i="34"/>
  <c r="T42" i="34"/>
  <c r="V42" i="34"/>
  <c r="X42" i="34"/>
  <c r="Y42" i="34"/>
  <c r="Z42" i="34"/>
  <c r="AA42" i="34"/>
  <c r="AB42" i="34"/>
  <c r="AC42" i="34"/>
  <c r="AF42" i="34"/>
  <c r="AG42" i="34"/>
  <c r="AH42" i="34"/>
  <c r="AI42" i="34"/>
  <c r="AJ42" i="34"/>
  <c r="AL42" i="34"/>
  <c r="AM42" i="34"/>
  <c r="AN42" i="34"/>
  <c r="AO42" i="34"/>
  <c r="AP42" i="34"/>
  <c r="AQ42" i="34"/>
  <c r="AR42" i="34"/>
  <c r="AS42" i="34"/>
  <c r="AT42" i="34"/>
  <c r="AU42" i="34"/>
  <c r="AV42" i="34"/>
  <c r="AW42" i="34"/>
  <c r="AX42" i="34"/>
  <c r="AY42" i="34"/>
  <c r="BB42" i="34"/>
  <c r="BC42" i="34"/>
  <c r="BD42" i="34"/>
  <c r="BE42" i="34"/>
  <c r="BF42" i="34"/>
  <c r="BG42" i="34"/>
  <c r="BH42" i="34"/>
  <c r="BI42" i="34"/>
  <c r="BJ42" i="34"/>
  <c r="BK42" i="34"/>
  <c r="BL42" i="34"/>
  <c r="BM42" i="34"/>
  <c r="BN42" i="34"/>
  <c r="BO42" i="34"/>
  <c r="D43" i="34"/>
  <c r="F43" i="34"/>
  <c r="G43" i="34"/>
  <c r="H43" i="34"/>
  <c r="I43" i="34"/>
  <c r="K43" i="34"/>
  <c r="L43" i="34"/>
  <c r="N43" i="34"/>
  <c r="O43" i="34"/>
  <c r="P43" i="34"/>
  <c r="Q43" i="34"/>
  <c r="S43" i="34"/>
  <c r="T43" i="34"/>
  <c r="V43" i="34"/>
  <c r="X43" i="34"/>
  <c r="Y43" i="34"/>
  <c r="Z43" i="34"/>
  <c r="AA43" i="34"/>
  <c r="AB43" i="34"/>
  <c r="AC43" i="34"/>
  <c r="AF43" i="34"/>
  <c r="AG43" i="34"/>
  <c r="AH43" i="34"/>
  <c r="AI43" i="34"/>
  <c r="AJ43" i="34"/>
  <c r="AL43" i="34"/>
  <c r="AM43" i="34"/>
  <c r="AN43" i="34"/>
  <c r="AO43" i="34"/>
  <c r="AP43" i="34"/>
  <c r="AQ43" i="34"/>
  <c r="AR43" i="34"/>
  <c r="AS43" i="34"/>
  <c r="AT43" i="34"/>
  <c r="AU43" i="34"/>
  <c r="AV43" i="34"/>
  <c r="AW43" i="34"/>
  <c r="AX43" i="34"/>
  <c r="AY43" i="34"/>
  <c r="BB43" i="34"/>
  <c r="BC43" i="34"/>
  <c r="BD43" i="34"/>
  <c r="BE43" i="34"/>
  <c r="BF43" i="34"/>
  <c r="BG43" i="34"/>
  <c r="BH43" i="34"/>
  <c r="BI43" i="34"/>
  <c r="BJ43" i="34"/>
  <c r="BK43" i="34"/>
  <c r="BL43" i="34"/>
  <c r="BM43" i="34"/>
  <c r="BN43" i="34"/>
  <c r="BO43" i="34"/>
  <c r="D44" i="34"/>
  <c r="F44" i="34"/>
  <c r="G44" i="34"/>
  <c r="H44" i="34"/>
  <c r="I44" i="34"/>
  <c r="K44" i="34"/>
  <c r="L44" i="34"/>
  <c r="N44" i="34"/>
  <c r="O44" i="34"/>
  <c r="P44" i="34"/>
  <c r="Q44" i="34"/>
  <c r="S44" i="34"/>
  <c r="T44" i="34"/>
  <c r="V44" i="34"/>
  <c r="X44" i="34"/>
  <c r="Y44" i="34"/>
  <c r="Z44" i="34"/>
  <c r="AA44" i="34"/>
  <c r="AB44" i="34"/>
  <c r="AC44" i="34"/>
  <c r="AF44" i="34"/>
  <c r="AG44" i="34"/>
  <c r="AH44" i="34"/>
  <c r="AI44" i="34"/>
  <c r="AJ44" i="34"/>
  <c r="AL44" i="34"/>
  <c r="AM44" i="34"/>
  <c r="AN44" i="34"/>
  <c r="AO44" i="34"/>
  <c r="AP44" i="34"/>
  <c r="AQ44" i="34"/>
  <c r="AR44" i="34"/>
  <c r="AS44" i="34"/>
  <c r="AT44" i="34"/>
  <c r="AU44" i="34"/>
  <c r="AV44" i="34"/>
  <c r="AW44" i="34"/>
  <c r="AX44" i="34"/>
  <c r="AY44" i="34"/>
  <c r="BB44" i="34"/>
  <c r="BC44" i="34"/>
  <c r="BD44" i="34"/>
  <c r="BE44" i="34"/>
  <c r="BF44" i="34"/>
  <c r="BG44" i="34"/>
  <c r="BH44" i="34"/>
  <c r="BI44" i="34"/>
  <c r="BJ44" i="34"/>
  <c r="BK44" i="34"/>
  <c r="BL44" i="34"/>
  <c r="BM44" i="34"/>
  <c r="BN44" i="34"/>
  <c r="BO44" i="34"/>
  <c r="D45" i="34"/>
  <c r="F45" i="34"/>
  <c r="G45" i="34"/>
  <c r="H45" i="34"/>
  <c r="I45" i="34"/>
  <c r="K45" i="34"/>
  <c r="L45" i="34"/>
  <c r="N45" i="34"/>
  <c r="O45" i="34"/>
  <c r="P45" i="34"/>
  <c r="Q45" i="34"/>
  <c r="S45" i="34"/>
  <c r="T45" i="34"/>
  <c r="V45" i="34"/>
  <c r="X45" i="34"/>
  <c r="Y45" i="34"/>
  <c r="Z45" i="34"/>
  <c r="AA45" i="34"/>
  <c r="AB45" i="34"/>
  <c r="AC45" i="34"/>
  <c r="AF45" i="34"/>
  <c r="AG45" i="34"/>
  <c r="AH45" i="34"/>
  <c r="AI45" i="34"/>
  <c r="AJ45" i="34"/>
  <c r="AL45" i="34"/>
  <c r="AM45" i="34"/>
  <c r="AN45" i="34"/>
  <c r="AO45" i="34"/>
  <c r="AP45" i="34"/>
  <c r="AQ45" i="34"/>
  <c r="AR45" i="34"/>
  <c r="AS45" i="34"/>
  <c r="AT45" i="34"/>
  <c r="AU45" i="34"/>
  <c r="AV45" i="34"/>
  <c r="AW45" i="34"/>
  <c r="AX45" i="34"/>
  <c r="AY45" i="34"/>
  <c r="BB45" i="34"/>
  <c r="BC45" i="34"/>
  <c r="BD45" i="34"/>
  <c r="BE45" i="34"/>
  <c r="BF45" i="34"/>
  <c r="BG45" i="34"/>
  <c r="BH45" i="34"/>
  <c r="BI45" i="34"/>
  <c r="BJ45" i="34"/>
  <c r="BK45" i="34"/>
  <c r="BL45" i="34"/>
  <c r="BM45" i="34"/>
  <c r="BN45" i="34"/>
  <c r="BO45" i="34"/>
  <c r="D46" i="34"/>
  <c r="F46" i="34"/>
  <c r="G46" i="34"/>
  <c r="H46" i="34"/>
  <c r="I46" i="34"/>
  <c r="K46" i="34"/>
  <c r="L46" i="34"/>
  <c r="N46" i="34"/>
  <c r="O46" i="34"/>
  <c r="P46" i="34"/>
  <c r="Q46" i="34"/>
  <c r="S46" i="34"/>
  <c r="T46" i="34"/>
  <c r="V46" i="34"/>
  <c r="X46" i="34"/>
  <c r="Y46" i="34"/>
  <c r="Z46" i="34"/>
  <c r="AA46" i="34"/>
  <c r="AB46" i="34"/>
  <c r="AC46" i="34"/>
  <c r="AF46" i="34"/>
  <c r="AG46" i="34"/>
  <c r="AH46" i="34"/>
  <c r="AI46" i="34"/>
  <c r="AJ46" i="34"/>
  <c r="AL46" i="34"/>
  <c r="AM46" i="34"/>
  <c r="AN46" i="34"/>
  <c r="AO46" i="34"/>
  <c r="AP46" i="34"/>
  <c r="AQ46" i="34"/>
  <c r="AR46" i="34"/>
  <c r="AS46" i="34"/>
  <c r="AT46" i="34"/>
  <c r="AU46" i="34"/>
  <c r="AV46" i="34"/>
  <c r="AW46" i="34"/>
  <c r="AX46" i="34"/>
  <c r="AY46" i="34"/>
  <c r="BB46" i="34"/>
  <c r="BC46" i="34"/>
  <c r="BD46" i="34"/>
  <c r="BE46" i="34"/>
  <c r="BF46" i="34"/>
  <c r="BG46" i="34"/>
  <c r="BH46" i="34"/>
  <c r="BI46" i="34"/>
  <c r="BJ46" i="34"/>
  <c r="BK46" i="34"/>
  <c r="BL46" i="34"/>
  <c r="BM46" i="34"/>
  <c r="BN46" i="34"/>
  <c r="BO46" i="34"/>
  <c r="D47" i="34"/>
  <c r="F47" i="34"/>
  <c r="G47" i="34"/>
  <c r="H47" i="34"/>
  <c r="I47" i="34"/>
  <c r="K47" i="34"/>
  <c r="L47" i="34"/>
  <c r="N47" i="34"/>
  <c r="O47" i="34"/>
  <c r="P47" i="34"/>
  <c r="Q47" i="34"/>
  <c r="S47" i="34"/>
  <c r="T47" i="34"/>
  <c r="V47" i="34"/>
  <c r="X47" i="34"/>
  <c r="Y47" i="34"/>
  <c r="Z47" i="34"/>
  <c r="AA47" i="34"/>
  <c r="AB47" i="34"/>
  <c r="AC47" i="34"/>
  <c r="AF47" i="34"/>
  <c r="AG47" i="34"/>
  <c r="AH47" i="34"/>
  <c r="AI47" i="34"/>
  <c r="AJ47" i="34"/>
  <c r="AL47" i="34"/>
  <c r="AM47" i="34"/>
  <c r="AN47" i="34"/>
  <c r="AO47" i="34"/>
  <c r="AP47" i="34"/>
  <c r="AQ47" i="34"/>
  <c r="AR47" i="34"/>
  <c r="AS47" i="34"/>
  <c r="AT47" i="34"/>
  <c r="AU47" i="34"/>
  <c r="AV47" i="34"/>
  <c r="AW47" i="34"/>
  <c r="AX47" i="34"/>
  <c r="AY47" i="34"/>
  <c r="BB47" i="34"/>
  <c r="BC47" i="34"/>
  <c r="BD47" i="34"/>
  <c r="BE47" i="34"/>
  <c r="BF47" i="34"/>
  <c r="BG47" i="34"/>
  <c r="BH47" i="34"/>
  <c r="BI47" i="34"/>
  <c r="BJ47" i="34"/>
  <c r="BK47" i="34"/>
  <c r="BL47" i="34"/>
  <c r="BM47" i="34"/>
  <c r="BN47" i="34"/>
  <c r="BO47" i="34"/>
  <c r="D48" i="34"/>
  <c r="F48" i="34"/>
  <c r="G48" i="34"/>
  <c r="H48" i="34"/>
  <c r="I48" i="34"/>
  <c r="K48" i="34"/>
  <c r="L48" i="34"/>
  <c r="N48" i="34"/>
  <c r="O48" i="34"/>
  <c r="P48" i="34"/>
  <c r="Q48" i="34"/>
  <c r="S48" i="34"/>
  <c r="T48" i="34"/>
  <c r="V48" i="34"/>
  <c r="X48" i="34"/>
  <c r="Y48" i="34"/>
  <c r="Z48" i="34"/>
  <c r="AA48" i="34"/>
  <c r="AB48" i="34"/>
  <c r="AC48" i="34"/>
  <c r="AF48" i="34"/>
  <c r="AG48" i="34"/>
  <c r="AH48" i="34"/>
  <c r="AI48" i="34"/>
  <c r="AJ48" i="34"/>
  <c r="AL48" i="34"/>
  <c r="AM48" i="34"/>
  <c r="AN48" i="34"/>
  <c r="AO48" i="34"/>
  <c r="AP48" i="34"/>
  <c r="AQ48" i="34"/>
  <c r="AR48" i="34"/>
  <c r="AS48" i="34"/>
  <c r="AT48" i="34"/>
  <c r="AU48" i="34"/>
  <c r="AV48" i="34"/>
  <c r="AW48" i="34"/>
  <c r="AX48" i="34"/>
  <c r="AY48" i="34"/>
  <c r="BB48" i="34"/>
  <c r="BC48" i="34"/>
  <c r="BD48" i="34"/>
  <c r="BE48" i="34"/>
  <c r="BF48" i="34"/>
  <c r="BG48" i="34"/>
  <c r="BH48" i="34"/>
  <c r="BI48" i="34"/>
  <c r="BJ48" i="34"/>
  <c r="BK48" i="34"/>
  <c r="BL48" i="34"/>
  <c r="BM48" i="34"/>
  <c r="BN48" i="34"/>
  <c r="BO48" i="34"/>
  <c r="D49" i="34"/>
  <c r="F49" i="34"/>
  <c r="G49" i="34"/>
  <c r="H49" i="34"/>
  <c r="I49" i="34"/>
  <c r="K49" i="34"/>
  <c r="L49" i="34"/>
  <c r="N49" i="34"/>
  <c r="O49" i="34"/>
  <c r="P49" i="34"/>
  <c r="Q49" i="34"/>
  <c r="S49" i="34"/>
  <c r="T49" i="34"/>
  <c r="V49" i="34"/>
  <c r="X49" i="34"/>
  <c r="Y49" i="34"/>
  <c r="Z49" i="34"/>
  <c r="AA49" i="34"/>
  <c r="AB49" i="34"/>
  <c r="AC49" i="34"/>
  <c r="AF49" i="34"/>
  <c r="AG49" i="34"/>
  <c r="AH49" i="34"/>
  <c r="AI49" i="34"/>
  <c r="AJ49" i="34"/>
  <c r="AL49" i="34"/>
  <c r="AM49" i="34"/>
  <c r="AN49" i="34"/>
  <c r="AO49" i="34"/>
  <c r="AP49" i="34"/>
  <c r="AQ49" i="34"/>
  <c r="AR49" i="34"/>
  <c r="AS49" i="34"/>
  <c r="AT49" i="34"/>
  <c r="AU49" i="34"/>
  <c r="AV49" i="34"/>
  <c r="AW49" i="34"/>
  <c r="AX49" i="34"/>
  <c r="AY49" i="34"/>
  <c r="BB49" i="34"/>
  <c r="BC49" i="34"/>
  <c r="BD49" i="34"/>
  <c r="BE49" i="34"/>
  <c r="BF49" i="34"/>
  <c r="BG49" i="34"/>
  <c r="BH49" i="34"/>
  <c r="BI49" i="34"/>
  <c r="BJ49" i="34"/>
  <c r="BK49" i="34"/>
  <c r="BL49" i="34"/>
  <c r="BM49" i="34"/>
  <c r="BN49" i="34"/>
  <c r="BO49" i="34"/>
  <c r="D50" i="34"/>
  <c r="F50" i="34"/>
  <c r="G50" i="34"/>
  <c r="H50" i="34"/>
  <c r="I50" i="34"/>
  <c r="K50" i="34"/>
  <c r="L50" i="34"/>
  <c r="N50" i="34"/>
  <c r="O50" i="34"/>
  <c r="P50" i="34"/>
  <c r="Q50" i="34"/>
  <c r="S50" i="34"/>
  <c r="T50" i="34"/>
  <c r="V50" i="34"/>
  <c r="X50" i="34"/>
  <c r="Y50" i="34"/>
  <c r="Z50" i="34"/>
  <c r="AA50" i="34"/>
  <c r="AB50" i="34"/>
  <c r="AC50" i="34"/>
  <c r="AF50" i="34"/>
  <c r="AG50" i="34"/>
  <c r="AH50" i="34"/>
  <c r="AI50" i="34"/>
  <c r="AJ50" i="34"/>
  <c r="AL50" i="34"/>
  <c r="AM50" i="34"/>
  <c r="AN50" i="34"/>
  <c r="AO50" i="34"/>
  <c r="AP50" i="34"/>
  <c r="AQ50" i="34"/>
  <c r="AR50" i="34"/>
  <c r="AS50" i="34"/>
  <c r="AT50" i="34"/>
  <c r="AU50" i="34"/>
  <c r="AV50" i="34"/>
  <c r="AW50" i="34"/>
  <c r="AX50" i="34"/>
  <c r="AY50" i="34"/>
  <c r="BB50" i="34"/>
  <c r="BC50" i="34"/>
  <c r="BD50" i="34"/>
  <c r="BE50" i="34"/>
  <c r="BF50" i="34"/>
  <c r="BG50" i="34"/>
  <c r="BH50" i="34"/>
  <c r="BI50" i="34"/>
  <c r="BJ50" i="34"/>
  <c r="BK50" i="34"/>
  <c r="BL50" i="34"/>
  <c r="BM50" i="34"/>
  <c r="BN50" i="34"/>
  <c r="BO50" i="34"/>
  <c r="D51" i="34"/>
  <c r="F51" i="34"/>
  <c r="G51" i="34"/>
  <c r="H51" i="34"/>
  <c r="I51" i="34"/>
  <c r="K51" i="34"/>
  <c r="L51" i="34"/>
  <c r="N51" i="34"/>
  <c r="O51" i="34"/>
  <c r="P51" i="34"/>
  <c r="Q51" i="34"/>
  <c r="S51" i="34"/>
  <c r="T51" i="34"/>
  <c r="V51" i="34"/>
  <c r="X51" i="34"/>
  <c r="Y51" i="34"/>
  <c r="Z51" i="34"/>
  <c r="AA51" i="34"/>
  <c r="AB51" i="34"/>
  <c r="AC51" i="34"/>
  <c r="AF51" i="34"/>
  <c r="AG51" i="34"/>
  <c r="AH51" i="34"/>
  <c r="AI51" i="34"/>
  <c r="AJ51" i="34"/>
  <c r="AL51" i="34"/>
  <c r="AM51" i="34"/>
  <c r="AN51" i="34"/>
  <c r="AO51" i="34"/>
  <c r="AP51" i="34"/>
  <c r="AQ51" i="34"/>
  <c r="AR51" i="34"/>
  <c r="AS51" i="34"/>
  <c r="AT51" i="34"/>
  <c r="AU51" i="34"/>
  <c r="AV51" i="34"/>
  <c r="AW51" i="34"/>
  <c r="AX51" i="34"/>
  <c r="AY51" i="34"/>
  <c r="BB51" i="34"/>
  <c r="BC51" i="34"/>
  <c r="BD51" i="34"/>
  <c r="BE51" i="34"/>
  <c r="BF51" i="34"/>
  <c r="BG51" i="34"/>
  <c r="BH51" i="34"/>
  <c r="BI51" i="34"/>
  <c r="BJ51" i="34"/>
  <c r="BK51" i="34"/>
  <c r="BL51" i="34"/>
  <c r="BM51" i="34"/>
  <c r="BN51" i="34"/>
  <c r="BO51" i="34"/>
  <c r="D52" i="34"/>
  <c r="F52" i="34"/>
  <c r="G52" i="34"/>
  <c r="H52" i="34"/>
  <c r="I52" i="34"/>
  <c r="K52" i="34"/>
  <c r="L52" i="34"/>
  <c r="N52" i="34"/>
  <c r="O52" i="34"/>
  <c r="P52" i="34"/>
  <c r="Q52" i="34"/>
  <c r="S52" i="34"/>
  <c r="T52" i="34"/>
  <c r="V52" i="34"/>
  <c r="X52" i="34"/>
  <c r="Y52" i="34"/>
  <c r="Z52" i="34"/>
  <c r="AA52" i="34"/>
  <c r="AB52" i="34"/>
  <c r="AC52" i="34"/>
  <c r="AF52" i="34"/>
  <c r="AG52" i="34"/>
  <c r="AH52" i="34"/>
  <c r="AI52" i="34"/>
  <c r="AJ52" i="34"/>
  <c r="AL52" i="34"/>
  <c r="AM52" i="34"/>
  <c r="AN52" i="34"/>
  <c r="AO52" i="34"/>
  <c r="AP52" i="34"/>
  <c r="AQ52" i="34"/>
  <c r="AR52" i="34"/>
  <c r="AS52" i="34"/>
  <c r="AT52" i="34"/>
  <c r="AU52" i="34"/>
  <c r="AV52" i="34"/>
  <c r="AW52" i="34"/>
  <c r="AX52" i="34"/>
  <c r="AY52" i="34"/>
  <c r="BB52" i="34"/>
  <c r="BC52" i="34"/>
  <c r="BD52" i="34"/>
  <c r="BE52" i="34"/>
  <c r="BF52" i="34"/>
  <c r="BG52" i="34"/>
  <c r="BH52" i="34"/>
  <c r="BI52" i="34"/>
  <c r="BJ52" i="34"/>
  <c r="BK52" i="34"/>
  <c r="BL52" i="34"/>
  <c r="BM52" i="34"/>
  <c r="BN52" i="34"/>
  <c r="BO52" i="34"/>
  <c r="D53" i="34"/>
  <c r="F53" i="34"/>
  <c r="G53" i="34"/>
  <c r="H53" i="34"/>
  <c r="I53" i="34"/>
  <c r="K53" i="34"/>
  <c r="L53" i="34"/>
  <c r="N53" i="34"/>
  <c r="O53" i="34"/>
  <c r="P53" i="34"/>
  <c r="Q53" i="34"/>
  <c r="S53" i="34"/>
  <c r="T53" i="34"/>
  <c r="V53" i="34"/>
  <c r="X53" i="34"/>
  <c r="Y53" i="34"/>
  <c r="Z53" i="34"/>
  <c r="AA53" i="34"/>
  <c r="AB53" i="34"/>
  <c r="AC53" i="34"/>
  <c r="AF53" i="34"/>
  <c r="AG53" i="34"/>
  <c r="AH53" i="34"/>
  <c r="AI53" i="34"/>
  <c r="AJ53" i="34"/>
  <c r="AL53" i="34"/>
  <c r="AM53" i="34"/>
  <c r="AN53" i="34"/>
  <c r="AO53" i="34"/>
  <c r="AP53" i="34"/>
  <c r="AQ53" i="34"/>
  <c r="AR53" i="34"/>
  <c r="AS53" i="34"/>
  <c r="AT53" i="34"/>
  <c r="AU53" i="34"/>
  <c r="AV53" i="34"/>
  <c r="AW53" i="34"/>
  <c r="AX53" i="34"/>
  <c r="AY53" i="34"/>
  <c r="BB53" i="34"/>
  <c r="BC53" i="34"/>
  <c r="BD53" i="34"/>
  <c r="BE53" i="34"/>
  <c r="BF53" i="34"/>
  <c r="BG53" i="34"/>
  <c r="BH53" i="34"/>
  <c r="BI53" i="34"/>
  <c r="BJ53" i="34"/>
  <c r="BK53" i="34"/>
  <c r="BL53" i="34"/>
  <c r="BM53" i="34"/>
  <c r="BN53" i="34"/>
  <c r="BO53" i="34"/>
  <c r="D54" i="34"/>
  <c r="F54" i="34"/>
  <c r="G54" i="34"/>
  <c r="H54" i="34"/>
  <c r="I54" i="34"/>
  <c r="K54" i="34"/>
  <c r="L54" i="34"/>
  <c r="N54" i="34"/>
  <c r="O54" i="34"/>
  <c r="P54" i="34"/>
  <c r="Q54" i="34"/>
  <c r="S54" i="34"/>
  <c r="T54" i="34"/>
  <c r="V54" i="34"/>
  <c r="X54" i="34"/>
  <c r="Y54" i="34"/>
  <c r="Z54" i="34"/>
  <c r="AA54" i="34"/>
  <c r="AB54" i="34"/>
  <c r="AC54" i="34"/>
  <c r="AF54" i="34"/>
  <c r="AG54" i="34"/>
  <c r="AH54" i="34"/>
  <c r="AI54" i="34"/>
  <c r="AJ54" i="34"/>
  <c r="AL54" i="34"/>
  <c r="AM54" i="34"/>
  <c r="AN54" i="34"/>
  <c r="AO54" i="34"/>
  <c r="AP54" i="34"/>
  <c r="AQ54" i="34"/>
  <c r="AR54" i="34"/>
  <c r="AS54" i="34"/>
  <c r="AT54" i="34"/>
  <c r="AU54" i="34"/>
  <c r="AV54" i="34"/>
  <c r="AW54" i="34"/>
  <c r="AX54" i="34"/>
  <c r="AY54" i="34"/>
  <c r="BB54" i="34"/>
  <c r="BC54" i="34"/>
  <c r="BD54" i="34"/>
  <c r="BE54" i="34"/>
  <c r="BF54" i="34"/>
  <c r="BG54" i="34"/>
  <c r="BH54" i="34"/>
  <c r="BI54" i="34"/>
  <c r="BJ54" i="34"/>
  <c r="BK54" i="34"/>
  <c r="BL54" i="34"/>
  <c r="BM54" i="34"/>
  <c r="BN54" i="34"/>
  <c r="BO54" i="34"/>
  <c r="D55" i="34"/>
  <c r="F55" i="34"/>
  <c r="G55" i="34"/>
  <c r="H55" i="34"/>
  <c r="I55" i="34"/>
  <c r="K55" i="34"/>
  <c r="L55" i="34"/>
  <c r="N55" i="34"/>
  <c r="O55" i="34"/>
  <c r="P55" i="34"/>
  <c r="Q55" i="34"/>
  <c r="S55" i="34"/>
  <c r="T55" i="34"/>
  <c r="V55" i="34"/>
  <c r="X55" i="34"/>
  <c r="Y55" i="34"/>
  <c r="Z55" i="34"/>
  <c r="AA55" i="34"/>
  <c r="AB55" i="34"/>
  <c r="AC55" i="34"/>
  <c r="AF55" i="34"/>
  <c r="AG55" i="34"/>
  <c r="AH55" i="34"/>
  <c r="AI55" i="34"/>
  <c r="AJ55" i="34"/>
  <c r="AL55" i="34"/>
  <c r="AM55" i="34"/>
  <c r="AN55" i="34"/>
  <c r="AO55" i="34"/>
  <c r="AP55" i="34"/>
  <c r="AQ55" i="34"/>
  <c r="AR55" i="34"/>
  <c r="AS55" i="34"/>
  <c r="AT55" i="34"/>
  <c r="AU55" i="34"/>
  <c r="AV55" i="34"/>
  <c r="AW55" i="34"/>
  <c r="AX55" i="34"/>
  <c r="AY55" i="34"/>
  <c r="BB55" i="34"/>
  <c r="BC55" i="34"/>
  <c r="BD55" i="34"/>
  <c r="BE55" i="34"/>
  <c r="BF55" i="34"/>
  <c r="BG55" i="34"/>
  <c r="BH55" i="34"/>
  <c r="BI55" i="34"/>
  <c r="BJ55" i="34"/>
  <c r="BK55" i="34"/>
  <c r="BL55" i="34"/>
  <c r="BM55" i="34"/>
  <c r="BN55" i="34"/>
  <c r="BO55" i="34"/>
  <c r="D56" i="34"/>
  <c r="F56" i="34"/>
  <c r="G56" i="34"/>
  <c r="H56" i="34"/>
  <c r="I56" i="34"/>
  <c r="K56" i="34"/>
  <c r="L56" i="34"/>
  <c r="N56" i="34"/>
  <c r="O56" i="34"/>
  <c r="P56" i="34"/>
  <c r="Q56" i="34"/>
  <c r="S56" i="34"/>
  <c r="T56" i="34"/>
  <c r="V56" i="34"/>
  <c r="X56" i="34"/>
  <c r="Y56" i="34"/>
  <c r="Z56" i="34"/>
  <c r="AA56" i="34"/>
  <c r="AB56" i="34"/>
  <c r="AC56" i="34"/>
  <c r="AF56" i="34"/>
  <c r="AG56" i="34"/>
  <c r="AH56" i="34"/>
  <c r="AI56" i="34"/>
  <c r="AJ56" i="34"/>
  <c r="AL56" i="34"/>
  <c r="AM56" i="34"/>
  <c r="AN56" i="34"/>
  <c r="AO56" i="34"/>
  <c r="AP56" i="34"/>
  <c r="AQ56" i="34"/>
  <c r="AR56" i="34"/>
  <c r="AS56" i="34"/>
  <c r="AT56" i="34"/>
  <c r="AU56" i="34"/>
  <c r="AV56" i="34"/>
  <c r="AW56" i="34"/>
  <c r="AX56" i="34"/>
  <c r="AY56" i="34"/>
  <c r="BB56" i="34"/>
  <c r="BC56" i="34"/>
  <c r="BD56" i="34"/>
  <c r="BE56" i="34"/>
  <c r="BF56" i="34"/>
  <c r="BG56" i="34"/>
  <c r="BH56" i="34"/>
  <c r="BI56" i="34"/>
  <c r="BJ56" i="34"/>
  <c r="BK56" i="34"/>
  <c r="BL56" i="34"/>
  <c r="BM56" i="34"/>
  <c r="BN56" i="34"/>
  <c r="BO56" i="34"/>
  <c r="D57" i="34"/>
  <c r="F57" i="34"/>
  <c r="G57" i="34"/>
  <c r="H57" i="34"/>
  <c r="I57" i="34"/>
  <c r="K57" i="34"/>
  <c r="L57" i="34"/>
  <c r="N57" i="34"/>
  <c r="O57" i="34"/>
  <c r="P57" i="34"/>
  <c r="Q57" i="34"/>
  <c r="S57" i="34"/>
  <c r="T57" i="34"/>
  <c r="V57" i="34"/>
  <c r="X57" i="34"/>
  <c r="Y57" i="34"/>
  <c r="Z57" i="34"/>
  <c r="AA57" i="34"/>
  <c r="AB57" i="34"/>
  <c r="AC57" i="34"/>
  <c r="AF57" i="34"/>
  <c r="AG57" i="34"/>
  <c r="AH57" i="34"/>
  <c r="AI57" i="34"/>
  <c r="AJ57" i="34"/>
  <c r="AL57" i="34"/>
  <c r="AM57" i="34"/>
  <c r="AN57" i="34"/>
  <c r="AO57" i="34"/>
  <c r="AP57" i="34"/>
  <c r="AQ57" i="34"/>
  <c r="AR57" i="34"/>
  <c r="AS57" i="34"/>
  <c r="AT57" i="34"/>
  <c r="AU57" i="34"/>
  <c r="AV57" i="34"/>
  <c r="AW57" i="34"/>
  <c r="AX57" i="34"/>
  <c r="AY57" i="34"/>
  <c r="BB57" i="34"/>
  <c r="BC57" i="34"/>
  <c r="BD57" i="34"/>
  <c r="BE57" i="34"/>
  <c r="BF57" i="34"/>
  <c r="BG57" i="34"/>
  <c r="BH57" i="34"/>
  <c r="BI57" i="34"/>
  <c r="BJ57" i="34"/>
  <c r="BK57" i="34"/>
  <c r="BL57" i="34"/>
  <c r="BM57" i="34"/>
  <c r="BN57" i="34"/>
  <c r="BO57" i="34"/>
  <c r="D58" i="34"/>
  <c r="F58" i="34"/>
  <c r="G58" i="34"/>
  <c r="H58" i="34"/>
  <c r="I58" i="34"/>
  <c r="K58" i="34"/>
  <c r="L58" i="34"/>
  <c r="N58" i="34"/>
  <c r="O58" i="34"/>
  <c r="P58" i="34"/>
  <c r="Q58" i="34"/>
  <c r="S58" i="34"/>
  <c r="T58" i="34"/>
  <c r="V58" i="34"/>
  <c r="X58" i="34"/>
  <c r="Y58" i="34"/>
  <c r="Z58" i="34"/>
  <c r="AA58" i="34"/>
  <c r="AB58" i="34"/>
  <c r="AC58" i="34"/>
  <c r="AF58" i="34"/>
  <c r="AG58" i="34"/>
  <c r="AH58" i="34"/>
  <c r="AI58" i="34"/>
  <c r="AJ58" i="34"/>
  <c r="AL58" i="34"/>
  <c r="AM58" i="34"/>
  <c r="AN58" i="34"/>
  <c r="AO58" i="34"/>
  <c r="AP58" i="34"/>
  <c r="AQ58" i="34"/>
  <c r="AR58" i="34"/>
  <c r="AS58" i="34"/>
  <c r="AT58" i="34"/>
  <c r="AU58" i="34"/>
  <c r="AV58" i="34"/>
  <c r="AW58" i="34"/>
  <c r="AX58" i="34"/>
  <c r="AY58" i="34"/>
  <c r="BB58" i="34"/>
  <c r="BC58" i="34"/>
  <c r="BD58" i="34"/>
  <c r="BE58" i="34"/>
  <c r="BF58" i="34"/>
  <c r="BG58" i="34"/>
  <c r="BH58" i="34"/>
  <c r="BI58" i="34"/>
  <c r="BJ58" i="34"/>
  <c r="BK58" i="34"/>
  <c r="BL58" i="34"/>
  <c r="BM58" i="34"/>
  <c r="BN58" i="34"/>
  <c r="BO58" i="34"/>
  <c r="D59" i="34"/>
  <c r="F59" i="34"/>
  <c r="G59" i="34"/>
  <c r="H59" i="34"/>
  <c r="I59" i="34"/>
  <c r="K59" i="34"/>
  <c r="L59" i="34"/>
  <c r="N59" i="34"/>
  <c r="O59" i="34"/>
  <c r="P59" i="34"/>
  <c r="Q59" i="34"/>
  <c r="S59" i="34"/>
  <c r="T59" i="34"/>
  <c r="V59" i="34"/>
  <c r="X59" i="34"/>
  <c r="Y59" i="34"/>
  <c r="Z59" i="34"/>
  <c r="AA59" i="34"/>
  <c r="AB59" i="34"/>
  <c r="AC59" i="34"/>
  <c r="AF59" i="34"/>
  <c r="AG59" i="34"/>
  <c r="AH59" i="34"/>
  <c r="AI59" i="34"/>
  <c r="AJ59" i="34"/>
  <c r="AL59" i="34"/>
  <c r="AM59" i="34"/>
  <c r="AN59" i="34"/>
  <c r="AO59" i="34"/>
  <c r="AP59" i="34"/>
  <c r="AQ59" i="34"/>
  <c r="AR59" i="34"/>
  <c r="AS59" i="34"/>
  <c r="AT59" i="34"/>
  <c r="AU59" i="34"/>
  <c r="AV59" i="34"/>
  <c r="AW59" i="34"/>
  <c r="AX59" i="34"/>
  <c r="AY59" i="34"/>
  <c r="BB59" i="34"/>
  <c r="BC59" i="34"/>
  <c r="BD59" i="34"/>
  <c r="BE59" i="34"/>
  <c r="BF59" i="34"/>
  <c r="BG59" i="34"/>
  <c r="BH59" i="34"/>
  <c r="BI59" i="34"/>
  <c r="BJ59" i="34"/>
  <c r="BK59" i="34"/>
  <c r="BL59" i="34"/>
  <c r="BM59" i="34"/>
  <c r="BN59" i="34"/>
  <c r="BO59" i="34"/>
  <c r="D60" i="34"/>
  <c r="F60" i="34"/>
  <c r="G60" i="34"/>
  <c r="H60" i="34"/>
  <c r="I60" i="34"/>
  <c r="K60" i="34"/>
  <c r="L60" i="34"/>
  <c r="N60" i="34"/>
  <c r="O60" i="34"/>
  <c r="P60" i="34"/>
  <c r="Q60" i="34"/>
  <c r="S60" i="34"/>
  <c r="T60" i="34"/>
  <c r="V60" i="34"/>
  <c r="X60" i="34"/>
  <c r="Y60" i="34"/>
  <c r="Z60" i="34"/>
  <c r="AA60" i="34"/>
  <c r="AB60" i="34"/>
  <c r="AC60" i="34"/>
  <c r="AF60" i="34"/>
  <c r="AG60" i="34"/>
  <c r="AH60" i="34"/>
  <c r="AI60" i="34"/>
  <c r="AJ60" i="34"/>
  <c r="AL60" i="34"/>
  <c r="AM60" i="34"/>
  <c r="AN60" i="34"/>
  <c r="AO60" i="34"/>
  <c r="AP60" i="34"/>
  <c r="AQ60" i="34"/>
  <c r="AR60" i="34"/>
  <c r="AS60" i="34"/>
  <c r="AT60" i="34"/>
  <c r="AU60" i="34"/>
  <c r="AV60" i="34"/>
  <c r="AW60" i="34"/>
  <c r="AX60" i="34"/>
  <c r="AY60" i="34"/>
  <c r="BB60" i="34"/>
  <c r="BC60" i="34"/>
  <c r="BD60" i="34"/>
  <c r="BE60" i="34"/>
  <c r="BF60" i="34"/>
  <c r="BG60" i="34"/>
  <c r="BH60" i="34"/>
  <c r="BI60" i="34"/>
  <c r="BJ60" i="34"/>
  <c r="BK60" i="34"/>
  <c r="BL60" i="34"/>
  <c r="BM60" i="34"/>
  <c r="BN60" i="34"/>
  <c r="BO60" i="34"/>
  <c r="D61" i="34"/>
  <c r="F61" i="34"/>
  <c r="G61" i="34"/>
  <c r="H61" i="34"/>
  <c r="I61" i="34"/>
  <c r="K61" i="34"/>
  <c r="L61" i="34"/>
  <c r="N61" i="34"/>
  <c r="O61" i="34"/>
  <c r="P61" i="34"/>
  <c r="Q61" i="34"/>
  <c r="S61" i="34"/>
  <c r="T61" i="34"/>
  <c r="V61" i="34"/>
  <c r="X61" i="34"/>
  <c r="Y61" i="34"/>
  <c r="Z61" i="34"/>
  <c r="AA61" i="34"/>
  <c r="AB61" i="34"/>
  <c r="AC61" i="34"/>
  <c r="AF61" i="34"/>
  <c r="AG61" i="34"/>
  <c r="AH61" i="34"/>
  <c r="AI61" i="34"/>
  <c r="AJ61" i="34"/>
  <c r="AL61" i="34"/>
  <c r="AM61" i="34"/>
  <c r="AN61" i="34"/>
  <c r="AO61" i="34"/>
  <c r="AP61" i="34"/>
  <c r="AQ61" i="34"/>
  <c r="AR61" i="34"/>
  <c r="AS61" i="34"/>
  <c r="AT61" i="34"/>
  <c r="AU61" i="34"/>
  <c r="AV61" i="34"/>
  <c r="AW61" i="34"/>
  <c r="AX61" i="34"/>
  <c r="AY61" i="34"/>
  <c r="BB61" i="34"/>
  <c r="BC61" i="34"/>
  <c r="BD61" i="34"/>
  <c r="BE61" i="34"/>
  <c r="BF61" i="34"/>
  <c r="BG61" i="34"/>
  <c r="BH61" i="34"/>
  <c r="BI61" i="34"/>
  <c r="BJ61" i="34"/>
  <c r="BK61" i="34"/>
  <c r="BL61" i="34"/>
  <c r="BM61" i="34"/>
  <c r="BN61" i="34"/>
  <c r="BO61" i="34"/>
  <c r="D62" i="34"/>
  <c r="F62" i="34"/>
  <c r="G62" i="34"/>
  <c r="H62" i="34"/>
  <c r="I62" i="34"/>
  <c r="K62" i="34"/>
  <c r="L62" i="34"/>
  <c r="N62" i="34"/>
  <c r="O62" i="34"/>
  <c r="P62" i="34"/>
  <c r="Q62" i="34"/>
  <c r="S62" i="34"/>
  <c r="T62" i="34"/>
  <c r="V62" i="34"/>
  <c r="X62" i="34"/>
  <c r="Y62" i="34"/>
  <c r="Z62" i="34"/>
  <c r="AA62" i="34"/>
  <c r="AB62" i="34"/>
  <c r="AC62" i="34"/>
  <c r="AF62" i="34"/>
  <c r="AG62" i="34"/>
  <c r="AH62" i="34"/>
  <c r="AI62" i="34"/>
  <c r="AJ62" i="34"/>
  <c r="AL62" i="34"/>
  <c r="AM62" i="34"/>
  <c r="AN62" i="34"/>
  <c r="AO62" i="34"/>
  <c r="AP62" i="34"/>
  <c r="AQ62" i="34"/>
  <c r="AR62" i="34"/>
  <c r="AS62" i="34"/>
  <c r="AT62" i="34"/>
  <c r="AU62" i="34"/>
  <c r="AV62" i="34"/>
  <c r="AW62" i="34"/>
  <c r="AX62" i="34"/>
  <c r="AY62" i="34"/>
  <c r="BB62" i="34"/>
  <c r="BC62" i="34"/>
  <c r="BD62" i="34"/>
  <c r="BE62" i="34"/>
  <c r="BF62" i="34"/>
  <c r="BG62" i="34"/>
  <c r="BH62" i="34"/>
  <c r="BI62" i="34"/>
  <c r="BJ62" i="34"/>
  <c r="BK62" i="34"/>
  <c r="BL62" i="34"/>
  <c r="BM62" i="34"/>
  <c r="BN62" i="34"/>
  <c r="BO62" i="34"/>
  <c r="D63" i="34"/>
  <c r="F63" i="34"/>
  <c r="G63" i="34"/>
  <c r="H63" i="34"/>
  <c r="I63" i="34"/>
  <c r="K63" i="34"/>
  <c r="L63" i="34"/>
  <c r="N63" i="34"/>
  <c r="O63" i="34"/>
  <c r="P63" i="34"/>
  <c r="Q63" i="34"/>
  <c r="S63" i="34"/>
  <c r="T63" i="34"/>
  <c r="V63" i="34"/>
  <c r="X63" i="34"/>
  <c r="Y63" i="34"/>
  <c r="Z63" i="34"/>
  <c r="AA63" i="34"/>
  <c r="AB63" i="34"/>
  <c r="AC63" i="34"/>
  <c r="AF63" i="34"/>
  <c r="AG63" i="34"/>
  <c r="AH63" i="34"/>
  <c r="AI63" i="34"/>
  <c r="AJ63" i="34"/>
  <c r="AL63" i="34"/>
  <c r="AM63" i="34"/>
  <c r="AN63" i="34"/>
  <c r="AO63" i="34"/>
  <c r="AP63" i="34"/>
  <c r="AQ63" i="34"/>
  <c r="AR63" i="34"/>
  <c r="AS63" i="34"/>
  <c r="AT63" i="34"/>
  <c r="AU63" i="34"/>
  <c r="AV63" i="34"/>
  <c r="AW63" i="34"/>
  <c r="AX63" i="34"/>
  <c r="AY63" i="34"/>
  <c r="BB63" i="34"/>
  <c r="BC63" i="34"/>
  <c r="BD63" i="34"/>
  <c r="BE63" i="34"/>
  <c r="BF63" i="34"/>
  <c r="BG63" i="34"/>
  <c r="BH63" i="34"/>
  <c r="BI63" i="34"/>
  <c r="BJ63" i="34"/>
  <c r="BK63" i="34"/>
  <c r="BL63" i="34"/>
  <c r="BM63" i="34"/>
  <c r="BN63" i="34"/>
  <c r="BO63" i="34"/>
  <c r="D64" i="34"/>
  <c r="F64" i="34"/>
  <c r="G64" i="34"/>
  <c r="H64" i="34"/>
  <c r="I64" i="34"/>
  <c r="K64" i="34"/>
  <c r="L64" i="34"/>
  <c r="N64" i="34"/>
  <c r="O64" i="34"/>
  <c r="P64" i="34"/>
  <c r="Q64" i="34"/>
  <c r="S64" i="34"/>
  <c r="T64" i="34"/>
  <c r="V64" i="34"/>
  <c r="X64" i="34"/>
  <c r="Y64" i="34"/>
  <c r="Z64" i="34"/>
  <c r="AA64" i="34"/>
  <c r="AB64" i="34"/>
  <c r="AC64" i="34"/>
  <c r="AF64" i="34"/>
  <c r="AG64" i="34"/>
  <c r="AH64" i="34"/>
  <c r="AI64" i="34"/>
  <c r="AJ64" i="34"/>
  <c r="AL64" i="34"/>
  <c r="AM64" i="34"/>
  <c r="AN64" i="34"/>
  <c r="AO64" i="34"/>
  <c r="AP64" i="34"/>
  <c r="AQ64" i="34"/>
  <c r="AR64" i="34"/>
  <c r="AS64" i="34"/>
  <c r="AT64" i="34"/>
  <c r="AU64" i="34"/>
  <c r="AV64" i="34"/>
  <c r="AW64" i="34"/>
  <c r="AX64" i="34"/>
  <c r="AY64" i="34"/>
  <c r="BB64" i="34"/>
  <c r="BC64" i="34"/>
  <c r="BD64" i="34"/>
  <c r="BE64" i="34"/>
  <c r="BF64" i="34"/>
  <c r="BG64" i="34"/>
  <c r="BH64" i="34"/>
  <c r="BI64" i="34"/>
  <c r="BJ64" i="34"/>
  <c r="BK64" i="34"/>
  <c r="BL64" i="34"/>
  <c r="BM64" i="34"/>
  <c r="BN64" i="34"/>
  <c r="BO64" i="34"/>
  <c r="D65" i="34"/>
  <c r="F65" i="34"/>
  <c r="G65" i="34"/>
  <c r="H65" i="34"/>
  <c r="I65" i="34"/>
  <c r="K65" i="34"/>
  <c r="L65" i="34"/>
  <c r="N65" i="34"/>
  <c r="O65" i="34"/>
  <c r="P65" i="34"/>
  <c r="Q65" i="34"/>
  <c r="S65" i="34"/>
  <c r="T65" i="34"/>
  <c r="V65" i="34"/>
  <c r="X65" i="34"/>
  <c r="Y65" i="34"/>
  <c r="Z65" i="34"/>
  <c r="AA65" i="34"/>
  <c r="AB65" i="34"/>
  <c r="AC65" i="34"/>
  <c r="AF65" i="34"/>
  <c r="AG65" i="34"/>
  <c r="AH65" i="34"/>
  <c r="AI65" i="34"/>
  <c r="AJ65" i="34"/>
  <c r="AL65" i="34"/>
  <c r="AM65" i="34"/>
  <c r="AN65" i="34"/>
  <c r="AO65" i="34"/>
  <c r="AP65" i="34"/>
  <c r="AQ65" i="34"/>
  <c r="AR65" i="34"/>
  <c r="AS65" i="34"/>
  <c r="AT65" i="34"/>
  <c r="AU65" i="34"/>
  <c r="AV65" i="34"/>
  <c r="AW65" i="34"/>
  <c r="AX65" i="34"/>
  <c r="AY65" i="34"/>
  <c r="BB65" i="34"/>
  <c r="BC65" i="34"/>
  <c r="BD65" i="34"/>
  <c r="BE65" i="34"/>
  <c r="BF65" i="34"/>
  <c r="BG65" i="34"/>
  <c r="BH65" i="34"/>
  <c r="BI65" i="34"/>
  <c r="BJ65" i="34"/>
  <c r="BK65" i="34"/>
  <c r="BL65" i="34"/>
  <c r="BM65" i="34"/>
  <c r="BN65" i="34"/>
  <c r="BO65" i="34"/>
  <c r="D66" i="34"/>
  <c r="F66" i="34"/>
  <c r="G66" i="34"/>
  <c r="H66" i="34"/>
  <c r="I66" i="34"/>
  <c r="K66" i="34"/>
  <c r="L66" i="34"/>
  <c r="N66" i="34"/>
  <c r="O66" i="34"/>
  <c r="P66" i="34"/>
  <c r="Q66" i="34"/>
  <c r="S66" i="34"/>
  <c r="T66" i="34"/>
  <c r="V66" i="34"/>
  <c r="X66" i="34"/>
  <c r="Y66" i="34"/>
  <c r="Z66" i="34"/>
  <c r="AA66" i="34"/>
  <c r="AB66" i="34"/>
  <c r="AC66" i="34"/>
  <c r="AF66" i="34"/>
  <c r="AG66" i="34"/>
  <c r="AH66" i="34"/>
  <c r="AI66" i="34"/>
  <c r="AJ66" i="34"/>
  <c r="AL66" i="34"/>
  <c r="AM66" i="34"/>
  <c r="AN66" i="34"/>
  <c r="AO66" i="34"/>
  <c r="AP66" i="34"/>
  <c r="AQ66" i="34"/>
  <c r="AR66" i="34"/>
  <c r="AS66" i="34"/>
  <c r="AT66" i="34"/>
  <c r="AU66" i="34"/>
  <c r="AV66" i="34"/>
  <c r="AW66" i="34"/>
  <c r="AX66" i="34"/>
  <c r="AY66" i="34"/>
  <c r="BB66" i="34"/>
  <c r="BC66" i="34"/>
  <c r="BD66" i="34"/>
  <c r="BE66" i="34"/>
  <c r="BF66" i="34"/>
  <c r="BG66" i="34"/>
  <c r="BH66" i="34"/>
  <c r="BI66" i="34"/>
  <c r="BJ66" i="34"/>
  <c r="BK66" i="34"/>
  <c r="BL66" i="34"/>
  <c r="BM66" i="34"/>
  <c r="BN66" i="34"/>
  <c r="BO66" i="34"/>
  <c r="D67" i="34"/>
  <c r="F67" i="34"/>
  <c r="G67" i="34"/>
  <c r="H67" i="34"/>
  <c r="I67" i="34"/>
  <c r="K67" i="34"/>
  <c r="L67" i="34"/>
  <c r="N67" i="34"/>
  <c r="O67" i="34"/>
  <c r="P67" i="34"/>
  <c r="Q67" i="34"/>
  <c r="S67" i="34"/>
  <c r="T67" i="34"/>
  <c r="V67" i="34"/>
  <c r="X67" i="34"/>
  <c r="Y67" i="34"/>
  <c r="Z67" i="34"/>
  <c r="AA67" i="34"/>
  <c r="AB67" i="34"/>
  <c r="AC67" i="34"/>
  <c r="AF67" i="34"/>
  <c r="AG67" i="34"/>
  <c r="AH67" i="34"/>
  <c r="AI67" i="34"/>
  <c r="AJ67" i="34"/>
  <c r="AL67" i="34"/>
  <c r="AM67" i="34"/>
  <c r="AN67" i="34"/>
  <c r="AO67" i="34"/>
  <c r="AP67" i="34"/>
  <c r="AQ67" i="34"/>
  <c r="AR67" i="34"/>
  <c r="AS67" i="34"/>
  <c r="AT67" i="34"/>
  <c r="AU67" i="34"/>
  <c r="AV67" i="34"/>
  <c r="AW67" i="34"/>
  <c r="AX67" i="34"/>
  <c r="AY67" i="34"/>
  <c r="BB67" i="34"/>
  <c r="BC67" i="34"/>
  <c r="BD67" i="34"/>
  <c r="BE67" i="34"/>
  <c r="BF67" i="34"/>
  <c r="BG67" i="34"/>
  <c r="BH67" i="34"/>
  <c r="BI67" i="34"/>
  <c r="BJ67" i="34"/>
  <c r="BK67" i="34"/>
  <c r="BL67" i="34"/>
  <c r="BM67" i="34"/>
  <c r="BN67" i="34"/>
  <c r="BO67" i="34"/>
  <c r="D68" i="34"/>
  <c r="F68" i="34"/>
  <c r="G68" i="34"/>
  <c r="H68" i="34"/>
  <c r="I68" i="34"/>
  <c r="K68" i="34"/>
  <c r="L68" i="34"/>
  <c r="N68" i="34"/>
  <c r="O68" i="34"/>
  <c r="P68" i="34"/>
  <c r="Q68" i="34"/>
  <c r="S68" i="34"/>
  <c r="T68" i="34"/>
  <c r="V68" i="34"/>
  <c r="X68" i="34"/>
  <c r="Y68" i="34"/>
  <c r="Z68" i="34"/>
  <c r="AA68" i="34"/>
  <c r="AB68" i="34"/>
  <c r="AC68" i="34"/>
  <c r="AF68" i="34"/>
  <c r="AG68" i="34"/>
  <c r="AH68" i="34"/>
  <c r="AI68" i="34"/>
  <c r="AJ68" i="34"/>
  <c r="AL68" i="34"/>
  <c r="AM68" i="34"/>
  <c r="AN68" i="34"/>
  <c r="AO68" i="34"/>
  <c r="AP68" i="34"/>
  <c r="AQ68" i="34"/>
  <c r="AR68" i="34"/>
  <c r="AS68" i="34"/>
  <c r="AT68" i="34"/>
  <c r="AU68" i="34"/>
  <c r="AV68" i="34"/>
  <c r="AW68" i="34"/>
  <c r="AX68" i="34"/>
  <c r="AY68" i="34"/>
  <c r="BB68" i="34"/>
  <c r="BC68" i="34"/>
  <c r="BD68" i="34"/>
  <c r="BE68" i="34"/>
  <c r="BF68" i="34"/>
  <c r="BG68" i="34"/>
  <c r="BH68" i="34"/>
  <c r="BI68" i="34"/>
  <c r="BJ68" i="34"/>
  <c r="BK68" i="34"/>
  <c r="BL68" i="34"/>
  <c r="BM68" i="34"/>
  <c r="BN68" i="34"/>
  <c r="BO68" i="34"/>
  <c r="D69" i="34"/>
  <c r="F69" i="34"/>
  <c r="G69" i="34"/>
  <c r="H69" i="34"/>
  <c r="I69" i="34"/>
  <c r="K69" i="34"/>
  <c r="L69" i="34"/>
  <c r="N69" i="34"/>
  <c r="O69" i="34"/>
  <c r="P69" i="34"/>
  <c r="Q69" i="34"/>
  <c r="S69" i="34"/>
  <c r="T69" i="34"/>
  <c r="V69" i="34"/>
  <c r="X69" i="34"/>
  <c r="Y69" i="34"/>
  <c r="Z69" i="34"/>
  <c r="AA69" i="34"/>
  <c r="AB69" i="34"/>
  <c r="AC69" i="34"/>
  <c r="AF69" i="34"/>
  <c r="AG69" i="34"/>
  <c r="AH69" i="34"/>
  <c r="AI69" i="34"/>
  <c r="AJ69" i="34"/>
  <c r="AL69" i="34"/>
  <c r="AM69" i="34"/>
  <c r="AN69" i="34"/>
  <c r="AO69" i="34"/>
  <c r="AP69" i="34"/>
  <c r="AQ69" i="34"/>
  <c r="AR69" i="34"/>
  <c r="AS69" i="34"/>
  <c r="AT69" i="34"/>
  <c r="AU69" i="34"/>
  <c r="AV69" i="34"/>
  <c r="AW69" i="34"/>
  <c r="AX69" i="34"/>
  <c r="AY69" i="34"/>
  <c r="BB69" i="34"/>
  <c r="BC69" i="34"/>
  <c r="BD69" i="34"/>
  <c r="BE69" i="34"/>
  <c r="BF69" i="34"/>
  <c r="BG69" i="34"/>
  <c r="BH69" i="34"/>
  <c r="BI69" i="34"/>
  <c r="BJ69" i="34"/>
  <c r="BK69" i="34"/>
  <c r="BL69" i="34"/>
  <c r="BM69" i="34"/>
  <c r="BN69" i="34"/>
  <c r="BO69" i="34"/>
  <c r="D70" i="34"/>
  <c r="F70" i="34"/>
  <c r="G70" i="34"/>
  <c r="H70" i="34"/>
  <c r="I70" i="34"/>
  <c r="K70" i="34"/>
  <c r="L70" i="34"/>
  <c r="N70" i="34"/>
  <c r="O70" i="34"/>
  <c r="P70" i="34"/>
  <c r="Q70" i="34"/>
  <c r="S70" i="34"/>
  <c r="T70" i="34"/>
  <c r="V70" i="34"/>
  <c r="X70" i="34"/>
  <c r="Y70" i="34"/>
  <c r="Z70" i="34"/>
  <c r="AA70" i="34"/>
  <c r="AB70" i="34"/>
  <c r="AC70" i="34"/>
  <c r="AF70" i="34"/>
  <c r="AG70" i="34"/>
  <c r="AH70" i="34"/>
  <c r="AI70" i="34"/>
  <c r="AJ70" i="34"/>
  <c r="AL70" i="34"/>
  <c r="AM70" i="34"/>
  <c r="AN70" i="34"/>
  <c r="AO70" i="34"/>
  <c r="AP70" i="34"/>
  <c r="AQ70" i="34"/>
  <c r="AR70" i="34"/>
  <c r="AS70" i="34"/>
  <c r="AT70" i="34"/>
  <c r="AU70" i="34"/>
  <c r="AV70" i="34"/>
  <c r="AW70" i="34"/>
  <c r="AX70" i="34"/>
  <c r="AY70" i="34"/>
  <c r="BB70" i="34"/>
  <c r="BC70" i="34"/>
  <c r="BD70" i="34"/>
  <c r="BE70" i="34"/>
  <c r="BF70" i="34"/>
  <c r="BG70" i="34"/>
  <c r="BH70" i="34"/>
  <c r="BI70" i="34"/>
  <c r="BJ70" i="34"/>
  <c r="BK70" i="34"/>
  <c r="BL70" i="34"/>
  <c r="BM70" i="34"/>
  <c r="BN70" i="34"/>
  <c r="BO70" i="34"/>
  <c r="D71" i="34"/>
  <c r="F71" i="34"/>
  <c r="G71" i="34"/>
  <c r="H71" i="34"/>
  <c r="I71" i="34"/>
  <c r="K71" i="34"/>
  <c r="L71" i="34"/>
  <c r="N71" i="34"/>
  <c r="O71" i="34"/>
  <c r="P71" i="34"/>
  <c r="Q71" i="34"/>
  <c r="S71" i="34"/>
  <c r="T71" i="34"/>
  <c r="V71" i="34"/>
  <c r="X71" i="34"/>
  <c r="Y71" i="34"/>
  <c r="Z71" i="34"/>
  <c r="AA71" i="34"/>
  <c r="AB71" i="34"/>
  <c r="AC71" i="34"/>
  <c r="AF71" i="34"/>
  <c r="AG71" i="34"/>
  <c r="AH71" i="34"/>
  <c r="AI71" i="34"/>
  <c r="AJ71" i="34"/>
  <c r="AL71" i="34"/>
  <c r="AM71" i="34"/>
  <c r="AN71" i="34"/>
  <c r="AO71" i="34"/>
  <c r="AP71" i="34"/>
  <c r="AQ71" i="34"/>
  <c r="AR71" i="34"/>
  <c r="AS71" i="34"/>
  <c r="AT71" i="34"/>
  <c r="AU71" i="34"/>
  <c r="AV71" i="34"/>
  <c r="AW71" i="34"/>
  <c r="AX71" i="34"/>
  <c r="AY71" i="34"/>
  <c r="BB71" i="34"/>
  <c r="BC71" i="34"/>
  <c r="BD71" i="34"/>
  <c r="BE71" i="34"/>
  <c r="BF71" i="34"/>
  <c r="BG71" i="34"/>
  <c r="BH71" i="34"/>
  <c r="BI71" i="34"/>
  <c r="BJ71" i="34"/>
  <c r="BK71" i="34"/>
  <c r="BL71" i="34"/>
  <c r="BM71" i="34"/>
  <c r="BN71" i="34"/>
  <c r="BO71" i="34"/>
  <c r="D72" i="34"/>
  <c r="F72" i="34"/>
  <c r="G72" i="34"/>
  <c r="H72" i="34"/>
  <c r="I72" i="34"/>
  <c r="K72" i="34"/>
  <c r="L72" i="34"/>
  <c r="N72" i="34"/>
  <c r="O72" i="34"/>
  <c r="P72" i="34"/>
  <c r="Q72" i="34"/>
  <c r="S72" i="34"/>
  <c r="T72" i="34"/>
  <c r="V72" i="34"/>
  <c r="X72" i="34"/>
  <c r="Y72" i="34"/>
  <c r="Z72" i="34"/>
  <c r="AA72" i="34"/>
  <c r="AB72" i="34"/>
  <c r="AC72" i="34"/>
  <c r="AF72" i="34"/>
  <c r="AG72" i="34"/>
  <c r="AH72" i="34"/>
  <c r="AI72" i="34"/>
  <c r="AJ72" i="34"/>
  <c r="AL72" i="34"/>
  <c r="AM72" i="34"/>
  <c r="AN72" i="34"/>
  <c r="AO72" i="34"/>
  <c r="AP72" i="34"/>
  <c r="AQ72" i="34"/>
  <c r="AR72" i="34"/>
  <c r="AS72" i="34"/>
  <c r="AT72" i="34"/>
  <c r="AU72" i="34"/>
  <c r="AV72" i="34"/>
  <c r="AW72" i="34"/>
  <c r="AX72" i="34"/>
  <c r="AY72" i="34"/>
  <c r="BB72" i="34"/>
  <c r="BC72" i="34"/>
  <c r="BD72" i="34"/>
  <c r="BE72" i="34"/>
  <c r="BF72" i="34"/>
  <c r="BG72" i="34"/>
  <c r="BH72" i="34"/>
  <c r="BI72" i="34"/>
  <c r="BJ72" i="34"/>
  <c r="BK72" i="34"/>
  <c r="BL72" i="34"/>
  <c r="BM72" i="34"/>
  <c r="BN72" i="34"/>
  <c r="BO72" i="34"/>
  <c r="D73" i="34"/>
  <c r="F73" i="34"/>
  <c r="G73" i="34"/>
  <c r="H73" i="34"/>
  <c r="I73" i="34"/>
  <c r="K73" i="34"/>
  <c r="L73" i="34"/>
  <c r="N73" i="34"/>
  <c r="O73" i="34"/>
  <c r="P73" i="34"/>
  <c r="Q73" i="34"/>
  <c r="S73" i="34"/>
  <c r="T73" i="34"/>
  <c r="V73" i="34"/>
  <c r="X73" i="34"/>
  <c r="Y73" i="34"/>
  <c r="Z73" i="34"/>
  <c r="AA73" i="34"/>
  <c r="AB73" i="34"/>
  <c r="AC73" i="34"/>
  <c r="AF73" i="34"/>
  <c r="AG73" i="34"/>
  <c r="AH73" i="34"/>
  <c r="AI73" i="34"/>
  <c r="AJ73" i="34"/>
  <c r="AL73" i="34"/>
  <c r="AM73" i="34"/>
  <c r="AN73" i="34"/>
  <c r="AO73" i="34"/>
  <c r="AP73" i="34"/>
  <c r="AQ73" i="34"/>
  <c r="AR73" i="34"/>
  <c r="AS73" i="34"/>
  <c r="AT73" i="34"/>
  <c r="AU73" i="34"/>
  <c r="AV73" i="34"/>
  <c r="AW73" i="34"/>
  <c r="AX73" i="34"/>
  <c r="AY73" i="34"/>
  <c r="BB73" i="34"/>
  <c r="BC73" i="34"/>
  <c r="BD73" i="34"/>
  <c r="BE73" i="34"/>
  <c r="BF73" i="34"/>
  <c r="BG73" i="34"/>
  <c r="BH73" i="34"/>
  <c r="BI73" i="34"/>
  <c r="BJ73" i="34"/>
  <c r="BK73" i="34"/>
  <c r="BL73" i="34"/>
  <c r="BM73" i="34"/>
  <c r="BN73" i="34"/>
  <c r="BO73" i="34"/>
  <c r="D74" i="34"/>
  <c r="F74" i="34"/>
  <c r="G74" i="34"/>
  <c r="H74" i="34"/>
  <c r="I74" i="34"/>
  <c r="K74" i="34"/>
  <c r="L74" i="34"/>
  <c r="N74" i="34"/>
  <c r="O74" i="34"/>
  <c r="P74" i="34"/>
  <c r="Q74" i="34"/>
  <c r="S74" i="34"/>
  <c r="T74" i="34"/>
  <c r="V74" i="34"/>
  <c r="X74" i="34"/>
  <c r="Y74" i="34"/>
  <c r="Z74" i="34"/>
  <c r="AA74" i="34"/>
  <c r="AB74" i="34"/>
  <c r="AC74" i="34"/>
  <c r="AF74" i="34"/>
  <c r="AG74" i="34"/>
  <c r="AH74" i="34"/>
  <c r="AI74" i="34"/>
  <c r="AJ74" i="34"/>
  <c r="AL74" i="34"/>
  <c r="AM74" i="34"/>
  <c r="AN74" i="34"/>
  <c r="AO74" i="34"/>
  <c r="AP74" i="34"/>
  <c r="AQ74" i="34"/>
  <c r="AR74" i="34"/>
  <c r="AS74" i="34"/>
  <c r="AT74" i="34"/>
  <c r="AU74" i="34"/>
  <c r="AV74" i="34"/>
  <c r="AW74" i="34"/>
  <c r="AX74" i="34"/>
  <c r="AY74" i="34"/>
  <c r="BB74" i="34"/>
  <c r="BC74" i="34"/>
  <c r="BD74" i="34"/>
  <c r="BE74" i="34"/>
  <c r="BF74" i="34"/>
  <c r="BG74" i="34"/>
  <c r="BH74" i="34"/>
  <c r="BI74" i="34"/>
  <c r="BJ74" i="34"/>
  <c r="BK74" i="34"/>
  <c r="BL74" i="34"/>
  <c r="BM74" i="34"/>
  <c r="BN74" i="34"/>
  <c r="BO74" i="34"/>
  <c r="D75" i="34"/>
  <c r="F75" i="34"/>
  <c r="G75" i="34"/>
  <c r="H75" i="34"/>
  <c r="I75" i="34"/>
  <c r="K75" i="34"/>
  <c r="L75" i="34"/>
  <c r="N75" i="34"/>
  <c r="O75" i="34"/>
  <c r="P75" i="34"/>
  <c r="Q75" i="34"/>
  <c r="S75" i="34"/>
  <c r="T75" i="34"/>
  <c r="V75" i="34"/>
  <c r="X75" i="34"/>
  <c r="Y75" i="34"/>
  <c r="Z75" i="34"/>
  <c r="AA75" i="34"/>
  <c r="AB75" i="34"/>
  <c r="AC75" i="34"/>
  <c r="AF75" i="34"/>
  <c r="AG75" i="34"/>
  <c r="AH75" i="34"/>
  <c r="AI75" i="34"/>
  <c r="AJ75" i="34"/>
  <c r="AL75" i="34"/>
  <c r="AM75" i="34"/>
  <c r="AN75" i="34"/>
  <c r="AO75" i="34"/>
  <c r="AP75" i="34"/>
  <c r="AQ75" i="34"/>
  <c r="AR75" i="34"/>
  <c r="AS75" i="34"/>
  <c r="AT75" i="34"/>
  <c r="AU75" i="34"/>
  <c r="AV75" i="34"/>
  <c r="AW75" i="34"/>
  <c r="AX75" i="34"/>
  <c r="AY75" i="34"/>
  <c r="BB75" i="34"/>
  <c r="BC75" i="34"/>
  <c r="BD75" i="34"/>
  <c r="BE75" i="34"/>
  <c r="BF75" i="34"/>
  <c r="BG75" i="34"/>
  <c r="BH75" i="34"/>
  <c r="BI75" i="34"/>
  <c r="BJ75" i="34"/>
  <c r="BK75" i="34"/>
  <c r="BL75" i="34"/>
  <c r="BM75" i="34"/>
  <c r="BN75" i="34"/>
  <c r="BO75" i="34"/>
  <c r="D76" i="34"/>
  <c r="F76" i="34"/>
  <c r="G76" i="34"/>
  <c r="H76" i="34"/>
  <c r="I76" i="34"/>
  <c r="K76" i="34"/>
  <c r="L76" i="34"/>
  <c r="N76" i="34"/>
  <c r="O76" i="34"/>
  <c r="P76" i="34"/>
  <c r="Q76" i="34"/>
  <c r="S76" i="34"/>
  <c r="T76" i="34"/>
  <c r="V76" i="34"/>
  <c r="X76" i="34"/>
  <c r="Y76" i="34"/>
  <c r="Z76" i="34"/>
  <c r="AA76" i="34"/>
  <c r="AB76" i="34"/>
  <c r="AC76" i="34"/>
  <c r="AF76" i="34"/>
  <c r="AG76" i="34"/>
  <c r="AH76" i="34"/>
  <c r="AI76" i="34"/>
  <c r="AJ76" i="34"/>
  <c r="AL76" i="34"/>
  <c r="AM76" i="34"/>
  <c r="AN76" i="34"/>
  <c r="AO76" i="34"/>
  <c r="AP76" i="34"/>
  <c r="AQ76" i="34"/>
  <c r="AR76" i="34"/>
  <c r="AS76" i="34"/>
  <c r="AT76" i="34"/>
  <c r="AU76" i="34"/>
  <c r="AV76" i="34"/>
  <c r="AW76" i="34"/>
  <c r="AX76" i="34"/>
  <c r="AY76" i="34"/>
  <c r="BB76" i="34"/>
  <c r="BC76" i="34"/>
  <c r="BD76" i="34"/>
  <c r="BE76" i="34"/>
  <c r="BF76" i="34"/>
  <c r="BG76" i="34"/>
  <c r="BH76" i="34"/>
  <c r="BI76" i="34"/>
  <c r="BJ76" i="34"/>
  <c r="BK76" i="34"/>
  <c r="BL76" i="34"/>
  <c r="BM76" i="34"/>
  <c r="BN76" i="34"/>
  <c r="BO76" i="34"/>
  <c r="D77" i="34"/>
  <c r="F77" i="34"/>
  <c r="G77" i="34"/>
  <c r="H77" i="34"/>
  <c r="I77" i="34"/>
  <c r="K77" i="34"/>
  <c r="L77" i="34"/>
  <c r="N77" i="34"/>
  <c r="O77" i="34"/>
  <c r="P77" i="34"/>
  <c r="Q77" i="34"/>
  <c r="S77" i="34"/>
  <c r="T77" i="34"/>
  <c r="V77" i="34"/>
  <c r="X77" i="34"/>
  <c r="Y77" i="34"/>
  <c r="Z77" i="34"/>
  <c r="AA77" i="34"/>
  <c r="AB77" i="34"/>
  <c r="AC77" i="34"/>
  <c r="AF77" i="34"/>
  <c r="AG77" i="34"/>
  <c r="AH77" i="34"/>
  <c r="AI77" i="34"/>
  <c r="AJ77" i="34"/>
  <c r="AL77" i="34"/>
  <c r="AM77" i="34"/>
  <c r="AN77" i="34"/>
  <c r="AO77" i="34"/>
  <c r="AP77" i="34"/>
  <c r="AQ77" i="34"/>
  <c r="AR77" i="34"/>
  <c r="AS77" i="34"/>
  <c r="AT77" i="34"/>
  <c r="AU77" i="34"/>
  <c r="AV77" i="34"/>
  <c r="AW77" i="34"/>
  <c r="AX77" i="34"/>
  <c r="AY77" i="34"/>
  <c r="BB77" i="34"/>
  <c r="BC77" i="34"/>
  <c r="BD77" i="34"/>
  <c r="BE77" i="34"/>
  <c r="BF77" i="34"/>
  <c r="BG77" i="34"/>
  <c r="BH77" i="34"/>
  <c r="BI77" i="34"/>
  <c r="BJ77" i="34"/>
  <c r="BK77" i="34"/>
  <c r="BL77" i="34"/>
  <c r="BM77" i="34"/>
  <c r="BN77" i="34"/>
  <c r="BO77" i="34"/>
  <c r="D78" i="34"/>
  <c r="F78" i="34"/>
  <c r="G78" i="34"/>
  <c r="H78" i="34"/>
  <c r="I78" i="34"/>
  <c r="K78" i="34"/>
  <c r="L78" i="34"/>
  <c r="N78" i="34"/>
  <c r="O78" i="34"/>
  <c r="P78" i="34"/>
  <c r="Q78" i="34"/>
  <c r="S78" i="34"/>
  <c r="T78" i="34"/>
  <c r="V78" i="34"/>
  <c r="X78" i="34"/>
  <c r="Y78" i="34"/>
  <c r="Z78" i="34"/>
  <c r="AA78" i="34"/>
  <c r="AB78" i="34"/>
  <c r="AC78" i="34"/>
  <c r="AF78" i="34"/>
  <c r="AG78" i="34"/>
  <c r="AH78" i="34"/>
  <c r="AI78" i="34"/>
  <c r="AJ78" i="34"/>
  <c r="AL78" i="34"/>
  <c r="AM78" i="34"/>
  <c r="AN78" i="34"/>
  <c r="AO78" i="34"/>
  <c r="AP78" i="34"/>
  <c r="AQ78" i="34"/>
  <c r="AR78" i="34"/>
  <c r="AS78" i="34"/>
  <c r="AT78" i="34"/>
  <c r="AU78" i="34"/>
  <c r="AV78" i="34"/>
  <c r="AW78" i="34"/>
  <c r="AX78" i="34"/>
  <c r="AY78" i="34"/>
  <c r="BB78" i="34"/>
  <c r="BC78" i="34"/>
  <c r="BD78" i="34"/>
  <c r="BE78" i="34"/>
  <c r="BF78" i="34"/>
  <c r="BG78" i="34"/>
  <c r="BH78" i="34"/>
  <c r="BI78" i="34"/>
  <c r="BJ78" i="34"/>
  <c r="BK78" i="34"/>
  <c r="BL78" i="34"/>
  <c r="BM78" i="34"/>
  <c r="BN78" i="34"/>
  <c r="BO78" i="34"/>
  <c r="D79" i="34"/>
  <c r="F79" i="34"/>
  <c r="G79" i="34"/>
  <c r="H79" i="34"/>
  <c r="I79" i="34"/>
  <c r="K79" i="34"/>
  <c r="L79" i="34"/>
  <c r="N79" i="34"/>
  <c r="O79" i="34"/>
  <c r="P79" i="34"/>
  <c r="Q79" i="34"/>
  <c r="S79" i="34"/>
  <c r="T79" i="34"/>
  <c r="V79" i="34"/>
  <c r="X79" i="34"/>
  <c r="Y79" i="34"/>
  <c r="Z79" i="34"/>
  <c r="AA79" i="34"/>
  <c r="AB79" i="34"/>
  <c r="AC79" i="34"/>
  <c r="AF79" i="34"/>
  <c r="AG79" i="34"/>
  <c r="AH79" i="34"/>
  <c r="AI79" i="34"/>
  <c r="AJ79" i="34"/>
  <c r="AL79" i="34"/>
  <c r="AM79" i="34"/>
  <c r="AN79" i="34"/>
  <c r="AO79" i="34"/>
  <c r="AP79" i="34"/>
  <c r="AQ79" i="34"/>
  <c r="AR79" i="34"/>
  <c r="AS79" i="34"/>
  <c r="AT79" i="34"/>
  <c r="AU79" i="34"/>
  <c r="AV79" i="34"/>
  <c r="AW79" i="34"/>
  <c r="AX79" i="34"/>
  <c r="AY79" i="34"/>
  <c r="BB79" i="34"/>
  <c r="BC79" i="34"/>
  <c r="BD79" i="34"/>
  <c r="BE79" i="34"/>
  <c r="BF79" i="34"/>
  <c r="BG79" i="34"/>
  <c r="BH79" i="34"/>
  <c r="BI79" i="34"/>
  <c r="BJ79" i="34"/>
  <c r="BK79" i="34"/>
  <c r="BL79" i="34"/>
  <c r="BM79" i="34"/>
  <c r="BN79" i="34"/>
  <c r="BO79" i="34"/>
  <c r="D80" i="34"/>
  <c r="F80" i="34"/>
  <c r="G80" i="34"/>
  <c r="H80" i="34"/>
  <c r="I80" i="34"/>
  <c r="K80" i="34"/>
  <c r="L80" i="34"/>
  <c r="N80" i="34"/>
  <c r="O80" i="34"/>
  <c r="P80" i="34"/>
  <c r="Q80" i="34"/>
  <c r="S80" i="34"/>
  <c r="T80" i="34"/>
  <c r="V80" i="34"/>
  <c r="X80" i="34"/>
  <c r="Y80" i="34"/>
  <c r="Z80" i="34"/>
  <c r="AA80" i="34"/>
  <c r="AB80" i="34"/>
  <c r="AC80" i="34"/>
  <c r="AF80" i="34"/>
  <c r="AG80" i="34"/>
  <c r="AH80" i="34"/>
  <c r="AI80" i="34"/>
  <c r="AJ80" i="34"/>
  <c r="AL80" i="34"/>
  <c r="AM80" i="34"/>
  <c r="AN80" i="34"/>
  <c r="AO80" i="34"/>
  <c r="AP80" i="34"/>
  <c r="AQ80" i="34"/>
  <c r="AR80" i="34"/>
  <c r="AS80" i="34"/>
  <c r="AT80" i="34"/>
  <c r="AU80" i="34"/>
  <c r="AV80" i="34"/>
  <c r="AW80" i="34"/>
  <c r="AX80" i="34"/>
  <c r="AY80" i="34"/>
  <c r="BB80" i="34"/>
  <c r="BC80" i="34"/>
  <c r="BD80" i="34"/>
  <c r="BE80" i="34"/>
  <c r="BF80" i="34"/>
  <c r="BG80" i="34"/>
  <c r="BH80" i="34"/>
  <c r="BI80" i="34"/>
  <c r="BJ80" i="34"/>
  <c r="BK80" i="34"/>
  <c r="BL80" i="34"/>
  <c r="BM80" i="34"/>
  <c r="BN80" i="34"/>
  <c r="BO80" i="34"/>
  <c r="D81" i="34"/>
  <c r="F81" i="34"/>
  <c r="G81" i="34"/>
  <c r="H81" i="34"/>
  <c r="I81" i="34"/>
  <c r="K81" i="34"/>
  <c r="L81" i="34"/>
  <c r="N81" i="34"/>
  <c r="O81" i="34"/>
  <c r="P81" i="34"/>
  <c r="Q81" i="34"/>
  <c r="S81" i="34"/>
  <c r="T81" i="34"/>
  <c r="V81" i="34"/>
  <c r="X81" i="34"/>
  <c r="Y81" i="34"/>
  <c r="Z81" i="34"/>
  <c r="AA81" i="34"/>
  <c r="AB81" i="34"/>
  <c r="AC81" i="34"/>
  <c r="AF81" i="34"/>
  <c r="AG81" i="34"/>
  <c r="AH81" i="34"/>
  <c r="AI81" i="34"/>
  <c r="AJ81" i="34"/>
  <c r="AL81" i="34"/>
  <c r="AM81" i="34"/>
  <c r="AN81" i="34"/>
  <c r="AO81" i="34"/>
  <c r="AP81" i="34"/>
  <c r="AQ81" i="34"/>
  <c r="AR81" i="34"/>
  <c r="AS81" i="34"/>
  <c r="AT81" i="34"/>
  <c r="AU81" i="34"/>
  <c r="AV81" i="34"/>
  <c r="AW81" i="34"/>
  <c r="AX81" i="34"/>
  <c r="AY81" i="34"/>
  <c r="BB81" i="34"/>
  <c r="BC81" i="34"/>
  <c r="BD81" i="34"/>
  <c r="BE81" i="34"/>
  <c r="BF81" i="34"/>
  <c r="BG81" i="34"/>
  <c r="BH81" i="34"/>
  <c r="BI81" i="34"/>
  <c r="BJ81" i="34"/>
  <c r="BK81" i="34"/>
  <c r="BL81" i="34"/>
  <c r="BM81" i="34"/>
  <c r="BN81" i="34"/>
  <c r="BO81" i="34"/>
  <c r="D82" i="34"/>
  <c r="F82" i="34"/>
  <c r="G82" i="34"/>
  <c r="H82" i="34"/>
  <c r="I82" i="34"/>
  <c r="K82" i="34"/>
  <c r="L82" i="34"/>
  <c r="N82" i="34"/>
  <c r="O82" i="34"/>
  <c r="P82" i="34"/>
  <c r="Q82" i="34"/>
  <c r="S82" i="34"/>
  <c r="T82" i="34"/>
  <c r="V82" i="34"/>
  <c r="X82" i="34"/>
  <c r="Y82" i="34"/>
  <c r="Z82" i="34"/>
  <c r="AA82" i="34"/>
  <c r="AB82" i="34"/>
  <c r="AC82" i="34"/>
  <c r="AF82" i="34"/>
  <c r="AG82" i="34"/>
  <c r="AH82" i="34"/>
  <c r="AI82" i="34"/>
  <c r="AJ82" i="34"/>
  <c r="AL82" i="34"/>
  <c r="AM82" i="34"/>
  <c r="AN82" i="34"/>
  <c r="AO82" i="34"/>
  <c r="AP82" i="34"/>
  <c r="AQ82" i="34"/>
  <c r="AR82" i="34"/>
  <c r="AS82" i="34"/>
  <c r="AT82" i="34"/>
  <c r="AU82" i="34"/>
  <c r="AV82" i="34"/>
  <c r="AW82" i="34"/>
  <c r="AX82" i="34"/>
  <c r="AY82" i="34"/>
  <c r="BB82" i="34"/>
  <c r="BC82" i="34"/>
  <c r="BD82" i="34"/>
  <c r="BE82" i="34"/>
  <c r="BF82" i="34"/>
  <c r="BG82" i="34"/>
  <c r="BH82" i="34"/>
  <c r="BI82" i="34"/>
  <c r="BJ82" i="34"/>
  <c r="BK82" i="34"/>
  <c r="BL82" i="34"/>
  <c r="BM82" i="34"/>
  <c r="BN82" i="34"/>
  <c r="BO82" i="34"/>
  <c r="D83" i="34"/>
  <c r="F83" i="34"/>
  <c r="G83" i="34"/>
  <c r="H83" i="34"/>
  <c r="I83" i="34"/>
  <c r="K83" i="34"/>
  <c r="L83" i="34"/>
  <c r="N83" i="34"/>
  <c r="O83" i="34"/>
  <c r="P83" i="34"/>
  <c r="Q83" i="34"/>
  <c r="S83" i="34"/>
  <c r="T83" i="34"/>
  <c r="V83" i="34"/>
  <c r="X83" i="34"/>
  <c r="Y83" i="34"/>
  <c r="Z83" i="34"/>
  <c r="AA83" i="34"/>
  <c r="AB83" i="34"/>
  <c r="AC83" i="34"/>
  <c r="AF83" i="34"/>
  <c r="AG83" i="34"/>
  <c r="AH83" i="34"/>
  <c r="AI83" i="34"/>
  <c r="AJ83" i="34"/>
  <c r="AL83" i="34"/>
  <c r="AM83" i="34"/>
  <c r="AN83" i="34"/>
  <c r="AO83" i="34"/>
  <c r="AP83" i="34"/>
  <c r="AQ83" i="34"/>
  <c r="AR83" i="34"/>
  <c r="AS83" i="34"/>
  <c r="AT83" i="34"/>
  <c r="AU83" i="34"/>
  <c r="AV83" i="34"/>
  <c r="AW83" i="34"/>
  <c r="AX83" i="34"/>
  <c r="AY83" i="34"/>
  <c r="BB83" i="34"/>
  <c r="BC83" i="34"/>
  <c r="BD83" i="34"/>
  <c r="BE83" i="34"/>
  <c r="BF83" i="34"/>
  <c r="BG83" i="34"/>
  <c r="BH83" i="34"/>
  <c r="BI83" i="34"/>
  <c r="BJ83" i="34"/>
  <c r="BK83" i="34"/>
  <c r="BL83" i="34"/>
  <c r="BM83" i="34"/>
  <c r="BN83" i="34"/>
  <c r="BO83" i="34"/>
  <c r="D84" i="34"/>
  <c r="F84" i="34"/>
  <c r="G84" i="34"/>
  <c r="H84" i="34"/>
  <c r="I84" i="34"/>
  <c r="K84" i="34"/>
  <c r="L84" i="34"/>
  <c r="N84" i="34"/>
  <c r="O84" i="34"/>
  <c r="P84" i="34"/>
  <c r="Q84" i="34"/>
  <c r="S84" i="34"/>
  <c r="T84" i="34"/>
  <c r="V84" i="34"/>
  <c r="X84" i="34"/>
  <c r="Y84" i="34"/>
  <c r="Z84" i="34"/>
  <c r="AA84" i="34"/>
  <c r="AB84" i="34"/>
  <c r="AC84" i="34"/>
  <c r="AF84" i="34"/>
  <c r="AG84" i="34"/>
  <c r="AH84" i="34"/>
  <c r="AI84" i="34"/>
  <c r="AJ84" i="34"/>
  <c r="AL84" i="34"/>
  <c r="AM84" i="34"/>
  <c r="AN84" i="34"/>
  <c r="AO84" i="34"/>
  <c r="AP84" i="34"/>
  <c r="AQ84" i="34"/>
  <c r="AR84" i="34"/>
  <c r="AS84" i="34"/>
  <c r="AT84" i="34"/>
  <c r="AU84" i="34"/>
  <c r="AV84" i="34"/>
  <c r="AW84" i="34"/>
  <c r="AX84" i="34"/>
  <c r="AY84" i="34"/>
  <c r="BB84" i="34"/>
  <c r="BC84" i="34"/>
  <c r="BD84" i="34"/>
  <c r="BE84" i="34"/>
  <c r="BF84" i="34"/>
  <c r="BG84" i="34"/>
  <c r="BH84" i="34"/>
  <c r="BI84" i="34"/>
  <c r="BJ84" i="34"/>
  <c r="BK84" i="34"/>
  <c r="BL84" i="34"/>
  <c r="BM84" i="34"/>
  <c r="BN84" i="34"/>
  <c r="BO84" i="34"/>
  <c r="D85" i="34"/>
  <c r="F85" i="34"/>
  <c r="G85" i="34"/>
  <c r="H85" i="34"/>
  <c r="I85" i="34"/>
  <c r="K85" i="34"/>
  <c r="L85" i="34"/>
  <c r="N85" i="34"/>
  <c r="O85" i="34"/>
  <c r="P85" i="34"/>
  <c r="Q85" i="34"/>
  <c r="S85" i="34"/>
  <c r="T85" i="34"/>
  <c r="V85" i="34"/>
  <c r="X85" i="34"/>
  <c r="Y85" i="34"/>
  <c r="Z85" i="34"/>
  <c r="AA85" i="34"/>
  <c r="AB85" i="34"/>
  <c r="AC85" i="34"/>
  <c r="AF85" i="34"/>
  <c r="AG85" i="34"/>
  <c r="AH85" i="34"/>
  <c r="AI85" i="34"/>
  <c r="AJ85" i="34"/>
  <c r="AL85" i="34"/>
  <c r="AM85" i="34"/>
  <c r="AN85" i="34"/>
  <c r="AO85" i="34"/>
  <c r="AP85" i="34"/>
  <c r="AQ85" i="34"/>
  <c r="AR85" i="34"/>
  <c r="AS85" i="34"/>
  <c r="AT85" i="34"/>
  <c r="AU85" i="34"/>
  <c r="AV85" i="34"/>
  <c r="AW85" i="34"/>
  <c r="AX85" i="34"/>
  <c r="AY85" i="34"/>
  <c r="BB85" i="34"/>
  <c r="BC85" i="34"/>
  <c r="BD85" i="34"/>
  <c r="BE85" i="34"/>
  <c r="BF85" i="34"/>
  <c r="BG85" i="34"/>
  <c r="BH85" i="34"/>
  <c r="BI85" i="34"/>
  <c r="BJ85" i="34"/>
  <c r="BK85" i="34"/>
  <c r="BL85" i="34"/>
  <c r="BM85" i="34"/>
  <c r="BN85" i="34"/>
  <c r="BO85" i="34"/>
  <c r="D86" i="34"/>
  <c r="F86" i="34"/>
  <c r="G86" i="34"/>
  <c r="H86" i="34"/>
  <c r="I86" i="34"/>
  <c r="K86" i="34"/>
  <c r="L86" i="34"/>
  <c r="N86" i="34"/>
  <c r="O86" i="34"/>
  <c r="P86" i="34"/>
  <c r="Q86" i="34"/>
  <c r="S86" i="34"/>
  <c r="T86" i="34"/>
  <c r="V86" i="34"/>
  <c r="X86" i="34"/>
  <c r="Y86" i="34"/>
  <c r="Z86" i="34"/>
  <c r="AA86" i="34"/>
  <c r="AB86" i="34"/>
  <c r="AC86" i="34"/>
  <c r="AF86" i="34"/>
  <c r="AG86" i="34"/>
  <c r="AH86" i="34"/>
  <c r="AI86" i="34"/>
  <c r="AJ86" i="34"/>
  <c r="AL86" i="34"/>
  <c r="AM86" i="34"/>
  <c r="AN86" i="34"/>
  <c r="AO86" i="34"/>
  <c r="AP86" i="34"/>
  <c r="AQ86" i="34"/>
  <c r="AR86" i="34"/>
  <c r="AS86" i="34"/>
  <c r="AT86" i="34"/>
  <c r="AU86" i="34"/>
  <c r="AV86" i="34"/>
  <c r="AW86" i="34"/>
  <c r="AX86" i="34"/>
  <c r="AY86" i="34"/>
  <c r="BB86" i="34"/>
  <c r="BC86" i="34"/>
  <c r="BD86" i="34"/>
  <c r="BE86" i="34"/>
  <c r="BF86" i="34"/>
  <c r="BG86" i="34"/>
  <c r="BH86" i="34"/>
  <c r="BI86" i="34"/>
  <c r="BJ86" i="34"/>
  <c r="BK86" i="34"/>
  <c r="BL86" i="34"/>
  <c r="BM86" i="34"/>
  <c r="BN86" i="34"/>
  <c r="BO86" i="34"/>
  <c r="D87" i="34"/>
  <c r="F87" i="34"/>
  <c r="G87" i="34"/>
  <c r="H87" i="34"/>
  <c r="I87" i="34"/>
  <c r="K87" i="34"/>
  <c r="L87" i="34"/>
  <c r="N87" i="34"/>
  <c r="O87" i="34"/>
  <c r="P87" i="34"/>
  <c r="Q87" i="34"/>
  <c r="S87" i="34"/>
  <c r="T87" i="34"/>
  <c r="V87" i="34"/>
  <c r="X87" i="34"/>
  <c r="Y87" i="34"/>
  <c r="Z87" i="34"/>
  <c r="AA87" i="34"/>
  <c r="AB87" i="34"/>
  <c r="AC87" i="34"/>
  <c r="AF87" i="34"/>
  <c r="AG87" i="34"/>
  <c r="AH87" i="34"/>
  <c r="AI87" i="34"/>
  <c r="AJ87" i="34"/>
  <c r="AL87" i="34"/>
  <c r="AM87" i="34"/>
  <c r="AN87" i="34"/>
  <c r="AO87" i="34"/>
  <c r="AP87" i="34"/>
  <c r="AQ87" i="34"/>
  <c r="AR87" i="34"/>
  <c r="AS87" i="34"/>
  <c r="AT87" i="34"/>
  <c r="AU87" i="34"/>
  <c r="AV87" i="34"/>
  <c r="AW87" i="34"/>
  <c r="AX87" i="34"/>
  <c r="AY87" i="34"/>
  <c r="BB87" i="34"/>
  <c r="BC87" i="34"/>
  <c r="BD87" i="34"/>
  <c r="BE87" i="34"/>
  <c r="BF87" i="34"/>
  <c r="BG87" i="34"/>
  <c r="BH87" i="34"/>
  <c r="BI87" i="34"/>
  <c r="BJ87" i="34"/>
  <c r="BK87" i="34"/>
  <c r="BL87" i="34"/>
  <c r="BM87" i="34"/>
  <c r="BN87" i="34"/>
  <c r="BO87" i="34"/>
  <c r="D88" i="34"/>
  <c r="F88" i="34"/>
  <c r="G88" i="34"/>
  <c r="H88" i="34"/>
  <c r="I88" i="34"/>
  <c r="K88" i="34"/>
  <c r="L88" i="34"/>
  <c r="N88" i="34"/>
  <c r="O88" i="34"/>
  <c r="P88" i="34"/>
  <c r="Q88" i="34"/>
  <c r="S88" i="34"/>
  <c r="T88" i="34"/>
  <c r="V88" i="34"/>
  <c r="X88" i="34"/>
  <c r="Y88" i="34"/>
  <c r="Z88" i="34"/>
  <c r="AA88" i="34"/>
  <c r="AB88" i="34"/>
  <c r="AC88" i="34"/>
  <c r="AF88" i="34"/>
  <c r="AG88" i="34"/>
  <c r="AH88" i="34"/>
  <c r="AI88" i="34"/>
  <c r="AJ88" i="34"/>
  <c r="AL88" i="34"/>
  <c r="AM88" i="34"/>
  <c r="AN88" i="34"/>
  <c r="AO88" i="34"/>
  <c r="AP88" i="34"/>
  <c r="AQ88" i="34"/>
  <c r="AR88" i="34"/>
  <c r="AS88" i="34"/>
  <c r="AT88" i="34"/>
  <c r="AU88" i="34"/>
  <c r="AV88" i="34"/>
  <c r="AW88" i="34"/>
  <c r="AX88" i="34"/>
  <c r="AY88" i="34"/>
  <c r="BB88" i="34"/>
  <c r="BC88" i="34"/>
  <c r="BD88" i="34"/>
  <c r="BE88" i="34"/>
  <c r="BF88" i="34"/>
  <c r="BG88" i="34"/>
  <c r="BH88" i="34"/>
  <c r="BI88" i="34"/>
  <c r="BJ88" i="34"/>
  <c r="BK88" i="34"/>
  <c r="BL88" i="34"/>
  <c r="BM88" i="34"/>
  <c r="BN88" i="34"/>
  <c r="BO88" i="34"/>
  <c r="D89" i="34"/>
  <c r="F89" i="34"/>
  <c r="G89" i="34"/>
  <c r="H89" i="34"/>
  <c r="I89" i="34"/>
  <c r="K89" i="34"/>
  <c r="L89" i="34"/>
  <c r="N89" i="34"/>
  <c r="O89" i="34"/>
  <c r="P89" i="34"/>
  <c r="Q89" i="34"/>
  <c r="S89" i="34"/>
  <c r="T89" i="34"/>
  <c r="V89" i="34"/>
  <c r="X89" i="34"/>
  <c r="Y89" i="34"/>
  <c r="Z89" i="34"/>
  <c r="AA89" i="34"/>
  <c r="AB89" i="34"/>
  <c r="AC89" i="34"/>
  <c r="AF89" i="34"/>
  <c r="AG89" i="34"/>
  <c r="AH89" i="34"/>
  <c r="AI89" i="34"/>
  <c r="AJ89" i="34"/>
  <c r="AL89" i="34"/>
  <c r="AM89" i="34"/>
  <c r="AN89" i="34"/>
  <c r="AO89" i="34"/>
  <c r="AP89" i="34"/>
  <c r="AQ89" i="34"/>
  <c r="AR89" i="34"/>
  <c r="AS89" i="34"/>
  <c r="AT89" i="34"/>
  <c r="AU89" i="34"/>
  <c r="AV89" i="34"/>
  <c r="AW89" i="34"/>
  <c r="AX89" i="34"/>
  <c r="AY89" i="34"/>
  <c r="BB89" i="34"/>
  <c r="BC89" i="34"/>
  <c r="BD89" i="34"/>
  <c r="BE89" i="34"/>
  <c r="BF89" i="34"/>
  <c r="BG89" i="34"/>
  <c r="BH89" i="34"/>
  <c r="BI89" i="34"/>
  <c r="BJ89" i="34"/>
  <c r="BK89" i="34"/>
  <c r="BL89" i="34"/>
  <c r="BM89" i="34"/>
  <c r="BN89" i="34"/>
  <c r="BO89" i="34"/>
  <c r="F1" i="35"/>
  <c r="AV1" i="35"/>
  <c r="A2" i="35"/>
  <c r="F2" i="35"/>
  <c r="G2" i="35"/>
  <c r="N2" i="35"/>
  <c r="AV2" i="35"/>
  <c r="AW2" i="35"/>
  <c r="AX2" i="35"/>
  <c r="AY2" i="35"/>
  <c r="BW2" i="35"/>
  <c r="BX2" i="35"/>
  <c r="BY2" i="35"/>
  <c r="BZ2" i="35"/>
  <c r="CA2" i="35"/>
  <c r="CB2" i="35"/>
  <c r="CC2" i="35"/>
  <c r="CD2" i="35"/>
  <c r="CE2" i="35"/>
  <c r="CF2" i="35"/>
  <c r="CG2" i="35"/>
  <c r="CH2" i="35"/>
  <c r="CI2" i="35"/>
  <c r="CJ2" i="35"/>
  <c r="CK2" i="35"/>
  <c r="CL2" i="35"/>
  <c r="CM2" i="35"/>
  <c r="CN2" i="35"/>
  <c r="CO2" i="35"/>
  <c r="CP2" i="35"/>
  <c r="CQ2" i="35"/>
  <c r="CR2" i="35"/>
  <c r="CS2" i="35"/>
  <c r="CT2" i="35"/>
  <c r="CU2" i="35"/>
  <c r="CV2" i="35"/>
  <c r="CW2" i="35"/>
  <c r="CX2" i="35"/>
  <c r="A3" i="35"/>
  <c r="AH3" i="35"/>
  <c r="AK3" i="35"/>
  <c r="AV3" i="35"/>
  <c r="AW3" i="35"/>
  <c r="AX3" i="35"/>
  <c r="AY3" i="35"/>
  <c r="A4" i="35"/>
  <c r="N4" i="35"/>
  <c r="P4" i="35"/>
  <c r="T4" i="35"/>
  <c r="V4" i="35"/>
  <c r="W4" i="35"/>
  <c r="AH4" i="35"/>
  <c r="AK4" i="35"/>
  <c r="AM4" i="35"/>
  <c r="AN4" i="35"/>
  <c r="AO4" i="35"/>
  <c r="AP4" i="35"/>
  <c r="AQ4" i="35"/>
  <c r="AR4" i="35"/>
  <c r="AS4" i="35"/>
  <c r="AT4" i="35"/>
  <c r="AV4" i="35"/>
  <c r="AW4" i="35"/>
  <c r="AX4" i="35"/>
  <c r="AY4" i="35"/>
  <c r="A5" i="35"/>
  <c r="G5" i="35"/>
  <c r="N5" i="35"/>
  <c r="P5" i="35"/>
  <c r="T5" i="35"/>
  <c r="V5" i="35"/>
  <c r="W5" i="35"/>
  <c r="AH5" i="35"/>
  <c r="AK5" i="35"/>
  <c r="AM5" i="35"/>
  <c r="AN5" i="35"/>
  <c r="AO5" i="35"/>
  <c r="AP5" i="35"/>
  <c r="AQ5" i="35"/>
  <c r="AR5" i="35"/>
  <c r="AS5" i="35"/>
  <c r="AT5" i="35"/>
  <c r="AV5" i="35"/>
  <c r="AW5" i="35"/>
  <c r="AX5" i="35"/>
  <c r="AY5" i="35"/>
  <c r="BV5" i="35"/>
  <c r="A6" i="35"/>
  <c r="N6" i="35"/>
  <c r="P6" i="35"/>
  <c r="T6" i="35"/>
  <c r="V6" i="35"/>
  <c r="W6" i="35"/>
  <c r="AH6" i="35"/>
  <c r="AK6" i="35"/>
  <c r="AM6" i="35"/>
  <c r="AN6" i="35"/>
  <c r="AO6" i="35"/>
  <c r="AP6" i="35"/>
  <c r="AQ6" i="35"/>
  <c r="AR6" i="35"/>
  <c r="AS6" i="35"/>
  <c r="AT6" i="35"/>
  <c r="A7" i="35"/>
  <c r="G7" i="35"/>
  <c r="N7" i="35"/>
  <c r="N7" i="35" a="1"/>
  <c r="P7" i="35"/>
  <c r="T7" i="35"/>
  <c r="AH7" i="35"/>
  <c r="AK7" i="35"/>
  <c r="AM7" i="35"/>
  <c r="AN7" i="35"/>
  <c r="AO7" i="35"/>
  <c r="AP7" i="35"/>
  <c r="AQ7" i="35"/>
  <c r="AR7" i="35"/>
  <c r="AS7" i="35"/>
  <c r="AT7" i="35"/>
  <c r="AV7" i="35"/>
  <c r="AW7" i="35"/>
  <c r="AX7" i="35"/>
  <c r="AY7" i="35"/>
  <c r="G8" i="35"/>
  <c r="N8" i="35"/>
  <c r="N8" i="35" a="1"/>
  <c r="P8" i="35"/>
  <c r="T8" i="35"/>
  <c r="V8" i="35"/>
  <c r="W8" i="35"/>
  <c r="Y8" i="35"/>
  <c r="Z8" i="35"/>
  <c r="AH8" i="35"/>
  <c r="AK8" i="35"/>
  <c r="AM8" i="35"/>
  <c r="AN8" i="35"/>
  <c r="AO8" i="35"/>
  <c r="AP8" i="35"/>
  <c r="AQ8" i="35"/>
  <c r="AR8" i="35"/>
  <c r="AS8" i="35"/>
  <c r="AT8" i="35"/>
  <c r="AV8" i="35"/>
  <c r="AW8" i="35"/>
  <c r="AX8" i="35"/>
  <c r="AY8" i="35"/>
  <c r="N9" i="35"/>
  <c r="N9" i="35" a="1"/>
  <c r="P9" i="35"/>
  <c r="AK9" i="35"/>
  <c r="AM9" i="35"/>
  <c r="AN9" i="35"/>
  <c r="AO9" i="35"/>
  <c r="AP9" i="35"/>
  <c r="AQ9" i="35"/>
  <c r="AR9" i="35"/>
  <c r="AS9" i="35"/>
  <c r="AT9" i="35"/>
  <c r="AV9" i="35"/>
  <c r="AW9" i="35"/>
  <c r="AX9" i="35"/>
  <c r="AY9" i="35"/>
  <c r="K10" i="35"/>
  <c r="N10" i="35"/>
  <c r="P10" i="35"/>
  <c r="AH10" i="35"/>
  <c r="AM10" i="35"/>
  <c r="AN10" i="35"/>
  <c r="AO10" i="35"/>
  <c r="AP10" i="35"/>
  <c r="AQ10" i="35"/>
  <c r="AR10" i="35"/>
  <c r="AS10" i="35"/>
  <c r="AT10" i="35"/>
  <c r="AV10" i="35"/>
  <c r="AW10" i="35"/>
  <c r="AX10" i="35"/>
  <c r="AY10" i="35"/>
  <c r="D11" i="35"/>
  <c r="K11" i="35"/>
  <c r="N11" i="35"/>
  <c r="P11" i="35"/>
  <c r="AM11" i="35"/>
  <c r="AN11" i="35"/>
  <c r="AO11" i="35"/>
  <c r="AP11" i="35"/>
  <c r="AQ11" i="35"/>
  <c r="AR11" i="35"/>
  <c r="AS11" i="35"/>
  <c r="AT11" i="35"/>
  <c r="AV11" i="35"/>
  <c r="AW11" i="35"/>
  <c r="AX11" i="35"/>
  <c r="AY11" i="35"/>
  <c r="D12" i="35"/>
  <c r="N12" i="35"/>
  <c r="P12" i="35"/>
  <c r="AH12" i="35"/>
  <c r="AM12" i="35"/>
  <c r="AN12" i="35"/>
  <c r="AO12" i="35"/>
  <c r="AP12" i="35"/>
  <c r="AQ12" i="35"/>
  <c r="AR12" i="35"/>
  <c r="AS12" i="35"/>
  <c r="AT12" i="35"/>
  <c r="AV12" i="35"/>
  <c r="AW12" i="35"/>
  <c r="AX12" i="35"/>
  <c r="AY12" i="35"/>
  <c r="N13" i="35"/>
  <c r="P13" i="35"/>
  <c r="AH13" i="35"/>
  <c r="AM13" i="35"/>
  <c r="AN13" i="35"/>
  <c r="AO13" i="35"/>
  <c r="AP13" i="35"/>
  <c r="AQ13" i="35"/>
  <c r="AR13" i="35"/>
  <c r="AS13" i="35"/>
  <c r="AT13" i="35"/>
  <c r="AV13" i="35"/>
  <c r="AW13" i="35"/>
  <c r="AX13" i="35"/>
  <c r="AY13" i="35"/>
  <c r="N14" i="35"/>
  <c r="P14" i="35"/>
  <c r="S14" i="35"/>
  <c r="T14" i="35"/>
  <c r="AM14" i="35"/>
  <c r="AN14" i="35"/>
  <c r="AO14" i="35"/>
  <c r="AP14" i="35"/>
  <c r="AQ14" i="35"/>
  <c r="AR14" i="35"/>
  <c r="AS14" i="35"/>
  <c r="AT14" i="35"/>
  <c r="AV14" i="35"/>
  <c r="AW14" i="35"/>
  <c r="AX14" i="35"/>
  <c r="AY14" i="35"/>
  <c r="N15" i="35"/>
  <c r="P15" i="35"/>
  <c r="AM15" i="35"/>
  <c r="AN15" i="35"/>
  <c r="AO15" i="35"/>
  <c r="AP15" i="35"/>
  <c r="AQ15" i="35"/>
  <c r="AR15" i="35"/>
  <c r="AS15" i="35"/>
  <c r="AT15" i="35"/>
  <c r="AV15" i="35"/>
  <c r="AW15" i="35"/>
  <c r="AX15" i="35"/>
  <c r="AY15" i="35"/>
  <c r="N16" i="35"/>
  <c r="P16" i="35"/>
  <c r="AV16" i="35"/>
  <c r="AW16" i="35"/>
  <c r="AX16" i="35"/>
  <c r="AY16" i="35"/>
  <c r="N17" i="35"/>
  <c r="P17" i="35"/>
  <c r="AV17" i="35"/>
  <c r="AW17" i="35"/>
  <c r="AX17" i="35"/>
  <c r="AY17" i="35"/>
  <c r="N18" i="35"/>
  <c r="P18" i="35"/>
  <c r="AX18" i="35"/>
  <c r="AY18" i="35"/>
  <c r="N19" i="35"/>
  <c r="P19" i="35"/>
  <c r="S20" i="35"/>
  <c r="T20" i="35"/>
  <c r="AM20" i="35"/>
  <c r="AO20" i="35"/>
  <c r="AV20" i="35"/>
  <c r="AW20" i="35"/>
  <c r="AX20" i="35"/>
  <c r="AY20" i="35"/>
  <c r="D22" i="35"/>
  <c r="F22" i="35"/>
  <c r="G22" i="35"/>
  <c r="H22" i="35"/>
  <c r="I22" i="35"/>
  <c r="K22" i="35"/>
  <c r="L22" i="35"/>
  <c r="N22" i="35"/>
  <c r="O22" i="35"/>
  <c r="P22" i="35"/>
  <c r="Q22" i="35"/>
  <c r="S22" i="35"/>
  <c r="T22" i="35"/>
  <c r="V22" i="35"/>
  <c r="X22" i="35"/>
  <c r="Y22" i="35"/>
  <c r="Z22" i="35"/>
  <c r="AA22" i="35"/>
  <c r="AB22" i="35"/>
  <c r="AC22" i="35"/>
  <c r="AF22" i="35"/>
  <c r="AG22" i="35"/>
  <c r="AH22" i="35"/>
  <c r="AI22" i="35"/>
  <c r="AJ22" i="35"/>
  <c r="AL22" i="35"/>
  <c r="AM22" i="35"/>
  <c r="AN22" i="35"/>
  <c r="AO22" i="35"/>
  <c r="AP22" i="35"/>
  <c r="AQ22" i="35"/>
  <c r="AR22" i="35"/>
  <c r="AS22" i="35"/>
  <c r="AT22" i="35"/>
  <c r="AU22" i="35"/>
  <c r="AV22" i="35"/>
  <c r="AW22" i="35"/>
  <c r="AX22" i="35"/>
  <c r="AY22" i="35"/>
  <c r="BB22" i="35"/>
  <c r="BC22" i="35"/>
  <c r="BD22" i="35"/>
  <c r="BE22" i="35"/>
  <c r="BF22" i="35"/>
  <c r="BG22" i="35"/>
  <c r="BH22" i="35"/>
  <c r="BI22" i="35"/>
  <c r="BJ22" i="35"/>
  <c r="BK22" i="35"/>
  <c r="BL22" i="35"/>
  <c r="BM22" i="35"/>
  <c r="BN22" i="35"/>
  <c r="BO22" i="35"/>
  <c r="D23" i="35"/>
  <c r="F23" i="35"/>
  <c r="G23" i="35"/>
  <c r="H23" i="35"/>
  <c r="I23" i="35"/>
  <c r="K23" i="35"/>
  <c r="L23" i="35"/>
  <c r="N23" i="35"/>
  <c r="O23" i="35"/>
  <c r="P23" i="35"/>
  <c r="Q23" i="35"/>
  <c r="S23" i="35"/>
  <c r="T23" i="35"/>
  <c r="V23" i="35"/>
  <c r="X23" i="35"/>
  <c r="Y23" i="35"/>
  <c r="Z23" i="35"/>
  <c r="AA23" i="35"/>
  <c r="AB23" i="35"/>
  <c r="AC23" i="35"/>
  <c r="AF23" i="35"/>
  <c r="AG23" i="35"/>
  <c r="AH23" i="35"/>
  <c r="AI23" i="35"/>
  <c r="AJ23" i="35"/>
  <c r="AL23" i="35"/>
  <c r="AM23" i="35"/>
  <c r="AN23" i="35"/>
  <c r="AO23" i="35"/>
  <c r="AP23" i="35"/>
  <c r="AQ23" i="35"/>
  <c r="AR23" i="35"/>
  <c r="AS23" i="35"/>
  <c r="AT23" i="35"/>
  <c r="AU23" i="35"/>
  <c r="AV23" i="35"/>
  <c r="AW23" i="35"/>
  <c r="AX23" i="35"/>
  <c r="AY23" i="35"/>
  <c r="BB23" i="35"/>
  <c r="BC23" i="35"/>
  <c r="BD23" i="35"/>
  <c r="BE23" i="35"/>
  <c r="BF23" i="35"/>
  <c r="BG23" i="35"/>
  <c r="BH23" i="35"/>
  <c r="BI23" i="35"/>
  <c r="BJ23" i="35"/>
  <c r="BK23" i="35"/>
  <c r="BL23" i="35"/>
  <c r="BM23" i="35"/>
  <c r="BN23" i="35"/>
  <c r="BO23" i="35"/>
  <c r="D24" i="35"/>
  <c r="F24" i="35"/>
  <c r="G24" i="35"/>
  <c r="H24" i="35"/>
  <c r="I24" i="35"/>
  <c r="K24" i="35"/>
  <c r="L24" i="35"/>
  <c r="N24" i="35"/>
  <c r="O24" i="35"/>
  <c r="P24" i="35"/>
  <c r="Q24" i="35"/>
  <c r="S24" i="35"/>
  <c r="T24" i="35"/>
  <c r="V24" i="35"/>
  <c r="X24" i="35"/>
  <c r="Y24" i="35"/>
  <c r="Z24" i="35"/>
  <c r="AA24" i="35"/>
  <c r="AB24" i="35"/>
  <c r="AC24" i="35"/>
  <c r="AF24" i="35"/>
  <c r="AG24" i="35"/>
  <c r="AH24" i="35"/>
  <c r="AI24" i="35"/>
  <c r="AJ24" i="35"/>
  <c r="AL24" i="35"/>
  <c r="AM24" i="35"/>
  <c r="AN24" i="35"/>
  <c r="AO24" i="35"/>
  <c r="AP24" i="35"/>
  <c r="AQ24" i="35"/>
  <c r="AR24" i="35"/>
  <c r="AS24" i="35"/>
  <c r="AT24" i="35"/>
  <c r="AU24" i="35"/>
  <c r="AV24" i="35"/>
  <c r="AW24" i="35"/>
  <c r="AX24" i="35"/>
  <c r="AY24" i="35"/>
  <c r="BB24" i="35"/>
  <c r="BC24" i="35"/>
  <c r="BD24" i="35"/>
  <c r="BE24" i="35"/>
  <c r="BF24" i="35"/>
  <c r="BG24" i="35"/>
  <c r="BH24" i="35"/>
  <c r="BI24" i="35"/>
  <c r="BJ24" i="35"/>
  <c r="BK24" i="35"/>
  <c r="BL24" i="35"/>
  <c r="BM24" i="35"/>
  <c r="BN24" i="35"/>
  <c r="BO24" i="35"/>
  <c r="D25" i="35"/>
  <c r="F25" i="35"/>
  <c r="G25" i="35"/>
  <c r="H25" i="35"/>
  <c r="I25" i="35"/>
  <c r="K25" i="35"/>
  <c r="L25" i="35"/>
  <c r="N25" i="35"/>
  <c r="O25" i="35"/>
  <c r="P25" i="35"/>
  <c r="Q25" i="35"/>
  <c r="S25" i="35"/>
  <c r="T25" i="35"/>
  <c r="V25" i="35"/>
  <c r="X25" i="35"/>
  <c r="Y25" i="35"/>
  <c r="Z25" i="35"/>
  <c r="AA25" i="35"/>
  <c r="AB25" i="35"/>
  <c r="AC25" i="35"/>
  <c r="AF25" i="35"/>
  <c r="AG25" i="35"/>
  <c r="AH25" i="35"/>
  <c r="AI25" i="35"/>
  <c r="AJ25" i="35"/>
  <c r="AL25" i="35"/>
  <c r="AM25" i="35"/>
  <c r="AN25" i="35"/>
  <c r="AO25" i="35"/>
  <c r="AP25" i="35"/>
  <c r="AQ25" i="35"/>
  <c r="AR25" i="35"/>
  <c r="AS25" i="35"/>
  <c r="AT25" i="35"/>
  <c r="AU25" i="35"/>
  <c r="AV25" i="35"/>
  <c r="AW25" i="35"/>
  <c r="AX25" i="35"/>
  <c r="AY25" i="35"/>
  <c r="BB25" i="35"/>
  <c r="BC25" i="35"/>
  <c r="BD25" i="35"/>
  <c r="BE25" i="35"/>
  <c r="BF25" i="35"/>
  <c r="BG25" i="35"/>
  <c r="BH25" i="35"/>
  <c r="BI25" i="35"/>
  <c r="BJ25" i="35"/>
  <c r="BK25" i="35"/>
  <c r="BL25" i="35"/>
  <c r="BM25" i="35"/>
  <c r="BN25" i="35"/>
  <c r="BO25" i="35"/>
  <c r="D26" i="35"/>
  <c r="F26" i="35"/>
  <c r="G26" i="35"/>
  <c r="H26" i="35"/>
  <c r="I26" i="35"/>
  <c r="K26" i="35"/>
  <c r="L26" i="35"/>
  <c r="N26" i="35"/>
  <c r="O26" i="35"/>
  <c r="P26" i="35"/>
  <c r="Q26" i="35"/>
  <c r="S26" i="35"/>
  <c r="T26" i="35"/>
  <c r="V26" i="35"/>
  <c r="X26" i="35"/>
  <c r="Y26" i="35"/>
  <c r="Z26" i="35"/>
  <c r="AA26" i="35"/>
  <c r="AB26" i="35"/>
  <c r="AC26" i="35"/>
  <c r="AF26" i="35"/>
  <c r="AG26" i="35"/>
  <c r="AH26" i="35"/>
  <c r="AI26" i="35"/>
  <c r="AJ26" i="35"/>
  <c r="AL26" i="35"/>
  <c r="AM26" i="35"/>
  <c r="AN26" i="35"/>
  <c r="AO26" i="35"/>
  <c r="AP26" i="35"/>
  <c r="AQ26" i="35"/>
  <c r="AR26" i="35"/>
  <c r="AS26" i="35"/>
  <c r="AT26" i="35"/>
  <c r="AU26" i="35"/>
  <c r="AV26" i="35"/>
  <c r="AW26" i="35"/>
  <c r="AX26" i="35"/>
  <c r="AY26" i="35"/>
  <c r="BB26" i="35"/>
  <c r="BC26" i="35"/>
  <c r="BD26" i="35"/>
  <c r="BE26" i="35"/>
  <c r="BF26" i="35"/>
  <c r="BG26" i="35"/>
  <c r="BH26" i="35"/>
  <c r="BI26" i="35"/>
  <c r="BJ26" i="35"/>
  <c r="BK26" i="35"/>
  <c r="BL26" i="35"/>
  <c r="BM26" i="35"/>
  <c r="BN26" i="35"/>
  <c r="BO26" i="35"/>
  <c r="D27" i="35"/>
  <c r="F27" i="35"/>
  <c r="G27" i="35"/>
  <c r="H27" i="35"/>
  <c r="I27" i="35"/>
  <c r="K27" i="35"/>
  <c r="L27" i="35"/>
  <c r="N27" i="35"/>
  <c r="O27" i="35"/>
  <c r="P27" i="35"/>
  <c r="Q27" i="35"/>
  <c r="S27" i="35"/>
  <c r="T27" i="35"/>
  <c r="V27" i="35"/>
  <c r="X27" i="35"/>
  <c r="Y27" i="35"/>
  <c r="Z27" i="35"/>
  <c r="AA27" i="35"/>
  <c r="AB27" i="35"/>
  <c r="AC27" i="35"/>
  <c r="AF27" i="35"/>
  <c r="AG27" i="35"/>
  <c r="AH27" i="35"/>
  <c r="AI27" i="35"/>
  <c r="AJ27" i="35"/>
  <c r="AL27" i="35"/>
  <c r="AM27" i="35"/>
  <c r="AN27" i="35"/>
  <c r="AO27" i="35"/>
  <c r="AP27" i="35"/>
  <c r="AQ27" i="35"/>
  <c r="AR27" i="35"/>
  <c r="AS27" i="35"/>
  <c r="AT27" i="35"/>
  <c r="AU27" i="35"/>
  <c r="AV27" i="35"/>
  <c r="AW27" i="35"/>
  <c r="AX27" i="35"/>
  <c r="AY27" i="35"/>
  <c r="BB27" i="35"/>
  <c r="BC27" i="35"/>
  <c r="BD27" i="35"/>
  <c r="BE27" i="35"/>
  <c r="BF27" i="35"/>
  <c r="BG27" i="35"/>
  <c r="BH27" i="35"/>
  <c r="BI27" i="35"/>
  <c r="BJ27" i="35"/>
  <c r="BK27" i="35"/>
  <c r="BL27" i="35"/>
  <c r="BM27" i="35"/>
  <c r="BN27" i="35"/>
  <c r="BO27" i="35"/>
  <c r="D28" i="35"/>
  <c r="F28" i="35"/>
  <c r="G28" i="35"/>
  <c r="H28" i="35"/>
  <c r="I28" i="35"/>
  <c r="K28" i="35"/>
  <c r="L28" i="35"/>
  <c r="N28" i="35"/>
  <c r="O28" i="35"/>
  <c r="P28" i="35"/>
  <c r="Q28" i="35"/>
  <c r="S28" i="35"/>
  <c r="T28" i="35"/>
  <c r="V28" i="35"/>
  <c r="X28" i="35"/>
  <c r="Y28" i="35"/>
  <c r="Z28" i="35"/>
  <c r="AA28" i="35"/>
  <c r="AB28" i="35"/>
  <c r="AC28" i="35"/>
  <c r="AF28" i="35"/>
  <c r="AG28" i="35"/>
  <c r="AH28" i="35"/>
  <c r="AI28" i="35"/>
  <c r="AJ28" i="35"/>
  <c r="AL28" i="35"/>
  <c r="AM28" i="35"/>
  <c r="AN28" i="35"/>
  <c r="AO28" i="35"/>
  <c r="AP28" i="35"/>
  <c r="AQ28" i="35"/>
  <c r="AR28" i="35"/>
  <c r="AS28" i="35"/>
  <c r="AT28" i="35"/>
  <c r="AU28" i="35"/>
  <c r="AV28" i="35"/>
  <c r="AW28" i="35"/>
  <c r="AX28" i="35"/>
  <c r="AY28" i="35"/>
  <c r="BB28" i="35"/>
  <c r="BC28" i="35"/>
  <c r="BD28" i="35"/>
  <c r="BE28" i="35"/>
  <c r="BF28" i="35"/>
  <c r="BG28" i="35"/>
  <c r="BH28" i="35"/>
  <c r="BI28" i="35"/>
  <c r="BJ28" i="35"/>
  <c r="BK28" i="35"/>
  <c r="BL28" i="35"/>
  <c r="BM28" i="35"/>
  <c r="BN28" i="35"/>
  <c r="BO28" i="35"/>
  <c r="D29" i="35"/>
  <c r="F29" i="35"/>
  <c r="G29" i="35"/>
  <c r="H29" i="35"/>
  <c r="I29" i="35"/>
  <c r="K29" i="35"/>
  <c r="L29" i="35"/>
  <c r="N29" i="35"/>
  <c r="O29" i="35"/>
  <c r="P29" i="35"/>
  <c r="Q29" i="35"/>
  <c r="S29" i="35"/>
  <c r="T29" i="35"/>
  <c r="V29" i="35"/>
  <c r="X29" i="35"/>
  <c r="Y29" i="35"/>
  <c r="Z29" i="35"/>
  <c r="AA29" i="35"/>
  <c r="AB29" i="35"/>
  <c r="AC29" i="35"/>
  <c r="AF29" i="35"/>
  <c r="AG29" i="35"/>
  <c r="AH29" i="35"/>
  <c r="AI29" i="35"/>
  <c r="AJ29" i="35"/>
  <c r="AL29" i="35"/>
  <c r="AM29" i="35"/>
  <c r="AN29" i="35"/>
  <c r="AO29" i="35"/>
  <c r="AP29" i="35"/>
  <c r="AQ29" i="35"/>
  <c r="AR29" i="35"/>
  <c r="AS29" i="35"/>
  <c r="AT29" i="35"/>
  <c r="AU29" i="35"/>
  <c r="AV29" i="35"/>
  <c r="AW29" i="35"/>
  <c r="AX29" i="35"/>
  <c r="AY29" i="35"/>
  <c r="BB29" i="35"/>
  <c r="BC29" i="35"/>
  <c r="BD29" i="35"/>
  <c r="BE29" i="35"/>
  <c r="BF29" i="35"/>
  <c r="BG29" i="35"/>
  <c r="BH29" i="35"/>
  <c r="BI29" i="35"/>
  <c r="BJ29" i="35"/>
  <c r="BK29" i="35"/>
  <c r="BL29" i="35"/>
  <c r="BM29" i="35"/>
  <c r="BN29" i="35"/>
  <c r="BO29" i="35"/>
  <c r="D30" i="35"/>
  <c r="F30" i="35"/>
  <c r="G30" i="35"/>
  <c r="H30" i="35"/>
  <c r="I30" i="35"/>
  <c r="K30" i="35"/>
  <c r="L30" i="35"/>
  <c r="N30" i="35"/>
  <c r="O30" i="35"/>
  <c r="P30" i="35"/>
  <c r="Q30" i="35"/>
  <c r="S30" i="35"/>
  <c r="T30" i="35"/>
  <c r="V30" i="35"/>
  <c r="X30" i="35"/>
  <c r="Y30" i="35"/>
  <c r="Z30" i="35"/>
  <c r="AA30" i="35"/>
  <c r="AB30" i="35"/>
  <c r="AC30" i="35"/>
  <c r="AF30" i="35"/>
  <c r="AG30" i="35"/>
  <c r="AH30" i="35"/>
  <c r="AI30" i="35"/>
  <c r="AJ30" i="35"/>
  <c r="AL30" i="35"/>
  <c r="AM30" i="35"/>
  <c r="AN30" i="35"/>
  <c r="AO30" i="35"/>
  <c r="AP30" i="35"/>
  <c r="AQ30" i="35"/>
  <c r="AR30" i="35"/>
  <c r="AS30" i="35"/>
  <c r="AT30" i="35"/>
  <c r="AU30" i="35"/>
  <c r="AV30" i="35"/>
  <c r="AW30" i="35"/>
  <c r="AX30" i="35"/>
  <c r="AY30" i="35"/>
  <c r="BB30" i="35"/>
  <c r="BC30" i="35"/>
  <c r="BD30" i="35"/>
  <c r="BE30" i="35"/>
  <c r="BF30" i="35"/>
  <c r="BG30" i="35"/>
  <c r="BH30" i="35"/>
  <c r="BI30" i="35"/>
  <c r="BJ30" i="35"/>
  <c r="BK30" i="35"/>
  <c r="BL30" i="35"/>
  <c r="BM30" i="35"/>
  <c r="BN30" i="35"/>
  <c r="BO30" i="35"/>
  <c r="D31" i="35"/>
  <c r="F31" i="35"/>
  <c r="G31" i="35"/>
  <c r="H31" i="35"/>
  <c r="I31" i="35"/>
  <c r="K31" i="35"/>
  <c r="L31" i="35"/>
  <c r="N31" i="35"/>
  <c r="O31" i="35"/>
  <c r="P31" i="35"/>
  <c r="Q31" i="35"/>
  <c r="S31" i="35"/>
  <c r="T31" i="35"/>
  <c r="V31" i="35"/>
  <c r="X31" i="35"/>
  <c r="Y31" i="35"/>
  <c r="Z31" i="35"/>
  <c r="AA31" i="35"/>
  <c r="AB31" i="35"/>
  <c r="AC31" i="35"/>
  <c r="AF31" i="35"/>
  <c r="AG31" i="35"/>
  <c r="AH31" i="35"/>
  <c r="AI31" i="35"/>
  <c r="AJ31" i="35"/>
  <c r="AL31" i="35"/>
  <c r="AM31" i="35"/>
  <c r="AN31" i="35"/>
  <c r="AO31" i="35"/>
  <c r="AP31" i="35"/>
  <c r="AQ31" i="35"/>
  <c r="AR31" i="35"/>
  <c r="AS31" i="35"/>
  <c r="AT31" i="35"/>
  <c r="AU31" i="35"/>
  <c r="AV31" i="35"/>
  <c r="AW31" i="35"/>
  <c r="AX31" i="35"/>
  <c r="AY31" i="35"/>
  <c r="BB31" i="35"/>
  <c r="BC31" i="35"/>
  <c r="BD31" i="35"/>
  <c r="BE31" i="35"/>
  <c r="BF31" i="35"/>
  <c r="BG31" i="35"/>
  <c r="BH31" i="35"/>
  <c r="BI31" i="35"/>
  <c r="BJ31" i="35"/>
  <c r="BK31" i="35"/>
  <c r="BL31" i="35"/>
  <c r="BM31" i="35"/>
  <c r="BN31" i="35"/>
  <c r="BO31" i="35"/>
  <c r="D32" i="35"/>
  <c r="F32" i="35"/>
  <c r="G32" i="35"/>
  <c r="H32" i="35"/>
  <c r="I32" i="35"/>
  <c r="K32" i="35"/>
  <c r="L32" i="35"/>
  <c r="N32" i="35"/>
  <c r="O32" i="35"/>
  <c r="P32" i="35"/>
  <c r="Q32" i="35"/>
  <c r="S32" i="35"/>
  <c r="T32" i="35"/>
  <c r="V32" i="35"/>
  <c r="X32" i="35"/>
  <c r="Y32" i="35"/>
  <c r="Z32" i="35"/>
  <c r="AA32" i="35"/>
  <c r="AB32" i="35"/>
  <c r="AC32" i="35"/>
  <c r="AF32" i="35"/>
  <c r="AG32" i="35"/>
  <c r="AH32" i="35"/>
  <c r="AI32" i="35"/>
  <c r="AJ32" i="35"/>
  <c r="AL32" i="35"/>
  <c r="AM32" i="35"/>
  <c r="AN32" i="35"/>
  <c r="AO32" i="35"/>
  <c r="AP32" i="35"/>
  <c r="AQ32" i="35"/>
  <c r="AR32" i="35"/>
  <c r="AS32" i="35"/>
  <c r="AT32" i="35"/>
  <c r="AU32" i="35"/>
  <c r="AV32" i="35"/>
  <c r="AW32" i="35"/>
  <c r="AX32" i="35"/>
  <c r="AY32" i="35"/>
  <c r="BB32" i="35"/>
  <c r="BC32" i="35"/>
  <c r="BD32" i="35"/>
  <c r="BE32" i="35"/>
  <c r="BF32" i="35"/>
  <c r="BG32" i="35"/>
  <c r="BH32" i="35"/>
  <c r="BI32" i="35"/>
  <c r="BJ32" i="35"/>
  <c r="BK32" i="35"/>
  <c r="BL32" i="35"/>
  <c r="BM32" i="35"/>
  <c r="BN32" i="35"/>
  <c r="BO32" i="35"/>
  <c r="D33" i="35"/>
  <c r="F33" i="35"/>
  <c r="G33" i="35"/>
  <c r="H33" i="35"/>
  <c r="I33" i="35"/>
  <c r="K33" i="35"/>
  <c r="L33" i="35"/>
  <c r="N33" i="35"/>
  <c r="O33" i="35"/>
  <c r="P33" i="35"/>
  <c r="Q33" i="35"/>
  <c r="S33" i="35"/>
  <c r="T33" i="35"/>
  <c r="V33" i="35"/>
  <c r="X33" i="35"/>
  <c r="Y33" i="35"/>
  <c r="Z33" i="35"/>
  <c r="AA33" i="35"/>
  <c r="AB33" i="35"/>
  <c r="AC33" i="35"/>
  <c r="AF33" i="35"/>
  <c r="AG33" i="35"/>
  <c r="AH33" i="35"/>
  <c r="AI33" i="35"/>
  <c r="AJ33" i="35"/>
  <c r="AL33" i="35"/>
  <c r="AM33" i="35"/>
  <c r="AN33" i="35"/>
  <c r="AO33" i="35"/>
  <c r="AP33" i="35"/>
  <c r="AQ33" i="35"/>
  <c r="AR33" i="35"/>
  <c r="AS33" i="35"/>
  <c r="AT33" i="35"/>
  <c r="AU33" i="35"/>
  <c r="AV33" i="35"/>
  <c r="AW33" i="35"/>
  <c r="AX33" i="35"/>
  <c r="AY33" i="35"/>
  <c r="BB33" i="35"/>
  <c r="BC33" i="35"/>
  <c r="BD33" i="35"/>
  <c r="BE33" i="35"/>
  <c r="BF33" i="35"/>
  <c r="BG33" i="35"/>
  <c r="BH33" i="35"/>
  <c r="BI33" i="35"/>
  <c r="BJ33" i="35"/>
  <c r="BK33" i="35"/>
  <c r="BL33" i="35"/>
  <c r="BM33" i="35"/>
  <c r="BN33" i="35"/>
  <c r="BO33" i="35"/>
  <c r="D34" i="35"/>
  <c r="F34" i="35"/>
  <c r="G34" i="35"/>
  <c r="H34" i="35"/>
  <c r="I34" i="35"/>
  <c r="K34" i="35"/>
  <c r="L34" i="35"/>
  <c r="N34" i="35"/>
  <c r="O34" i="35"/>
  <c r="P34" i="35"/>
  <c r="Q34" i="35"/>
  <c r="S34" i="35"/>
  <c r="T34" i="35"/>
  <c r="V34" i="35"/>
  <c r="X34" i="35"/>
  <c r="Y34" i="35"/>
  <c r="Z34" i="35"/>
  <c r="AA34" i="35"/>
  <c r="AB34" i="35"/>
  <c r="AC34" i="35"/>
  <c r="AF34" i="35"/>
  <c r="AG34" i="35"/>
  <c r="AH34" i="35"/>
  <c r="AI34" i="35"/>
  <c r="AJ34" i="35"/>
  <c r="AL34" i="35"/>
  <c r="AM34" i="35"/>
  <c r="AN34" i="35"/>
  <c r="AO34" i="35"/>
  <c r="AP34" i="35"/>
  <c r="AQ34" i="35"/>
  <c r="AR34" i="35"/>
  <c r="AS34" i="35"/>
  <c r="AT34" i="35"/>
  <c r="AU34" i="35"/>
  <c r="AV34" i="35"/>
  <c r="AW34" i="35"/>
  <c r="AX34" i="35"/>
  <c r="AY34" i="35"/>
  <c r="BB34" i="35"/>
  <c r="BC34" i="35"/>
  <c r="BD34" i="35"/>
  <c r="BE34" i="35"/>
  <c r="BF34" i="35"/>
  <c r="BG34" i="35"/>
  <c r="BH34" i="35"/>
  <c r="BI34" i="35"/>
  <c r="BJ34" i="35"/>
  <c r="BK34" i="35"/>
  <c r="BL34" i="35"/>
  <c r="BM34" i="35"/>
  <c r="BN34" i="35"/>
  <c r="BO34" i="35"/>
  <c r="D35" i="35"/>
  <c r="F35" i="35"/>
  <c r="G35" i="35"/>
  <c r="H35" i="35"/>
  <c r="I35" i="35"/>
  <c r="K35" i="35"/>
  <c r="L35" i="35"/>
  <c r="N35" i="35"/>
  <c r="O35" i="35"/>
  <c r="P35" i="35"/>
  <c r="Q35" i="35"/>
  <c r="S35" i="35"/>
  <c r="T35" i="35"/>
  <c r="V35" i="35"/>
  <c r="X35" i="35"/>
  <c r="Y35" i="35"/>
  <c r="Z35" i="35"/>
  <c r="AA35" i="35"/>
  <c r="AB35" i="35"/>
  <c r="AC35" i="35"/>
  <c r="AF35" i="35"/>
  <c r="AG35" i="35"/>
  <c r="AH35" i="35"/>
  <c r="AI35" i="35"/>
  <c r="AJ35" i="35"/>
  <c r="AL35" i="35"/>
  <c r="AM35" i="35"/>
  <c r="AN35" i="35"/>
  <c r="AO35" i="35"/>
  <c r="AP35" i="35"/>
  <c r="AQ35" i="35"/>
  <c r="AR35" i="35"/>
  <c r="AS35" i="35"/>
  <c r="AT35" i="35"/>
  <c r="AU35" i="35"/>
  <c r="AV35" i="35"/>
  <c r="AW35" i="35"/>
  <c r="AX35" i="35"/>
  <c r="AY35" i="35"/>
  <c r="BB35" i="35"/>
  <c r="BC35" i="35"/>
  <c r="BD35" i="35"/>
  <c r="BE35" i="35"/>
  <c r="BF35" i="35"/>
  <c r="BG35" i="35"/>
  <c r="BH35" i="35"/>
  <c r="BI35" i="35"/>
  <c r="BJ35" i="35"/>
  <c r="BK35" i="35"/>
  <c r="BL35" i="35"/>
  <c r="BM35" i="35"/>
  <c r="BN35" i="35"/>
  <c r="BO35" i="35"/>
  <c r="D36" i="35"/>
  <c r="F36" i="35"/>
  <c r="G36" i="35"/>
  <c r="H36" i="35"/>
  <c r="I36" i="35"/>
  <c r="K36" i="35"/>
  <c r="L36" i="35"/>
  <c r="N36" i="35"/>
  <c r="O36" i="35"/>
  <c r="P36" i="35"/>
  <c r="Q36" i="35"/>
  <c r="S36" i="35"/>
  <c r="T36" i="35"/>
  <c r="V36" i="35"/>
  <c r="X36" i="35"/>
  <c r="Y36" i="35"/>
  <c r="Z36" i="35"/>
  <c r="AA36" i="35"/>
  <c r="AB36" i="35"/>
  <c r="AC36" i="35"/>
  <c r="AF36" i="35"/>
  <c r="AG36" i="35"/>
  <c r="AH36" i="35"/>
  <c r="AI36" i="35"/>
  <c r="AJ36" i="35"/>
  <c r="AL36" i="35"/>
  <c r="AM36" i="35"/>
  <c r="AN36" i="35"/>
  <c r="AO36" i="35"/>
  <c r="AP36" i="35"/>
  <c r="AQ36" i="35"/>
  <c r="AR36" i="35"/>
  <c r="AS36" i="35"/>
  <c r="AT36" i="35"/>
  <c r="AU36" i="35"/>
  <c r="AV36" i="35"/>
  <c r="AW36" i="35"/>
  <c r="AX36" i="35"/>
  <c r="AY36" i="35"/>
  <c r="BB36" i="35"/>
  <c r="BC36" i="35"/>
  <c r="BD36" i="35"/>
  <c r="BE36" i="35"/>
  <c r="BF36" i="35"/>
  <c r="BG36" i="35"/>
  <c r="BH36" i="35"/>
  <c r="BI36" i="35"/>
  <c r="BJ36" i="35"/>
  <c r="BK36" i="35"/>
  <c r="BL36" i="35"/>
  <c r="BM36" i="35"/>
  <c r="BN36" i="35"/>
  <c r="BO36" i="35"/>
  <c r="D37" i="35"/>
  <c r="F37" i="35"/>
  <c r="G37" i="35"/>
  <c r="H37" i="35"/>
  <c r="I37" i="35"/>
  <c r="K37" i="35"/>
  <c r="L37" i="35"/>
  <c r="N37" i="35"/>
  <c r="O37" i="35"/>
  <c r="P37" i="35"/>
  <c r="Q37" i="35"/>
  <c r="S37" i="35"/>
  <c r="T37" i="35"/>
  <c r="V37" i="35"/>
  <c r="X37" i="35"/>
  <c r="Y37" i="35"/>
  <c r="Z37" i="35"/>
  <c r="AA37" i="35"/>
  <c r="AB37" i="35"/>
  <c r="AC37" i="35"/>
  <c r="AF37" i="35"/>
  <c r="AG37" i="35"/>
  <c r="AH37" i="35"/>
  <c r="AI37" i="35"/>
  <c r="AJ37" i="35"/>
  <c r="AL37" i="35"/>
  <c r="AM37" i="35"/>
  <c r="AN37" i="35"/>
  <c r="AO37" i="35"/>
  <c r="AP37" i="35"/>
  <c r="AQ37" i="35"/>
  <c r="AR37" i="35"/>
  <c r="AS37" i="35"/>
  <c r="AT37" i="35"/>
  <c r="AU37" i="35"/>
  <c r="AV37" i="35"/>
  <c r="AW37" i="35"/>
  <c r="AX37" i="35"/>
  <c r="AY37" i="35"/>
  <c r="BB37" i="35"/>
  <c r="BC37" i="35"/>
  <c r="BD37" i="35"/>
  <c r="BE37" i="35"/>
  <c r="BF37" i="35"/>
  <c r="BG37" i="35"/>
  <c r="BH37" i="35"/>
  <c r="BI37" i="35"/>
  <c r="BJ37" i="35"/>
  <c r="BK37" i="35"/>
  <c r="BL37" i="35"/>
  <c r="BM37" i="35"/>
  <c r="BN37" i="35"/>
  <c r="BO37" i="35"/>
  <c r="D38" i="35"/>
  <c r="F38" i="35"/>
  <c r="G38" i="35"/>
  <c r="H38" i="35"/>
  <c r="I38" i="35"/>
  <c r="K38" i="35"/>
  <c r="L38" i="35"/>
  <c r="N38" i="35"/>
  <c r="O38" i="35"/>
  <c r="P38" i="35"/>
  <c r="Q38" i="35"/>
  <c r="S38" i="35"/>
  <c r="T38" i="35"/>
  <c r="V38" i="35"/>
  <c r="X38" i="35"/>
  <c r="Y38" i="35"/>
  <c r="Z38" i="35"/>
  <c r="AA38" i="35"/>
  <c r="AB38" i="35"/>
  <c r="AC38" i="35"/>
  <c r="AF38" i="35"/>
  <c r="AG38" i="35"/>
  <c r="AH38" i="35"/>
  <c r="AI38" i="35"/>
  <c r="AJ38" i="35"/>
  <c r="AL38" i="35"/>
  <c r="AM38" i="35"/>
  <c r="AN38" i="35"/>
  <c r="AO38" i="35"/>
  <c r="AP38" i="35"/>
  <c r="AQ38" i="35"/>
  <c r="AR38" i="35"/>
  <c r="AS38" i="35"/>
  <c r="AT38" i="35"/>
  <c r="AU38" i="35"/>
  <c r="AV38" i="35"/>
  <c r="AW38" i="35"/>
  <c r="AX38" i="35"/>
  <c r="AY38" i="35"/>
  <c r="BB38" i="35"/>
  <c r="BC38" i="35"/>
  <c r="BD38" i="35"/>
  <c r="BE38" i="35"/>
  <c r="BF38" i="35"/>
  <c r="BG38" i="35"/>
  <c r="BH38" i="35"/>
  <c r="BI38" i="35"/>
  <c r="BJ38" i="35"/>
  <c r="BK38" i="35"/>
  <c r="BL38" i="35"/>
  <c r="BM38" i="35"/>
  <c r="BN38" i="35"/>
  <c r="BO38" i="35"/>
  <c r="D39" i="35"/>
  <c r="F39" i="35"/>
  <c r="G39" i="35"/>
  <c r="H39" i="35"/>
  <c r="I39" i="35"/>
  <c r="K39" i="35"/>
  <c r="L39" i="35"/>
  <c r="N39" i="35"/>
  <c r="O39" i="35"/>
  <c r="P39" i="35"/>
  <c r="Q39" i="35"/>
  <c r="S39" i="35"/>
  <c r="T39" i="35"/>
  <c r="V39" i="35"/>
  <c r="X39" i="35"/>
  <c r="Y39" i="35"/>
  <c r="Z39" i="35"/>
  <c r="AA39" i="35"/>
  <c r="AB39" i="35"/>
  <c r="AC39" i="35"/>
  <c r="AF39" i="35"/>
  <c r="AG39" i="35"/>
  <c r="AH39" i="35"/>
  <c r="AI39" i="35"/>
  <c r="AJ39" i="35"/>
  <c r="AL39" i="35"/>
  <c r="AM39" i="35"/>
  <c r="AN39" i="35"/>
  <c r="AO39" i="35"/>
  <c r="AP39" i="35"/>
  <c r="AQ39" i="35"/>
  <c r="AR39" i="35"/>
  <c r="AS39" i="35"/>
  <c r="AT39" i="35"/>
  <c r="AU39" i="35"/>
  <c r="AV39" i="35"/>
  <c r="AW39" i="35"/>
  <c r="AX39" i="35"/>
  <c r="AY39" i="35"/>
  <c r="BB39" i="35"/>
  <c r="BC39" i="35"/>
  <c r="BD39" i="35"/>
  <c r="BE39" i="35"/>
  <c r="BF39" i="35"/>
  <c r="BG39" i="35"/>
  <c r="BH39" i="35"/>
  <c r="BI39" i="35"/>
  <c r="BJ39" i="35"/>
  <c r="BK39" i="35"/>
  <c r="BL39" i="35"/>
  <c r="BM39" i="35"/>
  <c r="BN39" i="35"/>
  <c r="BO39" i="35"/>
  <c r="D40" i="35"/>
  <c r="F40" i="35"/>
  <c r="G40" i="35"/>
  <c r="H40" i="35"/>
  <c r="I40" i="35"/>
  <c r="K40" i="35"/>
  <c r="L40" i="35"/>
  <c r="N40" i="35"/>
  <c r="O40" i="35"/>
  <c r="P40" i="35"/>
  <c r="Q40" i="35"/>
  <c r="S40" i="35"/>
  <c r="T40" i="35"/>
  <c r="V40" i="35"/>
  <c r="X40" i="35"/>
  <c r="Y40" i="35"/>
  <c r="Z40" i="35"/>
  <c r="AA40" i="35"/>
  <c r="AB40" i="35"/>
  <c r="AC40" i="35"/>
  <c r="AF40" i="35"/>
  <c r="AG40" i="35"/>
  <c r="AH40" i="35"/>
  <c r="AI40" i="35"/>
  <c r="AJ40" i="35"/>
  <c r="AL40" i="35"/>
  <c r="AM40" i="35"/>
  <c r="AN40" i="35"/>
  <c r="AO40" i="35"/>
  <c r="AP40" i="35"/>
  <c r="AQ40" i="35"/>
  <c r="AR40" i="35"/>
  <c r="AS40" i="35"/>
  <c r="AT40" i="35"/>
  <c r="AU40" i="35"/>
  <c r="AV40" i="35"/>
  <c r="AW40" i="35"/>
  <c r="AX40" i="35"/>
  <c r="AY40" i="35"/>
  <c r="BB40" i="35"/>
  <c r="BC40" i="35"/>
  <c r="BD40" i="35"/>
  <c r="BE40" i="35"/>
  <c r="BF40" i="35"/>
  <c r="BG40" i="35"/>
  <c r="BH40" i="35"/>
  <c r="BI40" i="35"/>
  <c r="BJ40" i="35"/>
  <c r="BK40" i="35"/>
  <c r="BL40" i="35"/>
  <c r="BM40" i="35"/>
  <c r="BN40" i="35"/>
  <c r="BO40" i="35"/>
  <c r="D41" i="35"/>
  <c r="F41" i="35"/>
  <c r="G41" i="35"/>
  <c r="H41" i="35"/>
  <c r="I41" i="35"/>
  <c r="K41" i="35"/>
  <c r="L41" i="35"/>
  <c r="N41" i="35"/>
  <c r="O41" i="35"/>
  <c r="P41" i="35"/>
  <c r="Q41" i="35"/>
  <c r="S41" i="35"/>
  <c r="T41" i="35"/>
  <c r="V41" i="35"/>
  <c r="X41" i="35"/>
  <c r="Y41" i="35"/>
  <c r="Z41" i="35"/>
  <c r="AA41" i="35"/>
  <c r="AB41" i="35"/>
  <c r="AC41" i="35"/>
  <c r="AF41" i="35"/>
  <c r="AG41" i="35"/>
  <c r="AH41" i="35"/>
  <c r="AI41" i="35"/>
  <c r="AJ41" i="35"/>
  <c r="AL41" i="35"/>
  <c r="AM41" i="35"/>
  <c r="AN41" i="35"/>
  <c r="AO41" i="35"/>
  <c r="AP41" i="35"/>
  <c r="AQ41" i="35"/>
  <c r="AR41" i="35"/>
  <c r="AS41" i="35"/>
  <c r="AT41" i="35"/>
  <c r="AU41" i="35"/>
  <c r="AV41" i="35"/>
  <c r="AW41" i="35"/>
  <c r="AX41" i="35"/>
  <c r="AY41" i="35"/>
  <c r="BB41" i="35"/>
  <c r="BC41" i="35"/>
  <c r="BD41" i="35"/>
  <c r="BE41" i="35"/>
  <c r="BF41" i="35"/>
  <c r="BG41" i="35"/>
  <c r="BH41" i="35"/>
  <c r="BI41" i="35"/>
  <c r="BJ41" i="35"/>
  <c r="BK41" i="35"/>
  <c r="BL41" i="35"/>
  <c r="BM41" i="35"/>
  <c r="BN41" i="35"/>
  <c r="BO41" i="35"/>
  <c r="D42" i="35"/>
  <c r="F42" i="35"/>
  <c r="G42" i="35"/>
  <c r="H42" i="35"/>
  <c r="I42" i="35"/>
  <c r="K42" i="35"/>
  <c r="L42" i="35"/>
  <c r="N42" i="35"/>
  <c r="O42" i="35"/>
  <c r="P42" i="35"/>
  <c r="Q42" i="35"/>
  <c r="S42" i="35"/>
  <c r="T42" i="35"/>
  <c r="V42" i="35"/>
  <c r="X42" i="35"/>
  <c r="Y42" i="35"/>
  <c r="Z42" i="35"/>
  <c r="AA42" i="35"/>
  <c r="AB42" i="35"/>
  <c r="AC42" i="35"/>
  <c r="AF42" i="35"/>
  <c r="AG42" i="35"/>
  <c r="AH42" i="35"/>
  <c r="AI42" i="35"/>
  <c r="AJ42" i="35"/>
  <c r="AL42" i="35"/>
  <c r="AM42" i="35"/>
  <c r="AN42" i="35"/>
  <c r="AO42" i="35"/>
  <c r="AP42" i="35"/>
  <c r="AQ42" i="35"/>
  <c r="AR42" i="35"/>
  <c r="AS42" i="35"/>
  <c r="AT42" i="35"/>
  <c r="AU42" i="35"/>
  <c r="AV42" i="35"/>
  <c r="AW42" i="35"/>
  <c r="AX42" i="35"/>
  <c r="AY42" i="35"/>
  <c r="BB42" i="35"/>
  <c r="BC42" i="35"/>
  <c r="BD42" i="35"/>
  <c r="BE42" i="35"/>
  <c r="BF42" i="35"/>
  <c r="BG42" i="35"/>
  <c r="BH42" i="35"/>
  <c r="BI42" i="35"/>
  <c r="BJ42" i="35"/>
  <c r="BK42" i="35"/>
  <c r="BL42" i="35"/>
  <c r="BM42" i="35"/>
  <c r="BN42" i="35"/>
  <c r="BO42" i="35"/>
  <c r="D43" i="35"/>
  <c r="F43" i="35"/>
  <c r="G43" i="35"/>
  <c r="H43" i="35"/>
  <c r="I43" i="35"/>
  <c r="K43" i="35"/>
  <c r="L43" i="35"/>
  <c r="N43" i="35"/>
  <c r="O43" i="35"/>
  <c r="P43" i="35"/>
  <c r="Q43" i="35"/>
  <c r="S43" i="35"/>
  <c r="T43" i="35"/>
  <c r="V43" i="35"/>
  <c r="X43" i="35"/>
  <c r="Y43" i="35"/>
  <c r="Z43" i="35"/>
  <c r="AA43" i="35"/>
  <c r="AB43" i="35"/>
  <c r="AC43" i="35"/>
  <c r="AF43" i="35"/>
  <c r="AG43" i="35"/>
  <c r="AH43" i="35"/>
  <c r="AI43" i="35"/>
  <c r="AJ43" i="35"/>
  <c r="AL43" i="35"/>
  <c r="AM43" i="35"/>
  <c r="AN43" i="35"/>
  <c r="AO43" i="35"/>
  <c r="AP43" i="35"/>
  <c r="AQ43" i="35"/>
  <c r="AR43" i="35"/>
  <c r="AS43" i="35"/>
  <c r="AT43" i="35"/>
  <c r="AU43" i="35"/>
  <c r="AV43" i="35"/>
  <c r="AW43" i="35"/>
  <c r="AX43" i="35"/>
  <c r="AY43" i="35"/>
  <c r="BB43" i="35"/>
  <c r="BC43" i="35"/>
  <c r="BD43" i="35"/>
  <c r="BE43" i="35"/>
  <c r="BF43" i="35"/>
  <c r="BG43" i="35"/>
  <c r="BH43" i="35"/>
  <c r="BI43" i="35"/>
  <c r="BJ43" i="35"/>
  <c r="BK43" i="35"/>
  <c r="BL43" i="35"/>
  <c r="BM43" i="35"/>
  <c r="BN43" i="35"/>
  <c r="BO43" i="35"/>
  <c r="D44" i="35"/>
  <c r="F44" i="35"/>
  <c r="G44" i="35"/>
  <c r="H44" i="35"/>
  <c r="I44" i="35"/>
  <c r="K44" i="35"/>
  <c r="L44" i="35"/>
  <c r="N44" i="35"/>
  <c r="O44" i="35"/>
  <c r="P44" i="35"/>
  <c r="Q44" i="35"/>
  <c r="S44" i="35"/>
  <c r="T44" i="35"/>
  <c r="V44" i="35"/>
  <c r="X44" i="35"/>
  <c r="Y44" i="35"/>
  <c r="Z44" i="35"/>
  <c r="AA44" i="35"/>
  <c r="AB44" i="35"/>
  <c r="AC44" i="35"/>
  <c r="AF44" i="35"/>
  <c r="AG44" i="35"/>
  <c r="AH44" i="35"/>
  <c r="AI44" i="35"/>
  <c r="AJ44" i="35"/>
  <c r="AL44" i="35"/>
  <c r="AM44" i="35"/>
  <c r="AN44" i="35"/>
  <c r="AO44" i="35"/>
  <c r="AP44" i="35"/>
  <c r="AQ44" i="35"/>
  <c r="AR44" i="35"/>
  <c r="AS44" i="35"/>
  <c r="AT44" i="35"/>
  <c r="AU44" i="35"/>
  <c r="AV44" i="35"/>
  <c r="AW44" i="35"/>
  <c r="AX44" i="35"/>
  <c r="AY44" i="35"/>
  <c r="BB44" i="35"/>
  <c r="BC44" i="35"/>
  <c r="BD44" i="35"/>
  <c r="BE44" i="35"/>
  <c r="BF44" i="35"/>
  <c r="BG44" i="35"/>
  <c r="BH44" i="35"/>
  <c r="BI44" i="35"/>
  <c r="BJ44" i="35"/>
  <c r="BK44" i="35"/>
  <c r="BL44" i="35"/>
  <c r="BM44" i="35"/>
  <c r="BN44" i="35"/>
  <c r="BO44" i="35"/>
  <c r="D45" i="35"/>
  <c r="F45" i="35"/>
  <c r="G45" i="35"/>
  <c r="H45" i="35"/>
  <c r="I45" i="35"/>
  <c r="K45" i="35"/>
  <c r="L45" i="35"/>
  <c r="N45" i="35"/>
  <c r="O45" i="35"/>
  <c r="P45" i="35"/>
  <c r="Q45" i="35"/>
  <c r="S45" i="35"/>
  <c r="T45" i="35"/>
  <c r="V45" i="35"/>
  <c r="X45" i="35"/>
  <c r="Y45" i="35"/>
  <c r="Z45" i="35"/>
  <c r="AA45" i="35"/>
  <c r="AB45" i="35"/>
  <c r="AC45" i="35"/>
  <c r="AF45" i="35"/>
  <c r="AG45" i="35"/>
  <c r="AH45" i="35"/>
  <c r="AI45" i="35"/>
  <c r="AJ45" i="35"/>
  <c r="AL45" i="35"/>
  <c r="AM45" i="35"/>
  <c r="AN45" i="35"/>
  <c r="AO45" i="35"/>
  <c r="AP45" i="35"/>
  <c r="AQ45" i="35"/>
  <c r="AR45" i="35"/>
  <c r="AS45" i="35"/>
  <c r="AT45" i="35"/>
  <c r="AU45" i="35"/>
  <c r="AV45" i="35"/>
  <c r="AW45" i="35"/>
  <c r="AX45" i="35"/>
  <c r="AY45" i="35"/>
  <c r="BB45" i="35"/>
  <c r="BC45" i="35"/>
  <c r="BD45" i="35"/>
  <c r="BE45" i="35"/>
  <c r="BF45" i="35"/>
  <c r="BG45" i="35"/>
  <c r="BH45" i="35"/>
  <c r="BI45" i="35"/>
  <c r="BJ45" i="35"/>
  <c r="BK45" i="35"/>
  <c r="BL45" i="35"/>
  <c r="BM45" i="35"/>
  <c r="BN45" i="35"/>
  <c r="BO45" i="35"/>
  <c r="D46" i="35"/>
  <c r="F46" i="35"/>
  <c r="G46" i="35"/>
  <c r="H46" i="35"/>
  <c r="I46" i="35"/>
  <c r="K46" i="35"/>
  <c r="L46" i="35"/>
  <c r="N46" i="35"/>
  <c r="O46" i="35"/>
  <c r="P46" i="35"/>
  <c r="Q46" i="35"/>
  <c r="S46" i="35"/>
  <c r="T46" i="35"/>
  <c r="V46" i="35"/>
  <c r="X46" i="35"/>
  <c r="Y46" i="35"/>
  <c r="Z46" i="35"/>
  <c r="AA46" i="35"/>
  <c r="AB46" i="35"/>
  <c r="AC46" i="35"/>
  <c r="AF46" i="35"/>
  <c r="AG46" i="35"/>
  <c r="AH46" i="35"/>
  <c r="AI46" i="35"/>
  <c r="AJ46" i="35"/>
  <c r="AL46" i="35"/>
  <c r="AM46" i="35"/>
  <c r="AN46" i="35"/>
  <c r="AO46" i="35"/>
  <c r="AP46" i="35"/>
  <c r="AQ46" i="35"/>
  <c r="AR46" i="35"/>
  <c r="AS46" i="35"/>
  <c r="AT46" i="35"/>
  <c r="AU46" i="35"/>
  <c r="AV46" i="35"/>
  <c r="AW46" i="35"/>
  <c r="AX46" i="35"/>
  <c r="AY46" i="35"/>
  <c r="BB46" i="35"/>
  <c r="BC46" i="35"/>
  <c r="BD46" i="35"/>
  <c r="BE46" i="35"/>
  <c r="BF46" i="35"/>
  <c r="BG46" i="35"/>
  <c r="BH46" i="35"/>
  <c r="BI46" i="35"/>
  <c r="BJ46" i="35"/>
  <c r="BK46" i="35"/>
  <c r="BL46" i="35"/>
  <c r="BM46" i="35"/>
  <c r="BN46" i="35"/>
  <c r="BO46" i="35"/>
  <c r="D47" i="35"/>
  <c r="F47" i="35"/>
  <c r="G47" i="35"/>
  <c r="H47" i="35"/>
  <c r="I47" i="35"/>
  <c r="K47" i="35"/>
  <c r="L47" i="35"/>
  <c r="N47" i="35"/>
  <c r="O47" i="35"/>
  <c r="P47" i="35"/>
  <c r="Q47" i="35"/>
  <c r="S47" i="35"/>
  <c r="T47" i="35"/>
  <c r="V47" i="35"/>
  <c r="X47" i="35"/>
  <c r="Y47" i="35"/>
  <c r="Z47" i="35"/>
  <c r="AA47" i="35"/>
  <c r="AB47" i="35"/>
  <c r="AC47" i="35"/>
  <c r="AF47" i="35"/>
  <c r="AG47" i="35"/>
  <c r="AH47" i="35"/>
  <c r="AI47" i="35"/>
  <c r="AJ47" i="35"/>
  <c r="AL47" i="35"/>
  <c r="AM47" i="35"/>
  <c r="AN47" i="35"/>
  <c r="AO47" i="35"/>
  <c r="AP47" i="35"/>
  <c r="AQ47" i="35"/>
  <c r="AR47" i="35"/>
  <c r="AS47" i="35"/>
  <c r="AT47" i="35"/>
  <c r="AU47" i="35"/>
  <c r="AV47" i="35"/>
  <c r="AW47" i="35"/>
  <c r="AX47" i="35"/>
  <c r="AY47" i="35"/>
  <c r="BB47" i="35"/>
  <c r="BC47" i="35"/>
  <c r="BD47" i="35"/>
  <c r="BE47" i="35"/>
  <c r="BF47" i="35"/>
  <c r="BG47" i="35"/>
  <c r="BH47" i="35"/>
  <c r="BI47" i="35"/>
  <c r="BJ47" i="35"/>
  <c r="BK47" i="35"/>
  <c r="BL47" i="35"/>
  <c r="BM47" i="35"/>
  <c r="BN47" i="35"/>
  <c r="BO47" i="35"/>
  <c r="D48" i="35"/>
  <c r="F48" i="35"/>
  <c r="G48" i="35"/>
  <c r="H48" i="35"/>
  <c r="I48" i="35"/>
  <c r="K48" i="35"/>
  <c r="L48" i="35"/>
  <c r="N48" i="35"/>
  <c r="O48" i="35"/>
  <c r="P48" i="35"/>
  <c r="Q48" i="35"/>
  <c r="S48" i="35"/>
  <c r="T48" i="35"/>
  <c r="V48" i="35"/>
  <c r="X48" i="35"/>
  <c r="Y48" i="35"/>
  <c r="Z48" i="35"/>
  <c r="AA48" i="35"/>
  <c r="AB48" i="35"/>
  <c r="AC48" i="35"/>
  <c r="AF48" i="35"/>
  <c r="AG48" i="35"/>
  <c r="AH48" i="35"/>
  <c r="AI48" i="35"/>
  <c r="AJ48" i="35"/>
  <c r="AL48" i="35"/>
  <c r="AM48" i="35"/>
  <c r="AN48" i="35"/>
  <c r="AO48" i="35"/>
  <c r="AP48" i="35"/>
  <c r="AQ48" i="35"/>
  <c r="AR48" i="35"/>
  <c r="AS48" i="35"/>
  <c r="AT48" i="35"/>
  <c r="AU48" i="35"/>
  <c r="AV48" i="35"/>
  <c r="AW48" i="35"/>
  <c r="AX48" i="35"/>
  <c r="AY48" i="35"/>
  <c r="BB48" i="35"/>
  <c r="BC48" i="35"/>
  <c r="BD48" i="35"/>
  <c r="BE48" i="35"/>
  <c r="BF48" i="35"/>
  <c r="BG48" i="35"/>
  <c r="BH48" i="35"/>
  <c r="BI48" i="35"/>
  <c r="BJ48" i="35"/>
  <c r="BK48" i="35"/>
  <c r="BL48" i="35"/>
  <c r="BM48" i="35"/>
  <c r="BN48" i="35"/>
  <c r="BO48" i="35"/>
  <c r="D49" i="35"/>
  <c r="F49" i="35"/>
  <c r="G49" i="35"/>
  <c r="H49" i="35"/>
  <c r="I49" i="35"/>
  <c r="K49" i="35"/>
  <c r="L49" i="35"/>
  <c r="N49" i="35"/>
  <c r="O49" i="35"/>
  <c r="P49" i="35"/>
  <c r="Q49" i="35"/>
  <c r="S49" i="35"/>
  <c r="T49" i="35"/>
  <c r="V49" i="35"/>
  <c r="X49" i="35"/>
  <c r="Y49" i="35"/>
  <c r="Z49" i="35"/>
  <c r="AA49" i="35"/>
  <c r="AB49" i="35"/>
  <c r="AC49" i="35"/>
  <c r="AF49" i="35"/>
  <c r="AG49" i="35"/>
  <c r="AH49" i="35"/>
  <c r="AI49" i="35"/>
  <c r="AJ49" i="35"/>
  <c r="AL49" i="35"/>
  <c r="AM49" i="35"/>
  <c r="AN49" i="35"/>
  <c r="AO49" i="35"/>
  <c r="AP49" i="35"/>
  <c r="AQ49" i="35"/>
  <c r="AR49" i="35"/>
  <c r="AS49" i="35"/>
  <c r="AT49" i="35"/>
  <c r="AU49" i="35"/>
  <c r="AV49" i="35"/>
  <c r="AW49" i="35"/>
  <c r="AX49" i="35"/>
  <c r="AY49" i="35"/>
  <c r="BB49" i="35"/>
  <c r="BC49" i="35"/>
  <c r="BD49" i="35"/>
  <c r="BE49" i="35"/>
  <c r="BF49" i="35"/>
  <c r="BG49" i="35"/>
  <c r="BH49" i="35"/>
  <c r="BI49" i="35"/>
  <c r="BJ49" i="35"/>
  <c r="BK49" i="35"/>
  <c r="BL49" i="35"/>
  <c r="BM49" i="35"/>
  <c r="BN49" i="35"/>
  <c r="BO49" i="35"/>
  <c r="D50" i="35"/>
  <c r="F50" i="35"/>
  <c r="G50" i="35"/>
  <c r="H50" i="35"/>
  <c r="I50" i="35"/>
  <c r="K50" i="35"/>
  <c r="L50" i="35"/>
  <c r="N50" i="35"/>
  <c r="O50" i="35"/>
  <c r="P50" i="35"/>
  <c r="Q50" i="35"/>
  <c r="S50" i="35"/>
  <c r="T50" i="35"/>
  <c r="V50" i="35"/>
  <c r="X50" i="35"/>
  <c r="Y50" i="35"/>
  <c r="Z50" i="35"/>
  <c r="AA50" i="35"/>
  <c r="AB50" i="35"/>
  <c r="AC50" i="35"/>
  <c r="AF50" i="35"/>
  <c r="AG50" i="35"/>
  <c r="AH50" i="35"/>
  <c r="AI50" i="35"/>
  <c r="AJ50" i="35"/>
  <c r="AL50" i="35"/>
  <c r="AM50" i="35"/>
  <c r="AN50" i="35"/>
  <c r="AO50" i="35"/>
  <c r="AP50" i="35"/>
  <c r="AQ50" i="35"/>
  <c r="AR50" i="35"/>
  <c r="AS50" i="35"/>
  <c r="AT50" i="35"/>
  <c r="AU50" i="35"/>
  <c r="AV50" i="35"/>
  <c r="AW50" i="35"/>
  <c r="AX50" i="35"/>
  <c r="AY50" i="35"/>
  <c r="BB50" i="35"/>
  <c r="BC50" i="35"/>
  <c r="BD50" i="35"/>
  <c r="BE50" i="35"/>
  <c r="BF50" i="35"/>
  <c r="BG50" i="35"/>
  <c r="BH50" i="35"/>
  <c r="BI50" i="35"/>
  <c r="BJ50" i="35"/>
  <c r="BK50" i="35"/>
  <c r="BL50" i="35"/>
  <c r="BM50" i="35"/>
  <c r="BN50" i="35"/>
  <c r="BO50" i="35"/>
  <c r="D51" i="35"/>
  <c r="F51" i="35"/>
  <c r="G51" i="35"/>
  <c r="H51" i="35"/>
  <c r="I51" i="35"/>
  <c r="K51" i="35"/>
  <c r="L51" i="35"/>
  <c r="N51" i="35"/>
  <c r="O51" i="35"/>
  <c r="P51" i="35"/>
  <c r="Q51" i="35"/>
  <c r="S51" i="35"/>
  <c r="T51" i="35"/>
  <c r="V51" i="35"/>
  <c r="X51" i="35"/>
  <c r="Y51" i="35"/>
  <c r="Z51" i="35"/>
  <c r="AA51" i="35"/>
  <c r="AB51" i="35"/>
  <c r="AC51" i="35"/>
  <c r="AF51" i="35"/>
  <c r="AG51" i="35"/>
  <c r="AH51" i="35"/>
  <c r="AI51" i="35"/>
  <c r="AJ51" i="35"/>
  <c r="AL51" i="35"/>
  <c r="AM51" i="35"/>
  <c r="AN51" i="35"/>
  <c r="AO51" i="35"/>
  <c r="AP51" i="35"/>
  <c r="AQ51" i="35"/>
  <c r="AR51" i="35"/>
  <c r="AS51" i="35"/>
  <c r="AT51" i="35"/>
  <c r="AU51" i="35"/>
  <c r="AV51" i="35"/>
  <c r="AW51" i="35"/>
  <c r="AX51" i="35"/>
  <c r="AY51" i="35"/>
  <c r="BB51" i="35"/>
  <c r="BC51" i="35"/>
  <c r="BD51" i="35"/>
  <c r="BE51" i="35"/>
  <c r="BF51" i="35"/>
  <c r="BG51" i="35"/>
  <c r="BH51" i="35"/>
  <c r="BI51" i="35"/>
  <c r="BJ51" i="35"/>
  <c r="BK51" i="35"/>
  <c r="BL51" i="35"/>
  <c r="BM51" i="35"/>
  <c r="BN51" i="35"/>
  <c r="BO51" i="35"/>
  <c r="D52" i="35"/>
  <c r="F52" i="35"/>
  <c r="G52" i="35"/>
  <c r="H52" i="35"/>
  <c r="I52" i="35"/>
  <c r="K52" i="35"/>
  <c r="L52" i="35"/>
  <c r="N52" i="35"/>
  <c r="O52" i="35"/>
  <c r="P52" i="35"/>
  <c r="Q52" i="35"/>
  <c r="S52" i="35"/>
  <c r="T52" i="35"/>
  <c r="V52" i="35"/>
  <c r="X52" i="35"/>
  <c r="Y52" i="35"/>
  <c r="Z52" i="35"/>
  <c r="AA52" i="35"/>
  <c r="AB52" i="35"/>
  <c r="AC52" i="35"/>
  <c r="AF52" i="35"/>
  <c r="AG52" i="35"/>
  <c r="AH52" i="35"/>
  <c r="AI52" i="35"/>
  <c r="AJ52" i="35"/>
  <c r="AL52" i="35"/>
  <c r="AM52" i="35"/>
  <c r="AN52" i="35"/>
  <c r="AO52" i="35"/>
  <c r="AP52" i="35"/>
  <c r="AQ52" i="35"/>
  <c r="AR52" i="35"/>
  <c r="AS52" i="35"/>
  <c r="AT52" i="35"/>
  <c r="AU52" i="35"/>
  <c r="AV52" i="35"/>
  <c r="AW52" i="35"/>
  <c r="AX52" i="35"/>
  <c r="AY52" i="35"/>
  <c r="BB52" i="35"/>
  <c r="BC52" i="35"/>
  <c r="BD52" i="35"/>
  <c r="BE52" i="35"/>
  <c r="BF52" i="35"/>
  <c r="BG52" i="35"/>
  <c r="BH52" i="35"/>
  <c r="BI52" i="35"/>
  <c r="BJ52" i="35"/>
  <c r="BK52" i="35"/>
  <c r="BL52" i="35"/>
  <c r="BM52" i="35"/>
  <c r="BN52" i="35"/>
  <c r="BO52" i="35"/>
  <c r="D53" i="35"/>
  <c r="F53" i="35"/>
  <c r="G53" i="35"/>
  <c r="H53" i="35"/>
  <c r="I53" i="35"/>
  <c r="K53" i="35"/>
  <c r="L53" i="35"/>
  <c r="N53" i="35"/>
  <c r="O53" i="35"/>
  <c r="P53" i="35"/>
  <c r="Q53" i="35"/>
  <c r="S53" i="35"/>
  <c r="T53" i="35"/>
  <c r="V53" i="35"/>
  <c r="X53" i="35"/>
  <c r="Y53" i="35"/>
  <c r="Z53" i="35"/>
  <c r="AA53" i="35"/>
  <c r="AB53" i="35"/>
  <c r="AC53" i="35"/>
  <c r="AF53" i="35"/>
  <c r="AG53" i="35"/>
  <c r="AH53" i="35"/>
  <c r="AI53" i="35"/>
  <c r="AJ53" i="35"/>
  <c r="AL53" i="35"/>
  <c r="AM53" i="35"/>
  <c r="AN53" i="35"/>
  <c r="AO53" i="35"/>
  <c r="AP53" i="35"/>
  <c r="AQ53" i="35"/>
  <c r="AR53" i="35"/>
  <c r="AS53" i="35"/>
  <c r="AT53" i="35"/>
  <c r="AU53" i="35"/>
  <c r="AV53" i="35"/>
  <c r="AW53" i="35"/>
  <c r="AX53" i="35"/>
  <c r="AY53" i="35"/>
  <c r="BB53" i="35"/>
  <c r="BC53" i="35"/>
  <c r="BD53" i="35"/>
  <c r="BE53" i="35"/>
  <c r="BF53" i="35"/>
  <c r="BG53" i="35"/>
  <c r="BH53" i="35"/>
  <c r="BI53" i="35"/>
  <c r="BJ53" i="35"/>
  <c r="BK53" i="35"/>
  <c r="BL53" i="35"/>
  <c r="BM53" i="35"/>
  <c r="BN53" i="35"/>
  <c r="BO53" i="35"/>
  <c r="D54" i="35"/>
  <c r="F54" i="35"/>
  <c r="G54" i="35"/>
  <c r="H54" i="35"/>
  <c r="I54" i="35"/>
  <c r="K54" i="35"/>
  <c r="L54" i="35"/>
  <c r="N54" i="35"/>
  <c r="O54" i="35"/>
  <c r="P54" i="35"/>
  <c r="Q54" i="35"/>
  <c r="S54" i="35"/>
  <c r="T54" i="35"/>
  <c r="V54" i="35"/>
  <c r="X54" i="35"/>
  <c r="Y54" i="35"/>
  <c r="Z54" i="35"/>
  <c r="AA54" i="35"/>
  <c r="AB54" i="35"/>
  <c r="AC54" i="35"/>
  <c r="AF54" i="35"/>
  <c r="AG54" i="35"/>
  <c r="AH54" i="35"/>
  <c r="AI54" i="35"/>
  <c r="AJ54" i="35"/>
  <c r="AL54" i="35"/>
  <c r="AM54" i="35"/>
  <c r="AN54" i="35"/>
  <c r="AO54" i="35"/>
  <c r="AP54" i="35"/>
  <c r="AQ54" i="35"/>
  <c r="AR54" i="35"/>
  <c r="AS54" i="35"/>
  <c r="AT54" i="35"/>
  <c r="AU54" i="35"/>
  <c r="AV54" i="35"/>
  <c r="AW54" i="35"/>
  <c r="AX54" i="35"/>
  <c r="AY54" i="35"/>
  <c r="BB54" i="35"/>
  <c r="BC54" i="35"/>
  <c r="BD54" i="35"/>
  <c r="BE54" i="35"/>
  <c r="BF54" i="35"/>
  <c r="BG54" i="35"/>
  <c r="BH54" i="35"/>
  <c r="BI54" i="35"/>
  <c r="BJ54" i="35"/>
  <c r="BK54" i="35"/>
  <c r="BL54" i="35"/>
  <c r="BM54" i="35"/>
  <c r="BN54" i="35"/>
  <c r="BO54" i="35"/>
  <c r="D55" i="35"/>
  <c r="F55" i="35"/>
  <c r="G55" i="35"/>
  <c r="H55" i="35"/>
  <c r="I55" i="35"/>
  <c r="K55" i="35"/>
  <c r="L55" i="35"/>
  <c r="N55" i="35"/>
  <c r="O55" i="35"/>
  <c r="P55" i="35"/>
  <c r="Q55" i="35"/>
  <c r="S55" i="35"/>
  <c r="T55" i="35"/>
  <c r="V55" i="35"/>
  <c r="X55" i="35"/>
  <c r="Y55" i="35"/>
  <c r="Z55" i="35"/>
  <c r="AA55" i="35"/>
  <c r="AB55" i="35"/>
  <c r="AC55" i="35"/>
  <c r="AF55" i="35"/>
  <c r="AG55" i="35"/>
  <c r="AH55" i="35"/>
  <c r="AI55" i="35"/>
  <c r="AJ55" i="35"/>
  <c r="AL55" i="35"/>
  <c r="AM55" i="35"/>
  <c r="AN55" i="35"/>
  <c r="AO55" i="35"/>
  <c r="AP55" i="35"/>
  <c r="AQ55" i="35"/>
  <c r="AR55" i="35"/>
  <c r="AS55" i="35"/>
  <c r="AT55" i="35"/>
  <c r="AU55" i="35"/>
  <c r="AV55" i="35"/>
  <c r="AW55" i="35"/>
  <c r="AX55" i="35"/>
  <c r="AY55" i="35"/>
  <c r="BB55" i="35"/>
  <c r="BC55" i="35"/>
  <c r="BD55" i="35"/>
  <c r="BE55" i="35"/>
  <c r="BF55" i="35"/>
  <c r="BG55" i="35"/>
  <c r="BH55" i="35"/>
  <c r="BI55" i="35"/>
  <c r="BJ55" i="35"/>
  <c r="BK55" i="35"/>
  <c r="BL55" i="35"/>
  <c r="BM55" i="35"/>
  <c r="BN55" i="35"/>
  <c r="BO55" i="35"/>
  <c r="D56" i="35"/>
  <c r="F56" i="35"/>
  <c r="G56" i="35"/>
  <c r="H56" i="35"/>
  <c r="I56" i="35"/>
  <c r="K56" i="35"/>
  <c r="L56" i="35"/>
  <c r="N56" i="35"/>
  <c r="O56" i="35"/>
  <c r="P56" i="35"/>
  <c r="Q56" i="35"/>
  <c r="S56" i="35"/>
  <c r="T56" i="35"/>
  <c r="V56" i="35"/>
  <c r="X56" i="35"/>
  <c r="Y56" i="35"/>
  <c r="Z56" i="35"/>
  <c r="AA56" i="35"/>
  <c r="AB56" i="35"/>
  <c r="AC56" i="35"/>
  <c r="AF56" i="35"/>
  <c r="AG56" i="35"/>
  <c r="AH56" i="35"/>
  <c r="AI56" i="35"/>
  <c r="AJ56" i="35"/>
  <c r="AL56" i="35"/>
  <c r="AM56" i="35"/>
  <c r="AN56" i="35"/>
  <c r="AO56" i="35"/>
  <c r="AP56" i="35"/>
  <c r="AQ56" i="35"/>
  <c r="AR56" i="35"/>
  <c r="AS56" i="35"/>
  <c r="AT56" i="35"/>
  <c r="AU56" i="35"/>
  <c r="AV56" i="35"/>
  <c r="AW56" i="35"/>
  <c r="AX56" i="35"/>
  <c r="AY56" i="35"/>
  <c r="BB56" i="35"/>
  <c r="BC56" i="35"/>
  <c r="BD56" i="35"/>
  <c r="BE56" i="35"/>
  <c r="BF56" i="35"/>
  <c r="BG56" i="35"/>
  <c r="BH56" i="35"/>
  <c r="BI56" i="35"/>
  <c r="BJ56" i="35"/>
  <c r="BK56" i="35"/>
  <c r="BL56" i="35"/>
  <c r="BM56" i="35"/>
  <c r="BN56" i="35"/>
  <c r="BO56" i="35"/>
  <c r="D57" i="35"/>
  <c r="F57" i="35"/>
  <c r="G57" i="35"/>
  <c r="H57" i="35"/>
  <c r="I57" i="35"/>
  <c r="K57" i="35"/>
  <c r="L57" i="35"/>
  <c r="N57" i="35"/>
  <c r="O57" i="35"/>
  <c r="P57" i="35"/>
  <c r="Q57" i="35"/>
  <c r="S57" i="35"/>
  <c r="T57" i="35"/>
  <c r="V57" i="35"/>
  <c r="X57" i="35"/>
  <c r="Y57" i="35"/>
  <c r="Z57" i="35"/>
  <c r="AA57" i="35"/>
  <c r="AB57" i="35"/>
  <c r="AC57" i="35"/>
  <c r="AF57" i="35"/>
  <c r="AG57" i="35"/>
  <c r="AH57" i="35"/>
  <c r="AI57" i="35"/>
  <c r="AJ57" i="35"/>
  <c r="AL57" i="35"/>
  <c r="AM57" i="35"/>
  <c r="AN57" i="35"/>
  <c r="AO57" i="35"/>
  <c r="AP57" i="35"/>
  <c r="AQ57" i="35"/>
  <c r="AR57" i="35"/>
  <c r="AS57" i="35"/>
  <c r="AT57" i="35"/>
  <c r="AU57" i="35"/>
  <c r="AV57" i="35"/>
  <c r="AW57" i="35"/>
  <c r="AX57" i="35"/>
  <c r="AY57" i="35"/>
  <c r="BB57" i="35"/>
  <c r="BC57" i="35"/>
  <c r="BD57" i="35"/>
  <c r="BE57" i="35"/>
  <c r="BF57" i="35"/>
  <c r="BG57" i="35"/>
  <c r="BH57" i="35"/>
  <c r="BI57" i="35"/>
  <c r="BJ57" i="35"/>
  <c r="BK57" i="35"/>
  <c r="BL57" i="35"/>
  <c r="BM57" i="35"/>
  <c r="BN57" i="35"/>
  <c r="BO57" i="35"/>
  <c r="D58" i="35"/>
  <c r="F58" i="35"/>
  <c r="G58" i="35"/>
  <c r="H58" i="35"/>
  <c r="I58" i="35"/>
  <c r="K58" i="35"/>
  <c r="L58" i="35"/>
  <c r="N58" i="35"/>
  <c r="O58" i="35"/>
  <c r="P58" i="35"/>
  <c r="Q58" i="35"/>
  <c r="S58" i="35"/>
  <c r="T58" i="35"/>
  <c r="V58" i="35"/>
  <c r="X58" i="35"/>
  <c r="Y58" i="35"/>
  <c r="Z58" i="35"/>
  <c r="AA58" i="35"/>
  <c r="AB58" i="35"/>
  <c r="AC58" i="35"/>
  <c r="AF58" i="35"/>
  <c r="AG58" i="35"/>
  <c r="AH58" i="35"/>
  <c r="AI58" i="35"/>
  <c r="AJ58" i="35"/>
  <c r="AL58" i="35"/>
  <c r="AM58" i="35"/>
  <c r="AN58" i="35"/>
  <c r="AO58" i="35"/>
  <c r="AP58" i="35"/>
  <c r="AQ58" i="35"/>
  <c r="AR58" i="35"/>
  <c r="AS58" i="35"/>
  <c r="AT58" i="35"/>
  <c r="AU58" i="35"/>
  <c r="AV58" i="35"/>
  <c r="AW58" i="35"/>
  <c r="AX58" i="35"/>
  <c r="AY58" i="35"/>
  <c r="BB58" i="35"/>
  <c r="BC58" i="35"/>
  <c r="BD58" i="35"/>
  <c r="BE58" i="35"/>
  <c r="BF58" i="35"/>
  <c r="BG58" i="35"/>
  <c r="BH58" i="35"/>
  <c r="BI58" i="35"/>
  <c r="BJ58" i="35"/>
  <c r="BK58" i="35"/>
  <c r="BL58" i="35"/>
  <c r="BM58" i="35"/>
  <c r="BN58" i="35"/>
  <c r="BO58" i="35"/>
  <c r="D59" i="35"/>
  <c r="F59" i="35"/>
  <c r="G59" i="35"/>
  <c r="H59" i="35"/>
  <c r="I59" i="35"/>
  <c r="K59" i="35"/>
  <c r="L59" i="35"/>
  <c r="N59" i="35"/>
  <c r="O59" i="35"/>
  <c r="P59" i="35"/>
  <c r="Q59" i="35"/>
  <c r="S59" i="35"/>
  <c r="T59" i="35"/>
  <c r="V59" i="35"/>
  <c r="X59" i="35"/>
  <c r="Y59" i="35"/>
  <c r="Z59" i="35"/>
  <c r="AA59" i="35"/>
  <c r="AB59" i="35"/>
  <c r="AC59" i="35"/>
  <c r="AF59" i="35"/>
  <c r="AG59" i="35"/>
  <c r="AH59" i="35"/>
  <c r="AI59" i="35"/>
  <c r="AJ59" i="35"/>
  <c r="AL59" i="35"/>
  <c r="AM59" i="35"/>
  <c r="AN59" i="35"/>
  <c r="AO59" i="35"/>
  <c r="AP59" i="35"/>
  <c r="AQ59" i="35"/>
  <c r="AR59" i="35"/>
  <c r="AS59" i="35"/>
  <c r="AT59" i="35"/>
  <c r="AU59" i="35"/>
  <c r="AV59" i="35"/>
  <c r="AW59" i="35"/>
  <c r="AX59" i="35"/>
  <c r="AY59" i="35"/>
  <c r="BB59" i="35"/>
  <c r="BC59" i="35"/>
  <c r="BD59" i="35"/>
  <c r="BE59" i="35"/>
  <c r="BF59" i="35"/>
  <c r="BG59" i="35"/>
  <c r="BH59" i="35"/>
  <c r="BI59" i="35"/>
  <c r="BJ59" i="35"/>
  <c r="BK59" i="35"/>
  <c r="BL59" i="35"/>
  <c r="BM59" i="35"/>
  <c r="BN59" i="35"/>
  <c r="BO59" i="35"/>
  <c r="D60" i="35"/>
  <c r="F60" i="35"/>
  <c r="G60" i="35"/>
  <c r="H60" i="35"/>
  <c r="I60" i="35"/>
  <c r="K60" i="35"/>
  <c r="L60" i="35"/>
  <c r="N60" i="35"/>
  <c r="O60" i="35"/>
  <c r="P60" i="35"/>
  <c r="Q60" i="35"/>
  <c r="S60" i="35"/>
  <c r="T60" i="35"/>
  <c r="V60" i="35"/>
  <c r="X60" i="35"/>
  <c r="Y60" i="35"/>
  <c r="Z60" i="35"/>
  <c r="AA60" i="35"/>
  <c r="AB60" i="35"/>
  <c r="AC60" i="35"/>
  <c r="AF60" i="35"/>
  <c r="AG60" i="35"/>
  <c r="AH60" i="35"/>
  <c r="AI60" i="35"/>
  <c r="AJ60" i="35"/>
  <c r="AL60" i="35"/>
  <c r="AM60" i="35"/>
  <c r="AN60" i="35"/>
  <c r="AO60" i="35"/>
  <c r="AP60" i="35"/>
  <c r="AQ60" i="35"/>
  <c r="AR60" i="35"/>
  <c r="AS60" i="35"/>
  <c r="AT60" i="35"/>
  <c r="AU60" i="35"/>
  <c r="AV60" i="35"/>
  <c r="AW60" i="35"/>
  <c r="AX60" i="35"/>
  <c r="AY60" i="35"/>
  <c r="BB60" i="35"/>
  <c r="BC60" i="35"/>
  <c r="BD60" i="35"/>
  <c r="BE60" i="35"/>
  <c r="BF60" i="35"/>
  <c r="BG60" i="35"/>
  <c r="BH60" i="35"/>
  <c r="BI60" i="35"/>
  <c r="BJ60" i="35"/>
  <c r="BK60" i="35"/>
  <c r="BL60" i="35"/>
  <c r="BM60" i="35"/>
  <c r="BN60" i="35"/>
  <c r="BO60" i="35"/>
  <c r="D61" i="35"/>
  <c r="F61" i="35"/>
  <c r="G61" i="35"/>
  <c r="H61" i="35"/>
  <c r="I61" i="35"/>
  <c r="K61" i="35"/>
  <c r="L61" i="35"/>
  <c r="N61" i="35"/>
  <c r="O61" i="35"/>
  <c r="P61" i="35"/>
  <c r="Q61" i="35"/>
  <c r="S61" i="35"/>
  <c r="T61" i="35"/>
  <c r="V61" i="35"/>
  <c r="X61" i="35"/>
  <c r="Y61" i="35"/>
  <c r="Z61" i="35"/>
  <c r="AA61" i="35"/>
  <c r="AB61" i="35"/>
  <c r="AC61" i="35"/>
  <c r="AF61" i="35"/>
  <c r="AG61" i="35"/>
  <c r="AH61" i="35"/>
  <c r="AI61" i="35"/>
  <c r="AJ61" i="35"/>
  <c r="AL61" i="35"/>
  <c r="AM61" i="35"/>
  <c r="AN61" i="35"/>
  <c r="AO61" i="35"/>
  <c r="AP61" i="35"/>
  <c r="AQ61" i="35"/>
  <c r="AR61" i="35"/>
  <c r="AS61" i="35"/>
  <c r="AT61" i="35"/>
  <c r="AU61" i="35"/>
  <c r="AV61" i="35"/>
  <c r="AW61" i="35"/>
  <c r="AX61" i="35"/>
  <c r="AY61" i="35"/>
  <c r="BB61" i="35"/>
  <c r="BC61" i="35"/>
  <c r="BD61" i="35"/>
  <c r="BE61" i="35"/>
  <c r="BF61" i="35"/>
  <c r="BG61" i="35"/>
  <c r="BH61" i="35"/>
  <c r="BI61" i="35"/>
  <c r="BJ61" i="35"/>
  <c r="BK61" i="35"/>
  <c r="BL61" i="35"/>
  <c r="BM61" i="35"/>
  <c r="BN61" i="35"/>
  <c r="BO61" i="35"/>
  <c r="D62" i="35"/>
  <c r="F62" i="35"/>
  <c r="G62" i="35"/>
  <c r="H62" i="35"/>
  <c r="I62" i="35"/>
  <c r="K62" i="35"/>
  <c r="L62" i="35"/>
  <c r="N62" i="35"/>
  <c r="O62" i="35"/>
  <c r="P62" i="35"/>
  <c r="Q62" i="35"/>
  <c r="S62" i="35"/>
  <c r="T62" i="35"/>
  <c r="V62" i="35"/>
  <c r="X62" i="35"/>
  <c r="Y62" i="35"/>
  <c r="Z62" i="35"/>
  <c r="AA62" i="35"/>
  <c r="AB62" i="35"/>
  <c r="AC62" i="35"/>
  <c r="AF62" i="35"/>
  <c r="AG62" i="35"/>
  <c r="AH62" i="35"/>
  <c r="AI62" i="35"/>
  <c r="AJ62" i="35"/>
  <c r="AL62" i="35"/>
  <c r="AM62" i="35"/>
  <c r="AN62" i="35"/>
  <c r="AO62" i="35"/>
  <c r="AP62" i="35"/>
  <c r="AQ62" i="35"/>
  <c r="AR62" i="35"/>
  <c r="AS62" i="35"/>
  <c r="AT62" i="35"/>
  <c r="AU62" i="35"/>
  <c r="AV62" i="35"/>
  <c r="AW62" i="35"/>
  <c r="AX62" i="35"/>
  <c r="AY62" i="35"/>
  <c r="BB62" i="35"/>
  <c r="BC62" i="35"/>
  <c r="BD62" i="35"/>
  <c r="BE62" i="35"/>
  <c r="BF62" i="35"/>
  <c r="BG62" i="35"/>
  <c r="BH62" i="35"/>
  <c r="BI62" i="35"/>
  <c r="BJ62" i="35"/>
  <c r="BK62" i="35"/>
  <c r="BL62" i="35"/>
  <c r="BM62" i="35"/>
  <c r="BN62" i="35"/>
  <c r="BO62" i="35"/>
  <c r="D63" i="35"/>
  <c r="F63" i="35"/>
  <c r="G63" i="35"/>
  <c r="H63" i="35"/>
  <c r="I63" i="35"/>
  <c r="K63" i="35"/>
  <c r="L63" i="35"/>
  <c r="N63" i="35"/>
  <c r="O63" i="35"/>
  <c r="P63" i="35"/>
  <c r="Q63" i="35"/>
  <c r="S63" i="35"/>
  <c r="T63" i="35"/>
  <c r="V63" i="35"/>
  <c r="X63" i="35"/>
  <c r="Y63" i="35"/>
  <c r="Z63" i="35"/>
  <c r="AA63" i="35"/>
  <c r="AB63" i="35"/>
  <c r="AC63" i="35"/>
  <c r="AF63" i="35"/>
  <c r="AG63" i="35"/>
  <c r="AH63" i="35"/>
  <c r="AI63" i="35"/>
  <c r="AJ63" i="35"/>
  <c r="AL63" i="35"/>
  <c r="AM63" i="35"/>
  <c r="AN63" i="35"/>
  <c r="AO63" i="35"/>
  <c r="AP63" i="35"/>
  <c r="AQ63" i="35"/>
  <c r="AR63" i="35"/>
  <c r="AS63" i="35"/>
  <c r="AT63" i="35"/>
  <c r="AU63" i="35"/>
  <c r="AV63" i="35"/>
  <c r="AW63" i="35"/>
  <c r="AX63" i="35"/>
  <c r="AY63" i="35"/>
  <c r="BB63" i="35"/>
  <c r="BC63" i="35"/>
  <c r="BD63" i="35"/>
  <c r="BE63" i="35"/>
  <c r="BF63" i="35"/>
  <c r="BG63" i="35"/>
  <c r="BH63" i="35"/>
  <c r="BI63" i="35"/>
  <c r="BJ63" i="35"/>
  <c r="BK63" i="35"/>
  <c r="BL63" i="35"/>
  <c r="BM63" i="35"/>
  <c r="BN63" i="35"/>
  <c r="BO63" i="35"/>
  <c r="D64" i="35"/>
  <c r="F64" i="35"/>
  <c r="G64" i="35"/>
  <c r="H64" i="35"/>
  <c r="I64" i="35"/>
  <c r="K64" i="35"/>
  <c r="L64" i="35"/>
  <c r="N64" i="35"/>
  <c r="O64" i="35"/>
  <c r="P64" i="35"/>
  <c r="Q64" i="35"/>
  <c r="S64" i="35"/>
  <c r="T64" i="35"/>
  <c r="V64" i="35"/>
  <c r="X64" i="35"/>
  <c r="Y64" i="35"/>
  <c r="Z64" i="35"/>
  <c r="AA64" i="35"/>
  <c r="AB64" i="35"/>
  <c r="AC64" i="35"/>
  <c r="AF64" i="35"/>
  <c r="AG64" i="35"/>
  <c r="AH64" i="35"/>
  <c r="AI64" i="35"/>
  <c r="AJ64" i="35"/>
  <c r="AL64" i="35"/>
  <c r="AM64" i="35"/>
  <c r="AN64" i="35"/>
  <c r="AO64" i="35"/>
  <c r="AP64" i="35"/>
  <c r="AQ64" i="35"/>
  <c r="AR64" i="35"/>
  <c r="AS64" i="35"/>
  <c r="AT64" i="35"/>
  <c r="AU64" i="35"/>
  <c r="AV64" i="35"/>
  <c r="AW64" i="35"/>
  <c r="AX64" i="35"/>
  <c r="AY64" i="35"/>
  <c r="BB64" i="35"/>
  <c r="BC64" i="35"/>
  <c r="BD64" i="35"/>
  <c r="BE64" i="35"/>
  <c r="BF64" i="35"/>
  <c r="BG64" i="35"/>
  <c r="BH64" i="35"/>
  <c r="BI64" i="35"/>
  <c r="BJ64" i="35"/>
  <c r="BK64" i="35"/>
  <c r="BL64" i="35"/>
  <c r="BM64" i="35"/>
  <c r="BN64" i="35"/>
  <c r="BO64" i="35"/>
  <c r="D65" i="35"/>
  <c r="F65" i="35"/>
  <c r="G65" i="35"/>
  <c r="H65" i="35"/>
  <c r="I65" i="35"/>
  <c r="K65" i="35"/>
  <c r="L65" i="35"/>
  <c r="N65" i="35"/>
  <c r="O65" i="35"/>
  <c r="P65" i="35"/>
  <c r="Q65" i="35"/>
  <c r="S65" i="35"/>
  <c r="T65" i="35"/>
  <c r="V65" i="35"/>
  <c r="X65" i="35"/>
  <c r="Y65" i="35"/>
  <c r="Z65" i="35"/>
  <c r="AA65" i="35"/>
  <c r="AB65" i="35"/>
  <c r="AC65" i="35"/>
  <c r="AF65" i="35"/>
  <c r="AG65" i="35"/>
  <c r="AH65" i="35"/>
  <c r="AI65" i="35"/>
  <c r="AJ65" i="35"/>
  <c r="AL65" i="35"/>
  <c r="AM65" i="35"/>
  <c r="AN65" i="35"/>
  <c r="AO65" i="35"/>
  <c r="AP65" i="35"/>
  <c r="AQ65" i="35"/>
  <c r="AR65" i="35"/>
  <c r="AS65" i="35"/>
  <c r="AT65" i="35"/>
  <c r="AU65" i="35"/>
  <c r="AV65" i="35"/>
  <c r="AW65" i="35"/>
  <c r="AX65" i="35"/>
  <c r="AY65" i="35"/>
  <c r="BB65" i="35"/>
  <c r="BC65" i="35"/>
  <c r="BD65" i="35"/>
  <c r="BE65" i="35"/>
  <c r="BF65" i="35"/>
  <c r="BG65" i="35"/>
  <c r="BH65" i="35"/>
  <c r="BI65" i="35"/>
  <c r="BJ65" i="35"/>
  <c r="BK65" i="35"/>
  <c r="BL65" i="35"/>
  <c r="BM65" i="35"/>
  <c r="BN65" i="35"/>
  <c r="BO65" i="35"/>
  <c r="D66" i="35"/>
  <c r="F66" i="35"/>
  <c r="G66" i="35"/>
  <c r="H66" i="35"/>
  <c r="I66" i="35"/>
  <c r="K66" i="35"/>
  <c r="L66" i="35"/>
  <c r="N66" i="35"/>
  <c r="O66" i="35"/>
  <c r="P66" i="35"/>
  <c r="Q66" i="35"/>
  <c r="S66" i="35"/>
  <c r="T66" i="35"/>
  <c r="V66" i="35"/>
  <c r="X66" i="35"/>
  <c r="Y66" i="35"/>
  <c r="Z66" i="35"/>
  <c r="AA66" i="35"/>
  <c r="AB66" i="35"/>
  <c r="AC66" i="35"/>
  <c r="AF66" i="35"/>
  <c r="AG66" i="35"/>
  <c r="AH66" i="35"/>
  <c r="AI66" i="35"/>
  <c r="AJ66" i="35"/>
  <c r="AL66" i="35"/>
  <c r="AM66" i="35"/>
  <c r="AN66" i="35"/>
  <c r="AO66" i="35"/>
  <c r="AP66" i="35"/>
  <c r="AQ66" i="35"/>
  <c r="AR66" i="35"/>
  <c r="AS66" i="35"/>
  <c r="AT66" i="35"/>
  <c r="AU66" i="35"/>
  <c r="AV66" i="35"/>
  <c r="AW66" i="35"/>
  <c r="AX66" i="35"/>
  <c r="AY66" i="35"/>
  <c r="BB66" i="35"/>
  <c r="BC66" i="35"/>
  <c r="BD66" i="35"/>
  <c r="BE66" i="35"/>
  <c r="BF66" i="35"/>
  <c r="BG66" i="35"/>
  <c r="BH66" i="35"/>
  <c r="BI66" i="35"/>
  <c r="BJ66" i="35"/>
  <c r="BK66" i="35"/>
  <c r="BL66" i="35"/>
  <c r="BM66" i="35"/>
  <c r="BN66" i="35"/>
  <c r="BO66" i="35"/>
  <c r="D67" i="35"/>
  <c r="F67" i="35"/>
  <c r="G67" i="35"/>
  <c r="H67" i="35"/>
  <c r="I67" i="35"/>
  <c r="K67" i="35"/>
  <c r="L67" i="35"/>
  <c r="N67" i="35"/>
  <c r="O67" i="35"/>
  <c r="P67" i="35"/>
  <c r="Q67" i="35"/>
  <c r="S67" i="35"/>
  <c r="T67" i="35"/>
  <c r="V67" i="35"/>
  <c r="X67" i="35"/>
  <c r="Y67" i="35"/>
  <c r="Z67" i="35"/>
  <c r="AA67" i="35"/>
  <c r="AB67" i="35"/>
  <c r="AC67" i="35"/>
  <c r="AF67" i="35"/>
  <c r="AG67" i="35"/>
  <c r="AH67" i="35"/>
  <c r="AI67" i="35"/>
  <c r="AJ67" i="35"/>
  <c r="AL67" i="35"/>
  <c r="AM67" i="35"/>
  <c r="AN67" i="35"/>
  <c r="AO67" i="35"/>
  <c r="AP67" i="35"/>
  <c r="AQ67" i="35"/>
  <c r="AR67" i="35"/>
  <c r="AS67" i="35"/>
  <c r="AT67" i="35"/>
  <c r="AU67" i="35"/>
  <c r="AV67" i="35"/>
  <c r="AW67" i="35"/>
  <c r="AX67" i="35"/>
  <c r="AY67" i="35"/>
  <c r="BB67" i="35"/>
  <c r="BC67" i="35"/>
  <c r="BD67" i="35"/>
  <c r="BE67" i="35"/>
  <c r="BF67" i="35"/>
  <c r="BG67" i="35"/>
  <c r="BH67" i="35"/>
  <c r="BI67" i="35"/>
  <c r="BJ67" i="35"/>
  <c r="BK67" i="35"/>
  <c r="BL67" i="35"/>
  <c r="BM67" i="35"/>
  <c r="BN67" i="35"/>
  <c r="BO67" i="35"/>
  <c r="D68" i="35"/>
  <c r="F68" i="35"/>
  <c r="G68" i="35"/>
  <c r="H68" i="35"/>
  <c r="I68" i="35"/>
  <c r="K68" i="35"/>
  <c r="L68" i="35"/>
  <c r="N68" i="35"/>
  <c r="O68" i="35"/>
  <c r="P68" i="35"/>
  <c r="Q68" i="35"/>
  <c r="S68" i="35"/>
  <c r="T68" i="35"/>
  <c r="V68" i="35"/>
  <c r="X68" i="35"/>
  <c r="Y68" i="35"/>
  <c r="Z68" i="35"/>
  <c r="AA68" i="35"/>
  <c r="AB68" i="35"/>
  <c r="AC68" i="35"/>
  <c r="AF68" i="35"/>
  <c r="AG68" i="35"/>
  <c r="AH68" i="35"/>
  <c r="AI68" i="35"/>
  <c r="AJ68" i="35"/>
  <c r="AL68" i="35"/>
  <c r="AM68" i="35"/>
  <c r="AN68" i="35"/>
  <c r="AO68" i="35"/>
  <c r="AP68" i="35"/>
  <c r="AQ68" i="35"/>
  <c r="AR68" i="35"/>
  <c r="AS68" i="35"/>
  <c r="AT68" i="35"/>
  <c r="AU68" i="35"/>
  <c r="AV68" i="35"/>
  <c r="AW68" i="35"/>
  <c r="AX68" i="35"/>
  <c r="AY68" i="35"/>
  <c r="BB68" i="35"/>
  <c r="BC68" i="35"/>
  <c r="BD68" i="35"/>
  <c r="BE68" i="35"/>
  <c r="BF68" i="35"/>
  <c r="BG68" i="35"/>
  <c r="BH68" i="35"/>
  <c r="BI68" i="35"/>
  <c r="BJ68" i="35"/>
  <c r="BK68" i="35"/>
  <c r="BL68" i="35"/>
  <c r="BM68" i="35"/>
  <c r="BN68" i="35"/>
  <c r="BO68" i="35"/>
  <c r="D69" i="35"/>
  <c r="F69" i="35"/>
  <c r="G69" i="35"/>
  <c r="H69" i="35"/>
  <c r="I69" i="35"/>
  <c r="K69" i="35"/>
  <c r="L69" i="35"/>
  <c r="N69" i="35"/>
  <c r="O69" i="35"/>
  <c r="P69" i="35"/>
  <c r="Q69" i="35"/>
  <c r="S69" i="35"/>
  <c r="T69" i="35"/>
  <c r="V69" i="35"/>
  <c r="X69" i="35"/>
  <c r="Y69" i="35"/>
  <c r="Z69" i="35"/>
  <c r="AA69" i="35"/>
  <c r="AB69" i="35"/>
  <c r="AC69" i="35"/>
  <c r="AF69" i="35"/>
  <c r="AG69" i="35"/>
  <c r="AH69" i="35"/>
  <c r="AI69" i="35"/>
  <c r="AJ69" i="35"/>
  <c r="AL69" i="35"/>
  <c r="AM69" i="35"/>
  <c r="AN69" i="35"/>
  <c r="AO69" i="35"/>
  <c r="AP69" i="35"/>
  <c r="AQ69" i="35"/>
  <c r="AR69" i="35"/>
  <c r="AS69" i="35"/>
  <c r="AT69" i="35"/>
  <c r="AU69" i="35"/>
  <c r="AV69" i="35"/>
  <c r="AW69" i="35"/>
  <c r="AX69" i="35"/>
  <c r="AY69" i="35"/>
  <c r="BB69" i="35"/>
  <c r="BC69" i="35"/>
  <c r="BD69" i="35"/>
  <c r="BE69" i="35"/>
  <c r="BF69" i="35"/>
  <c r="BG69" i="35"/>
  <c r="BH69" i="35"/>
  <c r="BI69" i="35"/>
  <c r="BJ69" i="35"/>
  <c r="BK69" i="35"/>
  <c r="BL69" i="35"/>
  <c r="BM69" i="35"/>
  <c r="BN69" i="35"/>
  <c r="BO69" i="35"/>
  <c r="D70" i="35"/>
  <c r="F70" i="35"/>
  <c r="G70" i="35"/>
  <c r="H70" i="35"/>
  <c r="I70" i="35"/>
  <c r="K70" i="35"/>
  <c r="L70" i="35"/>
  <c r="N70" i="35"/>
  <c r="O70" i="35"/>
  <c r="P70" i="35"/>
  <c r="Q70" i="35"/>
  <c r="S70" i="35"/>
  <c r="T70" i="35"/>
  <c r="V70" i="35"/>
  <c r="X70" i="35"/>
  <c r="Y70" i="35"/>
  <c r="Z70" i="35"/>
  <c r="AA70" i="35"/>
  <c r="AB70" i="35"/>
  <c r="AC70" i="35"/>
  <c r="AF70" i="35"/>
  <c r="AG70" i="35"/>
  <c r="AH70" i="35"/>
  <c r="AI70" i="35"/>
  <c r="AJ70" i="35"/>
  <c r="AL70" i="35"/>
  <c r="AM70" i="35"/>
  <c r="AN70" i="35"/>
  <c r="AO70" i="35"/>
  <c r="AP70" i="35"/>
  <c r="AQ70" i="35"/>
  <c r="AR70" i="35"/>
  <c r="AS70" i="35"/>
  <c r="AT70" i="35"/>
  <c r="AU70" i="35"/>
  <c r="AV70" i="35"/>
  <c r="AW70" i="35"/>
  <c r="AX70" i="35"/>
  <c r="AY70" i="35"/>
  <c r="BB70" i="35"/>
  <c r="BC70" i="35"/>
  <c r="BD70" i="35"/>
  <c r="BE70" i="35"/>
  <c r="BF70" i="35"/>
  <c r="BG70" i="35"/>
  <c r="BH70" i="35"/>
  <c r="BI70" i="35"/>
  <c r="BJ70" i="35"/>
  <c r="BK70" i="35"/>
  <c r="BL70" i="35"/>
  <c r="BM70" i="35"/>
  <c r="BN70" i="35"/>
  <c r="BO70" i="35"/>
  <c r="D71" i="35"/>
  <c r="F71" i="35"/>
  <c r="G71" i="35"/>
  <c r="H71" i="35"/>
  <c r="I71" i="35"/>
  <c r="K71" i="35"/>
  <c r="L71" i="35"/>
  <c r="N71" i="35"/>
  <c r="O71" i="35"/>
  <c r="P71" i="35"/>
  <c r="Q71" i="35"/>
  <c r="S71" i="35"/>
  <c r="T71" i="35"/>
  <c r="V71" i="35"/>
  <c r="X71" i="35"/>
  <c r="Y71" i="35"/>
  <c r="Z71" i="35"/>
  <c r="AA71" i="35"/>
  <c r="AB71" i="35"/>
  <c r="AC71" i="35"/>
  <c r="AF71" i="35"/>
  <c r="AG71" i="35"/>
  <c r="AH71" i="35"/>
  <c r="AI71" i="35"/>
  <c r="AJ71" i="35"/>
  <c r="AL71" i="35"/>
  <c r="AM71" i="35"/>
  <c r="AN71" i="35"/>
  <c r="AO71" i="35"/>
  <c r="AP71" i="35"/>
  <c r="AQ71" i="35"/>
  <c r="AR71" i="35"/>
  <c r="AS71" i="35"/>
  <c r="AT71" i="35"/>
  <c r="AU71" i="35"/>
  <c r="AV71" i="35"/>
  <c r="AW71" i="35"/>
  <c r="AX71" i="35"/>
  <c r="AY71" i="35"/>
  <c r="BB71" i="35"/>
  <c r="BC71" i="35"/>
  <c r="BD71" i="35"/>
  <c r="BE71" i="35"/>
  <c r="BF71" i="35"/>
  <c r="BG71" i="35"/>
  <c r="BH71" i="35"/>
  <c r="BI71" i="35"/>
  <c r="BJ71" i="35"/>
  <c r="BK71" i="35"/>
  <c r="BL71" i="35"/>
  <c r="BM71" i="35"/>
  <c r="BN71" i="35"/>
  <c r="BO71" i="35"/>
  <c r="D72" i="35"/>
  <c r="F72" i="35"/>
  <c r="G72" i="35"/>
  <c r="H72" i="35"/>
  <c r="I72" i="35"/>
  <c r="K72" i="35"/>
  <c r="L72" i="35"/>
  <c r="N72" i="35"/>
  <c r="O72" i="35"/>
  <c r="P72" i="35"/>
  <c r="Q72" i="35"/>
  <c r="S72" i="35"/>
  <c r="T72" i="35"/>
  <c r="V72" i="35"/>
  <c r="X72" i="35"/>
  <c r="Y72" i="35"/>
  <c r="Z72" i="35"/>
  <c r="AA72" i="35"/>
  <c r="AB72" i="35"/>
  <c r="AC72" i="35"/>
  <c r="AF72" i="35"/>
  <c r="AG72" i="35"/>
  <c r="AH72" i="35"/>
  <c r="AI72" i="35"/>
  <c r="AJ72" i="35"/>
  <c r="AL72" i="35"/>
  <c r="AM72" i="35"/>
  <c r="AN72" i="35"/>
  <c r="AO72" i="35"/>
  <c r="AP72" i="35"/>
  <c r="AQ72" i="35"/>
  <c r="AR72" i="35"/>
  <c r="AS72" i="35"/>
  <c r="AT72" i="35"/>
  <c r="AU72" i="35"/>
  <c r="AV72" i="35"/>
  <c r="AW72" i="35"/>
  <c r="AX72" i="35"/>
  <c r="AY72" i="35"/>
  <c r="BB72" i="35"/>
  <c r="BC72" i="35"/>
  <c r="BD72" i="35"/>
  <c r="BE72" i="35"/>
  <c r="BF72" i="35"/>
  <c r="BG72" i="35"/>
  <c r="BH72" i="35"/>
  <c r="BI72" i="35"/>
  <c r="BJ72" i="35"/>
  <c r="BK72" i="35"/>
  <c r="BL72" i="35"/>
  <c r="BM72" i="35"/>
  <c r="BN72" i="35"/>
  <c r="BO72" i="35"/>
  <c r="D73" i="35"/>
  <c r="F73" i="35"/>
  <c r="G73" i="35"/>
  <c r="H73" i="35"/>
  <c r="I73" i="35"/>
  <c r="K73" i="35"/>
  <c r="L73" i="35"/>
  <c r="N73" i="35"/>
  <c r="O73" i="35"/>
  <c r="P73" i="35"/>
  <c r="Q73" i="35"/>
  <c r="S73" i="35"/>
  <c r="T73" i="35"/>
  <c r="V73" i="35"/>
  <c r="X73" i="35"/>
  <c r="Y73" i="35"/>
  <c r="Z73" i="35"/>
  <c r="AA73" i="35"/>
  <c r="AB73" i="35"/>
  <c r="AC73" i="35"/>
  <c r="AF73" i="35"/>
  <c r="AG73" i="35"/>
  <c r="AH73" i="35"/>
  <c r="AI73" i="35"/>
  <c r="AJ73" i="35"/>
  <c r="AL73" i="35"/>
  <c r="AM73" i="35"/>
  <c r="AN73" i="35"/>
  <c r="AO73" i="35"/>
  <c r="AP73" i="35"/>
  <c r="AQ73" i="35"/>
  <c r="AR73" i="35"/>
  <c r="AS73" i="35"/>
  <c r="AT73" i="35"/>
  <c r="AU73" i="35"/>
  <c r="AV73" i="35"/>
  <c r="AW73" i="35"/>
  <c r="AX73" i="35"/>
  <c r="AY73" i="35"/>
  <c r="BB73" i="35"/>
  <c r="BC73" i="35"/>
  <c r="BD73" i="35"/>
  <c r="BE73" i="35"/>
  <c r="BF73" i="35"/>
  <c r="BG73" i="35"/>
  <c r="BH73" i="35"/>
  <c r="BI73" i="35"/>
  <c r="BJ73" i="35"/>
  <c r="BK73" i="35"/>
  <c r="BL73" i="35"/>
  <c r="BM73" i="35"/>
  <c r="BN73" i="35"/>
  <c r="BO73" i="35"/>
  <c r="D74" i="35"/>
  <c r="F74" i="35"/>
  <c r="G74" i="35"/>
  <c r="H74" i="35"/>
  <c r="I74" i="35"/>
  <c r="K74" i="35"/>
  <c r="L74" i="35"/>
  <c r="N74" i="35"/>
  <c r="O74" i="35"/>
  <c r="P74" i="35"/>
  <c r="Q74" i="35"/>
  <c r="S74" i="35"/>
  <c r="T74" i="35"/>
  <c r="V74" i="35"/>
  <c r="X74" i="35"/>
  <c r="Y74" i="35"/>
  <c r="Z74" i="35"/>
  <c r="AA74" i="35"/>
  <c r="AB74" i="35"/>
  <c r="AC74" i="35"/>
  <c r="AF74" i="35"/>
  <c r="AG74" i="35"/>
  <c r="AH74" i="35"/>
  <c r="AI74" i="35"/>
  <c r="AJ74" i="35"/>
  <c r="AL74" i="35"/>
  <c r="AM74" i="35"/>
  <c r="AN74" i="35"/>
  <c r="AO74" i="35"/>
  <c r="AP74" i="35"/>
  <c r="AQ74" i="35"/>
  <c r="AR74" i="35"/>
  <c r="AS74" i="35"/>
  <c r="AT74" i="35"/>
  <c r="AU74" i="35"/>
  <c r="AV74" i="35"/>
  <c r="AW74" i="35"/>
  <c r="AX74" i="35"/>
  <c r="AY74" i="35"/>
  <c r="BB74" i="35"/>
  <c r="BC74" i="35"/>
  <c r="BD74" i="35"/>
  <c r="BE74" i="35"/>
  <c r="BF74" i="35"/>
  <c r="BG74" i="35"/>
  <c r="BH74" i="35"/>
  <c r="BI74" i="35"/>
  <c r="BJ74" i="35"/>
  <c r="BK74" i="35"/>
  <c r="BL74" i="35"/>
  <c r="BM74" i="35"/>
  <c r="BN74" i="35"/>
  <c r="BO74" i="35"/>
  <c r="D75" i="35"/>
  <c r="F75" i="35"/>
  <c r="G75" i="35"/>
  <c r="H75" i="35"/>
  <c r="I75" i="35"/>
  <c r="K75" i="35"/>
  <c r="L75" i="35"/>
  <c r="N75" i="35"/>
  <c r="O75" i="35"/>
  <c r="P75" i="35"/>
  <c r="Q75" i="35"/>
  <c r="S75" i="35"/>
  <c r="T75" i="35"/>
  <c r="V75" i="35"/>
  <c r="X75" i="35"/>
  <c r="Y75" i="35"/>
  <c r="Z75" i="35"/>
  <c r="AA75" i="35"/>
  <c r="AB75" i="35"/>
  <c r="AC75" i="35"/>
  <c r="AF75" i="35"/>
  <c r="AG75" i="35"/>
  <c r="AH75" i="35"/>
  <c r="AI75" i="35"/>
  <c r="AJ75" i="35"/>
  <c r="AL75" i="35"/>
  <c r="AM75" i="35"/>
  <c r="AN75" i="35"/>
  <c r="AO75" i="35"/>
  <c r="AP75" i="35"/>
  <c r="AQ75" i="35"/>
  <c r="AR75" i="35"/>
  <c r="AS75" i="35"/>
  <c r="AT75" i="35"/>
  <c r="AU75" i="35"/>
  <c r="AV75" i="35"/>
  <c r="AW75" i="35"/>
  <c r="AX75" i="35"/>
  <c r="AY75" i="35"/>
  <c r="BB75" i="35"/>
  <c r="BC75" i="35"/>
  <c r="BD75" i="35"/>
  <c r="BE75" i="35"/>
  <c r="BF75" i="35"/>
  <c r="BG75" i="35"/>
  <c r="BH75" i="35"/>
  <c r="BI75" i="35"/>
  <c r="BJ75" i="35"/>
  <c r="BK75" i="35"/>
  <c r="BL75" i="35"/>
  <c r="BM75" i="35"/>
  <c r="BN75" i="35"/>
  <c r="BO75" i="35"/>
  <c r="D76" i="35"/>
  <c r="F76" i="35"/>
  <c r="G76" i="35"/>
  <c r="H76" i="35"/>
  <c r="I76" i="35"/>
  <c r="K76" i="35"/>
  <c r="L76" i="35"/>
  <c r="N76" i="35"/>
  <c r="O76" i="35"/>
  <c r="P76" i="35"/>
  <c r="Q76" i="35"/>
  <c r="S76" i="35"/>
  <c r="T76" i="35"/>
  <c r="V76" i="35"/>
  <c r="X76" i="35"/>
  <c r="Y76" i="35"/>
  <c r="Z76" i="35"/>
  <c r="AA76" i="35"/>
  <c r="AB76" i="35"/>
  <c r="AC76" i="35"/>
  <c r="AF76" i="35"/>
  <c r="AG76" i="35"/>
  <c r="AH76" i="35"/>
  <c r="AI76" i="35"/>
  <c r="AJ76" i="35"/>
  <c r="AL76" i="35"/>
  <c r="AM76" i="35"/>
  <c r="AN76" i="35"/>
  <c r="AO76" i="35"/>
  <c r="AP76" i="35"/>
  <c r="AQ76" i="35"/>
  <c r="AR76" i="35"/>
  <c r="AS76" i="35"/>
  <c r="AT76" i="35"/>
  <c r="AU76" i="35"/>
  <c r="AV76" i="35"/>
  <c r="AW76" i="35"/>
  <c r="AX76" i="35"/>
  <c r="AY76" i="35"/>
  <c r="BB76" i="35"/>
  <c r="BC76" i="35"/>
  <c r="BD76" i="35"/>
  <c r="BE76" i="35"/>
  <c r="BF76" i="35"/>
  <c r="BG76" i="35"/>
  <c r="BH76" i="35"/>
  <c r="BI76" i="35"/>
  <c r="BJ76" i="35"/>
  <c r="BK76" i="35"/>
  <c r="BL76" i="35"/>
  <c r="BM76" i="35"/>
  <c r="BN76" i="35"/>
  <c r="BO76" i="35"/>
  <c r="D77" i="35"/>
  <c r="F77" i="35"/>
  <c r="G77" i="35"/>
  <c r="H77" i="35"/>
  <c r="I77" i="35"/>
  <c r="K77" i="35"/>
  <c r="L77" i="35"/>
  <c r="N77" i="35"/>
  <c r="O77" i="35"/>
  <c r="P77" i="35"/>
  <c r="Q77" i="35"/>
  <c r="S77" i="35"/>
  <c r="T77" i="35"/>
  <c r="V77" i="35"/>
  <c r="X77" i="35"/>
  <c r="Y77" i="35"/>
  <c r="Z77" i="35"/>
  <c r="AA77" i="35"/>
  <c r="AB77" i="35"/>
  <c r="AC77" i="35"/>
  <c r="AF77" i="35"/>
  <c r="AG77" i="35"/>
  <c r="AH77" i="35"/>
  <c r="AI77" i="35"/>
  <c r="AJ77" i="35"/>
  <c r="AL77" i="35"/>
  <c r="AM77" i="35"/>
  <c r="AN77" i="35"/>
  <c r="AO77" i="35"/>
  <c r="AP77" i="35"/>
  <c r="AQ77" i="35"/>
  <c r="AR77" i="35"/>
  <c r="AS77" i="35"/>
  <c r="AT77" i="35"/>
  <c r="AU77" i="35"/>
  <c r="AV77" i="35"/>
  <c r="AW77" i="35"/>
  <c r="AX77" i="35"/>
  <c r="AY77" i="35"/>
  <c r="BB77" i="35"/>
  <c r="BC77" i="35"/>
  <c r="BD77" i="35"/>
  <c r="BE77" i="35"/>
  <c r="BF77" i="35"/>
  <c r="BG77" i="35"/>
  <c r="BH77" i="35"/>
  <c r="BI77" i="35"/>
  <c r="BJ77" i="35"/>
  <c r="BK77" i="35"/>
  <c r="BL77" i="35"/>
  <c r="BM77" i="35"/>
  <c r="BN77" i="35"/>
  <c r="BO77" i="35"/>
  <c r="D78" i="35"/>
  <c r="F78" i="35"/>
  <c r="G78" i="35"/>
  <c r="H78" i="35"/>
  <c r="I78" i="35"/>
  <c r="K78" i="35"/>
  <c r="L78" i="35"/>
  <c r="N78" i="35"/>
  <c r="O78" i="35"/>
  <c r="P78" i="35"/>
  <c r="Q78" i="35"/>
  <c r="S78" i="35"/>
  <c r="T78" i="35"/>
  <c r="V78" i="35"/>
  <c r="X78" i="35"/>
  <c r="Y78" i="35"/>
  <c r="Z78" i="35"/>
  <c r="AA78" i="35"/>
  <c r="AB78" i="35"/>
  <c r="AC78" i="35"/>
  <c r="AF78" i="35"/>
  <c r="AG78" i="35"/>
  <c r="AH78" i="35"/>
  <c r="AI78" i="35"/>
  <c r="AJ78" i="35"/>
  <c r="AL78" i="35"/>
  <c r="AM78" i="35"/>
  <c r="AN78" i="35"/>
  <c r="AO78" i="35"/>
  <c r="AP78" i="35"/>
  <c r="AQ78" i="35"/>
  <c r="AR78" i="35"/>
  <c r="AS78" i="35"/>
  <c r="AT78" i="35"/>
  <c r="AU78" i="35"/>
  <c r="AV78" i="35"/>
  <c r="AW78" i="35"/>
  <c r="AX78" i="35"/>
  <c r="AY78" i="35"/>
  <c r="BB78" i="35"/>
  <c r="BC78" i="35"/>
  <c r="BD78" i="35"/>
  <c r="BE78" i="35"/>
  <c r="BF78" i="35"/>
  <c r="BG78" i="35"/>
  <c r="BH78" i="35"/>
  <c r="BI78" i="35"/>
  <c r="BJ78" i="35"/>
  <c r="BK78" i="35"/>
  <c r="BL78" i="35"/>
  <c r="BM78" i="35"/>
  <c r="BN78" i="35"/>
  <c r="BO78" i="35"/>
  <c r="D79" i="35"/>
  <c r="F79" i="35"/>
  <c r="G79" i="35"/>
  <c r="H79" i="35"/>
  <c r="I79" i="35"/>
  <c r="K79" i="35"/>
  <c r="L79" i="35"/>
  <c r="N79" i="35"/>
  <c r="O79" i="35"/>
  <c r="P79" i="35"/>
  <c r="Q79" i="35"/>
  <c r="S79" i="35"/>
  <c r="T79" i="35"/>
  <c r="V79" i="35"/>
  <c r="X79" i="35"/>
  <c r="Y79" i="35"/>
  <c r="Z79" i="35"/>
  <c r="AA79" i="35"/>
  <c r="AB79" i="35"/>
  <c r="AC79" i="35"/>
  <c r="AF79" i="35"/>
  <c r="AG79" i="35"/>
  <c r="AH79" i="35"/>
  <c r="AI79" i="35"/>
  <c r="AJ79" i="35"/>
  <c r="AL79" i="35"/>
  <c r="AM79" i="35"/>
  <c r="AN79" i="35"/>
  <c r="AO79" i="35"/>
  <c r="AP79" i="35"/>
  <c r="AQ79" i="35"/>
  <c r="AR79" i="35"/>
  <c r="AS79" i="35"/>
  <c r="AT79" i="35"/>
  <c r="AU79" i="35"/>
  <c r="AV79" i="35"/>
  <c r="AW79" i="35"/>
  <c r="AX79" i="35"/>
  <c r="AY79" i="35"/>
  <c r="BB79" i="35"/>
  <c r="BC79" i="35"/>
  <c r="BD79" i="35"/>
  <c r="BE79" i="35"/>
  <c r="BF79" i="35"/>
  <c r="BG79" i="35"/>
  <c r="BH79" i="35"/>
  <c r="BI79" i="35"/>
  <c r="BJ79" i="35"/>
  <c r="BK79" i="35"/>
  <c r="BL79" i="35"/>
  <c r="BM79" i="35"/>
  <c r="BN79" i="35"/>
  <c r="BO79" i="35"/>
  <c r="D80" i="35"/>
  <c r="F80" i="35"/>
  <c r="G80" i="35"/>
  <c r="H80" i="35"/>
  <c r="I80" i="35"/>
  <c r="K80" i="35"/>
  <c r="L80" i="35"/>
  <c r="N80" i="35"/>
  <c r="O80" i="35"/>
  <c r="P80" i="35"/>
  <c r="Q80" i="35"/>
  <c r="S80" i="35"/>
  <c r="T80" i="35"/>
  <c r="V80" i="35"/>
  <c r="X80" i="35"/>
  <c r="Y80" i="35"/>
  <c r="Z80" i="35"/>
  <c r="AA80" i="35"/>
  <c r="AB80" i="35"/>
  <c r="AC80" i="35"/>
  <c r="AF80" i="35"/>
  <c r="AG80" i="35"/>
  <c r="AH80" i="35"/>
  <c r="AI80" i="35"/>
  <c r="AJ80" i="35"/>
  <c r="AL80" i="35"/>
  <c r="AM80" i="35"/>
  <c r="AN80" i="35"/>
  <c r="AO80" i="35"/>
  <c r="AP80" i="35"/>
  <c r="AQ80" i="35"/>
  <c r="AR80" i="35"/>
  <c r="AS80" i="35"/>
  <c r="AT80" i="35"/>
  <c r="AU80" i="35"/>
  <c r="AV80" i="35"/>
  <c r="AW80" i="35"/>
  <c r="AX80" i="35"/>
  <c r="AY80" i="35"/>
  <c r="BB80" i="35"/>
  <c r="BC80" i="35"/>
  <c r="BD80" i="35"/>
  <c r="BE80" i="35"/>
  <c r="BF80" i="35"/>
  <c r="BG80" i="35"/>
  <c r="BH80" i="35"/>
  <c r="BI80" i="35"/>
  <c r="BJ80" i="35"/>
  <c r="BK80" i="35"/>
  <c r="BL80" i="35"/>
  <c r="BM80" i="35"/>
  <c r="BN80" i="35"/>
  <c r="BO80" i="35"/>
  <c r="D81" i="35"/>
  <c r="F81" i="35"/>
  <c r="G81" i="35"/>
  <c r="H81" i="35"/>
  <c r="I81" i="35"/>
  <c r="K81" i="35"/>
  <c r="L81" i="35"/>
  <c r="N81" i="35"/>
  <c r="O81" i="35"/>
  <c r="P81" i="35"/>
  <c r="Q81" i="35"/>
  <c r="S81" i="35"/>
  <c r="T81" i="35"/>
  <c r="V81" i="35"/>
  <c r="X81" i="35"/>
  <c r="Y81" i="35"/>
  <c r="Z81" i="35"/>
  <c r="AA81" i="35"/>
  <c r="AB81" i="35"/>
  <c r="AC81" i="35"/>
  <c r="AF81" i="35"/>
  <c r="AG81" i="35"/>
  <c r="AH81" i="35"/>
  <c r="AI81" i="35"/>
  <c r="AJ81" i="35"/>
  <c r="AL81" i="35"/>
  <c r="AM81" i="35"/>
  <c r="AN81" i="35"/>
  <c r="AO81" i="35"/>
  <c r="AP81" i="35"/>
  <c r="AQ81" i="35"/>
  <c r="AR81" i="35"/>
  <c r="AS81" i="35"/>
  <c r="AT81" i="35"/>
  <c r="AU81" i="35"/>
  <c r="AV81" i="35"/>
  <c r="AW81" i="35"/>
  <c r="AX81" i="35"/>
  <c r="AY81" i="35"/>
  <c r="BB81" i="35"/>
  <c r="BC81" i="35"/>
  <c r="BD81" i="35"/>
  <c r="BE81" i="35"/>
  <c r="BF81" i="35"/>
  <c r="BG81" i="35"/>
  <c r="BH81" i="35"/>
  <c r="BI81" i="35"/>
  <c r="BJ81" i="35"/>
  <c r="BK81" i="35"/>
  <c r="BL81" i="35"/>
  <c r="BM81" i="35"/>
  <c r="BN81" i="35"/>
  <c r="BO81" i="35"/>
  <c r="D82" i="35"/>
  <c r="F82" i="35"/>
  <c r="G82" i="35"/>
  <c r="H82" i="35"/>
  <c r="I82" i="35"/>
  <c r="K82" i="35"/>
  <c r="L82" i="35"/>
  <c r="N82" i="35"/>
  <c r="O82" i="35"/>
  <c r="P82" i="35"/>
  <c r="Q82" i="35"/>
  <c r="S82" i="35"/>
  <c r="T82" i="35"/>
  <c r="V82" i="35"/>
  <c r="X82" i="35"/>
  <c r="Y82" i="35"/>
  <c r="Z82" i="35"/>
  <c r="AA82" i="35"/>
  <c r="AB82" i="35"/>
  <c r="AC82" i="35"/>
  <c r="AF82" i="35"/>
  <c r="AG82" i="35"/>
  <c r="AH82" i="35"/>
  <c r="AI82" i="35"/>
  <c r="AJ82" i="35"/>
  <c r="AL82" i="35"/>
  <c r="AM82" i="35"/>
  <c r="AN82" i="35"/>
  <c r="AO82" i="35"/>
  <c r="AP82" i="35"/>
  <c r="AQ82" i="35"/>
  <c r="AR82" i="35"/>
  <c r="AS82" i="35"/>
  <c r="AT82" i="35"/>
  <c r="AU82" i="35"/>
  <c r="AV82" i="35"/>
  <c r="AW82" i="35"/>
  <c r="AX82" i="35"/>
  <c r="AY82" i="35"/>
  <c r="BB82" i="35"/>
  <c r="BC82" i="35"/>
  <c r="BD82" i="35"/>
  <c r="BE82" i="35"/>
  <c r="BF82" i="35"/>
  <c r="BG82" i="35"/>
  <c r="BH82" i="35"/>
  <c r="BI82" i="35"/>
  <c r="BJ82" i="35"/>
  <c r="BK82" i="35"/>
  <c r="BL82" i="35"/>
  <c r="BM82" i="35"/>
  <c r="BN82" i="35"/>
  <c r="BO82" i="35"/>
  <c r="D83" i="35"/>
  <c r="F83" i="35"/>
  <c r="G83" i="35"/>
  <c r="H83" i="35"/>
  <c r="I83" i="35"/>
  <c r="K83" i="35"/>
  <c r="L83" i="35"/>
  <c r="N83" i="35"/>
  <c r="O83" i="35"/>
  <c r="P83" i="35"/>
  <c r="Q83" i="35"/>
  <c r="S83" i="35"/>
  <c r="T83" i="35"/>
  <c r="V83" i="35"/>
  <c r="X83" i="35"/>
  <c r="Y83" i="35"/>
  <c r="Z83" i="35"/>
  <c r="AA83" i="35"/>
  <c r="AB83" i="35"/>
  <c r="AC83" i="35"/>
  <c r="AF83" i="35"/>
  <c r="AG83" i="35"/>
  <c r="AH83" i="35"/>
  <c r="AI83" i="35"/>
  <c r="AJ83" i="35"/>
  <c r="AL83" i="35"/>
  <c r="AM83" i="35"/>
  <c r="AN83" i="35"/>
  <c r="AO83" i="35"/>
  <c r="AP83" i="35"/>
  <c r="AQ83" i="35"/>
  <c r="AR83" i="35"/>
  <c r="AS83" i="35"/>
  <c r="AT83" i="35"/>
  <c r="AU83" i="35"/>
  <c r="AV83" i="35"/>
  <c r="AW83" i="35"/>
  <c r="AX83" i="35"/>
  <c r="AY83" i="35"/>
  <c r="BB83" i="35"/>
  <c r="BC83" i="35"/>
  <c r="BD83" i="35"/>
  <c r="BE83" i="35"/>
  <c r="BF83" i="35"/>
  <c r="BG83" i="35"/>
  <c r="BH83" i="35"/>
  <c r="BI83" i="35"/>
  <c r="BJ83" i="35"/>
  <c r="BK83" i="35"/>
  <c r="BL83" i="35"/>
  <c r="BM83" i="35"/>
  <c r="BN83" i="35"/>
  <c r="BO83" i="35"/>
  <c r="D84" i="35"/>
  <c r="F84" i="35"/>
  <c r="G84" i="35"/>
  <c r="H84" i="35"/>
  <c r="I84" i="35"/>
  <c r="K84" i="35"/>
  <c r="L84" i="35"/>
  <c r="N84" i="35"/>
  <c r="O84" i="35"/>
  <c r="P84" i="35"/>
  <c r="Q84" i="35"/>
  <c r="S84" i="35"/>
  <c r="T84" i="35"/>
  <c r="V84" i="35"/>
  <c r="X84" i="35"/>
  <c r="Y84" i="35"/>
  <c r="Z84" i="35"/>
  <c r="AA84" i="35"/>
  <c r="AB84" i="35"/>
  <c r="AC84" i="35"/>
  <c r="AF84" i="35"/>
  <c r="AG84" i="35"/>
  <c r="AH84" i="35"/>
  <c r="AI84" i="35"/>
  <c r="AJ84" i="35"/>
  <c r="AL84" i="35"/>
  <c r="AM84" i="35"/>
  <c r="AN84" i="35"/>
  <c r="AO84" i="35"/>
  <c r="AP84" i="35"/>
  <c r="AQ84" i="35"/>
  <c r="AR84" i="35"/>
  <c r="AS84" i="35"/>
  <c r="AT84" i="35"/>
  <c r="AU84" i="35"/>
  <c r="AV84" i="35"/>
  <c r="AW84" i="35"/>
  <c r="AX84" i="35"/>
  <c r="AY84" i="35"/>
  <c r="BB84" i="35"/>
  <c r="BC84" i="35"/>
  <c r="BD84" i="35"/>
  <c r="BE84" i="35"/>
  <c r="BF84" i="35"/>
  <c r="BG84" i="35"/>
  <c r="BH84" i="35"/>
  <c r="BI84" i="35"/>
  <c r="BJ84" i="35"/>
  <c r="BK84" i="35"/>
  <c r="BL84" i="35"/>
  <c r="BM84" i="35"/>
  <c r="BN84" i="35"/>
  <c r="BO84" i="35"/>
  <c r="D85" i="35"/>
  <c r="F85" i="35"/>
  <c r="G85" i="35"/>
  <c r="H85" i="35"/>
  <c r="I85" i="35"/>
  <c r="K85" i="35"/>
  <c r="L85" i="35"/>
  <c r="N85" i="35"/>
  <c r="O85" i="35"/>
  <c r="P85" i="35"/>
  <c r="Q85" i="35"/>
  <c r="S85" i="35"/>
  <c r="T85" i="35"/>
  <c r="V85" i="35"/>
  <c r="X85" i="35"/>
  <c r="Y85" i="35"/>
  <c r="Z85" i="35"/>
  <c r="AA85" i="35"/>
  <c r="AB85" i="35"/>
  <c r="AC85" i="35"/>
  <c r="AF85" i="35"/>
  <c r="AG85" i="35"/>
  <c r="AH85" i="35"/>
  <c r="AI85" i="35"/>
  <c r="AJ85" i="35"/>
  <c r="AL85" i="35"/>
  <c r="AM85" i="35"/>
  <c r="AN85" i="35"/>
  <c r="AO85" i="35"/>
  <c r="AP85" i="35"/>
  <c r="AQ85" i="35"/>
  <c r="AR85" i="35"/>
  <c r="AS85" i="35"/>
  <c r="AT85" i="35"/>
  <c r="AU85" i="35"/>
  <c r="AV85" i="35"/>
  <c r="AW85" i="35"/>
  <c r="AX85" i="35"/>
  <c r="AY85" i="35"/>
  <c r="BB85" i="35"/>
  <c r="BC85" i="35"/>
  <c r="BD85" i="35"/>
  <c r="BE85" i="35"/>
  <c r="BF85" i="35"/>
  <c r="BG85" i="35"/>
  <c r="BH85" i="35"/>
  <c r="BI85" i="35"/>
  <c r="BJ85" i="35"/>
  <c r="BK85" i="35"/>
  <c r="BL85" i="35"/>
  <c r="BM85" i="35"/>
  <c r="BN85" i="35"/>
  <c r="BO85" i="35"/>
  <c r="D86" i="35"/>
  <c r="F86" i="35"/>
  <c r="G86" i="35"/>
  <c r="H86" i="35"/>
  <c r="I86" i="35"/>
  <c r="K86" i="35"/>
  <c r="L86" i="35"/>
  <c r="N86" i="35"/>
  <c r="O86" i="35"/>
  <c r="P86" i="35"/>
  <c r="Q86" i="35"/>
  <c r="S86" i="35"/>
  <c r="T86" i="35"/>
  <c r="V86" i="35"/>
  <c r="X86" i="35"/>
  <c r="Y86" i="35"/>
  <c r="Z86" i="35"/>
  <c r="AA86" i="35"/>
  <c r="AB86" i="35"/>
  <c r="AC86" i="35"/>
  <c r="AF86" i="35"/>
  <c r="AG86" i="35"/>
  <c r="AH86" i="35"/>
  <c r="AI86" i="35"/>
  <c r="AJ86" i="35"/>
  <c r="AL86" i="35"/>
  <c r="AM86" i="35"/>
  <c r="AN86" i="35"/>
  <c r="AO86" i="35"/>
  <c r="AP86" i="35"/>
  <c r="AQ86" i="35"/>
  <c r="AR86" i="35"/>
  <c r="AS86" i="35"/>
  <c r="AT86" i="35"/>
  <c r="AU86" i="35"/>
  <c r="AV86" i="35"/>
  <c r="AW86" i="35"/>
  <c r="AX86" i="35"/>
  <c r="AY86" i="35"/>
  <c r="BB86" i="35"/>
  <c r="BC86" i="35"/>
  <c r="BD86" i="35"/>
  <c r="BE86" i="35"/>
  <c r="BF86" i="35"/>
  <c r="BG86" i="35"/>
  <c r="BH86" i="35"/>
  <c r="BI86" i="35"/>
  <c r="BJ86" i="35"/>
  <c r="BK86" i="35"/>
  <c r="BL86" i="35"/>
  <c r="BM86" i="35"/>
  <c r="BN86" i="35"/>
  <c r="BO86" i="35"/>
  <c r="D87" i="35"/>
  <c r="F87" i="35"/>
  <c r="G87" i="35"/>
  <c r="H87" i="35"/>
  <c r="I87" i="35"/>
  <c r="K87" i="35"/>
  <c r="L87" i="35"/>
  <c r="N87" i="35"/>
  <c r="O87" i="35"/>
  <c r="P87" i="35"/>
  <c r="Q87" i="35"/>
  <c r="S87" i="35"/>
  <c r="T87" i="35"/>
  <c r="V87" i="35"/>
  <c r="X87" i="35"/>
  <c r="Y87" i="35"/>
  <c r="Z87" i="35"/>
  <c r="AA87" i="35"/>
  <c r="AB87" i="35"/>
  <c r="AC87" i="35"/>
  <c r="AF87" i="35"/>
  <c r="AG87" i="35"/>
  <c r="AH87" i="35"/>
  <c r="AI87" i="35"/>
  <c r="AJ87" i="35"/>
  <c r="AL87" i="35"/>
  <c r="AM87" i="35"/>
  <c r="AN87" i="35"/>
  <c r="AO87" i="35"/>
  <c r="AP87" i="35"/>
  <c r="AQ87" i="35"/>
  <c r="AR87" i="35"/>
  <c r="AS87" i="35"/>
  <c r="AT87" i="35"/>
  <c r="AU87" i="35"/>
  <c r="AV87" i="35"/>
  <c r="AW87" i="35"/>
  <c r="AX87" i="35"/>
  <c r="AY87" i="35"/>
  <c r="BB87" i="35"/>
  <c r="BC87" i="35"/>
  <c r="BD87" i="35"/>
  <c r="BE87" i="35"/>
  <c r="BF87" i="35"/>
  <c r="BG87" i="35"/>
  <c r="BH87" i="35"/>
  <c r="BI87" i="35"/>
  <c r="BJ87" i="35"/>
  <c r="BK87" i="35"/>
  <c r="BL87" i="35"/>
  <c r="BM87" i="35"/>
  <c r="BN87" i="35"/>
  <c r="BO87" i="35"/>
  <c r="D88" i="35"/>
  <c r="F88" i="35"/>
  <c r="G88" i="35"/>
  <c r="H88" i="35"/>
  <c r="I88" i="35"/>
  <c r="K88" i="35"/>
  <c r="L88" i="35"/>
  <c r="N88" i="35"/>
  <c r="O88" i="35"/>
  <c r="P88" i="35"/>
  <c r="Q88" i="35"/>
  <c r="S88" i="35"/>
  <c r="T88" i="35"/>
  <c r="V88" i="35"/>
  <c r="X88" i="35"/>
  <c r="Y88" i="35"/>
  <c r="Z88" i="35"/>
  <c r="AA88" i="35"/>
  <c r="AB88" i="35"/>
  <c r="AC88" i="35"/>
  <c r="AF88" i="35"/>
  <c r="AG88" i="35"/>
  <c r="AH88" i="35"/>
  <c r="AI88" i="35"/>
  <c r="AJ88" i="35"/>
  <c r="AL88" i="35"/>
  <c r="AM88" i="35"/>
  <c r="AN88" i="35"/>
  <c r="AO88" i="35"/>
  <c r="AP88" i="35"/>
  <c r="AQ88" i="35"/>
  <c r="AR88" i="35"/>
  <c r="AS88" i="35"/>
  <c r="AT88" i="35"/>
  <c r="AU88" i="35"/>
  <c r="AV88" i="35"/>
  <c r="AW88" i="35"/>
  <c r="AX88" i="35"/>
  <c r="AY88" i="35"/>
  <c r="BB88" i="35"/>
  <c r="BC88" i="35"/>
  <c r="BD88" i="35"/>
  <c r="BE88" i="35"/>
  <c r="BF88" i="35"/>
  <c r="BG88" i="35"/>
  <c r="BH88" i="35"/>
  <c r="BI88" i="35"/>
  <c r="BJ88" i="35"/>
  <c r="BK88" i="35"/>
  <c r="BL88" i="35"/>
  <c r="BM88" i="35"/>
  <c r="BN88" i="35"/>
  <c r="BO88" i="35"/>
  <c r="D89" i="35"/>
  <c r="F89" i="35"/>
  <c r="G89" i="35"/>
  <c r="H89" i="35"/>
  <c r="I89" i="35"/>
  <c r="K89" i="35"/>
  <c r="L89" i="35"/>
  <c r="N89" i="35"/>
  <c r="O89" i="35"/>
  <c r="P89" i="35"/>
  <c r="Q89" i="35"/>
  <c r="S89" i="35"/>
  <c r="T89" i="35"/>
  <c r="V89" i="35"/>
  <c r="X89" i="35"/>
  <c r="Y89" i="35"/>
  <c r="Z89" i="35"/>
  <c r="AA89" i="35"/>
  <c r="AB89" i="35"/>
  <c r="AC89" i="35"/>
  <c r="AF89" i="35"/>
  <c r="AG89" i="35"/>
  <c r="AH89" i="35"/>
  <c r="AI89" i="35"/>
  <c r="AJ89" i="35"/>
  <c r="AL89" i="35"/>
  <c r="AM89" i="35"/>
  <c r="AN89" i="35"/>
  <c r="AO89" i="35"/>
  <c r="AP89" i="35"/>
  <c r="AQ89" i="35"/>
  <c r="AR89" i="35"/>
  <c r="AS89" i="35"/>
  <c r="AT89" i="35"/>
  <c r="AU89" i="35"/>
  <c r="AV89" i="35"/>
  <c r="AW89" i="35"/>
  <c r="AX89" i="35"/>
  <c r="AY89" i="35"/>
  <c r="BB89" i="35"/>
  <c r="BC89" i="35"/>
  <c r="BD89" i="35"/>
  <c r="BE89" i="35"/>
  <c r="BF89" i="35"/>
  <c r="BG89" i="35"/>
  <c r="BH89" i="35"/>
  <c r="BI89" i="35"/>
  <c r="BJ89" i="35"/>
  <c r="BK89" i="35"/>
  <c r="BL89" i="35"/>
  <c r="BM89" i="35"/>
  <c r="BN89" i="35"/>
  <c r="BO89" i="35"/>
  <c r="F1" i="36"/>
  <c r="AV1" i="36"/>
  <c r="A2" i="36"/>
  <c r="F2" i="36"/>
  <c r="G2" i="36"/>
  <c r="N2" i="36"/>
  <c r="AV2" i="36"/>
  <c r="AW2" i="36"/>
  <c r="AX2" i="36"/>
  <c r="AY2" i="36"/>
  <c r="BW2" i="36"/>
  <c r="BX2" i="36"/>
  <c r="BY2" i="36"/>
  <c r="BZ2" i="36"/>
  <c r="CA2" i="36"/>
  <c r="CB2" i="36"/>
  <c r="CC2" i="36"/>
  <c r="CD2" i="36"/>
  <c r="CE2" i="36"/>
  <c r="CF2" i="36"/>
  <c r="CG2" i="36"/>
  <c r="CH2" i="36"/>
  <c r="CI2" i="36"/>
  <c r="CJ2" i="36"/>
  <c r="CK2" i="36"/>
  <c r="CL2" i="36"/>
  <c r="CM2" i="36"/>
  <c r="CN2" i="36"/>
  <c r="CO2" i="36"/>
  <c r="CP2" i="36"/>
  <c r="CQ2" i="36"/>
  <c r="CR2" i="36"/>
  <c r="CS2" i="36"/>
  <c r="CT2" i="36"/>
  <c r="CU2" i="36"/>
  <c r="CV2" i="36"/>
  <c r="CW2" i="36"/>
  <c r="CX2" i="36"/>
  <c r="A3" i="36"/>
  <c r="AH3" i="36"/>
  <c r="AK3" i="36"/>
  <c r="AV3" i="36"/>
  <c r="AW3" i="36"/>
  <c r="AX3" i="36"/>
  <c r="AY3" i="36"/>
  <c r="A4" i="36"/>
  <c r="N4" i="36"/>
  <c r="P4" i="36"/>
  <c r="T4" i="36"/>
  <c r="V4" i="36"/>
  <c r="W4" i="36"/>
  <c r="AH4" i="36"/>
  <c r="AK4" i="36"/>
  <c r="AM4" i="36"/>
  <c r="AN4" i="36"/>
  <c r="AO4" i="36"/>
  <c r="AP4" i="36"/>
  <c r="AQ4" i="36"/>
  <c r="AR4" i="36"/>
  <c r="AS4" i="36"/>
  <c r="AT4" i="36"/>
  <c r="AV4" i="36"/>
  <c r="AW4" i="36"/>
  <c r="AX4" i="36"/>
  <c r="AY4" i="36"/>
  <c r="A5" i="36"/>
  <c r="G5" i="36"/>
  <c r="N5" i="36"/>
  <c r="P5" i="36"/>
  <c r="T5" i="36"/>
  <c r="V5" i="36"/>
  <c r="W5" i="36"/>
  <c r="AH5" i="36"/>
  <c r="AK5" i="36"/>
  <c r="AM5" i="36"/>
  <c r="AN5" i="36"/>
  <c r="AO5" i="36"/>
  <c r="AP5" i="36"/>
  <c r="AQ5" i="36"/>
  <c r="AR5" i="36"/>
  <c r="AS5" i="36"/>
  <c r="AT5" i="36"/>
  <c r="AV5" i="36"/>
  <c r="AW5" i="36"/>
  <c r="AX5" i="36"/>
  <c r="AY5" i="36"/>
  <c r="BV5" i="36"/>
  <c r="A6" i="36"/>
  <c r="N6" i="36"/>
  <c r="P6" i="36"/>
  <c r="T6" i="36"/>
  <c r="V6" i="36"/>
  <c r="W6" i="36"/>
  <c r="AH6" i="36"/>
  <c r="AK6" i="36"/>
  <c r="AM6" i="36"/>
  <c r="AN6" i="36"/>
  <c r="AO6" i="36"/>
  <c r="AP6" i="36"/>
  <c r="AQ6" i="36"/>
  <c r="AR6" i="36"/>
  <c r="AS6" i="36"/>
  <c r="AT6" i="36"/>
  <c r="A7" i="36"/>
  <c r="G7" i="36"/>
  <c r="N7" i="36"/>
  <c r="N7" i="36" a="1"/>
  <c r="P7" i="36"/>
  <c r="T7" i="36"/>
  <c r="AH7" i="36"/>
  <c r="AK7" i="36"/>
  <c r="AM7" i="36"/>
  <c r="AN7" i="36"/>
  <c r="AO7" i="36"/>
  <c r="AP7" i="36"/>
  <c r="AQ7" i="36"/>
  <c r="AR7" i="36"/>
  <c r="AS7" i="36"/>
  <c r="AT7" i="36"/>
  <c r="AV7" i="36"/>
  <c r="AW7" i="36"/>
  <c r="AX7" i="36"/>
  <c r="AY7" i="36"/>
  <c r="G8" i="36"/>
  <c r="N8" i="36"/>
  <c r="N8" i="36" a="1"/>
  <c r="P8" i="36"/>
  <c r="T8" i="36"/>
  <c r="V8" i="36"/>
  <c r="W8" i="36"/>
  <c r="Y8" i="36"/>
  <c r="Z8" i="36"/>
  <c r="AH8" i="36"/>
  <c r="AK8" i="36"/>
  <c r="AM8" i="36"/>
  <c r="AN8" i="36"/>
  <c r="AO8" i="36"/>
  <c r="AP8" i="36"/>
  <c r="AQ8" i="36"/>
  <c r="AR8" i="36"/>
  <c r="AS8" i="36"/>
  <c r="AT8" i="36"/>
  <c r="AV8" i="36"/>
  <c r="AW8" i="36"/>
  <c r="AX8" i="36"/>
  <c r="AY8" i="36"/>
  <c r="N9" i="36"/>
  <c r="N9" i="36" a="1"/>
  <c r="P9" i="36"/>
  <c r="AK9" i="36"/>
  <c r="AM9" i="36"/>
  <c r="AN9" i="36"/>
  <c r="AO9" i="36"/>
  <c r="AP9" i="36"/>
  <c r="AQ9" i="36"/>
  <c r="AR9" i="36"/>
  <c r="AS9" i="36"/>
  <c r="AT9" i="36"/>
  <c r="AV9" i="36"/>
  <c r="AW9" i="36"/>
  <c r="AX9" i="36"/>
  <c r="AY9" i="36"/>
  <c r="K10" i="36"/>
  <c r="N10" i="36"/>
  <c r="P10" i="36"/>
  <c r="AH10" i="36"/>
  <c r="AM10" i="36"/>
  <c r="AN10" i="36"/>
  <c r="AO10" i="36"/>
  <c r="AP10" i="36"/>
  <c r="AQ10" i="36"/>
  <c r="AR10" i="36"/>
  <c r="AS10" i="36"/>
  <c r="AT10" i="36"/>
  <c r="AV10" i="36"/>
  <c r="AW10" i="36"/>
  <c r="AX10" i="36"/>
  <c r="AY10" i="36"/>
  <c r="D11" i="36"/>
  <c r="K11" i="36"/>
  <c r="N11" i="36"/>
  <c r="P11" i="36"/>
  <c r="AM11" i="36"/>
  <c r="AN11" i="36"/>
  <c r="AO11" i="36"/>
  <c r="AP11" i="36"/>
  <c r="AQ11" i="36"/>
  <c r="AR11" i="36"/>
  <c r="AS11" i="36"/>
  <c r="AT11" i="36"/>
  <c r="AV11" i="36"/>
  <c r="AW11" i="36"/>
  <c r="AX11" i="36"/>
  <c r="AY11" i="36"/>
  <c r="D12" i="36"/>
  <c r="N12" i="36"/>
  <c r="P12" i="36"/>
  <c r="AH12" i="36"/>
  <c r="AM12" i="36"/>
  <c r="AN12" i="36"/>
  <c r="AO12" i="36"/>
  <c r="AP12" i="36"/>
  <c r="AQ12" i="36"/>
  <c r="AR12" i="36"/>
  <c r="AS12" i="36"/>
  <c r="AT12" i="36"/>
  <c r="AV12" i="36"/>
  <c r="AW12" i="36"/>
  <c r="AX12" i="36"/>
  <c r="AY12" i="36"/>
  <c r="N13" i="36"/>
  <c r="P13" i="36"/>
  <c r="AH13" i="36"/>
  <c r="AM13" i="36"/>
  <c r="AN13" i="36"/>
  <c r="AO13" i="36"/>
  <c r="AP13" i="36"/>
  <c r="AQ13" i="36"/>
  <c r="AR13" i="36"/>
  <c r="AS13" i="36"/>
  <c r="AT13" i="36"/>
  <c r="AV13" i="36"/>
  <c r="AW13" i="36"/>
  <c r="AX13" i="36"/>
  <c r="AY13" i="36"/>
  <c r="N14" i="36"/>
  <c r="P14" i="36"/>
  <c r="S14" i="36"/>
  <c r="T14" i="36"/>
  <c r="AM14" i="36"/>
  <c r="AN14" i="36"/>
  <c r="AO14" i="36"/>
  <c r="AP14" i="36"/>
  <c r="AQ14" i="36"/>
  <c r="AR14" i="36"/>
  <c r="AS14" i="36"/>
  <c r="AT14" i="36"/>
  <c r="AV14" i="36"/>
  <c r="AW14" i="36"/>
  <c r="AX14" i="36"/>
  <c r="AY14" i="36"/>
  <c r="N15" i="36"/>
  <c r="P15" i="36"/>
  <c r="AM15" i="36"/>
  <c r="AN15" i="36"/>
  <c r="AO15" i="36"/>
  <c r="AP15" i="36"/>
  <c r="AQ15" i="36"/>
  <c r="AR15" i="36"/>
  <c r="AS15" i="36"/>
  <c r="AT15" i="36"/>
  <c r="AV15" i="36"/>
  <c r="AW15" i="36"/>
  <c r="AX15" i="36"/>
  <c r="AY15" i="36"/>
  <c r="N16" i="36"/>
  <c r="P16" i="36"/>
  <c r="AV16" i="36"/>
  <c r="AW16" i="36"/>
  <c r="AX16" i="36"/>
  <c r="AY16" i="36"/>
  <c r="N17" i="36"/>
  <c r="P17" i="36"/>
  <c r="AV17" i="36"/>
  <c r="AW17" i="36"/>
  <c r="AX17" i="36"/>
  <c r="AY17" i="36"/>
  <c r="N18" i="36"/>
  <c r="P18" i="36"/>
  <c r="AX18" i="36"/>
  <c r="AY18" i="36"/>
  <c r="N19" i="36"/>
  <c r="P19" i="36"/>
  <c r="S20" i="36"/>
  <c r="T20" i="36"/>
  <c r="AM20" i="36"/>
  <c r="AO20" i="36"/>
  <c r="AV20" i="36"/>
  <c r="AW20" i="36"/>
  <c r="AX20" i="36"/>
  <c r="AY20" i="36"/>
  <c r="D22" i="36"/>
  <c r="F22" i="36"/>
  <c r="G22" i="36"/>
  <c r="H22" i="36"/>
  <c r="I22" i="36"/>
  <c r="K22" i="36"/>
  <c r="L22" i="36"/>
  <c r="N22" i="36"/>
  <c r="O22" i="36"/>
  <c r="P22" i="36"/>
  <c r="Q22" i="36"/>
  <c r="S22" i="36"/>
  <c r="T22" i="36"/>
  <c r="V22" i="36"/>
  <c r="X22" i="36"/>
  <c r="Y22" i="36"/>
  <c r="Z22" i="36"/>
  <c r="AA22" i="36"/>
  <c r="AB22" i="36"/>
  <c r="AC22" i="36"/>
  <c r="AF22" i="36"/>
  <c r="AG22" i="36"/>
  <c r="AH22" i="36"/>
  <c r="AI22" i="36"/>
  <c r="AJ22" i="36"/>
  <c r="AL22" i="36"/>
  <c r="AM22" i="36"/>
  <c r="AN22" i="36"/>
  <c r="AO22" i="36"/>
  <c r="AP22" i="36"/>
  <c r="AQ22" i="36"/>
  <c r="AR22" i="36"/>
  <c r="AS22" i="36"/>
  <c r="AT22" i="36"/>
  <c r="AU22" i="36"/>
  <c r="AV22" i="36"/>
  <c r="AW22" i="36"/>
  <c r="AX22" i="36"/>
  <c r="AY22" i="36"/>
  <c r="BB22" i="36"/>
  <c r="BC22" i="36"/>
  <c r="BD22" i="36"/>
  <c r="BE22" i="36"/>
  <c r="BF22" i="36"/>
  <c r="BG22" i="36"/>
  <c r="BH22" i="36"/>
  <c r="BI22" i="36"/>
  <c r="BJ22" i="36"/>
  <c r="BK22" i="36"/>
  <c r="BL22" i="36"/>
  <c r="BM22" i="36"/>
  <c r="BN22" i="36"/>
  <c r="BO22" i="36"/>
  <c r="D23" i="36"/>
  <c r="F23" i="36"/>
  <c r="G23" i="36"/>
  <c r="H23" i="36"/>
  <c r="I23" i="36"/>
  <c r="K23" i="36"/>
  <c r="L23" i="36"/>
  <c r="N23" i="36"/>
  <c r="O23" i="36"/>
  <c r="P23" i="36"/>
  <c r="Q23" i="36"/>
  <c r="S23" i="36"/>
  <c r="T23" i="36"/>
  <c r="V23" i="36"/>
  <c r="X23" i="36"/>
  <c r="Y23" i="36"/>
  <c r="Z23" i="36"/>
  <c r="AA23" i="36"/>
  <c r="AB23" i="36"/>
  <c r="AC23" i="36"/>
  <c r="AF23" i="36"/>
  <c r="AG23" i="36"/>
  <c r="AH23" i="36"/>
  <c r="AI23" i="36"/>
  <c r="AJ23" i="36"/>
  <c r="AL23" i="36"/>
  <c r="AM23" i="36"/>
  <c r="AN23" i="36"/>
  <c r="AO23" i="36"/>
  <c r="AP23" i="36"/>
  <c r="AQ23" i="36"/>
  <c r="AR23" i="36"/>
  <c r="AS23" i="36"/>
  <c r="AT23" i="36"/>
  <c r="AU23" i="36"/>
  <c r="AV23" i="36"/>
  <c r="AW23" i="36"/>
  <c r="AX23" i="36"/>
  <c r="AY23" i="36"/>
  <c r="BB23" i="36"/>
  <c r="BC23" i="36"/>
  <c r="BD23" i="36"/>
  <c r="BE23" i="36"/>
  <c r="BF23" i="36"/>
  <c r="BG23" i="36"/>
  <c r="BH23" i="36"/>
  <c r="BI23" i="36"/>
  <c r="BJ23" i="36"/>
  <c r="BK23" i="36"/>
  <c r="BL23" i="36"/>
  <c r="BM23" i="36"/>
  <c r="BN23" i="36"/>
  <c r="BO23" i="36"/>
  <c r="D24" i="36"/>
  <c r="F24" i="36"/>
  <c r="G24" i="36"/>
  <c r="H24" i="36"/>
  <c r="I24" i="36"/>
  <c r="K24" i="36"/>
  <c r="L24" i="36"/>
  <c r="N24" i="36"/>
  <c r="O24" i="36"/>
  <c r="P24" i="36"/>
  <c r="Q24" i="36"/>
  <c r="S24" i="36"/>
  <c r="T24" i="36"/>
  <c r="V24" i="36"/>
  <c r="X24" i="36"/>
  <c r="Y24" i="36"/>
  <c r="Z24" i="36"/>
  <c r="AA24" i="36"/>
  <c r="AB24" i="36"/>
  <c r="AC24" i="36"/>
  <c r="AF24" i="36"/>
  <c r="AG24" i="36"/>
  <c r="AH24" i="36"/>
  <c r="AI24" i="36"/>
  <c r="AJ24" i="36"/>
  <c r="AL24" i="36"/>
  <c r="AM24" i="36"/>
  <c r="AN24" i="36"/>
  <c r="AO24" i="36"/>
  <c r="AP24" i="36"/>
  <c r="AQ24" i="36"/>
  <c r="AR24" i="36"/>
  <c r="AS24" i="36"/>
  <c r="AT24" i="36"/>
  <c r="AU24" i="36"/>
  <c r="AV24" i="36"/>
  <c r="AW24" i="36"/>
  <c r="AX24" i="36"/>
  <c r="AY24" i="36"/>
  <c r="BB24" i="36"/>
  <c r="BC24" i="36"/>
  <c r="BD24" i="36"/>
  <c r="BE24" i="36"/>
  <c r="BF24" i="36"/>
  <c r="BG24" i="36"/>
  <c r="BH24" i="36"/>
  <c r="BI24" i="36"/>
  <c r="BJ24" i="36"/>
  <c r="BK24" i="36"/>
  <c r="BL24" i="36"/>
  <c r="BM24" i="36"/>
  <c r="BN24" i="36"/>
  <c r="BO24" i="36"/>
  <c r="D25" i="36"/>
  <c r="F25" i="36"/>
  <c r="G25" i="36"/>
  <c r="H25" i="36"/>
  <c r="I25" i="36"/>
  <c r="K25" i="36"/>
  <c r="L25" i="36"/>
  <c r="N25" i="36"/>
  <c r="O25" i="36"/>
  <c r="P25" i="36"/>
  <c r="Q25" i="36"/>
  <c r="S25" i="36"/>
  <c r="T25" i="36"/>
  <c r="V25" i="36"/>
  <c r="X25" i="36"/>
  <c r="Y25" i="36"/>
  <c r="Z25" i="36"/>
  <c r="AA25" i="36"/>
  <c r="AB25" i="36"/>
  <c r="AC25" i="36"/>
  <c r="AF25" i="36"/>
  <c r="AG25" i="36"/>
  <c r="AH25" i="36"/>
  <c r="AI25" i="36"/>
  <c r="AJ25" i="36"/>
  <c r="AL25" i="36"/>
  <c r="AM25" i="36"/>
  <c r="AN25" i="36"/>
  <c r="AO25" i="36"/>
  <c r="AP25" i="36"/>
  <c r="AQ25" i="36"/>
  <c r="AR25" i="36"/>
  <c r="AS25" i="36"/>
  <c r="AT25" i="36"/>
  <c r="AU25" i="36"/>
  <c r="AV25" i="36"/>
  <c r="AW25" i="36"/>
  <c r="AX25" i="36"/>
  <c r="AY25" i="36"/>
  <c r="BB25" i="36"/>
  <c r="BC25" i="36"/>
  <c r="BD25" i="36"/>
  <c r="BE25" i="36"/>
  <c r="BF25" i="36"/>
  <c r="BG25" i="36"/>
  <c r="BH25" i="36"/>
  <c r="BI25" i="36"/>
  <c r="BJ25" i="36"/>
  <c r="BK25" i="36"/>
  <c r="BL25" i="36"/>
  <c r="BM25" i="36"/>
  <c r="BN25" i="36"/>
  <c r="BO25" i="36"/>
  <c r="D26" i="36"/>
  <c r="F26" i="36"/>
  <c r="G26" i="36"/>
  <c r="H26" i="36"/>
  <c r="I26" i="36"/>
  <c r="K26" i="36"/>
  <c r="L26" i="36"/>
  <c r="N26" i="36"/>
  <c r="O26" i="36"/>
  <c r="P26" i="36"/>
  <c r="Q26" i="36"/>
  <c r="S26" i="36"/>
  <c r="T26" i="36"/>
  <c r="V26" i="36"/>
  <c r="X26" i="36"/>
  <c r="Y26" i="36"/>
  <c r="Z26" i="36"/>
  <c r="AA26" i="36"/>
  <c r="AB26" i="36"/>
  <c r="AC26" i="36"/>
  <c r="AF26" i="36"/>
  <c r="AG26" i="36"/>
  <c r="AH26" i="36"/>
  <c r="AI26" i="36"/>
  <c r="AJ26" i="36"/>
  <c r="AL26" i="36"/>
  <c r="AM26" i="36"/>
  <c r="AN26" i="36"/>
  <c r="AO26" i="36"/>
  <c r="AP26" i="36"/>
  <c r="AQ26" i="36"/>
  <c r="AR26" i="36"/>
  <c r="AS26" i="36"/>
  <c r="AT26" i="36"/>
  <c r="AU26" i="36"/>
  <c r="AV26" i="36"/>
  <c r="AW26" i="36"/>
  <c r="AX26" i="36"/>
  <c r="AY26" i="36"/>
  <c r="BB26" i="36"/>
  <c r="BC26" i="36"/>
  <c r="BD26" i="36"/>
  <c r="BE26" i="36"/>
  <c r="BF26" i="36"/>
  <c r="BG26" i="36"/>
  <c r="BH26" i="36"/>
  <c r="BI26" i="36"/>
  <c r="BJ26" i="36"/>
  <c r="BK26" i="36"/>
  <c r="BL26" i="36"/>
  <c r="BM26" i="36"/>
  <c r="BN26" i="36"/>
  <c r="BO26" i="36"/>
  <c r="D27" i="36"/>
  <c r="F27" i="36"/>
  <c r="G27" i="36"/>
  <c r="H27" i="36"/>
  <c r="I27" i="36"/>
  <c r="K27" i="36"/>
  <c r="L27" i="36"/>
  <c r="N27" i="36"/>
  <c r="O27" i="36"/>
  <c r="P27" i="36"/>
  <c r="Q27" i="36"/>
  <c r="S27" i="36"/>
  <c r="T27" i="36"/>
  <c r="V27" i="36"/>
  <c r="X27" i="36"/>
  <c r="Y27" i="36"/>
  <c r="Z27" i="36"/>
  <c r="AA27" i="36"/>
  <c r="AB27" i="36"/>
  <c r="AC27" i="36"/>
  <c r="AF27" i="36"/>
  <c r="AG27" i="36"/>
  <c r="AH27" i="36"/>
  <c r="AI27" i="36"/>
  <c r="AJ27" i="36"/>
  <c r="AL27" i="36"/>
  <c r="AM27" i="36"/>
  <c r="AN27" i="36"/>
  <c r="AO27" i="36"/>
  <c r="AP27" i="36"/>
  <c r="AQ27" i="36"/>
  <c r="AR27" i="36"/>
  <c r="AS27" i="36"/>
  <c r="AT27" i="36"/>
  <c r="AU27" i="36"/>
  <c r="AV27" i="36"/>
  <c r="AW27" i="36"/>
  <c r="AX27" i="36"/>
  <c r="AY27" i="36"/>
  <c r="BB27" i="36"/>
  <c r="BC27" i="36"/>
  <c r="BD27" i="36"/>
  <c r="BE27" i="36"/>
  <c r="BF27" i="36"/>
  <c r="BG27" i="36"/>
  <c r="BH27" i="36"/>
  <c r="BI27" i="36"/>
  <c r="BJ27" i="36"/>
  <c r="BK27" i="36"/>
  <c r="BL27" i="36"/>
  <c r="BM27" i="36"/>
  <c r="BN27" i="36"/>
  <c r="BO27" i="36"/>
  <c r="D28" i="36"/>
  <c r="F28" i="36"/>
  <c r="G28" i="36"/>
  <c r="H28" i="36"/>
  <c r="I28" i="36"/>
  <c r="K28" i="36"/>
  <c r="L28" i="36"/>
  <c r="N28" i="36"/>
  <c r="O28" i="36"/>
  <c r="P28" i="36"/>
  <c r="Q28" i="36"/>
  <c r="S28" i="36"/>
  <c r="T28" i="36"/>
  <c r="V28" i="36"/>
  <c r="X28" i="36"/>
  <c r="Y28" i="36"/>
  <c r="Z28" i="36"/>
  <c r="AA28" i="36"/>
  <c r="AB28" i="36"/>
  <c r="AC28" i="36"/>
  <c r="AF28" i="36"/>
  <c r="AG28" i="36"/>
  <c r="AH28" i="36"/>
  <c r="AI28" i="36"/>
  <c r="AJ28" i="36"/>
  <c r="AL28" i="36"/>
  <c r="AM28" i="36"/>
  <c r="AN28" i="36"/>
  <c r="AO28" i="36"/>
  <c r="AP28" i="36"/>
  <c r="AQ28" i="36"/>
  <c r="AR28" i="36"/>
  <c r="AS28" i="36"/>
  <c r="AT28" i="36"/>
  <c r="AU28" i="36"/>
  <c r="AV28" i="36"/>
  <c r="AW28" i="36"/>
  <c r="AX28" i="36"/>
  <c r="AY28" i="36"/>
  <c r="BB28" i="36"/>
  <c r="BC28" i="36"/>
  <c r="BD28" i="36"/>
  <c r="BE28" i="36"/>
  <c r="BF28" i="36"/>
  <c r="BG28" i="36"/>
  <c r="BH28" i="36"/>
  <c r="BI28" i="36"/>
  <c r="BJ28" i="36"/>
  <c r="BK28" i="36"/>
  <c r="BL28" i="36"/>
  <c r="BM28" i="36"/>
  <c r="BN28" i="36"/>
  <c r="BO28" i="36"/>
  <c r="D29" i="36"/>
  <c r="F29" i="36"/>
  <c r="G29" i="36"/>
  <c r="H29" i="36"/>
  <c r="I29" i="36"/>
  <c r="K29" i="36"/>
  <c r="L29" i="36"/>
  <c r="N29" i="36"/>
  <c r="O29" i="36"/>
  <c r="P29" i="36"/>
  <c r="Q29" i="36"/>
  <c r="S29" i="36"/>
  <c r="T29" i="36"/>
  <c r="V29" i="36"/>
  <c r="X29" i="36"/>
  <c r="Y29" i="36"/>
  <c r="Z29" i="36"/>
  <c r="AA29" i="36"/>
  <c r="AB29" i="36"/>
  <c r="AC29" i="36"/>
  <c r="AF29" i="36"/>
  <c r="AG29" i="36"/>
  <c r="AH29" i="36"/>
  <c r="AI29" i="36"/>
  <c r="AJ29" i="36"/>
  <c r="AL29" i="36"/>
  <c r="AM29" i="36"/>
  <c r="AN29" i="36"/>
  <c r="AO29" i="36"/>
  <c r="AP29" i="36"/>
  <c r="AQ29" i="36"/>
  <c r="AR29" i="36"/>
  <c r="AS29" i="36"/>
  <c r="AT29" i="36"/>
  <c r="AU29" i="36"/>
  <c r="AV29" i="36"/>
  <c r="AW29" i="36"/>
  <c r="AX29" i="36"/>
  <c r="AY29" i="36"/>
  <c r="BB29" i="36"/>
  <c r="BC29" i="36"/>
  <c r="BD29" i="36"/>
  <c r="BE29" i="36"/>
  <c r="BF29" i="36"/>
  <c r="BG29" i="36"/>
  <c r="BH29" i="36"/>
  <c r="BI29" i="36"/>
  <c r="BJ29" i="36"/>
  <c r="BK29" i="36"/>
  <c r="BL29" i="36"/>
  <c r="BM29" i="36"/>
  <c r="BN29" i="36"/>
  <c r="BO29" i="36"/>
  <c r="D30" i="36"/>
  <c r="F30" i="36"/>
  <c r="G30" i="36"/>
  <c r="H30" i="36"/>
  <c r="I30" i="36"/>
  <c r="K30" i="36"/>
  <c r="L30" i="36"/>
  <c r="N30" i="36"/>
  <c r="O30" i="36"/>
  <c r="P30" i="36"/>
  <c r="Q30" i="36"/>
  <c r="S30" i="36"/>
  <c r="T30" i="36"/>
  <c r="V30" i="36"/>
  <c r="X30" i="36"/>
  <c r="Y30" i="36"/>
  <c r="Z30" i="36"/>
  <c r="AA30" i="36"/>
  <c r="AB30" i="36"/>
  <c r="AC30" i="36"/>
  <c r="AF30" i="36"/>
  <c r="AG30" i="36"/>
  <c r="AH30" i="36"/>
  <c r="AI30" i="36"/>
  <c r="AJ30" i="36"/>
  <c r="AL30" i="36"/>
  <c r="AM30" i="36"/>
  <c r="AN30" i="36"/>
  <c r="AO30" i="36"/>
  <c r="AP30" i="36"/>
  <c r="AQ30" i="36"/>
  <c r="AR30" i="36"/>
  <c r="AS30" i="36"/>
  <c r="AT30" i="36"/>
  <c r="AU30" i="36"/>
  <c r="AV30" i="36"/>
  <c r="AW30" i="36"/>
  <c r="AX30" i="36"/>
  <c r="AY30" i="36"/>
  <c r="BB30" i="36"/>
  <c r="BC30" i="36"/>
  <c r="BD30" i="36"/>
  <c r="BE30" i="36"/>
  <c r="BF30" i="36"/>
  <c r="BG30" i="36"/>
  <c r="BH30" i="36"/>
  <c r="BI30" i="36"/>
  <c r="BJ30" i="36"/>
  <c r="BK30" i="36"/>
  <c r="BL30" i="36"/>
  <c r="BM30" i="36"/>
  <c r="BN30" i="36"/>
  <c r="BO30" i="36"/>
  <c r="D31" i="36"/>
  <c r="F31" i="36"/>
  <c r="G31" i="36"/>
  <c r="H31" i="36"/>
  <c r="I31" i="36"/>
  <c r="K31" i="36"/>
  <c r="L31" i="36"/>
  <c r="N31" i="36"/>
  <c r="O31" i="36"/>
  <c r="P31" i="36"/>
  <c r="Q31" i="36"/>
  <c r="S31" i="36"/>
  <c r="T31" i="36"/>
  <c r="V31" i="36"/>
  <c r="X31" i="36"/>
  <c r="Y31" i="36"/>
  <c r="Z31" i="36"/>
  <c r="AA31" i="36"/>
  <c r="AB31" i="36"/>
  <c r="AC31" i="36"/>
  <c r="AF31" i="36"/>
  <c r="AG31" i="36"/>
  <c r="AH31" i="36"/>
  <c r="AI31" i="36"/>
  <c r="AJ31" i="36"/>
  <c r="AL31" i="36"/>
  <c r="AM31" i="36"/>
  <c r="AN31" i="36"/>
  <c r="AO31" i="36"/>
  <c r="AP31" i="36"/>
  <c r="AQ31" i="36"/>
  <c r="AR31" i="36"/>
  <c r="AS31" i="36"/>
  <c r="AT31" i="36"/>
  <c r="AU31" i="36"/>
  <c r="AV31" i="36"/>
  <c r="AW31" i="36"/>
  <c r="AX31" i="36"/>
  <c r="AY31" i="36"/>
  <c r="BB31" i="36"/>
  <c r="BC31" i="36"/>
  <c r="BD31" i="36"/>
  <c r="BE31" i="36"/>
  <c r="BF31" i="36"/>
  <c r="BG31" i="36"/>
  <c r="BH31" i="36"/>
  <c r="BI31" i="36"/>
  <c r="BJ31" i="36"/>
  <c r="BK31" i="36"/>
  <c r="BL31" i="36"/>
  <c r="BM31" i="36"/>
  <c r="BN31" i="36"/>
  <c r="BO31" i="36"/>
  <c r="D32" i="36"/>
  <c r="F32" i="36"/>
  <c r="G32" i="36"/>
  <c r="H32" i="36"/>
  <c r="I32" i="36"/>
  <c r="K32" i="36"/>
  <c r="L32" i="36"/>
  <c r="N32" i="36"/>
  <c r="O32" i="36"/>
  <c r="P32" i="36"/>
  <c r="Q32" i="36"/>
  <c r="S32" i="36"/>
  <c r="T32" i="36"/>
  <c r="V32" i="36"/>
  <c r="X32" i="36"/>
  <c r="Y32" i="36"/>
  <c r="Z32" i="36"/>
  <c r="AA32" i="36"/>
  <c r="AB32" i="36"/>
  <c r="AC32" i="36"/>
  <c r="AF32" i="36"/>
  <c r="AG32" i="36"/>
  <c r="AH32" i="36"/>
  <c r="AI32" i="36"/>
  <c r="AJ32" i="36"/>
  <c r="AL32" i="36"/>
  <c r="AM32" i="36"/>
  <c r="AN32" i="36"/>
  <c r="AO32" i="36"/>
  <c r="AP32" i="36"/>
  <c r="AQ32" i="36"/>
  <c r="AR32" i="36"/>
  <c r="AS32" i="36"/>
  <c r="AT32" i="36"/>
  <c r="AU32" i="36"/>
  <c r="AV32" i="36"/>
  <c r="AW32" i="36"/>
  <c r="AX32" i="36"/>
  <c r="AY32" i="36"/>
  <c r="BB32" i="36"/>
  <c r="BC32" i="36"/>
  <c r="BD32" i="36"/>
  <c r="BE32" i="36"/>
  <c r="BF32" i="36"/>
  <c r="BG32" i="36"/>
  <c r="BH32" i="36"/>
  <c r="BI32" i="36"/>
  <c r="BJ32" i="36"/>
  <c r="BK32" i="36"/>
  <c r="BL32" i="36"/>
  <c r="BM32" i="36"/>
  <c r="BN32" i="36"/>
  <c r="BO32" i="36"/>
  <c r="D33" i="36"/>
  <c r="F33" i="36"/>
  <c r="G33" i="36"/>
  <c r="H33" i="36"/>
  <c r="I33" i="36"/>
  <c r="K33" i="36"/>
  <c r="L33" i="36"/>
  <c r="N33" i="36"/>
  <c r="O33" i="36"/>
  <c r="P33" i="36"/>
  <c r="Q33" i="36"/>
  <c r="S33" i="36"/>
  <c r="T33" i="36"/>
  <c r="V33" i="36"/>
  <c r="X33" i="36"/>
  <c r="Y33" i="36"/>
  <c r="Z33" i="36"/>
  <c r="AA33" i="36"/>
  <c r="AB33" i="36"/>
  <c r="AC33" i="36"/>
  <c r="AF33" i="36"/>
  <c r="AG33" i="36"/>
  <c r="AH33" i="36"/>
  <c r="AI33" i="36"/>
  <c r="AJ33" i="36"/>
  <c r="AL33" i="36"/>
  <c r="AM33" i="36"/>
  <c r="AN33" i="36"/>
  <c r="AO33" i="36"/>
  <c r="AP33" i="36"/>
  <c r="AQ33" i="36"/>
  <c r="AR33" i="36"/>
  <c r="AS33" i="36"/>
  <c r="AT33" i="36"/>
  <c r="AU33" i="36"/>
  <c r="AV33" i="36"/>
  <c r="AW33" i="36"/>
  <c r="AX33" i="36"/>
  <c r="AY33" i="36"/>
  <c r="BB33" i="36"/>
  <c r="BC33" i="36"/>
  <c r="BD33" i="36"/>
  <c r="BE33" i="36"/>
  <c r="BF33" i="36"/>
  <c r="BG33" i="36"/>
  <c r="BH33" i="36"/>
  <c r="BI33" i="36"/>
  <c r="BJ33" i="36"/>
  <c r="BK33" i="36"/>
  <c r="BL33" i="36"/>
  <c r="BM33" i="36"/>
  <c r="BN33" i="36"/>
  <c r="BO33" i="36"/>
  <c r="D34" i="36"/>
  <c r="F34" i="36"/>
  <c r="G34" i="36"/>
  <c r="H34" i="36"/>
  <c r="I34" i="36"/>
  <c r="K34" i="36"/>
  <c r="L34" i="36"/>
  <c r="N34" i="36"/>
  <c r="O34" i="36"/>
  <c r="P34" i="36"/>
  <c r="Q34" i="36"/>
  <c r="S34" i="36"/>
  <c r="T34" i="36"/>
  <c r="V34" i="36"/>
  <c r="X34" i="36"/>
  <c r="Y34" i="36"/>
  <c r="Z34" i="36"/>
  <c r="AA34" i="36"/>
  <c r="AB34" i="36"/>
  <c r="AC34" i="36"/>
  <c r="AF34" i="36"/>
  <c r="AG34" i="36"/>
  <c r="AH34" i="36"/>
  <c r="AI34" i="36"/>
  <c r="AJ34" i="36"/>
  <c r="AL34" i="36"/>
  <c r="AM34" i="36"/>
  <c r="AN34" i="36"/>
  <c r="AO34" i="36"/>
  <c r="AP34" i="36"/>
  <c r="AQ34" i="36"/>
  <c r="AR34" i="36"/>
  <c r="AS34" i="36"/>
  <c r="AT34" i="36"/>
  <c r="AU34" i="36"/>
  <c r="AV34" i="36"/>
  <c r="AW34" i="36"/>
  <c r="AX34" i="36"/>
  <c r="AY34" i="36"/>
  <c r="BB34" i="36"/>
  <c r="BC34" i="36"/>
  <c r="BD34" i="36"/>
  <c r="BE34" i="36"/>
  <c r="BF34" i="36"/>
  <c r="BG34" i="36"/>
  <c r="BH34" i="36"/>
  <c r="BI34" i="36"/>
  <c r="BJ34" i="36"/>
  <c r="BK34" i="36"/>
  <c r="BL34" i="36"/>
  <c r="BM34" i="36"/>
  <c r="BN34" i="36"/>
  <c r="BO34" i="36"/>
  <c r="D35" i="36"/>
  <c r="F35" i="36"/>
  <c r="G35" i="36"/>
  <c r="H35" i="36"/>
  <c r="I35" i="36"/>
  <c r="K35" i="36"/>
  <c r="L35" i="36"/>
  <c r="N35" i="36"/>
  <c r="O35" i="36"/>
  <c r="P35" i="36"/>
  <c r="Q35" i="36"/>
  <c r="S35" i="36"/>
  <c r="T35" i="36"/>
  <c r="V35" i="36"/>
  <c r="X35" i="36"/>
  <c r="Y35" i="36"/>
  <c r="Z35" i="36"/>
  <c r="AA35" i="36"/>
  <c r="AB35" i="36"/>
  <c r="AC35" i="36"/>
  <c r="AF35" i="36"/>
  <c r="AG35" i="36"/>
  <c r="AH35" i="36"/>
  <c r="AI35" i="36"/>
  <c r="AJ35" i="36"/>
  <c r="AL35" i="36"/>
  <c r="AM35" i="36"/>
  <c r="AN35" i="36"/>
  <c r="AO35" i="36"/>
  <c r="AP35" i="36"/>
  <c r="AQ35" i="36"/>
  <c r="AR35" i="36"/>
  <c r="AS35" i="36"/>
  <c r="AT35" i="36"/>
  <c r="AU35" i="36"/>
  <c r="AV35" i="36"/>
  <c r="AW35" i="36"/>
  <c r="AX35" i="36"/>
  <c r="AY35" i="36"/>
  <c r="BB35" i="36"/>
  <c r="BC35" i="36"/>
  <c r="BD35" i="36"/>
  <c r="BE35" i="36"/>
  <c r="BF35" i="36"/>
  <c r="BG35" i="36"/>
  <c r="BH35" i="36"/>
  <c r="BI35" i="36"/>
  <c r="BJ35" i="36"/>
  <c r="BK35" i="36"/>
  <c r="BL35" i="36"/>
  <c r="BM35" i="36"/>
  <c r="BN35" i="36"/>
  <c r="BO35" i="36"/>
  <c r="D36" i="36"/>
  <c r="F36" i="36"/>
  <c r="G36" i="36"/>
  <c r="H36" i="36"/>
  <c r="I36" i="36"/>
  <c r="K36" i="36"/>
  <c r="L36" i="36"/>
  <c r="N36" i="36"/>
  <c r="O36" i="36"/>
  <c r="P36" i="36"/>
  <c r="Q36" i="36"/>
  <c r="S36" i="36"/>
  <c r="T36" i="36"/>
  <c r="V36" i="36"/>
  <c r="X36" i="36"/>
  <c r="Y36" i="36"/>
  <c r="Z36" i="36"/>
  <c r="AA36" i="36"/>
  <c r="AB36" i="36"/>
  <c r="AC36" i="36"/>
  <c r="AF36" i="36"/>
  <c r="AG36" i="36"/>
  <c r="AH36" i="36"/>
  <c r="AI36" i="36"/>
  <c r="AJ36" i="36"/>
  <c r="AL36" i="36"/>
  <c r="AM36" i="36"/>
  <c r="AN36" i="36"/>
  <c r="AO36" i="36"/>
  <c r="AP36" i="36"/>
  <c r="AQ36" i="36"/>
  <c r="AR36" i="36"/>
  <c r="AS36" i="36"/>
  <c r="AT36" i="36"/>
  <c r="AU36" i="36"/>
  <c r="AV36" i="36"/>
  <c r="AW36" i="36"/>
  <c r="AX36" i="36"/>
  <c r="AY36" i="36"/>
  <c r="BB36" i="36"/>
  <c r="BC36" i="36"/>
  <c r="BD36" i="36"/>
  <c r="BE36" i="36"/>
  <c r="BF36" i="36"/>
  <c r="BG36" i="36"/>
  <c r="BH36" i="36"/>
  <c r="BI36" i="36"/>
  <c r="BJ36" i="36"/>
  <c r="BK36" i="36"/>
  <c r="BL36" i="36"/>
  <c r="BM36" i="36"/>
  <c r="BN36" i="36"/>
  <c r="BO36" i="36"/>
  <c r="D37" i="36"/>
  <c r="F37" i="36"/>
  <c r="G37" i="36"/>
  <c r="H37" i="36"/>
  <c r="I37" i="36"/>
  <c r="K37" i="36"/>
  <c r="L37" i="36"/>
  <c r="N37" i="36"/>
  <c r="O37" i="36"/>
  <c r="P37" i="36"/>
  <c r="Q37" i="36"/>
  <c r="S37" i="36"/>
  <c r="T37" i="36"/>
  <c r="V37" i="36"/>
  <c r="X37" i="36"/>
  <c r="Y37" i="36"/>
  <c r="Z37" i="36"/>
  <c r="AA37" i="36"/>
  <c r="AB37" i="36"/>
  <c r="AC37" i="36"/>
  <c r="AF37" i="36"/>
  <c r="AG37" i="36"/>
  <c r="AH37" i="36"/>
  <c r="AI37" i="36"/>
  <c r="AJ37" i="36"/>
  <c r="AL37" i="36"/>
  <c r="AM37" i="36"/>
  <c r="AN37" i="36"/>
  <c r="AO37" i="36"/>
  <c r="AP37" i="36"/>
  <c r="AQ37" i="36"/>
  <c r="AR37" i="36"/>
  <c r="AS37" i="36"/>
  <c r="AT37" i="36"/>
  <c r="AU37" i="36"/>
  <c r="AV37" i="36"/>
  <c r="AW37" i="36"/>
  <c r="AX37" i="36"/>
  <c r="AY37" i="36"/>
  <c r="BB37" i="36"/>
  <c r="BC37" i="36"/>
  <c r="BD37" i="36"/>
  <c r="BE37" i="36"/>
  <c r="BF37" i="36"/>
  <c r="BG37" i="36"/>
  <c r="BH37" i="36"/>
  <c r="BI37" i="36"/>
  <c r="BJ37" i="36"/>
  <c r="BK37" i="36"/>
  <c r="BL37" i="36"/>
  <c r="BM37" i="36"/>
  <c r="BN37" i="36"/>
  <c r="BO37" i="36"/>
  <c r="D38" i="36"/>
  <c r="F38" i="36"/>
  <c r="G38" i="36"/>
  <c r="H38" i="36"/>
  <c r="I38" i="36"/>
  <c r="K38" i="36"/>
  <c r="L38" i="36"/>
  <c r="N38" i="36"/>
  <c r="O38" i="36"/>
  <c r="P38" i="36"/>
  <c r="Q38" i="36"/>
  <c r="S38" i="36"/>
  <c r="T38" i="36"/>
  <c r="V38" i="36"/>
  <c r="X38" i="36"/>
  <c r="Y38" i="36"/>
  <c r="Z38" i="36"/>
  <c r="AA38" i="36"/>
  <c r="AB38" i="36"/>
  <c r="AC38" i="36"/>
  <c r="AF38" i="36"/>
  <c r="AG38" i="36"/>
  <c r="AH38" i="36"/>
  <c r="AI38" i="36"/>
  <c r="AJ38" i="36"/>
  <c r="AL38" i="36"/>
  <c r="AM38" i="36"/>
  <c r="AN38" i="36"/>
  <c r="AO38" i="36"/>
  <c r="AP38" i="36"/>
  <c r="AQ38" i="36"/>
  <c r="AR38" i="36"/>
  <c r="AS38" i="36"/>
  <c r="AT38" i="36"/>
  <c r="AU38" i="36"/>
  <c r="AV38" i="36"/>
  <c r="AW38" i="36"/>
  <c r="AX38" i="36"/>
  <c r="AY38" i="36"/>
  <c r="BB38" i="36"/>
  <c r="BC38" i="36"/>
  <c r="BD38" i="36"/>
  <c r="BE38" i="36"/>
  <c r="BF38" i="36"/>
  <c r="BG38" i="36"/>
  <c r="BH38" i="36"/>
  <c r="BI38" i="36"/>
  <c r="BJ38" i="36"/>
  <c r="BK38" i="36"/>
  <c r="BL38" i="36"/>
  <c r="BM38" i="36"/>
  <c r="BN38" i="36"/>
  <c r="BO38" i="36"/>
  <c r="D39" i="36"/>
  <c r="F39" i="36"/>
  <c r="G39" i="36"/>
  <c r="H39" i="36"/>
  <c r="I39" i="36"/>
  <c r="K39" i="36"/>
  <c r="L39" i="36"/>
  <c r="N39" i="36"/>
  <c r="O39" i="36"/>
  <c r="P39" i="36"/>
  <c r="Q39" i="36"/>
  <c r="S39" i="36"/>
  <c r="T39" i="36"/>
  <c r="V39" i="36"/>
  <c r="X39" i="36"/>
  <c r="Y39" i="36"/>
  <c r="Z39" i="36"/>
  <c r="AA39" i="36"/>
  <c r="AB39" i="36"/>
  <c r="AC39" i="36"/>
  <c r="AF39" i="36"/>
  <c r="AG39" i="36"/>
  <c r="AH39" i="36"/>
  <c r="AI39" i="36"/>
  <c r="AJ39" i="36"/>
  <c r="AL39" i="36"/>
  <c r="AM39" i="36"/>
  <c r="AN39" i="36"/>
  <c r="AO39" i="36"/>
  <c r="AP39" i="36"/>
  <c r="AQ39" i="36"/>
  <c r="AR39" i="36"/>
  <c r="AS39" i="36"/>
  <c r="AT39" i="36"/>
  <c r="AU39" i="36"/>
  <c r="AV39" i="36"/>
  <c r="AW39" i="36"/>
  <c r="AX39" i="36"/>
  <c r="AY39" i="36"/>
  <c r="BB39" i="36"/>
  <c r="BC39" i="36"/>
  <c r="BD39" i="36"/>
  <c r="BE39" i="36"/>
  <c r="BF39" i="36"/>
  <c r="BG39" i="36"/>
  <c r="BH39" i="36"/>
  <c r="BI39" i="36"/>
  <c r="BJ39" i="36"/>
  <c r="BK39" i="36"/>
  <c r="BL39" i="36"/>
  <c r="BM39" i="36"/>
  <c r="BN39" i="36"/>
  <c r="BO39" i="36"/>
  <c r="D40" i="36"/>
  <c r="F40" i="36"/>
  <c r="G40" i="36"/>
  <c r="H40" i="36"/>
  <c r="I40" i="36"/>
  <c r="K40" i="36"/>
  <c r="L40" i="36"/>
  <c r="N40" i="36"/>
  <c r="O40" i="36"/>
  <c r="P40" i="36"/>
  <c r="Q40" i="36"/>
  <c r="S40" i="36"/>
  <c r="T40" i="36"/>
  <c r="V40" i="36"/>
  <c r="X40" i="36"/>
  <c r="Y40" i="36"/>
  <c r="Z40" i="36"/>
  <c r="AA40" i="36"/>
  <c r="AB40" i="36"/>
  <c r="AC40" i="36"/>
  <c r="AF40" i="36"/>
  <c r="AG40" i="36"/>
  <c r="AH40" i="36"/>
  <c r="AI40" i="36"/>
  <c r="AJ40" i="36"/>
  <c r="AL40" i="36"/>
  <c r="AM40" i="36"/>
  <c r="AN40" i="36"/>
  <c r="AO40" i="36"/>
  <c r="AP40" i="36"/>
  <c r="AQ40" i="36"/>
  <c r="AR40" i="36"/>
  <c r="AS40" i="36"/>
  <c r="AT40" i="36"/>
  <c r="AU40" i="36"/>
  <c r="AV40" i="36"/>
  <c r="AW40" i="36"/>
  <c r="AX40" i="36"/>
  <c r="AY40" i="36"/>
  <c r="BB40" i="36"/>
  <c r="BC40" i="36"/>
  <c r="BD40" i="36"/>
  <c r="BE40" i="36"/>
  <c r="BF40" i="36"/>
  <c r="BG40" i="36"/>
  <c r="BH40" i="36"/>
  <c r="BI40" i="36"/>
  <c r="BJ40" i="36"/>
  <c r="BK40" i="36"/>
  <c r="BL40" i="36"/>
  <c r="BM40" i="36"/>
  <c r="BN40" i="36"/>
  <c r="BO40" i="36"/>
  <c r="D41" i="36"/>
  <c r="F41" i="36"/>
  <c r="G41" i="36"/>
  <c r="H41" i="36"/>
  <c r="I41" i="36"/>
  <c r="K41" i="36"/>
  <c r="L41" i="36"/>
  <c r="N41" i="36"/>
  <c r="O41" i="36"/>
  <c r="P41" i="36"/>
  <c r="Q41" i="36"/>
  <c r="S41" i="36"/>
  <c r="T41" i="36"/>
  <c r="V41" i="36"/>
  <c r="X41" i="36"/>
  <c r="Y41" i="36"/>
  <c r="Z41" i="36"/>
  <c r="AA41" i="36"/>
  <c r="AB41" i="36"/>
  <c r="AC41" i="36"/>
  <c r="AF41" i="36"/>
  <c r="AG41" i="36"/>
  <c r="AH41" i="36"/>
  <c r="AI41" i="36"/>
  <c r="AJ41" i="36"/>
  <c r="AL41" i="36"/>
  <c r="AM41" i="36"/>
  <c r="AN41" i="36"/>
  <c r="AO41" i="36"/>
  <c r="AP41" i="36"/>
  <c r="AQ41" i="36"/>
  <c r="AR41" i="36"/>
  <c r="AS41" i="36"/>
  <c r="AT41" i="36"/>
  <c r="AU41" i="36"/>
  <c r="AV41" i="36"/>
  <c r="AW41" i="36"/>
  <c r="AX41" i="36"/>
  <c r="AY41" i="36"/>
  <c r="BB41" i="36"/>
  <c r="BC41" i="36"/>
  <c r="BD41" i="36"/>
  <c r="BE41" i="36"/>
  <c r="BF41" i="36"/>
  <c r="BG41" i="36"/>
  <c r="BH41" i="36"/>
  <c r="BI41" i="36"/>
  <c r="BJ41" i="36"/>
  <c r="BK41" i="36"/>
  <c r="BL41" i="36"/>
  <c r="BM41" i="36"/>
  <c r="BN41" i="36"/>
  <c r="BO41" i="36"/>
  <c r="D42" i="36"/>
  <c r="F42" i="36"/>
  <c r="G42" i="36"/>
  <c r="H42" i="36"/>
  <c r="I42" i="36"/>
  <c r="K42" i="36"/>
  <c r="L42" i="36"/>
  <c r="N42" i="36"/>
  <c r="O42" i="36"/>
  <c r="P42" i="36"/>
  <c r="Q42" i="36"/>
  <c r="S42" i="36"/>
  <c r="T42" i="36"/>
  <c r="V42" i="36"/>
  <c r="X42" i="36"/>
  <c r="Y42" i="36"/>
  <c r="Z42" i="36"/>
  <c r="AA42" i="36"/>
  <c r="AB42" i="36"/>
  <c r="AC42" i="36"/>
  <c r="AF42" i="36"/>
  <c r="AG42" i="36"/>
  <c r="AH42" i="36"/>
  <c r="AI42" i="36"/>
  <c r="AJ42" i="36"/>
  <c r="AL42" i="36"/>
  <c r="AM42" i="36"/>
  <c r="AN42" i="36"/>
  <c r="AO42" i="36"/>
  <c r="AP42" i="36"/>
  <c r="AQ42" i="36"/>
  <c r="AR42" i="36"/>
  <c r="AS42" i="36"/>
  <c r="AT42" i="36"/>
  <c r="AU42" i="36"/>
  <c r="AV42" i="36"/>
  <c r="AW42" i="36"/>
  <c r="AX42" i="36"/>
  <c r="AY42" i="36"/>
  <c r="BB42" i="36"/>
  <c r="BC42" i="36"/>
  <c r="BD42" i="36"/>
  <c r="BE42" i="36"/>
  <c r="BF42" i="36"/>
  <c r="BG42" i="36"/>
  <c r="BH42" i="36"/>
  <c r="BI42" i="36"/>
  <c r="BJ42" i="36"/>
  <c r="BK42" i="36"/>
  <c r="BL42" i="36"/>
  <c r="BM42" i="36"/>
  <c r="BN42" i="36"/>
  <c r="BO42" i="36"/>
  <c r="D43" i="36"/>
  <c r="F43" i="36"/>
  <c r="G43" i="36"/>
  <c r="H43" i="36"/>
  <c r="I43" i="36"/>
  <c r="K43" i="36"/>
  <c r="L43" i="36"/>
  <c r="N43" i="36"/>
  <c r="O43" i="36"/>
  <c r="P43" i="36"/>
  <c r="Q43" i="36"/>
  <c r="S43" i="36"/>
  <c r="T43" i="36"/>
  <c r="V43" i="36"/>
  <c r="X43" i="36"/>
  <c r="Y43" i="36"/>
  <c r="Z43" i="36"/>
  <c r="AA43" i="36"/>
  <c r="AB43" i="36"/>
  <c r="AC43" i="36"/>
  <c r="AF43" i="36"/>
  <c r="AG43" i="36"/>
  <c r="AH43" i="36"/>
  <c r="AI43" i="36"/>
  <c r="AJ43" i="36"/>
  <c r="AL43" i="36"/>
  <c r="AM43" i="36"/>
  <c r="AN43" i="36"/>
  <c r="AO43" i="36"/>
  <c r="AP43" i="36"/>
  <c r="AQ43" i="36"/>
  <c r="AR43" i="36"/>
  <c r="AS43" i="36"/>
  <c r="AT43" i="36"/>
  <c r="AU43" i="36"/>
  <c r="AV43" i="36"/>
  <c r="AW43" i="36"/>
  <c r="AX43" i="36"/>
  <c r="AY43" i="36"/>
  <c r="BB43" i="36"/>
  <c r="BC43" i="36"/>
  <c r="BD43" i="36"/>
  <c r="BE43" i="36"/>
  <c r="BF43" i="36"/>
  <c r="BG43" i="36"/>
  <c r="BH43" i="36"/>
  <c r="BI43" i="36"/>
  <c r="BJ43" i="36"/>
  <c r="BK43" i="36"/>
  <c r="BL43" i="36"/>
  <c r="BM43" i="36"/>
  <c r="BN43" i="36"/>
  <c r="BO43" i="36"/>
  <c r="D44" i="36"/>
  <c r="F44" i="36"/>
  <c r="G44" i="36"/>
  <c r="H44" i="36"/>
  <c r="I44" i="36"/>
  <c r="K44" i="36"/>
  <c r="L44" i="36"/>
  <c r="N44" i="36"/>
  <c r="O44" i="36"/>
  <c r="P44" i="36"/>
  <c r="Q44" i="36"/>
  <c r="S44" i="36"/>
  <c r="T44" i="36"/>
  <c r="V44" i="36"/>
  <c r="X44" i="36"/>
  <c r="Y44" i="36"/>
  <c r="Z44" i="36"/>
  <c r="AA44" i="36"/>
  <c r="AB44" i="36"/>
  <c r="AC44" i="36"/>
  <c r="AF44" i="36"/>
  <c r="AG44" i="36"/>
  <c r="AH44" i="36"/>
  <c r="AI44" i="36"/>
  <c r="AJ44" i="36"/>
  <c r="AL44" i="36"/>
  <c r="AM44" i="36"/>
  <c r="AN44" i="36"/>
  <c r="AO44" i="36"/>
  <c r="AP44" i="36"/>
  <c r="AQ44" i="36"/>
  <c r="AR44" i="36"/>
  <c r="AS44" i="36"/>
  <c r="AT44" i="36"/>
  <c r="AU44" i="36"/>
  <c r="AV44" i="36"/>
  <c r="AW44" i="36"/>
  <c r="AX44" i="36"/>
  <c r="AY44" i="36"/>
  <c r="BB44" i="36"/>
  <c r="BC44" i="36"/>
  <c r="BD44" i="36"/>
  <c r="BE44" i="36"/>
  <c r="BF44" i="36"/>
  <c r="BG44" i="36"/>
  <c r="BH44" i="36"/>
  <c r="BI44" i="36"/>
  <c r="BJ44" i="36"/>
  <c r="BK44" i="36"/>
  <c r="BL44" i="36"/>
  <c r="BM44" i="36"/>
  <c r="BN44" i="36"/>
  <c r="BO44" i="36"/>
  <c r="D45" i="36"/>
  <c r="F45" i="36"/>
  <c r="G45" i="36"/>
  <c r="H45" i="36"/>
  <c r="I45" i="36"/>
  <c r="K45" i="36"/>
  <c r="L45" i="36"/>
  <c r="N45" i="36"/>
  <c r="O45" i="36"/>
  <c r="P45" i="36"/>
  <c r="Q45" i="36"/>
  <c r="S45" i="36"/>
  <c r="T45" i="36"/>
  <c r="V45" i="36"/>
  <c r="X45" i="36"/>
  <c r="Y45" i="36"/>
  <c r="Z45" i="36"/>
  <c r="AA45" i="36"/>
  <c r="AB45" i="36"/>
  <c r="AC45" i="36"/>
  <c r="AF45" i="36"/>
  <c r="AG45" i="36"/>
  <c r="AH45" i="36"/>
  <c r="AI45" i="36"/>
  <c r="AJ45" i="36"/>
  <c r="AL45" i="36"/>
  <c r="AM45" i="36"/>
  <c r="AN45" i="36"/>
  <c r="AO45" i="36"/>
  <c r="AP45" i="36"/>
  <c r="AQ45" i="36"/>
  <c r="AR45" i="36"/>
  <c r="AS45" i="36"/>
  <c r="AT45" i="36"/>
  <c r="AU45" i="36"/>
  <c r="AV45" i="36"/>
  <c r="AW45" i="36"/>
  <c r="AX45" i="36"/>
  <c r="AY45" i="36"/>
  <c r="BB45" i="36"/>
  <c r="BC45" i="36"/>
  <c r="BD45" i="36"/>
  <c r="BE45" i="36"/>
  <c r="BF45" i="36"/>
  <c r="BG45" i="36"/>
  <c r="BH45" i="36"/>
  <c r="BI45" i="36"/>
  <c r="BJ45" i="36"/>
  <c r="BK45" i="36"/>
  <c r="BL45" i="36"/>
  <c r="BM45" i="36"/>
  <c r="BN45" i="36"/>
  <c r="BO45" i="36"/>
  <c r="D46" i="36"/>
  <c r="F46" i="36"/>
  <c r="G46" i="36"/>
  <c r="H46" i="36"/>
  <c r="I46" i="36"/>
  <c r="K46" i="36"/>
  <c r="L46" i="36"/>
  <c r="N46" i="36"/>
  <c r="O46" i="36"/>
  <c r="P46" i="36"/>
  <c r="Q46" i="36"/>
  <c r="S46" i="36"/>
  <c r="T46" i="36"/>
  <c r="V46" i="36"/>
  <c r="X46" i="36"/>
  <c r="Y46" i="36"/>
  <c r="Z46" i="36"/>
  <c r="AA46" i="36"/>
  <c r="AB46" i="36"/>
  <c r="AC46" i="36"/>
  <c r="AF46" i="36"/>
  <c r="AG46" i="36"/>
  <c r="AH46" i="36"/>
  <c r="AI46" i="36"/>
  <c r="AJ46" i="36"/>
  <c r="AL46" i="36"/>
  <c r="AM46" i="36"/>
  <c r="AN46" i="36"/>
  <c r="AO46" i="36"/>
  <c r="AP46" i="36"/>
  <c r="AQ46" i="36"/>
  <c r="AR46" i="36"/>
  <c r="AS46" i="36"/>
  <c r="AT46" i="36"/>
  <c r="AU46" i="36"/>
  <c r="AV46" i="36"/>
  <c r="AW46" i="36"/>
  <c r="AX46" i="36"/>
  <c r="AY46" i="36"/>
  <c r="BB46" i="36"/>
  <c r="BC46" i="36"/>
  <c r="BD46" i="36"/>
  <c r="BE46" i="36"/>
  <c r="BF46" i="36"/>
  <c r="BG46" i="36"/>
  <c r="BH46" i="36"/>
  <c r="BI46" i="36"/>
  <c r="BJ46" i="36"/>
  <c r="BK46" i="36"/>
  <c r="BL46" i="36"/>
  <c r="BM46" i="36"/>
  <c r="BN46" i="36"/>
  <c r="BO46" i="36"/>
  <c r="D47" i="36"/>
  <c r="F47" i="36"/>
  <c r="G47" i="36"/>
  <c r="H47" i="36"/>
  <c r="I47" i="36"/>
  <c r="K47" i="36"/>
  <c r="L47" i="36"/>
  <c r="N47" i="36"/>
  <c r="O47" i="36"/>
  <c r="P47" i="36"/>
  <c r="Q47" i="36"/>
  <c r="S47" i="36"/>
  <c r="T47" i="36"/>
  <c r="V47" i="36"/>
  <c r="X47" i="36"/>
  <c r="Y47" i="36"/>
  <c r="Z47" i="36"/>
  <c r="AA47" i="36"/>
  <c r="AB47" i="36"/>
  <c r="AC47" i="36"/>
  <c r="AF47" i="36"/>
  <c r="AG47" i="36"/>
  <c r="AH47" i="36"/>
  <c r="AI47" i="36"/>
  <c r="AJ47" i="36"/>
  <c r="AL47" i="36"/>
  <c r="AM47" i="36"/>
  <c r="AN47" i="36"/>
  <c r="AO47" i="36"/>
  <c r="AP47" i="36"/>
  <c r="AQ47" i="36"/>
  <c r="AR47" i="36"/>
  <c r="AS47" i="36"/>
  <c r="AT47" i="36"/>
  <c r="AU47" i="36"/>
  <c r="AV47" i="36"/>
  <c r="AW47" i="36"/>
  <c r="AX47" i="36"/>
  <c r="AY47" i="36"/>
  <c r="BB47" i="36"/>
  <c r="BC47" i="36"/>
  <c r="BD47" i="36"/>
  <c r="BE47" i="36"/>
  <c r="BF47" i="36"/>
  <c r="BG47" i="36"/>
  <c r="BH47" i="36"/>
  <c r="BI47" i="36"/>
  <c r="BJ47" i="36"/>
  <c r="BK47" i="36"/>
  <c r="BL47" i="36"/>
  <c r="BM47" i="36"/>
  <c r="BN47" i="36"/>
  <c r="BO47" i="36"/>
  <c r="D48" i="36"/>
  <c r="F48" i="36"/>
  <c r="G48" i="36"/>
  <c r="H48" i="36"/>
  <c r="I48" i="36"/>
  <c r="K48" i="36"/>
  <c r="L48" i="36"/>
  <c r="N48" i="36"/>
  <c r="O48" i="36"/>
  <c r="P48" i="36"/>
  <c r="Q48" i="36"/>
  <c r="S48" i="36"/>
  <c r="T48" i="36"/>
  <c r="V48" i="36"/>
  <c r="X48" i="36"/>
  <c r="Y48" i="36"/>
  <c r="Z48" i="36"/>
  <c r="AA48" i="36"/>
  <c r="AB48" i="36"/>
  <c r="AC48" i="36"/>
  <c r="AF48" i="36"/>
  <c r="AG48" i="36"/>
  <c r="AH48" i="36"/>
  <c r="AI48" i="36"/>
  <c r="AJ48" i="36"/>
  <c r="AL48" i="36"/>
  <c r="AM48" i="36"/>
  <c r="AN48" i="36"/>
  <c r="AO48" i="36"/>
  <c r="AP48" i="36"/>
  <c r="AQ48" i="36"/>
  <c r="AR48" i="36"/>
  <c r="AS48" i="36"/>
  <c r="AT48" i="36"/>
  <c r="AU48" i="36"/>
  <c r="AV48" i="36"/>
  <c r="AW48" i="36"/>
  <c r="AX48" i="36"/>
  <c r="AY48" i="36"/>
  <c r="BB48" i="36"/>
  <c r="BC48" i="36"/>
  <c r="BD48" i="36"/>
  <c r="BE48" i="36"/>
  <c r="BF48" i="36"/>
  <c r="BG48" i="36"/>
  <c r="BH48" i="36"/>
  <c r="BI48" i="36"/>
  <c r="BJ48" i="36"/>
  <c r="BK48" i="36"/>
  <c r="BL48" i="36"/>
  <c r="BM48" i="36"/>
  <c r="BN48" i="36"/>
  <c r="BO48" i="36"/>
  <c r="D49" i="36"/>
  <c r="F49" i="36"/>
  <c r="G49" i="36"/>
  <c r="H49" i="36"/>
  <c r="I49" i="36"/>
  <c r="K49" i="36"/>
  <c r="L49" i="36"/>
  <c r="N49" i="36"/>
  <c r="O49" i="36"/>
  <c r="P49" i="36"/>
  <c r="Q49" i="36"/>
  <c r="S49" i="36"/>
  <c r="T49" i="36"/>
  <c r="V49" i="36"/>
  <c r="X49" i="36"/>
  <c r="Y49" i="36"/>
  <c r="Z49" i="36"/>
  <c r="AA49" i="36"/>
  <c r="AB49" i="36"/>
  <c r="AC49" i="36"/>
  <c r="AF49" i="36"/>
  <c r="AG49" i="36"/>
  <c r="AH49" i="36"/>
  <c r="AI49" i="36"/>
  <c r="AJ49" i="36"/>
  <c r="AL49" i="36"/>
  <c r="AM49" i="36"/>
  <c r="AN49" i="36"/>
  <c r="AO49" i="36"/>
  <c r="AP49" i="36"/>
  <c r="AQ49" i="36"/>
  <c r="AR49" i="36"/>
  <c r="AS49" i="36"/>
  <c r="AT49" i="36"/>
  <c r="AU49" i="36"/>
  <c r="AV49" i="36"/>
  <c r="AW49" i="36"/>
  <c r="AX49" i="36"/>
  <c r="AY49" i="36"/>
  <c r="BB49" i="36"/>
  <c r="BC49" i="36"/>
  <c r="BD49" i="36"/>
  <c r="BE49" i="36"/>
  <c r="BF49" i="36"/>
  <c r="BG49" i="36"/>
  <c r="BH49" i="36"/>
  <c r="BI49" i="36"/>
  <c r="BJ49" i="36"/>
  <c r="BK49" i="36"/>
  <c r="BL49" i="36"/>
  <c r="BM49" i="36"/>
  <c r="BN49" i="36"/>
  <c r="BO49" i="36"/>
  <c r="D50" i="36"/>
  <c r="F50" i="36"/>
  <c r="G50" i="36"/>
  <c r="H50" i="36"/>
  <c r="I50" i="36"/>
  <c r="K50" i="36"/>
  <c r="L50" i="36"/>
  <c r="N50" i="36"/>
  <c r="O50" i="36"/>
  <c r="P50" i="36"/>
  <c r="Q50" i="36"/>
  <c r="S50" i="36"/>
  <c r="T50" i="36"/>
  <c r="V50" i="36"/>
  <c r="X50" i="36"/>
  <c r="Y50" i="36"/>
  <c r="Z50" i="36"/>
  <c r="AA50" i="36"/>
  <c r="AB50" i="36"/>
  <c r="AC50" i="36"/>
  <c r="AF50" i="36"/>
  <c r="AG50" i="36"/>
  <c r="AH50" i="36"/>
  <c r="AI50" i="36"/>
  <c r="AJ50" i="36"/>
  <c r="AL50" i="36"/>
  <c r="AM50" i="36"/>
  <c r="AN50" i="36"/>
  <c r="AO50" i="36"/>
  <c r="AP50" i="36"/>
  <c r="AQ50" i="36"/>
  <c r="AR50" i="36"/>
  <c r="AS50" i="36"/>
  <c r="AT50" i="36"/>
  <c r="AU50" i="36"/>
  <c r="AV50" i="36"/>
  <c r="AW50" i="36"/>
  <c r="AX50" i="36"/>
  <c r="AY50" i="36"/>
  <c r="BB50" i="36"/>
  <c r="BC50" i="36"/>
  <c r="BD50" i="36"/>
  <c r="BE50" i="36"/>
  <c r="BF50" i="36"/>
  <c r="BG50" i="36"/>
  <c r="BH50" i="36"/>
  <c r="BI50" i="36"/>
  <c r="BJ50" i="36"/>
  <c r="BK50" i="36"/>
  <c r="BL50" i="36"/>
  <c r="BM50" i="36"/>
  <c r="BN50" i="36"/>
  <c r="BO50" i="36"/>
  <c r="D51" i="36"/>
  <c r="F51" i="36"/>
  <c r="G51" i="36"/>
  <c r="H51" i="36"/>
  <c r="I51" i="36"/>
  <c r="K51" i="36"/>
  <c r="L51" i="36"/>
  <c r="N51" i="36"/>
  <c r="O51" i="36"/>
  <c r="P51" i="36"/>
  <c r="Q51" i="36"/>
  <c r="S51" i="36"/>
  <c r="T51" i="36"/>
  <c r="V51" i="36"/>
  <c r="X51" i="36"/>
  <c r="Y51" i="36"/>
  <c r="Z51" i="36"/>
  <c r="AA51" i="36"/>
  <c r="AB51" i="36"/>
  <c r="AC51" i="36"/>
  <c r="AF51" i="36"/>
  <c r="AG51" i="36"/>
  <c r="AH51" i="36"/>
  <c r="AI51" i="36"/>
  <c r="AJ51" i="36"/>
  <c r="AL51" i="36"/>
  <c r="AM51" i="36"/>
  <c r="AN51" i="36"/>
  <c r="AO51" i="36"/>
  <c r="AP51" i="36"/>
  <c r="AQ51" i="36"/>
  <c r="AR51" i="36"/>
  <c r="AS51" i="36"/>
  <c r="AT51" i="36"/>
  <c r="AU51" i="36"/>
  <c r="AV51" i="36"/>
  <c r="AW51" i="36"/>
  <c r="AX51" i="36"/>
  <c r="AY51" i="36"/>
  <c r="BB51" i="36"/>
  <c r="BC51" i="36"/>
  <c r="BD51" i="36"/>
  <c r="BE51" i="36"/>
  <c r="BF51" i="36"/>
  <c r="BG51" i="36"/>
  <c r="BH51" i="36"/>
  <c r="BI51" i="36"/>
  <c r="BJ51" i="36"/>
  <c r="BK51" i="36"/>
  <c r="BL51" i="36"/>
  <c r="BM51" i="36"/>
  <c r="BN51" i="36"/>
  <c r="BO51" i="36"/>
  <c r="D52" i="36"/>
  <c r="F52" i="36"/>
  <c r="G52" i="36"/>
  <c r="H52" i="36"/>
  <c r="I52" i="36"/>
  <c r="K52" i="36"/>
  <c r="L52" i="36"/>
  <c r="N52" i="36"/>
  <c r="O52" i="36"/>
  <c r="P52" i="36"/>
  <c r="Q52" i="36"/>
  <c r="S52" i="36"/>
  <c r="T52" i="36"/>
  <c r="V52" i="36"/>
  <c r="X52" i="36"/>
  <c r="Y52" i="36"/>
  <c r="Z52" i="36"/>
  <c r="AA52" i="36"/>
  <c r="AB52" i="36"/>
  <c r="AC52" i="36"/>
  <c r="AF52" i="36"/>
  <c r="AG52" i="36"/>
  <c r="AH52" i="36"/>
  <c r="AI52" i="36"/>
  <c r="AJ52" i="36"/>
  <c r="AL52" i="36"/>
  <c r="AM52" i="36"/>
  <c r="AN52" i="36"/>
  <c r="AO52" i="36"/>
  <c r="AP52" i="36"/>
  <c r="AQ52" i="36"/>
  <c r="AR52" i="36"/>
  <c r="AS52" i="36"/>
  <c r="AT52" i="36"/>
  <c r="AU52" i="36"/>
  <c r="AV52" i="36"/>
  <c r="AW52" i="36"/>
  <c r="AX52" i="36"/>
  <c r="AY52" i="36"/>
  <c r="BB52" i="36"/>
  <c r="BC52" i="36"/>
  <c r="BD52" i="36"/>
  <c r="BE52" i="36"/>
  <c r="BF52" i="36"/>
  <c r="BG52" i="36"/>
  <c r="BH52" i="36"/>
  <c r="BI52" i="36"/>
  <c r="BJ52" i="36"/>
  <c r="BK52" i="36"/>
  <c r="BL52" i="36"/>
  <c r="BM52" i="36"/>
  <c r="BN52" i="36"/>
  <c r="BO52" i="36"/>
  <c r="D53" i="36"/>
  <c r="F53" i="36"/>
  <c r="G53" i="36"/>
  <c r="H53" i="36"/>
  <c r="I53" i="36"/>
  <c r="K53" i="36"/>
  <c r="L53" i="36"/>
  <c r="N53" i="36"/>
  <c r="O53" i="36"/>
  <c r="P53" i="36"/>
  <c r="Q53" i="36"/>
  <c r="S53" i="36"/>
  <c r="T53" i="36"/>
  <c r="V53" i="36"/>
  <c r="X53" i="36"/>
  <c r="Y53" i="36"/>
  <c r="Z53" i="36"/>
  <c r="AA53" i="36"/>
  <c r="AB53" i="36"/>
  <c r="AC53" i="36"/>
  <c r="AF53" i="36"/>
  <c r="AG53" i="36"/>
  <c r="AH53" i="36"/>
  <c r="AI53" i="36"/>
  <c r="AJ53" i="36"/>
  <c r="AL53" i="36"/>
  <c r="AM53" i="36"/>
  <c r="AN53" i="36"/>
  <c r="AO53" i="36"/>
  <c r="AP53" i="36"/>
  <c r="AQ53" i="36"/>
  <c r="AR53" i="36"/>
  <c r="AS53" i="36"/>
  <c r="AT53" i="36"/>
  <c r="AU53" i="36"/>
  <c r="AV53" i="36"/>
  <c r="AW53" i="36"/>
  <c r="AX53" i="36"/>
  <c r="AY53" i="36"/>
  <c r="BB53" i="36"/>
  <c r="BC53" i="36"/>
  <c r="BD53" i="36"/>
  <c r="BE53" i="36"/>
  <c r="BF53" i="36"/>
  <c r="BG53" i="36"/>
  <c r="BH53" i="36"/>
  <c r="BI53" i="36"/>
  <c r="BJ53" i="36"/>
  <c r="BK53" i="36"/>
  <c r="BL53" i="36"/>
  <c r="BM53" i="36"/>
  <c r="BN53" i="36"/>
  <c r="BO53" i="36"/>
  <c r="D54" i="36"/>
  <c r="F54" i="36"/>
  <c r="G54" i="36"/>
  <c r="H54" i="36"/>
  <c r="I54" i="36"/>
  <c r="K54" i="36"/>
  <c r="L54" i="36"/>
  <c r="N54" i="36"/>
  <c r="O54" i="36"/>
  <c r="P54" i="36"/>
  <c r="Q54" i="36"/>
  <c r="S54" i="36"/>
  <c r="T54" i="36"/>
  <c r="V54" i="36"/>
  <c r="X54" i="36"/>
  <c r="Y54" i="36"/>
  <c r="Z54" i="36"/>
  <c r="AA54" i="36"/>
  <c r="AB54" i="36"/>
  <c r="AC54" i="36"/>
  <c r="AF54" i="36"/>
  <c r="AG54" i="36"/>
  <c r="AH54" i="36"/>
  <c r="AI54" i="36"/>
  <c r="AJ54" i="36"/>
  <c r="AL54" i="36"/>
  <c r="AM54" i="36"/>
  <c r="AN54" i="36"/>
  <c r="AO54" i="36"/>
  <c r="AP54" i="36"/>
  <c r="AQ54" i="36"/>
  <c r="AR54" i="36"/>
  <c r="AS54" i="36"/>
  <c r="AT54" i="36"/>
  <c r="AU54" i="36"/>
  <c r="AV54" i="36"/>
  <c r="AW54" i="36"/>
  <c r="AX54" i="36"/>
  <c r="AY54" i="36"/>
  <c r="BB54" i="36"/>
  <c r="BC54" i="36"/>
  <c r="BD54" i="36"/>
  <c r="BE54" i="36"/>
  <c r="BF54" i="36"/>
  <c r="BG54" i="36"/>
  <c r="BH54" i="36"/>
  <c r="BI54" i="36"/>
  <c r="BJ54" i="36"/>
  <c r="BK54" i="36"/>
  <c r="BL54" i="36"/>
  <c r="BM54" i="36"/>
  <c r="BN54" i="36"/>
  <c r="BO54" i="36"/>
  <c r="D55" i="36"/>
  <c r="F55" i="36"/>
  <c r="G55" i="36"/>
  <c r="H55" i="36"/>
  <c r="I55" i="36"/>
  <c r="K55" i="36"/>
  <c r="L55" i="36"/>
  <c r="N55" i="36"/>
  <c r="O55" i="36"/>
  <c r="P55" i="36"/>
  <c r="Q55" i="36"/>
  <c r="S55" i="36"/>
  <c r="T55" i="36"/>
  <c r="V55" i="36"/>
  <c r="X55" i="36"/>
  <c r="Y55" i="36"/>
  <c r="Z55" i="36"/>
  <c r="AA55" i="36"/>
  <c r="AB55" i="36"/>
  <c r="AC55" i="36"/>
  <c r="AF55" i="36"/>
  <c r="AG55" i="36"/>
  <c r="AH55" i="36"/>
  <c r="AI55" i="36"/>
  <c r="AJ55" i="36"/>
  <c r="AL55" i="36"/>
  <c r="AM55" i="36"/>
  <c r="AN55" i="36"/>
  <c r="AO55" i="36"/>
  <c r="AP55" i="36"/>
  <c r="AQ55" i="36"/>
  <c r="AR55" i="36"/>
  <c r="AS55" i="36"/>
  <c r="AT55" i="36"/>
  <c r="AU55" i="36"/>
  <c r="AV55" i="36"/>
  <c r="AW55" i="36"/>
  <c r="AX55" i="36"/>
  <c r="AY55" i="36"/>
  <c r="BB55" i="36"/>
  <c r="BC55" i="36"/>
  <c r="BD55" i="36"/>
  <c r="BE55" i="36"/>
  <c r="BF55" i="36"/>
  <c r="BG55" i="36"/>
  <c r="BH55" i="36"/>
  <c r="BI55" i="36"/>
  <c r="BJ55" i="36"/>
  <c r="BK55" i="36"/>
  <c r="BL55" i="36"/>
  <c r="BM55" i="36"/>
  <c r="BN55" i="36"/>
  <c r="BO55" i="36"/>
  <c r="D56" i="36"/>
  <c r="F56" i="36"/>
  <c r="G56" i="36"/>
  <c r="H56" i="36"/>
  <c r="I56" i="36"/>
  <c r="K56" i="36"/>
  <c r="L56" i="36"/>
  <c r="N56" i="36"/>
  <c r="O56" i="36"/>
  <c r="P56" i="36"/>
  <c r="Q56" i="36"/>
  <c r="S56" i="36"/>
  <c r="T56" i="36"/>
  <c r="V56" i="36"/>
  <c r="X56" i="36"/>
  <c r="Y56" i="36"/>
  <c r="Z56" i="36"/>
  <c r="AA56" i="36"/>
  <c r="AB56" i="36"/>
  <c r="AC56" i="36"/>
  <c r="AF56" i="36"/>
  <c r="AG56" i="36"/>
  <c r="AH56" i="36"/>
  <c r="AI56" i="36"/>
  <c r="AJ56" i="36"/>
  <c r="AL56" i="36"/>
  <c r="AM56" i="36"/>
  <c r="AN56" i="36"/>
  <c r="AO56" i="36"/>
  <c r="AP56" i="36"/>
  <c r="AQ56" i="36"/>
  <c r="AR56" i="36"/>
  <c r="AS56" i="36"/>
  <c r="AT56" i="36"/>
  <c r="AU56" i="36"/>
  <c r="AV56" i="36"/>
  <c r="AW56" i="36"/>
  <c r="AX56" i="36"/>
  <c r="AY56" i="36"/>
  <c r="BB56" i="36"/>
  <c r="BC56" i="36"/>
  <c r="BD56" i="36"/>
  <c r="BE56" i="36"/>
  <c r="BF56" i="36"/>
  <c r="BG56" i="36"/>
  <c r="BH56" i="36"/>
  <c r="BI56" i="36"/>
  <c r="BJ56" i="36"/>
  <c r="BK56" i="36"/>
  <c r="BL56" i="36"/>
  <c r="BM56" i="36"/>
  <c r="BN56" i="36"/>
  <c r="BO56" i="36"/>
  <c r="D57" i="36"/>
  <c r="F57" i="36"/>
  <c r="G57" i="36"/>
  <c r="H57" i="36"/>
  <c r="I57" i="36"/>
  <c r="K57" i="36"/>
  <c r="L57" i="36"/>
  <c r="N57" i="36"/>
  <c r="O57" i="36"/>
  <c r="P57" i="36"/>
  <c r="Q57" i="36"/>
  <c r="S57" i="36"/>
  <c r="T57" i="36"/>
  <c r="V57" i="36"/>
  <c r="X57" i="36"/>
  <c r="Y57" i="36"/>
  <c r="Z57" i="36"/>
  <c r="AA57" i="36"/>
  <c r="AB57" i="36"/>
  <c r="AC57" i="36"/>
  <c r="AF57" i="36"/>
  <c r="AG57" i="36"/>
  <c r="AH57" i="36"/>
  <c r="AI57" i="36"/>
  <c r="AJ57" i="36"/>
  <c r="AL57" i="36"/>
  <c r="AM57" i="36"/>
  <c r="AN57" i="36"/>
  <c r="AO57" i="36"/>
  <c r="AP57" i="36"/>
  <c r="AQ57" i="36"/>
  <c r="AR57" i="36"/>
  <c r="AS57" i="36"/>
  <c r="AT57" i="36"/>
  <c r="AU57" i="36"/>
  <c r="AV57" i="36"/>
  <c r="AW57" i="36"/>
  <c r="AX57" i="36"/>
  <c r="AY57" i="36"/>
  <c r="BB57" i="36"/>
  <c r="BC57" i="36"/>
  <c r="BD57" i="36"/>
  <c r="BE57" i="36"/>
  <c r="BF57" i="36"/>
  <c r="BG57" i="36"/>
  <c r="BH57" i="36"/>
  <c r="BI57" i="36"/>
  <c r="BJ57" i="36"/>
  <c r="BK57" i="36"/>
  <c r="BL57" i="36"/>
  <c r="BM57" i="36"/>
  <c r="BN57" i="36"/>
  <c r="BO57" i="36"/>
  <c r="D58" i="36"/>
  <c r="F58" i="36"/>
  <c r="G58" i="36"/>
  <c r="H58" i="36"/>
  <c r="I58" i="36"/>
  <c r="K58" i="36"/>
  <c r="L58" i="36"/>
  <c r="N58" i="36"/>
  <c r="O58" i="36"/>
  <c r="P58" i="36"/>
  <c r="Q58" i="36"/>
  <c r="S58" i="36"/>
  <c r="T58" i="36"/>
  <c r="V58" i="36"/>
  <c r="X58" i="36"/>
  <c r="Y58" i="36"/>
  <c r="Z58" i="36"/>
  <c r="AA58" i="36"/>
  <c r="AB58" i="36"/>
  <c r="AC58" i="36"/>
  <c r="AF58" i="36"/>
  <c r="AG58" i="36"/>
  <c r="AH58" i="36"/>
  <c r="AI58" i="36"/>
  <c r="AJ58" i="36"/>
  <c r="AL58" i="36"/>
  <c r="AM58" i="36"/>
  <c r="AN58" i="36"/>
  <c r="AO58" i="36"/>
  <c r="AP58" i="36"/>
  <c r="AQ58" i="36"/>
  <c r="AR58" i="36"/>
  <c r="AS58" i="36"/>
  <c r="AT58" i="36"/>
  <c r="AU58" i="36"/>
  <c r="AV58" i="36"/>
  <c r="AW58" i="36"/>
  <c r="AX58" i="36"/>
  <c r="AY58" i="36"/>
  <c r="BB58" i="36"/>
  <c r="BC58" i="36"/>
  <c r="BD58" i="36"/>
  <c r="BE58" i="36"/>
  <c r="BF58" i="36"/>
  <c r="BG58" i="36"/>
  <c r="BH58" i="36"/>
  <c r="BI58" i="36"/>
  <c r="BJ58" i="36"/>
  <c r="BK58" i="36"/>
  <c r="BL58" i="36"/>
  <c r="BM58" i="36"/>
  <c r="BN58" i="36"/>
  <c r="BO58" i="36"/>
  <c r="D59" i="36"/>
  <c r="F59" i="36"/>
  <c r="G59" i="36"/>
  <c r="H59" i="36"/>
  <c r="I59" i="36"/>
  <c r="K59" i="36"/>
  <c r="L59" i="36"/>
  <c r="N59" i="36"/>
  <c r="O59" i="36"/>
  <c r="P59" i="36"/>
  <c r="Q59" i="36"/>
  <c r="S59" i="36"/>
  <c r="T59" i="36"/>
  <c r="V59" i="36"/>
  <c r="X59" i="36"/>
  <c r="Y59" i="36"/>
  <c r="Z59" i="36"/>
  <c r="AA59" i="36"/>
  <c r="AB59" i="36"/>
  <c r="AC59" i="36"/>
  <c r="AF59" i="36"/>
  <c r="AG59" i="36"/>
  <c r="AH59" i="36"/>
  <c r="AI59" i="36"/>
  <c r="AJ59" i="36"/>
  <c r="AL59" i="36"/>
  <c r="AM59" i="36"/>
  <c r="AN59" i="36"/>
  <c r="AO59" i="36"/>
  <c r="AP59" i="36"/>
  <c r="AQ59" i="36"/>
  <c r="AR59" i="36"/>
  <c r="AS59" i="36"/>
  <c r="AT59" i="36"/>
  <c r="AU59" i="36"/>
  <c r="AV59" i="36"/>
  <c r="AW59" i="36"/>
  <c r="AX59" i="36"/>
  <c r="AY59" i="36"/>
  <c r="BB59" i="36"/>
  <c r="BC59" i="36"/>
  <c r="BD59" i="36"/>
  <c r="BE59" i="36"/>
  <c r="BF59" i="36"/>
  <c r="BG59" i="36"/>
  <c r="BH59" i="36"/>
  <c r="BI59" i="36"/>
  <c r="BJ59" i="36"/>
  <c r="BK59" i="36"/>
  <c r="BL59" i="36"/>
  <c r="BM59" i="36"/>
  <c r="BN59" i="36"/>
  <c r="BO59" i="36"/>
  <c r="D60" i="36"/>
  <c r="F60" i="36"/>
  <c r="G60" i="36"/>
  <c r="H60" i="36"/>
  <c r="I60" i="36"/>
  <c r="K60" i="36"/>
  <c r="L60" i="36"/>
  <c r="N60" i="36"/>
  <c r="O60" i="36"/>
  <c r="P60" i="36"/>
  <c r="Q60" i="36"/>
  <c r="S60" i="36"/>
  <c r="T60" i="36"/>
  <c r="V60" i="36"/>
  <c r="X60" i="36"/>
  <c r="Y60" i="36"/>
  <c r="Z60" i="36"/>
  <c r="AA60" i="36"/>
  <c r="AB60" i="36"/>
  <c r="AC60" i="36"/>
  <c r="AF60" i="36"/>
  <c r="AG60" i="36"/>
  <c r="AH60" i="36"/>
  <c r="AI60" i="36"/>
  <c r="AJ60" i="36"/>
  <c r="AL60" i="36"/>
  <c r="AM60" i="36"/>
  <c r="AN60" i="36"/>
  <c r="AO60" i="36"/>
  <c r="AP60" i="36"/>
  <c r="AQ60" i="36"/>
  <c r="AR60" i="36"/>
  <c r="AS60" i="36"/>
  <c r="AT60" i="36"/>
  <c r="AU60" i="36"/>
  <c r="AV60" i="36"/>
  <c r="AW60" i="36"/>
  <c r="AX60" i="36"/>
  <c r="AY60" i="36"/>
  <c r="BB60" i="36"/>
  <c r="BC60" i="36"/>
  <c r="BD60" i="36"/>
  <c r="BE60" i="36"/>
  <c r="BF60" i="36"/>
  <c r="BG60" i="36"/>
  <c r="BH60" i="36"/>
  <c r="BI60" i="36"/>
  <c r="BJ60" i="36"/>
  <c r="BK60" i="36"/>
  <c r="BL60" i="36"/>
  <c r="BM60" i="36"/>
  <c r="BN60" i="36"/>
  <c r="BO60" i="36"/>
  <c r="D61" i="36"/>
  <c r="F61" i="36"/>
  <c r="G61" i="36"/>
  <c r="H61" i="36"/>
  <c r="I61" i="36"/>
  <c r="K61" i="36"/>
  <c r="L61" i="36"/>
  <c r="N61" i="36"/>
  <c r="O61" i="36"/>
  <c r="P61" i="36"/>
  <c r="Q61" i="36"/>
  <c r="S61" i="36"/>
  <c r="T61" i="36"/>
  <c r="V61" i="36"/>
  <c r="X61" i="36"/>
  <c r="Y61" i="36"/>
  <c r="Z61" i="36"/>
  <c r="AA61" i="36"/>
  <c r="AB61" i="36"/>
  <c r="AC61" i="36"/>
  <c r="AF61" i="36"/>
  <c r="AG61" i="36"/>
  <c r="AH61" i="36"/>
  <c r="AI61" i="36"/>
  <c r="AJ61" i="36"/>
  <c r="AL61" i="36"/>
  <c r="AM61" i="36"/>
  <c r="AN61" i="36"/>
  <c r="AO61" i="36"/>
  <c r="AP61" i="36"/>
  <c r="AQ61" i="36"/>
  <c r="AR61" i="36"/>
  <c r="AS61" i="36"/>
  <c r="AT61" i="36"/>
  <c r="AU61" i="36"/>
  <c r="AV61" i="36"/>
  <c r="AW61" i="36"/>
  <c r="AX61" i="36"/>
  <c r="AY61" i="36"/>
  <c r="BB61" i="36"/>
  <c r="BC61" i="36"/>
  <c r="BD61" i="36"/>
  <c r="BE61" i="36"/>
  <c r="BF61" i="36"/>
  <c r="BG61" i="36"/>
  <c r="BH61" i="36"/>
  <c r="BI61" i="36"/>
  <c r="BJ61" i="36"/>
  <c r="BK61" i="36"/>
  <c r="BL61" i="36"/>
  <c r="BM61" i="36"/>
  <c r="BN61" i="36"/>
  <c r="BO61" i="36"/>
  <c r="D62" i="36"/>
  <c r="F62" i="36"/>
  <c r="G62" i="36"/>
  <c r="H62" i="36"/>
  <c r="I62" i="36"/>
  <c r="K62" i="36"/>
  <c r="L62" i="36"/>
  <c r="N62" i="36"/>
  <c r="O62" i="36"/>
  <c r="P62" i="36"/>
  <c r="Q62" i="36"/>
  <c r="S62" i="36"/>
  <c r="T62" i="36"/>
  <c r="V62" i="36"/>
  <c r="X62" i="36"/>
  <c r="Y62" i="36"/>
  <c r="Z62" i="36"/>
  <c r="AA62" i="36"/>
  <c r="AB62" i="36"/>
  <c r="AC62" i="36"/>
  <c r="AF62" i="36"/>
  <c r="AG62" i="36"/>
  <c r="AH62" i="36"/>
  <c r="AI62" i="36"/>
  <c r="AJ62" i="36"/>
  <c r="AL62" i="36"/>
  <c r="AM62" i="36"/>
  <c r="AN62" i="36"/>
  <c r="AO62" i="36"/>
  <c r="AP62" i="36"/>
  <c r="AQ62" i="36"/>
  <c r="AR62" i="36"/>
  <c r="AS62" i="36"/>
  <c r="AT62" i="36"/>
  <c r="AU62" i="36"/>
  <c r="AV62" i="36"/>
  <c r="AW62" i="36"/>
  <c r="AX62" i="36"/>
  <c r="AY62" i="36"/>
  <c r="BB62" i="36"/>
  <c r="BC62" i="36"/>
  <c r="BD62" i="36"/>
  <c r="BE62" i="36"/>
  <c r="BF62" i="36"/>
  <c r="BG62" i="36"/>
  <c r="BH62" i="36"/>
  <c r="BI62" i="36"/>
  <c r="BJ62" i="36"/>
  <c r="BK62" i="36"/>
  <c r="BL62" i="36"/>
  <c r="BM62" i="36"/>
  <c r="BN62" i="36"/>
  <c r="BO62" i="36"/>
  <c r="D63" i="36"/>
  <c r="F63" i="36"/>
  <c r="G63" i="36"/>
  <c r="H63" i="36"/>
  <c r="I63" i="36"/>
  <c r="K63" i="36"/>
  <c r="L63" i="36"/>
  <c r="N63" i="36"/>
  <c r="O63" i="36"/>
  <c r="P63" i="36"/>
  <c r="Q63" i="36"/>
  <c r="S63" i="36"/>
  <c r="T63" i="36"/>
  <c r="V63" i="36"/>
  <c r="X63" i="36"/>
  <c r="Y63" i="36"/>
  <c r="Z63" i="36"/>
  <c r="AA63" i="36"/>
  <c r="AB63" i="36"/>
  <c r="AC63" i="36"/>
  <c r="AF63" i="36"/>
  <c r="AG63" i="36"/>
  <c r="AH63" i="36"/>
  <c r="AI63" i="36"/>
  <c r="AJ63" i="36"/>
  <c r="AL63" i="36"/>
  <c r="AM63" i="36"/>
  <c r="AN63" i="36"/>
  <c r="AO63" i="36"/>
  <c r="AP63" i="36"/>
  <c r="AQ63" i="36"/>
  <c r="AR63" i="36"/>
  <c r="AS63" i="36"/>
  <c r="AT63" i="36"/>
  <c r="AU63" i="36"/>
  <c r="AV63" i="36"/>
  <c r="AW63" i="36"/>
  <c r="AX63" i="36"/>
  <c r="AY63" i="36"/>
  <c r="BB63" i="36"/>
  <c r="BC63" i="36"/>
  <c r="BD63" i="36"/>
  <c r="BE63" i="36"/>
  <c r="BF63" i="36"/>
  <c r="BG63" i="36"/>
  <c r="BH63" i="36"/>
  <c r="BI63" i="36"/>
  <c r="BJ63" i="36"/>
  <c r="BK63" i="36"/>
  <c r="BL63" i="36"/>
  <c r="BM63" i="36"/>
  <c r="BN63" i="36"/>
  <c r="BO63" i="36"/>
  <c r="D64" i="36"/>
  <c r="F64" i="36"/>
  <c r="G64" i="36"/>
  <c r="H64" i="36"/>
  <c r="I64" i="36"/>
  <c r="K64" i="36"/>
  <c r="L64" i="36"/>
  <c r="N64" i="36"/>
  <c r="O64" i="36"/>
  <c r="P64" i="36"/>
  <c r="Q64" i="36"/>
  <c r="S64" i="36"/>
  <c r="T64" i="36"/>
  <c r="V64" i="36"/>
  <c r="X64" i="36"/>
  <c r="Y64" i="36"/>
  <c r="Z64" i="36"/>
  <c r="AA64" i="36"/>
  <c r="AB64" i="36"/>
  <c r="AC64" i="36"/>
  <c r="AF64" i="36"/>
  <c r="AG64" i="36"/>
  <c r="AH64" i="36"/>
  <c r="AI64" i="36"/>
  <c r="AJ64" i="36"/>
  <c r="AL64" i="36"/>
  <c r="AM64" i="36"/>
  <c r="AN64" i="36"/>
  <c r="AO64" i="36"/>
  <c r="AP64" i="36"/>
  <c r="AQ64" i="36"/>
  <c r="AR64" i="36"/>
  <c r="AS64" i="36"/>
  <c r="AT64" i="36"/>
  <c r="AU64" i="36"/>
  <c r="AV64" i="36"/>
  <c r="AW64" i="36"/>
  <c r="AX64" i="36"/>
  <c r="AY64" i="36"/>
  <c r="BB64" i="36"/>
  <c r="BC64" i="36"/>
  <c r="BD64" i="36"/>
  <c r="BE64" i="36"/>
  <c r="BF64" i="36"/>
  <c r="BG64" i="36"/>
  <c r="BH64" i="36"/>
  <c r="BI64" i="36"/>
  <c r="BJ64" i="36"/>
  <c r="BK64" i="36"/>
  <c r="BL64" i="36"/>
  <c r="BM64" i="36"/>
  <c r="BN64" i="36"/>
  <c r="BO64" i="36"/>
  <c r="D65" i="36"/>
  <c r="F65" i="36"/>
  <c r="G65" i="36"/>
  <c r="H65" i="36"/>
  <c r="I65" i="36"/>
  <c r="K65" i="36"/>
  <c r="L65" i="36"/>
  <c r="N65" i="36"/>
  <c r="O65" i="36"/>
  <c r="P65" i="36"/>
  <c r="Q65" i="36"/>
  <c r="S65" i="36"/>
  <c r="T65" i="36"/>
  <c r="V65" i="36"/>
  <c r="X65" i="36"/>
  <c r="Y65" i="36"/>
  <c r="Z65" i="36"/>
  <c r="AA65" i="36"/>
  <c r="AB65" i="36"/>
  <c r="AC65" i="36"/>
  <c r="AF65" i="36"/>
  <c r="AG65" i="36"/>
  <c r="AH65" i="36"/>
  <c r="AI65" i="36"/>
  <c r="AJ65" i="36"/>
  <c r="AL65" i="36"/>
  <c r="AM65" i="36"/>
  <c r="AN65" i="36"/>
  <c r="AO65" i="36"/>
  <c r="AP65" i="36"/>
  <c r="AQ65" i="36"/>
  <c r="AR65" i="36"/>
  <c r="AS65" i="36"/>
  <c r="AT65" i="36"/>
  <c r="AU65" i="36"/>
  <c r="AV65" i="36"/>
  <c r="AW65" i="36"/>
  <c r="AX65" i="36"/>
  <c r="AY65" i="36"/>
  <c r="BB65" i="36"/>
  <c r="BC65" i="36"/>
  <c r="BD65" i="36"/>
  <c r="BE65" i="36"/>
  <c r="BF65" i="36"/>
  <c r="BG65" i="36"/>
  <c r="BH65" i="36"/>
  <c r="BI65" i="36"/>
  <c r="BJ65" i="36"/>
  <c r="BK65" i="36"/>
  <c r="BL65" i="36"/>
  <c r="BM65" i="36"/>
  <c r="BN65" i="36"/>
  <c r="BO65" i="36"/>
  <c r="D66" i="36"/>
  <c r="F66" i="36"/>
  <c r="G66" i="36"/>
  <c r="H66" i="36"/>
  <c r="I66" i="36"/>
  <c r="K66" i="36"/>
  <c r="L66" i="36"/>
  <c r="N66" i="36"/>
  <c r="O66" i="36"/>
  <c r="P66" i="36"/>
  <c r="Q66" i="36"/>
  <c r="S66" i="36"/>
  <c r="T66" i="36"/>
  <c r="V66" i="36"/>
  <c r="X66" i="36"/>
  <c r="Y66" i="36"/>
  <c r="Z66" i="36"/>
  <c r="AA66" i="36"/>
  <c r="AB66" i="36"/>
  <c r="AC66" i="36"/>
  <c r="AF66" i="36"/>
  <c r="AG66" i="36"/>
  <c r="AH66" i="36"/>
  <c r="AI66" i="36"/>
  <c r="AJ66" i="36"/>
  <c r="AL66" i="36"/>
  <c r="AM66" i="36"/>
  <c r="AN66" i="36"/>
  <c r="AO66" i="36"/>
  <c r="AP66" i="36"/>
  <c r="AQ66" i="36"/>
  <c r="AR66" i="36"/>
  <c r="AS66" i="36"/>
  <c r="AT66" i="36"/>
  <c r="AU66" i="36"/>
  <c r="AV66" i="36"/>
  <c r="AW66" i="36"/>
  <c r="AX66" i="36"/>
  <c r="AY66" i="36"/>
  <c r="BB66" i="36"/>
  <c r="BC66" i="36"/>
  <c r="BD66" i="36"/>
  <c r="BE66" i="36"/>
  <c r="BF66" i="36"/>
  <c r="BG66" i="36"/>
  <c r="BH66" i="36"/>
  <c r="BI66" i="36"/>
  <c r="BJ66" i="36"/>
  <c r="BK66" i="36"/>
  <c r="BL66" i="36"/>
  <c r="BM66" i="36"/>
  <c r="BN66" i="36"/>
  <c r="BO66" i="36"/>
  <c r="D67" i="36"/>
  <c r="F67" i="36"/>
  <c r="G67" i="36"/>
  <c r="H67" i="36"/>
  <c r="I67" i="36"/>
  <c r="K67" i="36"/>
  <c r="L67" i="36"/>
  <c r="N67" i="36"/>
  <c r="O67" i="36"/>
  <c r="P67" i="36"/>
  <c r="Q67" i="36"/>
  <c r="S67" i="36"/>
  <c r="T67" i="36"/>
  <c r="V67" i="36"/>
  <c r="X67" i="36"/>
  <c r="Y67" i="36"/>
  <c r="Z67" i="36"/>
  <c r="AA67" i="36"/>
  <c r="AB67" i="36"/>
  <c r="AC67" i="36"/>
  <c r="AF67" i="36"/>
  <c r="AG67" i="36"/>
  <c r="AH67" i="36"/>
  <c r="AI67" i="36"/>
  <c r="AJ67" i="36"/>
  <c r="AL67" i="36"/>
  <c r="AM67" i="36"/>
  <c r="AN67" i="36"/>
  <c r="AO67" i="36"/>
  <c r="AP67" i="36"/>
  <c r="AQ67" i="36"/>
  <c r="AR67" i="36"/>
  <c r="AS67" i="36"/>
  <c r="AT67" i="36"/>
  <c r="AU67" i="36"/>
  <c r="AV67" i="36"/>
  <c r="AW67" i="36"/>
  <c r="AX67" i="36"/>
  <c r="AY67" i="36"/>
  <c r="BB67" i="36"/>
  <c r="BC67" i="36"/>
  <c r="BD67" i="36"/>
  <c r="BE67" i="36"/>
  <c r="BF67" i="36"/>
  <c r="BG67" i="36"/>
  <c r="BH67" i="36"/>
  <c r="BI67" i="36"/>
  <c r="BJ67" i="36"/>
  <c r="BK67" i="36"/>
  <c r="BL67" i="36"/>
  <c r="BM67" i="36"/>
  <c r="BN67" i="36"/>
  <c r="BO67" i="36"/>
  <c r="D68" i="36"/>
  <c r="F68" i="36"/>
  <c r="G68" i="36"/>
  <c r="H68" i="36"/>
  <c r="I68" i="36"/>
  <c r="K68" i="36"/>
  <c r="L68" i="36"/>
  <c r="N68" i="36"/>
  <c r="O68" i="36"/>
  <c r="P68" i="36"/>
  <c r="Q68" i="36"/>
  <c r="S68" i="36"/>
  <c r="T68" i="36"/>
  <c r="V68" i="36"/>
  <c r="X68" i="36"/>
  <c r="Y68" i="36"/>
  <c r="Z68" i="36"/>
  <c r="AA68" i="36"/>
  <c r="AB68" i="36"/>
  <c r="AC68" i="36"/>
  <c r="AF68" i="36"/>
  <c r="AG68" i="36"/>
  <c r="AH68" i="36"/>
  <c r="AI68" i="36"/>
  <c r="AJ68" i="36"/>
  <c r="AL68" i="36"/>
  <c r="AM68" i="36"/>
  <c r="AN68" i="36"/>
  <c r="AO68" i="36"/>
  <c r="AP68" i="36"/>
  <c r="AQ68" i="36"/>
  <c r="AR68" i="36"/>
  <c r="AS68" i="36"/>
  <c r="AT68" i="36"/>
  <c r="AU68" i="36"/>
  <c r="AV68" i="36"/>
  <c r="AW68" i="36"/>
  <c r="AX68" i="36"/>
  <c r="AY68" i="36"/>
  <c r="BB68" i="36"/>
  <c r="BC68" i="36"/>
  <c r="BD68" i="36"/>
  <c r="BE68" i="36"/>
  <c r="BF68" i="36"/>
  <c r="BG68" i="36"/>
  <c r="BH68" i="36"/>
  <c r="BI68" i="36"/>
  <c r="BJ68" i="36"/>
  <c r="BK68" i="36"/>
  <c r="BL68" i="36"/>
  <c r="BM68" i="36"/>
  <c r="BN68" i="36"/>
  <c r="BO68" i="36"/>
  <c r="D69" i="36"/>
  <c r="F69" i="36"/>
  <c r="G69" i="36"/>
  <c r="H69" i="36"/>
  <c r="I69" i="36"/>
  <c r="K69" i="36"/>
  <c r="L69" i="36"/>
  <c r="N69" i="36"/>
  <c r="O69" i="36"/>
  <c r="P69" i="36"/>
  <c r="Q69" i="36"/>
  <c r="S69" i="36"/>
  <c r="T69" i="36"/>
  <c r="V69" i="36"/>
  <c r="X69" i="36"/>
  <c r="Y69" i="36"/>
  <c r="Z69" i="36"/>
  <c r="AA69" i="36"/>
  <c r="AB69" i="36"/>
  <c r="AC69" i="36"/>
  <c r="AF69" i="36"/>
  <c r="AG69" i="36"/>
  <c r="AH69" i="36"/>
  <c r="AI69" i="36"/>
  <c r="AJ69" i="36"/>
  <c r="AL69" i="36"/>
  <c r="AM69" i="36"/>
  <c r="AN69" i="36"/>
  <c r="AO69" i="36"/>
  <c r="AP69" i="36"/>
  <c r="AQ69" i="36"/>
  <c r="AR69" i="36"/>
  <c r="AS69" i="36"/>
  <c r="AT69" i="36"/>
  <c r="AU69" i="36"/>
  <c r="AV69" i="36"/>
  <c r="AW69" i="36"/>
  <c r="AX69" i="36"/>
  <c r="AY69" i="36"/>
  <c r="BB69" i="36"/>
  <c r="BC69" i="36"/>
  <c r="BD69" i="36"/>
  <c r="BE69" i="36"/>
  <c r="BF69" i="36"/>
  <c r="BG69" i="36"/>
  <c r="BH69" i="36"/>
  <c r="BI69" i="36"/>
  <c r="BJ69" i="36"/>
  <c r="BK69" i="36"/>
  <c r="BL69" i="36"/>
  <c r="BM69" i="36"/>
  <c r="BN69" i="36"/>
  <c r="BO69" i="36"/>
  <c r="D70" i="36"/>
  <c r="F70" i="36"/>
  <c r="G70" i="36"/>
  <c r="H70" i="36"/>
  <c r="I70" i="36"/>
  <c r="K70" i="36"/>
  <c r="L70" i="36"/>
  <c r="N70" i="36"/>
  <c r="O70" i="36"/>
  <c r="P70" i="36"/>
  <c r="Q70" i="36"/>
  <c r="S70" i="36"/>
  <c r="T70" i="36"/>
  <c r="V70" i="36"/>
  <c r="X70" i="36"/>
  <c r="Y70" i="36"/>
  <c r="Z70" i="36"/>
  <c r="AA70" i="36"/>
  <c r="AB70" i="36"/>
  <c r="AC70" i="36"/>
  <c r="AF70" i="36"/>
  <c r="AG70" i="36"/>
  <c r="AH70" i="36"/>
  <c r="AI70" i="36"/>
  <c r="AJ70" i="36"/>
  <c r="AL70" i="36"/>
  <c r="AM70" i="36"/>
  <c r="AN70" i="36"/>
  <c r="AO70" i="36"/>
  <c r="AP70" i="36"/>
  <c r="AQ70" i="36"/>
  <c r="AR70" i="36"/>
  <c r="AS70" i="36"/>
  <c r="AT70" i="36"/>
  <c r="AU70" i="36"/>
  <c r="AV70" i="36"/>
  <c r="AW70" i="36"/>
  <c r="AX70" i="36"/>
  <c r="AY70" i="36"/>
  <c r="BB70" i="36"/>
  <c r="BC70" i="36"/>
  <c r="BD70" i="36"/>
  <c r="BE70" i="36"/>
  <c r="BF70" i="36"/>
  <c r="BG70" i="36"/>
  <c r="BH70" i="36"/>
  <c r="BI70" i="36"/>
  <c r="BJ70" i="36"/>
  <c r="BK70" i="36"/>
  <c r="BL70" i="36"/>
  <c r="BM70" i="36"/>
  <c r="BN70" i="36"/>
  <c r="BO70" i="36"/>
  <c r="D71" i="36"/>
  <c r="F71" i="36"/>
  <c r="G71" i="36"/>
  <c r="H71" i="36"/>
  <c r="I71" i="36"/>
  <c r="K71" i="36"/>
  <c r="L71" i="36"/>
  <c r="N71" i="36"/>
  <c r="O71" i="36"/>
  <c r="P71" i="36"/>
  <c r="Q71" i="36"/>
  <c r="S71" i="36"/>
  <c r="T71" i="36"/>
  <c r="V71" i="36"/>
  <c r="X71" i="36"/>
  <c r="Y71" i="36"/>
  <c r="Z71" i="36"/>
  <c r="AA71" i="36"/>
  <c r="AB71" i="36"/>
  <c r="AC71" i="36"/>
  <c r="AF71" i="36"/>
  <c r="AG71" i="36"/>
  <c r="AH71" i="36"/>
  <c r="AI71" i="36"/>
  <c r="AJ71" i="36"/>
  <c r="AL71" i="36"/>
  <c r="AM71" i="36"/>
  <c r="AN71" i="36"/>
  <c r="AO71" i="36"/>
  <c r="AP71" i="36"/>
  <c r="AQ71" i="36"/>
  <c r="AR71" i="36"/>
  <c r="AS71" i="36"/>
  <c r="AT71" i="36"/>
  <c r="AU71" i="36"/>
  <c r="AV71" i="36"/>
  <c r="AW71" i="36"/>
  <c r="AX71" i="36"/>
  <c r="AY71" i="36"/>
  <c r="BB71" i="36"/>
  <c r="BC71" i="36"/>
  <c r="BD71" i="36"/>
  <c r="BE71" i="36"/>
  <c r="BF71" i="36"/>
  <c r="BG71" i="36"/>
  <c r="BH71" i="36"/>
  <c r="BI71" i="36"/>
  <c r="BJ71" i="36"/>
  <c r="BK71" i="36"/>
  <c r="BL71" i="36"/>
  <c r="BM71" i="36"/>
  <c r="BN71" i="36"/>
  <c r="BO71" i="36"/>
  <c r="D72" i="36"/>
  <c r="F72" i="36"/>
  <c r="G72" i="36"/>
  <c r="H72" i="36"/>
  <c r="I72" i="36"/>
  <c r="K72" i="36"/>
  <c r="L72" i="36"/>
  <c r="N72" i="36"/>
  <c r="O72" i="36"/>
  <c r="P72" i="36"/>
  <c r="Q72" i="36"/>
  <c r="S72" i="36"/>
  <c r="T72" i="36"/>
  <c r="V72" i="36"/>
  <c r="X72" i="36"/>
  <c r="Y72" i="36"/>
  <c r="Z72" i="36"/>
  <c r="AA72" i="36"/>
  <c r="AB72" i="36"/>
  <c r="AC72" i="36"/>
  <c r="AF72" i="36"/>
  <c r="AG72" i="36"/>
  <c r="AH72" i="36"/>
  <c r="AI72" i="36"/>
  <c r="AJ72" i="36"/>
  <c r="AL72" i="36"/>
  <c r="AM72" i="36"/>
  <c r="AN72" i="36"/>
  <c r="AO72" i="36"/>
  <c r="AP72" i="36"/>
  <c r="AQ72" i="36"/>
  <c r="AR72" i="36"/>
  <c r="AS72" i="36"/>
  <c r="AT72" i="36"/>
  <c r="AU72" i="36"/>
  <c r="AV72" i="36"/>
  <c r="AW72" i="36"/>
  <c r="AX72" i="36"/>
  <c r="AY72" i="36"/>
  <c r="BB72" i="36"/>
  <c r="BC72" i="36"/>
  <c r="BD72" i="36"/>
  <c r="BE72" i="36"/>
  <c r="BF72" i="36"/>
  <c r="BG72" i="36"/>
  <c r="BH72" i="36"/>
  <c r="BI72" i="36"/>
  <c r="BJ72" i="36"/>
  <c r="BK72" i="36"/>
  <c r="BL72" i="36"/>
  <c r="BM72" i="36"/>
  <c r="BN72" i="36"/>
  <c r="BO72" i="36"/>
  <c r="D73" i="36"/>
  <c r="F73" i="36"/>
  <c r="G73" i="36"/>
  <c r="H73" i="36"/>
  <c r="I73" i="36"/>
  <c r="K73" i="36"/>
  <c r="L73" i="36"/>
  <c r="N73" i="36"/>
  <c r="O73" i="36"/>
  <c r="P73" i="36"/>
  <c r="Q73" i="36"/>
  <c r="S73" i="36"/>
  <c r="T73" i="36"/>
  <c r="V73" i="36"/>
  <c r="X73" i="36"/>
  <c r="Y73" i="36"/>
  <c r="Z73" i="36"/>
  <c r="AA73" i="36"/>
  <c r="AB73" i="36"/>
  <c r="AC73" i="36"/>
  <c r="AF73" i="36"/>
  <c r="AG73" i="36"/>
  <c r="AH73" i="36"/>
  <c r="AI73" i="36"/>
  <c r="AJ73" i="36"/>
  <c r="AL73" i="36"/>
  <c r="AM73" i="36"/>
  <c r="AN73" i="36"/>
  <c r="AO73" i="36"/>
  <c r="AP73" i="36"/>
  <c r="AQ73" i="36"/>
  <c r="AR73" i="36"/>
  <c r="AS73" i="36"/>
  <c r="AT73" i="36"/>
  <c r="AU73" i="36"/>
  <c r="AV73" i="36"/>
  <c r="AW73" i="36"/>
  <c r="AX73" i="36"/>
  <c r="AY73" i="36"/>
  <c r="BB73" i="36"/>
  <c r="BC73" i="36"/>
  <c r="BD73" i="36"/>
  <c r="BE73" i="36"/>
  <c r="BF73" i="36"/>
  <c r="BG73" i="36"/>
  <c r="BH73" i="36"/>
  <c r="BI73" i="36"/>
  <c r="BJ73" i="36"/>
  <c r="BK73" i="36"/>
  <c r="BL73" i="36"/>
  <c r="BM73" i="36"/>
  <c r="BN73" i="36"/>
  <c r="BO73" i="36"/>
  <c r="D74" i="36"/>
  <c r="F74" i="36"/>
  <c r="G74" i="36"/>
  <c r="H74" i="36"/>
  <c r="I74" i="36"/>
  <c r="K74" i="36"/>
  <c r="L74" i="36"/>
  <c r="N74" i="36"/>
  <c r="O74" i="36"/>
  <c r="P74" i="36"/>
  <c r="Q74" i="36"/>
  <c r="S74" i="36"/>
  <c r="T74" i="36"/>
  <c r="V74" i="36"/>
  <c r="X74" i="36"/>
  <c r="Y74" i="36"/>
  <c r="Z74" i="36"/>
  <c r="AA74" i="36"/>
  <c r="AB74" i="36"/>
  <c r="AC74" i="36"/>
  <c r="AF74" i="36"/>
  <c r="AG74" i="36"/>
  <c r="AH74" i="36"/>
  <c r="AI74" i="36"/>
  <c r="AJ74" i="36"/>
  <c r="AL74" i="36"/>
  <c r="AM74" i="36"/>
  <c r="AN74" i="36"/>
  <c r="AO74" i="36"/>
  <c r="AP74" i="36"/>
  <c r="AQ74" i="36"/>
  <c r="AR74" i="36"/>
  <c r="AS74" i="36"/>
  <c r="AT74" i="36"/>
  <c r="AU74" i="36"/>
  <c r="AV74" i="36"/>
  <c r="AW74" i="36"/>
  <c r="AX74" i="36"/>
  <c r="AY74" i="36"/>
  <c r="BB74" i="36"/>
  <c r="BC74" i="36"/>
  <c r="BD74" i="36"/>
  <c r="BE74" i="36"/>
  <c r="BF74" i="36"/>
  <c r="BG74" i="36"/>
  <c r="BH74" i="36"/>
  <c r="BI74" i="36"/>
  <c r="BJ74" i="36"/>
  <c r="BK74" i="36"/>
  <c r="BL74" i="36"/>
  <c r="BM74" i="36"/>
  <c r="BN74" i="36"/>
  <c r="BO74" i="36"/>
  <c r="D75" i="36"/>
  <c r="F75" i="36"/>
  <c r="G75" i="36"/>
  <c r="H75" i="36"/>
  <c r="I75" i="36"/>
  <c r="K75" i="36"/>
  <c r="L75" i="36"/>
  <c r="N75" i="36"/>
  <c r="O75" i="36"/>
  <c r="P75" i="36"/>
  <c r="Q75" i="36"/>
  <c r="S75" i="36"/>
  <c r="T75" i="36"/>
  <c r="V75" i="36"/>
  <c r="X75" i="36"/>
  <c r="Y75" i="36"/>
  <c r="Z75" i="36"/>
  <c r="AA75" i="36"/>
  <c r="AB75" i="36"/>
  <c r="AC75" i="36"/>
  <c r="AF75" i="36"/>
  <c r="AG75" i="36"/>
  <c r="AH75" i="36"/>
  <c r="AI75" i="36"/>
  <c r="AJ75" i="36"/>
  <c r="AL75" i="36"/>
  <c r="AM75" i="36"/>
  <c r="AN75" i="36"/>
  <c r="AO75" i="36"/>
  <c r="AP75" i="36"/>
  <c r="AQ75" i="36"/>
  <c r="AR75" i="36"/>
  <c r="AS75" i="36"/>
  <c r="AT75" i="36"/>
  <c r="AU75" i="36"/>
  <c r="AV75" i="36"/>
  <c r="AW75" i="36"/>
  <c r="AX75" i="36"/>
  <c r="AY75" i="36"/>
  <c r="BB75" i="36"/>
  <c r="BC75" i="36"/>
  <c r="BD75" i="36"/>
  <c r="BE75" i="36"/>
  <c r="BF75" i="36"/>
  <c r="BG75" i="36"/>
  <c r="BH75" i="36"/>
  <c r="BI75" i="36"/>
  <c r="BJ75" i="36"/>
  <c r="BK75" i="36"/>
  <c r="BL75" i="36"/>
  <c r="BM75" i="36"/>
  <c r="BN75" i="36"/>
  <c r="BO75" i="36"/>
  <c r="D76" i="36"/>
  <c r="F76" i="36"/>
  <c r="G76" i="36"/>
  <c r="H76" i="36"/>
  <c r="I76" i="36"/>
  <c r="K76" i="36"/>
  <c r="L76" i="36"/>
  <c r="N76" i="36"/>
  <c r="O76" i="36"/>
  <c r="P76" i="36"/>
  <c r="Q76" i="36"/>
  <c r="S76" i="36"/>
  <c r="T76" i="36"/>
  <c r="V76" i="36"/>
  <c r="X76" i="36"/>
  <c r="Y76" i="36"/>
  <c r="Z76" i="36"/>
  <c r="AA76" i="36"/>
  <c r="AB76" i="36"/>
  <c r="AC76" i="36"/>
  <c r="AF76" i="36"/>
  <c r="AG76" i="36"/>
  <c r="AH76" i="36"/>
  <c r="AI76" i="36"/>
  <c r="AJ76" i="36"/>
  <c r="AL76" i="36"/>
  <c r="AM76" i="36"/>
  <c r="AN76" i="36"/>
  <c r="AO76" i="36"/>
  <c r="AP76" i="36"/>
  <c r="AQ76" i="36"/>
  <c r="AR76" i="36"/>
  <c r="AS76" i="36"/>
  <c r="AT76" i="36"/>
  <c r="AU76" i="36"/>
  <c r="AV76" i="36"/>
  <c r="AW76" i="36"/>
  <c r="AX76" i="36"/>
  <c r="AY76" i="36"/>
  <c r="BB76" i="36"/>
  <c r="BC76" i="36"/>
  <c r="BD76" i="36"/>
  <c r="BE76" i="36"/>
  <c r="BF76" i="36"/>
  <c r="BG76" i="36"/>
  <c r="BH76" i="36"/>
  <c r="BI76" i="36"/>
  <c r="BJ76" i="36"/>
  <c r="BK76" i="36"/>
  <c r="BL76" i="36"/>
  <c r="BM76" i="36"/>
  <c r="BN76" i="36"/>
  <c r="BO76" i="36"/>
  <c r="D77" i="36"/>
  <c r="F77" i="36"/>
  <c r="G77" i="36"/>
  <c r="H77" i="36"/>
  <c r="I77" i="36"/>
  <c r="K77" i="36"/>
  <c r="L77" i="36"/>
  <c r="N77" i="36"/>
  <c r="O77" i="36"/>
  <c r="P77" i="36"/>
  <c r="Q77" i="36"/>
  <c r="S77" i="36"/>
  <c r="T77" i="36"/>
  <c r="V77" i="36"/>
  <c r="X77" i="36"/>
  <c r="Y77" i="36"/>
  <c r="Z77" i="36"/>
  <c r="AA77" i="36"/>
  <c r="AB77" i="36"/>
  <c r="AC77" i="36"/>
  <c r="AF77" i="36"/>
  <c r="AG77" i="36"/>
  <c r="AH77" i="36"/>
  <c r="AI77" i="36"/>
  <c r="AJ77" i="36"/>
  <c r="AL77" i="36"/>
  <c r="AM77" i="36"/>
  <c r="AN77" i="36"/>
  <c r="AO77" i="36"/>
  <c r="AP77" i="36"/>
  <c r="AQ77" i="36"/>
  <c r="AR77" i="36"/>
  <c r="AS77" i="36"/>
  <c r="AT77" i="36"/>
  <c r="AU77" i="36"/>
  <c r="AV77" i="36"/>
  <c r="AW77" i="36"/>
  <c r="AX77" i="36"/>
  <c r="AY77" i="36"/>
  <c r="BB77" i="36"/>
  <c r="BC77" i="36"/>
  <c r="BD77" i="36"/>
  <c r="BE77" i="36"/>
  <c r="BF77" i="36"/>
  <c r="BG77" i="36"/>
  <c r="BH77" i="36"/>
  <c r="BI77" i="36"/>
  <c r="BJ77" i="36"/>
  <c r="BK77" i="36"/>
  <c r="BL77" i="36"/>
  <c r="BM77" i="36"/>
  <c r="BN77" i="36"/>
  <c r="BO77" i="36"/>
  <c r="D78" i="36"/>
  <c r="F78" i="36"/>
  <c r="G78" i="36"/>
  <c r="H78" i="36"/>
  <c r="I78" i="36"/>
  <c r="K78" i="36"/>
  <c r="L78" i="36"/>
  <c r="N78" i="36"/>
  <c r="O78" i="36"/>
  <c r="P78" i="36"/>
  <c r="Q78" i="36"/>
  <c r="S78" i="36"/>
  <c r="T78" i="36"/>
  <c r="V78" i="36"/>
  <c r="X78" i="36"/>
  <c r="Y78" i="36"/>
  <c r="Z78" i="36"/>
  <c r="AA78" i="36"/>
  <c r="AB78" i="36"/>
  <c r="AC78" i="36"/>
  <c r="AF78" i="36"/>
  <c r="AG78" i="36"/>
  <c r="AH78" i="36"/>
  <c r="AI78" i="36"/>
  <c r="AJ78" i="36"/>
  <c r="AL78" i="36"/>
  <c r="AM78" i="36"/>
  <c r="AN78" i="36"/>
  <c r="AO78" i="36"/>
  <c r="AP78" i="36"/>
  <c r="AQ78" i="36"/>
  <c r="AR78" i="36"/>
  <c r="AS78" i="36"/>
  <c r="AT78" i="36"/>
  <c r="AU78" i="36"/>
  <c r="AV78" i="36"/>
  <c r="AW78" i="36"/>
  <c r="AX78" i="36"/>
  <c r="AY78" i="36"/>
  <c r="BB78" i="36"/>
  <c r="BC78" i="36"/>
  <c r="BD78" i="36"/>
  <c r="BE78" i="36"/>
  <c r="BF78" i="36"/>
  <c r="BG78" i="36"/>
  <c r="BH78" i="36"/>
  <c r="BI78" i="36"/>
  <c r="BJ78" i="36"/>
  <c r="BK78" i="36"/>
  <c r="BL78" i="36"/>
  <c r="BM78" i="36"/>
  <c r="BN78" i="36"/>
  <c r="BO78" i="36"/>
  <c r="D79" i="36"/>
  <c r="F79" i="36"/>
  <c r="G79" i="36"/>
  <c r="H79" i="36"/>
  <c r="I79" i="36"/>
  <c r="K79" i="36"/>
  <c r="L79" i="36"/>
  <c r="N79" i="36"/>
  <c r="O79" i="36"/>
  <c r="P79" i="36"/>
  <c r="Q79" i="36"/>
  <c r="S79" i="36"/>
  <c r="T79" i="36"/>
  <c r="V79" i="36"/>
  <c r="X79" i="36"/>
  <c r="Y79" i="36"/>
  <c r="Z79" i="36"/>
  <c r="AA79" i="36"/>
  <c r="AB79" i="36"/>
  <c r="AC79" i="36"/>
  <c r="AF79" i="36"/>
  <c r="AG79" i="36"/>
  <c r="AH79" i="36"/>
  <c r="AI79" i="36"/>
  <c r="AJ79" i="36"/>
  <c r="AL79" i="36"/>
  <c r="AM79" i="36"/>
  <c r="AN79" i="36"/>
  <c r="AO79" i="36"/>
  <c r="AP79" i="36"/>
  <c r="AQ79" i="36"/>
  <c r="AR79" i="36"/>
  <c r="AS79" i="36"/>
  <c r="AT79" i="36"/>
  <c r="AU79" i="36"/>
  <c r="AV79" i="36"/>
  <c r="AW79" i="36"/>
  <c r="AX79" i="36"/>
  <c r="AY79" i="36"/>
  <c r="BB79" i="36"/>
  <c r="BC79" i="36"/>
  <c r="BD79" i="36"/>
  <c r="BE79" i="36"/>
  <c r="BF79" i="36"/>
  <c r="BG79" i="36"/>
  <c r="BH79" i="36"/>
  <c r="BI79" i="36"/>
  <c r="BJ79" i="36"/>
  <c r="BK79" i="36"/>
  <c r="BL79" i="36"/>
  <c r="BM79" i="36"/>
  <c r="BN79" i="36"/>
  <c r="BO79" i="36"/>
  <c r="D80" i="36"/>
  <c r="F80" i="36"/>
  <c r="G80" i="36"/>
  <c r="H80" i="36"/>
  <c r="I80" i="36"/>
  <c r="K80" i="36"/>
  <c r="L80" i="36"/>
  <c r="N80" i="36"/>
  <c r="O80" i="36"/>
  <c r="P80" i="36"/>
  <c r="Q80" i="36"/>
  <c r="S80" i="36"/>
  <c r="T80" i="36"/>
  <c r="V80" i="36"/>
  <c r="X80" i="36"/>
  <c r="Y80" i="36"/>
  <c r="Z80" i="36"/>
  <c r="AA80" i="36"/>
  <c r="AB80" i="36"/>
  <c r="AC80" i="36"/>
  <c r="AF80" i="36"/>
  <c r="AG80" i="36"/>
  <c r="AH80" i="36"/>
  <c r="AI80" i="36"/>
  <c r="AJ80" i="36"/>
  <c r="AL80" i="36"/>
  <c r="AM80" i="36"/>
  <c r="AN80" i="36"/>
  <c r="AO80" i="36"/>
  <c r="AP80" i="36"/>
  <c r="AQ80" i="36"/>
  <c r="AR80" i="36"/>
  <c r="AS80" i="36"/>
  <c r="AT80" i="36"/>
  <c r="AU80" i="36"/>
  <c r="AV80" i="36"/>
  <c r="AW80" i="36"/>
  <c r="AX80" i="36"/>
  <c r="AY80" i="36"/>
  <c r="BB80" i="36"/>
  <c r="BC80" i="36"/>
  <c r="BD80" i="36"/>
  <c r="BE80" i="36"/>
  <c r="BF80" i="36"/>
  <c r="BG80" i="36"/>
  <c r="BH80" i="36"/>
  <c r="BI80" i="36"/>
  <c r="BJ80" i="36"/>
  <c r="BK80" i="36"/>
  <c r="BL80" i="36"/>
  <c r="BM80" i="36"/>
  <c r="BN80" i="36"/>
  <c r="BO80" i="36"/>
  <c r="D81" i="36"/>
  <c r="F81" i="36"/>
  <c r="G81" i="36"/>
  <c r="H81" i="36"/>
  <c r="I81" i="36"/>
  <c r="K81" i="36"/>
  <c r="L81" i="36"/>
  <c r="N81" i="36"/>
  <c r="O81" i="36"/>
  <c r="P81" i="36"/>
  <c r="Q81" i="36"/>
  <c r="S81" i="36"/>
  <c r="T81" i="36"/>
  <c r="V81" i="36"/>
  <c r="X81" i="36"/>
  <c r="Y81" i="36"/>
  <c r="Z81" i="36"/>
  <c r="AA81" i="36"/>
  <c r="AB81" i="36"/>
  <c r="AC81" i="36"/>
  <c r="AF81" i="36"/>
  <c r="AG81" i="36"/>
  <c r="AH81" i="36"/>
  <c r="AI81" i="36"/>
  <c r="AJ81" i="36"/>
  <c r="AL81" i="36"/>
  <c r="AM81" i="36"/>
  <c r="AN81" i="36"/>
  <c r="AO81" i="36"/>
  <c r="AP81" i="36"/>
  <c r="AQ81" i="36"/>
  <c r="AR81" i="36"/>
  <c r="AS81" i="36"/>
  <c r="AT81" i="36"/>
  <c r="AU81" i="36"/>
  <c r="AV81" i="36"/>
  <c r="AW81" i="36"/>
  <c r="AX81" i="36"/>
  <c r="AY81" i="36"/>
  <c r="BB81" i="36"/>
  <c r="BC81" i="36"/>
  <c r="BD81" i="36"/>
  <c r="BE81" i="36"/>
  <c r="BF81" i="36"/>
  <c r="BG81" i="36"/>
  <c r="BH81" i="36"/>
  <c r="BI81" i="36"/>
  <c r="BJ81" i="36"/>
  <c r="BK81" i="36"/>
  <c r="BL81" i="36"/>
  <c r="BM81" i="36"/>
  <c r="BN81" i="36"/>
  <c r="BO81" i="36"/>
  <c r="D82" i="36"/>
  <c r="F82" i="36"/>
  <c r="G82" i="36"/>
  <c r="H82" i="36"/>
  <c r="I82" i="36"/>
  <c r="K82" i="36"/>
  <c r="L82" i="36"/>
  <c r="N82" i="36"/>
  <c r="O82" i="36"/>
  <c r="P82" i="36"/>
  <c r="Q82" i="36"/>
  <c r="S82" i="36"/>
  <c r="T82" i="36"/>
  <c r="V82" i="36"/>
  <c r="X82" i="36"/>
  <c r="Y82" i="36"/>
  <c r="Z82" i="36"/>
  <c r="AA82" i="36"/>
  <c r="AB82" i="36"/>
  <c r="AC82" i="36"/>
  <c r="AF82" i="36"/>
  <c r="AG82" i="36"/>
  <c r="AH82" i="36"/>
  <c r="AI82" i="36"/>
  <c r="AJ82" i="36"/>
  <c r="AL82" i="36"/>
  <c r="AM82" i="36"/>
  <c r="AN82" i="36"/>
  <c r="AO82" i="36"/>
  <c r="AP82" i="36"/>
  <c r="AQ82" i="36"/>
  <c r="AR82" i="36"/>
  <c r="AS82" i="36"/>
  <c r="AT82" i="36"/>
  <c r="AU82" i="36"/>
  <c r="AV82" i="36"/>
  <c r="AW82" i="36"/>
  <c r="AX82" i="36"/>
  <c r="AY82" i="36"/>
  <c r="BB82" i="36"/>
  <c r="BC82" i="36"/>
  <c r="BD82" i="36"/>
  <c r="BE82" i="36"/>
  <c r="BF82" i="36"/>
  <c r="BG82" i="36"/>
  <c r="BH82" i="36"/>
  <c r="BI82" i="36"/>
  <c r="BJ82" i="36"/>
  <c r="BK82" i="36"/>
  <c r="BL82" i="36"/>
  <c r="BM82" i="36"/>
  <c r="BN82" i="36"/>
  <c r="BO82" i="36"/>
  <c r="D83" i="36"/>
  <c r="F83" i="36"/>
  <c r="G83" i="36"/>
  <c r="H83" i="36"/>
  <c r="I83" i="36"/>
  <c r="K83" i="36"/>
  <c r="L83" i="36"/>
  <c r="N83" i="36"/>
  <c r="O83" i="36"/>
  <c r="P83" i="36"/>
  <c r="Q83" i="36"/>
  <c r="S83" i="36"/>
  <c r="T83" i="36"/>
  <c r="V83" i="36"/>
  <c r="X83" i="36"/>
  <c r="Y83" i="36"/>
  <c r="Z83" i="36"/>
  <c r="AA83" i="36"/>
  <c r="AB83" i="36"/>
  <c r="AC83" i="36"/>
  <c r="AF83" i="36"/>
  <c r="AG83" i="36"/>
  <c r="AH83" i="36"/>
  <c r="AI83" i="36"/>
  <c r="AJ83" i="36"/>
  <c r="AL83" i="36"/>
  <c r="AM83" i="36"/>
  <c r="AN83" i="36"/>
  <c r="AO83" i="36"/>
  <c r="AP83" i="36"/>
  <c r="AQ83" i="36"/>
  <c r="AR83" i="36"/>
  <c r="AS83" i="36"/>
  <c r="AT83" i="36"/>
  <c r="AU83" i="36"/>
  <c r="AV83" i="36"/>
  <c r="AW83" i="36"/>
  <c r="AX83" i="36"/>
  <c r="AY83" i="36"/>
  <c r="BB83" i="36"/>
  <c r="BC83" i="36"/>
  <c r="BD83" i="36"/>
  <c r="BE83" i="36"/>
  <c r="BF83" i="36"/>
  <c r="BG83" i="36"/>
  <c r="BH83" i="36"/>
  <c r="BI83" i="36"/>
  <c r="BJ83" i="36"/>
  <c r="BK83" i="36"/>
  <c r="BL83" i="36"/>
  <c r="BM83" i="36"/>
  <c r="BN83" i="36"/>
  <c r="BO83" i="36"/>
  <c r="D84" i="36"/>
  <c r="F84" i="36"/>
  <c r="G84" i="36"/>
  <c r="H84" i="36"/>
  <c r="I84" i="36"/>
  <c r="K84" i="36"/>
  <c r="L84" i="36"/>
  <c r="N84" i="36"/>
  <c r="O84" i="36"/>
  <c r="P84" i="36"/>
  <c r="Q84" i="36"/>
  <c r="S84" i="36"/>
  <c r="T84" i="36"/>
  <c r="V84" i="36"/>
  <c r="X84" i="36"/>
  <c r="Y84" i="36"/>
  <c r="Z84" i="36"/>
  <c r="AA84" i="36"/>
  <c r="AB84" i="36"/>
  <c r="AC84" i="36"/>
  <c r="AF84" i="36"/>
  <c r="AG84" i="36"/>
  <c r="AH84" i="36"/>
  <c r="AI84" i="36"/>
  <c r="AJ84" i="36"/>
  <c r="AL84" i="36"/>
  <c r="AM84" i="36"/>
  <c r="AN84" i="36"/>
  <c r="AO84" i="36"/>
  <c r="AP84" i="36"/>
  <c r="AQ84" i="36"/>
  <c r="AR84" i="36"/>
  <c r="AS84" i="36"/>
  <c r="AT84" i="36"/>
  <c r="AU84" i="36"/>
  <c r="AV84" i="36"/>
  <c r="AW84" i="36"/>
  <c r="AX84" i="36"/>
  <c r="AY84" i="36"/>
  <c r="BB84" i="36"/>
  <c r="BC84" i="36"/>
  <c r="BD84" i="36"/>
  <c r="BE84" i="36"/>
  <c r="BF84" i="36"/>
  <c r="BG84" i="36"/>
  <c r="BH84" i="36"/>
  <c r="BI84" i="36"/>
  <c r="BJ84" i="36"/>
  <c r="BK84" i="36"/>
  <c r="BL84" i="36"/>
  <c r="BM84" i="36"/>
  <c r="BN84" i="36"/>
  <c r="BO84" i="36"/>
  <c r="D85" i="36"/>
  <c r="F85" i="36"/>
  <c r="G85" i="36"/>
  <c r="H85" i="36"/>
  <c r="I85" i="36"/>
  <c r="K85" i="36"/>
  <c r="L85" i="36"/>
  <c r="N85" i="36"/>
  <c r="O85" i="36"/>
  <c r="P85" i="36"/>
  <c r="Q85" i="36"/>
  <c r="S85" i="36"/>
  <c r="T85" i="36"/>
  <c r="V85" i="36"/>
  <c r="X85" i="36"/>
  <c r="Y85" i="36"/>
  <c r="Z85" i="36"/>
  <c r="AA85" i="36"/>
  <c r="AB85" i="36"/>
  <c r="AC85" i="36"/>
  <c r="AF85" i="36"/>
  <c r="AG85" i="36"/>
  <c r="AH85" i="36"/>
  <c r="AI85" i="36"/>
  <c r="AJ85" i="36"/>
  <c r="AL85" i="36"/>
  <c r="AM85" i="36"/>
  <c r="AN85" i="36"/>
  <c r="AO85" i="36"/>
  <c r="AP85" i="36"/>
  <c r="AQ85" i="36"/>
  <c r="AR85" i="36"/>
  <c r="AS85" i="36"/>
  <c r="AT85" i="36"/>
  <c r="AU85" i="36"/>
  <c r="AV85" i="36"/>
  <c r="AW85" i="36"/>
  <c r="AX85" i="36"/>
  <c r="AY85" i="36"/>
  <c r="BB85" i="36"/>
  <c r="BC85" i="36"/>
  <c r="BD85" i="36"/>
  <c r="BE85" i="36"/>
  <c r="BF85" i="36"/>
  <c r="BG85" i="36"/>
  <c r="BH85" i="36"/>
  <c r="BI85" i="36"/>
  <c r="BJ85" i="36"/>
  <c r="BK85" i="36"/>
  <c r="BL85" i="36"/>
  <c r="BM85" i="36"/>
  <c r="BN85" i="36"/>
  <c r="BO85" i="36"/>
  <c r="D86" i="36"/>
  <c r="F86" i="36"/>
  <c r="G86" i="36"/>
  <c r="H86" i="36"/>
  <c r="I86" i="36"/>
  <c r="K86" i="36"/>
  <c r="L86" i="36"/>
  <c r="N86" i="36"/>
  <c r="O86" i="36"/>
  <c r="P86" i="36"/>
  <c r="Q86" i="36"/>
  <c r="S86" i="36"/>
  <c r="T86" i="36"/>
  <c r="V86" i="36"/>
  <c r="X86" i="36"/>
  <c r="Y86" i="36"/>
  <c r="Z86" i="36"/>
  <c r="AA86" i="36"/>
  <c r="AB86" i="36"/>
  <c r="AC86" i="36"/>
  <c r="AF86" i="36"/>
  <c r="AG86" i="36"/>
  <c r="AH86" i="36"/>
  <c r="AI86" i="36"/>
  <c r="AJ86" i="36"/>
  <c r="AL86" i="36"/>
  <c r="AM86" i="36"/>
  <c r="AN86" i="36"/>
  <c r="AO86" i="36"/>
  <c r="AP86" i="36"/>
  <c r="AQ86" i="36"/>
  <c r="AR86" i="36"/>
  <c r="AS86" i="36"/>
  <c r="AT86" i="36"/>
  <c r="AU86" i="36"/>
  <c r="AV86" i="36"/>
  <c r="AW86" i="36"/>
  <c r="AX86" i="36"/>
  <c r="AY86" i="36"/>
  <c r="BB86" i="36"/>
  <c r="BC86" i="36"/>
  <c r="BD86" i="36"/>
  <c r="BE86" i="36"/>
  <c r="BF86" i="36"/>
  <c r="BG86" i="36"/>
  <c r="BH86" i="36"/>
  <c r="BI86" i="36"/>
  <c r="BJ86" i="36"/>
  <c r="BK86" i="36"/>
  <c r="BL86" i="36"/>
  <c r="BM86" i="36"/>
  <c r="BN86" i="36"/>
  <c r="BO86" i="36"/>
  <c r="D87" i="36"/>
  <c r="F87" i="36"/>
  <c r="G87" i="36"/>
  <c r="H87" i="36"/>
  <c r="I87" i="36"/>
  <c r="K87" i="36"/>
  <c r="L87" i="36"/>
  <c r="N87" i="36"/>
  <c r="O87" i="36"/>
  <c r="P87" i="36"/>
  <c r="Q87" i="36"/>
  <c r="S87" i="36"/>
  <c r="T87" i="36"/>
  <c r="V87" i="36"/>
  <c r="X87" i="36"/>
  <c r="Y87" i="36"/>
  <c r="Z87" i="36"/>
  <c r="AA87" i="36"/>
  <c r="AB87" i="36"/>
  <c r="AC87" i="36"/>
  <c r="AF87" i="36"/>
  <c r="AG87" i="36"/>
  <c r="AH87" i="36"/>
  <c r="AI87" i="36"/>
  <c r="AJ87" i="36"/>
  <c r="AL87" i="36"/>
  <c r="AM87" i="36"/>
  <c r="AN87" i="36"/>
  <c r="AO87" i="36"/>
  <c r="AP87" i="36"/>
  <c r="AQ87" i="36"/>
  <c r="AR87" i="36"/>
  <c r="AS87" i="36"/>
  <c r="AT87" i="36"/>
  <c r="AU87" i="36"/>
  <c r="AV87" i="36"/>
  <c r="AW87" i="36"/>
  <c r="AX87" i="36"/>
  <c r="AY87" i="36"/>
  <c r="BB87" i="36"/>
  <c r="BC87" i="36"/>
  <c r="BD87" i="36"/>
  <c r="BE87" i="36"/>
  <c r="BF87" i="36"/>
  <c r="BG87" i="36"/>
  <c r="BH87" i="36"/>
  <c r="BI87" i="36"/>
  <c r="BJ87" i="36"/>
  <c r="BK87" i="36"/>
  <c r="BL87" i="36"/>
  <c r="BM87" i="36"/>
  <c r="BN87" i="36"/>
  <c r="BO87" i="36"/>
  <c r="D88" i="36"/>
  <c r="F88" i="36"/>
  <c r="G88" i="36"/>
  <c r="H88" i="36"/>
  <c r="I88" i="36"/>
  <c r="K88" i="36"/>
  <c r="L88" i="36"/>
  <c r="N88" i="36"/>
  <c r="O88" i="36"/>
  <c r="P88" i="36"/>
  <c r="Q88" i="36"/>
  <c r="S88" i="36"/>
  <c r="T88" i="36"/>
  <c r="V88" i="36"/>
  <c r="X88" i="36"/>
  <c r="Y88" i="36"/>
  <c r="Z88" i="36"/>
  <c r="AA88" i="36"/>
  <c r="AB88" i="36"/>
  <c r="AC88" i="36"/>
  <c r="AF88" i="36"/>
  <c r="AG88" i="36"/>
  <c r="AH88" i="36"/>
  <c r="AI88" i="36"/>
  <c r="AJ88" i="36"/>
  <c r="AL88" i="36"/>
  <c r="AM88" i="36"/>
  <c r="AN88" i="36"/>
  <c r="AO88" i="36"/>
  <c r="AP88" i="36"/>
  <c r="AQ88" i="36"/>
  <c r="AR88" i="36"/>
  <c r="AS88" i="36"/>
  <c r="AT88" i="36"/>
  <c r="AU88" i="36"/>
  <c r="AV88" i="36"/>
  <c r="AW88" i="36"/>
  <c r="AX88" i="36"/>
  <c r="AY88" i="36"/>
  <c r="BB88" i="36"/>
  <c r="BC88" i="36"/>
  <c r="BD88" i="36"/>
  <c r="BE88" i="36"/>
  <c r="BF88" i="36"/>
  <c r="BG88" i="36"/>
  <c r="BH88" i="36"/>
  <c r="BI88" i="36"/>
  <c r="BJ88" i="36"/>
  <c r="BK88" i="36"/>
  <c r="BL88" i="36"/>
  <c r="BM88" i="36"/>
  <c r="BN88" i="36"/>
  <c r="BO88" i="36"/>
  <c r="D89" i="36"/>
  <c r="F89" i="36"/>
  <c r="G89" i="36"/>
  <c r="H89" i="36"/>
  <c r="I89" i="36"/>
  <c r="K89" i="36"/>
  <c r="L89" i="36"/>
  <c r="N89" i="36"/>
  <c r="O89" i="36"/>
  <c r="P89" i="36"/>
  <c r="Q89" i="36"/>
  <c r="S89" i="36"/>
  <c r="T89" i="36"/>
  <c r="V89" i="36"/>
  <c r="X89" i="36"/>
  <c r="Y89" i="36"/>
  <c r="Z89" i="36"/>
  <c r="AA89" i="36"/>
  <c r="AB89" i="36"/>
  <c r="AC89" i="36"/>
  <c r="AF89" i="36"/>
  <c r="AG89" i="36"/>
  <c r="AH89" i="36"/>
  <c r="AI89" i="36"/>
  <c r="AJ89" i="36"/>
  <c r="AL89" i="36"/>
  <c r="AM89" i="36"/>
  <c r="AN89" i="36"/>
  <c r="AO89" i="36"/>
  <c r="AP89" i="36"/>
  <c r="AQ89" i="36"/>
  <c r="AR89" i="36"/>
  <c r="AS89" i="36"/>
  <c r="AT89" i="36"/>
  <c r="AU89" i="36"/>
  <c r="AV89" i="36"/>
  <c r="AW89" i="36"/>
  <c r="AX89" i="36"/>
  <c r="AY89" i="36"/>
  <c r="BB89" i="36"/>
  <c r="BC89" i="36"/>
  <c r="BD89" i="36"/>
  <c r="BE89" i="36"/>
  <c r="BF89" i="36"/>
  <c r="BG89" i="36"/>
  <c r="BH89" i="36"/>
  <c r="BI89" i="36"/>
  <c r="BJ89" i="36"/>
  <c r="BK89" i="36"/>
  <c r="BL89" i="36"/>
  <c r="BM89" i="36"/>
  <c r="BN89" i="36"/>
  <c r="BO89" i="36"/>
  <c r="F1" i="37"/>
  <c r="AV1" i="37"/>
  <c r="A2" i="37"/>
  <c r="F2" i="37"/>
  <c r="G2" i="37"/>
  <c r="N2" i="37"/>
  <c r="AV2" i="37"/>
  <c r="AW2" i="37"/>
  <c r="AX2" i="37"/>
  <c r="AY2" i="37"/>
  <c r="BW2" i="37"/>
  <c r="BX2" i="37"/>
  <c r="BY2" i="37"/>
  <c r="BZ2" i="37"/>
  <c r="CA2" i="37"/>
  <c r="CB2" i="37"/>
  <c r="CC2" i="37"/>
  <c r="CD2" i="37"/>
  <c r="CE2" i="37"/>
  <c r="CF2" i="37"/>
  <c r="CG2" i="37"/>
  <c r="CH2" i="37"/>
  <c r="CI2" i="37"/>
  <c r="CJ2" i="37"/>
  <c r="CK2" i="37"/>
  <c r="CL2" i="37"/>
  <c r="CM2" i="37"/>
  <c r="CN2" i="37"/>
  <c r="CO2" i="37"/>
  <c r="CP2" i="37"/>
  <c r="CQ2" i="37"/>
  <c r="CR2" i="37"/>
  <c r="CS2" i="37"/>
  <c r="CT2" i="37"/>
  <c r="CU2" i="37"/>
  <c r="CV2" i="37"/>
  <c r="CW2" i="37"/>
  <c r="CX2" i="37"/>
  <c r="A3" i="37"/>
  <c r="AH3" i="37"/>
  <c r="AK3" i="37"/>
  <c r="AV3" i="37"/>
  <c r="AW3" i="37"/>
  <c r="AX3" i="37"/>
  <c r="AY3" i="37"/>
  <c r="A4" i="37"/>
  <c r="N4" i="37"/>
  <c r="P4" i="37"/>
  <c r="T4" i="37"/>
  <c r="V4" i="37"/>
  <c r="W4" i="37"/>
  <c r="AH4" i="37"/>
  <c r="AK4" i="37"/>
  <c r="AM4" i="37"/>
  <c r="AN4" i="37"/>
  <c r="AO4" i="37"/>
  <c r="AP4" i="37"/>
  <c r="AQ4" i="37"/>
  <c r="AR4" i="37"/>
  <c r="AS4" i="37"/>
  <c r="AT4" i="37"/>
  <c r="AV4" i="37"/>
  <c r="AW4" i="37"/>
  <c r="AX4" i="37"/>
  <c r="AY4" i="37"/>
  <c r="A5" i="37"/>
  <c r="G5" i="37"/>
  <c r="N5" i="37"/>
  <c r="P5" i="37"/>
  <c r="T5" i="37"/>
  <c r="V5" i="37"/>
  <c r="W5" i="37"/>
  <c r="AH5" i="37"/>
  <c r="AK5" i="37"/>
  <c r="AM5" i="37"/>
  <c r="AN5" i="37"/>
  <c r="AO5" i="37"/>
  <c r="AP5" i="37"/>
  <c r="AQ5" i="37"/>
  <c r="AR5" i="37"/>
  <c r="AS5" i="37"/>
  <c r="AT5" i="37"/>
  <c r="AV5" i="37"/>
  <c r="AW5" i="37"/>
  <c r="AX5" i="37"/>
  <c r="AY5" i="37"/>
  <c r="BV5" i="37"/>
  <c r="A6" i="37"/>
  <c r="N6" i="37"/>
  <c r="P6" i="37"/>
  <c r="T6" i="37"/>
  <c r="V6" i="37"/>
  <c r="W6" i="37"/>
  <c r="AH6" i="37"/>
  <c r="AK6" i="37"/>
  <c r="AM6" i="37"/>
  <c r="AN6" i="37"/>
  <c r="AO6" i="37"/>
  <c r="AP6" i="37"/>
  <c r="AQ6" i="37"/>
  <c r="AR6" i="37"/>
  <c r="AS6" i="37"/>
  <c r="AT6" i="37"/>
  <c r="A7" i="37"/>
  <c r="G7" i="37"/>
  <c r="N7" i="37"/>
  <c r="N7" i="37" a="1"/>
  <c r="P7" i="37"/>
  <c r="T7" i="37"/>
  <c r="AH7" i="37"/>
  <c r="AK7" i="37"/>
  <c r="AM7" i="37"/>
  <c r="AN7" i="37"/>
  <c r="AO7" i="37"/>
  <c r="AP7" i="37"/>
  <c r="AQ7" i="37"/>
  <c r="AR7" i="37"/>
  <c r="AS7" i="37"/>
  <c r="AT7" i="37"/>
  <c r="AV7" i="37"/>
  <c r="AW7" i="37"/>
  <c r="AX7" i="37"/>
  <c r="AY7" i="37"/>
  <c r="G8" i="37"/>
  <c r="N8" i="37"/>
  <c r="N8" i="37" a="1"/>
  <c r="P8" i="37"/>
  <c r="T8" i="37"/>
  <c r="V8" i="37"/>
  <c r="W8" i="37"/>
  <c r="Y8" i="37"/>
  <c r="Z8" i="37"/>
  <c r="AH8" i="37"/>
  <c r="AK8" i="37"/>
  <c r="AM8" i="37"/>
  <c r="AN8" i="37"/>
  <c r="AO8" i="37"/>
  <c r="AP8" i="37"/>
  <c r="AQ8" i="37"/>
  <c r="AR8" i="37"/>
  <c r="AS8" i="37"/>
  <c r="AT8" i="37"/>
  <c r="AV8" i="37"/>
  <c r="AW8" i="37"/>
  <c r="AX8" i="37"/>
  <c r="AY8" i="37"/>
  <c r="N9" i="37"/>
  <c r="N9" i="37" a="1"/>
  <c r="P9" i="37"/>
  <c r="AK9" i="37"/>
  <c r="AM9" i="37"/>
  <c r="AN9" i="37"/>
  <c r="AO9" i="37"/>
  <c r="AP9" i="37"/>
  <c r="AQ9" i="37"/>
  <c r="AR9" i="37"/>
  <c r="AS9" i="37"/>
  <c r="AT9" i="37"/>
  <c r="AV9" i="37"/>
  <c r="AW9" i="37"/>
  <c r="AX9" i="37"/>
  <c r="AY9" i="37"/>
  <c r="K10" i="37"/>
  <c r="N10" i="37"/>
  <c r="P10" i="37"/>
  <c r="AH10" i="37"/>
  <c r="AM10" i="37"/>
  <c r="AN10" i="37"/>
  <c r="AO10" i="37"/>
  <c r="AP10" i="37"/>
  <c r="AQ10" i="37"/>
  <c r="AR10" i="37"/>
  <c r="AS10" i="37"/>
  <c r="AT10" i="37"/>
  <c r="AV10" i="37"/>
  <c r="AW10" i="37"/>
  <c r="AX10" i="37"/>
  <c r="AY10" i="37"/>
  <c r="D11" i="37"/>
  <c r="K11" i="37"/>
  <c r="N11" i="37"/>
  <c r="P11" i="37"/>
  <c r="AM11" i="37"/>
  <c r="AN11" i="37"/>
  <c r="AO11" i="37"/>
  <c r="AP11" i="37"/>
  <c r="AQ11" i="37"/>
  <c r="AR11" i="37"/>
  <c r="AS11" i="37"/>
  <c r="AT11" i="37"/>
  <c r="AV11" i="37"/>
  <c r="AW11" i="37"/>
  <c r="AX11" i="37"/>
  <c r="AY11" i="37"/>
  <c r="D12" i="37"/>
  <c r="N12" i="37"/>
  <c r="P12" i="37"/>
  <c r="AH12" i="37"/>
  <c r="AM12" i="37"/>
  <c r="AN12" i="37"/>
  <c r="AO12" i="37"/>
  <c r="AP12" i="37"/>
  <c r="AQ12" i="37"/>
  <c r="AR12" i="37"/>
  <c r="AS12" i="37"/>
  <c r="AT12" i="37"/>
  <c r="AV12" i="37"/>
  <c r="AW12" i="37"/>
  <c r="AX12" i="37"/>
  <c r="AY12" i="37"/>
  <c r="N13" i="37"/>
  <c r="P13" i="37"/>
  <c r="AH13" i="37"/>
  <c r="AM13" i="37"/>
  <c r="AN13" i="37"/>
  <c r="AO13" i="37"/>
  <c r="AP13" i="37"/>
  <c r="AQ13" i="37"/>
  <c r="AR13" i="37"/>
  <c r="AS13" i="37"/>
  <c r="AT13" i="37"/>
  <c r="AV13" i="37"/>
  <c r="AW13" i="37"/>
  <c r="AX13" i="37"/>
  <c r="AY13" i="37"/>
  <c r="N14" i="37"/>
  <c r="P14" i="37"/>
  <c r="S14" i="37"/>
  <c r="T14" i="37"/>
  <c r="AM14" i="37"/>
  <c r="AN14" i="37"/>
  <c r="AO14" i="37"/>
  <c r="AP14" i="37"/>
  <c r="AQ14" i="37"/>
  <c r="AR14" i="37"/>
  <c r="AS14" i="37"/>
  <c r="AT14" i="37"/>
  <c r="AV14" i="37"/>
  <c r="AW14" i="37"/>
  <c r="AX14" i="37"/>
  <c r="AY14" i="37"/>
  <c r="N15" i="37"/>
  <c r="P15" i="37"/>
  <c r="AM15" i="37"/>
  <c r="AN15" i="37"/>
  <c r="AO15" i="37"/>
  <c r="AP15" i="37"/>
  <c r="AQ15" i="37"/>
  <c r="AR15" i="37"/>
  <c r="AS15" i="37"/>
  <c r="AT15" i="37"/>
  <c r="AV15" i="37"/>
  <c r="AW15" i="37"/>
  <c r="AX15" i="37"/>
  <c r="AY15" i="37"/>
  <c r="N16" i="37"/>
  <c r="P16" i="37"/>
  <c r="AV16" i="37"/>
  <c r="AW16" i="37"/>
  <c r="AX16" i="37"/>
  <c r="AY16" i="37"/>
  <c r="N17" i="37"/>
  <c r="P17" i="37"/>
  <c r="AV17" i="37"/>
  <c r="AW17" i="37"/>
  <c r="AX17" i="37"/>
  <c r="AY17" i="37"/>
  <c r="N18" i="37"/>
  <c r="P18" i="37"/>
  <c r="AX18" i="37"/>
  <c r="AY18" i="37"/>
  <c r="N19" i="37"/>
  <c r="P19" i="37"/>
  <c r="S20" i="37"/>
  <c r="T20" i="37"/>
  <c r="AM20" i="37"/>
  <c r="AO20" i="37"/>
  <c r="AV20" i="37"/>
  <c r="AW20" i="37"/>
  <c r="AX20" i="37"/>
  <c r="AY20" i="37"/>
  <c r="D22" i="37"/>
  <c r="F22" i="37"/>
  <c r="G22" i="37"/>
  <c r="H22" i="37"/>
  <c r="I22" i="37"/>
  <c r="K22" i="37"/>
  <c r="L22" i="37"/>
  <c r="N22" i="37"/>
  <c r="O22" i="37"/>
  <c r="P22" i="37"/>
  <c r="Q22" i="37"/>
  <c r="S22" i="37"/>
  <c r="T22" i="37"/>
  <c r="V22" i="37"/>
  <c r="X22" i="37"/>
  <c r="Y22" i="37"/>
  <c r="Z22" i="37"/>
  <c r="AA22" i="37"/>
  <c r="AB22" i="37"/>
  <c r="AC22" i="37"/>
  <c r="AF22" i="37"/>
  <c r="AG22" i="37"/>
  <c r="AH22" i="37"/>
  <c r="AI22" i="37"/>
  <c r="AJ22" i="37"/>
  <c r="AL22" i="37"/>
  <c r="AM22" i="37"/>
  <c r="AN22" i="37"/>
  <c r="AO22" i="37"/>
  <c r="AP22" i="37"/>
  <c r="AQ22" i="37"/>
  <c r="AR22" i="37"/>
  <c r="AS22" i="37"/>
  <c r="AT22" i="37"/>
  <c r="AU22" i="37"/>
  <c r="AV22" i="37"/>
  <c r="AW22" i="37"/>
  <c r="AX22" i="37"/>
  <c r="AY22" i="37"/>
  <c r="BB22" i="37"/>
  <c r="BC22" i="37"/>
  <c r="BD22" i="37"/>
  <c r="BE22" i="37"/>
  <c r="BF22" i="37"/>
  <c r="BG22" i="37"/>
  <c r="BH22" i="37"/>
  <c r="BI22" i="37"/>
  <c r="BJ22" i="37"/>
  <c r="BK22" i="37"/>
  <c r="BL22" i="37"/>
  <c r="BM22" i="37"/>
  <c r="BN22" i="37"/>
  <c r="BO22" i="37"/>
  <c r="D23" i="37"/>
  <c r="F23" i="37"/>
  <c r="G23" i="37"/>
  <c r="H23" i="37"/>
  <c r="I23" i="37"/>
  <c r="K23" i="37"/>
  <c r="L23" i="37"/>
  <c r="N23" i="37"/>
  <c r="O23" i="37"/>
  <c r="P23" i="37"/>
  <c r="Q23" i="37"/>
  <c r="S23" i="37"/>
  <c r="T23" i="37"/>
  <c r="V23" i="37"/>
  <c r="X23" i="37"/>
  <c r="Y23" i="37"/>
  <c r="Z23" i="37"/>
  <c r="AA23" i="37"/>
  <c r="AB23" i="37"/>
  <c r="AC23" i="37"/>
  <c r="AF23" i="37"/>
  <c r="AG23" i="37"/>
  <c r="AH23" i="37"/>
  <c r="AI23" i="37"/>
  <c r="AJ23" i="37"/>
  <c r="AL23" i="37"/>
  <c r="AM23" i="37"/>
  <c r="AN23" i="37"/>
  <c r="AO23" i="37"/>
  <c r="AP23" i="37"/>
  <c r="AQ23" i="37"/>
  <c r="AR23" i="37"/>
  <c r="AS23" i="37"/>
  <c r="AT23" i="37"/>
  <c r="AU23" i="37"/>
  <c r="AV23" i="37"/>
  <c r="AW23" i="37"/>
  <c r="AX23" i="37"/>
  <c r="AY23" i="37"/>
  <c r="BB23" i="37"/>
  <c r="BC23" i="37"/>
  <c r="BD23" i="37"/>
  <c r="BE23" i="37"/>
  <c r="BF23" i="37"/>
  <c r="BG23" i="37"/>
  <c r="BH23" i="37"/>
  <c r="BI23" i="37"/>
  <c r="BJ23" i="37"/>
  <c r="BK23" i="37"/>
  <c r="BL23" i="37"/>
  <c r="BM23" i="37"/>
  <c r="BN23" i="37"/>
  <c r="BO23" i="37"/>
  <c r="D24" i="37"/>
  <c r="F24" i="37"/>
  <c r="G24" i="37"/>
  <c r="H24" i="37"/>
  <c r="I24" i="37"/>
  <c r="K24" i="37"/>
  <c r="L24" i="37"/>
  <c r="N24" i="37"/>
  <c r="O24" i="37"/>
  <c r="P24" i="37"/>
  <c r="Q24" i="37"/>
  <c r="S24" i="37"/>
  <c r="T24" i="37"/>
  <c r="V24" i="37"/>
  <c r="X24" i="37"/>
  <c r="Y24" i="37"/>
  <c r="Z24" i="37"/>
  <c r="AA24" i="37"/>
  <c r="AB24" i="37"/>
  <c r="AC24" i="37"/>
  <c r="AF24" i="37"/>
  <c r="AG24" i="37"/>
  <c r="AH24" i="37"/>
  <c r="AI24" i="37"/>
  <c r="AJ24" i="37"/>
  <c r="AL24" i="37"/>
  <c r="AM24" i="37"/>
  <c r="AN24" i="37"/>
  <c r="AO24" i="37"/>
  <c r="AP24" i="37"/>
  <c r="AQ24" i="37"/>
  <c r="AR24" i="37"/>
  <c r="AS24" i="37"/>
  <c r="AT24" i="37"/>
  <c r="AU24" i="37"/>
  <c r="AV24" i="37"/>
  <c r="AW24" i="37"/>
  <c r="AX24" i="37"/>
  <c r="AY24" i="37"/>
  <c r="BB24" i="37"/>
  <c r="BC24" i="37"/>
  <c r="BD24" i="37"/>
  <c r="BE24" i="37"/>
  <c r="BF24" i="37"/>
  <c r="BG24" i="37"/>
  <c r="BH24" i="37"/>
  <c r="BI24" i="37"/>
  <c r="BJ24" i="37"/>
  <c r="BK24" i="37"/>
  <c r="BL24" i="37"/>
  <c r="BM24" i="37"/>
  <c r="BN24" i="37"/>
  <c r="BO24" i="37"/>
  <c r="D25" i="37"/>
  <c r="F25" i="37"/>
  <c r="G25" i="37"/>
  <c r="H25" i="37"/>
  <c r="I25" i="37"/>
  <c r="K25" i="37"/>
  <c r="L25" i="37"/>
  <c r="N25" i="37"/>
  <c r="O25" i="37"/>
  <c r="P25" i="37"/>
  <c r="Q25" i="37"/>
  <c r="S25" i="37"/>
  <c r="T25" i="37"/>
  <c r="V25" i="37"/>
  <c r="X25" i="37"/>
  <c r="Y25" i="37"/>
  <c r="Z25" i="37"/>
  <c r="AA25" i="37"/>
  <c r="AB25" i="37"/>
  <c r="AC25" i="37"/>
  <c r="AF25" i="37"/>
  <c r="AG25" i="37"/>
  <c r="AH25" i="37"/>
  <c r="AI25" i="37"/>
  <c r="AJ25" i="37"/>
  <c r="AL25" i="37"/>
  <c r="AM25" i="37"/>
  <c r="AN25" i="37"/>
  <c r="AO25" i="37"/>
  <c r="AP25" i="37"/>
  <c r="AQ25" i="37"/>
  <c r="AR25" i="37"/>
  <c r="AS25" i="37"/>
  <c r="AT25" i="37"/>
  <c r="AU25" i="37"/>
  <c r="AV25" i="37"/>
  <c r="AW25" i="37"/>
  <c r="AX25" i="37"/>
  <c r="AY25" i="37"/>
  <c r="BB25" i="37"/>
  <c r="BC25" i="37"/>
  <c r="BD25" i="37"/>
  <c r="BE25" i="37"/>
  <c r="BF25" i="37"/>
  <c r="BG25" i="37"/>
  <c r="BH25" i="37"/>
  <c r="BI25" i="37"/>
  <c r="BJ25" i="37"/>
  <c r="BK25" i="37"/>
  <c r="BL25" i="37"/>
  <c r="BM25" i="37"/>
  <c r="BN25" i="37"/>
  <c r="BO25" i="37"/>
  <c r="D26" i="37"/>
  <c r="F26" i="37"/>
  <c r="G26" i="37"/>
  <c r="H26" i="37"/>
  <c r="I26" i="37"/>
  <c r="K26" i="37"/>
  <c r="L26" i="37"/>
  <c r="N26" i="37"/>
  <c r="O26" i="37"/>
  <c r="P26" i="37"/>
  <c r="Q26" i="37"/>
  <c r="S26" i="37"/>
  <c r="T26" i="37"/>
  <c r="V26" i="37"/>
  <c r="X26" i="37"/>
  <c r="Y26" i="37"/>
  <c r="Z26" i="37"/>
  <c r="AA26" i="37"/>
  <c r="AB26" i="37"/>
  <c r="AC26" i="37"/>
  <c r="AF26" i="37"/>
  <c r="AG26" i="37"/>
  <c r="AH26" i="37"/>
  <c r="AI26" i="37"/>
  <c r="AJ26" i="37"/>
  <c r="AL26" i="37"/>
  <c r="AM26" i="37"/>
  <c r="AN26" i="37"/>
  <c r="AO26" i="37"/>
  <c r="AP26" i="37"/>
  <c r="AQ26" i="37"/>
  <c r="AR26" i="37"/>
  <c r="AS26" i="37"/>
  <c r="AT26" i="37"/>
  <c r="AU26" i="37"/>
  <c r="AV26" i="37"/>
  <c r="AW26" i="37"/>
  <c r="AX26" i="37"/>
  <c r="AY26" i="37"/>
  <c r="BB26" i="37"/>
  <c r="BC26" i="37"/>
  <c r="BD26" i="37"/>
  <c r="BE26" i="37"/>
  <c r="BF26" i="37"/>
  <c r="BG26" i="37"/>
  <c r="BH26" i="37"/>
  <c r="BI26" i="37"/>
  <c r="BJ26" i="37"/>
  <c r="BK26" i="37"/>
  <c r="BL26" i="37"/>
  <c r="BM26" i="37"/>
  <c r="BN26" i="37"/>
  <c r="BO26" i="37"/>
  <c r="D27" i="37"/>
  <c r="F27" i="37"/>
  <c r="G27" i="37"/>
  <c r="H27" i="37"/>
  <c r="I27" i="37"/>
  <c r="K27" i="37"/>
  <c r="L27" i="37"/>
  <c r="N27" i="37"/>
  <c r="O27" i="37"/>
  <c r="P27" i="37"/>
  <c r="Q27" i="37"/>
  <c r="S27" i="37"/>
  <c r="T27" i="37"/>
  <c r="V27" i="37"/>
  <c r="X27" i="37"/>
  <c r="Y27" i="37"/>
  <c r="Z27" i="37"/>
  <c r="AA27" i="37"/>
  <c r="AB27" i="37"/>
  <c r="AC27" i="37"/>
  <c r="AF27" i="37"/>
  <c r="AG27" i="37"/>
  <c r="AH27" i="37"/>
  <c r="AI27" i="37"/>
  <c r="AJ27" i="37"/>
  <c r="AL27" i="37"/>
  <c r="AM27" i="37"/>
  <c r="AN27" i="37"/>
  <c r="AO27" i="37"/>
  <c r="AP27" i="37"/>
  <c r="AQ27" i="37"/>
  <c r="AR27" i="37"/>
  <c r="AS27" i="37"/>
  <c r="AT27" i="37"/>
  <c r="AU27" i="37"/>
  <c r="AV27" i="37"/>
  <c r="AW27" i="37"/>
  <c r="AX27" i="37"/>
  <c r="AY27" i="37"/>
  <c r="BB27" i="37"/>
  <c r="BC27" i="37"/>
  <c r="BD27" i="37"/>
  <c r="BE27" i="37"/>
  <c r="BF27" i="37"/>
  <c r="BG27" i="37"/>
  <c r="BH27" i="37"/>
  <c r="BI27" i="37"/>
  <c r="BJ27" i="37"/>
  <c r="BK27" i="37"/>
  <c r="BL27" i="37"/>
  <c r="BM27" i="37"/>
  <c r="BN27" i="37"/>
  <c r="BO27" i="37"/>
  <c r="D28" i="37"/>
  <c r="F28" i="37"/>
  <c r="G28" i="37"/>
  <c r="H28" i="37"/>
  <c r="I28" i="37"/>
  <c r="K28" i="37"/>
  <c r="L28" i="37"/>
  <c r="N28" i="37"/>
  <c r="O28" i="37"/>
  <c r="P28" i="37"/>
  <c r="Q28" i="37"/>
  <c r="S28" i="37"/>
  <c r="T28" i="37"/>
  <c r="V28" i="37"/>
  <c r="X28" i="37"/>
  <c r="Y28" i="37"/>
  <c r="Z28" i="37"/>
  <c r="AA28" i="37"/>
  <c r="AB28" i="37"/>
  <c r="AC28" i="37"/>
  <c r="AF28" i="37"/>
  <c r="AG28" i="37"/>
  <c r="AH28" i="37"/>
  <c r="AI28" i="37"/>
  <c r="AJ28" i="37"/>
  <c r="AL28" i="37"/>
  <c r="AM28" i="37"/>
  <c r="AN28" i="37"/>
  <c r="AO28" i="37"/>
  <c r="AP28" i="37"/>
  <c r="AQ28" i="37"/>
  <c r="AR28" i="37"/>
  <c r="AS28" i="37"/>
  <c r="AT28" i="37"/>
  <c r="AU28" i="37"/>
  <c r="AV28" i="37"/>
  <c r="AW28" i="37"/>
  <c r="AX28" i="37"/>
  <c r="AY28" i="37"/>
  <c r="BB28" i="37"/>
  <c r="BC28" i="37"/>
  <c r="BD28" i="37"/>
  <c r="BE28" i="37"/>
  <c r="BF28" i="37"/>
  <c r="BG28" i="37"/>
  <c r="BH28" i="37"/>
  <c r="BI28" i="37"/>
  <c r="BJ28" i="37"/>
  <c r="BK28" i="37"/>
  <c r="BL28" i="37"/>
  <c r="BM28" i="37"/>
  <c r="BN28" i="37"/>
  <c r="BO28" i="37"/>
  <c r="D29" i="37"/>
  <c r="F29" i="37"/>
  <c r="G29" i="37"/>
  <c r="H29" i="37"/>
  <c r="I29" i="37"/>
  <c r="K29" i="37"/>
  <c r="L29" i="37"/>
  <c r="N29" i="37"/>
  <c r="O29" i="37"/>
  <c r="P29" i="37"/>
  <c r="Q29" i="37"/>
  <c r="S29" i="37"/>
  <c r="T29" i="37"/>
  <c r="V29" i="37"/>
  <c r="X29" i="37"/>
  <c r="Y29" i="37"/>
  <c r="Z29" i="37"/>
  <c r="AA29" i="37"/>
  <c r="AB29" i="37"/>
  <c r="AC29" i="37"/>
  <c r="AF29" i="37"/>
  <c r="AG29" i="37"/>
  <c r="AH29" i="37"/>
  <c r="AI29" i="37"/>
  <c r="AJ29" i="37"/>
  <c r="AL29" i="37"/>
  <c r="AM29" i="37"/>
  <c r="AN29" i="37"/>
  <c r="AO29" i="37"/>
  <c r="AP29" i="37"/>
  <c r="AQ29" i="37"/>
  <c r="AR29" i="37"/>
  <c r="AS29" i="37"/>
  <c r="AT29" i="37"/>
  <c r="AU29" i="37"/>
  <c r="AV29" i="37"/>
  <c r="AW29" i="37"/>
  <c r="AX29" i="37"/>
  <c r="AY29" i="37"/>
  <c r="BB29" i="37"/>
  <c r="BC29" i="37"/>
  <c r="BD29" i="37"/>
  <c r="BE29" i="37"/>
  <c r="BF29" i="37"/>
  <c r="BG29" i="37"/>
  <c r="BH29" i="37"/>
  <c r="BI29" i="37"/>
  <c r="BJ29" i="37"/>
  <c r="BK29" i="37"/>
  <c r="BL29" i="37"/>
  <c r="BM29" i="37"/>
  <c r="BN29" i="37"/>
  <c r="BO29" i="37"/>
  <c r="D30" i="37"/>
  <c r="F30" i="37"/>
  <c r="G30" i="37"/>
  <c r="H30" i="37"/>
  <c r="I30" i="37"/>
  <c r="K30" i="37"/>
  <c r="L30" i="37"/>
  <c r="N30" i="37"/>
  <c r="O30" i="37"/>
  <c r="P30" i="37"/>
  <c r="Q30" i="37"/>
  <c r="S30" i="37"/>
  <c r="T30" i="37"/>
  <c r="V30" i="37"/>
  <c r="X30" i="37"/>
  <c r="Y30" i="37"/>
  <c r="Z30" i="37"/>
  <c r="AA30" i="37"/>
  <c r="AB30" i="37"/>
  <c r="AC30" i="37"/>
  <c r="AF30" i="37"/>
  <c r="AG30" i="37"/>
  <c r="AH30" i="37"/>
  <c r="AI30" i="37"/>
  <c r="AJ30" i="37"/>
  <c r="AL30" i="37"/>
  <c r="AM30" i="37"/>
  <c r="AN30" i="37"/>
  <c r="AO30" i="37"/>
  <c r="AP30" i="37"/>
  <c r="AQ30" i="37"/>
  <c r="AR30" i="37"/>
  <c r="AS30" i="37"/>
  <c r="AT30" i="37"/>
  <c r="AU30" i="37"/>
  <c r="AV30" i="37"/>
  <c r="AW30" i="37"/>
  <c r="AX30" i="37"/>
  <c r="AY30" i="37"/>
  <c r="BB30" i="37"/>
  <c r="BC30" i="37"/>
  <c r="BD30" i="37"/>
  <c r="BE30" i="37"/>
  <c r="BF30" i="37"/>
  <c r="BG30" i="37"/>
  <c r="BH30" i="37"/>
  <c r="BI30" i="37"/>
  <c r="BJ30" i="37"/>
  <c r="BK30" i="37"/>
  <c r="BL30" i="37"/>
  <c r="BM30" i="37"/>
  <c r="BN30" i="37"/>
  <c r="BO30" i="37"/>
  <c r="D31" i="37"/>
  <c r="F31" i="37"/>
  <c r="G31" i="37"/>
  <c r="H31" i="37"/>
  <c r="I31" i="37"/>
  <c r="K31" i="37"/>
  <c r="L31" i="37"/>
  <c r="N31" i="37"/>
  <c r="O31" i="37"/>
  <c r="P31" i="37"/>
  <c r="Q31" i="37"/>
  <c r="S31" i="37"/>
  <c r="T31" i="37"/>
  <c r="V31" i="37"/>
  <c r="X31" i="37"/>
  <c r="Y31" i="37"/>
  <c r="Z31" i="37"/>
  <c r="AA31" i="37"/>
  <c r="AB31" i="37"/>
  <c r="AC31" i="37"/>
  <c r="AF31" i="37"/>
  <c r="AG31" i="37"/>
  <c r="AH31" i="37"/>
  <c r="AI31" i="37"/>
  <c r="AJ31" i="37"/>
  <c r="AL31" i="37"/>
  <c r="AM31" i="37"/>
  <c r="AN31" i="37"/>
  <c r="AO31" i="37"/>
  <c r="AP31" i="37"/>
  <c r="AQ31" i="37"/>
  <c r="AR31" i="37"/>
  <c r="AS31" i="37"/>
  <c r="AT31" i="37"/>
  <c r="AU31" i="37"/>
  <c r="AV31" i="37"/>
  <c r="AW31" i="37"/>
  <c r="AX31" i="37"/>
  <c r="AY31" i="37"/>
  <c r="BB31" i="37"/>
  <c r="BC31" i="37"/>
  <c r="BD31" i="37"/>
  <c r="BE31" i="37"/>
  <c r="BF31" i="37"/>
  <c r="BG31" i="37"/>
  <c r="BH31" i="37"/>
  <c r="BI31" i="37"/>
  <c r="BJ31" i="37"/>
  <c r="BK31" i="37"/>
  <c r="BL31" i="37"/>
  <c r="BM31" i="37"/>
  <c r="BN31" i="37"/>
  <c r="BO31" i="37"/>
  <c r="D32" i="37"/>
  <c r="F32" i="37"/>
  <c r="G32" i="37"/>
  <c r="H32" i="37"/>
  <c r="I32" i="37"/>
  <c r="K32" i="37"/>
  <c r="L32" i="37"/>
  <c r="N32" i="37"/>
  <c r="O32" i="37"/>
  <c r="P32" i="37"/>
  <c r="Q32" i="37"/>
  <c r="S32" i="37"/>
  <c r="T32" i="37"/>
  <c r="V32" i="37"/>
  <c r="X32" i="37"/>
  <c r="Y32" i="37"/>
  <c r="Z32" i="37"/>
  <c r="AA32" i="37"/>
  <c r="AB32" i="37"/>
  <c r="AC32" i="37"/>
  <c r="AF32" i="37"/>
  <c r="AG32" i="37"/>
  <c r="AH32" i="37"/>
  <c r="AI32" i="37"/>
  <c r="AJ32" i="37"/>
  <c r="AL32" i="37"/>
  <c r="AM32" i="37"/>
  <c r="AN32" i="37"/>
  <c r="AO32" i="37"/>
  <c r="AP32" i="37"/>
  <c r="AQ32" i="37"/>
  <c r="AR32" i="37"/>
  <c r="AS32" i="37"/>
  <c r="AT32" i="37"/>
  <c r="AU32" i="37"/>
  <c r="AV32" i="37"/>
  <c r="AW32" i="37"/>
  <c r="AX32" i="37"/>
  <c r="AY32" i="37"/>
  <c r="BB32" i="37"/>
  <c r="BC32" i="37"/>
  <c r="BD32" i="37"/>
  <c r="BE32" i="37"/>
  <c r="BF32" i="37"/>
  <c r="BG32" i="37"/>
  <c r="BH32" i="37"/>
  <c r="BI32" i="37"/>
  <c r="BJ32" i="37"/>
  <c r="BK32" i="37"/>
  <c r="BL32" i="37"/>
  <c r="BM32" i="37"/>
  <c r="BN32" i="37"/>
  <c r="BO32" i="37"/>
  <c r="D33" i="37"/>
  <c r="F33" i="37"/>
  <c r="G33" i="37"/>
  <c r="H33" i="37"/>
  <c r="I33" i="37"/>
  <c r="K33" i="37"/>
  <c r="L33" i="37"/>
  <c r="N33" i="37"/>
  <c r="O33" i="37"/>
  <c r="P33" i="37"/>
  <c r="Q33" i="37"/>
  <c r="S33" i="37"/>
  <c r="T33" i="37"/>
  <c r="V33" i="37"/>
  <c r="X33" i="37"/>
  <c r="Y33" i="37"/>
  <c r="Z33" i="37"/>
  <c r="AA33" i="37"/>
  <c r="AB33" i="37"/>
  <c r="AC33" i="37"/>
  <c r="AF33" i="37"/>
  <c r="AG33" i="37"/>
  <c r="AH33" i="37"/>
  <c r="AI33" i="37"/>
  <c r="AJ33" i="37"/>
  <c r="AL33" i="37"/>
  <c r="AM33" i="37"/>
  <c r="AN33" i="37"/>
  <c r="AO33" i="37"/>
  <c r="AP33" i="37"/>
  <c r="AQ33" i="37"/>
  <c r="AR33" i="37"/>
  <c r="AS33" i="37"/>
  <c r="AT33" i="37"/>
  <c r="AU33" i="37"/>
  <c r="AV33" i="37"/>
  <c r="AW33" i="37"/>
  <c r="AX33" i="37"/>
  <c r="AY33" i="37"/>
  <c r="BB33" i="37"/>
  <c r="BC33" i="37"/>
  <c r="BD33" i="37"/>
  <c r="BE33" i="37"/>
  <c r="BF33" i="37"/>
  <c r="BG33" i="37"/>
  <c r="BH33" i="37"/>
  <c r="BI33" i="37"/>
  <c r="BJ33" i="37"/>
  <c r="BK33" i="37"/>
  <c r="BL33" i="37"/>
  <c r="BM33" i="37"/>
  <c r="BN33" i="37"/>
  <c r="BO33" i="37"/>
  <c r="D34" i="37"/>
  <c r="F34" i="37"/>
  <c r="G34" i="37"/>
  <c r="H34" i="37"/>
  <c r="I34" i="37"/>
  <c r="K34" i="37"/>
  <c r="L34" i="37"/>
  <c r="N34" i="37"/>
  <c r="O34" i="37"/>
  <c r="P34" i="37"/>
  <c r="Q34" i="37"/>
  <c r="S34" i="37"/>
  <c r="T34" i="37"/>
  <c r="V34" i="37"/>
  <c r="X34" i="37"/>
  <c r="Y34" i="37"/>
  <c r="Z34" i="37"/>
  <c r="AA34" i="37"/>
  <c r="AB34" i="37"/>
  <c r="AC34" i="37"/>
  <c r="AF34" i="37"/>
  <c r="AG34" i="37"/>
  <c r="AH34" i="37"/>
  <c r="AI34" i="37"/>
  <c r="AJ34" i="37"/>
  <c r="AL34" i="37"/>
  <c r="AM34" i="37"/>
  <c r="AN34" i="37"/>
  <c r="AO34" i="37"/>
  <c r="AP34" i="37"/>
  <c r="AQ34" i="37"/>
  <c r="AR34" i="37"/>
  <c r="AS34" i="37"/>
  <c r="AT34" i="37"/>
  <c r="AU34" i="37"/>
  <c r="AV34" i="37"/>
  <c r="AW34" i="37"/>
  <c r="AX34" i="37"/>
  <c r="AY34" i="37"/>
  <c r="BB34" i="37"/>
  <c r="BC34" i="37"/>
  <c r="BD34" i="37"/>
  <c r="BE34" i="37"/>
  <c r="BF34" i="37"/>
  <c r="BG34" i="37"/>
  <c r="BH34" i="37"/>
  <c r="BI34" i="37"/>
  <c r="BJ34" i="37"/>
  <c r="BK34" i="37"/>
  <c r="BL34" i="37"/>
  <c r="BM34" i="37"/>
  <c r="BN34" i="37"/>
  <c r="BO34" i="37"/>
  <c r="D35" i="37"/>
  <c r="F35" i="37"/>
  <c r="G35" i="37"/>
  <c r="H35" i="37"/>
  <c r="I35" i="37"/>
  <c r="K35" i="37"/>
  <c r="L35" i="37"/>
  <c r="N35" i="37"/>
  <c r="O35" i="37"/>
  <c r="P35" i="37"/>
  <c r="Q35" i="37"/>
  <c r="S35" i="37"/>
  <c r="T35" i="37"/>
  <c r="V35" i="37"/>
  <c r="X35" i="37"/>
  <c r="Y35" i="37"/>
  <c r="Z35" i="37"/>
  <c r="AA35" i="37"/>
  <c r="AB35" i="37"/>
  <c r="AC35" i="37"/>
  <c r="AF35" i="37"/>
  <c r="AG35" i="37"/>
  <c r="AH35" i="37"/>
  <c r="AI35" i="37"/>
  <c r="AJ35" i="37"/>
  <c r="AL35" i="37"/>
  <c r="AM35" i="37"/>
  <c r="AN35" i="37"/>
  <c r="AO35" i="37"/>
  <c r="AP35" i="37"/>
  <c r="AQ35" i="37"/>
  <c r="AR35" i="37"/>
  <c r="AS35" i="37"/>
  <c r="AT35" i="37"/>
  <c r="AU35" i="37"/>
  <c r="AV35" i="37"/>
  <c r="AW35" i="37"/>
  <c r="AX35" i="37"/>
  <c r="AY35" i="37"/>
  <c r="BB35" i="37"/>
  <c r="BC35" i="37"/>
  <c r="BD35" i="37"/>
  <c r="BE35" i="37"/>
  <c r="BF35" i="37"/>
  <c r="BG35" i="37"/>
  <c r="BH35" i="37"/>
  <c r="BI35" i="37"/>
  <c r="BJ35" i="37"/>
  <c r="BK35" i="37"/>
  <c r="BL35" i="37"/>
  <c r="BM35" i="37"/>
  <c r="BN35" i="37"/>
  <c r="BO35" i="37"/>
  <c r="D36" i="37"/>
  <c r="F36" i="37"/>
  <c r="G36" i="37"/>
  <c r="H36" i="37"/>
  <c r="I36" i="37"/>
  <c r="K36" i="37"/>
  <c r="L36" i="37"/>
  <c r="N36" i="37"/>
  <c r="O36" i="37"/>
  <c r="P36" i="37"/>
  <c r="Q36" i="37"/>
  <c r="S36" i="37"/>
  <c r="T36" i="37"/>
  <c r="V36" i="37"/>
  <c r="X36" i="37"/>
  <c r="Y36" i="37"/>
  <c r="Z36" i="37"/>
  <c r="AA36" i="37"/>
  <c r="AB36" i="37"/>
  <c r="AC36" i="37"/>
  <c r="AF36" i="37"/>
  <c r="AG36" i="37"/>
  <c r="AH36" i="37"/>
  <c r="AI36" i="37"/>
  <c r="AJ36" i="37"/>
  <c r="AL36" i="37"/>
  <c r="AM36" i="37"/>
  <c r="AN36" i="37"/>
  <c r="AO36" i="37"/>
  <c r="AP36" i="37"/>
  <c r="AQ36" i="37"/>
  <c r="AR36" i="37"/>
  <c r="AS36" i="37"/>
  <c r="AT36" i="37"/>
  <c r="AU36" i="37"/>
  <c r="AV36" i="37"/>
  <c r="AW36" i="37"/>
  <c r="AX36" i="37"/>
  <c r="AY36" i="37"/>
  <c r="BB36" i="37"/>
  <c r="BC36" i="37"/>
  <c r="BD36" i="37"/>
  <c r="BE36" i="37"/>
  <c r="BF36" i="37"/>
  <c r="BG36" i="37"/>
  <c r="BH36" i="37"/>
  <c r="BI36" i="37"/>
  <c r="BJ36" i="37"/>
  <c r="BK36" i="37"/>
  <c r="BL36" i="37"/>
  <c r="BM36" i="37"/>
  <c r="BN36" i="37"/>
  <c r="BO36" i="37"/>
  <c r="D37" i="37"/>
  <c r="F37" i="37"/>
  <c r="G37" i="37"/>
  <c r="H37" i="37"/>
  <c r="I37" i="37"/>
  <c r="K37" i="37"/>
  <c r="L37" i="37"/>
  <c r="N37" i="37"/>
  <c r="O37" i="37"/>
  <c r="P37" i="37"/>
  <c r="Q37" i="37"/>
  <c r="S37" i="37"/>
  <c r="T37" i="37"/>
  <c r="V37" i="37"/>
  <c r="X37" i="37"/>
  <c r="Y37" i="37"/>
  <c r="Z37" i="37"/>
  <c r="AA37" i="37"/>
  <c r="AB37" i="37"/>
  <c r="AC37" i="37"/>
  <c r="AF37" i="37"/>
  <c r="AG37" i="37"/>
  <c r="AH37" i="37"/>
  <c r="AI37" i="37"/>
  <c r="AJ37" i="37"/>
  <c r="AL37" i="37"/>
  <c r="AM37" i="37"/>
  <c r="AN37" i="37"/>
  <c r="AO37" i="37"/>
  <c r="AP37" i="37"/>
  <c r="AQ37" i="37"/>
  <c r="AR37" i="37"/>
  <c r="AS37" i="37"/>
  <c r="AT37" i="37"/>
  <c r="AU37" i="37"/>
  <c r="AV37" i="37"/>
  <c r="AW37" i="37"/>
  <c r="AX37" i="37"/>
  <c r="AY37" i="37"/>
  <c r="BB37" i="37"/>
  <c r="BC37" i="37"/>
  <c r="BD37" i="37"/>
  <c r="BE37" i="37"/>
  <c r="BF37" i="37"/>
  <c r="BG37" i="37"/>
  <c r="BH37" i="37"/>
  <c r="BI37" i="37"/>
  <c r="BJ37" i="37"/>
  <c r="BK37" i="37"/>
  <c r="BL37" i="37"/>
  <c r="BM37" i="37"/>
  <c r="BN37" i="37"/>
  <c r="BO37" i="37"/>
  <c r="D38" i="37"/>
  <c r="F38" i="37"/>
  <c r="G38" i="37"/>
  <c r="H38" i="37"/>
  <c r="I38" i="37"/>
  <c r="K38" i="37"/>
  <c r="L38" i="37"/>
  <c r="N38" i="37"/>
  <c r="O38" i="37"/>
  <c r="P38" i="37"/>
  <c r="Q38" i="37"/>
  <c r="S38" i="37"/>
  <c r="T38" i="37"/>
  <c r="V38" i="37"/>
  <c r="X38" i="37"/>
  <c r="Y38" i="37"/>
  <c r="Z38" i="37"/>
  <c r="AA38" i="37"/>
  <c r="AB38" i="37"/>
  <c r="AC38" i="37"/>
  <c r="AF38" i="37"/>
  <c r="AG38" i="37"/>
  <c r="AH38" i="37"/>
  <c r="AI38" i="37"/>
  <c r="AJ38" i="37"/>
  <c r="AL38" i="37"/>
  <c r="AM38" i="37"/>
  <c r="AN38" i="37"/>
  <c r="AO38" i="37"/>
  <c r="AP38" i="37"/>
  <c r="AQ38" i="37"/>
  <c r="AR38" i="37"/>
  <c r="AS38" i="37"/>
  <c r="AT38" i="37"/>
  <c r="AU38" i="37"/>
  <c r="AV38" i="37"/>
  <c r="AW38" i="37"/>
  <c r="AX38" i="37"/>
  <c r="AY38" i="37"/>
  <c r="BB38" i="37"/>
  <c r="BC38" i="37"/>
  <c r="BD38" i="37"/>
  <c r="BE38" i="37"/>
  <c r="BF38" i="37"/>
  <c r="BG38" i="37"/>
  <c r="BH38" i="37"/>
  <c r="BI38" i="37"/>
  <c r="BJ38" i="37"/>
  <c r="BK38" i="37"/>
  <c r="BL38" i="37"/>
  <c r="BM38" i="37"/>
  <c r="BN38" i="37"/>
  <c r="BO38" i="37"/>
  <c r="D39" i="37"/>
  <c r="F39" i="37"/>
  <c r="G39" i="37"/>
  <c r="H39" i="37"/>
  <c r="I39" i="37"/>
  <c r="K39" i="37"/>
  <c r="L39" i="37"/>
  <c r="N39" i="37"/>
  <c r="O39" i="37"/>
  <c r="P39" i="37"/>
  <c r="Q39" i="37"/>
  <c r="S39" i="37"/>
  <c r="T39" i="37"/>
  <c r="V39" i="37"/>
  <c r="X39" i="37"/>
  <c r="Y39" i="37"/>
  <c r="Z39" i="37"/>
  <c r="AA39" i="37"/>
  <c r="AB39" i="37"/>
  <c r="AC39" i="37"/>
  <c r="AF39" i="37"/>
  <c r="AG39" i="37"/>
  <c r="AH39" i="37"/>
  <c r="AI39" i="37"/>
  <c r="AJ39" i="37"/>
  <c r="AL39" i="37"/>
  <c r="AM39" i="37"/>
  <c r="AN39" i="37"/>
  <c r="AO39" i="37"/>
  <c r="AP39" i="37"/>
  <c r="AQ39" i="37"/>
  <c r="AR39" i="37"/>
  <c r="AS39" i="37"/>
  <c r="AT39" i="37"/>
  <c r="AU39" i="37"/>
  <c r="AV39" i="37"/>
  <c r="AW39" i="37"/>
  <c r="AX39" i="37"/>
  <c r="AY39" i="37"/>
  <c r="BB39" i="37"/>
  <c r="BC39" i="37"/>
  <c r="BD39" i="37"/>
  <c r="BE39" i="37"/>
  <c r="BF39" i="37"/>
  <c r="BG39" i="37"/>
  <c r="BH39" i="37"/>
  <c r="BI39" i="37"/>
  <c r="BJ39" i="37"/>
  <c r="BK39" i="37"/>
  <c r="BL39" i="37"/>
  <c r="BM39" i="37"/>
  <c r="BN39" i="37"/>
  <c r="BO39" i="37"/>
  <c r="D40" i="37"/>
  <c r="F40" i="37"/>
  <c r="G40" i="37"/>
  <c r="H40" i="37"/>
  <c r="I40" i="37"/>
  <c r="K40" i="37"/>
  <c r="L40" i="37"/>
  <c r="N40" i="37"/>
  <c r="O40" i="37"/>
  <c r="P40" i="37"/>
  <c r="Q40" i="37"/>
  <c r="S40" i="37"/>
  <c r="T40" i="37"/>
  <c r="V40" i="37"/>
  <c r="X40" i="37"/>
  <c r="Y40" i="37"/>
  <c r="Z40" i="37"/>
  <c r="AA40" i="37"/>
  <c r="AB40" i="37"/>
  <c r="AC40" i="37"/>
  <c r="AF40" i="37"/>
  <c r="AG40" i="37"/>
  <c r="AH40" i="37"/>
  <c r="AI40" i="37"/>
  <c r="AJ40" i="37"/>
  <c r="AL40" i="37"/>
  <c r="AM40" i="37"/>
  <c r="AN40" i="37"/>
  <c r="AO40" i="37"/>
  <c r="AP40" i="37"/>
  <c r="AQ40" i="37"/>
  <c r="AR40" i="37"/>
  <c r="AS40" i="37"/>
  <c r="AT40" i="37"/>
  <c r="AU40" i="37"/>
  <c r="AV40" i="37"/>
  <c r="AW40" i="37"/>
  <c r="AX40" i="37"/>
  <c r="AY40" i="37"/>
  <c r="BB40" i="37"/>
  <c r="BC40" i="37"/>
  <c r="BD40" i="37"/>
  <c r="BE40" i="37"/>
  <c r="BF40" i="37"/>
  <c r="BG40" i="37"/>
  <c r="BH40" i="37"/>
  <c r="BI40" i="37"/>
  <c r="BJ40" i="37"/>
  <c r="BK40" i="37"/>
  <c r="BL40" i="37"/>
  <c r="BM40" i="37"/>
  <c r="BN40" i="37"/>
  <c r="BO40" i="37"/>
  <c r="D41" i="37"/>
  <c r="F41" i="37"/>
  <c r="G41" i="37"/>
  <c r="H41" i="37"/>
  <c r="I41" i="37"/>
  <c r="K41" i="37"/>
  <c r="L41" i="37"/>
  <c r="N41" i="37"/>
  <c r="O41" i="37"/>
  <c r="P41" i="37"/>
  <c r="Q41" i="37"/>
  <c r="S41" i="37"/>
  <c r="T41" i="37"/>
  <c r="V41" i="37"/>
  <c r="X41" i="37"/>
  <c r="Y41" i="37"/>
  <c r="Z41" i="37"/>
  <c r="AA41" i="37"/>
  <c r="AB41" i="37"/>
  <c r="AC41" i="37"/>
  <c r="AF41" i="37"/>
  <c r="AG41" i="37"/>
  <c r="AH41" i="37"/>
  <c r="AI41" i="37"/>
  <c r="AJ41" i="37"/>
  <c r="AL41" i="37"/>
  <c r="AM41" i="37"/>
  <c r="AN41" i="37"/>
  <c r="AO41" i="37"/>
  <c r="AP41" i="37"/>
  <c r="AQ41" i="37"/>
  <c r="AR41" i="37"/>
  <c r="AS41" i="37"/>
  <c r="AT41" i="37"/>
  <c r="AU41" i="37"/>
  <c r="AV41" i="37"/>
  <c r="AW41" i="37"/>
  <c r="AX41" i="37"/>
  <c r="AY41" i="37"/>
  <c r="BB41" i="37"/>
  <c r="BC41" i="37"/>
  <c r="BD41" i="37"/>
  <c r="BE41" i="37"/>
  <c r="BF41" i="37"/>
  <c r="BG41" i="37"/>
  <c r="BH41" i="37"/>
  <c r="BI41" i="37"/>
  <c r="BJ41" i="37"/>
  <c r="BK41" i="37"/>
  <c r="BL41" i="37"/>
  <c r="BM41" i="37"/>
  <c r="BN41" i="37"/>
  <c r="BO41" i="37"/>
  <c r="D42" i="37"/>
  <c r="F42" i="37"/>
  <c r="G42" i="37"/>
  <c r="H42" i="37"/>
  <c r="I42" i="37"/>
  <c r="K42" i="37"/>
  <c r="L42" i="37"/>
  <c r="N42" i="37"/>
  <c r="O42" i="37"/>
  <c r="P42" i="37"/>
  <c r="Q42" i="37"/>
  <c r="S42" i="37"/>
  <c r="T42" i="37"/>
  <c r="V42" i="37"/>
  <c r="X42" i="37"/>
  <c r="Y42" i="37"/>
  <c r="Z42" i="37"/>
  <c r="AA42" i="37"/>
  <c r="AB42" i="37"/>
  <c r="AC42" i="37"/>
  <c r="AF42" i="37"/>
  <c r="AG42" i="37"/>
  <c r="AH42" i="37"/>
  <c r="AI42" i="37"/>
  <c r="AJ42" i="37"/>
  <c r="AL42" i="37"/>
  <c r="AM42" i="37"/>
  <c r="AN42" i="37"/>
  <c r="AO42" i="37"/>
  <c r="AP42" i="37"/>
  <c r="AQ42" i="37"/>
  <c r="AR42" i="37"/>
  <c r="AS42" i="37"/>
  <c r="AT42" i="37"/>
  <c r="AU42" i="37"/>
  <c r="AV42" i="37"/>
  <c r="AW42" i="37"/>
  <c r="AX42" i="37"/>
  <c r="AY42" i="37"/>
  <c r="BB42" i="37"/>
  <c r="BC42" i="37"/>
  <c r="BD42" i="37"/>
  <c r="BE42" i="37"/>
  <c r="BF42" i="37"/>
  <c r="BG42" i="37"/>
  <c r="BH42" i="37"/>
  <c r="BI42" i="37"/>
  <c r="BJ42" i="37"/>
  <c r="BK42" i="37"/>
  <c r="BL42" i="37"/>
  <c r="BM42" i="37"/>
  <c r="BN42" i="37"/>
  <c r="BO42" i="37"/>
  <c r="D43" i="37"/>
  <c r="F43" i="37"/>
  <c r="G43" i="37"/>
  <c r="H43" i="37"/>
  <c r="I43" i="37"/>
  <c r="K43" i="37"/>
  <c r="L43" i="37"/>
  <c r="N43" i="37"/>
  <c r="O43" i="37"/>
  <c r="P43" i="37"/>
  <c r="Q43" i="37"/>
  <c r="S43" i="37"/>
  <c r="T43" i="37"/>
  <c r="V43" i="37"/>
  <c r="X43" i="37"/>
  <c r="Y43" i="37"/>
  <c r="Z43" i="37"/>
  <c r="AA43" i="37"/>
  <c r="AB43" i="37"/>
  <c r="AC43" i="37"/>
  <c r="AF43" i="37"/>
  <c r="AG43" i="37"/>
  <c r="AH43" i="37"/>
  <c r="AI43" i="37"/>
  <c r="AJ43" i="37"/>
  <c r="AL43" i="37"/>
  <c r="AM43" i="37"/>
  <c r="AN43" i="37"/>
  <c r="AO43" i="37"/>
  <c r="AP43" i="37"/>
  <c r="AQ43" i="37"/>
  <c r="AR43" i="37"/>
  <c r="AS43" i="37"/>
  <c r="AT43" i="37"/>
  <c r="AU43" i="37"/>
  <c r="AV43" i="37"/>
  <c r="AW43" i="37"/>
  <c r="AX43" i="37"/>
  <c r="AY43" i="37"/>
  <c r="BB43" i="37"/>
  <c r="BC43" i="37"/>
  <c r="BD43" i="37"/>
  <c r="BE43" i="37"/>
  <c r="BF43" i="37"/>
  <c r="BG43" i="37"/>
  <c r="BH43" i="37"/>
  <c r="BI43" i="37"/>
  <c r="BJ43" i="37"/>
  <c r="BK43" i="37"/>
  <c r="BL43" i="37"/>
  <c r="BM43" i="37"/>
  <c r="BN43" i="37"/>
  <c r="BO43" i="37"/>
  <c r="D44" i="37"/>
  <c r="F44" i="37"/>
  <c r="G44" i="37"/>
  <c r="H44" i="37"/>
  <c r="I44" i="37"/>
  <c r="K44" i="37"/>
  <c r="L44" i="37"/>
  <c r="N44" i="37"/>
  <c r="O44" i="37"/>
  <c r="P44" i="37"/>
  <c r="Q44" i="37"/>
  <c r="S44" i="37"/>
  <c r="T44" i="37"/>
  <c r="V44" i="37"/>
  <c r="X44" i="37"/>
  <c r="Y44" i="37"/>
  <c r="Z44" i="37"/>
  <c r="AA44" i="37"/>
  <c r="AB44" i="37"/>
  <c r="AC44" i="37"/>
  <c r="AF44" i="37"/>
  <c r="AG44" i="37"/>
  <c r="AH44" i="37"/>
  <c r="AI44" i="37"/>
  <c r="AJ44" i="37"/>
  <c r="AL44" i="37"/>
  <c r="AM44" i="37"/>
  <c r="AN44" i="37"/>
  <c r="AO44" i="37"/>
  <c r="AP44" i="37"/>
  <c r="AQ44" i="37"/>
  <c r="AR44" i="37"/>
  <c r="AS44" i="37"/>
  <c r="AT44" i="37"/>
  <c r="AU44" i="37"/>
  <c r="AV44" i="37"/>
  <c r="AW44" i="37"/>
  <c r="AX44" i="37"/>
  <c r="AY44" i="37"/>
  <c r="BB44" i="37"/>
  <c r="BC44" i="37"/>
  <c r="BD44" i="37"/>
  <c r="BE44" i="37"/>
  <c r="BF44" i="37"/>
  <c r="BG44" i="37"/>
  <c r="BH44" i="37"/>
  <c r="BI44" i="37"/>
  <c r="BJ44" i="37"/>
  <c r="BK44" i="37"/>
  <c r="BL44" i="37"/>
  <c r="BM44" i="37"/>
  <c r="BN44" i="37"/>
  <c r="BO44" i="37"/>
  <c r="D45" i="37"/>
  <c r="F45" i="37"/>
  <c r="G45" i="37"/>
  <c r="H45" i="37"/>
  <c r="I45" i="37"/>
  <c r="K45" i="37"/>
  <c r="L45" i="37"/>
  <c r="N45" i="37"/>
  <c r="O45" i="37"/>
  <c r="P45" i="37"/>
  <c r="Q45" i="37"/>
  <c r="S45" i="37"/>
  <c r="T45" i="37"/>
  <c r="V45" i="37"/>
  <c r="X45" i="37"/>
  <c r="Y45" i="37"/>
  <c r="Z45" i="37"/>
  <c r="AA45" i="37"/>
  <c r="AB45" i="37"/>
  <c r="AC45" i="37"/>
  <c r="AF45" i="37"/>
  <c r="AG45" i="37"/>
  <c r="AH45" i="37"/>
  <c r="AI45" i="37"/>
  <c r="AJ45" i="37"/>
  <c r="AL45" i="37"/>
  <c r="AM45" i="37"/>
  <c r="AN45" i="37"/>
  <c r="AO45" i="37"/>
  <c r="AP45" i="37"/>
  <c r="AQ45" i="37"/>
  <c r="AR45" i="37"/>
  <c r="AS45" i="37"/>
  <c r="AT45" i="37"/>
  <c r="AU45" i="37"/>
  <c r="AV45" i="37"/>
  <c r="AW45" i="37"/>
  <c r="AX45" i="37"/>
  <c r="AY45" i="37"/>
  <c r="BB45" i="37"/>
  <c r="BC45" i="37"/>
  <c r="BD45" i="37"/>
  <c r="BE45" i="37"/>
  <c r="BF45" i="37"/>
  <c r="BG45" i="37"/>
  <c r="BH45" i="37"/>
  <c r="BI45" i="37"/>
  <c r="BJ45" i="37"/>
  <c r="BK45" i="37"/>
  <c r="BL45" i="37"/>
  <c r="BM45" i="37"/>
  <c r="BN45" i="37"/>
  <c r="BO45" i="37"/>
  <c r="D46" i="37"/>
  <c r="F46" i="37"/>
  <c r="G46" i="37"/>
  <c r="H46" i="37"/>
  <c r="I46" i="37"/>
  <c r="K46" i="37"/>
  <c r="L46" i="37"/>
  <c r="N46" i="37"/>
  <c r="O46" i="37"/>
  <c r="P46" i="37"/>
  <c r="Q46" i="37"/>
  <c r="S46" i="37"/>
  <c r="T46" i="37"/>
  <c r="V46" i="37"/>
  <c r="X46" i="37"/>
  <c r="Y46" i="37"/>
  <c r="Z46" i="37"/>
  <c r="AA46" i="37"/>
  <c r="AB46" i="37"/>
  <c r="AC46" i="37"/>
  <c r="AF46" i="37"/>
  <c r="AG46" i="37"/>
  <c r="AH46" i="37"/>
  <c r="AI46" i="37"/>
  <c r="AJ46" i="37"/>
  <c r="AL46" i="37"/>
  <c r="AM46" i="37"/>
  <c r="AN46" i="37"/>
  <c r="AO46" i="37"/>
  <c r="AP46" i="37"/>
  <c r="AQ46" i="37"/>
  <c r="AR46" i="37"/>
  <c r="AS46" i="37"/>
  <c r="AT46" i="37"/>
  <c r="AU46" i="37"/>
  <c r="AV46" i="37"/>
  <c r="AW46" i="37"/>
  <c r="AX46" i="37"/>
  <c r="AY46" i="37"/>
  <c r="BB46" i="37"/>
  <c r="BC46" i="37"/>
  <c r="BD46" i="37"/>
  <c r="BE46" i="37"/>
  <c r="BF46" i="37"/>
  <c r="BG46" i="37"/>
  <c r="BH46" i="37"/>
  <c r="BI46" i="37"/>
  <c r="BJ46" i="37"/>
  <c r="BK46" i="37"/>
  <c r="BL46" i="37"/>
  <c r="BM46" i="37"/>
  <c r="BN46" i="37"/>
  <c r="BO46" i="37"/>
  <c r="D47" i="37"/>
  <c r="F47" i="37"/>
  <c r="G47" i="37"/>
  <c r="H47" i="37"/>
  <c r="I47" i="37"/>
  <c r="K47" i="37"/>
  <c r="L47" i="37"/>
  <c r="N47" i="37"/>
  <c r="O47" i="37"/>
  <c r="P47" i="37"/>
  <c r="Q47" i="37"/>
  <c r="S47" i="37"/>
  <c r="T47" i="37"/>
  <c r="V47" i="37"/>
  <c r="X47" i="37"/>
  <c r="Y47" i="37"/>
  <c r="Z47" i="37"/>
  <c r="AA47" i="37"/>
  <c r="AB47" i="37"/>
  <c r="AC47" i="37"/>
  <c r="AF47" i="37"/>
  <c r="AG47" i="37"/>
  <c r="AH47" i="37"/>
  <c r="AI47" i="37"/>
  <c r="AJ47" i="37"/>
  <c r="AL47" i="37"/>
  <c r="AM47" i="37"/>
  <c r="AN47" i="37"/>
  <c r="AO47" i="37"/>
  <c r="AP47" i="37"/>
  <c r="AQ47" i="37"/>
  <c r="AR47" i="37"/>
  <c r="AS47" i="37"/>
  <c r="AT47" i="37"/>
  <c r="AU47" i="37"/>
  <c r="AV47" i="37"/>
  <c r="AW47" i="37"/>
  <c r="AX47" i="37"/>
  <c r="AY47" i="37"/>
  <c r="BB47" i="37"/>
  <c r="BC47" i="37"/>
  <c r="BD47" i="37"/>
  <c r="BE47" i="37"/>
  <c r="BF47" i="37"/>
  <c r="BG47" i="37"/>
  <c r="BH47" i="37"/>
  <c r="BI47" i="37"/>
  <c r="BJ47" i="37"/>
  <c r="BK47" i="37"/>
  <c r="BL47" i="37"/>
  <c r="BM47" i="37"/>
  <c r="BN47" i="37"/>
  <c r="BO47" i="37"/>
  <c r="D48" i="37"/>
  <c r="F48" i="37"/>
  <c r="G48" i="37"/>
  <c r="H48" i="37"/>
  <c r="I48" i="37"/>
  <c r="K48" i="37"/>
  <c r="L48" i="37"/>
  <c r="N48" i="37"/>
  <c r="O48" i="37"/>
  <c r="P48" i="37"/>
  <c r="Q48" i="37"/>
  <c r="S48" i="37"/>
  <c r="T48" i="37"/>
  <c r="V48" i="37"/>
  <c r="X48" i="37"/>
  <c r="Y48" i="37"/>
  <c r="Z48" i="37"/>
  <c r="AA48" i="37"/>
  <c r="AB48" i="37"/>
  <c r="AC48" i="37"/>
  <c r="AF48" i="37"/>
  <c r="AG48" i="37"/>
  <c r="AH48" i="37"/>
  <c r="AI48" i="37"/>
  <c r="AJ48" i="37"/>
  <c r="AL48" i="37"/>
  <c r="AM48" i="37"/>
  <c r="AN48" i="37"/>
  <c r="AO48" i="37"/>
  <c r="AP48" i="37"/>
  <c r="AQ48" i="37"/>
  <c r="AR48" i="37"/>
  <c r="AS48" i="37"/>
  <c r="AT48" i="37"/>
  <c r="AU48" i="37"/>
  <c r="AV48" i="37"/>
  <c r="AW48" i="37"/>
  <c r="AX48" i="37"/>
  <c r="AY48" i="37"/>
  <c r="BB48" i="37"/>
  <c r="BC48" i="37"/>
  <c r="BD48" i="37"/>
  <c r="BE48" i="37"/>
  <c r="BF48" i="37"/>
  <c r="BG48" i="37"/>
  <c r="BH48" i="37"/>
  <c r="BI48" i="37"/>
  <c r="BJ48" i="37"/>
  <c r="BK48" i="37"/>
  <c r="BL48" i="37"/>
  <c r="BM48" i="37"/>
  <c r="BN48" i="37"/>
  <c r="BO48" i="37"/>
  <c r="D49" i="37"/>
  <c r="F49" i="37"/>
  <c r="G49" i="37"/>
  <c r="H49" i="37"/>
  <c r="I49" i="37"/>
  <c r="K49" i="37"/>
  <c r="L49" i="37"/>
  <c r="N49" i="37"/>
  <c r="O49" i="37"/>
  <c r="P49" i="37"/>
  <c r="Q49" i="37"/>
  <c r="S49" i="37"/>
  <c r="T49" i="37"/>
  <c r="V49" i="37"/>
  <c r="X49" i="37"/>
  <c r="Y49" i="37"/>
  <c r="Z49" i="37"/>
  <c r="AA49" i="37"/>
  <c r="AB49" i="37"/>
  <c r="AC49" i="37"/>
  <c r="AF49" i="37"/>
  <c r="AG49" i="37"/>
  <c r="AH49" i="37"/>
  <c r="AI49" i="37"/>
  <c r="AJ49" i="37"/>
  <c r="AL49" i="37"/>
  <c r="AM49" i="37"/>
  <c r="AN49" i="37"/>
  <c r="AO49" i="37"/>
  <c r="AP49" i="37"/>
  <c r="AQ49" i="37"/>
  <c r="AR49" i="37"/>
  <c r="AS49" i="37"/>
  <c r="AT49" i="37"/>
  <c r="AU49" i="37"/>
  <c r="AV49" i="37"/>
  <c r="AW49" i="37"/>
  <c r="AX49" i="37"/>
  <c r="AY49" i="37"/>
  <c r="BB49" i="37"/>
  <c r="BC49" i="37"/>
  <c r="BD49" i="37"/>
  <c r="BE49" i="37"/>
  <c r="BF49" i="37"/>
  <c r="BG49" i="37"/>
  <c r="BH49" i="37"/>
  <c r="BI49" i="37"/>
  <c r="BJ49" i="37"/>
  <c r="BK49" i="37"/>
  <c r="BL49" i="37"/>
  <c r="BM49" i="37"/>
  <c r="BN49" i="37"/>
  <c r="BO49" i="37"/>
  <c r="D50" i="37"/>
  <c r="F50" i="37"/>
  <c r="G50" i="37"/>
  <c r="H50" i="37"/>
  <c r="I50" i="37"/>
  <c r="K50" i="37"/>
  <c r="L50" i="37"/>
  <c r="N50" i="37"/>
  <c r="O50" i="37"/>
  <c r="P50" i="37"/>
  <c r="Q50" i="37"/>
  <c r="S50" i="37"/>
  <c r="T50" i="37"/>
  <c r="V50" i="37"/>
  <c r="X50" i="37"/>
  <c r="Y50" i="37"/>
  <c r="Z50" i="37"/>
  <c r="AA50" i="37"/>
  <c r="AB50" i="37"/>
  <c r="AC50" i="37"/>
  <c r="AF50" i="37"/>
  <c r="AG50" i="37"/>
  <c r="AH50" i="37"/>
  <c r="AI50" i="37"/>
  <c r="AJ50" i="37"/>
  <c r="AL50" i="37"/>
  <c r="AM50" i="37"/>
  <c r="AN50" i="37"/>
  <c r="AO50" i="37"/>
  <c r="AP50" i="37"/>
  <c r="AQ50" i="37"/>
  <c r="AR50" i="37"/>
  <c r="AS50" i="37"/>
  <c r="AT50" i="37"/>
  <c r="AU50" i="37"/>
  <c r="AV50" i="37"/>
  <c r="AW50" i="37"/>
  <c r="AX50" i="37"/>
  <c r="AY50" i="37"/>
  <c r="BB50" i="37"/>
  <c r="BC50" i="37"/>
  <c r="BD50" i="37"/>
  <c r="BE50" i="37"/>
  <c r="BF50" i="37"/>
  <c r="BG50" i="37"/>
  <c r="BH50" i="37"/>
  <c r="BI50" i="37"/>
  <c r="BJ50" i="37"/>
  <c r="BK50" i="37"/>
  <c r="BL50" i="37"/>
  <c r="BM50" i="37"/>
  <c r="BN50" i="37"/>
  <c r="BO50" i="37"/>
  <c r="D51" i="37"/>
  <c r="F51" i="37"/>
  <c r="G51" i="37"/>
  <c r="H51" i="37"/>
  <c r="I51" i="37"/>
  <c r="K51" i="37"/>
  <c r="L51" i="37"/>
  <c r="N51" i="37"/>
  <c r="O51" i="37"/>
  <c r="P51" i="37"/>
  <c r="Q51" i="37"/>
  <c r="S51" i="37"/>
  <c r="T51" i="37"/>
  <c r="V51" i="37"/>
  <c r="X51" i="37"/>
  <c r="Y51" i="37"/>
  <c r="Z51" i="37"/>
  <c r="AA51" i="37"/>
  <c r="AB51" i="37"/>
  <c r="AC51" i="37"/>
  <c r="AF51" i="37"/>
  <c r="AG51" i="37"/>
  <c r="AH51" i="37"/>
  <c r="AI51" i="37"/>
  <c r="AJ51" i="37"/>
  <c r="AL51" i="37"/>
  <c r="AM51" i="37"/>
  <c r="AN51" i="37"/>
  <c r="AO51" i="37"/>
  <c r="AP51" i="37"/>
  <c r="AQ51" i="37"/>
  <c r="AR51" i="37"/>
  <c r="AS51" i="37"/>
  <c r="AT51" i="37"/>
  <c r="AU51" i="37"/>
  <c r="AV51" i="37"/>
  <c r="AW51" i="37"/>
  <c r="AX51" i="37"/>
  <c r="AY51" i="37"/>
  <c r="BB51" i="37"/>
  <c r="BC51" i="37"/>
  <c r="BD51" i="37"/>
  <c r="BE51" i="37"/>
  <c r="BF51" i="37"/>
  <c r="BG51" i="37"/>
  <c r="BH51" i="37"/>
  <c r="BI51" i="37"/>
  <c r="BJ51" i="37"/>
  <c r="BK51" i="37"/>
  <c r="BL51" i="37"/>
  <c r="BM51" i="37"/>
  <c r="BN51" i="37"/>
  <c r="BO51" i="37"/>
  <c r="D52" i="37"/>
  <c r="F52" i="37"/>
  <c r="G52" i="37"/>
  <c r="H52" i="37"/>
  <c r="I52" i="37"/>
  <c r="K52" i="37"/>
  <c r="L52" i="37"/>
  <c r="N52" i="37"/>
  <c r="O52" i="37"/>
  <c r="P52" i="37"/>
  <c r="Q52" i="37"/>
  <c r="S52" i="37"/>
  <c r="T52" i="37"/>
  <c r="V52" i="37"/>
  <c r="X52" i="37"/>
  <c r="Y52" i="37"/>
  <c r="Z52" i="37"/>
  <c r="AA52" i="37"/>
  <c r="AB52" i="37"/>
  <c r="AC52" i="37"/>
  <c r="AF52" i="37"/>
  <c r="AG52" i="37"/>
  <c r="AH52" i="37"/>
  <c r="AI52" i="37"/>
  <c r="AJ52" i="37"/>
  <c r="AL52" i="37"/>
  <c r="AM52" i="37"/>
  <c r="AN52" i="37"/>
  <c r="AO52" i="37"/>
  <c r="AP52" i="37"/>
  <c r="AQ52" i="37"/>
  <c r="AR52" i="37"/>
  <c r="AS52" i="37"/>
  <c r="AT52" i="37"/>
  <c r="AU52" i="37"/>
  <c r="AV52" i="37"/>
  <c r="AW52" i="37"/>
  <c r="AX52" i="37"/>
  <c r="AY52" i="37"/>
  <c r="BB52" i="37"/>
  <c r="BC52" i="37"/>
  <c r="BD52" i="37"/>
  <c r="BE52" i="37"/>
  <c r="BF52" i="37"/>
  <c r="BG52" i="37"/>
  <c r="BH52" i="37"/>
  <c r="BI52" i="37"/>
  <c r="BJ52" i="37"/>
  <c r="BK52" i="37"/>
  <c r="BL52" i="37"/>
  <c r="BM52" i="37"/>
  <c r="BN52" i="37"/>
  <c r="BO52" i="37"/>
  <c r="D53" i="37"/>
  <c r="F53" i="37"/>
  <c r="G53" i="37"/>
  <c r="H53" i="37"/>
  <c r="I53" i="37"/>
  <c r="K53" i="37"/>
  <c r="L53" i="37"/>
  <c r="N53" i="37"/>
  <c r="O53" i="37"/>
  <c r="P53" i="37"/>
  <c r="Q53" i="37"/>
  <c r="S53" i="37"/>
  <c r="T53" i="37"/>
  <c r="V53" i="37"/>
  <c r="X53" i="37"/>
  <c r="Y53" i="37"/>
  <c r="Z53" i="37"/>
  <c r="AA53" i="37"/>
  <c r="AB53" i="37"/>
  <c r="AC53" i="37"/>
  <c r="AF53" i="37"/>
  <c r="AG53" i="37"/>
  <c r="AH53" i="37"/>
  <c r="AI53" i="37"/>
  <c r="AJ53" i="37"/>
  <c r="AL53" i="37"/>
  <c r="AM53" i="37"/>
  <c r="AN53" i="37"/>
  <c r="AO53" i="37"/>
  <c r="AP53" i="37"/>
  <c r="AQ53" i="37"/>
  <c r="AR53" i="37"/>
  <c r="AS53" i="37"/>
  <c r="AT53" i="37"/>
  <c r="AU53" i="37"/>
  <c r="AV53" i="37"/>
  <c r="AW53" i="37"/>
  <c r="AX53" i="37"/>
  <c r="AY53" i="37"/>
  <c r="BB53" i="37"/>
  <c r="BC53" i="37"/>
  <c r="BD53" i="37"/>
  <c r="BE53" i="37"/>
  <c r="BF53" i="37"/>
  <c r="BG53" i="37"/>
  <c r="BH53" i="37"/>
  <c r="BI53" i="37"/>
  <c r="BJ53" i="37"/>
  <c r="BK53" i="37"/>
  <c r="BL53" i="37"/>
  <c r="BM53" i="37"/>
  <c r="BN53" i="37"/>
  <c r="BO53" i="37"/>
  <c r="D54" i="37"/>
  <c r="F54" i="37"/>
  <c r="G54" i="37"/>
  <c r="H54" i="37"/>
  <c r="I54" i="37"/>
  <c r="K54" i="37"/>
  <c r="L54" i="37"/>
  <c r="N54" i="37"/>
  <c r="O54" i="37"/>
  <c r="P54" i="37"/>
  <c r="Q54" i="37"/>
  <c r="S54" i="37"/>
  <c r="T54" i="37"/>
  <c r="V54" i="37"/>
  <c r="X54" i="37"/>
  <c r="Y54" i="37"/>
  <c r="Z54" i="37"/>
  <c r="AA54" i="37"/>
  <c r="AB54" i="37"/>
  <c r="AC54" i="37"/>
  <c r="AF54" i="37"/>
  <c r="AG54" i="37"/>
  <c r="AH54" i="37"/>
  <c r="AI54" i="37"/>
  <c r="AJ54" i="37"/>
  <c r="AL54" i="37"/>
  <c r="AM54" i="37"/>
  <c r="AN54" i="37"/>
  <c r="AO54" i="37"/>
  <c r="AP54" i="37"/>
  <c r="AQ54" i="37"/>
  <c r="AR54" i="37"/>
  <c r="AS54" i="37"/>
  <c r="AT54" i="37"/>
  <c r="AU54" i="37"/>
  <c r="AV54" i="37"/>
  <c r="AW54" i="37"/>
  <c r="AX54" i="37"/>
  <c r="AY54" i="37"/>
  <c r="BB54" i="37"/>
  <c r="BC54" i="37"/>
  <c r="BD54" i="37"/>
  <c r="BE54" i="37"/>
  <c r="BF54" i="37"/>
  <c r="BG54" i="37"/>
  <c r="BH54" i="37"/>
  <c r="BI54" i="37"/>
  <c r="BJ54" i="37"/>
  <c r="BK54" i="37"/>
  <c r="BL54" i="37"/>
  <c r="BM54" i="37"/>
  <c r="BN54" i="37"/>
  <c r="BO54" i="37"/>
  <c r="D55" i="37"/>
  <c r="F55" i="37"/>
  <c r="G55" i="37"/>
  <c r="H55" i="37"/>
  <c r="I55" i="37"/>
  <c r="K55" i="37"/>
  <c r="L55" i="37"/>
  <c r="N55" i="37"/>
  <c r="O55" i="37"/>
  <c r="P55" i="37"/>
  <c r="Q55" i="37"/>
  <c r="S55" i="37"/>
  <c r="T55" i="37"/>
  <c r="V55" i="37"/>
  <c r="X55" i="37"/>
  <c r="Y55" i="37"/>
  <c r="Z55" i="37"/>
  <c r="AA55" i="37"/>
  <c r="AB55" i="37"/>
  <c r="AC55" i="37"/>
  <c r="AF55" i="37"/>
  <c r="AG55" i="37"/>
  <c r="AH55" i="37"/>
  <c r="AI55" i="37"/>
  <c r="AJ55" i="37"/>
  <c r="AL55" i="37"/>
  <c r="AM55" i="37"/>
  <c r="AN55" i="37"/>
  <c r="AO55" i="37"/>
  <c r="AP55" i="37"/>
  <c r="AQ55" i="37"/>
  <c r="AR55" i="37"/>
  <c r="AS55" i="37"/>
  <c r="AT55" i="37"/>
  <c r="AU55" i="37"/>
  <c r="AV55" i="37"/>
  <c r="AW55" i="37"/>
  <c r="AX55" i="37"/>
  <c r="AY55" i="37"/>
  <c r="BB55" i="37"/>
  <c r="BC55" i="37"/>
  <c r="BD55" i="37"/>
  <c r="BE55" i="37"/>
  <c r="BF55" i="37"/>
  <c r="BG55" i="37"/>
  <c r="BH55" i="37"/>
  <c r="BI55" i="37"/>
  <c r="BJ55" i="37"/>
  <c r="BK55" i="37"/>
  <c r="BL55" i="37"/>
  <c r="BM55" i="37"/>
  <c r="BN55" i="37"/>
  <c r="BO55" i="37"/>
  <c r="D56" i="37"/>
  <c r="F56" i="37"/>
  <c r="G56" i="37"/>
  <c r="H56" i="37"/>
  <c r="I56" i="37"/>
  <c r="K56" i="37"/>
  <c r="L56" i="37"/>
  <c r="N56" i="37"/>
  <c r="O56" i="37"/>
  <c r="P56" i="37"/>
  <c r="Q56" i="37"/>
  <c r="S56" i="37"/>
  <c r="T56" i="37"/>
  <c r="V56" i="37"/>
  <c r="X56" i="37"/>
  <c r="Y56" i="37"/>
  <c r="Z56" i="37"/>
  <c r="AA56" i="37"/>
  <c r="AB56" i="37"/>
  <c r="AC56" i="37"/>
  <c r="AF56" i="37"/>
  <c r="AG56" i="37"/>
  <c r="AH56" i="37"/>
  <c r="AI56" i="37"/>
  <c r="AJ56" i="37"/>
  <c r="AL56" i="37"/>
  <c r="AM56" i="37"/>
  <c r="AN56" i="37"/>
  <c r="AO56" i="37"/>
  <c r="AP56" i="37"/>
  <c r="AQ56" i="37"/>
  <c r="AR56" i="37"/>
  <c r="AS56" i="37"/>
  <c r="AT56" i="37"/>
  <c r="AU56" i="37"/>
  <c r="AV56" i="37"/>
  <c r="AW56" i="37"/>
  <c r="AX56" i="37"/>
  <c r="AY56" i="37"/>
  <c r="BB56" i="37"/>
  <c r="BC56" i="37"/>
  <c r="BD56" i="37"/>
  <c r="BE56" i="37"/>
  <c r="BF56" i="37"/>
  <c r="BG56" i="37"/>
  <c r="BH56" i="37"/>
  <c r="BI56" i="37"/>
  <c r="BJ56" i="37"/>
  <c r="BK56" i="37"/>
  <c r="BL56" i="37"/>
  <c r="BM56" i="37"/>
  <c r="BN56" i="37"/>
  <c r="BO56" i="37"/>
  <c r="D57" i="37"/>
  <c r="F57" i="37"/>
  <c r="G57" i="37"/>
  <c r="H57" i="37"/>
  <c r="I57" i="37"/>
  <c r="K57" i="37"/>
  <c r="L57" i="37"/>
  <c r="N57" i="37"/>
  <c r="O57" i="37"/>
  <c r="P57" i="37"/>
  <c r="Q57" i="37"/>
  <c r="S57" i="37"/>
  <c r="T57" i="37"/>
  <c r="V57" i="37"/>
  <c r="X57" i="37"/>
  <c r="Y57" i="37"/>
  <c r="Z57" i="37"/>
  <c r="AA57" i="37"/>
  <c r="AB57" i="37"/>
  <c r="AC57" i="37"/>
  <c r="AF57" i="37"/>
  <c r="AG57" i="37"/>
  <c r="AH57" i="37"/>
  <c r="AI57" i="37"/>
  <c r="AJ57" i="37"/>
  <c r="AL57" i="37"/>
  <c r="AM57" i="37"/>
  <c r="AN57" i="37"/>
  <c r="AO57" i="37"/>
  <c r="AP57" i="37"/>
  <c r="AQ57" i="37"/>
  <c r="AR57" i="37"/>
  <c r="AS57" i="37"/>
  <c r="AT57" i="37"/>
  <c r="AU57" i="37"/>
  <c r="AV57" i="37"/>
  <c r="AW57" i="37"/>
  <c r="AX57" i="37"/>
  <c r="AY57" i="37"/>
  <c r="BB57" i="37"/>
  <c r="BC57" i="37"/>
  <c r="BD57" i="37"/>
  <c r="BE57" i="37"/>
  <c r="BF57" i="37"/>
  <c r="BG57" i="37"/>
  <c r="BH57" i="37"/>
  <c r="BI57" i="37"/>
  <c r="BJ57" i="37"/>
  <c r="BK57" i="37"/>
  <c r="BL57" i="37"/>
  <c r="BM57" i="37"/>
  <c r="BN57" i="37"/>
  <c r="BO57" i="37"/>
  <c r="D58" i="37"/>
  <c r="F58" i="37"/>
  <c r="G58" i="37"/>
  <c r="H58" i="37"/>
  <c r="I58" i="37"/>
  <c r="K58" i="37"/>
  <c r="L58" i="37"/>
  <c r="N58" i="37"/>
  <c r="O58" i="37"/>
  <c r="P58" i="37"/>
  <c r="Q58" i="37"/>
  <c r="S58" i="37"/>
  <c r="T58" i="37"/>
  <c r="V58" i="37"/>
  <c r="X58" i="37"/>
  <c r="Y58" i="37"/>
  <c r="Z58" i="37"/>
  <c r="AA58" i="37"/>
  <c r="AB58" i="37"/>
  <c r="AC58" i="37"/>
  <c r="AF58" i="37"/>
  <c r="AG58" i="37"/>
  <c r="AH58" i="37"/>
  <c r="AI58" i="37"/>
  <c r="AJ58" i="37"/>
  <c r="AL58" i="37"/>
  <c r="AM58" i="37"/>
  <c r="AN58" i="37"/>
  <c r="AO58" i="37"/>
  <c r="AP58" i="37"/>
  <c r="AQ58" i="37"/>
  <c r="AR58" i="37"/>
  <c r="AS58" i="37"/>
  <c r="AT58" i="37"/>
  <c r="AU58" i="37"/>
  <c r="AV58" i="37"/>
  <c r="AW58" i="37"/>
  <c r="AX58" i="37"/>
  <c r="AY58" i="37"/>
  <c r="BB58" i="37"/>
  <c r="BC58" i="37"/>
  <c r="BD58" i="37"/>
  <c r="BE58" i="37"/>
  <c r="BF58" i="37"/>
  <c r="BG58" i="37"/>
  <c r="BH58" i="37"/>
  <c r="BI58" i="37"/>
  <c r="BJ58" i="37"/>
  <c r="BK58" i="37"/>
  <c r="BL58" i="37"/>
  <c r="BM58" i="37"/>
  <c r="BN58" i="37"/>
  <c r="BO58" i="37"/>
  <c r="D59" i="37"/>
  <c r="F59" i="37"/>
  <c r="G59" i="37"/>
  <c r="H59" i="37"/>
  <c r="I59" i="37"/>
  <c r="K59" i="37"/>
  <c r="L59" i="37"/>
  <c r="N59" i="37"/>
  <c r="O59" i="37"/>
  <c r="P59" i="37"/>
  <c r="Q59" i="37"/>
  <c r="S59" i="37"/>
  <c r="T59" i="37"/>
  <c r="V59" i="37"/>
  <c r="X59" i="37"/>
  <c r="Y59" i="37"/>
  <c r="Z59" i="37"/>
  <c r="AA59" i="37"/>
  <c r="AB59" i="37"/>
  <c r="AC59" i="37"/>
  <c r="AF59" i="37"/>
  <c r="AG59" i="37"/>
  <c r="AH59" i="37"/>
  <c r="AI59" i="37"/>
  <c r="AJ59" i="37"/>
  <c r="AL59" i="37"/>
  <c r="AM59" i="37"/>
  <c r="AN59" i="37"/>
  <c r="AO59" i="37"/>
  <c r="AP59" i="37"/>
  <c r="AQ59" i="37"/>
  <c r="AR59" i="37"/>
  <c r="AS59" i="37"/>
  <c r="AT59" i="37"/>
  <c r="AU59" i="37"/>
  <c r="AV59" i="37"/>
  <c r="AW59" i="37"/>
  <c r="AX59" i="37"/>
  <c r="AY59" i="37"/>
  <c r="BB59" i="37"/>
  <c r="BC59" i="37"/>
  <c r="BD59" i="37"/>
  <c r="BE59" i="37"/>
  <c r="BF59" i="37"/>
  <c r="BG59" i="37"/>
  <c r="BH59" i="37"/>
  <c r="BI59" i="37"/>
  <c r="BJ59" i="37"/>
  <c r="BK59" i="37"/>
  <c r="BL59" i="37"/>
  <c r="BM59" i="37"/>
  <c r="BN59" i="37"/>
  <c r="BO59" i="37"/>
  <c r="D60" i="37"/>
  <c r="F60" i="37"/>
  <c r="G60" i="37"/>
  <c r="H60" i="37"/>
  <c r="I60" i="37"/>
  <c r="K60" i="37"/>
  <c r="L60" i="37"/>
  <c r="N60" i="37"/>
  <c r="O60" i="37"/>
  <c r="P60" i="37"/>
  <c r="Q60" i="37"/>
  <c r="S60" i="37"/>
  <c r="T60" i="37"/>
  <c r="V60" i="37"/>
  <c r="X60" i="37"/>
  <c r="Y60" i="37"/>
  <c r="Z60" i="37"/>
  <c r="AA60" i="37"/>
  <c r="AB60" i="37"/>
  <c r="AC60" i="37"/>
  <c r="AF60" i="37"/>
  <c r="AG60" i="37"/>
  <c r="AH60" i="37"/>
  <c r="AI60" i="37"/>
  <c r="AJ60" i="37"/>
  <c r="AL60" i="37"/>
  <c r="AM60" i="37"/>
  <c r="AN60" i="37"/>
  <c r="AO60" i="37"/>
  <c r="AP60" i="37"/>
  <c r="AQ60" i="37"/>
  <c r="AR60" i="37"/>
  <c r="AS60" i="37"/>
  <c r="AT60" i="37"/>
  <c r="AU60" i="37"/>
  <c r="AV60" i="37"/>
  <c r="AW60" i="37"/>
  <c r="AX60" i="37"/>
  <c r="AY60" i="37"/>
  <c r="BB60" i="37"/>
  <c r="BC60" i="37"/>
  <c r="BD60" i="37"/>
  <c r="BE60" i="37"/>
  <c r="BF60" i="37"/>
  <c r="BG60" i="37"/>
  <c r="BH60" i="37"/>
  <c r="BI60" i="37"/>
  <c r="BJ60" i="37"/>
  <c r="BK60" i="37"/>
  <c r="BL60" i="37"/>
  <c r="BM60" i="37"/>
  <c r="BN60" i="37"/>
  <c r="BO60" i="37"/>
  <c r="D61" i="37"/>
  <c r="F61" i="37"/>
  <c r="G61" i="37"/>
  <c r="H61" i="37"/>
  <c r="I61" i="37"/>
  <c r="K61" i="37"/>
  <c r="L61" i="37"/>
  <c r="N61" i="37"/>
  <c r="O61" i="37"/>
  <c r="P61" i="37"/>
  <c r="Q61" i="37"/>
  <c r="S61" i="37"/>
  <c r="T61" i="37"/>
  <c r="V61" i="37"/>
  <c r="X61" i="37"/>
  <c r="Y61" i="37"/>
  <c r="Z61" i="37"/>
  <c r="AA61" i="37"/>
  <c r="AB61" i="37"/>
  <c r="AC61" i="37"/>
  <c r="AF61" i="37"/>
  <c r="AG61" i="37"/>
  <c r="AH61" i="37"/>
  <c r="AI61" i="37"/>
  <c r="AJ61" i="37"/>
  <c r="AL61" i="37"/>
  <c r="AM61" i="37"/>
  <c r="AN61" i="37"/>
  <c r="AO61" i="37"/>
  <c r="AP61" i="37"/>
  <c r="AQ61" i="37"/>
  <c r="AR61" i="37"/>
  <c r="AS61" i="37"/>
  <c r="AT61" i="37"/>
  <c r="AU61" i="37"/>
  <c r="AV61" i="37"/>
  <c r="AW61" i="37"/>
  <c r="AX61" i="37"/>
  <c r="AY61" i="37"/>
  <c r="BB61" i="37"/>
  <c r="BC61" i="37"/>
  <c r="BD61" i="37"/>
  <c r="BE61" i="37"/>
  <c r="BF61" i="37"/>
  <c r="BG61" i="37"/>
  <c r="BH61" i="37"/>
  <c r="BI61" i="37"/>
  <c r="BJ61" i="37"/>
  <c r="BK61" i="37"/>
  <c r="BL61" i="37"/>
  <c r="BM61" i="37"/>
  <c r="BN61" i="37"/>
  <c r="BO61" i="37"/>
  <c r="D62" i="37"/>
  <c r="F62" i="37"/>
  <c r="G62" i="37"/>
  <c r="H62" i="37"/>
  <c r="I62" i="37"/>
  <c r="K62" i="37"/>
  <c r="L62" i="37"/>
  <c r="N62" i="37"/>
  <c r="O62" i="37"/>
  <c r="P62" i="37"/>
  <c r="Q62" i="37"/>
  <c r="S62" i="37"/>
  <c r="T62" i="37"/>
  <c r="V62" i="37"/>
  <c r="X62" i="37"/>
  <c r="Y62" i="37"/>
  <c r="Z62" i="37"/>
  <c r="AA62" i="37"/>
  <c r="AB62" i="37"/>
  <c r="AC62" i="37"/>
  <c r="AF62" i="37"/>
  <c r="AG62" i="37"/>
  <c r="AH62" i="37"/>
  <c r="AI62" i="37"/>
  <c r="AJ62" i="37"/>
  <c r="AL62" i="37"/>
  <c r="AM62" i="37"/>
  <c r="AN62" i="37"/>
  <c r="AO62" i="37"/>
  <c r="AP62" i="37"/>
  <c r="AQ62" i="37"/>
  <c r="AR62" i="37"/>
  <c r="AS62" i="37"/>
  <c r="AT62" i="37"/>
  <c r="AU62" i="37"/>
  <c r="AV62" i="37"/>
  <c r="AW62" i="37"/>
  <c r="AX62" i="37"/>
  <c r="AY62" i="37"/>
  <c r="BB62" i="37"/>
  <c r="BC62" i="37"/>
  <c r="BD62" i="37"/>
  <c r="BE62" i="37"/>
  <c r="BF62" i="37"/>
  <c r="BG62" i="37"/>
  <c r="BH62" i="37"/>
  <c r="BI62" i="37"/>
  <c r="BJ62" i="37"/>
  <c r="BK62" i="37"/>
  <c r="BL62" i="37"/>
  <c r="BM62" i="37"/>
  <c r="BN62" i="37"/>
  <c r="BO62" i="37"/>
  <c r="D63" i="37"/>
  <c r="F63" i="37"/>
  <c r="G63" i="37"/>
  <c r="H63" i="37"/>
  <c r="I63" i="37"/>
  <c r="K63" i="37"/>
  <c r="L63" i="37"/>
  <c r="N63" i="37"/>
  <c r="O63" i="37"/>
  <c r="P63" i="37"/>
  <c r="Q63" i="37"/>
  <c r="S63" i="37"/>
  <c r="T63" i="37"/>
  <c r="V63" i="37"/>
  <c r="X63" i="37"/>
  <c r="Y63" i="37"/>
  <c r="Z63" i="37"/>
  <c r="AA63" i="37"/>
  <c r="AB63" i="37"/>
  <c r="AC63" i="37"/>
  <c r="AF63" i="37"/>
  <c r="AG63" i="37"/>
  <c r="AH63" i="37"/>
  <c r="AI63" i="37"/>
  <c r="AJ63" i="37"/>
  <c r="AL63" i="37"/>
  <c r="AM63" i="37"/>
  <c r="AN63" i="37"/>
  <c r="AO63" i="37"/>
  <c r="AP63" i="37"/>
  <c r="AQ63" i="37"/>
  <c r="AR63" i="37"/>
  <c r="AS63" i="37"/>
  <c r="AT63" i="37"/>
  <c r="AU63" i="37"/>
  <c r="AV63" i="37"/>
  <c r="AW63" i="37"/>
  <c r="AX63" i="37"/>
  <c r="AY63" i="37"/>
  <c r="BB63" i="37"/>
  <c r="BC63" i="37"/>
  <c r="BD63" i="37"/>
  <c r="BE63" i="37"/>
  <c r="BF63" i="37"/>
  <c r="BG63" i="37"/>
  <c r="BH63" i="37"/>
  <c r="BI63" i="37"/>
  <c r="BJ63" i="37"/>
  <c r="BK63" i="37"/>
  <c r="BL63" i="37"/>
  <c r="BM63" i="37"/>
  <c r="BN63" i="37"/>
  <c r="BO63" i="37"/>
  <c r="D64" i="37"/>
  <c r="F64" i="37"/>
  <c r="G64" i="37"/>
  <c r="H64" i="37"/>
  <c r="I64" i="37"/>
  <c r="K64" i="37"/>
  <c r="L64" i="37"/>
  <c r="N64" i="37"/>
  <c r="O64" i="37"/>
  <c r="P64" i="37"/>
  <c r="Q64" i="37"/>
  <c r="S64" i="37"/>
  <c r="T64" i="37"/>
  <c r="V64" i="37"/>
  <c r="X64" i="37"/>
  <c r="Y64" i="37"/>
  <c r="Z64" i="37"/>
  <c r="AA64" i="37"/>
  <c r="AB64" i="37"/>
  <c r="AC64" i="37"/>
  <c r="AF64" i="37"/>
  <c r="AG64" i="37"/>
  <c r="AH64" i="37"/>
  <c r="AI64" i="37"/>
  <c r="AJ64" i="37"/>
  <c r="AL64" i="37"/>
  <c r="AM64" i="37"/>
  <c r="AN64" i="37"/>
  <c r="AO64" i="37"/>
  <c r="AP64" i="37"/>
  <c r="AQ64" i="37"/>
  <c r="AR64" i="37"/>
  <c r="AS64" i="37"/>
  <c r="AT64" i="37"/>
  <c r="AU64" i="37"/>
  <c r="AV64" i="37"/>
  <c r="AW64" i="37"/>
  <c r="AX64" i="37"/>
  <c r="AY64" i="37"/>
  <c r="BB64" i="37"/>
  <c r="BC64" i="37"/>
  <c r="BD64" i="37"/>
  <c r="BE64" i="37"/>
  <c r="BF64" i="37"/>
  <c r="BG64" i="37"/>
  <c r="BH64" i="37"/>
  <c r="BI64" i="37"/>
  <c r="BJ64" i="37"/>
  <c r="BK64" i="37"/>
  <c r="BL64" i="37"/>
  <c r="BM64" i="37"/>
  <c r="BN64" i="37"/>
  <c r="BO64" i="37"/>
  <c r="D65" i="37"/>
  <c r="F65" i="37"/>
  <c r="G65" i="37"/>
  <c r="H65" i="37"/>
  <c r="I65" i="37"/>
  <c r="K65" i="37"/>
  <c r="L65" i="37"/>
  <c r="N65" i="37"/>
  <c r="O65" i="37"/>
  <c r="P65" i="37"/>
  <c r="Q65" i="37"/>
  <c r="S65" i="37"/>
  <c r="T65" i="37"/>
  <c r="V65" i="37"/>
  <c r="X65" i="37"/>
  <c r="Y65" i="37"/>
  <c r="Z65" i="37"/>
  <c r="AA65" i="37"/>
  <c r="AB65" i="37"/>
  <c r="AC65" i="37"/>
  <c r="AF65" i="37"/>
  <c r="AG65" i="37"/>
  <c r="AH65" i="37"/>
  <c r="AI65" i="37"/>
  <c r="AJ65" i="37"/>
  <c r="AL65" i="37"/>
  <c r="AM65" i="37"/>
  <c r="AN65" i="37"/>
  <c r="AO65" i="37"/>
  <c r="AP65" i="37"/>
  <c r="AQ65" i="37"/>
  <c r="AR65" i="37"/>
  <c r="AS65" i="37"/>
  <c r="AT65" i="37"/>
  <c r="AU65" i="37"/>
  <c r="AV65" i="37"/>
  <c r="AW65" i="37"/>
  <c r="AX65" i="37"/>
  <c r="AY65" i="37"/>
  <c r="BB65" i="37"/>
  <c r="BC65" i="37"/>
  <c r="BD65" i="37"/>
  <c r="BE65" i="37"/>
  <c r="BF65" i="37"/>
  <c r="BG65" i="37"/>
  <c r="BH65" i="37"/>
  <c r="BI65" i="37"/>
  <c r="BJ65" i="37"/>
  <c r="BK65" i="37"/>
  <c r="BL65" i="37"/>
  <c r="BM65" i="37"/>
  <c r="BN65" i="37"/>
  <c r="BO65" i="37"/>
  <c r="D66" i="37"/>
  <c r="F66" i="37"/>
  <c r="G66" i="37"/>
  <c r="H66" i="37"/>
  <c r="I66" i="37"/>
  <c r="K66" i="37"/>
  <c r="L66" i="37"/>
  <c r="N66" i="37"/>
  <c r="O66" i="37"/>
  <c r="P66" i="37"/>
  <c r="Q66" i="37"/>
  <c r="S66" i="37"/>
  <c r="T66" i="37"/>
  <c r="V66" i="37"/>
  <c r="X66" i="37"/>
  <c r="Y66" i="37"/>
  <c r="Z66" i="37"/>
  <c r="AA66" i="37"/>
  <c r="AB66" i="37"/>
  <c r="AC66" i="37"/>
  <c r="AF66" i="37"/>
  <c r="AG66" i="37"/>
  <c r="AH66" i="37"/>
  <c r="AI66" i="37"/>
  <c r="AJ66" i="37"/>
  <c r="AL66" i="37"/>
  <c r="AM66" i="37"/>
  <c r="AN66" i="37"/>
  <c r="AO66" i="37"/>
  <c r="AP66" i="37"/>
  <c r="AQ66" i="37"/>
  <c r="AR66" i="37"/>
  <c r="AS66" i="37"/>
  <c r="AT66" i="37"/>
  <c r="AU66" i="37"/>
  <c r="AV66" i="37"/>
  <c r="AW66" i="37"/>
  <c r="AX66" i="37"/>
  <c r="AY66" i="37"/>
  <c r="BB66" i="37"/>
  <c r="BC66" i="37"/>
  <c r="BD66" i="37"/>
  <c r="BE66" i="37"/>
  <c r="BF66" i="37"/>
  <c r="BG66" i="37"/>
  <c r="BH66" i="37"/>
  <c r="BI66" i="37"/>
  <c r="BJ66" i="37"/>
  <c r="BK66" i="37"/>
  <c r="BL66" i="37"/>
  <c r="BM66" i="37"/>
  <c r="BN66" i="37"/>
  <c r="BO66" i="37"/>
  <c r="D67" i="37"/>
  <c r="F67" i="37"/>
  <c r="G67" i="37"/>
  <c r="H67" i="37"/>
  <c r="I67" i="37"/>
  <c r="K67" i="37"/>
  <c r="L67" i="37"/>
  <c r="N67" i="37"/>
  <c r="O67" i="37"/>
  <c r="P67" i="37"/>
  <c r="Q67" i="37"/>
  <c r="S67" i="37"/>
  <c r="T67" i="37"/>
  <c r="V67" i="37"/>
  <c r="X67" i="37"/>
  <c r="Y67" i="37"/>
  <c r="Z67" i="37"/>
  <c r="AA67" i="37"/>
  <c r="AB67" i="37"/>
  <c r="AC67" i="37"/>
  <c r="AF67" i="37"/>
  <c r="AG67" i="37"/>
  <c r="AH67" i="37"/>
  <c r="AI67" i="37"/>
  <c r="AJ67" i="37"/>
  <c r="AL67" i="37"/>
  <c r="AM67" i="37"/>
  <c r="AN67" i="37"/>
  <c r="AO67" i="37"/>
  <c r="AP67" i="37"/>
  <c r="AQ67" i="37"/>
  <c r="AR67" i="37"/>
  <c r="AS67" i="37"/>
  <c r="AT67" i="37"/>
  <c r="AU67" i="37"/>
  <c r="AV67" i="37"/>
  <c r="AW67" i="37"/>
  <c r="AX67" i="37"/>
  <c r="AY67" i="37"/>
  <c r="BB67" i="37"/>
  <c r="BC67" i="37"/>
  <c r="BD67" i="37"/>
  <c r="BE67" i="37"/>
  <c r="BF67" i="37"/>
  <c r="BG67" i="37"/>
  <c r="BH67" i="37"/>
  <c r="BI67" i="37"/>
  <c r="BJ67" i="37"/>
  <c r="BK67" i="37"/>
  <c r="BL67" i="37"/>
  <c r="BM67" i="37"/>
  <c r="BN67" i="37"/>
  <c r="BO67" i="37"/>
  <c r="D68" i="37"/>
  <c r="F68" i="37"/>
  <c r="G68" i="37"/>
  <c r="H68" i="37"/>
  <c r="I68" i="37"/>
  <c r="K68" i="37"/>
  <c r="L68" i="37"/>
  <c r="N68" i="37"/>
  <c r="O68" i="37"/>
  <c r="P68" i="37"/>
  <c r="Q68" i="37"/>
  <c r="S68" i="37"/>
  <c r="T68" i="37"/>
  <c r="V68" i="37"/>
  <c r="X68" i="37"/>
  <c r="Y68" i="37"/>
  <c r="Z68" i="37"/>
  <c r="AA68" i="37"/>
  <c r="AB68" i="37"/>
  <c r="AC68" i="37"/>
  <c r="AF68" i="37"/>
  <c r="AG68" i="37"/>
  <c r="AH68" i="37"/>
  <c r="AI68" i="37"/>
  <c r="AJ68" i="37"/>
  <c r="AL68" i="37"/>
  <c r="AM68" i="37"/>
  <c r="AN68" i="37"/>
  <c r="AO68" i="37"/>
  <c r="AP68" i="37"/>
  <c r="AQ68" i="37"/>
  <c r="AR68" i="37"/>
  <c r="AS68" i="37"/>
  <c r="AT68" i="37"/>
  <c r="AU68" i="37"/>
  <c r="AV68" i="37"/>
  <c r="AW68" i="37"/>
  <c r="AX68" i="37"/>
  <c r="AY68" i="37"/>
  <c r="BB68" i="37"/>
  <c r="BC68" i="37"/>
  <c r="BD68" i="37"/>
  <c r="BE68" i="37"/>
  <c r="BF68" i="37"/>
  <c r="BG68" i="37"/>
  <c r="BH68" i="37"/>
  <c r="BI68" i="37"/>
  <c r="BJ68" i="37"/>
  <c r="BK68" i="37"/>
  <c r="BL68" i="37"/>
  <c r="BM68" i="37"/>
  <c r="BN68" i="37"/>
  <c r="BO68" i="37"/>
  <c r="D69" i="37"/>
  <c r="F69" i="37"/>
  <c r="G69" i="37"/>
  <c r="H69" i="37"/>
  <c r="I69" i="37"/>
  <c r="K69" i="37"/>
  <c r="L69" i="37"/>
  <c r="N69" i="37"/>
  <c r="O69" i="37"/>
  <c r="P69" i="37"/>
  <c r="Q69" i="37"/>
  <c r="S69" i="37"/>
  <c r="T69" i="37"/>
  <c r="V69" i="37"/>
  <c r="X69" i="37"/>
  <c r="Y69" i="37"/>
  <c r="Z69" i="37"/>
  <c r="AA69" i="37"/>
  <c r="AB69" i="37"/>
  <c r="AC69" i="37"/>
  <c r="AF69" i="37"/>
  <c r="AG69" i="37"/>
  <c r="AH69" i="37"/>
  <c r="AI69" i="37"/>
  <c r="AJ69" i="37"/>
  <c r="AL69" i="37"/>
  <c r="AM69" i="37"/>
  <c r="AN69" i="37"/>
  <c r="AO69" i="37"/>
  <c r="AP69" i="37"/>
  <c r="AQ69" i="37"/>
  <c r="AR69" i="37"/>
  <c r="AS69" i="37"/>
  <c r="AT69" i="37"/>
  <c r="AU69" i="37"/>
  <c r="AV69" i="37"/>
  <c r="AW69" i="37"/>
  <c r="AX69" i="37"/>
  <c r="AY69" i="37"/>
  <c r="BB69" i="37"/>
  <c r="BC69" i="37"/>
  <c r="BD69" i="37"/>
  <c r="BE69" i="37"/>
  <c r="BF69" i="37"/>
  <c r="BG69" i="37"/>
  <c r="BH69" i="37"/>
  <c r="BI69" i="37"/>
  <c r="BJ69" i="37"/>
  <c r="BK69" i="37"/>
  <c r="BL69" i="37"/>
  <c r="BM69" i="37"/>
  <c r="BN69" i="37"/>
  <c r="BO69" i="37"/>
  <c r="D70" i="37"/>
  <c r="F70" i="37"/>
  <c r="G70" i="37"/>
  <c r="H70" i="37"/>
  <c r="I70" i="37"/>
  <c r="K70" i="37"/>
  <c r="L70" i="37"/>
  <c r="N70" i="37"/>
  <c r="O70" i="37"/>
  <c r="P70" i="37"/>
  <c r="Q70" i="37"/>
  <c r="S70" i="37"/>
  <c r="T70" i="37"/>
  <c r="V70" i="37"/>
  <c r="X70" i="37"/>
  <c r="Y70" i="37"/>
  <c r="Z70" i="37"/>
  <c r="AA70" i="37"/>
  <c r="AB70" i="37"/>
  <c r="AC70" i="37"/>
  <c r="AF70" i="37"/>
  <c r="AG70" i="37"/>
  <c r="AH70" i="37"/>
  <c r="AI70" i="37"/>
  <c r="AJ70" i="37"/>
  <c r="AL70" i="37"/>
  <c r="AM70" i="37"/>
  <c r="AN70" i="37"/>
  <c r="AO70" i="37"/>
  <c r="AP70" i="37"/>
  <c r="AQ70" i="37"/>
  <c r="AR70" i="37"/>
  <c r="AS70" i="37"/>
  <c r="AT70" i="37"/>
  <c r="AU70" i="37"/>
  <c r="AV70" i="37"/>
  <c r="AW70" i="37"/>
  <c r="AX70" i="37"/>
  <c r="AY70" i="37"/>
  <c r="BB70" i="37"/>
  <c r="BC70" i="37"/>
  <c r="BD70" i="37"/>
  <c r="BE70" i="37"/>
  <c r="BF70" i="37"/>
  <c r="BG70" i="37"/>
  <c r="BH70" i="37"/>
  <c r="BI70" i="37"/>
  <c r="BJ70" i="37"/>
  <c r="BK70" i="37"/>
  <c r="BL70" i="37"/>
  <c r="BM70" i="37"/>
  <c r="BN70" i="37"/>
  <c r="BO70" i="37"/>
  <c r="D71" i="37"/>
  <c r="F71" i="37"/>
  <c r="G71" i="37"/>
  <c r="H71" i="37"/>
  <c r="I71" i="37"/>
  <c r="K71" i="37"/>
  <c r="L71" i="37"/>
  <c r="N71" i="37"/>
  <c r="O71" i="37"/>
  <c r="P71" i="37"/>
  <c r="Q71" i="37"/>
  <c r="S71" i="37"/>
  <c r="T71" i="37"/>
  <c r="V71" i="37"/>
  <c r="X71" i="37"/>
  <c r="Y71" i="37"/>
  <c r="Z71" i="37"/>
  <c r="AA71" i="37"/>
  <c r="AB71" i="37"/>
  <c r="AC71" i="37"/>
  <c r="AF71" i="37"/>
  <c r="AG71" i="37"/>
  <c r="AH71" i="37"/>
  <c r="AI71" i="37"/>
  <c r="AJ71" i="37"/>
  <c r="AL71" i="37"/>
  <c r="AM71" i="37"/>
  <c r="AN71" i="37"/>
  <c r="AO71" i="37"/>
  <c r="AP71" i="37"/>
  <c r="AQ71" i="37"/>
  <c r="AR71" i="37"/>
  <c r="AS71" i="37"/>
  <c r="AT71" i="37"/>
  <c r="AU71" i="37"/>
  <c r="AV71" i="37"/>
  <c r="AW71" i="37"/>
  <c r="AX71" i="37"/>
  <c r="AY71" i="37"/>
  <c r="BB71" i="37"/>
  <c r="BC71" i="37"/>
  <c r="BD71" i="37"/>
  <c r="BE71" i="37"/>
  <c r="BF71" i="37"/>
  <c r="BG71" i="37"/>
  <c r="BH71" i="37"/>
  <c r="BI71" i="37"/>
  <c r="BJ71" i="37"/>
  <c r="BK71" i="37"/>
  <c r="BL71" i="37"/>
  <c r="BM71" i="37"/>
  <c r="BN71" i="37"/>
  <c r="BO71" i="37"/>
  <c r="D72" i="37"/>
  <c r="F72" i="37"/>
  <c r="G72" i="37"/>
  <c r="H72" i="37"/>
  <c r="I72" i="37"/>
  <c r="K72" i="37"/>
  <c r="L72" i="37"/>
  <c r="N72" i="37"/>
  <c r="O72" i="37"/>
  <c r="P72" i="37"/>
  <c r="Q72" i="37"/>
  <c r="S72" i="37"/>
  <c r="T72" i="37"/>
  <c r="V72" i="37"/>
  <c r="X72" i="37"/>
  <c r="Y72" i="37"/>
  <c r="Z72" i="37"/>
  <c r="AA72" i="37"/>
  <c r="AB72" i="37"/>
  <c r="AC72" i="37"/>
  <c r="AF72" i="37"/>
  <c r="AG72" i="37"/>
  <c r="AH72" i="37"/>
  <c r="AI72" i="37"/>
  <c r="AJ72" i="37"/>
  <c r="AL72" i="37"/>
  <c r="AM72" i="37"/>
  <c r="AN72" i="37"/>
  <c r="AO72" i="37"/>
  <c r="AP72" i="37"/>
  <c r="AQ72" i="37"/>
  <c r="AR72" i="37"/>
  <c r="AS72" i="37"/>
  <c r="AT72" i="37"/>
  <c r="AU72" i="37"/>
  <c r="AV72" i="37"/>
  <c r="AW72" i="37"/>
  <c r="AX72" i="37"/>
  <c r="AY72" i="37"/>
  <c r="BB72" i="37"/>
  <c r="BC72" i="37"/>
  <c r="BD72" i="37"/>
  <c r="BE72" i="37"/>
  <c r="BF72" i="37"/>
  <c r="BG72" i="37"/>
  <c r="BH72" i="37"/>
  <c r="BI72" i="37"/>
  <c r="BJ72" i="37"/>
  <c r="BK72" i="37"/>
  <c r="BL72" i="37"/>
  <c r="BM72" i="37"/>
  <c r="BN72" i="37"/>
  <c r="BO72" i="37"/>
  <c r="D73" i="37"/>
  <c r="F73" i="37"/>
  <c r="G73" i="37"/>
  <c r="H73" i="37"/>
  <c r="I73" i="37"/>
  <c r="K73" i="37"/>
  <c r="L73" i="37"/>
  <c r="N73" i="37"/>
  <c r="O73" i="37"/>
  <c r="P73" i="37"/>
  <c r="Q73" i="37"/>
  <c r="S73" i="37"/>
  <c r="T73" i="37"/>
  <c r="V73" i="37"/>
  <c r="X73" i="37"/>
  <c r="Y73" i="37"/>
  <c r="Z73" i="37"/>
  <c r="AA73" i="37"/>
  <c r="AB73" i="37"/>
  <c r="AC73" i="37"/>
  <c r="AF73" i="37"/>
  <c r="AG73" i="37"/>
  <c r="AH73" i="37"/>
  <c r="AI73" i="37"/>
  <c r="AJ73" i="37"/>
  <c r="AL73" i="37"/>
  <c r="AM73" i="37"/>
  <c r="AN73" i="37"/>
  <c r="AO73" i="37"/>
  <c r="AP73" i="37"/>
  <c r="AQ73" i="37"/>
  <c r="AR73" i="37"/>
  <c r="AS73" i="37"/>
  <c r="AT73" i="37"/>
  <c r="AU73" i="37"/>
  <c r="AV73" i="37"/>
  <c r="AW73" i="37"/>
  <c r="AX73" i="37"/>
  <c r="AY73" i="37"/>
  <c r="BB73" i="37"/>
  <c r="BC73" i="37"/>
  <c r="BD73" i="37"/>
  <c r="BE73" i="37"/>
  <c r="BF73" i="37"/>
  <c r="BG73" i="37"/>
  <c r="BH73" i="37"/>
  <c r="BI73" i="37"/>
  <c r="BJ73" i="37"/>
  <c r="BK73" i="37"/>
  <c r="BL73" i="37"/>
  <c r="BM73" i="37"/>
  <c r="BN73" i="37"/>
  <c r="BO73" i="37"/>
  <c r="D74" i="37"/>
  <c r="F74" i="37"/>
  <c r="G74" i="37"/>
  <c r="H74" i="37"/>
  <c r="I74" i="37"/>
  <c r="K74" i="37"/>
  <c r="L74" i="37"/>
  <c r="N74" i="37"/>
  <c r="O74" i="37"/>
  <c r="P74" i="37"/>
  <c r="Q74" i="37"/>
  <c r="S74" i="37"/>
  <c r="T74" i="37"/>
  <c r="V74" i="37"/>
  <c r="X74" i="37"/>
  <c r="Y74" i="37"/>
  <c r="Z74" i="37"/>
  <c r="AA74" i="37"/>
  <c r="AB74" i="37"/>
  <c r="AC74" i="37"/>
  <c r="AF74" i="37"/>
  <c r="AG74" i="37"/>
  <c r="AH74" i="37"/>
  <c r="AI74" i="37"/>
  <c r="AJ74" i="37"/>
  <c r="AL74" i="37"/>
  <c r="AM74" i="37"/>
  <c r="AN74" i="37"/>
  <c r="AO74" i="37"/>
  <c r="AP74" i="37"/>
  <c r="AQ74" i="37"/>
  <c r="AR74" i="37"/>
  <c r="AS74" i="37"/>
  <c r="AT74" i="37"/>
  <c r="AU74" i="37"/>
  <c r="AV74" i="37"/>
  <c r="AW74" i="37"/>
  <c r="AX74" i="37"/>
  <c r="AY74" i="37"/>
  <c r="BB74" i="37"/>
  <c r="BC74" i="37"/>
  <c r="BD74" i="37"/>
  <c r="BE74" i="37"/>
  <c r="BF74" i="37"/>
  <c r="BG74" i="37"/>
  <c r="BH74" i="37"/>
  <c r="BI74" i="37"/>
  <c r="BJ74" i="37"/>
  <c r="BK74" i="37"/>
  <c r="BL74" i="37"/>
  <c r="BM74" i="37"/>
  <c r="BN74" i="37"/>
  <c r="BO74" i="37"/>
  <c r="D75" i="37"/>
  <c r="F75" i="37"/>
  <c r="G75" i="37"/>
  <c r="H75" i="37"/>
  <c r="I75" i="37"/>
  <c r="K75" i="37"/>
  <c r="L75" i="37"/>
  <c r="N75" i="37"/>
  <c r="O75" i="37"/>
  <c r="P75" i="37"/>
  <c r="Q75" i="37"/>
  <c r="S75" i="37"/>
  <c r="T75" i="37"/>
  <c r="V75" i="37"/>
  <c r="X75" i="37"/>
  <c r="Y75" i="37"/>
  <c r="Z75" i="37"/>
  <c r="AA75" i="37"/>
  <c r="AB75" i="37"/>
  <c r="AC75" i="37"/>
  <c r="AF75" i="37"/>
  <c r="AG75" i="37"/>
  <c r="AH75" i="37"/>
  <c r="AI75" i="37"/>
  <c r="AJ75" i="37"/>
  <c r="AL75" i="37"/>
  <c r="AM75" i="37"/>
  <c r="AN75" i="37"/>
  <c r="AO75" i="37"/>
  <c r="AP75" i="37"/>
  <c r="AQ75" i="37"/>
  <c r="AR75" i="37"/>
  <c r="AS75" i="37"/>
  <c r="AT75" i="37"/>
  <c r="AU75" i="37"/>
  <c r="AV75" i="37"/>
  <c r="AW75" i="37"/>
  <c r="AX75" i="37"/>
  <c r="AY75" i="37"/>
  <c r="BB75" i="37"/>
  <c r="BC75" i="37"/>
  <c r="BD75" i="37"/>
  <c r="BE75" i="37"/>
  <c r="BF75" i="37"/>
  <c r="BG75" i="37"/>
  <c r="BH75" i="37"/>
  <c r="BI75" i="37"/>
  <c r="BJ75" i="37"/>
  <c r="BK75" i="37"/>
  <c r="BL75" i="37"/>
  <c r="BM75" i="37"/>
  <c r="BN75" i="37"/>
  <c r="BO75" i="37"/>
  <c r="D76" i="37"/>
  <c r="F76" i="37"/>
  <c r="G76" i="37"/>
  <c r="H76" i="37"/>
  <c r="I76" i="37"/>
  <c r="K76" i="37"/>
  <c r="L76" i="37"/>
  <c r="N76" i="37"/>
  <c r="O76" i="37"/>
  <c r="P76" i="37"/>
  <c r="Q76" i="37"/>
  <c r="S76" i="37"/>
  <c r="T76" i="37"/>
  <c r="V76" i="37"/>
  <c r="X76" i="37"/>
  <c r="Y76" i="37"/>
  <c r="Z76" i="37"/>
  <c r="AA76" i="37"/>
  <c r="AB76" i="37"/>
  <c r="AC76" i="37"/>
  <c r="AF76" i="37"/>
  <c r="AG76" i="37"/>
  <c r="AH76" i="37"/>
  <c r="AI76" i="37"/>
  <c r="AJ76" i="37"/>
  <c r="AL76" i="37"/>
  <c r="AM76" i="37"/>
  <c r="AN76" i="37"/>
  <c r="AO76" i="37"/>
  <c r="AP76" i="37"/>
  <c r="AQ76" i="37"/>
  <c r="AR76" i="37"/>
  <c r="AS76" i="37"/>
  <c r="AT76" i="37"/>
  <c r="AU76" i="37"/>
  <c r="AV76" i="37"/>
  <c r="AW76" i="37"/>
  <c r="AX76" i="37"/>
  <c r="AY76" i="37"/>
  <c r="BB76" i="37"/>
  <c r="BC76" i="37"/>
  <c r="BD76" i="37"/>
  <c r="BE76" i="37"/>
  <c r="BF76" i="37"/>
  <c r="BG76" i="37"/>
  <c r="BH76" i="37"/>
  <c r="BI76" i="37"/>
  <c r="BJ76" i="37"/>
  <c r="BK76" i="37"/>
  <c r="BL76" i="37"/>
  <c r="BM76" i="37"/>
  <c r="BN76" i="37"/>
  <c r="BO76" i="37"/>
  <c r="D77" i="37"/>
  <c r="F77" i="37"/>
  <c r="G77" i="37"/>
  <c r="H77" i="37"/>
  <c r="I77" i="37"/>
  <c r="K77" i="37"/>
  <c r="L77" i="37"/>
  <c r="N77" i="37"/>
  <c r="O77" i="37"/>
  <c r="P77" i="37"/>
  <c r="Q77" i="37"/>
  <c r="S77" i="37"/>
  <c r="T77" i="37"/>
  <c r="V77" i="37"/>
  <c r="X77" i="37"/>
  <c r="Y77" i="37"/>
  <c r="Z77" i="37"/>
  <c r="AA77" i="37"/>
  <c r="AB77" i="37"/>
  <c r="AC77" i="37"/>
  <c r="AF77" i="37"/>
  <c r="AG77" i="37"/>
  <c r="AH77" i="37"/>
  <c r="AI77" i="37"/>
  <c r="AJ77" i="37"/>
  <c r="AL77" i="37"/>
  <c r="AM77" i="37"/>
  <c r="AN77" i="37"/>
  <c r="AO77" i="37"/>
  <c r="AP77" i="37"/>
  <c r="AQ77" i="37"/>
  <c r="AR77" i="37"/>
  <c r="AS77" i="37"/>
  <c r="AT77" i="37"/>
  <c r="AU77" i="37"/>
  <c r="AV77" i="37"/>
  <c r="AW77" i="37"/>
  <c r="AX77" i="37"/>
  <c r="AY77" i="37"/>
  <c r="BB77" i="37"/>
  <c r="BC77" i="37"/>
  <c r="BD77" i="37"/>
  <c r="BE77" i="37"/>
  <c r="BF77" i="37"/>
  <c r="BG77" i="37"/>
  <c r="BH77" i="37"/>
  <c r="BI77" i="37"/>
  <c r="BJ77" i="37"/>
  <c r="BK77" i="37"/>
  <c r="BL77" i="37"/>
  <c r="BM77" i="37"/>
  <c r="BN77" i="37"/>
  <c r="BO77" i="37"/>
  <c r="D78" i="37"/>
  <c r="F78" i="37"/>
  <c r="G78" i="37"/>
  <c r="H78" i="37"/>
  <c r="I78" i="37"/>
  <c r="K78" i="37"/>
  <c r="L78" i="37"/>
  <c r="N78" i="37"/>
  <c r="O78" i="37"/>
  <c r="P78" i="37"/>
  <c r="Q78" i="37"/>
  <c r="S78" i="37"/>
  <c r="T78" i="37"/>
  <c r="V78" i="37"/>
  <c r="X78" i="37"/>
  <c r="Y78" i="37"/>
  <c r="Z78" i="37"/>
  <c r="AA78" i="37"/>
  <c r="AB78" i="37"/>
  <c r="AC78" i="37"/>
  <c r="AF78" i="37"/>
  <c r="AG78" i="37"/>
  <c r="AH78" i="37"/>
  <c r="AI78" i="37"/>
  <c r="AJ78" i="37"/>
  <c r="AL78" i="37"/>
  <c r="AM78" i="37"/>
  <c r="AN78" i="37"/>
  <c r="AO78" i="37"/>
  <c r="AP78" i="37"/>
  <c r="AQ78" i="37"/>
  <c r="AR78" i="37"/>
  <c r="AS78" i="37"/>
  <c r="AT78" i="37"/>
  <c r="AU78" i="37"/>
  <c r="AV78" i="37"/>
  <c r="AW78" i="37"/>
  <c r="AX78" i="37"/>
  <c r="AY78" i="37"/>
  <c r="BB78" i="37"/>
  <c r="BC78" i="37"/>
  <c r="BD78" i="37"/>
  <c r="BE78" i="37"/>
  <c r="BF78" i="37"/>
  <c r="BG78" i="37"/>
  <c r="BH78" i="37"/>
  <c r="BI78" i="37"/>
  <c r="BJ78" i="37"/>
  <c r="BK78" i="37"/>
  <c r="BL78" i="37"/>
  <c r="BM78" i="37"/>
  <c r="BN78" i="37"/>
  <c r="BO78" i="37"/>
  <c r="D79" i="37"/>
  <c r="F79" i="37"/>
  <c r="G79" i="37"/>
  <c r="H79" i="37"/>
  <c r="I79" i="37"/>
  <c r="K79" i="37"/>
  <c r="L79" i="37"/>
  <c r="N79" i="37"/>
  <c r="O79" i="37"/>
  <c r="P79" i="37"/>
  <c r="Q79" i="37"/>
  <c r="S79" i="37"/>
  <c r="T79" i="37"/>
  <c r="V79" i="37"/>
  <c r="X79" i="37"/>
  <c r="Y79" i="37"/>
  <c r="Z79" i="37"/>
  <c r="AA79" i="37"/>
  <c r="AB79" i="37"/>
  <c r="AC79" i="37"/>
  <c r="AF79" i="37"/>
  <c r="AG79" i="37"/>
  <c r="AH79" i="37"/>
  <c r="AI79" i="37"/>
  <c r="AJ79" i="37"/>
  <c r="AL79" i="37"/>
  <c r="AM79" i="37"/>
  <c r="AN79" i="37"/>
  <c r="AO79" i="37"/>
  <c r="AP79" i="37"/>
  <c r="AQ79" i="37"/>
  <c r="AR79" i="37"/>
  <c r="AS79" i="37"/>
  <c r="AT79" i="37"/>
  <c r="AU79" i="37"/>
  <c r="AV79" i="37"/>
  <c r="AW79" i="37"/>
  <c r="AX79" i="37"/>
  <c r="AY79" i="37"/>
  <c r="BB79" i="37"/>
  <c r="BC79" i="37"/>
  <c r="BD79" i="37"/>
  <c r="BE79" i="37"/>
  <c r="BF79" i="37"/>
  <c r="BG79" i="37"/>
  <c r="BH79" i="37"/>
  <c r="BI79" i="37"/>
  <c r="BJ79" i="37"/>
  <c r="BK79" i="37"/>
  <c r="BL79" i="37"/>
  <c r="BM79" i="37"/>
  <c r="BN79" i="37"/>
  <c r="BO79" i="37"/>
  <c r="D80" i="37"/>
  <c r="F80" i="37"/>
  <c r="G80" i="37"/>
  <c r="H80" i="37"/>
  <c r="I80" i="37"/>
  <c r="K80" i="37"/>
  <c r="L80" i="37"/>
  <c r="N80" i="37"/>
  <c r="O80" i="37"/>
  <c r="P80" i="37"/>
  <c r="Q80" i="37"/>
  <c r="S80" i="37"/>
  <c r="T80" i="37"/>
  <c r="V80" i="37"/>
  <c r="X80" i="37"/>
  <c r="Y80" i="37"/>
  <c r="Z80" i="37"/>
  <c r="AA80" i="37"/>
  <c r="AB80" i="37"/>
  <c r="AC80" i="37"/>
  <c r="AF80" i="37"/>
  <c r="AG80" i="37"/>
  <c r="AH80" i="37"/>
  <c r="AI80" i="37"/>
  <c r="AJ80" i="37"/>
  <c r="AL80" i="37"/>
  <c r="AM80" i="37"/>
  <c r="AN80" i="37"/>
  <c r="AO80" i="37"/>
  <c r="AP80" i="37"/>
  <c r="AQ80" i="37"/>
  <c r="AR80" i="37"/>
  <c r="AS80" i="37"/>
  <c r="AT80" i="37"/>
  <c r="AU80" i="37"/>
  <c r="AV80" i="37"/>
  <c r="AW80" i="37"/>
  <c r="AX80" i="37"/>
  <c r="AY80" i="37"/>
  <c r="BB80" i="37"/>
  <c r="BC80" i="37"/>
  <c r="BD80" i="37"/>
  <c r="BE80" i="37"/>
  <c r="BF80" i="37"/>
  <c r="BG80" i="37"/>
  <c r="BH80" i="37"/>
  <c r="BI80" i="37"/>
  <c r="BJ80" i="37"/>
  <c r="BK80" i="37"/>
  <c r="BL80" i="37"/>
  <c r="BM80" i="37"/>
  <c r="BN80" i="37"/>
  <c r="BO80" i="37"/>
  <c r="D81" i="37"/>
  <c r="F81" i="37"/>
  <c r="G81" i="37"/>
  <c r="H81" i="37"/>
  <c r="I81" i="37"/>
  <c r="K81" i="37"/>
  <c r="L81" i="37"/>
  <c r="N81" i="37"/>
  <c r="O81" i="37"/>
  <c r="P81" i="37"/>
  <c r="Q81" i="37"/>
  <c r="S81" i="37"/>
  <c r="T81" i="37"/>
  <c r="V81" i="37"/>
  <c r="X81" i="37"/>
  <c r="Y81" i="37"/>
  <c r="Z81" i="37"/>
  <c r="AA81" i="37"/>
  <c r="AB81" i="37"/>
  <c r="AC81" i="37"/>
  <c r="AF81" i="37"/>
  <c r="AG81" i="37"/>
  <c r="AH81" i="37"/>
  <c r="AI81" i="37"/>
  <c r="AJ81" i="37"/>
  <c r="AL81" i="37"/>
  <c r="AM81" i="37"/>
  <c r="AN81" i="37"/>
  <c r="AO81" i="37"/>
  <c r="AP81" i="37"/>
  <c r="AQ81" i="37"/>
  <c r="AR81" i="37"/>
  <c r="AS81" i="37"/>
  <c r="AT81" i="37"/>
  <c r="AU81" i="37"/>
  <c r="AV81" i="37"/>
  <c r="AW81" i="37"/>
  <c r="AX81" i="37"/>
  <c r="AY81" i="37"/>
  <c r="BB81" i="37"/>
  <c r="BC81" i="37"/>
  <c r="BD81" i="37"/>
  <c r="BE81" i="37"/>
  <c r="BF81" i="37"/>
  <c r="BG81" i="37"/>
  <c r="BH81" i="37"/>
  <c r="BI81" i="37"/>
  <c r="BJ81" i="37"/>
  <c r="BK81" i="37"/>
  <c r="BL81" i="37"/>
  <c r="BM81" i="37"/>
  <c r="BN81" i="37"/>
  <c r="BO81" i="37"/>
  <c r="D82" i="37"/>
  <c r="F82" i="37"/>
  <c r="G82" i="37"/>
  <c r="H82" i="37"/>
  <c r="I82" i="37"/>
  <c r="K82" i="37"/>
  <c r="L82" i="37"/>
  <c r="N82" i="37"/>
  <c r="O82" i="37"/>
  <c r="P82" i="37"/>
  <c r="Q82" i="37"/>
  <c r="S82" i="37"/>
  <c r="T82" i="37"/>
  <c r="V82" i="37"/>
  <c r="X82" i="37"/>
  <c r="Y82" i="37"/>
  <c r="Z82" i="37"/>
  <c r="AA82" i="37"/>
  <c r="AB82" i="37"/>
  <c r="AC82" i="37"/>
  <c r="AF82" i="37"/>
  <c r="AG82" i="37"/>
  <c r="AH82" i="37"/>
  <c r="AI82" i="37"/>
  <c r="AJ82" i="37"/>
  <c r="AL82" i="37"/>
  <c r="AM82" i="37"/>
  <c r="AN82" i="37"/>
  <c r="AO82" i="37"/>
  <c r="AP82" i="37"/>
  <c r="AQ82" i="37"/>
  <c r="AR82" i="37"/>
  <c r="AS82" i="37"/>
  <c r="AT82" i="37"/>
  <c r="AU82" i="37"/>
  <c r="AV82" i="37"/>
  <c r="AW82" i="37"/>
  <c r="AX82" i="37"/>
  <c r="AY82" i="37"/>
  <c r="BB82" i="37"/>
  <c r="BC82" i="37"/>
  <c r="BD82" i="37"/>
  <c r="BE82" i="37"/>
  <c r="BF82" i="37"/>
  <c r="BG82" i="37"/>
  <c r="BH82" i="37"/>
  <c r="BI82" i="37"/>
  <c r="BJ82" i="37"/>
  <c r="BK82" i="37"/>
  <c r="BL82" i="37"/>
  <c r="BM82" i="37"/>
  <c r="BN82" i="37"/>
  <c r="BO82" i="37"/>
  <c r="D83" i="37"/>
  <c r="F83" i="37"/>
  <c r="G83" i="37"/>
  <c r="H83" i="37"/>
  <c r="I83" i="37"/>
  <c r="K83" i="37"/>
  <c r="L83" i="37"/>
  <c r="N83" i="37"/>
  <c r="O83" i="37"/>
  <c r="P83" i="37"/>
  <c r="Q83" i="37"/>
  <c r="S83" i="37"/>
  <c r="T83" i="37"/>
  <c r="V83" i="37"/>
  <c r="X83" i="37"/>
  <c r="Y83" i="37"/>
  <c r="Z83" i="37"/>
  <c r="AA83" i="37"/>
  <c r="AB83" i="37"/>
  <c r="AC83" i="37"/>
  <c r="AF83" i="37"/>
  <c r="AG83" i="37"/>
  <c r="AH83" i="37"/>
  <c r="AI83" i="37"/>
  <c r="AJ83" i="37"/>
  <c r="AL83" i="37"/>
  <c r="AM83" i="37"/>
  <c r="AN83" i="37"/>
  <c r="AO83" i="37"/>
  <c r="AP83" i="37"/>
  <c r="AQ83" i="37"/>
  <c r="AR83" i="37"/>
  <c r="AS83" i="37"/>
  <c r="AT83" i="37"/>
  <c r="AU83" i="37"/>
  <c r="AV83" i="37"/>
  <c r="AW83" i="37"/>
  <c r="AX83" i="37"/>
  <c r="AY83" i="37"/>
  <c r="BB83" i="37"/>
  <c r="BC83" i="37"/>
  <c r="BD83" i="37"/>
  <c r="BE83" i="37"/>
  <c r="BF83" i="37"/>
  <c r="BG83" i="37"/>
  <c r="BH83" i="37"/>
  <c r="BI83" i="37"/>
  <c r="BJ83" i="37"/>
  <c r="BK83" i="37"/>
  <c r="BL83" i="37"/>
  <c r="BM83" i="37"/>
  <c r="BN83" i="37"/>
  <c r="BO83" i="37"/>
  <c r="D84" i="37"/>
  <c r="F84" i="37"/>
  <c r="G84" i="37"/>
  <c r="H84" i="37"/>
  <c r="I84" i="37"/>
  <c r="K84" i="37"/>
  <c r="L84" i="37"/>
  <c r="N84" i="37"/>
  <c r="O84" i="37"/>
  <c r="P84" i="37"/>
  <c r="Q84" i="37"/>
  <c r="S84" i="37"/>
  <c r="T84" i="37"/>
  <c r="V84" i="37"/>
  <c r="X84" i="37"/>
  <c r="Y84" i="37"/>
  <c r="Z84" i="37"/>
  <c r="AA84" i="37"/>
  <c r="AB84" i="37"/>
  <c r="AC84" i="37"/>
  <c r="AF84" i="37"/>
  <c r="AG84" i="37"/>
  <c r="AH84" i="37"/>
  <c r="AI84" i="37"/>
  <c r="AJ84" i="37"/>
  <c r="AL84" i="37"/>
  <c r="AM84" i="37"/>
  <c r="AN84" i="37"/>
  <c r="AO84" i="37"/>
  <c r="AP84" i="37"/>
  <c r="AQ84" i="37"/>
  <c r="AR84" i="37"/>
  <c r="AS84" i="37"/>
  <c r="AT84" i="37"/>
  <c r="AU84" i="37"/>
  <c r="AV84" i="37"/>
  <c r="AW84" i="37"/>
  <c r="AX84" i="37"/>
  <c r="AY84" i="37"/>
  <c r="BB84" i="37"/>
  <c r="BC84" i="37"/>
  <c r="BD84" i="37"/>
  <c r="BE84" i="37"/>
  <c r="BF84" i="37"/>
  <c r="BG84" i="37"/>
  <c r="BH84" i="37"/>
  <c r="BI84" i="37"/>
  <c r="BJ84" i="37"/>
  <c r="BK84" i="37"/>
  <c r="BL84" i="37"/>
  <c r="BM84" i="37"/>
  <c r="BN84" i="37"/>
  <c r="BO84" i="37"/>
  <c r="D85" i="37"/>
  <c r="F85" i="37"/>
  <c r="G85" i="37"/>
  <c r="H85" i="37"/>
  <c r="I85" i="37"/>
  <c r="K85" i="37"/>
  <c r="L85" i="37"/>
  <c r="N85" i="37"/>
  <c r="O85" i="37"/>
  <c r="P85" i="37"/>
  <c r="Q85" i="37"/>
  <c r="S85" i="37"/>
  <c r="T85" i="37"/>
  <c r="V85" i="37"/>
  <c r="X85" i="37"/>
  <c r="Y85" i="37"/>
  <c r="Z85" i="37"/>
  <c r="AA85" i="37"/>
  <c r="AB85" i="37"/>
  <c r="AC85" i="37"/>
  <c r="AF85" i="37"/>
  <c r="AG85" i="37"/>
  <c r="AH85" i="37"/>
  <c r="AI85" i="37"/>
  <c r="AJ85" i="37"/>
  <c r="AL85" i="37"/>
  <c r="AM85" i="37"/>
  <c r="AN85" i="37"/>
  <c r="AO85" i="37"/>
  <c r="AP85" i="37"/>
  <c r="AQ85" i="37"/>
  <c r="AR85" i="37"/>
  <c r="AS85" i="37"/>
  <c r="AT85" i="37"/>
  <c r="AU85" i="37"/>
  <c r="AV85" i="37"/>
  <c r="AW85" i="37"/>
  <c r="AX85" i="37"/>
  <c r="AY85" i="37"/>
  <c r="BB85" i="37"/>
  <c r="BC85" i="37"/>
  <c r="BD85" i="37"/>
  <c r="BE85" i="37"/>
  <c r="BF85" i="37"/>
  <c r="BG85" i="37"/>
  <c r="BH85" i="37"/>
  <c r="BI85" i="37"/>
  <c r="BJ85" i="37"/>
  <c r="BK85" i="37"/>
  <c r="BL85" i="37"/>
  <c r="BM85" i="37"/>
  <c r="BN85" i="37"/>
  <c r="BO85" i="37"/>
  <c r="D86" i="37"/>
  <c r="F86" i="37"/>
  <c r="G86" i="37"/>
  <c r="H86" i="37"/>
  <c r="I86" i="37"/>
  <c r="K86" i="37"/>
  <c r="L86" i="37"/>
  <c r="N86" i="37"/>
  <c r="O86" i="37"/>
  <c r="P86" i="37"/>
  <c r="Q86" i="37"/>
  <c r="S86" i="37"/>
  <c r="T86" i="37"/>
  <c r="V86" i="37"/>
  <c r="X86" i="37"/>
  <c r="Y86" i="37"/>
  <c r="Z86" i="37"/>
  <c r="AA86" i="37"/>
  <c r="AB86" i="37"/>
  <c r="AC86" i="37"/>
  <c r="AF86" i="37"/>
  <c r="AG86" i="37"/>
  <c r="AH86" i="37"/>
  <c r="AI86" i="37"/>
  <c r="AJ86" i="37"/>
  <c r="AL86" i="37"/>
  <c r="AM86" i="37"/>
  <c r="AN86" i="37"/>
  <c r="AO86" i="37"/>
  <c r="AP86" i="37"/>
  <c r="AQ86" i="37"/>
  <c r="AR86" i="37"/>
  <c r="AS86" i="37"/>
  <c r="AT86" i="37"/>
  <c r="AU86" i="37"/>
  <c r="AV86" i="37"/>
  <c r="AW86" i="37"/>
  <c r="AX86" i="37"/>
  <c r="AY86" i="37"/>
  <c r="BB86" i="37"/>
  <c r="BC86" i="37"/>
  <c r="BD86" i="37"/>
  <c r="BE86" i="37"/>
  <c r="BF86" i="37"/>
  <c r="BG86" i="37"/>
  <c r="BH86" i="37"/>
  <c r="BI86" i="37"/>
  <c r="BJ86" i="37"/>
  <c r="BK86" i="37"/>
  <c r="BL86" i="37"/>
  <c r="BM86" i="37"/>
  <c r="BN86" i="37"/>
  <c r="BO86" i="37"/>
  <c r="D87" i="37"/>
  <c r="F87" i="37"/>
  <c r="G87" i="37"/>
  <c r="H87" i="37"/>
  <c r="I87" i="37"/>
  <c r="K87" i="37"/>
  <c r="L87" i="37"/>
  <c r="N87" i="37"/>
  <c r="O87" i="37"/>
  <c r="P87" i="37"/>
  <c r="Q87" i="37"/>
  <c r="S87" i="37"/>
  <c r="T87" i="37"/>
  <c r="V87" i="37"/>
  <c r="X87" i="37"/>
  <c r="Y87" i="37"/>
  <c r="Z87" i="37"/>
  <c r="AA87" i="37"/>
  <c r="AB87" i="37"/>
  <c r="AC87" i="37"/>
  <c r="AF87" i="37"/>
  <c r="AG87" i="37"/>
  <c r="AH87" i="37"/>
  <c r="AI87" i="37"/>
  <c r="AJ87" i="37"/>
  <c r="AL87" i="37"/>
  <c r="AM87" i="37"/>
  <c r="AN87" i="37"/>
  <c r="AO87" i="37"/>
  <c r="AP87" i="37"/>
  <c r="AQ87" i="37"/>
  <c r="AR87" i="37"/>
  <c r="AS87" i="37"/>
  <c r="AT87" i="37"/>
  <c r="AU87" i="37"/>
  <c r="AV87" i="37"/>
  <c r="AW87" i="37"/>
  <c r="AX87" i="37"/>
  <c r="AY87" i="37"/>
  <c r="BB87" i="37"/>
  <c r="BC87" i="37"/>
  <c r="BD87" i="37"/>
  <c r="BE87" i="37"/>
  <c r="BF87" i="37"/>
  <c r="BG87" i="37"/>
  <c r="BH87" i="37"/>
  <c r="BI87" i="37"/>
  <c r="BJ87" i="37"/>
  <c r="BK87" i="37"/>
  <c r="BL87" i="37"/>
  <c r="BM87" i="37"/>
  <c r="BN87" i="37"/>
  <c r="BO87" i="37"/>
  <c r="D88" i="37"/>
  <c r="F88" i="37"/>
  <c r="G88" i="37"/>
  <c r="H88" i="37"/>
  <c r="I88" i="37"/>
  <c r="K88" i="37"/>
  <c r="L88" i="37"/>
  <c r="N88" i="37"/>
  <c r="O88" i="37"/>
  <c r="P88" i="37"/>
  <c r="Q88" i="37"/>
  <c r="S88" i="37"/>
  <c r="T88" i="37"/>
  <c r="V88" i="37"/>
  <c r="X88" i="37"/>
  <c r="Y88" i="37"/>
  <c r="Z88" i="37"/>
  <c r="AA88" i="37"/>
  <c r="AB88" i="37"/>
  <c r="AC88" i="37"/>
  <c r="AF88" i="37"/>
  <c r="AG88" i="37"/>
  <c r="AH88" i="37"/>
  <c r="AI88" i="37"/>
  <c r="AJ88" i="37"/>
  <c r="AL88" i="37"/>
  <c r="AM88" i="37"/>
  <c r="AN88" i="37"/>
  <c r="AO88" i="37"/>
  <c r="AP88" i="37"/>
  <c r="AQ88" i="37"/>
  <c r="AR88" i="37"/>
  <c r="AS88" i="37"/>
  <c r="AT88" i="37"/>
  <c r="AU88" i="37"/>
  <c r="AV88" i="37"/>
  <c r="AW88" i="37"/>
  <c r="AX88" i="37"/>
  <c r="AY88" i="37"/>
  <c r="BB88" i="37"/>
  <c r="BC88" i="37"/>
  <c r="BD88" i="37"/>
  <c r="BE88" i="37"/>
  <c r="BF88" i="37"/>
  <c r="BG88" i="37"/>
  <c r="BH88" i="37"/>
  <c r="BI88" i="37"/>
  <c r="BJ88" i="37"/>
  <c r="BK88" i="37"/>
  <c r="BL88" i="37"/>
  <c r="BM88" i="37"/>
  <c r="BN88" i="37"/>
  <c r="BO88" i="37"/>
  <c r="D89" i="37"/>
  <c r="F89" i="37"/>
  <c r="G89" i="37"/>
  <c r="H89" i="37"/>
  <c r="I89" i="37"/>
  <c r="K89" i="37"/>
  <c r="L89" i="37"/>
  <c r="N89" i="37"/>
  <c r="O89" i="37"/>
  <c r="P89" i="37"/>
  <c r="Q89" i="37"/>
  <c r="S89" i="37"/>
  <c r="T89" i="37"/>
  <c r="V89" i="37"/>
  <c r="X89" i="37"/>
  <c r="Y89" i="37"/>
  <c r="Z89" i="37"/>
  <c r="AA89" i="37"/>
  <c r="AB89" i="37"/>
  <c r="AC89" i="37"/>
  <c r="AF89" i="37"/>
  <c r="AG89" i="37"/>
  <c r="AH89" i="37"/>
  <c r="AI89" i="37"/>
  <c r="AJ89" i="37"/>
  <c r="AL89" i="37"/>
  <c r="AM89" i="37"/>
  <c r="AN89" i="37"/>
  <c r="AO89" i="37"/>
  <c r="AP89" i="37"/>
  <c r="AQ89" i="37"/>
  <c r="AR89" i="37"/>
  <c r="AS89" i="37"/>
  <c r="AT89" i="37"/>
  <c r="AU89" i="37"/>
  <c r="AV89" i="37"/>
  <c r="AW89" i="37"/>
  <c r="AX89" i="37"/>
  <c r="AY89" i="37"/>
  <c r="BB89" i="37"/>
  <c r="BC89" i="37"/>
  <c r="BD89" i="37"/>
  <c r="BE89" i="37"/>
  <c r="BF89" i="37"/>
  <c r="BG89" i="37"/>
  <c r="BH89" i="37"/>
  <c r="BI89" i="37"/>
  <c r="BJ89" i="37"/>
  <c r="BK89" i="37"/>
  <c r="BL89" i="37"/>
  <c r="BM89" i="37"/>
  <c r="BN89" i="37"/>
  <c r="BO89" i="37"/>
  <c r="F1" i="38"/>
  <c r="AV1" i="38"/>
  <c r="A2" i="38"/>
  <c r="F2" i="38"/>
  <c r="G2" i="38"/>
  <c r="N2" i="38"/>
  <c r="AV2" i="38"/>
  <c r="AW2" i="38"/>
  <c r="AX2" i="38"/>
  <c r="AY2" i="38"/>
  <c r="BW2" i="38"/>
  <c r="BX2" i="38"/>
  <c r="BY2" i="38"/>
  <c r="BZ2" i="38"/>
  <c r="CA2" i="38"/>
  <c r="CB2" i="38"/>
  <c r="CC2" i="38"/>
  <c r="CD2" i="38"/>
  <c r="CE2" i="38"/>
  <c r="CF2" i="38"/>
  <c r="CG2" i="38"/>
  <c r="CH2" i="38"/>
  <c r="CI2" i="38"/>
  <c r="CJ2" i="38"/>
  <c r="CK2" i="38"/>
  <c r="CL2" i="38"/>
  <c r="CM2" i="38"/>
  <c r="CN2" i="38"/>
  <c r="CO2" i="38"/>
  <c r="CP2" i="38"/>
  <c r="CQ2" i="38"/>
  <c r="CR2" i="38"/>
  <c r="CS2" i="38"/>
  <c r="CT2" i="38"/>
  <c r="CU2" i="38"/>
  <c r="CV2" i="38"/>
  <c r="CW2" i="38"/>
  <c r="CX2" i="38"/>
  <c r="A3" i="38"/>
  <c r="AH3" i="38"/>
  <c r="AK3" i="38"/>
  <c r="AV3" i="38"/>
  <c r="AW3" i="38"/>
  <c r="AX3" i="38"/>
  <c r="AY3" i="38"/>
  <c r="A4" i="38"/>
  <c r="N4" i="38"/>
  <c r="P4" i="38"/>
  <c r="T4" i="38"/>
  <c r="V4" i="38"/>
  <c r="W4" i="38"/>
  <c r="AH4" i="38"/>
  <c r="AK4" i="38"/>
  <c r="AM4" i="38"/>
  <c r="AN4" i="38"/>
  <c r="AO4" i="38"/>
  <c r="AP4" i="38"/>
  <c r="AQ4" i="38"/>
  <c r="AR4" i="38"/>
  <c r="AS4" i="38"/>
  <c r="AT4" i="38"/>
  <c r="AV4" i="38"/>
  <c r="AW4" i="38"/>
  <c r="AX4" i="38"/>
  <c r="AY4" i="38"/>
  <c r="A5" i="38"/>
  <c r="G5" i="38"/>
  <c r="N5" i="38"/>
  <c r="P5" i="38"/>
  <c r="T5" i="38"/>
  <c r="V5" i="38"/>
  <c r="W5" i="38"/>
  <c r="AH5" i="38"/>
  <c r="AK5" i="38"/>
  <c r="AM5" i="38"/>
  <c r="AN5" i="38"/>
  <c r="AO5" i="38"/>
  <c r="AP5" i="38"/>
  <c r="AQ5" i="38"/>
  <c r="AR5" i="38"/>
  <c r="AS5" i="38"/>
  <c r="AT5" i="38"/>
  <c r="AV5" i="38"/>
  <c r="AW5" i="38"/>
  <c r="AX5" i="38"/>
  <c r="AY5" i="38"/>
  <c r="BV5" i="38"/>
  <c r="A6" i="38"/>
  <c r="N6" i="38"/>
  <c r="P6" i="38"/>
  <c r="T6" i="38"/>
  <c r="V6" i="38"/>
  <c r="W6" i="38"/>
  <c r="AH6" i="38"/>
  <c r="AK6" i="38"/>
  <c r="AM6" i="38"/>
  <c r="AN6" i="38"/>
  <c r="AO6" i="38"/>
  <c r="AP6" i="38"/>
  <c r="AQ6" i="38"/>
  <c r="AR6" i="38"/>
  <c r="AS6" i="38"/>
  <c r="AT6" i="38"/>
  <c r="A7" i="38"/>
  <c r="G7" i="38"/>
  <c r="N7" i="38"/>
  <c r="N7" i="38" a="1"/>
  <c r="P7" i="38"/>
  <c r="T7" i="38"/>
  <c r="AH7" i="38"/>
  <c r="AK7" i="38"/>
  <c r="AM7" i="38"/>
  <c r="AN7" i="38"/>
  <c r="AO7" i="38"/>
  <c r="AP7" i="38"/>
  <c r="AQ7" i="38"/>
  <c r="AR7" i="38"/>
  <c r="AS7" i="38"/>
  <c r="AT7" i="38"/>
  <c r="AV7" i="38"/>
  <c r="AW7" i="38"/>
  <c r="AX7" i="38"/>
  <c r="AY7" i="38"/>
  <c r="G8" i="38"/>
  <c r="N8" i="38"/>
  <c r="N8" i="38" a="1"/>
  <c r="P8" i="38"/>
  <c r="T8" i="38"/>
  <c r="V8" i="38"/>
  <c r="W8" i="38"/>
  <c r="Y8" i="38"/>
  <c r="Z8" i="38"/>
  <c r="AH8" i="38"/>
  <c r="AK8" i="38"/>
  <c r="AM8" i="38"/>
  <c r="AN8" i="38"/>
  <c r="AO8" i="38"/>
  <c r="AP8" i="38"/>
  <c r="AQ8" i="38"/>
  <c r="AR8" i="38"/>
  <c r="AS8" i="38"/>
  <c r="AT8" i="38"/>
  <c r="AV8" i="38"/>
  <c r="AW8" i="38"/>
  <c r="AX8" i="38"/>
  <c r="AY8" i="38"/>
  <c r="N9" i="38"/>
  <c r="N9" i="38" a="1"/>
  <c r="P9" i="38"/>
  <c r="AK9" i="38"/>
  <c r="AM9" i="38"/>
  <c r="AN9" i="38"/>
  <c r="AO9" i="38"/>
  <c r="AP9" i="38"/>
  <c r="AQ9" i="38"/>
  <c r="AR9" i="38"/>
  <c r="AS9" i="38"/>
  <c r="AT9" i="38"/>
  <c r="AV9" i="38"/>
  <c r="AW9" i="38"/>
  <c r="AX9" i="38"/>
  <c r="AY9" i="38"/>
  <c r="K10" i="38"/>
  <c r="N10" i="38"/>
  <c r="P10" i="38"/>
  <c r="AH10" i="38"/>
  <c r="AM10" i="38"/>
  <c r="AN10" i="38"/>
  <c r="AO10" i="38"/>
  <c r="AP10" i="38"/>
  <c r="AQ10" i="38"/>
  <c r="AR10" i="38"/>
  <c r="AS10" i="38"/>
  <c r="AT10" i="38"/>
  <c r="AV10" i="38"/>
  <c r="AW10" i="38"/>
  <c r="AX10" i="38"/>
  <c r="AY10" i="38"/>
  <c r="D11" i="38"/>
  <c r="K11" i="38"/>
  <c r="N11" i="38"/>
  <c r="P11" i="38"/>
  <c r="AM11" i="38"/>
  <c r="AN11" i="38"/>
  <c r="AO11" i="38"/>
  <c r="AP11" i="38"/>
  <c r="AQ11" i="38"/>
  <c r="AR11" i="38"/>
  <c r="AS11" i="38"/>
  <c r="AT11" i="38"/>
  <c r="AV11" i="38"/>
  <c r="AW11" i="38"/>
  <c r="AX11" i="38"/>
  <c r="AY11" i="38"/>
  <c r="D12" i="38"/>
  <c r="N12" i="38"/>
  <c r="P12" i="38"/>
  <c r="AH12" i="38"/>
  <c r="AM12" i="38"/>
  <c r="AN12" i="38"/>
  <c r="AO12" i="38"/>
  <c r="AP12" i="38"/>
  <c r="AQ12" i="38"/>
  <c r="AR12" i="38"/>
  <c r="AS12" i="38"/>
  <c r="AT12" i="38"/>
  <c r="AV12" i="38"/>
  <c r="AW12" i="38"/>
  <c r="AX12" i="38"/>
  <c r="AY12" i="38"/>
  <c r="N13" i="38"/>
  <c r="P13" i="38"/>
  <c r="AH13" i="38"/>
  <c r="AM13" i="38"/>
  <c r="AN13" i="38"/>
  <c r="AO13" i="38"/>
  <c r="AP13" i="38"/>
  <c r="AQ13" i="38"/>
  <c r="AR13" i="38"/>
  <c r="AS13" i="38"/>
  <c r="AT13" i="38"/>
  <c r="AV13" i="38"/>
  <c r="AW13" i="38"/>
  <c r="AX13" i="38"/>
  <c r="AY13" i="38"/>
  <c r="N14" i="38"/>
  <c r="P14" i="38"/>
  <c r="S14" i="38"/>
  <c r="T14" i="38"/>
  <c r="AM14" i="38"/>
  <c r="AN14" i="38"/>
  <c r="AO14" i="38"/>
  <c r="AP14" i="38"/>
  <c r="AQ14" i="38"/>
  <c r="AR14" i="38"/>
  <c r="AS14" i="38"/>
  <c r="AT14" i="38"/>
  <c r="AV14" i="38"/>
  <c r="AW14" i="38"/>
  <c r="AX14" i="38"/>
  <c r="AY14" i="38"/>
  <c r="N15" i="38"/>
  <c r="P15" i="38"/>
  <c r="AM15" i="38"/>
  <c r="AN15" i="38"/>
  <c r="AO15" i="38"/>
  <c r="AP15" i="38"/>
  <c r="AQ15" i="38"/>
  <c r="AR15" i="38"/>
  <c r="AS15" i="38"/>
  <c r="AT15" i="38"/>
  <c r="AV15" i="38"/>
  <c r="AW15" i="38"/>
  <c r="AX15" i="38"/>
  <c r="AY15" i="38"/>
  <c r="N16" i="38"/>
  <c r="P16" i="38"/>
  <c r="AV16" i="38"/>
  <c r="AW16" i="38"/>
  <c r="AX16" i="38"/>
  <c r="AY16" i="38"/>
  <c r="N17" i="38"/>
  <c r="P17" i="38"/>
  <c r="AV17" i="38"/>
  <c r="AW17" i="38"/>
  <c r="AX17" i="38"/>
  <c r="AY17" i="38"/>
  <c r="N18" i="38"/>
  <c r="P18" i="38"/>
  <c r="AX18" i="38"/>
  <c r="AY18" i="38"/>
  <c r="N19" i="38"/>
  <c r="P19" i="38"/>
  <c r="S20" i="38"/>
  <c r="T20" i="38"/>
  <c r="AM20" i="38"/>
  <c r="AO20" i="38"/>
  <c r="AV20" i="38"/>
  <c r="AW20" i="38"/>
  <c r="AX20" i="38"/>
  <c r="AY20" i="38"/>
  <c r="D22" i="38"/>
  <c r="F22" i="38"/>
  <c r="G22" i="38"/>
  <c r="H22" i="38"/>
  <c r="I22" i="38"/>
  <c r="K22" i="38"/>
  <c r="L22" i="38"/>
  <c r="N22" i="38"/>
  <c r="O22" i="38"/>
  <c r="P22" i="38"/>
  <c r="Q22" i="38"/>
  <c r="S22" i="38"/>
  <c r="T22" i="38"/>
  <c r="V22" i="38"/>
  <c r="X22" i="38"/>
  <c r="Y22" i="38"/>
  <c r="Z22" i="38"/>
  <c r="AA22" i="38"/>
  <c r="AB22" i="38"/>
  <c r="AC22" i="38"/>
  <c r="AF22" i="38"/>
  <c r="AG22" i="38"/>
  <c r="AH22" i="38"/>
  <c r="AI22" i="38"/>
  <c r="AJ22" i="38"/>
  <c r="AL22" i="38"/>
  <c r="AM22" i="38"/>
  <c r="AN22" i="38"/>
  <c r="AO22" i="38"/>
  <c r="AP22" i="38"/>
  <c r="AQ22" i="38"/>
  <c r="AR22" i="38"/>
  <c r="AS22" i="38"/>
  <c r="AT22" i="38"/>
  <c r="AU22" i="38"/>
  <c r="AV22" i="38"/>
  <c r="AW22" i="38"/>
  <c r="AX22" i="38"/>
  <c r="AY22" i="38"/>
  <c r="BB22" i="38"/>
  <c r="BC22" i="38"/>
  <c r="BD22" i="38"/>
  <c r="BE22" i="38"/>
  <c r="BF22" i="38"/>
  <c r="BG22" i="38"/>
  <c r="BH22" i="38"/>
  <c r="BI22" i="38"/>
  <c r="BJ22" i="38"/>
  <c r="BK22" i="38"/>
  <c r="BL22" i="38"/>
  <c r="BM22" i="38"/>
  <c r="BN22" i="38"/>
  <c r="BO22" i="38"/>
  <c r="D23" i="38"/>
  <c r="F23" i="38"/>
  <c r="G23" i="38"/>
  <c r="H23" i="38"/>
  <c r="I23" i="38"/>
  <c r="K23" i="38"/>
  <c r="L23" i="38"/>
  <c r="N23" i="38"/>
  <c r="O23" i="38"/>
  <c r="P23" i="38"/>
  <c r="Q23" i="38"/>
  <c r="S23" i="38"/>
  <c r="T23" i="38"/>
  <c r="V23" i="38"/>
  <c r="X23" i="38"/>
  <c r="Y23" i="38"/>
  <c r="Z23" i="38"/>
  <c r="AA23" i="38"/>
  <c r="AB23" i="38"/>
  <c r="AC23" i="38"/>
  <c r="AF23" i="38"/>
  <c r="AG23" i="38"/>
  <c r="AH23" i="38"/>
  <c r="AI23" i="38"/>
  <c r="AJ23" i="38"/>
  <c r="AL23" i="38"/>
  <c r="AM23" i="38"/>
  <c r="AN23" i="38"/>
  <c r="AO23" i="38"/>
  <c r="AP23" i="38"/>
  <c r="AQ23" i="38"/>
  <c r="AR23" i="38"/>
  <c r="AS23" i="38"/>
  <c r="AT23" i="38"/>
  <c r="AU23" i="38"/>
  <c r="AV23" i="38"/>
  <c r="AW23" i="38"/>
  <c r="AX23" i="38"/>
  <c r="AY23" i="38"/>
  <c r="BB23" i="38"/>
  <c r="BC23" i="38"/>
  <c r="BD23" i="38"/>
  <c r="BE23" i="38"/>
  <c r="BF23" i="38"/>
  <c r="BG23" i="38"/>
  <c r="BH23" i="38"/>
  <c r="BI23" i="38"/>
  <c r="BJ23" i="38"/>
  <c r="BK23" i="38"/>
  <c r="BL23" i="38"/>
  <c r="BM23" i="38"/>
  <c r="BN23" i="38"/>
  <c r="BO23" i="38"/>
  <c r="D24" i="38"/>
  <c r="F24" i="38"/>
  <c r="G24" i="38"/>
  <c r="H24" i="38"/>
  <c r="I24" i="38"/>
  <c r="K24" i="38"/>
  <c r="L24" i="38"/>
  <c r="N24" i="38"/>
  <c r="O24" i="38"/>
  <c r="P24" i="38"/>
  <c r="Q24" i="38"/>
  <c r="S24" i="38"/>
  <c r="T24" i="38"/>
  <c r="V24" i="38"/>
  <c r="X24" i="38"/>
  <c r="Y24" i="38"/>
  <c r="Z24" i="38"/>
  <c r="AA24" i="38"/>
  <c r="AB24" i="38"/>
  <c r="AC24" i="38"/>
  <c r="AF24" i="38"/>
  <c r="AG24" i="38"/>
  <c r="AH24" i="38"/>
  <c r="AI24" i="38"/>
  <c r="AJ24" i="38"/>
  <c r="AL24" i="38"/>
  <c r="AM24" i="38"/>
  <c r="AN24" i="38"/>
  <c r="AO24" i="38"/>
  <c r="AP24" i="38"/>
  <c r="AQ24" i="38"/>
  <c r="AR24" i="38"/>
  <c r="AS24" i="38"/>
  <c r="AT24" i="38"/>
  <c r="AU24" i="38"/>
  <c r="AV24" i="38"/>
  <c r="AW24" i="38"/>
  <c r="AX24" i="38"/>
  <c r="AY24" i="38"/>
  <c r="BB24" i="38"/>
  <c r="BC24" i="38"/>
  <c r="BD24" i="38"/>
  <c r="BE24" i="38"/>
  <c r="BF24" i="38"/>
  <c r="BG24" i="38"/>
  <c r="BH24" i="38"/>
  <c r="BI24" i="38"/>
  <c r="BJ24" i="38"/>
  <c r="BK24" i="38"/>
  <c r="BL24" i="38"/>
  <c r="BM24" i="38"/>
  <c r="BN24" i="38"/>
  <c r="BO24" i="38"/>
  <c r="D25" i="38"/>
  <c r="F25" i="38"/>
  <c r="G25" i="38"/>
  <c r="H25" i="38"/>
  <c r="I25" i="38"/>
  <c r="K25" i="38"/>
  <c r="L25" i="38"/>
  <c r="N25" i="38"/>
  <c r="O25" i="38"/>
  <c r="P25" i="38"/>
  <c r="Q25" i="38"/>
  <c r="S25" i="38"/>
  <c r="T25" i="38"/>
  <c r="V25" i="38"/>
  <c r="X25" i="38"/>
  <c r="Y25" i="38"/>
  <c r="Z25" i="38"/>
  <c r="AA25" i="38"/>
  <c r="AB25" i="38"/>
  <c r="AC25" i="38"/>
  <c r="AF25" i="38"/>
  <c r="AG25" i="38"/>
  <c r="AH25" i="38"/>
  <c r="AI25" i="38"/>
  <c r="AJ25" i="38"/>
  <c r="AL25" i="38"/>
  <c r="AM25" i="38"/>
  <c r="AN25" i="38"/>
  <c r="AO25" i="38"/>
  <c r="AP25" i="38"/>
  <c r="AQ25" i="38"/>
  <c r="AR25" i="38"/>
  <c r="AS25" i="38"/>
  <c r="AT25" i="38"/>
  <c r="AU25" i="38"/>
  <c r="AV25" i="38"/>
  <c r="AW25" i="38"/>
  <c r="AX25" i="38"/>
  <c r="AY25" i="38"/>
  <c r="BB25" i="38"/>
  <c r="BC25" i="38"/>
  <c r="BD25" i="38"/>
  <c r="BE25" i="38"/>
  <c r="BF25" i="38"/>
  <c r="BG25" i="38"/>
  <c r="BH25" i="38"/>
  <c r="BI25" i="38"/>
  <c r="BJ25" i="38"/>
  <c r="BK25" i="38"/>
  <c r="BL25" i="38"/>
  <c r="BM25" i="38"/>
  <c r="BN25" i="38"/>
  <c r="BO25" i="38"/>
  <c r="D26" i="38"/>
  <c r="F26" i="38"/>
  <c r="G26" i="38"/>
  <c r="H26" i="38"/>
  <c r="I26" i="38"/>
  <c r="K26" i="38"/>
  <c r="L26" i="38"/>
  <c r="N26" i="38"/>
  <c r="O26" i="38"/>
  <c r="P26" i="38"/>
  <c r="Q26" i="38"/>
  <c r="S26" i="38"/>
  <c r="T26" i="38"/>
  <c r="V26" i="38"/>
  <c r="X26" i="38"/>
  <c r="Y26" i="38"/>
  <c r="Z26" i="38"/>
  <c r="AA26" i="38"/>
  <c r="AB26" i="38"/>
  <c r="AC26" i="38"/>
  <c r="AF26" i="38"/>
  <c r="AG26" i="38"/>
  <c r="AH26" i="38"/>
  <c r="AI26" i="38"/>
  <c r="AJ26" i="38"/>
  <c r="AL26" i="38"/>
  <c r="AM26" i="38"/>
  <c r="AN26" i="38"/>
  <c r="AO26" i="38"/>
  <c r="AP26" i="38"/>
  <c r="AQ26" i="38"/>
  <c r="AR26" i="38"/>
  <c r="AS26" i="38"/>
  <c r="AT26" i="38"/>
  <c r="AU26" i="38"/>
  <c r="AV26" i="38"/>
  <c r="AW26" i="38"/>
  <c r="AX26" i="38"/>
  <c r="AY26" i="38"/>
  <c r="BB26" i="38"/>
  <c r="BC26" i="38"/>
  <c r="BD26" i="38"/>
  <c r="BE26" i="38"/>
  <c r="BF26" i="38"/>
  <c r="BG26" i="38"/>
  <c r="BH26" i="38"/>
  <c r="BI26" i="38"/>
  <c r="BJ26" i="38"/>
  <c r="BK26" i="38"/>
  <c r="BL26" i="38"/>
  <c r="BM26" i="38"/>
  <c r="BN26" i="38"/>
  <c r="BO26" i="38"/>
  <c r="D27" i="38"/>
  <c r="F27" i="38"/>
  <c r="G27" i="38"/>
  <c r="H27" i="38"/>
  <c r="I27" i="38"/>
  <c r="K27" i="38"/>
  <c r="L27" i="38"/>
  <c r="N27" i="38"/>
  <c r="O27" i="38"/>
  <c r="P27" i="38"/>
  <c r="Q27" i="38"/>
  <c r="S27" i="38"/>
  <c r="T27" i="38"/>
  <c r="V27" i="38"/>
  <c r="X27" i="38"/>
  <c r="Y27" i="38"/>
  <c r="Z27" i="38"/>
  <c r="AA27" i="38"/>
  <c r="AB27" i="38"/>
  <c r="AC27" i="38"/>
  <c r="AF27" i="38"/>
  <c r="AG27" i="38"/>
  <c r="AH27" i="38"/>
  <c r="AI27" i="38"/>
  <c r="AJ27" i="38"/>
  <c r="AL27" i="38"/>
  <c r="AM27" i="38"/>
  <c r="AN27" i="38"/>
  <c r="AO27" i="38"/>
  <c r="AP27" i="38"/>
  <c r="AQ27" i="38"/>
  <c r="AR27" i="38"/>
  <c r="AS27" i="38"/>
  <c r="AT27" i="38"/>
  <c r="AU27" i="38"/>
  <c r="AV27" i="38"/>
  <c r="AW27" i="38"/>
  <c r="AX27" i="38"/>
  <c r="AY27" i="38"/>
  <c r="BB27" i="38"/>
  <c r="BC27" i="38"/>
  <c r="BD27" i="38"/>
  <c r="BE27" i="38"/>
  <c r="BF27" i="38"/>
  <c r="BG27" i="38"/>
  <c r="BH27" i="38"/>
  <c r="BI27" i="38"/>
  <c r="BJ27" i="38"/>
  <c r="BK27" i="38"/>
  <c r="BL27" i="38"/>
  <c r="BM27" i="38"/>
  <c r="BN27" i="38"/>
  <c r="BO27" i="38"/>
  <c r="D28" i="38"/>
  <c r="F28" i="38"/>
  <c r="G28" i="38"/>
  <c r="H28" i="38"/>
  <c r="I28" i="38"/>
  <c r="K28" i="38"/>
  <c r="L28" i="38"/>
  <c r="N28" i="38"/>
  <c r="O28" i="38"/>
  <c r="P28" i="38"/>
  <c r="Q28" i="38"/>
  <c r="S28" i="38"/>
  <c r="T28" i="38"/>
  <c r="V28" i="38"/>
  <c r="X28" i="38"/>
  <c r="Y28" i="38"/>
  <c r="Z28" i="38"/>
  <c r="AA28" i="38"/>
  <c r="AB28" i="38"/>
  <c r="AC28" i="38"/>
  <c r="AF28" i="38"/>
  <c r="AG28" i="38"/>
  <c r="AH28" i="38"/>
  <c r="AI28" i="38"/>
  <c r="AJ28" i="38"/>
  <c r="AL28" i="38"/>
  <c r="AM28" i="38"/>
  <c r="AN28" i="38"/>
  <c r="AO28" i="38"/>
  <c r="AP28" i="38"/>
  <c r="AQ28" i="38"/>
  <c r="AR28" i="38"/>
  <c r="AS28" i="38"/>
  <c r="AT28" i="38"/>
  <c r="AU28" i="38"/>
  <c r="AV28" i="38"/>
  <c r="AW28" i="38"/>
  <c r="AX28" i="38"/>
  <c r="AY28" i="38"/>
  <c r="BB28" i="38"/>
  <c r="BC28" i="38"/>
  <c r="BD28" i="38"/>
  <c r="BE28" i="38"/>
  <c r="BF28" i="38"/>
  <c r="BG28" i="38"/>
  <c r="BH28" i="38"/>
  <c r="BI28" i="38"/>
  <c r="BJ28" i="38"/>
  <c r="BK28" i="38"/>
  <c r="BL28" i="38"/>
  <c r="BM28" i="38"/>
  <c r="BN28" i="38"/>
  <c r="BO28" i="38"/>
  <c r="D29" i="38"/>
  <c r="F29" i="38"/>
  <c r="G29" i="38"/>
  <c r="H29" i="38"/>
  <c r="I29" i="38"/>
  <c r="K29" i="38"/>
  <c r="L29" i="38"/>
  <c r="N29" i="38"/>
  <c r="O29" i="38"/>
  <c r="P29" i="38"/>
  <c r="Q29" i="38"/>
  <c r="S29" i="38"/>
  <c r="T29" i="38"/>
  <c r="V29" i="38"/>
  <c r="X29" i="38"/>
  <c r="Y29" i="38"/>
  <c r="Z29" i="38"/>
  <c r="AA29" i="38"/>
  <c r="AB29" i="38"/>
  <c r="AC29" i="38"/>
  <c r="AF29" i="38"/>
  <c r="AG29" i="38"/>
  <c r="AH29" i="38"/>
  <c r="AI29" i="38"/>
  <c r="AJ29" i="38"/>
  <c r="AL29" i="38"/>
  <c r="AM29" i="38"/>
  <c r="AN29" i="38"/>
  <c r="AO29" i="38"/>
  <c r="AP29" i="38"/>
  <c r="AQ29" i="38"/>
  <c r="AR29" i="38"/>
  <c r="AS29" i="38"/>
  <c r="AT29" i="38"/>
  <c r="AU29" i="38"/>
  <c r="AV29" i="38"/>
  <c r="AW29" i="38"/>
  <c r="AX29" i="38"/>
  <c r="AY29" i="38"/>
  <c r="BB29" i="38"/>
  <c r="BC29" i="38"/>
  <c r="BD29" i="38"/>
  <c r="BE29" i="38"/>
  <c r="BF29" i="38"/>
  <c r="BG29" i="38"/>
  <c r="BH29" i="38"/>
  <c r="BI29" i="38"/>
  <c r="BJ29" i="38"/>
  <c r="BK29" i="38"/>
  <c r="BL29" i="38"/>
  <c r="BM29" i="38"/>
  <c r="BN29" i="38"/>
  <c r="BO29" i="38"/>
  <c r="D30" i="38"/>
  <c r="F30" i="38"/>
  <c r="G30" i="38"/>
  <c r="H30" i="38"/>
  <c r="I30" i="38"/>
  <c r="K30" i="38"/>
  <c r="L30" i="38"/>
  <c r="N30" i="38"/>
  <c r="O30" i="38"/>
  <c r="P30" i="38"/>
  <c r="Q30" i="38"/>
  <c r="S30" i="38"/>
  <c r="T30" i="38"/>
  <c r="V30" i="38"/>
  <c r="X30" i="38"/>
  <c r="Y30" i="38"/>
  <c r="Z30" i="38"/>
  <c r="AA30" i="38"/>
  <c r="AB30" i="38"/>
  <c r="AC30" i="38"/>
  <c r="AF30" i="38"/>
  <c r="AG30" i="38"/>
  <c r="AH30" i="38"/>
  <c r="AI30" i="38"/>
  <c r="AJ30" i="38"/>
  <c r="AL30" i="38"/>
  <c r="AM30" i="38"/>
  <c r="AN30" i="38"/>
  <c r="AO30" i="38"/>
  <c r="AP30" i="38"/>
  <c r="AQ30" i="38"/>
  <c r="AR30" i="38"/>
  <c r="AS30" i="38"/>
  <c r="AT30" i="38"/>
  <c r="AU30" i="38"/>
  <c r="AV30" i="38"/>
  <c r="AW30" i="38"/>
  <c r="AX30" i="38"/>
  <c r="AY30" i="38"/>
  <c r="BB30" i="38"/>
  <c r="BC30" i="38"/>
  <c r="BD30" i="38"/>
  <c r="BE30" i="38"/>
  <c r="BF30" i="38"/>
  <c r="BG30" i="38"/>
  <c r="BH30" i="38"/>
  <c r="BI30" i="38"/>
  <c r="BJ30" i="38"/>
  <c r="BK30" i="38"/>
  <c r="BL30" i="38"/>
  <c r="BM30" i="38"/>
  <c r="BN30" i="38"/>
  <c r="BO30" i="38"/>
  <c r="D31" i="38"/>
  <c r="F31" i="38"/>
  <c r="G31" i="38"/>
  <c r="H31" i="38"/>
  <c r="I31" i="38"/>
  <c r="K31" i="38"/>
  <c r="L31" i="38"/>
  <c r="N31" i="38"/>
  <c r="O31" i="38"/>
  <c r="P31" i="38"/>
  <c r="Q31" i="38"/>
  <c r="S31" i="38"/>
  <c r="T31" i="38"/>
  <c r="V31" i="38"/>
  <c r="X31" i="38"/>
  <c r="Y31" i="38"/>
  <c r="Z31" i="38"/>
  <c r="AA31" i="38"/>
  <c r="AB31" i="38"/>
  <c r="AC31" i="38"/>
  <c r="AF31" i="38"/>
  <c r="AG31" i="38"/>
  <c r="AH31" i="38"/>
  <c r="AI31" i="38"/>
  <c r="AJ31" i="38"/>
  <c r="AL31" i="38"/>
  <c r="AM31" i="38"/>
  <c r="AN31" i="38"/>
  <c r="AO31" i="38"/>
  <c r="AP31" i="38"/>
  <c r="AQ31" i="38"/>
  <c r="AR31" i="38"/>
  <c r="AS31" i="38"/>
  <c r="AT31" i="38"/>
  <c r="AU31" i="38"/>
  <c r="AV31" i="38"/>
  <c r="AW31" i="38"/>
  <c r="AX31" i="38"/>
  <c r="AY31" i="38"/>
  <c r="BB31" i="38"/>
  <c r="BC31" i="38"/>
  <c r="BD31" i="38"/>
  <c r="BE31" i="38"/>
  <c r="BF31" i="38"/>
  <c r="BG31" i="38"/>
  <c r="BH31" i="38"/>
  <c r="BI31" i="38"/>
  <c r="BJ31" i="38"/>
  <c r="BK31" i="38"/>
  <c r="BL31" i="38"/>
  <c r="BM31" i="38"/>
  <c r="BN31" i="38"/>
  <c r="BO31" i="38"/>
  <c r="F1" i="39"/>
  <c r="AV1" i="39"/>
  <c r="A2" i="39"/>
  <c r="F2" i="39"/>
  <c r="G2" i="39"/>
  <c r="N2" i="39"/>
  <c r="AV2" i="39"/>
  <c r="AW2" i="39"/>
  <c r="AX2" i="39"/>
  <c r="AY2" i="39"/>
  <c r="BW2" i="39"/>
  <c r="BX2" i="39"/>
  <c r="BY2" i="39"/>
  <c r="BZ2" i="39"/>
  <c r="CA2" i="39"/>
  <c r="CB2" i="39"/>
  <c r="CC2" i="39"/>
  <c r="CD2" i="39"/>
  <c r="CE2" i="39"/>
  <c r="CF2" i="39"/>
  <c r="CG2" i="39"/>
  <c r="CH2" i="39"/>
  <c r="CI2" i="39"/>
  <c r="CJ2" i="39"/>
  <c r="CK2" i="39"/>
  <c r="CL2" i="39"/>
  <c r="CM2" i="39"/>
  <c r="CN2" i="39"/>
  <c r="CO2" i="39"/>
  <c r="CP2" i="39"/>
  <c r="CQ2" i="39"/>
  <c r="CR2" i="39"/>
  <c r="CS2" i="39"/>
  <c r="CT2" i="39"/>
  <c r="CU2" i="39"/>
  <c r="CV2" i="39"/>
  <c r="CW2" i="39"/>
  <c r="CX2" i="39"/>
  <c r="A3" i="39"/>
  <c r="AH3" i="39"/>
  <c r="AK3" i="39"/>
  <c r="AV3" i="39"/>
  <c r="AW3" i="39"/>
  <c r="AX3" i="39"/>
  <c r="AY3" i="39"/>
  <c r="A4" i="39"/>
  <c r="N4" i="39"/>
  <c r="P4" i="39"/>
  <c r="T4" i="39"/>
  <c r="V4" i="39"/>
  <c r="W4" i="39"/>
  <c r="AH4" i="39"/>
  <c r="AK4" i="39"/>
  <c r="AM4" i="39"/>
  <c r="AN4" i="39"/>
  <c r="AO4" i="39"/>
  <c r="AP4" i="39"/>
  <c r="AQ4" i="39"/>
  <c r="AR4" i="39"/>
  <c r="AS4" i="39"/>
  <c r="AT4" i="39"/>
  <c r="AV4" i="39"/>
  <c r="AW4" i="39"/>
  <c r="AX4" i="39"/>
  <c r="AY4" i="39"/>
  <c r="A5" i="39"/>
  <c r="G5" i="39"/>
  <c r="N5" i="39"/>
  <c r="P5" i="39"/>
  <c r="T5" i="39"/>
  <c r="V5" i="39"/>
  <c r="W5" i="39"/>
  <c r="AH5" i="39"/>
  <c r="AK5" i="39"/>
  <c r="AM5" i="39"/>
  <c r="AN5" i="39"/>
  <c r="AO5" i="39"/>
  <c r="AP5" i="39"/>
  <c r="AQ5" i="39"/>
  <c r="AR5" i="39"/>
  <c r="AS5" i="39"/>
  <c r="AT5" i="39"/>
  <c r="AV5" i="39"/>
  <c r="AW5" i="39"/>
  <c r="AX5" i="39"/>
  <c r="AY5" i="39"/>
  <c r="BV5" i="39"/>
  <c r="A6" i="39"/>
  <c r="N6" i="39"/>
  <c r="P6" i="39"/>
  <c r="T6" i="39"/>
  <c r="V6" i="39"/>
  <c r="W6" i="39"/>
  <c r="AH6" i="39"/>
  <c r="AK6" i="39"/>
  <c r="AM6" i="39"/>
  <c r="AN6" i="39"/>
  <c r="AO6" i="39"/>
  <c r="AP6" i="39"/>
  <c r="AQ6" i="39"/>
  <c r="AR6" i="39"/>
  <c r="AS6" i="39"/>
  <c r="AT6" i="39"/>
  <c r="A7" i="39"/>
  <c r="G7" i="39"/>
  <c r="N7" i="39"/>
  <c r="N7" i="39" a="1"/>
  <c r="P7" i="39"/>
  <c r="T7" i="39"/>
  <c r="AH7" i="39"/>
  <c r="AK7" i="39"/>
  <c r="AM7" i="39"/>
  <c r="AN7" i="39"/>
  <c r="AO7" i="39"/>
  <c r="AP7" i="39"/>
  <c r="AQ7" i="39"/>
  <c r="AR7" i="39"/>
  <c r="AS7" i="39"/>
  <c r="AT7" i="39"/>
  <c r="AV7" i="39"/>
  <c r="AW7" i="39"/>
  <c r="AX7" i="39"/>
  <c r="AY7" i="39"/>
  <c r="G8" i="39"/>
  <c r="N8" i="39"/>
  <c r="N8" i="39" a="1"/>
  <c r="P8" i="39"/>
  <c r="T8" i="39"/>
  <c r="V8" i="39"/>
  <c r="W8" i="39"/>
  <c r="Y8" i="39"/>
  <c r="Z8" i="39"/>
  <c r="AH8" i="39"/>
  <c r="AK8" i="39"/>
  <c r="AM8" i="39"/>
  <c r="AN8" i="39"/>
  <c r="AO8" i="39"/>
  <c r="AP8" i="39"/>
  <c r="AQ8" i="39"/>
  <c r="AR8" i="39"/>
  <c r="AS8" i="39"/>
  <c r="AT8" i="39"/>
  <c r="AV8" i="39"/>
  <c r="AW8" i="39"/>
  <c r="AX8" i="39"/>
  <c r="AY8" i="39"/>
  <c r="N9" i="39"/>
  <c r="N9" i="39" a="1"/>
  <c r="P9" i="39"/>
  <c r="AK9" i="39"/>
  <c r="AM9" i="39"/>
  <c r="AN9" i="39"/>
  <c r="AO9" i="39"/>
  <c r="AP9" i="39"/>
  <c r="AQ9" i="39"/>
  <c r="AR9" i="39"/>
  <c r="AS9" i="39"/>
  <c r="AT9" i="39"/>
  <c r="AV9" i="39"/>
  <c r="AW9" i="39"/>
  <c r="AX9" i="39"/>
  <c r="AY9" i="39"/>
  <c r="K10" i="39"/>
  <c r="N10" i="39"/>
  <c r="P10" i="39"/>
  <c r="AH10" i="39"/>
  <c r="AM10" i="39"/>
  <c r="AN10" i="39"/>
  <c r="AO10" i="39"/>
  <c r="AP10" i="39"/>
  <c r="AQ10" i="39"/>
  <c r="AR10" i="39"/>
  <c r="AS10" i="39"/>
  <c r="AT10" i="39"/>
  <c r="AV10" i="39"/>
  <c r="AW10" i="39"/>
  <c r="AX10" i="39"/>
  <c r="AY10" i="39"/>
  <c r="D11" i="39"/>
  <c r="K11" i="39"/>
  <c r="N11" i="39"/>
  <c r="P11" i="39"/>
  <c r="AM11" i="39"/>
  <c r="AN11" i="39"/>
  <c r="AO11" i="39"/>
  <c r="AP11" i="39"/>
  <c r="AQ11" i="39"/>
  <c r="AR11" i="39"/>
  <c r="AS11" i="39"/>
  <c r="AT11" i="39"/>
  <c r="AV11" i="39"/>
  <c r="AW11" i="39"/>
  <c r="AX11" i="39"/>
  <c r="AY11" i="39"/>
  <c r="D12" i="39"/>
  <c r="N12" i="39"/>
  <c r="P12" i="39"/>
  <c r="AH12" i="39"/>
  <c r="AM12" i="39"/>
  <c r="AN12" i="39"/>
  <c r="AO12" i="39"/>
  <c r="AP12" i="39"/>
  <c r="AQ12" i="39"/>
  <c r="AR12" i="39"/>
  <c r="AS12" i="39"/>
  <c r="AT12" i="39"/>
  <c r="AV12" i="39"/>
  <c r="AW12" i="39"/>
  <c r="AX12" i="39"/>
  <c r="AY12" i="39"/>
  <c r="N13" i="39"/>
  <c r="P13" i="39"/>
  <c r="AH13" i="39"/>
  <c r="AM13" i="39"/>
  <c r="AN13" i="39"/>
  <c r="AO13" i="39"/>
  <c r="AP13" i="39"/>
  <c r="AQ13" i="39"/>
  <c r="AR13" i="39"/>
  <c r="AS13" i="39"/>
  <c r="AT13" i="39"/>
  <c r="AV13" i="39"/>
  <c r="AW13" i="39"/>
  <c r="AX13" i="39"/>
  <c r="AY13" i="39"/>
  <c r="N14" i="39"/>
  <c r="P14" i="39"/>
  <c r="S14" i="39"/>
  <c r="T14" i="39"/>
  <c r="AM14" i="39"/>
  <c r="AN14" i="39"/>
  <c r="AO14" i="39"/>
  <c r="AP14" i="39"/>
  <c r="AQ14" i="39"/>
  <c r="AR14" i="39"/>
  <c r="AS14" i="39"/>
  <c r="AT14" i="39"/>
  <c r="AV14" i="39"/>
  <c r="AW14" i="39"/>
  <c r="AX14" i="39"/>
  <c r="AY14" i="39"/>
  <c r="N15" i="39"/>
  <c r="P15" i="39"/>
  <c r="AM15" i="39"/>
  <c r="AN15" i="39"/>
  <c r="AO15" i="39"/>
  <c r="AP15" i="39"/>
  <c r="AQ15" i="39"/>
  <c r="AR15" i="39"/>
  <c r="AS15" i="39"/>
  <c r="AT15" i="39"/>
  <c r="AV15" i="39"/>
  <c r="AW15" i="39"/>
  <c r="AX15" i="39"/>
  <c r="AY15" i="39"/>
  <c r="N16" i="39"/>
  <c r="P16" i="39"/>
  <c r="AV16" i="39"/>
  <c r="AW16" i="39"/>
  <c r="AX16" i="39"/>
  <c r="AY16" i="39"/>
  <c r="N17" i="39"/>
  <c r="P17" i="39"/>
  <c r="AV17" i="39"/>
  <c r="AW17" i="39"/>
  <c r="AX17" i="39"/>
  <c r="AY17" i="39"/>
  <c r="N18" i="39"/>
  <c r="P18" i="39"/>
  <c r="AX18" i="39"/>
  <c r="AY18" i="39"/>
  <c r="N19" i="39"/>
  <c r="P19" i="39"/>
  <c r="S20" i="39"/>
  <c r="T20" i="39"/>
  <c r="AM20" i="39"/>
  <c r="AO20" i="39"/>
  <c r="AV20" i="39"/>
  <c r="AW20" i="39"/>
  <c r="AX20" i="39"/>
  <c r="AY20" i="39"/>
  <c r="D22" i="39"/>
  <c r="F22" i="39"/>
  <c r="G22" i="39"/>
  <c r="H22" i="39"/>
  <c r="I22" i="39"/>
  <c r="K22" i="39"/>
  <c r="L22" i="39"/>
  <c r="N22" i="39"/>
  <c r="O22" i="39"/>
  <c r="P22" i="39"/>
  <c r="Q22" i="39"/>
  <c r="S22" i="39"/>
  <c r="T22" i="39"/>
  <c r="V22" i="39"/>
  <c r="X22" i="39"/>
  <c r="Y22" i="39"/>
  <c r="Z22" i="39"/>
  <c r="AA22" i="39"/>
  <c r="AB22" i="39"/>
  <c r="AC22" i="39"/>
  <c r="AF22" i="39"/>
  <c r="AG22" i="39"/>
  <c r="AH22" i="39"/>
  <c r="AI22" i="39"/>
  <c r="AJ22" i="39"/>
  <c r="AL22" i="39"/>
  <c r="AM22" i="39"/>
  <c r="AN22" i="39"/>
  <c r="AO22" i="39"/>
  <c r="AP22" i="39"/>
  <c r="AQ22" i="39"/>
  <c r="AR22" i="39"/>
  <c r="AS22" i="39"/>
  <c r="AT22" i="39"/>
  <c r="AU22" i="39"/>
  <c r="AV22" i="39"/>
  <c r="AW22" i="39"/>
  <c r="AX22" i="39"/>
  <c r="AY22" i="39"/>
  <c r="BB22" i="39"/>
  <c r="BC22" i="39"/>
  <c r="BD22" i="39"/>
  <c r="BE22" i="39"/>
  <c r="BF22" i="39"/>
  <c r="BG22" i="39"/>
  <c r="BH22" i="39"/>
  <c r="BI22" i="39"/>
  <c r="BJ22" i="39"/>
  <c r="BK22" i="39"/>
  <c r="BL22" i="39"/>
  <c r="BM22" i="39"/>
  <c r="BN22" i="39"/>
  <c r="BO22" i="39"/>
  <c r="D23" i="39"/>
  <c r="F23" i="39"/>
  <c r="G23" i="39"/>
  <c r="H23" i="39"/>
  <c r="I23" i="39"/>
  <c r="K23" i="39"/>
  <c r="L23" i="39"/>
  <c r="N23" i="39"/>
  <c r="O23" i="39"/>
  <c r="P23" i="39"/>
  <c r="Q23" i="39"/>
  <c r="S23" i="39"/>
  <c r="T23" i="39"/>
  <c r="V23" i="39"/>
  <c r="X23" i="39"/>
  <c r="Y23" i="39"/>
  <c r="Z23" i="39"/>
  <c r="AA23" i="39"/>
  <c r="AB23" i="39"/>
  <c r="AC23" i="39"/>
  <c r="AF23" i="39"/>
  <c r="AG23" i="39"/>
  <c r="AH23" i="39"/>
  <c r="AI23" i="39"/>
  <c r="AJ23" i="39"/>
  <c r="AL23" i="39"/>
  <c r="AM23" i="39"/>
  <c r="AN23" i="39"/>
  <c r="AO23" i="39"/>
  <c r="AP23" i="39"/>
  <c r="AQ23" i="39"/>
  <c r="AR23" i="39"/>
  <c r="AS23" i="39"/>
  <c r="AT23" i="39"/>
  <c r="AU23" i="39"/>
  <c r="AV23" i="39"/>
  <c r="AW23" i="39"/>
  <c r="AX23" i="39"/>
  <c r="AY23" i="39"/>
  <c r="BB23" i="39"/>
  <c r="BC23" i="39"/>
  <c r="BD23" i="39"/>
  <c r="BE23" i="39"/>
  <c r="BF23" i="39"/>
  <c r="BG23" i="39"/>
  <c r="BH23" i="39"/>
  <c r="BI23" i="39"/>
  <c r="BJ23" i="39"/>
  <c r="BK23" i="39"/>
  <c r="BL23" i="39"/>
  <c r="BM23" i="39"/>
  <c r="BN23" i="39"/>
  <c r="BO23" i="39"/>
  <c r="D24" i="39"/>
  <c r="F24" i="39"/>
  <c r="G24" i="39"/>
  <c r="H24" i="39"/>
  <c r="I24" i="39"/>
  <c r="K24" i="39"/>
  <c r="L24" i="39"/>
  <c r="N24" i="39"/>
  <c r="O24" i="39"/>
  <c r="P24" i="39"/>
  <c r="Q24" i="39"/>
  <c r="S24" i="39"/>
  <c r="T24" i="39"/>
  <c r="V24" i="39"/>
  <c r="X24" i="39"/>
  <c r="Y24" i="39"/>
  <c r="Z24" i="39"/>
  <c r="AA24" i="39"/>
  <c r="AB24" i="39"/>
  <c r="AC24" i="39"/>
  <c r="AF24" i="39"/>
  <c r="AG24" i="39"/>
  <c r="AH24" i="39"/>
  <c r="AI24" i="39"/>
  <c r="AJ24" i="39"/>
  <c r="AL24" i="39"/>
  <c r="AM24" i="39"/>
  <c r="AN24" i="39"/>
  <c r="AO24" i="39"/>
  <c r="AP24" i="39"/>
  <c r="AQ24" i="39"/>
  <c r="AR24" i="39"/>
  <c r="AS24" i="39"/>
  <c r="AT24" i="39"/>
  <c r="AU24" i="39"/>
  <c r="AV24" i="39"/>
  <c r="AW24" i="39"/>
  <c r="AX24" i="39"/>
  <c r="AY24" i="39"/>
  <c r="BB24" i="39"/>
  <c r="BC24" i="39"/>
  <c r="BD24" i="39"/>
  <c r="BE24" i="39"/>
  <c r="BF24" i="39"/>
  <c r="BG24" i="39"/>
  <c r="BH24" i="39"/>
  <c r="BI24" i="39"/>
  <c r="BJ24" i="39"/>
  <c r="BK24" i="39"/>
  <c r="BL24" i="39"/>
  <c r="BM24" i="39"/>
  <c r="BN24" i="39"/>
  <c r="BO24" i="39"/>
  <c r="D25" i="39"/>
  <c r="F25" i="39"/>
  <c r="G25" i="39"/>
  <c r="H25" i="39"/>
  <c r="I25" i="39"/>
  <c r="K25" i="39"/>
  <c r="L25" i="39"/>
  <c r="N25" i="39"/>
  <c r="O25" i="39"/>
  <c r="P25" i="39"/>
  <c r="Q25" i="39"/>
  <c r="S25" i="39"/>
  <c r="T25" i="39"/>
  <c r="V25" i="39"/>
  <c r="X25" i="39"/>
  <c r="Y25" i="39"/>
  <c r="Z25" i="39"/>
  <c r="AA25" i="39"/>
  <c r="AB25" i="39"/>
  <c r="AC25" i="39"/>
  <c r="AF25" i="39"/>
  <c r="AG25" i="39"/>
  <c r="AH25" i="39"/>
  <c r="AI25" i="39"/>
  <c r="AJ25" i="39"/>
  <c r="AL25" i="39"/>
  <c r="AM25" i="39"/>
  <c r="AN25" i="39"/>
  <c r="AO25" i="39"/>
  <c r="AP25" i="39"/>
  <c r="AQ25" i="39"/>
  <c r="AR25" i="39"/>
  <c r="AS25" i="39"/>
  <c r="AT25" i="39"/>
  <c r="AU25" i="39"/>
  <c r="AV25" i="39"/>
  <c r="AW25" i="39"/>
  <c r="AX25" i="39"/>
  <c r="AY25" i="39"/>
  <c r="BB25" i="39"/>
  <c r="BC25" i="39"/>
  <c r="BD25" i="39"/>
  <c r="BE25" i="39"/>
  <c r="BF25" i="39"/>
  <c r="BG25" i="39"/>
  <c r="BH25" i="39"/>
  <c r="BI25" i="39"/>
  <c r="BJ25" i="39"/>
  <c r="BK25" i="39"/>
  <c r="BL25" i="39"/>
  <c r="BM25" i="39"/>
  <c r="BN25" i="39"/>
  <c r="BO25" i="39"/>
  <c r="D26" i="39"/>
  <c r="F26" i="39"/>
  <c r="G26" i="39"/>
  <c r="H26" i="39"/>
  <c r="I26" i="39"/>
  <c r="K26" i="39"/>
  <c r="L26" i="39"/>
  <c r="N26" i="39"/>
  <c r="O26" i="39"/>
  <c r="P26" i="39"/>
  <c r="Q26" i="39"/>
  <c r="S26" i="39"/>
  <c r="T26" i="39"/>
  <c r="V26" i="39"/>
  <c r="X26" i="39"/>
  <c r="Y26" i="39"/>
  <c r="Z26" i="39"/>
  <c r="AA26" i="39"/>
  <c r="AB26" i="39"/>
  <c r="AC26" i="39"/>
  <c r="AF26" i="39"/>
  <c r="AG26" i="39"/>
  <c r="AH26" i="39"/>
  <c r="AI26" i="39"/>
  <c r="AJ26" i="39"/>
  <c r="AL26" i="39"/>
  <c r="AM26" i="39"/>
  <c r="AN26" i="39"/>
  <c r="AO26" i="39"/>
  <c r="AP26" i="39"/>
  <c r="AQ26" i="39"/>
  <c r="AR26" i="39"/>
  <c r="AS26" i="39"/>
  <c r="AT26" i="39"/>
  <c r="AU26" i="39"/>
  <c r="AV26" i="39"/>
  <c r="AW26" i="39"/>
  <c r="AX26" i="39"/>
  <c r="AY26" i="39"/>
  <c r="BB26" i="39"/>
  <c r="BC26" i="39"/>
  <c r="BD26" i="39"/>
  <c r="BE26" i="39"/>
  <c r="BF26" i="39"/>
  <c r="BG26" i="39"/>
  <c r="BH26" i="39"/>
  <c r="BI26" i="39"/>
  <c r="BJ26" i="39"/>
  <c r="BK26" i="39"/>
  <c r="BL26" i="39"/>
  <c r="BM26" i="39"/>
  <c r="BN26" i="39"/>
  <c r="BO26" i="39"/>
  <c r="D27" i="39"/>
  <c r="F27" i="39"/>
  <c r="G27" i="39"/>
  <c r="H27" i="39"/>
  <c r="I27" i="39"/>
  <c r="K27" i="39"/>
  <c r="L27" i="39"/>
  <c r="N27" i="39"/>
  <c r="O27" i="39"/>
  <c r="P27" i="39"/>
  <c r="Q27" i="39"/>
  <c r="S27" i="39"/>
  <c r="T27" i="39"/>
  <c r="V27" i="39"/>
  <c r="X27" i="39"/>
  <c r="Y27" i="39"/>
  <c r="Z27" i="39"/>
  <c r="AA27" i="39"/>
  <c r="AB27" i="39"/>
  <c r="AC27" i="39"/>
  <c r="AF27" i="39"/>
  <c r="AG27" i="39"/>
  <c r="AH27" i="39"/>
  <c r="AI27" i="39"/>
  <c r="AJ27" i="39"/>
  <c r="AL27" i="39"/>
  <c r="AM27" i="39"/>
  <c r="AN27" i="39"/>
  <c r="AO27" i="39"/>
  <c r="AP27" i="39"/>
  <c r="AQ27" i="39"/>
  <c r="AR27" i="39"/>
  <c r="AS27" i="39"/>
  <c r="AT27" i="39"/>
  <c r="AU27" i="39"/>
  <c r="AV27" i="39"/>
  <c r="AW27" i="39"/>
  <c r="AX27" i="39"/>
  <c r="AY27" i="39"/>
  <c r="BB27" i="39"/>
  <c r="BC27" i="39"/>
  <c r="BD27" i="39"/>
  <c r="BE27" i="39"/>
  <c r="BF27" i="39"/>
  <c r="BG27" i="39"/>
  <c r="BH27" i="39"/>
  <c r="BI27" i="39"/>
  <c r="BJ27" i="39"/>
  <c r="BK27" i="39"/>
  <c r="BL27" i="39"/>
  <c r="BM27" i="39"/>
  <c r="BN27" i="39"/>
  <c r="BO27" i="39"/>
  <c r="D28" i="39"/>
  <c r="F28" i="39"/>
  <c r="G28" i="39"/>
  <c r="H28" i="39"/>
  <c r="I28" i="39"/>
  <c r="K28" i="39"/>
  <c r="L28" i="39"/>
  <c r="N28" i="39"/>
  <c r="O28" i="39"/>
  <c r="P28" i="39"/>
  <c r="Q28" i="39"/>
  <c r="S28" i="39"/>
  <c r="T28" i="39"/>
  <c r="V28" i="39"/>
  <c r="X28" i="39"/>
  <c r="Y28" i="39"/>
  <c r="Z28" i="39"/>
  <c r="AA28" i="39"/>
  <c r="AB28" i="39"/>
  <c r="AC28" i="39"/>
  <c r="AF28" i="39"/>
  <c r="AG28" i="39"/>
  <c r="AH28" i="39"/>
  <c r="AI28" i="39"/>
  <c r="AJ28" i="39"/>
  <c r="AL28" i="39"/>
  <c r="AM28" i="39"/>
  <c r="AN28" i="39"/>
  <c r="AO28" i="39"/>
  <c r="AP28" i="39"/>
  <c r="AQ28" i="39"/>
  <c r="AR28" i="39"/>
  <c r="AS28" i="39"/>
  <c r="AT28" i="39"/>
  <c r="AU28" i="39"/>
  <c r="AV28" i="39"/>
  <c r="AW28" i="39"/>
  <c r="AX28" i="39"/>
  <c r="AY28" i="39"/>
  <c r="BB28" i="39"/>
  <c r="BC28" i="39"/>
  <c r="BD28" i="39"/>
  <c r="BE28" i="39"/>
  <c r="BF28" i="39"/>
  <c r="BG28" i="39"/>
  <c r="BH28" i="39"/>
  <c r="BI28" i="39"/>
  <c r="BJ28" i="39"/>
  <c r="BK28" i="39"/>
  <c r="BL28" i="39"/>
  <c r="BM28" i="39"/>
  <c r="BN28" i="39"/>
  <c r="BO28" i="39"/>
  <c r="F1" i="40"/>
  <c r="AV1" i="40"/>
  <c r="A2" i="40"/>
  <c r="F2" i="40"/>
  <c r="G2" i="40"/>
  <c r="N2" i="40"/>
  <c r="AV2" i="40"/>
  <c r="AW2" i="40"/>
  <c r="AX2" i="40"/>
  <c r="AY2" i="40"/>
  <c r="BW2" i="40"/>
  <c r="BX2" i="40"/>
  <c r="BY2" i="40"/>
  <c r="BZ2" i="40"/>
  <c r="CA2" i="40"/>
  <c r="CB2" i="40"/>
  <c r="CC2" i="40"/>
  <c r="CD2" i="40"/>
  <c r="CE2" i="40"/>
  <c r="CF2" i="40"/>
  <c r="CG2" i="40"/>
  <c r="CH2" i="40"/>
  <c r="CI2" i="40"/>
  <c r="CJ2" i="40"/>
  <c r="CK2" i="40"/>
  <c r="CL2" i="40"/>
  <c r="CM2" i="40"/>
  <c r="CN2" i="40"/>
  <c r="CO2" i="40"/>
  <c r="CP2" i="40"/>
  <c r="CQ2" i="40"/>
  <c r="CR2" i="40"/>
  <c r="CS2" i="40"/>
  <c r="CT2" i="40"/>
  <c r="CU2" i="40"/>
  <c r="CV2" i="40"/>
  <c r="CW2" i="40"/>
  <c r="CX2" i="40"/>
  <c r="A3" i="40"/>
  <c r="AH3" i="40"/>
  <c r="AK3" i="40"/>
  <c r="AV3" i="40"/>
  <c r="AW3" i="40"/>
  <c r="AX3" i="40"/>
  <c r="AY3" i="40"/>
  <c r="A4" i="40"/>
  <c r="N4" i="40"/>
  <c r="P4" i="40"/>
  <c r="T4" i="40"/>
  <c r="V4" i="40"/>
  <c r="W4" i="40"/>
  <c r="AH4" i="40"/>
  <c r="AK4" i="40"/>
  <c r="AM4" i="40"/>
  <c r="AN4" i="40"/>
  <c r="AO4" i="40"/>
  <c r="AP4" i="40"/>
  <c r="AQ4" i="40"/>
  <c r="AR4" i="40"/>
  <c r="AS4" i="40"/>
  <c r="AT4" i="40"/>
  <c r="AV4" i="40"/>
  <c r="AW4" i="40"/>
  <c r="AX4" i="40"/>
  <c r="AY4" i="40"/>
  <c r="A5" i="40"/>
  <c r="G5" i="40"/>
  <c r="N5" i="40"/>
  <c r="P5" i="40"/>
  <c r="T5" i="40"/>
  <c r="V5" i="40"/>
  <c r="W5" i="40"/>
  <c r="AH5" i="40"/>
  <c r="AK5" i="40"/>
  <c r="AM5" i="40"/>
  <c r="AN5" i="40"/>
  <c r="AO5" i="40"/>
  <c r="AP5" i="40"/>
  <c r="AQ5" i="40"/>
  <c r="AR5" i="40"/>
  <c r="AS5" i="40"/>
  <c r="AT5" i="40"/>
  <c r="AV5" i="40"/>
  <c r="AW5" i="40"/>
  <c r="AX5" i="40"/>
  <c r="AY5" i="40"/>
  <c r="BV5" i="40"/>
  <c r="A6" i="40"/>
  <c r="N6" i="40"/>
  <c r="P6" i="40"/>
  <c r="T6" i="40"/>
  <c r="V6" i="40"/>
  <c r="W6" i="40"/>
  <c r="AH6" i="40"/>
  <c r="AK6" i="40"/>
  <c r="AM6" i="40"/>
  <c r="AN6" i="40"/>
  <c r="AO6" i="40"/>
  <c r="AP6" i="40"/>
  <c r="AQ6" i="40"/>
  <c r="AR6" i="40"/>
  <c r="AS6" i="40"/>
  <c r="AT6" i="40"/>
  <c r="A7" i="40"/>
  <c r="G7" i="40"/>
  <c r="N7" i="40"/>
  <c r="N7" i="40" a="1"/>
  <c r="P7" i="40"/>
  <c r="T7" i="40"/>
  <c r="AH7" i="40"/>
  <c r="AK7" i="40"/>
  <c r="AM7" i="40"/>
  <c r="AN7" i="40"/>
  <c r="AO7" i="40"/>
  <c r="AP7" i="40"/>
  <c r="AQ7" i="40"/>
  <c r="AR7" i="40"/>
  <c r="AS7" i="40"/>
  <c r="AT7" i="40"/>
  <c r="AV7" i="40"/>
  <c r="AW7" i="40"/>
  <c r="AX7" i="40"/>
  <c r="AY7" i="40"/>
  <c r="G8" i="40"/>
  <c r="N8" i="40"/>
  <c r="N8" i="40" a="1"/>
  <c r="P8" i="40"/>
  <c r="T8" i="40"/>
  <c r="V8" i="40"/>
  <c r="W8" i="40"/>
  <c r="Y8" i="40"/>
  <c r="Z8" i="40"/>
  <c r="AH8" i="40"/>
  <c r="AK8" i="40"/>
  <c r="AM8" i="40"/>
  <c r="AN8" i="40"/>
  <c r="AO8" i="40"/>
  <c r="AP8" i="40"/>
  <c r="AQ8" i="40"/>
  <c r="AR8" i="40"/>
  <c r="AS8" i="40"/>
  <c r="AT8" i="40"/>
  <c r="AV8" i="40"/>
  <c r="AW8" i="40"/>
  <c r="AX8" i="40"/>
  <c r="AY8" i="40"/>
  <c r="N9" i="40"/>
  <c r="N9" i="40" a="1"/>
  <c r="P9" i="40"/>
  <c r="AK9" i="40"/>
  <c r="AM9" i="40"/>
  <c r="AN9" i="40"/>
  <c r="AO9" i="40"/>
  <c r="AP9" i="40"/>
  <c r="AQ9" i="40"/>
  <c r="AR9" i="40"/>
  <c r="AS9" i="40"/>
  <c r="AT9" i="40"/>
  <c r="AV9" i="40"/>
  <c r="AW9" i="40"/>
  <c r="AX9" i="40"/>
  <c r="AY9" i="40"/>
  <c r="N10" i="40"/>
  <c r="P10" i="40"/>
  <c r="AH10" i="40"/>
  <c r="AM10" i="40"/>
  <c r="AN10" i="40"/>
  <c r="AO10" i="40"/>
  <c r="AP10" i="40"/>
  <c r="AQ10" i="40"/>
  <c r="AR10" i="40"/>
  <c r="AS10" i="40"/>
  <c r="AT10" i="40"/>
  <c r="AV10" i="40"/>
  <c r="AW10" i="40"/>
  <c r="AX10" i="40"/>
  <c r="AY10" i="40"/>
  <c r="D11" i="40"/>
  <c r="N11" i="40"/>
  <c r="P11" i="40"/>
  <c r="AM11" i="40"/>
  <c r="AN11" i="40"/>
  <c r="AO11" i="40"/>
  <c r="AP11" i="40"/>
  <c r="AQ11" i="40"/>
  <c r="AR11" i="40"/>
  <c r="AS11" i="40"/>
  <c r="AT11" i="40"/>
  <c r="AV11" i="40"/>
  <c r="AW11" i="40"/>
  <c r="AX11" i="40"/>
  <c r="AY11" i="40"/>
  <c r="D12" i="40"/>
  <c r="N12" i="40"/>
  <c r="P12" i="40"/>
  <c r="AH12" i="40"/>
  <c r="AM12" i="40"/>
  <c r="AN12" i="40"/>
  <c r="AO12" i="40"/>
  <c r="AP12" i="40"/>
  <c r="AQ12" i="40"/>
  <c r="AR12" i="40"/>
  <c r="AS12" i="40"/>
  <c r="AT12" i="40"/>
  <c r="AV12" i="40"/>
  <c r="AW12" i="40"/>
  <c r="AX12" i="40"/>
  <c r="AY12" i="40"/>
  <c r="N13" i="40"/>
  <c r="P13" i="40"/>
  <c r="AH13" i="40"/>
  <c r="AM13" i="40"/>
  <c r="AN13" i="40"/>
  <c r="AO13" i="40"/>
  <c r="AP13" i="40"/>
  <c r="AQ13" i="40"/>
  <c r="AR13" i="40"/>
  <c r="AS13" i="40"/>
  <c r="AT13" i="40"/>
  <c r="AV13" i="40"/>
  <c r="AW13" i="40"/>
  <c r="AX13" i="40"/>
  <c r="AY13" i="40"/>
  <c r="N14" i="40"/>
  <c r="P14" i="40"/>
  <c r="S14" i="40"/>
  <c r="T14" i="40"/>
  <c r="AM14" i="40"/>
  <c r="AN14" i="40"/>
  <c r="AO14" i="40"/>
  <c r="AP14" i="40"/>
  <c r="AQ14" i="40"/>
  <c r="AR14" i="40"/>
  <c r="AS14" i="40"/>
  <c r="AT14" i="40"/>
  <c r="AV14" i="40"/>
  <c r="AW14" i="40"/>
  <c r="AX14" i="40"/>
  <c r="AY14" i="40"/>
  <c r="N15" i="40"/>
  <c r="P15" i="40"/>
  <c r="AM15" i="40"/>
  <c r="AN15" i="40"/>
  <c r="AO15" i="40"/>
  <c r="AP15" i="40"/>
  <c r="AQ15" i="40"/>
  <c r="AR15" i="40"/>
  <c r="AS15" i="40"/>
  <c r="AT15" i="40"/>
  <c r="AV15" i="40"/>
  <c r="AW15" i="40"/>
  <c r="AX15" i="40"/>
  <c r="AY15" i="40"/>
  <c r="N16" i="40"/>
  <c r="P16" i="40"/>
  <c r="AV16" i="40"/>
  <c r="AW16" i="40"/>
  <c r="AX16" i="40"/>
  <c r="AY16" i="40"/>
  <c r="N17" i="40"/>
  <c r="P17" i="40"/>
  <c r="AV17" i="40"/>
  <c r="AW17" i="40"/>
  <c r="AX17" i="40"/>
  <c r="AY17" i="40"/>
  <c r="N18" i="40"/>
  <c r="P18" i="40"/>
  <c r="AX18" i="40"/>
  <c r="AY18" i="40"/>
  <c r="N19" i="40"/>
  <c r="P19" i="40"/>
  <c r="S20" i="40"/>
  <c r="T20" i="40"/>
  <c r="AM20" i="40"/>
  <c r="AO20" i="40"/>
  <c r="AV20" i="40"/>
  <c r="AW20" i="40"/>
  <c r="AX20" i="40"/>
  <c r="AY20" i="40"/>
  <c r="D22" i="40"/>
  <c r="F22" i="40"/>
  <c r="G22" i="40"/>
  <c r="H22" i="40"/>
  <c r="I22" i="40"/>
  <c r="K22" i="40"/>
  <c r="L22" i="40"/>
  <c r="N22" i="40"/>
  <c r="O22" i="40"/>
  <c r="P22" i="40"/>
  <c r="Q22" i="40"/>
  <c r="S22" i="40"/>
  <c r="T22" i="40"/>
  <c r="V22" i="40"/>
  <c r="X22" i="40"/>
  <c r="Y22" i="40"/>
  <c r="Z22" i="40"/>
  <c r="AA22" i="40"/>
  <c r="AB22" i="40"/>
  <c r="AC22" i="40"/>
  <c r="AF22" i="40"/>
  <c r="AG22" i="40"/>
  <c r="AH22" i="40"/>
  <c r="AI22" i="40"/>
  <c r="AJ22" i="40"/>
  <c r="AL22" i="40"/>
  <c r="AM22" i="40"/>
  <c r="AN22" i="40"/>
  <c r="AO22" i="40"/>
  <c r="AP22" i="40"/>
  <c r="AQ22" i="40"/>
  <c r="AR22" i="40"/>
  <c r="AS22" i="40"/>
  <c r="AT22" i="40"/>
  <c r="AU22" i="40"/>
  <c r="AV22" i="40"/>
  <c r="AW22" i="40"/>
  <c r="AX22" i="40"/>
  <c r="AY22" i="40"/>
  <c r="BB22" i="40"/>
  <c r="BC22" i="40"/>
  <c r="BD22" i="40"/>
  <c r="BE22" i="40"/>
  <c r="BF22" i="40"/>
  <c r="BG22" i="40"/>
  <c r="BH22" i="40"/>
  <c r="BI22" i="40"/>
  <c r="BJ22" i="40"/>
  <c r="BK22" i="40"/>
  <c r="BL22" i="40"/>
  <c r="BM22" i="40"/>
  <c r="BN22" i="40"/>
  <c r="BO22" i="40"/>
  <c r="D23" i="40"/>
  <c r="F23" i="40"/>
  <c r="G23" i="40"/>
  <c r="H23" i="40"/>
  <c r="I23" i="40"/>
  <c r="K23" i="40"/>
  <c r="L23" i="40"/>
  <c r="N23" i="40"/>
  <c r="O23" i="40"/>
  <c r="P23" i="40"/>
  <c r="Q23" i="40"/>
  <c r="S23" i="40"/>
  <c r="T23" i="40"/>
  <c r="V23" i="40"/>
  <c r="X23" i="40"/>
  <c r="Y23" i="40"/>
  <c r="Z23" i="40"/>
  <c r="AA23" i="40"/>
  <c r="AB23" i="40"/>
  <c r="AC23" i="40"/>
  <c r="AF23" i="40"/>
  <c r="AG23" i="40"/>
  <c r="AH23" i="40"/>
  <c r="AI23" i="40"/>
  <c r="AJ23" i="40"/>
  <c r="AL23" i="40"/>
  <c r="AM23" i="40"/>
  <c r="AN23" i="40"/>
  <c r="AO23" i="40"/>
  <c r="AP23" i="40"/>
  <c r="AQ23" i="40"/>
  <c r="AR23" i="40"/>
  <c r="AS23" i="40"/>
  <c r="AT23" i="40"/>
  <c r="AU23" i="40"/>
  <c r="AV23" i="40"/>
  <c r="AW23" i="40"/>
  <c r="AX23" i="40"/>
  <c r="AY23" i="40"/>
  <c r="BB23" i="40"/>
  <c r="BC23" i="40"/>
  <c r="BD23" i="40"/>
  <c r="BE23" i="40"/>
  <c r="BF23" i="40"/>
  <c r="BG23" i="40"/>
  <c r="BH23" i="40"/>
  <c r="BI23" i="40"/>
  <c r="BJ23" i="40"/>
  <c r="BK23" i="40"/>
  <c r="BL23" i="40"/>
  <c r="BM23" i="40"/>
  <c r="BN23" i="40"/>
  <c r="BO23" i="40"/>
  <c r="D24" i="40"/>
  <c r="F24" i="40"/>
  <c r="G24" i="40"/>
  <c r="H24" i="40"/>
  <c r="I24" i="40"/>
  <c r="K24" i="40"/>
  <c r="L24" i="40"/>
  <c r="N24" i="40"/>
  <c r="O24" i="40"/>
  <c r="P24" i="40"/>
  <c r="Q24" i="40"/>
  <c r="S24" i="40"/>
  <c r="T24" i="40"/>
  <c r="V24" i="40"/>
  <c r="X24" i="40"/>
  <c r="Y24" i="40"/>
  <c r="Z24" i="40"/>
  <c r="AA24" i="40"/>
  <c r="AB24" i="40"/>
  <c r="AC24" i="40"/>
  <c r="AF24" i="40"/>
  <c r="AG24" i="40"/>
  <c r="AH24" i="40"/>
  <c r="AI24" i="40"/>
  <c r="AJ24" i="40"/>
  <c r="AL24" i="40"/>
  <c r="AM24" i="40"/>
  <c r="AN24" i="40"/>
  <c r="AO24" i="40"/>
  <c r="AP24" i="40"/>
  <c r="AQ24" i="40"/>
  <c r="AR24" i="40"/>
  <c r="AS24" i="40"/>
  <c r="AT24" i="40"/>
  <c r="AU24" i="40"/>
  <c r="AV24" i="40"/>
  <c r="AW24" i="40"/>
  <c r="AX24" i="40"/>
  <c r="AY24" i="40"/>
  <c r="BB24" i="40"/>
  <c r="BC24" i="40"/>
  <c r="BD24" i="40"/>
  <c r="BE24" i="40"/>
  <c r="BF24" i="40"/>
  <c r="BG24" i="40"/>
  <c r="BH24" i="40"/>
  <c r="BI24" i="40"/>
  <c r="BJ24" i="40"/>
  <c r="BK24" i="40"/>
  <c r="BL24" i="40"/>
  <c r="BM24" i="40"/>
  <c r="BN24" i="40"/>
  <c r="BO24" i="40"/>
  <c r="D25" i="40"/>
  <c r="F25" i="40"/>
  <c r="G25" i="40"/>
  <c r="H25" i="40"/>
  <c r="I25" i="40"/>
  <c r="K25" i="40"/>
  <c r="L25" i="40"/>
  <c r="N25" i="40"/>
  <c r="O25" i="40"/>
  <c r="P25" i="40"/>
  <c r="Q25" i="40"/>
  <c r="S25" i="40"/>
  <c r="T25" i="40"/>
  <c r="V25" i="40"/>
  <c r="X25" i="40"/>
  <c r="Y25" i="40"/>
  <c r="Z25" i="40"/>
  <c r="AA25" i="40"/>
  <c r="AB25" i="40"/>
  <c r="AC25" i="40"/>
  <c r="AF25" i="40"/>
  <c r="AG25" i="40"/>
  <c r="AH25" i="40"/>
  <c r="AI25" i="40"/>
  <c r="AJ25" i="40"/>
  <c r="AL25" i="40"/>
  <c r="AM25" i="40"/>
  <c r="AN25" i="40"/>
  <c r="AO25" i="40"/>
  <c r="AP25" i="40"/>
  <c r="AQ25" i="40"/>
  <c r="AR25" i="40"/>
  <c r="AS25" i="40"/>
  <c r="AT25" i="40"/>
  <c r="AU25" i="40"/>
  <c r="AV25" i="40"/>
  <c r="AW25" i="40"/>
  <c r="AX25" i="40"/>
  <c r="AY25" i="40"/>
  <c r="BB25" i="40"/>
  <c r="BC25" i="40"/>
  <c r="BD25" i="40"/>
  <c r="BE25" i="40"/>
  <c r="BF25" i="40"/>
  <c r="BG25" i="40"/>
  <c r="BH25" i="40"/>
  <c r="BI25" i="40"/>
  <c r="BJ25" i="40"/>
  <c r="BK25" i="40"/>
  <c r="BL25" i="40"/>
  <c r="BM25" i="40"/>
  <c r="BN25" i="40"/>
  <c r="BO25" i="40"/>
  <c r="D26" i="40"/>
  <c r="F26" i="40"/>
  <c r="G26" i="40"/>
  <c r="H26" i="40"/>
  <c r="I26" i="40"/>
  <c r="K26" i="40"/>
  <c r="L26" i="40"/>
  <c r="N26" i="40"/>
  <c r="O26" i="40"/>
  <c r="P26" i="40"/>
  <c r="Q26" i="40"/>
  <c r="S26" i="40"/>
  <c r="T26" i="40"/>
  <c r="V26" i="40"/>
  <c r="X26" i="40"/>
  <c r="Y26" i="40"/>
  <c r="Z26" i="40"/>
  <c r="AA26" i="40"/>
  <c r="AB26" i="40"/>
  <c r="AC26" i="40"/>
  <c r="AF26" i="40"/>
  <c r="AG26" i="40"/>
  <c r="AH26" i="40"/>
  <c r="AI26" i="40"/>
  <c r="AJ26" i="40"/>
  <c r="AL26" i="40"/>
  <c r="AM26" i="40"/>
  <c r="AN26" i="40"/>
  <c r="AO26" i="40"/>
  <c r="AP26" i="40"/>
  <c r="AQ26" i="40"/>
  <c r="AR26" i="40"/>
  <c r="AS26" i="40"/>
  <c r="AT26" i="40"/>
  <c r="AU26" i="40"/>
  <c r="AV26" i="40"/>
  <c r="AW26" i="40"/>
  <c r="AX26" i="40"/>
  <c r="AY26" i="40"/>
  <c r="BB26" i="40"/>
  <c r="BC26" i="40"/>
  <c r="BD26" i="40"/>
  <c r="BE26" i="40"/>
  <c r="BF26" i="40"/>
  <c r="BG26" i="40"/>
  <c r="BH26" i="40"/>
  <c r="BI26" i="40"/>
  <c r="BJ26" i="40"/>
  <c r="BK26" i="40"/>
  <c r="BL26" i="40"/>
  <c r="BM26" i="40"/>
  <c r="BN26" i="40"/>
  <c r="BO26" i="40"/>
  <c r="D27" i="40"/>
  <c r="F27" i="40"/>
  <c r="G27" i="40"/>
  <c r="H27" i="40"/>
  <c r="I27" i="40"/>
  <c r="K27" i="40"/>
  <c r="L27" i="40"/>
  <c r="N27" i="40"/>
  <c r="O27" i="40"/>
  <c r="P27" i="40"/>
  <c r="Q27" i="40"/>
  <c r="S27" i="40"/>
  <c r="T27" i="40"/>
  <c r="V27" i="40"/>
  <c r="X27" i="40"/>
  <c r="Y27" i="40"/>
  <c r="Z27" i="40"/>
  <c r="AA27" i="40"/>
  <c r="AB27" i="40"/>
  <c r="AC27" i="40"/>
  <c r="AF27" i="40"/>
  <c r="AG27" i="40"/>
  <c r="AH27" i="40"/>
  <c r="AI27" i="40"/>
  <c r="AJ27" i="40"/>
  <c r="AL27" i="40"/>
  <c r="AM27" i="40"/>
  <c r="AN27" i="40"/>
  <c r="AO27" i="40"/>
  <c r="AP27" i="40"/>
  <c r="AQ27" i="40"/>
  <c r="AR27" i="40"/>
  <c r="AS27" i="40"/>
  <c r="AT27" i="40"/>
  <c r="AU27" i="40"/>
  <c r="AV27" i="40"/>
  <c r="AW27" i="40"/>
  <c r="AX27" i="40"/>
  <c r="AY27" i="40"/>
  <c r="BB27" i="40"/>
  <c r="BC27" i="40"/>
  <c r="BD27" i="40"/>
  <c r="BE27" i="40"/>
  <c r="BF27" i="40"/>
  <c r="BG27" i="40"/>
  <c r="BH27" i="40"/>
  <c r="BI27" i="40"/>
  <c r="BJ27" i="40"/>
  <c r="BK27" i="40"/>
  <c r="BL27" i="40"/>
  <c r="BM27" i="40"/>
  <c r="BN27" i="40"/>
  <c r="BO27" i="40"/>
  <c r="D28" i="40"/>
  <c r="F28" i="40"/>
  <c r="G28" i="40"/>
  <c r="H28" i="40"/>
  <c r="I28" i="40"/>
  <c r="K28" i="40"/>
  <c r="L28" i="40"/>
  <c r="N28" i="40"/>
  <c r="O28" i="40"/>
  <c r="P28" i="40"/>
  <c r="Q28" i="40"/>
  <c r="S28" i="40"/>
  <c r="T28" i="40"/>
  <c r="V28" i="40"/>
  <c r="X28" i="40"/>
  <c r="Y28" i="40"/>
  <c r="Z28" i="40"/>
  <c r="AA28" i="40"/>
  <c r="AB28" i="40"/>
  <c r="AC28" i="40"/>
  <c r="AF28" i="40"/>
  <c r="AG28" i="40"/>
  <c r="AH28" i="40"/>
  <c r="AI28" i="40"/>
  <c r="AJ28" i="40"/>
  <c r="AL28" i="40"/>
  <c r="AM28" i="40"/>
  <c r="AN28" i="40"/>
  <c r="AO28" i="40"/>
  <c r="AP28" i="40"/>
  <c r="AQ28" i="40"/>
  <c r="AR28" i="40"/>
  <c r="AS28" i="40"/>
  <c r="AT28" i="40"/>
  <c r="AU28" i="40"/>
  <c r="AV28" i="40"/>
  <c r="AW28" i="40"/>
  <c r="AX28" i="40"/>
  <c r="AY28" i="40"/>
  <c r="BB28" i="40"/>
  <c r="BC28" i="40"/>
  <c r="BD28" i="40"/>
  <c r="BE28" i="40"/>
  <c r="BF28" i="40"/>
  <c r="BG28" i="40"/>
  <c r="BH28" i="40"/>
  <c r="BI28" i="40"/>
  <c r="BJ28" i="40"/>
  <c r="BK28" i="40"/>
  <c r="BL28" i="40"/>
  <c r="BM28" i="40"/>
  <c r="BN28" i="40"/>
  <c r="BO28" i="40"/>
  <c r="D29" i="40"/>
  <c r="F29" i="40"/>
  <c r="G29" i="40"/>
  <c r="H29" i="40"/>
  <c r="I29" i="40"/>
  <c r="K29" i="40"/>
  <c r="L29" i="40"/>
  <c r="N29" i="40"/>
  <c r="O29" i="40"/>
  <c r="P29" i="40"/>
  <c r="Q29" i="40"/>
  <c r="S29" i="40"/>
  <c r="T29" i="40"/>
  <c r="V29" i="40"/>
  <c r="X29" i="40"/>
  <c r="Y29" i="40"/>
  <c r="Z29" i="40"/>
  <c r="AA29" i="40"/>
  <c r="AB29" i="40"/>
  <c r="AC29" i="40"/>
  <c r="AF29" i="40"/>
  <c r="AG29" i="40"/>
  <c r="AH29" i="40"/>
  <c r="AI29" i="40"/>
  <c r="AJ29" i="40"/>
  <c r="AL29" i="40"/>
  <c r="AM29" i="40"/>
  <c r="AN29" i="40"/>
  <c r="AO29" i="40"/>
  <c r="AP29" i="40"/>
  <c r="AQ29" i="40"/>
  <c r="AR29" i="40"/>
  <c r="AS29" i="40"/>
  <c r="AT29" i="40"/>
  <c r="AU29" i="40"/>
  <c r="AV29" i="40"/>
  <c r="AW29" i="40"/>
  <c r="AX29" i="40"/>
  <c r="AY29" i="40"/>
  <c r="BB29" i="40"/>
  <c r="BC29" i="40"/>
  <c r="BD29" i="40"/>
  <c r="BE29" i="40"/>
  <c r="BF29" i="40"/>
  <c r="BG29" i="40"/>
  <c r="BH29" i="40"/>
  <c r="BI29" i="40"/>
  <c r="BJ29" i="40"/>
  <c r="BK29" i="40"/>
  <c r="BL29" i="40"/>
  <c r="BM29" i="40"/>
  <c r="BN29" i="40"/>
  <c r="BO29" i="40"/>
  <c r="D30" i="40"/>
  <c r="F30" i="40"/>
  <c r="G30" i="40"/>
  <c r="H30" i="40"/>
  <c r="I30" i="40"/>
  <c r="K30" i="40"/>
  <c r="L30" i="40"/>
  <c r="N30" i="40"/>
  <c r="O30" i="40"/>
  <c r="P30" i="40"/>
  <c r="Q30" i="40"/>
  <c r="S30" i="40"/>
  <c r="T30" i="40"/>
  <c r="V30" i="40"/>
  <c r="X30" i="40"/>
  <c r="Y30" i="40"/>
  <c r="Z30" i="40"/>
  <c r="AA30" i="40"/>
  <c r="AB30" i="40"/>
  <c r="AC30" i="40"/>
  <c r="AF30" i="40"/>
  <c r="AG30" i="40"/>
  <c r="AH30" i="40"/>
  <c r="AI30" i="40"/>
  <c r="AJ30" i="40"/>
  <c r="AL30" i="40"/>
  <c r="AM30" i="40"/>
  <c r="AN30" i="40"/>
  <c r="AO30" i="40"/>
  <c r="AP30" i="40"/>
  <c r="AQ30" i="40"/>
  <c r="AR30" i="40"/>
  <c r="AS30" i="40"/>
  <c r="AT30" i="40"/>
  <c r="AU30" i="40"/>
  <c r="AV30" i="40"/>
  <c r="AW30" i="40"/>
  <c r="AX30" i="40"/>
  <c r="AY30" i="40"/>
  <c r="BB30" i="40"/>
  <c r="BC30" i="40"/>
  <c r="BD30" i="40"/>
  <c r="BE30" i="40"/>
  <c r="BF30" i="40"/>
  <c r="BG30" i="40"/>
  <c r="BH30" i="40"/>
  <c r="BI30" i="40"/>
  <c r="BJ30" i="40"/>
  <c r="BK30" i="40"/>
  <c r="BL30" i="40"/>
  <c r="BM30" i="40"/>
  <c r="BN30" i="40"/>
  <c r="BO30" i="40"/>
  <c r="D31" i="40"/>
  <c r="F31" i="40"/>
  <c r="G31" i="40"/>
  <c r="H31" i="40"/>
  <c r="I31" i="40"/>
  <c r="K31" i="40"/>
  <c r="L31" i="40"/>
  <c r="N31" i="40"/>
  <c r="O31" i="40"/>
  <c r="P31" i="40"/>
  <c r="Q31" i="40"/>
  <c r="S31" i="40"/>
  <c r="T31" i="40"/>
  <c r="V31" i="40"/>
  <c r="X31" i="40"/>
  <c r="Y31" i="40"/>
  <c r="Z31" i="40"/>
  <c r="AA31" i="40"/>
  <c r="AB31" i="40"/>
  <c r="AC31" i="40"/>
  <c r="AF31" i="40"/>
  <c r="AG31" i="40"/>
  <c r="AH31" i="40"/>
  <c r="AI31" i="40"/>
  <c r="AJ31" i="40"/>
  <c r="AL31" i="40"/>
  <c r="AM31" i="40"/>
  <c r="AN31" i="40"/>
  <c r="AO31" i="40"/>
  <c r="AP31" i="40"/>
  <c r="AQ31" i="40"/>
  <c r="AR31" i="40"/>
  <c r="AS31" i="40"/>
  <c r="AT31" i="40"/>
  <c r="AU31" i="40"/>
  <c r="AV31" i="40"/>
  <c r="AW31" i="40"/>
  <c r="AX31" i="40"/>
  <c r="AY31" i="40"/>
  <c r="BB31" i="40"/>
  <c r="BC31" i="40"/>
  <c r="BD31" i="40"/>
  <c r="BE31" i="40"/>
  <c r="BF31" i="40"/>
  <c r="BG31" i="40"/>
  <c r="BH31" i="40"/>
  <c r="BI31" i="40"/>
  <c r="BJ31" i="40"/>
  <c r="BK31" i="40"/>
  <c r="BL31" i="40"/>
  <c r="BM31" i="40"/>
  <c r="BN31" i="40"/>
  <c r="BO31" i="40"/>
  <c r="D32" i="40"/>
  <c r="F32" i="40"/>
  <c r="G32" i="40"/>
  <c r="H32" i="40"/>
  <c r="I32" i="40"/>
  <c r="K32" i="40"/>
  <c r="L32" i="40"/>
  <c r="N32" i="40"/>
  <c r="O32" i="40"/>
  <c r="P32" i="40"/>
  <c r="Q32" i="40"/>
  <c r="S32" i="40"/>
  <c r="T32" i="40"/>
  <c r="V32" i="40"/>
  <c r="X32" i="40"/>
  <c r="Y32" i="40"/>
  <c r="Z32" i="40"/>
  <c r="AA32" i="40"/>
  <c r="AB32" i="40"/>
  <c r="AC32" i="40"/>
  <c r="AF32" i="40"/>
  <c r="AG32" i="40"/>
  <c r="AH32" i="40"/>
  <c r="AI32" i="40"/>
  <c r="AJ32" i="40"/>
  <c r="AL32" i="40"/>
  <c r="AM32" i="40"/>
  <c r="AN32" i="40"/>
  <c r="AO32" i="40"/>
  <c r="AP32" i="40"/>
  <c r="AQ32" i="40"/>
  <c r="AR32" i="40"/>
  <c r="AS32" i="40"/>
  <c r="AT32" i="40"/>
  <c r="AU32" i="40"/>
  <c r="AV32" i="40"/>
  <c r="AW32" i="40"/>
  <c r="AX32" i="40"/>
  <c r="AY32" i="40"/>
  <c r="BB32" i="40"/>
  <c r="BC32" i="40"/>
  <c r="BD32" i="40"/>
  <c r="BE32" i="40"/>
  <c r="BF32" i="40"/>
  <c r="BG32" i="40"/>
  <c r="BH32" i="40"/>
  <c r="BI32" i="40"/>
  <c r="BJ32" i="40"/>
  <c r="BK32" i="40"/>
  <c r="BL32" i="40"/>
  <c r="BM32" i="40"/>
  <c r="BN32" i="40"/>
  <c r="BO32" i="40"/>
  <c r="D33" i="40"/>
  <c r="F33" i="40"/>
  <c r="G33" i="40"/>
  <c r="H33" i="40"/>
  <c r="I33" i="40"/>
  <c r="K33" i="40"/>
  <c r="L33" i="40"/>
  <c r="N33" i="40"/>
  <c r="O33" i="40"/>
  <c r="P33" i="40"/>
  <c r="Q33" i="40"/>
  <c r="S33" i="40"/>
  <c r="T33" i="40"/>
  <c r="V33" i="40"/>
  <c r="X33" i="40"/>
  <c r="Y33" i="40"/>
  <c r="Z33" i="40"/>
  <c r="AA33" i="40"/>
  <c r="AB33" i="40"/>
  <c r="AC33" i="40"/>
  <c r="AF33" i="40"/>
  <c r="AG33" i="40"/>
  <c r="AH33" i="40"/>
  <c r="AI33" i="40"/>
  <c r="AJ33" i="40"/>
  <c r="AL33" i="40"/>
  <c r="AM33" i="40"/>
  <c r="AN33" i="40"/>
  <c r="AO33" i="40"/>
  <c r="AP33" i="40"/>
  <c r="AQ33" i="40"/>
  <c r="AR33" i="40"/>
  <c r="AS33" i="40"/>
  <c r="AT33" i="40"/>
  <c r="AU33" i="40"/>
  <c r="AV33" i="40"/>
  <c r="AW33" i="40"/>
  <c r="AX33" i="40"/>
  <c r="AY33" i="40"/>
  <c r="BB33" i="40"/>
  <c r="BC33" i="40"/>
  <c r="BD33" i="40"/>
  <c r="BE33" i="40"/>
  <c r="BF33" i="40"/>
  <c r="BG33" i="40"/>
  <c r="BH33" i="40"/>
  <c r="BI33" i="40"/>
  <c r="BJ33" i="40"/>
  <c r="BK33" i="40"/>
  <c r="BL33" i="40"/>
  <c r="BM33" i="40"/>
  <c r="BN33" i="40"/>
  <c r="BO33" i="40"/>
  <c r="D34" i="40"/>
  <c r="F34" i="40"/>
  <c r="G34" i="40"/>
  <c r="H34" i="40"/>
  <c r="I34" i="40"/>
  <c r="K34" i="40"/>
  <c r="L34" i="40"/>
  <c r="N34" i="40"/>
  <c r="O34" i="40"/>
  <c r="P34" i="40"/>
  <c r="Q34" i="40"/>
  <c r="S34" i="40"/>
  <c r="T34" i="40"/>
  <c r="V34" i="40"/>
  <c r="X34" i="40"/>
  <c r="Y34" i="40"/>
  <c r="Z34" i="40"/>
  <c r="AA34" i="40"/>
  <c r="AB34" i="40"/>
  <c r="AC34" i="40"/>
  <c r="AF34" i="40"/>
  <c r="AG34" i="40"/>
  <c r="AH34" i="40"/>
  <c r="AI34" i="40"/>
  <c r="AJ34" i="40"/>
  <c r="AL34" i="40"/>
  <c r="AM34" i="40"/>
  <c r="AN34" i="40"/>
  <c r="AO34" i="40"/>
  <c r="AP34" i="40"/>
  <c r="AQ34" i="40"/>
  <c r="AR34" i="40"/>
  <c r="AS34" i="40"/>
  <c r="AT34" i="40"/>
  <c r="AU34" i="40"/>
  <c r="AV34" i="40"/>
  <c r="AW34" i="40"/>
  <c r="AX34" i="40"/>
  <c r="AY34" i="40"/>
  <c r="BB34" i="40"/>
  <c r="BC34" i="40"/>
  <c r="BD34" i="40"/>
  <c r="BE34" i="40"/>
  <c r="BF34" i="40"/>
  <c r="BG34" i="40"/>
  <c r="BH34" i="40"/>
  <c r="BI34" i="40"/>
  <c r="BJ34" i="40"/>
  <c r="BK34" i="40"/>
  <c r="BL34" i="40"/>
  <c r="BM34" i="40"/>
  <c r="BN34" i="40"/>
  <c r="BO34" i="40"/>
  <c r="D35" i="40"/>
  <c r="F35" i="40"/>
  <c r="G35" i="40"/>
  <c r="H35" i="40"/>
  <c r="I35" i="40"/>
  <c r="K35" i="40"/>
  <c r="L35" i="40"/>
  <c r="N35" i="40"/>
  <c r="O35" i="40"/>
  <c r="P35" i="40"/>
  <c r="Q35" i="40"/>
  <c r="S35" i="40"/>
  <c r="T35" i="40"/>
  <c r="V35" i="40"/>
  <c r="X35" i="40"/>
  <c r="Y35" i="40"/>
  <c r="Z35" i="40"/>
  <c r="AA35" i="40"/>
  <c r="AB35" i="40"/>
  <c r="AC35" i="40"/>
  <c r="AF35" i="40"/>
  <c r="AG35" i="40"/>
  <c r="AH35" i="40"/>
  <c r="AI35" i="40"/>
  <c r="AJ35" i="40"/>
  <c r="AL35" i="40"/>
  <c r="AM35" i="40"/>
  <c r="AN35" i="40"/>
  <c r="AO35" i="40"/>
  <c r="AP35" i="40"/>
  <c r="AQ35" i="40"/>
  <c r="AR35" i="40"/>
  <c r="AS35" i="40"/>
  <c r="AT35" i="40"/>
  <c r="AU35" i="40"/>
  <c r="AV35" i="40"/>
  <c r="AW35" i="40"/>
  <c r="AX35" i="40"/>
  <c r="AY35" i="40"/>
  <c r="BB35" i="40"/>
  <c r="BC35" i="40"/>
  <c r="BD35" i="40"/>
  <c r="BE35" i="40"/>
  <c r="BF35" i="40"/>
  <c r="BG35" i="40"/>
  <c r="BH35" i="40"/>
  <c r="BI35" i="40"/>
  <c r="BJ35" i="40"/>
  <c r="BK35" i="40"/>
  <c r="BL35" i="40"/>
  <c r="BM35" i="40"/>
  <c r="BN35" i="40"/>
  <c r="BO35" i="40"/>
  <c r="D36" i="40"/>
  <c r="F36" i="40"/>
  <c r="G36" i="40"/>
  <c r="H36" i="40"/>
  <c r="I36" i="40"/>
  <c r="K36" i="40"/>
  <c r="L36" i="40"/>
  <c r="N36" i="40"/>
  <c r="O36" i="40"/>
  <c r="P36" i="40"/>
  <c r="Q36" i="40"/>
  <c r="S36" i="40"/>
  <c r="T36" i="40"/>
  <c r="V36" i="40"/>
  <c r="X36" i="40"/>
  <c r="Y36" i="40"/>
  <c r="Z36" i="40"/>
  <c r="AA36" i="40"/>
  <c r="AB36" i="40"/>
  <c r="AC36" i="40"/>
  <c r="AF36" i="40"/>
  <c r="AG36" i="40"/>
  <c r="AH36" i="40"/>
  <c r="AI36" i="40"/>
  <c r="AJ36" i="40"/>
  <c r="AL36" i="40"/>
  <c r="AM36" i="40"/>
  <c r="AN36" i="40"/>
  <c r="AO36" i="40"/>
  <c r="AP36" i="40"/>
  <c r="AQ36" i="40"/>
  <c r="AR36" i="40"/>
  <c r="AS36" i="40"/>
  <c r="AT36" i="40"/>
  <c r="AU36" i="40"/>
  <c r="AV36" i="40"/>
  <c r="AW36" i="40"/>
  <c r="AX36" i="40"/>
  <c r="AY36" i="40"/>
  <c r="BB36" i="40"/>
  <c r="BC36" i="40"/>
  <c r="BD36" i="40"/>
  <c r="BE36" i="40"/>
  <c r="BF36" i="40"/>
  <c r="BG36" i="40"/>
  <c r="BH36" i="40"/>
  <c r="BI36" i="40"/>
  <c r="BJ36" i="40"/>
  <c r="BK36" i="40"/>
  <c r="BL36" i="40"/>
  <c r="BM36" i="40"/>
  <c r="BN36" i="40"/>
  <c r="BO36" i="40"/>
  <c r="D37" i="40"/>
  <c r="F37" i="40"/>
  <c r="G37" i="40"/>
  <c r="H37" i="40"/>
  <c r="I37" i="40"/>
  <c r="K37" i="40"/>
  <c r="L37" i="40"/>
  <c r="N37" i="40"/>
  <c r="O37" i="40"/>
  <c r="P37" i="40"/>
  <c r="Q37" i="40"/>
  <c r="S37" i="40"/>
  <c r="T37" i="40"/>
  <c r="V37" i="40"/>
  <c r="X37" i="40"/>
  <c r="Y37" i="40"/>
  <c r="Z37" i="40"/>
  <c r="AA37" i="40"/>
  <c r="AB37" i="40"/>
  <c r="AC37" i="40"/>
  <c r="AF37" i="40"/>
  <c r="AG37" i="40"/>
  <c r="AH37" i="40"/>
  <c r="AI37" i="40"/>
  <c r="AJ37" i="40"/>
  <c r="AL37" i="40"/>
  <c r="AM37" i="40"/>
  <c r="AN37" i="40"/>
  <c r="AO37" i="40"/>
  <c r="AP37" i="40"/>
  <c r="AQ37" i="40"/>
  <c r="AR37" i="40"/>
  <c r="AS37" i="40"/>
  <c r="AT37" i="40"/>
  <c r="AU37" i="40"/>
  <c r="AV37" i="40"/>
  <c r="AW37" i="40"/>
  <c r="AX37" i="40"/>
  <c r="AY37" i="40"/>
  <c r="BB37" i="40"/>
  <c r="BC37" i="40"/>
  <c r="BD37" i="40"/>
  <c r="BE37" i="40"/>
  <c r="BF37" i="40"/>
  <c r="BG37" i="40"/>
  <c r="BH37" i="40"/>
  <c r="BI37" i="40"/>
  <c r="BJ37" i="40"/>
  <c r="BK37" i="40"/>
  <c r="BL37" i="40"/>
  <c r="BM37" i="40"/>
  <c r="BN37" i="40"/>
  <c r="BO37" i="40"/>
  <c r="D38" i="40"/>
  <c r="F38" i="40"/>
  <c r="G38" i="40"/>
  <c r="H38" i="40"/>
  <c r="I38" i="40"/>
  <c r="K38" i="40"/>
  <c r="L38" i="40"/>
  <c r="N38" i="40"/>
  <c r="O38" i="40"/>
  <c r="P38" i="40"/>
  <c r="Q38" i="40"/>
  <c r="S38" i="40"/>
  <c r="T38" i="40"/>
  <c r="V38" i="40"/>
  <c r="X38" i="40"/>
  <c r="Y38" i="40"/>
  <c r="Z38" i="40"/>
  <c r="AA38" i="40"/>
  <c r="AB38" i="40"/>
  <c r="AC38" i="40"/>
  <c r="AF38" i="40"/>
  <c r="AG38" i="40"/>
  <c r="AH38" i="40"/>
  <c r="AI38" i="40"/>
  <c r="AJ38" i="40"/>
  <c r="AL38" i="40"/>
  <c r="AM38" i="40"/>
  <c r="AN38" i="40"/>
  <c r="AO38" i="40"/>
  <c r="AP38" i="40"/>
  <c r="AQ38" i="40"/>
  <c r="AR38" i="40"/>
  <c r="AS38" i="40"/>
  <c r="AT38" i="40"/>
  <c r="AU38" i="40"/>
  <c r="AV38" i="40"/>
  <c r="AW38" i="40"/>
  <c r="AX38" i="40"/>
  <c r="AY38" i="40"/>
  <c r="BB38" i="40"/>
  <c r="BC38" i="40"/>
  <c r="BD38" i="40"/>
  <c r="BE38" i="40"/>
  <c r="BF38" i="40"/>
  <c r="BG38" i="40"/>
  <c r="BH38" i="40"/>
  <c r="BI38" i="40"/>
  <c r="BJ38" i="40"/>
  <c r="BK38" i="40"/>
  <c r="BL38" i="40"/>
  <c r="BM38" i="40"/>
  <c r="BN38" i="40"/>
  <c r="BO38" i="40"/>
  <c r="D39" i="40"/>
  <c r="F39" i="40"/>
  <c r="G39" i="40"/>
  <c r="H39" i="40"/>
  <c r="I39" i="40"/>
  <c r="K39" i="40"/>
  <c r="L39" i="40"/>
  <c r="N39" i="40"/>
  <c r="O39" i="40"/>
  <c r="P39" i="40"/>
  <c r="Q39" i="40"/>
  <c r="S39" i="40"/>
  <c r="T39" i="40"/>
  <c r="V39" i="40"/>
  <c r="X39" i="40"/>
  <c r="Y39" i="40"/>
  <c r="Z39" i="40"/>
  <c r="AA39" i="40"/>
  <c r="AB39" i="40"/>
  <c r="AC39" i="40"/>
  <c r="AF39" i="40"/>
  <c r="AG39" i="40"/>
  <c r="AH39" i="40"/>
  <c r="AI39" i="40"/>
  <c r="AJ39" i="40"/>
  <c r="AL39" i="40"/>
  <c r="AM39" i="40"/>
  <c r="AN39" i="40"/>
  <c r="AO39" i="40"/>
  <c r="AP39" i="40"/>
  <c r="AQ39" i="40"/>
  <c r="AR39" i="40"/>
  <c r="AS39" i="40"/>
  <c r="AT39" i="40"/>
  <c r="AU39" i="40"/>
  <c r="AV39" i="40"/>
  <c r="AW39" i="40"/>
  <c r="AX39" i="40"/>
  <c r="AY39" i="40"/>
  <c r="BB39" i="40"/>
  <c r="BC39" i="40"/>
  <c r="BD39" i="40"/>
  <c r="BE39" i="40"/>
  <c r="BF39" i="40"/>
  <c r="BG39" i="40"/>
  <c r="BH39" i="40"/>
  <c r="BI39" i="40"/>
  <c r="BJ39" i="40"/>
  <c r="BK39" i="40"/>
  <c r="BL39" i="40"/>
  <c r="BM39" i="40"/>
  <c r="BN39" i="40"/>
  <c r="BO39" i="40"/>
  <c r="D40" i="40"/>
  <c r="F40" i="40"/>
  <c r="G40" i="40"/>
  <c r="H40" i="40"/>
  <c r="I40" i="40"/>
  <c r="K40" i="40"/>
  <c r="L40" i="40"/>
  <c r="N40" i="40"/>
  <c r="O40" i="40"/>
  <c r="P40" i="40"/>
  <c r="Q40" i="40"/>
  <c r="S40" i="40"/>
  <c r="T40" i="40"/>
  <c r="V40" i="40"/>
  <c r="X40" i="40"/>
  <c r="Y40" i="40"/>
  <c r="Z40" i="40"/>
  <c r="AA40" i="40"/>
  <c r="AB40" i="40"/>
  <c r="AC40" i="40"/>
  <c r="AF40" i="40"/>
  <c r="AG40" i="40"/>
  <c r="AH40" i="40"/>
  <c r="AI40" i="40"/>
  <c r="AJ40" i="40"/>
  <c r="AL40" i="40"/>
  <c r="AM40" i="40"/>
  <c r="AN40" i="40"/>
  <c r="AO40" i="40"/>
  <c r="AP40" i="40"/>
  <c r="AQ40" i="40"/>
  <c r="AR40" i="40"/>
  <c r="AS40" i="40"/>
  <c r="AT40" i="40"/>
  <c r="AU40" i="40"/>
  <c r="AV40" i="40"/>
  <c r="AW40" i="40"/>
  <c r="AX40" i="40"/>
  <c r="AY40" i="40"/>
  <c r="BB40" i="40"/>
  <c r="BC40" i="40"/>
  <c r="BD40" i="40"/>
  <c r="BE40" i="40"/>
  <c r="BF40" i="40"/>
  <c r="BG40" i="40"/>
  <c r="BH40" i="40"/>
  <c r="BI40" i="40"/>
  <c r="BJ40" i="40"/>
  <c r="BK40" i="40"/>
  <c r="BL40" i="40"/>
  <c r="BM40" i="40"/>
  <c r="BN40" i="40"/>
  <c r="BO40" i="40"/>
  <c r="D41" i="40"/>
  <c r="F41" i="40"/>
  <c r="G41" i="40"/>
  <c r="H41" i="40"/>
  <c r="I41" i="40"/>
  <c r="K41" i="40"/>
  <c r="L41" i="40"/>
  <c r="N41" i="40"/>
  <c r="O41" i="40"/>
  <c r="P41" i="40"/>
  <c r="Q41" i="40"/>
  <c r="S41" i="40"/>
  <c r="T41" i="40"/>
  <c r="V41" i="40"/>
  <c r="X41" i="40"/>
  <c r="Y41" i="40"/>
  <c r="Z41" i="40"/>
  <c r="AA41" i="40"/>
  <c r="AB41" i="40"/>
  <c r="AC41" i="40"/>
  <c r="AF41" i="40"/>
  <c r="AG41" i="40"/>
  <c r="AH41" i="40"/>
  <c r="AI41" i="40"/>
  <c r="AJ41" i="40"/>
  <c r="AL41" i="40"/>
  <c r="AM41" i="40"/>
  <c r="AN41" i="40"/>
  <c r="AO41" i="40"/>
  <c r="AP41" i="40"/>
  <c r="AQ41" i="40"/>
  <c r="AR41" i="40"/>
  <c r="AS41" i="40"/>
  <c r="AT41" i="40"/>
  <c r="AU41" i="40"/>
  <c r="AV41" i="40"/>
  <c r="AW41" i="40"/>
  <c r="AX41" i="40"/>
  <c r="AY41" i="40"/>
  <c r="BB41" i="40"/>
  <c r="BC41" i="40"/>
  <c r="BD41" i="40"/>
  <c r="BE41" i="40"/>
  <c r="BF41" i="40"/>
  <c r="BG41" i="40"/>
  <c r="BH41" i="40"/>
  <c r="BI41" i="40"/>
  <c r="BJ41" i="40"/>
  <c r="BK41" i="40"/>
  <c r="BL41" i="40"/>
  <c r="BM41" i="40"/>
  <c r="BN41" i="40"/>
  <c r="BO41" i="40"/>
  <c r="D42" i="40"/>
  <c r="F42" i="40"/>
  <c r="G42" i="40"/>
  <c r="H42" i="40"/>
  <c r="I42" i="40"/>
  <c r="K42" i="40"/>
  <c r="L42" i="40"/>
  <c r="N42" i="40"/>
  <c r="O42" i="40"/>
  <c r="P42" i="40"/>
  <c r="Q42" i="40"/>
  <c r="S42" i="40"/>
  <c r="T42" i="40"/>
  <c r="V42" i="40"/>
  <c r="X42" i="40"/>
  <c r="Y42" i="40"/>
  <c r="Z42" i="40"/>
  <c r="AA42" i="40"/>
  <c r="AB42" i="40"/>
  <c r="AC42" i="40"/>
  <c r="AF42" i="40"/>
  <c r="AG42" i="40"/>
  <c r="AH42" i="40"/>
  <c r="AI42" i="40"/>
  <c r="AJ42" i="40"/>
  <c r="AL42" i="40"/>
  <c r="AM42" i="40"/>
  <c r="AN42" i="40"/>
  <c r="AO42" i="40"/>
  <c r="AP42" i="40"/>
  <c r="AQ42" i="40"/>
  <c r="AR42" i="40"/>
  <c r="AS42" i="40"/>
  <c r="AT42" i="40"/>
  <c r="AU42" i="40"/>
  <c r="AV42" i="40"/>
  <c r="AW42" i="40"/>
  <c r="AX42" i="40"/>
  <c r="AY42" i="40"/>
  <c r="BB42" i="40"/>
  <c r="BC42" i="40"/>
  <c r="BD42" i="40"/>
  <c r="BE42" i="40"/>
  <c r="BF42" i="40"/>
  <c r="BG42" i="40"/>
  <c r="BH42" i="40"/>
  <c r="BI42" i="40"/>
  <c r="BJ42" i="40"/>
  <c r="BK42" i="40"/>
  <c r="BL42" i="40"/>
  <c r="BM42" i="40"/>
  <c r="BN42" i="40"/>
  <c r="BO42" i="40"/>
  <c r="D43" i="40"/>
  <c r="F43" i="40"/>
  <c r="G43" i="40"/>
  <c r="H43" i="40"/>
  <c r="I43" i="40"/>
  <c r="K43" i="40"/>
  <c r="L43" i="40"/>
  <c r="N43" i="40"/>
  <c r="O43" i="40"/>
  <c r="P43" i="40"/>
  <c r="Q43" i="40"/>
  <c r="S43" i="40"/>
  <c r="T43" i="40"/>
  <c r="V43" i="40"/>
  <c r="X43" i="40"/>
  <c r="Y43" i="40"/>
  <c r="Z43" i="40"/>
  <c r="AA43" i="40"/>
  <c r="AB43" i="40"/>
  <c r="AC43" i="40"/>
  <c r="AF43" i="40"/>
  <c r="AG43" i="40"/>
  <c r="AH43" i="40"/>
  <c r="AI43" i="40"/>
  <c r="AJ43" i="40"/>
  <c r="AL43" i="40"/>
  <c r="AM43" i="40"/>
  <c r="AN43" i="40"/>
  <c r="AO43" i="40"/>
  <c r="AP43" i="40"/>
  <c r="AQ43" i="40"/>
  <c r="AR43" i="40"/>
  <c r="AS43" i="40"/>
  <c r="AT43" i="40"/>
  <c r="AU43" i="40"/>
  <c r="AV43" i="40"/>
  <c r="AW43" i="40"/>
  <c r="AX43" i="40"/>
  <c r="AY43" i="40"/>
  <c r="BB43" i="40"/>
  <c r="BC43" i="40"/>
  <c r="BD43" i="40"/>
  <c r="BE43" i="40"/>
  <c r="BF43" i="40"/>
  <c r="BG43" i="40"/>
  <c r="BH43" i="40"/>
  <c r="BI43" i="40"/>
  <c r="BJ43" i="40"/>
  <c r="BK43" i="40"/>
  <c r="BL43" i="40"/>
  <c r="BM43" i="40"/>
  <c r="BN43" i="40"/>
  <c r="BO43" i="40"/>
  <c r="D44" i="40"/>
  <c r="F44" i="40"/>
  <c r="G44" i="40"/>
  <c r="H44" i="40"/>
  <c r="I44" i="40"/>
  <c r="K44" i="40"/>
  <c r="L44" i="40"/>
  <c r="N44" i="40"/>
  <c r="O44" i="40"/>
  <c r="P44" i="40"/>
  <c r="Q44" i="40"/>
  <c r="S44" i="40"/>
  <c r="T44" i="40"/>
  <c r="V44" i="40"/>
  <c r="X44" i="40"/>
  <c r="Y44" i="40"/>
  <c r="Z44" i="40"/>
  <c r="AA44" i="40"/>
  <c r="AB44" i="40"/>
  <c r="AC44" i="40"/>
  <c r="AF44" i="40"/>
  <c r="AG44" i="40"/>
  <c r="AH44" i="40"/>
  <c r="AI44" i="40"/>
  <c r="AJ44" i="40"/>
  <c r="AL44" i="40"/>
  <c r="AM44" i="40"/>
  <c r="AN44" i="40"/>
  <c r="AO44" i="40"/>
  <c r="AP44" i="40"/>
  <c r="AQ44" i="40"/>
  <c r="AR44" i="40"/>
  <c r="AS44" i="40"/>
  <c r="AT44" i="40"/>
  <c r="AU44" i="40"/>
  <c r="AV44" i="40"/>
  <c r="AW44" i="40"/>
  <c r="AX44" i="40"/>
  <c r="AY44" i="40"/>
  <c r="BB44" i="40"/>
  <c r="BC44" i="40"/>
  <c r="BD44" i="40"/>
  <c r="BE44" i="40"/>
  <c r="BF44" i="40"/>
  <c r="BG44" i="40"/>
  <c r="BH44" i="40"/>
  <c r="BI44" i="40"/>
  <c r="BJ44" i="40"/>
  <c r="BK44" i="40"/>
  <c r="BL44" i="40"/>
  <c r="BM44" i="40"/>
  <c r="BN44" i="40"/>
  <c r="BO44" i="40"/>
  <c r="D45" i="40"/>
  <c r="F45" i="40"/>
  <c r="G45" i="40"/>
  <c r="H45" i="40"/>
  <c r="I45" i="40"/>
  <c r="K45" i="40"/>
  <c r="L45" i="40"/>
  <c r="N45" i="40"/>
  <c r="O45" i="40"/>
  <c r="P45" i="40"/>
  <c r="Q45" i="40"/>
  <c r="S45" i="40"/>
  <c r="T45" i="40"/>
  <c r="V45" i="40"/>
  <c r="X45" i="40"/>
  <c r="Y45" i="40"/>
  <c r="Z45" i="40"/>
  <c r="AA45" i="40"/>
  <c r="AB45" i="40"/>
  <c r="AC45" i="40"/>
  <c r="AF45" i="40"/>
  <c r="AG45" i="40"/>
  <c r="AH45" i="40"/>
  <c r="AI45" i="40"/>
  <c r="AJ45" i="40"/>
  <c r="AL45" i="40"/>
  <c r="AM45" i="40"/>
  <c r="AN45" i="40"/>
  <c r="AO45" i="40"/>
  <c r="AP45" i="40"/>
  <c r="AQ45" i="40"/>
  <c r="AR45" i="40"/>
  <c r="AS45" i="40"/>
  <c r="AT45" i="40"/>
  <c r="AU45" i="40"/>
  <c r="AV45" i="40"/>
  <c r="AW45" i="40"/>
  <c r="AX45" i="40"/>
  <c r="AY45" i="40"/>
  <c r="BB45" i="40"/>
  <c r="BC45" i="40"/>
  <c r="BD45" i="40"/>
  <c r="BE45" i="40"/>
  <c r="BF45" i="40"/>
  <c r="BG45" i="40"/>
  <c r="BH45" i="40"/>
  <c r="BI45" i="40"/>
  <c r="BJ45" i="40"/>
  <c r="BK45" i="40"/>
  <c r="BL45" i="40"/>
  <c r="BM45" i="40"/>
  <c r="BN45" i="40"/>
  <c r="BO45" i="40"/>
  <c r="D46" i="40"/>
  <c r="F46" i="40"/>
  <c r="G46" i="40"/>
  <c r="H46" i="40"/>
  <c r="I46" i="40"/>
  <c r="K46" i="40"/>
  <c r="L46" i="40"/>
  <c r="N46" i="40"/>
  <c r="O46" i="40"/>
  <c r="P46" i="40"/>
  <c r="Q46" i="40"/>
  <c r="S46" i="40"/>
  <c r="T46" i="40"/>
  <c r="V46" i="40"/>
  <c r="X46" i="40"/>
  <c r="Y46" i="40"/>
  <c r="Z46" i="40"/>
  <c r="AA46" i="40"/>
  <c r="AB46" i="40"/>
  <c r="AC46" i="40"/>
  <c r="AF46" i="40"/>
  <c r="AG46" i="40"/>
  <c r="AH46" i="40"/>
  <c r="AI46" i="40"/>
  <c r="AJ46" i="40"/>
  <c r="AL46" i="40"/>
  <c r="AM46" i="40"/>
  <c r="AN46" i="40"/>
  <c r="AO46" i="40"/>
  <c r="AP46" i="40"/>
  <c r="AQ46" i="40"/>
  <c r="AR46" i="40"/>
  <c r="AS46" i="40"/>
  <c r="AT46" i="40"/>
  <c r="AU46" i="40"/>
  <c r="AV46" i="40"/>
  <c r="AW46" i="40"/>
  <c r="AX46" i="40"/>
  <c r="AY46" i="40"/>
  <c r="BB46" i="40"/>
  <c r="BC46" i="40"/>
  <c r="BD46" i="40"/>
  <c r="BE46" i="40"/>
  <c r="BF46" i="40"/>
  <c r="BG46" i="40"/>
  <c r="BH46" i="40"/>
  <c r="BI46" i="40"/>
  <c r="BJ46" i="40"/>
  <c r="BK46" i="40"/>
  <c r="BL46" i="40"/>
  <c r="BM46" i="40"/>
  <c r="BN46" i="40"/>
  <c r="BO46" i="40"/>
  <c r="D47" i="40"/>
  <c r="F47" i="40"/>
  <c r="G47" i="40"/>
  <c r="H47" i="40"/>
  <c r="I47" i="40"/>
  <c r="K47" i="40"/>
  <c r="L47" i="40"/>
  <c r="N47" i="40"/>
  <c r="O47" i="40"/>
  <c r="P47" i="40"/>
  <c r="Q47" i="40"/>
  <c r="S47" i="40"/>
  <c r="T47" i="40"/>
  <c r="V47" i="40"/>
  <c r="X47" i="40"/>
  <c r="Y47" i="40"/>
  <c r="Z47" i="40"/>
  <c r="AA47" i="40"/>
  <c r="AB47" i="40"/>
  <c r="AC47" i="40"/>
  <c r="AF47" i="40"/>
  <c r="AG47" i="40"/>
  <c r="AH47" i="40"/>
  <c r="AI47" i="40"/>
  <c r="AJ47" i="40"/>
  <c r="AL47" i="40"/>
  <c r="AM47" i="40"/>
  <c r="AN47" i="40"/>
  <c r="AO47" i="40"/>
  <c r="AP47" i="40"/>
  <c r="AQ47" i="40"/>
  <c r="AR47" i="40"/>
  <c r="AS47" i="40"/>
  <c r="AT47" i="40"/>
  <c r="AU47" i="40"/>
  <c r="AV47" i="40"/>
  <c r="AW47" i="40"/>
  <c r="AX47" i="40"/>
  <c r="AY47" i="40"/>
  <c r="BB47" i="40"/>
  <c r="BC47" i="40"/>
  <c r="BD47" i="40"/>
  <c r="BE47" i="40"/>
  <c r="BF47" i="40"/>
  <c r="BG47" i="40"/>
  <c r="BH47" i="40"/>
  <c r="BI47" i="40"/>
  <c r="BJ47" i="40"/>
  <c r="BK47" i="40"/>
  <c r="BL47" i="40"/>
  <c r="BM47" i="40"/>
  <c r="BN47" i="40"/>
  <c r="BO47" i="40"/>
  <c r="D48" i="40"/>
  <c r="F48" i="40"/>
  <c r="G48" i="40"/>
  <c r="H48" i="40"/>
  <c r="I48" i="40"/>
  <c r="K48" i="40"/>
  <c r="L48" i="40"/>
  <c r="N48" i="40"/>
  <c r="O48" i="40"/>
  <c r="P48" i="40"/>
  <c r="Q48" i="40"/>
  <c r="S48" i="40"/>
  <c r="T48" i="40"/>
  <c r="V48" i="40"/>
  <c r="X48" i="40"/>
  <c r="Y48" i="40"/>
  <c r="Z48" i="40"/>
  <c r="AA48" i="40"/>
  <c r="AB48" i="40"/>
  <c r="AC48" i="40"/>
  <c r="AF48" i="40"/>
  <c r="AG48" i="40"/>
  <c r="AH48" i="40"/>
  <c r="AI48" i="40"/>
  <c r="AJ48" i="40"/>
  <c r="AL48" i="40"/>
  <c r="AM48" i="40"/>
  <c r="AN48" i="40"/>
  <c r="AO48" i="40"/>
  <c r="AP48" i="40"/>
  <c r="AQ48" i="40"/>
  <c r="AR48" i="40"/>
  <c r="AS48" i="40"/>
  <c r="AT48" i="40"/>
  <c r="AU48" i="40"/>
  <c r="AV48" i="40"/>
  <c r="AW48" i="40"/>
  <c r="AX48" i="40"/>
  <c r="AY48" i="40"/>
  <c r="BB48" i="40"/>
  <c r="BC48" i="40"/>
  <c r="BD48" i="40"/>
  <c r="BE48" i="40"/>
  <c r="BF48" i="40"/>
  <c r="BG48" i="40"/>
  <c r="BH48" i="40"/>
  <c r="BI48" i="40"/>
  <c r="BJ48" i="40"/>
  <c r="BK48" i="40"/>
  <c r="BL48" i="40"/>
  <c r="BM48" i="40"/>
  <c r="BN48" i="40"/>
  <c r="BO48" i="40"/>
  <c r="D49" i="40"/>
  <c r="F49" i="40"/>
  <c r="G49" i="40"/>
  <c r="H49" i="40"/>
  <c r="I49" i="40"/>
  <c r="K49" i="40"/>
  <c r="L49" i="40"/>
  <c r="N49" i="40"/>
  <c r="O49" i="40"/>
  <c r="P49" i="40"/>
  <c r="Q49" i="40"/>
  <c r="S49" i="40"/>
  <c r="T49" i="40"/>
  <c r="V49" i="40"/>
  <c r="X49" i="40"/>
  <c r="Y49" i="40"/>
  <c r="Z49" i="40"/>
  <c r="AA49" i="40"/>
  <c r="AB49" i="40"/>
  <c r="AC49" i="40"/>
  <c r="AF49" i="40"/>
  <c r="AG49" i="40"/>
  <c r="AH49" i="40"/>
  <c r="AI49" i="40"/>
  <c r="AJ49" i="40"/>
  <c r="AL49" i="40"/>
  <c r="AM49" i="40"/>
  <c r="AN49" i="40"/>
  <c r="AO49" i="40"/>
  <c r="AP49" i="40"/>
  <c r="AQ49" i="40"/>
  <c r="AR49" i="40"/>
  <c r="AS49" i="40"/>
  <c r="AT49" i="40"/>
  <c r="AU49" i="40"/>
  <c r="AV49" i="40"/>
  <c r="AW49" i="40"/>
  <c r="AX49" i="40"/>
  <c r="AY49" i="40"/>
  <c r="BB49" i="40"/>
  <c r="BC49" i="40"/>
  <c r="BD49" i="40"/>
  <c r="BE49" i="40"/>
  <c r="BF49" i="40"/>
  <c r="BG49" i="40"/>
  <c r="BH49" i="40"/>
  <c r="BI49" i="40"/>
  <c r="BJ49" i="40"/>
  <c r="BK49" i="40"/>
  <c r="BL49" i="40"/>
  <c r="BM49" i="40"/>
  <c r="BN49" i="40"/>
  <c r="BO49" i="40"/>
  <c r="D50" i="40"/>
  <c r="F50" i="40"/>
  <c r="G50" i="40"/>
  <c r="H50" i="40"/>
  <c r="I50" i="40"/>
  <c r="K50" i="40"/>
  <c r="L50" i="40"/>
  <c r="N50" i="40"/>
  <c r="O50" i="40"/>
  <c r="P50" i="40"/>
  <c r="Q50" i="40"/>
  <c r="S50" i="40"/>
  <c r="T50" i="40"/>
  <c r="V50" i="40"/>
  <c r="X50" i="40"/>
  <c r="Y50" i="40"/>
  <c r="Z50" i="40"/>
  <c r="AA50" i="40"/>
  <c r="AB50" i="40"/>
  <c r="AC50" i="40"/>
  <c r="AF50" i="40"/>
  <c r="AG50" i="40"/>
  <c r="AH50" i="40"/>
  <c r="AI50" i="40"/>
  <c r="AJ50" i="40"/>
  <c r="AL50" i="40"/>
  <c r="AM50" i="40"/>
  <c r="AN50" i="40"/>
  <c r="AO50" i="40"/>
  <c r="AP50" i="40"/>
  <c r="AQ50" i="40"/>
  <c r="AR50" i="40"/>
  <c r="AS50" i="40"/>
  <c r="AT50" i="40"/>
  <c r="AU50" i="40"/>
  <c r="AV50" i="40"/>
  <c r="AW50" i="40"/>
  <c r="AX50" i="40"/>
  <c r="AY50" i="40"/>
  <c r="BB50" i="40"/>
  <c r="BC50" i="40"/>
  <c r="BD50" i="40"/>
  <c r="BE50" i="40"/>
  <c r="BF50" i="40"/>
  <c r="BG50" i="40"/>
  <c r="BH50" i="40"/>
  <c r="BI50" i="40"/>
  <c r="BJ50" i="40"/>
  <c r="BK50" i="40"/>
  <c r="BL50" i="40"/>
  <c r="BM50" i="40"/>
  <c r="BN50" i="40"/>
  <c r="BO50" i="40"/>
  <c r="D51" i="40"/>
  <c r="F51" i="40"/>
  <c r="G51" i="40"/>
  <c r="H51" i="40"/>
  <c r="I51" i="40"/>
  <c r="K51" i="40"/>
  <c r="L51" i="40"/>
  <c r="N51" i="40"/>
  <c r="O51" i="40"/>
  <c r="P51" i="40"/>
  <c r="Q51" i="40"/>
  <c r="S51" i="40"/>
  <c r="T51" i="40"/>
  <c r="V51" i="40"/>
  <c r="X51" i="40"/>
  <c r="Y51" i="40"/>
  <c r="Z51" i="40"/>
  <c r="AA51" i="40"/>
  <c r="AB51" i="40"/>
  <c r="AC51" i="40"/>
  <c r="AF51" i="40"/>
  <c r="AG51" i="40"/>
  <c r="AH51" i="40"/>
  <c r="AI51" i="40"/>
  <c r="AJ51" i="40"/>
  <c r="AL51" i="40"/>
  <c r="AM51" i="40"/>
  <c r="AN51" i="40"/>
  <c r="AO51" i="40"/>
  <c r="AP51" i="40"/>
  <c r="AQ51" i="40"/>
  <c r="AR51" i="40"/>
  <c r="AS51" i="40"/>
  <c r="AT51" i="40"/>
  <c r="AU51" i="40"/>
  <c r="AV51" i="40"/>
  <c r="AW51" i="40"/>
  <c r="AX51" i="40"/>
  <c r="AY51" i="40"/>
  <c r="BB51" i="40"/>
  <c r="BC51" i="40"/>
  <c r="BD51" i="40"/>
  <c r="BE51" i="40"/>
  <c r="BF51" i="40"/>
  <c r="BG51" i="40"/>
  <c r="BH51" i="40"/>
  <c r="BI51" i="40"/>
  <c r="BJ51" i="40"/>
  <c r="BK51" i="40"/>
  <c r="BL51" i="40"/>
  <c r="BM51" i="40"/>
  <c r="BN51" i="40"/>
  <c r="BO51" i="40"/>
  <c r="D52" i="40"/>
  <c r="F52" i="40"/>
  <c r="G52" i="40"/>
  <c r="H52" i="40"/>
  <c r="I52" i="40"/>
  <c r="K52" i="40"/>
  <c r="L52" i="40"/>
  <c r="N52" i="40"/>
  <c r="O52" i="40"/>
  <c r="P52" i="40"/>
  <c r="Q52" i="40"/>
  <c r="S52" i="40"/>
  <c r="T52" i="40"/>
  <c r="V52" i="40"/>
  <c r="X52" i="40"/>
  <c r="Y52" i="40"/>
  <c r="Z52" i="40"/>
  <c r="AA52" i="40"/>
  <c r="AB52" i="40"/>
  <c r="AC52" i="40"/>
  <c r="AF52" i="40"/>
  <c r="AG52" i="40"/>
  <c r="AH52" i="40"/>
  <c r="AI52" i="40"/>
  <c r="AJ52" i="40"/>
  <c r="AL52" i="40"/>
  <c r="AM52" i="40"/>
  <c r="AN52" i="40"/>
  <c r="AO52" i="40"/>
  <c r="AP52" i="40"/>
  <c r="AQ52" i="40"/>
  <c r="AR52" i="40"/>
  <c r="AS52" i="40"/>
  <c r="AT52" i="40"/>
  <c r="AU52" i="40"/>
  <c r="AV52" i="40"/>
  <c r="AW52" i="40"/>
  <c r="AX52" i="40"/>
  <c r="AY52" i="40"/>
  <c r="BB52" i="40"/>
  <c r="BC52" i="40"/>
  <c r="BD52" i="40"/>
  <c r="BE52" i="40"/>
  <c r="BF52" i="40"/>
  <c r="BG52" i="40"/>
  <c r="BH52" i="40"/>
  <c r="BI52" i="40"/>
  <c r="BJ52" i="40"/>
  <c r="BK52" i="40"/>
  <c r="BL52" i="40"/>
  <c r="BM52" i="40"/>
  <c r="BN52" i="40"/>
  <c r="BO52" i="40"/>
  <c r="D53" i="40"/>
  <c r="F53" i="40"/>
  <c r="G53" i="40"/>
  <c r="H53" i="40"/>
  <c r="I53" i="40"/>
  <c r="K53" i="40"/>
  <c r="L53" i="40"/>
  <c r="N53" i="40"/>
  <c r="O53" i="40"/>
  <c r="P53" i="40"/>
  <c r="Q53" i="40"/>
  <c r="S53" i="40"/>
  <c r="T53" i="40"/>
  <c r="V53" i="40"/>
  <c r="X53" i="40"/>
  <c r="Y53" i="40"/>
  <c r="Z53" i="40"/>
  <c r="AA53" i="40"/>
  <c r="AB53" i="40"/>
  <c r="AC53" i="40"/>
  <c r="AF53" i="40"/>
  <c r="AG53" i="40"/>
  <c r="AH53" i="40"/>
  <c r="AI53" i="40"/>
  <c r="AJ53" i="40"/>
  <c r="AL53" i="40"/>
  <c r="AM53" i="40"/>
  <c r="AN53" i="40"/>
  <c r="AO53" i="40"/>
  <c r="AP53" i="40"/>
  <c r="AQ53" i="40"/>
  <c r="AR53" i="40"/>
  <c r="AS53" i="40"/>
  <c r="AT53" i="40"/>
  <c r="AU53" i="40"/>
  <c r="AV53" i="40"/>
  <c r="AW53" i="40"/>
  <c r="AX53" i="40"/>
  <c r="AY53" i="40"/>
  <c r="BB53" i="40"/>
  <c r="BC53" i="40"/>
  <c r="BD53" i="40"/>
  <c r="BE53" i="40"/>
  <c r="BF53" i="40"/>
  <c r="BG53" i="40"/>
  <c r="BH53" i="40"/>
  <c r="BI53" i="40"/>
  <c r="BJ53" i="40"/>
  <c r="BK53" i="40"/>
  <c r="BL53" i="40"/>
  <c r="BM53" i="40"/>
  <c r="BN53" i="40"/>
  <c r="BO53" i="40"/>
  <c r="D54" i="40"/>
  <c r="F54" i="40"/>
  <c r="G54" i="40"/>
  <c r="H54" i="40"/>
  <c r="I54" i="40"/>
  <c r="K54" i="40"/>
  <c r="L54" i="40"/>
  <c r="N54" i="40"/>
  <c r="O54" i="40"/>
  <c r="P54" i="40"/>
  <c r="Q54" i="40"/>
  <c r="S54" i="40"/>
  <c r="T54" i="40"/>
  <c r="V54" i="40"/>
  <c r="X54" i="40"/>
  <c r="Y54" i="40"/>
  <c r="Z54" i="40"/>
  <c r="AA54" i="40"/>
  <c r="AB54" i="40"/>
  <c r="AC54" i="40"/>
  <c r="AF54" i="40"/>
  <c r="AG54" i="40"/>
  <c r="AH54" i="40"/>
  <c r="AI54" i="40"/>
  <c r="AJ54" i="40"/>
  <c r="AL54" i="40"/>
  <c r="AM54" i="40"/>
  <c r="AN54" i="40"/>
  <c r="AO54" i="40"/>
  <c r="AP54" i="40"/>
  <c r="AQ54" i="40"/>
  <c r="AR54" i="40"/>
  <c r="AS54" i="40"/>
  <c r="AT54" i="40"/>
  <c r="AU54" i="40"/>
  <c r="AV54" i="40"/>
  <c r="AW54" i="40"/>
  <c r="AX54" i="40"/>
  <c r="AY54" i="40"/>
  <c r="BB54" i="40"/>
  <c r="BC54" i="40"/>
  <c r="BD54" i="40"/>
  <c r="BE54" i="40"/>
  <c r="BF54" i="40"/>
  <c r="BG54" i="40"/>
  <c r="BH54" i="40"/>
  <c r="BI54" i="40"/>
  <c r="BJ54" i="40"/>
  <c r="BK54" i="40"/>
  <c r="BL54" i="40"/>
  <c r="BM54" i="40"/>
  <c r="BN54" i="40"/>
  <c r="BO54" i="40"/>
  <c r="D55" i="40"/>
  <c r="F55" i="40"/>
  <c r="G55" i="40"/>
  <c r="H55" i="40"/>
  <c r="I55" i="40"/>
  <c r="K55" i="40"/>
  <c r="L55" i="40"/>
  <c r="N55" i="40"/>
  <c r="O55" i="40"/>
  <c r="P55" i="40"/>
  <c r="Q55" i="40"/>
  <c r="S55" i="40"/>
  <c r="T55" i="40"/>
  <c r="V55" i="40"/>
  <c r="X55" i="40"/>
  <c r="Y55" i="40"/>
  <c r="Z55" i="40"/>
  <c r="AA55" i="40"/>
  <c r="AB55" i="40"/>
  <c r="AC55" i="40"/>
  <c r="AF55" i="40"/>
  <c r="AG55" i="40"/>
  <c r="AH55" i="40"/>
  <c r="AI55" i="40"/>
  <c r="AJ55" i="40"/>
  <c r="AL55" i="40"/>
  <c r="AM55" i="40"/>
  <c r="AN55" i="40"/>
  <c r="AO55" i="40"/>
  <c r="AP55" i="40"/>
  <c r="AQ55" i="40"/>
  <c r="AR55" i="40"/>
  <c r="AS55" i="40"/>
  <c r="AT55" i="40"/>
  <c r="AU55" i="40"/>
  <c r="AV55" i="40"/>
  <c r="AW55" i="40"/>
  <c r="AX55" i="40"/>
  <c r="AY55" i="40"/>
  <c r="BB55" i="40"/>
  <c r="BC55" i="40"/>
  <c r="BD55" i="40"/>
  <c r="BE55" i="40"/>
  <c r="BF55" i="40"/>
  <c r="BG55" i="40"/>
  <c r="BH55" i="40"/>
  <c r="BI55" i="40"/>
  <c r="BJ55" i="40"/>
  <c r="BK55" i="40"/>
  <c r="BL55" i="40"/>
  <c r="BM55" i="40"/>
  <c r="BN55" i="40"/>
  <c r="BO55" i="40"/>
  <c r="D56" i="40"/>
  <c r="F56" i="40"/>
  <c r="G56" i="40"/>
  <c r="H56" i="40"/>
  <c r="I56" i="40"/>
  <c r="K56" i="40"/>
  <c r="L56" i="40"/>
  <c r="N56" i="40"/>
  <c r="O56" i="40"/>
  <c r="P56" i="40"/>
  <c r="Q56" i="40"/>
  <c r="S56" i="40"/>
  <c r="T56" i="40"/>
  <c r="V56" i="40"/>
  <c r="X56" i="40"/>
  <c r="Y56" i="40"/>
  <c r="Z56" i="40"/>
  <c r="AA56" i="40"/>
  <c r="AB56" i="40"/>
  <c r="AC56" i="40"/>
  <c r="AF56" i="40"/>
  <c r="AG56" i="40"/>
  <c r="AH56" i="40"/>
  <c r="AI56" i="40"/>
  <c r="AJ56" i="40"/>
  <c r="AL56" i="40"/>
  <c r="AM56" i="40"/>
  <c r="AN56" i="40"/>
  <c r="AO56" i="40"/>
  <c r="AP56" i="40"/>
  <c r="AQ56" i="40"/>
  <c r="AR56" i="40"/>
  <c r="AS56" i="40"/>
  <c r="AT56" i="40"/>
  <c r="AU56" i="40"/>
  <c r="AV56" i="40"/>
  <c r="AW56" i="40"/>
  <c r="AX56" i="40"/>
  <c r="AY56" i="40"/>
  <c r="BB56" i="40"/>
  <c r="BC56" i="40"/>
  <c r="BD56" i="40"/>
  <c r="BE56" i="40"/>
  <c r="BF56" i="40"/>
  <c r="BG56" i="40"/>
  <c r="BH56" i="40"/>
  <c r="BI56" i="40"/>
  <c r="BJ56" i="40"/>
  <c r="BK56" i="40"/>
  <c r="BL56" i="40"/>
  <c r="BM56" i="40"/>
  <c r="BN56" i="40"/>
  <c r="BO56" i="40"/>
  <c r="D57" i="40"/>
  <c r="F57" i="40"/>
  <c r="G57" i="40"/>
  <c r="H57" i="40"/>
  <c r="I57" i="40"/>
  <c r="K57" i="40"/>
  <c r="L57" i="40"/>
  <c r="N57" i="40"/>
  <c r="O57" i="40"/>
  <c r="P57" i="40"/>
  <c r="Q57" i="40"/>
  <c r="S57" i="40"/>
  <c r="T57" i="40"/>
  <c r="V57" i="40"/>
  <c r="X57" i="40"/>
  <c r="Y57" i="40"/>
  <c r="Z57" i="40"/>
  <c r="AA57" i="40"/>
  <c r="AB57" i="40"/>
  <c r="AC57" i="40"/>
  <c r="AF57" i="40"/>
  <c r="AG57" i="40"/>
  <c r="AH57" i="40"/>
  <c r="AI57" i="40"/>
  <c r="AJ57" i="40"/>
  <c r="AL57" i="40"/>
  <c r="AM57" i="40"/>
  <c r="AN57" i="40"/>
  <c r="AO57" i="40"/>
  <c r="AP57" i="40"/>
  <c r="AQ57" i="40"/>
  <c r="AR57" i="40"/>
  <c r="AS57" i="40"/>
  <c r="AT57" i="40"/>
  <c r="AU57" i="40"/>
  <c r="AV57" i="40"/>
  <c r="AW57" i="40"/>
  <c r="AX57" i="40"/>
  <c r="AY57" i="40"/>
  <c r="BB57" i="40"/>
  <c r="BC57" i="40"/>
  <c r="BD57" i="40"/>
  <c r="BE57" i="40"/>
  <c r="BF57" i="40"/>
  <c r="BG57" i="40"/>
  <c r="BH57" i="40"/>
  <c r="BI57" i="40"/>
  <c r="BJ57" i="40"/>
  <c r="BK57" i="40"/>
  <c r="BL57" i="40"/>
  <c r="BM57" i="40"/>
  <c r="BN57" i="40"/>
  <c r="BO57" i="40"/>
  <c r="D58" i="40"/>
  <c r="F58" i="40"/>
  <c r="G58" i="40"/>
  <c r="H58" i="40"/>
  <c r="I58" i="40"/>
  <c r="K58" i="40"/>
  <c r="L58" i="40"/>
  <c r="N58" i="40"/>
  <c r="O58" i="40"/>
  <c r="P58" i="40"/>
  <c r="Q58" i="40"/>
  <c r="S58" i="40"/>
  <c r="T58" i="40"/>
  <c r="V58" i="40"/>
  <c r="X58" i="40"/>
  <c r="Y58" i="40"/>
  <c r="Z58" i="40"/>
  <c r="AA58" i="40"/>
  <c r="AB58" i="40"/>
  <c r="AC58" i="40"/>
  <c r="AF58" i="40"/>
  <c r="AG58" i="40"/>
  <c r="AH58" i="40"/>
  <c r="AI58" i="40"/>
  <c r="AJ58" i="40"/>
  <c r="AL58" i="40"/>
  <c r="AM58" i="40"/>
  <c r="AN58" i="40"/>
  <c r="AO58" i="40"/>
  <c r="AP58" i="40"/>
  <c r="AQ58" i="40"/>
  <c r="AR58" i="40"/>
  <c r="AS58" i="40"/>
  <c r="AT58" i="40"/>
  <c r="AU58" i="40"/>
  <c r="AV58" i="40"/>
  <c r="AW58" i="40"/>
  <c r="AX58" i="40"/>
  <c r="AY58" i="40"/>
  <c r="BB58" i="40"/>
  <c r="BC58" i="40"/>
  <c r="BD58" i="40"/>
  <c r="BE58" i="40"/>
  <c r="BF58" i="40"/>
  <c r="BG58" i="40"/>
  <c r="BH58" i="40"/>
  <c r="BI58" i="40"/>
  <c r="BJ58" i="40"/>
  <c r="BK58" i="40"/>
  <c r="BL58" i="40"/>
  <c r="BM58" i="40"/>
  <c r="BN58" i="40"/>
  <c r="BO58" i="40"/>
  <c r="D59" i="40"/>
  <c r="F59" i="40"/>
  <c r="G59" i="40"/>
  <c r="H59" i="40"/>
  <c r="I59" i="40"/>
  <c r="K59" i="40"/>
  <c r="L59" i="40"/>
  <c r="N59" i="40"/>
  <c r="O59" i="40"/>
  <c r="P59" i="40"/>
  <c r="Q59" i="40"/>
  <c r="S59" i="40"/>
  <c r="T59" i="40"/>
  <c r="V59" i="40"/>
  <c r="X59" i="40"/>
  <c r="Y59" i="40"/>
  <c r="Z59" i="40"/>
  <c r="AA59" i="40"/>
  <c r="AB59" i="40"/>
  <c r="AC59" i="40"/>
  <c r="AF59" i="40"/>
  <c r="AG59" i="40"/>
  <c r="AH59" i="40"/>
  <c r="AI59" i="40"/>
  <c r="AJ59" i="40"/>
  <c r="AL59" i="40"/>
  <c r="AM59" i="40"/>
  <c r="AN59" i="40"/>
  <c r="AO59" i="40"/>
  <c r="AP59" i="40"/>
  <c r="AQ59" i="40"/>
  <c r="AR59" i="40"/>
  <c r="AS59" i="40"/>
  <c r="AT59" i="40"/>
  <c r="AU59" i="40"/>
  <c r="AV59" i="40"/>
  <c r="AW59" i="40"/>
  <c r="AX59" i="40"/>
  <c r="AY59" i="40"/>
  <c r="BB59" i="40"/>
  <c r="BC59" i="40"/>
  <c r="BD59" i="40"/>
  <c r="BE59" i="40"/>
  <c r="BF59" i="40"/>
  <c r="BG59" i="40"/>
  <c r="BH59" i="40"/>
  <c r="BI59" i="40"/>
  <c r="BJ59" i="40"/>
  <c r="BK59" i="40"/>
  <c r="BL59" i="40"/>
  <c r="BM59" i="40"/>
  <c r="BN59" i="40"/>
  <c r="BO59" i="40"/>
  <c r="D60" i="40"/>
  <c r="F60" i="40"/>
  <c r="G60" i="40"/>
  <c r="H60" i="40"/>
  <c r="I60" i="40"/>
  <c r="K60" i="40"/>
  <c r="L60" i="40"/>
  <c r="N60" i="40"/>
  <c r="O60" i="40"/>
  <c r="P60" i="40"/>
  <c r="Q60" i="40"/>
  <c r="S60" i="40"/>
  <c r="T60" i="40"/>
  <c r="V60" i="40"/>
  <c r="X60" i="40"/>
  <c r="Y60" i="40"/>
  <c r="Z60" i="40"/>
  <c r="AA60" i="40"/>
  <c r="AB60" i="40"/>
  <c r="AC60" i="40"/>
  <c r="AF60" i="40"/>
  <c r="AG60" i="40"/>
  <c r="AH60" i="40"/>
  <c r="AI60" i="40"/>
  <c r="AJ60" i="40"/>
  <c r="AL60" i="40"/>
  <c r="AM60" i="40"/>
  <c r="AN60" i="40"/>
  <c r="AO60" i="40"/>
  <c r="AP60" i="40"/>
  <c r="AQ60" i="40"/>
  <c r="AR60" i="40"/>
  <c r="AS60" i="40"/>
  <c r="AT60" i="40"/>
  <c r="AU60" i="40"/>
  <c r="AV60" i="40"/>
  <c r="AW60" i="40"/>
  <c r="AX60" i="40"/>
  <c r="AY60" i="40"/>
  <c r="BB60" i="40"/>
  <c r="BC60" i="40"/>
  <c r="BD60" i="40"/>
  <c r="BE60" i="40"/>
  <c r="BF60" i="40"/>
  <c r="BG60" i="40"/>
  <c r="BH60" i="40"/>
  <c r="BI60" i="40"/>
  <c r="BJ60" i="40"/>
  <c r="BK60" i="40"/>
  <c r="BL60" i="40"/>
  <c r="BM60" i="40"/>
  <c r="BN60" i="40"/>
  <c r="BO60" i="40"/>
  <c r="D61" i="40"/>
  <c r="F61" i="40"/>
  <c r="G61" i="40"/>
  <c r="H61" i="40"/>
  <c r="I61" i="40"/>
  <c r="K61" i="40"/>
  <c r="L61" i="40"/>
  <c r="N61" i="40"/>
  <c r="O61" i="40"/>
  <c r="P61" i="40"/>
  <c r="Q61" i="40"/>
  <c r="S61" i="40"/>
  <c r="T61" i="40"/>
  <c r="V61" i="40"/>
  <c r="X61" i="40"/>
  <c r="Y61" i="40"/>
  <c r="Z61" i="40"/>
  <c r="AA61" i="40"/>
  <c r="AB61" i="40"/>
  <c r="AC61" i="40"/>
  <c r="AF61" i="40"/>
  <c r="AG61" i="40"/>
  <c r="AH61" i="40"/>
  <c r="AI61" i="40"/>
  <c r="AJ61" i="40"/>
  <c r="AL61" i="40"/>
  <c r="AM61" i="40"/>
  <c r="AN61" i="40"/>
  <c r="AO61" i="40"/>
  <c r="AP61" i="40"/>
  <c r="AQ61" i="40"/>
  <c r="AR61" i="40"/>
  <c r="AS61" i="40"/>
  <c r="AT61" i="40"/>
  <c r="AU61" i="40"/>
  <c r="AV61" i="40"/>
  <c r="AW61" i="40"/>
  <c r="AX61" i="40"/>
  <c r="AY61" i="40"/>
  <c r="BB61" i="40"/>
  <c r="BC61" i="40"/>
  <c r="BD61" i="40"/>
  <c r="BE61" i="40"/>
  <c r="BF61" i="40"/>
  <c r="BG61" i="40"/>
  <c r="BH61" i="40"/>
  <c r="BI61" i="40"/>
  <c r="BJ61" i="40"/>
  <c r="BK61" i="40"/>
  <c r="BL61" i="40"/>
  <c r="BM61" i="40"/>
  <c r="BN61" i="40"/>
  <c r="BO61" i="40"/>
  <c r="D62" i="40"/>
  <c r="F62" i="40"/>
  <c r="G62" i="40"/>
  <c r="H62" i="40"/>
  <c r="I62" i="40"/>
  <c r="K62" i="40"/>
  <c r="L62" i="40"/>
  <c r="N62" i="40"/>
  <c r="O62" i="40"/>
  <c r="P62" i="40"/>
  <c r="Q62" i="40"/>
  <c r="S62" i="40"/>
  <c r="T62" i="40"/>
  <c r="V62" i="40"/>
  <c r="X62" i="40"/>
  <c r="Y62" i="40"/>
  <c r="Z62" i="40"/>
  <c r="AA62" i="40"/>
  <c r="AB62" i="40"/>
  <c r="AC62" i="40"/>
  <c r="AF62" i="40"/>
  <c r="AG62" i="40"/>
  <c r="AH62" i="40"/>
  <c r="AI62" i="40"/>
  <c r="AJ62" i="40"/>
  <c r="AL62" i="40"/>
  <c r="AM62" i="40"/>
  <c r="AN62" i="40"/>
  <c r="AO62" i="40"/>
  <c r="AP62" i="40"/>
  <c r="AQ62" i="40"/>
  <c r="AR62" i="40"/>
  <c r="AS62" i="40"/>
  <c r="AT62" i="40"/>
  <c r="AU62" i="40"/>
  <c r="AV62" i="40"/>
  <c r="AW62" i="40"/>
  <c r="AX62" i="40"/>
  <c r="AY62" i="40"/>
  <c r="BB62" i="40"/>
  <c r="BC62" i="40"/>
  <c r="BD62" i="40"/>
  <c r="BE62" i="40"/>
  <c r="BF62" i="40"/>
  <c r="BG62" i="40"/>
  <c r="BH62" i="40"/>
  <c r="BI62" i="40"/>
  <c r="BJ62" i="40"/>
  <c r="BK62" i="40"/>
  <c r="BL62" i="40"/>
  <c r="BM62" i="40"/>
  <c r="BN62" i="40"/>
  <c r="BO62" i="40"/>
  <c r="D63" i="40"/>
  <c r="F63" i="40"/>
  <c r="G63" i="40"/>
  <c r="H63" i="40"/>
  <c r="I63" i="40"/>
  <c r="K63" i="40"/>
  <c r="L63" i="40"/>
  <c r="N63" i="40"/>
  <c r="O63" i="40"/>
  <c r="P63" i="40"/>
  <c r="Q63" i="40"/>
  <c r="S63" i="40"/>
  <c r="T63" i="40"/>
  <c r="V63" i="40"/>
  <c r="X63" i="40"/>
  <c r="Y63" i="40"/>
  <c r="Z63" i="40"/>
  <c r="AA63" i="40"/>
  <c r="AB63" i="40"/>
  <c r="AC63" i="40"/>
  <c r="AF63" i="40"/>
  <c r="AG63" i="40"/>
  <c r="AH63" i="40"/>
  <c r="AI63" i="40"/>
  <c r="AJ63" i="40"/>
  <c r="AL63" i="40"/>
  <c r="AM63" i="40"/>
  <c r="AN63" i="40"/>
  <c r="AO63" i="40"/>
  <c r="AP63" i="40"/>
  <c r="AQ63" i="40"/>
  <c r="AR63" i="40"/>
  <c r="AS63" i="40"/>
  <c r="AT63" i="40"/>
  <c r="AU63" i="40"/>
  <c r="AV63" i="40"/>
  <c r="AW63" i="40"/>
  <c r="AX63" i="40"/>
  <c r="AY63" i="40"/>
  <c r="BB63" i="40"/>
  <c r="BC63" i="40"/>
  <c r="BD63" i="40"/>
  <c r="BE63" i="40"/>
  <c r="BF63" i="40"/>
  <c r="BG63" i="40"/>
  <c r="BH63" i="40"/>
  <c r="BI63" i="40"/>
  <c r="BJ63" i="40"/>
  <c r="BK63" i="40"/>
  <c r="BL63" i="40"/>
  <c r="BM63" i="40"/>
  <c r="BN63" i="40"/>
  <c r="BO63" i="40"/>
  <c r="D64" i="40"/>
  <c r="F64" i="40"/>
  <c r="G64" i="40"/>
  <c r="H64" i="40"/>
  <c r="I64" i="40"/>
  <c r="K64" i="40"/>
  <c r="L64" i="40"/>
  <c r="N64" i="40"/>
  <c r="O64" i="40"/>
  <c r="P64" i="40"/>
  <c r="Q64" i="40"/>
  <c r="S64" i="40"/>
  <c r="T64" i="40"/>
  <c r="V64" i="40"/>
  <c r="X64" i="40"/>
  <c r="Y64" i="40"/>
  <c r="Z64" i="40"/>
  <c r="AA64" i="40"/>
  <c r="AB64" i="40"/>
  <c r="AC64" i="40"/>
  <c r="AF64" i="40"/>
  <c r="AG64" i="40"/>
  <c r="AH64" i="40"/>
  <c r="AI64" i="40"/>
  <c r="AJ64" i="40"/>
  <c r="AL64" i="40"/>
  <c r="AM64" i="40"/>
  <c r="AN64" i="40"/>
  <c r="AO64" i="40"/>
  <c r="AP64" i="40"/>
  <c r="AQ64" i="40"/>
  <c r="AR64" i="40"/>
  <c r="AS64" i="40"/>
  <c r="AT64" i="40"/>
  <c r="AU64" i="40"/>
  <c r="AV64" i="40"/>
  <c r="AW64" i="40"/>
  <c r="AX64" i="40"/>
  <c r="AY64" i="40"/>
  <c r="BB64" i="40"/>
  <c r="BC64" i="40"/>
  <c r="BD64" i="40"/>
  <c r="BE64" i="40"/>
  <c r="BF64" i="40"/>
  <c r="BG64" i="40"/>
  <c r="BH64" i="40"/>
  <c r="BI64" i="40"/>
  <c r="BJ64" i="40"/>
  <c r="BK64" i="40"/>
  <c r="BL64" i="40"/>
  <c r="BM64" i="40"/>
  <c r="BN64" i="40"/>
  <c r="BO64" i="40"/>
  <c r="D65" i="40"/>
  <c r="F65" i="40"/>
  <c r="G65" i="40"/>
  <c r="H65" i="40"/>
  <c r="I65" i="40"/>
  <c r="K65" i="40"/>
  <c r="L65" i="40"/>
  <c r="N65" i="40"/>
  <c r="O65" i="40"/>
  <c r="P65" i="40"/>
  <c r="Q65" i="40"/>
  <c r="S65" i="40"/>
  <c r="T65" i="40"/>
  <c r="V65" i="40"/>
  <c r="X65" i="40"/>
  <c r="Y65" i="40"/>
  <c r="Z65" i="40"/>
  <c r="AA65" i="40"/>
  <c r="AB65" i="40"/>
  <c r="AC65" i="40"/>
  <c r="AF65" i="40"/>
  <c r="AG65" i="40"/>
  <c r="AH65" i="40"/>
  <c r="AI65" i="40"/>
  <c r="AJ65" i="40"/>
  <c r="AL65" i="40"/>
  <c r="AM65" i="40"/>
  <c r="AN65" i="40"/>
  <c r="AO65" i="40"/>
  <c r="AP65" i="40"/>
  <c r="AQ65" i="40"/>
  <c r="AR65" i="40"/>
  <c r="AS65" i="40"/>
  <c r="AT65" i="40"/>
  <c r="AU65" i="40"/>
  <c r="AV65" i="40"/>
  <c r="AW65" i="40"/>
  <c r="AX65" i="40"/>
  <c r="AY65" i="40"/>
  <c r="BB65" i="40"/>
  <c r="BC65" i="40"/>
  <c r="BD65" i="40"/>
  <c r="BE65" i="40"/>
  <c r="BF65" i="40"/>
  <c r="BG65" i="40"/>
  <c r="BH65" i="40"/>
  <c r="BI65" i="40"/>
  <c r="BJ65" i="40"/>
  <c r="BK65" i="40"/>
  <c r="BL65" i="40"/>
  <c r="BM65" i="40"/>
  <c r="BN65" i="40"/>
  <c r="BO65" i="40"/>
  <c r="D66" i="40"/>
  <c r="F66" i="40"/>
  <c r="G66" i="40"/>
  <c r="H66" i="40"/>
  <c r="I66" i="40"/>
  <c r="K66" i="40"/>
  <c r="L66" i="40"/>
  <c r="N66" i="40"/>
  <c r="O66" i="40"/>
  <c r="P66" i="40"/>
  <c r="Q66" i="40"/>
  <c r="S66" i="40"/>
  <c r="T66" i="40"/>
  <c r="V66" i="40"/>
  <c r="X66" i="40"/>
  <c r="Y66" i="40"/>
  <c r="Z66" i="40"/>
  <c r="AA66" i="40"/>
  <c r="AB66" i="40"/>
  <c r="AC66" i="40"/>
  <c r="AF66" i="40"/>
  <c r="AG66" i="40"/>
  <c r="AH66" i="40"/>
  <c r="AI66" i="40"/>
  <c r="AJ66" i="40"/>
  <c r="AL66" i="40"/>
  <c r="AM66" i="40"/>
  <c r="AN66" i="40"/>
  <c r="AO66" i="40"/>
  <c r="AP66" i="40"/>
  <c r="AQ66" i="40"/>
  <c r="AR66" i="40"/>
  <c r="AS66" i="40"/>
  <c r="AT66" i="40"/>
  <c r="AU66" i="40"/>
  <c r="AV66" i="40"/>
  <c r="AW66" i="40"/>
  <c r="AX66" i="40"/>
  <c r="AY66" i="40"/>
  <c r="BB66" i="40"/>
  <c r="BC66" i="40"/>
  <c r="BD66" i="40"/>
  <c r="BE66" i="40"/>
  <c r="BF66" i="40"/>
  <c r="BG66" i="40"/>
  <c r="BH66" i="40"/>
  <c r="BI66" i="40"/>
  <c r="BJ66" i="40"/>
  <c r="BK66" i="40"/>
  <c r="BL66" i="40"/>
  <c r="BM66" i="40"/>
  <c r="BN66" i="40"/>
  <c r="BO66" i="40"/>
  <c r="D67" i="40"/>
  <c r="F67" i="40"/>
  <c r="G67" i="40"/>
  <c r="H67" i="40"/>
  <c r="I67" i="40"/>
  <c r="K67" i="40"/>
  <c r="L67" i="40"/>
  <c r="N67" i="40"/>
  <c r="O67" i="40"/>
  <c r="P67" i="40"/>
  <c r="Q67" i="40"/>
  <c r="S67" i="40"/>
  <c r="T67" i="40"/>
  <c r="V67" i="40"/>
  <c r="X67" i="40"/>
  <c r="Y67" i="40"/>
  <c r="Z67" i="40"/>
  <c r="AA67" i="40"/>
  <c r="AB67" i="40"/>
  <c r="AC67" i="40"/>
  <c r="AF67" i="40"/>
  <c r="AG67" i="40"/>
  <c r="AH67" i="40"/>
  <c r="AI67" i="40"/>
  <c r="AJ67" i="40"/>
  <c r="AL67" i="40"/>
  <c r="AM67" i="40"/>
  <c r="AN67" i="40"/>
  <c r="AO67" i="40"/>
  <c r="AP67" i="40"/>
  <c r="AQ67" i="40"/>
  <c r="AR67" i="40"/>
  <c r="AS67" i="40"/>
  <c r="AT67" i="40"/>
  <c r="AU67" i="40"/>
  <c r="AV67" i="40"/>
  <c r="AW67" i="40"/>
  <c r="AX67" i="40"/>
  <c r="AY67" i="40"/>
  <c r="BB67" i="40"/>
  <c r="BC67" i="40"/>
  <c r="BD67" i="40"/>
  <c r="BE67" i="40"/>
  <c r="BF67" i="40"/>
  <c r="BG67" i="40"/>
  <c r="BH67" i="40"/>
  <c r="BI67" i="40"/>
  <c r="BJ67" i="40"/>
  <c r="BK67" i="40"/>
  <c r="BL67" i="40"/>
  <c r="BM67" i="40"/>
  <c r="BN67" i="40"/>
  <c r="BO67" i="40"/>
  <c r="D68" i="40"/>
  <c r="F68" i="40"/>
  <c r="G68" i="40"/>
  <c r="H68" i="40"/>
  <c r="I68" i="40"/>
  <c r="K68" i="40"/>
  <c r="L68" i="40"/>
  <c r="N68" i="40"/>
  <c r="O68" i="40"/>
  <c r="P68" i="40"/>
  <c r="Q68" i="40"/>
  <c r="S68" i="40"/>
  <c r="T68" i="40"/>
  <c r="V68" i="40"/>
  <c r="X68" i="40"/>
  <c r="Y68" i="40"/>
  <c r="Z68" i="40"/>
  <c r="AA68" i="40"/>
  <c r="AB68" i="40"/>
  <c r="AC68" i="40"/>
  <c r="AF68" i="40"/>
  <c r="AG68" i="40"/>
  <c r="AH68" i="40"/>
  <c r="AI68" i="40"/>
  <c r="AJ68" i="40"/>
  <c r="AL68" i="40"/>
  <c r="AM68" i="40"/>
  <c r="AN68" i="40"/>
  <c r="AO68" i="40"/>
  <c r="AP68" i="40"/>
  <c r="AQ68" i="40"/>
  <c r="AR68" i="40"/>
  <c r="AS68" i="40"/>
  <c r="AT68" i="40"/>
  <c r="AU68" i="40"/>
  <c r="AV68" i="40"/>
  <c r="AW68" i="40"/>
  <c r="AX68" i="40"/>
  <c r="AY68" i="40"/>
  <c r="BB68" i="40"/>
  <c r="BC68" i="40"/>
  <c r="BD68" i="40"/>
  <c r="BE68" i="40"/>
  <c r="BF68" i="40"/>
  <c r="BG68" i="40"/>
  <c r="BH68" i="40"/>
  <c r="BI68" i="40"/>
  <c r="BJ68" i="40"/>
  <c r="BK68" i="40"/>
  <c r="BL68" i="40"/>
  <c r="BM68" i="40"/>
  <c r="BN68" i="40"/>
  <c r="BO68" i="40"/>
  <c r="D69" i="40"/>
  <c r="F69" i="40"/>
  <c r="G69" i="40"/>
  <c r="H69" i="40"/>
  <c r="I69" i="40"/>
  <c r="K69" i="40"/>
  <c r="L69" i="40"/>
  <c r="N69" i="40"/>
  <c r="O69" i="40"/>
  <c r="P69" i="40"/>
  <c r="Q69" i="40"/>
  <c r="S69" i="40"/>
  <c r="T69" i="40"/>
  <c r="V69" i="40"/>
  <c r="X69" i="40"/>
  <c r="Y69" i="40"/>
  <c r="Z69" i="40"/>
  <c r="AA69" i="40"/>
  <c r="AB69" i="40"/>
  <c r="AC69" i="40"/>
  <c r="AF69" i="40"/>
  <c r="AG69" i="40"/>
  <c r="AH69" i="40"/>
  <c r="AI69" i="40"/>
  <c r="AJ69" i="40"/>
  <c r="AL69" i="40"/>
  <c r="AM69" i="40"/>
  <c r="AN69" i="40"/>
  <c r="AO69" i="40"/>
  <c r="AP69" i="40"/>
  <c r="AQ69" i="40"/>
  <c r="AR69" i="40"/>
  <c r="AS69" i="40"/>
  <c r="AT69" i="40"/>
  <c r="AU69" i="40"/>
  <c r="AV69" i="40"/>
  <c r="AW69" i="40"/>
  <c r="AX69" i="40"/>
  <c r="AY69" i="40"/>
  <c r="BB69" i="40"/>
  <c r="BC69" i="40"/>
  <c r="BD69" i="40"/>
  <c r="BE69" i="40"/>
  <c r="BF69" i="40"/>
  <c r="BG69" i="40"/>
  <c r="BH69" i="40"/>
  <c r="BI69" i="40"/>
  <c r="BJ69" i="40"/>
  <c r="BK69" i="40"/>
  <c r="BL69" i="40"/>
  <c r="BM69" i="40"/>
  <c r="BN69" i="40"/>
  <c r="BO69" i="40"/>
  <c r="D70" i="40"/>
  <c r="F70" i="40"/>
  <c r="G70" i="40"/>
  <c r="H70" i="40"/>
  <c r="I70" i="40"/>
  <c r="K70" i="40"/>
  <c r="L70" i="40"/>
  <c r="N70" i="40"/>
  <c r="O70" i="40"/>
  <c r="P70" i="40"/>
  <c r="Q70" i="40"/>
  <c r="S70" i="40"/>
  <c r="T70" i="40"/>
  <c r="V70" i="40"/>
  <c r="X70" i="40"/>
  <c r="Y70" i="40"/>
  <c r="Z70" i="40"/>
  <c r="AA70" i="40"/>
  <c r="AB70" i="40"/>
  <c r="AC70" i="40"/>
  <c r="AF70" i="40"/>
  <c r="AG70" i="40"/>
  <c r="AH70" i="40"/>
  <c r="AI70" i="40"/>
  <c r="AJ70" i="40"/>
  <c r="AL70" i="40"/>
  <c r="AM70" i="40"/>
  <c r="AN70" i="40"/>
  <c r="AO70" i="40"/>
  <c r="AP70" i="40"/>
  <c r="AQ70" i="40"/>
  <c r="AR70" i="40"/>
  <c r="AS70" i="40"/>
  <c r="AT70" i="40"/>
  <c r="AU70" i="40"/>
  <c r="AV70" i="40"/>
  <c r="AW70" i="40"/>
  <c r="AX70" i="40"/>
  <c r="AY70" i="40"/>
  <c r="BB70" i="40"/>
  <c r="BC70" i="40"/>
  <c r="BD70" i="40"/>
  <c r="BE70" i="40"/>
  <c r="BF70" i="40"/>
  <c r="BG70" i="40"/>
  <c r="BH70" i="40"/>
  <c r="BI70" i="40"/>
  <c r="BJ70" i="40"/>
  <c r="BK70" i="40"/>
  <c r="BL70" i="40"/>
  <c r="BM70" i="40"/>
  <c r="BN70" i="40"/>
  <c r="BO70" i="40"/>
  <c r="D71" i="40"/>
  <c r="F71" i="40"/>
  <c r="G71" i="40"/>
  <c r="H71" i="40"/>
  <c r="I71" i="40"/>
  <c r="K71" i="40"/>
  <c r="L71" i="40"/>
  <c r="N71" i="40"/>
  <c r="O71" i="40"/>
  <c r="P71" i="40"/>
  <c r="Q71" i="40"/>
  <c r="S71" i="40"/>
  <c r="T71" i="40"/>
  <c r="V71" i="40"/>
  <c r="X71" i="40"/>
  <c r="Y71" i="40"/>
  <c r="Z71" i="40"/>
  <c r="AA71" i="40"/>
  <c r="AB71" i="40"/>
  <c r="AC71" i="40"/>
  <c r="AF71" i="40"/>
  <c r="AG71" i="40"/>
  <c r="AH71" i="40"/>
  <c r="AI71" i="40"/>
  <c r="AJ71" i="40"/>
  <c r="AL71" i="40"/>
  <c r="AM71" i="40"/>
  <c r="AN71" i="40"/>
  <c r="AO71" i="40"/>
  <c r="AP71" i="40"/>
  <c r="AQ71" i="40"/>
  <c r="AR71" i="40"/>
  <c r="AS71" i="40"/>
  <c r="AT71" i="40"/>
  <c r="AU71" i="40"/>
  <c r="AV71" i="40"/>
  <c r="AW71" i="40"/>
  <c r="AX71" i="40"/>
  <c r="AY71" i="40"/>
  <c r="BB71" i="40"/>
  <c r="BC71" i="40"/>
  <c r="BD71" i="40"/>
  <c r="BE71" i="40"/>
  <c r="BF71" i="40"/>
  <c r="BG71" i="40"/>
  <c r="BH71" i="40"/>
  <c r="BI71" i="40"/>
  <c r="BJ71" i="40"/>
  <c r="BK71" i="40"/>
  <c r="BL71" i="40"/>
  <c r="BM71" i="40"/>
  <c r="BN71" i="40"/>
  <c r="BO71" i="40"/>
  <c r="D72" i="40"/>
  <c r="F72" i="40"/>
  <c r="G72" i="40"/>
  <c r="H72" i="40"/>
  <c r="I72" i="40"/>
  <c r="K72" i="40"/>
  <c r="L72" i="40"/>
  <c r="N72" i="40"/>
  <c r="O72" i="40"/>
  <c r="P72" i="40"/>
  <c r="Q72" i="40"/>
  <c r="S72" i="40"/>
  <c r="T72" i="40"/>
  <c r="V72" i="40"/>
  <c r="X72" i="40"/>
  <c r="Y72" i="40"/>
  <c r="Z72" i="40"/>
  <c r="AA72" i="40"/>
  <c r="AB72" i="40"/>
  <c r="AC72" i="40"/>
  <c r="AF72" i="40"/>
  <c r="AG72" i="40"/>
  <c r="AH72" i="40"/>
  <c r="AI72" i="40"/>
  <c r="AJ72" i="40"/>
  <c r="AL72" i="40"/>
  <c r="AM72" i="40"/>
  <c r="AN72" i="40"/>
  <c r="AO72" i="40"/>
  <c r="AP72" i="40"/>
  <c r="AQ72" i="40"/>
  <c r="AR72" i="40"/>
  <c r="AS72" i="40"/>
  <c r="AT72" i="40"/>
  <c r="AU72" i="40"/>
  <c r="AV72" i="40"/>
  <c r="AW72" i="40"/>
  <c r="AX72" i="40"/>
  <c r="AY72" i="40"/>
  <c r="BB72" i="40"/>
  <c r="BC72" i="40"/>
  <c r="BD72" i="40"/>
  <c r="BE72" i="40"/>
  <c r="BF72" i="40"/>
  <c r="BG72" i="40"/>
  <c r="BH72" i="40"/>
  <c r="BI72" i="40"/>
  <c r="BJ72" i="40"/>
  <c r="BK72" i="40"/>
  <c r="BL72" i="40"/>
  <c r="BM72" i="40"/>
  <c r="BN72" i="40"/>
  <c r="BO72" i="40"/>
  <c r="D73" i="40"/>
  <c r="F73" i="40"/>
  <c r="G73" i="40"/>
  <c r="H73" i="40"/>
  <c r="I73" i="40"/>
  <c r="K73" i="40"/>
  <c r="L73" i="40"/>
  <c r="N73" i="40"/>
  <c r="O73" i="40"/>
  <c r="P73" i="40"/>
  <c r="Q73" i="40"/>
  <c r="S73" i="40"/>
  <c r="T73" i="40"/>
  <c r="V73" i="40"/>
  <c r="X73" i="40"/>
  <c r="Y73" i="40"/>
  <c r="Z73" i="40"/>
  <c r="AA73" i="40"/>
  <c r="AB73" i="40"/>
  <c r="AC73" i="40"/>
  <c r="AF73" i="40"/>
  <c r="AG73" i="40"/>
  <c r="AH73" i="40"/>
  <c r="AI73" i="40"/>
  <c r="AJ73" i="40"/>
  <c r="AL73" i="40"/>
  <c r="AM73" i="40"/>
  <c r="AN73" i="40"/>
  <c r="AO73" i="40"/>
  <c r="AP73" i="40"/>
  <c r="AQ73" i="40"/>
  <c r="AR73" i="40"/>
  <c r="AS73" i="40"/>
  <c r="AT73" i="40"/>
  <c r="AU73" i="40"/>
  <c r="AV73" i="40"/>
  <c r="AW73" i="40"/>
  <c r="AX73" i="40"/>
  <c r="AY73" i="40"/>
  <c r="BB73" i="40"/>
  <c r="BC73" i="40"/>
  <c r="BD73" i="40"/>
  <c r="BE73" i="40"/>
  <c r="BF73" i="40"/>
  <c r="BG73" i="40"/>
  <c r="BH73" i="40"/>
  <c r="BI73" i="40"/>
  <c r="BJ73" i="40"/>
  <c r="BK73" i="40"/>
  <c r="BL73" i="40"/>
  <c r="BM73" i="40"/>
  <c r="BN73" i="40"/>
  <c r="BO73" i="40"/>
  <c r="D74" i="40"/>
  <c r="F74" i="40"/>
  <c r="G74" i="40"/>
  <c r="H74" i="40"/>
  <c r="I74" i="40"/>
  <c r="K74" i="40"/>
  <c r="L74" i="40"/>
  <c r="N74" i="40"/>
  <c r="O74" i="40"/>
  <c r="P74" i="40"/>
  <c r="Q74" i="40"/>
  <c r="S74" i="40"/>
  <c r="T74" i="40"/>
  <c r="V74" i="40"/>
  <c r="X74" i="40"/>
  <c r="Y74" i="40"/>
  <c r="Z74" i="40"/>
  <c r="AA74" i="40"/>
  <c r="AB74" i="40"/>
  <c r="AC74" i="40"/>
  <c r="AF74" i="40"/>
  <c r="AG74" i="40"/>
  <c r="AH74" i="40"/>
  <c r="AI74" i="40"/>
  <c r="AJ74" i="40"/>
  <c r="AL74" i="40"/>
  <c r="AM74" i="40"/>
  <c r="AN74" i="40"/>
  <c r="AO74" i="40"/>
  <c r="AP74" i="40"/>
  <c r="AQ74" i="40"/>
  <c r="AR74" i="40"/>
  <c r="AS74" i="40"/>
  <c r="AT74" i="40"/>
  <c r="AU74" i="40"/>
  <c r="AV74" i="40"/>
  <c r="AW74" i="40"/>
  <c r="AX74" i="40"/>
  <c r="AY74" i="40"/>
  <c r="BB74" i="40"/>
  <c r="BC74" i="40"/>
  <c r="BD74" i="40"/>
  <c r="BE74" i="40"/>
  <c r="BF74" i="40"/>
  <c r="BG74" i="40"/>
  <c r="BH74" i="40"/>
  <c r="BI74" i="40"/>
  <c r="BJ74" i="40"/>
  <c r="BK74" i="40"/>
  <c r="BL74" i="40"/>
  <c r="BM74" i="40"/>
  <c r="BN74" i="40"/>
  <c r="BO74" i="40"/>
  <c r="D75" i="40"/>
  <c r="F75" i="40"/>
  <c r="G75" i="40"/>
  <c r="H75" i="40"/>
  <c r="I75" i="40"/>
  <c r="K75" i="40"/>
  <c r="L75" i="40"/>
  <c r="N75" i="40"/>
  <c r="O75" i="40"/>
  <c r="P75" i="40"/>
  <c r="Q75" i="40"/>
  <c r="S75" i="40"/>
  <c r="T75" i="40"/>
  <c r="V75" i="40"/>
  <c r="X75" i="40"/>
  <c r="Y75" i="40"/>
  <c r="Z75" i="40"/>
  <c r="AA75" i="40"/>
  <c r="AB75" i="40"/>
  <c r="AC75" i="40"/>
  <c r="AF75" i="40"/>
  <c r="AG75" i="40"/>
  <c r="AH75" i="40"/>
  <c r="AI75" i="40"/>
  <c r="AJ75" i="40"/>
  <c r="AL75" i="40"/>
  <c r="AM75" i="40"/>
  <c r="AN75" i="40"/>
  <c r="AO75" i="40"/>
  <c r="AP75" i="40"/>
  <c r="AQ75" i="40"/>
  <c r="AR75" i="40"/>
  <c r="AS75" i="40"/>
  <c r="AT75" i="40"/>
  <c r="AU75" i="40"/>
  <c r="AV75" i="40"/>
  <c r="AW75" i="40"/>
  <c r="AX75" i="40"/>
  <c r="AY75" i="40"/>
  <c r="BB75" i="40"/>
  <c r="BC75" i="40"/>
  <c r="BD75" i="40"/>
  <c r="BE75" i="40"/>
  <c r="BF75" i="40"/>
  <c r="BG75" i="40"/>
  <c r="BH75" i="40"/>
  <c r="BI75" i="40"/>
  <c r="BJ75" i="40"/>
  <c r="BK75" i="40"/>
  <c r="BL75" i="40"/>
  <c r="BM75" i="40"/>
  <c r="BN75" i="40"/>
  <c r="BO75" i="40"/>
  <c r="D76" i="40"/>
  <c r="F76" i="40"/>
  <c r="G76" i="40"/>
  <c r="H76" i="40"/>
  <c r="I76" i="40"/>
  <c r="K76" i="40"/>
  <c r="L76" i="40"/>
  <c r="N76" i="40"/>
  <c r="O76" i="40"/>
  <c r="P76" i="40"/>
  <c r="Q76" i="40"/>
  <c r="S76" i="40"/>
  <c r="T76" i="40"/>
  <c r="V76" i="40"/>
  <c r="X76" i="40"/>
  <c r="Y76" i="40"/>
  <c r="Z76" i="40"/>
  <c r="AA76" i="40"/>
  <c r="AB76" i="40"/>
  <c r="AC76" i="40"/>
  <c r="AF76" i="40"/>
  <c r="AG76" i="40"/>
  <c r="AH76" i="40"/>
  <c r="AI76" i="40"/>
  <c r="AJ76" i="40"/>
  <c r="AL76" i="40"/>
  <c r="AM76" i="40"/>
  <c r="AN76" i="40"/>
  <c r="AO76" i="40"/>
  <c r="AP76" i="40"/>
  <c r="AQ76" i="40"/>
  <c r="AR76" i="40"/>
  <c r="AS76" i="40"/>
  <c r="AT76" i="40"/>
  <c r="AU76" i="40"/>
  <c r="AV76" i="40"/>
  <c r="AW76" i="40"/>
  <c r="AX76" i="40"/>
  <c r="AY76" i="40"/>
  <c r="BB76" i="40"/>
  <c r="BC76" i="40"/>
  <c r="BD76" i="40"/>
  <c r="BE76" i="40"/>
  <c r="BF76" i="40"/>
  <c r="BG76" i="40"/>
  <c r="BH76" i="40"/>
  <c r="BI76" i="40"/>
  <c r="BJ76" i="40"/>
  <c r="BK76" i="40"/>
  <c r="BL76" i="40"/>
  <c r="BM76" i="40"/>
  <c r="BN76" i="40"/>
  <c r="BO76" i="40"/>
  <c r="D77" i="40"/>
  <c r="F77" i="40"/>
  <c r="G77" i="40"/>
  <c r="H77" i="40"/>
  <c r="I77" i="40"/>
  <c r="K77" i="40"/>
  <c r="L77" i="40"/>
  <c r="N77" i="40"/>
  <c r="O77" i="40"/>
  <c r="P77" i="40"/>
  <c r="Q77" i="40"/>
  <c r="S77" i="40"/>
  <c r="T77" i="40"/>
  <c r="V77" i="40"/>
  <c r="X77" i="40"/>
  <c r="Y77" i="40"/>
  <c r="Z77" i="40"/>
  <c r="AA77" i="40"/>
  <c r="AB77" i="40"/>
  <c r="AC77" i="40"/>
  <c r="AF77" i="40"/>
  <c r="AG77" i="40"/>
  <c r="AH77" i="40"/>
  <c r="AI77" i="40"/>
  <c r="AJ77" i="40"/>
  <c r="AL77" i="40"/>
  <c r="AM77" i="40"/>
  <c r="AN77" i="40"/>
  <c r="AO77" i="40"/>
  <c r="AP77" i="40"/>
  <c r="AQ77" i="40"/>
  <c r="AR77" i="40"/>
  <c r="AS77" i="40"/>
  <c r="AT77" i="40"/>
  <c r="AU77" i="40"/>
  <c r="AV77" i="40"/>
  <c r="AW77" i="40"/>
  <c r="AX77" i="40"/>
  <c r="AY77" i="40"/>
  <c r="BB77" i="40"/>
  <c r="BC77" i="40"/>
  <c r="BD77" i="40"/>
  <c r="BE77" i="40"/>
  <c r="BF77" i="40"/>
  <c r="BG77" i="40"/>
  <c r="BH77" i="40"/>
  <c r="BI77" i="40"/>
  <c r="BJ77" i="40"/>
  <c r="BK77" i="40"/>
  <c r="BL77" i="40"/>
  <c r="BM77" i="40"/>
  <c r="BN77" i="40"/>
  <c r="BO77" i="40"/>
  <c r="D78" i="40"/>
  <c r="F78" i="40"/>
  <c r="G78" i="40"/>
  <c r="H78" i="40"/>
  <c r="I78" i="40"/>
  <c r="K78" i="40"/>
  <c r="L78" i="40"/>
  <c r="N78" i="40"/>
  <c r="O78" i="40"/>
  <c r="P78" i="40"/>
  <c r="Q78" i="40"/>
  <c r="S78" i="40"/>
  <c r="T78" i="40"/>
  <c r="V78" i="40"/>
  <c r="X78" i="40"/>
  <c r="Y78" i="40"/>
  <c r="Z78" i="40"/>
  <c r="AA78" i="40"/>
  <c r="AB78" i="40"/>
  <c r="AC78" i="40"/>
  <c r="AF78" i="40"/>
  <c r="AG78" i="40"/>
  <c r="AH78" i="40"/>
  <c r="AI78" i="40"/>
  <c r="AJ78" i="40"/>
  <c r="AL78" i="40"/>
  <c r="AM78" i="40"/>
  <c r="AN78" i="40"/>
  <c r="AO78" i="40"/>
  <c r="AP78" i="40"/>
  <c r="AQ78" i="40"/>
  <c r="AR78" i="40"/>
  <c r="AS78" i="40"/>
  <c r="AT78" i="40"/>
  <c r="AU78" i="40"/>
  <c r="AV78" i="40"/>
  <c r="AW78" i="40"/>
  <c r="AX78" i="40"/>
  <c r="AY78" i="40"/>
  <c r="BB78" i="40"/>
  <c r="BC78" i="40"/>
  <c r="BD78" i="40"/>
  <c r="BE78" i="40"/>
  <c r="BF78" i="40"/>
  <c r="BG78" i="40"/>
  <c r="BH78" i="40"/>
  <c r="BI78" i="40"/>
  <c r="BJ78" i="40"/>
  <c r="BK78" i="40"/>
  <c r="BL78" i="40"/>
  <c r="BM78" i="40"/>
  <c r="BN78" i="40"/>
  <c r="BO78" i="40"/>
  <c r="D79" i="40"/>
  <c r="F79" i="40"/>
  <c r="G79" i="40"/>
  <c r="H79" i="40"/>
  <c r="I79" i="40"/>
  <c r="K79" i="40"/>
  <c r="L79" i="40"/>
  <c r="N79" i="40"/>
  <c r="O79" i="40"/>
  <c r="P79" i="40"/>
  <c r="Q79" i="40"/>
  <c r="S79" i="40"/>
  <c r="T79" i="40"/>
  <c r="V79" i="40"/>
  <c r="X79" i="40"/>
  <c r="Y79" i="40"/>
  <c r="Z79" i="40"/>
  <c r="AA79" i="40"/>
  <c r="AB79" i="40"/>
  <c r="AC79" i="40"/>
  <c r="AF79" i="40"/>
  <c r="AG79" i="40"/>
  <c r="AH79" i="40"/>
  <c r="AI79" i="40"/>
  <c r="AJ79" i="40"/>
  <c r="AL79" i="40"/>
  <c r="AM79" i="40"/>
  <c r="AN79" i="40"/>
  <c r="AO79" i="40"/>
  <c r="AP79" i="40"/>
  <c r="AQ79" i="40"/>
  <c r="AR79" i="40"/>
  <c r="AS79" i="40"/>
  <c r="AT79" i="40"/>
  <c r="AU79" i="40"/>
  <c r="AV79" i="40"/>
  <c r="AW79" i="40"/>
  <c r="AX79" i="40"/>
  <c r="AY79" i="40"/>
  <c r="BB79" i="40"/>
  <c r="BC79" i="40"/>
  <c r="BD79" i="40"/>
  <c r="BE79" i="40"/>
  <c r="BF79" i="40"/>
  <c r="BG79" i="40"/>
  <c r="BH79" i="40"/>
  <c r="BI79" i="40"/>
  <c r="BJ79" i="40"/>
  <c r="BK79" i="40"/>
  <c r="BL79" i="40"/>
  <c r="BM79" i="40"/>
  <c r="BN79" i="40"/>
  <c r="BO79" i="40"/>
  <c r="D80" i="40"/>
  <c r="F80" i="40"/>
  <c r="G80" i="40"/>
  <c r="H80" i="40"/>
  <c r="I80" i="40"/>
  <c r="K80" i="40"/>
  <c r="L80" i="40"/>
  <c r="N80" i="40"/>
  <c r="O80" i="40"/>
  <c r="P80" i="40"/>
  <c r="Q80" i="40"/>
  <c r="S80" i="40"/>
  <c r="T80" i="40"/>
  <c r="V80" i="40"/>
  <c r="X80" i="40"/>
  <c r="Y80" i="40"/>
  <c r="Z80" i="40"/>
  <c r="AA80" i="40"/>
  <c r="AB80" i="40"/>
  <c r="AC80" i="40"/>
  <c r="AF80" i="40"/>
  <c r="AG80" i="40"/>
  <c r="AH80" i="40"/>
  <c r="AI80" i="40"/>
  <c r="AJ80" i="40"/>
  <c r="AL80" i="40"/>
  <c r="AM80" i="40"/>
  <c r="AN80" i="40"/>
  <c r="AO80" i="40"/>
  <c r="AP80" i="40"/>
  <c r="AQ80" i="40"/>
  <c r="AR80" i="40"/>
  <c r="AS80" i="40"/>
  <c r="AT80" i="40"/>
  <c r="AU80" i="40"/>
  <c r="AV80" i="40"/>
  <c r="AW80" i="40"/>
  <c r="AX80" i="40"/>
  <c r="AY80" i="40"/>
  <c r="BB80" i="40"/>
  <c r="BC80" i="40"/>
  <c r="BD80" i="40"/>
  <c r="BE80" i="40"/>
  <c r="BF80" i="40"/>
  <c r="BG80" i="40"/>
  <c r="BH80" i="40"/>
  <c r="BI80" i="40"/>
  <c r="BJ80" i="40"/>
  <c r="BK80" i="40"/>
  <c r="BL80" i="40"/>
  <c r="BM80" i="40"/>
  <c r="BN80" i="40"/>
  <c r="BO80" i="40"/>
  <c r="D81" i="40"/>
  <c r="F81" i="40"/>
  <c r="G81" i="40"/>
  <c r="H81" i="40"/>
  <c r="I81" i="40"/>
  <c r="K81" i="40"/>
  <c r="L81" i="40"/>
  <c r="N81" i="40"/>
  <c r="O81" i="40"/>
  <c r="P81" i="40"/>
  <c r="Q81" i="40"/>
  <c r="S81" i="40"/>
  <c r="T81" i="40"/>
  <c r="V81" i="40"/>
  <c r="X81" i="40"/>
  <c r="Y81" i="40"/>
  <c r="Z81" i="40"/>
  <c r="AA81" i="40"/>
  <c r="AB81" i="40"/>
  <c r="AC81" i="40"/>
  <c r="AF81" i="40"/>
  <c r="AG81" i="40"/>
  <c r="AH81" i="40"/>
  <c r="AI81" i="40"/>
  <c r="AJ81" i="40"/>
  <c r="AL81" i="40"/>
  <c r="AM81" i="40"/>
  <c r="AN81" i="40"/>
  <c r="AO81" i="40"/>
  <c r="AP81" i="40"/>
  <c r="AQ81" i="40"/>
  <c r="AR81" i="40"/>
  <c r="AS81" i="40"/>
  <c r="AT81" i="40"/>
  <c r="AU81" i="40"/>
  <c r="AV81" i="40"/>
  <c r="AW81" i="40"/>
  <c r="AX81" i="40"/>
  <c r="AY81" i="40"/>
  <c r="BB81" i="40"/>
  <c r="BC81" i="40"/>
  <c r="BD81" i="40"/>
  <c r="BE81" i="40"/>
  <c r="BF81" i="40"/>
  <c r="BG81" i="40"/>
  <c r="BH81" i="40"/>
  <c r="BI81" i="40"/>
  <c r="BJ81" i="40"/>
  <c r="BK81" i="40"/>
  <c r="BL81" i="40"/>
  <c r="BM81" i="40"/>
  <c r="BN81" i="40"/>
  <c r="BO81" i="40"/>
  <c r="D82" i="40"/>
  <c r="F82" i="40"/>
  <c r="G82" i="40"/>
  <c r="H82" i="40"/>
  <c r="I82" i="40"/>
  <c r="K82" i="40"/>
  <c r="L82" i="40"/>
  <c r="N82" i="40"/>
  <c r="O82" i="40"/>
  <c r="P82" i="40"/>
  <c r="Q82" i="40"/>
  <c r="S82" i="40"/>
  <c r="T82" i="40"/>
  <c r="V82" i="40"/>
  <c r="X82" i="40"/>
  <c r="Y82" i="40"/>
  <c r="Z82" i="40"/>
  <c r="AA82" i="40"/>
  <c r="AB82" i="40"/>
  <c r="AC82" i="40"/>
  <c r="AF82" i="40"/>
  <c r="AG82" i="40"/>
  <c r="AH82" i="40"/>
  <c r="AI82" i="40"/>
  <c r="AJ82" i="40"/>
  <c r="AL82" i="40"/>
  <c r="AM82" i="40"/>
  <c r="AN82" i="40"/>
  <c r="AO82" i="40"/>
  <c r="AP82" i="40"/>
  <c r="AQ82" i="40"/>
  <c r="AR82" i="40"/>
  <c r="AS82" i="40"/>
  <c r="AT82" i="40"/>
  <c r="AU82" i="40"/>
  <c r="AV82" i="40"/>
  <c r="AW82" i="40"/>
  <c r="AX82" i="40"/>
  <c r="AY82" i="40"/>
  <c r="BB82" i="40"/>
  <c r="BC82" i="40"/>
  <c r="BD82" i="40"/>
  <c r="BE82" i="40"/>
  <c r="BF82" i="40"/>
  <c r="BG82" i="40"/>
  <c r="BH82" i="40"/>
  <c r="BI82" i="40"/>
  <c r="BJ82" i="40"/>
  <c r="BK82" i="40"/>
  <c r="BL82" i="40"/>
  <c r="BM82" i="40"/>
  <c r="BN82" i="40"/>
  <c r="BO82" i="40"/>
  <c r="D83" i="40"/>
  <c r="F83" i="40"/>
  <c r="G83" i="40"/>
  <c r="H83" i="40"/>
  <c r="I83" i="40"/>
  <c r="K83" i="40"/>
  <c r="L83" i="40"/>
  <c r="N83" i="40"/>
  <c r="O83" i="40"/>
  <c r="P83" i="40"/>
  <c r="Q83" i="40"/>
  <c r="S83" i="40"/>
  <c r="T83" i="40"/>
  <c r="V83" i="40"/>
  <c r="X83" i="40"/>
  <c r="Y83" i="40"/>
  <c r="Z83" i="40"/>
  <c r="AA83" i="40"/>
  <c r="AB83" i="40"/>
  <c r="AC83" i="40"/>
  <c r="AF83" i="40"/>
  <c r="AG83" i="40"/>
  <c r="AH83" i="40"/>
  <c r="AI83" i="40"/>
  <c r="AJ83" i="40"/>
  <c r="AL83" i="40"/>
  <c r="AM83" i="40"/>
  <c r="AN83" i="40"/>
  <c r="AO83" i="40"/>
  <c r="AP83" i="40"/>
  <c r="AQ83" i="40"/>
  <c r="AR83" i="40"/>
  <c r="AS83" i="40"/>
  <c r="AT83" i="40"/>
  <c r="AU83" i="40"/>
  <c r="AV83" i="40"/>
  <c r="AW83" i="40"/>
  <c r="AX83" i="40"/>
  <c r="AY83" i="40"/>
  <c r="BB83" i="40"/>
  <c r="BC83" i="40"/>
  <c r="BD83" i="40"/>
  <c r="BE83" i="40"/>
  <c r="BF83" i="40"/>
  <c r="BG83" i="40"/>
  <c r="BH83" i="40"/>
  <c r="BI83" i="40"/>
  <c r="BJ83" i="40"/>
  <c r="BK83" i="40"/>
  <c r="BL83" i="40"/>
  <c r="BM83" i="40"/>
  <c r="BN83" i="40"/>
  <c r="BO83" i="40"/>
  <c r="D84" i="40"/>
  <c r="F84" i="40"/>
  <c r="G84" i="40"/>
  <c r="H84" i="40"/>
  <c r="I84" i="40"/>
  <c r="K84" i="40"/>
  <c r="L84" i="40"/>
  <c r="N84" i="40"/>
  <c r="O84" i="40"/>
  <c r="P84" i="40"/>
  <c r="Q84" i="40"/>
  <c r="S84" i="40"/>
  <c r="T84" i="40"/>
  <c r="V84" i="40"/>
  <c r="X84" i="40"/>
  <c r="Y84" i="40"/>
  <c r="Z84" i="40"/>
  <c r="AA84" i="40"/>
  <c r="AB84" i="40"/>
  <c r="AC84" i="40"/>
  <c r="AF84" i="40"/>
  <c r="AG84" i="40"/>
  <c r="AH84" i="40"/>
  <c r="AI84" i="40"/>
  <c r="AJ84" i="40"/>
  <c r="AL84" i="40"/>
  <c r="AM84" i="40"/>
  <c r="AN84" i="40"/>
  <c r="AO84" i="40"/>
  <c r="AP84" i="40"/>
  <c r="AQ84" i="40"/>
  <c r="AR84" i="40"/>
  <c r="AS84" i="40"/>
  <c r="AT84" i="40"/>
  <c r="AU84" i="40"/>
  <c r="AV84" i="40"/>
  <c r="AW84" i="40"/>
  <c r="AX84" i="40"/>
  <c r="AY84" i="40"/>
  <c r="BB84" i="40"/>
  <c r="BC84" i="40"/>
  <c r="BD84" i="40"/>
  <c r="BE84" i="40"/>
  <c r="BF84" i="40"/>
  <c r="BG84" i="40"/>
  <c r="BH84" i="40"/>
  <c r="BI84" i="40"/>
  <c r="BJ84" i="40"/>
  <c r="BK84" i="40"/>
  <c r="BL84" i="40"/>
  <c r="BM84" i="40"/>
  <c r="BN84" i="40"/>
  <c r="BO84" i="40"/>
  <c r="D85" i="40"/>
  <c r="F85" i="40"/>
  <c r="G85" i="40"/>
  <c r="H85" i="40"/>
  <c r="I85" i="40"/>
  <c r="K85" i="40"/>
  <c r="L85" i="40"/>
  <c r="N85" i="40"/>
  <c r="O85" i="40"/>
  <c r="P85" i="40"/>
  <c r="Q85" i="40"/>
  <c r="S85" i="40"/>
  <c r="T85" i="40"/>
  <c r="V85" i="40"/>
  <c r="X85" i="40"/>
  <c r="Y85" i="40"/>
  <c r="Z85" i="40"/>
  <c r="AA85" i="40"/>
  <c r="AB85" i="40"/>
  <c r="AC85" i="40"/>
  <c r="AF85" i="40"/>
  <c r="AG85" i="40"/>
  <c r="AH85" i="40"/>
  <c r="AI85" i="40"/>
  <c r="AJ85" i="40"/>
  <c r="AL85" i="40"/>
  <c r="AM85" i="40"/>
  <c r="AN85" i="40"/>
  <c r="AO85" i="40"/>
  <c r="AP85" i="40"/>
  <c r="AQ85" i="40"/>
  <c r="AR85" i="40"/>
  <c r="AS85" i="40"/>
  <c r="AT85" i="40"/>
  <c r="AU85" i="40"/>
  <c r="AV85" i="40"/>
  <c r="AW85" i="40"/>
  <c r="AX85" i="40"/>
  <c r="AY85" i="40"/>
  <c r="BB85" i="40"/>
  <c r="BC85" i="40"/>
  <c r="BD85" i="40"/>
  <c r="BE85" i="40"/>
  <c r="BF85" i="40"/>
  <c r="BG85" i="40"/>
  <c r="BH85" i="40"/>
  <c r="BI85" i="40"/>
  <c r="BJ85" i="40"/>
  <c r="BK85" i="40"/>
  <c r="BL85" i="40"/>
  <c r="BM85" i="40"/>
  <c r="BN85" i="40"/>
  <c r="BO85" i="40"/>
  <c r="D86" i="40"/>
  <c r="F86" i="40"/>
  <c r="G86" i="40"/>
  <c r="H86" i="40"/>
  <c r="I86" i="40"/>
  <c r="K86" i="40"/>
  <c r="L86" i="40"/>
  <c r="N86" i="40"/>
  <c r="O86" i="40"/>
  <c r="P86" i="40"/>
  <c r="Q86" i="40"/>
  <c r="S86" i="40"/>
  <c r="T86" i="40"/>
  <c r="V86" i="40"/>
  <c r="X86" i="40"/>
  <c r="Y86" i="40"/>
  <c r="Z86" i="40"/>
  <c r="AA86" i="40"/>
  <c r="AB86" i="40"/>
  <c r="AC86" i="40"/>
  <c r="AF86" i="40"/>
  <c r="AG86" i="40"/>
  <c r="AH86" i="40"/>
  <c r="AI86" i="40"/>
  <c r="AJ86" i="40"/>
  <c r="AL86" i="40"/>
  <c r="AM86" i="40"/>
  <c r="AN86" i="40"/>
  <c r="AO86" i="40"/>
  <c r="AP86" i="40"/>
  <c r="AQ86" i="40"/>
  <c r="AR86" i="40"/>
  <c r="AS86" i="40"/>
  <c r="AT86" i="40"/>
  <c r="AU86" i="40"/>
  <c r="AV86" i="40"/>
  <c r="AW86" i="40"/>
  <c r="AX86" i="40"/>
  <c r="AY86" i="40"/>
  <c r="BB86" i="40"/>
  <c r="BC86" i="40"/>
  <c r="BD86" i="40"/>
  <c r="BE86" i="40"/>
  <c r="BF86" i="40"/>
  <c r="BG86" i="40"/>
  <c r="BH86" i="40"/>
  <c r="BI86" i="40"/>
  <c r="BJ86" i="40"/>
  <c r="BK86" i="40"/>
  <c r="BL86" i="40"/>
  <c r="BM86" i="40"/>
  <c r="BN86" i="40"/>
  <c r="BO86" i="40"/>
  <c r="D87" i="40"/>
  <c r="F87" i="40"/>
  <c r="G87" i="40"/>
  <c r="H87" i="40"/>
  <c r="I87" i="40"/>
  <c r="K87" i="40"/>
  <c r="L87" i="40"/>
  <c r="N87" i="40"/>
  <c r="O87" i="40"/>
  <c r="P87" i="40"/>
  <c r="Q87" i="40"/>
  <c r="S87" i="40"/>
  <c r="T87" i="40"/>
  <c r="V87" i="40"/>
  <c r="X87" i="40"/>
  <c r="Y87" i="40"/>
  <c r="Z87" i="40"/>
  <c r="AA87" i="40"/>
  <c r="AB87" i="40"/>
  <c r="AC87" i="40"/>
  <c r="AF87" i="40"/>
  <c r="AG87" i="40"/>
  <c r="AH87" i="40"/>
  <c r="AI87" i="40"/>
  <c r="AJ87" i="40"/>
  <c r="AL87" i="40"/>
  <c r="AM87" i="40"/>
  <c r="AN87" i="40"/>
  <c r="AO87" i="40"/>
  <c r="AP87" i="40"/>
  <c r="AQ87" i="40"/>
  <c r="AR87" i="40"/>
  <c r="AS87" i="40"/>
  <c r="AT87" i="40"/>
  <c r="AU87" i="40"/>
  <c r="AV87" i="40"/>
  <c r="AW87" i="40"/>
  <c r="AX87" i="40"/>
  <c r="AY87" i="40"/>
  <c r="BB87" i="40"/>
  <c r="BC87" i="40"/>
  <c r="BD87" i="40"/>
  <c r="BE87" i="40"/>
  <c r="BF87" i="40"/>
  <c r="BG87" i="40"/>
  <c r="BH87" i="40"/>
  <c r="BI87" i="40"/>
  <c r="BJ87" i="40"/>
  <c r="BK87" i="40"/>
  <c r="BL87" i="40"/>
  <c r="BM87" i="40"/>
  <c r="BN87" i="40"/>
  <c r="BO87" i="40"/>
  <c r="D88" i="40"/>
  <c r="F88" i="40"/>
  <c r="G88" i="40"/>
  <c r="H88" i="40"/>
  <c r="I88" i="40"/>
  <c r="K88" i="40"/>
  <c r="L88" i="40"/>
  <c r="N88" i="40"/>
  <c r="O88" i="40"/>
  <c r="P88" i="40"/>
  <c r="Q88" i="40"/>
  <c r="S88" i="40"/>
  <c r="T88" i="40"/>
  <c r="V88" i="40"/>
  <c r="X88" i="40"/>
  <c r="Y88" i="40"/>
  <c r="Z88" i="40"/>
  <c r="AA88" i="40"/>
  <c r="AB88" i="40"/>
  <c r="AC88" i="40"/>
  <c r="AF88" i="40"/>
  <c r="AG88" i="40"/>
  <c r="AH88" i="40"/>
  <c r="AI88" i="40"/>
  <c r="AJ88" i="40"/>
  <c r="AL88" i="40"/>
  <c r="AM88" i="40"/>
  <c r="AN88" i="40"/>
  <c r="AO88" i="40"/>
  <c r="AP88" i="40"/>
  <c r="AQ88" i="40"/>
  <c r="AR88" i="40"/>
  <c r="AS88" i="40"/>
  <c r="AT88" i="40"/>
  <c r="AU88" i="40"/>
  <c r="AV88" i="40"/>
  <c r="AW88" i="40"/>
  <c r="AX88" i="40"/>
  <c r="AY88" i="40"/>
  <c r="BB88" i="40"/>
  <c r="BC88" i="40"/>
  <c r="BD88" i="40"/>
  <c r="BE88" i="40"/>
  <c r="BF88" i="40"/>
  <c r="BG88" i="40"/>
  <c r="BH88" i="40"/>
  <c r="BI88" i="40"/>
  <c r="BJ88" i="40"/>
  <c r="BK88" i="40"/>
  <c r="BL88" i="40"/>
  <c r="BM88" i="40"/>
  <c r="BN88" i="40"/>
  <c r="BO88" i="40"/>
  <c r="D89" i="40"/>
  <c r="F89" i="40"/>
  <c r="G89" i="40"/>
  <c r="H89" i="40"/>
  <c r="I89" i="40"/>
  <c r="K89" i="40"/>
  <c r="L89" i="40"/>
  <c r="N89" i="40"/>
  <c r="O89" i="40"/>
  <c r="P89" i="40"/>
  <c r="Q89" i="40"/>
  <c r="S89" i="40"/>
  <c r="T89" i="40"/>
  <c r="V89" i="40"/>
  <c r="X89" i="40"/>
  <c r="Y89" i="40"/>
  <c r="Z89" i="40"/>
  <c r="AA89" i="40"/>
  <c r="AB89" i="40"/>
  <c r="AC89" i="40"/>
  <c r="AF89" i="40"/>
  <c r="AG89" i="40"/>
  <c r="AH89" i="40"/>
  <c r="AI89" i="40"/>
  <c r="AJ89" i="40"/>
  <c r="AL89" i="40"/>
  <c r="AM89" i="40"/>
  <c r="AN89" i="40"/>
  <c r="AO89" i="40"/>
  <c r="AP89" i="40"/>
  <c r="AQ89" i="40"/>
  <c r="AR89" i="40"/>
  <c r="AS89" i="40"/>
  <c r="AT89" i="40"/>
  <c r="AU89" i="40"/>
  <c r="AV89" i="40"/>
  <c r="AW89" i="40"/>
  <c r="AX89" i="40"/>
  <c r="AY89" i="40"/>
  <c r="BB89" i="40"/>
  <c r="BC89" i="40"/>
  <c r="BD89" i="40"/>
  <c r="BE89" i="40"/>
  <c r="BF89" i="40"/>
  <c r="BG89" i="40"/>
  <c r="BH89" i="40"/>
  <c r="BI89" i="40"/>
  <c r="BJ89" i="40"/>
  <c r="BK89" i="40"/>
  <c r="BL89" i="40"/>
  <c r="BM89" i="40"/>
  <c r="BN89" i="40"/>
  <c r="BO89" i="40"/>
  <c r="D90" i="40"/>
  <c r="F90" i="40"/>
  <c r="G90" i="40"/>
  <c r="H90" i="40"/>
  <c r="I90" i="40"/>
  <c r="K90" i="40"/>
  <c r="L90" i="40"/>
  <c r="N90" i="40"/>
  <c r="O90" i="40"/>
  <c r="P90" i="40"/>
  <c r="Q90" i="40"/>
  <c r="S90" i="40"/>
  <c r="T90" i="40"/>
  <c r="V90" i="40"/>
  <c r="X90" i="40"/>
  <c r="Y90" i="40"/>
  <c r="Z90" i="40"/>
  <c r="AA90" i="40"/>
  <c r="AB90" i="40"/>
  <c r="AC90" i="40"/>
  <c r="AF90" i="40"/>
  <c r="AG90" i="40"/>
  <c r="AH90" i="40"/>
  <c r="AI90" i="40"/>
  <c r="AJ90" i="40"/>
  <c r="AL90" i="40"/>
  <c r="AM90" i="40"/>
  <c r="AN90" i="40"/>
  <c r="AO90" i="40"/>
  <c r="AP90" i="40"/>
  <c r="AQ90" i="40"/>
  <c r="AR90" i="40"/>
  <c r="AS90" i="40"/>
  <c r="AT90" i="40"/>
  <c r="AU90" i="40"/>
  <c r="AV90" i="40"/>
  <c r="AW90" i="40"/>
  <c r="AX90" i="40"/>
  <c r="AY90" i="40"/>
  <c r="BB90" i="40"/>
  <c r="BC90" i="40"/>
  <c r="BD90" i="40"/>
  <c r="BE90" i="40"/>
  <c r="BF90" i="40"/>
  <c r="BG90" i="40"/>
  <c r="BH90" i="40"/>
  <c r="BI90" i="40"/>
  <c r="BJ90" i="40"/>
  <c r="BK90" i="40"/>
  <c r="BL90" i="40"/>
  <c r="BM90" i="40"/>
  <c r="BN90" i="40"/>
  <c r="BO90" i="40"/>
  <c r="D91" i="40"/>
  <c r="F91" i="40"/>
  <c r="G91" i="40"/>
  <c r="H91" i="40"/>
  <c r="I91" i="40"/>
  <c r="K91" i="40"/>
  <c r="L91" i="40"/>
  <c r="N91" i="40"/>
  <c r="O91" i="40"/>
  <c r="P91" i="40"/>
  <c r="Q91" i="40"/>
  <c r="S91" i="40"/>
  <c r="T91" i="40"/>
  <c r="V91" i="40"/>
  <c r="X91" i="40"/>
  <c r="Y91" i="40"/>
  <c r="Z91" i="40"/>
  <c r="AA91" i="40"/>
  <c r="AB91" i="40"/>
  <c r="AC91" i="40"/>
  <c r="AF91" i="40"/>
  <c r="AG91" i="40"/>
  <c r="AH91" i="40"/>
  <c r="AI91" i="40"/>
  <c r="AJ91" i="40"/>
  <c r="AL91" i="40"/>
  <c r="AM91" i="40"/>
  <c r="AN91" i="40"/>
  <c r="AO91" i="40"/>
  <c r="AP91" i="40"/>
  <c r="AQ91" i="40"/>
  <c r="AR91" i="40"/>
  <c r="AS91" i="40"/>
  <c r="AT91" i="40"/>
  <c r="AU91" i="40"/>
  <c r="AV91" i="40"/>
  <c r="AW91" i="40"/>
  <c r="AX91" i="40"/>
  <c r="AY91" i="40"/>
  <c r="BB91" i="40"/>
  <c r="BC91" i="40"/>
  <c r="BD91" i="40"/>
  <c r="BE91" i="40"/>
  <c r="BF91" i="40"/>
  <c r="BG91" i="40"/>
  <c r="BH91" i="40"/>
  <c r="BI91" i="40"/>
  <c r="BJ91" i="40"/>
  <c r="BK91" i="40"/>
  <c r="BL91" i="40"/>
  <c r="BM91" i="40"/>
  <c r="BN91" i="40"/>
  <c r="BO91" i="40"/>
  <c r="D92" i="40"/>
  <c r="F92" i="40"/>
  <c r="G92" i="40"/>
  <c r="H92" i="40"/>
  <c r="I92" i="40"/>
  <c r="K92" i="40"/>
  <c r="L92" i="40"/>
  <c r="N92" i="40"/>
  <c r="O92" i="40"/>
  <c r="P92" i="40"/>
  <c r="Q92" i="40"/>
  <c r="S92" i="40"/>
  <c r="T92" i="40"/>
  <c r="V92" i="40"/>
  <c r="X92" i="40"/>
  <c r="Y92" i="40"/>
  <c r="Z92" i="40"/>
  <c r="AA92" i="40"/>
  <c r="AB92" i="40"/>
  <c r="AC92" i="40"/>
  <c r="AF92" i="40"/>
  <c r="AG92" i="40"/>
  <c r="AH92" i="40"/>
  <c r="AI92" i="40"/>
  <c r="AJ92" i="40"/>
  <c r="AL92" i="40"/>
  <c r="AM92" i="40"/>
  <c r="AN92" i="40"/>
  <c r="AO92" i="40"/>
  <c r="AP92" i="40"/>
  <c r="AQ92" i="40"/>
  <c r="AR92" i="40"/>
  <c r="AS92" i="40"/>
  <c r="AT92" i="40"/>
  <c r="AU92" i="40"/>
  <c r="AV92" i="40"/>
  <c r="AW92" i="40"/>
  <c r="AX92" i="40"/>
  <c r="AY92" i="40"/>
  <c r="BB92" i="40"/>
  <c r="BC92" i="40"/>
  <c r="BD92" i="40"/>
  <c r="BE92" i="40"/>
  <c r="BF92" i="40"/>
  <c r="BG92" i="40"/>
  <c r="BH92" i="40"/>
  <c r="BI92" i="40"/>
  <c r="BJ92" i="40"/>
  <c r="BK92" i="40"/>
  <c r="BL92" i="40"/>
  <c r="BM92" i="40"/>
  <c r="BN92" i="40"/>
  <c r="BO92" i="40"/>
  <c r="D93" i="40"/>
  <c r="F93" i="40"/>
  <c r="G93" i="40"/>
  <c r="H93" i="40"/>
  <c r="I93" i="40"/>
  <c r="K93" i="40"/>
  <c r="L93" i="40"/>
  <c r="N93" i="40"/>
  <c r="O93" i="40"/>
  <c r="P93" i="40"/>
  <c r="Q93" i="40"/>
  <c r="S93" i="40"/>
  <c r="T93" i="40"/>
  <c r="V93" i="40"/>
  <c r="X93" i="40"/>
  <c r="Y93" i="40"/>
  <c r="Z93" i="40"/>
  <c r="AA93" i="40"/>
  <c r="AB93" i="40"/>
  <c r="AC93" i="40"/>
  <c r="AF93" i="40"/>
  <c r="AG93" i="40"/>
  <c r="AH93" i="40"/>
  <c r="AI93" i="40"/>
  <c r="AJ93" i="40"/>
  <c r="AL93" i="40"/>
  <c r="AM93" i="40"/>
  <c r="AN93" i="40"/>
  <c r="AO93" i="40"/>
  <c r="AP93" i="40"/>
  <c r="AQ93" i="40"/>
  <c r="AR93" i="40"/>
  <c r="AS93" i="40"/>
  <c r="AT93" i="40"/>
  <c r="AU93" i="40"/>
  <c r="AV93" i="40"/>
  <c r="AW93" i="40"/>
  <c r="AX93" i="40"/>
  <c r="AY93" i="40"/>
  <c r="BB93" i="40"/>
  <c r="BC93" i="40"/>
  <c r="BD93" i="40"/>
  <c r="BE93" i="40"/>
  <c r="BF93" i="40"/>
  <c r="BG93" i="40"/>
  <c r="BH93" i="40"/>
  <c r="BI93" i="40"/>
  <c r="BJ93" i="40"/>
  <c r="BK93" i="40"/>
  <c r="BL93" i="40"/>
  <c r="BM93" i="40"/>
  <c r="BN93" i="40"/>
  <c r="BO93" i="40"/>
  <c r="D94" i="40"/>
  <c r="F94" i="40"/>
  <c r="G94" i="40"/>
  <c r="H94" i="40"/>
  <c r="I94" i="40"/>
  <c r="K94" i="40"/>
  <c r="L94" i="40"/>
  <c r="N94" i="40"/>
  <c r="O94" i="40"/>
  <c r="P94" i="40"/>
  <c r="Q94" i="40"/>
  <c r="S94" i="40"/>
  <c r="T94" i="40"/>
  <c r="V94" i="40"/>
  <c r="X94" i="40"/>
  <c r="Y94" i="40"/>
  <c r="Z94" i="40"/>
  <c r="AA94" i="40"/>
  <c r="AB94" i="40"/>
  <c r="AC94" i="40"/>
  <c r="AF94" i="40"/>
  <c r="AG94" i="40"/>
  <c r="AH94" i="40"/>
  <c r="AI94" i="40"/>
  <c r="AJ94" i="40"/>
  <c r="AL94" i="40"/>
  <c r="AM94" i="40"/>
  <c r="AN94" i="40"/>
  <c r="AO94" i="40"/>
  <c r="AP94" i="40"/>
  <c r="AQ94" i="40"/>
  <c r="AR94" i="40"/>
  <c r="AS94" i="40"/>
  <c r="AT94" i="40"/>
  <c r="AU94" i="40"/>
  <c r="AV94" i="40"/>
  <c r="AW94" i="40"/>
  <c r="AX94" i="40"/>
  <c r="AY94" i="40"/>
  <c r="BB94" i="40"/>
  <c r="BC94" i="40"/>
  <c r="BD94" i="40"/>
  <c r="BE94" i="40"/>
  <c r="BF94" i="40"/>
  <c r="BG94" i="40"/>
  <c r="BH94" i="40"/>
  <c r="BI94" i="40"/>
  <c r="BJ94" i="40"/>
  <c r="BK94" i="40"/>
  <c r="BL94" i="40"/>
  <c r="BM94" i="40"/>
  <c r="BN94" i="40"/>
  <c r="BO94" i="40"/>
  <c r="D95" i="40"/>
  <c r="F95" i="40"/>
  <c r="G95" i="40"/>
  <c r="H95" i="40"/>
  <c r="I95" i="40"/>
  <c r="K95" i="40"/>
  <c r="L95" i="40"/>
  <c r="N95" i="40"/>
  <c r="O95" i="40"/>
  <c r="P95" i="40"/>
  <c r="Q95" i="40"/>
  <c r="S95" i="40"/>
  <c r="T95" i="40"/>
  <c r="V95" i="40"/>
  <c r="X95" i="40"/>
  <c r="Y95" i="40"/>
  <c r="Z95" i="40"/>
  <c r="AA95" i="40"/>
  <c r="AB95" i="40"/>
  <c r="AC95" i="40"/>
  <c r="AF95" i="40"/>
  <c r="AG95" i="40"/>
  <c r="AH95" i="40"/>
  <c r="AI95" i="40"/>
  <c r="AJ95" i="40"/>
  <c r="AL95" i="40"/>
  <c r="AM95" i="40"/>
  <c r="AN95" i="40"/>
  <c r="AO95" i="40"/>
  <c r="AP95" i="40"/>
  <c r="AQ95" i="40"/>
  <c r="AR95" i="40"/>
  <c r="AS95" i="40"/>
  <c r="AT95" i="40"/>
  <c r="AU95" i="40"/>
  <c r="AV95" i="40"/>
  <c r="AW95" i="40"/>
  <c r="AX95" i="40"/>
  <c r="AY95" i="40"/>
  <c r="BB95" i="40"/>
  <c r="BC95" i="40"/>
  <c r="BD95" i="40"/>
  <c r="BE95" i="40"/>
  <c r="BF95" i="40"/>
  <c r="BG95" i="40"/>
  <c r="BH95" i="40"/>
  <c r="BI95" i="40"/>
  <c r="BJ95" i="40"/>
  <c r="BK95" i="40"/>
  <c r="BL95" i="40"/>
  <c r="BM95" i="40"/>
  <c r="BN95" i="40"/>
  <c r="BO95" i="40"/>
  <c r="D96" i="40"/>
  <c r="F96" i="40"/>
  <c r="G96" i="40"/>
  <c r="H96" i="40"/>
  <c r="I96" i="40"/>
  <c r="K96" i="40"/>
  <c r="L96" i="40"/>
  <c r="N96" i="40"/>
  <c r="O96" i="40"/>
  <c r="P96" i="40"/>
  <c r="Q96" i="40"/>
  <c r="S96" i="40"/>
  <c r="T96" i="40"/>
  <c r="V96" i="40"/>
  <c r="X96" i="40"/>
  <c r="Y96" i="40"/>
  <c r="Z96" i="40"/>
  <c r="AA96" i="40"/>
  <c r="AB96" i="40"/>
  <c r="AC96" i="40"/>
  <c r="AF96" i="40"/>
  <c r="AG96" i="40"/>
  <c r="AH96" i="40"/>
  <c r="AI96" i="40"/>
  <c r="AJ96" i="40"/>
  <c r="AL96" i="40"/>
  <c r="AM96" i="40"/>
  <c r="AN96" i="40"/>
  <c r="AO96" i="40"/>
  <c r="AP96" i="40"/>
  <c r="AQ96" i="40"/>
  <c r="AR96" i="40"/>
  <c r="AS96" i="40"/>
  <c r="AT96" i="40"/>
  <c r="AU96" i="40"/>
  <c r="AV96" i="40"/>
  <c r="AW96" i="40"/>
  <c r="AX96" i="40"/>
  <c r="AY96" i="40"/>
  <c r="BB96" i="40"/>
  <c r="BC96" i="40"/>
  <c r="BD96" i="40"/>
  <c r="BE96" i="40"/>
  <c r="BF96" i="40"/>
  <c r="BG96" i="40"/>
  <c r="BH96" i="40"/>
  <c r="BI96" i="40"/>
  <c r="BJ96" i="40"/>
  <c r="BK96" i="40"/>
  <c r="BL96" i="40"/>
  <c r="BM96" i="40"/>
  <c r="BN96" i="40"/>
  <c r="BO96" i="40"/>
  <c r="D97" i="40"/>
  <c r="F97" i="40"/>
  <c r="G97" i="40"/>
  <c r="H97" i="40"/>
  <c r="I97" i="40"/>
  <c r="K97" i="40"/>
  <c r="L97" i="40"/>
  <c r="N97" i="40"/>
  <c r="O97" i="40"/>
  <c r="P97" i="40"/>
  <c r="Q97" i="40"/>
  <c r="S97" i="40"/>
  <c r="T97" i="40"/>
  <c r="V97" i="40"/>
  <c r="X97" i="40"/>
  <c r="Y97" i="40"/>
  <c r="Z97" i="40"/>
  <c r="AA97" i="40"/>
  <c r="AB97" i="40"/>
  <c r="AC97" i="40"/>
  <c r="AF97" i="40"/>
  <c r="AG97" i="40"/>
  <c r="AH97" i="40"/>
  <c r="AI97" i="40"/>
  <c r="AJ97" i="40"/>
  <c r="AL97" i="40"/>
  <c r="AM97" i="40"/>
  <c r="AN97" i="40"/>
  <c r="AO97" i="40"/>
  <c r="AP97" i="40"/>
  <c r="AQ97" i="40"/>
  <c r="AR97" i="40"/>
  <c r="AS97" i="40"/>
  <c r="AT97" i="40"/>
  <c r="AU97" i="40"/>
  <c r="AV97" i="40"/>
  <c r="AW97" i="40"/>
  <c r="AX97" i="40"/>
  <c r="AY97" i="40"/>
  <c r="BB97" i="40"/>
  <c r="BC97" i="40"/>
  <c r="BD97" i="40"/>
  <c r="BE97" i="40"/>
  <c r="BF97" i="40"/>
  <c r="BG97" i="40"/>
  <c r="BH97" i="40"/>
  <c r="BI97" i="40"/>
  <c r="BJ97" i="40"/>
  <c r="BK97" i="40"/>
  <c r="BL97" i="40"/>
  <c r="BM97" i="40"/>
  <c r="BN97" i="40"/>
  <c r="BO97" i="40"/>
  <c r="D98" i="40"/>
  <c r="F98" i="40"/>
  <c r="G98" i="40"/>
  <c r="H98" i="40"/>
  <c r="I98" i="40"/>
  <c r="K98" i="40"/>
  <c r="L98" i="40"/>
  <c r="N98" i="40"/>
  <c r="O98" i="40"/>
  <c r="P98" i="40"/>
  <c r="Q98" i="40"/>
  <c r="S98" i="40"/>
  <c r="T98" i="40"/>
  <c r="V98" i="40"/>
  <c r="X98" i="40"/>
  <c r="Y98" i="40"/>
  <c r="Z98" i="40"/>
  <c r="AA98" i="40"/>
  <c r="AB98" i="40"/>
  <c r="AC98" i="40"/>
  <c r="AF98" i="40"/>
  <c r="AG98" i="40"/>
  <c r="AH98" i="40"/>
  <c r="AI98" i="40"/>
  <c r="AJ98" i="40"/>
  <c r="AL98" i="40"/>
  <c r="AM98" i="40"/>
  <c r="AN98" i="40"/>
  <c r="AO98" i="40"/>
  <c r="AP98" i="40"/>
  <c r="AQ98" i="40"/>
  <c r="AR98" i="40"/>
  <c r="AS98" i="40"/>
  <c r="AT98" i="40"/>
  <c r="AU98" i="40"/>
  <c r="AV98" i="40"/>
  <c r="AW98" i="40"/>
  <c r="AX98" i="40"/>
  <c r="AY98" i="40"/>
  <c r="BB98" i="40"/>
  <c r="BC98" i="40"/>
  <c r="BD98" i="40"/>
  <c r="BE98" i="40"/>
  <c r="BF98" i="40"/>
  <c r="BG98" i="40"/>
  <c r="BH98" i="40"/>
  <c r="BI98" i="40"/>
  <c r="BJ98" i="40"/>
  <c r="BK98" i="40"/>
  <c r="BL98" i="40"/>
  <c r="BM98" i="40"/>
  <c r="BN98" i="40"/>
  <c r="BO98" i="40"/>
  <c r="D99" i="40"/>
  <c r="F99" i="40"/>
  <c r="G99" i="40"/>
  <c r="H99" i="40"/>
  <c r="I99" i="40"/>
  <c r="K99" i="40"/>
  <c r="L99" i="40"/>
  <c r="N99" i="40"/>
  <c r="O99" i="40"/>
  <c r="P99" i="40"/>
  <c r="Q99" i="40"/>
  <c r="S99" i="40"/>
  <c r="T99" i="40"/>
  <c r="V99" i="40"/>
  <c r="X99" i="40"/>
  <c r="Y99" i="40"/>
  <c r="Z99" i="40"/>
  <c r="AA99" i="40"/>
  <c r="AB99" i="40"/>
  <c r="AC99" i="40"/>
  <c r="AF99" i="40"/>
  <c r="AG99" i="40"/>
  <c r="AH99" i="40"/>
  <c r="AI99" i="40"/>
  <c r="AJ99" i="40"/>
  <c r="AL99" i="40"/>
  <c r="AM99" i="40"/>
  <c r="AN99" i="40"/>
  <c r="AO99" i="40"/>
  <c r="AP99" i="40"/>
  <c r="AQ99" i="40"/>
  <c r="AR99" i="40"/>
  <c r="AS99" i="40"/>
  <c r="AT99" i="40"/>
  <c r="AU99" i="40"/>
  <c r="AV99" i="40"/>
  <c r="AW99" i="40"/>
  <c r="AX99" i="40"/>
  <c r="AY99" i="40"/>
  <c r="BB99" i="40"/>
  <c r="BC99" i="40"/>
  <c r="BD99" i="40"/>
  <c r="BE99" i="40"/>
  <c r="BF99" i="40"/>
  <c r="BG99" i="40"/>
  <c r="BH99" i="40"/>
  <c r="BI99" i="40"/>
  <c r="BJ99" i="40"/>
  <c r="BK99" i="40"/>
  <c r="BL99" i="40"/>
  <c r="BM99" i="40"/>
  <c r="BN99" i="40"/>
  <c r="BO99" i="40"/>
  <c r="F1" i="41"/>
  <c r="AV1" i="41"/>
  <c r="A2" i="41"/>
  <c r="F2" i="41"/>
  <c r="G2" i="41"/>
  <c r="N2" i="41"/>
  <c r="AV2" i="41"/>
  <c r="AW2" i="41"/>
  <c r="AX2" i="41"/>
  <c r="AY2" i="41"/>
  <c r="BW2" i="41"/>
  <c r="BX2" i="41"/>
  <c r="BY2" i="41"/>
  <c r="BZ2" i="41"/>
  <c r="CA2" i="41"/>
  <c r="CB2" i="41"/>
  <c r="CC2" i="41"/>
  <c r="CD2" i="41"/>
  <c r="CE2" i="41"/>
  <c r="CF2" i="41"/>
  <c r="CG2" i="41"/>
  <c r="CH2" i="41"/>
  <c r="CI2" i="41"/>
  <c r="CJ2" i="41"/>
  <c r="CK2" i="41"/>
  <c r="CL2" i="41"/>
  <c r="CM2" i="41"/>
  <c r="CN2" i="41"/>
  <c r="CO2" i="41"/>
  <c r="CP2" i="41"/>
  <c r="CQ2" i="41"/>
  <c r="CR2" i="41"/>
  <c r="CS2" i="41"/>
  <c r="CT2" i="41"/>
  <c r="CU2" i="41"/>
  <c r="CV2" i="41"/>
  <c r="CW2" i="41"/>
  <c r="CX2" i="41"/>
  <c r="A3" i="41"/>
  <c r="AH3" i="41"/>
  <c r="AK3" i="41"/>
  <c r="AV3" i="41"/>
  <c r="AW3" i="41"/>
  <c r="AX3" i="41"/>
  <c r="AY3" i="41"/>
  <c r="A4" i="41"/>
  <c r="N4" i="41"/>
  <c r="P4" i="41"/>
  <c r="T4" i="41"/>
  <c r="V4" i="41"/>
  <c r="W4" i="41"/>
  <c r="AH4" i="41"/>
  <c r="AK4" i="41"/>
  <c r="AM4" i="41"/>
  <c r="AN4" i="41"/>
  <c r="AO4" i="41"/>
  <c r="AP4" i="41"/>
  <c r="AQ4" i="41"/>
  <c r="AR4" i="41"/>
  <c r="AS4" i="41"/>
  <c r="AT4" i="41"/>
  <c r="AV4" i="41"/>
  <c r="AW4" i="41"/>
  <c r="AX4" i="41"/>
  <c r="AY4" i="41"/>
  <c r="A5" i="41"/>
  <c r="G5" i="41"/>
  <c r="N5" i="41"/>
  <c r="P5" i="41"/>
  <c r="T5" i="41"/>
  <c r="V5" i="41"/>
  <c r="W5" i="41"/>
  <c r="AH5" i="41"/>
  <c r="AK5" i="41"/>
  <c r="AM5" i="41"/>
  <c r="AN5" i="41"/>
  <c r="AO5" i="41"/>
  <c r="AP5" i="41"/>
  <c r="AQ5" i="41"/>
  <c r="AR5" i="41"/>
  <c r="AS5" i="41"/>
  <c r="AT5" i="41"/>
  <c r="AV5" i="41"/>
  <c r="AW5" i="41"/>
  <c r="AX5" i="41"/>
  <c r="AY5" i="41"/>
  <c r="BV5" i="41"/>
  <c r="A6" i="41"/>
  <c r="N6" i="41"/>
  <c r="P6" i="41"/>
  <c r="T6" i="41"/>
  <c r="V6" i="41"/>
  <c r="W6" i="41"/>
  <c r="AH6" i="41"/>
  <c r="AK6" i="41"/>
  <c r="AM6" i="41"/>
  <c r="AN6" i="41"/>
  <c r="AO6" i="41"/>
  <c r="AP6" i="41"/>
  <c r="AQ6" i="41"/>
  <c r="AR6" i="41"/>
  <c r="AS6" i="41"/>
  <c r="AT6" i="41"/>
  <c r="A7" i="41"/>
  <c r="G7" i="41"/>
  <c r="N7" i="41"/>
  <c r="N7" i="41" a="1"/>
  <c r="P7" i="41"/>
  <c r="T7" i="41"/>
  <c r="AH7" i="41"/>
  <c r="AK7" i="41"/>
  <c r="AM7" i="41"/>
  <c r="AN7" i="41"/>
  <c r="AO7" i="41"/>
  <c r="AP7" i="41"/>
  <c r="AQ7" i="41"/>
  <c r="AR7" i="41"/>
  <c r="AS7" i="41"/>
  <c r="AT7" i="41"/>
  <c r="AV7" i="41"/>
  <c r="AW7" i="41"/>
  <c r="AX7" i="41"/>
  <c r="AY7" i="41"/>
  <c r="G8" i="41"/>
  <c r="N8" i="41"/>
  <c r="N8" i="41" a="1"/>
  <c r="P8" i="41"/>
  <c r="T8" i="41"/>
  <c r="V8" i="41"/>
  <c r="W8" i="41"/>
  <c r="Y8" i="41"/>
  <c r="Z8" i="41"/>
  <c r="AH8" i="41"/>
  <c r="AK8" i="41"/>
  <c r="AM8" i="41"/>
  <c r="AN8" i="41"/>
  <c r="AO8" i="41"/>
  <c r="AP8" i="41"/>
  <c r="AQ8" i="41"/>
  <c r="AR8" i="41"/>
  <c r="AS8" i="41"/>
  <c r="AT8" i="41"/>
  <c r="AV8" i="41"/>
  <c r="AW8" i="41"/>
  <c r="AX8" i="41"/>
  <c r="AY8" i="41"/>
  <c r="N9" i="41"/>
  <c r="N9" i="41" a="1"/>
  <c r="P9" i="41"/>
  <c r="AK9" i="41"/>
  <c r="AM9" i="41"/>
  <c r="AN9" i="41"/>
  <c r="AO9" i="41"/>
  <c r="AP9" i="41"/>
  <c r="AQ9" i="41"/>
  <c r="AR9" i="41"/>
  <c r="AS9" i="41"/>
  <c r="AT9" i="41"/>
  <c r="AV9" i="41"/>
  <c r="AW9" i="41"/>
  <c r="AX9" i="41"/>
  <c r="AY9" i="41"/>
  <c r="N10" i="41"/>
  <c r="P10" i="41"/>
  <c r="AH10" i="41"/>
  <c r="AM10" i="41"/>
  <c r="AN10" i="41"/>
  <c r="AO10" i="41"/>
  <c r="AP10" i="41"/>
  <c r="AQ10" i="41"/>
  <c r="AR10" i="41"/>
  <c r="AS10" i="41"/>
  <c r="AT10" i="41"/>
  <c r="AV10" i="41"/>
  <c r="AW10" i="41"/>
  <c r="AX10" i="41"/>
  <c r="AY10" i="41"/>
  <c r="D11" i="41"/>
  <c r="N11" i="41"/>
  <c r="P11" i="41"/>
  <c r="AM11" i="41"/>
  <c r="AN11" i="41"/>
  <c r="AO11" i="41"/>
  <c r="AP11" i="41"/>
  <c r="AQ11" i="41"/>
  <c r="AR11" i="41"/>
  <c r="AS11" i="41"/>
  <c r="AT11" i="41"/>
  <c r="AV11" i="41"/>
  <c r="AW11" i="41"/>
  <c r="AX11" i="41"/>
  <c r="AY11" i="41"/>
  <c r="D12" i="41"/>
  <c r="N12" i="41"/>
  <c r="P12" i="41"/>
  <c r="AH12" i="41"/>
  <c r="AM12" i="41"/>
  <c r="AN12" i="41"/>
  <c r="AO12" i="41"/>
  <c r="AP12" i="41"/>
  <c r="AQ12" i="41"/>
  <c r="AR12" i="41"/>
  <c r="AS12" i="41"/>
  <c r="AT12" i="41"/>
  <c r="AV12" i="41"/>
  <c r="AW12" i="41"/>
  <c r="AX12" i="41"/>
  <c r="AY12" i="41"/>
  <c r="N13" i="41"/>
  <c r="P13" i="41"/>
  <c r="AH13" i="41"/>
  <c r="AM13" i="41"/>
  <c r="AN13" i="41"/>
  <c r="AO13" i="41"/>
  <c r="AP13" i="41"/>
  <c r="AQ13" i="41"/>
  <c r="AR13" i="41"/>
  <c r="AS13" i="41"/>
  <c r="AT13" i="41"/>
  <c r="AV13" i="41"/>
  <c r="AW13" i="41"/>
  <c r="AX13" i="41"/>
  <c r="AY13" i="41"/>
  <c r="N14" i="41"/>
  <c r="P14" i="41"/>
  <c r="S14" i="41"/>
  <c r="T14" i="41"/>
  <c r="AM14" i="41"/>
  <c r="AN14" i="41"/>
  <c r="AO14" i="41"/>
  <c r="AP14" i="41"/>
  <c r="AQ14" i="41"/>
  <c r="AR14" i="41"/>
  <c r="AS14" i="41"/>
  <c r="AT14" i="41"/>
  <c r="AV14" i="41"/>
  <c r="AW14" i="41"/>
  <c r="AX14" i="41"/>
  <c r="AY14" i="41"/>
  <c r="N15" i="41"/>
  <c r="P15" i="41"/>
  <c r="AM15" i="41"/>
  <c r="AN15" i="41"/>
  <c r="AO15" i="41"/>
  <c r="AP15" i="41"/>
  <c r="AQ15" i="41"/>
  <c r="AR15" i="41"/>
  <c r="AS15" i="41"/>
  <c r="AT15" i="41"/>
  <c r="AV15" i="41"/>
  <c r="AW15" i="41"/>
  <c r="AX15" i="41"/>
  <c r="AY15" i="41"/>
  <c r="N16" i="41"/>
  <c r="P16" i="41"/>
  <c r="AV16" i="41"/>
  <c r="AW16" i="41"/>
  <c r="AX16" i="41"/>
  <c r="AY16" i="41"/>
  <c r="N17" i="41"/>
  <c r="P17" i="41"/>
  <c r="AV17" i="41"/>
  <c r="AW17" i="41"/>
  <c r="AX17" i="41"/>
  <c r="AY17" i="41"/>
  <c r="N18" i="41"/>
  <c r="P18" i="41"/>
  <c r="AX18" i="41"/>
  <c r="AY18" i="41"/>
  <c r="N19" i="41"/>
  <c r="P19" i="41"/>
  <c r="S20" i="41"/>
  <c r="T20" i="41"/>
  <c r="AM20" i="41"/>
  <c r="AO20" i="41"/>
  <c r="AV20" i="41"/>
  <c r="AW20" i="41"/>
  <c r="AX20" i="41"/>
  <c r="AY20" i="41"/>
  <c r="D22" i="41"/>
  <c r="F22" i="41"/>
  <c r="G22" i="41"/>
  <c r="H22" i="41"/>
  <c r="I22" i="41"/>
  <c r="K22" i="41"/>
  <c r="L22" i="41"/>
  <c r="N22" i="41"/>
  <c r="O22" i="41"/>
  <c r="P22" i="41"/>
  <c r="Q22" i="41"/>
  <c r="S22" i="41"/>
  <c r="T22" i="41"/>
  <c r="V22" i="41"/>
  <c r="X22" i="41"/>
  <c r="Y22" i="41"/>
  <c r="Z22" i="41"/>
  <c r="AA22" i="41"/>
  <c r="AB22" i="41"/>
  <c r="AC22" i="41"/>
  <c r="AF22" i="41"/>
  <c r="AG22" i="41"/>
  <c r="AH22" i="41"/>
  <c r="AI22" i="41"/>
  <c r="AJ22" i="41"/>
  <c r="AL22" i="41"/>
  <c r="AM22" i="41"/>
  <c r="AN22" i="41"/>
  <c r="AO22" i="41"/>
  <c r="AP22" i="41"/>
  <c r="AQ22" i="41"/>
  <c r="AR22" i="41"/>
  <c r="AS22" i="41"/>
  <c r="AT22" i="41"/>
  <c r="AU22" i="41"/>
  <c r="AV22" i="41"/>
  <c r="AW22" i="41"/>
  <c r="AX22" i="41"/>
  <c r="AY22" i="41"/>
  <c r="BB22" i="41"/>
  <c r="BC22" i="41"/>
  <c r="BD22" i="41"/>
  <c r="BE22" i="41"/>
  <c r="BF22" i="41"/>
  <c r="BG22" i="41"/>
  <c r="BH22" i="41"/>
  <c r="BI22" i="41"/>
  <c r="BJ22" i="41"/>
  <c r="BK22" i="41"/>
  <c r="BL22" i="41"/>
  <c r="BM22" i="41"/>
  <c r="BN22" i="41"/>
  <c r="BO22" i="41"/>
  <c r="D23" i="41"/>
  <c r="F23" i="41"/>
  <c r="G23" i="41"/>
  <c r="H23" i="41"/>
  <c r="I23" i="41"/>
  <c r="K23" i="41"/>
  <c r="L23" i="41"/>
  <c r="N23" i="41"/>
  <c r="O23" i="41"/>
  <c r="P23" i="41"/>
  <c r="Q23" i="41"/>
  <c r="S23" i="41"/>
  <c r="T23" i="41"/>
  <c r="V23" i="41"/>
  <c r="X23" i="41"/>
  <c r="Y23" i="41"/>
  <c r="Z23" i="41"/>
  <c r="AA23" i="41"/>
  <c r="AB23" i="41"/>
  <c r="AC23" i="41"/>
  <c r="AF23" i="41"/>
  <c r="AG23" i="41"/>
  <c r="AH23" i="41"/>
  <c r="AI23" i="41"/>
  <c r="AJ23" i="41"/>
  <c r="AL23" i="41"/>
  <c r="AM23" i="41"/>
  <c r="AN23" i="41"/>
  <c r="AO23" i="41"/>
  <c r="AP23" i="41"/>
  <c r="AQ23" i="41"/>
  <c r="AR23" i="41"/>
  <c r="AS23" i="41"/>
  <c r="AT23" i="41"/>
  <c r="AU23" i="41"/>
  <c r="AV23" i="41"/>
  <c r="AW23" i="41"/>
  <c r="AX23" i="41"/>
  <c r="AY23" i="41"/>
  <c r="BB23" i="41"/>
  <c r="BC23" i="41"/>
  <c r="BD23" i="41"/>
  <c r="BE23" i="41"/>
  <c r="BF23" i="41"/>
  <c r="BG23" i="41"/>
  <c r="BH23" i="41"/>
  <c r="BI23" i="41"/>
  <c r="BJ23" i="41"/>
  <c r="BK23" i="41"/>
  <c r="BL23" i="41"/>
  <c r="BM23" i="41"/>
  <c r="BN23" i="41"/>
  <c r="BO23" i="41"/>
  <c r="D24" i="41"/>
  <c r="F24" i="41"/>
  <c r="G24" i="41"/>
  <c r="H24" i="41"/>
  <c r="I24" i="41"/>
  <c r="K24" i="41"/>
  <c r="L24" i="41"/>
  <c r="N24" i="41"/>
  <c r="O24" i="41"/>
  <c r="P24" i="41"/>
  <c r="Q24" i="41"/>
  <c r="S24" i="41"/>
  <c r="T24" i="41"/>
  <c r="V24" i="41"/>
  <c r="X24" i="41"/>
  <c r="Y24" i="41"/>
  <c r="Z24" i="41"/>
  <c r="AA24" i="41"/>
  <c r="AB24" i="41"/>
  <c r="AC24" i="41"/>
  <c r="AF24" i="41"/>
  <c r="AG24" i="41"/>
  <c r="AH24" i="41"/>
  <c r="AI24" i="41"/>
  <c r="AJ24" i="41"/>
  <c r="AL24" i="41"/>
  <c r="AM24" i="41"/>
  <c r="AN24" i="41"/>
  <c r="AO24" i="41"/>
  <c r="AP24" i="41"/>
  <c r="AQ24" i="41"/>
  <c r="AR24" i="41"/>
  <c r="AS24" i="41"/>
  <c r="AT24" i="41"/>
  <c r="AU24" i="41"/>
  <c r="AV24" i="41"/>
  <c r="AW24" i="41"/>
  <c r="AX24" i="41"/>
  <c r="AY24" i="41"/>
  <c r="BB24" i="41"/>
  <c r="BC24" i="41"/>
  <c r="BD24" i="41"/>
  <c r="BE24" i="41"/>
  <c r="BF24" i="41"/>
  <c r="BG24" i="41"/>
  <c r="BH24" i="41"/>
  <c r="BI24" i="41"/>
  <c r="BJ24" i="41"/>
  <c r="BK24" i="41"/>
  <c r="BL24" i="41"/>
  <c r="BM24" i="41"/>
  <c r="BN24" i="41"/>
  <c r="BO24" i="41"/>
  <c r="D25" i="41"/>
  <c r="F25" i="41"/>
  <c r="G25" i="41"/>
  <c r="H25" i="41"/>
  <c r="I25" i="41"/>
  <c r="K25" i="41"/>
  <c r="L25" i="41"/>
  <c r="N25" i="41"/>
  <c r="O25" i="41"/>
  <c r="P25" i="41"/>
  <c r="Q25" i="41"/>
  <c r="S25" i="41"/>
  <c r="T25" i="41"/>
  <c r="V25" i="41"/>
  <c r="X25" i="41"/>
  <c r="Y25" i="41"/>
  <c r="Z25" i="41"/>
  <c r="AA25" i="41"/>
  <c r="AB25" i="41"/>
  <c r="AC25" i="41"/>
  <c r="AF25" i="41"/>
  <c r="AG25" i="41"/>
  <c r="AH25" i="41"/>
  <c r="AI25" i="41"/>
  <c r="AJ25" i="41"/>
  <c r="AL25" i="41"/>
  <c r="AM25" i="41"/>
  <c r="AN25" i="41"/>
  <c r="AO25" i="41"/>
  <c r="AP25" i="41"/>
  <c r="AQ25" i="41"/>
  <c r="AR25" i="41"/>
  <c r="AS25" i="41"/>
  <c r="AT25" i="41"/>
  <c r="AU25" i="41"/>
  <c r="AV25" i="41"/>
  <c r="AW25" i="41"/>
  <c r="AX25" i="41"/>
  <c r="AY25" i="41"/>
  <c r="BB25" i="41"/>
  <c r="BC25" i="41"/>
  <c r="BD25" i="41"/>
  <c r="BE25" i="41"/>
  <c r="BF25" i="41"/>
  <c r="BG25" i="41"/>
  <c r="BH25" i="41"/>
  <c r="BI25" i="41"/>
  <c r="BJ25" i="41"/>
  <c r="BK25" i="41"/>
  <c r="BL25" i="41"/>
  <c r="BM25" i="41"/>
  <c r="BN25" i="41"/>
  <c r="BO25" i="41"/>
  <c r="D26" i="41"/>
  <c r="F26" i="41"/>
  <c r="G26" i="41"/>
  <c r="H26" i="41"/>
  <c r="I26" i="41"/>
  <c r="K26" i="41"/>
  <c r="L26" i="41"/>
  <c r="N26" i="41"/>
  <c r="O26" i="41"/>
  <c r="P26" i="41"/>
  <c r="Q26" i="41"/>
  <c r="S26" i="41"/>
  <c r="T26" i="41"/>
  <c r="V26" i="41"/>
  <c r="X26" i="41"/>
  <c r="Y26" i="41"/>
  <c r="Z26" i="41"/>
  <c r="AA26" i="41"/>
  <c r="AB26" i="41"/>
  <c r="AC26" i="41"/>
  <c r="AF26" i="41"/>
  <c r="AG26" i="41"/>
  <c r="AH26" i="41"/>
  <c r="AI26" i="41"/>
  <c r="AJ26" i="41"/>
  <c r="AL26" i="41"/>
  <c r="AM26" i="41"/>
  <c r="AN26" i="41"/>
  <c r="AO26" i="41"/>
  <c r="AP26" i="41"/>
  <c r="AQ26" i="41"/>
  <c r="AR26" i="41"/>
  <c r="AS26" i="41"/>
  <c r="AT26" i="41"/>
  <c r="AU26" i="41"/>
  <c r="AV26" i="41"/>
  <c r="AW26" i="41"/>
  <c r="AX26" i="41"/>
  <c r="AY26" i="41"/>
  <c r="BB26" i="41"/>
  <c r="BC26" i="41"/>
  <c r="BD26" i="41"/>
  <c r="BE26" i="41"/>
  <c r="BF26" i="41"/>
  <c r="BG26" i="41"/>
  <c r="BH26" i="41"/>
  <c r="BI26" i="41"/>
  <c r="BJ26" i="41"/>
  <c r="BK26" i="41"/>
  <c r="BL26" i="41"/>
  <c r="BM26" i="41"/>
  <c r="BN26" i="41"/>
  <c r="BO26" i="41"/>
  <c r="D27" i="41"/>
  <c r="F27" i="41"/>
  <c r="G27" i="41"/>
  <c r="H27" i="41"/>
  <c r="I27" i="41"/>
  <c r="K27" i="41"/>
  <c r="L27" i="41"/>
  <c r="N27" i="41"/>
  <c r="O27" i="41"/>
  <c r="P27" i="41"/>
  <c r="Q27" i="41"/>
  <c r="S27" i="41"/>
  <c r="T27" i="41"/>
  <c r="V27" i="41"/>
  <c r="X27" i="41"/>
  <c r="Y27" i="41"/>
  <c r="Z27" i="41"/>
  <c r="AA27" i="41"/>
  <c r="AB27" i="41"/>
  <c r="AC27" i="41"/>
  <c r="AF27" i="41"/>
  <c r="AG27" i="41"/>
  <c r="AH27" i="41"/>
  <c r="AI27" i="41"/>
  <c r="AJ27" i="41"/>
  <c r="AL27" i="41"/>
  <c r="AM27" i="41"/>
  <c r="AN27" i="41"/>
  <c r="AO27" i="41"/>
  <c r="AP27" i="41"/>
  <c r="AQ27" i="41"/>
  <c r="AR27" i="41"/>
  <c r="AS27" i="41"/>
  <c r="AT27" i="41"/>
  <c r="AU27" i="41"/>
  <c r="AV27" i="41"/>
  <c r="AW27" i="41"/>
  <c r="AX27" i="41"/>
  <c r="AY27" i="41"/>
  <c r="BB27" i="41"/>
  <c r="BC27" i="41"/>
  <c r="BD27" i="41"/>
  <c r="BE27" i="41"/>
  <c r="BF27" i="41"/>
  <c r="BG27" i="41"/>
  <c r="BH27" i="41"/>
  <c r="BI27" i="41"/>
  <c r="BJ27" i="41"/>
  <c r="BK27" i="41"/>
  <c r="BL27" i="41"/>
  <c r="BM27" i="41"/>
  <c r="BN27" i="41"/>
  <c r="BO27" i="41"/>
  <c r="D28" i="41"/>
  <c r="F28" i="41"/>
  <c r="G28" i="41"/>
  <c r="H28" i="41"/>
  <c r="I28" i="41"/>
  <c r="K28" i="41"/>
  <c r="L28" i="41"/>
  <c r="N28" i="41"/>
  <c r="O28" i="41"/>
  <c r="P28" i="41"/>
  <c r="Q28" i="41"/>
  <c r="S28" i="41"/>
  <c r="T28" i="41"/>
  <c r="V28" i="41"/>
  <c r="X28" i="41"/>
  <c r="Y28" i="41"/>
  <c r="Z28" i="41"/>
  <c r="AA28" i="41"/>
  <c r="AB28" i="41"/>
  <c r="AC28" i="41"/>
  <c r="AF28" i="41"/>
  <c r="AG28" i="41"/>
  <c r="AH28" i="41"/>
  <c r="AI28" i="41"/>
  <c r="AJ28" i="41"/>
  <c r="AL28" i="41"/>
  <c r="AM28" i="41"/>
  <c r="AN28" i="41"/>
  <c r="AO28" i="41"/>
  <c r="AP28" i="41"/>
  <c r="AQ28" i="41"/>
  <c r="AR28" i="41"/>
  <c r="AS28" i="41"/>
  <c r="AT28" i="41"/>
  <c r="AU28" i="41"/>
  <c r="AV28" i="41"/>
  <c r="AW28" i="41"/>
  <c r="AX28" i="41"/>
  <c r="AY28" i="41"/>
  <c r="BB28" i="41"/>
  <c r="BC28" i="41"/>
  <c r="BD28" i="41"/>
  <c r="BE28" i="41"/>
  <c r="BF28" i="41"/>
  <c r="BG28" i="41"/>
  <c r="BH28" i="41"/>
  <c r="BI28" i="41"/>
  <c r="BJ28" i="41"/>
  <c r="BK28" i="41"/>
  <c r="BL28" i="41"/>
  <c r="BM28" i="41"/>
  <c r="BN28" i="41"/>
  <c r="BO28" i="41"/>
  <c r="D29" i="41"/>
  <c r="F29" i="41"/>
  <c r="G29" i="41"/>
  <c r="H29" i="41"/>
  <c r="I29" i="41"/>
  <c r="K29" i="41"/>
  <c r="L29" i="41"/>
  <c r="N29" i="41"/>
  <c r="O29" i="41"/>
  <c r="P29" i="41"/>
  <c r="Q29" i="41"/>
  <c r="S29" i="41"/>
  <c r="T29" i="41"/>
  <c r="V29" i="41"/>
  <c r="X29" i="41"/>
  <c r="Y29" i="41"/>
  <c r="Z29" i="41"/>
  <c r="AA29" i="41"/>
  <c r="AB29" i="41"/>
  <c r="AC29" i="41"/>
  <c r="AF29" i="41"/>
  <c r="AG29" i="41"/>
  <c r="AH29" i="41"/>
  <c r="AI29" i="41"/>
  <c r="AJ29" i="41"/>
  <c r="AL29" i="41"/>
  <c r="AM29" i="41"/>
  <c r="AN29" i="41"/>
  <c r="AO29" i="41"/>
  <c r="AP29" i="41"/>
  <c r="AQ29" i="41"/>
  <c r="AR29" i="41"/>
  <c r="AS29" i="41"/>
  <c r="AT29" i="41"/>
  <c r="AU29" i="41"/>
  <c r="AV29" i="41"/>
  <c r="AW29" i="41"/>
  <c r="AX29" i="41"/>
  <c r="AY29" i="41"/>
  <c r="BB29" i="41"/>
  <c r="BC29" i="41"/>
  <c r="BD29" i="41"/>
  <c r="BE29" i="41"/>
  <c r="BF29" i="41"/>
  <c r="BG29" i="41"/>
  <c r="BH29" i="41"/>
  <c r="BI29" i="41"/>
  <c r="BJ29" i="41"/>
  <c r="BK29" i="41"/>
  <c r="BL29" i="41"/>
  <c r="BM29" i="41"/>
  <c r="BN29" i="41"/>
  <c r="BO29" i="41"/>
  <c r="D30" i="41"/>
  <c r="F30" i="41"/>
  <c r="G30" i="41"/>
  <c r="H30" i="41"/>
  <c r="I30" i="41"/>
  <c r="K30" i="41"/>
  <c r="L30" i="41"/>
  <c r="N30" i="41"/>
  <c r="O30" i="41"/>
  <c r="P30" i="41"/>
  <c r="Q30" i="41"/>
  <c r="S30" i="41"/>
  <c r="T30" i="41"/>
  <c r="V30" i="41"/>
  <c r="X30" i="41"/>
  <c r="Y30" i="41"/>
  <c r="Z30" i="41"/>
  <c r="AA30" i="41"/>
  <c r="AB30" i="41"/>
  <c r="AC30" i="41"/>
  <c r="AF30" i="41"/>
  <c r="AG30" i="41"/>
  <c r="AH30" i="41"/>
  <c r="AI30" i="41"/>
  <c r="AJ30" i="41"/>
  <c r="AL30" i="41"/>
  <c r="AM30" i="41"/>
  <c r="AN30" i="41"/>
  <c r="AO30" i="41"/>
  <c r="AP30" i="41"/>
  <c r="AQ30" i="41"/>
  <c r="AR30" i="41"/>
  <c r="AS30" i="41"/>
  <c r="AT30" i="41"/>
  <c r="AU30" i="41"/>
  <c r="AV30" i="41"/>
  <c r="AW30" i="41"/>
  <c r="AX30" i="41"/>
  <c r="AY30" i="41"/>
  <c r="BB30" i="41"/>
  <c r="BC30" i="41"/>
  <c r="BD30" i="41"/>
  <c r="BE30" i="41"/>
  <c r="BF30" i="41"/>
  <c r="BG30" i="41"/>
  <c r="BH30" i="41"/>
  <c r="BI30" i="41"/>
  <c r="BJ30" i="41"/>
  <c r="BK30" i="41"/>
  <c r="BL30" i="41"/>
  <c r="BM30" i="41"/>
  <c r="BN30" i="41"/>
  <c r="BO30" i="41"/>
  <c r="D31" i="41"/>
  <c r="F31" i="41"/>
  <c r="G31" i="41"/>
  <c r="H31" i="41"/>
  <c r="I31" i="41"/>
  <c r="K31" i="41"/>
  <c r="L31" i="41"/>
  <c r="N31" i="41"/>
  <c r="O31" i="41"/>
  <c r="P31" i="41"/>
  <c r="Q31" i="41"/>
  <c r="S31" i="41"/>
  <c r="T31" i="41"/>
  <c r="V31" i="41"/>
  <c r="X31" i="41"/>
  <c r="Y31" i="41"/>
  <c r="Z31" i="41"/>
  <c r="AA31" i="41"/>
  <c r="AB31" i="41"/>
  <c r="AC31" i="41"/>
  <c r="AF31" i="41"/>
  <c r="AG31" i="41"/>
  <c r="AH31" i="41"/>
  <c r="AI31" i="41"/>
  <c r="AJ31" i="41"/>
  <c r="AL31" i="41"/>
  <c r="AM31" i="41"/>
  <c r="AN31" i="41"/>
  <c r="AO31" i="41"/>
  <c r="AP31" i="41"/>
  <c r="AQ31" i="41"/>
  <c r="AR31" i="41"/>
  <c r="AS31" i="41"/>
  <c r="AT31" i="41"/>
  <c r="AU31" i="41"/>
  <c r="AV31" i="41"/>
  <c r="AW31" i="41"/>
  <c r="AX31" i="41"/>
  <c r="AY31" i="41"/>
  <c r="BB31" i="41"/>
  <c r="BC31" i="41"/>
  <c r="BD31" i="41"/>
  <c r="BE31" i="41"/>
  <c r="BF31" i="41"/>
  <c r="BG31" i="41"/>
  <c r="BH31" i="41"/>
  <c r="BI31" i="41"/>
  <c r="BJ31" i="41"/>
  <c r="BK31" i="41"/>
  <c r="BL31" i="41"/>
  <c r="BM31" i="41"/>
  <c r="BN31" i="41"/>
  <c r="BO31" i="41"/>
  <c r="F1" i="42"/>
  <c r="AV1" i="42"/>
  <c r="A2" i="42"/>
  <c r="F2" i="42"/>
  <c r="G2" i="42"/>
  <c r="N2" i="42"/>
  <c r="AV2" i="42"/>
  <c r="AW2" i="42"/>
  <c r="AX2" i="42"/>
  <c r="AY2" i="42"/>
  <c r="BW2" i="42"/>
  <c r="BX2" i="42"/>
  <c r="BY2" i="42"/>
  <c r="BZ2" i="42"/>
  <c r="CA2" i="42"/>
  <c r="CB2" i="42"/>
  <c r="CC2" i="42"/>
  <c r="CD2" i="42"/>
  <c r="CE2" i="42"/>
  <c r="CF2" i="42"/>
  <c r="CG2" i="42"/>
  <c r="CH2" i="42"/>
  <c r="CI2" i="42"/>
  <c r="CJ2" i="42"/>
  <c r="CK2" i="42"/>
  <c r="CL2" i="42"/>
  <c r="CM2" i="42"/>
  <c r="CN2" i="42"/>
  <c r="CO2" i="42"/>
  <c r="CP2" i="42"/>
  <c r="CQ2" i="42"/>
  <c r="CR2" i="42"/>
  <c r="CS2" i="42"/>
  <c r="CT2" i="42"/>
  <c r="CU2" i="42"/>
  <c r="CV2" i="42"/>
  <c r="CW2" i="42"/>
  <c r="CX2" i="42"/>
  <c r="A3" i="42"/>
  <c r="AH3" i="42"/>
  <c r="AK3" i="42"/>
  <c r="AV3" i="42"/>
  <c r="AW3" i="42"/>
  <c r="AX3" i="42"/>
  <c r="AY3" i="42"/>
  <c r="A4" i="42"/>
  <c r="N4" i="42"/>
  <c r="P4" i="42"/>
  <c r="T4" i="42"/>
  <c r="V4" i="42"/>
  <c r="W4" i="42"/>
  <c r="AH4" i="42"/>
  <c r="AK4" i="42"/>
  <c r="AM4" i="42"/>
  <c r="AN4" i="42"/>
  <c r="AO4" i="42"/>
  <c r="AP4" i="42"/>
  <c r="AQ4" i="42"/>
  <c r="AR4" i="42"/>
  <c r="AS4" i="42"/>
  <c r="AT4" i="42"/>
  <c r="AV4" i="42"/>
  <c r="AW4" i="42"/>
  <c r="AX4" i="42"/>
  <c r="AY4" i="42"/>
  <c r="A5" i="42"/>
  <c r="G5" i="42"/>
  <c r="N5" i="42"/>
  <c r="P5" i="42"/>
  <c r="T5" i="42"/>
  <c r="V5" i="42"/>
  <c r="W5" i="42"/>
  <c r="AH5" i="42"/>
  <c r="AK5" i="42"/>
  <c r="AM5" i="42"/>
  <c r="AN5" i="42"/>
  <c r="AO5" i="42"/>
  <c r="AP5" i="42"/>
  <c r="AQ5" i="42"/>
  <c r="AR5" i="42"/>
  <c r="AS5" i="42"/>
  <c r="AT5" i="42"/>
  <c r="AV5" i="42"/>
  <c r="AW5" i="42"/>
  <c r="AX5" i="42"/>
  <c r="AY5" i="42"/>
  <c r="BV5" i="42"/>
  <c r="A6" i="42"/>
  <c r="N6" i="42"/>
  <c r="P6" i="42"/>
  <c r="T6" i="42"/>
  <c r="V6" i="42"/>
  <c r="W6" i="42"/>
  <c r="AH6" i="42"/>
  <c r="AK6" i="42"/>
  <c r="AM6" i="42"/>
  <c r="AN6" i="42"/>
  <c r="AO6" i="42"/>
  <c r="AP6" i="42"/>
  <c r="AQ6" i="42"/>
  <c r="AR6" i="42"/>
  <c r="AS6" i="42"/>
  <c r="AT6" i="42"/>
  <c r="A7" i="42"/>
  <c r="G7" i="42"/>
  <c r="N7" i="42"/>
  <c r="N7" i="42" a="1"/>
  <c r="P7" i="42"/>
  <c r="T7" i="42"/>
  <c r="AH7" i="42"/>
  <c r="AK7" i="42"/>
  <c r="AM7" i="42"/>
  <c r="AN7" i="42"/>
  <c r="AO7" i="42"/>
  <c r="AP7" i="42"/>
  <c r="AQ7" i="42"/>
  <c r="AR7" i="42"/>
  <c r="AS7" i="42"/>
  <c r="AT7" i="42"/>
  <c r="AV7" i="42"/>
  <c r="AW7" i="42"/>
  <c r="AX7" i="42"/>
  <c r="AY7" i="42"/>
  <c r="G8" i="42"/>
  <c r="N8" i="42"/>
  <c r="N8" i="42" a="1"/>
  <c r="P8" i="42"/>
  <c r="T8" i="42"/>
  <c r="V8" i="42"/>
  <c r="W8" i="42"/>
  <c r="Y8" i="42"/>
  <c r="Z8" i="42"/>
  <c r="AH8" i="42"/>
  <c r="AK8" i="42"/>
  <c r="AM8" i="42"/>
  <c r="AN8" i="42"/>
  <c r="AO8" i="42"/>
  <c r="AP8" i="42"/>
  <c r="AQ8" i="42"/>
  <c r="AR8" i="42"/>
  <c r="AS8" i="42"/>
  <c r="AT8" i="42"/>
  <c r="AV8" i="42"/>
  <c r="AW8" i="42"/>
  <c r="AX8" i="42"/>
  <c r="AY8" i="42"/>
  <c r="N9" i="42"/>
  <c r="N9" i="42" a="1"/>
  <c r="P9" i="42"/>
  <c r="AK9" i="42"/>
  <c r="AM9" i="42"/>
  <c r="AN9" i="42"/>
  <c r="AO9" i="42"/>
  <c r="AP9" i="42"/>
  <c r="AQ9" i="42"/>
  <c r="AR9" i="42"/>
  <c r="AS9" i="42"/>
  <c r="AT9" i="42"/>
  <c r="AV9" i="42"/>
  <c r="AW9" i="42"/>
  <c r="AX9" i="42"/>
  <c r="AY9" i="42"/>
  <c r="N10" i="42"/>
  <c r="P10" i="42"/>
  <c r="AH10" i="42"/>
  <c r="AM10" i="42"/>
  <c r="AN10" i="42"/>
  <c r="AO10" i="42"/>
  <c r="AP10" i="42"/>
  <c r="AQ10" i="42"/>
  <c r="AR10" i="42"/>
  <c r="AS10" i="42"/>
  <c r="AT10" i="42"/>
  <c r="AV10" i="42"/>
  <c r="AW10" i="42"/>
  <c r="AX10" i="42"/>
  <c r="AY10" i="42"/>
  <c r="D11" i="42"/>
  <c r="N11" i="42"/>
  <c r="P11" i="42"/>
  <c r="AM11" i="42"/>
  <c r="AN11" i="42"/>
  <c r="AO11" i="42"/>
  <c r="AP11" i="42"/>
  <c r="AQ11" i="42"/>
  <c r="AR11" i="42"/>
  <c r="AS11" i="42"/>
  <c r="AT11" i="42"/>
  <c r="AV11" i="42"/>
  <c r="AW11" i="42"/>
  <c r="AX11" i="42"/>
  <c r="AY11" i="42"/>
  <c r="D12" i="42"/>
  <c r="N12" i="42"/>
  <c r="P12" i="42"/>
  <c r="AH12" i="42"/>
  <c r="AM12" i="42"/>
  <c r="AN12" i="42"/>
  <c r="AO12" i="42"/>
  <c r="AP12" i="42"/>
  <c r="AQ12" i="42"/>
  <c r="AR12" i="42"/>
  <c r="AS12" i="42"/>
  <c r="AT12" i="42"/>
  <c r="AV12" i="42"/>
  <c r="AW12" i="42"/>
  <c r="AX12" i="42"/>
  <c r="AY12" i="42"/>
  <c r="N13" i="42"/>
  <c r="P13" i="42"/>
  <c r="AH13" i="42"/>
  <c r="AM13" i="42"/>
  <c r="AN13" i="42"/>
  <c r="AO13" i="42"/>
  <c r="AP13" i="42"/>
  <c r="AQ13" i="42"/>
  <c r="AR13" i="42"/>
  <c r="AS13" i="42"/>
  <c r="AT13" i="42"/>
  <c r="AV13" i="42"/>
  <c r="AW13" i="42"/>
  <c r="AX13" i="42"/>
  <c r="AY13" i="42"/>
  <c r="N14" i="42"/>
  <c r="P14" i="42"/>
  <c r="S14" i="42"/>
  <c r="T14" i="42"/>
  <c r="AM14" i="42"/>
  <c r="AN14" i="42"/>
  <c r="AO14" i="42"/>
  <c r="AP14" i="42"/>
  <c r="AQ14" i="42"/>
  <c r="AR14" i="42"/>
  <c r="AS14" i="42"/>
  <c r="AT14" i="42"/>
  <c r="AV14" i="42"/>
  <c r="AW14" i="42"/>
  <c r="AX14" i="42"/>
  <c r="AY14" i="42"/>
  <c r="N15" i="42"/>
  <c r="P15" i="42"/>
  <c r="AM15" i="42"/>
  <c r="AN15" i="42"/>
  <c r="AO15" i="42"/>
  <c r="AP15" i="42"/>
  <c r="AQ15" i="42"/>
  <c r="AR15" i="42"/>
  <c r="AS15" i="42"/>
  <c r="AT15" i="42"/>
  <c r="AV15" i="42"/>
  <c r="AW15" i="42"/>
  <c r="AX15" i="42"/>
  <c r="AY15" i="42"/>
  <c r="N16" i="42"/>
  <c r="P16" i="42"/>
  <c r="AV16" i="42"/>
  <c r="AW16" i="42"/>
  <c r="AX16" i="42"/>
  <c r="AY16" i="42"/>
  <c r="N17" i="42"/>
  <c r="P17" i="42"/>
  <c r="AV17" i="42"/>
  <c r="AW17" i="42"/>
  <c r="AX17" i="42"/>
  <c r="AY17" i="42"/>
  <c r="N18" i="42"/>
  <c r="P18" i="42"/>
  <c r="AX18" i="42"/>
  <c r="AY18" i="42"/>
  <c r="N19" i="42"/>
  <c r="P19" i="42"/>
  <c r="S20" i="42"/>
  <c r="T20" i="42"/>
  <c r="AM20" i="42"/>
  <c r="AO20" i="42"/>
  <c r="AV20" i="42"/>
  <c r="AW20" i="42"/>
  <c r="AX20" i="42"/>
  <c r="AY20" i="42"/>
  <c r="D22" i="42"/>
  <c r="F22" i="42"/>
  <c r="G22" i="42"/>
  <c r="H22" i="42"/>
  <c r="I22" i="42"/>
  <c r="K22" i="42"/>
  <c r="L22" i="42"/>
  <c r="N22" i="42"/>
  <c r="O22" i="42"/>
  <c r="P22" i="42"/>
  <c r="Q22" i="42"/>
  <c r="S22" i="42"/>
  <c r="T22" i="42"/>
  <c r="V22" i="42"/>
  <c r="X22" i="42"/>
  <c r="Y22" i="42"/>
  <c r="Z22" i="42"/>
  <c r="AA22" i="42"/>
  <c r="AB22" i="42"/>
  <c r="AC22" i="42"/>
  <c r="AF22" i="42"/>
  <c r="AG22" i="42"/>
  <c r="AH22" i="42"/>
  <c r="AI22" i="42"/>
  <c r="AJ22" i="42"/>
  <c r="AL22" i="42"/>
  <c r="AM22" i="42"/>
  <c r="AN22" i="42"/>
  <c r="AO22" i="42"/>
  <c r="AP22" i="42"/>
  <c r="AQ22" i="42"/>
  <c r="AR22" i="42"/>
  <c r="AS22" i="42"/>
  <c r="AT22" i="42"/>
  <c r="AU22" i="42"/>
  <c r="AV22" i="42"/>
  <c r="AW22" i="42"/>
  <c r="AX22" i="42"/>
  <c r="AY22" i="42"/>
  <c r="BB22" i="42"/>
  <c r="BC22" i="42"/>
  <c r="BD22" i="42"/>
  <c r="BE22" i="42"/>
  <c r="BF22" i="42"/>
  <c r="BG22" i="42"/>
  <c r="BH22" i="42"/>
  <c r="BI22" i="42"/>
  <c r="BJ22" i="42"/>
  <c r="BK22" i="42"/>
  <c r="BL22" i="42"/>
  <c r="BM22" i="42"/>
  <c r="BN22" i="42"/>
  <c r="BO22" i="42"/>
  <c r="D23" i="42"/>
  <c r="F23" i="42"/>
  <c r="G23" i="42"/>
  <c r="H23" i="42"/>
  <c r="I23" i="42"/>
  <c r="K23" i="42"/>
  <c r="L23" i="42"/>
  <c r="N23" i="42"/>
  <c r="O23" i="42"/>
  <c r="P23" i="42"/>
  <c r="Q23" i="42"/>
  <c r="S23" i="42"/>
  <c r="T23" i="42"/>
  <c r="V23" i="42"/>
  <c r="X23" i="42"/>
  <c r="Y23" i="42"/>
  <c r="Z23" i="42"/>
  <c r="AA23" i="42"/>
  <c r="AB23" i="42"/>
  <c r="AC23" i="42"/>
  <c r="AF23" i="42"/>
  <c r="AG23" i="42"/>
  <c r="AH23" i="42"/>
  <c r="AI23" i="42"/>
  <c r="AJ23" i="42"/>
  <c r="AL23" i="42"/>
  <c r="AM23" i="42"/>
  <c r="AN23" i="42"/>
  <c r="AO23" i="42"/>
  <c r="AP23" i="42"/>
  <c r="AQ23" i="42"/>
  <c r="AR23" i="42"/>
  <c r="AS23" i="42"/>
  <c r="AT23" i="42"/>
  <c r="AU23" i="42"/>
  <c r="AV23" i="42"/>
  <c r="AW23" i="42"/>
  <c r="AX23" i="42"/>
  <c r="AY23" i="42"/>
  <c r="BB23" i="42"/>
  <c r="BC23" i="42"/>
  <c r="BD23" i="42"/>
  <c r="BE23" i="42"/>
  <c r="BF23" i="42"/>
  <c r="BG23" i="42"/>
  <c r="BH23" i="42"/>
  <c r="BI23" i="42"/>
  <c r="BJ23" i="42"/>
  <c r="BK23" i="42"/>
  <c r="BL23" i="42"/>
  <c r="BM23" i="42"/>
  <c r="BN23" i="42"/>
  <c r="BO23" i="42"/>
  <c r="D24" i="42"/>
  <c r="F24" i="42"/>
  <c r="G24" i="42"/>
  <c r="H24" i="42"/>
  <c r="I24" i="42"/>
  <c r="K24" i="42"/>
  <c r="L24" i="42"/>
  <c r="N24" i="42"/>
  <c r="O24" i="42"/>
  <c r="P24" i="42"/>
  <c r="Q24" i="42"/>
  <c r="S24" i="42"/>
  <c r="T24" i="42"/>
  <c r="V24" i="42"/>
  <c r="X24" i="42"/>
  <c r="Y24" i="42"/>
  <c r="Z24" i="42"/>
  <c r="AA24" i="42"/>
  <c r="AB24" i="42"/>
  <c r="AC24" i="42"/>
  <c r="AF24" i="42"/>
  <c r="AG24" i="42"/>
  <c r="AH24" i="42"/>
  <c r="AI24" i="42"/>
  <c r="AJ24" i="42"/>
  <c r="AL24" i="42"/>
  <c r="AM24" i="42"/>
  <c r="AN24" i="42"/>
  <c r="AO24" i="42"/>
  <c r="AP24" i="42"/>
  <c r="AQ24" i="42"/>
  <c r="AR24" i="42"/>
  <c r="AS24" i="42"/>
  <c r="AT24" i="42"/>
  <c r="AU24" i="42"/>
  <c r="AV24" i="42"/>
  <c r="AW24" i="42"/>
  <c r="AX24" i="42"/>
  <c r="AY24" i="42"/>
  <c r="BB24" i="42"/>
  <c r="BC24" i="42"/>
  <c r="BD24" i="42"/>
  <c r="BE24" i="42"/>
  <c r="BF24" i="42"/>
  <c r="BG24" i="42"/>
  <c r="BH24" i="42"/>
  <c r="BI24" i="42"/>
  <c r="BJ24" i="42"/>
  <c r="BK24" i="42"/>
  <c r="BL24" i="42"/>
  <c r="BM24" i="42"/>
  <c r="BN24" i="42"/>
  <c r="BO24" i="42"/>
  <c r="D25" i="42"/>
  <c r="F25" i="42"/>
  <c r="G25" i="42"/>
  <c r="H25" i="42"/>
  <c r="I25" i="42"/>
  <c r="K25" i="42"/>
  <c r="L25" i="42"/>
  <c r="N25" i="42"/>
  <c r="O25" i="42"/>
  <c r="P25" i="42"/>
  <c r="Q25" i="42"/>
  <c r="S25" i="42"/>
  <c r="T25" i="42"/>
  <c r="V25" i="42"/>
  <c r="X25" i="42"/>
  <c r="Y25" i="42"/>
  <c r="Z25" i="42"/>
  <c r="AA25" i="42"/>
  <c r="AB25" i="42"/>
  <c r="AC25" i="42"/>
  <c r="AF25" i="42"/>
  <c r="AG25" i="42"/>
  <c r="AH25" i="42"/>
  <c r="AI25" i="42"/>
  <c r="AJ25" i="42"/>
  <c r="AL25" i="42"/>
  <c r="AM25" i="42"/>
  <c r="AN25" i="42"/>
  <c r="AO25" i="42"/>
  <c r="AP25" i="42"/>
  <c r="AQ25" i="42"/>
  <c r="AR25" i="42"/>
  <c r="AS25" i="42"/>
  <c r="AT25" i="42"/>
  <c r="AU25" i="42"/>
  <c r="AV25" i="42"/>
  <c r="AW25" i="42"/>
  <c r="AX25" i="42"/>
  <c r="AY25" i="42"/>
  <c r="BB25" i="42"/>
  <c r="BC25" i="42"/>
  <c r="BD25" i="42"/>
  <c r="BE25" i="42"/>
  <c r="BF25" i="42"/>
  <c r="BG25" i="42"/>
  <c r="BH25" i="42"/>
  <c r="BI25" i="42"/>
  <c r="BJ25" i="42"/>
  <c r="BK25" i="42"/>
  <c r="BL25" i="42"/>
  <c r="BM25" i="42"/>
  <c r="BN25" i="42"/>
  <c r="BO25" i="42"/>
  <c r="D26" i="42"/>
  <c r="F26" i="42"/>
  <c r="G26" i="42"/>
  <c r="H26" i="42"/>
  <c r="I26" i="42"/>
  <c r="K26" i="42"/>
  <c r="L26" i="42"/>
  <c r="N26" i="42"/>
  <c r="O26" i="42"/>
  <c r="P26" i="42"/>
  <c r="Q26" i="42"/>
  <c r="S26" i="42"/>
  <c r="T26" i="42"/>
  <c r="V26" i="42"/>
  <c r="X26" i="42"/>
  <c r="Y26" i="42"/>
  <c r="Z26" i="42"/>
  <c r="AA26" i="42"/>
  <c r="AB26" i="42"/>
  <c r="AC26" i="42"/>
  <c r="AF26" i="42"/>
  <c r="AG26" i="42"/>
  <c r="AH26" i="42"/>
  <c r="AI26" i="42"/>
  <c r="AJ26" i="42"/>
  <c r="AL26" i="42"/>
  <c r="AM26" i="42"/>
  <c r="AN26" i="42"/>
  <c r="AO26" i="42"/>
  <c r="AP26" i="42"/>
  <c r="AQ26" i="42"/>
  <c r="AR26" i="42"/>
  <c r="AS26" i="42"/>
  <c r="AT26" i="42"/>
  <c r="AU26" i="42"/>
  <c r="AV26" i="42"/>
  <c r="AW26" i="42"/>
  <c r="AX26" i="42"/>
  <c r="AY26" i="42"/>
  <c r="BB26" i="42"/>
  <c r="BC26" i="42"/>
  <c r="BD26" i="42"/>
  <c r="BE26" i="42"/>
  <c r="BF26" i="42"/>
  <c r="BG26" i="42"/>
  <c r="BH26" i="42"/>
  <c r="BI26" i="42"/>
  <c r="BJ26" i="42"/>
  <c r="BK26" i="42"/>
  <c r="BL26" i="42"/>
  <c r="BM26" i="42"/>
  <c r="BN26" i="42"/>
  <c r="BO26" i="42"/>
  <c r="D27" i="42"/>
  <c r="F27" i="42"/>
  <c r="G27" i="42"/>
  <c r="H27" i="42"/>
  <c r="I27" i="42"/>
  <c r="K27" i="42"/>
  <c r="L27" i="42"/>
  <c r="N27" i="42"/>
  <c r="O27" i="42"/>
  <c r="P27" i="42"/>
  <c r="Q27" i="42"/>
  <c r="S27" i="42"/>
  <c r="T27" i="42"/>
  <c r="V27" i="42"/>
  <c r="X27" i="42"/>
  <c r="Y27" i="42"/>
  <c r="Z27" i="42"/>
  <c r="AA27" i="42"/>
  <c r="AB27" i="42"/>
  <c r="AC27" i="42"/>
  <c r="AF27" i="42"/>
  <c r="AG27" i="42"/>
  <c r="AH27" i="42"/>
  <c r="AI27" i="42"/>
  <c r="AJ27" i="42"/>
  <c r="AL27" i="42"/>
  <c r="AM27" i="42"/>
  <c r="AN27" i="42"/>
  <c r="AO27" i="42"/>
  <c r="AP27" i="42"/>
  <c r="AQ27" i="42"/>
  <c r="AR27" i="42"/>
  <c r="AS27" i="42"/>
  <c r="AT27" i="42"/>
  <c r="AU27" i="42"/>
  <c r="AV27" i="42"/>
  <c r="AW27" i="42"/>
  <c r="AX27" i="42"/>
  <c r="AY27" i="42"/>
  <c r="BB27" i="42"/>
  <c r="BC27" i="42"/>
  <c r="BD27" i="42"/>
  <c r="BE27" i="42"/>
  <c r="BF27" i="42"/>
  <c r="BG27" i="42"/>
  <c r="BH27" i="42"/>
  <c r="BI27" i="42"/>
  <c r="BJ27" i="42"/>
  <c r="BK27" i="42"/>
  <c r="BL27" i="42"/>
  <c r="BM27" i="42"/>
  <c r="BN27" i="42"/>
  <c r="BO27" i="42"/>
  <c r="D28" i="42"/>
  <c r="F28" i="42"/>
  <c r="G28" i="42"/>
  <c r="H28" i="42"/>
  <c r="I28" i="42"/>
  <c r="K28" i="42"/>
  <c r="L28" i="42"/>
  <c r="N28" i="42"/>
  <c r="O28" i="42"/>
  <c r="P28" i="42"/>
  <c r="Q28" i="42"/>
  <c r="S28" i="42"/>
  <c r="T28" i="42"/>
  <c r="V28" i="42"/>
  <c r="X28" i="42"/>
  <c r="Y28" i="42"/>
  <c r="Z28" i="42"/>
  <c r="AA28" i="42"/>
  <c r="AB28" i="42"/>
  <c r="AC28" i="42"/>
  <c r="AF28" i="42"/>
  <c r="AG28" i="42"/>
  <c r="AH28" i="42"/>
  <c r="AI28" i="42"/>
  <c r="AJ28" i="42"/>
  <c r="AL28" i="42"/>
  <c r="AM28" i="42"/>
  <c r="AN28" i="42"/>
  <c r="AO28" i="42"/>
  <c r="AP28" i="42"/>
  <c r="AQ28" i="42"/>
  <c r="AR28" i="42"/>
  <c r="AS28" i="42"/>
  <c r="AT28" i="42"/>
  <c r="AU28" i="42"/>
  <c r="AV28" i="42"/>
  <c r="AW28" i="42"/>
  <c r="AX28" i="42"/>
  <c r="AY28" i="42"/>
  <c r="BB28" i="42"/>
  <c r="BC28" i="42"/>
  <c r="BD28" i="42"/>
  <c r="BE28" i="42"/>
  <c r="BF28" i="42"/>
  <c r="BG28" i="42"/>
  <c r="BH28" i="42"/>
  <c r="BI28" i="42"/>
  <c r="BJ28" i="42"/>
  <c r="BK28" i="42"/>
  <c r="BL28" i="42"/>
  <c r="BM28" i="42"/>
  <c r="BN28" i="42"/>
  <c r="BO28" i="42"/>
  <c r="D29" i="42"/>
  <c r="F29" i="42"/>
  <c r="G29" i="42"/>
  <c r="H29" i="42"/>
  <c r="I29" i="42"/>
  <c r="K29" i="42"/>
  <c r="L29" i="42"/>
  <c r="N29" i="42"/>
  <c r="O29" i="42"/>
  <c r="P29" i="42"/>
  <c r="Q29" i="42"/>
  <c r="S29" i="42"/>
  <c r="T29" i="42"/>
  <c r="V29" i="42"/>
  <c r="X29" i="42"/>
  <c r="Y29" i="42"/>
  <c r="Z29" i="42"/>
  <c r="AA29" i="42"/>
  <c r="AB29" i="42"/>
  <c r="AC29" i="42"/>
  <c r="AF29" i="42"/>
  <c r="AG29" i="42"/>
  <c r="AH29" i="42"/>
  <c r="AI29" i="42"/>
  <c r="AJ29" i="42"/>
  <c r="AL29" i="42"/>
  <c r="AM29" i="42"/>
  <c r="AN29" i="42"/>
  <c r="AO29" i="42"/>
  <c r="AP29" i="42"/>
  <c r="AQ29" i="42"/>
  <c r="AR29" i="42"/>
  <c r="AS29" i="42"/>
  <c r="AT29" i="42"/>
  <c r="AU29" i="42"/>
  <c r="AV29" i="42"/>
  <c r="AW29" i="42"/>
  <c r="AX29" i="42"/>
  <c r="AY29" i="42"/>
  <c r="BB29" i="42"/>
  <c r="BC29" i="42"/>
  <c r="BD29" i="42"/>
  <c r="BE29" i="42"/>
  <c r="BF29" i="42"/>
  <c r="BG29" i="42"/>
  <c r="BH29" i="42"/>
  <c r="BI29" i="42"/>
  <c r="BJ29" i="42"/>
  <c r="BK29" i="42"/>
  <c r="BL29" i="42"/>
  <c r="BM29" i="42"/>
  <c r="BN29" i="42"/>
  <c r="BO29" i="42"/>
  <c r="D30" i="42"/>
  <c r="F30" i="42"/>
  <c r="G30" i="42"/>
  <c r="H30" i="42"/>
  <c r="I30" i="42"/>
  <c r="K30" i="42"/>
  <c r="L30" i="42"/>
  <c r="N30" i="42"/>
  <c r="O30" i="42"/>
  <c r="P30" i="42"/>
  <c r="Q30" i="42"/>
  <c r="S30" i="42"/>
  <c r="T30" i="42"/>
  <c r="V30" i="42"/>
  <c r="X30" i="42"/>
  <c r="Y30" i="42"/>
  <c r="Z30" i="42"/>
  <c r="AA30" i="42"/>
  <c r="AB30" i="42"/>
  <c r="AC30" i="42"/>
  <c r="AF30" i="42"/>
  <c r="AG30" i="42"/>
  <c r="AH30" i="42"/>
  <c r="AI30" i="42"/>
  <c r="AJ30" i="42"/>
  <c r="AL30" i="42"/>
  <c r="AM30" i="42"/>
  <c r="AN30" i="42"/>
  <c r="AO30" i="42"/>
  <c r="AP30" i="42"/>
  <c r="AQ30" i="42"/>
  <c r="AR30" i="42"/>
  <c r="AS30" i="42"/>
  <c r="AT30" i="42"/>
  <c r="AU30" i="42"/>
  <c r="AV30" i="42"/>
  <c r="AW30" i="42"/>
  <c r="AX30" i="42"/>
  <c r="AY30" i="42"/>
  <c r="BB30" i="42"/>
  <c r="BC30" i="42"/>
  <c r="BD30" i="42"/>
  <c r="BE30" i="42"/>
  <c r="BF30" i="42"/>
  <c r="BG30" i="42"/>
  <c r="BH30" i="42"/>
  <c r="BI30" i="42"/>
  <c r="BJ30" i="42"/>
  <c r="BK30" i="42"/>
  <c r="BL30" i="42"/>
  <c r="BM30" i="42"/>
  <c r="BN30" i="42"/>
  <c r="BO30" i="42"/>
  <c r="D31" i="42"/>
  <c r="F31" i="42"/>
  <c r="G31" i="42"/>
  <c r="H31" i="42"/>
  <c r="I31" i="42"/>
  <c r="K31" i="42"/>
  <c r="L31" i="42"/>
  <c r="N31" i="42"/>
  <c r="O31" i="42"/>
  <c r="P31" i="42"/>
  <c r="Q31" i="42"/>
  <c r="S31" i="42"/>
  <c r="T31" i="42"/>
  <c r="V31" i="42"/>
  <c r="X31" i="42"/>
  <c r="Y31" i="42"/>
  <c r="Z31" i="42"/>
  <c r="AA31" i="42"/>
  <c r="AB31" i="42"/>
  <c r="AC31" i="42"/>
  <c r="AF31" i="42"/>
  <c r="AG31" i="42"/>
  <c r="AH31" i="42"/>
  <c r="AI31" i="42"/>
  <c r="AJ31" i="42"/>
  <c r="AL31" i="42"/>
  <c r="AM31" i="42"/>
  <c r="AN31" i="42"/>
  <c r="AO31" i="42"/>
  <c r="AP31" i="42"/>
  <c r="AQ31" i="42"/>
  <c r="AR31" i="42"/>
  <c r="AS31" i="42"/>
  <c r="AT31" i="42"/>
  <c r="AU31" i="42"/>
  <c r="AV31" i="42"/>
  <c r="AW31" i="42"/>
  <c r="AX31" i="42"/>
  <c r="AY31" i="42"/>
  <c r="BB31" i="42"/>
  <c r="BC31" i="42"/>
  <c r="BD31" i="42"/>
  <c r="BE31" i="42"/>
  <c r="BF31" i="42"/>
  <c r="BG31" i="42"/>
  <c r="BH31" i="42"/>
  <c r="BI31" i="42"/>
  <c r="BJ31" i="42"/>
  <c r="BK31" i="42"/>
  <c r="BL31" i="42"/>
  <c r="BM31" i="42"/>
  <c r="BN31" i="42"/>
  <c r="BO31" i="42"/>
  <c r="D32" i="42"/>
  <c r="F32" i="42"/>
  <c r="G32" i="42"/>
  <c r="H32" i="42"/>
  <c r="I32" i="42"/>
  <c r="K32" i="42"/>
  <c r="L32" i="42"/>
  <c r="N32" i="42"/>
  <c r="O32" i="42"/>
  <c r="P32" i="42"/>
  <c r="Q32" i="42"/>
  <c r="S32" i="42"/>
  <c r="T32" i="42"/>
  <c r="V32" i="42"/>
  <c r="X32" i="42"/>
  <c r="Y32" i="42"/>
  <c r="Z32" i="42"/>
  <c r="AA32" i="42"/>
  <c r="AB32" i="42"/>
  <c r="AC32" i="42"/>
  <c r="AF32" i="42"/>
  <c r="AG32" i="42"/>
  <c r="AH32" i="42"/>
  <c r="AI32" i="42"/>
  <c r="AJ32" i="42"/>
  <c r="AL32" i="42"/>
  <c r="AM32" i="42"/>
  <c r="AN32" i="42"/>
  <c r="AO32" i="42"/>
  <c r="AP32" i="42"/>
  <c r="AQ32" i="42"/>
  <c r="AR32" i="42"/>
  <c r="AS32" i="42"/>
  <c r="AT32" i="42"/>
  <c r="AU32" i="42"/>
  <c r="AV32" i="42"/>
  <c r="AW32" i="42"/>
  <c r="AX32" i="42"/>
  <c r="AY32" i="42"/>
  <c r="BB32" i="42"/>
  <c r="BC32" i="42"/>
  <c r="BD32" i="42"/>
  <c r="BE32" i="42"/>
  <c r="BF32" i="42"/>
  <c r="BG32" i="42"/>
  <c r="BH32" i="42"/>
  <c r="BI32" i="42"/>
  <c r="BJ32" i="42"/>
  <c r="BK32" i="42"/>
  <c r="BL32" i="42"/>
  <c r="BM32" i="42"/>
  <c r="BN32" i="42"/>
  <c r="BO32" i="42"/>
  <c r="D33" i="42"/>
  <c r="F33" i="42"/>
  <c r="G33" i="42"/>
  <c r="H33" i="42"/>
  <c r="I33" i="42"/>
  <c r="K33" i="42"/>
  <c r="L33" i="42"/>
  <c r="N33" i="42"/>
  <c r="O33" i="42"/>
  <c r="P33" i="42"/>
  <c r="Q33" i="42"/>
  <c r="S33" i="42"/>
  <c r="T33" i="42"/>
  <c r="V33" i="42"/>
  <c r="X33" i="42"/>
  <c r="Y33" i="42"/>
  <c r="Z33" i="42"/>
  <c r="AA33" i="42"/>
  <c r="AB33" i="42"/>
  <c r="AC33" i="42"/>
  <c r="AF33" i="42"/>
  <c r="AG33" i="42"/>
  <c r="AH33" i="42"/>
  <c r="AI33" i="42"/>
  <c r="AJ33" i="42"/>
  <c r="AL33" i="42"/>
  <c r="AM33" i="42"/>
  <c r="AN33" i="42"/>
  <c r="AO33" i="42"/>
  <c r="AP33" i="42"/>
  <c r="AQ33" i="42"/>
  <c r="AR33" i="42"/>
  <c r="AS33" i="42"/>
  <c r="AT33" i="42"/>
  <c r="AU33" i="42"/>
  <c r="AV33" i="42"/>
  <c r="AW33" i="42"/>
  <c r="AX33" i="42"/>
  <c r="AY33" i="42"/>
  <c r="BB33" i="42"/>
  <c r="BC33" i="42"/>
  <c r="BD33" i="42"/>
  <c r="BE33" i="42"/>
  <c r="BF33" i="42"/>
  <c r="BG33" i="42"/>
  <c r="BH33" i="42"/>
  <c r="BI33" i="42"/>
  <c r="BJ33" i="42"/>
  <c r="BK33" i="42"/>
  <c r="BL33" i="42"/>
  <c r="BM33" i="42"/>
  <c r="BN33" i="42"/>
  <c r="BO33" i="42"/>
  <c r="D34" i="42"/>
  <c r="F34" i="42"/>
  <c r="G34" i="42"/>
  <c r="H34" i="42"/>
  <c r="I34" i="42"/>
  <c r="K34" i="42"/>
  <c r="L34" i="42"/>
  <c r="N34" i="42"/>
  <c r="O34" i="42"/>
  <c r="P34" i="42"/>
  <c r="Q34" i="42"/>
  <c r="S34" i="42"/>
  <c r="T34" i="42"/>
  <c r="V34" i="42"/>
  <c r="X34" i="42"/>
  <c r="Y34" i="42"/>
  <c r="Z34" i="42"/>
  <c r="AA34" i="42"/>
  <c r="AB34" i="42"/>
  <c r="AC34" i="42"/>
  <c r="AF34" i="42"/>
  <c r="AG34" i="42"/>
  <c r="AH34" i="42"/>
  <c r="AI34" i="42"/>
  <c r="AJ34" i="42"/>
  <c r="AL34" i="42"/>
  <c r="AM34" i="42"/>
  <c r="AN34" i="42"/>
  <c r="AO34" i="42"/>
  <c r="AP34" i="42"/>
  <c r="AQ34" i="42"/>
  <c r="AR34" i="42"/>
  <c r="AS34" i="42"/>
  <c r="AT34" i="42"/>
  <c r="AU34" i="42"/>
  <c r="AV34" i="42"/>
  <c r="AW34" i="42"/>
  <c r="AX34" i="42"/>
  <c r="AY34" i="42"/>
  <c r="BB34" i="42"/>
  <c r="BC34" i="42"/>
  <c r="BD34" i="42"/>
  <c r="BE34" i="42"/>
  <c r="BF34" i="42"/>
  <c r="BG34" i="42"/>
  <c r="BH34" i="42"/>
  <c r="BI34" i="42"/>
  <c r="BJ34" i="42"/>
  <c r="BK34" i="42"/>
  <c r="BL34" i="42"/>
  <c r="BM34" i="42"/>
  <c r="BN34" i="42"/>
  <c r="BO34" i="42"/>
  <c r="D35" i="42"/>
  <c r="F35" i="42"/>
  <c r="G35" i="42"/>
  <c r="H35" i="42"/>
  <c r="I35" i="42"/>
  <c r="K35" i="42"/>
  <c r="L35" i="42"/>
  <c r="N35" i="42"/>
  <c r="O35" i="42"/>
  <c r="P35" i="42"/>
  <c r="Q35" i="42"/>
  <c r="S35" i="42"/>
  <c r="T35" i="42"/>
  <c r="V35" i="42"/>
  <c r="X35" i="42"/>
  <c r="Y35" i="42"/>
  <c r="Z35" i="42"/>
  <c r="AA35" i="42"/>
  <c r="AB35" i="42"/>
  <c r="AC35" i="42"/>
  <c r="AF35" i="42"/>
  <c r="AG35" i="42"/>
  <c r="AH35" i="42"/>
  <c r="AI35" i="42"/>
  <c r="AJ35" i="42"/>
  <c r="AL35" i="42"/>
  <c r="AM35" i="42"/>
  <c r="AN35" i="42"/>
  <c r="AO35" i="42"/>
  <c r="AP35" i="42"/>
  <c r="AQ35" i="42"/>
  <c r="AR35" i="42"/>
  <c r="AS35" i="42"/>
  <c r="AT35" i="42"/>
  <c r="AU35" i="42"/>
  <c r="AV35" i="42"/>
  <c r="AW35" i="42"/>
  <c r="AX35" i="42"/>
  <c r="AY35" i="42"/>
  <c r="BB35" i="42"/>
  <c r="BC35" i="42"/>
  <c r="BD35" i="42"/>
  <c r="BE35" i="42"/>
  <c r="BF35" i="42"/>
  <c r="BG35" i="42"/>
  <c r="BH35" i="42"/>
  <c r="BI35" i="42"/>
  <c r="BJ35" i="42"/>
  <c r="BK35" i="42"/>
  <c r="BL35" i="42"/>
  <c r="BM35" i="42"/>
  <c r="BN35" i="42"/>
  <c r="BO35" i="42"/>
  <c r="D36" i="42"/>
  <c r="F36" i="42"/>
  <c r="G36" i="42"/>
  <c r="H36" i="42"/>
  <c r="I36" i="42"/>
  <c r="K36" i="42"/>
  <c r="L36" i="42"/>
  <c r="N36" i="42"/>
  <c r="O36" i="42"/>
  <c r="P36" i="42"/>
  <c r="Q36" i="42"/>
  <c r="S36" i="42"/>
  <c r="T36" i="42"/>
  <c r="V36" i="42"/>
  <c r="X36" i="42"/>
  <c r="Y36" i="42"/>
  <c r="Z36" i="42"/>
  <c r="AA36" i="42"/>
  <c r="AB36" i="42"/>
  <c r="AC36" i="42"/>
  <c r="AF36" i="42"/>
  <c r="AG36" i="42"/>
  <c r="AH36" i="42"/>
  <c r="AI36" i="42"/>
  <c r="AJ36" i="42"/>
  <c r="AL36" i="42"/>
  <c r="AM36" i="42"/>
  <c r="AN36" i="42"/>
  <c r="AO36" i="42"/>
  <c r="AP36" i="42"/>
  <c r="AQ36" i="42"/>
  <c r="AR36" i="42"/>
  <c r="AS36" i="42"/>
  <c r="AT36" i="42"/>
  <c r="AU36" i="42"/>
  <c r="AV36" i="42"/>
  <c r="AW36" i="42"/>
  <c r="AX36" i="42"/>
  <c r="AY36" i="42"/>
  <c r="BB36" i="42"/>
  <c r="BC36" i="42"/>
  <c r="BD36" i="42"/>
  <c r="BE36" i="42"/>
  <c r="BF36" i="42"/>
  <c r="BG36" i="42"/>
  <c r="BH36" i="42"/>
  <c r="BI36" i="42"/>
  <c r="BJ36" i="42"/>
  <c r="BK36" i="42"/>
  <c r="BL36" i="42"/>
  <c r="BM36" i="42"/>
  <c r="BN36" i="42"/>
  <c r="BO36" i="42"/>
  <c r="D37" i="42"/>
  <c r="F37" i="42"/>
  <c r="G37" i="42"/>
  <c r="H37" i="42"/>
  <c r="I37" i="42"/>
  <c r="K37" i="42"/>
  <c r="L37" i="42"/>
  <c r="N37" i="42"/>
  <c r="O37" i="42"/>
  <c r="P37" i="42"/>
  <c r="Q37" i="42"/>
  <c r="S37" i="42"/>
  <c r="T37" i="42"/>
  <c r="V37" i="42"/>
  <c r="X37" i="42"/>
  <c r="Y37" i="42"/>
  <c r="Z37" i="42"/>
  <c r="AA37" i="42"/>
  <c r="AB37" i="42"/>
  <c r="AC37" i="42"/>
  <c r="AF37" i="42"/>
  <c r="AG37" i="42"/>
  <c r="AH37" i="42"/>
  <c r="AI37" i="42"/>
  <c r="AJ37" i="42"/>
  <c r="AL37" i="42"/>
  <c r="AM37" i="42"/>
  <c r="AN37" i="42"/>
  <c r="AO37" i="42"/>
  <c r="AP37" i="42"/>
  <c r="AQ37" i="42"/>
  <c r="AR37" i="42"/>
  <c r="AS37" i="42"/>
  <c r="AT37" i="42"/>
  <c r="AU37" i="42"/>
  <c r="AV37" i="42"/>
  <c r="AW37" i="42"/>
  <c r="AX37" i="42"/>
  <c r="AY37" i="42"/>
  <c r="BB37" i="42"/>
  <c r="BC37" i="42"/>
  <c r="BD37" i="42"/>
  <c r="BE37" i="42"/>
  <c r="BF37" i="42"/>
  <c r="BG37" i="42"/>
  <c r="BH37" i="42"/>
  <c r="BI37" i="42"/>
  <c r="BJ37" i="42"/>
  <c r="BK37" i="42"/>
  <c r="BL37" i="42"/>
  <c r="BM37" i="42"/>
  <c r="BN37" i="42"/>
  <c r="BO37" i="42"/>
  <c r="D38" i="42"/>
  <c r="F38" i="42"/>
  <c r="G38" i="42"/>
  <c r="H38" i="42"/>
  <c r="I38" i="42"/>
  <c r="K38" i="42"/>
  <c r="L38" i="42"/>
  <c r="N38" i="42"/>
  <c r="O38" i="42"/>
  <c r="P38" i="42"/>
  <c r="Q38" i="42"/>
  <c r="S38" i="42"/>
  <c r="T38" i="42"/>
  <c r="V38" i="42"/>
  <c r="X38" i="42"/>
  <c r="Y38" i="42"/>
  <c r="Z38" i="42"/>
  <c r="AA38" i="42"/>
  <c r="AB38" i="42"/>
  <c r="AC38" i="42"/>
  <c r="AF38" i="42"/>
  <c r="AG38" i="42"/>
  <c r="AH38" i="42"/>
  <c r="AI38" i="42"/>
  <c r="AJ38" i="42"/>
  <c r="AL38" i="42"/>
  <c r="AM38" i="42"/>
  <c r="AN38" i="42"/>
  <c r="AO38" i="42"/>
  <c r="AP38" i="42"/>
  <c r="AQ38" i="42"/>
  <c r="AR38" i="42"/>
  <c r="AS38" i="42"/>
  <c r="AT38" i="42"/>
  <c r="AU38" i="42"/>
  <c r="AV38" i="42"/>
  <c r="AW38" i="42"/>
  <c r="AX38" i="42"/>
  <c r="AY38" i="42"/>
  <c r="BB38" i="42"/>
  <c r="BC38" i="42"/>
  <c r="BD38" i="42"/>
  <c r="BE38" i="42"/>
  <c r="BF38" i="42"/>
  <c r="BG38" i="42"/>
  <c r="BH38" i="42"/>
  <c r="BI38" i="42"/>
  <c r="BJ38" i="42"/>
  <c r="BK38" i="42"/>
  <c r="BL38" i="42"/>
  <c r="BM38" i="42"/>
  <c r="BN38" i="42"/>
  <c r="BO38" i="42"/>
  <c r="D39" i="42"/>
  <c r="F39" i="42"/>
  <c r="G39" i="42"/>
  <c r="H39" i="42"/>
  <c r="I39" i="42"/>
  <c r="K39" i="42"/>
  <c r="L39" i="42"/>
  <c r="N39" i="42"/>
  <c r="O39" i="42"/>
  <c r="P39" i="42"/>
  <c r="Q39" i="42"/>
  <c r="S39" i="42"/>
  <c r="T39" i="42"/>
  <c r="V39" i="42"/>
  <c r="X39" i="42"/>
  <c r="Y39" i="42"/>
  <c r="Z39" i="42"/>
  <c r="AA39" i="42"/>
  <c r="AB39" i="42"/>
  <c r="AC39" i="42"/>
  <c r="AF39" i="42"/>
  <c r="AG39" i="42"/>
  <c r="AH39" i="42"/>
  <c r="AI39" i="42"/>
  <c r="AJ39" i="42"/>
  <c r="AL39" i="42"/>
  <c r="AM39" i="42"/>
  <c r="AN39" i="42"/>
  <c r="AO39" i="42"/>
  <c r="AP39" i="42"/>
  <c r="AQ39" i="42"/>
  <c r="AR39" i="42"/>
  <c r="AS39" i="42"/>
  <c r="AT39" i="42"/>
  <c r="AU39" i="42"/>
  <c r="AV39" i="42"/>
  <c r="AW39" i="42"/>
  <c r="AX39" i="42"/>
  <c r="AY39" i="42"/>
  <c r="BB39" i="42"/>
  <c r="BC39" i="42"/>
  <c r="BD39" i="42"/>
  <c r="BE39" i="42"/>
  <c r="BF39" i="42"/>
  <c r="BG39" i="42"/>
  <c r="BH39" i="42"/>
  <c r="BI39" i="42"/>
  <c r="BJ39" i="42"/>
  <c r="BK39" i="42"/>
  <c r="BL39" i="42"/>
  <c r="BM39" i="42"/>
  <c r="BN39" i="42"/>
  <c r="BO39" i="42"/>
  <c r="D40" i="42"/>
  <c r="F40" i="42"/>
  <c r="G40" i="42"/>
  <c r="H40" i="42"/>
  <c r="I40" i="42"/>
  <c r="K40" i="42"/>
  <c r="L40" i="42"/>
  <c r="N40" i="42"/>
  <c r="O40" i="42"/>
  <c r="P40" i="42"/>
  <c r="Q40" i="42"/>
  <c r="S40" i="42"/>
  <c r="T40" i="42"/>
  <c r="V40" i="42"/>
  <c r="X40" i="42"/>
  <c r="Y40" i="42"/>
  <c r="Z40" i="42"/>
  <c r="AA40" i="42"/>
  <c r="AB40" i="42"/>
  <c r="AC40" i="42"/>
  <c r="AF40" i="42"/>
  <c r="AG40" i="42"/>
  <c r="AH40" i="42"/>
  <c r="AI40" i="42"/>
  <c r="AJ40" i="42"/>
  <c r="AL40" i="42"/>
  <c r="AM40" i="42"/>
  <c r="AN40" i="42"/>
  <c r="AO40" i="42"/>
  <c r="AP40" i="42"/>
  <c r="AQ40" i="42"/>
  <c r="AR40" i="42"/>
  <c r="AS40" i="42"/>
  <c r="AT40" i="42"/>
  <c r="AU40" i="42"/>
  <c r="AV40" i="42"/>
  <c r="AW40" i="42"/>
  <c r="AX40" i="42"/>
  <c r="AY40" i="42"/>
  <c r="BB40" i="42"/>
  <c r="BC40" i="42"/>
  <c r="BD40" i="42"/>
  <c r="BE40" i="42"/>
  <c r="BF40" i="42"/>
  <c r="BG40" i="42"/>
  <c r="BH40" i="42"/>
  <c r="BI40" i="42"/>
  <c r="BJ40" i="42"/>
  <c r="BK40" i="42"/>
  <c r="BL40" i="42"/>
  <c r="BM40" i="42"/>
  <c r="BN40" i="42"/>
  <c r="BO40" i="42"/>
  <c r="D41" i="42"/>
  <c r="F41" i="42"/>
  <c r="G41" i="42"/>
  <c r="H41" i="42"/>
  <c r="I41" i="42"/>
  <c r="K41" i="42"/>
  <c r="L41" i="42"/>
  <c r="N41" i="42"/>
  <c r="O41" i="42"/>
  <c r="P41" i="42"/>
  <c r="Q41" i="42"/>
  <c r="S41" i="42"/>
  <c r="T41" i="42"/>
  <c r="V41" i="42"/>
  <c r="X41" i="42"/>
  <c r="Y41" i="42"/>
  <c r="Z41" i="42"/>
  <c r="AA41" i="42"/>
  <c r="AB41" i="42"/>
  <c r="AC41" i="42"/>
  <c r="AF41" i="42"/>
  <c r="AG41" i="42"/>
  <c r="AH41" i="42"/>
  <c r="AI41" i="42"/>
  <c r="AJ41" i="42"/>
  <c r="AL41" i="42"/>
  <c r="AM41" i="42"/>
  <c r="AN41" i="42"/>
  <c r="AO41" i="42"/>
  <c r="AP41" i="42"/>
  <c r="AQ41" i="42"/>
  <c r="AR41" i="42"/>
  <c r="AS41" i="42"/>
  <c r="AT41" i="42"/>
  <c r="AU41" i="42"/>
  <c r="AV41" i="42"/>
  <c r="AW41" i="42"/>
  <c r="AX41" i="42"/>
  <c r="AY41" i="42"/>
  <c r="BB41" i="42"/>
  <c r="BC41" i="42"/>
  <c r="BD41" i="42"/>
  <c r="BE41" i="42"/>
  <c r="BF41" i="42"/>
  <c r="BG41" i="42"/>
  <c r="BH41" i="42"/>
  <c r="BI41" i="42"/>
  <c r="BJ41" i="42"/>
  <c r="BK41" i="42"/>
  <c r="BL41" i="42"/>
  <c r="BM41" i="42"/>
  <c r="BN41" i="42"/>
  <c r="BO41" i="42"/>
  <c r="D42" i="42"/>
  <c r="F42" i="42"/>
  <c r="G42" i="42"/>
  <c r="H42" i="42"/>
  <c r="I42" i="42"/>
  <c r="K42" i="42"/>
  <c r="L42" i="42"/>
  <c r="N42" i="42"/>
  <c r="O42" i="42"/>
  <c r="P42" i="42"/>
  <c r="Q42" i="42"/>
  <c r="S42" i="42"/>
  <c r="T42" i="42"/>
  <c r="V42" i="42"/>
  <c r="X42" i="42"/>
  <c r="Y42" i="42"/>
  <c r="Z42" i="42"/>
  <c r="AA42" i="42"/>
  <c r="AB42" i="42"/>
  <c r="AC42" i="42"/>
  <c r="AF42" i="42"/>
  <c r="AG42" i="42"/>
  <c r="AH42" i="42"/>
  <c r="AI42" i="42"/>
  <c r="AJ42" i="42"/>
  <c r="AL42" i="42"/>
  <c r="AM42" i="42"/>
  <c r="AN42" i="42"/>
  <c r="AO42" i="42"/>
  <c r="AP42" i="42"/>
  <c r="AQ42" i="42"/>
  <c r="AR42" i="42"/>
  <c r="AS42" i="42"/>
  <c r="AT42" i="42"/>
  <c r="AU42" i="42"/>
  <c r="AV42" i="42"/>
  <c r="AW42" i="42"/>
  <c r="AX42" i="42"/>
  <c r="AY42" i="42"/>
  <c r="BB42" i="42"/>
  <c r="BC42" i="42"/>
  <c r="BD42" i="42"/>
  <c r="BE42" i="42"/>
  <c r="BF42" i="42"/>
  <c r="BG42" i="42"/>
  <c r="BH42" i="42"/>
  <c r="BI42" i="42"/>
  <c r="BJ42" i="42"/>
  <c r="BK42" i="42"/>
  <c r="BL42" i="42"/>
  <c r="BM42" i="42"/>
  <c r="BN42" i="42"/>
  <c r="BO42" i="42"/>
  <c r="D43" i="42"/>
  <c r="F43" i="42"/>
  <c r="G43" i="42"/>
  <c r="H43" i="42"/>
  <c r="I43" i="42"/>
  <c r="K43" i="42"/>
  <c r="L43" i="42"/>
  <c r="N43" i="42"/>
  <c r="O43" i="42"/>
  <c r="P43" i="42"/>
  <c r="Q43" i="42"/>
  <c r="S43" i="42"/>
  <c r="T43" i="42"/>
  <c r="V43" i="42"/>
  <c r="X43" i="42"/>
  <c r="Y43" i="42"/>
  <c r="Z43" i="42"/>
  <c r="AA43" i="42"/>
  <c r="AB43" i="42"/>
  <c r="AC43" i="42"/>
  <c r="AF43" i="42"/>
  <c r="AG43" i="42"/>
  <c r="AH43" i="42"/>
  <c r="AI43" i="42"/>
  <c r="AJ43" i="42"/>
  <c r="AL43" i="42"/>
  <c r="AM43" i="42"/>
  <c r="AN43" i="42"/>
  <c r="AO43" i="42"/>
  <c r="AP43" i="42"/>
  <c r="AQ43" i="42"/>
  <c r="AR43" i="42"/>
  <c r="AS43" i="42"/>
  <c r="AT43" i="42"/>
  <c r="AU43" i="42"/>
  <c r="AV43" i="42"/>
  <c r="AW43" i="42"/>
  <c r="AX43" i="42"/>
  <c r="AY43" i="42"/>
  <c r="BB43" i="42"/>
  <c r="BC43" i="42"/>
  <c r="BD43" i="42"/>
  <c r="BE43" i="42"/>
  <c r="BF43" i="42"/>
  <c r="BG43" i="42"/>
  <c r="BH43" i="42"/>
  <c r="BI43" i="42"/>
  <c r="BJ43" i="42"/>
  <c r="BK43" i="42"/>
  <c r="BL43" i="42"/>
  <c r="BM43" i="42"/>
  <c r="BN43" i="42"/>
  <c r="BO43" i="42"/>
  <c r="D44" i="42"/>
  <c r="F44" i="42"/>
  <c r="G44" i="42"/>
  <c r="H44" i="42"/>
  <c r="I44" i="42"/>
  <c r="K44" i="42"/>
  <c r="L44" i="42"/>
  <c r="N44" i="42"/>
  <c r="O44" i="42"/>
  <c r="P44" i="42"/>
  <c r="Q44" i="42"/>
  <c r="S44" i="42"/>
  <c r="T44" i="42"/>
  <c r="V44" i="42"/>
  <c r="X44" i="42"/>
  <c r="Y44" i="42"/>
  <c r="Z44" i="42"/>
  <c r="AA44" i="42"/>
  <c r="AB44" i="42"/>
  <c r="AC44" i="42"/>
  <c r="AF44" i="42"/>
  <c r="AG44" i="42"/>
  <c r="AH44" i="42"/>
  <c r="AI44" i="42"/>
  <c r="AJ44" i="42"/>
  <c r="AL44" i="42"/>
  <c r="AM44" i="42"/>
  <c r="AN44" i="42"/>
  <c r="AO44" i="42"/>
  <c r="AP44" i="42"/>
  <c r="AQ44" i="42"/>
  <c r="AR44" i="42"/>
  <c r="AS44" i="42"/>
  <c r="AT44" i="42"/>
  <c r="AU44" i="42"/>
  <c r="AV44" i="42"/>
  <c r="AW44" i="42"/>
  <c r="AX44" i="42"/>
  <c r="AY44" i="42"/>
  <c r="BB44" i="42"/>
  <c r="BC44" i="42"/>
  <c r="BD44" i="42"/>
  <c r="BE44" i="42"/>
  <c r="BF44" i="42"/>
  <c r="BG44" i="42"/>
  <c r="BH44" i="42"/>
  <c r="BI44" i="42"/>
  <c r="BJ44" i="42"/>
  <c r="BK44" i="42"/>
  <c r="BL44" i="42"/>
  <c r="BM44" i="42"/>
  <c r="BN44" i="42"/>
  <c r="BO44" i="42"/>
  <c r="D45" i="42"/>
  <c r="F45" i="42"/>
  <c r="G45" i="42"/>
  <c r="H45" i="42"/>
  <c r="I45" i="42"/>
  <c r="K45" i="42"/>
  <c r="L45" i="42"/>
  <c r="N45" i="42"/>
  <c r="O45" i="42"/>
  <c r="P45" i="42"/>
  <c r="Q45" i="42"/>
  <c r="S45" i="42"/>
  <c r="T45" i="42"/>
  <c r="V45" i="42"/>
  <c r="X45" i="42"/>
  <c r="Y45" i="42"/>
  <c r="Z45" i="42"/>
  <c r="AA45" i="42"/>
  <c r="AB45" i="42"/>
  <c r="AC45" i="42"/>
  <c r="AF45" i="42"/>
  <c r="AG45" i="42"/>
  <c r="AH45" i="42"/>
  <c r="AI45" i="42"/>
  <c r="AJ45" i="42"/>
  <c r="AL45" i="42"/>
  <c r="AM45" i="42"/>
  <c r="AN45" i="42"/>
  <c r="AO45" i="42"/>
  <c r="AP45" i="42"/>
  <c r="AQ45" i="42"/>
  <c r="AR45" i="42"/>
  <c r="AS45" i="42"/>
  <c r="AT45" i="42"/>
  <c r="AU45" i="42"/>
  <c r="AV45" i="42"/>
  <c r="AW45" i="42"/>
  <c r="AX45" i="42"/>
  <c r="AY45" i="42"/>
  <c r="BB45" i="42"/>
  <c r="BC45" i="42"/>
  <c r="BD45" i="42"/>
  <c r="BE45" i="42"/>
  <c r="BF45" i="42"/>
  <c r="BG45" i="42"/>
  <c r="BH45" i="42"/>
  <c r="BI45" i="42"/>
  <c r="BJ45" i="42"/>
  <c r="BK45" i="42"/>
  <c r="BL45" i="42"/>
  <c r="BM45" i="42"/>
  <c r="BN45" i="42"/>
  <c r="BO45" i="42"/>
  <c r="D46" i="42"/>
  <c r="F46" i="42"/>
  <c r="G46" i="42"/>
  <c r="H46" i="42"/>
  <c r="I46" i="42"/>
  <c r="K46" i="42"/>
  <c r="L46" i="42"/>
  <c r="N46" i="42"/>
  <c r="O46" i="42"/>
  <c r="P46" i="42"/>
  <c r="Q46" i="42"/>
  <c r="S46" i="42"/>
  <c r="T46" i="42"/>
  <c r="V46" i="42"/>
  <c r="X46" i="42"/>
  <c r="Y46" i="42"/>
  <c r="Z46" i="42"/>
  <c r="AA46" i="42"/>
  <c r="AB46" i="42"/>
  <c r="AC46" i="42"/>
  <c r="AF46" i="42"/>
  <c r="AG46" i="42"/>
  <c r="AH46" i="42"/>
  <c r="AI46" i="42"/>
  <c r="AJ46" i="42"/>
  <c r="AL46" i="42"/>
  <c r="AM46" i="42"/>
  <c r="AN46" i="42"/>
  <c r="AO46" i="42"/>
  <c r="AP46" i="42"/>
  <c r="AQ46" i="42"/>
  <c r="AR46" i="42"/>
  <c r="AS46" i="42"/>
  <c r="AT46" i="42"/>
  <c r="AU46" i="42"/>
  <c r="AV46" i="42"/>
  <c r="AW46" i="42"/>
  <c r="AX46" i="42"/>
  <c r="AY46" i="42"/>
  <c r="BB46" i="42"/>
  <c r="BC46" i="42"/>
  <c r="BD46" i="42"/>
  <c r="BE46" i="42"/>
  <c r="BF46" i="42"/>
  <c r="BG46" i="42"/>
  <c r="BH46" i="42"/>
  <c r="BI46" i="42"/>
  <c r="BJ46" i="42"/>
  <c r="BK46" i="42"/>
  <c r="BL46" i="42"/>
  <c r="BM46" i="42"/>
  <c r="BN46" i="42"/>
  <c r="BO46" i="42"/>
  <c r="D47" i="42"/>
  <c r="F47" i="42"/>
  <c r="G47" i="42"/>
  <c r="H47" i="42"/>
  <c r="I47" i="42"/>
  <c r="K47" i="42"/>
  <c r="L47" i="42"/>
  <c r="N47" i="42"/>
  <c r="O47" i="42"/>
  <c r="P47" i="42"/>
  <c r="Q47" i="42"/>
  <c r="S47" i="42"/>
  <c r="T47" i="42"/>
  <c r="V47" i="42"/>
  <c r="X47" i="42"/>
  <c r="Y47" i="42"/>
  <c r="Z47" i="42"/>
  <c r="AA47" i="42"/>
  <c r="AB47" i="42"/>
  <c r="AC47" i="42"/>
  <c r="AF47" i="42"/>
  <c r="AG47" i="42"/>
  <c r="AH47" i="42"/>
  <c r="AI47" i="42"/>
  <c r="AJ47" i="42"/>
  <c r="AL47" i="42"/>
  <c r="AM47" i="42"/>
  <c r="AN47" i="42"/>
  <c r="AO47" i="42"/>
  <c r="AP47" i="42"/>
  <c r="AQ47" i="42"/>
  <c r="AR47" i="42"/>
  <c r="AS47" i="42"/>
  <c r="AT47" i="42"/>
  <c r="AU47" i="42"/>
  <c r="AV47" i="42"/>
  <c r="AW47" i="42"/>
  <c r="AX47" i="42"/>
  <c r="AY47" i="42"/>
  <c r="BB47" i="42"/>
  <c r="BC47" i="42"/>
  <c r="BD47" i="42"/>
  <c r="BE47" i="42"/>
  <c r="BF47" i="42"/>
  <c r="BG47" i="42"/>
  <c r="BH47" i="42"/>
  <c r="BI47" i="42"/>
  <c r="BJ47" i="42"/>
  <c r="BK47" i="42"/>
  <c r="BL47" i="42"/>
  <c r="BM47" i="42"/>
  <c r="BN47" i="42"/>
  <c r="BO47" i="42"/>
  <c r="D48" i="42"/>
  <c r="F48" i="42"/>
  <c r="G48" i="42"/>
  <c r="H48" i="42"/>
  <c r="I48" i="42"/>
  <c r="K48" i="42"/>
  <c r="L48" i="42"/>
  <c r="N48" i="42"/>
  <c r="O48" i="42"/>
  <c r="P48" i="42"/>
  <c r="Q48" i="42"/>
  <c r="S48" i="42"/>
  <c r="T48" i="42"/>
  <c r="V48" i="42"/>
  <c r="X48" i="42"/>
  <c r="Y48" i="42"/>
  <c r="Z48" i="42"/>
  <c r="AA48" i="42"/>
  <c r="AB48" i="42"/>
  <c r="AC48" i="42"/>
  <c r="AF48" i="42"/>
  <c r="AG48" i="42"/>
  <c r="AH48" i="42"/>
  <c r="AI48" i="42"/>
  <c r="AJ48" i="42"/>
  <c r="AL48" i="42"/>
  <c r="AM48" i="42"/>
  <c r="AN48" i="42"/>
  <c r="AO48" i="42"/>
  <c r="AP48" i="42"/>
  <c r="AQ48" i="42"/>
  <c r="AR48" i="42"/>
  <c r="AS48" i="42"/>
  <c r="AT48" i="42"/>
  <c r="AU48" i="42"/>
  <c r="AV48" i="42"/>
  <c r="AW48" i="42"/>
  <c r="AX48" i="42"/>
  <c r="AY48" i="42"/>
  <c r="BB48" i="42"/>
  <c r="BC48" i="42"/>
  <c r="BD48" i="42"/>
  <c r="BE48" i="42"/>
  <c r="BF48" i="42"/>
  <c r="BG48" i="42"/>
  <c r="BH48" i="42"/>
  <c r="BI48" i="42"/>
  <c r="BJ48" i="42"/>
  <c r="BK48" i="42"/>
  <c r="BL48" i="42"/>
  <c r="BM48" i="42"/>
  <c r="BN48" i="42"/>
  <c r="BO48" i="42"/>
  <c r="D49" i="42"/>
  <c r="F49" i="42"/>
  <c r="G49" i="42"/>
  <c r="H49" i="42"/>
  <c r="I49" i="42"/>
  <c r="K49" i="42"/>
  <c r="L49" i="42"/>
  <c r="N49" i="42"/>
  <c r="O49" i="42"/>
  <c r="P49" i="42"/>
  <c r="Q49" i="42"/>
  <c r="S49" i="42"/>
  <c r="T49" i="42"/>
  <c r="V49" i="42"/>
  <c r="X49" i="42"/>
  <c r="Y49" i="42"/>
  <c r="Z49" i="42"/>
  <c r="AA49" i="42"/>
  <c r="AB49" i="42"/>
  <c r="AC49" i="42"/>
  <c r="AF49" i="42"/>
  <c r="AG49" i="42"/>
  <c r="AH49" i="42"/>
  <c r="AI49" i="42"/>
  <c r="AJ49" i="42"/>
  <c r="AL49" i="42"/>
  <c r="AM49" i="42"/>
  <c r="AN49" i="42"/>
  <c r="AO49" i="42"/>
  <c r="AP49" i="42"/>
  <c r="AQ49" i="42"/>
  <c r="AR49" i="42"/>
  <c r="AS49" i="42"/>
  <c r="AT49" i="42"/>
  <c r="AU49" i="42"/>
  <c r="AV49" i="42"/>
  <c r="AW49" i="42"/>
  <c r="AX49" i="42"/>
  <c r="AY49" i="42"/>
  <c r="BB49" i="42"/>
  <c r="BC49" i="42"/>
  <c r="BD49" i="42"/>
  <c r="BE49" i="42"/>
  <c r="BF49" i="42"/>
  <c r="BG49" i="42"/>
  <c r="BH49" i="42"/>
  <c r="BI49" i="42"/>
  <c r="BJ49" i="42"/>
  <c r="BK49" i="42"/>
  <c r="BL49" i="42"/>
  <c r="BM49" i="42"/>
  <c r="BN49" i="42"/>
  <c r="BO49" i="42"/>
  <c r="D50" i="42"/>
  <c r="F50" i="42"/>
  <c r="G50" i="42"/>
  <c r="H50" i="42"/>
  <c r="I50" i="42"/>
  <c r="K50" i="42"/>
  <c r="L50" i="42"/>
  <c r="N50" i="42"/>
  <c r="O50" i="42"/>
  <c r="P50" i="42"/>
  <c r="Q50" i="42"/>
  <c r="S50" i="42"/>
  <c r="T50" i="42"/>
  <c r="V50" i="42"/>
  <c r="X50" i="42"/>
  <c r="Y50" i="42"/>
  <c r="Z50" i="42"/>
  <c r="AA50" i="42"/>
  <c r="AB50" i="42"/>
  <c r="AC50" i="42"/>
  <c r="AF50" i="42"/>
  <c r="AG50" i="42"/>
  <c r="AH50" i="42"/>
  <c r="AI50" i="42"/>
  <c r="AJ50" i="42"/>
  <c r="AL50" i="42"/>
  <c r="AM50" i="42"/>
  <c r="AN50" i="42"/>
  <c r="AO50" i="42"/>
  <c r="AP50" i="42"/>
  <c r="AQ50" i="42"/>
  <c r="AR50" i="42"/>
  <c r="AS50" i="42"/>
  <c r="AT50" i="42"/>
  <c r="AU50" i="42"/>
  <c r="AV50" i="42"/>
  <c r="AW50" i="42"/>
  <c r="AX50" i="42"/>
  <c r="AY50" i="42"/>
  <c r="BB50" i="42"/>
  <c r="BC50" i="42"/>
  <c r="BD50" i="42"/>
  <c r="BE50" i="42"/>
  <c r="BF50" i="42"/>
  <c r="BG50" i="42"/>
  <c r="BH50" i="42"/>
  <c r="BI50" i="42"/>
  <c r="BJ50" i="42"/>
  <c r="BK50" i="42"/>
  <c r="BL50" i="42"/>
  <c r="BM50" i="42"/>
  <c r="BN50" i="42"/>
  <c r="BO50" i="42"/>
  <c r="D51" i="42"/>
  <c r="F51" i="42"/>
  <c r="G51" i="42"/>
  <c r="H51" i="42"/>
  <c r="I51" i="42"/>
  <c r="K51" i="42"/>
  <c r="L51" i="42"/>
  <c r="N51" i="42"/>
  <c r="O51" i="42"/>
  <c r="P51" i="42"/>
  <c r="Q51" i="42"/>
  <c r="S51" i="42"/>
  <c r="T51" i="42"/>
  <c r="V51" i="42"/>
  <c r="X51" i="42"/>
  <c r="Y51" i="42"/>
  <c r="Z51" i="42"/>
  <c r="AA51" i="42"/>
  <c r="AB51" i="42"/>
  <c r="AC51" i="42"/>
  <c r="AF51" i="42"/>
  <c r="AG51" i="42"/>
  <c r="AH51" i="42"/>
  <c r="AI51" i="42"/>
  <c r="AJ51" i="42"/>
  <c r="AL51" i="42"/>
  <c r="AM51" i="42"/>
  <c r="AN51" i="42"/>
  <c r="AO51" i="42"/>
  <c r="AP51" i="42"/>
  <c r="AQ51" i="42"/>
  <c r="AR51" i="42"/>
  <c r="AS51" i="42"/>
  <c r="AT51" i="42"/>
  <c r="AU51" i="42"/>
  <c r="AV51" i="42"/>
  <c r="AW51" i="42"/>
  <c r="AX51" i="42"/>
  <c r="AY51" i="42"/>
  <c r="BB51" i="42"/>
  <c r="BC51" i="42"/>
  <c r="BD51" i="42"/>
  <c r="BE51" i="42"/>
  <c r="BF51" i="42"/>
  <c r="BG51" i="42"/>
  <c r="BH51" i="42"/>
  <c r="BI51" i="42"/>
  <c r="BJ51" i="42"/>
  <c r="BK51" i="42"/>
  <c r="BL51" i="42"/>
  <c r="BM51" i="42"/>
  <c r="BN51" i="42"/>
  <c r="BO51" i="42"/>
  <c r="D52" i="42"/>
  <c r="F52" i="42"/>
  <c r="G52" i="42"/>
  <c r="H52" i="42"/>
  <c r="I52" i="42"/>
  <c r="K52" i="42"/>
  <c r="L52" i="42"/>
  <c r="N52" i="42"/>
  <c r="O52" i="42"/>
  <c r="P52" i="42"/>
  <c r="Q52" i="42"/>
  <c r="S52" i="42"/>
  <c r="T52" i="42"/>
  <c r="V52" i="42"/>
  <c r="X52" i="42"/>
  <c r="Y52" i="42"/>
  <c r="Z52" i="42"/>
  <c r="AA52" i="42"/>
  <c r="AB52" i="42"/>
  <c r="AC52" i="42"/>
  <c r="AF52" i="42"/>
  <c r="AG52" i="42"/>
  <c r="AH52" i="42"/>
  <c r="AI52" i="42"/>
  <c r="AJ52" i="42"/>
  <c r="AL52" i="42"/>
  <c r="AM52" i="42"/>
  <c r="AN52" i="42"/>
  <c r="AO52" i="42"/>
  <c r="AP52" i="42"/>
  <c r="AQ52" i="42"/>
  <c r="AR52" i="42"/>
  <c r="AS52" i="42"/>
  <c r="AT52" i="42"/>
  <c r="AU52" i="42"/>
  <c r="AV52" i="42"/>
  <c r="AW52" i="42"/>
  <c r="AX52" i="42"/>
  <c r="AY52" i="42"/>
  <c r="BB52" i="42"/>
  <c r="BC52" i="42"/>
  <c r="BD52" i="42"/>
  <c r="BE52" i="42"/>
  <c r="BF52" i="42"/>
  <c r="BG52" i="42"/>
  <c r="BH52" i="42"/>
  <c r="BI52" i="42"/>
  <c r="BJ52" i="42"/>
  <c r="BK52" i="42"/>
  <c r="BL52" i="42"/>
  <c r="BM52" i="42"/>
  <c r="BN52" i="42"/>
  <c r="BO52" i="42"/>
  <c r="D53" i="42"/>
  <c r="F53" i="42"/>
  <c r="G53" i="42"/>
  <c r="H53" i="42"/>
  <c r="I53" i="42"/>
  <c r="K53" i="42"/>
  <c r="L53" i="42"/>
  <c r="N53" i="42"/>
  <c r="O53" i="42"/>
  <c r="P53" i="42"/>
  <c r="Q53" i="42"/>
  <c r="S53" i="42"/>
  <c r="T53" i="42"/>
  <c r="V53" i="42"/>
  <c r="X53" i="42"/>
  <c r="Y53" i="42"/>
  <c r="Z53" i="42"/>
  <c r="AA53" i="42"/>
  <c r="AB53" i="42"/>
  <c r="AC53" i="42"/>
  <c r="AF53" i="42"/>
  <c r="AG53" i="42"/>
  <c r="AH53" i="42"/>
  <c r="AI53" i="42"/>
  <c r="AJ53" i="42"/>
  <c r="AL53" i="42"/>
  <c r="AM53" i="42"/>
  <c r="AN53" i="42"/>
  <c r="AO53" i="42"/>
  <c r="AP53" i="42"/>
  <c r="AQ53" i="42"/>
  <c r="AR53" i="42"/>
  <c r="AS53" i="42"/>
  <c r="AT53" i="42"/>
  <c r="AU53" i="42"/>
  <c r="AV53" i="42"/>
  <c r="AW53" i="42"/>
  <c r="AX53" i="42"/>
  <c r="AY53" i="42"/>
  <c r="BB53" i="42"/>
  <c r="BC53" i="42"/>
  <c r="BD53" i="42"/>
  <c r="BE53" i="42"/>
  <c r="BF53" i="42"/>
  <c r="BG53" i="42"/>
  <c r="BH53" i="42"/>
  <c r="BI53" i="42"/>
  <c r="BJ53" i="42"/>
  <c r="BK53" i="42"/>
  <c r="BL53" i="42"/>
  <c r="BM53" i="42"/>
  <c r="BN53" i="42"/>
  <c r="BO53" i="42"/>
  <c r="D54" i="42"/>
  <c r="F54" i="42"/>
  <c r="G54" i="42"/>
  <c r="H54" i="42"/>
  <c r="I54" i="42"/>
  <c r="K54" i="42"/>
  <c r="L54" i="42"/>
  <c r="N54" i="42"/>
  <c r="O54" i="42"/>
  <c r="P54" i="42"/>
  <c r="Q54" i="42"/>
  <c r="S54" i="42"/>
  <c r="T54" i="42"/>
  <c r="V54" i="42"/>
  <c r="X54" i="42"/>
  <c r="Y54" i="42"/>
  <c r="Z54" i="42"/>
  <c r="AA54" i="42"/>
  <c r="AB54" i="42"/>
  <c r="AC54" i="42"/>
  <c r="AF54" i="42"/>
  <c r="AG54" i="42"/>
  <c r="AH54" i="42"/>
  <c r="AI54" i="42"/>
  <c r="AJ54" i="42"/>
  <c r="AL54" i="42"/>
  <c r="AM54" i="42"/>
  <c r="AN54" i="42"/>
  <c r="AO54" i="42"/>
  <c r="AP54" i="42"/>
  <c r="AQ54" i="42"/>
  <c r="AR54" i="42"/>
  <c r="AS54" i="42"/>
  <c r="AT54" i="42"/>
  <c r="AU54" i="42"/>
  <c r="AV54" i="42"/>
  <c r="AW54" i="42"/>
  <c r="AX54" i="42"/>
  <c r="AY54" i="42"/>
  <c r="BB54" i="42"/>
  <c r="BC54" i="42"/>
  <c r="BD54" i="42"/>
  <c r="BE54" i="42"/>
  <c r="BF54" i="42"/>
  <c r="BG54" i="42"/>
  <c r="BH54" i="42"/>
  <c r="BI54" i="42"/>
  <c r="BJ54" i="42"/>
  <c r="BK54" i="42"/>
  <c r="BL54" i="42"/>
  <c r="BM54" i="42"/>
  <c r="BN54" i="42"/>
  <c r="BO54" i="42"/>
  <c r="D55" i="42"/>
  <c r="F55" i="42"/>
  <c r="G55" i="42"/>
  <c r="H55" i="42"/>
  <c r="I55" i="42"/>
  <c r="K55" i="42"/>
  <c r="L55" i="42"/>
  <c r="N55" i="42"/>
  <c r="O55" i="42"/>
  <c r="P55" i="42"/>
  <c r="Q55" i="42"/>
  <c r="S55" i="42"/>
  <c r="T55" i="42"/>
  <c r="V55" i="42"/>
  <c r="X55" i="42"/>
  <c r="Y55" i="42"/>
  <c r="Z55" i="42"/>
  <c r="AA55" i="42"/>
  <c r="AB55" i="42"/>
  <c r="AC55" i="42"/>
  <c r="AF55" i="42"/>
  <c r="AG55" i="42"/>
  <c r="AH55" i="42"/>
  <c r="AI55" i="42"/>
  <c r="AJ55" i="42"/>
  <c r="AL55" i="42"/>
  <c r="AM55" i="42"/>
  <c r="AN55" i="42"/>
  <c r="AO55" i="42"/>
  <c r="AP55" i="42"/>
  <c r="AQ55" i="42"/>
  <c r="AR55" i="42"/>
  <c r="AS55" i="42"/>
  <c r="AT55" i="42"/>
  <c r="AU55" i="42"/>
  <c r="AV55" i="42"/>
  <c r="AW55" i="42"/>
  <c r="AX55" i="42"/>
  <c r="AY55" i="42"/>
  <c r="BB55" i="42"/>
  <c r="BC55" i="42"/>
  <c r="BD55" i="42"/>
  <c r="BE55" i="42"/>
  <c r="BF55" i="42"/>
  <c r="BG55" i="42"/>
  <c r="BH55" i="42"/>
  <c r="BI55" i="42"/>
  <c r="BJ55" i="42"/>
  <c r="BK55" i="42"/>
  <c r="BL55" i="42"/>
  <c r="BM55" i="42"/>
  <c r="BN55" i="42"/>
  <c r="BO55" i="42"/>
  <c r="D56" i="42"/>
  <c r="F56" i="42"/>
  <c r="G56" i="42"/>
  <c r="H56" i="42"/>
  <c r="I56" i="42"/>
  <c r="K56" i="42"/>
  <c r="L56" i="42"/>
  <c r="N56" i="42"/>
  <c r="O56" i="42"/>
  <c r="P56" i="42"/>
  <c r="Q56" i="42"/>
  <c r="S56" i="42"/>
  <c r="T56" i="42"/>
  <c r="V56" i="42"/>
  <c r="X56" i="42"/>
  <c r="Y56" i="42"/>
  <c r="Z56" i="42"/>
  <c r="AA56" i="42"/>
  <c r="AB56" i="42"/>
  <c r="AC56" i="42"/>
  <c r="AF56" i="42"/>
  <c r="AG56" i="42"/>
  <c r="AH56" i="42"/>
  <c r="AI56" i="42"/>
  <c r="AJ56" i="42"/>
  <c r="AL56" i="42"/>
  <c r="AM56" i="42"/>
  <c r="AN56" i="42"/>
  <c r="AO56" i="42"/>
  <c r="AP56" i="42"/>
  <c r="AQ56" i="42"/>
  <c r="AR56" i="42"/>
  <c r="AS56" i="42"/>
  <c r="AT56" i="42"/>
  <c r="AU56" i="42"/>
  <c r="AV56" i="42"/>
  <c r="AW56" i="42"/>
  <c r="AX56" i="42"/>
  <c r="AY56" i="42"/>
  <c r="BB56" i="42"/>
  <c r="BC56" i="42"/>
  <c r="BD56" i="42"/>
  <c r="BE56" i="42"/>
  <c r="BF56" i="42"/>
  <c r="BG56" i="42"/>
  <c r="BH56" i="42"/>
  <c r="BI56" i="42"/>
  <c r="BJ56" i="42"/>
  <c r="BK56" i="42"/>
  <c r="BL56" i="42"/>
  <c r="BM56" i="42"/>
  <c r="BN56" i="42"/>
  <c r="BO56" i="42"/>
  <c r="D57" i="42"/>
  <c r="F57" i="42"/>
  <c r="G57" i="42"/>
  <c r="H57" i="42"/>
  <c r="I57" i="42"/>
  <c r="K57" i="42"/>
  <c r="L57" i="42"/>
  <c r="N57" i="42"/>
  <c r="O57" i="42"/>
  <c r="P57" i="42"/>
  <c r="Q57" i="42"/>
  <c r="S57" i="42"/>
  <c r="T57" i="42"/>
  <c r="V57" i="42"/>
  <c r="X57" i="42"/>
  <c r="Y57" i="42"/>
  <c r="Z57" i="42"/>
  <c r="AA57" i="42"/>
  <c r="AB57" i="42"/>
  <c r="AC57" i="42"/>
  <c r="AF57" i="42"/>
  <c r="AG57" i="42"/>
  <c r="AH57" i="42"/>
  <c r="AI57" i="42"/>
  <c r="AJ57" i="42"/>
  <c r="AL57" i="42"/>
  <c r="AM57" i="42"/>
  <c r="AN57" i="42"/>
  <c r="AO57" i="42"/>
  <c r="AP57" i="42"/>
  <c r="AQ57" i="42"/>
  <c r="AR57" i="42"/>
  <c r="AS57" i="42"/>
  <c r="AT57" i="42"/>
  <c r="AU57" i="42"/>
  <c r="AV57" i="42"/>
  <c r="AW57" i="42"/>
  <c r="AX57" i="42"/>
  <c r="AY57" i="42"/>
  <c r="BB57" i="42"/>
  <c r="BC57" i="42"/>
  <c r="BD57" i="42"/>
  <c r="BE57" i="42"/>
  <c r="BF57" i="42"/>
  <c r="BG57" i="42"/>
  <c r="BH57" i="42"/>
  <c r="BI57" i="42"/>
  <c r="BJ57" i="42"/>
  <c r="BK57" i="42"/>
  <c r="BL57" i="42"/>
  <c r="BM57" i="42"/>
  <c r="BN57" i="42"/>
  <c r="BO57" i="42"/>
  <c r="D58" i="42"/>
  <c r="F58" i="42"/>
  <c r="G58" i="42"/>
  <c r="H58" i="42"/>
  <c r="I58" i="42"/>
  <c r="K58" i="42"/>
  <c r="L58" i="42"/>
  <c r="N58" i="42"/>
  <c r="O58" i="42"/>
  <c r="P58" i="42"/>
  <c r="Q58" i="42"/>
  <c r="S58" i="42"/>
  <c r="T58" i="42"/>
  <c r="V58" i="42"/>
  <c r="X58" i="42"/>
  <c r="Y58" i="42"/>
  <c r="Z58" i="42"/>
  <c r="AA58" i="42"/>
  <c r="AB58" i="42"/>
  <c r="AC58" i="42"/>
  <c r="AF58" i="42"/>
  <c r="AG58" i="42"/>
  <c r="AH58" i="42"/>
  <c r="AI58" i="42"/>
  <c r="AJ58" i="42"/>
  <c r="AL58" i="42"/>
  <c r="AM58" i="42"/>
  <c r="AN58" i="42"/>
  <c r="AO58" i="42"/>
  <c r="AP58" i="42"/>
  <c r="AQ58" i="42"/>
  <c r="AR58" i="42"/>
  <c r="AS58" i="42"/>
  <c r="AT58" i="42"/>
  <c r="AU58" i="42"/>
  <c r="AV58" i="42"/>
  <c r="AW58" i="42"/>
  <c r="AX58" i="42"/>
  <c r="AY58" i="42"/>
  <c r="BB58" i="42"/>
  <c r="BC58" i="42"/>
  <c r="BD58" i="42"/>
  <c r="BE58" i="42"/>
  <c r="BF58" i="42"/>
  <c r="BG58" i="42"/>
  <c r="BH58" i="42"/>
  <c r="BI58" i="42"/>
  <c r="BJ58" i="42"/>
  <c r="BK58" i="42"/>
  <c r="BL58" i="42"/>
  <c r="BM58" i="42"/>
  <c r="BN58" i="42"/>
  <c r="BO58" i="42"/>
  <c r="D59" i="42"/>
  <c r="F59" i="42"/>
  <c r="G59" i="42"/>
  <c r="H59" i="42"/>
  <c r="I59" i="42"/>
  <c r="K59" i="42"/>
  <c r="L59" i="42"/>
  <c r="N59" i="42"/>
  <c r="O59" i="42"/>
  <c r="P59" i="42"/>
  <c r="Q59" i="42"/>
  <c r="S59" i="42"/>
  <c r="T59" i="42"/>
  <c r="V59" i="42"/>
  <c r="X59" i="42"/>
  <c r="Y59" i="42"/>
  <c r="Z59" i="42"/>
  <c r="AA59" i="42"/>
  <c r="AB59" i="42"/>
  <c r="AC59" i="42"/>
  <c r="AF59" i="42"/>
  <c r="AG59" i="42"/>
  <c r="AH59" i="42"/>
  <c r="AI59" i="42"/>
  <c r="AJ59" i="42"/>
  <c r="AL59" i="42"/>
  <c r="AM59" i="42"/>
  <c r="AN59" i="42"/>
  <c r="AO59" i="42"/>
  <c r="AP59" i="42"/>
  <c r="AQ59" i="42"/>
  <c r="AR59" i="42"/>
  <c r="AS59" i="42"/>
  <c r="AT59" i="42"/>
  <c r="AU59" i="42"/>
  <c r="AV59" i="42"/>
  <c r="AW59" i="42"/>
  <c r="AX59" i="42"/>
  <c r="AY59" i="42"/>
  <c r="BB59" i="42"/>
  <c r="BC59" i="42"/>
  <c r="BD59" i="42"/>
  <c r="BE59" i="42"/>
  <c r="BF59" i="42"/>
  <c r="BG59" i="42"/>
  <c r="BH59" i="42"/>
  <c r="BI59" i="42"/>
  <c r="BJ59" i="42"/>
  <c r="BK59" i="42"/>
  <c r="BL59" i="42"/>
  <c r="BM59" i="42"/>
  <c r="BN59" i="42"/>
  <c r="BO59" i="42"/>
  <c r="D60" i="42"/>
  <c r="F60" i="42"/>
  <c r="G60" i="42"/>
  <c r="H60" i="42"/>
  <c r="I60" i="42"/>
  <c r="K60" i="42"/>
  <c r="L60" i="42"/>
  <c r="N60" i="42"/>
  <c r="O60" i="42"/>
  <c r="P60" i="42"/>
  <c r="Q60" i="42"/>
  <c r="S60" i="42"/>
  <c r="T60" i="42"/>
  <c r="V60" i="42"/>
  <c r="X60" i="42"/>
  <c r="Y60" i="42"/>
  <c r="Z60" i="42"/>
  <c r="AA60" i="42"/>
  <c r="AB60" i="42"/>
  <c r="AC60" i="42"/>
  <c r="AF60" i="42"/>
  <c r="AG60" i="42"/>
  <c r="AH60" i="42"/>
  <c r="AI60" i="42"/>
  <c r="AJ60" i="42"/>
  <c r="AL60" i="42"/>
  <c r="AM60" i="42"/>
  <c r="AN60" i="42"/>
  <c r="AO60" i="42"/>
  <c r="AP60" i="42"/>
  <c r="AQ60" i="42"/>
  <c r="AR60" i="42"/>
  <c r="AS60" i="42"/>
  <c r="AT60" i="42"/>
  <c r="AU60" i="42"/>
  <c r="AV60" i="42"/>
  <c r="AW60" i="42"/>
  <c r="AX60" i="42"/>
  <c r="AY60" i="42"/>
  <c r="BB60" i="42"/>
  <c r="BC60" i="42"/>
  <c r="BD60" i="42"/>
  <c r="BE60" i="42"/>
  <c r="BF60" i="42"/>
  <c r="BG60" i="42"/>
  <c r="BH60" i="42"/>
  <c r="BI60" i="42"/>
  <c r="BJ60" i="42"/>
  <c r="BK60" i="42"/>
  <c r="BL60" i="42"/>
  <c r="BM60" i="42"/>
  <c r="BN60" i="42"/>
  <c r="BO60" i="42"/>
  <c r="D61" i="42"/>
  <c r="F61" i="42"/>
  <c r="G61" i="42"/>
  <c r="H61" i="42"/>
  <c r="I61" i="42"/>
  <c r="K61" i="42"/>
  <c r="L61" i="42"/>
  <c r="N61" i="42"/>
  <c r="O61" i="42"/>
  <c r="P61" i="42"/>
  <c r="Q61" i="42"/>
  <c r="S61" i="42"/>
  <c r="T61" i="42"/>
  <c r="V61" i="42"/>
  <c r="X61" i="42"/>
  <c r="Y61" i="42"/>
  <c r="Z61" i="42"/>
  <c r="AA61" i="42"/>
  <c r="AB61" i="42"/>
  <c r="AC61" i="42"/>
  <c r="AF61" i="42"/>
  <c r="AG61" i="42"/>
  <c r="AH61" i="42"/>
  <c r="AI61" i="42"/>
  <c r="AJ61" i="42"/>
  <c r="AL61" i="42"/>
  <c r="AM61" i="42"/>
  <c r="AN61" i="42"/>
  <c r="AO61" i="42"/>
  <c r="AP61" i="42"/>
  <c r="AQ61" i="42"/>
  <c r="AR61" i="42"/>
  <c r="AS61" i="42"/>
  <c r="AT61" i="42"/>
  <c r="AU61" i="42"/>
  <c r="AV61" i="42"/>
  <c r="AW61" i="42"/>
  <c r="AX61" i="42"/>
  <c r="AY61" i="42"/>
  <c r="BB61" i="42"/>
  <c r="BC61" i="42"/>
  <c r="BD61" i="42"/>
  <c r="BE61" i="42"/>
  <c r="BF61" i="42"/>
  <c r="BG61" i="42"/>
  <c r="BH61" i="42"/>
  <c r="BI61" i="42"/>
  <c r="BJ61" i="42"/>
  <c r="BK61" i="42"/>
  <c r="BL61" i="42"/>
  <c r="BM61" i="42"/>
  <c r="BN61" i="42"/>
  <c r="BO61" i="42"/>
  <c r="D62" i="42"/>
  <c r="F62" i="42"/>
  <c r="G62" i="42"/>
  <c r="H62" i="42"/>
  <c r="I62" i="42"/>
  <c r="K62" i="42"/>
  <c r="L62" i="42"/>
  <c r="N62" i="42"/>
  <c r="O62" i="42"/>
  <c r="P62" i="42"/>
  <c r="Q62" i="42"/>
  <c r="S62" i="42"/>
  <c r="T62" i="42"/>
  <c r="V62" i="42"/>
  <c r="X62" i="42"/>
  <c r="Y62" i="42"/>
  <c r="Z62" i="42"/>
  <c r="AA62" i="42"/>
  <c r="AB62" i="42"/>
  <c r="AC62" i="42"/>
  <c r="AF62" i="42"/>
  <c r="AG62" i="42"/>
  <c r="AH62" i="42"/>
  <c r="AI62" i="42"/>
  <c r="AJ62" i="42"/>
  <c r="AL62" i="42"/>
  <c r="AM62" i="42"/>
  <c r="AN62" i="42"/>
  <c r="AO62" i="42"/>
  <c r="AP62" i="42"/>
  <c r="AQ62" i="42"/>
  <c r="AR62" i="42"/>
  <c r="AS62" i="42"/>
  <c r="AT62" i="42"/>
  <c r="AU62" i="42"/>
  <c r="AV62" i="42"/>
  <c r="AW62" i="42"/>
  <c r="AX62" i="42"/>
  <c r="AY62" i="42"/>
  <c r="BB62" i="42"/>
  <c r="BC62" i="42"/>
  <c r="BD62" i="42"/>
  <c r="BE62" i="42"/>
  <c r="BF62" i="42"/>
  <c r="BG62" i="42"/>
  <c r="BH62" i="42"/>
  <c r="BI62" i="42"/>
  <c r="BJ62" i="42"/>
  <c r="BK62" i="42"/>
  <c r="BL62" i="42"/>
  <c r="BM62" i="42"/>
  <c r="BN62" i="42"/>
  <c r="BO62" i="42"/>
  <c r="D63" i="42"/>
  <c r="F63" i="42"/>
  <c r="G63" i="42"/>
  <c r="H63" i="42"/>
  <c r="I63" i="42"/>
  <c r="K63" i="42"/>
  <c r="L63" i="42"/>
  <c r="N63" i="42"/>
  <c r="O63" i="42"/>
  <c r="P63" i="42"/>
  <c r="Q63" i="42"/>
  <c r="S63" i="42"/>
  <c r="T63" i="42"/>
  <c r="V63" i="42"/>
  <c r="X63" i="42"/>
  <c r="Y63" i="42"/>
  <c r="Z63" i="42"/>
  <c r="AA63" i="42"/>
  <c r="AB63" i="42"/>
  <c r="AC63" i="42"/>
  <c r="AF63" i="42"/>
  <c r="AG63" i="42"/>
  <c r="AH63" i="42"/>
  <c r="AI63" i="42"/>
  <c r="AJ63" i="42"/>
  <c r="AL63" i="42"/>
  <c r="AM63" i="42"/>
  <c r="AN63" i="42"/>
  <c r="AO63" i="42"/>
  <c r="AP63" i="42"/>
  <c r="AQ63" i="42"/>
  <c r="AR63" i="42"/>
  <c r="AS63" i="42"/>
  <c r="AT63" i="42"/>
  <c r="AU63" i="42"/>
  <c r="AV63" i="42"/>
  <c r="AW63" i="42"/>
  <c r="AX63" i="42"/>
  <c r="AY63" i="42"/>
  <c r="BB63" i="42"/>
  <c r="BC63" i="42"/>
  <c r="BD63" i="42"/>
  <c r="BE63" i="42"/>
  <c r="BF63" i="42"/>
  <c r="BG63" i="42"/>
  <c r="BH63" i="42"/>
  <c r="BI63" i="42"/>
  <c r="BJ63" i="42"/>
  <c r="BK63" i="42"/>
  <c r="BL63" i="42"/>
  <c r="BM63" i="42"/>
  <c r="BN63" i="42"/>
  <c r="BO63" i="42"/>
  <c r="D64" i="42"/>
  <c r="F64" i="42"/>
  <c r="G64" i="42"/>
  <c r="H64" i="42"/>
  <c r="I64" i="42"/>
  <c r="K64" i="42"/>
  <c r="L64" i="42"/>
  <c r="N64" i="42"/>
  <c r="O64" i="42"/>
  <c r="P64" i="42"/>
  <c r="Q64" i="42"/>
  <c r="S64" i="42"/>
  <c r="T64" i="42"/>
  <c r="V64" i="42"/>
  <c r="X64" i="42"/>
  <c r="Y64" i="42"/>
  <c r="Z64" i="42"/>
  <c r="AA64" i="42"/>
  <c r="AB64" i="42"/>
  <c r="AC64" i="42"/>
  <c r="AF64" i="42"/>
  <c r="AG64" i="42"/>
  <c r="AH64" i="42"/>
  <c r="AI64" i="42"/>
  <c r="AJ64" i="42"/>
  <c r="AL64" i="42"/>
  <c r="AM64" i="42"/>
  <c r="AN64" i="42"/>
  <c r="AO64" i="42"/>
  <c r="AP64" i="42"/>
  <c r="AQ64" i="42"/>
  <c r="AR64" i="42"/>
  <c r="AS64" i="42"/>
  <c r="AT64" i="42"/>
  <c r="AU64" i="42"/>
  <c r="AV64" i="42"/>
  <c r="AW64" i="42"/>
  <c r="AX64" i="42"/>
  <c r="AY64" i="42"/>
  <c r="BB64" i="42"/>
  <c r="BC64" i="42"/>
  <c r="BD64" i="42"/>
  <c r="BE64" i="42"/>
  <c r="BF64" i="42"/>
  <c r="BG64" i="42"/>
  <c r="BH64" i="42"/>
  <c r="BI64" i="42"/>
  <c r="BJ64" i="42"/>
  <c r="BK64" i="42"/>
  <c r="BL64" i="42"/>
  <c r="BM64" i="42"/>
  <c r="BN64" i="42"/>
  <c r="BO64" i="42"/>
  <c r="D65" i="42"/>
  <c r="F65" i="42"/>
  <c r="G65" i="42"/>
  <c r="H65" i="42"/>
  <c r="I65" i="42"/>
  <c r="K65" i="42"/>
  <c r="L65" i="42"/>
  <c r="N65" i="42"/>
  <c r="O65" i="42"/>
  <c r="P65" i="42"/>
  <c r="Q65" i="42"/>
  <c r="S65" i="42"/>
  <c r="T65" i="42"/>
  <c r="V65" i="42"/>
  <c r="X65" i="42"/>
  <c r="Y65" i="42"/>
  <c r="Z65" i="42"/>
  <c r="AA65" i="42"/>
  <c r="AB65" i="42"/>
  <c r="AC65" i="42"/>
  <c r="AF65" i="42"/>
  <c r="AG65" i="42"/>
  <c r="AH65" i="42"/>
  <c r="AI65" i="42"/>
  <c r="AJ65" i="42"/>
  <c r="AL65" i="42"/>
  <c r="AM65" i="42"/>
  <c r="AN65" i="42"/>
  <c r="AO65" i="42"/>
  <c r="AP65" i="42"/>
  <c r="AQ65" i="42"/>
  <c r="AR65" i="42"/>
  <c r="AS65" i="42"/>
  <c r="AT65" i="42"/>
  <c r="AU65" i="42"/>
  <c r="AV65" i="42"/>
  <c r="AW65" i="42"/>
  <c r="AX65" i="42"/>
  <c r="AY65" i="42"/>
  <c r="BB65" i="42"/>
  <c r="BC65" i="42"/>
  <c r="BD65" i="42"/>
  <c r="BE65" i="42"/>
  <c r="BF65" i="42"/>
  <c r="BG65" i="42"/>
  <c r="BH65" i="42"/>
  <c r="BI65" i="42"/>
  <c r="BJ65" i="42"/>
  <c r="BK65" i="42"/>
  <c r="BL65" i="42"/>
  <c r="BM65" i="42"/>
  <c r="BN65" i="42"/>
  <c r="BO65" i="42"/>
  <c r="D66" i="42"/>
  <c r="F66" i="42"/>
  <c r="G66" i="42"/>
  <c r="H66" i="42"/>
  <c r="I66" i="42"/>
  <c r="K66" i="42"/>
  <c r="L66" i="42"/>
  <c r="N66" i="42"/>
  <c r="O66" i="42"/>
  <c r="P66" i="42"/>
  <c r="Q66" i="42"/>
  <c r="S66" i="42"/>
  <c r="T66" i="42"/>
  <c r="V66" i="42"/>
  <c r="X66" i="42"/>
  <c r="Y66" i="42"/>
  <c r="Z66" i="42"/>
  <c r="AA66" i="42"/>
  <c r="AB66" i="42"/>
  <c r="AC66" i="42"/>
  <c r="AF66" i="42"/>
  <c r="AG66" i="42"/>
  <c r="AH66" i="42"/>
  <c r="AI66" i="42"/>
  <c r="AJ66" i="42"/>
  <c r="AL66" i="42"/>
  <c r="AM66" i="42"/>
  <c r="AN66" i="42"/>
  <c r="AO66" i="42"/>
  <c r="AP66" i="42"/>
  <c r="AQ66" i="42"/>
  <c r="AR66" i="42"/>
  <c r="AS66" i="42"/>
  <c r="AT66" i="42"/>
  <c r="AU66" i="42"/>
  <c r="AV66" i="42"/>
  <c r="AW66" i="42"/>
  <c r="AX66" i="42"/>
  <c r="AY66" i="42"/>
  <c r="BB66" i="42"/>
  <c r="BC66" i="42"/>
  <c r="BD66" i="42"/>
  <c r="BE66" i="42"/>
  <c r="BF66" i="42"/>
  <c r="BG66" i="42"/>
  <c r="BH66" i="42"/>
  <c r="BI66" i="42"/>
  <c r="BJ66" i="42"/>
  <c r="BK66" i="42"/>
  <c r="BL66" i="42"/>
  <c r="BM66" i="42"/>
  <c r="BN66" i="42"/>
  <c r="BO66" i="42"/>
  <c r="D67" i="42"/>
  <c r="F67" i="42"/>
  <c r="G67" i="42"/>
  <c r="H67" i="42"/>
  <c r="I67" i="42"/>
  <c r="K67" i="42"/>
  <c r="L67" i="42"/>
  <c r="N67" i="42"/>
  <c r="O67" i="42"/>
  <c r="P67" i="42"/>
  <c r="Q67" i="42"/>
  <c r="S67" i="42"/>
  <c r="T67" i="42"/>
  <c r="V67" i="42"/>
  <c r="X67" i="42"/>
  <c r="Y67" i="42"/>
  <c r="Z67" i="42"/>
  <c r="AA67" i="42"/>
  <c r="AB67" i="42"/>
  <c r="AC67" i="42"/>
  <c r="AF67" i="42"/>
  <c r="AG67" i="42"/>
  <c r="AH67" i="42"/>
  <c r="AI67" i="42"/>
  <c r="AJ67" i="42"/>
  <c r="AL67" i="42"/>
  <c r="AM67" i="42"/>
  <c r="AN67" i="42"/>
  <c r="AO67" i="42"/>
  <c r="AP67" i="42"/>
  <c r="AQ67" i="42"/>
  <c r="AR67" i="42"/>
  <c r="AS67" i="42"/>
  <c r="AT67" i="42"/>
  <c r="AU67" i="42"/>
  <c r="AV67" i="42"/>
  <c r="AW67" i="42"/>
  <c r="AX67" i="42"/>
  <c r="AY67" i="42"/>
  <c r="BB67" i="42"/>
  <c r="BC67" i="42"/>
  <c r="BD67" i="42"/>
  <c r="BE67" i="42"/>
  <c r="BF67" i="42"/>
  <c r="BG67" i="42"/>
  <c r="BH67" i="42"/>
  <c r="BI67" i="42"/>
  <c r="BJ67" i="42"/>
  <c r="BK67" i="42"/>
  <c r="BL67" i="42"/>
  <c r="BM67" i="42"/>
  <c r="BN67" i="42"/>
  <c r="BO67" i="42"/>
  <c r="D68" i="42"/>
  <c r="F68" i="42"/>
  <c r="G68" i="42"/>
  <c r="H68" i="42"/>
  <c r="I68" i="42"/>
  <c r="K68" i="42"/>
  <c r="L68" i="42"/>
  <c r="N68" i="42"/>
  <c r="O68" i="42"/>
  <c r="P68" i="42"/>
  <c r="Q68" i="42"/>
  <c r="S68" i="42"/>
  <c r="T68" i="42"/>
  <c r="V68" i="42"/>
  <c r="X68" i="42"/>
  <c r="Y68" i="42"/>
  <c r="Z68" i="42"/>
  <c r="AA68" i="42"/>
  <c r="AB68" i="42"/>
  <c r="AC68" i="42"/>
  <c r="AF68" i="42"/>
  <c r="AG68" i="42"/>
  <c r="AH68" i="42"/>
  <c r="AI68" i="42"/>
  <c r="AJ68" i="42"/>
  <c r="AL68" i="42"/>
  <c r="AM68" i="42"/>
  <c r="AN68" i="42"/>
  <c r="AO68" i="42"/>
  <c r="AP68" i="42"/>
  <c r="AQ68" i="42"/>
  <c r="AR68" i="42"/>
  <c r="AS68" i="42"/>
  <c r="AT68" i="42"/>
  <c r="AU68" i="42"/>
  <c r="AV68" i="42"/>
  <c r="AW68" i="42"/>
  <c r="AX68" i="42"/>
  <c r="AY68" i="42"/>
  <c r="BB68" i="42"/>
  <c r="BC68" i="42"/>
  <c r="BD68" i="42"/>
  <c r="BE68" i="42"/>
  <c r="BF68" i="42"/>
  <c r="BG68" i="42"/>
  <c r="BH68" i="42"/>
  <c r="BI68" i="42"/>
  <c r="BJ68" i="42"/>
  <c r="BK68" i="42"/>
  <c r="BL68" i="42"/>
  <c r="BM68" i="42"/>
  <c r="BN68" i="42"/>
  <c r="BO68" i="42"/>
  <c r="D69" i="42"/>
  <c r="F69" i="42"/>
  <c r="G69" i="42"/>
  <c r="H69" i="42"/>
  <c r="I69" i="42"/>
  <c r="K69" i="42"/>
  <c r="L69" i="42"/>
  <c r="N69" i="42"/>
  <c r="O69" i="42"/>
  <c r="P69" i="42"/>
  <c r="Q69" i="42"/>
  <c r="S69" i="42"/>
  <c r="T69" i="42"/>
  <c r="V69" i="42"/>
  <c r="X69" i="42"/>
  <c r="Y69" i="42"/>
  <c r="Z69" i="42"/>
  <c r="AA69" i="42"/>
  <c r="AB69" i="42"/>
  <c r="AC69" i="42"/>
  <c r="AF69" i="42"/>
  <c r="AG69" i="42"/>
  <c r="AH69" i="42"/>
  <c r="AI69" i="42"/>
  <c r="AJ69" i="42"/>
  <c r="AL69" i="42"/>
  <c r="AM69" i="42"/>
  <c r="AN69" i="42"/>
  <c r="AO69" i="42"/>
  <c r="AP69" i="42"/>
  <c r="AQ69" i="42"/>
  <c r="AR69" i="42"/>
  <c r="AS69" i="42"/>
  <c r="AT69" i="42"/>
  <c r="AU69" i="42"/>
  <c r="AV69" i="42"/>
  <c r="AW69" i="42"/>
  <c r="AX69" i="42"/>
  <c r="AY69" i="42"/>
  <c r="BB69" i="42"/>
  <c r="BC69" i="42"/>
  <c r="BD69" i="42"/>
  <c r="BE69" i="42"/>
  <c r="BF69" i="42"/>
  <c r="BG69" i="42"/>
  <c r="BH69" i="42"/>
  <c r="BI69" i="42"/>
  <c r="BJ69" i="42"/>
  <c r="BK69" i="42"/>
  <c r="BL69" i="42"/>
  <c r="BM69" i="42"/>
  <c r="BN69" i="42"/>
  <c r="BO69" i="42"/>
  <c r="D70" i="42"/>
  <c r="F70" i="42"/>
  <c r="G70" i="42"/>
  <c r="H70" i="42"/>
  <c r="I70" i="42"/>
  <c r="K70" i="42"/>
  <c r="L70" i="42"/>
  <c r="N70" i="42"/>
  <c r="O70" i="42"/>
  <c r="P70" i="42"/>
  <c r="Q70" i="42"/>
  <c r="S70" i="42"/>
  <c r="T70" i="42"/>
  <c r="V70" i="42"/>
  <c r="X70" i="42"/>
  <c r="Y70" i="42"/>
  <c r="Z70" i="42"/>
  <c r="AA70" i="42"/>
  <c r="AB70" i="42"/>
  <c r="AC70" i="42"/>
  <c r="AF70" i="42"/>
  <c r="AG70" i="42"/>
  <c r="AH70" i="42"/>
  <c r="AI70" i="42"/>
  <c r="AJ70" i="42"/>
  <c r="AL70" i="42"/>
  <c r="AM70" i="42"/>
  <c r="AN70" i="42"/>
  <c r="AO70" i="42"/>
  <c r="AP70" i="42"/>
  <c r="AQ70" i="42"/>
  <c r="AR70" i="42"/>
  <c r="AS70" i="42"/>
  <c r="AT70" i="42"/>
  <c r="AU70" i="42"/>
  <c r="AV70" i="42"/>
  <c r="AW70" i="42"/>
  <c r="AX70" i="42"/>
  <c r="AY70" i="42"/>
  <c r="BB70" i="42"/>
  <c r="BC70" i="42"/>
  <c r="BD70" i="42"/>
  <c r="BE70" i="42"/>
  <c r="BF70" i="42"/>
  <c r="BG70" i="42"/>
  <c r="BH70" i="42"/>
  <c r="BI70" i="42"/>
  <c r="BJ70" i="42"/>
  <c r="BK70" i="42"/>
  <c r="BL70" i="42"/>
  <c r="BM70" i="42"/>
  <c r="BN70" i="42"/>
  <c r="BO70" i="42"/>
  <c r="D71" i="42"/>
  <c r="F71" i="42"/>
  <c r="G71" i="42"/>
  <c r="H71" i="42"/>
  <c r="I71" i="42"/>
  <c r="K71" i="42"/>
  <c r="L71" i="42"/>
  <c r="N71" i="42"/>
  <c r="O71" i="42"/>
  <c r="P71" i="42"/>
  <c r="Q71" i="42"/>
  <c r="S71" i="42"/>
  <c r="T71" i="42"/>
  <c r="V71" i="42"/>
  <c r="X71" i="42"/>
  <c r="Y71" i="42"/>
  <c r="Z71" i="42"/>
  <c r="AA71" i="42"/>
  <c r="AB71" i="42"/>
  <c r="AC71" i="42"/>
  <c r="AF71" i="42"/>
  <c r="AG71" i="42"/>
  <c r="AH71" i="42"/>
  <c r="AI71" i="42"/>
  <c r="AJ71" i="42"/>
  <c r="AL71" i="42"/>
  <c r="AM71" i="42"/>
  <c r="AN71" i="42"/>
  <c r="AO71" i="42"/>
  <c r="AP71" i="42"/>
  <c r="AQ71" i="42"/>
  <c r="AR71" i="42"/>
  <c r="AS71" i="42"/>
  <c r="AT71" i="42"/>
  <c r="AU71" i="42"/>
  <c r="AV71" i="42"/>
  <c r="AW71" i="42"/>
  <c r="AX71" i="42"/>
  <c r="AY71" i="42"/>
  <c r="BB71" i="42"/>
  <c r="BC71" i="42"/>
  <c r="BD71" i="42"/>
  <c r="BE71" i="42"/>
  <c r="BF71" i="42"/>
  <c r="BG71" i="42"/>
  <c r="BH71" i="42"/>
  <c r="BI71" i="42"/>
  <c r="BJ71" i="42"/>
  <c r="BK71" i="42"/>
  <c r="BL71" i="42"/>
  <c r="BM71" i="42"/>
  <c r="BN71" i="42"/>
  <c r="BO71" i="42"/>
  <c r="D72" i="42"/>
  <c r="F72" i="42"/>
  <c r="G72" i="42"/>
  <c r="H72" i="42"/>
  <c r="I72" i="42"/>
  <c r="K72" i="42"/>
  <c r="L72" i="42"/>
  <c r="N72" i="42"/>
  <c r="O72" i="42"/>
  <c r="P72" i="42"/>
  <c r="Q72" i="42"/>
  <c r="S72" i="42"/>
  <c r="T72" i="42"/>
  <c r="V72" i="42"/>
  <c r="X72" i="42"/>
  <c r="Y72" i="42"/>
  <c r="Z72" i="42"/>
  <c r="AA72" i="42"/>
  <c r="AB72" i="42"/>
  <c r="AC72" i="42"/>
  <c r="AF72" i="42"/>
  <c r="AG72" i="42"/>
  <c r="AH72" i="42"/>
  <c r="AI72" i="42"/>
  <c r="AJ72" i="42"/>
  <c r="AL72" i="42"/>
  <c r="AM72" i="42"/>
  <c r="AN72" i="42"/>
  <c r="AO72" i="42"/>
  <c r="AP72" i="42"/>
  <c r="AQ72" i="42"/>
  <c r="AR72" i="42"/>
  <c r="AS72" i="42"/>
  <c r="AT72" i="42"/>
  <c r="AU72" i="42"/>
  <c r="AV72" i="42"/>
  <c r="AW72" i="42"/>
  <c r="AX72" i="42"/>
  <c r="AY72" i="42"/>
  <c r="BB72" i="42"/>
  <c r="BC72" i="42"/>
  <c r="BD72" i="42"/>
  <c r="BE72" i="42"/>
  <c r="BF72" i="42"/>
  <c r="BG72" i="42"/>
  <c r="BH72" i="42"/>
  <c r="BI72" i="42"/>
  <c r="BJ72" i="42"/>
  <c r="BK72" i="42"/>
  <c r="BL72" i="42"/>
  <c r="BM72" i="42"/>
  <c r="BN72" i="42"/>
  <c r="BO72" i="42"/>
  <c r="D73" i="42"/>
  <c r="F73" i="42"/>
  <c r="G73" i="42"/>
  <c r="H73" i="42"/>
  <c r="I73" i="42"/>
  <c r="K73" i="42"/>
  <c r="L73" i="42"/>
  <c r="N73" i="42"/>
  <c r="O73" i="42"/>
  <c r="P73" i="42"/>
  <c r="Q73" i="42"/>
  <c r="S73" i="42"/>
  <c r="T73" i="42"/>
  <c r="V73" i="42"/>
  <c r="X73" i="42"/>
  <c r="Y73" i="42"/>
  <c r="Z73" i="42"/>
  <c r="AA73" i="42"/>
  <c r="AB73" i="42"/>
  <c r="AC73" i="42"/>
  <c r="AF73" i="42"/>
  <c r="AG73" i="42"/>
  <c r="AH73" i="42"/>
  <c r="AI73" i="42"/>
  <c r="AJ73" i="42"/>
  <c r="AL73" i="42"/>
  <c r="AM73" i="42"/>
  <c r="AN73" i="42"/>
  <c r="AO73" i="42"/>
  <c r="AP73" i="42"/>
  <c r="AQ73" i="42"/>
  <c r="AR73" i="42"/>
  <c r="AS73" i="42"/>
  <c r="AT73" i="42"/>
  <c r="AU73" i="42"/>
  <c r="AV73" i="42"/>
  <c r="AW73" i="42"/>
  <c r="AX73" i="42"/>
  <c r="AY73" i="42"/>
  <c r="BB73" i="42"/>
  <c r="BC73" i="42"/>
  <c r="BD73" i="42"/>
  <c r="BE73" i="42"/>
  <c r="BF73" i="42"/>
  <c r="BG73" i="42"/>
  <c r="BH73" i="42"/>
  <c r="BI73" i="42"/>
  <c r="BJ73" i="42"/>
  <c r="BK73" i="42"/>
  <c r="BL73" i="42"/>
  <c r="BM73" i="42"/>
  <c r="BN73" i="42"/>
  <c r="BO73" i="42"/>
  <c r="D74" i="42"/>
  <c r="F74" i="42"/>
  <c r="G74" i="42"/>
  <c r="H74" i="42"/>
  <c r="I74" i="42"/>
  <c r="K74" i="42"/>
  <c r="L74" i="42"/>
  <c r="N74" i="42"/>
  <c r="O74" i="42"/>
  <c r="P74" i="42"/>
  <c r="Q74" i="42"/>
  <c r="S74" i="42"/>
  <c r="T74" i="42"/>
  <c r="V74" i="42"/>
  <c r="X74" i="42"/>
  <c r="Y74" i="42"/>
  <c r="Z74" i="42"/>
  <c r="AA74" i="42"/>
  <c r="AB74" i="42"/>
  <c r="AC74" i="42"/>
  <c r="AF74" i="42"/>
  <c r="AG74" i="42"/>
  <c r="AH74" i="42"/>
  <c r="AI74" i="42"/>
  <c r="AJ74" i="42"/>
  <c r="AL74" i="42"/>
  <c r="AM74" i="42"/>
  <c r="AN74" i="42"/>
  <c r="AO74" i="42"/>
  <c r="AP74" i="42"/>
  <c r="AQ74" i="42"/>
  <c r="AR74" i="42"/>
  <c r="AS74" i="42"/>
  <c r="AT74" i="42"/>
  <c r="AU74" i="42"/>
  <c r="AV74" i="42"/>
  <c r="AW74" i="42"/>
  <c r="AX74" i="42"/>
  <c r="AY74" i="42"/>
  <c r="BB74" i="42"/>
  <c r="BC74" i="42"/>
  <c r="BD74" i="42"/>
  <c r="BE74" i="42"/>
  <c r="BF74" i="42"/>
  <c r="BG74" i="42"/>
  <c r="BH74" i="42"/>
  <c r="BI74" i="42"/>
  <c r="BJ74" i="42"/>
  <c r="BK74" i="42"/>
  <c r="BL74" i="42"/>
  <c r="BM74" i="42"/>
  <c r="BN74" i="42"/>
  <c r="BO74" i="42"/>
  <c r="D75" i="42"/>
  <c r="F75" i="42"/>
  <c r="G75" i="42"/>
  <c r="H75" i="42"/>
  <c r="I75" i="42"/>
  <c r="K75" i="42"/>
  <c r="L75" i="42"/>
  <c r="N75" i="42"/>
  <c r="O75" i="42"/>
  <c r="P75" i="42"/>
  <c r="Q75" i="42"/>
  <c r="S75" i="42"/>
  <c r="T75" i="42"/>
  <c r="V75" i="42"/>
  <c r="X75" i="42"/>
  <c r="Y75" i="42"/>
  <c r="Z75" i="42"/>
  <c r="AA75" i="42"/>
  <c r="AB75" i="42"/>
  <c r="AC75" i="42"/>
  <c r="AF75" i="42"/>
  <c r="AG75" i="42"/>
  <c r="AH75" i="42"/>
  <c r="AI75" i="42"/>
  <c r="AJ75" i="42"/>
  <c r="AL75" i="42"/>
  <c r="AM75" i="42"/>
  <c r="AN75" i="42"/>
  <c r="AO75" i="42"/>
  <c r="AP75" i="42"/>
  <c r="AQ75" i="42"/>
  <c r="AR75" i="42"/>
  <c r="AS75" i="42"/>
  <c r="AT75" i="42"/>
  <c r="AU75" i="42"/>
  <c r="AV75" i="42"/>
  <c r="AW75" i="42"/>
  <c r="AX75" i="42"/>
  <c r="AY75" i="42"/>
  <c r="BB75" i="42"/>
  <c r="BC75" i="42"/>
  <c r="BD75" i="42"/>
  <c r="BE75" i="42"/>
  <c r="BF75" i="42"/>
  <c r="BG75" i="42"/>
  <c r="BH75" i="42"/>
  <c r="BI75" i="42"/>
  <c r="BJ75" i="42"/>
  <c r="BK75" i="42"/>
  <c r="BL75" i="42"/>
  <c r="BM75" i="42"/>
  <c r="BN75" i="42"/>
  <c r="BO75" i="42"/>
  <c r="D76" i="42"/>
  <c r="F76" i="42"/>
  <c r="G76" i="42"/>
  <c r="H76" i="42"/>
  <c r="I76" i="42"/>
  <c r="K76" i="42"/>
  <c r="L76" i="42"/>
  <c r="N76" i="42"/>
  <c r="O76" i="42"/>
  <c r="P76" i="42"/>
  <c r="Q76" i="42"/>
  <c r="S76" i="42"/>
  <c r="T76" i="42"/>
  <c r="V76" i="42"/>
  <c r="X76" i="42"/>
  <c r="Y76" i="42"/>
  <c r="Z76" i="42"/>
  <c r="AA76" i="42"/>
  <c r="AB76" i="42"/>
  <c r="AC76" i="42"/>
  <c r="AF76" i="42"/>
  <c r="AG76" i="42"/>
  <c r="AH76" i="42"/>
  <c r="AI76" i="42"/>
  <c r="AJ76" i="42"/>
  <c r="AL76" i="42"/>
  <c r="AM76" i="42"/>
  <c r="AN76" i="42"/>
  <c r="AO76" i="42"/>
  <c r="AP76" i="42"/>
  <c r="AQ76" i="42"/>
  <c r="AR76" i="42"/>
  <c r="AS76" i="42"/>
  <c r="AT76" i="42"/>
  <c r="AU76" i="42"/>
  <c r="AV76" i="42"/>
  <c r="AW76" i="42"/>
  <c r="AX76" i="42"/>
  <c r="AY76" i="42"/>
  <c r="BB76" i="42"/>
  <c r="BC76" i="42"/>
  <c r="BD76" i="42"/>
  <c r="BE76" i="42"/>
  <c r="BF76" i="42"/>
  <c r="BG76" i="42"/>
  <c r="BH76" i="42"/>
  <c r="BI76" i="42"/>
  <c r="BJ76" i="42"/>
  <c r="BK76" i="42"/>
  <c r="BL76" i="42"/>
  <c r="BM76" i="42"/>
  <c r="BN76" i="42"/>
  <c r="BO76" i="42"/>
  <c r="D77" i="42"/>
  <c r="F77" i="42"/>
  <c r="G77" i="42"/>
  <c r="H77" i="42"/>
  <c r="I77" i="42"/>
  <c r="K77" i="42"/>
  <c r="L77" i="42"/>
  <c r="N77" i="42"/>
  <c r="O77" i="42"/>
  <c r="P77" i="42"/>
  <c r="Q77" i="42"/>
  <c r="S77" i="42"/>
  <c r="T77" i="42"/>
  <c r="V77" i="42"/>
  <c r="X77" i="42"/>
  <c r="Y77" i="42"/>
  <c r="Z77" i="42"/>
  <c r="AA77" i="42"/>
  <c r="AB77" i="42"/>
  <c r="AC77" i="42"/>
  <c r="AF77" i="42"/>
  <c r="AG77" i="42"/>
  <c r="AH77" i="42"/>
  <c r="AI77" i="42"/>
  <c r="AJ77" i="42"/>
  <c r="AL77" i="42"/>
  <c r="AM77" i="42"/>
  <c r="AN77" i="42"/>
  <c r="AO77" i="42"/>
  <c r="AP77" i="42"/>
  <c r="AQ77" i="42"/>
  <c r="AR77" i="42"/>
  <c r="AS77" i="42"/>
  <c r="AT77" i="42"/>
  <c r="AU77" i="42"/>
  <c r="AV77" i="42"/>
  <c r="AW77" i="42"/>
  <c r="AX77" i="42"/>
  <c r="AY77" i="42"/>
  <c r="BB77" i="42"/>
  <c r="BC77" i="42"/>
  <c r="BD77" i="42"/>
  <c r="BE77" i="42"/>
  <c r="BF77" i="42"/>
  <c r="BG77" i="42"/>
  <c r="BH77" i="42"/>
  <c r="BI77" i="42"/>
  <c r="BJ77" i="42"/>
  <c r="BK77" i="42"/>
  <c r="BL77" i="42"/>
  <c r="BM77" i="42"/>
  <c r="BN77" i="42"/>
  <c r="BO77" i="42"/>
  <c r="D78" i="42"/>
  <c r="F78" i="42"/>
  <c r="G78" i="42"/>
  <c r="H78" i="42"/>
  <c r="I78" i="42"/>
  <c r="K78" i="42"/>
  <c r="L78" i="42"/>
  <c r="N78" i="42"/>
  <c r="O78" i="42"/>
  <c r="P78" i="42"/>
  <c r="Q78" i="42"/>
  <c r="S78" i="42"/>
  <c r="T78" i="42"/>
  <c r="V78" i="42"/>
  <c r="X78" i="42"/>
  <c r="Y78" i="42"/>
  <c r="Z78" i="42"/>
  <c r="AA78" i="42"/>
  <c r="AB78" i="42"/>
  <c r="AC78" i="42"/>
  <c r="AF78" i="42"/>
  <c r="AG78" i="42"/>
  <c r="AH78" i="42"/>
  <c r="AI78" i="42"/>
  <c r="AJ78" i="42"/>
  <c r="AL78" i="42"/>
  <c r="AM78" i="42"/>
  <c r="AN78" i="42"/>
  <c r="AO78" i="42"/>
  <c r="AP78" i="42"/>
  <c r="AQ78" i="42"/>
  <c r="AR78" i="42"/>
  <c r="AS78" i="42"/>
  <c r="AT78" i="42"/>
  <c r="AU78" i="42"/>
  <c r="AV78" i="42"/>
  <c r="AW78" i="42"/>
  <c r="AX78" i="42"/>
  <c r="AY78" i="42"/>
  <c r="BB78" i="42"/>
  <c r="BC78" i="42"/>
  <c r="BD78" i="42"/>
  <c r="BE78" i="42"/>
  <c r="BF78" i="42"/>
  <c r="BG78" i="42"/>
  <c r="BH78" i="42"/>
  <c r="BI78" i="42"/>
  <c r="BJ78" i="42"/>
  <c r="BK78" i="42"/>
  <c r="BL78" i="42"/>
  <c r="BM78" i="42"/>
  <c r="BN78" i="42"/>
  <c r="BO78" i="42"/>
  <c r="D79" i="42"/>
  <c r="F79" i="42"/>
  <c r="G79" i="42"/>
  <c r="H79" i="42"/>
  <c r="I79" i="42"/>
  <c r="K79" i="42"/>
  <c r="L79" i="42"/>
  <c r="N79" i="42"/>
  <c r="O79" i="42"/>
  <c r="P79" i="42"/>
  <c r="Q79" i="42"/>
  <c r="S79" i="42"/>
  <c r="T79" i="42"/>
  <c r="V79" i="42"/>
  <c r="X79" i="42"/>
  <c r="Y79" i="42"/>
  <c r="Z79" i="42"/>
  <c r="AA79" i="42"/>
  <c r="AB79" i="42"/>
  <c r="AC79" i="42"/>
  <c r="AF79" i="42"/>
  <c r="AG79" i="42"/>
  <c r="AH79" i="42"/>
  <c r="AI79" i="42"/>
  <c r="AJ79" i="42"/>
  <c r="AL79" i="42"/>
  <c r="AM79" i="42"/>
  <c r="AN79" i="42"/>
  <c r="AO79" i="42"/>
  <c r="AP79" i="42"/>
  <c r="AQ79" i="42"/>
  <c r="AR79" i="42"/>
  <c r="AS79" i="42"/>
  <c r="AT79" i="42"/>
  <c r="AU79" i="42"/>
  <c r="AV79" i="42"/>
  <c r="AW79" i="42"/>
  <c r="AX79" i="42"/>
  <c r="AY79" i="42"/>
  <c r="BB79" i="42"/>
  <c r="BC79" i="42"/>
  <c r="BD79" i="42"/>
  <c r="BE79" i="42"/>
  <c r="BF79" i="42"/>
  <c r="BG79" i="42"/>
  <c r="BH79" i="42"/>
  <c r="BI79" i="42"/>
  <c r="BJ79" i="42"/>
  <c r="BK79" i="42"/>
  <c r="BL79" i="42"/>
  <c r="BM79" i="42"/>
  <c r="BN79" i="42"/>
  <c r="BO79" i="42"/>
  <c r="D80" i="42"/>
  <c r="F80" i="42"/>
  <c r="G80" i="42"/>
  <c r="H80" i="42"/>
  <c r="I80" i="42"/>
  <c r="K80" i="42"/>
  <c r="L80" i="42"/>
  <c r="N80" i="42"/>
  <c r="O80" i="42"/>
  <c r="P80" i="42"/>
  <c r="Q80" i="42"/>
  <c r="S80" i="42"/>
  <c r="T80" i="42"/>
  <c r="V80" i="42"/>
  <c r="X80" i="42"/>
  <c r="Y80" i="42"/>
  <c r="Z80" i="42"/>
  <c r="AA80" i="42"/>
  <c r="AB80" i="42"/>
  <c r="AC80" i="42"/>
  <c r="AF80" i="42"/>
  <c r="AG80" i="42"/>
  <c r="AH80" i="42"/>
  <c r="AI80" i="42"/>
  <c r="AJ80" i="42"/>
  <c r="AL80" i="42"/>
  <c r="AM80" i="42"/>
  <c r="AN80" i="42"/>
  <c r="AO80" i="42"/>
  <c r="AP80" i="42"/>
  <c r="AQ80" i="42"/>
  <c r="AR80" i="42"/>
  <c r="AS80" i="42"/>
  <c r="AT80" i="42"/>
  <c r="AU80" i="42"/>
  <c r="AV80" i="42"/>
  <c r="AW80" i="42"/>
  <c r="AX80" i="42"/>
  <c r="AY80" i="42"/>
  <c r="BB80" i="42"/>
  <c r="BC80" i="42"/>
  <c r="BD80" i="42"/>
  <c r="BE80" i="42"/>
  <c r="BF80" i="42"/>
  <c r="BG80" i="42"/>
  <c r="BH80" i="42"/>
  <c r="BI80" i="42"/>
  <c r="BJ80" i="42"/>
  <c r="BK80" i="42"/>
  <c r="BL80" i="42"/>
  <c r="BM80" i="42"/>
  <c r="BN80" i="42"/>
  <c r="BO80" i="42"/>
  <c r="D81" i="42"/>
  <c r="F81" i="42"/>
  <c r="G81" i="42"/>
  <c r="H81" i="42"/>
  <c r="I81" i="42"/>
  <c r="K81" i="42"/>
  <c r="L81" i="42"/>
  <c r="N81" i="42"/>
  <c r="O81" i="42"/>
  <c r="P81" i="42"/>
  <c r="Q81" i="42"/>
  <c r="S81" i="42"/>
  <c r="T81" i="42"/>
  <c r="V81" i="42"/>
  <c r="X81" i="42"/>
  <c r="Y81" i="42"/>
  <c r="Z81" i="42"/>
  <c r="AA81" i="42"/>
  <c r="AB81" i="42"/>
  <c r="AC81" i="42"/>
  <c r="AF81" i="42"/>
  <c r="AG81" i="42"/>
  <c r="AH81" i="42"/>
  <c r="AI81" i="42"/>
  <c r="AJ81" i="42"/>
  <c r="AL81" i="42"/>
  <c r="AM81" i="42"/>
  <c r="AN81" i="42"/>
  <c r="AO81" i="42"/>
  <c r="AP81" i="42"/>
  <c r="AQ81" i="42"/>
  <c r="AR81" i="42"/>
  <c r="AS81" i="42"/>
  <c r="AT81" i="42"/>
  <c r="AU81" i="42"/>
  <c r="AV81" i="42"/>
  <c r="AW81" i="42"/>
  <c r="AX81" i="42"/>
  <c r="AY81" i="42"/>
  <c r="BB81" i="42"/>
  <c r="BC81" i="42"/>
  <c r="BD81" i="42"/>
  <c r="BE81" i="42"/>
  <c r="BF81" i="42"/>
  <c r="BG81" i="42"/>
  <c r="BH81" i="42"/>
  <c r="BI81" i="42"/>
  <c r="BJ81" i="42"/>
  <c r="BK81" i="42"/>
  <c r="BL81" i="42"/>
  <c r="BM81" i="42"/>
  <c r="BN81" i="42"/>
  <c r="BO81" i="42"/>
  <c r="D82" i="42"/>
  <c r="F82" i="42"/>
  <c r="G82" i="42"/>
  <c r="H82" i="42"/>
  <c r="I82" i="42"/>
  <c r="K82" i="42"/>
  <c r="L82" i="42"/>
  <c r="N82" i="42"/>
  <c r="O82" i="42"/>
  <c r="P82" i="42"/>
  <c r="Q82" i="42"/>
  <c r="S82" i="42"/>
  <c r="T82" i="42"/>
  <c r="V82" i="42"/>
  <c r="X82" i="42"/>
  <c r="Y82" i="42"/>
  <c r="Z82" i="42"/>
  <c r="AA82" i="42"/>
  <c r="AB82" i="42"/>
  <c r="AC82" i="42"/>
  <c r="AF82" i="42"/>
  <c r="AG82" i="42"/>
  <c r="AH82" i="42"/>
  <c r="AI82" i="42"/>
  <c r="AJ82" i="42"/>
  <c r="AL82" i="42"/>
  <c r="AM82" i="42"/>
  <c r="AN82" i="42"/>
  <c r="AO82" i="42"/>
  <c r="AP82" i="42"/>
  <c r="AQ82" i="42"/>
  <c r="AR82" i="42"/>
  <c r="AS82" i="42"/>
  <c r="AT82" i="42"/>
  <c r="AU82" i="42"/>
  <c r="AV82" i="42"/>
  <c r="AW82" i="42"/>
  <c r="AX82" i="42"/>
  <c r="AY82" i="42"/>
  <c r="BB82" i="42"/>
  <c r="BC82" i="42"/>
  <c r="BD82" i="42"/>
  <c r="BE82" i="42"/>
  <c r="BF82" i="42"/>
  <c r="BG82" i="42"/>
  <c r="BH82" i="42"/>
  <c r="BI82" i="42"/>
  <c r="BJ82" i="42"/>
  <c r="BK82" i="42"/>
  <c r="BL82" i="42"/>
  <c r="BM82" i="42"/>
  <c r="BN82" i="42"/>
  <c r="BO82" i="42"/>
  <c r="D83" i="42"/>
  <c r="F83" i="42"/>
  <c r="G83" i="42"/>
  <c r="H83" i="42"/>
  <c r="I83" i="42"/>
  <c r="K83" i="42"/>
  <c r="L83" i="42"/>
  <c r="N83" i="42"/>
  <c r="O83" i="42"/>
  <c r="P83" i="42"/>
  <c r="Q83" i="42"/>
  <c r="S83" i="42"/>
  <c r="T83" i="42"/>
  <c r="V83" i="42"/>
  <c r="X83" i="42"/>
  <c r="Y83" i="42"/>
  <c r="Z83" i="42"/>
  <c r="AA83" i="42"/>
  <c r="AB83" i="42"/>
  <c r="AC83" i="42"/>
  <c r="AF83" i="42"/>
  <c r="AG83" i="42"/>
  <c r="AH83" i="42"/>
  <c r="AI83" i="42"/>
  <c r="AJ83" i="42"/>
  <c r="AL83" i="42"/>
  <c r="AM83" i="42"/>
  <c r="AN83" i="42"/>
  <c r="AO83" i="42"/>
  <c r="AP83" i="42"/>
  <c r="AQ83" i="42"/>
  <c r="AR83" i="42"/>
  <c r="AS83" i="42"/>
  <c r="AT83" i="42"/>
  <c r="AU83" i="42"/>
  <c r="AV83" i="42"/>
  <c r="AW83" i="42"/>
  <c r="AX83" i="42"/>
  <c r="AY83" i="42"/>
  <c r="BB83" i="42"/>
  <c r="BC83" i="42"/>
  <c r="BD83" i="42"/>
  <c r="BE83" i="42"/>
  <c r="BF83" i="42"/>
  <c r="BG83" i="42"/>
  <c r="BH83" i="42"/>
  <c r="BI83" i="42"/>
  <c r="BJ83" i="42"/>
  <c r="BK83" i="42"/>
  <c r="BL83" i="42"/>
  <c r="BM83" i="42"/>
  <c r="BN83" i="42"/>
  <c r="BO83" i="42"/>
  <c r="D84" i="42"/>
  <c r="F84" i="42"/>
  <c r="G84" i="42"/>
  <c r="H84" i="42"/>
  <c r="I84" i="42"/>
  <c r="K84" i="42"/>
  <c r="L84" i="42"/>
  <c r="N84" i="42"/>
  <c r="O84" i="42"/>
  <c r="P84" i="42"/>
  <c r="Q84" i="42"/>
  <c r="S84" i="42"/>
  <c r="T84" i="42"/>
  <c r="V84" i="42"/>
  <c r="X84" i="42"/>
  <c r="Y84" i="42"/>
  <c r="Z84" i="42"/>
  <c r="AA84" i="42"/>
  <c r="AB84" i="42"/>
  <c r="AC84" i="42"/>
  <c r="AF84" i="42"/>
  <c r="AG84" i="42"/>
  <c r="AH84" i="42"/>
  <c r="AI84" i="42"/>
  <c r="AJ84" i="42"/>
  <c r="AL84" i="42"/>
  <c r="AM84" i="42"/>
  <c r="AN84" i="42"/>
  <c r="AO84" i="42"/>
  <c r="AP84" i="42"/>
  <c r="AQ84" i="42"/>
  <c r="AR84" i="42"/>
  <c r="AS84" i="42"/>
  <c r="AT84" i="42"/>
  <c r="AU84" i="42"/>
  <c r="AV84" i="42"/>
  <c r="AW84" i="42"/>
  <c r="AX84" i="42"/>
  <c r="AY84" i="42"/>
  <c r="BB84" i="42"/>
  <c r="BC84" i="42"/>
  <c r="BD84" i="42"/>
  <c r="BE84" i="42"/>
  <c r="BF84" i="42"/>
  <c r="BG84" i="42"/>
  <c r="BH84" i="42"/>
  <c r="BI84" i="42"/>
  <c r="BJ84" i="42"/>
  <c r="BK84" i="42"/>
  <c r="BL84" i="42"/>
  <c r="BM84" i="42"/>
  <c r="BN84" i="42"/>
  <c r="BO84" i="42"/>
  <c r="D85" i="42"/>
  <c r="F85" i="42"/>
  <c r="G85" i="42"/>
  <c r="H85" i="42"/>
  <c r="I85" i="42"/>
  <c r="K85" i="42"/>
  <c r="L85" i="42"/>
  <c r="N85" i="42"/>
  <c r="O85" i="42"/>
  <c r="P85" i="42"/>
  <c r="Q85" i="42"/>
  <c r="S85" i="42"/>
  <c r="T85" i="42"/>
  <c r="V85" i="42"/>
  <c r="X85" i="42"/>
  <c r="Y85" i="42"/>
  <c r="Z85" i="42"/>
  <c r="AA85" i="42"/>
  <c r="AB85" i="42"/>
  <c r="AC85" i="42"/>
  <c r="AF85" i="42"/>
  <c r="AG85" i="42"/>
  <c r="AH85" i="42"/>
  <c r="AI85" i="42"/>
  <c r="AJ85" i="42"/>
  <c r="AL85" i="42"/>
  <c r="AM85" i="42"/>
  <c r="AN85" i="42"/>
  <c r="AO85" i="42"/>
  <c r="AP85" i="42"/>
  <c r="AQ85" i="42"/>
  <c r="AR85" i="42"/>
  <c r="AS85" i="42"/>
  <c r="AT85" i="42"/>
  <c r="AU85" i="42"/>
  <c r="AV85" i="42"/>
  <c r="AW85" i="42"/>
  <c r="AX85" i="42"/>
  <c r="AY85" i="42"/>
  <c r="BB85" i="42"/>
  <c r="BC85" i="42"/>
  <c r="BD85" i="42"/>
  <c r="BE85" i="42"/>
  <c r="BF85" i="42"/>
  <c r="BG85" i="42"/>
  <c r="BH85" i="42"/>
  <c r="BI85" i="42"/>
  <c r="BJ85" i="42"/>
  <c r="BK85" i="42"/>
  <c r="BL85" i="42"/>
  <c r="BM85" i="42"/>
  <c r="BN85" i="42"/>
  <c r="BO85" i="42"/>
  <c r="D86" i="42"/>
  <c r="F86" i="42"/>
  <c r="G86" i="42"/>
  <c r="H86" i="42"/>
  <c r="I86" i="42"/>
  <c r="K86" i="42"/>
  <c r="L86" i="42"/>
  <c r="N86" i="42"/>
  <c r="O86" i="42"/>
  <c r="P86" i="42"/>
  <c r="Q86" i="42"/>
  <c r="S86" i="42"/>
  <c r="T86" i="42"/>
  <c r="V86" i="42"/>
  <c r="X86" i="42"/>
  <c r="Y86" i="42"/>
  <c r="Z86" i="42"/>
  <c r="AA86" i="42"/>
  <c r="AB86" i="42"/>
  <c r="AC86" i="42"/>
  <c r="AF86" i="42"/>
  <c r="AG86" i="42"/>
  <c r="AH86" i="42"/>
  <c r="AI86" i="42"/>
  <c r="AJ86" i="42"/>
  <c r="AL86" i="42"/>
  <c r="AM86" i="42"/>
  <c r="AN86" i="42"/>
  <c r="AO86" i="42"/>
  <c r="AP86" i="42"/>
  <c r="AQ86" i="42"/>
  <c r="AR86" i="42"/>
  <c r="AS86" i="42"/>
  <c r="AT86" i="42"/>
  <c r="AU86" i="42"/>
  <c r="AV86" i="42"/>
  <c r="AW86" i="42"/>
  <c r="AX86" i="42"/>
  <c r="AY86" i="42"/>
  <c r="BB86" i="42"/>
  <c r="BC86" i="42"/>
  <c r="BD86" i="42"/>
  <c r="BE86" i="42"/>
  <c r="BF86" i="42"/>
  <c r="BG86" i="42"/>
  <c r="BH86" i="42"/>
  <c r="BI86" i="42"/>
  <c r="BJ86" i="42"/>
  <c r="BK86" i="42"/>
  <c r="BL86" i="42"/>
  <c r="BM86" i="42"/>
  <c r="BN86" i="42"/>
  <c r="BO86" i="42"/>
  <c r="D87" i="42"/>
  <c r="F87" i="42"/>
  <c r="G87" i="42"/>
  <c r="H87" i="42"/>
  <c r="I87" i="42"/>
  <c r="K87" i="42"/>
  <c r="L87" i="42"/>
  <c r="N87" i="42"/>
  <c r="O87" i="42"/>
  <c r="P87" i="42"/>
  <c r="Q87" i="42"/>
  <c r="S87" i="42"/>
  <c r="T87" i="42"/>
  <c r="V87" i="42"/>
  <c r="X87" i="42"/>
  <c r="Y87" i="42"/>
  <c r="Z87" i="42"/>
  <c r="AA87" i="42"/>
  <c r="AB87" i="42"/>
  <c r="AC87" i="42"/>
  <c r="AF87" i="42"/>
  <c r="AG87" i="42"/>
  <c r="AH87" i="42"/>
  <c r="AI87" i="42"/>
  <c r="AJ87" i="42"/>
  <c r="AL87" i="42"/>
  <c r="AM87" i="42"/>
  <c r="AN87" i="42"/>
  <c r="AO87" i="42"/>
  <c r="AP87" i="42"/>
  <c r="AQ87" i="42"/>
  <c r="AR87" i="42"/>
  <c r="AS87" i="42"/>
  <c r="AT87" i="42"/>
  <c r="AU87" i="42"/>
  <c r="AV87" i="42"/>
  <c r="AW87" i="42"/>
  <c r="AX87" i="42"/>
  <c r="AY87" i="42"/>
  <c r="BB87" i="42"/>
  <c r="BC87" i="42"/>
  <c r="BD87" i="42"/>
  <c r="BE87" i="42"/>
  <c r="BF87" i="42"/>
  <c r="BG87" i="42"/>
  <c r="BH87" i="42"/>
  <c r="BI87" i="42"/>
  <c r="BJ87" i="42"/>
  <c r="BK87" i="42"/>
  <c r="BL87" i="42"/>
  <c r="BM87" i="42"/>
  <c r="BN87" i="42"/>
  <c r="BO87" i="42"/>
  <c r="D88" i="42"/>
  <c r="F88" i="42"/>
  <c r="G88" i="42"/>
  <c r="H88" i="42"/>
  <c r="I88" i="42"/>
  <c r="K88" i="42"/>
  <c r="L88" i="42"/>
  <c r="N88" i="42"/>
  <c r="O88" i="42"/>
  <c r="P88" i="42"/>
  <c r="Q88" i="42"/>
  <c r="S88" i="42"/>
  <c r="T88" i="42"/>
  <c r="V88" i="42"/>
  <c r="X88" i="42"/>
  <c r="Y88" i="42"/>
  <c r="Z88" i="42"/>
  <c r="AA88" i="42"/>
  <c r="AB88" i="42"/>
  <c r="AC88" i="42"/>
  <c r="AF88" i="42"/>
  <c r="AG88" i="42"/>
  <c r="AH88" i="42"/>
  <c r="AI88" i="42"/>
  <c r="AJ88" i="42"/>
  <c r="AL88" i="42"/>
  <c r="AM88" i="42"/>
  <c r="AN88" i="42"/>
  <c r="AO88" i="42"/>
  <c r="AP88" i="42"/>
  <c r="AQ88" i="42"/>
  <c r="AR88" i="42"/>
  <c r="AS88" i="42"/>
  <c r="AT88" i="42"/>
  <c r="AU88" i="42"/>
  <c r="AV88" i="42"/>
  <c r="AW88" i="42"/>
  <c r="AX88" i="42"/>
  <c r="AY88" i="42"/>
  <c r="BB88" i="42"/>
  <c r="BC88" i="42"/>
  <c r="BD88" i="42"/>
  <c r="BE88" i="42"/>
  <c r="BF88" i="42"/>
  <c r="BG88" i="42"/>
  <c r="BH88" i="42"/>
  <c r="BI88" i="42"/>
  <c r="BJ88" i="42"/>
  <c r="BK88" i="42"/>
  <c r="BL88" i="42"/>
  <c r="BM88" i="42"/>
  <c r="BN88" i="42"/>
  <c r="BO88" i="42"/>
  <c r="D89" i="42"/>
  <c r="F89" i="42"/>
  <c r="G89" i="42"/>
  <c r="H89" i="42"/>
  <c r="I89" i="42"/>
  <c r="K89" i="42"/>
  <c r="L89" i="42"/>
  <c r="N89" i="42"/>
  <c r="O89" i="42"/>
  <c r="P89" i="42"/>
  <c r="Q89" i="42"/>
  <c r="S89" i="42"/>
  <c r="T89" i="42"/>
  <c r="V89" i="42"/>
  <c r="X89" i="42"/>
  <c r="Y89" i="42"/>
  <c r="Z89" i="42"/>
  <c r="AA89" i="42"/>
  <c r="AB89" i="42"/>
  <c r="AC89" i="42"/>
  <c r="AF89" i="42"/>
  <c r="AG89" i="42"/>
  <c r="AH89" i="42"/>
  <c r="AI89" i="42"/>
  <c r="AJ89" i="42"/>
  <c r="AL89" i="42"/>
  <c r="AM89" i="42"/>
  <c r="AN89" i="42"/>
  <c r="AO89" i="42"/>
  <c r="AP89" i="42"/>
  <c r="AQ89" i="42"/>
  <c r="AR89" i="42"/>
  <c r="AS89" i="42"/>
  <c r="AT89" i="42"/>
  <c r="AU89" i="42"/>
  <c r="AV89" i="42"/>
  <c r="AW89" i="42"/>
  <c r="AX89" i="42"/>
  <c r="AY89" i="42"/>
  <c r="BB89" i="42"/>
  <c r="BC89" i="42"/>
  <c r="BD89" i="42"/>
  <c r="BE89" i="42"/>
  <c r="BF89" i="42"/>
  <c r="BG89" i="42"/>
  <c r="BH89" i="42"/>
  <c r="BI89" i="42"/>
  <c r="BJ89" i="42"/>
  <c r="BK89" i="42"/>
  <c r="BL89" i="42"/>
  <c r="BM89" i="42"/>
  <c r="BN89" i="42"/>
  <c r="BO89" i="42"/>
  <c r="D90" i="42"/>
  <c r="F90" i="42"/>
  <c r="G90" i="42"/>
  <c r="H90" i="42"/>
  <c r="I90" i="42"/>
  <c r="K90" i="42"/>
  <c r="L90" i="42"/>
  <c r="N90" i="42"/>
  <c r="O90" i="42"/>
  <c r="P90" i="42"/>
  <c r="Q90" i="42"/>
  <c r="S90" i="42"/>
  <c r="T90" i="42"/>
  <c r="V90" i="42"/>
  <c r="X90" i="42"/>
  <c r="Y90" i="42"/>
  <c r="Z90" i="42"/>
  <c r="AA90" i="42"/>
  <c r="AB90" i="42"/>
  <c r="AC90" i="42"/>
  <c r="AF90" i="42"/>
  <c r="AG90" i="42"/>
  <c r="AH90" i="42"/>
  <c r="AI90" i="42"/>
  <c r="AJ90" i="42"/>
  <c r="AL90" i="42"/>
  <c r="AM90" i="42"/>
  <c r="AN90" i="42"/>
  <c r="AO90" i="42"/>
  <c r="AP90" i="42"/>
  <c r="AQ90" i="42"/>
  <c r="AR90" i="42"/>
  <c r="AS90" i="42"/>
  <c r="AT90" i="42"/>
  <c r="AU90" i="42"/>
  <c r="AV90" i="42"/>
  <c r="AW90" i="42"/>
  <c r="AX90" i="42"/>
  <c r="AY90" i="42"/>
  <c r="BB90" i="42"/>
  <c r="BC90" i="42"/>
  <c r="BD90" i="42"/>
  <c r="BE90" i="42"/>
  <c r="BF90" i="42"/>
  <c r="BG90" i="42"/>
  <c r="BH90" i="42"/>
  <c r="BI90" i="42"/>
  <c r="BJ90" i="42"/>
  <c r="BK90" i="42"/>
  <c r="BL90" i="42"/>
  <c r="BM90" i="42"/>
  <c r="BN90" i="42"/>
  <c r="BO90" i="42"/>
  <c r="D91" i="42"/>
  <c r="F91" i="42"/>
  <c r="G91" i="42"/>
  <c r="H91" i="42"/>
  <c r="I91" i="42"/>
  <c r="K91" i="42"/>
  <c r="L91" i="42"/>
  <c r="N91" i="42"/>
  <c r="O91" i="42"/>
  <c r="P91" i="42"/>
  <c r="Q91" i="42"/>
  <c r="S91" i="42"/>
  <c r="T91" i="42"/>
  <c r="V91" i="42"/>
  <c r="X91" i="42"/>
  <c r="Y91" i="42"/>
  <c r="Z91" i="42"/>
  <c r="AA91" i="42"/>
  <c r="AB91" i="42"/>
  <c r="AC91" i="42"/>
  <c r="AF91" i="42"/>
  <c r="AG91" i="42"/>
  <c r="AH91" i="42"/>
  <c r="AI91" i="42"/>
  <c r="AJ91" i="42"/>
  <c r="AL91" i="42"/>
  <c r="AM91" i="42"/>
  <c r="AN91" i="42"/>
  <c r="AO91" i="42"/>
  <c r="AP91" i="42"/>
  <c r="AQ91" i="42"/>
  <c r="AR91" i="42"/>
  <c r="AS91" i="42"/>
  <c r="AT91" i="42"/>
  <c r="AU91" i="42"/>
  <c r="AV91" i="42"/>
  <c r="AW91" i="42"/>
  <c r="AX91" i="42"/>
  <c r="AY91" i="42"/>
  <c r="BB91" i="42"/>
  <c r="BC91" i="42"/>
  <c r="BD91" i="42"/>
  <c r="BE91" i="42"/>
  <c r="BF91" i="42"/>
  <c r="BG91" i="42"/>
  <c r="BH91" i="42"/>
  <c r="BI91" i="42"/>
  <c r="BJ91" i="42"/>
  <c r="BK91" i="42"/>
  <c r="BL91" i="42"/>
  <c r="BM91" i="42"/>
  <c r="BN91" i="42"/>
  <c r="BO91" i="42"/>
  <c r="D92" i="42"/>
  <c r="F92" i="42"/>
  <c r="G92" i="42"/>
  <c r="H92" i="42"/>
  <c r="I92" i="42"/>
  <c r="K92" i="42"/>
  <c r="L92" i="42"/>
  <c r="N92" i="42"/>
  <c r="O92" i="42"/>
  <c r="P92" i="42"/>
  <c r="Q92" i="42"/>
  <c r="S92" i="42"/>
  <c r="T92" i="42"/>
  <c r="V92" i="42"/>
  <c r="X92" i="42"/>
  <c r="Y92" i="42"/>
  <c r="Z92" i="42"/>
  <c r="AA92" i="42"/>
  <c r="AB92" i="42"/>
  <c r="AC92" i="42"/>
  <c r="AF92" i="42"/>
  <c r="AG92" i="42"/>
  <c r="AH92" i="42"/>
  <c r="AI92" i="42"/>
  <c r="AJ92" i="42"/>
  <c r="AL92" i="42"/>
  <c r="AM92" i="42"/>
  <c r="AN92" i="42"/>
  <c r="AO92" i="42"/>
  <c r="AP92" i="42"/>
  <c r="AQ92" i="42"/>
  <c r="AR92" i="42"/>
  <c r="AS92" i="42"/>
  <c r="AT92" i="42"/>
  <c r="AU92" i="42"/>
  <c r="AV92" i="42"/>
  <c r="AW92" i="42"/>
  <c r="AX92" i="42"/>
  <c r="AY92" i="42"/>
  <c r="BB92" i="42"/>
  <c r="BC92" i="42"/>
  <c r="BD92" i="42"/>
  <c r="BE92" i="42"/>
  <c r="BF92" i="42"/>
  <c r="BG92" i="42"/>
  <c r="BH92" i="42"/>
  <c r="BI92" i="42"/>
  <c r="BJ92" i="42"/>
  <c r="BK92" i="42"/>
  <c r="BL92" i="42"/>
  <c r="BM92" i="42"/>
  <c r="BN92" i="42"/>
  <c r="BO92" i="42"/>
  <c r="D93" i="42"/>
  <c r="F93" i="42"/>
  <c r="G93" i="42"/>
  <c r="H93" i="42"/>
  <c r="I93" i="42"/>
  <c r="K93" i="42"/>
  <c r="L93" i="42"/>
  <c r="N93" i="42"/>
  <c r="O93" i="42"/>
  <c r="P93" i="42"/>
  <c r="Q93" i="42"/>
  <c r="S93" i="42"/>
  <c r="T93" i="42"/>
  <c r="V93" i="42"/>
  <c r="X93" i="42"/>
  <c r="Y93" i="42"/>
  <c r="Z93" i="42"/>
  <c r="AA93" i="42"/>
  <c r="AB93" i="42"/>
  <c r="AC93" i="42"/>
  <c r="AF93" i="42"/>
  <c r="AG93" i="42"/>
  <c r="AH93" i="42"/>
  <c r="AI93" i="42"/>
  <c r="AJ93" i="42"/>
  <c r="AL93" i="42"/>
  <c r="AM93" i="42"/>
  <c r="AN93" i="42"/>
  <c r="AO93" i="42"/>
  <c r="AP93" i="42"/>
  <c r="AQ93" i="42"/>
  <c r="AR93" i="42"/>
  <c r="AS93" i="42"/>
  <c r="AT93" i="42"/>
  <c r="AU93" i="42"/>
  <c r="AV93" i="42"/>
  <c r="AW93" i="42"/>
  <c r="AX93" i="42"/>
  <c r="AY93" i="42"/>
  <c r="BB93" i="42"/>
  <c r="BC93" i="42"/>
  <c r="BD93" i="42"/>
  <c r="BE93" i="42"/>
  <c r="BF93" i="42"/>
  <c r="BG93" i="42"/>
  <c r="BH93" i="42"/>
  <c r="BI93" i="42"/>
  <c r="BJ93" i="42"/>
  <c r="BK93" i="42"/>
  <c r="BL93" i="42"/>
  <c r="BM93" i="42"/>
  <c r="BN93" i="42"/>
  <c r="BO93" i="42"/>
  <c r="D94" i="42"/>
  <c r="F94" i="42"/>
  <c r="G94" i="42"/>
  <c r="H94" i="42"/>
  <c r="I94" i="42"/>
  <c r="K94" i="42"/>
  <c r="L94" i="42"/>
  <c r="N94" i="42"/>
  <c r="O94" i="42"/>
  <c r="P94" i="42"/>
  <c r="Q94" i="42"/>
  <c r="S94" i="42"/>
  <c r="T94" i="42"/>
  <c r="V94" i="42"/>
  <c r="X94" i="42"/>
  <c r="Y94" i="42"/>
  <c r="Z94" i="42"/>
  <c r="AA94" i="42"/>
  <c r="AB94" i="42"/>
  <c r="AC94" i="42"/>
  <c r="AF94" i="42"/>
  <c r="AG94" i="42"/>
  <c r="AH94" i="42"/>
  <c r="AI94" i="42"/>
  <c r="AJ94" i="42"/>
  <c r="AL94" i="42"/>
  <c r="AM94" i="42"/>
  <c r="AN94" i="42"/>
  <c r="AO94" i="42"/>
  <c r="AP94" i="42"/>
  <c r="AQ94" i="42"/>
  <c r="AR94" i="42"/>
  <c r="AS94" i="42"/>
  <c r="AT94" i="42"/>
  <c r="AU94" i="42"/>
  <c r="AV94" i="42"/>
  <c r="AW94" i="42"/>
  <c r="AX94" i="42"/>
  <c r="AY94" i="42"/>
  <c r="BB94" i="42"/>
  <c r="BC94" i="42"/>
  <c r="BD94" i="42"/>
  <c r="BE94" i="42"/>
  <c r="BF94" i="42"/>
  <c r="BG94" i="42"/>
  <c r="BH94" i="42"/>
  <c r="BI94" i="42"/>
  <c r="BJ94" i="42"/>
  <c r="BK94" i="42"/>
  <c r="BL94" i="42"/>
  <c r="BM94" i="42"/>
  <c r="BN94" i="42"/>
  <c r="BO94" i="42"/>
  <c r="D95" i="42"/>
  <c r="F95" i="42"/>
  <c r="G95" i="42"/>
  <c r="H95" i="42"/>
  <c r="I95" i="42"/>
  <c r="K95" i="42"/>
  <c r="L95" i="42"/>
  <c r="N95" i="42"/>
  <c r="O95" i="42"/>
  <c r="P95" i="42"/>
  <c r="Q95" i="42"/>
  <c r="S95" i="42"/>
  <c r="T95" i="42"/>
  <c r="V95" i="42"/>
  <c r="X95" i="42"/>
  <c r="Y95" i="42"/>
  <c r="Z95" i="42"/>
  <c r="AA95" i="42"/>
  <c r="AB95" i="42"/>
  <c r="AC95" i="42"/>
  <c r="AF95" i="42"/>
  <c r="AG95" i="42"/>
  <c r="AH95" i="42"/>
  <c r="AI95" i="42"/>
  <c r="AJ95" i="42"/>
  <c r="AL95" i="42"/>
  <c r="AM95" i="42"/>
  <c r="AN95" i="42"/>
  <c r="AO95" i="42"/>
  <c r="AP95" i="42"/>
  <c r="AQ95" i="42"/>
  <c r="AR95" i="42"/>
  <c r="AS95" i="42"/>
  <c r="AT95" i="42"/>
  <c r="AU95" i="42"/>
  <c r="AV95" i="42"/>
  <c r="AW95" i="42"/>
  <c r="AX95" i="42"/>
  <c r="AY95" i="42"/>
  <c r="BB95" i="42"/>
  <c r="BC95" i="42"/>
  <c r="BD95" i="42"/>
  <c r="BE95" i="42"/>
  <c r="BF95" i="42"/>
  <c r="BG95" i="42"/>
  <c r="BH95" i="42"/>
  <c r="BI95" i="42"/>
  <c r="BJ95" i="42"/>
  <c r="BK95" i="42"/>
  <c r="BL95" i="42"/>
  <c r="BM95" i="42"/>
  <c r="BN95" i="42"/>
  <c r="BO95" i="42"/>
  <c r="D96" i="42"/>
  <c r="F96" i="42"/>
  <c r="G96" i="42"/>
  <c r="H96" i="42"/>
  <c r="I96" i="42"/>
  <c r="K96" i="42"/>
  <c r="L96" i="42"/>
  <c r="N96" i="42"/>
  <c r="O96" i="42"/>
  <c r="P96" i="42"/>
  <c r="Q96" i="42"/>
  <c r="S96" i="42"/>
  <c r="T96" i="42"/>
  <c r="V96" i="42"/>
  <c r="X96" i="42"/>
  <c r="Y96" i="42"/>
  <c r="Z96" i="42"/>
  <c r="AA96" i="42"/>
  <c r="AB96" i="42"/>
  <c r="AC96" i="42"/>
  <c r="AF96" i="42"/>
  <c r="AG96" i="42"/>
  <c r="AH96" i="42"/>
  <c r="AI96" i="42"/>
  <c r="AJ96" i="42"/>
  <c r="AL96" i="42"/>
  <c r="AM96" i="42"/>
  <c r="AN96" i="42"/>
  <c r="AO96" i="42"/>
  <c r="AP96" i="42"/>
  <c r="AQ96" i="42"/>
  <c r="AR96" i="42"/>
  <c r="AS96" i="42"/>
  <c r="AT96" i="42"/>
  <c r="AU96" i="42"/>
  <c r="AV96" i="42"/>
  <c r="AW96" i="42"/>
  <c r="AX96" i="42"/>
  <c r="AY96" i="42"/>
  <c r="BB96" i="42"/>
  <c r="BC96" i="42"/>
  <c r="BD96" i="42"/>
  <c r="BE96" i="42"/>
  <c r="BF96" i="42"/>
  <c r="BG96" i="42"/>
  <c r="BH96" i="42"/>
  <c r="BI96" i="42"/>
  <c r="BJ96" i="42"/>
  <c r="BK96" i="42"/>
  <c r="BL96" i="42"/>
  <c r="BM96" i="42"/>
  <c r="BN96" i="42"/>
  <c r="BO96" i="42"/>
  <c r="D97" i="42"/>
  <c r="F97" i="42"/>
  <c r="G97" i="42"/>
  <c r="H97" i="42"/>
  <c r="I97" i="42"/>
  <c r="K97" i="42"/>
  <c r="L97" i="42"/>
  <c r="N97" i="42"/>
  <c r="O97" i="42"/>
  <c r="P97" i="42"/>
  <c r="Q97" i="42"/>
  <c r="S97" i="42"/>
  <c r="T97" i="42"/>
  <c r="V97" i="42"/>
  <c r="X97" i="42"/>
  <c r="Y97" i="42"/>
  <c r="Z97" i="42"/>
  <c r="AA97" i="42"/>
  <c r="AB97" i="42"/>
  <c r="AC97" i="42"/>
  <c r="AF97" i="42"/>
  <c r="AG97" i="42"/>
  <c r="AH97" i="42"/>
  <c r="AI97" i="42"/>
  <c r="AJ97" i="42"/>
  <c r="AL97" i="42"/>
  <c r="AM97" i="42"/>
  <c r="AN97" i="42"/>
  <c r="AO97" i="42"/>
  <c r="AP97" i="42"/>
  <c r="AQ97" i="42"/>
  <c r="AR97" i="42"/>
  <c r="AS97" i="42"/>
  <c r="AT97" i="42"/>
  <c r="AU97" i="42"/>
  <c r="AV97" i="42"/>
  <c r="AW97" i="42"/>
  <c r="AX97" i="42"/>
  <c r="AY97" i="42"/>
  <c r="BB97" i="42"/>
  <c r="BC97" i="42"/>
  <c r="BD97" i="42"/>
  <c r="BE97" i="42"/>
  <c r="BF97" i="42"/>
  <c r="BG97" i="42"/>
  <c r="BH97" i="42"/>
  <c r="BI97" i="42"/>
  <c r="BJ97" i="42"/>
  <c r="BK97" i="42"/>
  <c r="BL97" i="42"/>
  <c r="BM97" i="42"/>
  <c r="BN97" i="42"/>
  <c r="BO97" i="42"/>
  <c r="D98" i="42"/>
  <c r="F98" i="42"/>
  <c r="G98" i="42"/>
  <c r="H98" i="42"/>
  <c r="I98" i="42"/>
  <c r="K98" i="42"/>
  <c r="L98" i="42"/>
  <c r="N98" i="42"/>
  <c r="O98" i="42"/>
  <c r="P98" i="42"/>
  <c r="Q98" i="42"/>
  <c r="S98" i="42"/>
  <c r="T98" i="42"/>
  <c r="V98" i="42"/>
  <c r="X98" i="42"/>
  <c r="Y98" i="42"/>
  <c r="Z98" i="42"/>
  <c r="AA98" i="42"/>
  <c r="AB98" i="42"/>
  <c r="AC98" i="42"/>
  <c r="AF98" i="42"/>
  <c r="AG98" i="42"/>
  <c r="AH98" i="42"/>
  <c r="AI98" i="42"/>
  <c r="AJ98" i="42"/>
  <c r="AL98" i="42"/>
  <c r="AM98" i="42"/>
  <c r="AN98" i="42"/>
  <c r="AO98" i="42"/>
  <c r="AP98" i="42"/>
  <c r="AQ98" i="42"/>
  <c r="AR98" i="42"/>
  <c r="AS98" i="42"/>
  <c r="AT98" i="42"/>
  <c r="AU98" i="42"/>
  <c r="AV98" i="42"/>
  <c r="AW98" i="42"/>
  <c r="AX98" i="42"/>
  <c r="AY98" i="42"/>
  <c r="BB98" i="42"/>
  <c r="BC98" i="42"/>
  <c r="BD98" i="42"/>
  <c r="BE98" i="42"/>
  <c r="BF98" i="42"/>
  <c r="BG98" i="42"/>
  <c r="BH98" i="42"/>
  <c r="BI98" i="42"/>
  <c r="BJ98" i="42"/>
  <c r="BK98" i="42"/>
  <c r="BL98" i="42"/>
  <c r="BM98" i="42"/>
  <c r="BN98" i="42"/>
  <c r="BO98" i="42"/>
  <c r="D99" i="42"/>
  <c r="F99" i="42"/>
  <c r="G99" i="42"/>
  <c r="H99" i="42"/>
  <c r="I99" i="42"/>
  <c r="K99" i="42"/>
  <c r="L99" i="42"/>
  <c r="N99" i="42"/>
  <c r="O99" i="42"/>
  <c r="P99" i="42"/>
  <c r="Q99" i="42"/>
  <c r="S99" i="42"/>
  <c r="T99" i="42"/>
  <c r="V99" i="42"/>
  <c r="X99" i="42"/>
  <c r="Y99" i="42"/>
  <c r="Z99" i="42"/>
  <c r="AA99" i="42"/>
  <c r="AB99" i="42"/>
  <c r="AC99" i="42"/>
  <c r="AF99" i="42"/>
  <c r="AG99" i="42"/>
  <c r="AH99" i="42"/>
  <c r="AI99" i="42"/>
  <c r="AJ99" i="42"/>
  <c r="AL99" i="42"/>
  <c r="AM99" i="42"/>
  <c r="AN99" i="42"/>
  <c r="AO99" i="42"/>
  <c r="AP99" i="42"/>
  <c r="AQ99" i="42"/>
  <c r="AR99" i="42"/>
  <c r="AS99" i="42"/>
  <c r="AT99" i="42"/>
  <c r="AU99" i="42"/>
  <c r="AV99" i="42"/>
  <c r="AW99" i="42"/>
  <c r="AX99" i="42"/>
  <c r="AY99" i="42"/>
  <c r="BB99" i="42"/>
  <c r="BC99" i="42"/>
  <c r="BD99" i="42"/>
  <c r="BE99" i="42"/>
  <c r="BF99" i="42"/>
  <c r="BG99" i="42"/>
  <c r="BH99" i="42"/>
  <c r="BI99" i="42"/>
  <c r="BJ99" i="42"/>
  <c r="BK99" i="42"/>
  <c r="BL99" i="42"/>
  <c r="BM99" i="42"/>
  <c r="BN99" i="42"/>
  <c r="BO99" i="42"/>
  <c r="D100" i="42"/>
  <c r="F100" i="42"/>
  <c r="G100" i="42"/>
  <c r="H100" i="42"/>
  <c r="I100" i="42"/>
  <c r="K100" i="42"/>
  <c r="L100" i="42"/>
  <c r="N100" i="42"/>
  <c r="O100" i="42"/>
  <c r="P100" i="42"/>
  <c r="Q100" i="42"/>
  <c r="S100" i="42"/>
  <c r="T100" i="42"/>
  <c r="V100" i="42"/>
  <c r="X100" i="42"/>
  <c r="Y100" i="42"/>
  <c r="Z100" i="42"/>
  <c r="AA100" i="42"/>
  <c r="AB100" i="42"/>
  <c r="AC100" i="42"/>
  <c r="AF100" i="42"/>
  <c r="AG100" i="42"/>
  <c r="AH100" i="42"/>
  <c r="AI100" i="42"/>
  <c r="AJ100" i="42"/>
  <c r="AL100" i="42"/>
  <c r="AM100" i="42"/>
  <c r="AN100" i="42"/>
  <c r="AO100" i="42"/>
  <c r="AP100" i="42"/>
  <c r="AQ100" i="42"/>
  <c r="AR100" i="42"/>
  <c r="AS100" i="42"/>
  <c r="AT100" i="42"/>
  <c r="AU100" i="42"/>
  <c r="AV100" i="42"/>
  <c r="AW100" i="42"/>
  <c r="AX100" i="42"/>
  <c r="AY100" i="42"/>
  <c r="BB100" i="42"/>
  <c r="BC100" i="42"/>
  <c r="BD100" i="42"/>
  <c r="BE100" i="42"/>
  <c r="BF100" i="42"/>
  <c r="BG100" i="42"/>
  <c r="BH100" i="42"/>
  <c r="BI100" i="42"/>
  <c r="BJ100" i="42"/>
  <c r="BK100" i="42"/>
  <c r="BL100" i="42"/>
  <c r="BM100" i="42"/>
  <c r="BN100" i="42"/>
  <c r="BO100" i="42"/>
  <c r="D101" i="42"/>
  <c r="F101" i="42"/>
  <c r="G101" i="42"/>
  <c r="H101" i="42"/>
  <c r="I101" i="42"/>
  <c r="K101" i="42"/>
  <c r="L101" i="42"/>
  <c r="N101" i="42"/>
  <c r="O101" i="42"/>
  <c r="P101" i="42"/>
  <c r="Q101" i="42"/>
  <c r="S101" i="42"/>
  <c r="T101" i="42"/>
  <c r="V101" i="42"/>
  <c r="X101" i="42"/>
  <c r="Y101" i="42"/>
  <c r="Z101" i="42"/>
  <c r="AA101" i="42"/>
  <c r="AB101" i="42"/>
  <c r="AC101" i="42"/>
  <c r="AF101" i="42"/>
  <c r="AG101" i="42"/>
  <c r="AH101" i="42"/>
  <c r="AI101" i="42"/>
  <c r="AJ101" i="42"/>
  <c r="AL101" i="42"/>
  <c r="AM101" i="42"/>
  <c r="AN101" i="42"/>
  <c r="AO101" i="42"/>
  <c r="AP101" i="42"/>
  <c r="AQ101" i="42"/>
  <c r="AR101" i="42"/>
  <c r="AS101" i="42"/>
  <c r="AT101" i="42"/>
  <c r="AU101" i="42"/>
  <c r="AV101" i="42"/>
  <c r="AW101" i="42"/>
  <c r="AX101" i="42"/>
  <c r="AY101" i="42"/>
  <c r="BB101" i="42"/>
  <c r="BC101" i="42"/>
  <c r="BD101" i="42"/>
  <c r="BE101" i="42"/>
  <c r="BF101" i="42"/>
  <c r="BG101" i="42"/>
  <c r="BH101" i="42"/>
  <c r="BI101" i="42"/>
  <c r="BJ101" i="42"/>
  <c r="BK101" i="42"/>
  <c r="BL101" i="42"/>
  <c r="BM101" i="42"/>
  <c r="BN101" i="42"/>
  <c r="BO101" i="42"/>
  <c r="D102" i="42"/>
  <c r="F102" i="42"/>
  <c r="G102" i="42"/>
  <c r="H102" i="42"/>
  <c r="I102" i="42"/>
  <c r="K102" i="42"/>
  <c r="L102" i="42"/>
  <c r="N102" i="42"/>
  <c r="O102" i="42"/>
  <c r="P102" i="42"/>
  <c r="Q102" i="42"/>
  <c r="S102" i="42"/>
  <c r="T102" i="42"/>
  <c r="V102" i="42"/>
  <c r="X102" i="42"/>
  <c r="Y102" i="42"/>
  <c r="Z102" i="42"/>
  <c r="AA102" i="42"/>
  <c r="AB102" i="42"/>
  <c r="AC102" i="42"/>
  <c r="AF102" i="42"/>
  <c r="AG102" i="42"/>
  <c r="AH102" i="42"/>
  <c r="AI102" i="42"/>
  <c r="AJ102" i="42"/>
  <c r="AL102" i="42"/>
  <c r="AM102" i="42"/>
  <c r="AN102" i="42"/>
  <c r="AO102" i="42"/>
  <c r="AP102" i="42"/>
  <c r="AQ102" i="42"/>
  <c r="AR102" i="42"/>
  <c r="AS102" i="42"/>
  <c r="AT102" i="42"/>
  <c r="AU102" i="42"/>
  <c r="AV102" i="42"/>
  <c r="AW102" i="42"/>
  <c r="AX102" i="42"/>
  <c r="AY102" i="42"/>
  <c r="BB102" i="42"/>
  <c r="BC102" i="42"/>
  <c r="BD102" i="42"/>
  <c r="BE102" i="42"/>
  <c r="BF102" i="42"/>
  <c r="BG102" i="42"/>
  <c r="BH102" i="42"/>
  <c r="BI102" i="42"/>
  <c r="BJ102" i="42"/>
  <c r="BK102" i="42"/>
  <c r="BL102" i="42"/>
  <c r="BM102" i="42"/>
  <c r="BN102" i="42"/>
  <c r="BO102" i="42"/>
  <c r="D103" i="42"/>
  <c r="F103" i="42"/>
  <c r="G103" i="42"/>
  <c r="H103" i="42"/>
  <c r="I103" i="42"/>
  <c r="K103" i="42"/>
  <c r="L103" i="42"/>
  <c r="N103" i="42"/>
  <c r="O103" i="42"/>
  <c r="P103" i="42"/>
  <c r="Q103" i="42"/>
  <c r="S103" i="42"/>
  <c r="T103" i="42"/>
  <c r="V103" i="42"/>
  <c r="X103" i="42"/>
  <c r="Y103" i="42"/>
  <c r="Z103" i="42"/>
  <c r="AA103" i="42"/>
  <c r="AB103" i="42"/>
  <c r="AC103" i="42"/>
  <c r="AF103" i="42"/>
  <c r="AG103" i="42"/>
  <c r="AH103" i="42"/>
  <c r="AI103" i="42"/>
  <c r="AJ103" i="42"/>
  <c r="AL103" i="42"/>
  <c r="AM103" i="42"/>
  <c r="AN103" i="42"/>
  <c r="AO103" i="42"/>
  <c r="AP103" i="42"/>
  <c r="AQ103" i="42"/>
  <c r="AR103" i="42"/>
  <c r="AS103" i="42"/>
  <c r="AT103" i="42"/>
  <c r="AU103" i="42"/>
  <c r="AV103" i="42"/>
  <c r="AW103" i="42"/>
  <c r="AX103" i="42"/>
  <c r="AY103" i="42"/>
  <c r="BB103" i="42"/>
  <c r="BC103" i="42"/>
  <c r="BD103" i="42"/>
  <c r="BE103" i="42"/>
  <c r="BF103" i="42"/>
  <c r="BG103" i="42"/>
  <c r="BH103" i="42"/>
  <c r="BI103" i="42"/>
  <c r="BJ103" i="42"/>
  <c r="BK103" i="42"/>
  <c r="BL103" i="42"/>
  <c r="BM103" i="42"/>
  <c r="BN103" i="42"/>
  <c r="BO103" i="42"/>
  <c r="D104" i="42"/>
  <c r="F104" i="42"/>
  <c r="G104" i="42"/>
  <c r="H104" i="42"/>
  <c r="I104" i="42"/>
  <c r="K104" i="42"/>
  <c r="L104" i="42"/>
  <c r="N104" i="42"/>
  <c r="O104" i="42"/>
  <c r="P104" i="42"/>
  <c r="Q104" i="42"/>
  <c r="S104" i="42"/>
  <c r="T104" i="42"/>
  <c r="V104" i="42"/>
  <c r="X104" i="42"/>
  <c r="Y104" i="42"/>
  <c r="Z104" i="42"/>
  <c r="AA104" i="42"/>
  <c r="AB104" i="42"/>
  <c r="AC104" i="42"/>
  <c r="AF104" i="42"/>
  <c r="AG104" i="42"/>
  <c r="AH104" i="42"/>
  <c r="AI104" i="42"/>
  <c r="AJ104" i="42"/>
  <c r="AL104" i="42"/>
  <c r="AM104" i="42"/>
  <c r="AN104" i="42"/>
  <c r="AO104" i="42"/>
  <c r="AP104" i="42"/>
  <c r="AQ104" i="42"/>
  <c r="AR104" i="42"/>
  <c r="AS104" i="42"/>
  <c r="AT104" i="42"/>
  <c r="AU104" i="42"/>
  <c r="AV104" i="42"/>
  <c r="AW104" i="42"/>
  <c r="AX104" i="42"/>
  <c r="AY104" i="42"/>
  <c r="BB104" i="42"/>
  <c r="BC104" i="42"/>
  <c r="BD104" i="42"/>
  <c r="BE104" i="42"/>
  <c r="BF104" i="42"/>
  <c r="BG104" i="42"/>
  <c r="BH104" i="42"/>
  <c r="BI104" i="42"/>
  <c r="BJ104" i="42"/>
  <c r="BK104" i="42"/>
  <c r="BL104" i="42"/>
  <c r="BM104" i="42"/>
  <c r="BN104" i="42"/>
  <c r="BO104" i="42"/>
  <c r="D105" i="42"/>
  <c r="F105" i="42"/>
  <c r="G105" i="42"/>
  <c r="H105" i="42"/>
  <c r="I105" i="42"/>
  <c r="K105" i="42"/>
  <c r="L105" i="42"/>
  <c r="N105" i="42"/>
  <c r="O105" i="42"/>
  <c r="P105" i="42"/>
  <c r="Q105" i="42"/>
  <c r="S105" i="42"/>
  <c r="T105" i="42"/>
  <c r="V105" i="42"/>
  <c r="X105" i="42"/>
  <c r="Y105" i="42"/>
  <c r="Z105" i="42"/>
  <c r="AA105" i="42"/>
  <c r="AB105" i="42"/>
  <c r="AC105" i="42"/>
  <c r="AF105" i="42"/>
  <c r="AG105" i="42"/>
  <c r="AH105" i="42"/>
  <c r="AI105" i="42"/>
  <c r="AJ105" i="42"/>
  <c r="AL105" i="42"/>
  <c r="AM105" i="42"/>
  <c r="AN105" i="42"/>
  <c r="AO105" i="42"/>
  <c r="AP105" i="42"/>
  <c r="AQ105" i="42"/>
  <c r="AR105" i="42"/>
  <c r="AS105" i="42"/>
  <c r="AT105" i="42"/>
  <c r="AU105" i="42"/>
  <c r="AV105" i="42"/>
  <c r="AW105" i="42"/>
  <c r="AX105" i="42"/>
  <c r="AY105" i="42"/>
  <c r="BB105" i="42"/>
  <c r="BC105" i="42"/>
  <c r="BD105" i="42"/>
  <c r="BE105" i="42"/>
  <c r="BF105" i="42"/>
  <c r="BG105" i="42"/>
  <c r="BH105" i="42"/>
  <c r="BI105" i="42"/>
  <c r="BJ105" i="42"/>
  <c r="BK105" i="42"/>
  <c r="BL105" i="42"/>
  <c r="BM105" i="42"/>
  <c r="BN105" i="42"/>
  <c r="BO105" i="42"/>
  <c r="D106" i="42"/>
  <c r="F106" i="42"/>
  <c r="G106" i="42"/>
  <c r="H106" i="42"/>
  <c r="I106" i="42"/>
  <c r="K106" i="42"/>
  <c r="L106" i="42"/>
  <c r="N106" i="42"/>
  <c r="O106" i="42"/>
  <c r="P106" i="42"/>
  <c r="Q106" i="42"/>
  <c r="S106" i="42"/>
  <c r="T106" i="42"/>
  <c r="V106" i="42"/>
  <c r="X106" i="42"/>
  <c r="Y106" i="42"/>
  <c r="Z106" i="42"/>
  <c r="AA106" i="42"/>
  <c r="AB106" i="42"/>
  <c r="AC106" i="42"/>
  <c r="AF106" i="42"/>
  <c r="AG106" i="42"/>
  <c r="AH106" i="42"/>
  <c r="AI106" i="42"/>
  <c r="AJ106" i="42"/>
  <c r="AL106" i="42"/>
  <c r="AM106" i="42"/>
  <c r="AN106" i="42"/>
  <c r="AO106" i="42"/>
  <c r="AP106" i="42"/>
  <c r="AQ106" i="42"/>
  <c r="AR106" i="42"/>
  <c r="AS106" i="42"/>
  <c r="AT106" i="42"/>
  <c r="AU106" i="42"/>
  <c r="AV106" i="42"/>
  <c r="AW106" i="42"/>
  <c r="AX106" i="42"/>
  <c r="AY106" i="42"/>
  <c r="BB106" i="42"/>
  <c r="BC106" i="42"/>
  <c r="BD106" i="42"/>
  <c r="BE106" i="42"/>
  <c r="BF106" i="42"/>
  <c r="BG106" i="42"/>
  <c r="BH106" i="42"/>
  <c r="BI106" i="42"/>
  <c r="BJ106" i="42"/>
  <c r="BK106" i="42"/>
  <c r="BL106" i="42"/>
  <c r="BM106" i="42"/>
  <c r="BN106" i="42"/>
  <c r="BO106" i="42"/>
  <c r="D107" i="42"/>
  <c r="F107" i="42"/>
  <c r="G107" i="42"/>
  <c r="H107" i="42"/>
  <c r="I107" i="42"/>
  <c r="K107" i="42"/>
  <c r="L107" i="42"/>
  <c r="N107" i="42"/>
  <c r="O107" i="42"/>
  <c r="P107" i="42"/>
  <c r="Q107" i="42"/>
  <c r="S107" i="42"/>
  <c r="T107" i="42"/>
  <c r="V107" i="42"/>
  <c r="X107" i="42"/>
  <c r="Y107" i="42"/>
  <c r="Z107" i="42"/>
  <c r="AA107" i="42"/>
  <c r="AB107" i="42"/>
  <c r="AC107" i="42"/>
  <c r="AF107" i="42"/>
  <c r="AG107" i="42"/>
  <c r="AH107" i="42"/>
  <c r="AI107" i="42"/>
  <c r="AJ107" i="42"/>
  <c r="AL107" i="42"/>
  <c r="AM107" i="42"/>
  <c r="AN107" i="42"/>
  <c r="AO107" i="42"/>
  <c r="AP107" i="42"/>
  <c r="AQ107" i="42"/>
  <c r="AR107" i="42"/>
  <c r="AS107" i="42"/>
  <c r="AT107" i="42"/>
  <c r="AU107" i="42"/>
  <c r="AV107" i="42"/>
  <c r="AW107" i="42"/>
  <c r="AX107" i="42"/>
  <c r="AY107" i="42"/>
  <c r="BB107" i="42"/>
  <c r="BC107" i="42"/>
  <c r="BD107" i="42"/>
  <c r="BE107" i="42"/>
  <c r="BF107" i="42"/>
  <c r="BG107" i="42"/>
  <c r="BH107" i="42"/>
  <c r="BI107" i="42"/>
  <c r="BJ107" i="42"/>
  <c r="BK107" i="42"/>
  <c r="BL107" i="42"/>
  <c r="BM107" i="42"/>
  <c r="BN107" i="42"/>
  <c r="BO107" i="42"/>
  <c r="D108" i="42"/>
  <c r="F108" i="42"/>
  <c r="G108" i="42"/>
  <c r="H108" i="42"/>
  <c r="I108" i="42"/>
  <c r="K108" i="42"/>
  <c r="L108" i="42"/>
  <c r="N108" i="42"/>
  <c r="O108" i="42"/>
  <c r="P108" i="42"/>
  <c r="Q108" i="42"/>
  <c r="S108" i="42"/>
  <c r="T108" i="42"/>
  <c r="V108" i="42"/>
  <c r="X108" i="42"/>
  <c r="Y108" i="42"/>
  <c r="Z108" i="42"/>
  <c r="AA108" i="42"/>
  <c r="AB108" i="42"/>
  <c r="AC108" i="42"/>
  <c r="AF108" i="42"/>
  <c r="AG108" i="42"/>
  <c r="AH108" i="42"/>
  <c r="AI108" i="42"/>
  <c r="AJ108" i="42"/>
  <c r="AL108" i="42"/>
  <c r="AM108" i="42"/>
  <c r="AN108" i="42"/>
  <c r="AO108" i="42"/>
  <c r="AP108" i="42"/>
  <c r="AQ108" i="42"/>
  <c r="AR108" i="42"/>
  <c r="AS108" i="42"/>
  <c r="AT108" i="42"/>
  <c r="AU108" i="42"/>
  <c r="AV108" i="42"/>
  <c r="AW108" i="42"/>
  <c r="AX108" i="42"/>
  <c r="AY108" i="42"/>
  <c r="BB108" i="42"/>
  <c r="BC108" i="42"/>
  <c r="BD108" i="42"/>
  <c r="BE108" i="42"/>
  <c r="BF108" i="42"/>
  <c r="BG108" i="42"/>
  <c r="BH108" i="42"/>
  <c r="BI108" i="42"/>
  <c r="BJ108" i="42"/>
  <c r="BK108" i="42"/>
  <c r="BL108" i="42"/>
  <c r="BM108" i="42"/>
  <c r="BN108" i="42"/>
  <c r="BO108" i="42"/>
  <c r="D109" i="42"/>
  <c r="F109" i="42"/>
  <c r="G109" i="42"/>
  <c r="H109" i="42"/>
  <c r="I109" i="42"/>
  <c r="K109" i="42"/>
  <c r="L109" i="42"/>
  <c r="N109" i="42"/>
  <c r="O109" i="42"/>
  <c r="P109" i="42"/>
  <c r="Q109" i="42"/>
  <c r="S109" i="42"/>
  <c r="T109" i="42"/>
  <c r="V109" i="42"/>
  <c r="X109" i="42"/>
  <c r="Y109" i="42"/>
  <c r="Z109" i="42"/>
  <c r="AA109" i="42"/>
  <c r="AB109" i="42"/>
  <c r="AC109" i="42"/>
  <c r="AF109" i="42"/>
  <c r="AG109" i="42"/>
  <c r="AH109" i="42"/>
  <c r="AI109" i="42"/>
  <c r="AJ109" i="42"/>
  <c r="AL109" i="42"/>
  <c r="AM109" i="42"/>
  <c r="AN109" i="42"/>
  <c r="AO109" i="42"/>
  <c r="AP109" i="42"/>
  <c r="AQ109" i="42"/>
  <c r="AR109" i="42"/>
  <c r="AS109" i="42"/>
  <c r="AT109" i="42"/>
  <c r="AU109" i="42"/>
  <c r="AV109" i="42"/>
  <c r="AW109" i="42"/>
  <c r="AX109" i="42"/>
  <c r="AY109" i="42"/>
  <c r="BB109" i="42"/>
  <c r="BC109" i="42"/>
  <c r="BD109" i="42"/>
  <c r="BE109" i="42"/>
  <c r="BF109" i="42"/>
  <c r="BG109" i="42"/>
  <c r="BH109" i="42"/>
  <c r="BI109" i="42"/>
  <c r="BJ109" i="42"/>
  <c r="BK109" i="42"/>
  <c r="BL109" i="42"/>
  <c r="BM109" i="42"/>
  <c r="BN109" i="42"/>
  <c r="BO109" i="42"/>
  <c r="D110" i="42"/>
  <c r="F110" i="42"/>
  <c r="G110" i="42"/>
  <c r="H110" i="42"/>
  <c r="I110" i="42"/>
  <c r="K110" i="42"/>
  <c r="L110" i="42"/>
  <c r="N110" i="42"/>
  <c r="O110" i="42"/>
  <c r="P110" i="42"/>
  <c r="Q110" i="42"/>
  <c r="S110" i="42"/>
  <c r="T110" i="42"/>
  <c r="V110" i="42"/>
  <c r="X110" i="42"/>
  <c r="Y110" i="42"/>
  <c r="Z110" i="42"/>
  <c r="AA110" i="42"/>
  <c r="AB110" i="42"/>
  <c r="AC110" i="42"/>
  <c r="AF110" i="42"/>
  <c r="AG110" i="42"/>
  <c r="AH110" i="42"/>
  <c r="AI110" i="42"/>
  <c r="AJ110" i="42"/>
  <c r="AL110" i="42"/>
  <c r="AM110" i="42"/>
  <c r="AN110" i="42"/>
  <c r="AO110" i="42"/>
  <c r="AP110" i="42"/>
  <c r="AQ110" i="42"/>
  <c r="AR110" i="42"/>
  <c r="AS110" i="42"/>
  <c r="AT110" i="42"/>
  <c r="AU110" i="42"/>
  <c r="AV110" i="42"/>
  <c r="AW110" i="42"/>
  <c r="AX110" i="42"/>
  <c r="AY110" i="42"/>
  <c r="BB110" i="42"/>
  <c r="BC110" i="42"/>
  <c r="BD110" i="42"/>
  <c r="BE110" i="42"/>
  <c r="BF110" i="42"/>
  <c r="BG110" i="42"/>
  <c r="BH110" i="42"/>
  <c r="BI110" i="42"/>
  <c r="BJ110" i="42"/>
  <c r="BK110" i="42"/>
  <c r="BL110" i="42"/>
  <c r="BM110" i="42"/>
  <c r="BN110" i="42"/>
  <c r="BO110" i="42"/>
  <c r="D111" i="42"/>
  <c r="F111" i="42"/>
  <c r="G111" i="42"/>
  <c r="H111" i="42"/>
  <c r="I111" i="42"/>
  <c r="K111" i="42"/>
  <c r="L111" i="42"/>
  <c r="N111" i="42"/>
  <c r="O111" i="42"/>
  <c r="P111" i="42"/>
  <c r="Q111" i="42"/>
  <c r="S111" i="42"/>
  <c r="T111" i="42"/>
  <c r="V111" i="42"/>
  <c r="X111" i="42"/>
  <c r="Y111" i="42"/>
  <c r="Z111" i="42"/>
  <c r="AA111" i="42"/>
  <c r="AB111" i="42"/>
  <c r="AC111" i="42"/>
  <c r="AF111" i="42"/>
  <c r="AG111" i="42"/>
  <c r="AH111" i="42"/>
  <c r="AI111" i="42"/>
  <c r="AJ111" i="42"/>
  <c r="AL111" i="42"/>
  <c r="AM111" i="42"/>
  <c r="AN111" i="42"/>
  <c r="AO111" i="42"/>
  <c r="AP111" i="42"/>
  <c r="AQ111" i="42"/>
  <c r="AR111" i="42"/>
  <c r="AS111" i="42"/>
  <c r="AT111" i="42"/>
  <c r="AU111" i="42"/>
  <c r="AV111" i="42"/>
  <c r="AW111" i="42"/>
  <c r="AX111" i="42"/>
  <c r="AY111" i="42"/>
  <c r="BB111" i="42"/>
  <c r="BC111" i="42"/>
  <c r="BD111" i="42"/>
  <c r="BE111" i="42"/>
  <c r="BF111" i="42"/>
  <c r="BG111" i="42"/>
  <c r="BH111" i="42"/>
  <c r="BI111" i="42"/>
  <c r="BJ111" i="42"/>
  <c r="BK111" i="42"/>
  <c r="BL111" i="42"/>
  <c r="BM111" i="42"/>
  <c r="BN111" i="42"/>
  <c r="BO111" i="42"/>
  <c r="D112" i="42"/>
  <c r="F112" i="42"/>
  <c r="G112" i="42"/>
  <c r="H112" i="42"/>
  <c r="I112" i="42"/>
  <c r="K112" i="42"/>
  <c r="L112" i="42"/>
  <c r="N112" i="42"/>
  <c r="O112" i="42"/>
  <c r="P112" i="42"/>
  <c r="Q112" i="42"/>
  <c r="S112" i="42"/>
  <c r="T112" i="42"/>
  <c r="V112" i="42"/>
  <c r="X112" i="42"/>
  <c r="Y112" i="42"/>
  <c r="Z112" i="42"/>
  <c r="AA112" i="42"/>
  <c r="AB112" i="42"/>
  <c r="AC112" i="42"/>
  <c r="AF112" i="42"/>
  <c r="AG112" i="42"/>
  <c r="AH112" i="42"/>
  <c r="AI112" i="42"/>
  <c r="AJ112" i="42"/>
  <c r="AL112" i="42"/>
  <c r="AM112" i="42"/>
  <c r="AN112" i="42"/>
  <c r="AO112" i="42"/>
  <c r="AP112" i="42"/>
  <c r="AQ112" i="42"/>
  <c r="AR112" i="42"/>
  <c r="AS112" i="42"/>
  <c r="AT112" i="42"/>
  <c r="AU112" i="42"/>
  <c r="AV112" i="42"/>
  <c r="AW112" i="42"/>
  <c r="AX112" i="42"/>
  <c r="AY112" i="42"/>
  <c r="BB112" i="42"/>
  <c r="BC112" i="42"/>
  <c r="BD112" i="42"/>
  <c r="BE112" i="42"/>
  <c r="BF112" i="42"/>
  <c r="BG112" i="42"/>
  <c r="BH112" i="42"/>
  <c r="BI112" i="42"/>
  <c r="BJ112" i="42"/>
  <c r="BK112" i="42"/>
  <c r="BL112" i="42"/>
  <c r="BM112" i="42"/>
  <c r="BN112" i="42"/>
  <c r="BO112" i="42"/>
  <c r="D113" i="42"/>
  <c r="F113" i="42"/>
  <c r="G113" i="42"/>
  <c r="H113" i="42"/>
  <c r="I113" i="42"/>
  <c r="K113" i="42"/>
  <c r="L113" i="42"/>
  <c r="N113" i="42"/>
  <c r="O113" i="42"/>
  <c r="P113" i="42"/>
  <c r="Q113" i="42"/>
  <c r="S113" i="42"/>
  <c r="T113" i="42"/>
  <c r="V113" i="42"/>
  <c r="X113" i="42"/>
  <c r="Y113" i="42"/>
  <c r="Z113" i="42"/>
  <c r="AA113" i="42"/>
  <c r="AB113" i="42"/>
  <c r="AC113" i="42"/>
  <c r="AF113" i="42"/>
  <c r="AG113" i="42"/>
  <c r="AH113" i="42"/>
  <c r="AI113" i="42"/>
  <c r="AJ113" i="42"/>
  <c r="AL113" i="42"/>
  <c r="AM113" i="42"/>
  <c r="AN113" i="42"/>
  <c r="AO113" i="42"/>
  <c r="AP113" i="42"/>
  <c r="AQ113" i="42"/>
  <c r="AR113" i="42"/>
  <c r="AS113" i="42"/>
  <c r="AT113" i="42"/>
  <c r="AU113" i="42"/>
  <c r="AV113" i="42"/>
  <c r="AW113" i="42"/>
  <c r="AX113" i="42"/>
  <c r="AY113" i="42"/>
  <c r="BB113" i="42"/>
  <c r="BC113" i="42"/>
  <c r="BD113" i="42"/>
  <c r="BE113" i="42"/>
  <c r="BF113" i="42"/>
  <c r="BG113" i="42"/>
  <c r="BH113" i="42"/>
  <c r="BI113" i="42"/>
  <c r="BJ113" i="42"/>
  <c r="BK113" i="42"/>
  <c r="BL113" i="42"/>
  <c r="BM113" i="42"/>
  <c r="BN113" i="42"/>
  <c r="BO113" i="42"/>
  <c r="D114" i="42"/>
  <c r="F114" i="42"/>
  <c r="G114" i="42"/>
  <c r="H114" i="42"/>
  <c r="I114" i="42"/>
  <c r="K114" i="42"/>
  <c r="L114" i="42"/>
  <c r="N114" i="42"/>
  <c r="O114" i="42"/>
  <c r="P114" i="42"/>
  <c r="Q114" i="42"/>
  <c r="S114" i="42"/>
  <c r="T114" i="42"/>
  <c r="V114" i="42"/>
  <c r="X114" i="42"/>
  <c r="Y114" i="42"/>
  <c r="Z114" i="42"/>
  <c r="AA114" i="42"/>
  <c r="AB114" i="42"/>
  <c r="AC114" i="42"/>
  <c r="AF114" i="42"/>
  <c r="AG114" i="42"/>
  <c r="AH114" i="42"/>
  <c r="AI114" i="42"/>
  <c r="AJ114" i="42"/>
  <c r="AL114" i="42"/>
  <c r="AM114" i="42"/>
  <c r="AN114" i="42"/>
  <c r="AO114" i="42"/>
  <c r="AP114" i="42"/>
  <c r="AQ114" i="42"/>
  <c r="AR114" i="42"/>
  <c r="AS114" i="42"/>
  <c r="AT114" i="42"/>
  <c r="AU114" i="42"/>
  <c r="AV114" i="42"/>
  <c r="AW114" i="42"/>
  <c r="AX114" i="42"/>
  <c r="AY114" i="42"/>
  <c r="BB114" i="42"/>
  <c r="BC114" i="42"/>
  <c r="BD114" i="42"/>
  <c r="BE114" i="42"/>
  <c r="BF114" i="42"/>
  <c r="BG114" i="42"/>
  <c r="BH114" i="42"/>
  <c r="BI114" i="42"/>
  <c r="BJ114" i="42"/>
  <c r="BK114" i="42"/>
  <c r="BL114" i="42"/>
  <c r="BM114" i="42"/>
  <c r="BN114" i="42"/>
  <c r="BO114" i="42"/>
  <c r="D115" i="42"/>
  <c r="F115" i="42"/>
  <c r="G115" i="42"/>
  <c r="H115" i="42"/>
  <c r="I115" i="42"/>
  <c r="K115" i="42"/>
  <c r="L115" i="42"/>
  <c r="N115" i="42"/>
  <c r="O115" i="42"/>
  <c r="P115" i="42"/>
  <c r="Q115" i="42"/>
  <c r="S115" i="42"/>
  <c r="T115" i="42"/>
  <c r="V115" i="42"/>
  <c r="X115" i="42"/>
  <c r="Y115" i="42"/>
  <c r="Z115" i="42"/>
  <c r="AA115" i="42"/>
  <c r="AB115" i="42"/>
  <c r="AC115" i="42"/>
  <c r="AF115" i="42"/>
  <c r="AG115" i="42"/>
  <c r="AH115" i="42"/>
  <c r="AI115" i="42"/>
  <c r="AJ115" i="42"/>
  <c r="AL115" i="42"/>
  <c r="AM115" i="42"/>
  <c r="AN115" i="42"/>
  <c r="AO115" i="42"/>
  <c r="AP115" i="42"/>
  <c r="AQ115" i="42"/>
  <c r="AR115" i="42"/>
  <c r="AS115" i="42"/>
  <c r="AT115" i="42"/>
  <c r="AU115" i="42"/>
  <c r="AV115" i="42"/>
  <c r="AW115" i="42"/>
  <c r="AX115" i="42"/>
  <c r="AY115" i="42"/>
  <c r="BB115" i="42"/>
  <c r="BC115" i="42"/>
  <c r="BD115" i="42"/>
  <c r="BE115" i="42"/>
  <c r="BF115" i="42"/>
  <c r="BG115" i="42"/>
  <c r="BH115" i="42"/>
  <c r="BI115" i="42"/>
  <c r="BJ115" i="42"/>
  <c r="BK115" i="42"/>
  <c r="BL115" i="42"/>
  <c r="BM115" i="42"/>
  <c r="BN115" i="42"/>
  <c r="BO115" i="42"/>
  <c r="D116" i="42"/>
  <c r="F116" i="42"/>
  <c r="G116" i="42"/>
  <c r="H116" i="42"/>
  <c r="I116" i="42"/>
  <c r="K116" i="42"/>
  <c r="L116" i="42"/>
  <c r="N116" i="42"/>
  <c r="O116" i="42"/>
  <c r="P116" i="42"/>
  <c r="Q116" i="42"/>
  <c r="S116" i="42"/>
  <c r="T116" i="42"/>
  <c r="V116" i="42"/>
  <c r="X116" i="42"/>
  <c r="Y116" i="42"/>
  <c r="Z116" i="42"/>
  <c r="AA116" i="42"/>
  <c r="AB116" i="42"/>
  <c r="AC116" i="42"/>
  <c r="AF116" i="42"/>
  <c r="AG116" i="42"/>
  <c r="AH116" i="42"/>
  <c r="AI116" i="42"/>
  <c r="AJ116" i="42"/>
  <c r="AL116" i="42"/>
  <c r="AM116" i="42"/>
  <c r="AN116" i="42"/>
  <c r="AO116" i="42"/>
  <c r="AP116" i="42"/>
  <c r="AQ116" i="42"/>
  <c r="AR116" i="42"/>
  <c r="AS116" i="42"/>
  <c r="AT116" i="42"/>
  <c r="AU116" i="42"/>
  <c r="AV116" i="42"/>
  <c r="AW116" i="42"/>
  <c r="AX116" i="42"/>
  <c r="AY116" i="42"/>
  <c r="BB116" i="42"/>
  <c r="BC116" i="42"/>
  <c r="BD116" i="42"/>
  <c r="BE116" i="42"/>
  <c r="BF116" i="42"/>
  <c r="BG116" i="42"/>
  <c r="BH116" i="42"/>
  <c r="BI116" i="42"/>
  <c r="BJ116" i="42"/>
  <c r="BK116" i="42"/>
  <c r="BL116" i="42"/>
  <c r="BM116" i="42"/>
  <c r="BN116" i="42"/>
  <c r="BO116" i="42"/>
  <c r="D117" i="42"/>
  <c r="F117" i="42"/>
  <c r="G117" i="42"/>
  <c r="H117" i="42"/>
  <c r="I117" i="42"/>
  <c r="K117" i="42"/>
  <c r="L117" i="42"/>
  <c r="N117" i="42"/>
  <c r="O117" i="42"/>
  <c r="P117" i="42"/>
  <c r="Q117" i="42"/>
  <c r="S117" i="42"/>
  <c r="T117" i="42"/>
  <c r="V117" i="42"/>
  <c r="X117" i="42"/>
  <c r="Y117" i="42"/>
  <c r="Z117" i="42"/>
  <c r="AA117" i="42"/>
  <c r="AB117" i="42"/>
  <c r="AC117" i="42"/>
  <c r="AF117" i="42"/>
  <c r="AG117" i="42"/>
  <c r="AH117" i="42"/>
  <c r="AI117" i="42"/>
  <c r="AJ117" i="42"/>
  <c r="AL117" i="42"/>
  <c r="AM117" i="42"/>
  <c r="AN117" i="42"/>
  <c r="AO117" i="42"/>
  <c r="AP117" i="42"/>
  <c r="AQ117" i="42"/>
  <c r="AR117" i="42"/>
  <c r="AS117" i="42"/>
  <c r="AT117" i="42"/>
  <c r="AU117" i="42"/>
  <c r="AV117" i="42"/>
  <c r="AW117" i="42"/>
  <c r="AX117" i="42"/>
  <c r="AY117" i="42"/>
  <c r="BB117" i="42"/>
  <c r="BC117" i="42"/>
  <c r="BD117" i="42"/>
  <c r="BE117" i="42"/>
  <c r="BF117" i="42"/>
  <c r="BG117" i="42"/>
  <c r="BH117" i="42"/>
  <c r="BI117" i="42"/>
  <c r="BJ117" i="42"/>
  <c r="BK117" i="42"/>
  <c r="BL117" i="42"/>
  <c r="BM117" i="42"/>
  <c r="BN117" i="42"/>
  <c r="BO117" i="42"/>
  <c r="D118" i="42"/>
  <c r="F118" i="42"/>
  <c r="G118" i="42"/>
  <c r="H118" i="42"/>
  <c r="I118" i="42"/>
  <c r="K118" i="42"/>
  <c r="L118" i="42"/>
  <c r="N118" i="42"/>
  <c r="O118" i="42"/>
  <c r="P118" i="42"/>
  <c r="Q118" i="42"/>
  <c r="S118" i="42"/>
  <c r="T118" i="42"/>
  <c r="V118" i="42"/>
  <c r="X118" i="42"/>
  <c r="Y118" i="42"/>
  <c r="Z118" i="42"/>
  <c r="AA118" i="42"/>
  <c r="AB118" i="42"/>
  <c r="AC118" i="42"/>
  <c r="AF118" i="42"/>
  <c r="AG118" i="42"/>
  <c r="AH118" i="42"/>
  <c r="AI118" i="42"/>
  <c r="AJ118" i="42"/>
  <c r="AL118" i="42"/>
  <c r="AM118" i="42"/>
  <c r="AN118" i="42"/>
  <c r="AO118" i="42"/>
  <c r="AP118" i="42"/>
  <c r="AQ118" i="42"/>
  <c r="AR118" i="42"/>
  <c r="AS118" i="42"/>
  <c r="AT118" i="42"/>
  <c r="AU118" i="42"/>
  <c r="AV118" i="42"/>
  <c r="AW118" i="42"/>
  <c r="AX118" i="42"/>
  <c r="AY118" i="42"/>
  <c r="BB118" i="42"/>
  <c r="BC118" i="42"/>
  <c r="BD118" i="42"/>
  <c r="BE118" i="42"/>
  <c r="BF118" i="42"/>
  <c r="BG118" i="42"/>
  <c r="BH118" i="42"/>
  <c r="BI118" i="42"/>
  <c r="BJ118" i="42"/>
  <c r="BK118" i="42"/>
  <c r="BL118" i="42"/>
  <c r="BM118" i="42"/>
  <c r="BN118" i="42"/>
  <c r="BO118" i="42"/>
  <c r="D119" i="42"/>
  <c r="F119" i="42"/>
  <c r="G119" i="42"/>
  <c r="H119" i="42"/>
  <c r="I119" i="42"/>
  <c r="K119" i="42"/>
  <c r="L119" i="42"/>
  <c r="N119" i="42"/>
  <c r="O119" i="42"/>
  <c r="P119" i="42"/>
  <c r="Q119" i="42"/>
  <c r="S119" i="42"/>
  <c r="T119" i="42"/>
  <c r="V119" i="42"/>
  <c r="X119" i="42"/>
  <c r="Y119" i="42"/>
  <c r="Z119" i="42"/>
  <c r="AA119" i="42"/>
  <c r="AB119" i="42"/>
  <c r="AC119" i="42"/>
  <c r="AF119" i="42"/>
  <c r="AG119" i="42"/>
  <c r="AH119" i="42"/>
  <c r="AI119" i="42"/>
  <c r="AJ119" i="42"/>
  <c r="AL119" i="42"/>
  <c r="AM119" i="42"/>
  <c r="AN119" i="42"/>
  <c r="AO119" i="42"/>
  <c r="AP119" i="42"/>
  <c r="AQ119" i="42"/>
  <c r="AR119" i="42"/>
  <c r="AS119" i="42"/>
  <c r="AT119" i="42"/>
  <c r="AU119" i="42"/>
  <c r="AV119" i="42"/>
  <c r="AW119" i="42"/>
  <c r="AX119" i="42"/>
  <c r="AY119" i="42"/>
  <c r="BB119" i="42"/>
  <c r="BC119" i="42"/>
  <c r="BD119" i="42"/>
  <c r="BE119" i="42"/>
  <c r="BF119" i="42"/>
  <c r="BG119" i="42"/>
  <c r="BH119" i="42"/>
  <c r="BI119" i="42"/>
  <c r="BJ119" i="42"/>
  <c r="BK119" i="42"/>
  <c r="BL119" i="42"/>
  <c r="BM119" i="42"/>
  <c r="BN119" i="42"/>
  <c r="BO119" i="42"/>
  <c r="D120" i="42"/>
  <c r="F120" i="42"/>
  <c r="G120" i="42"/>
  <c r="H120" i="42"/>
  <c r="I120" i="42"/>
  <c r="K120" i="42"/>
  <c r="L120" i="42"/>
  <c r="N120" i="42"/>
  <c r="O120" i="42"/>
  <c r="P120" i="42"/>
  <c r="Q120" i="42"/>
  <c r="S120" i="42"/>
  <c r="T120" i="42"/>
  <c r="V120" i="42"/>
  <c r="X120" i="42"/>
  <c r="Y120" i="42"/>
  <c r="Z120" i="42"/>
  <c r="AA120" i="42"/>
  <c r="AB120" i="42"/>
  <c r="AC120" i="42"/>
  <c r="AF120" i="42"/>
  <c r="AG120" i="42"/>
  <c r="AH120" i="42"/>
  <c r="AI120" i="42"/>
  <c r="AJ120" i="42"/>
  <c r="AL120" i="42"/>
  <c r="AM120" i="42"/>
  <c r="AN120" i="42"/>
  <c r="AO120" i="42"/>
  <c r="AP120" i="42"/>
  <c r="AQ120" i="42"/>
  <c r="AR120" i="42"/>
  <c r="AS120" i="42"/>
  <c r="AT120" i="42"/>
  <c r="AU120" i="42"/>
  <c r="AV120" i="42"/>
  <c r="AW120" i="42"/>
  <c r="AX120" i="42"/>
  <c r="AY120" i="42"/>
  <c r="BB120" i="42"/>
  <c r="BC120" i="42"/>
  <c r="BD120" i="42"/>
  <c r="BE120" i="42"/>
  <c r="BF120" i="42"/>
  <c r="BG120" i="42"/>
  <c r="BH120" i="42"/>
  <c r="BI120" i="42"/>
  <c r="BJ120" i="42"/>
  <c r="BK120" i="42"/>
  <c r="BL120" i="42"/>
  <c r="BM120" i="42"/>
  <c r="BN120" i="42"/>
  <c r="BO120" i="42"/>
  <c r="D121" i="42"/>
  <c r="F121" i="42"/>
  <c r="G121" i="42"/>
  <c r="H121" i="42"/>
  <c r="I121" i="42"/>
  <c r="K121" i="42"/>
  <c r="L121" i="42"/>
  <c r="N121" i="42"/>
  <c r="O121" i="42"/>
  <c r="P121" i="42"/>
  <c r="Q121" i="42"/>
  <c r="S121" i="42"/>
  <c r="T121" i="42"/>
  <c r="V121" i="42"/>
  <c r="X121" i="42"/>
  <c r="Y121" i="42"/>
  <c r="Z121" i="42"/>
  <c r="AA121" i="42"/>
  <c r="AB121" i="42"/>
  <c r="AC121" i="42"/>
  <c r="AF121" i="42"/>
  <c r="AG121" i="42"/>
  <c r="AH121" i="42"/>
  <c r="AI121" i="42"/>
  <c r="AJ121" i="42"/>
  <c r="AL121" i="42"/>
  <c r="AM121" i="42"/>
  <c r="AN121" i="42"/>
  <c r="AO121" i="42"/>
  <c r="AP121" i="42"/>
  <c r="AQ121" i="42"/>
  <c r="AR121" i="42"/>
  <c r="AS121" i="42"/>
  <c r="AT121" i="42"/>
  <c r="AU121" i="42"/>
  <c r="AV121" i="42"/>
  <c r="AW121" i="42"/>
  <c r="AX121" i="42"/>
  <c r="AY121" i="42"/>
  <c r="BB121" i="42"/>
  <c r="BC121" i="42"/>
  <c r="BD121" i="42"/>
  <c r="BE121" i="42"/>
  <c r="BF121" i="42"/>
  <c r="BG121" i="42"/>
  <c r="BH121" i="42"/>
  <c r="BI121" i="42"/>
  <c r="BJ121" i="42"/>
  <c r="BK121" i="42"/>
  <c r="BL121" i="42"/>
  <c r="BM121" i="42"/>
  <c r="BN121" i="42"/>
  <c r="BO121" i="42"/>
  <c r="D122" i="42"/>
  <c r="F122" i="42"/>
  <c r="G122" i="42"/>
  <c r="H122" i="42"/>
  <c r="I122" i="42"/>
  <c r="K122" i="42"/>
  <c r="L122" i="42"/>
  <c r="N122" i="42"/>
  <c r="O122" i="42"/>
  <c r="P122" i="42"/>
  <c r="Q122" i="42"/>
  <c r="S122" i="42"/>
  <c r="T122" i="42"/>
  <c r="V122" i="42"/>
  <c r="X122" i="42"/>
  <c r="Y122" i="42"/>
  <c r="Z122" i="42"/>
  <c r="AA122" i="42"/>
  <c r="AB122" i="42"/>
  <c r="AC122" i="42"/>
  <c r="AF122" i="42"/>
  <c r="AG122" i="42"/>
  <c r="AH122" i="42"/>
  <c r="AI122" i="42"/>
  <c r="AJ122" i="42"/>
  <c r="AL122" i="42"/>
  <c r="AM122" i="42"/>
  <c r="AN122" i="42"/>
  <c r="AO122" i="42"/>
  <c r="AP122" i="42"/>
  <c r="AQ122" i="42"/>
  <c r="AR122" i="42"/>
  <c r="AS122" i="42"/>
  <c r="AT122" i="42"/>
  <c r="AU122" i="42"/>
  <c r="AV122" i="42"/>
  <c r="AW122" i="42"/>
  <c r="AX122" i="42"/>
  <c r="AY122" i="42"/>
  <c r="BB122" i="42"/>
  <c r="BC122" i="42"/>
  <c r="BD122" i="42"/>
  <c r="BE122" i="42"/>
  <c r="BF122" i="42"/>
  <c r="BG122" i="42"/>
  <c r="BH122" i="42"/>
  <c r="BI122" i="42"/>
  <c r="BJ122" i="42"/>
  <c r="BK122" i="42"/>
  <c r="BL122" i="42"/>
  <c r="BM122" i="42"/>
  <c r="BN122" i="42"/>
  <c r="BO122" i="42"/>
  <c r="D123" i="42"/>
  <c r="F123" i="42"/>
  <c r="G123" i="42"/>
  <c r="H123" i="42"/>
  <c r="I123" i="42"/>
  <c r="K123" i="42"/>
  <c r="L123" i="42"/>
  <c r="N123" i="42"/>
  <c r="O123" i="42"/>
  <c r="P123" i="42"/>
  <c r="Q123" i="42"/>
  <c r="S123" i="42"/>
  <c r="T123" i="42"/>
  <c r="V123" i="42"/>
  <c r="X123" i="42"/>
  <c r="Y123" i="42"/>
  <c r="Z123" i="42"/>
  <c r="AA123" i="42"/>
  <c r="AB123" i="42"/>
  <c r="AC123" i="42"/>
  <c r="AF123" i="42"/>
  <c r="AG123" i="42"/>
  <c r="AH123" i="42"/>
  <c r="AI123" i="42"/>
  <c r="AJ123" i="42"/>
  <c r="AL123" i="42"/>
  <c r="AM123" i="42"/>
  <c r="AN123" i="42"/>
  <c r="AO123" i="42"/>
  <c r="AP123" i="42"/>
  <c r="AQ123" i="42"/>
  <c r="AR123" i="42"/>
  <c r="AS123" i="42"/>
  <c r="AT123" i="42"/>
  <c r="AU123" i="42"/>
  <c r="AV123" i="42"/>
  <c r="AW123" i="42"/>
  <c r="AX123" i="42"/>
  <c r="AY123" i="42"/>
  <c r="BB123" i="42"/>
  <c r="BC123" i="42"/>
  <c r="BD123" i="42"/>
  <c r="BE123" i="42"/>
  <c r="BF123" i="42"/>
  <c r="BG123" i="42"/>
  <c r="BH123" i="42"/>
  <c r="BI123" i="42"/>
  <c r="BJ123" i="42"/>
  <c r="BK123" i="42"/>
  <c r="BL123" i="42"/>
  <c r="BM123" i="42"/>
  <c r="BN123" i="42"/>
  <c r="BO123" i="42"/>
  <c r="D124" i="42"/>
  <c r="F124" i="42"/>
  <c r="G124" i="42"/>
  <c r="H124" i="42"/>
  <c r="I124" i="42"/>
  <c r="K124" i="42"/>
  <c r="L124" i="42"/>
  <c r="N124" i="42"/>
  <c r="O124" i="42"/>
  <c r="P124" i="42"/>
  <c r="Q124" i="42"/>
  <c r="S124" i="42"/>
  <c r="T124" i="42"/>
  <c r="V124" i="42"/>
  <c r="X124" i="42"/>
  <c r="Y124" i="42"/>
  <c r="Z124" i="42"/>
  <c r="AA124" i="42"/>
  <c r="AB124" i="42"/>
  <c r="AC124" i="42"/>
  <c r="AF124" i="42"/>
  <c r="AG124" i="42"/>
  <c r="AH124" i="42"/>
  <c r="AI124" i="42"/>
  <c r="AJ124" i="42"/>
  <c r="AL124" i="42"/>
  <c r="AM124" i="42"/>
  <c r="AN124" i="42"/>
  <c r="AO124" i="42"/>
  <c r="AP124" i="42"/>
  <c r="AQ124" i="42"/>
  <c r="AR124" i="42"/>
  <c r="AS124" i="42"/>
  <c r="AT124" i="42"/>
  <c r="AU124" i="42"/>
  <c r="AV124" i="42"/>
  <c r="AW124" i="42"/>
  <c r="AX124" i="42"/>
  <c r="AY124" i="42"/>
  <c r="BB124" i="42"/>
  <c r="BC124" i="42"/>
  <c r="BD124" i="42"/>
  <c r="BE124" i="42"/>
  <c r="BF124" i="42"/>
  <c r="BG124" i="42"/>
  <c r="BH124" i="42"/>
  <c r="BI124" i="42"/>
  <c r="BJ124" i="42"/>
  <c r="BK124" i="42"/>
  <c r="BL124" i="42"/>
  <c r="BM124" i="42"/>
  <c r="BN124" i="42"/>
  <c r="BO124" i="42"/>
  <c r="D125" i="42"/>
  <c r="F125" i="42"/>
  <c r="G125" i="42"/>
  <c r="H125" i="42"/>
  <c r="I125" i="42"/>
  <c r="K125" i="42"/>
  <c r="L125" i="42"/>
  <c r="N125" i="42"/>
  <c r="O125" i="42"/>
  <c r="P125" i="42"/>
  <c r="Q125" i="42"/>
  <c r="S125" i="42"/>
  <c r="T125" i="42"/>
  <c r="V125" i="42"/>
  <c r="X125" i="42"/>
  <c r="Y125" i="42"/>
  <c r="Z125" i="42"/>
  <c r="AA125" i="42"/>
  <c r="AB125" i="42"/>
  <c r="AC125" i="42"/>
  <c r="AF125" i="42"/>
  <c r="AG125" i="42"/>
  <c r="AH125" i="42"/>
  <c r="AI125" i="42"/>
  <c r="AJ125" i="42"/>
  <c r="AL125" i="42"/>
  <c r="AM125" i="42"/>
  <c r="AN125" i="42"/>
  <c r="AO125" i="42"/>
  <c r="AP125" i="42"/>
  <c r="AQ125" i="42"/>
  <c r="AR125" i="42"/>
  <c r="AS125" i="42"/>
  <c r="AT125" i="42"/>
  <c r="AU125" i="42"/>
  <c r="AV125" i="42"/>
  <c r="AW125" i="42"/>
  <c r="AX125" i="42"/>
  <c r="AY125" i="42"/>
  <c r="BB125" i="42"/>
  <c r="BC125" i="42"/>
  <c r="BD125" i="42"/>
  <c r="BE125" i="42"/>
  <c r="BF125" i="42"/>
  <c r="BG125" i="42"/>
  <c r="BH125" i="42"/>
  <c r="BI125" i="42"/>
  <c r="BJ125" i="42"/>
  <c r="BK125" i="42"/>
  <c r="BL125" i="42"/>
  <c r="BM125" i="42"/>
  <c r="BN125" i="42"/>
  <c r="BO125" i="42"/>
  <c r="D126" i="42"/>
  <c r="F126" i="42"/>
  <c r="G126" i="42"/>
  <c r="H126" i="42"/>
  <c r="I126" i="42"/>
  <c r="K126" i="42"/>
  <c r="L126" i="42"/>
  <c r="N126" i="42"/>
  <c r="O126" i="42"/>
  <c r="P126" i="42"/>
  <c r="Q126" i="42"/>
  <c r="S126" i="42"/>
  <c r="T126" i="42"/>
  <c r="V126" i="42"/>
  <c r="X126" i="42"/>
  <c r="Y126" i="42"/>
  <c r="Z126" i="42"/>
  <c r="AA126" i="42"/>
  <c r="AB126" i="42"/>
  <c r="AC126" i="42"/>
  <c r="AF126" i="42"/>
  <c r="AG126" i="42"/>
  <c r="AH126" i="42"/>
  <c r="AI126" i="42"/>
  <c r="AJ126" i="42"/>
  <c r="AL126" i="42"/>
  <c r="AM126" i="42"/>
  <c r="AN126" i="42"/>
  <c r="AO126" i="42"/>
  <c r="AP126" i="42"/>
  <c r="AQ126" i="42"/>
  <c r="AR126" i="42"/>
  <c r="AS126" i="42"/>
  <c r="AT126" i="42"/>
  <c r="AU126" i="42"/>
  <c r="AV126" i="42"/>
  <c r="AW126" i="42"/>
  <c r="AX126" i="42"/>
  <c r="AY126" i="42"/>
  <c r="BB126" i="42"/>
  <c r="BC126" i="42"/>
  <c r="BD126" i="42"/>
  <c r="BE126" i="42"/>
  <c r="BF126" i="42"/>
  <c r="BG126" i="42"/>
  <c r="BH126" i="42"/>
  <c r="BI126" i="42"/>
  <c r="BJ126" i="42"/>
  <c r="BK126" i="42"/>
  <c r="BL126" i="42"/>
  <c r="BM126" i="42"/>
  <c r="BN126" i="42"/>
  <c r="BO126" i="42"/>
  <c r="D127" i="42"/>
  <c r="F127" i="42"/>
  <c r="G127" i="42"/>
  <c r="H127" i="42"/>
  <c r="I127" i="42"/>
  <c r="K127" i="42"/>
  <c r="L127" i="42"/>
  <c r="N127" i="42"/>
  <c r="O127" i="42"/>
  <c r="P127" i="42"/>
  <c r="Q127" i="42"/>
  <c r="S127" i="42"/>
  <c r="T127" i="42"/>
  <c r="V127" i="42"/>
  <c r="X127" i="42"/>
  <c r="Y127" i="42"/>
  <c r="Z127" i="42"/>
  <c r="AA127" i="42"/>
  <c r="AB127" i="42"/>
  <c r="AC127" i="42"/>
  <c r="AF127" i="42"/>
  <c r="AG127" i="42"/>
  <c r="AH127" i="42"/>
  <c r="AI127" i="42"/>
  <c r="AJ127" i="42"/>
  <c r="AL127" i="42"/>
  <c r="AM127" i="42"/>
  <c r="AN127" i="42"/>
  <c r="AO127" i="42"/>
  <c r="AP127" i="42"/>
  <c r="AQ127" i="42"/>
  <c r="AR127" i="42"/>
  <c r="AS127" i="42"/>
  <c r="AT127" i="42"/>
  <c r="AU127" i="42"/>
  <c r="AV127" i="42"/>
  <c r="AW127" i="42"/>
  <c r="AX127" i="42"/>
  <c r="AY127" i="42"/>
  <c r="BB127" i="42"/>
  <c r="BC127" i="42"/>
  <c r="BD127" i="42"/>
  <c r="BE127" i="42"/>
  <c r="BF127" i="42"/>
  <c r="BG127" i="42"/>
  <c r="BH127" i="42"/>
  <c r="BI127" i="42"/>
  <c r="BJ127" i="42"/>
  <c r="BK127" i="42"/>
  <c r="BL127" i="42"/>
  <c r="BM127" i="42"/>
  <c r="BN127" i="42"/>
  <c r="BO127" i="42"/>
  <c r="D128" i="42"/>
  <c r="F128" i="42"/>
  <c r="G128" i="42"/>
  <c r="H128" i="42"/>
  <c r="I128" i="42"/>
  <c r="K128" i="42"/>
  <c r="L128" i="42"/>
  <c r="N128" i="42"/>
  <c r="O128" i="42"/>
  <c r="P128" i="42"/>
  <c r="Q128" i="42"/>
  <c r="S128" i="42"/>
  <c r="T128" i="42"/>
  <c r="V128" i="42"/>
  <c r="X128" i="42"/>
  <c r="Y128" i="42"/>
  <c r="Z128" i="42"/>
  <c r="AA128" i="42"/>
  <c r="AB128" i="42"/>
  <c r="AC128" i="42"/>
  <c r="AF128" i="42"/>
  <c r="AG128" i="42"/>
  <c r="AH128" i="42"/>
  <c r="AI128" i="42"/>
  <c r="AJ128" i="42"/>
  <c r="AL128" i="42"/>
  <c r="AM128" i="42"/>
  <c r="AN128" i="42"/>
  <c r="AO128" i="42"/>
  <c r="AP128" i="42"/>
  <c r="AQ128" i="42"/>
  <c r="AR128" i="42"/>
  <c r="AS128" i="42"/>
  <c r="AT128" i="42"/>
  <c r="AU128" i="42"/>
  <c r="AV128" i="42"/>
  <c r="AW128" i="42"/>
  <c r="AX128" i="42"/>
  <c r="AY128" i="42"/>
  <c r="BB128" i="42"/>
  <c r="BC128" i="42"/>
  <c r="BD128" i="42"/>
  <c r="BE128" i="42"/>
  <c r="BF128" i="42"/>
  <c r="BG128" i="42"/>
  <c r="BH128" i="42"/>
  <c r="BI128" i="42"/>
  <c r="BJ128" i="42"/>
  <c r="BK128" i="42"/>
  <c r="BL128" i="42"/>
  <c r="BM128" i="42"/>
  <c r="BN128" i="42"/>
  <c r="BO128" i="42"/>
  <c r="D129" i="42"/>
  <c r="F129" i="42"/>
  <c r="G129" i="42"/>
  <c r="H129" i="42"/>
  <c r="I129" i="42"/>
  <c r="K129" i="42"/>
  <c r="L129" i="42"/>
  <c r="N129" i="42"/>
  <c r="O129" i="42"/>
  <c r="P129" i="42"/>
  <c r="Q129" i="42"/>
  <c r="S129" i="42"/>
  <c r="T129" i="42"/>
  <c r="V129" i="42"/>
  <c r="X129" i="42"/>
  <c r="Y129" i="42"/>
  <c r="Z129" i="42"/>
  <c r="AA129" i="42"/>
  <c r="AB129" i="42"/>
  <c r="AC129" i="42"/>
  <c r="AF129" i="42"/>
  <c r="AG129" i="42"/>
  <c r="AH129" i="42"/>
  <c r="AI129" i="42"/>
  <c r="AJ129" i="42"/>
  <c r="AL129" i="42"/>
  <c r="AM129" i="42"/>
  <c r="AN129" i="42"/>
  <c r="AO129" i="42"/>
  <c r="AP129" i="42"/>
  <c r="AQ129" i="42"/>
  <c r="AR129" i="42"/>
  <c r="AS129" i="42"/>
  <c r="AT129" i="42"/>
  <c r="AU129" i="42"/>
  <c r="AV129" i="42"/>
  <c r="AW129" i="42"/>
  <c r="AX129" i="42"/>
  <c r="AY129" i="42"/>
  <c r="BB129" i="42"/>
  <c r="BC129" i="42"/>
  <c r="BD129" i="42"/>
  <c r="BE129" i="42"/>
  <c r="BF129" i="42"/>
  <c r="BG129" i="42"/>
  <c r="BH129" i="42"/>
  <c r="BI129" i="42"/>
  <c r="BJ129" i="42"/>
  <c r="BK129" i="42"/>
  <c r="BL129" i="42"/>
  <c r="BM129" i="42"/>
  <c r="BN129" i="42"/>
  <c r="BO129" i="42"/>
  <c r="D130" i="42"/>
  <c r="F130" i="42"/>
  <c r="G130" i="42"/>
  <c r="H130" i="42"/>
  <c r="I130" i="42"/>
  <c r="K130" i="42"/>
  <c r="L130" i="42"/>
  <c r="N130" i="42"/>
  <c r="O130" i="42"/>
  <c r="P130" i="42"/>
  <c r="Q130" i="42"/>
  <c r="S130" i="42"/>
  <c r="T130" i="42"/>
  <c r="V130" i="42"/>
  <c r="X130" i="42"/>
  <c r="Y130" i="42"/>
  <c r="Z130" i="42"/>
  <c r="AA130" i="42"/>
  <c r="AB130" i="42"/>
  <c r="AC130" i="42"/>
  <c r="AF130" i="42"/>
  <c r="AG130" i="42"/>
  <c r="AH130" i="42"/>
  <c r="AI130" i="42"/>
  <c r="AJ130" i="42"/>
  <c r="AL130" i="42"/>
  <c r="AM130" i="42"/>
  <c r="AN130" i="42"/>
  <c r="AO130" i="42"/>
  <c r="AP130" i="42"/>
  <c r="AQ130" i="42"/>
  <c r="AR130" i="42"/>
  <c r="AS130" i="42"/>
  <c r="AT130" i="42"/>
  <c r="AU130" i="42"/>
  <c r="AV130" i="42"/>
  <c r="AW130" i="42"/>
  <c r="AX130" i="42"/>
  <c r="AY130" i="42"/>
  <c r="BB130" i="42"/>
  <c r="BC130" i="42"/>
  <c r="BD130" i="42"/>
  <c r="BE130" i="42"/>
  <c r="BF130" i="42"/>
  <c r="BG130" i="42"/>
  <c r="BH130" i="42"/>
  <c r="BI130" i="42"/>
  <c r="BJ130" i="42"/>
  <c r="BK130" i="42"/>
  <c r="BL130" i="42"/>
  <c r="BM130" i="42"/>
  <c r="BN130" i="42"/>
  <c r="BO130" i="42"/>
  <c r="D131" i="42"/>
  <c r="F131" i="42"/>
  <c r="G131" i="42"/>
  <c r="H131" i="42"/>
  <c r="I131" i="42"/>
  <c r="K131" i="42"/>
  <c r="L131" i="42"/>
  <c r="N131" i="42"/>
  <c r="O131" i="42"/>
  <c r="P131" i="42"/>
  <c r="Q131" i="42"/>
  <c r="S131" i="42"/>
  <c r="T131" i="42"/>
  <c r="V131" i="42"/>
  <c r="X131" i="42"/>
  <c r="Y131" i="42"/>
  <c r="Z131" i="42"/>
  <c r="AA131" i="42"/>
  <c r="AB131" i="42"/>
  <c r="AC131" i="42"/>
  <c r="AF131" i="42"/>
  <c r="AG131" i="42"/>
  <c r="AH131" i="42"/>
  <c r="AI131" i="42"/>
  <c r="AJ131" i="42"/>
  <c r="AL131" i="42"/>
  <c r="AM131" i="42"/>
  <c r="AN131" i="42"/>
  <c r="AO131" i="42"/>
  <c r="AP131" i="42"/>
  <c r="AQ131" i="42"/>
  <c r="AR131" i="42"/>
  <c r="AS131" i="42"/>
  <c r="AT131" i="42"/>
  <c r="AU131" i="42"/>
  <c r="AV131" i="42"/>
  <c r="AW131" i="42"/>
  <c r="AX131" i="42"/>
  <c r="AY131" i="42"/>
  <c r="BB131" i="42"/>
  <c r="BC131" i="42"/>
  <c r="BD131" i="42"/>
  <c r="BE131" i="42"/>
  <c r="BF131" i="42"/>
  <c r="BG131" i="42"/>
  <c r="BH131" i="42"/>
  <c r="BI131" i="42"/>
  <c r="BJ131" i="42"/>
  <c r="BK131" i="42"/>
  <c r="BL131" i="42"/>
  <c r="BM131" i="42"/>
  <c r="BN131" i="42"/>
  <c r="BO131" i="42"/>
  <c r="D132" i="42"/>
  <c r="F132" i="42"/>
  <c r="G132" i="42"/>
  <c r="H132" i="42"/>
  <c r="I132" i="42"/>
  <c r="K132" i="42"/>
  <c r="L132" i="42"/>
  <c r="N132" i="42"/>
  <c r="O132" i="42"/>
  <c r="P132" i="42"/>
  <c r="Q132" i="42"/>
  <c r="S132" i="42"/>
  <c r="T132" i="42"/>
  <c r="V132" i="42"/>
  <c r="X132" i="42"/>
  <c r="Y132" i="42"/>
  <c r="Z132" i="42"/>
  <c r="AA132" i="42"/>
  <c r="AB132" i="42"/>
  <c r="AC132" i="42"/>
  <c r="AF132" i="42"/>
  <c r="AG132" i="42"/>
  <c r="AH132" i="42"/>
  <c r="AI132" i="42"/>
  <c r="AJ132" i="42"/>
  <c r="AL132" i="42"/>
  <c r="AM132" i="42"/>
  <c r="AN132" i="42"/>
  <c r="AO132" i="42"/>
  <c r="AP132" i="42"/>
  <c r="AQ132" i="42"/>
  <c r="AR132" i="42"/>
  <c r="AS132" i="42"/>
  <c r="AT132" i="42"/>
  <c r="AU132" i="42"/>
  <c r="AV132" i="42"/>
  <c r="AW132" i="42"/>
  <c r="AX132" i="42"/>
  <c r="AY132" i="42"/>
  <c r="BB132" i="42"/>
  <c r="BC132" i="42"/>
  <c r="BD132" i="42"/>
  <c r="BE132" i="42"/>
  <c r="BF132" i="42"/>
  <c r="BG132" i="42"/>
  <c r="BH132" i="42"/>
  <c r="BI132" i="42"/>
  <c r="BJ132" i="42"/>
  <c r="BK132" i="42"/>
  <c r="BL132" i="42"/>
  <c r="BM132" i="42"/>
  <c r="BN132" i="42"/>
  <c r="BO132" i="42"/>
  <c r="D133" i="42"/>
  <c r="F133" i="42"/>
  <c r="G133" i="42"/>
  <c r="H133" i="42"/>
  <c r="I133" i="42"/>
  <c r="K133" i="42"/>
  <c r="L133" i="42"/>
  <c r="N133" i="42"/>
  <c r="O133" i="42"/>
  <c r="P133" i="42"/>
  <c r="Q133" i="42"/>
  <c r="S133" i="42"/>
  <c r="T133" i="42"/>
  <c r="V133" i="42"/>
  <c r="X133" i="42"/>
  <c r="Y133" i="42"/>
  <c r="Z133" i="42"/>
  <c r="AA133" i="42"/>
  <c r="AB133" i="42"/>
  <c r="AC133" i="42"/>
  <c r="AF133" i="42"/>
  <c r="AG133" i="42"/>
  <c r="AH133" i="42"/>
  <c r="AI133" i="42"/>
  <c r="AJ133" i="42"/>
  <c r="AL133" i="42"/>
  <c r="AM133" i="42"/>
  <c r="AN133" i="42"/>
  <c r="AO133" i="42"/>
  <c r="AP133" i="42"/>
  <c r="AQ133" i="42"/>
  <c r="AR133" i="42"/>
  <c r="AS133" i="42"/>
  <c r="AT133" i="42"/>
  <c r="AU133" i="42"/>
  <c r="AV133" i="42"/>
  <c r="AW133" i="42"/>
  <c r="AX133" i="42"/>
  <c r="AY133" i="42"/>
  <c r="BB133" i="42"/>
  <c r="BC133" i="42"/>
  <c r="BD133" i="42"/>
  <c r="BE133" i="42"/>
  <c r="BF133" i="42"/>
  <c r="BG133" i="42"/>
  <c r="BH133" i="42"/>
  <c r="BI133" i="42"/>
  <c r="BJ133" i="42"/>
  <c r="BK133" i="42"/>
  <c r="BL133" i="42"/>
  <c r="BM133" i="42"/>
  <c r="BN133" i="42"/>
  <c r="BO133" i="42"/>
  <c r="D134" i="42"/>
  <c r="F134" i="42"/>
  <c r="G134" i="42"/>
  <c r="H134" i="42"/>
  <c r="I134" i="42"/>
  <c r="K134" i="42"/>
  <c r="L134" i="42"/>
  <c r="N134" i="42"/>
  <c r="O134" i="42"/>
  <c r="P134" i="42"/>
  <c r="Q134" i="42"/>
  <c r="S134" i="42"/>
  <c r="T134" i="42"/>
  <c r="V134" i="42"/>
  <c r="X134" i="42"/>
  <c r="Y134" i="42"/>
  <c r="Z134" i="42"/>
  <c r="AA134" i="42"/>
  <c r="AB134" i="42"/>
  <c r="AC134" i="42"/>
  <c r="AF134" i="42"/>
  <c r="AG134" i="42"/>
  <c r="AH134" i="42"/>
  <c r="AI134" i="42"/>
  <c r="AJ134" i="42"/>
  <c r="AL134" i="42"/>
  <c r="AM134" i="42"/>
  <c r="AN134" i="42"/>
  <c r="AO134" i="42"/>
  <c r="AP134" i="42"/>
  <c r="AQ134" i="42"/>
  <c r="AR134" i="42"/>
  <c r="AS134" i="42"/>
  <c r="AT134" i="42"/>
  <c r="AU134" i="42"/>
  <c r="AV134" i="42"/>
  <c r="AW134" i="42"/>
  <c r="AX134" i="42"/>
  <c r="AY134" i="42"/>
  <c r="BB134" i="42"/>
  <c r="BC134" i="42"/>
  <c r="BD134" i="42"/>
  <c r="BE134" i="42"/>
  <c r="BF134" i="42"/>
  <c r="BG134" i="42"/>
  <c r="BH134" i="42"/>
  <c r="BI134" i="42"/>
  <c r="BJ134" i="42"/>
  <c r="BK134" i="42"/>
  <c r="BL134" i="42"/>
  <c r="BM134" i="42"/>
  <c r="BN134" i="42"/>
  <c r="BO134" i="42"/>
  <c r="D135" i="42"/>
  <c r="F135" i="42"/>
  <c r="G135" i="42"/>
  <c r="H135" i="42"/>
  <c r="I135" i="42"/>
  <c r="K135" i="42"/>
  <c r="L135" i="42"/>
  <c r="N135" i="42"/>
  <c r="O135" i="42"/>
  <c r="P135" i="42"/>
  <c r="Q135" i="42"/>
  <c r="S135" i="42"/>
  <c r="T135" i="42"/>
  <c r="V135" i="42"/>
  <c r="X135" i="42"/>
  <c r="Y135" i="42"/>
  <c r="Z135" i="42"/>
  <c r="AA135" i="42"/>
  <c r="AB135" i="42"/>
  <c r="AC135" i="42"/>
  <c r="AF135" i="42"/>
  <c r="AG135" i="42"/>
  <c r="AH135" i="42"/>
  <c r="AI135" i="42"/>
  <c r="AJ135" i="42"/>
  <c r="AL135" i="42"/>
  <c r="AM135" i="42"/>
  <c r="AN135" i="42"/>
  <c r="AO135" i="42"/>
  <c r="AP135" i="42"/>
  <c r="AQ135" i="42"/>
  <c r="AR135" i="42"/>
  <c r="AS135" i="42"/>
  <c r="AT135" i="42"/>
  <c r="AU135" i="42"/>
  <c r="AV135" i="42"/>
  <c r="AW135" i="42"/>
  <c r="AX135" i="42"/>
  <c r="AY135" i="42"/>
  <c r="BB135" i="42"/>
  <c r="BC135" i="42"/>
  <c r="BD135" i="42"/>
  <c r="BE135" i="42"/>
  <c r="BF135" i="42"/>
  <c r="BG135" i="42"/>
  <c r="BH135" i="42"/>
  <c r="BI135" i="42"/>
  <c r="BJ135" i="42"/>
  <c r="BK135" i="42"/>
  <c r="BL135" i="42"/>
  <c r="BM135" i="42"/>
  <c r="BN135" i="42"/>
  <c r="BO135" i="42"/>
  <c r="D136" i="42"/>
  <c r="F136" i="42"/>
  <c r="G136" i="42"/>
  <c r="H136" i="42"/>
  <c r="I136" i="42"/>
  <c r="K136" i="42"/>
  <c r="L136" i="42"/>
  <c r="N136" i="42"/>
  <c r="O136" i="42"/>
  <c r="P136" i="42"/>
  <c r="Q136" i="42"/>
  <c r="S136" i="42"/>
  <c r="T136" i="42"/>
  <c r="V136" i="42"/>
  <c r="X136" i="42"/>
  <c r="Y136" i="42"/>
  <c r="Z136" i="42"/>
  <c r="AA136" i="42"/>
  <c r="AB136" i="42"/>
  <c r="AC136" i="42"/>
  <c r="AF136" i="42"/>
  <c r="AG136" i="42"/>
  <c r="AH136" i="42"/>
  <c r="AI136" i="42"/>
  <c r="AJ136" i="42"/>
  <c r="AL136" i="42"/>
  <c r="AM136" i="42"/>
  <c r="AN136" i="42"/>
  <c r="AO136" i="42"/>
  <c r="AP136" i="42"/>
  <c r="AQ136" i="42"/>
  <c r="AR136" i="42"/>
  <c r="AS136" i="42"/>
  <c r="AT136" i="42"/>
  <c r="AU136" i="42"/>
  <c r="AV136" i="42"/>
  <c r="AW136" i="42"/>
  <c r="AX136" i="42"/>
  <c r="AY136" i="42"/>
  <c r="BB136" i="42"/>
  <c r="BC136" i="42"/>
  <c r="BD136" i="42"/>
  <c r="BE136" i="42"/>
  <c r="BF136" i="42"/>
  <c r="BG136" i="42"/>
  <c r="BH136" i="42"/>
  <c r="BI136" i="42"/>
  <c r="BJ136" i="42"/>
  <c r="BK136" i="42"/>
  <c r="BL136" i="42"/>
  <c r="BM136" i="42"/>
  <c r="BN136" i="42"/>
  <c r="BO136" i="42"/>
  <c r="D137" i="42"/>
  <c r="F137" i="42"/>
  <c r="G137" i="42"/>
  <c r="H137" i="42"/>
  <c r="I137" i="42"/>
  <c r="K137" i="42"/>
  <c r="L137" i="42"/>
  <c r="N137" i="42"/>
  <c r="O137" i="42"/>
  <c r="P137" i="42"/>
  <c r="Q137" i="42"/>
  <c r="S137" i="42"/>
  <c r="T137" i="42"/>
  <c r="V137" i="42"/>
  <c r="X137" i="42"/>
  <c r="Y137" i="42"/>
  <c r="Z137" i="42"/>
  <c r="AA137" i="42"/>
  <c r="AB137" i="42"/>
  <c r="AC137" i="42"/>
  <c r="AF137" i="42"/>
  <c r="AG137" i="42"/>
  <c r="AH137" i="42"/>
  <c r="AI137" i="42"/>
  <c r="AJ137" i="42"/>
  <c r="AL137" i="42"/>
  <c r="AM137" i="42"/>
  <c r="AN137" i="42"/>
  <c r="AO137" i="42"/>
  <c r="AP137" i="42"/>
  <c r="AQ137" i="42"/>
  <c r="AR137" i="42"/>
  <c r="AS137" i="42"/>
  <c r="AT137" i="42"/>
  <c r="AU137" i="42"/>
  <c r="AV137" i="42"/>
  <c r="AW137" i="42"/>
  <c r="AX137" i="42"/>
  <c r="AY137" i="42"/>
  <c r="BB137" i="42"/>
  <c r="BC137" i="42"/>
  <c r="BD137" i="42"/>
  <c r="BE137" i="42"/>
  <c r="BF137" i="42"/>
  <c r="BG137" i="42"/>
  <c r="BH137" i="42"/>
  <c r="BI137" i="42"/>
  <c r="BJ137" i="42"/>
  <c r="BK137" i="42"/>
  <c r="BL137" i="42"/>
  <c r="BM137" i="42"/>
  <c r="BN137" i="42"/>
  <c r="BO137" i="42"/>
  <c r="D138" i="42"/>
  <c r="F138" i="42"/>
  <c r="G138" i="42"/>
  <c r="H138" i="42"/>
  <c r="I138" i="42"/>
  <c r="K138" i="42"/>
  <c r="L138" i="42"/>
  <c r="N138" i="42"/>
  <c r="O138" i="42"/>
  <c r="P138" i="42"/>
  <c r="Q138" i="42"/>
  <c r="S138" i="42"/>
  <c r="T138" i="42"/>
  <c r="V138" i="42"/>
  <c r="X138" i="42"/>
  <c r="Y138" i="42"/>
  <c r="Z138" i="42"/>
  <c r="AA138" i="42"/>
  <c r="AB138" i="42"/>
  <c r="AC138" i="42"/>
  <c r="AF138" i="42"/>
  <c r="AG138" i="42"/>
  <c r="AH138" i="42"/>
  <c r="AI138" i="42"/>
  <c r="AJ138" i="42"/>
  <c r="AL138" i="42"/>
  <c r="AM138" i="42"/>
  <c r="AN138" i="42"/>
  <c r="AO138" i="42"/>
  <c r="AP138" i="42"/>
  <c r="AQ138" i="42"/>
  <c r="AR138" i="42"/>
  <c r="AS138" i="42"/>
  <c r="AT138" i="42"/>
  <c r="AU138" i="42"/>
  <c r="AV138" i="42"/>
  <c r="AW138" i="42"/>
  <c r="AX138" i="42"/>
  <c r="AY138" i="42"/>
  <c r="BB138" i="42"/>
  <c r="BC138" i="42"/>
  <c r="BD138" i="42"/>
  <c r="BE138" i="42"/>
  <c r="BF138" i="42"/>
  <c r="BG138" i="42"/>
  <c r="BH138" i="42"/>
  <c r="BI138" i="42"/>
  <c r="BJ138" i="42"/>
  <c r="BK138" i="42"/>
  <c r="BL138" i="42"/>
  <c r="BM138" i="42"/>
  <c r="BN138" i="42"/>
  <c r="BO138" i="42"/>
  <c r="D139" i="42"/>
  <c r="F139" i="42"/>
  <c r="G139" i="42"/>
  <c r="H139" i="42"/>
  <c r="I139" i="42"/>
  <c r="K139" i="42"/>
  <c r="L139" i="42"/>
  <c r="N139" i="42"/>
  <c r="O139" i="42"/>
  <c r="P139" i="42"/>
  <c r="Q139" i="42"/>
  <c r="S139" i="42"/>
  <c r="T139" i="42"/>
  <c r="V139" i="42"/>
  <c r="X139" i="42"/>
  <c r="Y139" i="42"/>
  <c r="Z139" i="42"/>
  <c r="AA139" i="42"/>
  <c r="AB139" i="42"/>
  <c r="AC139" i="42"/>
  <c r="AF139" i="42"/>
  <c r="AG139" i="42"/>
  <c r="AH139" i="42"/>
  <c r="AI139" i="42"/>
  <c r="AJ139" i="42"/>
  <c r="AL139" i="42"/>
  <c r="AM139" i="42"/>
  <c r="AN139" i="42"/>
  <c r="AO139" i="42"/>
  <c r="AP139" i="42"/>
  <c r="AQ139" i="42"/>
  <c r="AR139" i="42"/>
  <c r="AS139" i="42"/>
  <c r="AT139" i="42"/>
  <c r="AU139" i="42"/>
  <c r="AV139" i="42"/>
  <c r="AW139" i="42"/>
  <c r="AX139" i="42"/>
  <c r="AY139" i="42"/>
  <c r="BB139" i="42"/>
  <c r="BC139" i="42"/>
  <c r="BD139" i="42"/>
  <c r="BE139" i="42"/>
  <c r="BF139" i="42"/>
  <c r="BG139" i="42"/>
  <c r="BH139" i="42"/>
  <c r="BI139" i="42"/>
  <c r="BJ139" i="42"/>
  <c r="BK139" i="42"/>
  <c r="BL139" i="42"/>
  <c r="BM139" i="42"/>
  <c r="BN139" i="42"/>
  <c r="BO139" i="42"/>
  <c r="D140" i="42"/>
  <c r="F140" i="42"/>
  <c r="G140" i="42"/>
  <c r="H140" i="42"/>
  <c r="I140" i="42"/>
  <c r="K140" i="42"/>
  <c r="L140" i="42"/>
  <c r="N140" i="42"/>
  <c r="O140" i="42"/>
  <c r="P140" i="42"/>
  <c r="Q140" i="42"/>
  <c r="S140" i="42"/>
  <c r="T140" i="42"/>
  <c r="V140" i="42"/>
  <c r="X140" i="42"/>
  <c r="Y140" i="42"/>
  <c r="Z140" i="42"/>
  <c r="AA140" i="42"/>
  <c r="AB140" i="42"/>
  <c r="AC140" i="42"/>
  <c r="AF140" i="42"/>
  <c r="AG140" i="42"/>
  <c r="AH140" i="42"/>
  <c r="AI140" i="42"/>
  <c r="AJ140" i="42"/>
  <c r="AL140" i="42"/>
  <c r="AM140" i="42"/>
  <c r="AN140" i="42"/>
  <c r="AO140" i="42"/>
  <c r="AP140" i="42"/>
  <c r="AQ140" i="42"/>
  <c r="AR140" i="42"/>
  <c r="AS140" i="42"/>
  <c r="AT140" i="42"/>
  <c r="AU140" i="42"/>
  <c r="AV140" i="42"/>
  <c r="AW140" i="42"/>
  <c r="AX140" i="42"/>
  <c r="AY140" i="42"/>
  <c r="BB140" i="42"/>
  <c r="BC140" i="42"/>
  <c r="BD140" i="42"/>
  <c r="BE140" i="42"/>
  <c r="BF140" i="42"/>
  <c r="BG140" i="42"/>
  <c r="BH140" i="42"/>
  <c r="BI140" i="42"/>
  <c r="BJ140" i="42"/>
  <c r="BK140" i="42"/>
  <c r="BL140" i="42"/>
  <c r="BM140" i="42"/>
  <c r="BN140" i="42"/>
  <c r="BO140" i="42"/>
  <c r="D141" i="42"/>
  <c r="F141" i="42"/>
  <c r="G141" i="42"/>
  <c r="H141" i="42"/>
  <c r="I141" i="42"/>
  <c r="K141" i="42"/>
  <c r="L141" i="42"/>
  <c r="N141" i="42"/>
  <c r="O141" i="42"/>
  <c r="P141" i="42"/>
  <c r="Q141" i="42"/>
  <c r="S141" i="42"/>
  <c r="T141" i="42"/>
  <c r="V141" i="42"/>
  <c r="X141" i="42"/>
  <c r="Y141" i="42"/>
  <c r="Z141" i="42"/>
  <c r="AA141" i="42"/>
  <c r="AB141" i="42"/>
  <c r="AC141" i="42"/>
  <c r="AF141" i="42"/>
  <c r="AG141" i="42"/>
  <c r="AH141" i="42"/>
  <c r="AI141" i="42"/>
  <c r="AJ141" i="42"/>
  <c r="AL141" i="42"/>
  <c r="AM141" i="42"/>
  <c r="AN141" i="42"/>
  <c r="AO141" i="42"/>
  <c r="AP141" i="42"/>
  <c r="AQ141" i="42"/>
  <c r="AR141" i="42"/>
  <c r="AS141" i="42"/>
  <c r="AT141" i="42"/>
  <c r="AU141" i="42"/>
  <c r="AV141" i="42"/>
  <c r="AW141" i="42"/>
  <c r="AX141" i="42"/>
  <c r="AY141" i="42"/>
  <c r="BB141" i="42"/>
  <c r="BC141" i="42"/>
  <c r="BD141" i="42"/>
  <c r="BE141" i="42"/>
  <c r="BF141" i="42"/>
  <c r="BG141" i="42"/>
  <c r="BH141" i="42"/>
  <c r="BI141" i="42"/>
  <c r="BJ141" i="42"/>
  <c r="BK141" i="42"/>
  <c r="BL141" i="42"/>
  <c r="BM141" i="42"/>
  <c r="BN141" i="42"/>
  <c r="BO141" i="42"/>
  <c r="D142" i="42"/>
  <c r="F142" i="42"/>
  <c r="G142" i="42"/>
  <c r="H142" i="42"/>
  <c r="I142" i="42"/>
  <c r="K142" i="42"/>
  <c r="L142" i="42"/>
  <c r="N142" i="42"/>
  <c r="O142" i="42"/>
  <c r="P142" i="42"/>
  <c r="Q142" i="42"/>
  <c r="S142" i="42"/>
  <c r="T142" i="42"/>
  <c r="V142" i="42"/>
  <c r="X142" i="42"/>
  <c r="Y142" i="42"/>
  <c r="Z142" i="42"/>
  <c r="AA142" i="42"/>
  <c r="AB142" i="42"/>
  <c r="AC142" i="42"/>
  <c r="AF142" i="42"/>
  <c r="AG142" i="42"/>
  <c r="AH142" i="42"/>
  <c r="AI142" i="42"/>
  <c r="AJ142" i="42"/>
  <c r="AL142" i="42"/>
  <c r="AM142" i="42"/>
  <c r="AN142" i="42"/>
  <c r="AO142" i="42"/>
  <c r="AP142" i="42"/>
  <c r="AQ142" i="42"/>
  <c r="AR142" i="42"/>
  <c r="AS142" i="42"/>
  <c r="AT142" i="42"/>
  <c r="AU142" i="42"/>
  <c r="AV142" i="42"/>
  <c r="AW142" i="42"/>
  <c r="AX142" i="42"/>
  <c r="AY142" i="42"/>
  <c r="BB142" i="42"/>
  <c r="BC142" i="42"/>
  <c r="BD142" i="42"/>
  <c r="BE142" i="42"/>
  <c r="BF142" i="42"/>
  <c r="BG142" i="42"/>
  <c r="BH142" i="42"/>
  <c r="BI142" i="42"/>
  <c r="BJ142" i="42"/>
  <c r="BK142" i="42"/>
  <c r="BL142" i="42"/>
  <c r="BM142" i="42"/>
  <c r="BN142" i="42"/>
  <c r="BO142" i="42"/>
  <c r="D143" i="42"/>
  <c r="F143" i="42"/>
  <c r="G143" i="42"/>
  <c r="H143" i="42"/>
  <c r="I143" i="42"/>
  <c r="K143" i="42"/>
  <c r="L143" i="42"/>
  <c r="N143" i="42"/>
  <c r="O143" i="42"/>
  <c r="P143" i="42"/>
  <c r="Q143" i="42"/>
  <c r="S143" i="42"/>
  <c r="T143" i="42"/>
  <c r="V143" i="42"/>
  <c r="X143" i="42"/>
  <c r="Y143" i="42"/>
  <c r="Z143" i="42"/>
  <c r="AA143" i="42"/>
  <c r="AB143" i="42"/>
  <c r="AC143" i="42"/>
  <c r="AF143" i="42"/>
  <c r="AG143" i="42"/>
  <c r="AH143" i="42"/>
  <c r="AI143" i="42"/>
  <c r="AJ143" i="42"/>
  <c r="AL143" i="42"/>
  <c r="AM143" i="42"/>
  <c r="AN143" i="42"/>
  <c r="AO143" i="42"/>
  <c r="AP143" i="42"/>
  <c r="AQ143" i="42"/>
  <c r="AR143" i="42"/>
  <c r="AS143" i="42"/>
  <c r="AT143" i="42"/>
  <c r="AU143" i="42"/>
  <c r="AV143" i="42"/>
  <c r="AW143" i="42"/>
  <c r="AX143" i="42"/>
  <c r="AY143" i="42"/>
  <c r="BB143" i="42"/>
  <c r="BC143" i="42"/>
  <c r="BD143" i="42"/>
  <c r="BE143" i="42"/>
  <c r="BF143" i="42"/>
  <c r="BG143" i="42"/>
  <c r="BH143" i="42"/>
  <c r="BI143" i="42"/>
  <c r="BJ143" i="42"/>
  <c r="BK143" i="42"/>
  <c r="BL143" i="42"/>
  <c r="BM143" i="42"/>
  <c r="BN143" i="42"/>
  <c r="BO143" i="42"/>
  <c r="D144" i="42"/>
  <c r="F144" i="42"/>
  <c r="G144" i="42"/>
  <c r="H144" i="42"/>
  <c r="I144" i="42"/>
  <c r="K144" i="42"/>
  <c r="L144" i="42"/>
  <c r="N144" i="42"/>
  <c r="O144" i="42"/>
  <c r="P144" i="42"/>
  <c r="Q144" i="42"/>
  <c r="S144" i="42"/>
  <c r="T144" i="42"/>
  <c r="V144" i="42"/>
  <c r="X144" i="42"/>
  <c r="Y144" i="42"/>
  <c r="Z144" i="42"/>
  <c r="AA144" i="42"/>
  <c r="AB144" i="42"/>
  <c r="AC144" i="42"/>
  <c r="AF144" i="42"/>
  <c r="AG144" i="42"/>
  <c r="AH144" i="42"/>
  <c r="AI144" i="42"/>
  <c r="AJ144" i="42"/>
  <c r="AL144" i="42"/>
  <c r="AM144" i="42"/>
  <c r="AN144" i="42"/>
  <c r="AO144" i="42"/>
  <c r="AP144" i="42"/>
  <c r="AQ144" i="42"/>
  <c r="AR144" i="42"/>
  <c r="AS144" i="42"/>
  <c r="AT144" i="42"/>
  <c r="AU144" i="42"/>
  <c r="AV144" i="42"/>
  <c r="AW144" i="42"/>
  <c r="AX144" i="42"/>
  <c r="AY144" i="42"/>
  <c r="BB144" i="42"/>
  <c r="BC144" i="42"/>
  <c r="BD144" i="42"/>
  <c r="BE144" i="42"/>
  <c r="BF144" i="42"/>
  <c r="BG144" i="42"/>
  <c r="BH144" i="42"/>
  <c r="BI144" i="42"/>
  <c r="BJ144" i="42"/>
  <c r="BK144" i="42"/>
  <c r="BL144" i="42"/>
  <c r="BM144" i="42"/>
  <c r="BN144" i="42"/>
  <c r="BO144" i="42"/>
  <c r="D145" i="42"/>
  <c r="F145" i="42"/>
  <c r="G145" i="42"/>
  <c r="H145" i="42"/>
  <c r="I145" i="42"/>
  <c r="K145" i="42"/>
  <c r="L145" i="42"/>
  <c r="N145" i="42"/>
  <c r="O145" i="42"/>
  <c r="P145" i="42"/>
  <c r="Q145" i="42"/>
  <c r="S145" i="42"/>
  <c r="T145" i="42"/>
  <c r="V145" i="42"/>
  <c r="X145" i="42"/>
  <c r="Y145" i="42"/>
  <c r="Z145" i="42"/>
  <c r="AA145" i="42"/>
  <c r="AB145" i="42"/>
  <c r="AC145" i="42"/>
  <c r="AF145" i="42"/>
  <c r="AG145" i="42"/>
  <c r="AH145" i="42"/>
  <c r="AI145" i="42"/>
  <c r="AJ145" i="42"/>
  <c r="AL145" i="42"/>
  <c r="AM145" i="42"/>
  <c r="AN145" i="42"/>
  <c r="AO145" i="42"/>
  <c r="AP145" i="42"/>
  <c r="AQ145" i="42"/>
  <c r="AR145" i="42"/>
  <c r="AS145" i="42"/>
  <c r="AT145" i="42"/>
  <c r="AU145" i="42"/>
  <c r="AV145" i="42"/>
  <c r="AW145" i="42"/>
  <c r="AX145" i="42"/>
  <c r="AY145" i="42"/>
  <c r="BB145" i="42"/>
  <c r="BC145" i="42"/>
  <c r="BD145" i="42"/>
  <c r="BE145" i="42"/>
  <c r="BF145" i="42"/>
  <c r="BG145" i="42"/>
  <c r="BH145" i="42"/>
  <c r="BI145" i="42"/>
  <c r="BJ145" i="42"/>
  <c r="BK145" i="42"/>
  <c r="BL145" i="42"/>
  <c r="BM145" i="42"/>
  <c r="BN145" i="42"/>
  <c r="BO145" i="42"/>
  <c r="D146" i="42"/>
  <c r="F146" i="42"/>
  <c r="G146" i="42"/>
  <c r="H146" i="42"/>
  <c r="I146" i="42"/>
  <c r="K146" i="42"/>
  <c r="L146" i="42"/>
  <c r="N146" i="42"/>
  <c r="O146" i="42"/>
  <c r="P146" i="42"/>
  <c r="Q146" i="42"/>
  <c r="S146" i="42"/>
  <c r="T146" i="42"/>
  <c r="V146" i="42"/>
  <c r="X146" i="42"/>
  <c r="Y146" i="42"/>
  <c r="Z146" i="42"/>
  <c r="AA146" i="42"/>
  <c r="AB146" i="42"/>
  <c r="AC146" i="42"/>
  <c r="AF146" i="42"/>
  <c r="AG146" i="42"/>
  <c r="AH146" i="42"/>
  <c r="AI146" i="42"/>
  <c r="AJ146" i="42"/>
  <c r="AL146" i="42"/>
  <c r="AM146" i="42"/>
  <c r="AN146" i="42"/>
  <c r="AO146" i="42"/>
  <c r="AP146" i="42"/>
  <c r="AQ146" i="42"/>
  <c r="AR146" i="42"/>
  <c r="AS146" i="42"/>
  <c r="AT146" i="42"/>
  <c r="AU146" i="42"/>
  <c r="AV146" i="42"/>
  <c r="AW146" i="42"/>
  <c r="AX146" i="42"/>
  <c r="AY146" i="42"/>
  <c r="BB146" i="42"/>
  <c r="BC146" i="42"/>
  <c r="BD146" i="42"/>
  <c r="BE146" i="42"/>
  <c r="BF146" i="42"/>
  <c r="BG146" i="42"/>
  <c r="BH146" i="42"/>
  <c r="BI146" i="42"/>
  <c r="BJ146" i="42"/>
  <c r="BK146" i="42"/>
  <c r="BL146" i="42"/>
  <c r="BM146" i="42"/>
  <c r="BN146" i="42"/>
  <c r="BO146" i="42"/>
  <c r="D147" i="42"/>
  <c r="F147" i="42"/>
  <c r="G147" i="42"/>
  <c r="H147" i="42"/>
  <c r="I147" i="42"/>
  <c r="K147" i="42"/>
  <c r="L147" i="42"/>
  <c r="N147" i="42"/>
  <c r="O147" i="42"/>
  <c r="P147" i="42"/>
  <c r="Q147" i="42"/>
  <c r="S147" i="42"/>
  <c r="T147" i="42"/>
  <c r="V147" i="42"/>
  <c r="X147" i="42"/>
  <c r="Y147" i="42"/>
  <c r="Z147" i="42"/>
  <c r="AA147" i="42"/>
  <c r="AB147" i="42"/>
  <c r="AC147" i="42"/>
  <c r="AF147" i="42"/>
  <c r="AG147" i="42"/>
  <c r="AH147" i="42"/>
  <c r="AI147" i="42"/>
  <c r="AJ147" i="42"/>
  <c r="AL147" i="42"/>
  <c r="AM147" i="42"/>
  <c r="AN147" i="42"/>
  <c r="AO147" i="42"/>
  <c r="AP147" i="42"/>
  <c r="AQ147" i="42"/>
  <c r="AR147" i="42"/>
  <c r="AS147" i="42"/>
  <c r="AT147" i="42"/>
  <c r="AU147" i="42"/>
  <c r="AV147" i="42"/>
  <c r="AW147" i="42"/>
  <c r="AX147" i="42"/>
  <c r="AY147" i="42"/>
  <c r="BB147" i="42"/>
  <c r="BC147" i="42"/>
  <c r="BD147" i="42"/>
  <c r="BE147" i="42"/>
  <c r="BF147" i="42"/>
  <c r="BG147" i="42"/>
  <c r="BH147" i="42"/>
  <c r="BI147" i="42"/>
  <c r="BJ147" i="42"/>
  <c r="BK147" i="42"/>
  <c r="BL147" i="42"/>
  <c r="BM147" i="42"/>
  <c r="BN147" i="42"/>
  <c r="BO147" i="42"/>
  <c r="D148" i="42"/>
  <c r="F148" i="42"/>
  <c r="G148" i="42"/>
  <c r="H148" i="42"/>
  <c r="I148" i="42"/>
  <c r="K148" i="42"/>
  <c r="L148" i="42"/>
  <c r="N148" i="42"/>
  <c r="O148" i="42"/>
  <c r="P148" i="42"/>
  <c r="Q148" i="42"/>
  <c r="S148" i="42"/>
  <c r="T148" i="42"/>
  <c r="V148" i="42"/>
  <c r="X148" i="42"/>
  <c r="Y148" i="42"/>
  <c r="Z148" i="42"/>
  <c r="AA148" i="42"/>
  <c r="AB148" i="42"/>
  <c r="AC148" i="42"/>
  <c r="AF148" i="42"/>
  <c r="AG148" i="42"/>
  <c r="AH148" i="42"/>
  <c r="AI148" i="42"/>
  <c r="AJ148" i="42"/>
  <c r="AL148" i="42"/>
  <c r="AM148" i="42"/>
  <c r="AN148" i="42"/>
  <c r="AO148" i="42"/>
  <c r="AP148" i="42"/>
  <c r="AQ148" i="42"/>
  <c r="AR148" i="42"/>
  <c r="AS148" i="42"/>
  <c r="AT148" i="42"/>
  <c r="AU148" i="42"/>
  <c r="AV148" i="42"/>
  <c r="AW148" i="42"/>
  <c r="AX148" i="42"/>
  <c r="AY148" i="42"/>
  <c r="BB148" i="42"/>
  <c r="BC148" i="42"/>
  <c r="BD148" i="42"/>
  <c r="BE148" i="42"/>
  <c r="BF148" i="42"/>
  <c r="BG148" i="42"/>
  <c r="BH148" i="42"/>
  <c r="BI148" i="42"/>
  <c r="BJ148" i="42"/>
  <c r="BK148" i="42"/>
  <c r="BL148" i="42"/>
  <c r="BM148" i="42"/>
  <c r="BN148" i="42"/>
  <c r="BO148" i="42"/>
  <c r="D149" i="42"/>
  <c r="F149" i="42"/>
  <c r="G149" i="42"/>
  <c r="H149" i="42"/>
  <c r="I149" i="42"/>
  <c r="K149" i="42"/>
  <c r="L149" i="42"/>
  <c r="N149" i="42"/>
  <c r="O149" i="42"/>
  <c r="P149" i="42"/>
  <c r="Q149" i="42"/>
  <c r="S149" i="42"/>
  <c r="T149" i="42"/>
  <c r="V149" i="42"/>
  <c r="X149" i="42"/>
  <c r="Y149" i="42"/>
  <c r="Z149" i="42"/>
  <c r="AA149" i="42"/>
  <c r="AB149" i="42"/>
  <c r="AC149" i="42"/>
  <c r="AF149" i="42"/>
  <c r="AG149" i="42"/>
  <c r="AH149" i="42"/>
  <c r="AI149" i="42"/>
  <c r="AJ149" i="42"/>
  <c r="AL149" i="42"/>
  <c r="AM149" i="42"/>
  <c r="AN149" i="42"/>
  <c r="AO149" i="42"/>
  <c r="AP149" i="42"/>
  <c r="AQ149" i="42"/>
  <c r="AR149" i="42"/>
  <c r="AS149" i="42"/>
  <c r="AT149" i="42"/>
  <c r="AU149" i="42"/>
  <c r="AV149" i="42"/>
  <c r="AW149" i="42"/>
  <c r="AX149" i="42"/>
  <c r="AY149" i="42"/>
  <c r="BB149" i="42"/>
  <c r="BC149" i="42"/>
  <c r="BD149" i="42"/>
  <c r="BE149" i="42"/>
  <c r="BF149" i="42"/>
  <c r="BG149" i="42"/>
  <c r="BH149" i="42"/>
  <c r="BI149" i="42"/>
  <c r="BJ149" i="42"/>
  <c r="BK149" i="42"/>
  <c r="BL149" i="42"/>
  <c r="BM149" i="42"/>
  <c r="BN149" i="42"/>
  <c r="BO149" i="42"/>
  <c r="D150" i="42"/>
  <c r="F150" i="42"/>
  <c r="G150" i="42"/>
  <c r="H150" i="42"/>
  <c r="I150" i="42"/>
  <c r="K150" i="42"/>
  <c r="L150" i="42"/>
  <c r="N150" i="42"/>
  <c r="O150" i="42"/>
  <c r="P150" i="42"/>
  <c r="Q150" i="42"/>
  <c r="S150" i="42"/>
  <c r="T150" i="42"/>
  <c r="V150" i="42"/>
  <c r="X150" i="42"/>
  <c r="Y150" i="42"/>
  <c r="Z150" i="42"/>
  <c r="AA150" i="42"/>
  <c r="AB150" i="42"/>
  <c r="AC150" i="42"/>
  <c r="AF150" i="42"/>
  <c r="AG150" i="42"/>
  <c r="AH150" i="42"/>
  <c r="AI150" i="42"/>
  <c r="AJ150" i="42"/>
  <c r="AL150" i="42"/>
  <c r="AM150" i="42"/>
  <c r="AN150" i="42"/>
  <c r="AO150" i="42"/>
  <c r="AP150" i="42"/>
  <c r="AQ150" i="42"/>
  <c r="AR150" i="42"/>
  <c r="AS150" i="42"/>
  <c r="AT150" i="42"/>
  <c r="AU150" i="42"/>
  <c r="AV150" i="42"/>
  <c r="AW150" i="42"/>
  <c r="AX150" i="42"/>
  <c r="AY150" i="42"/>
  <c r="BB150" i="42"/>
  <c r="BC150" i="42"/>
  <c r="BD150" i="42"/>
  <c r="BE150" i="42"/>
  <c r="BF150" i="42"/>
  <c r="BG150" i="42"/>
  <c r="BH150" i="42"/>
  <c r="BI150" i="42"/>
  <c r="BJ150" i="42"/>
  <c r="BK150" i="42"/>
  <c r="BL150" i="42"/>
  <c r="BM150" i="42"/>
  <c r="BN150" i="42"/>
  <c r="BO150" i="42"/>
  <c r="D151" i="42"/>
  <c r="F151" i="42"/>
  <c r="G151" i="42"/>
  <c r="H151" i="42"/>
  <c r="I151" i="42"/>
  <c r="K151" i="42"/>
  <c r="L151" i="42"/>
  <c r="N151" i="42"/>
  <c r="O151" i="42"/>
  <c r="P151" i="42"/>
  <c r="Q151" i="42"/>
  <c r="S151" i="42"/>
  <c r="T151" i="42"/>
  <c r="V151" i="42"/>
  <c r="X151" i="42"/>
  <c r="Y151" i="42"/>
  <c r="Z151" i="42"/>
  <c r="AA151" i="42"/>
  <c r="AB151" i="42"/>
  <c r="AC151" i="42"/>
  <c r="AF151" i="42"/>
  <c r="AG151" i="42"/>
  <c r="AH151" i="42"/>
  <c r="AI151" i="42"/>
  <c r="AJ151" i="42"/>
  <c r="AL151" i="42"/>
  <c r="AM151" i="42"/>
  <c r="AN151" i="42"/>
  <c r="AO151" i="42"/>
  <c r="AP151" i="42"/>
  <c r="AQ151" i="42"/>
  <c r="AR151" i="42"/>
  <c r="AS151" i="42"/>
  <c r="AT151" i="42"/>
  <c r="AU151" i="42"/>
  <c r="AV151" i="42"/>
  <c r="AW151" i="42"/>
  <c r="AX151" i="42"/>
  <c r="AY151" i="42"/>
  <c r="BB151" i="42"/>
  <c r="BC151" i="42"/>
  <c r="BD151" i="42"/>
  <c r="BE151" i="42"/>
  <c r="BF151" i="42"/>
  <c r="BG151" i="42"/>
  <c r="BH151" i="42"/>
  <c r="BI151" i="42"/>
  <c r="BJ151" i="42"/>
  <c r="BK151" i="42"/>
  <c r="BL151" i="42"/>
  <c r="BM151" i="42"/>
  <c r="BN151" i="42"/>
  <c r="BO151" i="42"/>
  <c r="D152" i="42"/>
  <c r="F152" i="42"/>
  <c r="G152" i="42"/>
  <c r="H152" i="42"/>
  <c r="I152" i="42"/>
  <c r="K152" i="42"/>
  <c r="L152" i="42"/>
  <c r="N152" i="42"/>
  <c r="O152" i="42"/>
  <c r="P152" i="42"/>
  <c r="Q152" i="42"/>
  <c r="S152" i="42"/>
  <c r="T152" i="42"/>
  <c r="V152" i="42"/>
  <c r="X152" i="42"/>
  <c r="Y152" i="42"/>
  <c r="Z152" i="42"/>
  <c r="AA152" i="42"/>
  <c r="AB152" i="42"/>
  <c r="AC152" i="42"/>
  <c r="AF152" i="42"/>
  <c r="AG152" i="42"/>
  <c r="AH152" i="42"/>
  <c r="AI152" i="42"/>
  <c r="AJ152" i="42"/>
  <c r="AL152" i="42"/>
  <c r="AM152" i="42"/>
  <c r="AN152" i="42"/>
  <c r="AO152" i="42"/>
  <c r="AP152" i="42"/>
  <c r="AQ152" i="42"/>
  <c r="AR152" i="42"/>
  <c r="AS152" i="42"/>
  <c r="AT152" i="42"/>
  <c r="AU152" i="42"/>
  <c r="AV152" i="42"/>
  <c r="AW152" i="42"/>
  <c r="AX152" i="42"/>
  <c r="AY152" i="42"/>
  <c r="BB152" i="42"/>
  <c r="BC152" i="42"/>
  <c r="BD152" i="42"/>
  <c r="BE152" i="42"/>
  <c r="BF152" i="42"/>
  <c r="BG152" i="42"/>
  <c r="BH152" i="42"/>
  <c r="BI152" i="42"/>
  <c r="BJ152" i="42"/>
  <c r="BK152" i="42"/>
  <c r="BL152" i="42"/>
  <c r="BM152" i="42"/>
  <c r="BN152" i="42"/>
  <c r="BO152" i="42"/>
  <c r="D153" i="42"/>
  <c r="F153" i="42"/>
  <c r="G153" i="42"/>
  <c r="H153" i="42"/>
  <c r="I153" i="42"/>
  <c r="K153" i="42"/>
  <c r="L153" i="42"/>
  <c r="N153" i="42"/>
  <c r="O153" i="42"/>
  <c r="P153" i="42"/>
  <c r="Q153" i="42"/>
  <c r="S153" i="42"/>
  <c r="T153" i="42"/>
  <c r="V153" i="42"/>
  <c r="X153" i="42"/>
  <c r="Y153" i="42"/>
  <c r="Z153" i="42"/>
  <c r="AA153" i="42"/>
  <c r="AB153" i="42"/>
  <c r="AC153" i="42"/>
  <c r="AF153" i="42"/>
  <c r="AG153" i="42"/>
  <c r="AH153" i="42"/>
  <c r="AI153" i="42"/>
  <c r="AJ153" i="42"/>
  <c r="AL153" i="42"/>
  <c r="AM153" i="42"/>
  <c r="AN153" i="42"/>
  <c r="AO153" i="42"/>
  <c r="AP153" i="42"/>
  <c r="AQ153" i="42"/>
  <c r="AR153" i="42"/>
  <c r="AS153" i="42"/>
  <c r="AT153" i="42"/>
  <c r="AU153" i="42"/>
  <c r="AV153" i="42"/>
  <c r="AW153" i="42"/>
  <c r="AX153" i="42"/>
  <c r="AY153" i="42"/>
  <c r="BB153" i="42"/>
  <c r="BC153" i="42"/>
  <c r="BD153" i="42"/>
  <c r="BE153" i="42"/>
  <c r="BF153" i="42"/>
  <c r="BG153" i="42"/>
  <c r="BH153" i="42"/>
  <c r="BI153" i="42"/>
  <c r="BJ153" i="42"/>
  <c r="BK153" i="42"/>
  <c r="BL153" i="42"/>
  <c r="BM153" i="42"/>
  <c r="BN153" i="42"/>
  <c r="BO153" i="42"/>
  <c r="D154" i="42"/>
  <c r="F154" i="42"/>
  <c r="G154" i="42"/>
  <c r="H154" i="42"/>
  <c r="I154" i="42"/>
  <c r="K154" i="42"/>
  <c r="L154" i="42"/>
  <c r="N154" i="42"/>
  <c r="O154" i="42"/>
  <c r="P154" i="42"/>
  <c r="Q154" i="42"/>
  <c r="S154" i="42"/>
  <c r="T154" i="42"/>
  <c r="V154" i="42"/>
  <c r="X154" i="42"/>
  <c r="Y154" i="42"/>
  <c r="Z154" i="42"/>
  <c r="AA154" i="42"/>
  <c r="AB154" i="42"/>
  <c r="AC154" i="42"/>
  <c r="AF154" i="42"/>
  <c r="AG154" i="42"/>
  <c r="AH154" i="42"/>
  <c r="AI154" i="42"/>
  <c r="AJ154" i="42"/>
  <c r="AL154" i="42"/>
  <c r="AM154" i="42"/>
  <c r="AN154" i="42"/>
  <c r="AO154" i="42"/>
  <c r="AP154" i="42"/>
  <c r="AQ154" i="42"/>
  <c r="AR154" i="42"/>
  <c r="AS154" i="42"/>
  <c r="AT154" i="42"/>
  <c r="AU154" i="42"/>
  <c r="AV154" i="42"/>
  <c r="AW154" i="42"/>
  <c r="AX154" i="42"/>
  <c r="AY154" i="42"/>
  <c r="BB154" i="42"/>
  <c r="BC154" i="42"/>
  <c r="BD154" i="42"/>
  <c r="BE154" i="42"/>
  <c r="BF154" i="42"/>
  <c r="BG154" i="42"/>
  <c r="BH154" i="42"/>
  <c r="BI154" i="42"/>
  <c r="BJ154" i="42"/>
  <c r="BK154" i="42"/>
  <c r="BL154" i="42"/>
  <c r="BM154" i="42"/>
  <c r="BN154" i="42"/>
  <c r="BO154" i="42"/>
  <c r="D155" i="42"/>
  <c r="F155" i="42"/>
  <c r="G155" i="42"/>
  <c r="H155" i="42"/>
  <c r="I155" i="42"/>
  <c r="K155" i="42"/>
  <c r="L155" i="42"/>
  <c r="N155" i="42"/>
  <c r="O155" i="42"/>
  <c r="P155" i="42"/>
  <c r="Q155" i="42"/>
  <c r="S155" i="42"/>
  <c r="T155" i="42"/>
  <c r="V155" i="42"/>
  <c r="X155" i="42"/>
  <c r="Y155" i="42"/>
  <c r="Z155" i="42"/>
  <c r="AA155" i="42"/>
  <c r="AB155" i="42"/>
  <c r="AC155" i="42"/>
  <c r="AF155" i="42"/>
  <c r="AG155" i="42"/>
  <c r="AH155" i="42"/>
  <c r="AI155" i="42"/>
  <c r="AJ155" i="42"/>
  <c r="AL155" i="42"/>
  <c r="AM155" i="42"/>
  <c r="AN155" i="42"/>
  <c r="AO155" i="42"/>
  <c r="AP155" i="42"/>
  <c r="AQ155" i="42"/>
  <c r="AR155" i="42"/>
  <c r="AS155" i="42"/>
  <c r="AT155" i="42"/>
  <c r="AU155" i="42"/>
  <c r="AV155" i="42"/>
  <c r="AW155" i="42"/>
  <c r="AX155" i="42"/>
  <c r="AY155" i="42"/>
  <c r="BB155" i="42"/>
  <c r="BC155" i="42"/>
  <c r="BD155" i="42"/>
  <c r="BE155" i="42"/>
  <c r="BF155" i="42"/>
  <c r="BG155" i="42"/>
  <c r="BH155" i="42"/>
  <c r="BI155" i="42"/>
  <c r="BJ155" i="42"/>
  <c r="BK155" i="42"/>
  <c r="BL155" i="42"/>
  <c r="BM155" i="42"/>
  <c r="BN155" i="42"/>
  <c r="BO155" i="42"/>
  <c r="D156" i="42"/>
  <c r="F156" i="42"/>
  <c r="G156" i="42"/>
  <c r="H156" i="42"/>
  <c r="I156" i="42"/>
  <c r="K156" i="42"/>
  <c r="L156" i="42"/>
  <c r="N156" i="42"/>
  <c r="O156" i="42"/>
  <c r="P156" i="42"/>
  <c r="Q156" i="42"/>
  <c r="S156" i="42"/>
  <c r="T156" i="42"/>
  <c r="V156" i="42"/>
  <c r="X156" i="42"/>
  <c r="Y156" i="42"/>
  <c r="Z156" i="42"/>
  <c r="AA156" i="42"/>
  <c r="AB156" i="42"/>
  <c r="AC156" i="42"/>
  <c r="AF156" i="42"/>
  <c r="AG156" i="42"/>
  <c r="AH156" i="42"/>
  <c r="AI156" i="42"/>
  <c r="AJ156" i="42"/>
  <c r="AL156" i="42"/>
  <c r="AM156" i="42"/>
  <c r="AN156" i="42"/>
  <c r="AO156" i="42"/>
  <c r="AP156" i="42"/>
  <c r="AQ156" i="42"/>
  <c r="AR156" i="42"/>
  <c r="AS156" i="42"/>
  <c r="AT156" i="42"/>
  <c r="AU156" i="42"/>
  <c r="AV156" i="42"/>
  <c r="AW156" i="42"/>
  <c r="AX156" i="42"/>
  <c r="AY156" i="42"/>
  <c r="BB156" i="42"/>
  <c r="BC156" i="42"/>
  <c r="BD156" i="42"/>
  <c r="BE156" i="42"/>
  <c r="BF156" i="42"/>
  <c r="BG156" i="42"/>
  <c r="BH156" i="42"/>
  <c r="BI156" i="42"/>
  <c r="BJ156" i="42"/>
  <c r="BK156" i="42"/>
  <c r="BL156" i="42"/>
  <c r="BM156" i="42"/>
  <c r="BN156" i="42"/>
  <c r="BO156" i="42"/>
  <c r="D157" i="42"/>
  <c r="F157" i="42"/>
  <c r="G157" i="42"/>
  <c r="H157" i="42"/>
  <c r="I157" i="42"/>
  <c r="K157" i="42"/>
  <c r="L157" i="42"/>
  <c r="N157" i="42"/>
  <c r="O157" i="42"/>
  <c r="P157" i="42"/>
  <c r="Q157" i="42"/>
  <c r="S157" i="42"/>
  <c r="T157" i="42"/>
  <c r="V157" i="42"/>
  <c r="X157" i="42"/>
  <c r="Y157" i="42"/>
  <c r="Z157" i="42"/>
  <c r="AA157" i="42"/>
  <c r="AB157" i="42"/>
  <c r="AC157" i="42"/>
  <c r="AF157" i="42"/>
  <c r="AG157" i="42"/>
  <c r="AH157" i="42"/>
  <c r="AI157" i="42"/>
  <c r="AJ157" i="42"/>
  <c r="AL157" i="42"/>
  <c r="AM157" i="42"/>
  <c r="AN157" i="42"/>
  <c r="AO157" i="42"/>
  <c r="AP157" i="42"/>
  <c r="AQ157" i="42"/>
  <c r="AR157" i="42"/>
  <c r="AS157" i="42"/>
  <c r="AT157" i="42"/>
  <c r="AU157" i="42"/>
  <c r="AV157" i="42"/>
  <c r="AW157" i="42"/>
  <c r="AX157" i="42"/>
  <c r="AY157" i="42"/>
  <c r="BB157" i="42"/>
  <c r="BC157" i="42"/>
  <c r="BD157" i="42"/>
  <c r="BE157" i="42"/>
  <c r="BF157" i="42"/>
  <c r="BG157" i="42"/>
  <c r="BH157" i="42"/>
  <c r="BI157" i="42"/>
  <c r="BJ157" i="42"/>
  <c r="BK157" i="42"/>
  <c r="BL157" i="42"/>
  <c r="BM157" i="42"/>
  <c r="BN157" i="42"/>
  <c r="BO157" i="42"/>
  <c r="D158" i="42"/>
  <c r="F158" i="42"/>
  <c r="G158" i="42"/>
  <c r="H158" i="42"/>
  <c r="I158" i="42"/>
  <c r="K158" i="42"/>
  <c r="L158" i="42"/>
  <c r="N158" i="42"/>
  <c r="O158" i="42"/>
  <c r="P158" i="42"/>
  <c r="Q158" i="42"/>
  <c r="S158" i="42"/>
  <c r="T158" i="42"/>
  <c r="V158" i="42"/>
  <c r="X158" i="42"/>
  <c r="Y158" i="42"/>
  <c r="Z158" i="42"/>
  <c r="AA158" i="42"/>
  <c r="AB158" i="42"/>
  <c r="AC158" i="42"/>
  <c r="AF158" i="42"/>
  <c r="AG158" i="42"/>
  <c r="AH158" i="42"/>
  <c r="AI158" i="42"/>
  <c r="AJ158" i="42"/>
  <c r="AL158" i="42"/>
  <c r="AM158" i="42"/>
  <c r="AN158" i="42"/>
  <c r="AO158" i="42"/>
  <c r="AP158" i="42"/>
  <c r="AQ158" i="42"/>
  <c r="AR158" i="42"/>
  <c r="AS158" i="42"/>
  <c r="AT158" i="42"/>
  <c r="AU158" i="42"/>
  <c r="AV158" i="42"/>
  <c r="AW158" i="42"/>
  <c r="AX158" i="42"/>
  <c r="AY158" i="42"/>
  <c r="BB158" i="42"/>
  <c r="BC158" i="42"/>
  <c r="BD158" i="42"/>
  <c r="BE158" i="42"/>
  <c r="BF158" i="42"/>
  <c r="BG158" i="42"/>
  <c r="BH158" i="42"/>
  <c r="BI158" i="42"/>
  <c r="BJ158" i="42"/>
  <c r="BK158" i="42"/>
  <c r="BL158" i="42"/>
  <c r="BM158" i="42"/>
  <c r="BN158" i="42"/>
  <c r="BO158" i="42"/>
  <c r="D159" i="42"/>
  <c r="F159" i="42"/>
  <c r="G159" i="42"/>
  <c r="H159" i="42"/>
  <c r="I159" i="42"/>
  <c r="K159" i="42"/>
  <c r="L159" i="42"/>
  <c r="N159" i="42"/>
  <c r="O159" i="42"/>
  <c r="P159" i="42"/>
  <c r="Q159" i="42"/>
  <c r="S159" i="42"/>
  <c r="T159" i="42"/>
  <c r="V159" i="42"/>
  <c r="X159" i="42"/>
  <c r="Y159" i="42"/>
  <c r="Z159" i="42"/>
  <c r="AA159" i="42"/>
  <c r="AB159" i="42"/>
  <c r="AC159" i="42"/>
  <c r="AF159" i="42"/>
  <c r="AG159" i="42"/>
  <c r="AH159" i="42"/>
  <c r="AI159" i="42"/>
  <c r="AJ159" i="42"/>
  <c r="AL159" i="42"/>
  <c r="AM159" i="42"/>
  <c r="AN159" i="42"/>
  <c r="AO159" i="42"/>
  <c r="AP159" i="42"/>
  <c r="AQ159" i="42"/>
  <c r="AR159" i="42"/>
  <c r="AS159" i="42"/>
  <c r="AT159" i="42"/>
  <c r="AU159" i="42"/>
  <c r="AV159" i="42"/>
  <c r="AW159" i="42"/>
  <c r="AX159" i="42"/>
  <c r="AY159" i="42"/>
  <c r="BB159" i="42"/>
  <c r="BC159" i="42"/>
  <c r="BD159" i="42"/>
  <c r="BE159" i="42"/>
  <c r="BF159" i="42"/>
  <c r="BG159" i="42"/>
  <c r="BH159" i="42"/>
  <c r="BI159" i="42"/>
  <c r="BJ159" i="42"/>
  <c r="BK159" i="42"/>
  <c r="BL159" i="42"/>
  <c r="BM159" i="42"/>
  <c r="BN159" i="42"/>
  <c r="BO159" i="42"/>
  <c r="D160" i="42"/>
  <c r="F160" i="42"/>
  <c r="G160" i="42"/>
  <c r="H160" i="42"/>
  <c r="I160" i="42"/>
  <c r="K160" i="42"/>
  <c r="L160" i="42"/>
  <c r="N160" i="42"/>
  <c r="O160" i="42"/>
  <c r="P160" i="42"/>
  <c r="Q160" i="42"/>
  <c r="S160" i="42"/>
  <c r="T160" i="42"/>
  <c r="V160" i="42"/>
  <c r="X160" i="42"/>
  <c r="Y160" i="42"/>
  <c r="Z160" i="42"/>
  <c r="AA160" i="42"/>
  <c r="AB160" i="42"/>
  <c r="AC160" i="42"/>
  <c r="AF160" i="42"/>
  <c r="AG160" i="42"/>
  <c r="AH160" i="42"/>
  <c r="AI160" i="42"/>
  <c r="AJ160" i="42"/>
  <c r="AL160" i="42"/>
  <c r="AM160" i="42"/>
  <c r="AN160" i="42"/>
  <c r="AO160" i="42"/>
  <c r="AP160" i="42"/>
  <c r="AQ160" i="42"/>
  <c r="AR160" i="42"/>
  <c r="AS160" i="42"/>
  <c r="AT160" i="42"/>
  <c r="AU160" i="42"/>
  <c r="AV160" i="42"/>
  <c r="AW160" i="42"/>
  <c r="AX160" i="42"/>
  <c r="AY160" i="42"/>
  <c r="BB160" i="42"/>
  <c r="BC160" i="42"/>
  <c r="BD160" i="42"/>
  <c r="BE160" i="42"/>
  <c r="BF160" i="42"/>
  <c r="BG160" i="42"/>
  <c r="BH160" i="42"/>
  <c r="BI160" i="42"/>
  <c r="BJ160" i="42"/>
  <c r="BK160" i="42"/>
  <c r="BL160" i="42"/>
  <c r="BM160" i="42"/>
  <c r="BN160" i="42"/>
  <c r="BO160" i="42"/>
  <c r="D161" i="42"/>
  <c r="F161" i="42"/>
  <c r="G161" i="42"/>
  <c r="H161" i="42"/>
  <c r="I161" i="42"/>
  <c r="K161" i="42"/>
  <c r="L161" i="42"/>
  <c r="N161" i="42"/>
  <c r="O161" i="42"/>
  <c r="P161" i="42"/>
  <c r="Q161" i="42"/>
  <c r="S161" i="42"/>
  <c r="T161" i="42"/>
  <c r="V161" i="42"/>
  <c r="X161" i="42"/>
  <c r="Y161" i="42"/>
  <c r="Z161" i="42"/>
  <c r="AA161" i="42"/>
  <c r="AB161" i="42"/>
  <c r="AC161" i="42"/>
  <c r="AF161" i="42"/>
  <c r="AG161" i="42"/>
  <c r="AH161" i="42"/>
  <c r="AI161" i="42"/>
  <c r="AJ161" i="42"/>
  <c r="AL161" i="42"/>
  <c r="AM161" i="42"/>
  <c r="AN161" i="42"/>
  <c r="AO161" i="42"/>
  <c r="AP161" i="42"/>
  <c r="AQ161" i="42"/>
  <c r="AR161" i="42"/>
  <c r="AS161" i="42"/>
  <c r="AT161" i="42"/>
  <c r="AU161" i="42"/>
  <c r="AV161" i="42"/>
  <c r="AW161" i="42"/>
  <c r="AX161" i="42"/>
  <c r="AY161" i="42"/>
  <c r="BB161" i="42"/>
  <c r="BC161" i="42"/>
  <c r="BD161" i="42"/>
  <c r="BE161" i="42"/>
  <c r="BF161" i="42"/>
  <c r="BG161" i="42"/>
  <c r="BH161" i="42"/>
  <c r="BI161" i="42"/>
  <c r="BJ161" i="42"/>
  <c r="BK161" i="42"/>
  <c r="BL161" i="42"/>
  <c r="BM161" i="42"/>
  <c r="BN161" i="42"/>
  <c r="BO161" i="42"/>
  <c r="D162" i="42"/>
  <c r="F162" i="42"/>
  <c r="G162" i="42"/>
  <c r="H162" i="42"/>
  <c r="I162" i="42"/>
  <c r="K162" i="42"/>
  <c r="L162" i="42"/>
  <c r="N162" i="42"/>
  <c r="O162" i="42"/>
  <c r="P162" i="42"/>
  <c r="Q162" i="42"/>
  <c r="S162" i="42"/>
  <c r="T162" i="42"/>
  <c r="V162" i="42"/>
  <c r="X162" i="42"/>
  <c r="Y162" i="42"/>
  <c r="Z162" i="42"/>
  <c r="AA162" i="42"/>
  <c r="AB162" i="42"/>
  <c r="AC162" i="42"/>
  <c r="AF162" i="42"/>
  <c r="AG162" i="42"/>
  <c r="AH162" i="42"/>
  <c r="AI162" i="42"/>
  <c r="AJ162" i="42"/>
  <c r="AL162" i="42"/>
  <c r="AM162" i="42"/>
  <c r="AN162" i="42"/>
  <c r="AO162" i="42"/>
  <c r="AP162" i="42"/>
  <c r="AQ162" i="42"/>
  <c r="AR162" i="42"/>
  <c r="AS162" i="42"/>
  <c r="AT162" i="42"/>
  <c r="AU162" i="42"/>
  <c r="AV162" i="42"/>
  <c r="AW162" i="42"/>
  <c r="AX162" i="42"/>
  <c r="AY162" i="42"/>
  <c r="BB162" i="42"/>
  <c r="BC162" i="42"/>
  <c r="BD162" i="42"/>
  <c r="BE162" i="42"/>
  <c r="BF162" i="42"/>
  <c r="BG162" i="42"/>
  <c r="BH162" i="42"/>
  <c r="BI162" i="42"/>
  <c r="BJ162" i="42"/>
  <c r="BK162" i="42"/>
  <c r="BL162" i="42"/>
  <c r="BM162" i="42"/>
  <c r="BN162" i="42"/>
  <c r="BO162" i="42"/>
  <c r="D163" i="42"/>
  <c r="F163" i="42"/>
  <c r="G163" i="42"/>
  <c r="H163" i="42"/>
  <c r="I163" i="42"/>
  <c r="K163" i="42"/>
  <c r="L163" i="42"/>
  <c r="N163" i="42"/>
  <c r="O163" i="42"/>
  <c r="P163" i="42"/>
  <c r="Q163" i="42"/>
  <c r="S163" i="42"/>
  <c r="T163" i="42"/>
  <c r="V163" i="42"/>
  <c r="X163" i="42"/>
  <c r="Y163" i="42"/>
  <c r="Z163" i="42"/>
  <c r="AA163" i="42"/>
  <c r="AB163" i="42"/>
  <c r="AC163" i="42"/>
  <c r="AF163" i="42"/>
  <c r="AG163" i="42"/>
  <c r="AH163" i="42"/>
  <c r="AI163" i="42"/>
  <c r="AJ163" i="42"/>
  <c r="AL163" i="42"/>
  <c r="AM163" i="42"/>
  <c r="AN163" i="42"/>
  <c r="AO163" i="42"/>
  <c r="AP163" i="42"/>
  <c r="AQ163" i="42"/>
  <c r="AR163" i="42"/>
  <c r="AS163" i="42"/>
  <c r="AT163" i="42"/>
  <c r="AU163" i="42"/>
  <c r="AV163" i="42"/>
  <c r="AW163" i="42"/>
  <c r="AX163" i="42"/>
  <c r="AY163" i="42"/>
  <c r="BB163" i="42"/>
  <c r="BC163" i="42"/>
  <c r="BD163" i="42"/>
  <c r="BE163" i="42"/>
  <c r="BF163" i="42"/>
  <c r="BG163" i="42"/>
  <c r="BH163" i="42"/>
  <c r="BI163" i="42"/>
  <c r="BJ163" i="42"/>
  <c r="BK163" i="42"/>
  <c r="BL163" i="42"/>
  <c r="BM163" i="42"/>
  <c r="BN163" i="42"/>
  <c r="BO163" i="42"/>
  <c r="D164" i="42"/>
  <c r="F164" i="42"/>
  <c r="G164" i="42"/>
  <c r="H164" i="42"/>
  <c r="I164" i="42"/>
  <c r="K164" i="42"/>
  <c r="L164" i="42"/>
  <c r="N164" i="42"/>
  <c r="O164" i="42"/>
  <c r="P164" i="42"/>
  <c r="Q164" i="42"/>
  <c r="S164" i="42"/>
  <c r="T164" i="42"/>
  <c r="V164" i="42"/>
  <c r="X164" i="42"/>
  <c r="Y164" i="42"/>
  <c r="Z164" i="42"/>
  <c r="AA164" i="42"/>
  <c r="AB164" i="42"/>
  <c r="AC164" i="42"/>
  <c r="AF164" i="42"/>
  <c r="AG164" i="42"/>
  <c r="AH164" i="42"/>
  <c r="AI164" i="42"/>
  <c r="AJ164" i="42"/>
  <c r="AL164" i="42"/>
  <c r="AM164" i="42"/>
  <c r="AN164" i="42"/>
  <c r="AO164" i="42"/>
  <c r="AP164" i="42"/>
  <c r="AQ164" i="42"/>
  <c r="AR164" i="42"/>
  <c r="AS164" i="42"/>
  <c r="AT164" i="42"/>
  <c r="AU164" i="42"/>
  <c r="AV164" i="42"/>
  <c r="AW164" i="42"/>
  <c r="AX164" i="42"/>
  <c r="AY164" i="42"/>
  <c r="BB164" i="42"/>
  <c r="BC164" i="42"/>
  <c r="BD164" i="42"/>
  <c r="BE164" i="42"/>
  <c r="BF164" i="42"/>
  <c r="BG164" i="42"/>
  <c r="BH164" i="42"/>
  <c r="BI164" i="42"/>
  <c r="BJ164" i="42"/>
  <c r="BK164" i="42"/>
  <c r="BL164" i="42"/>
  <c r="BM164" i="42"/>
  <c r="BN164" i="42"/>
  <c r="BO164" i="42"/>
  <c r="D165" i="42"/>
  <c r="F165" i="42"/>
  <c r="G165" i="42"/>
  <c r="H165" i="42"/>
  <c r="I165" i="42"/>
  <c r="K165" i="42"/>
  <c r="L165" i="42"/>
  <c r="N165" i="42"/>
  <c r="O165" i="42"/>
  <c r="P165" i="42"/>
  <c r="Q165" i="42"/>
  <c r="S165" i="42"/>
  <c r="T165" i="42"/>
  <c r="V165" i="42"/>
  <c r="X165" i="42"/>
  <c r="Y165" i="42"/>
  <c r="Z165" i="42"/>
  <c r="AA165" i="42"/>
  <c r="AB165" i="42"/>
  <c r="AC165" i="42"/>
  <c r="AF165" i="42"/>
  <c r="AG165" i="42"/>
  <c r="AH165" i="42"/>
  <c r="AI165" i="42"/>
  <c r="AJ165" i="42"/>
  <c r="AL165" i="42"/>
  <c r="AM165" i="42"/>
  <c r="AN165" i="42"/>
  <c r="AO165" i="42"/>
  <c r="AP165" i="42"/>
  <c r="AQ165" i="42"/>
  <c r="AR165" i="42"/>
  <c r="AS165" i="42"/>
  <c r="AT165" i="42"/>
  <c r="AU165" i="42"/>
  <c r="AV165" i="42"/>
  <c r="AW165" i="42"/>
  <c r="AX165" i="42"/>
  <c r="AY165" i="42"/>
  <c r="BB165" i="42"/>
  <c r="BC165" i="42"/>
  <c r="BD165" i="42"/>
  <c r="BE165" i="42"/>
  <c r="BF165" i="42"/>
  <c r="BG165" i="42"/>
  <c r="BH165" i="42"/>
  <c r="BI165" i="42"/>
  <c r="BJ165" i="42"/>
  <c r="BK165" i="42"/>
  <c r="BL165" i="42"/>
  <c r="BM165" i="42"/>
  <c r="BN165" i="42"/>
  <c r="BO165" i="42"/>
  <c r="D166" i="42"/>
  <c r="F166" i="42"/>
  <c r="G166" i="42"/>
  <c r="H166" i="42"/>
  <c r="I166" i="42"/>
  <c r="K166" i="42"/>
  <c r="L166" i="42"/>
  <c r="N166" i="42"/>
  <c r="O166" i="42"/>
  <c r="P166" i="42"/>
  <c r="Q166" i="42"/>
  <c r="S166" i="42"/>
  <c r="T166" i="42"/>
  <c r="V166" i="42"/>
  <c r="X166" i="42"/>
  <c r="Y166" i="42"/>
  <c r="Z166" i="42"/>
  <c r="AA166" i="42"/>
  <c r="AB166" i="42"/>
  <c r="AC166" i="42"/>
  <c r="AF166" i="42"/>
  <c r="AG166" i="42"/>
  <c r="AH166" i="42"/>
  <c r="AI166" i="42"/>
  <c r="AJ166" i="42"/>
  <c r="AL166" i="42"/>
  <c r="AM166" i="42"/>
  <c r="AN166" i="42"/>
  <c r="AO166" i="42"/>
  <c r="AP166" i="42"/>
  <c r="AQ166" i="42"/>
  <c r="AR166" i="42"/>
  <c r="AS166" i="42"/>
  <c r="AT166" i="42"/>
  <c r="AU166" i="42"/>
  <c r="AV166" i="42"/>
  <c r="AW166" i="42"/>
  <c r="AX166" i="42"/>
  <c r="AY166" i="42"/>
  <c r="BB166" i="42"/>
  <c r="BC166" i="42"/>
  <c r="BD166" i="42"/>
  <c r="BE166" i="42"/>
  <c r="BF166" i="42"/>
  <c r="BG166" i="42"/>
  <c r="BH166" i="42"/>
  <c r="BI166" i="42"/>
  <c r="BJ166" i="42"/>
  <c r="BK166" i="42"/>
  <c r="BL166" i="42"/>
  <c r="BM166" i="42"/>
  <c r="BN166" i="42"/>
  <c r="BO166" i="42"/>
  <c r="D167" i="42"/>
  <c r="F167" i="42"/>
  <c r="G167" i="42"/>
  <c r="H167" i="42"/>
  <c r="I167" i="42"/>
  <c r="K167" i="42"/>
  <c r="L167" i="42"/>
  <c r="N167" i="42"/>
  <c r="O167" i="42"/>
  <c r="P167" i="42"/>
  <c r="Q167" i="42"/>
  <c r="S167" i="42"/>
  <c r="T167" i="42"/>
  <c r="V167" i="42"/>
  <c r="X167" i="42"/>
  <c r="Y167" i="42"/>
  <c r="Z167" i="42"/>
  <c r="AA167" i="42"/>
  <c r="AB167" i="42"/>
  <c r="AC167" i="42"/>
  <c r="AF167" i="42"/>
  <c r="AG167" i="42"/>
  <c r="AH167" i="42"/>
  <c r="AI167" i="42"/>
  <c r="AJ167" i="42"/>
  <c r="AL167" i="42"/>
  <c r="AM167" i="42"/>
  <c r="AN167" i="42"/>
  <c r="AO167" i="42"/>
  <c r="AP167" i="42"/>
  <c r="AQ167" i="42"/>
  <c r="AR167" i="42"/>
  <c r="AS167" i="42"/>
  <c r="AT167" i="42"/>
  <c r="AU167" i="42"/>
  <c r="AV167" i="42"/>
  <c r="AW167" i="42"/>
  <c r="AX167" i="42"/>
  <c r="AY167" i="42"/>
  <c r="BB167" i="42"/>
  <c r="BC167" i="42"/>
  <c r="BD167" i="42"/>
  <c r="BE167" i="42"/>
  <c r="BF167" i="42"/>
  <c r="BG167" i="42"/>
  <c r="BH167" i="42"/>
  <c r="BI167" i="42"/>
  <c r="BJ167" i="42"/>
  <c r="BK167" i="42"/>
  <c r="BL167" i="42"/>
  <c r="BM167" i="42"/>
  <c r="BN167" i="42"/>
  <c r="BO167" i="42"/>
  <c r="D168" i="42"/>
  <c r="F168" i="42"/>
  <c r="G168" i="42"/>
  <c r="H168" i="42"/>
  <c r="I168" i="42"/>
  <c r="K168" i="42"/>
  <c r="L168" i="42"/>
  <c r="N168" i="42"/>
  <c r="O168" i="42"/>
  <c r="P168" i="42"/>
  <c r="Q168" i="42"/>
  <c r="S168" i="42"/>
  <c r="T168" i="42"/>
  <c r="V168" i="42"/>
  <c r="X168" i="42"/>
  <c r="Y168" i="42"/>
  <c r="Z168" i="42"/>
  <c r="AA168" i="42"/>
  <c r="AB168" i="42"/>
  <c r="AC168" i="42"/>
  <c r="AF168" i="42"/>
  <c r="AG168" i="42"/>
  <c r="AH168" i="42"/>
  <c r="AI168" i="42"/>
  <c r="AJ168" i="42"/>
  <c r="AL168" i="42"/>
  <c r="AM168" i="42"/>
  <c r="AN168" i="42"/>
  <c r="AO168" i="42"/>
  <c r="AP168" i="42"/>
  <c r="AQ168" i="42"/>
  <c r="AR168" i="42"/>
  <c r="AS168" i="42"/>
  <c r="AT168" i="42"/>
  <c r="AU168" i="42"/>
  <c r="AV168" i="42"/>
  <c r="AW168" i="42"/>
  <c r="AX168" i="42"/>
  <c r="AY168" i="42"/>
  <c r="BB168" i="42"/>
  <c r="BC168" i="42"/>
  <c r="BD168" i="42"/>
  <c r="BE168" i="42"/>
  <c r="BF168" i="42"/>
  <c r="BG168" i="42"/>
  <c r="BH168" i="42"/>
  <c r="BI168" i="42"/>
  <c r="BJ168" i="42"/>
  <c r="BK168" i="42"/>
  <c r="BL168" i="42"/>
  <c r="BM168" i="42"/>
  <c r="BN168" i="42"/>
  <c r="BO168" i="42"/>
  <c r="D169" i="42"/>
  <c r="F169" i="42"/>
  <c r="G169" i="42"/>
  <c r="H169" i="42"/>
  <c r="I169" i="42"/>
  <c r="K169" i="42"/>
  <c r="L169" i="42"/>
  <c r="N169" i="42"/>
  <c r="O169" i="42"/>
  <c r="P169" i="42"/>
  <c r="Q169" i="42"/>
  <c r="S169" i="42"/>
  <c r="T169" i="42"/>
  <c r="V169" i="42"/>
  <c r="X169" i="42"/>
  <c r="Y169" i="42"/>
  <c r="Z169" i="42"/>
  <c r="AA169" i="42"/>
  <c r="AB169" i="42"/>
  <c r="AC169" i="42"/>
  <c r="AF169" i="42"/>
  <c r="AG169" i="42"/>
  <c r="AH169" i="42"/>
  <c r="AI169" i="42"/>
  <c r="AJ169" i="42"/>
  <c r="AL169" i="42"/>
  <c r="AM169" i="42"/>
  <c r="AN169" i="42"/>
  <c r="AO169" i="42"/>
  <c r="AP169" i="42"/>
  <c r="AQ169" i="42"/>
  <c r="AR169" i="42"/>
  <c r="AS169" i="42"/>
  <c r="AT169" i="42"/>
  <c r="AU169" i="42"/>
  <c r="AV169" i="42"/>
  <c r="AW169" i="42"/>
  <c r="AX169" i="42"/>
  <c r="AY169" i="42"/>
  <c r="BB169" i="42"/>
  <c r="BC169" i="42"/>
  <c r="BD169" i="42"/>
  <c r="BE169" i="42"/>
  <c r="BF169" i="42"/>
  <c r="BG169" i="42"/>
  <c r="BH169" i="42"/>
  <c r="BI169" i="42"/>
  <c r="BJ169" i="42"/>
  <c r="BK169" i="42"/>
  <c r="BL169" i="42"/>
  <c r="BM169" i="42"/>
  <c r="BN169" i="42"/>
  <c r="BO169" i="42"/>
  <c r="D170" i="42"/>
  <c r="F170" i="42"/>
  <c r="G170" i="42"/>
  <c r="H170" i="42"/>
  <c r="I170" i="42"/>
  <c r="K170" i="42"/>
  <c r="L170" i="42"/>
  <c r="N170" i="42"/>
  <c r="O170" i="42"/>
  <c r="P170" i="42"/>
  <c r="Q170" i="42"/>
  <c r="S170" i="42"/>
  <c r="T170" i="42"/>
  <c r="V170" i="42"/>
  <c r="X170" i="42"/>
  <c r="Y170" i="42"/>
  <c r="Z170" i="42"/>
  <c r="AA170" i="42"/>
  <c r="AB170" i="42"/>
  <c r="AC170" i="42"/>
  <c r="AF170" i="42"/>
  <c r="AG170" i="42"/>
  <c r="AH170" i="42"/>
  <c r="AI170" i="42"/>
  <c r="AJ170" i="42"/>
  <c r="AL170" i="42"/>
  <c r="AM170" i="42"/>
  <c r="AN170" i="42"/>
  <c r="AO170" i="42"/>
  <c r="AP170" i="42"/>
  <c r="AQ170" i="42"/>
  <c r="AR170" i="42"/>
  <c r="AS170" i="42"/>
  <c r="AT170" i="42"/>
  <c r="AU170" i="42"/>
  <c r="AV170" i="42"/>
  <c r="AW170" i="42"/>
  <c r="AX170" i="42"/>
  <c r="AY170" i="42"/>
  <c r="BB170" i="42"/>
  <c r="BC170" i="42"/>
  <c r="BD170" i="42"/>
  <c r="BE170" i="42"/>
  <c r="BF170" i="42"/>
  <c r="BG170" i="42"/>
  <c r="BH170" i="42"/>
  <c r="BI170" i="42"/>
  <c r="BJ170" i="42"/>
  <c r="BK170" i="42"/>
  <c r="BL170" i="42"/>
  <c r="BM170" i="42"/>
  <c r="BN170" i="42"/>
  <c r="BO170" i="42"/>
  <c r="D171" i="42"/>
  <c r="F171" i="42"/>
  <c r="G171" i="42"/>
  <c r="H171" i="42"/>
  <c r="I171" i="42"/>
  <c r="K171" i="42"/>
  <c r="L171" i="42"/>
  <c r="N171" i="42"/>
  <c r="O171" i="42"/>
  <c r="P171" i="42"/>
  <c r="Q171" i="42"/>
  <c r="S171" i="42"/>
  <c r="T171" i="42"/>
  <c r="V171" i="42"/>
  <c r="X171" i="42"/>
  <c r="Y171" i="42"/>
  <c r="Z171" i="42"/>
  <c r="AA171" i="42"/>
  <c r="AB171" i="42"/>
  <c r="AC171" i="42"/>
  <c r="AF171" i="42"/>
  <c r="AG171" i="42"/>
  <c r="AH171" i="42"/>
  <c r="AI171" i="42"/>
  <c r="AJ171" i="42"/>
  <c r="AL171" i="42"/>
  <c r="AM171" i="42"/>
  <c r="AN171" i="42"/>
  <c r="AO171" i="42"/>
  <c r="AP171" i="42"/>
  <c r="AQ171" i="42"/>
  <c r="AR171" i="42"/>
  <c r="AS171" i="42"/>
  <c r="AT171" i="42"/>
  <c r="AU171" i="42"/>
  <c r="AV171" i="42"/>
  <c r="AW171" i="42"/>
  <c r="AX171" i="42"/>
  <c r="AY171" i="42"/>
  <c r="BB171" i="42"/>
  <c r="BC171" i="42"/>
  <c r="BD171" i="42"/>
  <c r="BE171" i="42"/>
  <c r="BF171" i="42"/>
  <c r="BG171" i="42"/>
  <c r="BH171" i="42"/>
  <c r="BI171" i="42"/>
  <c r="BJ171" i="42"/>
  <c r="BK171" i="42"/>
  <c r="BL171" i="42"/>
  <c r="BM171" i="42"/>
  <c r="BN171" i="42"/>
  <c r="BO171" i="42"/>
  <c r="D172" i="42"/>
  <c r="F172" i="42"/>
  <c r="G172" i="42"/>
  <c r="H172" i="42"/>
  <c r="I172" i="42"/>
  <c r="K172" i="42"/>
  <c r="L172" i="42"/>
  <c r="N172" i="42"/>
  <c r="O172" i="42"/>
  <c r="P172" i="42"/>
  <c r="Q172" i="42"/>
  <c r="S172" i="42"/>
  <c r="T172" i="42"/>
  <c r="V172" i="42"/>
  <c r="X172" i="42"/>
  <c r="Y172" i="42"/>
  <c r="Z172" i="42"/>
  <c r="AA172" i="42"/>
  <c r="AB172" i="42"/>
  <c r="AC172" i="42"/>
  <c r="AF172" i="42"/>
  <c r="AG172" i="42"/>
  <c r="AH172" i="42"/>
  <c r="AI172" i="42"/>
  <c r="AJ172" i="42"/>
  <c r="AL172" i="42"/>
  <c r="AM172" i="42"/>
  <c r="AN172" i="42"/>
  <c r="AO172" i="42"/>
  <c r="AP172" i="42"/>
  <c r="AQ172" i="42"/>
  <c r="AR172" i="42"/>
  <c r="AS172" i="42"/>
  <c r="AT172" i="42"/>
  <c r="AU172" i="42"/>
  <c r="AV172" i="42"/>
  <c r="AW172" i="42"/>
  <c r="AX172" i="42"/>
  <c r="AY172" i="42"/>
  <c r="BB172" i="42"/>
  <c r="BC172" i="42"/>
  <c r="BD172" i="42"/>
  <c r="BE172" i="42"/>
  <c r="BF172" i="42"/>
  <c r="BG172" i="42"/>
  <c r="BH172" i="42"/>
  <c r="BI172" i="42"/>
  <c r="BJ172" i="42"/>
  <c r="BK172" i="42"/>
  <c r="BL172" i="42"/>
  <c r="BM172" i="42"/>
  <c r="BN172" i="42"/>
  <c r="BO172" i="42"/>
  <c r="D173" i="42"/>
  <c r="F173" i="42"/>
  <c r="G173" i="42"/>
  <c r="H173" i="42"/>
  <c r="I173" i="42"/>
  <c r="K173" i="42"/>
  <c r="L173" i="42"/>
  <c r="N173" i="42"/>
  <c r="O173" i="42"/>
  <c r="P173" i="42"/>
  <c r="Q173" i="42"/>
  <c r="S173" i="42"/>
  <c r="T173" i="42"/>
  <c r="V173" i="42"/>
  <c r="X173" i="42"/>
  <c r="Y173" i="42"/>
  <c r="Z173" i="42"/>
  <c r="AA173" i="42"/>
  <c r="AB173" i="42"/>
  <c r="AC173" i="42"/>
  <c r="AF173" i="42"/>
  <c r="AG173" i="42"/>
  <c r="AH173" i="42"/>
  <c r="AI173" i="42"/>
  <c r="AJ173" i="42"/>
  <c r="AL173" i="42"/>
  <c r="AM173" i="42"/>
  <c r="AN173" i="42"/>
  <c r="AO173" i="42"/>
  <c r="AP173" i="42"/>
  <c r="AQ173" i="42"/>
  <c r="AR173" i="42"/>
  <c r="AS173" i="42"/>
  <c r="AT173" i="42"/>
  <c r="AU173" i="42"/>
  <c r="AV173" i="42"/>
  <c r="AW173" i="42"/>
  <c r="AX173" i="42"/>
  <c r="AY173" i="42"/>
  <c r="BB173" i="42"/>
  <c r="BC173" i="42"/>
  <c r="BD173" i="42"/>
  <c r="BE173" i="42"/>
  <c r="BF173" i="42"/>
  <c r="BG173" i="42"/>
  <c r="BH173" i="42"/>
  <c r="BI173" i="42"/>
  <c r="BJ173" i="42"/>
  <c r="BK173" i="42"/>
  <c r="BL173" i="42"/>
  <c r="BM173" i="42"/>
  <c r="BN173" i="42"/>
  <c r="BO173" i="42"/>
  <c r="D174" i="42"/>
  <c r="F174" i="42"/>
  <c r="G174" i="42"/>
  <c r="H174" i="42"/>
  <c r="I174" i="42"/>
  <c r="K174" i="42"/>
  <c r="L174" i="42"/>
  <c r="N174" i="42"/>
  <c r="O174" i="42"/>
  <c r="P174" i="42"/>
  <c r="Q174" i="42"/>
  <c r="S174" i="42"/>
  <c r="T174" i="42"/>
  <c r="V174" i="42"/>
  <c r="X174" i="42"/>
  <c r="Y174" i="42"/>
  <c r="Z174" i="42"/>
  <c r="AA174" i="42"/>
  <c r="AB174" i="42"/>
  <c r="AC174" i="42"/>
  <c r="AF174" i="42"/>
  <c r="AG174" i="42"/>
  <c r="AH174" i="42"/>
  <c r="AI174" i="42"/>
  <c r="AJ174" i="42"/>
  <c r="AL174" i="42"/>
  <c r="AM174" i="42"/>
  <c r="AN174" i="42"/>
  <c r="AO174" i="42"/>
  <c r="AP174" i="42"/>
  <c r="AQ174" i="42"/>
  <c r="AR174" i="42"/>
  <c r="AS174" i="42"/>
  <c r="AT174" i="42"/>
  <c r="AU174" i="42"/>
  <c r="AV174" i="42"/>
  <c r="AW174" i="42"/>
  <c r="AX174" i="42"/>
  <c r="AY174" i="42"/>
  <c r="BB174" i="42"/>
  <c r="BC174" i="42"/>
  <c r="BD174" i="42"/>
  <c r="BE174" i="42"/>
  <c r="BF174" i="42"/>
  <c r="BG174" i="42"/>
  <c r="BH174" i="42"/>
  <c r="BI174" i="42"/>
  <c r="BJ174" i="42"/>
  <c r="BK174" i="42"/>
  <c r="BL174" i="42"/>
  <c r="BM174" i="42"/>
  <c r="BN174" i="42"/>
  <c r="BO174" i="42"/>
  <c r="D175" i="42"/>
  <c r="F175" i="42"/>
  <c r="G175" i="42"/>
  <c r="H175" i="42"/>
  <c r="I175" i="42"/>
  <c r="K175" i="42"/>
  <c r="L175" i="42"/>
  <c r="N175" i="42"/>
  <c r="O175" i="42"/>
  <c r="P175" i="42"/>
  <c r="Q175" i="42"/>
  <c r="S175" i="42"/>
  <c r="T175" i="42"/>
  <c r="V175" i="42"/>
  <c r="X175" i="42"/>
  <c r="Y175" i="42"/>
  <c r="Z175" i="42"/>
  <c r="AA175" i="42"/>
  <c r="AB175" i="42"/>
  <c r="AC175" i="42"/>
  <c r="AF175" i="42"/>
  <c r="AG175" i="42"/>
  <c r="AH175" i="42"/>
  <c r="AI175" i="42"/>
  <c r="AJ175" i="42"/>
  <c r="AL175" i="42"/>
  <c r="AM175" i="42"/>
  <c r="AN175" i="42"/>
  <c r="AO175" i="42"/>
  <c r="AP175" i="42"/>
  <c r="AQ175" i="42"/>
  <c r="AR175" i="42"/>
  <c r="AS175" i="42"/>
  <c r="AT175" i="42"/>
  <c r="AU175" i="42"/>
  <c r="AV175" i="42"/>
  <c r="AW175" i="42"/>
  <c r="AX175" i="42"/>
  <c r="AY175" i="42"/>
  <c r="BB175" i="42"/>
  <c r="BC175" i="42"/>
  <c r="BD175" i="42"/>
  <c r="BE175" i="42"/>
  <c r="BF175" i="42"/>
  <c r="BG175" i="42"/>
  <c r="BH175" i="42"/>
  <c r="BI175" i="42"/>
  <c r="BJ175" i="42"/>
  <c r="BK175" i="42"/>
  <c r="BL175" i="42"/>
  <c r="BM175" i="42"/>
  <c r="BN175" i="42"/>
  <c r="BO175" i="42"/>
  <c r="D176" i="42"/>
  <c r="F176" i="42"/>
  <c r="G176" i="42"/>
  <c r="H176" i="42"/>
  <c r="I176" i="42"/>
  <c r="K176" i="42"/>
  <c r="L176" i="42"/>
  <c r="N176" i="42"/>
  <c r="O176" i="42"/>
  <c r="P176" i="42"/>
  <c r="Q176" i="42"/>
  <c r="S176" i="42"/>
  <c r="T176" i="42"/>
  <c r="V176" i="42"/>
  <c r="X176" i="42"/>
  <c r="Y176" i="42"/>
  <c r="Z176" i="42"/>
  <c r="AA176" i="42"/>
  <c r="AB176" i="42"/>
  <c r="AC176" i="42"/>
  <c r="AF176" i="42"/>
  <c r="AG176" i="42"/>
  <c r="AH176" i="42"/>
  <c r="AI176" i="42"/>
  <c r="AJ176" i="42"/>
  <c r="AL176" i="42"/>
  <c r="AM176" i="42"/>
  <c r="AN176" i="42"/>
  <c r="AO176" i="42"/>
  <c r="AP176" i="42"/>
  <c r="AQ176" i="42"/>
  <c r="AR176" i="42"/>
  <c r="AS176" i="42"/>
  <c r="AT176" i="42"/>
  <c r="AU176" i="42"/>
  <c r="AV176" i="42"/>
  <c r="AW176" i="42"/>
  <c r="AX176" i="42"/>
  <c r="AY176" i="42"/>
  <c r="BB176" i="42"/>
  <c r="BC176" i="42"/>
  <c r="BD176" i="42"/>
  <c r="BE176" i="42"/>
  <c r="BF176" i="42"/>
  <c r="BG176" i="42"/>
  <c r="BH176" i="42"/>
  <c r="BI176" i="42"/>
  <c r="BJ176" i="42"/>
  <c r="BK176" i="42"/>
  <c r="BL176" i="42"/>
  <c r="BM176" i="42"/>
  <c r="BN176" i="42"/>
  <c r="BO176" i="42"/>
  <c r="D177" i="42"/>
  <c r="F177" i="42"/>
  <c r="G177" i="42"/>
  <c r="H177" i="42"/>
  <c r="I177" i="42"/>
  <c r="K177" i="42"/>
  <c r="L177" i="42"/>
  <c r="N177" i="42"/>
  <c r="O177" i="42"/>
  <c r="P177" i="42"/>
  <c r="Q177" i="42"/>
  <c r="S177" i="42"/>
  <c r="T177" i="42"/>
  <c r="V177" i="42"/>
  <c r="X177" i="42"/>
  <c r="Y177" i="42"/>
  <c r="Z177" i="42"/>
  <c r="AA177" i="42"/>
  <c r="AB177" i="42"/>
  <c r="AC177" i="42"/>
  <c r="AF177" i="42"/>
  <c r="AG177" i="42"/>
  <c r="AH177" i="42"/>
  <c r="AI177" i="42"/>
  <c r="AJ177" i="42"/>
  <c r="AL177" i="42"/>
  <c r="AM177" i="42"/>
  <c r="AN177" i="42"/>
  <c r="AO177" i="42"/>
  <c r="AP177" i="42"/>
  <c r="AQ177" i="42"/>
  <c r="AR177" i="42"/>
  <c r="AS177" i="42"/>
  <c r="AT177" i="42"/>
  <c r="AU177" i="42"/>
  <c r="AV177" i="42"/>
  <c r="AW177" i="42"/>
  <c r="AX177" i="42"/>
  <c r="AY177" i="42"/>
  <c r="BB177" i="42"/>
  <c r="BC177" i="42"/>
  <c r="BD177" i="42"/>
  <c r="BE177" i="42"/>
  <c r="BF177" i="42"/>
  <c r="BG177" i="42"/>
  <c r="BH177" i="42"/>
  <c r="BI177" i="42"/>
  <c r="BJ177" i="42"/>
  <c r="BK177" i="42"/>
  <c r="BL177" i="42"/>
  <c r="BM177" i="42"/>
  <c r="BN177" i="42"/>
  <c r="BO177" i="42"/>
  <c r="D178" i="42"/>
  <c r="F178" i="42"/>
  <c r="G178" i="42"/>
  <c r="H178" i="42"/>
  <c r="I178" i="42"/>
  <c r="K178" i="42"/>
  <c r="L178" i="42"/>
  <c r="N178" i="42"/>
  <c r="O178" i="42"/>
  <c r="P178" i="42"/>
  <c r="Q178" i="42"/>
  <c r="S178" i="42"/>
  <c r="T178" i="42"/>
  <c r="V178" i="42"/>
  <c r="X178" i="42"/>
  <c r="Y178" i="42"/>
  <c r="Z178" i="42"/>
  <c r="AA178" i="42"/>
  <c r="AB178" i="42"/>
  <c r="AC178" i="42"/>
  <c r="AF178" i="42"/>
  <c r="AG178" i="42"/>
  <c r="AH178" i="42"/>
  <c r="AI178" i="42"/>
  <c r="AJ178" i="42"/>
  <c r="AL178" i="42"/>
  <c r="AM178" i="42"/>
  <c r="AN178" i="42"/>
  <c r="AO178" i="42"/>
  <c r="AP178" i="42"/>
  <c r="AQ178" i="42"/>
  <c r="AR178" i="42"/>
  <c r="AS178" i="42"/>
  <c r="AT178" i="42"/>
  <c r="AU178" i="42"/>
  <c r="AV178" i="42"/>
  <c r="AW178" i="42"/>
  <c r="AX178" i="42"/>
  <c r="AY178" i="42"/>
  <c r="BB178" i="42"/>
  <c r="BC178" i="42"/>
  <c r="BD178" i="42"/>
  <c r="BE178" i="42"/>
  <c r="BF178" i="42"/>
  <c r="BG178" i="42"/>
  <c r="BH178" i="42"/>
  <c r="BI178" i="42"/>
  <c r="BJ178" i="42"/>
  <c r="BK178" i="42"/>
  <c r="BL178" i="42"/>
  <c r="BM178" i="42"/>
  <c r="BN178" i="42"/>
  <c r="BO178" i="42"/>
  <c r="D179" i="42"/>
  <c r="F179" i="42"/>
  <c r="G179" i="42"/>
  <c r="H179" i="42"/>
  <c r="I179" i="42"/>
  <c r="K179" i="42"/>
  <c r="L179" i="42"/>
  <c r="N179" i="42"/>
  <c r="O179" i="42"/>
  <c r="P179" i="42"/>
  <c r="Q179" i="42"/>
  <c r="S179" i="42"/>
  <c r="T179" i="42"/>
  <c r="V179" i="42"/>
  <c r="X179" i="42"/>
  <c r="Y179" i="42"/>
  <c r="Z179" i="42"/>
  <c r="AA179" i="42"/>
  <c r="AB179" i="42"/>
  <c r="AC179" i="42"/>
  <c r="AF179" i="42"/>
  <c r="AG179" i="42"/>
  <c r="AH179" i="42"/>
  <c r="AI179" i="42"/>
  <c r="AJ179" i="42"/>
  <c r="AL179" i="42"/>
  <c r="AM179" i="42"/>
  <c r="AN179" i="42"/>
  <c r="AO179" i="42"/>
  <c r="AP179" i="42"/>
  <c r="AQ179" i="42"/>
  <c r="AR179" i="42"/>
  <c r="AS179" i="42"/>
  <c r="AT179" i="42"/>
  <c r="AU179" i="42"/>
  <c r="AV179" i="42"/>
  <c r="AW179" i="42"/>
  <c r="AX179" i="42"/>
  <c r="AY179" i="42"/>
  <c r="BB179" i="42"/>
  <c r="BC179" i="42"/>
  <c r="BD179" i="42"/>
  <c r="BE179" i="42"/>
  <c r="BF179" i="42"/>
  <c r="BG179" i="42"/>
  <c r="BH179" i="42"/>
  <c r="BI179" i="42"/>
  <c r="BJ179" i="42"/>
  <c r="BK179" i="42"/>
  <c r="BL179" i="42"/>
  <c r="BM179" i="42"/>
  <c r="BN179" i="42"/>
  <c r="BO179" i="42"/>
  <c r="D180" i="42"/>
  <c r="F180" i="42"/>
  <c r="G180" i="42"/>
  <c r="H180" i="42"/>
  <c r="I180" i="42"/>
  <c r="K180" i="42"/>
  <c r="L180" i="42"/>
  <c r="N180" i="42"/>
  <c r="O180" i="42"/>
  <c r="P180" i="42"/>
  <c r="Q180" i="42"/>
  <c r="S180" i="42"/>
  <c r="T180" i="42"/>
  <c r="V180" i="42"/>
  <c r="X180" i="42"/>
  <c r="Y180" i="42"/>
  <c r="Z180" i="42"/>
  <c r="AA180" i="42"/>
  <c r="AB180" i="42"/>
  <c r="AC180" i="42"/>
  <c r="AF180" i="42"/>
  <c r="AG180" i="42"/>
  <c r="AH180" i="42"/>
  <c r="AI180" i="42"/>
  <c r="AJ180" i="42"/>
  <c r="AL180" i="42"/>
  <c r="AM180" i="42"/>
  <c r="AN180" i="42"/>
  <c r="AO180" i="42"/>
  <c r="AP180" i="42"/>
  <c r="AQ180" i="42"/>
  <c r="AR180" i="42"/>
  <c r="AS180" i="42"/>
  <c r="AT180" i="42"/>
  <c r="AU180" i="42"/>
  <c r="AV180" i="42"/>
  <c r="AW180" i="42"/>
  <c r="AX180" i="42"/>
  <c r="AY180" i="42"/>
  <c r="BB180" i="42"/>
  <c r="BC180" i="42"/>
  <c r="BD180" i="42"/>
  <c r="BE180" i="42"/>
  <c r="BF180" i="42"/>
  <c r="BG180" i="42"/>
  <c r="BH180" i="42"/>
  <c r="BI180" i="42"/>
  <c r="BJ180" i="42"/>
  <c r="BK180" i="42"/>
  <c r="BL180" i="42"/>
  <c r="BM180" i="42"/>
  <c r="BN180" i="42"/>
  <c r="BO180" i="42"/>
  <c r="D181" i="42"/>
  <c r="F181" i="42"/>
  <c r="G181" i="42"/>
  <c r="H181" i="42"/>
  <c r="I181" i="42"/>
  <c r="K181" i="42"/>
  <c r="L181" i="42"/>
  <c r="N181" i="42"/>
  <c r="O181" i="42"/>
  <c r="P181" i="42"/>
  <c r="Q181" i="42"/>
  <c r="S181" i="42"/>
  <c r="T181" i="42"/>
  <c r="V181" i="42"/>
  <c r="X181" i="42"/>
  <c r="Y181" i="42"/>
  <c r="Z181" i="42"/>
  <c r="AA181" i="42"/>
  <c r="AB181" i="42"/>
  <c r="AC181" i="42"/>
  <c r="AF181" i="42"/>
  <c r="AG181" i="42"/>
  <c r="AH181" i="42"/>
  <c r="AI181" i="42"/>
  <c r="AJ181" i="42"/>
  <c r="AL181" i="42"/>
  <c r="AM181" i="42"/>
  <c r="AN181" i="42"/>
  <c r="AO181" i="42"/>
  <c r="AP181" i="42"/>
  <c r="AQ181" i="42"/>
  <c r="AR181" i="42"/>
  <c r="AS181" i="42"/>
  <c r="AT181" i="42"/>
  <c r="AU181" i="42"/>
  <c r="AV181" i="42"/>
  <c r="AW181" i="42"/>
  <c r="AX181" i="42"/>
  <c r="AY181" i="42"/>
  <c r="BB181" i="42"/>
  <c r="BC181" i="42"/>
  <c r="BD181" i="42"/>
  <c r="BE181" i="42"/>
  <c r="BF181" i="42"/>
  <c r="BG181" i="42"/>
  <c r="BH181" i="42"/>
  <c r="BI181" i="42"/>
  <c r="BJ181" i="42"/>
  <c r="BK181" i="42"/>
  <c r="BL181" i="42"/>
  <c r="BM181" i="42"/>
  <c r="BN181" i="42"/>
  <c r="BO181" i="42"/>
  <c r="D182" i="42"/>
  <c r="F182" i="42"/>
  <c r="G182" i="42"/>
  <c r="H182" i="42"/>
  <c r="I182" i="42"/>
  <c r="K182" i="42"/>
  <c r="L182" i="42"/>
  <c r="N182" i="42"/>
  <c r="O182" i="42"/>
  <c r="P182" i="42"/>
  <c r="Q182" i="42"/>
  <c r="S182" i="42"/>
  <c r="T182" i="42"/>
  <c r="V182" i="42"/>
  <c r="X182" i="42"/>
  <c r="Y182" i="42"/>
  <c r="Z182" i="42"/>
  <c r="AA182" i="42"/>
  <c r="AB182" i="42"/>
  <c r="AC182" i="42"/>
  <c r="AF182" i="42"/>
  <c r="AG182" i="42"/>
  <c r="AH182" i="42"/>
  <c r="AI182" i="42"/>
  <c r="AJ182" i="42"/>
  <c r="AL182" i="42"/>
  <c r="AM182" i="42"/>
  <c r="AN182" i="42"/>
  <c r="AO182" i="42"/>
  <c r="AP182" i="42"/>
  <c r="AQ182" i="42"/>
  <c r="AR182" i="42"/>
  <c r="AS182" i="42"/>
  <c r="AT182" i="42"/>
  <c r="AU182" i="42"/>
  <c r="AV182" i="42"/>
  <c r="AW182" i="42"/>
  <c r="AX182" i="42"/>
  <c r="AY182" i="42"/>
  <c r="BB182" i="42"/>
  <c r="BC182" i="42"/>
  <c r="BD182" i="42"/>
  <c r="BE182" i="42"/>
  <c r="BF182" i="42"/>
  <c r="BG182" i="42"/>
  <c r="BH182" i="42"/>
  <c r="BI182" i="42"/>
  <c r="BJ182" i="42"/>
  <c r="BK182" i="42"/>
  <c r="BL182" i="42"/>
  <c r="BM182" i="42"/>
  <c r="BN182" i="42"/>
  <c r="BO182" i="42"/>
  <c r="D183" i="42"/>
  <c r="F183" i="42"/>
  <c r="G183" i="42"/>
  <c r="H183" i="42"/>
  <c r="I183" i="42"/>
  <c r="K183" i="42"/>
  <c r="L183" i="42"/>
  <c r="N183" i="42"/>
  <c r="O183" i="42"/>
  <c r="P183" i="42"/>
  <c r="Q183" i="42"/>
  <c r="S183" i="42"/>
  <c r="T183" i="42"/>
  <c r="V183" i="42"/>
  <c r="X183" i="42"/>
  <c r="Y183" i="42"/>
  <c r="Z183" i="42"/>
  <c r="AA183" i="42"/>
  <c r="AB183" i="42"/>
  <c r="AC183" i="42"/>
  <c r="AF183" i="42"/>
  <c r="AG183" i="42"/>
  <c r="AH183" i="42"/>
  <c r="AI183" i="42"/>
  <c r="AJ183" i="42"/>
  <c r="AL183" i="42"/>
  <c r="AM183" i="42"/>
  <c r="AN183" i="42"/>
  <c r="AO183" i="42"/>
  <c r="AP183" i="42"/>
  <c r="AQ183" i="42"/>
  <c r="AR183" i="42"/>
  <c r="AS183" i="42"/>
  <c r="AT183" i="42"/>
  <c r="AU183" i="42"/>
  <c r="AV183" i="42"/>
  <c r="AW183" i="42"/>
  <c r="AX183" i="42"/>
  <c r="AY183" i="42"/>
  <c r="BB183" i="42"/>
  <c r="BC183" i="42"/>
  <c r="BD183" i="42"/>
  <c r="BE183" i="42"/>
  <c r="BF183" i="42"/>
  <c r="BG183" i="42"/>
  <c r="BH183" i="42"/>
  <c r="BI183" i="42"/>
  <c r="BJ183" i="42"/>
  <c r="BK183" i="42"/>
  <c r="BL183" i="42"/>
  <c r="BM183" i="42"/>
  <c r="BN183" i="42"/>
  <c r="BO183" i="42"/>
  <c r="D184" i="42"/>
  <c r="F184" i="42"/>
  <c r="G184" i="42"/>
  <c r="H184" i="42"/>
  <c r="I184" i="42"/>
  <c r="K184" i="42"/>
  <c r="L184" i="42"/>
  <c r="N184" i="42"/>
  <c r="O184" i="42"/>
  <c r="P184" i="42"/>
  <c r="Q184" i="42"/>
  <c r="S184" i="42"/>
  <c r="T184" i="42"/>
  <c r="V184" i="42"/>
  <c r="X184" i="42"/>
  <c r="Y184" i="42"/>
  <c r="Z184" i="42"/>
  <c r="AA184" i="42"/>
  <c r="AB184" i="42"/>
  <c r="AC184" i="42"/>
  <c r="AF184" i="42"/>
  <c r="AG184" i="42"/>
  <c r="AH184" i="42"/>
  <c r="AI184" i="42"/>
  <c r="AJ184" i="42"/>
  <c r="AL184" i="42"/>
  <c r="AM184" i="42"/>
  <c r="AN184" i="42"/>
  <c r="AO184" i="42"/>
  <c r="AP184" i="42"/>
  <c r="AQ184" i="42"/>
  <c r="AR184" i="42"/>
  <c r="AS184" i="42"/>
  <c r="AT184" i="42"/>
  <c r="AU184" i="42"/>
  <c r="AV184" i="42"/>
  <c r="AW184" i="42"/>
  <c r="AX184" i="42"/>
  <c r="AY184" i="42"/>
  <c r="BB184" i="42"/>
  <c r="BC184" i="42"/>
  <c r="BD184" i="42"/>
  <c r="BE184" i="42"/>
  <c r="BF184" i="42"/>
  <c r="BG184" i="42"/>
  <c r="BH184" i="42"/>
  <c r="BI184" i="42"/>
  <c r="BJ184" i="42"/>
  <c r="BK184" i="42"/>
  <c r="BL184" i="42"/>
  <c r="BM184" i="42"/>
  <c r="BN184" i="42"/>
  <c r="BO184" i="42"/>
  <c r="D185" i="42"/>
  <c r="F185" i="42"/>
  <c r="G185" i="42"/>
  <c r="H185" i="42"/>
  <c r="I185" i="42"/>
  <c r="K185" i="42"/>
  <c r="L185" i="42"/>
  <c r="N185" i="42"/>
  <c r="O185" i="42"/>
  <c r="P185" i="42"/>
  <c r="Q185" i="42"/>
  <c r="S185" i="42"/>
  <c r="T185" i="42"/>
  <c r="V185" i="42"/>
  <c r="X185" i="42"/>
  <c r="Y185" i="42"/>
  <c r="Z185" i="42"/>
  <c r="AA185" i="42"/>
  <c r="AB185" i="42"/>
  <c r="AC185" i="42"/>
  <c r="AF185" i="42"/>
  <c r="AG185" i="42"/>
  <c r="AH185" i="42"/>
  <c r="AI185" i="42"/>
  <c r="AJ185" i="42"/>
  <c r="AL185" i="42"/>
  <c r="AM185" i="42"/>
  <c r="AN185" i="42"/>
  <c r="AO185" i="42"/>
  <c r="AP185" i="42"/>
  <c r="AQ185" i="42"/>
  <c r="AR185" i="42"/>
  <c r="AS185" i="42"/>
  <c r="AT185" i="42"/>
  <c r="AU185" i="42"/>
  <c r="AV185" i="42"/>
  <c r="AW185" i="42"/>
  <c r="AX185" i="42"/>
  <c r="AY185" i="42"/>
  <c r="BB185" i="42"/>
  <c r="BC185" i="42"/>
  <c r="BD185" i="42"/>
  <c r="BE185" i="42"/>
  <c r="BF185" i="42"/>
  <c r="BG185" i="42"/>
  <c r="BH185" i="42"/>
  <c r="BI185" i="42"/>
  <c r="BJ185" i="42"/>
  <c r="BK185" i="42"/>
  <c r="BL185" i="42"/>
  <c r="BM185" i="42"/>
  <c r="BN185" i="42"/>
  <c r="BO185" i="42"/>
  <c r="D186" i="42"/>
  <c r="F186" i="42"/>
  <c r="G186" i="42"/>
  <c r="H186" i="42"/>
  <c r="I186" i="42"/>
  <c r="K186" i="42"/>
  <c r="L186" i="42"/>
  <c r="N186" i="42"/>
  <c r="O186" i="42"/>
  <c r="P186" i="42"/>
  <c r="Q186" i="42"/>
  <c r="S186" i="42"/>
  <c r="T186" i="42"/>
  <c r="V186" i="42"/>
  <c r="X186" i="42"/>
  <c r="Y186" i="42"/>
  <c r="Z186" i="42"/>
  <c r="AA186" i="42"/>
  <c r="AB186" i="42"/>
  <c r="AC186" i="42"/>
  <c r="AF186" i="42"/>
  <c r="AG186" i="42"/>
  <c r="AH186" i="42"/>
  <c r="AI186" i="42"/>
  <c r="AJ186" i="42"/>
  <c r="AL186" i="42"/>
  <c r="AM186" i="42"/>
  <c r="AN186" i="42"/>
  <c r="AO186" i="42"/>
  <c r="AP186" i="42"/>
  <c r="AQ186" i="42"/>
  <c r="AR186" i="42"/>
  <c r="AS186" i="42"/>
  <c r="AT186" i="42"/>
  <c r="AU186" i="42"/>
  <c r="AV186" i="42"/>
  <c r="AW186" i="42"/>
  <c r="AX186" i="42"/>
  <c r="AY186" i="42"/>
  <c r="BB186" i="42"/>
  <c r="BC186" i="42"/>
  <c r="BD186" i="42"/>
  <c r="BE186" i="42"/>
  <c r="BF186" i="42"/>
  <c r="BG186" i="42"/>
  <c r="BH186" i="42"/>
  <c r="BI186" i="42"/>
  <c r="BJ186" i="42"/>
  <c r="BK186" i="42"/>
  <c r="BL186" i="42"/>
  <c r="BM186" i="42"/>
  <c r="BN186" i="42"/>
  <c r="BO186" i="42"/>
  <c r="D187" i="42"/>
  <c r="F187" i="42"/>
  <c r="G187" i="42"/>
  <c r="H187" i="42"/>
  <c r="I187" i="42"/>
  <c r="K187" i="42"/>
  <c r="L187" i="42"/>
  <c r="N187" i="42"/>
  <c r="O187" i="42"/>
  <c r="P187" i="42"/>
  <c r="Q187" i="42"/>
  <c r="S187" i="42"/>
  <c r="T187" i="42"/>
  <c r="V187" i="42"/>
  <c r="X187" i="42"/>
  <c r="Y187" i="42"/>
  <c r="Z187" i="42"/>
  <c r="AA187" i="42"/>
  <c r="AB187" i="42"/>
  <c r="AC187" i="42"/>
  <c r="AF187" i="42"/>
  <c r="AG187" i="42"/>
  <c r="AH187" i="42"/>
  <c r="AI187" i="42"/>
  <c r="AJ187" i="42"/>
  <c r="AL187" i="42"/>
  <c r="AM187" i="42"/>
  <c r="AN187" i="42"/>
  <c r="AO187" i="42"/>
  <c r="AP187" i="42"/>
  <c r="AQ187" i="42"/>
  <c r="AR187" i="42"/>
  <c r="AS187" i="42"/>
  <c r="AT187" i="42"/>
  <c r="AU187" i="42"/>
  <c r="AV187" i="42"/>
  <c r="AW187" i="42"/>
  <c r="AX187" i="42"/>
  <c r="AY187" i="42"/>
  <c r="BB187" i="42"/>
  <c r="BC187" i="42"/>
  <c r="BD187" i="42"/>
  <c r="BE187" i="42"/>
  <c r="BF187" i="42"/>
  <c r="BG187" i="42"/>
  <c r="BH187" i="42"/>
  <c r="BI187" i="42"/>
  <c r="BJ187" i="42"/>
  <c r="BK187" i="42"/>
  <c r="BL187" i="42"/>
  <c r="BM187" i="42"/>
  <c r="BN187" i="42"/>
  <c r="BO187" i="42"/>
  <c r="D188" i="42"/>
  <c r="F188" i="42"/>
  <c r="G188" i="42"/>
  <c r="H188" i="42"/>
  <c r="I188" i="42"/>
  <c r="K188" i="42"/>
  <c r="L188" i="42"/>
  <c r="N188" i="42"/>
  <c r="O188" i="42"/>
  <c r="P188" i="42"/>
  <c r="Q188" i="42"/>
  <c r="S188" i="42"/>
  <c r="T188" i="42"/>
  <c r="V188" i="42"/>
  <c r="X188" i="42"/>
  <c r="Y188" i="42"/>
  <c r="Z188" i="42"/>
  <c r="AA188" i="42"/>
  <c r="AB188" i="42"/>
  <c r="AC188" i="42"/>
  <c r="AF188" i="42"/>
  <c r="AG188" i="42"/>
  <c r="AH188" i="42"/>
  <c r="AI188" i="42"/>
  <c r="AJ188" i="42"/>
  <c r="AL188" i="42"/>
  <c r="AM188" i="42"/>
  <c r="AN188" i="42"/>
  <c r="AO188" i="42"/>
  <c r="AP188" i="42"/>
  <c r="AQ188" i="42"/>
  <c r="AR188" i="42"/>
  <c r="AS188" i="42"/>
  <c r="AT188" i="42"/>
  <c r="AU188" i="42"/>
  <c r="AV188" i="42"/>
  <c r="AW188" i="42"/>
  <c r="AX188" i="42"/>
  <c r="AY188" i="42"/>
  <c r="BB188" i="42"/>
  <c r="BC188" i="42"/>
  <c r="BD188" i="42"/>
  <c r="BE188" i="42"/>
  <c r="BF188" i="42"/>
  <c r="BG188" i="42"/>
  <c r="BH188" i="42"/>
  <c r="BI188" i="42"/>
  <c r="BJ188" i="42"/>
  <c r="BK188" i="42"/>
  <c r="BL188" i="42"/>
  <c r="BM188" i="42"/>
  <c r="BN188" i="42"/>
  <c r="BO188" i="42"/>
  <c r="D189" i="42"/>
  <c r="F189" i="42"/>
  <c r="G189" i="42"/>
  <c r="H189" i="42"/>
  <c r="I189" i="42"/>
  <c r="K189" i="42"/>
  <c r="L189" i="42"/>
  <c r="N189" i="42"/>
  <c r="O189" i="42"/>
  <c r="P189" i="42"/>
  <c r="Q189" i="42"/>
  <c r="S189" i="42"/>
  <c r="T189" i="42"/>
  <c r="V189" i="42"/>
  <c r="X189" i="42"/>
  <c r="Y189" i="42"/>
  <c r="Z189" i="42"/>
  <c r="AA189" i="42"/>
  <c r="AB189" i="42"/>
  <c r="AC189" i="42"/>
  <c r="AF189" i="42"/>
  <c r="AG189" i="42"/>
  <c r="AH189" i="42"/>
  <c r="AI189" i="42"/>
  <c r="AJ189" i="42"/>
  <c r="AL189" i="42"/>
  <c r="AM189" i="42"/>
  <c r="AN189" i="42"/>
  <c r="AO189" i="42"/>
  <c r="AP189" i="42"/>
  <c r="AQ189" i="42"/>
  <c r="AR189" i="42"/>
  <c r="AS189" i="42"/>
  <c r="AT189" i="42"/>
  <c r="AU189" i="42"/>
  <c r="AV189" i="42"/>
  <c r="AW189" i="42"/>
  <c r="AX189" i="42"/>
  <c r="AY189" i="42"/>
  <c r="BB189" i="42"/>
  <c r="BC189" i="42"/>
  <c r="BD189" i="42"/>
  <c r="BE189" i="42"/>
  <c r="BF189" i="42"/>
  <c r="BG189" i="42"/>
  <c r="BH189" i="42"/>
  <c r="BI189" i="42"/>
  <c r="BJ189" i="42"/>
  <c r="BK189" i="42"/>
  <c r="BL189" i="42"/>
  <c r="BM189" i="42"/>
  <c r="BN189" i="42"/>
  <c r="BO189" i="42"/>
  <c r="D190" i="42"/>
  <c r="F190" i="42"/>
  <c r="G190" i="42"/>
  <c r="H190" i="42"/>
  <c r="I190" i="42"/>
  <c r="K190" i="42"/>
  <c r="L190" i="42"/>
  <c r="N190" i="42"/>
  <c r="O190" i="42"/>
  <c r="P190" i="42"/>
  <c r="Q190" i="42"/>
  <c r="S190" i="42"/>
  <c r="T190" i="42"/>
  <c r="V190" i="42"/>
  <c r="X190" i="42"/>
  <c r="Y190" i="42"/>
  <c r="Z190" i="42"/>
  <c r="AA190" i="42"/>
  <c r="AB190" i="42"/>
  <c r="AC190" i="42"/>
  <c r="AF190" i="42"/>
  <c r="AG190" i="42"/>
  <c r="AH190" i="42"/>
  <c r="AI190" i="42"/>
  <c r="AJ190" i="42"/>
  <c r="AL190" i="42"/>
  <c r="AM190" i="42"/>
  <c r="AN190" i="42"/>
  <c r="AO190" i="42"/>
  <c r="AP190" i="42"/>
  <c r="AQ190" i="42"/>
  <c r="AR190" i="42"/>
  <c r="AS190" i="42"/>
  <c r="AT190" i="42"/>
  <c r="AU190" i="42"/>
  <c r="AV190" i="42"/>
  <c r="AW190" i="42"/>
  <c r="AX190" i="42"/>
  <c r="AY190" i="42"/>
  <c r="BB190" i="42"/>
  <c r="BC190" i="42"/>
  <c r="BD190" i="42"/>
  <c r="BE190" i="42"/>
  <c r="BF190" i="42"/>
  <c r="BG190" i="42"/>
  <c r="BH190" i="42"/>
  <c r="BI190" i="42"/>
  <c r="BJ190" i="42"/>
  <c r="BK190" i="42"/>
  <c r="BL190" i="42"/>
  <c r="BM190" i="42"/>
  <c r="BN190" i="42"/>
  <c r="BO190" i="42"/>
  <c r="D191" i="42"/>
  <c r="F191" i="42"/>
  <c r="G191" i="42"/>
  <c r="H191" i="42"/>
  <c r="I191" i="42"/>
  <c r="K191" i="42"/>
  <c r="L191" i="42"/>
  <c r="N191" i="42"/>
  <c r="O191" i="42"/>
  <c r="P191" i="42"/>
  <c r="Q191" i="42"/>
  <c r="S191" i="42"/>
  <c r="T191" i="42"/>
  <c r="V191" i="42"/>
  <c r="X191" i="42"/>
  <c r="Y191" i="42"/>
  <c r="Z191" i="42"/>
  <c r="AA191" i="42"/>
  <c r="AB191" i="42"/>
  <c r="AC191" i="42"/>
  <c r="AF191" i="42"/>
  <c r="AG191" i="42"/>
  <c r="AH191" i="42"/>
  <c r="AI191" i="42"/>
  <c r="AJ191" i="42"/>
  <c r="AL191" i="42"/>
  <c r="AM191" i="42"/>
  <c r="AN191" i="42"/>
  <c r="AO191" i="42"/>
  <c r="AP191" i="42"/>
  <c r="AQ191" i="42"/>
  <c r="AR191" i="42"/>
  <c r="AS191" i="42"/>
  <c r="AT191" i="42"/>
  <c r="AU191" i="42"/>
  <c r="AV191" i="42"/>
  <c r="AW191" i="42"/>
  <c r="AX191" i="42"/>
  <c r="AY191" i="42"/>
  <c r="BB191" i="42"/>
  <c r="BC191" i="42"/>
  <c r="BD191" i="42"/>
  <c r="BE191" i="42"/>
  <c r="BF191" i="42"/>
  <c r="BG191" i="42"/>
  <c r="BH191" i="42"/>
  <c r="BI191" i="42"/>
  <c r="BJ191" i="42"/>
  <c r="BK191" i="42"/>
  <c r="BL191" i="42"/>
  <c r="BM191" i="42"/>
  <c r="BN191" i="42"/>
  <c r="BO191" i="42"/>
  <c r="D192" i="42"/>
  <c r="F192" i="42"/>
  <c r="G192" i="42"/>
  <c r="H192" i="42"/>
  <c r="I192" i="42"/>
  <c r="K192" i="42"/>
  <c r="L192" i="42"/>
  <c r="N192" i="42"/>
  <c r="O192" i="42"/>
  <c r="P192" i="42"/>
  <c r="Q192" i="42"/>
  <c r="S192" i="42"/>
  <c r="T192" i="42"/>
  <c r="V192" i="42"/>
  <c r="X192" i="42"/>
  <c r="Y192" i="42"/>
  <c r="Z192" i="42"/>
  <c r="AA192" i="42"/>
  <c r="AB192" i="42"/>
  <c r="AC192" i="42"/>
  <c r="AF192" i="42"/>
  <c r="AG192" i="42"/>
  <c r="AH192" i="42"/>
  <c r="AI192" i="42"/>
  <c r="AJ192" i="42"/>
  <c r="AL192" i="42"/>
  <c r="AM192" i="42"/>
  <c r="AN192" i="42"/>
  <c r="AO192" i="42"/>
  <c r="AP192" i="42"/>
  <c r="AQ192" i="42"/>
  <c r="AR192" i="42"/>
  <c r="AS192" i="42"/>
  <c r="AT192" i="42"/>
  <c r="AU192" i="42"/>
  <c r="AV192" i="42"/>
  <c r="AW192" i="42"/>
  <c r="AX192" i="42"/>
  <c r="AY192" i="42"/>
  <c r="BB192" i="42"/>
  <c r="BC192" i="42"/>
  <c r="BD192" i="42"/>
  <c r="BE192" i="42"/>
  <c r="BF192" i="42"/>
  <c r="BG192" i="42"/>
  <c r="BH192" i="42"/>
  <c r="BI192" i="42"/>
  <c r="BJ192" i="42"/>
  <c r="BK192" i="42"/>
  <c r="BL192" i="42"/>
  <c r="BM192" i="42"/>
  <c r="BN192" i="42"/>
  <c r="BO192" i="42"/>
  <c r="D193" i="42"/>
  <c r="F193" i="42"/>
  <c r="G193" i="42"/>
  <c r="H193" i="42"/>
  <c r="I193" i="42"/>
  <c r="K193" i="42"/>
  <c r="L193" i="42"/>
  <c r="N193" i="42"/>
  <c r="O193" i="42"/>
  <c r="P193" i="42"/>
  <c r="Q193" i="42"/>
  <c r="S193" i="42"/>
  <c r="T193" i="42"/>
  <c r="V193" i="42"/>
  <c r="X193" i="42"/>
  <c r="Y193" i="42"/>
  <c r="Z193" i="42"/>
  <c r="AA193" i="42"/>
  <c r="AB193" i="42"/>
  <c r="AC193" i="42"/>
  <c r="AF193" i="42"/>
  <c r="AG193" i="42"/>
  <c r="AH193" i="42"/>
  <c r="AI193" i="42"/>
  <c r="AJ193" i="42"/>
  <c r="AL193" i="42"/>
  <c r="AM193" i="42"/>
  <c r="AN193" i="42"/>
  <c r="AO193" i="42"/>
  <c r="AP193" i="42"/>
  <c r="AQ193" i="42"/>
  <c r="AR193" i="42"/>
  <c r="AS193" i="42"/>
  <c r="AT193" i="42"/>
  <c r="AU193" i="42"/>
  <c r="AV193" i="42"/>
  <c r="AW193" i="42"/>
  <c r="AX193" i="42"/>
  <c r="AY193" i="42"/>
  <c r="BB193" i="42"/>
  <c r="BC193" i="42"/>
  <c r="BD193" i="42"/>
  <c r="BE193" i="42"/>
  <c r="BF193" i="42"/>
  <c r="BG193" i="42"/>
  <c r="BH193" i="42"/>
  <c r="BI193" i="42"/>
  <c r="BJ193" i="42"/>
  <c r="BK193" i="42"/>
  <c r="BL193" i="42"/>
  <c r="BM193" i="42"/>
  <c r="BN193" i="42"/>
  <c r="BO193" i="42"/>
  <c r="D194" i="42"/>
  <c r="F194" i="42"/>
  <c r="G194" i="42"/>
  <c r="H194" i="42"/>
  <c r="I194" i="42"/>
  <c r="K194" i="42"/>
  <c r="L194" i="42"/>
  <c r="N194" i="42"/>
  <c r="O194" i="42"/>
  <c r="P194" i="42"/>
  <c r="Q194" i="42"/>
  <c r="S194" i="42"/>
  <c r="T194" i="42"/>
  <c r="V194" i="42"/>
  <c r="X194" i="42"/>
  <c r="Y194" i="42"/>
  <c r="Z194" i="42"/>
  <c r="AA194" i="42"/>
  <c r="AB194" i="42"/>
  <c r="AC194" i="42"/>
  <c r="AF194" i="42"/>
  <c r="AG194" i="42"/>
  <c r="AH194" i="42"/>
  <c r="AI194" i="42"/>
  <c r="AJ194" i="42"/>
  <c r="AL194" i="42"/>
  <c r="AM194" i="42"/>
  <c r="AN194" i="42"/>
  <c r="AO194" i="42"/>
  <c r="AP194" i="42"/>
  <c r="AQ194" i="42"/>
  <c r="AR194" i="42"/>
  <c r="AS194" i="42"/>
  <c r="AT194" i="42"/>
  <c r="AU194" i="42"/>
  <c r="AV194" i="42"/>
  <c r="AW194" i="42"/>
  <c r="AX194" i="42"/>
  <c r="AY194" i="42"/>
  <c r="BB194" i="42"/>
  <c r="BC194" i="42"/>
  <c r="BD194" i="42"/>
  <c r="BE194" i="42"/>
  <c r="BF194" i="42"/>
  <c r="BG194" i="42"/>
  <c r="BH194" i="42"/>
  <c r="BI194" i="42"/>
  <c r="BJ194" i="42"/>
  <c r="BK194" i="42"/>
  <c r="BL194" i="42"/>
  <c r="BM194" i="42"/>
  <c r="BN194" i="42"/>
  <c r="BO194" i="42"/>
  <c r="D195" i="42"/>
  <c r="F195" i="42"/>
  <c r="G195" i="42"/>
  <c r="H195" i="42"/>
  <c r="I195" i="42"/>
  <c r="K195" i="42"/>
  <c r="L195" i="42"/>
  <c r="N195" i="42"/>
  <c r="O195" i="42"/>
  <c r="P195" i="42"/>
  <c r="Q195" i="42"/>
  <c r="S195" i="42"/>
  <c r="T195" i="42"/>
  <c r="V195" i="42"/>
  <c r="X195" i="42"/>
  <c r="Y195" i="42"/>
  <c r="Z195" i="42"/>
  <c r="AA195" i="42"/>
  <c r="AB195" i="42"/>
  <c r="AC195" i="42"/>
  <c r="AF195" i="42"/>
  <c r="AG195" i="42"/>
  <c r="AH195" i="42"/>
  <c r="AI195" i="42"/>
  <c r="AJ195" i="42"/>
  <c r="AL195" i="42"/>
  <c r="AM195" i="42"/>
  <c r="AN195" i="42"/>
  <c r="AO195" i="42"/>
  <c r="AP195" i="42"/>
  <c r="AQ195" i="42"/>
  <c r="AR195" i="42"/>
  <c r="AS195" i="42"/>
  <c r="AT195" i="42"/>
  <c r="AU195" i="42"/>
  <c r="AV195" i="42"/>
  <c r="AW195" i="42"/>
  <c r="AX195" i="42"/>
  <c r="AY195" i="42"/>
  <c r="BB195" i="42"/>
  <c r="BC195" i="42"/>
  <c r="BD195" i="42"/>
  <c r="BE195" i="42"/>
  <c r="BF195" i="42"/>
  <c r="BG195" i="42"/>
  <c r="BH195" i="42"/>
  <c r="BI195" i="42"/>
  <c r="BJ195" i="42"/>
  <c r="BK195" i="42"/>
  <c r="BL195" i="42"/>
  <c r="BM195" i="42"/>
  <c r="BN195" i="42"/>
  <c r="BO195" i="42"/>
  <c r="D196" i="42"/>
  <c r="F196" i="42"/>
  <c r="G196" i="42"/>
  <c r="H196" i="42"/>
  <c r="I196" i="42"/>
  <c r="K196" i="42"/>
  <c r="L196" i="42"/>
  <c r="N196" i="42"/>
  <c r="O196" i="42"/>
  <c r="P196" i="42"/>
  <c r="Q196" i="42"/>
  <c r="S196" i="42"/>
  <c r="T196" i="42"/>
  <c r="V196" i="42"/>
  <c r="X196" i="42"/>
  <c r="Y196" i="42"/>
  <c r="Z196" i="42"/>
  <c r="AA196" i="42"/>
  <c r="AB196" i="42"/>
  <c r="AC196" i="42"/>
  <c r="AF196" i="42"/>
  <c r="AG196" i="42"/>
  <c r="AH196" i="42"/>
  <c r="AI196" i="42"/>
  <c r="AJ196" i="42"/>
  <c r="AL196" i="42"/>
  <c r="AM196" i="42"/>
  <c r="AN196" i="42"/>
  <c r="AO196" i="42"/>
  <c r="AP196" i="42"/>
  <c r="AQ196" i="42"/>
  <c r="AR196" i="42"/>
  <c r="AS196" i="42"/>
  <c r="AT196" i="42"/>
  <c r="AU196" i="42"/>
  <c r="AV196" i="42"/>
  <c r="AW196" i="42"/>
  <c r="AX196" i="42"/>
  <c r="AY196" i="42"/>
  <c r="BB196" i="42"/>
  <c r="BC196" i="42"/>
  <c r="BD196" i="42"/>
  <c r="BE196" i="42"/>
  <c r="BF196" i="42"/>
  <c r="BG196" i="42"/>
  <c r="BH196" i="42"/>
  <c r="BI196" i="42"/>
  <c r="BJ196" i="42"/>
  <c r="BK196" i="42"/>
  <c r="BL196" i="42"/>
  <c r="BM196" i="42"/>
  <c r="BN196" i="42"/>
  <c r="BO196" i="42"/>
  <c r="D197" i="42"/>
  <c r="F197" i="42"/>
  <c r="G197" i="42"/>
  <c r="H197" i="42"/>
  <c r="I197" i="42"/>
  <c r="K197" i="42"/>
  <c r="L197" i="42"/>
  <c r="N197" i="42"/>
  <c r="O197" i="42"/>
  <c r="P197" i="42"/>
  <c r="Q197" i="42"/>
  <c r="S197" i="42"/>
  <c r="T197" i="42"/>
  <c r="V197" i="42"/>
  <c r="X197" i="42"/>
  <c r="Y197" i="42"/>
  <c r="Z197" i="42"/>
  <c r="AA197" i="42"/>
  <c r="AB197" i="42"/>
  <c r="AC197" i="42"/>
  <c r="AF197" i="42"/>
  <c r="AG197" i="42"/>
  <c r="AH197" i="42"/>
  <c r="AI197" i="42"/>
  <c r="AJ197" i="42"/>
  <c r="AL197" i="42"/>
  <c r="AM197" i="42"/>
  <c r="AN197" i="42"/>
  <c r="AO197" i="42"/>
  <c r="AP197" i="42"/>
  <c r="AQ197" i="42"/>
  <c r="AR197" i="42"/>
  <c r="AS197" i="42"/>
  <c r="AT197" i="42"/>
  <c r="AU197" i="42"/>
  <c r="AV197" i="42"/>
  <c r="AW197" i="42"/>
  <c r="AX197" i="42"/>
  <c r="AY197" i="42"/>
  <c r="BB197" i="42"/>
  <c r="BC197" i="42"/>
  <c r="BD197" i="42"/>
  <c r="BE197" i="42"/>
  <c r="BF197" i="42"/>
  <c r="BG197" i="42"/>
  <c r="BH197" i="42"/>
  <c r="BI197" i="42"/>
  <c r="BJ197" i="42"/>
  <c r="BK197" i="42"/>
  <c r="BL197" i="42"/>
  <c r="BM197" i="42"/>
  <c r="BN197" i="42"/>
  <c r="BO197" i="42"/>
  <c r="D198" i="42"/>
  <c r="F198" i="42"/>
  <c r="G198" i="42"/>
  <c r="H198" i="42"/>
  <c r="I198" i="42"/>
  <c r="K198" i="42"/>
  <c r="L198" i="42"/>
  <c r="N198" i="42"/>
  <c r="O198" i="42"/>
  <c r="P198" i="42"/>
  <c r="Q198" i="42"/>
  <c r="S198" i="42"/>
  <c r="T198" i="42"/>
  <c r="V198" i="42"/>
  <c r="X198" i="42"/>
  <c r="Y198" i="42"/>
  <c r="Z198" i="42"/>
  <c r="AA198" i="42"/>
  <c r="AB198" i="42"/>
  <c r="AC198" i="42"/>
  <c r="AF198" i="42"/>
  <c r="AG198" i="42"/>
  <c r="AH198" i="42"/>
  <c r="AI198" i="42"/>
  <c r="AJ198" i="42"/>
  <c r="AL198" i="42"/>
  <c r="AM198" i="42"/>
  <c r="AN198" i="42"/>
  <c r="AO198" i="42"/>
  <c r="AP198" i="42"/>
  <c r="AQ198" i="42"/>
  <c r="AR198" i="42"/>
  <c r="AS198" i="42"/>
  <c r="AT198" i="42"/>
  <c r="AU198" i="42"/>
  <c r="AV198" i="42"/>
  <c r="AW198" i="42"/>
  <c r="AX198" i="42"/>
  <c r="AY198" i="42"/>
  <c r="BB198" i="42"/>
  <c r="BC198" i="42"/>
  <c r="BD198" i="42"/>
  <c r="BE198" i="42"/>
  <c r="BF198" i="42"/>
  <c r="BG198" i="42"/>
  <c r="BH198" i="42"/>
  <c r="BI198" i="42"/>
  <c r="BJ198" i="42"/>
  <c r="BK198" i="42"/>
  <c r="BL198" i="42"/>
  <c r="BM198" i="42"/>
  <c r="BN198" i="42"/>
  <c r="BO198" i="42"/>
  <c r="D199" i="42"/>
  <c r="F199" i="42"/>
  <c r="G199" i="42"/>
  <c r="H199" i="42"/>
  <c r="I199" i="42"/>
  <c r="K199" i="42"/>
  <c r="L199" i="42"/>
  <c r="N199" i="42"/>
  <c r="O199" i="42"/>
  <c r="P199" i="42"/>
  <c r="Q199" i="42"/>
  <c r="S199" i="42"/>
  <c r="T199" i="42"/>
  <c r="V199" i="42"/>
  <c r="X199" i="42"/>
  <c r="Y199" i="42"/>
  <c r="Z199" i="42"/>
  <c r="AA199" i="42"/>
  <c r="AB199" i="42"/>
  <c r="AC199" i="42"/>
  <c r="AF199" i="42"/>
  <c r="AG199" i="42"/>
  <c r="AH199" i="42"/>
  <c r="AI199" i="42"/>
  <c r="AJ199" i="42"/>
  <c r="AL199" i="42"/>
  <c r="AM199" i="42"/>
  <c r="AN199" i="42"/>
  <c r="AO199" i="42"/>
  <c r="AP199" i="42"/>
  <c r="AQ199" i="42"/>
  <c r="AR199" i="42"/>
  <c r="AS199" i="42"/>
  <c r="AT199" i="42"/>
  <c r="AU199" i="42"/>
  <c r="AV199" i="42"/>
  <c r="AW199" i="42"/>
  <c r="AX199" i="42"/>
  <c r="AY199" i="42"/>
  <c r="BB199" i="42"/>
  <c r="BC199" i="42"/>
  <c r="BD199" i="42"/>
  <c r="BE199" i="42"/>
  <c r="BF199" i="42"/>
  <c r="BG199" i="42"/>
  <c r="BH199" i="42"/>
  <c r="BI199" i="42"/>
  <c r="BJ199" i="42"/>
  <c r="BK199" i="42"/>
  <c r="BL199" i="42"/>
  <c r="BM199" i="42"/>
  <c r="BN199" i="42"/>
  <c r="BO199" i="42"/>
  <c r="D200" i="42"/>
  <c r="F200" i="42"/>
  <c r="G200" i="42"/>
  <c r="H200" i="42"/>
  <c r="I200" i="42"/>
  <c r="K200" i="42"/>
  <c r="L200" i="42"/>
  <c r="N200" i="42"/>
  <c r="O200" i="42"/>
  <c r="P200" i="42"/>
  <c r="Q200" i="42"/>
  <c r="S200" i="42"/>
  <c r="T200" i="42"/>
  <c r="V200" i="42"/>
  <c r="X200" i="42"/>
  <c r="Y200" i="42"/>
  <c r="Z200" i="42"/>
  <c r="AA200" i="42"/>
  <c r="AB200" i="42"/>
  <c r="AC200" i="42"/>
  <c r="AF200" i="42"/>
  <c r="AG200" i="42"/>
  <c r="AH200" i="42"/>
  <c r="AI200" i="42"/>
  <c r="AJ200" i="42"/>
  <c r="AL200" i="42"/>
  <c r="AM200" i="42"/>
  <c r="AN200" i="42"/>
  <c r="AO200" i="42"/>
  <c r="AP200" i="42"/>
  <c r="AQ200" i="42"/>
  <c r="AR200" i="42"/>
  <c r="AS200" i="42"/>
  <c r="AT200" i="42"/>
  <c r="AU200" i="42"/>
  <c r="AV200" i="42"/>
  <c r="AW200" i="42"/>
  <c r="AX200" i="42"/>
  <c r="AY200" i="42"/>
  <c r="BB200" i="42"/>
  <c r="BC200" i="42"/>
  <c r="BD200" i="42"/>
  <c r="BE200" i="42"/>
  <c r="BF200" i="42"/>
  <c r="BG200" i="42"/>
  <c r="BH200" i="42"/>
  <c r="BI200" i="42"/>
  <c r="BJ200" i="42"/>
  <c r="BK200" i="42"/>
  <c r="BL200" i="42"/>
  <c r="BM200" i="42"/>
  <c r="BN200" i="42"/>
  <c r="BO200" i="42"/>
  <c r="D201" i="42"/>
  <c r="F201" i="42"/>
  <c r="G201" i="42"/>
  <c r="H201" i="42"/>
  <c r="I201" i="42"/>
  <c r="K201" i="42"/>
  <c r="L201" i="42"/>
  <c r="N201" i="42"/>
  <c r="O201" i="42"/>
  <c r="P201" i="42"/>
  <c r="Q201" i="42"/>
  <c r="S201" i="42"/>
  <c r="T201" i="42"/>
  <c r="V201" i="42"/>
  <c r="X201" i="42"/>
  <c r="Y201" i="42"/>
  <c r="Z201" i="42"/>
  <c r="AA201" i="42"/>
  <c r="AB201" i="42"/>
  <c r="AC201" i="42"/>
  <c r="AF201" i="42"/>
  <c r="AG201" i="42"/>
  <c r="AH201" i="42"/>
  <c r="AI201" i="42"/>
  <c r="AJ201" i="42"/>
  <c r="AL201" i="42"/>
  <c r="AM201" i="42"/>
  <c r="AN201" i="42"/>
  <c r="AO201" i="42"/>
  <c r="AP201" i="42"/>
  <c r="AQ201" i="42"/>
  <c r="AR201" i="42"/>
  <c r="AS201" i="42"/>
  <c r="AT201" i="42"/>
  <c r="AU201" i="42"/>
  <c r="AV201" i="42"/>
  <c r="AW201" i="42"/>
  <c r="AX201" i="42"/>
  <c r="AY201" i="42"/>
  <c r="BB201" i="42"/>
  <c r="BC201" i="42"/>
  <c r="BD201" i="42"/>
  <c r="BE201" i="42"/>
  <c r="BF201" i="42"/>
  <c r="BG201" i="42"/>
  <c r="BH201" i="42"/>
  <c r="BI201" i="42"/>
  <c r="BJ201" i="42"/>
  <c r="BK201" i="42"/>
  <c r="BL201" i="42"/>
  <c r="BM201" i="42"/>
  <c r="BN201" i="42"/>
  <c r="BO201" i="42"/>
  <c r="D202" i="42"/>
  <c r="F202" i="42"/>
  <c r="G202" i="42"/>
  <c r="H202" i="42"/>
  <c r="I202" i="42"/>
  <c r="K202" i="42"/>
  <c r="L202" i="42"/>
  <c r="N202" i="42"/>
  <c r="O202" i="42"/>
  <c r="P202" i="42"/>
  <c r="Q202" i="42"/>
  <c r="S202" i="42"/>
  <c r="T202" i="42"/>
  <c r="V202" i="42"/>
  <c r="X202" i="42"/>
  <c r="Y202" i="42"/>
  <c r="Z202" i="42"/>
  <c r="AA202" i="42"/>
  <c r="AB202" i="42"/>
  <c r="AC202" i="42"/>
  <c r="AF202" i="42"/>
  <c r="AG202" i="42"/>
  <c r="AH202" i="42"/>
  <c r="AI202" i="42"/>
  <c r="AJ202" i="42"/>
  <c r="AL202" i="42"/>
  <c r="AM202" i="42"/>
  <c r="AN202" i="42"/>
  <c r="AO202" i="42"/>
  <c r="AP202" i="42"/>
  <c r="AQ202" i="42"/>
  <c r="AR202" i="42"/>
  <c r="AS202" i="42"/>
  <c r="AT202" i="42"/>
  <c r="AU202" i="42"/>
  <c r="AV202" i="42"/>
  <c r="AW202" i="42"/>
  <c r="AX202" i="42"/>
  <c r="AY202" i="42"/>
  <c r="BB202" i="42"/>
  <c r="BC202" i="42"/>
  <c r="BD202" i="42"/>
  <c r="BE202" i="42"/>
  <c r="BF202" i="42"/>
  <c r="BG202" i="42"/>
  <c r="BH202" i="42"/>
  <c r="BI202" i="42"/>
  <c r="BJ202" i="42"/>
  <c r="BK202" i="42"/>
  <c r="BL202" i="42"/>
  <c r="BM202" i="42"/>
  <c r="BN202" i="42"/>
  <c r="BO202" i="42"/>
  <c r="D203" i="42"/>
  <c r="F203" i="42"/>
  <c r="G203" i="42"/>
  <c r="H203" i="42"/>
  <c r="I203" i="42"/>
  <c r="K203" i="42"/>
  <c r="L203" i="42"/>
  <c r="N203" i="42"/>
  <c r="O203" i="42"/>
  <c r="P203" i="42"/>
  <c r="Q203" i="42"/>
  <c r="S203" i="42"/>
  <c r="T203" i="42"/>
  <c r="V203" i="42"/>
  <c r="X203" i="42"/>
  <c r="Y203" i="42"/>
  <c r="Z203" i="42"/>
  <c r="AA203" i="42"/>
  <c r="AB203" i="42"/>
  <c r="AC203" i="42"/>
  <c r="AF203" i="42"/>
  <c r="AG203" i="42"/>
  <c r="AH203" i="42"/>
  <c r="AI203" i="42"/>
  <c r="AJ203" i="42"/>
  <c r="AL203" i="42"/>
  <c r="AM203" i="42"/>
  <c r="AN203" i="42"/>
  <c r="AO203" i="42"/>
  <c r="AP203" i="42"/>
  <c r="AQ203" i="42"/>
  <c r="AR203" i="42"/>
  <c r="AS203" i="42"/>
  <c r="AT203" i="42"/>
  <c r="AU203" i="42"/>
  <c r="AV203" i="42"/>
  <c r="AW203" i="42"/>
  <c r="AX203" i="42"/>
  <c r="AY203" i="42"/>
  <c r="BB203" i="42"/>
  <c r="BC203" i="42"/>
  <c r="BD203" i="42"/>
  <c r="BE203" i="42"/>
  <c r="BF203" i="42"/>
  <c r="BG203" i="42"/>
  <c r="BH203" i="42"/>
  <c r="BI203" i="42"/>
  <c r="BJ203" i="42"/>
  <c r="BK203" i="42"/>
  <c r="BL203" i="42"/>
  <c r="BM203" i="42"/>
  <c r="BN203" i="42"/>
  <c r="BO203" i="42"/>
  <c r="D204" i="42"/>
  <c r="F204" i="42"/>
  <c r="G204" i="42"/>
  <c r="H204" i="42"/>
  <c r="I204" i="42"/>
  <c r="K204" i="42"/>
  <c r="L204" i="42"/>
  <c r="N204" i="42"/>
  <c r="O204" i="42"/>
  <c r="P204" i="42"/>
  <c r="Q204" i="42"/>
  <c r="S204" i="42"/>
  <c r="T204" i="42"/>
  <c r="V204" i="42"/>
  <c r="X204" i="42"/>
  <c r="Y204" i="42"/>
  <c r="Z204" i="42"/>
  <c r="AA204" i="42"/>
  <c r="AB204" i="42"/>
  <c r="AC204" i="42"/>
  <c r="AF204" i="42"/>
  <c r="AG204" i="42"/>
  <c r="AH204" i="42"/>
  <c r="AI204" i="42"/>
  <c r="AJ204" i="42"/>
  <c r="AL204" i="42"/>
  <c r="AM204" i="42"/>
  <c r="AN204" i="42"/>
  <c r="AO204" i="42"/>
  <c r="AP204" i="42"/>
  <c r="AQ204" i="42"/>
  <c r="AR204" i="42"/>
  <c r="AS204" i="42"/>
  <c r="AT204" i="42"/>
  <c r="AU204" i="42"/>
  <c r="AV204" i="42"/>
  <c r="AW204" i="42"/>
  <c r="AX204" i="42"/>
  <c r="AY204" i="42"/>
  <c r="BB204" i="42"/>
  <c r="BC204" i="42"/>
  <c r="BD204" i="42"/>
  <c r="BE204" i="42"/>
  <c r="BF204" i="42"/>
  <c r="BG204" i="42"/>
  <c r="BH204" i="42"/>
  <c r="BI204" i="42"/>
  <c r="BJ204" i="42"/>
  <c r="BK204" i="42"/>
  <c r="BL204" i="42"/>
  <c r="BM204" i="42"/>
  <c r="BN204" i="42"/>
  <c r="BO204" i="42"/>
  <c r="D205" i="42"/>
  <c r="F205" i="42"/>
  <c r="G205" i="42"/>
  <c r="H205" i="42"/>
  <c r="I205" i="42"/>
  <c r="K205" i="42"/>
  <c r="L205" i="42"/>
  <c r="N205" i="42"/>
  <c r="O205" i="42"/>
  <c r="P205" i="42"/>
  <c r="Q205" i="42"/>
  <c r="S205" i="42"/>
  <c r="T205" i="42"/>
  <c r="V205" i="42"/>
  <c r="X205" i="42"/>
  <c r="Y205" i="42"/>
  <c r="Z205" i="42"/>
  <c r="AA205" i="42"/>
  <c r="AB205" i="42"/>
  <c r="AC205" i="42"/>
  <c r="AF205" i="42"/>
  <c r="AG205" i="42"/>
  <c r="AH205" i="42"/>
  <c r="AI205" i="42"/>
  <c r="AJ205" i="42"/>
  <c r="AL205" i="42"/>
  <c r="AM205" i="42"/>
  <c r="AN205" i="42"/>
  <c r="AO205" i="42"/>
  <c r="AP205" i="42"/>
  <c r="AQ205" i="42"/>
  <c r="AR205" i="42"/>
  <c r="AS205" i="42"/>
  <c r="AT205" i="42"/>
  <c r="AU205" i="42"/>
  <c r="AV205" i="42"/>
  <c r="AW205" i="42"/>
  <c r="AX205" i="42"/>
  <c r="AY205" i="42"/>
  <c r="BB205" i="42"/>
  <c r="BC205" i="42"/>
  <c r="BD205" i="42"/>
  <c r="BE205" i="42"/>
  <c r="BF205" i="42"/>
  <c r="BG205" i="42"/>
  <c r="BH205" i="42"/>
  <c r="BI205" i="42"/>
  <c r="BJ205" i="42"/>
  <c r="BK205" i="42"/>
  <c r="BL205" i="42"/>
  <c r="BM205" i="42"/>
  <c r="BN205" i="42"/>
  <c r="BO205" i="42"/>
  <c r="D206" i="42"/>
  <c r="F206" i="42"/>
  <c r="G206" i="42"/>
  <c r="H206" i="42"/>
  <c r="I206" i="42"/>
  <c r="K206" i="42"/>
  <c r="L206" i="42"/>
  <c r="N206" i="42"/>
  <c r="O206" i="42"/>
  <c r="P206" i="42"/>
  <c r="Q206" i="42"/>
  <c r="S206" i="42"/>
  <c r="T206" i="42"/>
  <c r="V206" i="42"/>
  <c r="X206" i="42"/>
  <c r="Y206" i="42"/>
  <c r="Z206" i="42"/>
  <c r="AA206" i="42"/>
  <c r="AB206" i="42"/>
  <c r="AC206" i="42"/>
  <c r="AF206" i="42"/>
  <c r="AG206" i="42"/>
  <c r="AH206" i="42"/>
  <c r="AI206" i="42"/>
  <c r="AJ206" i="42"/>
  <c r="AL206" i="42"/>
  <c r="AM206" i="42"/>
  <c r="AN206" i="42"/>
  <c r="AO206" i="42"/>
  <c r="AP206" i="42"/>
  <c r="AQ206" i="42"/>
  <c r="AR206" i="42"/>
  <c r="AS206" i="42"/>
  <c r="AT206" i="42"/>
  <c r="AU206" i="42"/>
  <c r="AV206" i="42"/>
  <c r="AW206" i="42"/>
  <c r="AX206" i="42"/>
  <c r="AY206" i="42"/>
  <c r="BB206" i="42"/>
  <c r="BC206" i="42"/>
  <c r="BD206" i="42"/>
  <c r="BE206" i="42"/>
  <c r="BF206" i="42"/>
  <c r="BG206" i="42"/>
  <c r="BH206" i="42"/>
  <c r="BI206" i="42"/>
  <c r="BJ206" i="42"/>
  <c r="BK206" i="42"/>
  <c r="BL206" i="42"/>
  <c r="BM206" i="42"/>
  <c r="BN206" i="42"/>
  <c r="BO206" i="42"/>
  <c r="D207" i="42"/>
  <c r="F207" i="42"/>
  <c r="G207" i="42"/>
  <c r="H207" i="42"/>
  <c r="I207" i="42"/>
  <c r="K207" i="42"/>
  <c r="L207" i="42"/>
  <c r="N207" i="42"/>
  <c r="O207" i="42"/>
  <c r="P207" i="42"/>
  <c r="Q207" i="42"/>
  <c r="S207" i="42"/>
  <c r="T207" i="42"/>
  <c r="V207" i="42"/>
  <c r="X207" i="42"/>
  <c r="Y207" i="42"/>
  <c r="Z207" i="42"/>
  <c r="AA207" i="42"/>
  <c r="AB207" i="42"/>
  <c r="AC207" i="42"/>
  <c r="AF207" i="42"/>
  <c r="AG207" i="42"/>
  <c r="AH207" i="42"/>
  <c r="AI207" i="42"/>
  <c r="AJ207" i="42"/>
  <c r="AL207" i="42"/>
  <c r="AM207" i="42"/>
  <c r="AN207" i="42"/>
  <c r="AO207" i="42"/>
  <c r="AP207" i="42"/>
  <c r="AQ207" i="42"/>
  <c r="AR207" i="42"/>
  <c r="AS207" i="42"/>
  <c r="AT207" i="42"/>
  <c r="AU207" i="42"/>
  <c r="AV207" i="42"/>
  <c r="AW207" i="42"/>
  <c r="AX207" i="42"/>
  <c r="AY207" i="42"/>
  <c r="BB207" i="42"/>
  <c r="BC207" i="42"/>
  <c r="BD207" i="42"/>
  <c r="BE207" i="42"/>
  <c r="BF207" i="42"/>
  <c r="BG207" i="42"/>
  <c r="BH207" i="42"/>
  <c r="BI207" i="42"/>
  <c r="BJ207" i="42"/>
  <c r="BK207" i="42"/>
  <c r="BL207" i="42"/>
  <c r="BM207" i="42"/>
  <c r="BN207" i="42"/>
  <c r="BO207" i="42"/>
  <c r="D208" i="42"/>
  <c r="F208" i="42"/>
  <c r="G208" i="42"/>
  <c r="H208" i="42"/>
  <c r="I208" i="42"/>
  <c r="K208" i="42"/>
  <c r="L208" i="42"/>
  <c r="N208" i="42"/>
  <c r="O208" i="42"/>
  <c r="P208" i="42"/>
  <c r="Q208" i="42"/>
  <c r="S208" i="42"/>
  <c r="T208" i="42"/>
  <c r="V208" i="42"/>
  <c r="X208" i="42"/>
  <c r="Y208" i="42"/>
  <c r="Z208" i="42"/>
  <c r="AA208" i="42"/>
  <c r="AB208" i="42"/>
  <c r="AC208" i="42"/>
  <c r="AF208" i="42"/>
  <c r="AG208" i="42"/>
  <c r="AH208" i="42"/>
  <c r="AI208" i="42"/>
  <c r="AJ208" i="42"/>
  <c r="AL208" i="42"/>
  <c r="AM208" i="42"/>
  <c r="AN208" i="42"/>
  <c r="AO208" i="42"/>
  <c r="AP208" i="42"/>
  <c r="AQ208" i="42"/>
  <c r="AR208" i="42"/>
  <c r="AS208" i="42"/>
  <c r="AT208" i="42"/>
  <c r="AU208" i="42"/>
  <c r="AV208" i="42"/>
  <c r="AW208" i="42"/>
  <c r="AX208" i="42"/>
  <c r="AY208" i="42"/>
  <c r="BB208" i="42"/>
  <c r="BC208" i="42"/>
  <c r="BD208" i="42"/>
  <c r="BE208" i="42"/>
  <c r="BF208" i="42"/>
  <c r="BG208" i="42"/>
  <c r="BH208" i="42"/>
  <c r="BI208" i="42"/>
  <c r="BJ208" i="42"/>
  <c r="BK208" i="42"/>
  <c r="BL208" i="42"/>
  <c r="BM208" i="42"/>
  <c r="BN208" i="42"/>
  <c r="BO208" i="42"/>
  <c r="D209" i="42"/>
  <c r="F209" i="42"/>
  <c r="G209" i="42"/>
  <c r="H209" i="42"/>
  <c r="I209" i="42"/>
  <c r="K209" i="42"/>
  <c r="L209" i="42"/>
  <c r="N209" i="42"/>
  <c r="O209" i="42"/>
  <c r="P209" i="42"/>
  <c r="Q209" i="42"/>
  <c r="S209" i="42"/>
  <c r="T209" i="42"/>
  <c r="V209" i="42"/>
  <c r="X209" i="42"/>
  <c r="Y209" i="42"/>
  <c r="Z209" i="42"/>
  <c r="AA209" i="42"/>
  <c r="AB209" i="42"/>
  <c r="AC209" i="42"/>
  <c r="AF209" i="42"/>
  <c r="AG209" i="42"/>
  <c r="AH209" i="42"/>
  <c r="AI209" i="42"/>
  <c r="AJ209" i="42"/>
  <c r="AL209" i="42"/>
  <c r="AM209" i="42"/>
  <c r="AN209" i="42"/>
  <c r="AO209" i="42"/>
  <c r="AP209" i="42"/>
  <c r="AQ209" i="42"/>
  <c r="AR209" i="42"/>
  <c r="AS209" i="42"/>
  <c r="AT209" i="42"/>
  <c r="AU209" i="42"/>
  <c r="AV209" i="42"/>
  <c r="AW209" i="42"/>
  <c r="AX209" i="42"/>
  <c r="AY209" i="42"/>
  <c r="BB209" i="42"/>
  <c r="BC209" i="42"/>
  <c r="BD209" i="42"/>
  <c r="BE209" i="42"/>
  <c r="BF209" i="42"/>
  <c r="BG209" i="42"/>
  <c r="BH209" i="42"/>
  <c r="BI209" i="42"/>
  <c r="BJ209" i="42"/>
  <c r="BK209" i="42"/>
  <c r="BL209" i="42"/>
  <c r="BM209" i="42"/>
  <c r="BN209" i="42"/>
  <c r="BO209" i="42"/>
  <c r="D210" i="42"/>
  <c r="F210" i="42"/>
  <c r="G210" i="42"/>
  <c r="H210" i="42"/>
  <c r="I210" i="42"/>
  <c r="K210" i="42"/>
  <c r="L210" i="42"/>
  <c r="N210" i="42"/>
  <c r="O210" i="42"/>
  <c r="P210" i="42"/>
  <c r="Q210" i="42"/>
  <c r="S210" i="42"/>
  <c r="T210" i="42"/>
  <c r="V210" i="42"/>
  <c r="X210" i="42"/>
  <c r="Y210" i="42"/>
  <c r="Z210" i="42"/>
  <c r="AA210" i="42"/>
  <c r="AB210" i="42"/>
  <c r="AC210" i="42"/>
  <c r="AF210" i="42"/>
  <c r="AG210" i="42"/>
  <c r="AH210" i="42"/>
  <c r="AI210" i="42"/>
  <c r="AJ210" i="42"/>
  <c r="AL210" i="42"/>
  <c r="AM210" i="42"/>
  <c r="AN210" i="42"/>
  <c r="AO210" i="42"/>
  <c r="AP210" i="42"/>
  <c r="AQ210" i="42"/>
  <c r="AR210" i="42"/>
  <c r="AS210" i="42"/>
  <c r="AT210" i="42"/>
  <c r="AU210" i="42"/>
  <c r="AV210" i="42"/>
  <c r="AW210" i="42"/>
  <c r="AX210" i="42"/>
  <c r="AY210" i="42"/>
  <c r="BB210" i="42"/>
  <c r="BC210" i="42"/>
  <c r="BD210" i="42"/>
  <c r="BE210" i="42"/>
  <c r="BF210" i="42"/>
  <c r="BG210" i="42"/>
  <c r="BH210" i="42"/>
  <c r="BI210" i="42"/>
  <c r="BJ210" i="42"/>
  <c r="BK210" i="42"/>
  <c r="BL210" i="42"/>
  <c r="BM210" i="42"/>
  <c r="BN210" i="42"/>
  <c r="BO210" i="42"/>
  <c r="D211" i="42"/>
  <c r="F211" i="42"/>
  <c r="G211" i="42"/>
  <c r="H211" i="42"/>
  <c r="I211" i="42"/>
  <c r="K211" i="42"/>
  <c r="L211" i="42"/>
  <c r="N211" i="42"/>
  <c r="O211" i="42"/>
  <c r="P211" i="42"/>
  <c r="Q211" i="42"/>
  <c r="S211" i="42"/>
  <c r="T211" i="42"/>
  <c r="V211" i="42"/>
  <c r="X211" i="42"/>
  <c r="Y211" i="42"/>
  <c r="Z211" i="42"/>
  <c r="AA211" i="42"/>
  <c r="AB211" i="42"/>
  <c r="AC211" i="42"/>
  <c r="AF211" i="42"/>
  <c r="AG211" i="42"/>
  <c r="AH211" i="42"/>
  <c r="AI211" i="42"/>
  <c r="AJ211" i="42"/>
  <c r="AL211" i="42"/>
  <c r="AM211" i="42"/>
  <c r="AN211" i="42"/>
  <c r="AO211" i="42"/>
  <c r="AP211" i="42"/>
  <c r="AQ211" i="42"/>
  <c r="AR211" i="42"/>
  <c r="AS211" i="42"/>
  <c r="AT211" i="42"/>
  <c r="AU211" i="42"/>
  <c r="AV211" i="42"/>
  <c r="AW211" i="42"/>
  <c r="AX211" i="42"/>
  <c r="AY211" i="42"/>
  <c r="BB211" i="42"/>
  <c r="BC211" i="42"/>
  <c r="BD211" i="42"/>
  <c r="BE211" i="42"/>
  <c r="BF211" i="42"/>
  <c r="BG211" i="42"/>
  <c r="BH211" i="42"/>
  <c r="BI211" i="42"/>
  <c r="BJ211" i="42"/>
  <c r="BK211" i="42"/>
  <c r="BL211" i="42"/>
  <c r="BM211" i="42"/>
  <c r="BN211" i="42"/>
  <c r="BO211" i="42"/>
  <c r="D212" i="42"/>
  <c r="F212" i="42"/>
  <c r="G212" i="42"/>
  <c r="H212" i="42"/>
  <c r="I212" i="42"/>
  <c r="K212" i="42"/>
  <c r="L212" i="42"/>
  <c r="N212" i="42"/>
  <c r="O212" i="42"/>
  <c r="P212" i="42"/>
  <c r="Q212" i="42"/>
  <c r="S212" i="42"/>
  <c r="T212" i="42"/>
  <c r="V212" i="42"/>
  <c r="X212" i="42"/>
  <c r="Y212" i="42"/>
  <c r="Z212" i="42"/>
  <c r="AA212" i="42"/>
  <c r="AB212" i="42"/>
  <c r="AC212" i="42"/>
  <c r="AF212" i="42"/>
  <c r="AG212" i="42"/>
  <c r="AH212" i="42"/>
  <c r="AI212" i="42"/>
  <c r="AJ212" i="42"/>
  <c r="AL212" i="42"/>
  <c r="AM212" i="42"/>
  <c r="AN212" i="42"/>
  <c r="AO212" i="42"/>
  <c r="AP212" i="42"/>
  <c r="AQ212" i="42"/>
  <c r="AR212" i="42"/>
  <c r="AS212" i="42"/>
  <c r="AT212" i="42"/>
  <c r="AU212" i="42"/>
  <c r="AV212" i="42"/>
  <c r="AW212" i="42"/>
  <c r="AX212" i="42"/>
  <c r="AY212" i="42"/>
  <c r="BB212" i="42"/>
  <c r="BC212" i="42"/>
  <c r="BD212" i="42"/>
  <c r="BE212" i="42"/>
  <c r="BF212" i="42"/>
  <c r="BG212" i="42"/>
  <c r="BH212" i="42"/>
  <c r="BI212" i="42"/>
  <c r="BJ212" i="42"/>
  <c r="BK212" i="42"/>
  <c r="BL212" i="42"/>
  <c r="BM212" i="42"/>
  <c r="BN212" i="42"/>
  <c r="BO212" i="42"/>
  <c r="D213" i="42"/>
  <c r="F213" i="42"/>
  <c r="G213" i="42"/>
  <c r="H213" i="42"/>
  <c r="I213" i="42"/>
  <c r="K213" i="42"/>
  <c r="L213" i="42"/>
  <c r="N213" i="42"/>
  <c r="O213" i="42"/>
  <c r="P213" i="42"/>
  <c r="Q213" i="42"/>
  <c r="S213" i="42"/>
  <c r="T213" i="42"/>
  <c r="V213" i="42"/>
  <c r="X213" i="42"/>
  <c r="Y213" i="42"/>
  <c r="Z213" i="42"/>
  <c r="AA213" i="42"/>
  <c r="AB213" i="42"/>
  <c r="AC213" i="42"/>
  <c r="AF213" i="42"/>
  <c r="AG213" i="42"/>
  <c r="AH213" i="42"/>
  <c r="AI213" i="42"/>
  <c r="AJ213" i="42"/>
  <c r="AL213" i="42"/>
  <c r="AM213" i="42"/>
  <c r="AN213" i="42"/>
  <c r="AO213" i="42"/>
  <c r="AP213" i="42"/>
  <c r="AQ213" i="42"/>
  <c r="AR213" i="42"/>
  <c r="AS213" i="42"/>
  <c r="AT213" i="42"/>
  <c r="AU213" i="42"/>
  <c r="AV213" i="42"/>
  <c r="AW213" i="42"/>
  <c r="AX213" i="42"/>
  <c r="AY213" i="42"/>
  <c r="BB213" i="42"/>
  <c r="BC213" i="42"/>
  <c r="BD213" i="42"/>
  <c r="BE213" i="42"/>
  <c r="BF213" i="42"/>
  <c r="BG213" i="42"/>
  <c r="BH213" i="42"/>
  <c r="BI213" i="42"/>
  <c r="BJ213" i="42"/>
  <c r="BK213" i="42"/>
  <c r="BL213" i="42"/>
  <c r="BM213" i="42"/>
  <c r="BN213" i="42"/>
  <c r="BO213" i="42"/>
  <c r="D214" i="42"/>
  <c r="F214" i="42"/>
  <c r="G214" i="42"/>
  <c r="H214" i="42"/>
  <c r="I214" i="42"/>
  <c r="K214" i="42"/>
  <c r="L214" i="42"/>
  <c r="N214" i="42"/>
  <c r="O214" i="42"/>
  <c r="P214" i="42"/>
  <c r="Q214" i="42"/>
  <c r="S214" i="42"/>
  <c r="T214" i="42"/>
  <c r="V214" i="42"/>
  <c r="X214" i="42"/>
  <c r="Y214" i="42"/>
  <c r="Z214" i="42"/>
  <c r="AA214" i="42"/>
  <c r="AB214" i="42"/>
  <c r="AC214" i="42"/>
  <c r="AF214" i="42"/>
  <c r="AG214" i="42"/>
  <c r="AH214" i="42"/>
  <c r="AI214" i="42"/>
  <c r="AJ214" i="42"/>
  <c r="AL214" i="42"/>
  <c r="AM214" i="42"/>
  <c r="AN214" i="42"/>
  <c r="AO214" i="42"/>
  <c r="AP214" i="42"/>
  <c r="AQ214" i="42"/>
  <c r="AR214" i="42"/>
  <c r="AS214" i="42"/>
  <c r="AT214" i="42"/>
  <c r="AU214" i="42"/>
  <c r="AV214" i="42"/>
  <c r="AW214" i="42"/>
  <c r="AX214" i="42"/>
  <c r="AY214" i="42"/>
  <c r="BB214" i="42"/>
  <c r="BC214" i="42"/>
  <c r="BD214" i="42"/>
  <c r="BE214" i="42"/>
  <c r="BF214" i="42"/>
  <c r="BG214" i="42"/>
  <c r="BH214" i="42"/>
  <c r="BI214" i="42"/>
  <c r="BJ214" i="42"/>
  <c r="BK214" i="42"/>
  <c r="BL214" i="42"/>
  <c r="BM214" i="42"/>
  <c r="BN214" i="42"/>
  <c r="BO214" i="42"/>
  <c r="D215" i="42"/>
  <c r="F215" i="42"/>
  <c r="G215" i="42"/>
  <c r="H215" i="42"/>
  <c r="I215" i="42"/>
  <c r="K215" i="42"/>
  <c r="L215" i="42"/>
  <c r="N215" i="42"/>
  <c r="O215" i="42"/>
  <c r="P215" i="42"/>
  <c r="Q215" i="42"/>
  <c r="S215" i="42"/>
  <c r="T215" i="42"/>
  <c r="V215" i="42"/>
  <c r="X215" i="42"/>
  <c r="Y215" i="42"/>
  <c r="Z215" i="42"/>
  <c r="AA215" i="42"/>
  <c r="AB215" i="42"/>
  <c r="AC215" i="42"/>
  <c r="AF215" i="42"/>
  <c r="AG215" i="42"/>
  <c r="AH215" i="42"/>
  <c r="AI215" i="42"/>
  <c r="AJ215" i="42"/>
  <c r="AL215" i="42"/>
  <c r="AM215" i="42"/>
  <c r="AN215" i="42"/>
  <c r="AO215" i="42"/>
  <c r="AP215" i="42"/>
  <c r="AQ215" i="42"/>
  <c r="AR215" i="42"/>
  <c r="AS215" i="42"/>
  <c r="AT215" i="42"/>
  <c r="AU215" i="42"/>
  <c r="AV215" i="42"/>
  <c r="AW215" i="42"/>
  <c r="AX215" i="42"/>
  <c r="AY215" i="42"/>
  <c r="BB215" i="42"/>
  <c r="BC215" i="42"/>
  <c r="BD215" i="42"/>
  <c r="BE215" i="42"/>
  <c r="BF215" i="42"/>
  <c r="BG215" i="42"/>
  <c r="BH215" i="42"/>
  <c r="BI215" i="42"/>
  <c r="BJ215" i="42"/>
  <c r="BK215" i="42"/>
  <c r="BL215" i="42"/>
  <c r="BM215" i="42"/>
  <c r="BN215" i="42"/>
  <c r="BO215" i="42"/>
  <c r="D216" i="42"/>
  <c r="F216" i="42"/>
  <c r="G216" i="42"/>
  <c r="H216" i="42"/>
  <c r="I216" i="42"/>
  <c r="K216" i="42"/>
  <c r="L216" i="42"/>
  <c r="N216" i="42"/>
  <c r="O216" i="42"/>
  <c r="P216" i="42"/>
  <c r="Q216" i="42"/>
  <c r="S216" i="42"/>
  <c r="T216" i="42"/>
  <c r="V216" i="42"/>
  <c r="X216" i="42"/>
  <c r="Y216" i="42"/>
  <c r="Z216" i="42"/>
  <c r="AA216" i="42"/>
  <c r="AB216" i="42"/>
  <c r="AC216" i="42"/>
  <c r="AF216" i="42"/>
  <c r="AG216" i="42"/>
  <c r="AH216" i="42"/>
  <c r="AI216" i="42"/>
  <c r="AJ216" i="42"/>
  <c r="AL216" i="42"/>
  <c r="AM216" i="42"/>
  <c r="AN216" i="42"/>
  <c r="AO216" i="42"/>
  <c r="AP216" i="42"/>
  <c r="AQ216" i="42"/>
  <c r="AR216" i="42"/>
  <c r="AS216" i="42"/>
  <c r="AT216" i="42"/>
  <c r="AU216" i="42"/>
  <c r="AV216" i="42"/>
  <c r="AW216" i="42"/>
  <c r="AX216" i="42"/>
  <c r="AY216" i="42"/>
  <c r="BB216" i="42"/>
  <c r="BC216" i="42"/>
  <c r="BD216" i="42"/>
  <c r="BE216" i="42"/>
  <c r="BF216" i="42"/>
  <c r="BG216" i="42"/>
  <c r="BH216" i="42"/>
  <c r="BI216" i="42"/>
  <c r="BJ216" i="42"/>
  <c r="BK216" i="42"/>
  <c r="BL216" i="42"/>
  <c r="BM216" i="42"/>
  <c r="BN216" i="42"/>
  <c r="BO216" i="42"/>
  <c r="D217" i="42"/>
  <c r="F217" i="42"/>
  <c r="G217" i="42"/>
  <c r="H217" i="42"/>
  <c r="I217" i="42"/>
  <c r="K217" i="42"/>
  <c r="L217" i="42"/>
  <c r="N217" i="42"/>
  <c r="O217" i="42"/>
  <c r="P217" i="42"/>
  <c r="Q217" i="42"/>
  <c r="S217" i="42"/>
  <c r="T217" i="42"/>
  <c r="V217" i="42"/>
  <c r="X217" i="42"/>
  <c r="Y217" i="42"/>
  <c r="Z217" i="42"/>
  <c r="AA217" i="42"/>
  <c r="AB217" i="42"/>
  <c r="AC217" i="42"/>
  <c r="AF217" i="42"/>
  <c r="AG217" i="42"/>
  <c r="AH217" i="42"/>
  <c r="AI217" i="42"/>
  <c r="AJ217" i="42"/>
  <c r="AL217" i="42"/>
  <c r="AM217" i="42"/>
  <c r="AN217" i="42"/>
  <c r="AO217" i="42"/>
  <c r="AP217" i="42"/>
  <c r="AQ217" i="42"/>
  <c r="AR217" i="42"/>
  <c r="AS217" i="42"/>
  <c r="AT217" i="42"/>
  <c r="AU217" i="42"/>
  <c r="AV217" i="42"/>
  <c r="AW217" i="42"/>
  <c r="AX217" i="42"/>
  <c r="AY217" i="42"/>
  <c r="BB217" i="42"/>
  <c r="BC217" i="42"/>
  <c r="BD217" i="42"/>
  <c r="BE217" i="42"/>
  <c r="BF217" i="42"/>
  <c r="BG217" i="42"/>
  <c r="BH217" i="42"/>
  <c r="BI217" i="42"/>
  <c r="BJ217" i="42"/>
  <c r="BK217" i="42"/>
  <c r="BL217" i="42"/>
  <c r="BM217" i="42"/>
  <c r="BN217" i="42"/>
  <c r="BO217" i="42"/>
  <c r="D218" i="42"/>
  <c r="F218" i="42"/>
  <c r="G218" i="42"/>
  <c r="H218" i="42"/>
  <c r="I218" i="42"/>
  <c r="K218" i="42"/>
  <c r="L218" i="42"/>
  <c r="N218" i="42"/>
  <c r="O218" i="42"/>
  <c r="P218" i="42"/>
  <c r="Q218" i="42"/>
  <c r="S218" i="42"/>
  <c r="T218" i="42"/>
  <c r="V218" i="42"/>
  <c r="X218" i="42"/>
  <c r="Y218" i="42"/>
  <c r="Z218" i="42"/>
  <c r="AA218" i="42"/>
  <c r="AB218" i="42"/>
  <c r="AC218" i="42"/>
  <c r="AF218" i="42"/>
  <c r="AG218" i="42"/>
  <c r="AH218" i="42"/>
  <c r="AI218" i="42"/>
  <c r="AJ218" i="42"/>
  <c r="AL218" i="42"/>
  <c r="AM218" i="42"/>
  <c r="AN218" i="42"/>
  <c r="AO218" i="42"/>
  <c r="AP218" i="42"/>
  <c r="AQ218" i="42"/>
  <c r="AR218" i="42"/>
  <c r="AS218" i="42"/>
  <c r="AT218" i="42"/>
  <c r="AU218" i="42"/>
  <c r="AV218" i="42"/>
  <c r="AW218" i="42"/>
  <c r="AX218" i="42"/>
  <c r="AY218" i="42"/>
  <c r="BB218" i="42"/>
  <c r="BC218" i="42"/>
  <c r="BD218" i="42"/>
  <c r="BE218" i="42"/>
  <c r="BF218" i="42"/>
  <c r="BG218" i="42"/>
  <c r="BH218" i="42"/>
  <c r="BI218" i="42"/>
  <c r="BJ218" i="42"/>
  <c r="BK218" i="42"/>
  <c r="BL218" i="42"/>
  <c r="BM218" i="42"/>
  <c r="BN218" i="42"/>
  <c r="BO218" i="42"/>
  <c r="D219" i="42"/>
  <c r="F219" i="42"/>
  <c r="G219" i="42"/>
  <c r="H219" i="42"/>
  <c r="I219" i="42"/>
  <c r="K219" i="42"/>
  <c r="L219" i="42"/>
  <c r="N219" i="42"/>
  <c r="O219" i="42"/>
  <c r="P219" i="42"/>
  <c r="Q219" i="42"/>
  <c r="S219" i="42"/>
  <c r="T219" i="42"/>
  <c r="V219" i="42"/>
  <c r="X219" i="42"/>
  <c r="Y219" i="42"/>
  <c r="Z219" i="42"/>
  <c r="AA219" i="42"/>
  <c r="AB219" i="42"/>
  <c r="AC219" i="42"/>
  <c r="AF219" i="42"/>
  <c r="AG219" i="42"/>
  <c r="AH219" i="42"/>
  <c r="AI219" i="42"/>
  <c r="AJ219" i="42"/>
  <c r="AL219" i="42"/>
  <c r="AM219" i="42"/>
  <c r="AN219" i="42"/>
  <c r="AO219" i="42"/>
  <c r="AP219" i="42"/>
  <c r="AQ219" i="42"/>
  <c r="AR219" i="42"/>
  <c r="AS219" i="42"/>
  <c r="AT219" i="42"/>
  <c r="AU219" i="42"/>
  <c r="AV219" i="42"/>
  <c r="AW219" i="42"/>
  <c r="AX219" i="42"/>
  <c r="AY219" i="42"/>
  <c r="BB219" i="42"/>
  <c r="BC219" i="42"/>
  <c r="BD219" i="42"/>
  <c r="BE219" i="42"/>
  <c r="BF219" i="42"/>
  <c r="BG219" i="42"/>
  <c r="BH219" i="42"/>
  <c r="BI219" i="42"/>
  <c r="BJ219" i="42"/>
  <c r="BK219" i="42"/>
  <c r="BL219" i="42"/>
  <c r="BM219" i="42"/>
  <c r="BN219" i="42"/>
  <c r="BO219" i="42"/>
  <c r="D220" i="42"/>
  <c r="F220" i="42"/>
  <c r="G220" i="42"/>
  <c r="H220" i="42"/>
  <c r="I220" i="42"/>
  <c r="K220" i="42"/>
  <c r="L220" i="42"/>
  <c r="N220" i="42"/>
  <c r="O220" i="42"/>
  <c r="P220" i="42"/>
  <c r="Q220" i="42"/>
  <c r="S220" i="42"/>
  <c r="T220" i="42"/>
  <c r="V220" i="42"/>
  <c r="X220" i="42"/>
  <c r="Y220" i="42"/>
  <c r="Z220" i="42"/>
  <c r="AA220" i="42"/>
  <c r="AB220" i="42"/>
  <c r="AC220" i="42"/>
  <c r="AF220" i="42"/>
  <c r="AG220" i="42"/>
  <c r="AH220" i="42"/>
  <c r="AI220" i="42"/>
  <c r="AJ220" i="42"/>
  <c r="AL220" i="42"/>
  <c r="AM220" i="42"/>
  <c r="AN220" i="42"/>
  <c r="AO220" i="42"/>
  <c r="AP220" i="42"/>
  <c r="AQ220" i="42"/>
  <c r="AR220" i="42"/>
  <c r="AS220" i="42"/>
  <c r="AT220" i="42"/>
  <c r="AU220" i="42"/>
  <c r="AV220" i="42"/>
  <c r="AW220" i="42"/>
  <c r="AX220" i="42"/>
  <c r="AY220" i="42"/>
  <c r="BB220" i="42"/>
  <c r="BC220" i="42"/>
  <c r="BD220" i="42"/>
  <c r="BE220" i="42"/>
  <c r="BF220" i="42"/>
  <c r="BG220" i="42"/>
  <c r="BH220" i="42"/>
  <c r="BI220" i="42"/>
  <c r="BJ220" i="42"/>
  <c r="BK220" i="42"/>
  <c r="BL220" i="42"/>
  <c r="BM220" i="42"/>
  <c r="BN220" i="42"/>
  <c r="BO220" i="42"/>
  <c r="D221" i="42"/>
  <c r="F221" i="42"/>
  <c r="G221" i="42"/>
  <c r="H221" i="42"/>
  <c r="I221" i="42"/>
  <c r="K221" i="42"/>
  <c r="L221" i="42"/>
  <c r="N221" i="42"/>
  <c r="O221" i="42"/>
  <c r="P221" i="42"/>
  <c r="Q221" i="42"/>
  <c r="S221" i="42"/>
  <c r="T221" i="42"/>
  <c r="V221" i="42"/>
  <c r="X221" i="42"/>
  <c r="Y221" i="42"/>
  <c r="Z221" i="42"/>
  <c r="AA221" i="42"/>
  <c r="AB221" i="42"/>
  <c r="AC221" i="42"/>
  <c r="AF221" i="42"/>
  <c r="AG221" i="42"/>
  <c r="AH221" i="42"/>
  <c r="AI221" i="42"/>
  <c r="AJ221" i="42"/>
  <c r="AL221" i="42"/>
  <c r="AM221" i="42"/>
  <c r="AN221" i="42"/>
  <c r="AO221" i="42"/>
  <c r="AP221" i="42"/>
  <c r="AQ221" i="42"/>
  <c r="AR221" i="42"/>
  <c r="AS221" i="42"/>
  <c r="AT221" i="42"/>
  <c r="AU221" i="42"/>
  <c r="AV221" i="42"/>
  <c r="AW221" i="42"/>
  <c r="AX221" i="42"/>
  <c r="AY221" i="42"/>
  <c r="BB221" i="42"/>
  <c r="BC221" i="42"/>
  <c r="BD221" i="42"/>
  <c r="BE221" i="42"/>
  <c r="BF221" i="42"/>
  <c r="BG221" i="42"/>
  <c r="BH221" i="42"/>
  <c r="BI221" i="42"/>
  <c r="BJ221" i="42"/>
  <c r="BK221" i="42"/>
  <c r="BL221" i="42"/>
  <c r="BM221" i="42"/>
  <c r="BN221" i="42"/>
  <c r="BO221" i="42"/>
  <c r="D222" i="42"/>
  <c r="F222" i="42"/>
  <c r="G222" i="42"/>
  <c r="H222" i="42"/>
  <c r="I222" i="42"/>
  <c r="K222" i="42"/>
  <c r="L222" i="42"/>
  <c r="N222" i="42"/>
  <c r="O222" i="42"/>
  <c r="P222" i="42"/>
  <c r="Q222" i="42"/>
  <c r="S222" i="42"/>
  <c r="T222" i="42"/>
  <c r="V222" i="42"/>
  <c r="X222" i="42"/>
  <c r="Y222" i="42"/>
  <c r="Z222" i="42"/>
  <c r="AA222" i="42"/>
  <c r="AB222" i="42"/>
  <c r="AC222" i="42"/>
  <c r="AF222" i="42"/>
  <c r="AG222" i="42"/>
  <c r="AH222" i="42"/>
  <c r="AI222" i="42"/>
  <c r="AJ222" i="42"/>
  <c r="AL222" i="42"/>
  <c r="AM222" i="42"/>
  <c r="AN222" i="42"/>
  <c r="AO222" i="42"/>
  <c r="AP222" i="42"/>
  <c r="AQ222" i="42"/>
  <c r="AR222" i="42"/>
  <c r="AS222" i="42"/>
  <c r="AT222" i="42"/>
  <c r="AU222" i="42"/>
  <c r="AV222" i="42"/>
  <c r="AW222" i="42"/>
  <c r="AX222" i="42"/>
  <c r="AY222" i="42"/>
  <c r="BB222" i="42"/>
  <c r="BC222" i="42"/>
  <c r="BD222" i="42"/>
  <c r="BE222" i="42"/>
  <c r="BF222" i="42"/>
  <c r="BG222" i="42"/>
  <c r="BH222" i="42"/>
  <c r="BI222" i="42"/>
  <c r="BJ222" i="42"/>
  <c r="BK222" i="42"/>
  <c r="BL222" i="42"/>
  <c r="BM222" i="42"/>
  <c r="BN222" i="42"/>
  <c r="BO222" i="42"/>
  <c r="D223" i="42"/>
  <c r="F223" i="42"/>
  <c r="G223" i="42"/>
  <c r="H223" i="42"/>
  <c r="I223" i="42"/>
  <c r="K223" i="42"/>
  <c r="L223" i="42"/>
  <c r="N223" i="42"/>
  <c r="O223" i="42"/>
  <c r="P223" i="42"/>
  <c r="Q223" i="42"/>
  <c r="S223" i="42"/>
  <c r="T223" i="42"/>
  <c r="V223" i="42"/>
  <c r="X223" i="42"/>
  <c r="Y223" i="42"/>
  <c r="Z223" i="42"/>
  <c r="AA223" i="42"/>
  <c r="AB223" i="42"/>
  <c r="AC223" i="42"/>
  <c r="AF223" i="42"/>
  <c r="AG223" i="42"/>
  <c r="AH223" i="42"/>
  <c r="AI223" i="42"/>
  <c r="AJ223" i="42"/>
  <c r="AL223" i="42"/>
  <c r="AM223" i="42"/>
  <c r="AN223" i="42"/>
  <c r="AO223" i="42"/>
  <c r="AP223" i="42"/>
  <c r="AQ223" i="42"/>
  <c r="AR223" i="42"/>
  <c r="AS223" i="42"/>
  <c r="AT223" i="42"/>
  <c r="AU223" i="42"/>
  <c r="AV223" i="42"/>
  <c r="AW223" i="42"/>
  <c r="AX223" i="42"/>
  <c r="AY223" i="42"/>
  <c r="BB223" i="42"/>
  <c r="BC223" i="42"/>
  <c r="BD223" i="42"/>
  <c r="BE223" i="42"/>
  <c r="BF223" i="42"/>
  <c r="BG223" i="42"/>
  <c r="BH223" i="42"/>
  <c r="BI223" i="42"/>
  <c r="BJ223" i="42"/>
  <c r="BK223" i="42"/>
  <c r="BL223" i="42"/>
  <c r="BM223" i="42"/>
  <c r="BN223" i="42"/>
  <c r="BO223" i="42"/>
  <c r="D224" i="42"/>
  <c r="F224" i="42"/>
  <c r="G224" i="42"/>
  <c r="H224" i="42"/>
  <c r="I224" i="42"/>
  <c r="K224" i="42"/>
  <c r="L224" i="42"/>
  <c r="N224" i="42"/>
  <c r="O224" i="42"/>
  <c r="P224" i="42"/>
  <c r="Q224" i="42"/>
  <c r="S224" i="42"/>
  <c r="T224" i="42"/>
  <c r="V224" i="42"/>
  <c r="X224" i="42"/>
  <c r="Y224" i="42"/>
  <c r="Z224" i="42"/>
  <c r="AA224" i="42"/>
  <c r="AB224" i="42"/>
  <c r="AC224" i="42"/>
  <c r="AF224" i="42"/>
  <c r="AG224" i="42"/>
  <c r="AH224" i="42"/>
  <c r="AI224" i="42"/>
  <c r="AJ224" i="42"/>
  <c r="AL224" i="42"/>
  <c r="AM224" i="42"/>
  <c r="AN224" i="42"/>
  <c r="AO224" i="42"/>
  <c r="AP224" i="42"/>
  <c r="AQ224" i="42"/>
  <c r="AR224" i="42"/>
  <c r="AS224" i="42"/>
  <c r="AT224" i="42"/>
  <c r="AU224" i="42"/>
  <c r="AV224" i="42"/>
  <c r="AW224" i="42"/>
  <c r="AX224" i="42"/>
  <c r="AY224" i="42"/>
  <c r="BB224" i="42"/>
  <c r="BC224" i="42"/>
  <c r="BD224" i="42"/>
  <c r="BE224" i="42"/>
  <c r="BF224" i="42"/>
  <c r="BG224" i="42"/>
  <c r="BH224" i="42"/>
  <c r="BI224" i="42"/>
  <c r="BJ224" i="42"/>
  <c r="BK224" i="42"/>
  <c r="BL224" i="42"/>
  <c r="BM224" i="42"/>
  <c r="BN224" i="42"/>
  <c r="BO224" i="42"/>
  <c r="D225" i="42"/>
  <c r="F225" i="42"/>
  <c r="G225" i="42"/>
  <c r="H225" i="42"/>
  <c r="I225" i="42"/>
  <c r="K225" i="42"/>
  <c r="L225" i="42"/>
  <c r="N225" i="42"/>
  <c r="O225" i="42"/>
  <c r="P225" i="42"/>
  <c r="Q225" i="42"/>
  <c r="S225" i="42"/>
  <c r="T225" i="42"/>
  <c r="V225" i="42"/>
  <c r="X225" i="42"/>
  <c r="Y225" i="42"/>
  <c r="Z225" i="42"/>
  <c r="AA225" i="42"/>
  <c r="AB225" i="42"/>
  <c r="AC225" i="42"/>
  <c r="AF225" i="42"/>
  <c r="AG225" i="42"/>
  <c r="AH225" i="42"/>
  <c r="AI225" i="42"/>
  <c r="AJ225" i="42"/>
  <c r="AL225" i="42"/>
  <c r="AM225" i="42"/>
  <c r="AN225" i="42"/>
  <c r="AO225" i="42"/>
  <c r="AP225" i="42"/>
  <c r="AQ225" i="42"/>
  <c r="AR225" i="42"/>
  <c r="AS225" i="42"/>
  <c r="AT225" i="42"/>
  <c r="AU225" i="42"/>
  <c r="AV225" i="42"/>
  <c r="AW225" i="42"/>
  <c r="AX225" i="42"/>
  <c r="AY225" i="42"/>
  <c r="BB225" i="42"/>
  <c r="BC225" i="42"/>
  <c r="BD225" i="42"/>
  <c r="BE225" i="42"/>
  <c r="BF225" i="42"/>
  <c r="BG225" i="42"/>
  <c r="BH225" i="42"/>
  <c r="BI225" i="42"/>
  <c r="BJ225" i="42"/>
  <c r="BK225" i="42"/>
  <c r="BL225" i="42"/>
  <c r="BM225" i="42"/>
  <c r="BN225" i="42"/>
  <c r="BO225" i="42"/>
  <c r="D226" i="42"/>
  <c r="F226" i="42"/>
  <c r="G226" i="42"/>
  <c r="H226" i="42"/>
  <c r="I226" i="42"/>
  <c r="K226" i="42"/>
  <c r="L226" i="42"/>
  <c r="N226" i="42"/>
  <c r="O226" i="42"/>
  <c r="P226" i="42"/>
  <c r="Q226" i="42"/>
  <c r="S226" i="42"/>
  <c r="T226" i="42"/>
  <c r="V226" i="42"/>
  <c r="X226" i="42"/>
  <c r="Y226" i="42"/>
  <c r="Z226" i="42"/>
  <c r="AA226" i="42"/>
  <c r="AB226" i="42"/>
  <c r="AC226" i="42"/>
  <c r="AF226" i="42"/>
  <c r="AG226" i="42"/>
  <c r="AH226" i="42"/>
  <c r="AI226" i="42"/>
  <c r="AJ226" i="42"/>
  <c r="AL226" i="42"/>
  <c r="AM226" i="42"/>
  <c r="AN226" i="42"/>
  <c r="AO226" i="42"/>
  <c r="AP226" i="42"/>
  <c r="AQ226" i="42"/>
  <c r="AR226" i="42"/>
  <c r="AS226" i="42"/>
  <c r="AT226" i="42"/>
  <c r="AU226" i="42"/>
  <c r="AV226" i="42"/>
  <c r="AW226" i="42"/>
  <c r="AX226" i="42"/>
  <c r="AY226" i="42"/>
  <c r="BB226" i="42"/>
  <c r="BC226" i="42"/>
  <c r="BD226" i="42"/>
  <c r="BE226" i="42"/>
  <c r="BF226" i="42"/>
  <c r="BG226" i="42"/>
  <c r="BH226" i="42"/>
  <c r="BI226" i="42"/>
  <c r="BJ226" i="42"/>
  <c r="BK226" i="42"/>
  <c r="BL226" i="42"/>
  <c r="BM226" i="42"/>
  <c r="BN226" i="42"/>
  <c r="BO226" i="42"/>
  <c r="D227" i="42"/>
  <c r="F227" i="42"/>
  <c r="G227" i="42"/>
  <c r="H227" i="42"/>
  <c r="I227" i="42"/>
  <c r="K227" i="42"/>
  <c r="L227" i="42"/>
  <c r="N227" i="42"/>
  <c r="O227" i="42"/>
  <c r="P227" i="42"/>
  <c r="Q227" i="42"/>
  <c r="S227" i="42"/>
  <c r="T227" i="42"/>
  <c r="V227" i="42"/>
  <c r="X227" i="42"/>
  <c r="Y227" i="42"/>
  <c r="Z227" i="42"/>
  <c r="AA227" i="42"/>
  <c r="AB227" i="42"/>
  <c r="AC227" i="42"/>
  <c r="AF227" i="42"/>
  <c r="AG227" i="42"/>
  <c r="AH227" i="42"/>
  <c r="AI227" i="42"/>
  <c r="AJ227" i="42"/>
  <c r="AL227" i="42"/>
  <c r="AM227" i="42"/>
  <c r="AN227" i="42"/>
  <c r="AO227" i="42"/>
  <c r="AP227" i="42"/>
  <c r="AQ227" i="42"/>
  <c r="AR227" i="42"/>
  <c r="AS227" i="42"/>
  <c r="AT227" i="42"/>
  <c r="AU227" i="42"/>
  <c r="AV227" i="42"/>
  <c r="AW227" i="42"/>
  <c r="AX227" i="42"/>
  <c r="AY227" i="42"/>
  <c r="BB227" i="42"/>
  <c r="BC227" i="42"/>
  <c r="BD227" i="42"/>
  <c r="BE227" i="42"/>
  <c r="BF227" i="42"/>
  <c r="BG227" i="42"/>
  <c r="BH227" i="42"/>
  <c r="BI227" i="42"/>
  <c r="BJ227" i="42"/>
  <c r="BK227" i="42"/>
  <c r="BL227" i="42"/>
  <c r="BM227" i="42"/>
  <c r="BN227" i="42"/>
  <c r="BO227" i="42"/>
  <c r="D228" i="42"/>
  <c r="F228" i="42"/>
  <c r="G228" i="42"/>
  <c r="H228" i="42"/>
  <c r="I228" i="42"/>
  <c r="K228" i="42"/>
  <c r="L228" i="42"/>
  <c r="N228" i="42"/>
  <c r="O228" i="42"/>
  <c r="P228" i="42"/>
  <c r="Q228" i="42"/>
  <c r="S228" i="42"/>
  <c r="T228" i="42"/>
  <c r="V228" i="42"/>
  <c r="X228" i="42"/>
  <c r="Y228" i="42"/>
  <c r="Z228" i="42"/>
  <c r="AA228" i="42"/>
  <c r="AB228" i="42"/>
  <c r="AC228" i="42"/>
  <c r="AF228" i="42"/>
  <c r="AG228" i="42"/>
  <c r="AH228" i="42"/>
  <c r="AI228" i="42"/>
  <c r="AJ228" i="42"/>
  <c r="AL228" i="42"/>
  <c r="AM228" i="42"/>
  <c r="AN228" i="42"/>
  <c r="AO228" i="42"/>
  <c r="AP228" i="42"/>
  <c r="AQ228" i="42"/>
  <c r="AR228" i="42"/>
  <c r="AS228" i="42"/>
  <c r="AT228" i="42"/>
  <c r="AU228" i="42"/>
  <c r="AV228" i="42"/>
  <c r="AW228" i="42"/>
  <c r="AX228" i="42"/>
  <c r="AY228" i="42"/>
  <c r="BB228" i="42"/>
  <c r="BC228" i="42"/>
  <c r="BD228" i="42"/>
  <c r="BE228" i="42"/>
  <c r="BF228" i="42"/>
  <c r="BG228" i="42"/>
  <c r="BH228" i="42"/>
  <c r="BI228" i="42"/>
  <c r="BJ228" i="42"/>
  <c r="BK228" i="42"/>
  <c r="BL228" i="42"/>
  <c r="BM228" i="42"/>
  <c r="BN228" i="42"/>
  <c r="BO228" i="42"/>
  <c r="D229" i="42"/>
  <c r="F229" i="42"/>
  <c r="G229" i="42"/>
  <c r="H229" i="42"/>
  <c r="I229" i="42"/>
  <c r="K229" i="42"/>
  <c r="L229" i="42"/>
  <c r="N229" i="42"/>
  <c r="O229" i="42"/>
  <c r="P229" i="42"/>
  <c r="Q229" i="42"/>
  <c r="S229" i="42"/>
  <c r="T229" i="42"/>
  <c r="V229" i="42"/>
  <c r="X229" i="42"/>
  <c r="Y229" i="42"/>
  <c r="Z229" i="42"/>
  <c r="AA229" i="42"/>
  <c r="AB229" i="42"/>
  <c r="AC229" i="42"/>
  <c r="AF229" i="42"/>
  <c r="AG229" i="42"/>
  <c r="AH229" i="42"/>
  <c r="AI229" i="42"/>
  <c r="AJ229" i="42"/>
  <c r="AL229" i="42"/>
  <c r="AM229" i="42"/>
  <c r="AN229" i="42"/>
  <c r="AO229" i="42"/>
  <c r="AP229" i="42"/>
  <c r="AQ229" i="42"/>
  <c r="AR229" i="42"/>
  <c r="AS229" i="42"/>
  <c r="AT229" i="42"/>
  <c r="AU229" i="42"/>
  <c r="AV229" i="42"/>
  <c r="AW229" i="42"/>
  <c r="AX229" i="42"/>
  <c r="AY229" i="42"/>
  <c r="BB229" i="42"/>
  <c r="BC229" i="42"/>
  <c r="BD229" i="42"/>
  <c r="BE229" i="42"/>
  <c r="BF229" i="42"/>
  <c r="BG229" i="42"/>
  <c r="BH229" i="42"/>
  <c r="BI229" i="42"/>
  <c r="BJ229" i="42"/>
  <c r="BK229" i="42"/>
  <c r="BL229" i="42"/>
  <c r="BM229" i="42"/>
  <c r="BN229" i="42"/>
  <c r="BO229" i="42"/>
  <c r="D230" i="42"/>
  <c r="F230" i="42"/>
  <c r="G230" i="42"/>
  <c r="H230" i="42"/>
  <c r="I230" i="42"/>
  <c r="K230" i="42"/>
  <c r="L230" i="42"/>
  <c r="N230" i="42"/>
  <c r="O230" i="42"/>
  <c r="P230" i="42"/>
  <c r="Q230" i="42"/>
  <c r="S230" i="42"/>
  <c r="T230" i="42"/>
  <c r="V230" i="42"/>
  <c r="X230" i="42"/>
  <c r="Y230" i="42"/>
  <c r="Z230" i="42"/>
  <c r="AA230" i="42"/>
  <c r="AB230" i="42"/>
  <c r="AC230" i="42"/>
  <c r="AF230" i="42"/>
  <c r="AG230" i="42"/>
  <c r="AH230" i="42"/>
  <c r="AI230" i="42"/>
  <c r="AJ230" i="42"/>
  <c r="AL230" i="42"/>
  <c r="AM230" i="42"/>
  <c r="AN230" i="42"/>
  <c r="AO230" i="42"/>
  <c r="AP230" i="42"/>
  <c r="AQ230" i="42"/>
  <c r="AR230" i="42"/>
  <c r="AS230" i="42"/>
  <c r="AT230" i="42"/>
  <c r="AU230" i="42"/>
  <c r="AV230" i="42"/>
  <c r="AW230" i="42"/>
  <c r="AX230" i="42"/>
  <c r="AY230" i="42"/>
  <c r="BB230" i="42"/>
  <c r="BC230" i="42"/>
  <c r="BD230" i="42"/>
  <c r="BE230" i="42"/>
  <c r="BF230" i="42"/>
  <c r="BG230" i="42"/>
  <c r="BH230" i="42"/>
  <c r="BI230" i="42"/>
  <c r="BJ230" i="42"/>
  <c r="BK230" i="42"/>
  <c r="BL230" i="42"/>
  <c r="BM230" i="42"/>
  <c r="BN230" i="42"/>
  <c r="BO230" i="42"/>
  <c r="D231" i="42"/>
  <c r="F231" i="42"/>
  <c r="G231" i="42"/>
  <c r="H231" i="42"/>
  <c r="I231" i="42"/>
  <c r="K231" i="42"/>
  <c r="L231" i="42"/>
  <c r="N231" i="42"/>
  <c r="O231" i="42"/>
  <c r="P231" i="42"/>
  <c r="Q231" i="42"/>
  <c r="S231" i="42"/>
  <c r="T231" i="42"/>
  <c r="V231" i="42"/>
  <c r="X231" i="42"/>
  <c r="Y231" i="42"/>
  <c r="Z231" i="42"/>
  <c r="AA231" i="42"/>
  <c r="AB231" i="42"/>
  <c r="AC231" i="42"/>
  <c r="AF231" i="42"/>
  <c r="AG231" i="42"/>
  <c r="AH231" i="42"/>
  <c r="AI231" i="42"/>
  <c r="AJ231" i="42"/>
  <c r="AL231" i="42"/>
  <c r="AM231" i="42"/>
  <c r="AN231" i="42"/>
  <c r="AO231" i="42"/>
  <c r="AP231" i="42"/>
  <c r="AQ231" i="42"/>
  <c r="AR231" i="42"/>
  <c r="AS231" i="42"/>
  <c r="AT231" i="42"/>
  <c r="AU231" i="42"/>
  <c r="AV231" i="42"/>
  <c r="AW231" i="42"/>
  <c r="AX231" i="42"/>
  <c r="AY231" i="42"/>
  <c r="BB231" i="42"/>
  <c r="BC231" i="42"/>
  <c r="BD231" i="42"/>
  <c r="BE231" i="42"/>
  <c r="BF231" i="42"/>
  <c r="BG231" i="42"/>
  <c r="BH231" i="42"/>
  <c r="BI231" i="42"/>
  <c r="BJ231" i="42"/>
  <c r="BK231" i="42"/>
  <c r="BL231" i="42"/>
  <c r="BM231" i="42"/>
  <c r="BN231" i="42"/>
  <c r="BO231" i="42"/>
  <c r="D232" i="42"/>
  <c r="F232" i="42"/>
  <c r="G232" i="42"/>
  <c r="H232" i="42"/>
  <c r="I232" i="42"/>
  <c r="K232" i="42"/>
  <c r="L232" i="42"/>
  <c r="N232" i="42"/>
  <c r="O232" i="42"/>
  <c r="P232" i="42"/>
  <c r="Q232" i="42"/>
  <c r="S232" i="42"/>
  <c r="T232" i="42"/>
  <c r="V232" i="42"/>
  <c r="X232" i="42"/>
  <c r="Y232" i="42"/>
  <c r="Z232" i="42"/>
  <c r="AA232" i="42"/>
  <c r="AB232" i="42"/>
  <c r="AC232" i="42"/>
  <c r="AF232" i="42"/>
  <c r="AG232" i="42"/>
  <c r="AH232" i="42"/>
  <c r="AI232" i="42"/>
  <c r="AJ232" i="42"/>
  <c r="AL232" i="42"/>
  <c r="AM232" i="42"/>
  <c r="AN232" i="42"/>
  <c r="AO232" i="42"/>
  <c r="AP232" i="42"/>
  <c r="AQ232" i="42"/>
  <c r="AR232" i="42"/>
  <c r="AS232" i="42"/>
  <c r="AT232" i="42"/>
  <c r="AU232" i="42"/>
  <c r="AV232" i="42"/>
  <c r="AW232" i="42"/>
  <c r="AX232" i="42"/>
  <c r="AY232" i="42"/>
  <c r="BB232" i="42"/>
  <c r="BC232" i="42"/>
  <c r="BD232" i="42"/>
  <c r="BE232" i="42"/>
  <c r="BF232" i="42"/>
  <c r="BG232" i="42"/>
  <c r="BH232" i="42"/>
  <c r="BI232" i="42"/>
  <c r="BJ232" i="42"/>
  <c r="BK232" i="42"/>
  <c r="BL232" i="42"/>
  <c r="BM232" i="42"/>
  <c r="BN232" i="42"/>
  <c r="BO232" i="42"/>
  <c r="D233" i="42"/>
  <c r="F233" i="42"/>
  <c r="G233" i="42"/>
  <c r="H233" i="42"/>
  <c r="I233" i="42"/>
  <c r="K233" i="42"/>
  <c r="L233" i="42"/>
  <c r="N233" i="42"/>
  <c r="O233" i="42"/>
  <c r="P233" i="42"/>
  <c r="Q233" i="42"/>
  <c r="S233" i="42"/>
  <c r="T233" i="42"/>
  <c r="V233" i="42"/>
  <c r="X233" i="42"/>
  <c r="Y233" i="42"/>
  <c r="Z233" i="42"/>
  <c r="AA233" i="42"/>
  <c r="AB233" i="42"/>
  <c r="AC233" i="42"/>
  <c r="AF233" i="42"/>
  <c r="AG233" i="42"/>
  <c r="AH233" i="42"/>
  <c r="AI233" i="42"/>
  <c r="AJ233" i="42"/>
  <c r="AL233" i="42"/>
  <c r="AM233" i="42"/>
  <c r="AN233" i="42"/>
  <c r="AO233" i="42"/>
  <c r="AP233" i="42"/>
  <c r="AQ233" i="42"/>
  <c r="AR233" i="42"/>
  <c r="AS233" i="42"/>
  <c r="AT233" i="42"/>
  <c r="AU233" i="42"/>
  <c r="AV233" i="42"/>
  <c r="AW233" i="42"/>
  <c r="AX233" i="42"/>
  <c r="AY233" i="42"/>
  <c r="BB233" i="42"/>
  <c r="BC233" i="42"/>
  <c r="BD233" i="42"/>
  <c r="BE233" i="42"/>
  <c r="BF233" i="42"/>
  <c r="BG233" i="42"/>
  <c r="BH233" i="42"/>
  <c r="BI233" i="42"/>
  <c r="BJ233" i="42"/>
  <c r="BK233" i="42"/>
  <c r="BL233" i="42"/>
  <c r="BM233" i="42"/>
  <c r="BN233" i="42"/>
  <c r="BO233" i="42"/>
  <c r="D234" i="42"/>
  <c r="F234" i="42"/>
  <c r="G234" i="42"/>
  <c r="H234" i="42"/>
  <c r="I234" i="42"/>
  <c r="K234" i="42"/>
  <c r="L234" i="42"/>
  <c r="N234" i="42"/>
  <c r="O234" i="42"/>
  <c r="P234" i="42"/>
  <c r="Q234" i="42"/>
  <c r="S234" i="42"/>
  <c r="T234" i="42"/>
  <c r="V234" i="42"/>
  <c r="X234" i="42"/>
  <c r="Y234" i="42"/>
  <c r="Z234" i="42"/>
  <c r="AA234" i="42"/>
  <c r="AB234" i="42"/>
  <c r="AC234" i="42"/>
  <c r="AF234" i="42"/>
  <c r="AG234" i="42"/>
  <c r="AH234" i="42"/>
  <c r="AI234" i="42"/>
  <c r="AJ234" i="42"/>
  <c r="AL234" i="42"/>
  <c r="AM234" i="42"/>
  <c r="AN234" i="42"/>
  <c r="AO234" i="42"/>
  <c r="AP234" i="42"/>
  <c r="AQ234" i="42"/>
  <c r="AR234" i="42"/>
  <c r="AS234" i="42"/>
  <c r="AT234" i="42"/>
  <c r="AU234" i="42"/>
  <c r="AV234" i="42"/>
  <c r="AW234" i="42"/>
  <c r="AX234" i="42"/>
  <c r="AY234" i="42"/>
  <c r="BB234" i="42"/>
  <c r="BC234" i="42"/>
  <c r="BD234" i="42"/>
  <c r="BE234" i="42"/>
  <c r="BF234" i="42"/>
  <c r="BG234" i="42"/>
  <c r="BH234" i="42"/>
  <c r="BI234" i="42"/>
  <c r="BJ234" i="42"/>
  <c r="BK234" i="42"/>
  <c r="BL234" i="42"/>
  <c r="BM234" i="42"/>
  <c r="BN234" i="42"/>
  <c r="BO234" i="42"/>
  <c r="D235" i="42"/>
  <c r="F235" i="42"/>
  <c r="G235" i="42"/>
  <c r="H235" i="42"/>
  <c r="I235" i="42"/>
  <c r="K235" i="42"/>
  <c r="L235" i="42"/>
  <c r="N235" i="42"/>
  <c r="O235" i="42"/>
  <c r="P235" i="42"/>
  <c r="Q235" i="42"/>
  <c r="S235" i="42"/>
  <c r="T235" i="42"/>
  <c r="V235" i="42"/>
  <c r="X235" i="42"/>
  <c r="Y235" i="42"/>
  <c r="Z235" i="42"/>
  <c r="AA235" i="42"/>
  <c r="AB235" i="42"/>
  <c r="AC235" i="42"/>
  <c r="AF235" i="42"/>
  <c r="AG235" i="42"/>
  <c r="AH235" i="42"/>
  <c r="AI235" i="42"/>
  <c r="AJ235" i="42"/>
  <c r="AL235" i="42"/>
  <c r="AM235" i="42"/>
  <c r="AN235" i="42"/>
  <c r="AO235" i="42"/>
  <c r="AP235" i="42"/>
  <c r="AQ235" i="42"/>
  <c r="AR235" i="42"/>
  <c r="AS235" i="42"/>
  <c r="AT235" i="42"/>
  <c r="AU235" i="42"/>
  <c r="AV235" i="42"/>
  <c r="AW235" i="42"/>
  <c r="AX235" i="42"/>
  <c r="AY235" i="42"/>
  <c r="BB235" i="42"/>
  <c r="BC235" i="42"/>
  <c r="BD235" i="42"/>
  <c r="BE235" i="42"/>
  <c r="BF235" i="42"/>
  <c r="BG235" i="42"/>
  <c r="BH235" i="42"/>
  <c r="BI235" i="42"/>
  <c r="BJ235" i="42"/>
  <c r="BK235" i="42"/>
  <c r="BL235" i="42"/>
  <c r="BM235" i="42"/>
  <c r="BN235" i="42"/>
  <c r="BO235" i="42"/>
  <c r="D236" i="42"/>
  <c r="F236" i="42"/>
  <c r="G236" i="42"/>
  <c r="H236" i="42"/>
  <c r="I236" i="42"/>
  <c r="K236" i="42"/>
  <c r="L236" i="42"/>
  <c r="N236" i="42"/>
  <c r="O236" i="42"/>
  <c r="P236" i="42"/>
  <c r="Q236" i="42"/>
  <c r="S236" i="42"/>
  <c r="T236" i="42"/>
  <c r="V236" i="42"/>
  <c r="X236" i="42"/>
  <c r="Y236" i="42"/>
  <c r="Z236" i="42"/>
  <c r="AA236" i="42"/>
  <c r="AB236" i="42"/>
  <c r="AC236" i="42"/>
  <c r="AF236" i="42"/>
  <c r="AG236" i="42"/>
  <c r="AH236" i="42"/>
  <c r="AI236" i="42"/>
  <c r="AJ236" i="42"/>
  <c r="AL236" i="42"/>
  <c r="AM236" i="42"/>
  <c r="AN236" i="42"/>
  <c r="AO236" i="42"/>
  <c r="AP236" i="42"/>
  <c r="AQ236" i="42"/>
  <c r="AR236" i="42"/>
  <c r="AS236" i="42"/>
  <c r="AT236" i="42"/>
  <c r="AU236" i="42"/>
  <c r="AV236" i="42"/>
  <c r="AW236" i="42"/>
  <c r="AX236" i="42"/>
  <c r="AY236" i="42"/>
  <c r="BB236" i="42"/>
  <c r="BC236" i="42"/>
  <c r="BD236" i="42"/>
  <c r="BE236" i="42"/>
  <c r="BF236" i="42"/>
  <c r="BG236" i="42"/>
  <c r="BH236" i="42"/>
  <c r="BI236" i="42"/>
  <c r="BJ236" i="42"/>
  <c r="BK236" i="42"/>
  <c r="BL236" i="42"/>
  <c r="BM236" i="42"/>
  <c r="BN236" i="42"/>
  <c r="BO236" i="42"/>
  <c r="D237" i="42"/>
  <c r="F237" i="42"/>
  <c r="G237" i="42"/>
  <c r="H237" i="42"/>
  <c r="I237" i="42"/>
  <c r="K237" i="42"/>
  <c r="L237" i="42"/>
  <c r="N237" i="42"/>
  <c r="O237" i="42"/>
  <c r="P237" i="42"/>
  <c r="Q237" i="42"/>
  <c r="S237" i="42"/>
  <c r="T237" i="42"/>
  <c r="V237" i="42"/>
  <c r="X237" i="42"/>
  <c r="Y237" i="42"/>
  <c r="Z237" i="42"/>
  <c r="AA237" i="42"/>
  <c r="AB237" i="42"/>
  <c r="AC237" i="42"/>
  <c r="AF237" i="42"/>
  <c r="AG237" i="42"/>
  <c r="AH237" i="42"/>
  <c r="AI237" i="42"/>
  <c r="AJ237" i="42"/>
  <c r="AL237" i="42"/>
  <c r="AM237" i="42"/>
  <c r="AN237" i="42"/>
  <c r="AO237" i="42"/>
  <c r="AP237" i="42"/>
  <c r="AQ237" i="42"/>
  <c r="AR237" i="42"/>
  <c r="AS237" i="42"/>
  <c r="AT237" i="42"/>
  <c r="AU237" i="42"/>
  <c r="AV237" i="42"/>
  <c r="AW237" i="42"/>
  <c r="AX237" i="42"/>
  <c r="AY237" i="42"/>
  <c r="BB237" i="42"/>
  <c r="BC237" i="42"/>
  <c r="BD237" i="42"/>
  <c r="BE237" i="42"/>
  <c r="BF237" i="42"/>
  <c r="BG237" i="42"/>
  <c r="BH237" i="42"/>
  <c r="BI237" i="42"/>
  <c r="BJ237" i="42"/>
  <c r="BK237" i="42"/>
  <c r="BL237" i="42"/>
  <c r="BM237" i="42"/>
  <c r="BN237" i="42"/>
  <c r="BO237" i="42"/>
  <c r="D238" i="42"/>
  <c r="F238" i="42"/>
  <c r="G238" i="42"/>
  <c r="H238" i="42"/>
  <c r="I238" i="42"/>
  <c r="K238" i="42"/>
  <c r="L238" i="42"/>
  <c r="N238" i="42"/>
  <c r="O238" i="42"/>
  <c r="P238" i="42"/>
  <c r="Q238" i="42"/>
  <c r="S238" i="42"/>
  <c r="T238" i="42"/>
  <c r="V238" i="42"/>
  <c r="X238" i="42"/>
  <c r="Y238" i="42"/>
  <c r="Z238" i="42"/>
  <c r="AA238" i="42"/>
  <c r="AB238" i="42"/>
  <c r="AC238" i="42"/>
  <c r="AF238" i="42"/>
  <c r="AG238" i="42"/>
  <c r="AH238" i="42"/>
  <c r="AI238" i="42"/>
  <c r="AJ238" i="42"/>
  <c r="AL238" i="42"/>
  <c r="AM238" i="42"/>
  <c r="AN238" i="42"/>
  <c r="AO238" i="42"/>
  <c r="AP238" i="42"/>
  <c r="AQ238" i="42"/>
  <c r="AR238" i="42"/>
  <c r="AS238" i="42"/>
  <c r="AT238" i="42"/>
  <c r="AU238" i="42"/>
  <c r="AV238" i="42"/>
  <c r="AW238" i="42"/>
  <c r="AX238" i="42"/>
  <c r="AY238" i="42"/>
  <c r="BB238" i="42"/>
  <c r="BC238" i="42"/>
  <c r="BD238" i="42"/>
  <c r="BE238" i="42"/>
  <c r="BF238" i="42"/>
  <c r="BG238" i="42"/>
  <c r="BH238" i="42"/>
  <c r="BI238" i="42"/>
  <c r="BJ238" i="42"/>
  <c r="BK238" i="42"/>
  <c r="BL238" i="42"/>
  <c r="BM238" i="42"/>
  <c r="BN238" i="42"/>
  <c r="BO238" i="42"/>
  <c r="D239" i="42"/>
  <c r="F239" i="42"/>
  <c r="G239" i="42"/>
  <c r="H239" i="42"/>
  <c r="I239" i="42"/>
  <c r="K239" i="42"/>
  <c r="L239" i="42"/>
  <c r="N239" i="42"/>
  <c r="O239" i="42"/>
  <c r="P239" i="42"/>
  <c r="Q239" i="42"/>
  <c r="S239" i="42"/>
  <c r="T239" i="42"/>
  <c r="V239" i="42"/>
  <c r="X239" i="42"/>
  <c r="Y239" i="42"/>
  <c r="Z239" i="42"/>
  <c r="AA239" i="42"/>
  <c r="AB239" i="42"/>
  <c r="AC239" i="42"/>
  <c r="AF239" i="42"/>
  <c r="AG239" i="42"/>
  <c r="AH239" i="42"/>
  <c r="AI239" i="42"/>
  <c r="AJ239" i="42"/>
  <c r="AL239" i="42"/>
  <c r="AM239" i="42"/>
  <c r="AN239" i="42"/>
  <c r="AO239" i="42"/>
  <c r="AP239" i="42"/>
  <c r="AQ239" i="42"/>
  <c r="AR239" i="42"/>
  <c r="AS239" i="42"/>
  <c r="AT239" i="42"/>
  <c r="AU239" i="42"/>
  <c r="AV239" i="42"/>
  <c r="AW239" i="42"/>
  <c r="AX239" i="42"/>
  <c r="AY239" i="42"/>
  <c r="BB239" i="42"/>
  <c r="BC239" i="42"/>
  <c r="BD239" i="42"/>
  <c r="BE239" i="42"/>
  <c r="BF239" i="42"/>
  <c r="BG239" i="42"/>
  <c r="BH239" i="42"/>
  <c r="BI239" i="42"/>
  <c r="BJ239" i="42"/>
  <c r="BK239" i="42"/>
  <c r="BL239" i="42"/>
  <c r="BM239" i="42"/>
  <c r="BN239" i="42"/>
  <c r="BO239" i="42"/>
  <c r="D240" i="42"/>
  <c r="F240" i="42"/>
  <c r="G240" i="42"/>
  <c r="H240" i="42"/>
  <c r="I240" i="42"/>
  <c r="K240" i="42"/>
  <c r="L240" i="42"/>
  <c r="N240" i="42"/>
  <c r="O240" i="42"/>
  <c r="P240" i="42"/>
  <c r="Q240" i="42"/>
  <c r="S240" i="42"/>
  <c r="T240" i="42"/>
  <c r="V240" i="42"/>
  <c r="X240" i="42"/>
  <c r="Y240" i="42"/>
  <c r="Z240" i="42"/>
  <c r="AA240" i="42"/>
  <c r="AB240" i="42"/>
  <c r="AC240" i="42"/>
  <c r="AF240" i="42"/>
  <c r="AG240" i="42"/>
  <c r="AH240" i="42"/>
  <c r="AI240" i="42"/>
  <c r="AJ240" i="42"/>
  <c r="AL240" i="42"/>
  <c r="AM240" i="42"/>
  <c r="AN240" i="42"/>
  <c r="AO240" i="42"/>
  <c r="AP240" i="42"/>
  <c r="AQ240" i="42"/>
  <c r="AR240" i="42"/>
  <c r="AS240" i="42"/>
  <c r="AT240" i="42"/>
  <c r="AU240" i="42"/>
  <c r="AV240" i="42"/>
  <c r="AW240" i="42"/>
  <c r="AX240" i="42"/>
  <c r="AY240" i="42"/>
  <c r="BB240" i="42"/>
  <c r="BC240" i="42"/>
  <c r="BD240" i="42"/>
  <c r="BE240" i="42"/>
  <c r="BF240" i="42"/>
  <c r="BG240" i="42"/>
  <c r="BH240" i="42"/>
  <c r="BI240" i="42"/>
  <c r="BJ240" i="42"/>
  <c r="BK240" i="42"/>
  <c r="BL240" i="42"/>
  <c r="BM240" i="42"/>
  <c r="BN240" i="42"/>
  <c r="BO240" i="42"/>
  <c r="D241" i="42"/>
  <c r="F241" i="42"/>
  <c r="G241" i="42"/>
  <c r="H241" i="42"/>
  <c r="I241" i="42"/>
  <c r="K241" i="42"/>
  <c r="L241" i="42"/>
  <c r="N241" i="42"/>
  <c r="O241" i="42"/>
  <c r="P241" i="42"/>
  <c r="Q241" i="42"/>
  <c r="S241" i="42"/>
  <c r="T241" i="42"/>
  <c r="V241" i="42"/>
  <c r="X241" i="42"/>
  <c r="Y241" i="42"/>
  <c r="Z241" i="42"/>
  <c r="AA241" i="42"/>
  <c r="AB241" i="42"/>
  <c r="AC241" i="42"/>
  <c r="AF241" i="42"/>
  <c r="AG241" i="42"/>
  <c r="AH241" i="42"/>
  <c r="AI241" i="42"/>
  <c r="AJ241" i="42"/>
  <c r="AL241" i="42"/>
  <c r="AM241" i="42"/>
  <c r="AN241" i="42"/>
  <c r="AO241" i="42"/>
  <c r="AP241" i="42"/>
  <c r="AQ241" i="42"/>
  <c r="AR241" i="42"/>
  <c r="AS241" i="42"/>
  <c r="AT241" i="42"/>
  <c r="AU241" i="42"/>
  <c r="AV241" i="42"/>
  <c r="AW241" i="42"/>
  <c r="AX241" i="42"/>
  <c r="AY241" i="42"/>
  <c r="BB241" i="42"/>
  <c r="BC241" i="42"/>
  <c r="BD241" i="42"/>
  <c r="BE241" i="42"/>
  <c r="BF241" i="42"/>
  <c r="BG241" i="42"/>
  <c r="BH241" i="42"/>
  <c r="BI241" i="42"/>
  <c r="BJ241" i="42"/>
  <c r="BK241" i="42"/>
  <c r="BL241" i="42"/>
  <c r="BM241" i="42"/>
  <c r="BN241" i="42"/>
  <c r="BO241" i="42"/>
  <c r="D242" i="42"/>
  <c r="F242" i="42"/>
  <c r="G242" i="42"/>
  <c r="H242" i="42"/>
  <c r="I242" i="42"/>
  <c r="K242" i="42"/>
  <c r="L242" i="42"/>
  <c r="N242" i="42"/>
  <c r="O242" i="42"/>
  <c r="P242" i="42"/>
  <c r="Q242" i="42"/>
  <c r="S242" i="42"/>
  <c r="T242" i="42"/>
  <c r="V242" i="42"/>
  <c r="X242" i="42"/>
  <c r="Y242" i="42"/>
  <c r="Z242" i="42"/>
  <c r="AA242" i="42"/>
  <c r="AB242" i="42"/>
  <c r="AC242" i="42"/>
  <c r="AF242" i="42"/>
  <c r="AG242" i="42"/>
  <c r="AH242" i="42"/>
  <c r="AI242" i="42"/>
  <c r="AJ242" i="42"/>
  <c r="AL242" i="42"/>
  <c r="AM242" i="42"/>
  <c r="AN242" i="42"/>
  <c r="AO242" i="42"/>
  <c r="AP242" i="42"/>
  <c r="AQ242" i="42"/>
  <c r="AR242" i="42"/>
  <c r="AS242" i="42"/>
  <c r="AT242" i="42"/>
  <c r="AU242" i="42"/>
  <c r="AV242" i="42"/>
  <c r="AW242" i="42"/>
  <c r="AX242" i="42"/>
  <c r="AY242" i="42"/>
  <c r="BB242" i="42"/>
  <c r="BC242" i="42"/>
  <c r="BD242" i="42"/>
  <c r="BE242" i="42"/>
  <c r="BF242" i="42"/>
  <c r="BG242" i="42"/>
  <c r="BH242" i="42"/>
  <c r="BI242" i="42"/>
  <c r="BJ242" i="42"/>
  <c r="BK242" i="42"/>
  <c r="BL242" i="42"/>
  <c r="BM242" i="42"/>
  <c r="BN242" i="42"/>
  <c r="BO242" i="42"/>
  <c r="D243" i="42"/>
  <c r="F243" i="42"/>
  <c r="G243" i="42"/>
  <c r="H243" i="42"/>
  <c r="I243" i="42"/>
  <c r="K243" i="42"/>
  <c r="L243" i="42"/>
  <c r="N243" i="42"/>
  <c r="O243" i="42"/>
  <c r="P243" i="42"/>
  <c r="Q243" i="42"/>
  <c r="S243" i="42"/>
  <c r="T243" i="42"/>
  <c r="V243" i="42"/>
  <c r="X243" i="42"/>
  <c r="Y243" i="42"/>
  <c r="Z243" i="42"/>
  <c r="AA243" i="42"/>
  <c r="AB243" i="42"/>
  <c r="AC243" i="42"/>
  <c r="AF243" i="42"/>
  <c r="AG243" i="42"/>
  <c r="AH243" i="42"/>
  <c r="AI243" i="42"/>
  <c r="AJ243" i="42"/>
  <c r="AL243" i="42"/>
  <c r="AM243" i="42"/>
  <c r="AN243" i="42"/>
  <c r="AO243" i="42"/>
  <c r="AP243" i="42"/>
  <c r="AQ243" i="42"/>
  <c r="AR243" i="42"/>
  <c r="AS243" i="42"/>
  <c r="AT243" i="42"/>
  <c r="AU243" i="42"/>
  <c r="AV243" i="42"/>
  <c r="AW243" i="42"/>
  <c r="AX243" i="42"/>
  <c r="AY243" i="42"/>
  <c r="BB243" i="42"/>
  <c r="BC243" i="42"/>
  <c r="BD243" i="42"/>
  <c r="BE243" i="42"/>
  <c r="BF243" i="42"/>
  <c r="BG243" i="42"/>
  <c r="BH243" i="42"/>
  <c r="BI243" i="42"/>
  <c r="BJ243" i="42"/>
  <c r="BK243" i="42"/>
  <c r="BL243" i="42"/>
  <c r="BM243" i="42"/>
  <c r="BN243" i="42"/>
  <c r="BO243" i="42"/>
  <c r="D244" i="42"/>
  <c r="F244" i="42"/>
  <c r="G244" i="42"/>
  <c r="H244" i="42"/>
  <c r="I244" i="42"/>
  <c r="K244" i="42"/>
  <c r="L244" i="42"/>
  <c r="N244" i="42"/>
  <c r="O244" i="42"/>
  <c r="P244" i="42"/>
  <c r="Q244" i="42"/>
  <c r="S244" i="42"/>
  <c r="T244" i="42"/>
  <c r="V244" i="42"/>
  <c r="X244" i="42"/>
  <c r="Y244" i="42"/>
  <c r="Z244" i="42"/>
  <c r="AA244" i="42"/>
  <c r="AB244" i="42"/>
  <c r="AC244" i="42"/>
  <c r="AF244" i="42"/>
  <c r="AG244" i="42"/>
  <c r="AH244" i="42"/>
  <c r="AI244" i="42"/>
  <c r="AJ244" i="42"/>
  <c r="AL244" i="42"/>
  <c r="AM244" i="42"/>
  <c r="AN244" i="42"/>
  <c r="AO244" i="42"/>
  <c r="AP244" i="42"/>
  <c r="AQ244" i="42"/>
  <c r="AR244" i="42"/>
  <c r="AS244" i="42"/>
  <c r="AT244" i="42"/>
  <c r="AU244" i="42"/>
  <c r="AV244" i="42"/>
  <c r="AW244" i="42"/>
  <c r="AX244" i="42"/>
  <c r="AY244" i="42"/>
  <c r="BB244" i="42"/>
  <c r="BC244" i="42"/>
  <c r="BD244" i="42"/>
  <c r="BE244" i="42"/>
  <c r="BF244" i="42"/>
  <c r="BG244" i="42"/>
  <c r="BH244" i="42"/>
  <c r="BI244" i="42"/>
  <c r="BJ244" i="42"/>
  <c r="BK244" i="42"/>
  <c r="BL244" i="42"/>
  <c r="BM244" i="42"/>
  <c r="BN244" i="42"/>
  <c r="BO244" i="42"/>
  <c r="D245" i="42"/>
  <c r="F245" i="42"/>
  <c r="G245" i="42"/>
  <c r="H245" i="42"/>
  <c r="I245" i="42"/>
  <c r="K245" i="42"/>
  <c r="L245" i="42"/>
  <c r="N245" i="42"/>
  <c r="O245" i="42"/>
  <c r="P245" i="42"/>
  <c r="Q245" i="42"/>
  <c r="S245" i="42"/>
  <c r="T245" i="42"/>
  <c r="V245" i="42"/>
  <c r="X245" i="42"/>
  <c r="Y245" i="42"/>
  <c r="Z245" i="42"/>
  <c r="AA245" i="42"/>
  <c r="AB245" i="42"/>
  <c r="AC245" i="42"/>
  <c r="AF245" i="42"/>
  <c r="AG245" i="42"/>
  <c r="AH245" i="42"/>
  <c r="AI245" i="42"/>
  <c r="AJ245" i="42"/>
  <c r="AL245" i="42"/>
  <c r="AM245" i="42"/>
  <c r="AN245" i="42"/>
  <c r="AO245" i="42"/>
  <c r="AP245" i="42"/>
  <c r="AQ245" i="42"/>
  <c r="AR245" i="42"/>
  <c r="AS245" i="42"/>
  <c r="AT245" i="42"/>
  <c r="AU245" i="42"/>
  <c r="AV245" i="42"/>
  <c r="AW245" i="42"/>
  <c r="AX245" i="42"/>
  <c r="AY245" i="42"/>
  <c r="BB245" i="42"/>
  <c r="BC245" i="42"/>
  <c r="BD245" i="42"/>
  <c r="BE245" i="42"/>
  <c r="BF245" i="42"/>
  <c r="BG245" i="42"/>
  <c r="BH245" i="42"/>
  <c r="BI245" i="42"/>
  <c r="BJ245" i="42"/>
  <c r="BK245" i="42"/>
  <c r="BL245" i="42"/>
  <c r="BM245" i="42"/>
  <c r="BN245" i="42"/>
  <c r="BO245" i="42"/>
  <c r="D246" i="42"/>
  <c r="F246" i="42"/>
  <c r="G246" i="42"/>
  <c r="H246" i="42"/>
  <c r="I246" i="42"/>
  <c r="K246" i="42"/>
  <c r="L246" i="42"/>
  <c r="N246" i="42"/>
  <c r="O246" i="42"/>
  <c r="P246" i="42"/>
  <c r="Q246" i="42"/>
  <c r="S246" i="42"/>
  <c r="T246" i="42"/>
  <c r="V246" i="42"/>
  <c r="X246" i="42"/>
  <c r="Y246" i="42"/>
  <c r="Z246" i="42"/>
  <c r="AA246" i="42"/>
  <c r="AB246" i="42"/>
  <c r="AC246" i="42"/>
  <c r="AF246" i="42"/>
  <c r="AG246" i="42"/>
  <c r="AH246" i="42"/>
  <c r="AI246" i="42"/>
  <c r="AJ246" i="42"/>
  <c r="AL246" i="42"/>
  <c r="AM246" i="42"/>
  <c r="AN246" i="42"/>
  <c r="AO246" i="42"/>
  <c r="AP246" i="42"/>
  <c r="AQ246" i="42"/>
  <c r="AR246" i="42"/>
  <c r="AS246" i="42"/>
  <c r="AT246" i="42"/>
  <c r="AU246" i="42"/>
  <c r="AV246" i="42"/>
  <c r="AW246" i="42"/>
  <c r="AX246" i="42"/>
  <c r="AY246" i="42"/>
  <c r="BB246" i="42"/>
  <c r="BC246" i="42"/>
  <c r="BD246" i="42"/>
  <c r="BE246" i="42"/>
  <c r="BF246" i="42"/>
  <c r="BG246" i="42"/>
  <c r="BH246" i="42"/>
  <c r="BI246" i="42"/>
  <c r="BJ246" i="42"/>
  <c r="BK246" i="42"/>
  <c r="BL246" i="42"/>
  <c r="BM246" i="42"/>
  <c r="BN246" i="42"/>
  <c r="BO246" i="42"/>
  <c r="D247" i="42"/>
  <c r="F247" i="42"/>
  <c r="G247" i="42"/>
  <c r="H247" i="42"/>
  <c r="I247" i="42"/>
  <c r="K247" i="42"/>
  <c r="L247" i="42"/>
  <c r="N247" i="42"/>
  <c r="O247" i="42"/>
  <c r="P247" i="42"/>
  <c r="Q247" i="42"/>
  <c r="S247" i="42"/>
  <c r="T247" i="42"/>
  <c r="V247" i="42"/>
  <c r="X247" i="42"/>
  <c r="Y247" i="42"/>
  <c r="Z247" i="42"/>
  <c r="AA247" i="42"/>
  <c r="AB247" i="42"/>
  <c r="AC247" i="42"/>
  <c r="AF247" i="42"/>
  <c r="AG247" i="42"/>
  <c r="AH247" i="42"/>
  <c r="AI247" i="42"/>
  <c r="AJ247" i="42"/>
  <c r="AL247" i="42"/>
  <c r="AM247" i="42"/>
  <c r="AN247" i="42"/>
  <c r="AO247" i="42"/>
  <c r="AP247" i="42"/>
  <c r="AQ247" i="42"/>
  <c r="AR247" i="42"/>
  <c r="AS247" i="42"/>
  <c r="AT247" i="42"/>
  <c r="AU247" i="42"/>
  <c r="AV247" i="42"/>
  <c r="AW247" i="42"/>
  <c r="AX247" i="42"/>
  <c r="AY247" i="42"/>
  <c r="BB247" i="42"/>
  <c r="BC247" i="42"/>
  <c r="BD247" i="42"/>
  <c r="BE247" i="42"/>
  <c r="BF247" i="42"/>
  <c r="BG247" i="42"/>
  <c r="BH247" i="42"/>
  <c r="BI247" i="42"/>
  <c r="BJ247" i="42"/>
  <c r="BK247" i="42"/>
  <c r="BL247" i="42"/>
  <c r="BM247" i="42"/>
  <c r="BN247" i="42"/>
  <c r="BO247" i="42"/>
  <c r="D248" i="42"/>
  <c r="F248" i="42"/>
  <c r="G248" i="42"/>
  <c r="H248" i="42"/>
  <c r="I248" i="42"/>
  <c r="K248" i="42"/>
  <c r="L248" i="42"/>
  <c r="N248" i="42"/>
  <c r="O248" i="42"/>
  <c r="P248" i="42"/>
  <c r="Q248" i="42"/>
  <c r="S248" i="42"/>
  <c r="T248" i="42"/>
  <c r="V248" i="42"/>
  <c r="X248" i="42"/>
  <c r="Y248" i="42"/>
  <c r="Z248" i="42"/>
  <c r="AA248" i="42"/>
  <c r="AB248" i="42"/>
  <c r="AC248" i="42"/>
  <c r="AF248" i="42"/>
  <c r="AG248" i="42"/>
  <c r="AH248" i="42"/>
  <c r="AI248" i="42"/>
  <c r="AJ248" i="42"/>
  <c r="AL248" i="42"/>
  <c r="AM248" i="42"/>
  <c r="AN248" i="42"/>
  <c r="AO248" i="42"/>
  <c r="AP248" i="42"/>
  <c r="AQ248" i="42"/>
  <c r="AR248" i="42"/>
  <c r="AS248" i="42"/>
  <c r="AT248" i="42"/>
  <c r="AU248" i="42"/>
  <c r="AV248" i="42"/>
  <c r="AW248" i="42"/>
  <c r="AX248" i="42"/>
  <c r="AY248" i="42"/>
  <c r="BB248" i="42"/>
  <c r="BC248" i="42"/>
  <c r="BD248" i="42"/>
  <c r="BE248" i="42"/>
  <c r="BF248" i="42"/>
  <c r="BG248" i="42"/>
  <c r="BH248" i="42"/>
  <c r="BI248" i="42"/>
  <c r="BJ248" i="42"/>
  <c r="BK248" i="42"/>
  <c r="BL248" i="42"/>
  <c r="BM248" i="42"/>
  <c r="BN248" i="42"/>
  <c r="BO248" i="42"/>
  <c r="F1" i="43"/>
  <c r="AV1" i="43"/>
  <c r="A2" i="43"/>
  <c r="F2" i="43"/>
  <c r="G2" i="43"/>
  <c r="N2" i="43"/>
  <c r="AV2" i="43"/>
  <c r="AW2" i="43"/>
  <c r="AX2" i="43"/>
  <c r="AY2" i="43"/>
  <c r="BW2" i="43"/>
  <c r="BX2" i="43"/>
  <c r="BY2" i="43"/>
  <c r="BZ2" i="43"/>
  <c r="CA2" i="43"/>
  <c r="CB2" i="43"/>
  <c r="CC2" i="43"/>
  <c r="CD2" i="43"/>
  <c r="CE2" i="43"/>
  <c r="CF2" i="43"/>
  <c r="CG2" i="43"/>
  <c r="CH2" i="43"/>
  <c r="CI2" i="43"/>
  <c r="CJ2" i="43"/>
  <c r="CK2" i="43"/>
  <c r="CL2" i="43"/>
  <c r="CM2" i="43"/>
  <c r="CN2" i="43"/>
  <c r="CO2" i="43"/>
  <c r="CP2" i="43"/>
  <c r="CQ2" i="43"/>
  <c r="CR2" i="43"/>
  <c r="CS2" i="43"/>
  <c r="CT2" i="43"/>
  <c r="CU2" i="43"/>
  <c r="CV2" i="43"/>
  <c r="CW2" i="43"/>
  <c r="CX2" i="43"/>
  <c r="A3" i="43"/>
  <c r="AH3" i="43"/>
  <c r="AK3" i="43"/>
  <c r="AV3" i="43"/>
  <c r="AW3" i="43"/>
  <c r="AX3" i="43"/>
  <c r="AY3" i="43"/>
  <c r="A4" i="43"/>
  <c r="N4" i="43"/>
  <c r="P4" i="43"/>
  <c r="T4" i="43"/>
  <c r="V4" i="43"/>
  <c r="W4" i="43"/>
  <c r="AH4" i="43"/>
  <c r="AK4" i="43"/>
  <c r="AM4" i="43"/>
  <c r="AN4" i="43"/>
  <c r="AO4" i="43"/>
  <c r="AP4" i="43"/>
  <c r="AQ4" i="43"/>
  <c r="AR4" i="43"/>
  <c r="AS4" i="43"/>
  <c r="AT4" i="43"/>
  <c r="AV4" i="43"/>
  <c r="AW4" i="43"/>
  <c r="AX4" i="43"/>
  <c r="AY4" i="43"/>
  <c r="A5" i="43"/>
  <c r="G5" i="43"/>
  <c r="N5" i="43"/>
  <c r="P5" i="43"/>
  <c r="T5" i="43"/>
  <c r="V5" i="43"/>
  <c r="W5" i="43"/>
  <c r="AH5" i="43"/>
  <c r="AK5" i="43"/>
  <c r="AM5" i="43"/>
  <c r="AN5" i="43"/>
  <c r="AO5" i="43"/>
  <c r="AP5" i="43"/>
  <c r="AQ5" i="43"/>
  <c r="AR5" i="43"/>
  <c r="AS5" i="43"/>
  <c r="AT5" i="43"/>
  <c r="AV5" i="43"/>
  <c r="AW5" i="43"/>
  <c r="AX5" i="43"/>
  <c r="AY5" i="43"/>
  <c r="BV5" i="43"/>
  <c r="A6" i="43"/>
  <c r="N6" i="43"/>
  <c r="P6" i="43"/>
  <c r="T6" i="43"/>
  <c r="V6" i="43"/>
  <c r="W6" i="43"/>
  <c r="AH6" i="43"/>
  <c r="AK6" i="43"/>
  <c r="AM6" i="43"/>
  <c r="AN6" i="43"/>
  <c r="AO6" i="43"/>
  <c r="AP6" i="43"/>
  <c r="AQ6" i="43"/>
  <c r="AR6" i="43"/>
  <c r="AS6" i="43"/>
  <c r="AT6" i="43"/>
  <c r="A7" i="43"/>
  <c r="G7" i="43"/>
  <c r="N7" i="43"/>
  <c r="N7" i="43" a="1"/>
  <c r="P7" i="43"/>
  <c r="T7" i="43"/>
  <c r="AH7" i="43"/>
  <c r="AK7" i="43"/>
  <c r="AM7" i="43"/>
  <c r="AN7" i="43"/>
  <c r="AO7" i="43"/>
  <c r="AP7" i="43"/>
  <c r="AQ7" i="43"/>
  <c r="AR7" i="43"/>
  <c r="AS7" i="43"/>
  <c r="AT7" i="43"/>
  <c r="AV7" i="43"/>
  <c r="AW7" i="43"/>
  <c r="AX7" i="43"/>
  <c r="AY7" i="43"/>
  <c r="G8" i="43"/>
  <c r="N8" i="43"/>
  <c r="N8" i="43" a="1"/>
  <c r="P8" i="43"/>
  <c r="T8" i="43"/>
  <c r="V8" i="43"/>
  <c r="W8" i="43"/>
  <c r="Y8" i="43"/>
  <c r="Z8" i="43"/>
  <c r="AH8" i="43"/>
  <c r="AK8" i="43"/>
  <c r="AM8" i="43"/>
  <c r="AN8" i="43"/>
  <c r="AO8" i="43"/>
  <c r="AP8" i="43"/>
  <c r="AQ8" i="43"/>
  <c r="AR8" i="43"/>
  <c r="AS8" i="43"/>
  <c r="AT8" i="43"/>
  <c r="AV8" i="43"/>
  <c r="AW8" i="43"/>
  <c r="AX8" i="43"/>
  <c r="AY8" i="43"/>
  <c r="N9" i="43"/>
  <c r="N9" i="43" a="1"/>
  <c r="P9" i="43"/>
  <c r="AK9" i="43"/>
  <c r="AM9" i="43"/>
  <c r="AN9" i="43"/>
  <c r="AO9" i="43"/>
  <c r="AP9" i="43"/>
  <c r="AQ9" i="43"/>
  <c r="AR9" i="43"/>
  <c r="AS9" i="43"/>
  <c r="AT9" i="43"/>
  <c r="AV9" i="43"/>
  <c r="AW9" i="43"/>
  <c r="AX9" i="43"/>
  <c r="AY9" i="43"/>
  <c r="N10" i="43"/>
  <c r="P10" i="43"/>
  <c r="AH10" i="43"/>
  <c r="AM10" i="43"/>
  <c r="AN10" i="43"/>
  <c r="AO10" i="43"/>
  <c r="AP10" i="43"/>
  <c r="AQ10" i="43"/>
  <c r="AR10" i="43"/>
  <c r="AS10" i="43"/>
  <c r="AT10" i="43"/>
  <c r="AV10" i="43"/>
  <c r="AW10" i="43"/>
  <c r="AX10" i="43"/>
  <c r="AY10" i="43"/>
  <c r="D11" i="43"/>
  <c r="N11" i="43"/>
  <c r="P11" i="43"/>
  <c r="AM11" i="43"/>
  <c r="AN11" i="43"/>
  <c r="AO11" i="43"/>
  <c r="AP11" i="43"/>
  <c r="AQ11" i="43"/>
  <c r="AR11" i="43"/>
  <c r="AS11" i="43"/>
  <c r="AT11" i="43"/>
  <c r="AV11" i="43"/>
  <c r="AW11" i="43"/>
  <c r="AX11" i="43"/>
  <c r="AY11" i="43"/>
  <c r="D12" i="43"/>
  <c r="N12" i="43"/>
  <c r="P12" i="43"/>
  <c r="AH12" i="43"/>
  <c r="AM12" i="43"/>
  <c r="AN12" i="43"/>
  <c r="AO12" i="43"/>
  <c r="AP12" i="43"/>
  <c r="AQ12" i="43"/>
  <c r="AR12" i="43"/>
  <c r="AS12" i="43"/>
  <c r="AT12" i="43"/>
  <c r="AV12" i="43"/>
  <c r="AW12" i="43"/>
  <c r="AX12" i="43"/>
  <c r="AY12" i="43"/>
  <c r="N13" i="43"/>
  <c r="P13" i="43"/>
  <c r="AH13" i="43"/>
  <c r="AM13" i="43"/>
  <c r="AN13" i="43"/>
  <c r="AO13" i="43"/>
  <c r="AP13" i="43"/>
  <c r="AQ13" i="43"/>
  <c r="AR13" i="43"/>
  <c r="AS13" i="43"/>
  <c r="AT13" i="43"/>
  <c r="AV13" i="43"/>
  <c r="AW13" i="43"/>
  <c r="AX13" i="43"/>
  <c r="AY13" i="43"/>
  <c r="N14" i="43"/>
  <c r="P14" i="43"/>
  <c r="S14" i="43"/>
  <c r="T14" i="43"/>
  <c r="AM14" i="43"/>
  <c r="AN14" i="43"/>
  <c r="AO14" i="43"/>
  <c r="AP14" i="43"/>
  <c r="AQ14" i="43"/>
  <c r="AR14" i="43"/>
  <c r="AS14" i="43"/>
  <c r="AT14" i="43"/>
  <c r="AV14" i="43"/>
  <c r="AW14" i="43"/>
  <c r="AX14" i="43"/>
  <c r="AY14" i="43"/>
  <c r="N15" i="43"/>
  <c r="P15" i="43"/>
  <c r="AM15" i="43"/>
  <c r="AN15" i="43"/>
  <c r="AO15" i="43"/>
  <c r="AP15" i="43"/>
  <c r="AQ15" i="43"/>
  <c r="AR15" i="43"/>
  <c r="AS15" i="43"/>
  <c r="AT15" i="43"/>
  <c r="AV15" i="43"/>
  <c r="AW15" i="43"/>
  <c r="AX15" i="43"/>
  <c r="AY15" i="43"/>
  <c r="N16" i="43"/>
  <c r="P16" i="43"/>
  <c r="AV16" i="43"/>
  <c r="AW16" i="43"/>
  <c r="AX16" i="43"/>
  <c r="AY16" i="43"/>
  <c r="N17" i="43"/>
  <c r="P17" i="43"/>
  <c r="AV17" i="43"/>
  <c r="AW17" i="43"/>
  <c r="AX17" i="43"/>
  <c r="AY17" i="43"/>
  <c r="N18" i="43"/>
  <c r="P18" i="43"/>
  <c r="AX18" i="43"/>
  <c r="AY18" i="43"/>
  <c r="N19" i="43"/>
  <c r="P19" i="43"/>
  <c r="S20" i="43"/>
  <c r="T20" i="43"/>
  <c r="AM20" i="43"/>
  <c r="AO20" i="43"/>
  <c r="AV20" i="43"/>
  <c r="AW20" i="43"/>
  <c r="AX20" i="43"/>
  <c r="AY20" i="43"/>
  <c r="D22" i="43"/>
  <c r="F22" i="43"/>
  <c r="G22" i="43"/>
  <c r="H22" i="43"/>
  <c r="I22" i="43"/>
  <c r="K22" i="43"/>
  <c r="L22" i="43"/>
  <c r="N22" i="43"/>
  <c r="O22" i="43"/>
  <c r="P22" i="43"/>
  <c r="Q22" i="43"/>
  <c r="S22" i="43"/>
  <c r="T22" i="43"/>
  <c r="V22" i="43"/>
  <c r="X22" i="43"/>
  <c r="Y22" i="43"/>
  <c r="Z22" i="43"/>
  <c r="AA22" i="43"/>
  <c r="AB22" i="43"/>
  <c r="AC22" i="43"/>
  <c r="AF22" i="43"/>
  <c r="AG22" i="43"/>
  <c r="AH22" i="43"/>
  <c r="AI22" i="43"/>
  <c r="AJ22" i="43"/>
  <c r="AL22" i="43"/>
  <c r="AM22" i="43"/>
  <c r="AN22" i="43"/>
  <c r="AO22" i="43"/>
  <c r="AP22" i="43"/>
  <c r="AQ22" i="43"/>
  <c r="AR22" i="43"/>
  <c r="AS22" i="43"/>
  <c r="AT22" i="43"/>
  <c r="AU22" i="43"/>
  <c r="AV22" i="43"/>
  <c r="AW22" i="43"/>
  <c r="AX22" i="43"/>
  <c r="AY22" i="43"/>
  <c r="BB22" i="43"/>
  <c r="BC22" i="43"/>
  <c r="BD22" i="43"/>
  <c r="BE22" i="43"/>
  <c r="BF22" i="43"/>
  <c r="BG22" i="43"/>
  <c r="BH22" i="43"/>
  <c r="BI22" i="43"/>
  <c r="BJ22" i="43"/>
  <c r="BK22" i="43"/>
  <c r="BL22" i="43"/>
  <c r="BM22" i="43"/>
  <c r="BN22" i="43"/>
  <c r="BO22" i="43"/>
  <c r="D23" i="43"/>
  <c r="F23" i="43"/>
  <c r="G23" i="43"/>
  <c r="H23" i="43"/>
  <c r="I23" i="43"/>
  <c r="K23" i="43"/>
  <c r="L23" i="43"/>
  <c r="N23" i="43"/>
  <c r="O23" i="43"/>
  <c r="P23" i="43"/>
  <c r="Q23" i="43"/>
  <c r="S23" i="43"/>
  <c r="T23" i="43"/>
  <c r="V23" i="43"/>
  <c r="X23" i="43"/>
  <c r="Y23" i="43"/>
  <c r="Z23" i="43"/>
  <c r="AA23" i="43"/>
  <c r="AB23" i="43"/>
  <c r="AC23" i="43"/>
  <c r="AF23" i="43"/>
  <c r="AG23" i="43"/>
  <c r="AH23" i="43"/>
  <c r="AI23" i="43"/>
  <c r="AJ23" i="43"/>
  <c r="AL23" i="43"/>
  <c r="AM23" i="43"/>
  <c r="AN23" i="43"/>
  <c r="AO23" i="43"/>
  <c r="AP23" i="43"/>
  <c r="AQ23" i="43"/>
  <c r="AR23" i="43"/>
  <c r="AS23" i="43"/>
  <c r="AT23" i="43"/>
  <c r="AU23" i="43"/>
  <c r="AV23" i="43"/>
  <c r="AW23" i="43"/>
  <c r="AX23" i="43"/>
  <c r="AY23" i="43"/>
  <c r="BB23" i="43"/>
  <c r="BC23" i="43"/>
  <c r="BD23" i="43"/>
  <c r="BE23" i="43"/>
  <c r="BF23" i="43"/>
  <c r="BG23" i="43"/>
  <c r="BH23" i="43"/>
  <c r="BI23" i="43"/>
  <c r="BJ23" i="43"/>
  <c r="BK23" i="43"/>
  <c r="BL23" i="43"/>
  <c r="BM23" i="43"/>
  <c r="BN23" i="43"/>
  <c r="BO23" i="43"/>
  <c r="D24" i="43"/>
  <c r="F24" i="43"/>
  <c r="G24" i="43"/>
  <c r="H24" i="43"/>
  <c r="I24" i="43"/>
  <c r="K24" i="43"/>
  <c r="L24" i="43"/>
  <c r="N24" i="43"/>
  <c r="O24" i="43"/>
  <c r="P24" i="43"/>
  <c r="Q24" i="43"/>
  <c r="S24" i="43"/>
  <c r="T24" i="43"/>
  <c r="V24" i="43"/>
  <c r="X24" i="43"/>
  <c r="Y24" i="43"/>
  <c r="Z24" i="43"/>
  <c r="AA24" i="43"/>
  <c r="AB24" i="43"/>
  <c r="AC24" i="43"/>
  <c r="AF24" i="43"/>
  <c r="AG24" i="43"/>
  <c r="AH24" i="43"/>
  <c r="AI24" i="43"/>
  <c r="AJ24" i="43"/>
  <c r="AL24" i="43"/>
  <c r="AM24" i="43"/>
  <c r="AN24" i="43"/>
  <c r="AO24" i="43"/>
  <c r="AP24" i="43"/>
  <c r="AQ24" i="43"/>
  <c r="AR24" i="43"/>
  <c r="AS24" i="43"/>
  <c r="AT24" i="43"/>
  <c r="AU24" i="43"/>
  <c r="AV24" i="43"/>
  <c r="AW24" i="43"/>
  <c r="AX24" i="43"/>
  <c r="AY24" i="43"/>
  <c r="BB24" i="43"/>
  <c r="BC24" i="43"/>
  <c r="BD24" i="43"/>
  <c r="BE24" i="43"/>
  <c r="BF24" i="43"/>
  <c r="BG24" i="43"/>
  <c r="BH24" i="43"/>
  <c r="BI24" i="43"/>
  <c r="BJ24" i="43"/>
  <c r="BK24" i="43"/>
  <c r="BL24" i="43"/>
  <c r="BM24" i="43"/>
  <c r="BN24" i="43"/>
  <c r="BO24" i="43"/>
  <c r="D25" i="43"/>
  <c r="F25" i="43"/>
  <c r="G25" i="43"/>
  <c r="H25" i="43"/>
  <c r="I25" i="43"/>
  <c r="K25" i="43"/>
  <c r="L25" i="43"/>
  <c r="N25" i="43"/>
  <c r="O25" i="43"/>
  <c r="P25" i="43"/>
  <c r="Q25" i="43"/>
  <c r="S25" i="43"/>
  <c r="T25" i="43"/>
  <c r="V25" i="43"/>
  <c r="X25" i="43"/>
  <c r="Y25" i="43"/>
  <c r="Z25" i="43"/>
  <c r="AA25" i="43"/>
  <c r="AB25" i="43"/>
  <c r="AC25" i="43"/>
  <c r="AF25" i="43"/>
  <c r="AG25" i="43"/>
  <c r="AH25" i="43"/>
  <c r="AI25" i="43"/>
  <c r="AJ25" i="43"/>
  <c r="AL25" i="43"/>
  <c r="AM25" i="43"/>
  <c r="AN25" i="43"/>
  <c r="AO25" i="43"/>
  <c r="AP25" i="43"/>
  <c r="AQ25" i="43"/>
  <c r="AR25" i="43"/>
  <c r="AS25" i="43"/>
  <c r="AT25" i="43"/>
  <c r="AU25" i="43"/>
  <c r="AV25" i="43"/>
  <c r="AW25" i="43"/>
  <c r="AX25" i="43"/>
  <c r="AY25" i="43"/>
  <c r="BB25" i="43"/>
  <c r="BC25" i="43"/>
  <c r="BD25" i="43"/>
  <c r="BE25" i="43"/>
  <c r="BF25" i="43"/>
  <c r="BG25" i="43"/>
  <c r="BH25" i="43"/>
  <c r="BI25" i="43"/>
  <c r="BJ25" i="43"/>
  <c r="BK25" i="43"/>
  <c r="BL25" i="43"/>
  <c r="BM25" i="43"/>
  <c r="BN25" i="43"/>
  <c r="BO25" i="43"/>
  <c r="D26" i="43"/>
  <c r="F26" i="43"/>
  <c r="G26" i="43"/>
  <c r="H26" i="43"/>
  <c r="I26" i="43"/>
  <c r="K26" i="43"/>
  <c r="L26" i="43"/>
  <c r="N26" i="43"/>
  <c r="O26" i="43"/>
  <c r="P26" i="43"/>
  <c r="Q26" i="43"/>
  <c r="S26" i="43"/>
  <c r="T26" i="43"/>
  <c r="V26" i="43"/>
  <c r="X26" i="43"/>
  <c r="Y26" i="43"/>
  <c r="Z26" i="43"/>
  <c r="AA26" i="43"/>
  <c r="AB26" i="43"/>
  <c r="AC26" i="43"/>
  <c r="AF26" i="43"/>
  <c r="AG26" i="43"/>
  <c r="AH26" i="43"/>
  <c r="AI26" i="43"/>
  <c r="AJ26" i="43"/>
  <c r="AL26" i="43"/>
  <c r="AM26" i="43"/>
  <c r="AN26" i="43"/>
  <c r="AO26" i="43"/>
  <c r="AP26" i="43"/>
  <c r="AQ26" i="43"/>
  <c r="AR26" i="43"/>
  <c r="AS26" i="43"/>
  <c r="AT26" i="43"/>
  <c r="AU26" i="43"/>
  <c r="AV26" i="43"/>
  <c r="AW26" i="43"/>
  <c r="AX26" i="43"/>
  <c r="AY26" i="43"/>
  <c r="BB26" i="43"/>
  <c r="BC26" i="43"/>
  <c r="BD26" i="43"/>
  <c r="BE26" i="43"/>
  <c r="BF26" i="43"/>
  <c r="BG26" i="43"/>
  <c r="BH26" i="43"/>
  <c r="BI26" i="43"/>
  <c r="BJ26" i="43"/>
  <c r="BK26" i="43"/>
  <c r="BL26" i="43"/>
  <c r="BM26" i="43"/>
  <c r="BN26" i="43"/>
  <c r="BO26" i="43"/>
  <c r="D27" i="43"/>
  <c r="F27" i="43"/>
  <c r="G27" i="43"/>
  <c r="H27" i="43"/>
  <c r="I27" i="43"/>
  <c r="K27" i="43"/>
  <c r="L27" i="43"/>
  <c r="N27" i="43"/>
  <c r="O27" i="43"/>
  <c r="P27" i="43"/>
  <c r="Q27" i="43"/>
  <c r="S27" i="43"/>
  <c r="T27" i="43"/>
  <c r="V27" i="43"/>
  <c r="X27" i="43"/>
  <c r="Y27" i="43"/>
  <c r="Z27" i="43"/>
  <c r="AA27" i="43"/>
  <c r="AB27" i="43"/>
  <c r="AC27" i="43"/>
  <c r="AF27" i="43"/>
  <c r="AG27" i="43"/>
  <c r="AH27" i="43"/>
  <c r="AI27" i="43"/>
  <c r="AJ27" i="43"/>
  <c r="AL27" i="43"/>
  <c r="AM27" i="43"/>
  <c r="AN27" i="43"/>
  <c r="AO27" i="43"/>
  <c r="AP27" i="43"/>
  <c r="AQ27" i="43"/>
  <c r="AR27" i="43"/>
  <c r="AS27" i="43"/>
  <c r="AT27" i="43"/>
  <c r="AU27" i="43"/>
  <c r="AV27" i="43"/>
  <c r="AW27" i="43"/>
  <c r="AX27" i="43"/>
  <c r="AY27" i="43"/>
  <c r="BB27" i="43"/>
  <c r="BC27" i="43"/>
  <c r="BD27" i="43"/>
  <c r="BE27" i="43"/>
  <c r="BF27" i="43"/>
  <c r="BG27" i="43"/>
  <c r="BH27" i="43"/>
  <c r="BI27" i="43"/>
  <c r="BJ27" i="43"/>
  <c r="BK27" i="43"/>
  <c r="BL27" i="43"/>
  <c r="BM27" i="43"/>
  <c r="BN27" i="43"/>
  <c r="BO27" i="43"/>
  <c r="D28" i="43"/>
  <c r="F28" i="43"/>
  <c r="G28" i="43"/>
  <c r="H28" i="43"/>
  <c r="I28" i="43"/>
  <c r="K28" i="43"/>
  <c r="L28" i="43"/>
  <c r="N28" i="43"/>
  <c r="O28" i="43"/>
  <c r="P28" i="43"/>
  <c r="Q28" i="43"/>
  <c r="S28" i="43"/>
  <c r="T28" i="43"/>
  <c r="V28" i="43"/>
  <c r="X28" i="43"/>
  <c r="Y28" i="43"/>
  <c r="Z28" i="43"/>
  <c r="AA28" i="43"/>
  <c r="AB28" i="43"/>
  <c r="AC28" i="43"/>
  <c r="AF28" i="43"/>
  <c r="AG28" i="43"/>
  <c r="AH28" i="43"/>
  <c r="AI28" i="43"/>
  <c r="AJ28" i="43"/>
  <c r="AL28" i="43"/>
  <c r="AM28" i="43"/>
  <c r="AN28" i="43"/>
  <c r="AO28" i="43"/>
  <c r="AP28" i="43"/>
  <c r="AQ28" i="43"/>
  <c r="AR28" i="43"/>
  <c r="AS28" i="43"/>
  <c r="AT28" i="43"/>
  <c r="AU28" i="43"/>
  <c r="AV28" i="43"/>
  <c r="AW28" i="43"/>
  <c r="AX28" i="43"/>
  <c r="AY28" i="43"/>
  <c r="BB28" i="43"/>
  <c r="BC28" i="43"/>
  <c r="BD28" i="43"/>
  <c r="BE28" i="43"/>
  <c r="BF28" i="43"/>
  <c r="BG28" i="43"/>
  <c r="BH28" i="43"/>
  <c r="BI28" i="43"/>
  <c r="BJ28" i="43"/>
  <c r="BK28" i="43"/>
  <c r="BL28" i="43"/>
  <c r="BM28" i="43"/>
  <c r="BN28" i="43"/>
  <c r="BO28" i="43"/>
  <c r="F1" i="44"/>
  <c r="AV1" i="44"/>
  <c r="A2" i="44"/>
  <c r="F2" i="44"/>
  <c r="G2" i="44"/>
  <c r="N2" i="44"/>
  <c r="AV2" i="44"/>
  <c r="AW2" i="44"/>
  <c r="AX2" i="44"/>
  <c r="AY2" i="44"/>
  <c r="BW2" i="44"/>
  <c r="BX2" i="44"/>
  <c r="BY2" i="44"/>
  <c r="BZ2" i="44"/>
  <c r="CA2" i="44"/>
  <c r="CB2" i="44"/>
  <c r="CC2" i="44"/>
  <c r="CD2" i="44"/>
  <c r="CE2" i="44"/>
  <c r="CF2" i="44"/>
  <c r="CG2" i="44"/>
  <c r="CH2" i="44"/>
  <c r="CI2" i="44"/>
  <c r="CJ2" i="44"/>
  <c r="CK2" i="44"/>
  <c r="CL2" i="44"/>
  <c r="CM2" i="44"/>
  <c r="CN2" i="44"/>
  <c r="CO2" i="44"/>
  <c r="CP2" i="44"/>
  <c r="CQ2" i="44"/>
  <c r="CR2" i="44"/>
  <c r="CS2" i="44"/>
  <c r="CT2" i="44"/>
  <c r="CU2" i="44"/>
  <c r="CV2" i="44"/>
  <c r="CW2" i="44"/>
  <c r="CX2" i="44"/>
  <c r="A3" i="44"/>
  <c r="AH3" i="44"/>
  <c r="AK3" i="44"/>
  <c r="AV3" i="44"/>
  <c r="AW3" i="44"/>
  <c r="AX3" i="44"/>
  <c r="AY3" i="44"/>
  <c r="A4" i="44"/>
  <c r="N4" i="44"/>
  <c r="P4" i="44"/>
  <c r="T4" i="44"/>
  <c r="V4" i="44"/>
  <c r="W4" i="44"/>
  <c r="AH4" i="44"/>
  <c r="AK4" i="44"/>
  <c r="AM4" i="44"/>
  <c r="AN4" i="44"/>
  <c r="AO4" i="44"/>
  <c r="AP4" i="44"/>
  <c r="AQ4" i="44"/>
  <c r="AR4" i="44"/>
  <c r="AS4" i="44"/>
  <c r="AT4" i="44"/>
  <c r="AV4" i="44"/>
  <c r="AW4" i="44"/>
  <c r="AX4" i="44"/>
  <c r="AY4" i="44"/>
  <c r="A5" i="44"/>
  <c r="G5" i="44"/>
  <c r="N5" i="44"/>
  <c r="P5" i="44"/>
  <c r="T5" i="44"/>
  <c r="V5" i="44"/>
  <c r="W5" i="44"/>
  <c r="AH5" i="44"/>
  <c r="AK5" i="44"/>
  <c r="AM5" i="44"/>
  <c r="AN5" i="44"/>
  <c r="AO5" i="44"/>
  <c r="AP5" i="44"/>
  <c r="AQ5" i="44"/>
  <c r="AR5" i="44"/>
  <c r="AS5" i="44"/>
  <c r="AT5" i="44"/>
  <c r="AV5" i="44"/>
  <c r="AW5" i="44"/>
  <c r="AX5" i="44"/>
  <c r="AY5" i="44"/>
  <c r="BV5" i="44"/>
  <c r="A6" i="44"/>
  <c r="N6" i="44"/>
  <c r="P6" i="44"/>
  <c r="T6" i="44"/>
  <c r="V6" i="44"/>
  <c r="W6" i="44"/>
  <c r="AH6" i="44"/>
  <c r="AK6" i="44"/>
  <c r="AM6" i="44"/>
  <c r="AN6" i="44"/>
  <c r="AO6" i="44"/>
  <c r="AP6" i="44"/>
  <c r="AQ6" i="44"/>
  <c r="AR6" i="44"/>
  <c r="AS6" i="44"/>
  <c r="AT6" i="44"/>
  <c r="A7" i="44"/>
  <c r="G7" i="44"/>
  <c r="N7" i="44"/>
  <c r="N7" i="44" a="1"/>
  <c r="P7" i="44"/>
  <c r="T7" i="44"/>
  <c r="AH7" i="44"/>
  <c r="AK7" i="44"/>
  <c r="AM7" i="44"/>
  <c r="AN7" i="44"/>
  <c r="AO7" i="44"/>
  <c r="AP7" i="44"/>
  <c r="AQ7" i="44"/>
  <c r="AR7" i="44"/>
  <c r="AS7" i="44"/>
  <c r="AT7" i="44"/>
  <c r="AV7" i="44"/>
  <c r="AW7" i="44"/>
  <c r="AX7" i="44"/>
  <c r="AY7" i="44"/>
  <c r="G8" i="44"/>
  <c r="N8" i="44"/>
  <c r="N8" i="44" a="1"/>
  <c r="P8" i="44"/>
  <c r="T8" i="44"/>
  <c r="V8" i="44"/>
  <c r="W8" i="44"/>
  <c r="Y8" i="44"/>
  <c r="Z8" i="44"/>
  <c r="AH8" i="44"/>
  <c r="AK8" i="44"/>
  <c r="AM8" i="44"/>
  <c r="AN8" i="44"/>
  <c r="AO8" i="44"/>
  <c r="AP8" i="44"/>
  <c r="AQ8" i="44"/>
  <c r="AR8" i="44"/>
  <c r="AS8" i="44"/>
  <c r="AT8" i="44"/>
  <c r="AV8" i="44"/>
  <c r="AW8" i="44"/>
  <c r="AX8" i="44"/>
  <c r="AY8" i="44"/>
  <c r="N9" i="44"/>
  <c r="N9" i="44" a="1"/>
  <c r="P9" i="44"/>
  <c r="AK9" i="44"/>
  <c r="AM9" i="44"/>
  <c r="AN9" i="44"/>
  <c r="AO9" i="44"/>
  <c r="AP9" i="44"/>
  <c r="AQ9" i="44"/>
  <c r="AR9" i="44"/>
  <c r="AS9" i="44"/>
  <c r="AT9" i="44"/>
  <c r="AV9" i="44"/>
  <c r="AW9" i="44"/>
  <c r="AX9" i="44"/>
  <c r="AY9" i="44"/>
  <c r="K10" i="44"/>
  <c r="N10" i="44"/>
  <c r="P10" i="44"/>
  <c r="AH10" i="44"/>
  <c r="AM10" i="44"/>
  <c r="AN10" i="44"/>
  <c r="AO10" i="44"/>
  <c r="AP10" i="44"/>
  <c r="AQ10" i="44"/>
  <c r="AR10" i="44"/>
  <c r="AS10" i="44"/>
  <c r="AT10" i="44"/>
  <c r="AV10" i="44"/>
  <c r="AW10" i="44"/>
  <c r="AX10" i="44"/>
  <c r="AY10" i="44"/>
  <c r="D11" i="44"/>
  <c r="K11" i="44"/>
  <c r="N11" i="44"/>
  <c r="P11" i="44"/>
  <c r="AM11" i="44"/>
  <c r="AN11" i="44"/>
  <c r="AO11" i="44"/>
  <c r="AP11" i="44"/>
  <c r="AQ11" i="44"/>
  <c r="AR11" i="44"/>
  <c r="AS11" i="44"/>
  <c r="AT11" i="44"/>
  <c r="AV11" i="44"/>
  <c r="AW11" i="44"/>
  <c r="AX11" i="44"/>
  <c r="AY11" i="44"/>
  <c r="D12" i="44"/>
  <c r="N12" i="44"/>
  <c r="P12" i="44"/>
  <c r="AH12" i="44"/>
  <c r="AM12" i="44"/>
  <c r="AN12" i="44"/>
  <c r="AO12" i="44"/>
  <c r="AP12" i="44"/>
  <c r="AQ12" i="44"/>
  <c r="AR12" i="44"/>
  <c r="AS12" i="44"/>
  <c r="AT12" i="44"/>
  <c r="AV12" i="44"/>
  <c r="AW12" i="44"/>
  <c r="AX12" i="44"/>
  <c r="AY12" i="44"/>
  <c r="N13" i="44"/>
  <c r="P13" i="44"/>
  <c r="AH13" i="44"/>
  <c r="AM13" i="44"/>
  <c r="AN13" i="44"/>
  <c r="AO13" i="44"/>
  <c r="AP13" i="44"/>
  <c r="AQ13" i="44"/>
  <c r="AR13" i="44"/>
  <c r="AS13" i="44"/>
  <c r="AT13" i="44"/>
  <c r="AV13" i="44"/>
  <c r="AW13" i="44"/>
  <c r="AX13" i="44"/>
  <c r="AY13" i="44"/>
  <c r="N14" i="44"/>
  <c r="P14" i="44"/>
  <c r="S14" i="44"/>
  <c r="T14" i="44"/>
  <c r="AM14" i="44"/>
  <c r="AN14" i="44"/>
  <c r="AO14" i="44"/>
  <c r="AP14" i="44"/>
  <c r="AQ14" i="44"/>
  <c r="AR14" i="44"/>
  <c r="AS14" i="44"/>
  <c r="AT14" i="44"/>
  <c r="AV14" i="44"/>
  <c r="AW14" i="44"/>
  <c r="AX14" i="44"/>
  <c r="AY14" i="44"/>
  <c r="N15" i="44"/>
  <c r="P15" i="44"/>
  <c r="AM15" i="44"/>
  <c r="AN15" i="44"/>
  <c r="AO15" i="44"/>
  <c r="AP15" i="44"/>
  <c r="AQ15" i="44"/>
  <c r="AR15" i="44"/>
  <c r="AS15" i="44"/>
  <c r="AT15" i="44"/>
  <c r="AV15" i="44"/>
  <c r="AW15" i="44"/>
  <c r="AX15" i="44"/>
  <c r="AY15" i="44"/>
  <c r="N16" i="44"/>
  <c r="P16" i="44"/>
  <c r="AV16" i="44"/>
  <c r="AW16" i="44"/>
  <c r="AX16" i="44"/>
  <c r="AY16" i="44"/>
  <c r="N17" i="44"/>
  <c r="P17" i="44"/>
  <c r="AV17" i="44"/>
  <c r="AW17" i="44"/>
  <c r="AX17" i="44"/>
  <c r="AY17" i="44"/>
  <c r="N18" i="44"/>
  <c r="P18" i="44"/>
  <c r="AX18" i="44"/>
  <c r="AY18" i="44"/>
  <c r="N19" i="44"/>
  <c r="P19" i="44"/>
  <c r="S20" i="44"/>
  <c r="T20" i="44"/>
  <c r="AM20" i="44"/>
  <c r="AO20" i="44"/>
  <c r="AV20" i="44"/>
  <c r="AW20" i="44"/>
  <c r="AX20" i="44"/>
  <c r="AY20" i="44"/>
  <c r="D22" i="44"/>
  <c r="F22" i="44"/>
  <c r="G22" i="44"/>
  <c r="H22" i="44"/>
  <c r="I22" i="44"/>
  <c r="K22" i="44"/>
  <c r="L22" i="44"/>
  <c r="N22" i="44"/>
  <c r="O22" i="44"/>
  <c r="P22" i="44"/>
  <c r="Q22" i="44"/>
  <c r="S22" i="44"/>
  <c r="T22" i="44"/>
  <c r="V22" i="44"/>
  <c r="X22" i="44"/>
  <c r="Y22" i="44"/>
  <c r="Z22" i="44"/>
  <c r="AA22" i="44"/>
  <c r="AB22" i="44"/>
  <c r="AC22" i="44"/>
  <c r="AF22" i="44"/>
  <c r="AG22" i="44"/>
  <c r="AH22" i="44"/>
  <c r="AI22" i="44"/>
  <c r="AJ22" i="44"/>
  <c r="AL22" i="44"/>
  <c r="AM22" i="44"/>
  <c r="AN22" i="44"/>
  <c r="AO22" i="44"/>
  <c r="AP22" i="44"/>
  <c r="AQ22" i="44"/>
  <c r="AR22" i="44"/>
  <c r="AS22" i="44"/>
  <c r="AT22" i="44"/>
  <c r="AU22" i="44"/>
  <c r="AV22" i="44"/>
  <c r="AW22" i="44"/>
  <c r="AX22" i="44"/>
  <c r="AY22" i="44"/>
  <c r="BB22" i="44"/>
  <c r="BC22" i="44"/>
  <c r="BD22" i="44"/>
  <c r="BE22" i="44"/>
  <c r="BF22" i="44"/>
  <c r="BG22" i="44"/>
  <c r="BH22" i="44"/>
  <c r="BI22" i="44"/>
  <c r="BJ22" i="44"/>
  <c r="BK22" i="44"/>
  <c r="BL22" i="44"/>
  <c r="BM22" i="44"/>
  <c r="BN22" i="44"/>
  <c r="BO22" i="44"/>
  <c r="D23" i="44"/>
  <c r="F23" i="44"/>
  <c r="G23" i="44"/>
  <c r="H23" i="44"/>
  <c r="I23" i="44"/>
  <c r="K23" i="44"/>
  <c r="L23" i="44"/>
  <c r="N23" i="44"/>
  <c r="O23" i="44"/>
  <c r="P23" i="44"/>
  <c r="Q23" i="44"/>
  <c r="S23" i="44"/>
  <c r="T23" i="44"/>
  <c r="V23" i="44"/>
  <c r="X23" i="44"/>
  <c r="Y23" i="44"/>
  <c r="Z23" i="44"/>
  <c r="AA23" i="44"/>
  <c r="AB23" i="44"/>
  <c r="AC23" i="44"/>
  <c r="AF23" i="44"/>
  <c r="AG23" i="44"/>
  <c r="AH23" i="44"/>
  <c r="AI23" i="44"/>
  <c r="AJ23" i="44"/>
  <c r="AL23" i="44"/>
  <c r="AM23" i="44"/>
  <c r="AN23" i="44"/>
  <c r="AO23" i="44"/>
  <c r="AP23" i="44"/>
  <c r="AQ23" i="44"/>
  <c r="AR23" i="44"/>
  <c r="AS23" i="44"/>
  <c r="AT23" i="44"/>
  <c r="AU23" i="44"/>
  <c r="AV23" i="44"/>
  <c r="AW23" i="44"/>
  <c r="AX23" i="44"/>
  <c r="AY23" i="44"/>
  <c r="BB23" i="44"/>
  <c r="BC23" i="44"/>
  <c r="BD23" i="44"/>
  <c r="BE23" i="44"/>
  <c r="BF23" i="44"/>
  <c r="BG23" i="44"/>
  <c r="BH23" i="44"/>
  <c r="BI23" i="44"/>
  <c r="BJ23" i="44"/>
  <c r="BK23" i="44"/>
  <c r="BL23" i="44"/>
  <c r="BM23" i="44"/>
  <c r="BN23" i="44"/>
  <c r="BO23" i="44"/>
  <c r="D24" i="44"/>
  <c r="F24" i="44"/>
  <c r="G24" i="44"/>
  <c r="H24" i="44"/>
  <c r="I24" i="44"/>
  <c r="K24" i="44"/>
  <c r="L24" i="44"/>
  <c r="N24" i="44"/>
  <c r="O24" i="44"/>
  <c r="P24" i="44"/>
  <c r="Q24" i="44"/>
  <c r="S24" i="44"/>
  <c r="T24" i="44"/>
  <c r="V24" i="44"/>
  <c r="X24" i="44"/>
  <c r="Y24" i="44"/>
  <c r="Z24" i="44"/>
  <c r="AA24" i="44"/>
  <c r="AB24" i="44"/>
  <c r="AC24" i="44"/>
  <c r="AF24" i="44"/>
  <c r="AG24" i="44"/>
  <c r="AH24" i="44"/>
  <c r="AI24" i="44"/>
  <c r="AJ24" i="44"/>
  <c r="AL24" i="44"/>
  <c r="AM24" i="44"/>
  <c r="AN24" i="44"/>
  <c r="AO24" i="44"/>
  <c r="AP24" i="44"/>
  <c r="AQ24" i="44"/>
  <c r="AR24" i="44"/>
  <c r="AS24" i="44"/>
  <c r="AT24" i="44"/>
  <c r="AU24" i="44"/>
  <c r="AV24" i="44"/>
  <c r="AW24" i="44"/>
  <c r="AX24" i="44"/>
  <c r="AY24" i="44"/>
  <c r="BB24" i="44"/>
  <c r="BC24" i="44"/>
  <c r="BD24" i="44"/>
  <c r="BE24" i="44"/>
  <c r="BF24" i="44"/>
  <c r="BG24" i="44"/>
  <c r="BH24" i="44"/>
  <c r="BI24" i="44"/>
  <c r="BJ24" i="44"/>
  <c r="BK24" i="44"/>
  <c r="BL24" i="44"/>
  <c r="BM24" i="44"/>
  <c r="BN24" i="44"/>
  <c r="BO24" i="44"/>
  <c r="D25" i="44"/>
  <c r="F25" i="44"/>
  <c r="G25" i="44"/>
  <c r="H25" i="44"/>
  <c r="I25" i="44"/>
  <c r="K25" i="44"/>
  <c r="L25" i="44"/>
  <c r="N25" i="44"/>
  <c r="O25" i="44"/>
  <c r="P25" i="44"/>
  <c r="Q25" i="44"/>
  <c r="S25" i="44"/>
  <c r="T25" i="44"/>
  <c r="V25" i="44"/>
  <c r="X25" i="44"/>
  <c r="Y25" i="44"/>
  <c r="Z25" i="44"/>
  <c r="AA25" i="44"/>
  <c r="AB25" i="44"/>
  <c r="AC25" i="44"/>
  <c r="AF25" i="44"/>
  <c r="AG25" i="44"/>
  <c r="AH25" i="44"/>
  <c r="AI25" i="44"/>
  <c r="AJ25" i="44"/>
  <c r="AL25" i="44"/>
  <c r="AM25" i="44"/>
  <c r="AN25" i="44"/>
  <c r="AO25" i="44"/>
  <c r="AP25" i="44"/>
  <c r="AQ25" i="44"/>
  <c r="AR25" i="44"/>
  <c r="AS25" i="44"/>
  <c r="AT25" i="44"/>
  <c r="AU25" i="44"/>
  <c r="AV25" i="44"/>
  <c r="AW25" i="44"/>
  <c r="AX25" i="44"/>
  <c r="AY25" i="44"/>
  <c r="BB25" i="44"/>
  <c r="BC25" i="44"/>
  <c r="BD25" i="44"/>
  <c r="BE25" i="44"/>
  <c r="BF25" i="44"/>
  <c r="BG25" i="44"/>
  <c r="BH25" i="44"/>
  <c r="BI25" i="44"/>
  <c r="BJ25" i="44"/>
  <c r="BK25" i="44"/>
  <c r="BL25" i="44"/>
  <c r="BM25" i="44"/>
  <c r="BN25" i="44"/>
  <c r="BO25" i="44"/>
  <c r="D26" i="44"/>
  <c r="F26" i="44"/>
  <c r="G26" i="44"/>
  <c r="H26" i="44"/>
  <c r="I26" i="44"/>
  <c r="K26" i="44"/>
  <c r="L26" i="44"/>
  <c r="N26" i="44"/>
  <c r="O26" i="44"/>
  <c r="P26" i="44"/>
  <c r="Q26" i="44"/>
  <c r="S26" i="44"/>
  <c r="T26" i="44"/>
  <c r="V26" i="44"/>
  <c r="X26" i="44"/>
  <c r="Y26" i="44"/>
  <c r="Z26" i="44"/>
  <c r="AA26" i="44"/>
  <c r="AB26" i="44"/>
  <c r="AC26" i="44"/>
  <c r="AF26" i="44"/>
  <c r="AG26" i="44"/>
  <c r="AH26" i="44"/>
  <c r="AI26" i="44"/>
  <c r="AJ26" i="44"/>
  <c r="AL26" i="44"/>
  <c r="AM26" i="44"/>
  <c r="AN26" i="44"/>
  <c r="AO26" i="44"/>
  <c r="AP26" i="44"/>
  <c r="AQ26" i="44"/>
  <c r="AR26" i="44"/>
  <c r="AS26" i="44"/>
  <c r="AT26" i="44"/>
  <c r="AU26" i="44"/>
  <c r="AV26" i="44"/>
  <c r="AW26" i="44"/>
  <c r="AX26" i="44"/>
  <c r="AY26" i="44"/>
  <c r="BB26" i="44"/>
  <c r="BC26" i="44"/>
  <c r="BD26" i="44"/>
  <c r="BE26" i="44"/>
  <c r="BF26" i="44"/>
  <c r="BG26" i="44"/>
  <c r="BH26" i="44"/>
  <c r="BI26" i="44"/>
  <c r="BJ26" i="44"/>
  <c r="BK26" i="44"/>
  <c r="BL26" i="44"/>
  <c r="BM26" i="44"/>
  <c r="BN26" i="44"/>
  <c r="BO26" i="44"/>
  <c r="D27" i="44"/>
  <c r="F27" i="44"/>
  <c r="G27" i="44"/>
  <c r="H27" i="44"/>
  <c r="I27" i="44"/>
  <c r="K27" i="44"/>
  <c r="L27" i="44"/>
  <c r="N27" i="44"/>
  <c r="O27" i="44"/>
  <c r="P27" i="44"/>
  <c r="Q27" i="44"/>
  <c r="S27" i="44"/>
  <c r="T27" i="44"/>
  <c r="V27" i="44"/>
  <c r="X27" i="44"/>
  <c r="Y27" i="44"/>
  <c r="Z27" i="44"/>
  <c r="AA27" i="44"/>
  <c r="AB27" i="44"/>
  <c r="AC27" i="44"/>
  <c r="AF27" i="44"/>
  <c r="AG27" i="44"/>
  <c r="AH27" i="44"/>
  <c r="AI27" i="44"/>
  <c r="AJ27" i="44"/>
  <c r="AL27" i="44"/>
  <c r="AM27" i="44"/>
  <c r="AN27" i="44"/>
  <c r="AO27" i="44"/>
  <c r="AP27" i="44"/>
  <c r="AQ27" i="44"/>
  <c r="AR27" i="44"/>
  <c r="AS27" i="44"/>
  <c r="AT27" i="44"/>
  <c r="AU27" i="44"/>
  <c r="AV27" i="44"/>
  <c r="AW27" i="44"/>
  <c r="AX27" i="44"/>
  <c r="AY27" i="44"/>
  <c r="BB27" i="44"/>
  <c r="BC27" i="44"/>
  <c r="BD27" i="44"/>
  <c r="BE27" i="44"/>
  <c r="BF27" i="44"/>
  <c r="BG27" i="44"/>
  <c r="BH27" i="44"/>
  <c r="BI27" i="44"/>
  <c r="BJ27" i="44"/>
  <c r="BK27" i="44"/>
  <c r="BL27" i="44"/>
  <c r="BM27" i="44"/>
  <c r="BN27" i="44"/>
  <c r="BO27" i="44"/>
  <c r="D28" i="44"/>
  <c r="F28" i="44"/>
  <c r="G28" i="44"/>
  <c r="H28" i="44"/>
  <c r="I28" i="44"/>
  <c r="K28" i="44"/>
  <c r="L28" i="44"/>
  <c r="N28" i="44"/>
  <c r="O28" i="44"/>
  <c r="P28" i="44"/>
  <c r="Q28" i="44"/>
  <c r="S28" i="44"/>
  <c r="T28" i="44"/>
  <c r="V28" i="44"/>
  <c r="X28" i="44"/>
  <c r="Y28" i="44"/>
  <c r="Z28" i="44"/>
  <c r="AA28" i="44"/>
  <c r="AB28" i="44"/>
  <c r="AC28" i="44"/>
  <c r="AF28" i="44"/>
  <c r="AG28" i="44"/>
  <c r="AH28" i="44"/>
  <c r="AI28" i="44"/>
  <c r="AJ28" i="44"/>
  <c r="AL28" i="44"/>
  <c r="AM28" i="44"/>
  <c r="AN28" i="44"/>
  <c r="AO28" i="44"/>
  <c r="AP28" i="44"/>
  <c r="AQ28" i="44"/>
  <c r="AR28" i="44"/>
  <c r="AS28" i="44"/>
  <c r="AT28" i="44"/>
  <c r="AU28" i="44"/>
  <c r="AV28" i="44"/>
  <c r="AW28" i="44"/>
  <c r="AX28" i="44"/>
  <c r="AY28" i="44"/>
  <c r="BB28" i="44"/>
  <c r="BC28" i="44"/>
  <c r="BD28" i="44"/>
  <c r="BE28" i="44"/>
  <c r="BF28" i="44"/>
  <c r="BG28" i="44"/>
  <c r="BH28" i="44"/>
  <c r="BI28" i="44"/>
  <c r="BJ28" i="44"/>
  <c r="BK28" i="44"/>
  <c r="BL28" i="44"/>
  <c r="BM28" i="44"/>
  <c r="BN28" i="44"/>
  <c r="BO28" i="44"/>
  <c r="D29" i="44"/>
  <c r="F29" i="44"/>
  <c r="G29" i="44"/>
  <c r="H29" i="44"/>
  <c r="I29" i="44"/>
  <c r="K29" i="44"/>
  <c r="L29" i="44"/>
  <c r="N29" i="44"/>
  <c r="O29" i="44"/>
  <c r="P29" i="44"/>
  <c r="Q29" i="44"/>
  <c r="S29" i="44"/>
  <c r="T29" i="44"/>
  <c r="V29" i="44"/>
  <c r="X29" i="44"/>
  <c r="Y29" i="44"/>
  <c r="Z29" i="44"/>
  <c r="AA29" i="44"/>
  <c r="AB29" i="44"/>
  <c r="AC29" i="44"/>
  <c r="AF29" i="44"/>
  <c r="AG29" i="44"/>
  <c r="AH29" i="44"/>
  <c r="AI29" i="44"/>
  <c r="AJ29" i="44"/>
  <c r="AL29" i="44"/>
  <c r="AM29" i="44"/>
  <c r="AN29" i="44"/>
  <c r="AO29" i="44"/>
  <c r="AP29" i="44"/>
  <c r="AQ29" i="44"/>
  <c r="AR29" i="44"/>
  <c r="AS29" i="44"/>
  <c r="AT29" i="44"/>
  <c r="AU29" i="44"/>
  <c r="AV29" i="44"/>
  <c r="AW29" i="44"/>
  <c r="AX29" i="44"/>
  <c r="AY29" i="44"/>
  <c r="BB29" i="44"/>
  <c r="BC29" i="44"/>
  <c r="BD29" i="44"/>
  <c r="BE29" i="44"/>
  <c r="BF29" i="44"/>
  <c r="BG29" i="44"/>
  <c r="BH29" i="44"/>
  <c r="BI29" i="44"/>
  <c r="BJ29" i="44"/>
  <c r="BK29" i="44"/>
  <c r="BL29" i="44"/>
  <c r="BM29" i="44"/>
  <c r="BN29" i="44"/>
  <c r="BO29" i="44"/>
  <c r="D30" i="44"/>
  <c r="F30" i="44"/>
  <c r="G30" i="44"/>
  <c r="H30" i="44"/>
  <c r="I30" i="44"/>
  <c r="K30" i="44"/>
  <c r="L30" i="44"/>
  <c r="N30" i="44"/>
  <c r="O30" i="44"/>
  <c r="P30" i="44"/>
  <c r="Q30" i="44"/>
  <c r="S30" i="44"/>
  <c r="T30" i="44"/>
  <c r="V30" i="44"/>
  <c r="X30" i="44"/>
  <c r="Y30" i="44"/>
  <c r="Z30" i="44"/>
  <c r="AA30" i="44"/>
  <c r="AB30" i="44"/>
  <c r="AC30" i="44"/>
  <c r="AF30" i="44"/>
  <c r="AG30" i="44"/>
  <c r="AH30" i="44"/>
  <c r="AI30" i="44"/>
  <c r="AJ30" i="44"/>
  <c r="AL30" i="44"/>
  <c r="AM30" i="44"/>
  <c r="AN30" i="44"/>
  <c r="AO30" i="44"/>
  <c r="AP30" i="44"/>
  <c r="AQ30" i="44"/>
  <c r="AR30" i="44"/>
  <c r="AS30" i="44"/>
  <c r="AT30" i="44"/>
  <c r="AU30" i="44"/>
  <c r="AV30" i="44"/>
  <c r="AW30" i="44"/>
  <c r="AX30" i="44"/>
  <c r="AY30" i="44"/>
  <c r="BB30" i="44"/>
  <c r="BC30" i="44"/>
  <c r="BD30" i="44"/>
  <c r="BE30" i="44"/>
  <c r="BF30" i="44"/>
  <c r="BG30" i="44"/>
  <c r="BH30" i="44"/>
  <c r="BI30" i="44"/>
  <c r="BJ30" i="44"/>
  <c r="BK30" i="44"/>
  <c r="BL30" i="44"/>
  <c r="BM30" i="44"/>
  <c r="BN30" i="44"/>
  <c r="BO30" i="44"/>
  <c r="D31" i="44"/>
  <c r="F31" i="44"/>
  <c r="G31" i="44"/>
  <c r="H31" i="44"/>
  <c r="I31" i="44"/>
  <c r="K31" i="44"/>
  <c r="L31" i="44"/>
  <c r="N31" i="44"/>
  <c r="O31" i="44"/>
  <c r="P31" i="44"/>
  <c r="Q31" i="44"/>
  <c r="S31" i="44"/>
  <c r="T31" i="44"/>
  <c r="V31" i="44"/>
  <c r="X31" i="44"/>
  <c r="Y31" i="44"/>
  <c r="Z31" i="44"/>
  <c r="AA31" i="44"/>
  <c r="AB31" i="44"/>
  <c r="AC31" i="44"/>
  <c r="AF31" i="44"/>
  <c r="AG31" i="44"/>
  <c r="AH31" i="44"/>
  <c r="AI31" i="44"/>
  <c r="AJ31" i="44"/>
  <c r="AL31" i="44"/>
  <c r="AM31" i="44"/>
  <c r="AN31" i="44"/>
  <c r="AO31" i="44"/>
  <c r="AP31" i="44"/>
  <c r="AQ31" i="44"/>
  <c r="AR31" i="44"/>
  <c r="AS31" i="44"/>
  <c r="AT31" i="44"/>
  <c r="AU31" i="44"/>
  <c r="AV31" i="44"/>
  <c r="AW31" i="44"/>
  <c r="AX31" i="44"/>
  <c r="AY31" i="44"/>
  <c r="BB31" i="44"/>
  <c r="BC31" i="44"/>
  <c r="BD31" i="44"/>
  <c r="BE31" i="44"/>
  <c r="BF31" i="44"/>
  <c r="BG31" i="44"/>
  <c r="BH31" i="44"/>
  <c r="BI31" i="44"/>
  <c r="BJ31" i="44"/>
  <c r="BK31" i="44"/>
  <c r="BL31" i="44"/>
  <c r="BM31" i="44"/>
  <c r="BN31" i="44"/>
  <c r="BO31" i="44"/>
  <c r="F1" i="45"/>
  <c r="AV1" i="45"/>
  <c r="A2" i="45"/>
  <c r="F2" i="45"/>
  <c r="G2" i="45"/>
  <c r="N2" i="45"/>
  <c r="AV2" i="45"/>
  <c r="AW2" i="45"/>
  <c r="AX2" i="45"/>
  <c r="AY2" i="45"/>
  <c r="BW2" i="45"/>
  <c r="BX2" i="45"/>
  <c r="BY2" i="45"/>
  <c r="BZ2" i="45"/>
  <c r="CA2" i="45"/>
  <c r="CB2" i="45"/>
  <c r="CC2" i="45"/>
  <c r="CD2" i="45"/>
  <c r="CE2" i="45"/>
  <c r="CF2" i="45"/>
  <c r="CG2" i="45"/>
  <c r="CH2" i="45"/>
  <c r="CI2" i="45"/>
  <c r="CJ2" i="45"/>
  <c r="CK2" i="45"/>
  <c r="CL2" i="45"/>
  <c r="CM2" i="45"/>
  <c r="CN2" i="45"/>
  <c r="CO2" i="45"/>
  <c r="CP2" i="45"/>
  <c r="CQ2" i="45"/>
  <c r="CR2" i="45"/>
  <c r="CS2" i="45"/>
  <c r="CT2" i="45"/>
  <c r="CU2" i="45"/>
  <c r="CV2" i="45"/>
  <c r="CW2" i="45"/>
  <c r="CX2" i="45"/>
  <c r="A3" i="45"/>
  <c r="AH3" i="45"/>
  <c r="AK3" i="45"/>
  <c r="AV3" i="45"/>
  <c r="AW3" i="45"/>
  <c r="AX3" i="45"/>
  <c r="AY3" i="45"/>
  <c r="A4" i="45"/>
  <c r="N4" i="45"/>
  <c r="P4" i="45"/>
  <c r="T4" i="45"/>
  <c r="V4" i="45"/>
  <c r="W4" i="45"/>
  <c r="AH4" i="45"/>
  <c r="AK4" i="45"/>
  <c r="AM4" i="45"/>
  <c r="AN4" i="45"/>
  <c r="AO4" i="45"/>
  <c r="AP4" i="45"/>
  <c r="AQ4" i="45"/>
  <c r="AR4" i="45"/>
  <c r="AS4" i="45"/>
  <c r="AT4" i="45"/>
  <c r="AV4" i="45"/>
  <c r="AW4" i="45"/>
  <c r="AX4" i="45"/>
  <c r="AY4" i="45"/>
  <c r="A5" i="45"/>
  <c r="G5" i="45"/>
  <c r="N5" i="45"/>
  <c r="P5" i="45"/>
  <c r="T5" i="45"/>
  <c r="V5" i="45"/>
  <c r="W5" i="45"/>
  <c r="AH5" i="45"/>
  <c r="AK5" i="45"/>
  <c r="AM5" i="45"/>
  <c r="AN5" i="45"/>
  <c r="AO5" i="45"/>
  <c r="AP5" i="45"/>
  <c r="AQ5" i="45"/>
  <c r="AR5" i="45"/>
  <c r="AS5" i="45"/>
  <c r="AT5" i="45"/>
  <c r="AV5" i="45"/>
  <c r="AW5" i="45"/>
  <c r="AX5" i="45"/>
  <c r="AY5" i="45"/>
  <c r="BV5" i="45"/>
  <c r="A6" i="45"/>
  <c r="N6" i="45"/>
  <c r="P6" i="45"/>
  <c r="T6" i="45"/>
  <c r="V6" i="45"/>
  <c r="W6" i="45"/>
  <c r="AH6" i="45"/>
  <c r="AK6" i="45"/>
  <c r="AM6" i="45"/>
  <c r="AN6" i="45"/>
  <c r="AO6" i="45"/>
  <c r="AP6" i="45"/>
  <c r="AQ6" i="45"/>
  <c r="AR6" i="45"/>
  <c r="AS6" i="45"/>
  <c r="AT6" i="45"/>
  <c r="A7" i="45"/>
  <c r="G7" i="45"/>
  <c r="N7" i="45"/>
  <c r="N7" i="45" a="1"/>
  <c r="P7" i="45"/>
  <c r="T7" i="45"/>
  <c r="AH7" i="45"/>
  <c r="AK7" i="45"/>
  <c r="AM7" i="45"/>
  <c r="AN7" i="45"/>
  <c r="AO7" i="45"/>
  <c r="AP7" i="45"/>
  <c r="AQ7" i="45"/>
  <c r="AR7" i="45"/>
  <c r="AS7" i="45"/>
  <c r="AT7" i="45"/>
  <c r="AV7" i="45"/>
  <c r="AW7" i="45"/>
  <c r="AX7" i="45"/>
  <c r="AY7" i="45"/>
  <c r="G8" i="45"/>
  <c r="N8" i="45"/>
  <c r="N8" i="45" a="1"/>
  <c r="P8" i="45"/>
  <c r="T8" i="45"/>
  <c r="V8" i="45"/>
  <c r="W8" i="45"/>
  <c r="Y8" i="45"/>
  <c r="Z8" i="45"/>
  <c r="AH8" i="45"/>
  <c r="AK8" i="45"/>
  <c r="AM8" i="45"/>
  <c r="AN8" i="45"/>
  <c r="AO8" i="45"/>
  <c r="AP8" i="45"/>
  <c r="AQ8" i="45"/>
  <c r="AR8" i="45"/>
  <c r="AS8" i="45"/>
  <c r="AT8" i="45"/>
  <c r="AV8" i="45"/>
  <c r="AW8" i="45"/>
  <c r="AX8" i="45"/>
  <c r="AY8" i="45"/>
  <c r="N9" i="45"/>
  <c r="N9" i="45" a="1"/>
  <c r="P9" i="45"/>
  <c r="AK9" i="45"/>
  <c r="AM9" i="45"/>
  <c r="AN9" i="45"/>
  <c r="AO9" i="45"/>
  <c r="AP9" i="45"/>
  <c r="AQ9" i="45"/>
  <c r="AR9" i="45"/>
  <c r="AS9" i="45"/>
  <c r="AT9" i="45"/>
  <c r="AV9" i="45"/>
  <c r="AW9" i="45"/>
  <c r="AX9" i="45"/>
  <c r="AY9" i="45"/>
  <c r="K10" i="45"/>
  <c r="N10" i="45"/>
  <c r="P10" i="45"/>
  <c r="AH10" i="45"/>
  <c r="AM10" i="45"/>
  <c r="AN10" i="45"/>
  <c r="AO10" i="45"/>
  <c r="AP10" i="45"/>
  <c r="AQ10" i="45"/>
  <c r="AR10" i="45"/>
  <c r="AS10" i="45"/>
  <c r="AT10" i="45"/>
  <c r="AV10" i="45"/>
  <c r="AW10" i="45"/>
  <c r="AX10" i="45"/>
  <c r="AY10" i="45"/>
  <c r="D11" i="45"/>
  <c r="K11" i="45"/>
  <c r="N11" i="45"/>
  <c r="P11" i="45"/>
  <c r="AM11" i="45"/>
  <c r="AN11" i="45"/>
  <c r="AO11" i="45"/>
  <c r="AP11" i="45"/>
  <c r="AQ11" i="45"/>
  <c r="AR11" i="45"/>
  <c r="AS11" i="45"/>
  <c r="AT11" i="45"/>
  <c r="AV11" i="45"/>
  <c r="AW11" i="45"/>
  <c r="AX11" i="45"/>
  <c r="AY11" i="45"/>
  <c r="D12" i="45"/>
  <c r="N12" i="45"/>
  <c r="P12" i="45"/>
  <c r="AH12" i="45"/>
  <c r="AM12" i="45"/>
  <c r="AN12" i="45"/>
  <c r="AO12" i="45"/>
  <c r="AP12" i="45"/>
  <c r="AQ12" i="45"/>
  <c r="AR12" i="45"/>
  <c r="AS12" i="45"/>
  <c r="AT12" i="45"/>
  <c r="AV12" i="45"/>
  <c r="AW12" i="45"/>
  <c r="AX12" i="45"/>
  <c r="AY12" i="45"/>
  <c r="N13" i="45"/>
  <c r="P13" i="45"/>
  <c r="AH13" i="45"/>
  <c r="AM13" i="45"/>
  <c r="AN13" i="45"/>
  <c r="AO13" i="45"/>
  <c r="AP13" i="45"/>
  <c r="AQ13" i="45"/>
  <c r="AR13" i="45"/>
  <c r="AS13" i="45"/>
  <c r="AT13" i="45"/>
  <c r="AV13" i="45"/>
  <c r="AW13" i="45"/>
  <c r="AX13" i="45"/>
  <c r="AY13" i="45"/>
  <c r="N14" i="45"/>
  <c r="P14" i="45"/>
  <c r="S14" i="45"/>
  <c r="T14" i="45"/>
  <c r="AM14" i="45"/>
  <c r="AN14" i="45"/>
  <c r="AO14" i="45"/>
  <c r="AP14" i="45"/>
  <c r="AQ14" i="45"/>
  <c r="AR14" i="45"/>
  <c r="AS14" i="45"/>
  <c r="AT14" i="45"/>
  <c r="AV14" i="45"/>
  <c r="AW14" i="45"/>
  <c r="AX14" i="45"/>
  <c r="AY14" i="45"/>
  <c r="N15" i="45"/>
  <c r="P15" i="45"/>
  <c r="AM15" i="45"/>
  <c r="AN15" i="45"/>
  <c r="AO15" i="45"/>
  <c r="AP15" i="45"/>
  <c r="AQ15" i="45"/>
  <c r="AR15" i="45"/>
  <c r="AS15" i="45"/>
  <c r="AT15" i="45"/>
  <c r="AV15" i="45"/>
  <c r="AW15" i="45"/>
  <c r="AX15" i="45"/>
  <c r="AY15" i="45"/>
  <c r="N16" i="45"/>
  <c r="P16" i="45"/>
  <c r="AV16" i="45"/>
  <c r="AW16" i="45"/>
  <c r="AX16" i="45"/>
  <c r="AY16" i="45"/>
  <c r="N17" i="45"/>
  <c r="P17" i="45"/>
  <c r="AV17" i="45"/>
  <c r="AW17" i="45"/>
  <c r="AX17" i="45"/>
  <c r="AY17" i="45"/>
  <c r="N18" i="45"/>
  <c r="P18" i="45"/>
  <c r="AX18" i="45"/>
  <c r="AY18" i="45"/>
  <c r="N19" i="45"/>
  <c r="P19" i="45"/>
  <c r="S20" i="45"/>
  <c r="T20" i="45"/>
  <c r="AM20" i="45"/>
  <c r="AO20" i="45"/>
  <c r="AV20" i="45"/>
  <c r="AW20" i="45"/>
  <c r="AX20" i="45"/>
  <c r="AY20" i="45"/>
  <c r="D22" i="45"/>
  <c r="F22" i="45"/>
  <c r="G22" i="45"/>
  <c r="H22" i="45"/>
  <c r="I22" i="45"/>
  <c r="K22" i="45"/>
  <c r="L22" i="45"/>
  <c r="N22" i="45"/>
  <c r="O22" i="45"/>
  <c r="P22" i="45"/>
  <c r="Q22" i="45"/>
  <c r="S22" i="45"/>
  <c r="T22" i="45"/>
  <c r="V22" i="45"/>
  <c r="X22" i="45"/>
  <c r="Y22" i="45"/>
  <c r="Z22" i="45"/>
  <c r="AA22" i="45"/>
  <c r="AB22" i="45"/>
  <c r="AC22" i="45"/>
  <c r="AF22" i="45"/>
  <c r="AG22" i="45"/>
  <c r="AH22" i="45"/>
  <c r="AI22" i="45"/>
  <c r="AJ22" i="45"/>
  <c r="AL22" i="45"/>
  <c r="AM22" i="45"/>
  <c r="AN22" i="45"/>
  <c r="AO22" i="45"/>
  <c r="AP22" i="45"/>
  <c r="AQ22" i="45"/>
  <c r="AR22" i="45"/>
  <c r="AS22" i="45"/>
  <c r="AT22" i="45"/>
  <c r="AU22" i="45"/>
  <c r="AV22" i="45"/>
  <c r="AW22" i="45"/>
  <c r="AX22" i="45"/>
  <c r="AY22" i="45"/>
  <c r="BB22" i="45"/>
  <c r="BC22" i="45"/>
  <c r="BD22" i="45"/>
  <c r="BE22" i="45"/>
  <c r="BF22" i="45"/>
  <c r="BG22" i="45"/>
  <c r="BH22" i="45"/>
  <c r="BI22" i="45"/>
  <c r="BJ22" i="45"/>
  <c r="BK22" i="45"/>
  <c r="BL22" i="45"/>
  <c r="BM22" i="45"/>
  <c r="BN22" i="45"/>
  <c r="BO22" i="45"/>
  <c r="D23" i="45"/>
  <c r="F23" i="45"/>
  <c r="G23" i="45"/>
  <c r="H23" i="45"/>
  <c r="I23" i="45"/>
  <c r="K23" i="45"/>
  <c r="L23" i="45"/>
  <c r="N23" i="45"/>
  <c r="O23" i="45"/>
  <c r="P23" i="45"/>
  <c r="Q23" i="45"/>
  <c r="S23" i="45"/>
  <c r="T23" i="45"/>
  <c r="V23" i="45"/>
  <c r="X23" i="45"/>
  <c r="Y23" i="45"/>
  <c r="Z23" i="45"/>
  <c r="AA23" i="45"/>
  <c r="AB23" i="45"/>
  <c r="AC23" i="45"/>
  <c r="AF23" i="45"/>
  <c r="AG23" i="45"/>
  <c r="AH23" i="45"/>
  <c r="AI23" i="45"/>
  <c r="AJ23" i="45"/>
  <c r="AL23" i="45"/>
  <c r="AM23" i="45"/>
  <c r="AN23" i="45"/>
  <c r="AO23" i="45"/>
  <c r="AP23" i="45"/>
  <c r="AQ23" i="45"/>
  <c r="AR23" i="45"/>
  <c r="AS23" i="45"/>
  <c r="AT23" i="45"/>
  <c r="AU23" i="45"/>
  <c r="AV23" i="45"/>
  <c r="AW23" i="45"/>
  <c r="AX23" i="45"/>
  <c r="AY23" i="45"/>
  <c r="BB23" i="45"/>
  <c r="BC23" i="45"/>
  <c r="BD23" i="45"/>
  <c r="BE23" i="45"/>
  <c r="BF23" i="45"/>
  <c r="BG23" i="45"/>
  <c r="BH23" i="45"/>
  <c r="BI23" i="45"/>
  <c r="BJ23" i="45"/>
  <c r="BK23" i="45"/>
  <c r="BL23" i="45"/>
  <c r="BM23" i="45"/>
  <c r="BN23" i="45"/>
  <c r="BO23" i="45"/>
  <c r="D24" i="45"/>
  <c r="F24" i="45"/>
  <c r="G24" i="45"/>
  <c r="H24" i="45"/>
  <c r="I24" i="45"/>
  <c r="K24" i="45"/>
  <c r="L24" i="45"/>
  <c r="N24" i="45"/>
  <c r="O24" i="45"/>
  <c r="P24" i="45"/>
  <c r="Q24" i="45"/>
  <c r="S24" i="45"/>
  <c r="T24" i="45"/>
  <c r="V24" i="45"/>
  <c r="X24" i="45"/>
  <c r="Y24" i="45"/>
  <c r="Z24" i="45"/>
  <c r="AA24" i="45"/>
  <c r="AB24" i="45"/>
  <c r="AC24" i="45"/>
  <c r="AF24" i="45"/>
  <c r="AG24" i="45"/>
  <c r="AH24" i="45"/>
  <c r="AI24" i="45"/>
  <c r="AJ24" i="45"/>
  <c r="AL24" i="45"/>
  <c r="AM24" i="45"/>
  <c r="AN24" i="45"/>
  <c r="AO24" i="45"/>
  <c r="AP24" i="45"/>
  <c r="AQ24" i="45"/>
  <c r="AR24" i="45"/>
  <c r="AS24" i="45"/>
  <c r="AT24" i="45"/>
  <c r="AU24" i="45"/>
  <c r="AV24" i="45"/>
  <c r="AW24" i="45"/>
  <c r="AX24" i="45"/>
  <c r="AY24" i="45"/>
  <c r="BB24" i="45"/>
  <c r="BC24" i="45"/>
  <c r="BD24" i="45"/>
  <c r="BE24" i="45"/>
  <c r="BF24" i="45"/>
  <c r="BG24" i="45"/>
  <c r="BH24" i="45"/>
  <c r="BI24" i="45"/>
  <c r="BJ24" i="45"/>
  <c r="BK24" i="45"/>
  <c r="BL24" i="45"/>
  <c r="BM24" i="45"/>
  <c r="BN24" i="45"/>
  <c r="BO24" i="45"/>
  <c r="D25" i="45"/>
  <c r="F25" i="45"/>
  <c r="G25" i="45"/>
  <c r="H25" i="45"/>
  <c r="I25" i="45"/>
  <c r="K25" i="45"/>
  <c r="L25" i="45"/>
  <c r="N25" i="45"/>
  <c r="O25" i="45"/>
  <c r="P25" i="45"/>
  <c r="Q25" i="45"/>
  <c r="S25" i="45"/>
  <c r="T25" i="45"/>
  <c r="V25" i="45"/>
  <c r="X25" i="45"/>
  <c r="Y25" i="45"/>
  <c r="Z25" i="45"/>
  <c r="AA25" i="45"/>
  <c r="AB25" i="45"/>
  <c r="AC25" i="45"/>
  <c r="AF25" i="45"/>
  <c r="AG25" i="45"/>
  <c r="AH25" i="45"/>
  <c r="AI25" i="45"/>
  <c r="AJ25" i="45"/>
  <c r="AL25" i="45"/>
  <c r="AM25" i="45"/>
  <c r="AN25" i="45"/>
  <c r="AO25" i="45"/>
  <c r="AP25" i="45"/>
  <c r="AQ25" i="45"/>
  <c r="AR25" i="45"/>
  <c r="AS25" i="45"/>
  <c r="AT25" i="45"/>
  <c r="AU25" i="45"/>
  <c r="AV25" i="45"/>
  <c r="AW25" i="45"/>
  <c r="AX25" i="45"/>
  <c r="AY25" i="45"/>
  <c r="BB25" i="45"/>
  <c r="BC25" i="45"/>
  <c r="BD25" i="45"/>
  <c r="BE25" i="45"/>
  <c r="BF25" i="45"/>
  <c r="BG25" i="45"/>
  <c r="BH25" i="45"/>
  <c r="BI25" i="45"/>
  <c r="BJ25" i="45"/>
  <c r="BK25" i="45"/>
  <c r="BL25" i="45"/>
  <c r="BM25" i="45"/>
  <c r="BN25" i="45"/>
  <c r="BO25" i="45"/>
  <c r="D26" i="45"/>
  <c r="F26" i="45"/>
  <c r="G26" i="45"/>
  <c r="H26" i="45"/>
  <c r="I26" i="45"/>
  <c r="K26" i="45"/>
  <c r="L26" i="45"/>
  <c r="N26" i="45"/>
  <c r="O26" i="45"/>
  <c r="P26" i="45"/>
  <c r="Q26" i="45"/>
  <c r="S26" i="45"/>
  <c r="T26" i="45"/>
  <c r="V26" i="45"/>
  <c r="X26" i="45"/>
  <c r="Y26" i="45"/>
  <c r="Z26" i="45"/>
  <c r="AA26" i="45"/>
  <c r="AB26" i="45"/>
  <c r="AC26" i="45"/>
  <c r="AF26" i="45"/>
  <c r="AG26" i="45"/>
  <c r="AH26" i="45"/>
  <c r="AI26" i="45"/>
  <c r="AJ26" i="45"/>
  <c r="AL26" i="45"/>
  <c r="AM26" i="45"/>
  <c r="AN26" i="45"/>
  <c r="AO26" i="45"/>
  <c r="AP26" i="45"/>
  <c r="AQ26" i="45"/>
  <c r="AR26" i="45"/>
  <c r="AS26" i="45"/>
  <c r="AT26" i="45"/>
  <c r="AU26" i="45"/>
  <c r="AV26" i="45"/>
  <c r="AW26" i="45"/>
  <c r="AX26" i="45"/>
  <c r="AY26" i="45"/>
  <c r="BB26" i="45"/>
  <c r="BC26" i="45"/>
  <c r="BD26" i="45"/>
  <c r="BE26" i="45"/>
  <c r="BF26" i="45"/>
  <c r="BG26" i="45"/>
  <c r="BH26" i="45"/>
  <c r="BI26" i="45"/>
  <c r="BJ26" i="45"/>
  <c r="BK26" i="45"/>
  <c r="BL26" i="45"/>
  <c r="BM26" i="45"/>
  <c r="BN26" i="45"/>
  <c r="BO26" i="45"/>
  <c r="D27" i="45"/>
  <c r="F27" i="45"/>
  <c r="G27" i="45"/>
  <c r="H27" i="45"/>
  <c r="I27" i="45"/>
  <c r="K27" i="45"/>
  <c r="L27" i="45"/>
  <c r="N27" i="45"/>
  <c r="O27" i="45"/>
  <c r="P27" i="45"/>
  <c r="Q27" i="45"/>
  <c r="S27" i="45"/>
  <c r="T27" i="45"/>
  <c r="V27" i="45"/>
  <c r="X27" i="45"/>
  <c r="Y27" i="45"/>
  <c r="Z27" i="45"/>
  <c r="AA27" i="45"/>
  <c r="AB27" i="45"/>
  <c r="AC27" i="45"/>
  <c r="AF27" i="45"/>
  <c r="AG27" i="45"/>
  <c r="AH27" i="45"/>
  <c r="AI27" i="45"/>
  <c r="AJ27" i="45"/>
  <c r="AL27" i="45"/>
  <c r="AM27" i="45"/>
  <c r="AN27" i="45"/>
  <c r="AO27" i="45"/>
  <c r="AP27" i="45"/>
  <c r="AQ27" i="45"/>
  <c r="AR27" i="45"/>
  <c r="AS27" i="45"/>
  <c r="AT27" i="45"/>
  <c r="AU27" i="45"/>
  <c r="AV27" i="45"/>
  <c r="AW27" i="45"/>
  <c r="AX27" i="45"/>
  <c r="AY27" i="45"/>
  <c r="BB27" i="45"/>
  <c r="BC27" i="45"/>
  <c r="BD27" i="45"/>
  <c r="BE27" i="45"/>
  <c r="BF27" i="45"/>
  <c r="BG27" i="45"/>
  <c r="BH27" i="45"/>
  <c r="BI27" i="45"/>
  <c r="BJ27" i="45"/>
  <c r="BK27" i="45"/>
  <c r="BL27" i="45"/>
  <c r="BM27" i="45"/>
  <c r="BN27" i="45"/>
  <c r="BO27" i="45"/>
  <c r="D28" i="45"/>
  <c r="F28" i="45"/>
  <c r="G28" i="45"/>
  <c r="H28" i="45"/>
  <c r="I28" i="45"/>
  <c r="K28" i="45"/>
  <c r="L28" i="45"/>
  <c r="N28" i="45"/>
  <c r="O28" i="45"/>
  <c r="P28" i="45"/>
  <c r="Q28" i="45"/>
  <c r="S28" i="45"/>
  <c r="T28" i="45"/>
  <c r="V28" i="45"/>
  <c r="X28" i="45"/>
  <c r="Y28" i="45"/>
  <c r="Z28" i="45"/>
  <c r="AA28" i="45"/>
  <c r="AB28" i="45"/>
  <c r="AC28" i="45"/>
  <c r="AF28" i="45"/>
  <c r="AG28" i="45"/>
  <c r="AH28" i="45"/>
  <c r="AI28" i="45"/>
  <c r="AJ28" i="45"/>
  <c r="AL28" i="45"/>
  <c r="AM28" i="45"/>
  <c r="AN28" i="45"/>
  <c r="AO28" i="45"/>
  <c r="AP28" i="45"/>
  <c r="AQ28" i="45"/>
  <c r="AR28" i="45"/>
  <c r="AS28" i="45"/>
  <c r="AT28" i="45"/>
  <c r="AU28" i="45"/>
  <c r="AV28" i="45"/>
  <c r="AW28" i="45"/>
  <c r="AX28" i="45"/>
  <c r="AY28" i="45"/>
  <c r="BB28" i="45"/>
  <c r="BC28" i="45"/>
  <c r="BD28" i="45"/>
  <c r="BE28" i="45"/>
  <c r="BF28" i="45"/>
  <c r="BG28" i="45"/>
  <c r="BH28" i="45"/>
  <c r="BI28" i="45"/>
  <c r="BJ28" i="45"/>
  <c r="BK28" i="45"/>
  <c r="BL28" i="45"/>
  <c r="BM28" i="45"/>
  <c r="BN28" i="45"/>
  <c r="BO28" i="45"/>
  <c r="D29" i="45"/>
  <c r="F29" i="45"/>
  <c r="G29" i="45"/>
  <c r="H29" i="45"/>
  <c r="I29" i="45"/>
  <c r="K29" i="45"/>
  <c r="L29" i="45"/>
  <c r="N29" i="45"/>
  <c r="O29" i="45"/>
  <c r="P29" i="45"/>
  <c r="Q29" i="45"/>
  <c r="S29" i="45"/>
  <c r="T29" i="45"/>
  <c r="V29" i="45"/>
  <c r="X29" i="45"/>
  <c r="Y29" i="45"/>
  <c r="Z29" i="45"/>
  <c r="AA29" i="45"/>
  <c r="AB29" i="45"/>
  <c r="AC29" i="45"/>
  <c r="AF29" i="45"/>
  <c r="AG29" i="45"/>
  <c r="AH29" i="45"/>
  <c r="AI29" i="45"/>
  <c r="AJ29" i="45"/>
  <c r="AL29" i="45"/>
  <c r="AM29" i="45"/>
  <c r="AN29" i="45"/>
  <c r="AO29" i="45"/>
  <c r="AP29" i="45"/>
  <c r="AQ29" i="45"/>
  <c r="AR29" i="45"/>
  <c r="AS29" i="45"/>
  <c r="AT29" i="45"/>
  <c r="AU29" i="45"/>
  <c r="AV29" i="45"/>
  <c r="AW29" i="45"/>
  <c r="AX29" i="45"/>
  <c r="AY29" i="45"/>
  <c r="BB29" i="45"/>
  <c r="BC29" i="45"/>
  <c r="BD29" i="45"/>
  <c r="BE29" i="45"/>
  <c r="BF29" i="45"/>
  <c r="BG29" i="45"/>
  <c r="BH29" i="45"/>
  <c r="BI29" i="45"/>
  <c r="BJ29" i="45"/>
  <c r="BK29" i="45"/>
  <c r="BL29" i="45"/>
  <c r="BM29" i="45"/>
  <c r="BN29" i="45"/>
  <c r="BO29" i="45"/>
  <c r="D30" i="45"/>
  <c r="F30" i="45"/>
  <c r="G30" i="45"/>
  <c r="H30" i="45"/>
  <c r="I30" i="45"/>
  <c r="K30" i="45"/>
  <c r="L30" i="45"/>
  <c r="N30" i="45"/>
  <c r="O30" i="45"/>
  <c r="P30" i="45"/>
  <c r="Q30" i="45"/>
  <c r="S30" i="45"/>
  <c r="T30" i="45"/>
  <c r="V30" i="45"/>
  <c r="X30" i="45"/>
  <c r="Y30" i="45"/>
  <c r="Z30" i="45"/>
  <c r="AA30" i="45"/>
  <c r="AB30" i="45"/>
  <c r="AC30" i="45"/>
  <c r="AF30" i="45"/>
  <c r="AG30" i="45"/>
  <c r="AH30" i="45"/>
  <c r="AI30" i="45"/>
  <c r="AJ30" i="45"/>
  <c r="AL30" i="45"/>
  <c r="AM30" i="45"/>
  <c r="AN30" i="45"/>
  <c r="AO30" i="45"/>
  <c r="AP30" i="45"/>
  <c r="AQ30" i="45"/>
  <c r="AR30" i="45"/>
  <c r="AS30" i="45"/>
  <c r="AT30" i="45"/>
  <c r="AU30" i="45"/>
  <c r="AV30" i="45"/>
  <c r="AW30" i="45"/>
  <c r="AX30" i="45"/>
  <c r="AY30" i="45"/>
  <c r="BB30" i="45"/>
  <c r="BC30" i="45"/>
  <c r="BD30" i="45"/>
  <c r="BE30" i="45"/>
  <c r="BF30" i="45"/>
  <c r="BG30" i="45"/>
  <c r="BH30" i="45"/>
  <c r="BI30" i="45"/>
  <c r="BJ30" i="45"/>
  <c r="BK30" i="45"/>
  <c r="BL30" i="45"/>
  <c r="BM30" i="45"/>
  <c r="BN30" i="45"/>
  <c r="BO30" i="45"/>
  <c r="F1" i="46"/>
  <c r="AV1" i="46"/>
  <c r="A2" i="46"/>
  <c r="F2" i="46"/>
  <c r="G2" i="46"/>
  <c r="N2" i="46"/>
  <c r="AV2" i="46"/>
  <c r="AW2" i="46"/>
  <c r="AX2" i="46"/>
  <c r="AY2" i="46"/>
  <c r="BW2" i="46"/>
  <c r="BX2" i="46"/>
  <c r="BY2" i="46"/>
  <c r="BZ2" i="46"/>
  <c r="CA2" i="46"/>
  <c r="CB2" i="46"/>
  <c r="CC2" i="46"/>
  <c r="CD2" i="46"/>
  <c r="CE2" i="46"/>
  <c r="CF2" i="46"/>
  <c r="CG2" i="46"/>
  <c r="CH2" i="46"/>
  <c r="CI2" i="46"/>
  <c r="CJ2" i="46"/>
  <c r="CK2" i="46"/>
  <c r="CL2" i="46"/>
  <c r="CM2" i="46"/>
  <c r="CN2" i="46"/>
  <c r="CO2" i="46"/>
  <c r="CP2" i="46"/>
  <c r="CQ2" i="46"/>
  <c r="CR2" i="46"/>
  <c r="CS2" i="46"/>
  <c r="CT2" i="46"/>
  <c r="CU2" i="46"/>
  <c r="CV2" i="46"/>
  <c r="CW2" i="46"/>
  <c r="CX2" i="46"/>
  <c r="A3" i="46"/>
  <c r="AH3" i="46"/>
  <c r="AK3" i="46"/>
  <c r="AV3" i="46"/>
  <c r="AW3" i="46"/>
  <c r="AX3" i="46"/>
  <c r="AY3" i="46"/>
  <c r="A4" i="46"/>
  <c r="N4" i="46"/>
  <c r="P4" i="46"/>
  <c r="T4" i="46"/>
  <c r="V4" i="46"/>
  <c r="W4" i="46"/>
  <c r="AH4" i="46"/>
  <c r="AK4" i="46"/>
  <c r="AM4" i="46"/>
  <c r="AN4" i="46"/>
  <c r="AO4" i="46"/>
  <c r="AP4" i="46"/>
  <c r="AQ4" i="46"/>
  <c r="AR4" i="46"/>
  <c r="AS4" i="46"/>
  <c r="AT4" i="46"/>
  <c r="AV4" i="46"/>
  <c r="AW4" i="46"/>
  <c r="AX4" i="46"/>
  <c r="AY4" i="46"/>
  <c r="A5" i="46"/>
  <c r="G5" i="46"/>
  <c r="N5" i="46"/>
  <c r="P5" i="46"/>
  <c r="T5" i="46"/>
  <c r="V5" i="46"/>
  <c r="W5" i="46"/>
  <c r="AH5" i="46"/>
  <c r="AK5" i="46"/>
  <c r="AM5" i="46"/>
  <c r="AN5" i="46"/>
  <c r="AO5" i="46"/>
  <c r="AP5" i="46"/>
  <c r="AQ5" i="46"/>
  <c r="AR5" i="46"/>
  <c r="AS5" i="46"/>
  <c r="AT5" i="46"/>
  <c r="AV5" i="46"/>
  <c r="AW5" i="46"/>
  <c r="AX5" i="46"/>
  <c r="AY5" i="46"/>
  <c r="BV5" i="46"/>
  <c r="A6" i="46"/>
  <c r="N6" i="46"/>
  <c r="P6" i="46"/>
  <c r="T6" i="46"/>
  <c r="V6" i="46"/>
  <c r="W6" i="46"/>
  <c r="AH6" i="46"/>
  <c r="AK6" i="46"/>
  <c r="AM6" i="46"/>
  <c r="AN6" i="46"/>
  <c r="AO6" i="46"/>
  <c r="AP6" i="46"/>
  <c r="AQ6" i="46"/>
  <c r="AR6" i="46"/>
  <c r="AS6" i="46"/>
  <c r="AT6" i="46"/>
  <c r="A7" i="46"/>
  <c r="G7" i="46"/>
  <c r="N7" i="46"/>
  <c r="N7" i="46" a="1"/>
  <c r="P7" i="46"/>
  <c r="T7" i="46"/>
  <c r="AH7" i="46"/>
  <c r="AK7" i="46"/>
  <c r="AM7" i="46"/>
  <c r="AN7" i="46"/>
  <c r="AO7" i="46"/>
  <c r="AP7" i="46"/>
  <c r="AQ7" i="46"/>
  <c r="AR7" i="46"/>
  <c r="AS7" i="46"/>
  <c r="AT7" i="46"/>
  <c r="AV7" i="46"/>
  <c r="AW7" i="46"/>
  <c r="AX7" i="46"/>
  <c r="AY7" i="46"/>
  <c r="G8" i="46"/>
  <c r="N8" i="46"/>
  <c r="N8" i="46" a="1"/>
  <c r="P8" i="46"/>
  <c r="T8" i="46"/>
  <c r="V8" i="46"/>
  <c r="W8" i="46"/>
  <c r="Y8" i="46"/>
  <c r="Z8" i="46"/>
  <c r="AH8" i="46"/>
  <c r="AK8" i="46"/>
  <c r="AM8" i="46"/>
  <c r="AN8" i="46"/>
  <c r="AO8" i="46"/>
  <c r="AP8" i="46"/>
  <c r="AQ8" i="46"/>
  <c r="AR8" i="46"/>
  <c r="AS8" i="46"/>
  <c r="AT8" i="46"/>
  <c r="AV8" i="46"/>
  <c r="AW8" i="46"/>
  <c r="AX8" i="46"/>
  <c r="AY8" i="46"/>
  <c r="N9" i="46"/>
  <c r="N9" i="46" a="1"/>
  <c r="P9" i="46"/>
  <c r="AK9" i="46"/>
  <c r="AM9" i="46"/>
  <c r="AN9" i="46"/>
  <c r="AO9" i="46"/>
  <c r="AP9" i="46"/>
  <c r="AQ9" i="46"/>
  <c r="AR9" i="46"/>
  <c r="AS9" i="46"/>
  <c r="AT9" i="46"/>
  <c r="AV9" i="46"/>
  <c r="AW9" i="46"/>
  <c r="AX9" i="46"/>
  <c r="AY9" i="46"/>
  <c r="K10" i="46"/>
  <c r="N10" i="46"/>
  <c r="P10" i="46"/>
  <c r="AH10" i="46"/>
  <c r="AM10" i="46"/>
  <c r="AN10" i="46"/>
  <c r="AO10" i="46"/>
  <c r="AP10" i="46"/>
  <c r="AQ10" i="46"/>
  <c r="AR10" i="46"/>
  <c r="AS10" i="46"/>
  <c r="AT10" i="46"/>
  <c r="AV10" i="46"/>
  <c r="AW10" i="46"/>
  <c r="AX10" i="46"/>
  <c r="AY10" i="46"/>
  <c r="D11" i="46"/>
  <c r="K11" i="46"/>
  <c r="N11" i="46"/>
  <c r="P11" i="46"/>
  <c r="AM11" i="46"/>
  <c r="AN11" i="46"/>
  <c r="AO11" i="46"/>
  <c r="AP11" i="46"/>
  <c r="AQ11" i="46"/>
  <c r="AR11" i="46"/>
  <c r="AS11" i="46"/>
  <c r="AT11" i="46"/>
  <c r="AV11" i="46"/>
  <c r="AW11" i="46"/>
  <c r="AX11" i="46"/>
  <c r="AY11" i="46"/>
  <c r="D12" i="46"/>
  <c r="N12" i="46"/>
  <c r="P12" i="46"/>
  <c r="AH12" i="46"/>
  <c r="AM12" i="46"/>
  <c r="AN12" i="46"/>
  <c r="AO12" i="46"/>
  <c r="AP12" i="46"/>
  <c r="AQ12" i="46"/>
  <c r="AR12" i="46"/>
  <c r="AS12" i="46"/>
  <c r="AT12" i="46"/>
  <c r="AV12" i="46"/>
  <c r="AW12" i="46"/>
  <c r="AX12" i="46"/>
  <c r="AY12" i="46"/>
  <c r="N13" i="46"/>
  <c r="P13" i="46"/>
  <c r="AH13" i="46"/>
  <c r="AM13" i="46"/>
  <c r="AN13" i="46"/>
  <c r="AO13" i="46"/>
  <c r="AP13" i="46"/>
  <c r="AQ13" i="46"/>
  <c r="AR13" i="46"/>
  <c r="AS13" i="46"/>
  <c r="AT13" i="46"/>
  <c r="AV13" i="46"/>
  <c r="AW13" i="46"/>
  <c r="AX13" i="46"/>
  <c r="AY13" i="46"/>
  <c r="N14" i="46"/>
  <c r="P14" i="46"/>
  <c r="S14" i="46"/>
  <c r="T14" i="46"/>
  <c r="AM14" i="46"/>
  <c r="AN14" i="46"/>
  <c r="AO14" i="46"/>
  <c r="AP14" i="46"/>
  <c r="AQ14" i="46"/>
  <c r="AR14" i="46"/>
  <c r="AS14" i="46"/>
  <c r="AT14" i="46"/>
  <c r="AV14" i="46"/>
  <c r="AW14" i="46"/>
  <c r="AX14" i="46"/>
  <c r="AY14" i="46"/>
  <c r="N15" i="46"/>
  <c r="P15" i="46"/>
  <c r="AM15" i="46"/>
  <c r="AN15" i="46"/>
  <c r="AO15" i="46"/>
  <c r="AP15" i="46"/>
  <c r="AQ15" i="46"/>
  <c r="AR15" i="46"/>
  <c r="AS15" i="46"/>
  <c r="AT15" i="46"/>
  <c r="AV15" i="46"/>
  <c r="AW15" i="46"/>
  <c r="AX15" i="46"/>
  <c r="AY15" i="46"/>
  <c r="N16" i="46"/>
  <c r="P16" i="46"/>
  <c r="AV16" i="46"/>
  <c r="AW16" i="46"/>
  <c r="AX16" i="46"/>
  <c r="AY16" i="46"/>
  <c r="N17" i="46"/>
  <c r="P17" i="46"/>
  <c r="AV17" i="46"/>
  <c r="AW17" i="46"/>
  <c r="AX17" i="46"/>
  <c r="AY17" i="46"/>
  <c r="N18" i="46"/>
  <c r="P18" i="46"/>
  <c r="AX18" i="46"/>
  <c r="AY18" i="46"/>
  <c r="N19" i="46"/>
  <c r="P19" i="46"/>
  <c r="S20" i="46"/>
  <c r="T20" i="46"/>
  <c r="AM20" i="46"/>
  <c r="AO20" i="46"/>
  <c r="AV20" i="46"/>
  <c r="AW20" i="46"/>
  <c r="AX20" i="46"/>
  <c r="AY20" i="46"/>
  <c r="D22" i="46"/>
  <c r="F22" i="46"/>
  <c r="G22" i="46"/>
  <c r="H22" i="46"/>
  <c r="I22" i="46"/>
  <c r="K22" i="46"/>
  <c r="L22" i="46"/>
  <c r="N22" i="46"/>
  <c r="O22" i="46"/>
  <c r="P22" i="46"/>
  <c r="Q22" i="46"/>
  <c r="S22" i="46"/>
  <c r="T22" i="46"/>
  <c r="V22" i="46"/>
  <c r="X22" i="46"/>
  <c r="Y22" i="46"/>
  <c r="Z22" i="46"/>
  <c r="AA22" i="46"/>
  <c r="AB22" i="46"/>
  <c r="AC22" i="46"/>
  <c r="AF22" i="46"/>
  <c r="AG22" i="46"/>
  <c r="AH22" i="46"/>
  <c r="AI22" i="46"/>
  <c r="AJ22" i="46"/>
  <c r="AL22" i="46"/>
  <c r="AM22" i="46"/>
  <c r="AN22" i="46"/>
  <c r="AO22" i="46"/>
  <c r="AP22" i="46"/>
  <c r="AQ22" i="46"/>
  <c r="AR22" i="46"/>
  <c r="AS22" i="46"/>
  <c r="AT22" i="46"/>
  <c r="AU22" i="46"/>
  <c r="AV22" i="46"/>
  <c r="AW22" i="46"/>
  <c r="AX22" i="46"/>
  <c r="AY22" i="46"/>
  <c r="BB22" i="46"/>
  <c r="BC22" i="46"/>
  <c r="BD22" i="46"/>
  <c r="BE22" i="46"/>
  <c r="BF22" i="46"/>
  <c r="BG22" i="46"/>
  <c r="BH22" i="46"/>
  <c r="BI22" i="46"/>
  <c r="BJ22" i="46"/>
  <c r="BK22" i="46"/>
  <c r="BL22" i="46"/>
  <c r="BM22" i="46"/>
  <c r="BN22" i="46"/>
  <c r="BO22" i="46"/>
  <c r="D23" i="46"/>
  <c r="F23" i="46"/>
  <c r="G23" i="46"/>
  <c r="H23" i="46"/>
  <c r="I23" i="46"/>
  <c r="K23" i="46"/>
  <c r="L23" i="46"/>
  <c r="N23" i="46"/>
  <c r="O23" i="46"/>
  <c r="P23" i="46"/>
  <c r="Q23" i="46"/>
  <c r="S23" i="46"/>
  <c r="T23" i="46"/>
  <c r="V23" i="46"/>
  <c r="X23" i="46"/>
  <c r="Y23" i="46"/>
  <c r="Z23" i="46"/>
  <c r="AA23" i="46"/>
  <c r="AB23" i="46"/>
  <c r="AC23" i="46"/>
  <c r="AF23" i="46"/>
  <c r="AG23" i="46"/>
  <c r="AH23" i="46"/>
  <c r="AI23" i="46"/>
  <c r="AJ23" i="46"/>
  <c r="AL23" i="46"/>
  <c r="AM23" i="46"/>
  <c r="AN23" i="46"/>
  <c r="AO23" i="46"/>
  <c r="AP23" i="46"/>
  <c r="AQ23" i="46"/>
  <c r="AR23" i="46"/>
  <c r="AS23" i="46"/>
  <c r="AT23" i="46"/>
  <c r="AU23" i="46"/>
  <c r="AV23" i="46"/>
  <c r="AW23" i="46"/>
  <c r="AX23" i="46"/>
  <c r="AY23" i="46"/>
  <c r="BB23" i="46"/>
  <c r="BC23" i="46"/>
  <c r="BD23" i="46"/>
  <c r="BE23" i="46"/>
  <c r="BF23" i="46"/>
  <c r="BG23" i="46"/>
  <c r="BH23" i="46"/>
  <c r="BI23" i="46"/>
  <c r="BJ23" i="46"/>
  <c r="BK23" i="46"/>
  <c r="BL23" i="46"/>
  <c r="BM23" i="46"/>
  <c r="BN23" i="46"/>
  <c r="BO23" i="46"/>
  <c r="D24" i="46"/>
  <c r="F24" i="46"/>
  <c r="G24" i="46"/>
  <c r="H24" i="46"/>
  <c r="I24" i="46"/>
  <c r="K24" i="46"/>
  <c r="L24" i="46"/>
  <c r="N24" i="46"/>
  <c r="O24" i="46"/>
  <c r="P24" i="46"/>
  <c r="Q24" i="46"/>
  <c r="S24" i="46"/>
  <c r="T24" i="46"/>
  <c r="V24" i="46"/>
  <c r="X24" i="46"/>
  <c r="Y24" i="46"/>
  <c r="Z24" i="46"/>
  <c r="AA24" i="46"/>
  <c r="AB24" i="46"/>
  <c r="AC24" i="46"/>
  <c r="AF24" i="46"/>
  <c r="AG24" i="46"/>
  <c r="AH24" i="46"/>
  <c r="AI24" i="46"/>
  <c r="AJ24" i="46"/>
  <c r="AL24" i="46"/>
  <c r="AM24" i="46"/>
  <c r="AN24" i="46"/>
  <c r="AO24" i="46"/>
  <c r="AP24" i="46"/>
  <c r="AQ24" i="46"/>
  <c r="AR24" i="46"/>
  <c r="AS24" i="46"/>
  <c r="AT24" i="46"/>
  <c r="AU24" i="46"/>
  <c r="AV24" i="46"/>
  <c r="AW24" i="46"/>
  <c r="AX24" i="46"/>
  <c r="AY24" i="46"/>
  <c r="BB24" i="46"/>
  <c r="BC24" i="46"/>
  <c r="BD24" i="46"/>
  <c r="BE24" i="46"/>
  <c r="BF24" i="46"/>
  <c r="BG24" i="46"/>
  <c r="BH24" i="46"/>
  <c r="BI24" i="46"/>
  <c r="BJ24" i="46"/>
  <c r="BK24" i="46"/>
  <c r="BL24" i="46"/>
  <c r="BM24" i="46"/>
  <c r="BN24" i="46"/>
  <c r="BO24" i="46"/>
  <c r="D25" i="46"/>
  <c r="F25" i="46"/>
  <c r="G25" i="46"/>
  <c r="H25" i="46"/>
  <c r="I25" i="46"/>
  <c r="K25" i="46"/>
  <c r="L25" i="46"/>
  <c r="N25" i="46"/>
  <c r="O25" i="46"/>
  <c r="P25" i="46"/>
  <c r="Q25" i="46"/>
  <c r="S25" i="46"/>
  <c r="T25" i="46"/>
  <c r="V25" i="46"/>
  <c r="X25" i="46"/>
  <c r="Y25" i="46"/>
  <c r="Z25" i="46"/>
  <c r="AA25" i="46"/>
  <c r="AB25" i="46"/>
  <c r="AC25" i="46"/>
  <c r="AF25" i="46"/>
  <c r="AG25" i="46"/>
  <c r="AH25" i="46"/>
  <c r="AI25" i="46"/>
  <c r="AJ25" i="46"/>
  <c r="AL25" i="46"/>
  <c r="AM25" i="46"/>
  <c r="AN25" i="46"/>
  <c r="AO25" i="46"/>
  <c r="AP25" i="46"/>
  <c r="AQ25" i="46"/>
  <c r="AR25" i="46"/>
  <c r="AS25" i="46"/>
  <c r="AT25" i="46"/>
  <c r="AU25" i="46"/>
  <c r="AV25" i="46"/>
  <c r="AW25" i="46"/>
  <c r="AX25" i="46"/>
  <c r="AY25" i="46"/>
  <c r="BB25" i="46"/>
  <c r="BC25" i="46"/>
  <c r="BD25" i="46"/>
  <c r="BE25" i="46"/>
  <c r="BF25" i="46"/>
  <c r="BG25" i="46"/>
  <c r="BH25" i="46"/>
  <c r="BI25" i="46"/>
  <c r="BJ25" i="46"/>
  <c r="BK25" i="46"/>
  <c r="BL25" i="46"/>
  <c r="BM25" i="46"/>
  <c r="BN25" i="46"/>
  <c r="BO25" i="46"/>
  <c r="D26" i="46"/>
  <c r="F26" i="46"/>
  <c r="G26" i="46"/>
  <c r="H26" i="46"/>
  <c r="I26" i="46"/>
  <c r="K26" i="46"/>
  <c r="L26" i="46"/>
  <c r="N26" i="46"/>
  <c r="O26" i="46"/>
  <c r="P26" i="46"/>
  <c r="Q26" i="46"/>
  <c r="S26" i="46"/>
  <c r="T26" i="46"/>
  <c r="V26" i="46"/>
  <c r="X26" i="46"/>
  <c r="Y26" i="46"/>
  <c r="Z26" i="46"/>
  <c r="AA26" i="46"/>
  <c r="AB26" i="46"/>
  <c r="AC26" i="46"/>
  <c r="AF26" i="46"/>
  <c r="AG26" i="46"/>
  <c r="AH26" i="46"/>
  <c r="AI26" i="46"/>
  <c r="AJ26" i="46"/>
  <c r="AL26" i="46"/>
  <c r="AM26" i="46"/>
  <c r="AN26" i="46"/>
  <c r="AO26" i="46"/>
  <c r="AP26" i="46"/>
  <c r="AQ26" i="46"/>
  <c r="AR26" i="46"/>
  <c r="AS26" i="46"/>
  <c r="AT26" i="46"/>
  <c r="AU26" i="46"/>
  <c r="AV26" i="46"/>
  <c r="AW26" i="46"/>
  <c r="AX26" i="46"/>
  <c r="AY26" i="46"/>
  <c r="BB26" i="46"/>
  <c r="BC26" i="46"/>
  <c r="BD26" i="46"/>
  <c r="BE26" i="46"/>
  <c r="BF26" i="46"/>
  <c r="BG26" i="46"/>
  <c r="BH26" i="46"/>
  <c r="BI26" i="46"/>
  <c r="BJ26" i="46"/>
  <c r="BK26" i="46"/>
  <c r="BL26" i="46"/>
  <c r="BM26" i="46"/>
  <c r="BN26" i="46"/>
  <c r="BO26" i="46"/>
  <c r="D27" i="46"/>
  <c r="F27" i="46"/>
  <c r="G27" i="46"/>
  <c r="H27" i="46"/>
  <c r="I27" i="46"/>
  <c r="K27" i="46"/>
  <c r="L27" i="46"/>
  <c r="N27" i="46"/>
  <c r="O27" i="46"/>
  <c r="P27" i="46"/>
  <c r="Q27" i="46"/>
  <c r="S27" i="46"/>
  <c r="T27" i="46"/>
  <c r="V27" i="46"/>
  <c r="X27" i="46"/>
  <c r="Y27" i="46"/>
  <c r="Z27" i="46"/>
  <c r="AA27" i="46"/>
  <c r="AB27" i="46"/>
  <c r="AC27" i="46"/>
  <c r="AF27" i="46"/>
  <c r="AG27" i="46"/>
  <c r="AH27" i="46"/>
  <c r="AI27" i="46"/>
  <c r="AJ27" i="46"/>
  <c r="AL27" i="46"/>
  <c r="AM27" i="46"/>
  <c r="AN27" i="46"/>
  <c r="AO27" i="46"/>
  <c r="AP27" i="46"/>
  <c r="AQ27" i="46"/>
  <c r="AR27" i="46"/>
  <c r="AS27" i="46"/>
  <c r="AT27" i="46"/>
  <c r="AU27" i="46"/>
  <c r="AV27" i="46"/>
  <c r="AW27" i="46"/>
  <c r="AX27" i="46"/>
  <c r="AY27" i="46"/>
  <c r="BB27" i="46"/>
  <c r="BC27" i="46"/>
  <c r="BD27" i="46"/>
  <c r="BE27" i="46"/>
  <c r="BF27" i="46"/>
  <c r="BG27" i="46"/>
  <c r="BH27" i="46"/>
  <c r="BI27" i="46"/>
  <c r="BJ27" i="46"/>
  <c r="BK27" i="46"/>
  <c r="BL27" i="46"/>
  <c r="BM27" i="46"/>
  <c r="BN27" i="46"/>
  <c r="BO27" i="46"/>
  <c r="D28" i="46"/>
  <c r="F28" i="46"/>
  <c r="G28" i="46"/>
  <c r="H28" i="46"/>
  <c r="I28" i="46"/>
  <c r="K28" i="46"/>
  <c r="L28" i="46"/>
  <c r="N28" i="46"/>
  <c r="O28" i="46"/>
  <c r="P28" i="46"/>
  <c r="Q28" i="46"/>
  <c r="S28" i="46"/>
  <c r="T28" i="46"/>
  <c r="V28" i="46"/>
  <c r="X28" i="46"/>
  <c r="Y28" i="46"/>
  <c r="Z28" i="46"/>
  <c r="AA28" i="46"/>
  <c r="AB28" i="46"/>
  <c r="AC28" i="46"/>
  <c r="AF28" i="46"/>
  <c r="AG28" i="46"/>
  <c r="AH28" i="46"/>
  <c r="AI28" i="46"/>
  <c r="AJ28" i="46"/>
  <c r="AL28" i="46"/>
  <c r="AM28" i="46"/>
  <c r="AN28" i="46"/>
  <c r="AO28" i="46"/>
  <c r="AP28" i="46"/>
  <c r="AQ28" i="46"/>
  <c r="AR28" i="46"/>
  <c r="AS28" i="46"/>
  <c r="AT28" i="46"/>
  <c r="AU28" i="46"/>
  <c r="AV28" i="46"/>
  <c r="AW28" i="46"/>
  <c r="AX28" i="46"/>
  <c r="AY28" i="46"/>
  <c r="BB28" i="46"/>
  <c r="BC28" i="46"/>
  <c r="BD28" i="46"/>
  <c r="BE28" i="46"/>
  <c r="BF28" i="46"/>
  <c r="BG28" i="46"/>
  <c r="BH28" i="46"/>
  <c r="BI28" i="46"/>
  <c r="BJ28" i="46"/>
  <c r="BK28" i="46"/>
  <c r="BL28" i="46"/>
  <c r="BM28" i="46"/>
  <c r="BN28" i="46"/>
  <c r="BO28" i="46"/>
  <c r="D29" i="46"/>
  <c r="F29" i="46"/>
  <c r="G29" i="46"/>
  <c r="H29" i="46"/>
  <c r="I29" i="46"/>
  <c r="K29" i="46"/>
  <c r="L29" i="46"/>
  <c r="N29" i="46"/>
  <c r="O29" i="46"/>
  <c r="P29" i="46"/>
  <c r="Q29" i="46"/>
  <c r="S29" i="46"/>
  <c r="T29" i="46"/>
  <c r="V29" i="46"/>
  <c r="X29" i="46"/>
  <c r="Y29" i="46"/>
  <c r="Z29" i="46"/>
  <c r="AA29" i="46"/>
  <c r="AB29" i="46"/>
  <c r="AC29" i="46"/>
  <c r="AF29" i="46"/>
  <c r="AG29" i="46"/>
  <c r="AH29" i="46"/>
  <c r="AI29" i="46"/>
  <c r="AJ29" i="46"/>
  <c r="AL29" i="46"/>
  <c r="AM29" i="46"/>
  <c r="AN29" i="46"/>
  <c r="AO29" i="46"/>
  <c r="AP29" i="46"/>
  <c r="AQ29" i="46"/>
  <c r="AR29" i="46"/>
  <c r="AS29" i="46"/>
  <c r="AT29" i="46"/>
  <c r="AU29" i="46"/>
  <c r="AV29" i="46"/>
  <c r="AW29" i="46"/>
  <c r="AX29" i="46"/>
  <c r="AY29" i="46"/>
  <c r="BB29" i="46"/>
  <c r="BC29" i="46"/>
  <c r="BD29" i="46"/>
  <c r="BE29" i="46"/>
  <c r="BF29" i="46"/>
  <c r="BG29" i="46"/>
  <c r="BH29" i="46"/>
  <c r="BI29" i="46"/>
  <c r="BJ29" i="46"/>
  <c r="BK29" i="46"/>
  <c r="BL29" i="46"/>
  <c r="BM29" i="46"/>
  <c r="BN29" i="46"/>
  <c r="BO29" i="46"/>
  <c r="D30" i="46"/>
  <c r="F30" i="46"/>
  <c r="G30" i="46"/>
  <c r="H30" i="46"/>
  <c r="I30" i="46"/>
  <c r="K30" i="46"/>
  <c r="L30" i="46"/>
  <c r="N30" i="46"/>
  <c r="O30" i="46"/>
  <c r="P30" i="46"/>
  <c r="Q30" i="46"/>
  <c r="S30" i="46"/>
  <c r="T30" i="46"/>
  <c r="V30" i="46"/>
  <c r="X30" i="46"/>
  <c r="Y30" i="46"/>
  <c r="Z30" i="46"/>
  <c r="AA30" i="46"/>
  <c r="AB30" i="46"/>
  <c r="AC30" i="46"/>
  <c r="AF30" i="46"/>
  <c r="AG30" i="46"/>
  <c r="AH30" i="46"/>
  <c r="AI30" i="46"/>
  <c r="AJ30" i="46"/>
  <c r="AL30" i="46"/>
  <c r="AM30" i="46"/>
  <c r="AN30" i="46"/>
  <c r="AO30" i="46"/>
  <c r="AP30" i="46"/>
  <c r="AQ30" i="46"/>
  <c r="AR30" i="46"/>
  <c r="AS30" i="46"/>
  <c r="AT30" i="46"/>
  <c r="AU30" i="46"/>
  <c r="AV30" i="46"/>
  <c r="AW30" i="46"/>
  <c r="AX30" i="46"/>
  <c r="AY30" i="46"/>
  <c r="BB30" i="46"/>
  <c r="BC30" i="46"/>
  <c r="BD30" i="46"/>
  <c r="BE30" i="46"/>
  <c r="BF30" i="46"/>
  <c r="BG30" i="46"/>
  <c r="BH30" i="46"/>
  <c r="BI30" i="46"/>
  <c r="BJ30" i="46"/>
  <c r="BK30" i="46"/>
  <c r="BL30" i="46"/>
  <c r="BM30" i="46"/>
  <c r="BN30" i="46"/>
  <c r="BO30" i="46"/>
  <c r="D31" i="46"/>
  <c r="F31" i="46"/>
  <c r="G31" i="46"/>
  <c r="H31" i="46"/>
  <c r="I31" i="46"/>
  <c r="K31" i="46"/>
  <c r="L31" i="46"/>
  <c r="N31" i="46"/>
  <c r="O31" i="46"/>
  <c r="P31" i="46"/>
  <c r="Q31" i="46"/>
  <c r="S31" i="46"/>
  <c r="T31" i="46"/>
  <c r="V31" i="46"/>
  <c r="X31" i="46"/>
  <c r="Y31" i="46"/>
  <c r="Z31" i="46"/>
  <c r="AA31" i="46"/>
  <c r="AB31" i="46"/>
  <c r="AC31" i="46"/>
  <c r="AF31" i="46"/>
  <c r="AG31" i="46"/>
  <c r="AH31" i="46"/>
  <c r="AI31" i="46"/>
  <c r="AJ31" i="46"/>
  <c r="AL31" i="46"/>
  <c r="AM31" i="46"/>
  <c r="AN31" i="46"/>
  <c r="AO31" i="46"/>
  <c r="AP31" i="46"/>
  <c r="AQ31" i="46"/>
  <c r="AR31" i="46"/>
  <c r="AS31" i="46"/>
  <c r="AT31" i="46"/>
  <c r="AU31" i="46"/>
  <c r="AV31" i="46"/>
  <c r="AW31" i="46"/>
  <c r="AX31" i="46"/>
  <c r="AY31" i="46"/>
  <c r="BB31" i="46"/>
  <c r="BC31" i="46"/>
  <c r="BD31" i="46"/>
  <c r="BE31" i="46"/>
  <c r="BF31" i="46"/>
  <c r="BG31" i="46"/>
  <c r="BH31" i="46"/>
  <c r="BI31" i="46"/>
  <c r="BJ31" i="46"/>
  <c r="BK31" i="46"/>
  <c r="BL31" i="46"/>
  <c r="BM31" i="46"/>
  <c r="BN31" i="46"/>
  <c r="BO31" i="46"/>
  <c r="D32" i="46"/>
  <c r="F32" i="46"/>
  <c r="G32" i="46"/>
  <c r="H32" i="46"/>
  <c r="I32" i="46"/>
  <c r="K32" i="46"/>
  <c r="L32" i="46"/>
  <c r="N32" i="46"/>
  <c r="O32" i="46"/>
  <c r="P32" i="46"/>
  <c r="Q32" i="46"/>
  <c r="S32" i="46"/>
  <c r="T32" i="46"/>
  <c r="V32" i="46"/>
  <c r="X32" i="46"/>
  <c r="Y32" i="46"/>
  <c r="Z32" i="46"/>
  <c r="AA32" i="46"/>
  <c r="AB32" i="46"/>
  <c r="AC32" i="46"/>
  <c r="AF32" i="46"/>
  <c r="AG32" i="46"/>
  <c r="AH32" i="46"/>
  <c r="AI32" i="46"/>
  <c r="AJ32" i="46"/>
  <c r="AL32" i="46"/>
  <c r="AM32" i="46"/>
  <c r="AN32" i="46"/>
  <c r="AO32" i="46"/>
  <c r="AP32" i="46"/>
  <c r="AQ32" i="46"/>
  <c r="AR32" i="46"/>
  <c r="AS32" i="46"/>
  <c r="AT32" i="46"/>
  <c r="AU32" i="46"/>
  <c r="AV32" i="46"/>
  <c r="AW32" i="46"/>
  <c r="AX32" i="46"/>
  <c r="AY32" i="46"/>
  <c r="BB32" i="46"/>
  <c r="BC32" i="46"/>
  <c r="BD32" i="46"/>
  <c r="BE32" i="46"/>
  <c r="BF32" i="46"/>
  <c r="BG32" i="46"/>
  <c r="BH32" i="46"/>
  <c r="BI32" i="46"/>
  <c r="BJ32" i="46"/>
  <c r="BK32" i="46"/>
  <c r="BL32" i="46"/>
  <c r="BM32" i="46"/>
  <c r="BN32" i="46"/>
  <c r="BO32" i="46"/>
  <c r="D33" i="46"/>
  <c r="F33" i="46"/>
  <c r="G33" i="46"/>
  <c r="H33" i="46"/>
  <c r="I33" i="46"/>
  <c r="K33" i="46"/>
  <c r="L33" i="46"/>
  <c r="N33" i="46"/>
  <c r="O33" i="46"/>
  <c r="P33" i="46"/>
  <c r="Q33" i="46"/>
  <c r="S33" i="46"/>
  <c r="T33" i="46"/>
  <c r="V33" i="46"/>
  <c r="X33" i="46"/>
  <c r="Y33" i="46"/>
  <c r="Z33" i="46"/>
  <c r="AA33" i="46"/>
  <c r="AB33" i="46"/>
  <c r="AC33" i="46"/>
  <c r="AF33" i="46"/>
  <c r="AG33" i="46"/>
  <c r="AH33" i="46"/>
  <c r="AI33" i="46"/>
  <c r="AJ33" i="46"/>
  <c r="AL33" i="46"/>
  <c r="AM33" i="46"/>
  <c r="AN33" i="46"/>
  <c r="AO33" i="46"/>
  <c r="AP33" i="46"/>
  <c r="AQ33" i="46"/>
  <c r="AR33" i="46"/>
  <c r="AS33" i="46"/>
  <c r="AT33" i="46"/>
  <c r="AU33" i="46"/>
  <c r="AV33" i="46"/>
  <c r="AW33" i="46"/>
  <c r="AX33" i="46"/>
  <c r="AY33" i="46"/>
  <c r="BB33" i="46"/>
  <c r="BC33" i="46"/>
  <c r="BD33" i="46"/>
  <c r="BE33" i="46"/>
  <c r="BF33" i="46"/>
  <c r="BG33" i="46"/>
  <c r="BH33" i="46"/>
  <c r="BI33" i="46"/>
  <c r="BJ33" i="46"/>
  <c r="BK33" i="46"/>
  <c r="BL33" i="46"/>
  <c r="BM33" i="46"/>
  <c r="BN33" i="46"/>
  <c r="BO33" i="46"/>
  <c r="F1" i="47"/>
  <c r="AV1" i="47"/>
  <c r="A2" i="47"/>
  <c r="F2" i="47"/>
  <c r="G2" i="47"/>
  <c r="N2" i="47"/>
  <c r="AV2" i="47"/>
  <c r="AW2" i="47"/>
  <c r="AX2" i="47"/>
  <c r="AY2" i="47"/>
  <c r="BW2" i="47"/>
  <c r="BX2" i="47"/>
  <c r="BY2" i="47"/>
  <c r="BZ2" i="47"/>
  <c r="CA2" i="47"/>
  <c r="CB2" i="47"/>
  <c r="CC2" i="47"/>
  <c r="CD2" i="47"/>
  <c r="CE2" i="47"/>
  <c r="CF2" i="47"/>
  <c r="CG2" i="47"/>
  <c r="CH2" i="47"/>
  <c r="CI2" i="47"/>
  <c r="CJ2" i="47"/>
  <c r="CK2" i="47"/>
  <c r="CL2" i="47"/>
  <c r="CM2" i="47"/>
  <c r="CN2" i="47"/>
  <c r="CO2" i="47"/>
  <c r="CP2" i="47"/>
  <c r="CQ2" i="47"/>
  <c r="CR2" i="47"/>
  <c r="CS2" i="47"/>
  <c r="CT2" i="47"/>
  <c r="CU2" i="47"/>
  <c r="CV2" i="47"/>
  <c r="CW2" i="47"/>
  <c r="CX2" i="47"/>
  <c r="A3" i="47"/>
  <c r="AH3" i="47"/>
  <c r="AK3" i="47"/>
  <c r="AV3" i="47"/>
  <c r="AW3" i="47"/>
  <c r="AX3" i="47"/>
  <c r="AY3" i="47"/>
  <c r="A4" i="47"/>
  <c r="N4" i="47"/>
  <c r="P4" i="47"/>
  <c r="T4" i="47"/>
  <c r="V4" i="47"/>
  <c r="W4" i="47"/>
  <c r="AH4" i="47"/>
  <c r="AK4" i="47"/>
  <c r="AM4" i="47"/>
  <c r="AN4" i="47"/>
  <c r="AO4" i="47"/>
  <c r="AP4" i="47"/>
  <c r="AQ4" i="47"/>
  <c r="AR4" i="47"/>
  <c r="AS4" i="47"/>
  <c r="AT4" i="47"/>
  <c r="AV4" i="47"/>
  <c r="AW4" i="47"/>
  <c r="AX4" i="47"/>
  <c r="AY4" i="47"/>
  <c r="A5" i="47"/>
  <c r="G5" i="47"/>
  <c r="N5" i="47"/>
  <c r="P5" i="47"/>
  <c r="T5" i="47"/>
  <c r="V5" i="47"/>
  <c r="W5" i="47"/>
  <c r="AH5" i="47"/>
  <c r="AK5" i="47"/>
  <c r="AM5" i="47"/>
  <c r="AN5" i="47"/>
  <c r="AO5" i="47"/>
  <c r="AP5" i="47"/>
  <c r="AQ5" i="47"/>
  <c r="AR5" i="47"/>
  <c r="AS5" i="47"/>
  <c r="AT5" i="47"/>
  <c r="AV5" i="47"/>
  <c r="AW5" i="47"/>
  <c r="AX5" i="47"/>
  <c r="AY5" i="47"/>
  <c r="BV5" i="47"/>
  <c r="A6" i="47"/>
  <c r="N6" i="47"/>
  <c r="P6" i="47"/>
  <c r="T6" i="47"/>
  <c r="V6" i="47"/>
  <c r="W6" i="47"/>
  <c r="AH6" i="47"/>
  <c r="AK6" i="47"/>
  <c r="AM6" i="47"/>
  <c r="AN6" i="47"/>
  <c r="AO6" i="47"/>
  <c r="AP6" i="47"/>
  <c r="AQ6" i="47"/>
  <c r="AR6" i="47"/>
  <c r="AS6" i="47"/>
  <c r="AT6" i="47"/>
  <c r="A7" i="47"/>
  <c r="G7" i="47"/>
  <c r="N7" i="47"/>
  <c r="N7" i="47" a="1"/>
  <c r="P7" i="47"/>
  <c r="T7" i="47"/>
  <c r="AH7" i="47"/>
  <c r="AK7" i="47"/>
  <c r="AM7" i="47"/>
  <c r="AN7" i="47"/>
  <c r="AO7" i="47"/>
  <c r="AP7" i="47"/>
  <c r="AQ7" i="47"/>
  <c r="AR7" i="47"/>
  <c r="AS7" i="47"/>
  <c r="AT7" i="47"/>
  <c r="AV7" i="47"/>
  <c r="AW7" i="47"/>
  <c r="AX7" i="47"/>
  <c r="AY7" i="47"/>
  <c r="G8" i="47"/>
  <c r="N8" i="47"/>
  <c r="N8" i="47" a="1"/>
  <c r="P8" i="47"/>
  <c r="T8" i="47"/>
  <c r="V8" i="47"/>
  <c r="W8" i="47"/>
  <c r="Y8" i="47"/>
  <c r="Z8" i="47"/>
  <c r="AH8" i="47"/>
  <c r="AK8" i="47"/>
  <c r="AM8" i="47"/>
  <c r="AN8" i="47"/>
  <c r="AO8" i="47"/>
  <c r="AP8" i="47"/>
  <c r="AQ8" i="47"/>
  <c r="AR8" i="47"/>
  <c r="AS8" i="47"/>
  <c r="AT8" i="47"/>
  <c r="AV8" i="47"/>
  <c r="AW8" i="47"/>
  <c r="AX8" i="47"/>
  <c r="AY8" i="47"/>
  <c r="N9" i="47"/>
  <c r="N9" i="47" a="1"/>
  <c r="P9" i="47"/>
  <c r="AK9" i="47"/>
  <c r="AM9" i="47"/>
  <c r="AN9" i="47"/>
  <c r="AO9" i="47"/>
  <c r="AP9" i="47"/>
  <c r="AQ9" i="47"/>
  <c r="AR9" i="47"/>
  <c r="AS9" i="47"/>
  <c r="AT9" i="47"/>
  <c r="AV9" i="47"/>
  <c r="AW9" i="47"/>
  <c r="AX9" i="47"/>
  <c r="AY9" i="47"/>
  <c r="K10" i="47"/>
  <c r="N10" i="47"/>
  <c r="P10" i="47"/>
  <c r="AH10" i="47"/>
  <c r="AM10" i="47"/>
  <c r="AN10" i="47"/>
  <c r="AO10" i="47"/>
  <c r="AP10" i="47"/>
  <c r="AQ10" i="47"/>
  <c r="AR10" i="47"/>
  <c r="AS10" i="47"/>
  <c r="AT10" i="47"/>
  <c r="AV10" i="47"/>
  <c r="AW10" i="47"/>
  <c r="AX10" i="47"/>
  <c r="AY10" i="47"/>
  <c r="D11" i="47"/>
  <c r="K11" i="47"/>
  <c r="N11" i="47"/>
  <c r="P11" i="47"/>
  <c r="AM11" i="47"/>
  <c r="AN11" i="47"/>
  <c r="AO11" i="47"/>
  <c r="AP11" i="47"/>
  <c r="AQ11" i="47"/>
  <c r="AR11" i="47"/>
  <c r="AS11" i="47"/>
  <c r="AT11" i="47"/>
  <c r="AV11" i="47"/>
  <c r="AW11" i="47"/>
  <c r="AX11" i="47"/>
  <c r="AY11" i="47"/>
  <c r="D12" i="47"/>
  <c r="N12" i="47"/>
  <c r="P12" i="47"/>
  <c r="AH12" i="47"/>
  <c r="AM12" i="47"/>
  <c r="AN12" i="47"/>
  <c r="AO12" i="47"/>
  <c r="AP12" i="47"/>
  <c r="AQ12" i="47"/>
  <c r="AR12" i="47"/>
  <c r="AS12" i="47"/>
  <c r="AT12" i="47"/>
  <c r="AV12" i="47"/>
  <c r="AW12" i="47"/>
  <c r="AX12" i="47"/>
  <c r="AY12" i="47"/>
  <c r="N13" i="47"/>
  <c r="P13" i="47"/>
  <c r="AH13" i="47"/>
  <c r="AM13" i="47"/>
  <c r="AN13" i="47"/>
  <c r="AO13" i="47"/>
  <c r="AP13" i="47"/>
  <c r="AQ13" i="47"/>
  <c r="AR13" i="47"/>
  <c r="AS13" i="47"/>
  <c r="AT13" i="47"/>
  <c r="AV13" i="47"/>
  <c r="AW13" i="47"/>
  <c r="AX13" i="47"/>
  <c r="AY13" i="47"/>
  <c r="N14" i="47"/>
  <c r="P14" i="47"/>
  <c r="S14" i="47"/>
  <c r="T14" i="47"/>
  <c r="AM14" i="47"/>
  <c r="AN14" i="47"/>
  <c r="AO14" i="47"/>
  <c r="AP14" i="47"/>
  <c r="AQ14" i="47"/>
  <c r="AR14" i="47"/>
  <c r="AS14" i="47"/>
  <c r="AT14" i="47"/>
  <c r="AV14" i="47"/>
  <c r="AW14" i="47"/>
  <c r="AX14" i="47"/>
  <c r="AY14" i="47"/>
  <c r="N15" i="47"/>
  <c r="P15" i="47"/>
  <c r="AM15" i="47"/>
  <c r="AN15" i="47"/>
  <c r="AO15" i="47"/>
  <c r="AP15" i="47"/>
  <c r="AQ15" i="47"/>
  <c r="AR15" i="47"/>
  <c r="AS15" i="47"/>
  <c r="AT15" i="47"/>
  <c r="AV15" i="47"/>
  <c r="AW15" i="47"/>
  <c r="AX15" i="47"/>
  <c r="AY15" i="47"/>
  <c r="N16" i="47"/>
  <c r="P16" i="47"/>
  <c r="AV16" i="47"/>
  <c r="AW16" i="47"/>
  <c r="AX16" i="47"/>
  <c r="AY16" i="47"/>
  <c r="N17" i="47"/>
  <c r="P17" i="47"/>
  <c r="AV17" i="47"/>
  <c r="AW17" i="47"/>
  <c r="AX17" i="47"/>
  <c r="AY17" i="47"/>
  <c r="N18" i="47"/>
  <c r="P18" i="47"/>
  <c r="AX18" i="47"/>
  <c r="AY18" i="47"/>
  <c r="N19" i="47"/>
  <c r="P19" i="47"/>
  <c r="S20" i="47"/>
  <c r="T20" i="47"/>
  <c r="AM20" i="47"/>
  <c r="AO20" i="47"/>
  <c r="AV20" i="47"/>
  <c r="AW20" i="47"/>
  <c r="AX20" i="47"/>
  <c r="AY20" i="47"/>
  <c r="D22" i="47"/>
  <c r="F22" i="47"/>
  <c r="G22" i="47"/>
  <c r="H22" i="47"/>
  <c r="I22" i="47"/>
  <c r="K22" i="47"/>
  <c r="L22" i="47"/>
  <c r="N22" i="47"/>
  <c r="O22" i="47"/>
  <c r="P22" i="47"/>
  <c r="Q22" i="47"/>
  <c r="S22" i="47"/>
  <c r="T22" i="47"/>
  <c r="V22" i="47"/>
  <c r="X22" i="47"/>
  <c r="Y22" i="47"/>
  <c r="Z22" i="47"/>
  <c r="AA22" i="47"/>
  <c r="AB22" i="47"/>
  <c r="AC22" i="47"/>
  <c r="AF22" i="47"/>
  <c r="AG22" i="47"/>
  <c r="AH22" i="47"/>
  <c r="AI22" i="47"/>
  <c r="AJ22" i="47"/>
  <c r="AL22" i="47"/>
  <c r="AM22" i="47"/>
  <c r="AN22" i="47"/>
  <c r="AO22" i="47"/>
  <c r="AP22" i="47"/>
  <c r="AQ22" i="47"/>
  <c r="AR22" i="47"/>
  <c r="AS22" i="47"/>
  <c r="AT22" i="47"/>
  <c r="AU22" i="47"/>
  <c r="AV22" i="47"/>
  <c r="AW22" i="47"/>
  <c r="AX22" i="47"/>
  <c r="AY22" i="47"/>
  <c r="BB22" i="47"/>
  <c r="BC22" i="47"/>
  <c r="BD22" i="47"/>
  <c r="BE22" i="47"/>
  <c r="BF22" i="47"/>
  <c r="BG22" i="47"/>
  <c r="BH22" i="47"/>
  <c r="BI22" i="47"/>
  <c r="BJ22" i="47"/>
  <c r="BK22" i="47"/>
  <c r="BL22" i="47"/>
  <c r="BM22" i="47"/>
  <c r="BN22" i="47"/>
  <c r="BO22" i="47"/>
  <c r="D23" i="47"/>
  <c r="F23" i="47"/>
  <c r="G23" i="47"/>
  <c r="H23" i="47"/>
  <c r="I23" i="47"/>
  <c r="K23" i="47"/>
  <c r="L23" i="47"/>
  <c r="N23" i="47"/>
  <c r="O23" i="47"/>
  <c r="P23" i="47"/>
  <c r="Q23" i="47"/>
  <c r="S23" i="47"/>
  <c r="T23" i="47"/>
  <c r="V23" i="47"/>
  <c r="X23" i="47"/>
  <c r="Y23" i="47"/>
  <c r="Z23" i="47"/>
  <c r="AA23" i="47"/>
  <c r="AB23" i="47"/>
  <c r="AC23" i="47"/>
  <c r="AF23" i="47"/>
  <c r="AG23" i="47"/>
  <c r="AH23" i="47"/>
  <c r="AI23" i="47"/>
  <c r="AJ23" i="47"/>
  <c r="AL23" i="47"/>
  <c r="AM23" i="47"/>
  <c r="AN23" i="47"/>
  <c r="AO23" i="47"/>
  <c r="AP23" i="47"/>
  <c r="AQ23" i="47"/>
  <c r="AR23" i="47"/>
  <c r="AS23" i="47"/>
  <c r="AT23" i="47"/>
  <c r="AU23" i="47"/>
  <c r="AV23" i="47"/>
  <c r="AW23" i="47"/>
  <c r="AX23" i="47"/>
  <c r="AY23" i="47"/>
  <c r="BB23" i="47"/>
  <c r="BC23" i="47"/>
  <c r="BD23" i="47"/>
  <c r="BE23" i="47"/>
  <c r="BF23" i="47"/>
  <c r="BG23" i="47"/>
  <c r="BH23" i="47"/>
  <c r="BI23" i="47"/>
  <c r="BJ23" i="47"/>
  <c r="BK23" i="47"/>
  <c r="BL23" i="47"/>
  <c r="BM23" i="47"/>
  <c r="BN23" i="47"/>
  <c r="BO23" i="47"/>
  <c r="D24" i="47"/>
  <c r="F24" i="47"/>
  <c r="G24" i="47"/>
  <c r="H24" i="47"/>
  <c r="I24" i="47"/>
  <c r="K24" i="47"/>
  <c r="L24" i="47"/>
  <c r="N24" i="47"/>
  <c r="O24" i="47"/>
  <c r="P24" i="47"/>
  <c r="Q24" i="47"/>
  <c r="S24" i="47"/>
  <c r="T24" i="47"/>
  <c r="V24" i="47"/>
  <c r="X24" i="47"/>
  <c r="Y24" i="47"/>
  <c r="Z24" i="47"/>
  <c r="AA24" i="47"/>
  <c r="AB24" i="47"/>
  <c r="AC24" i="47"/>
  <c r="AF24" i="47"/>
  <c r="AG24" i="47"/>
  <c r="AH24" i="47"/>
  <c r="AI24" i="47"/>
  <c r="AJ24" i="47"/>
  <c r="AL24" i="47"/>
  <c r="AM24" i="47"/>
  <c r="AN24" i="47"/>
  <c r="AO24" i="47"/>
  <c r="AP24" i="47"/>
  <c r="AQ24" i="47"/>
  <c r="AR24" i="47"/>
  <c r="AS24" i="47"/>
  <c r="AT24" i="47"/>
  <c r="AU24" i="47"/>
  <c r="AV24" i="47"/>
  <c r="AW24" i="47"/>
  <c r="AX24" i="47"/>
  <c r="AY24" i="47"/>
  <c r="BB24" i="47"/>
  <c r="BC24" i="47"/>
  <c r="BD24" i="47"/>
  <c r="BE24" i="47"/>
  <c r="BF24" i="47"/>
  <c r="BG24" i="47"/>
  <c r="BH24" i="47"/>
  <c r="BI24" i="47"/>
  <c r="BJ24" i="47"/>
  <c r="BK24" i="47"/>
  <c r="BL24" i="47"/>
  <c r="BM24" i="47"/>
  <c r="BN24" i="47"/>
  <c r="BO24" i="47"/>
  <c r="D25" i="47"/>
  <c r="F25" i="47"/>
  <c r="G25" i="47"/>
  <c r="H25" i="47"/>
  <c r="I25" i="47"/>
  <c r="K25" i="47"/>
  <c r="L25" i="47"/>
  <c r="N25" i="47"/>
  <c r="O25" i="47"/>
  <c r="P25" i="47"/>
  <c r="Q25" i="47"/>
  <c r="S25" i="47"/>
  <c r="T25" i="47"/>
  <c r="V25" i="47"/>
  <c r="X25" i="47"/>
  <c r="Y25" i="47"/>
  <c r="Z25" i="47"/>
  <c r="AA25" i="47"/>
  <c r="AB25" i="47"/>
  <c r="AC25" i="47"/>
  <c r="AF25" i="47"/>
  <c r="AG25" i="47"/>
  <c r="AH25" i="47"/>
  <c r="AI25" i="47"/>
  <c r="AJ25" i="47"/>
  <c r="AL25" i="47"/>
  <c r="AM25" i="47"/>
  <c r="AN25" i="47"/>
  <c r="AO25" i="47"/>
  <c r="AP25" i="47"/>
  <c r="AQ25" i="47"/>
  <c r="AR25" i="47"/>
  <c r="AS25" i="47"/>
  <c r="AT25" i="47"/>
  <c r="AU25" i="47"/>
  <c r="AV25" i="47"/>
  <c r="AW25" i="47"/>
  <c r="AX25" i="47"/>
  <c r="AY25" i="47"/>
  <c r="BB25" i="47"/>
  <c r="BC25" i="47"/>
  <c r="BD25" i="47"/>
  <c r="BE25" i="47"/>
  <c r="BF25" i="47"/>
  <c r="BG25" i="47"/>
  <c r="BH25" i="47"/>
  <c r="BI25" i="47"/>
  <c r="BJ25" i="47"/>
  <c r="BK25" i="47"/>
  <c r="BL25" i="47"/>
  <c r="BM25" i="47"/>
  <c r="BN25" i="47"/>
  <c r="BO25" i="47"/>
  <c r="D26" i="47"/>
  <c r="F26" i="47"/>
  <c r="G26" i="47"/>
  <c r="H26" i="47"/>
  <c r="I26" i="47"/>
  <c r="K26" i="47"/>
  <c r="L26" i="47"/>
  <c r="N26" i="47"/>
  <c r="O26" i="47"/>
  <c r="P26" i="47"/>
  <c r="Q26" i="47"/>
  <c r="S26" i="47"/>
  <c r="T26" i="47"/>
  <c r="V26" i="47"/>
  <c r="X26" i="47"/>
  <c r="Y26" i="47"/>
  <c r="Z26" i="47"/>
  <c r="AA26" i="47"/>
  <c r="AB26" i="47"/>
  <c r="AC26" i="47"/>
  <c r="AF26" i="47"/>
  <c r="AG26" i="47"/>
  <c r="AH26" i="47"/>
  <c r="AI26" i="47"/>
  <c r="AJ26" i="47"/>
  <c r="AL26" i="47"/>
  <c r="AM26" i="47"/>
  <c r="AN26" i="47"/>
  <c r="AO26" i="47"/>
  <c r="AP26" i="47"/>
  <c r="AQ26" i="47"/>
  <c r="AR26" i="47"/>
  <c r="AS26" i="47"/>
  <c r="AT26" i="47"/>
  <c r="AU26" i="47"/>
  <c r="AV26" i="47"/>
  <c r="AW26" i="47"/>
  <c r="AX26" i="47"/>
  <c r="AY26" i="47"/>
  <c r="BB26" i="47"/>
  <c r="BC26" i="47"/>
  <c r="BD26" i="47"/>
  <c r="BE26" i="47"/>
  <c r="BF26" i="47"/>
  <c r="BG26" i="47"/>
  <c r="BH26" i="47"/>
  <c r="BI26" i="47"/>
  <c r="BJ26" i="47"/>
  <c r="BK26" i="47"/>
  <c r="BL26" i="47"/>
  <c r="BM26" i="47"/>
  <c r="BN26" i="47"/>
  <c r="BO26" i="47"/>
  <c r="D27" i="47"/>
  <c r="F27" i="47"/>
  <c r="G27" i="47"/>
  <c r="H27" i="47"/>
  <c r="I27" i="47"/>
  <c r="K27" i="47"/>
  <c r="L27" i="47"/>
  <c r="N27" i="47"/>
  <c r="O27" i="47"/>
  <c r="P27" i="47"/>
  <c r="Q27" i="47"/>
  <c r="S27" i="47"/>
  <c r="T27" i="47"/>
  <c r="V27" i="47"/>
  <c r="X27" i="47"/>
  <c r="Y27" i="47"/>
  <c r="Z27" i="47"/>
  <c r="AA27" i="47"/>
  <c r="AB27" i="47"/>
  <c r="AC27" i="47"/>
  <c r="AF27" i="47"/>
  <c r="AG27" i="47"/>
  <c r="AH27" i="47"/>
  <c r="AI27" i="47"/>
  <c r="AJ27" i="47"/>
  <c r="AL27" i="47"/>
  <c r="AM27" i="47"/>
  <c r="AN27" i="47"/>
  <c r="AO27" i="47"/>
  <c r="AP27" i="47"/>
  <c r="AQ27" i="47"/>
  <c r="AR27" i="47"/>
  <c r="AS27" i="47"/>
  <c r="AT27" i="47"/>
  <c r="AU27" i="47"/>
  <c r="AV27" i="47"/>
  <c r="AW27" i="47"/>
  <c r="AX27" i="47"/>
  <c r="AY27" i="47"/>
  <c r="BB27" i="47"/>
  <c r="BC27" i="47"/>
  <c r="BD27" i="47"/>
  <c r="BE27" i="47"/>
  <c r="BF27" i="47"/>
  <c r="BG27" i="47"/>
  <c r="BH27" i="47"/>
  <c r="BI27" i="47"/>
  <c r="BJ27" i="47"/>
  <c r="BK27" i="47"/>
  <c r="BL27" i="47"/>
  <c r="BM27" i="47"/>
  <c r="BN27" i="47"/>
  <c r="BO27" i="47"/>
  <c r="D28" i="47"/>
  <c r="F28" i="47"/>
  <c r="G28" i="47"/>
  <c r="H28" i="47"/>
  <c r="I28" i="47"/>
  <c r="K28" i="47"/>
  <c r="L28" i="47"/>
  <c r="N28" i="47"/>
  <c r="O28" i="47"/>
  <c r="P28" i="47"/>
  <c r="Q28" i="47"/>
  <c r="S28" i="47"/>
  <c r="T28" i="47"/>
  <c r="V28" i="47"/>
  <c r="X28" i="47"/>
  <c r="Y28" i="47"/>
  <c r="Z28" i="47"/>
  <c r="AA28" i="47"/>
  <c r="AB28" i="47"/>
  <c r="AC28" i="47"/>
  <c r="AF28" i="47"/>
  <c r="AG28" i="47"/>
  <c r="AH28" i="47"/>
  <c r="AI28" i="47"/>
  <c r="AJ28" i="47"/>
  <c r="AL28" i="47"/>
  <c r="AM28" i="47"/>
  <c r="AN28" i="47"/>
  <c r="AO28" i="47"/>
  <c r="AP28" i="47"/>
  <c r="AQ28" i="47"/>
  <c r="AR28" i="47"/>
  <c r="AS28" i="47"/>
  <c r="AT28" i="47"/>
  <c r="AU28" i="47"/>
  <c r="AV28" i="47"/>
  <c r="AW28" i="47"/>
  <c r="AX28" i="47"/>
  <c r="AY28" i="47"/>
  <c r="BB28" i="47"/>
  <c r="BC28" i="47"/>
  <c r="BD28" i="47"/>
  <c r="BE28" i="47"/>
  <c r="BF28" i="47"/>
  <c r="BG28" i="47"/>
  <c r="BH28" i="47"/>
  <c r="BI28" i="47"/>
  <c r="BJ28" i="47"/>
  <c r="BK28" i="47"/>
  <c r="BL28" i="47"/>
  <c r="BM28" i="47"/>
  <c r="BN28" i="47"/>
  <c r="BO28" i="47"/>
  <c r="D29" i="47"/>
  <c r="F29" i="47"/>
  <c r="G29" i="47"/>
  <c r="H29" i="47"/>
  <c r="I29" i="47"/>
  <c r="K29" i="47"/>
  <c r="L29" i="47"/>
  <c r="N29" i="47"/>
  <c r="O29" i="47"/>
  <c r="P29" i="47"/>
  <c r="Q29" i="47"/>
  <c r="S29" i="47"/>
  <c r="T29" i="47"/>
  <c r="V29" i="47"/>
  <c r="X29" i="47"/>
  <c r="Y29" i="47"/>
  <c r="Z29" i="47"/>
  <c r="AA29" i="47"/>
  <c r="AB29" i="47"/>
  <c r="AC29" i="47"/>
  <c r="AF29" i="47"/>
  <c r="AG29" i="47"/>
  <c r="AH29" i="47"/>
  <c r="AI29" i="47"/>
  <c r="AJ29" i="47"/>
  <c r="AL29" i="47"/>
  <c r="AM29" i="47"/>
  <c r="AN29" i="47"/>
  <c r="AO29" i="47"/>
  <c r="AP29" i="47"/>
  <c r="AQ29" i="47"/>
  <c r="AR29" i="47"/>
  <c r="AS29" i="47"/>
  <c r="AT29" i="47"/>
  <c r="AU29" i="47"/>
  <c r="AV29" i="47"/>
  <c r="AW29" i="47"/>
  <c r="AX29" i="47"/>
  <c r="AY29" i="47"/>
  <c r="BB29" i="47"/>
  <c r="BC29" i="47"/>
  <c r="BD29" i="47"/>
  <c r="BE29" i="47"/>
  <c r="BF29" i="47"/>
  <c r="BG29" i="47"/>
  <c r="BH29" i="47"/>
  <c r="BI29" i="47"/>
  <c r="BJ29" i="47"/>
  <c r="BK29" i="47"/>
  <c r="BL29" i="47"/>
  <c r="BM29" i="47"/>
  <c r="BN29" i="47"/>
  <c r="BO29" i="47"/>
  <c r="D30" i="47"/>
  <c r="F30" i="47"/>
  <c r="G30" i="47"/>
  <c r="H30" i="47"/>
  <c r="I30" i="47"/>
  <c r="K30" i="47"/>
  <c r="L30" i="47"/>
  <c r="N30" i="47"/>
  <c r="O30" i="47"/>
  <c r="P30" i="47"/>
  <c r="Q30" i="47"/>
  <c r="S30" i="47"/>
  <c r="T30" i="47"/>
  <c r="V30" i="47"/>
  <c r="X30" i="47"/>
  <c r="Y30" i="47"/>
  <c r="Z30" i="47"/>
  <c r="AA30" i="47"/>
  <c r="AB30" i="47"/>
  <c r="AC30" i="47"/>
  <c r="AF30" i="47"/>
  <c r="AG30" i="47"/>
  <c r="AH30" i="47"/>
  <c r="AI30" i="47"/>
  <c r="AJ30" i="47"/>
  <c r="AL30" i="47"/>
  <c r="AM30" i="47"/>
  <c r="AN30" i="47"/>
  <c r="AO30" i="47"/>
  <c r="AP30" i="47"/>
  <c r="AQ30" i="47"/>
  <c r="AR30" i="47"/>
  <c r="AS30" i="47"/>
  <c r="AT30" i="47"/>
  <c r="AU30" i="47"/>
  <c r="AV30" i="47"/>
  <c r="AW30" i="47"/>
  <c r="AX30" i="47"/>
  <c r="AY30" i="47"/>
  <c r="BB30" i="47"/>
  <c r="BC30" i="47"/>
  <c r="BD30" i="47"/>
  <c r="BE30" i="47"/>
  <c r="BF30" i="47"/>
  <c r="BG30" i="47"/>
  <c r="BH30" i="47"/>
  <c r="BI30" i="47"/>
  <c r="BJ30" i="47"/>
  <c r="BK30" i="47"/>
  <c r="BL30" i="47"/>
  <c r="BM30" i="47"/>
  <c r="BN30" i="47"/>
  <c r="BO30" i="47"/>
  <c r="F1" i="48"/>
  <c r="AV1" i="48"/>
  <c r="A2" i="48"/>
  <c r="F2" i="48"/>
  <c r="G2" i="48"/>
  <c r="N2" i="48"/>
  <c r="AV2" i="48"/>
  <c r="AW2" i="48"/>
  <c r="AX2" i="48"/>
  <c r="AY2" i="48"/>
  <c r="BW2" i="48"/>
  <c r="BX2" i="48"/>
  <c r="BY2" i="48"/>
  <c r="BZ2" i="48"/>
  <c r="CA2" i="48"/>
  <c r="CB2" i="48"/>
  <c r="CC2" i="48"/>
  <c r="CD2" i="48"/>
  <c r="CE2" i="48"/>
  <c r="CF2" i="48"/>
  <c r="CG2" i="48"/>
  <c r="CH2" i="48"/>
  <c r="CI2" i="48"/>
  <c r="CJ2" i="48"/>
  <c r="CK2" i="48"/>
  <c r="CL2" i="48"/>
  <c r="CM2" i="48"/>
  <c r="CN2" i="48"/>
  <c r="CO2" i="48"/>
  <c r="CP2" i="48"/>
  <c r="CQ2" i="48"/>
  <c r="CR2" i="48"/>
  <c r="CS2" i="48"/>
  <c r="CT2" i="48"/>
  <c r="CU2" i="48"/>
  <c r="CV2" i="48"/>
  <c r="CW2" i="48"/>
  <c r="CX2" i="48"/>
  <c r="A3" i="48"/>
  <c r="AH3" i="48"/>
  <c r="AK3" i="48"/>
  <c r="AV3" i="48"/>
  <c r="AW3" i="48"/>
  <c r="AX3" i="48"/>
  <c r="AY3" i="48"/>
  <c r="A4" i="48"/>
  <c r="N4" i="48"/>
  <c r="P4" i="48"/>
  <c r="T4" i="48"/>
  <c r="V4" i="48"/>
  <c r="W4" i="48"/>
  <c r="AH4" i="48"/>
  <c r="AK4" i="48"/>
  <c r="AM4" i="48"/>
  <c r="AN4" i="48"/>
  <c r="AO4" i="48"/>
  <c r="AP4" i="48"/>
  <c r="AQ4" i="48"/>
  <c r="AR4" i="48"/>
  <c r="AS4" i="48"/>
  <c r="AT4" i="48"/>
  <c r="AV4" i="48"/>
  <c r="AW4" i="48"/>
  <c r="AX4" i="48"/>
  <c r="AY4" i="48"/>
  <c r="A5" i="48"/>
  <c r="G5" i="48"/>
  <c r="N5" i="48"/>
  <c r="P5" i="48"/>
  <c r="T5" i="48"/>
  <c r="V5" i="48"/>
  <c r="W5" i="48"/>
  <c r="AH5" i="48"/>
  <c r="AK5" i="48"/>
  <c r="AM5" i="48"/>
  <c r="AN5" i="48"/>
  <c r="AO5" i="48"/>
  <c r="AP5" i="48"/>
  <c r="AQ5" i="48"/>
  <c r="AR5" i="48"/>
  <c r="AS5" i="48"/>
  <c r="AT5" i="48"/>
  <c r="AV5" i="48"/>
  <c r="AW5" i="48"/>
  <c r="AX5" i="48"/>
  <c r="AY5" i="48"/>
  <c r="BV5" i="48"/>
  <c r="A6" i="48"/>
  <c r="N6" i="48"/>
  <c r="P6" i="48"/>
  <c r="T6" i="48"/>
  <c r="V6" i="48"/>
  <c r="W6" i="48"/>
  <c r="AH6" i="48"/>
  <c r="AK6" i="48"/>
  <c r="AM6" i="48"/>
  <c r="AN6" i="48"/>
  <c r="AO6" i="48"/>
  <c r="AP6" i="48"/>
  <c r="AQ6" i="48"/>
  <c r="AR6" i="48"/>
  <c r="AS6" i="48"/>
  <c r="AT6" i="48"/>
  <c r="A7" i="48"/>
  <c r="G7" i="48"/>
  <c r="N7" i="48"/>
  <c r="N7" i="48" a="1"/>
  <c r="P7" i="48"/>
  <c r="T7" i="48"/>
  <c r="AH7" i="48"/>
  <c r="AK7" i="48"/>
  <c r="AM7" i="48"/>
  <c r="AN7" i="48"/>
  <c r="AO7" i="48"/>
  <c r="AP7" i="48"/>
  <c r="AQ7" i="48"/>
  <c r="AR7" i="48"/>
  <c r="AS7" i="48"/>
  <c r="AT7" i="48"/>
  <c r="AV7" i="48"/>
  <c r="AW7" i="48"/>
  <c r="AX7" i="48"/>
  <c r="AY7" i="48"/>
  <c r="G8" i="48"/>
  <c r="N8" i="48"/>
  <c r="N8" i="48" a="1"/>
  <c r="P8" i="48"/>
  <c r="T8" i="48"/>
  <c r="V8" i="48"/>
  <c r="W8" i="48"/>
  <c r="Y8" i="48"/>
  <c r="Z8" i="48"/>
  <c r="AH8" i="48"/>
  <c r="AK8" i="48"/>
  <c r="AM8" i="48"/>
  <c r="AN8" i="48"/>
  <c r="AO8" i="48"/>
  <c r="AP8" i="48"/>
  <c r="AQ8" i="48"/>
  <c r="AR8" i="48"/>
  <c r="AS8" i="48"/>
  <c r="AT8" i="48"/>
  <c r="AV8" i="48"/>
  <c r="AW8" i="48"/>
  <c r="AX8" i="48"/>
  <c r="AY8" i="48"/>
  <c r="N9" i="48"/>
  <c r="N9" i="48" a="1"/>
  <c r="P9" i="48"/>
  <c r="AK9" i="48"/>
  <c r="AM9" i="48"/>
  <c r="AN9" i="48"/>
  <c r="AO9" i="48"/>
  <c r="AP9" i="48"/>
  <c r="AQ9" i="48"/>
  <c r="AR9" i="48"/>
  <c r="AS9" i="48"/>
  <c r="AT9" i="48"/>
  <c r="AV9" i="48"/>
  <c r="AW9" i="48"/>
  <c r="AX9" i="48"/>
  <c r="AY9" i="48"/>
  <c r="K10" i="48"/>
  <c r="N10" i="48"/>
  <c r="P10" i="48"/>
  <c r="AH10" i="48"/>
  <c r="AM10" i="48"/>
  <c r="AN10" i="48"/>
  <c r="AO10" i="48"/>
  <c r="AP10" i="48"/>
  <c r="AQ10" i="48"/>
  <c r="AR10" i="48"/>
  <c r="AS10" i="48"/>
  <c r="AT10" i="48"/>
  <c r="AV10" i="48"/>
  <c r="AW10" i="48"/>
  <c r="AX10" i="48"/>
  <c r="AY10" i="48"/>
  <c r="D11" i="48"/>
  <c r="K11" i="48"/>
  <c r="N11" i="48"/>
  <c r="P11" i="48"/>
  <c r="AM11" i="48"/>
  <c r="AN11" i="48"/>
  <c r="AO11" i="48"/>
  <c r="AP11" i="48"/>
  <c r="AQ11" i="48"/>
  <c r="AR11" i="48"/>
  <c r="AS11" i="48"/>
  <c r="AT11" i="48"/>
  <c r="AV11" i="48"/>
  <c r="AW11" i="48"/>
  <c r="AX11" i="48"/>
  <c r="AY11" i="48"/>
  <c r="D12" i="48"/>
  <c r="N12" i="48"/>
  <c r="P12" i="48"/>
  <c r="AH12" i="48"/>
  <c r="AM12" i="48"/>
  <c r="AN12" i="48"/>
  <c r="AO12" i="48"/>
  <c r="AP12" i="48"/>
  <c r="AQ12" i="48"/>
  <c r="AR12" i="48"/>
  <c r="AS12" i="48"/>
  <c r="AT12" i="48"/>
  <c r="AV12" i="48"/>
  <c r="AW12" i="48"/>
  <c r="AX12" i="48"/>
  <c r="AY12" i="48"/>
  <c r="N13" i="48"/>
  <c r="P13" i="48"/>
  <c r="AH13" i="48"/>
  <c r="AM13" i="48"/>
  <c r="AN13" i="48"/>
  <c r="AO13" i="48"/>
  <c r="AP13" i="48"/>
  <c r="AQ13" i="48"/>
  <c r="AR13" i="48"/>
  <c r="AS13" i="48"/>
  <c r="AT13" i="48"/>
  <c r="AV13" i="48"/>
  <c r="AW13" i="48"/>
  <c r="AX13" i="48"/>
  <c r="AY13" i="48"/>
  <c r="N14" i="48"/>
  <c r="P14" i="48"/>
  <c r="S14" i="48"/>
  <c r="T14" i="48"/>
  <c r="AM14" i="48"/>
  <c r="AN14" i="48"/>
  <c r="AO14" i="48"/>
  <c r="AP14" i="48"/>
  <c r="AQ14" i="48"/>
  <c r="AR14" i="48"/>
  <c r="AS14" i="48"/>
  <c r="AT14" i="48"/>
  <c r="AV14" i="48"/>
  <c r="AW14" i="48"/>
  <c r="AX14" i="48"/>
  <c r="AY14" i="48"/>
  <c r="N15" i="48"/>
  <c r="P15" i="48"/>
  <c r="AM15" i="48"/>
  <c r="AN15" i="48"/>
  <c r="AO15" i="48"/>
  <c r="AP15" i="48"/>
  <c r="AQ15" i="48"/>
  <c r="AR15" i="48"/>
  <c r="AS15" i="48"/>
  <c r="AT15" i="48"/>
  <c r="AV15" i="48"/>
  <c r="AW15" i="48"/>
  <c r="AX15" i="48"/>
  <c r="AY15" i="48"/>
  <c r="N16" i="48"/>
  <c r="P16" i="48"/>
  <c r="AV16" i="48"/>
  <c r="AW16" i="48"/>
  <c r="AX16" i="48"/>
  <c r="AY16" i="48"/>
  <c r="N17" i="48"/>
  <c r="P17" i="48"/>
  <c r="AV17" i="48"/>
  <c r="AW17" i="48"/>
  <c r="AX17" i="48"/>
  <c r="AY17" i="48"/>
  <c r="N18" i="48"/>
  <c r="P18" i="48"/>
  <c r="AX18" i="48"/>
  <c r="AY18" i="48"/>
  <c r="N19" i="48"/>
  <c r="P19" i="48"/>
  <c r="S20" i="48"/>
  <c r="T20" i="48"/>
  <c r="AM20" i="48"/>
  <c r="AO20" i="48"/>
  <c r="AV20" i="48"/>
  <c r="AW20" i="48"/>
  <c r="AX20" i="48"/>
  <c r="AY20" i="48"/>
  <c r="D22" i="48"/>
  <c r="F22" i="48"/>
  <c r="G22" i="48"/>
  <c r="H22" i="48"/>
  <c r="I22" i="48"/>
  <c r="K22" i="48"/>
  <c r="L22" i="48"/>
  <c r="N22" i="48"/>
  <c r="O22" i="48"/>
  <c r="P22" i="48"/>
  <c r="Q22" i="48"/>
  <c r="S22" i="48"/>
  <c r="T22" i="48"/>
  <c r="V22" i="48"/>
  <c r="X22" i="48"/>
  <c r="Y22" i="48"/>
  <c r="Z22" i="48"/>
  <c r="AA22" i="48"/>
  <c r="AB22" i="48"/>
  <c r="AC22" i="48"/>
  <c r="AF22" i="48"/>
  <c r="AG22" i="48"/>
  <c r="AH22" i="48"/>
  <c r="AI22" i="48"/>
  <c r="AJ22" i="48"/>
  <c r="AL22" i="48"/>
  <c r="AM22" i="48"/>
  <c r="AN22" i="48"/>
  <c r="AO22" i="48"/>
  <c r="AP22" i="48"/>
  <c r="AQ22" i="48"/>
  <c r="AR22" i="48"/>
  <c r="AS22" i="48"/>
  <c r="AT22" i="48"/>
  <c r="AU22" i="48"/>
  <c r="AV22" i="48"/>
  <c r="AW22" i="48"/>
  <c r="AX22" i="48"/>
  <c r="AY22" i="48"/>
  <c r="BB22" i="48"/>
  <c r="BC22" i="48"/>
  <c r="BD22" i="48"/>
  <c r="BE22" i="48"/>
  <c r="BF22" i="48"/>
  <c r="BG22" i="48"/>
  <c r="BH22" i="48"/>
  <c r="BI22" i="48"/>
  <c r="BJ22" i="48"/>
  <c r="BK22" i="48"/>
  <c r="BL22" i="48"/>
  <c r="BM22" i="48"/>
  <c r="BN22" i="48"/>
  <c r="BO22" i="48"/>
  <c r="D23" i="48"/>
  <c r="F23" i="48"/>
  <c r="G23" i="48"/>
  <c r="H23" i="48"/>
  <c r="I23" i="48"/>
  <c r="K23" i="48"/>
  <c r="L23" i="48"/>
  <c r="N23" i="48"/>
  <c r="O23" i="48"/>
  <c r="P23" i="48"/>
  <c r="Q23" i="48"/>
  <c r="S23" i="48"/>
  <c r="T23" i="48"/>
  <c r="V23" i="48"/>
  <c r="X23" i="48"/>
  <c r="Y23" i="48"/>
  <c r="Z23" i="48"/>
  <c r="AA23" i="48"/>
  <c r="AB23" i="48"/>
  <c r="AC23" i="48"/>
  <c r="AF23" i="48"/>
  <c r="AG23" i="48"/>
  <c r="AH23" i="48"/>
  <c r="AI23" i="48"/>
  <c r="AJ23" i="48"/>
  <c r="AL23" i="48"/>
  <c r="AM23" i="48"/>
  <c r="AN23" i="48"/>
  <c r="AO23" i="48"/>
  <c r="AP23" i="48"/>
  <c r="AQ23" i="48"/>
  <c r="AR23" i="48"/>
  <c r="AS23" i="48"/>
  <c r="AT23" i="48"/>
  <c r="AU23" i="48"/>
  <c r="AV23" i="48"/>
  <c r="AW23" i="48"/>
  <c r="AX23" i="48"/>
  <c r="AY23" i="48"/>
  <c r="BB23" i="48"/>
  <c r="BC23" i="48"/>
  <c r="BD23" i="48"/>
  <c r="BE23" i="48"/>
  <c r="BF23" i="48"/>
  <c r="BG23" i="48"/>
  <c r="BH23" i="48"/>
  <c r="BI23" i="48"/>
  <c r="BJ23" i="48"/>
  <c r="BK23" i="48"/>
  <c r="BL23" i="48"/>
  <c r="BM23" i="48"/>
  <c r="BN23" i="48"/>
  <c r="BO23" i="48"/>
  <c r="D24" i="48"/>
  <c r="F24" i="48"/>
  <c r="G24" i="48"/>
  <c r="H24" i="48"/>
  <c r="I24" i="48"/>
  <c r="K24" i="48"/>
  <c r="L24" i="48"/>
  <c r="N24" i="48"/>
  <c r="O24" i="48"/>
  <c r="P24" i="48"/>
  <c r="Q24" i="48"/>
  <c r="S24" i="48"/>
  <c r="T24" i="48"/>
  <c r="V24" i="48"/>
  <c r="X24" i="48"/>
  <c r="Y24" i="48"/>
  <c r="Z24" i="48"/>
  <c r="AA24" i="48"/>
  <c r="AB24" i="48"/>
  <c r="AC24" i="48"/>
  <c r="AF24" i="48"/>
  <c r="AG24" i="48"/>
  <c r="AH24" i="48"/>
  <c r="AI24" i="48"/>
  <c r="AJ24" i="48"/>
  <c r="AL24" i="48"/>
  <c r="AM24" i="48"/>
  <c r="AN24" i="48"/>
  <c r="AO24" i="48"/>
  <c r="AP24" i="48"/>
  <c r="AQ24" i="48"/>
  <c r="AR24" i="48"/>
  <c r="AS24" i="48"/>
  <c r="AT24" i="48"/>
  <c r="AU24" i="48"/>
  <c r="AV24" i="48"/>
  <c r="AW24" i="48"/>
  <c r="AX24" i="48"/>
  <c r="AY24" i="48"/>
  <c r="BB24" i="48"/>
  <c r="BC24" i="48"/>
  <c r="BD24" i="48"/>
  <c r="BE24" i="48"/>
  <c r="BF24" i="48"/>
  <c r="BG24" i="48"/>
  <c r="BH24" i="48"/>
  <c r="BI24" i="48"/>
  <c r="BJ24" i="48"/>
  <c r="BK24" i="48"/>
  <c r="BL24" i="48"/>
  <c r="BM24" i="48"/>
  <c r="BN24" i="48"/>
  <c r="BO24" i="48"/>
  <c r="D25" i="48"/>
  <c r="F25" i="48"/>
  <c r="G25" i="48"/>
  <c r="H25" i="48"/>
  <c r="I25" i="48"/>
  <c r="K25" i="48"/>
  <c r="L25" i="48"/>
  <c r="N25" i="48"/>
  <c r="O25" i="48"/>
  <c r="P25" i="48"/>
  <c r="Q25" i="48"/>
  <c r="S25" i="48"/>
  <c r="T25" i="48"/>
  <c r="V25" i="48"/>
  <c r="X25" i="48"/>
  <c r="Y25" i="48"/>
  <c r="Z25" i="48"/>
  <c r="AA25" i="48"/>
  <c r="AB25" i="48"/>
  <c r="AC25" i="48"/>
  <c r="AF25" i="48"/>
  <c r="AG25" i="48"/>
  <c r="AH25" i="48"/>
  <c r="AI25" i="48"/>
  <c r="AJ25" i="48"/>
  <c r="AL25" i="48"/>
  <c r="AM25" i="48"/>
  <c r="AN25" i="48"/>
  <c r="AO25" i="48"/>
  <c r="AP25" i="48"/>
  <c r="AQ25" i="48"/>
  <c r="AR25" i="48"/>
  <c r="AS25" i="48"/>
  <c r="AT25" i="48"/>
  <c r="AU25" i="48"/>
  <c r="AV25" i="48"/>
  <c r="AW25" i="48"/>
  <c r="AX25" i="48"/>
  <c r="AY25" i="48"/>
  <c r="BB25" i="48"/>
  <c r="BC25" i="48"/>
  <c r="BD25" i="48"/>
  <c r="BE25" i="48"/>
  <c r="BF25" i="48"/>
  <c r="BG25" i="48"/>
  <c r="BH25" i="48"/>
  <c r="BI25" i="48"/>
  <c r="BJ25" i="48"/>
  <c r="BK25" i="48"/>
  <c r="BL25" i="48"/>
  <c r="BM25" i="48"/>
  <c r="BN25" i="48"/>
  <c r="BO25" i="48"/>
  <c r="D26" i="48"/>
  <c r="F26" i="48"/>
  <c r="G26" i="48"/>
  <c r="H26" i="48"/>
  <c r="I26" i="48"/>
  <c r="K26" i="48"/>
  <c r="L26" i="48"/>
  <c r="N26" i="48"/>
  <c r="O26" i="48"/>
  <c r="P26" i="48"/>
  <c r="Q26" i="48"/>
  <c r="S26" i="48"/>
  <c r="T26" i="48"/>
  <c r="V26" i="48"/>
  <c r="X26" i="48"/>
  <c r="Y26" i="48"/>
  <c r="Z26" i="48"/>
  <c r="AA26" i="48"/>
  <c r="AB26" i="48"/>
  <c r="AC26" i="48"/>
  <c r="AF26" i="48"/>
  <c r="AG26" i="48"/>
  <c r="AH26" i="48"/>
  <c r="AI26" i="48"/>
  <c r="AJ26" i="48"/>
  <c r="AL26" i="48"/>
  <c r="AM26" i="48"/>
  <c r="AN26" i="48"/>
  <c r="AO26" i="48"/>
  <c r="AP26" i="48"/>
  <c r="AQ26" i="48"/>
  <c r="AR26" i="48"/>
  <c r="AS26" i="48"/>
  <c r="AT26" i="48"/>
  <c r="AU26" i="48"/>
  <c r="AV26" i="48"/>
  <c r="AW26" i="48"/>
  <c r="AX26" i="48"/>
  <c r="AY26" i="48"/>
  <c r="BB26" i="48"/>
  <c r="BC26" i="48"/>
  <c r="BD26" i="48"/>
  <c r="BE26" i="48"/>
  <c r="BF26" i="48"/>
  <c r="BG26" i="48"/>
  <c r="BH26" i="48"/>
  <c r="BI26" i="48"/>
  <c r="BJ26" i="48"/>
  <c r="BK26" i="48"/>
  <c r="BL26" i="48"/>
  <c r="BM26" i="48"/>
  <c r="BN26" i="48"/>
  <c r="BO26" i="48"/>
  <c r="D27" i="48"/>
  <c r="F27" i="48"/>
  <c r="G27" i="48"/>
  <c r="H27" i="48"/>
  <c r="I27" i="48"/>
  <c r="K27" i="48"/>
  <c r="L27" i="48"/>
  <c r="N27" i="48"/>
  <c r="O27" i="48"/>
  <c r="P27" i="48"/>
  <c r="Q27" i="48"/>
  <c r="S27" i="48"/>
  <c r="T27" i="48"/>
  <c r="V27" i="48"/>
  <c r="X27" i="48"/>
  <c r="Y27" i="48"/>
  <c r="Z27" i="48"/>
  <c r="AA27" i="48"/>
  <c r="AB27" i="48"/>
  <c r="AC27" i="48"/>
  <c r="AF27" i="48"/>
  <c r="AG27" i="48"/>
  <c r="AH27" i="48"/>
  <c r="AI27" i="48"/>
  <c r="AJ27" i="48"/>
  <c r="AL27" i="48"/>
  <c r="AM27" i="48"/>
  <c r="AN27" i="48"/>
  <c r="AO27" i="48"/>
  <c r="AP27" i="48"/>
  <c r="AQ27" i="48"/>
  <c r="AR27" i="48"/>
  <c r="AS27" i="48"/>
  <c r="AT27" i="48"/>
  <c r="AU27" i="48"/>
  <c r="AV27" i="48"/>
  <c r="AW27" i="48"/>
  <c r="AX27" i="48"/>
  <c r="AY27" i="48"/>
  <c r="BB27" i="48"/>
  <c r="BC27" i="48"/>
  <c r="BD27" i="48"/>
  <c r="BE27" i="48"/>
  <c r="BF27" i="48"/>
  <c r="BG27" i="48"/>
  <c r="BH27" i="48"/>
  <c r="BI27" i="48"/>
  <c r="BJ27" i="48"/>
  <c r="BK27" i="48"/>
  <c r="BL27" i="48"/>
  <c r="BM27" i="48"/>
  <c r="BN27" i="48"/>
  <c r="BO27" i="48"/>
  <c r="D28" i="48"/>
  <c r="F28" i="48"/>
  <c r="G28" i="48"/>
  <c r="H28" i="48"/>
  <c r="I28" i="48"/>
  <c r="K28" i="48"/>
  <c r="L28" i="48"/>
  <c r="N28" i="48"/>
  <c r="O28" i="48"/>
  <c r="P28" i="48"/>
  <c r="Q28" i="48"/>
  <c r="S28" i="48"/>
  <c r="T28" i="48"/>
  <c r="V28" i="48"/>
  <c r="X28" i="48"/>
  <c r="Y28" i="48"/>
  <c r="Z28" i="48"/>
  <c r="AA28" i="48"/>
  <c r="AB28" i="48"/>
  <c r="AC28" i="48"/>
  <c r="AF28" i="48"/>
  <c r="AG28" i="48"/>
  <c r="AH28" i="48"/>
  <c r="AI28" i="48"/>
  <c r="AJ28" i="48"/>
  <c r="AL28" i="48"/>
  <c r="AM28" i="48"/>
  <c r="AN28" i="48"/>
  <c r="AO28" i="48"/>
  <c r="AP28" i="48"/>
  <c r="AQ28" i="48"/>
  <c r="AR28" i="48"/>
  <c r="AS28" i="48"/>
  <c r="AT28" i="48"/>
  <c r="AU28" i="48"/>
  <c r="AV28" i="48"/>
  <c r="AW28" i="48"/>
  <c r="AX28" i="48"/>
  <c r="AY28" i="48"/>
  <c r="BB28" i="48"/>
  <c r="BC28" i="48"/>
  <c r="BD28" i="48"/>
  <c r="BE28" i="48"/>
  <c r="BF28" i="48"/>
  <c r="BG28" i="48"/>
  <c r="BH28" i="48"/>
  <c r="BI28" i="48"/>
  <c r="BJ28" i="48"/>
  <c r="BK28" i="48"/>
  <c r="BL28" i="48"/>
  <c r="BM28" i="48"/>
  <c r="BN28" i="48"/>
  <c r="BO28" i="48"/>
  <c r="D29" i="48"/>
  <c r="F29" i="48"/>
  <c r="G29" i="48"/>
  <c r="H29" i="48"/>
  <c r="I29" i="48"/>
  <c r="K29" i="48"/>
  <c r="L29" i="48"/>
  <c r="N29" i="48"/>
  <c r="O29" i="48"/>
  <c r="P29" i="48"/>
  <c r="Q29" i="48"/>
  <c r="S29" i="48"/>
  <c r="T29" i="48"/>
  <c r="V29" i="48"/>
  <c r="X29" i="48"/>
  <c r="Y29" i="48"/>
  <c r="Z29" i="48"/>
  <c r="AA29" i="48"/>
  <c r="AB29" i="48"/>
  <c r="AC29" i="48"/>
  <c r="AF29" i="48"/>
  <c r="AG29" i="48"/>
  <c r="AH29" i="48"/>
  <c r="AI29" i="48"/>
  <c r="AJ29" i="48"/>
  <c r="AL29" i="48"/>
  <c r="AM29" i="48"/>
  <c r="AN29" i="48"/>
  <c r="AO29" i="48"/>
  <c r="AP29" i="48"/>
  <c r="AQ29" i="48"/>
  <c r="AR29" i="48"/>
  <c r="AS29" i="48"/>
  <c r="AT29" i="48"/>
  <c r="AU29" i="48"/>
  <c r="AV29" i="48"/>
  <c r="AW29" i="48"/>
  <c r="AX29" i="48"/>
  <c r="AY29" i="48"/>
  <c r="BB29" i="48"/>
  <c r="BC29" i="48"/>
  <c r="BD29" i="48"/>
  <c r="BE29" i="48"/>
  <c r="BF29" i="48"/>
  <c r="BG29" i="48"/>
  <c r="BH29" i="48"/>
  <c r="BI29" i="48"/>
  <c r="BJ29" i="48"/>
  <c r="BK29" i="48"/>
  <c r="BL29" i="48"/>
  <c r="BM29" i="48"/>
  <c r="BN29" i="48"/>
  <c r="BO29" i="48"/>
  <c r="D30" i="48"/>
  <c r="F30" i="48"/>
  <c r="G30" i="48"/>
  <c r="H30" i="48"/>
  <c r="I30" i="48"/>
  <c r="K30" i="48"/>
  <c r="L30" i="48"/>
  <c r="N30" i="48"/>
  <c r="O30" i="48"/>
  <c r="P30" i="48"/>
  <c r="Q30" i="48"/>
  <c r="S30" i="48"/>
  <c r="T30" i="48"/>
  <c r="V30" i="48"/>
  <c r="X30" i="48"/>
  <c r="Y30" i="48"/>
  <c r="Z30" i="48"/>
  <c r="AA30" i="48"/>
  <c r="AB30" i="48"/>
  <c r="AC30" i="48"/>
  <c r="AF30" i="48"/>
  <c r="AG30" i="48"/>
  <c r="AH30" i="48"/>
  <c r="AI30" i="48"/>
  <c r="AJ30" i="48"/>
  <c r="AL30" i="48"/>
  <c r="AM30" i="48"/>
  <c r="AN30" i="48"/>
  <c r="AO30" i="48"/>
  <c r="AP30" i="48"/>
  <c r="AQ30" i="48"/>
  <c r="AR30" i="48"/>
  <c r="AS30" i="48"/>
  <c r="AT30" i="48"/>
  <c r="AU30" i="48"/>
  <c r="AV30" i="48"/>
  <c r="AW30" i="48"/>
  <c r="AX30" i="48"/>
  <c r="AY30" i="48"/>
  <c r="BB30" i="48"/>
  <c r="BC30" i="48"/>
  <c r="BD30" i="48"/>
  <c r="BE30" i="48"/>
  <c r="BF30" i="48"/>
  <c r="BG30" i="48"/>
  <c r="BH30" i="48"/>
  <c r="BI30" i="48"/>
  <c r="BJ30" i="48"/>
  <c r="BK30" i="48"/>
  <c r="BL30" i="48"/>
  <c r="BM30" i="48"/>
  <c r="BN30" i="48"/>
  <c r="BO30" i="48"/>
  <c r="D31" i="48"/>
  <c r="F31" i="48"/>
  <c r="G31" i="48"/>
  <c r="H31" i="48"/>
  <c r="I31" i="48"/>
  <c r="K31" i="48"/>
  <c r="L31" i="48"/>
  <c r="N31" i="48"/>
  <c r="O31" i="48"/>
  <c r="P31" i="48"/>
  <c r="Q31" i="48"/>
  <c r="S31" i="48"/>
  <c r="T31" i="48"/>
  <c r="V31" i="48"/>
  <c r="X31" i="48"/>
  <c r="Y31" i="48"/>
  <c r="Z31" i="48"/>
  <c r="AA31" i="48"/>
  <c r="AB31" i="48"/>
  <c r="AC31" i="48"/>
  <c r="AF31" i="48"/>
  <c r="AG31" i="48"/>
  <c r="AH31" i="48"/>
  <c r="AI31" i="48"/>
  <c r="AJ31" i="48"/>
  <c r="AL31" i="48"/>
  <c r="AM31" i="48"/>
  <c r="AN31" i="48"/>
  <c r="AO31" i="48"/>
  <c r="AP31" i="48"/>
  <c r="AQ31" i="48"/>
  <c r="AR31" i="48"/>
  <c r="AS31" i="48"/>
  <c r="AT31" i="48"/>
  <c r="AU31" i="48"/>
  <c r="AV31" i="48"/>
  <c r="AW31" i="48"/>
  <c r="AX31" i="48"/>
  <c r="AY31" i="48"/>
  <c r="BB31" i="48"/>
  <c r="BC31" i="48"/>
  <c r="BD31" i="48"/>
  <c r="BE31" i="48"/>
  <c r="BF31" i="48"/>
  <c r="BG31" i="48"/>
  <c r="BH31" i="48"/>
  <c r="BI31" i="48"/>
  <c r="BJ31" i="48"/>
  <c r="BK31" i="48"/>
  <c r="BL31" i="48"/>
  <c r="BM31" i="48"/>
  <c r="BN31" i="48"/>
  <c r="BO31" i="48"/>
  <c r="D32" i="48"/>
  <c r="F32" i="48"/>
  <c r="G32" i="48"/>
  <c r="H32" i="48"/>
  <c r="I32" i="48"/>
  <c r="K32" i="48"/>
  <c r="L32" i="48"/>
  <c r="N32" i="48"/>
  <c r="O32" i="48"/>
  <c r="P32" i="48"/>
  <c r="Q32" i="48"/>
  <c r="S32" i="48"/>
  <c r="T32" i="48"/>
  <c r="V32" i="48"/>
  <c r="X32" i="48"/>
  <c r="Y32" i="48"/>
  <c r="Z32" i="48"/>
  <c r="AA32" i="48"/>
  <c r="AB32" i="48"/>
  <c r="AC32" i="48"/>
  <c r="AF32" i="48"/>
  <c r="AG32" i="48"/>
  <c r="AH32" i="48"/>
  <c r="AI32" i="48"/>
  <c r="AJ32" i="48"/>
  <c r="AL32" i="48"/>
  <c r="AM32" i="48"/>
  <c r="AN32" i="48"/>
  <c r="AO32" i="48"/>
  <c r="AP32" i="48"/>
  <c r="AQ32" i="48"/>
  <c r="AR32" i="48"/>
  <c r="AS32" i="48"/>
  <c r="AT32" i="48"/>
  <c r="AU32" i="48"/>
  <c r="AV32" i="48"/>
  <c r="AW32" i="48"/>
  <c r="AX32" i="48"/>
  <c r="AY32" i="48"/>
  <c r="BB32" i="48"/>
  <c r="BC32" i="48"/>
  <c r="BD32" i="48"/>
  <c r="BE32" i="48"/>
  <c r="BF32" i="48"/>
  <c r="BG32" i="48"/>
  <c r="BH32" i="48"/>
  <c r="BI32" i="48"/>
  <c r="BJ32" i="48"/>
  <c r="BK32" i="48"/>
  <c r="BL32" i="48"/>
  <c r="BM32" i="48"/>
  <c r="BN32" i="48"/>
  <c r="BO32" i="48"/>
  <c r="D33" i="48"/>
  <c r="F33" i="48"/>
  <c r="G33" i="48"/>
  <c r="H33" i="48"/>
  <c r="I33" i="48"/>
  <c r="K33" i="48"/>
  <c r="L33" i="48"/>
  <c r="N33" i="48"/>
  <c r="O33" i="48"/>
  <c r="P33" i="48"/>
  <c r="Q33" i="48"/>
  <c r="S33" i="48"/>
  <c r="T33" i="48"/>
  <c r="V33" i="48"/>
  <c r="X33" i="48"/>
  <c r="Y33" i="48"/>
  <c r="Z33" i="48"/>
  <c r="AA33" i="48"/>
  <c r="AB33" i="48"/>
  <c r="AC33" i="48"/>
  <c r="AF33" i="48"/>
  <c r="AG33" i="48"/>
  <c r="AH33" i="48"/>
  <c r="AI33" i="48"/>
  <c r="AJ33" i="48"/>
  <c r="AL33" i="48"/>
  <c r="AM33" i="48"/>
  <c r="AN33" i="48"/>
  <c r="AO33" i="48"/>
  <c r="AP33" i="48"/>
  <c r="AQ33" i="48"/>
  <c r="AR33" i="48"/>
  <c r="AS33" i="48"/>
  <c r="AT33" i="48"/>
  <c r="AU33" i="48"/>
  <c r="AV33" i="48"/>
  <c r="AW33" i="48"/>
  <c r="AX33" i="48"/>
  <c r="AY33" i="48"/>
  <c r="BB33" i="48"/>
  <c r="BC33" i="48"/>
  <c r="BD33" i="48"/>
  <c r="BE33" i="48"/>
  <c r="BF33" i="48"/>
  <c r="BG33" i="48"/>
  <c r="BH33" i="48"/>
  <c r="BI33" i="48"/>
  <c r="BJ33" i="48"/>
  <c r="BK33" i="48"/>
  <c r="BL33" i="48"/>
  <c r="BM33" i="48"/>
  <c r="BN33" i="48"/>
  <c r="BO33" i="48"/>
  <c r="F1" i="49"/>
  <c r="AV1" i="49"/>
  <c r="A2" i="49"/>
  <c r="F2" i="49"/>
  <c r="G2" i="49"/>
  <c r="N2" i="49"/>
  <c r="AV2" i="49"/>
  <c r="AW2" i="49"/>
  <c r="AX2" i="49"/>
  <c r="AY2" i="49"/>
  <c r="BW2" i="49"/>
  <c r="BX2" i="49"/>
  <c r="BY2" i="49"/>
  <c r="BZ2" i="49"/>
  <c r="CA2" i="49"/>
  <c r="CB2" i="49"/>
  <c r="CC2" i="49"/>
  <c r="CD2" i="49"/>
  <c r="CE2" i="49"/>
  <c r="CF2" i="49"/>
  <c r="CG2" i="49"/>
  <c r="CH2" i="49"/>
  <c r="CI2" i="49"/>
  <c r="CJ2" i="49"/>
  <c r="CK2" i="49"/>
  <c r="CL2" i="49"/>
  <c r="CM2" i="49"/>
  <c r="CN2" i="49"/>
  <c r="CO2" i="49"/>
  <c r="CP2" i="49"/>
  <c r="CQ2" i="49"/>
  <c r="CR2" i="49"/>
  <c r="CS2" i="49"/>
  <c r="CT2" i="49"/>
  <c r="CU2" i="49"/>
  <c r="CV2" i="49"/>
  <c r="CW2" i="49"/>
  <c r="CX2" i="49"/>
  <c r="A3" i="49"/>
  <c r="AH3" i="49"/>
  <c r="AK3" i="49"/>
  <c r="AV3" i="49"/>
  <c r="AW3" i="49"/>
  <c r="AX3" i="49"/>
  <c r="AY3" i="49"/>
  <c r="A4" i="49"/>
  <c r="N4" i="49"/>
  <c r="P4" i="49"/>
  <c r="T4" i="49"/>
  <c r="V4" i="49"/>
  <c r="W4" i="49"/>
  <c r="AH4" i="49"/>
  <c r="AK4" i="49"/>
  <c r="AM4" i="49"/>
  <c r="AN4" i="49"/>
  <c r="AO4" i="49"/>
  <c r="AP4" i="49"/>
  <c r="AQ4" i="49"/>
  <c r="AR4" i="49"/>
  <c r="AS4" i="49"/>
  <c r="AT4" i="49"/>
  <c r="AV4" i="49"/>
  <c r="AW4" i="49"/>
  <c r="AX4" i="49"/>
  <c r="AY4" i="49"/>
  <c r="A5" i="49"/>
  <c r="G5" i="49"/>
  <c r="N5" i="49"/>
  <c r="P5" i="49"/>
  <c r="T5" i="49"/>
  <c r="V5" i="49"/>
  <c r="W5" i="49"/>
  <c r="AH5" i="49"/>
  <c r="AK5" i="49"/>
  <c r="AM5" i="49"/>
  <c r="AN5" i="49"/>
  <c r="AO5" i="49"/>
  <c r="AP5" i="49"/>
  <c r="AQ5" i="49"/>
  <c r="AR5" i="49"/>
  <c r="AS5" i="49"/>
  <c r="AT5" i="49"/>
  <c r="AV5" i="49"/>
  <c r="AW5" i="49"/>
  <c r="AX5" i="49"/>
  <c r="AY5" i="49"/>
  <c r="BV5" i="49"/>
  <c r="A6" i="49"/>
  <c r="N6" i="49"/>
  <c r="P6" i="49"/>
  <c r="T6" i="49"/>
  <c r="V6" i="49"/>
  <c r="W6" i="49"/>
  <c r="AH6" i="49"/>
  <c r="AK6" i="49"/>
  <c r="AM6" i="49"/>
  <c r="AN6" i="49"/>
  <c r="AO6" i="49"/>
  <c r="AP6" i="49"/>
  <c r="AQ6" i="49"/>
  <c r="AR6" i="49"/>
  <c r="AS6" i="49"/>
  <c r="AT6" i="49"/>
  <c r="A7" i="49"/>
  <c r="G7" i="49"/>
  <c r="N7" i="49"/>
  <c r="N7" i="49" a="1"/>
  <c r="P7" i="49"/>
  <c r="T7" i="49"/>
  <c r="AH7" i="49"/>
  <c r="AK7" i="49"/>
  <c r="AM7" i="49"/>
  <c r="AN7" i="49"/>
  <c r="AO7" i="49"/>
  <c r="AP7" i="49"/>
  <c r="AQ7" i="49"/>
  <c r="AR7" i="49"/>
  <c r="AS7" i="49"/>
  <c r="AT7" i="49"/>
  <c r="AV7" i="49"/>
  <c r="AW7" i="49"/>
  <c r="AX7" i="49"/>
  <c r="AY7" i="49"/>
  <c r="G8" i="49"/>
  <c r="N8" i="49"/>
  <c r="N8" i="49" a="1"/>
  <c r="P8" i="49"/>
  <c r="T8" i="49"/>
  <c r="V8" i="49"/>
  <c r="W8" i="49"/>
  <c r="Y8" i="49"/>
  <c r="Z8" i="49"/>
  <c r="AH8" i="49"/>
  <c r="AK8" i="49"/>
  <c r="AM8" i="49"/>
  <c r="AN8" i="49"/>
  <c r="AO8" i="49"/>
  <c r="AP8" i="49"/>
  <c r="AQ8" i="49"/>
  <c r="AR8" i="49"/>
  <c r="AS8" i="49"/>
  <c r="AT8" i="49"/>
  <c r="AV8" i="49"/>
  <c r="AW8" i="49"/>
  <c r="AX8" i="49"/>
  <c r="AY8" i="49"/>
  <c r="N9" i="49"/>
  <c r="N9" i="49" a="1"/>
  <c r="P9" i="49"/>
  <c r="AK9" i="49"/>
  <c r="AM9" i="49"/>
  <c r="AN9" i="49"/>
  <c r="AO9" i="49"/>
  <c r="AP9" i="49"/>
  <c r="AQ9" i="49"/>
  <c r="AR9" i="49"/>
  <c r="AS9" i="49"/>
  <c r="AT9" i="49"/>
  <c r="AV9" i="49"/>
  <c r="AW9" i="49"/>
  <c r="AX9" i="49"/>
  <c r="AY9" i="49"/>
  <c r="K10" i="49"/>
  <c r="N10" i="49"/>
  <c r="P10" i="49"/>
  <c r="AH10" i="49"/>
  <c r="AM10" i="49"/>
  <c r="AN10" i="49"/>
  <c r="AO10" i="49"/>
  <c r="AP10" i="49"/>
  <c r="AQ10" i="49"/>
  <c r="AR10" i="49"/>
  <c r="AS10" i="49"/>
  <c r="AT10" i="49"/>
  <c r="AV10" i="49"/>
  <c r="AW10" i="49"/>
  <c r="AX10" i="49"/>
  <c r="AY10" i="49"/>
  <c r="D11" i="49"/>
  <c r="K11" i="49"/>
  <c r="N11" i="49"/>
  <c r="P11" i="49"/>
  <c r="AM11" i="49"/>
  <c r="AN11" i="49"/>
  <c r="AO11" i="49"/>
  <c r="AP11" i="49"/>
  <c r="AQ11" i="49"/>
  <c r="AR11" i="49"/>
  <c r="AS11" i="49"/>
  <c r="AT11" i="49"/>
  <c r="AV11" i="49"/>
  <c r="AW11" i="49"/>
  <c r="AX11" i="49"/>
  <c r="AY11" i="49"/>
  <c r="D12" i="49"/>
  <c r="N12" i="49"/>
  <c r="P12" i="49"/>
  <c r="AH12" i="49"/>
  <c r="AM12" i="49"/>
  <c r="AN12" i="49"/>
  <c r="AO12" i="49"/>
  <c r="AP12" i="49"/>
  <c r="AQ12" i="49"/>
  <c r="AR12" i="49"/>
  <c r="AS12" i="49"/>
  <c r="AT12" i="49"/>
  <c r="AV12" i="49"/>
  <c r="AW12" i="49"/>
  <c r="AX12" i="49"/>
  <c r="AY12" i="49"/>
  <c r="N13" i="49"/>
  <c r="P13" i="49"/>
  <c r="AH13" i="49"/>
  <c r="AM13" i="49"/>
  <c r="AN13" i="49"/>
  <c r="AO13" i="49"/>
  <c r="AP13" i="49"/>
  <c r="AQ13" i="49"/>
  <c r="AR13" i="49"/>
  <c r="AS13" i="49"/>
  <c r="AT13" i="49"/>
  <c r="AV13" i="49"/>
  <c r="AW13" i="49"/>
  <c r="AX13" i="49"/>
  <c r="AY13" i="49"/>
  <c r="N14" i="49"/>
  <c r="P14" i="49"/>
  <c r="S14" i="49"/>
  <c r="T14" i="49"/>
  <c r="AM14" i="49"/>
  <c r="AN14" i="49"/>
  <c r="AO14" i="49"/>
  <c r="AP14" i="49"/>
  <c r="AQ14" i="49"/>
  <c r="AR14" i="49"/>
  <c r="AS14" i="49"/>
  <c r="AT14" i="49"/>
  <c r="AV14" i="49"/>
  <c r="AW14" i="49"/>
  <c r="AX14" i="49"/>
  <c r="AY14" i="49"/>
  <c r="N15" i="49"/>
  <c r="P15" i="49"/>
  <c r="AM15" i="49"/>
  <c r="AN15" i="49"/>
  <c r="AO15" i="49"/>
  <c r="AP15" i="49"/>
  <c r="AQ15" i="49"/>
  <c r="AR15" i="49"/>
  <c r="AS15" i="49"/>
  <c r="AT15" i="49"/>
  <c r="AV15" i="49"/>
  <c r="AW15" i="49"/>
  <c r="AX15" i="49"/>
  <c r="AY15" i="49"/>
  <c r="N16" i="49"/>
  <c r="P16" i="49"/>
  <c r="AV16" i="49"/>
  <c r="AW16" i="49"/>
  <c r="AX16" i="49"/>
  <c r="AY16" i="49"/>
  <c r="N17" i="49"/>
  <c r="P17" i="49"/>
  <c r="AV17" i="49"/>
  <c r="AW17" i="49"/>
  <c r="AX17" i="49"/>
  <c r="AY17" i="49"/>
  <c r="N18" i="49"/>
  <c r="P18" i="49"/>
  <c r="AX18" i="49"/>
  <c r="AY18" i="49"/>
  <c r="N19" i="49"/>
  <c r="P19" i="49"/>
  <c r="S20" i="49"/>
  <c r="T20" i="49"/>
  <c r="AM20" i="49"/>
  <c r="AO20" i="49"/>
  <c r="AV20" i="49"/>
  <c r="AW20" i="49"/>
  <c r="AX20" i="49"/>
  <c r="AY20" i="49"/>
  <c r="D22" i="49"/>
  <c r="F22" i="49"/>
  <c r="G22" i="49"/>
  <c r="H22" i="49"/>
  <c r="I22" i="49"/>
  <c r="K22" i="49"/>
  <c r="L22" i="49"/>
  <c r="N22" i="49"/>
  <c r="O22" i="49"/>
  <c r="P22" i="49"/>
  <c r="Q22" i="49"/>
  <c r="S22" i="49"/>
  <c r="T22" i="49"/>
  <c r="V22" i="49"/>
  <c r="X22" i="49"/>
  <c r="Y22" i="49"/>
  <c r="Z22" i="49"/>
  <c r="AA22" i="49"/>
  <c r="AB22" i="49"/>
  <c r="AC22" i="49"/>
  <c r="AF22" i="49"/>
  <c r="AG22" i="49"/>
  <c r="AH22" i="49"/>
  <c r="AI22" i="49"/>
  <c r="AJ22" i="49"/>
  <c r="AL22" i="49"/>
  <c r="AM22" i="49"/>
  <c r="AN22" i="49"/>
  <c r="AO22" i="49"/>
  <c r="AP22" i="49"/>
  <c r="AQ22" i="49"/>
  <c r="AR22" i="49"/>
  <c r="AS22" i="49"/>
  <c r="AT22" i="49"/>
  <c r="AU22" i="49"/>
  <c r="AV22" i="49"/>
  <c r="AW22" i="49"/>
  <c r="AX22" i="49"/>
  <c r="AY22" i="49"/>
  <c r="BB22" i="49"/>
  <c r="BC22" i="49"/>
  <c r="BD22" i="49"/>
  <c r="BE22" i="49"/>
  <c r="BF22" i="49"/>
  <c r="BG22" i="49"/>
  <c r="BH22" i="49"/>
  <c r="BI22" i="49"/>
  <c r="BJ22" i="49"/>
  <c r="BK22" i="49"/>
  <c r="BL22" i="49"/>
  <c r="BM22" i="49"/>
  <c r="BN22" i="49"/>
  <c r="BO22" i="49"/>
  <c r="D23" i="49"/>
  <c r="F23" i="49"/>
  <c r="G23" i="49"/>
  <c r="H23" i="49"/>
  <c r="I23" i="49"/>
  <c r="K23" i="49"/>
  <c r="L23" i="49"/>
  <c r="N23" i="49"/>
  <c r="O23" i="49"/>
  <c r="P23" i="49"/>
  <c r="Q23" i="49"/>
  <c r="S23" i="49"/>
  <c r="T23" i="49"/>
  <c r="V23" i="49"/>
  <c r="X23" i="49"/>
  <c r="Y23" i="49"/>
  <c r="Z23" i="49"/>
  <c r="AA23" i="49"/>
  <c r="AB23" i="49"/>
  <c r="AC23" i="49"/>
  <c r="AF23" i="49"/>
  <c r="AG23" i="49"/>
  <c r="AH23" i="49"/>
  <c r="AI23" i="49"/>
  <c r="AJ23" i="49"/>
  <c r="AL23" i="49"/>
  <c r="AM23" i="49"/>
  <c r="AN23" i="49"/>
  <c r="AO23" i="49"/>
  <c r="AP23" i="49"/>
  <c r="AQ23" i="49"/>
  <c r="AR23" i="49"/>
  <c r="AS23" i="49"/>
  <c r="AT23" i="49"/>
  <c r="AU23" i="49"/>
  <c r="AV23" i="49"/>
  <c r="AW23" i="49"/>
  <c r="AX23" i="49"/>
  <c r="AY23" i="49"/>
  <c r="BB23" i="49"/>
  <c r="BC23" i="49"/>
  <c r="BD23" i="49"/>
  <c r="BE23" i="49"/>
  <c r="BF23" i="49"/>
  <c r="BG23" i="49"/>
  <c r="BH23" i="49"/>
  <c r="BI23" i="49"/>
  <c r="BJ23" i="49"/>
  <c r="BK23" i="49"/>
  <c r="BL23" i="49"/>
  <c r="BM23" i="49"/>
  <c r="BN23" i="49"/>
  <c r="BO23" i="49"/>
  <c r="D24" i="49"/>
  <c r="F24" i="49"/>
  <c r="G24" i="49"/>
  <c r="H24" i="49"/>
  <c r="I24" i="49"/>
  <c r="K24" i="49"/>
  <c r="L24" i="49"/>
  <c r="N24" i="49"/>
  <c r="O24" i="49"/>
  <c r="P24" i="49"/>
  <c r="Q24" i="49"/>
  <c r="S24" i="49"/>
  <c r="T24" i="49"/>
  <c r="V24" i="49"/>
  <c r="X24" i="49"/>
  <c r="Y24" i="49"/>
  <c r="Z24" i="49"/>
  <c r="AA24" i="49"/>
  <c r="AB24" i="49"/>
  <c r="AC24" i="49"/>
  <c r="AF24" i="49"/>
  <c r="AG24" i="49"/>
  <c r="AH24" i="49"/>
  <c r="AI24" i="49"/>
  <c r="AJ24" i="49"/>
  <c r="AL24" i="49"/>
  <c r="AM24" i="49"/>
  <c r="AN24" i="49"/>
  <c r="AO24" i="49"/>
  <c r="AP24" i="49"/>
  <c r="AQ24" i="49"/>
  <c r="AR24" i="49"/>
  <c r="AS24" i="49"/>
  <c r="AT24" i="49"/>
  <c r="AU24" i="49"/>
  <c r="AV24" i="49"/>
  <c r="AW24" i="49"/>
  <c r="AX24" i="49"/>
  <c r="AY24" i="49"/>
  <c r="BB24" i="49"/>
  <c r="BC24" i="49"/>
  <c r="BD24" i="49"/>
  <c r="BE24" i="49"/>
  <c r="BF24" i="49"/>
  <c r="BG24" i="49"/>
  <c r="BH24" i="49"/>
  <c r="BI24" i="49"/>
  <c r="BJ24" i="49"/>
  <c r="BK24" i="49"/>
  <c r="BL24" i="49"/>
  <c r="BM24" i="49"/>
  <c r="BN24" i="49"/>
  <c r="BO24" i="49"/>
  <c r="D25" i="49"/>
  <c r="F25" i="49"/>
  <c r="G25" i="49"/>
  <c r="H25" i="49"/>
  <c r="I25" i="49"/>
  <c r="K25" i="49"/>
  <c r="L25" i="49"/>
  <c r="N25" i="49"/>
  <c r="O25" i="49"/>
  <c r="P25" i="49"/>
  <c r="Q25" i="49"/>
  <c r="S25" i="49"/>
  <c r="T25" i="49"/>
  <c r="V25" i="49"/>
  <c r="X25" i="49"/>
  <c r="Y25" i="49"/>
  <c r="Z25" i="49"/>
  <c r="AA25" i="49"/>
  <c r="AB25" i="49"/>
  <c r="AC25" i="49"/>
  <c r="AF25" i="49"/>
  <c r="AG25" i="49"/>
  <c r="AH25" i="49"/>
  <c r="AI25" i="49"/>
  <c r="AJ25" i="49"/>
  <c r="AL25" i="49"/>
  <c r="AM25" i="49"/>
  <c r="AN25" i="49"/>
  <c r="AO25" i="49"/>
  <c r="AP25" i="49"/>
  <c r="AQ25" i="49"/>
  <c r="AR25" i="49"/>
  <c r="AS25" i="49"/>
  <c r="AT25" i="49"/>
  <c r="AU25" i="49"/>
  <c r="AV25" i="49"/>
  <c r="AW25" i="49"/>
  <c r="AX25" i="49"/>
  <c r="AY25" i="49"/>
  <c r="BB25" i="49"/>
  <c r="BC25" i="49"/>
  <c r="BD25" i="49"/>
  <c r="BE25" i="49"/>
  <c r="BF25" i="49"/>
  <c r="BG25" i="49"/>
  <c r="BH25" i="49"/>
  <c r="BI25" i="49"/>
  <c r="BJ25" i="49"/>
  <c r="BK25" i="49"/>
  <c r="BL25" i="49"/>
  <c r="BM25" i="49"/>
  <c r="BN25" i="49"/>
  <c r="BO25" i="49"/>
  <c r="D26" i="49"/>
  <c r="F26" i="49"/>
  <c r="G26" i="49"/>
  <c r="H26" i="49"/>
  <c r="I26" i="49"/>
  <c r="K26" i="49"/>
  <c r="L26" i="49"/>
  <c r="N26" i="49"/>
  <c r="O26" i="49"/>
  <c r="P26" i="49"/>
  <c r="Q26" i="49"/>
  <c r="S26" i="49"/>
  <c r="T26" i="49"/>
  <c r="V26" i="49"/>
  <c r="X26" i="49"/>
  <c r="Y26" i="49"/>
  <c r="Z26" i="49"/>
  <c r="AA26" i="49"/>
  <c r="AB26" i="49"/>
  <c r="AC26" i="49"/>
  <c r="AF26" i="49"/>
  <c r="AG26" i="49"/>
  <c r="AH26" i="49"/>
  <c r="AI26" i="49"/>
  <c r="AJ26" i="49"/>
  <c r="AL26" i="49"/>
  <c r="AM26" i="49"/>
  <c r="AN26" i="49"/>
  <c r="AO26" i="49"/>
  <c r="AP26" i="49"/>
  <c r="AQ26" i="49"/>
  <c r="AR26" i="49"/>
  <c r="AS26" i="49"/>
  <c r="AT26" i="49"/>
  <c r="AU26" i="49"/>
  <c r="AV26" i="49"/>
  <c r="AW26" i="49"/>
  <c r="AX26" i="49"/>
  <c r="AY26" i="49"/>
  <c r="BB26" i="49"/>
  <c r="BC26" i="49"/>
  <c r="BD26" i="49"/>
  <c r="BE26" i="49"/>
  <c r="BF26" i="49"/>
  <c r="BG26" i="49"/>
  <c r="BH26" i="49"/>
  <c r="BI26" i="49"/>
  <c r="BJ26" i="49"/>
  <c r="BK26" i="49"/>
  <c r="BL26" i="49"/>
  <c r="BM26" i="49"/>
  <c r="BN26" i="49"/>
  <c r="BO26" i="49"/>
  <c r="D27" i="49"/>
  <c r="F27" i="49"/>
  <c r="G27" i="49"/>
  <c r="H27" i="49"/>
  <c r="I27" i="49"/>
  <c r="K27" i="49"/>
  <c r="L27" i="49"/>
  <c r="N27" i="49"/>
  <c r="O27" i="49"/>
  <c r="P27" i="49"/>
  <c r="Q27" i="49"/>
  <c r="S27" i="49"/>
  <c r="T27" i="49"/>
  <c r="V27" i="49"/>
  <c r="X27" i="49"/>
  <c r="Y27" i="49"/>
  <c r="Z27" i="49"/>
  <c r="AA27" i="49"/>
  <c r="AB27" i="49"/>
  <c r="AC27" i="49"/>
  <c r="AF27" i="49"/>
  <c r="AG27" i="49"/>
  <c r="AH27" i="49"/>
  <c r="AI27" i="49"/>
  <c r="AJ27" i="49"/>
  <c r="AL27" i="49"/>
  <c r="AM27" i="49"/>
  <c r="AN27" i="49"/>
  <c r="AO27" i="49"/>
  <c r="AP27" i="49"/>
  <c r="AQ27" i="49"/>
  <c r="AR27" i="49"/>
  <c r="AS27" i="49"/>
  <c r="AT27" i="49"/>
  <c r="AU27" i="49"/>
  <c r="AV27" i="49"/>
  <c r="AW27" i="49"/>
  <c r="AX27" i="49"/>
  <c r="AY27" i="49"/>
  <c r="BB27" i="49"/>
  <c r="BC27" i="49"/>
  <c r="BD27" i="49"/>
  <c r="BE27" i="49"/>
  <c r="BF27" i="49"/>
  <c r="BG27" i="49"/>
  <c r="BH27" i="49"/>
  <c r="BI27" i="49"/>
  <c r="BJ27" i="49"/>
  <c r="BK27" i="49"/>
  <c r="BL27" i="49"/>
  <c r="BM27" i="49"/>
  <c r="BN27" i="49"/>
  <c r="BO27" i="49"/>
  <c r="D28" i="49"/>
  <c r="F28" i="49"/>
  <c r="G28" i="49"/>
  <c r="H28" i="49"/>
  <c r="I28" i="49"/>
  <c r="K28" i="49"/>
  <c r="L28" i="49"/>
  <c r="N28" i="49"/>
  <c r="O28" i="49"/>
  <c r="P28" i="49"/>
  <c r="Q28" i="49"/>
  <c r="S28" i="49"/>
  <c r="T28" i="49"/>
  <c r="V28" i="49"/>
  <c r="X28" i="49"/>
  <c r="Y28" i="49"/>
  <c r="Z28" i="49"/>
  <c r="AA28" i="49"/>
  <c r="AB28" i="49"/>
  <c r="AC28" i="49"/>
  <c r="AF28" i="49"/>
  <c r="AG28" i="49"/>
  <c r="AH28" i="49"/>
  <c r="AI28" i="49"/>
  <c r="AJ28" i="49"/>
  <c r="AL28" i="49"/>
  <c r="AM28" i="49"/>
  <c r="AN28" i="49"/>
  <c r="AO28" i="49"/>
  <c r="AP28" i="49"/>
  <c r="AQ28" i="49"/>
  <c r="AR28" i="49"/>
  <c r="AS28" i="49"/>
  <c r="AT28" i="49"/>
  <c r="AU28" i="49"/>
  <c r="AV28" i="49"/>
  <c r="AW28" i="49"/>
  <c r="AX28" i="49"/>
  <c r="AY28" i="49"/>
  <c r="BB28" i="49"/>
  <c r="BC28" i="49"/>
  <c r="BD28" i="49"/>
  <c r="BE28" i="49"/>
  <c r="BF28" i="49"/>
  <c r="BG28" i="49"/>
  <c r="BH28" i="49"/>
  <c r="BI28" i="49"/>
  <c r="BJ28" i="49"/>
  <c r="BK28" i="49"/>
  <c r="BL28" i="49"/>
  <c r="BM28" i="49"/>
  <c r="BN28" i="49"/>
  <c r="BO28" i="49"/>
  <c r="D29" i="49"/>
  <c r="F29" i="49"/>
  <c r="G29" i="49"/>
  <c r="H29" i="49"/>
  <c r="I29" i="49"/>
  <c r="K29" i="49"/>
  <c r="L29" i="49"/>
  <c r="N29" i="49"/>
  <c r="O29" i="49"/>
  <c r="P29" i="49"/>
  <c r="Q29" i="49"/>
  <c r="S29" i="49"/>
  <c r="T29" i="49"/>
  <c r="V29" i="49"/>
  <c r="X29" i="49"/>
  <c r="Y29" i="49"/>
  <c r="Z29" i="49"/>
  <c r="AA29" i="49"/>
  <c r="AB29" i="49"/>
  <c r="AC29" i="49"/>
  <c r="AF29" i="49"/>
  <c r="AG29" i="49"/>
  <c r="AH29" i="49"/>
  <c r="AI29" i="49"/>
  <c r="AJ29" i="49"/>
  <c r="AL29" i="49"/>
  <c r="AM29" i="49"/>
  <c r="AN29" i="49"/>
  <c r="AO29" i="49"/>
  <c r="AP29" i="49"/>
  <c r="AQ29" i="49"/>
  <c r="AR29" i="49"/>
  <c r="AS29" i="49"/>
  <c r="AT29" i="49"/>
  <c r="AU29" i="49"/>
  <c r="AV29" i="49"/>
  <c r="AW29" i="49"/>
  <c r="AX29" i="49"/>
  <c r="AY29" i="49"/>
  <c r="BB29" i="49"/>
  <c r="BC29" i="49"/>
  <c r="BD29" i="49"/>
  <c r="BE29" i="49"/>
  <c r="BF29" i="49"/>
  <c r="BG29" i="49"/>
  <c r="BH29" i="49"/>
  <c r="BI29" i="49"/>
  <c r="BJ29" i="49"/>
  <c r="BK29" i="49"/>
  <c r="BL29" i="49"/>
  <c r="BM29" i="49"/>
  <c r="BN29" i="49"/>
  <c r="BO29" i="49"/>
  <c r="D30" i="49"/>
  <c r="F30" i="49"/>
  <c r="G30" i="49"/>
  <c r="H30" i="49"/>
  <c r="I30" i="49"/>
  <c r="K30" i="49"/>
  <c r="L30" i="49"/>
  <c r="N30" i="49"/>
  <c r="O30" i="49"/>
  <c r="P30" i="49"/>
  <c r="Q30" i="49"/>
  <c r="S30" i="49"/>
  <c r="T30" i="49"/>
  <c r="V30" i="49"/>
  <c r="X30" i="49"/>
  <c r="Y30" i="49"/>
  <c r="Z30" i="49"/>
  <c r="AA30" i="49"/>
  <c r="AB30" i="49"/>
  <c r="AC30" i="49"/>
  <c r="AF30" i="49"/>
  <c r="AG30" i="49"/>
  <c r="AH30" i="49"/>
  <c r="AI30" i="49"/>
  <c r="AJ30" i="49"/>
  <c r="AL30" i="49"/>
  <c r="AM30" i="49"/>
  <c r="AN30" i="49"/>
  <c r="AO30" i="49"/>
  <c r="AP30" i="49"/>
  <c r="AQ30" i="49"/>
  <c r="AR30" i="49"/>
  <c r="AS30" i="49"/>
  <c r="AT30" i="49"/>
  <c r="AU30" i="49"/>
  <c r="AV30" i="49"/>
  <c r="AW30" i="49"/>
  <c r="AX30" i="49"/>
  <c r="AY30" i="49"/>
  <c r="BB30" i="49"/>
  <c r="BC30" i="49"/>
  <c r="BD30" i="49"/>
  <c r="BE30" i="49"/>
  <c r="BF30" i="49"/>
  <c r="BG30" i="49"/>
  <c r="BH30" i="49"/>
  <c r="BI30" i="49"/>
  <c r="BJ30" i="49"/>
  <c r="BK30" i="49"/>
  <c r="BL30" i="49"/>
  <c r="BM30" i="49"/>
  <c r="BN30" i="49"/>
  <c r="BO30" i="49"/>
  <c r="D31" i="49"/>
  <c r="F31" i="49"/>
  <c r="G31" i="49"/>
  <c r="H31" i="49"/>
  <c r="I31" i="49"/>
  <c r="K31" i="49"/>
  <c r="L31" i="49"/>
  <c r="N31" i="49"/>
  <c r="O31" i="49"/>
  <c r="P31" i="49"/>
  <c r="Q31" i="49"/>
  <c r="S31" i="49"/>
  <c r="T31" i="49"/>
  <c r="V31" i="49"/>
  <c r="X31" i="49"/>
  <c r="Y31" i="49"/>
  <c r="Z31" i="49"/>
  <c r="AA31" i="49"/>
  <c r="AB31" i="49"/>
  <c r="AC31" i="49"/>
  <c r="AF31" i="49"/>
  <c r="AG31" i="49"/>
  <c r="AH31" i="49"/>
  <c r="AI31" i="49"/>
  <c r="AJ31" i="49"/>
  <c r="AL31" i="49"/>
  <c r="AM31" i="49"/>
  <c r="AN31" i="49"/>
  <c r="AO31" i="49"/>
  <c r="AP31" i="49"/>
  <c r="AQ31" i="49"/>
  <c r="AR31" i="49"/>
  <c r="AS31" i="49"/>
  <c r="AT31" i="49"/>
  <c r="AU31" i="49"/>
  <c r="AV31" i="49"/>
  <c r="AW31" i="49"/>
  <c r="AX31" i="49"/>
  <c r="AY31" i="49"/>
  <c r="BB31" i="49"/>
  <c r="BC31" i="49"/>
  <c r="BD31" i="49"/>
  <c r="BE31" i="49"/>
  <c r="BF31" i="49"/>
  <c r="BG31" i="49"/>
  <c r="BH31" i="49"/>
  <c r="BI31" i="49"/>
  <c r="BJ31" i="49"/>
  <c r="BK31" i="49"/>
  <c r="BL31" i="49"/>
  <c r="BM31" i="49"/>
  <c r="BN31" i="49"/>
  <c r="BO31" i="49"/>
  <c r="D32" i="49"/>
  <c r="F32" i="49"/>
  <c r="G32" i="49"/>
  <c r="H32" i="49"/>
  <c r="I32" i="49"/>
  <c r="K32" i="49"/>
  <c r="L32" i="49"/>
  <c r="N32" i="49"/>
  <c r="O32" i="49"/>
  <c r="P32" i="49"/>
  <c r="Q32" i="49"/>
  <c r="S32" i="49"/>
  <c r="T32" i="49"/>
  <c r="V32" i="49"/>
  <c r="X32" i="49"/>
  <c r="Y32" i="49"/>
  <c r="Z32" i="49"/>
  <c r="AA32" i="49"/>
  <c r="AB32" i="49"/>
  <c r="AC32" i="49"/>
  <c r="AF32" i="49"/>
  <c r="AG32" i="49"/>
  <c r="AH32" i="49"/>
  <c r="AI32" i="49"/>
  <c r="AJ32" i="49"/>
  <c r="AL32" i="49"/>
  <c r="AM32" i="49"/>
  <c r="AN32" i="49"/>
  <c r="AO32" i="49"/>
  <c r="AP32" i="49"/>
  <c r="AQ32" i="49"/>
  <c r="AR32" i="49"/>
  <c r="AS32" i="49"/>
  <c r="AT32" i="49"/>
  <c r="AU32" i="49"/>
  <c r="AV32" i="49"/>
  <c r="AW32" i="49"/>
  <c r="AX32" i="49"/>
  <c r="AY32" i="49"/>
  <c r="BB32" i="49"/>
  <c r="BC32" i="49"/>
  <c r="BD32" i="49"/>
  <c r="BE32" i="49"/>
  <c r="BF32" i="49"/>
  <c r="BG32" i="49"/>
  <c r="BH32" i="49"/>
  <c r="BI32" i="49"/>
  <c r="BJ32" i="49"/>
  <c r="BK32" i="49"/>
  <c r="BL32" i="49"/>
  <c r="BM32" i="49"/>
  <c r="BN32" i="49"/>
  <c r="BO32" i="49"/>
  <c r="F1" i="50"/>
  <c r="AV1" i="50"/>
  <c r="A2" i="50"/>
  <c r="F2" i="50"/>
  <c r="G2" i="50"/>
  <c r="N2" i="50"/>
  <c r="AV2" i="50"/>
  <c r="AW2" i="50"/>
  <c r="AX2" i="50"/>
  <c r="AY2" i="50"/>
  <c r="BW2" i="50"/>
  <c r="BX2" i="50"/>
  <c r="BY2" i="50"/>
  <c r="BZ2" i="50"/>
  <c r="CA2" i="50"/>
  <c r="CB2" i="50"/>
  <c r="CC2" i="50"/>
  <c r="CD2" i="50"/>
  <c r="CE2" i="50"/>
  <c r="CF2" i="50"/>
  <c r="CG2" i="50"/>
  <c r="CH2" i="50"/>
  <c r="CI2" i="50"/>
  <c r="CJ2" i="50"/>
  <c r="CK2" i="50"/>
  <c r="CL2" i="50"/>
  <c r="CM2" i="50"/>
  <c r="CN2" i="50"/>
  <c r="CO2" i="50"/>
  <c r="CP2" i="50"/>
  <c r="CQ2" i="50"/>
  <c r="CR2" i="50"/>
  <c r="CS2" i="50"/>
  <c r="CT2" i="50"/>
  <c r="CU2" i="50"/>
  <c r="CV2" i="50"/>
  <c r="CW2" i="50"/>
  <c r="CX2" i="50"/>
  <c r="A3" i="50"/>
  <c r="AH3" i="50"/>
  <c r="AK3" i="50"/>
  <c r="AV3" i="50"/>
  <c r="AW3" i="50"/>
  <c r="AX3" i="50"/>
  <c r="AY3" i="50"/>
  <c r="A4" i="50"/>
  <c r="N4" i="50"/>
  <c r="P4" i="50"/>
  <c r="T4" i="50"/>
  <c r="V4" i="50"/>
  <c r="W4" i="50"/>
  <c r="AH4" i="50"/>
  <c r="AK4" i="50"/>
  <c r="AM4" i="50"/>
  <c r="AN4" i="50"/>
  <c r="AO4" i="50"/>
  <c r="AP4" i="50"/>
  <c r="AQ4" i="50"/>
  <c r="AR4" i="50"/>
  <c r="AS4" i="50"/>
  <c r="AT4" i="50"/>
  <c r="AV4" i="50"/>
  <c r="AW4" i="50"/>
  <c r="AX4" i="50"/>
  <c r="AY4" i="50"/>
  <c r="A5" i="50"/>
  <c r="G5" i="50"/>
  <c r="N5" i="50"/>
  <c r="P5" i="50"/>
  <c r="T5" i="50"/>
  <c r="V5" i="50"/>
  <c r="W5" i="50"/>
  <c r="AH5" i="50"/>
  <c r="AK5" i="50"/>
  <c r="AM5" i="50"/>
  <c r="AN5" i="50"/>
  <c r="AO5" i="50"/>
  <c r="AP5" i="50"/>
  <c r="AQ5" i="50"/>
  <c r="AR5" i="50"/>
  <c r="AS5" i="50"/>
  <c r="AT5" i="50"/>
  <c r="AV5" i="50"/>
  <c r="AW5" i="50"/>
  <c r="AX5" i="50"/>
  <c r="AY5" i="50"/>
  <c r="BV5" i="50"/>
  <c r="A6" i="50"/>
  <c r="N6" i="50"/>
  <c r="P6" i="50"/>
  <c r="T6" i="50"/>
  <c r="V6" i="50"/>
  <c r="W6" i="50"/>
  <c r="AH6" i="50"/>
  <c r="AK6" i="50"/>
  <c r="AM6" i="50"/>
  <c r="AN6" i="50"/>
  <c r="AO6" i="50"/>
  <c r="AP6" i="50"/>
  <c r="AQ6" i="50"/>
  <c r="AR6" i="50"/>
  <c r="AS6" i="50"/>
  <c r="AT6" i="50"/>
  <c r="A7" i="50"/>
  <c r="G7" i="50"/>
  <c r="N7" i="50"/>
  <c r="N7" i="50" a="1"/>
  <c r="P7" i="50"/>
  <c r="T7" i="50"/>
  <c r="AH7" i="50"/>
  <c r="AK7" i="50"/>
  <c r="AM7" i="50"/>
  <c r="AN7" i="50"/>
  <c r="AO7" i="50"/>
  <c r="AP7" i="50"/>
  <c r="AQ7" i="50"/>
  <c r="AR7" i="50"/>
  <c r="AS7" i="50"/>
  <c r="AT7" i="50"/>
  <c r="AV7" i="50"/>
  <c r="AW7" i="50"/>
  <c r="AX7" i="50"/>
  <c r="AY7" i="50"/>
  <c r="G8" i="50"/>
  <c r="N8" i="50"/>
  <c r="N8" i="50" a="1"/>
  <c r="P8" i="50"/>
  <c r="T8" i="50"/>
  <c r="V8" i="50"/>
  <c r="W8" i="50"/>
  <c r="Y8" i="50"/>
  <c r="Z8" i="50"/>
  <c r="AH8" i="50"/>
  <c r="AK8" i="50"/>
  <c r="AM8" i="50"/>
  <c r="AN8" i="50"/>
  <c r="AO8" i="50"/>
  <c r="AP8" i="50"/>
  <c r="AQ8" i="50"/>
  <c r="AR8" i="50"/>
  <c r="AS8" i="50"/>
  <c r="AT8" i="50"/>
  <c r="AV8" i="50"/>
  <c r="AW8" i="50"/>
  <c r="AX8" i="50"/>
  <c r="AY8" i="50"/>
  <c r="N9" i="50"/>
  <c r="N9" i="50" a="1"/>
  <c r="P9" i="50"/>
  <c r="AK9" i="50"/>
  <c r="AM9" i="50"/>
  <c r="AN9" i="50"/>
  <c r="AO9" i="50"/>
  <c r="AP9" i="50"/>
  <c r="AQ9" i="50"/>
  <c r="AR9" i="50"/>
  <c r="AS9" i="50"/>
  <c r="AT9" i="50"/>
  <c r="AV9" i="50"/>
  <c r="AW9" i="50"/>
  <c r="AX9" i="50"/>
  <c r="AY9" i="50"/>
  <c r="K10" i="50"/>
  <c r="N10" i="50"/>
  <c r="P10" i="50"/>
  <c r="AH10" i="50"/>
  <c r="AM10" i="50"/>
  <c r="AN10" i="50"/>
  <c r="AO10" i="50"/>
  <c r="AP10" i="50"/>
  <c r="AQ10" i="50"/>
  <c r="AR10" i="50"/>
  <c r="AS10" i="50"/>
  <c r="AT10" i="50"/>
  <c r="AV10" i="50"/>
  <c r="AW10" i="50"/>
  <c r="AX10" i="50"/>
  <c r="AY10" i="50"/>
  <c r="D11" i="50"/>
  <c r="K11" i="50"/>
  <c r="N11" i="50"/>
  <c r="P11" i="50"/>
  <c r="AM11" i="50"/>
  <c r="AN11" i="50"/>
  <c r="AO11" i="50"/>
  <c r="AP11" i="50"/>
  <c r="AQ11" i="50"/>
  <c r="AR11" i="50"/>
  <c r="AS11" i="50"/>
  <c r="AT11" i="50"/>
  <c r="AV11" i="50"/>
  <c r="AW11" i="50"/>
  <c r="AX11" i="50"/>
  <c r="AY11" i="50"/>
  <c r="D12" i="50"/>
  <c r="N12" i="50"/>
  <c r="P12" i="50"/>
  <c r="AH12" i="50"/>
  <c r="AM12" i="50"/>
  <c r="AN12" i="50"/>
  <c r="AO12" i="50"/>
  <c r="AP12" i="50"/>
  <c r="AQ12" i="50"/>
  <c r="AR12" i="50"/>
  <c r="AS12" i="50"/>
  <c r="AT12" i="50"/>
  <c r="AV12" i="50"/>
  <c r="AW12" i="50"/>
  <c r="AX12" i="50"/>
  <c r="AY12" i="50"/>
  <c r="N13" i="50"/>
  <c r="P13" i="50"/>
  <c r="AH13" i="50"/>
  <c r="AM13" i="50"/>
  <c r="AN13" i="50"/>
  <c r="AO13" i="50"/>
  <c r="AP13" i="50"/>
  <c r="AQ13" i="50"/>
  <c r="AR13" i="50"/>
  <c r="AS13" i="50"/>
  <c r="AT13" i="50"/>
  <c r="AV13" i="50"/>
  <c r="AW13" i="50"/>
  <c r="AX13" i="50"/>
  <c r="AY13" i="50"/>
  <c r="N14" i="50"/>
  <c r="P14" i="50"/>
  <c r="S14" i="50"/>
  <c r="T14" i="50"/>
  <c r="AM14" i="50"/>
  <c r="AN14" i="50"/>
  <c r="AO14" i="50"/>
  <c r="AP14" i="50"/>
  <c r="AQ14" i="50"/>
  <c r="AR14" i="50"/>
  <c r="AS14" i="50"/>
  <c r="AT14" i="50"/>
  <c r="AV14" i="50"/>
  <c r="AW14" i="50"/>
  <c r="AX14" i="50"/>
  <c r="AY14" i="50"/>
  <c r="N15" i="50"/>
  <c r="P15" i="50"/>
  <c r="AM15" i="50"/>
  <c r="AN15" i="50"/>
  <c r="AO15" i="50"/>
  <c r="AP15" i="50"/>
  <c r="AQ15" i="50"/>
  <c r="AR15" i="50"/>
  <c r="AS15" i="50"/>
  <c r="AT15" i="50"/>
  <c r="AV15" i="50"/>
  <c r="AW15" i="50"/>
  <c r="AX15" i="50"/>
  <c r="AY15" i="50"/>
  <c r="N16" i="50"/>
  <c r="P16" i="50"/>
  <c r="AV16" i="50"/>
  <c r="AW16" i="50"/>
  <c r="AX16" i="50"/>
  <c r="AY16" i="50"/>
  <c r="N17" i="50"/>
  <c r="P17" i="50"/>
  <c r="AV17" i="50"/>
  <c r="AW17" i="50"/>
  <c r="AX17" i="50"/>
  <c r="AY17" i="50"/>
  <c r="N18" i="50"/>
  <c r="P18" i="50"/>
  <c r="AX18" i="50"/>
  <c r="AY18" i="50"/>
  <c r="N19" i="50"/>
  <c r="P19" i="50"/>
  <c r="S20" i="50"/>
  <c r="T20" i="50"/>
  <c r="AM20" i="50"/>
  <c r="AO20" i="50"/>
  <c r="AV20" i="50"/>
  <c r="AW20" i="50"/>
  <c r="AX20" i="50"/>
  <c r="AY20" i="50"/>
  <c r="D22" i="50"/>
  <c r="F22" i="50"/>
  <c r="G22" i="50"/>
  <c r="H22" i="50"/>
  <c r="I22" i="50"/>
  <c r="K22" i="50"/>
  <c r="L22" i="50"/>
  <c r="N22" i="50"/>
  <c r="O22" i="50"/>
  <c r="P22" i="50"/>
  <c r="Q22" i="50"/>
  <c r="S22" i="50"/>
  <c r="T22" i="50"/>
  <c r="V22" i="50"/>
  <c r="X22" i="50"/>
  <c r="Y22" i="50"/>
  <c r="Z22" i="50"/>
  <c r="AA22" i="50"/>
  <c r="AB22" i="50"/>
  <c r="AC22" i="50"/>
  <c r="AF22" i="50"/>
  <c r="AG22" i="50"/>
  <c r="AH22" i="50"/>
  <c r="AI22" i="50"/>
  <c r="AJ22" i="50"/>
  <c r="AL22" i="50"/>
  <c r="AM22" i="50"/>
  <c r="AN22" i="50"/>
  <c r="AO22" i="50"/>
  <c r="AP22" i="50"/>
  <c r="AQ22" i="50"/>
  <c r="AR22" i="50"/>
  <c r="AS22" i="50"/>
  <c r="AT22" i="50"/>
  <c r="AU22" i="50"/>
  <c r="AV22" i="50"/>
  <c r="AW22" i="50"/>
  <c r="AX22" i="50"/>
  <c r="AY22" i="50"/>
  <c r="BB22" i="50"/>
  <c r="BC22" i="50"/>
  <c r="BD22" i="50"/>
  <c r="BE22" i="50"/>
  <c r="BF22" i="50"/>
  <c r="BG22" i="50"/>
  <c r="BH22" i="50"/>
  <c r="BI22" i="50"/>
  <c r="BJ22" i="50"/>
  <c r="BK22" i="50"/>
  <c r="BL22" i="50"/>
  <c r="BM22" i="50"/>
  <c r="BN22" i="50"/>
  <c r="BO22" i="50"/>
  <c r="D23" i="50"/>
  <c r="F23" i="50"/>
  <c r="G23" i="50"/>
  <c r="H23" i="50"/>
  <c r="I23" i="50"/>
  <c r="K23" i="50"/>
  <c r="L23" i="50"/>
  <c r="N23" i="50"/>
  <c r="O23" i="50"/>
  <c r="P23" i="50"/>
  <c r="Q23" i="50"/>
  <c r="S23" i="50"/>
  <c r="T23" i="50"/>
  <c r="V23" i="50"/>
  <c r="X23" i="50"/>
  <c r="Y23" i="50"/>
  <c r="Z23" i="50"/>
  <c r="AA23" i="50"/>
  <c r="AB23" i="50"/>
  <c r="AC23" i="50"/>
  <c r="AF23" i="50"/>
  <c r="AG23" i="50"/>
  <c r="AH23" i="50"/>
  <c r="AI23" i="50"/>
  <c r="AJ23" i="50"/>
  <c r="AL23" i="50"/>
  <c r="AM23" i="50"/>
  <c r="AN23" i="50"/>
  <c r="AO23" i="50"/>
  <c r="AP23" i="50"/>
  <c r="AQ23" i="50"/>
  <c r="AR23" i="50"/>
  <c r="AS23" i="50"/>
  <c r="AT23" i="50"/>
  <c r="AU23" i="50"/>
  <c r="AV23" i="50"/>
  <c r="AW23" i="50"/>
  <c r="AX23" i="50"/>
  <c r="AY23" i="50"/>
  <c r="BB23" i="50"/>
  <c r="BC23" i="50"/>
  <c r="BD23" i="50"/>
  <c r="BE23" i="50"/>
  <c r="BF23" i="50"/>
  <c r="BG23" i="50"/>
  <c r="BH23" i="50"/>
  <c r="BI23" i="50"/>
  <c r="BJ23" i="50"/>
  <c r="BK23" i="50"/>
  <c r="BL23" i="50"/>
  <c r="BM23" i="50"/>
  <c r="BN23" i="50"/>
  <c r="BO23" i="50"/>
  <c r="D24" i="50"/>
  <c r="F24" i="50"/>
  <c r="G24" i="50"/>
  <c r="H24" i="50"/>
  <c r="I24" i="50"/>
  <c r="K24" i="50"/>
  <c r="L24" i="50"/>
  <c r="N24" i="50"/>
  <c r="O24" i="50"/>
  <c r="P24" i="50"/>
  <c r="Q24" i="50"/>
  <c r="S24" i="50"/>
  <c r="T24" i="50"/>
  <c r="V24" i="50"/>
  <c r="X24" i="50"/>
  <c r="Y24" i="50"/>
  <c r="Z24" i="50"/>
  <c r="AA24" i="50"/>
  <c r="AB24" i="50"/>
  <c r="AC24" i="50"/>
  <c r="AF24" i="50"/>
  <c r="AG24" i="50"/>
  <c r="AH24" i="50"/>
  <c r="AI24" i="50"/>
  <c r="AJ24" i="50"/>
  <c r="AL24" i="50"/>
  <c r="AM24" i="50"/>
  <c r="AN24" i="50"/>
  <c r="AO24" i="50"/>
  <c r="AP24" i="50"/>
  <c r="AQ24" i="50"/>
  <c r="AR24" i="50"/>
  <c r="AS24" i="50"/>
  <c r="AT24" i="50"/>
  <c r="AU24" i="50"/>
  <c r="AV24" i="50"/>
  <c r="AW24" i="50"/>
  <c r="AX24" i="50"/>
  <c r="AY24" i="50"/>
  <c r="BB24" i="50"/>
  <c r="BC24" i="50"/>
  <c r="BD24" i="50"/>
  <c r="BE24" i="50"/>
  <c r="BF24" i="50"/>
  <c r="BG24" i="50"/>
  <c r="BH24" i="50"/>
  <c r="BI24" i="50"/>
  <c r="BJ24" i="50"/>
  <c r="BK24" i="50"/>
  <c r="BL24" i="50"/>
  <c r="BM24" i="50"/>
  <c r="BN24" i="50"/>
  <c r="BO24" i="50"/>
  <c r="D25" i="50"/>
  <c r="F25" i="50"/>
  <c r="G25" i="50"/>
  <c r="H25" i="50"/>
  <c r="I25" i="50"/>
  <c r="K25" i="50"/>
  <c r="L25" i="50"/>
  <c r="N25" i="50"/>
  <c r="O25" i="50"/>
  <c r="P25" i="50"/>
  <c r="Q25" i="50"/>
  <c r="S25" i="50"/>
  <c r="T25" i="50"/>
  <c r="V25" i="50"/>
  <c r="X25" i="50"/>
  <c r="Y25" i="50"/>
  <c r="Z25" i="50"/>
  <c r="AA25" i="50"/>
  <c r="AB25" i="50"/>
  <c r="AC25" i="50"/>
  <c r="AF25" i="50"/>
  <c r="AG25" i="50"/>
  <c r="AH25" i="50"/>
  <c r="AI25" i="50"/>
  <c r="AJ25" i="50"/>
  <c r="AL25" i="50"/>
  <c r="AM25" i="50"/>
  <c r="AN25" i="50"/>
  <c r="AO25" i="50"/>
  <c r="AP25" i="50"/>
  <c r="AQ25" i="50"/>
  <c r="AR25" i="50"/>
  <c r="AS25" i="50"/>
  <c r="AT25" i="50"/>
  <c r="AU25" i="50"/>
  <c r="AV25" i="50"/>
  <c r="AW25" i="50"/>
  <c r="AX25" i="50"/>
  <c r="AY25" i="50"/>
  <c r="BB25" i="50"/>
  <c r="BC25" i="50"/>
  <c r="BD25" i="50"/>
  <c r="BE25" i="50"/>
  <c r="BF25" i="50"/>
  <c r="BG25" i="50"/>
  <c r="BH25" i="50"/>
  <c r="BI25" i="50"/>
  <c r="BJ25" i="50"/>
  <c r="BK25" i="50"/>
  <c r="BL25" i="50"/>
  <c r="BM25" i="50"/>
  <c r="BN25" i="50"/>
  <c r="BO25" i="50"/>
  <c r="D26" i="50"/>
  <c r="F26" i="50"/>
  <c r="G26" i="50"/>
  <c r="H26" i="50"/>
  <c r="I26" i="50"/>
  <c r="K26" i="50"/>
  <c r="L26" i="50"/>
  <c r="N26" i="50"/>
  <c r="O26" i="50"/>
  <c r="P26" i="50"/>
  <c r="Q26" i="50"/>
  <c r="S26" i="50"/>
  <c r="T26" i="50"/>
  <c r="V26" i="50"/>
  <c r="X26" i="50"/>
  <c r="Y26" i="50"/>
  <c r="Z26" i="50"/>
  <c r="AA26" i="50"/>
  <c r="AB26" i="50"/>
  <c r="AC26" i="50"/>
  <c r="AF26" i="50"/>
  <c r="AG26" i="50"/>
  <c r="AH26" i="50"/>
  <c r="AI26" i="50"/>
  <c r="AJ26" i="50"/>
  <c r="AL26" i="50"/>
  <c r="AM26" i="50"/>
  <c r="AN26" i="50"/>
  <c r="AO26" i="50"/>
  <c r="AP26" i="50"/>
  <c r="AQ26" i="50"/>
  <c r="AR26" i="50"/>
  <c r="AS26" i="50"/>
  <c r="AT26" i="50"/>
  <c r="AU26" i="50"/>
  <c r="AV26" i="50"/>
  <c r="AW26" i="50"/>
  <c r="AX26" i="50"/>
  <c r="AY26" i="50"/>
  <c r="BB26" i="50"/>
  <c r="BC26" i="50"/>
  <c r="BD26" i="50"/>
  <c r="BE26" i="50"/>
  <c r="BF26" i="50"/>
  <c r="BG26" i="50"/>
  <c r="BH26" i="50"/>
  <c r="BI26" i="50"/>
  <c r="BJ26" i="50"/>
  <c r="BK26" i="50"/>
  <c r="BL26" i="50"/>
  <c r="BM26" i="50"/>
  <c r="BN26" i="50"/>
  <c r="BO26" i="50"/>
  <c r="D27" i="50"/>
  <c r="F27" i="50"/>
  <c r="G27" i="50"/>
  <c r="H27" i="50"/>
  <c r="I27" i="50"/>
  <c r="K27" i="50"/>
  <c r="L27" i="50"/>
  <c r="N27" i="50"/>
  <c r="O27" i="50"/>
  <c r="P27" i="50"/>
  <c r="Q27" i="50"/>
  <c r="S27" i="50"/>
  <c r="T27" i="50"/>
  <c r="V27" i="50"/>
  <c r="X27" i="50"/>
  <c r="Y27" i="50"/>
  <c r="Z27" i="50"/>
  <c r="AA27" i="50"/>
  <c r="AB27" i="50"/>
  <c r="AC27" i="50"/>
  <c r="AF27" i="50"/>
  <c r="AG27" i="50"/>
  <c r="AH27" i="50"/>
  <c r="AI27" i="50"/>
  <c r="AJ27" i="50"/>
  <c r="AL27" i="50"/>
  <c r="AM27" i="50"/>
  <c r="AN27" i="50"/>
  <c r="AO27" i="50"/>
  <c r="AP27" i="50"/>
  <c r="AQ27" i="50"/>
  <c r="AR27" i="50"/>
  <c r="AS27" i="50"/>
  <c r="AT27" i="50"/>
  <c r="AU27" i="50"/>
  <c r="AV27" i="50"/>
  <c r="AW27" i="50"/>
  <c r="AX27" i="50"/>
  <c r="AY27" i="50"/>
  <c r="BB27" i="50"/>
  <c r="BC27" i="50"/>
  <c r="BD27" i="50"/>
  <c r="BE27" i="50"/>
  <c r="BF27" i="50"/>
  <c r="BG27" i="50"/>
  <c r="BH27" i="50"/>
  <c r="BI27" i="50"/>
  <c r="BJ27" i="50"/>
  <c r="BK27" i="50"/>
  <c r="BL27" i="50"/>
  <c r="BM27" i="50"/>
  <c r="BN27" i="50"/>
  <c r="BO27" i="50"/>
  <c r="D28" i="50"/>
  <c r="F28" i="50"/>
  <c r="G28" i="50"/>
  <c r="H28" i="50"/>
  <c r="I28" i="50"/>
  <c r="K28" i="50"/>
  <c r="L28" i="50"/>
  <c r="N28" i="50"/>
  <c r="O28" i="50"/>
  <c r="P28" i="50"/>
  <c r="Q28" i="50"/>
  <c r="S28" i="50"/>
  <c r="T28" i="50"/>
  <c r="V28" i="50"/>
  <c r="X28" i="50"/>
  <c r="Y28" i="50"/>
  <c r="Z28" i="50"/>
  <c r="AA28" i="50"/>
  <c r="AB28" i="50"/>
  <c r="AC28" i="50"/>
  <c r="AF28" i="50"/>
  <c r="AG28" i="50"/>
  <c r="AH28" i="50"/>
  <c r="AI28" i="50"/>
  <c r="AJ28" i="50"/>
  <c r="AL28" i="50"/>
  <c r="AM28" i="50"/>
  <c r="AN28" i="50"/>
  <c r="AO28" i="50"/>
  <c r="AP28" i="50"/>
  <c r="AQ28" i="50"/>
  <c r="AR28" i="50"/>
  <c r="AS28" i="50"/>
  <c r="AT28" i="50"/>
  <c r="AU28" i="50"/>
  <c r="AV28" i="50"/>
  <c r="AW28" i="50"/>
  <c r="AX28" i="50"/>
  <c r="AY28" i="50"/>
  <c r="BB28" i="50"/>
  <c r="BC28" i="50"/>
  <c r="BD28" i="50"/>
  <c r="BE28" i="50"/>
  <c r="BF28" i="50"/>
  <c r="BG28" i="50"/>
  <c r="BH28" i="50"/>
  <c r="BI28" i="50"/>
  <c r="BJ28" i="50"/>
  <c r="BK28" i="50"/>
  <c r="BL28" i="50"/>
  <c r="BM28" i="50"/>
  <c r="BN28" i="50"/>
  <c r="BO28" i="50"/>
  <c r="D29" i="50"/>
  <c r="F29" i="50"/>
  <c r="G29" i="50"/>
  <c r="H29" i="50"/>
  <c r="I29" i="50"/>
  <c r="K29" i="50"/>
  <c r="L29" i="50"/>
  <c r="N29" i="50"/>
  <c r="O29" i="50"/>
  <c r="P29" i="50"/>
  <c r="Q29" i="50"/>
  <c r="S29" i="50"/>
  <c r="T29" i="50"/>
  <c r="V29" i="50"/>
  <c r="X29" i="50"/>
  <c r="Y29" i="50"/>
  <c r="Z29" i="50"/>
  <c r="AA29" i="50"/>
  <c r="AB29" i="50"/>
  <c r="AC29" i="50"/>
  <c r="AF29" i="50"/>
  <c r="AG29" i="50"/>
  <c r="AH29" i="50"/>
  <c r="AI29" i="50"/>
  <c r="AJ29" i="50"/>
  <c r="AL29" i="50"/>
  <c r="AM29" i="50"/>
  <c r="AN29" i="50"/>
  <c r="AO29" i="50"/>
  <c r="AP29" i="50"/>
  <c r="AQ29" i="50"/>
  <c r="AR29" i="50"/>
  <c r="AS29" i="50"/>
  <c r="AT29" i="50"/>
  <c r="AU29" i="50"/>
  <c r="AV29" i="50"/>
  <c r="AW29" i="50"/>
  <c r="AX29" i="50"/>
  <c r="AY29" i="50"/>
  <c r="BB29" i="50"/>
  <c r="BC29" i="50"/>
  <c r="BD29" i="50"/>
  <c r="BE29" i="50"/>
  <c r="BF29" i="50"/>
  <c r="BG29" i="50"/>
  <c r="BH29" i="50"/>
  <c r="BI29" i="50"/>
  <c r="BJ29" i="50"/>
  <c r="BK29" i="50"/>
  <c r="BL29" i="50"/>
  <c r="BM29" i="50"/>
  <c r="BN29" i="50"/>
  <c r="BO29" i="50"/>
  <c r="D30" i="50"/>
  <c r="F30" i="50"/>
  <c r="G30" i="50"/>
  <c r="H30" i="50"/>
  <c r="I30" i="50"/>
  <c r="K30" i="50"/>
  <c r="L30" i="50"/>
  <c r="N30" i="50"/>
  <c r="O30" i="50"/>
  <c r="P30" i="50"/>
  <c r="Q30" i="50"/>
  <c r="S30" i="50"/>
  <c r="T30" i="50"/>
  <c r="V30" i="50"/>
  <c r="X30" i="50"/>
  <c r="Y30" i="50"/>
  <c r="Z30" i="50"/>
  <c r="AA30" i="50"/>
  <c r="AB30" i="50"/>
  <c r="AC30" i="50"/>
  <c r="AF30" i="50"/>
  <c r="AG30" i="50"/>
  <c r="AH30" i="50"/>
  <c r="AI30" i="50"/>
  <c r="AJ30" i="50"/>
  <c r="AL30" i="50"/>
  <c r="AM30" i="50"/>
  <c r="AN30" i="50"/>
  <c r="AO30" i="50"/>
  <c r="AP30" i="50"/>
  <c r="AQ30" i="50"/>
  <c r="AR30" i="50"/>
  <c r="AS30" i="50"/>
  <c r="AT30" i="50"/>
  <c r="AU30" i="50"/>
  <c r="AV30" i="50"/>
  <c r="AW30" i="50"/>
  <c r="AX30" i="50"/>
  <c r="AY30" i="50"/>
  <c r="BB30" i="50"/>
  <c r="BC30" i="50"/>
  <c r="BD30" i="50"/>
  <c r="BE30" i="50"/>
  <c r="BF30" i="50"/>
  <c r="BG30" i="50"/>
  <c r="BH30" i="50"/>
  <c r="BI30" i="50"/>
  <c r="BJ30" i="50"/>
  <c r="BK30" i="50"/>
  <c r="BL30" i="50"/>
  <c r="BM30" i="50"/>
  <c r="BN30" i="50"/>
  <c r="BO30" i="50"/>
  <c r="D31" i="50"/>
  <c r="F31" i="50"/>
  <c r="G31" i="50"/>
  <c r="H31" i="50"/>
  <c r="I31" i="50"/>
  <c r="K31" i="50"/>
  <c r="L31" i="50"/>
  <c r="N31" i="50"/>
  <c r="O31" i="50"/>
  <c r="P31" i="50"/>
  <c r="Q31" i="50"/>
  <c r="S31" i="50"/>
  <c r="T31" i="50"/>
  <c r="V31" i="50"/>
  <c r="X31" i="50"/>
  <c r="Y31" i="50"/>
  <c r="Z31" i="50"/>
  <c r="AA31" i="50"/>
  <c r="AB31" i="50"/>
  <c r="AC31" i="50"/>
  <c r="AF31" i="50"/>
  <c r="AG31" i="50"/>
  <c r="AH31" i="50"/>
  <c r="AI31" i="50"/>
  <c r="AJ31" i="50"/>
  <c r="AL31" i="50"/>
  <c r="AM31" i="50"/>
  <c r="AN31" i="50"/>
  <c r="AO31" i="50"/>
  <c r="AP31" i="50"/>
  <c r="AQ31" i="50"/>
  <c r="AR31" i="50"/>
  <c r="AS31" i="50"/>
  <c r="AT31" i="50"/>
  <c r="AU31" i="50"/>
  <c r="AV31" i="50"/>
  <c r="AW31" i="50"/>
  <c r="AX31" i="50"/>
  <c r="AY31" i="50"/>
  <c r="BB31" i="50"/>
  <c r="BC31" i="50"/>
  <c r="BD31" i="50"/>
  <c r="BE31" i="50"/>
  <c r="BF31" i="50"/>
  <c r="BG31" i="50"/>
  <c r="BH31" i="50"/>
  <c r="BI31" i="50"/>
  <c r="BJ31" i="50"/>
  <c r="BK31" i="50"/>
  <c r="BL31" i="50"/>
  <c r="BM31" i="50"/>
  <c r="BN31" i="50"/>
  <c r="BO31" i="50"/>
  <c r="D32" i="50"/>
  <c r="F32" i="50"/>
  <c r="G32" i="50"/>
  <c r="H32" i="50"/>
  <c r="I32" i="50"/>
  <c r="K32" i="50"/>
  <c r="L32" i="50"/>
  <c r="N32" i="50"/>
  <c r="O32" i="50"/>
  <c r="P32" i="50"/>
  <c r="Q32" i="50"/>
  <c r="S32" i="50"/>
  <c r="T32" i="50"/>
  <c r="V32" i="50"/>
  <c r="X32" i="50"/>
  <c r="Y32" i="50"/>
  <c r="Z32" i="50"/>
  <c r="AA32" i="50"/>
  <c r="AB32" i="50"/>
  <c r="AC32" i="50"/>
  <c r="AF32" i="50"/>
  <c r="AG32" i="50"/>
  <c r="AH32" i="50"/>
  <c r="AI32" i="50"/>
  <c r="AJ32" i="50"/>
  <c r="AL32" i="50"/>
  <c r="AM32" i="50"/>
  <c r="AN32" i="50"/>
  <c r="AO32" i="50"/>
  <c r="AP32" i="50"/>
  <c r="AQ32" i="50"/>
  <c r="AR32" i="50"/>
  <c r="AS32" i="50"/>
  <c r="AT32" i="50"/>
  <c r="AU32" i="50"/>
  <c r="AV32" i="50"/>
  <c r="AW32" i="50"/>
  <c r="AX32" i="50"/>
  <c r="AY32" i="50"/>
  <c r="BB32" i="50"/>
  <c r="BC32" i="50"/>
  <c r="BD32" i="50"/>
  <c r="BE32" i="50"/>
  <c r="BF32" i="50"/>
  <c r="BG32" i="50"/>
  <c r="BH32" i="50"/>
  <c r="BI32" i="50"/>
  <c r="BJ32" i="50"/>
  <c r="BK32" i="50"/>
  <c r="BL32" i="50"/>
  <c r="BM32" i="50"/>
  <c r="BN32" i="50"/>
  <c r="BO32" i="50"/>
  <c r="F1" i="23"/>
  <c r="AV1" i="23"/>
  <c r="A2" i="23"/>
  <c r="F2" i="23"/>
  <c r="G2" i="23"/>
  <c r="N2" i="23"/>
  <c r="AV2" i="23"/>
  <c r="AW2" i="23"/>
  <c r="AX2" i="23"/>
  <c r="AY2" i="23"/>
  <c r="BW2" i="23"/>
  <c r="BX2" i="23"/>
  <c r="BY2" i="23"/>
  <c r="BZ2" i="23"/>
  <c r="CA2" i="23"/>
  <c r="CB2" i="23"/>
  <c r="CC2" i="23"/>
  <c r="CD2" i="23"/>
  <c r="CE2" i="23"/>
  <c r="CF2" i="23"/>
  <c r="CG2" i="23"/>
  <c r="CH2" i="23"/>
  <c r="CI2" i="23"/>
  <c r="CJ2" i="23"/>
  <c r="CK2" i="23"/>
  <c r="CL2" i="23"/>
  <c r="CM2" i="23"/>
  <c r="CN2" i="23"/>
  <c r="CO2" i="23"/>
  <c r="CP2" i="23"/>
  <c r="CQ2" i="23"/>
  <c r="CR2" i="23"/>
  <c r="CS2" i="23"/>
  <c r="CT2" i="23"/>
  <c r="CU2" i="23"/>
  <c r="CV2" i="23"/>
  <c r="CW2" i="23"/>
  <c r="CX2" i="23"/>
  <c r="A3" i="23"/>
  <c r="AH3" i="23"/>
  <c r="AK3" i="23"/>
  <c r="AV3" i="23"/>
  <c r="AW3" i="23"/>
  <c r="AX3" i="23"/>
  <c r="AY3" i="23"/>
  <c r="A4" i="23"/>
  <c r="N4" i="23"/>
  <c r="P4" i="23"/>
  <c r="T4" i="23"/>
  <c r="V4" i="23"/>
  <c r="W4" i="23"/>
  <c r="AH4" i="23"/>
  <c r="AK4" i="23"/>
  <c r="AM4" i="23"/>
  <c r="AN4" i="23"/>
  <c r="AO4" i="23"/>
  <c r="AP4" i="23"/>
  <c r="AQ4" i="23"/>
  <c r="AR4" i="23"/>
  <c r="AS4" i="23"/>
  <c r="AT4" i="23"/>
  <c r="AV4" i="23"/>
  <c r="AW4" i="23"/>
  <c r="AX4" i="23"/>
  <c r="AY4" i="23"/>
  <c r="A5" i="23"/>
  <c r="G5" i="23"/>
  <c r="N5" i="23"/>
  <c r="P5" i="23"/>
  <c r="T5" i="23"/>
  <c r="V5" i="23"/>
  <c r="W5" i="23"/>
  <c r="AH5" i="23"/>
  <c r="AK5" i="23"/>
  <c r="AM5" i="23"/>
  <c r="AN5" i="23"/>
  <c r="AO5" i="23"/>
  <c r="AP5" i="23"/>
  <c r="AQ5" i="23"/>
  <c r="AR5" i="23"/>
  <c r="AS5" i="23"/>
  <c r="AT5" i="23"/>
  <c r="AV5" i="23"/>
  <c r="AW5" i="23"/>
  <c r="AX5" i="23"/>
  <c r="AY5" i="23"/>
  <c r="BV5" i="23"/>
  <c r="A6" i="23"/>
  <c r="N6" i="23"/>
  <c r="P6" i="23"/>
  <c r="T6" i="23"/>
  <c r="V6" i="23"/>
  <c r="W6" i="23"/>
  <c r="AH6" i="23"/>
  <c r="AK6" i="23"/>
  <c r="AM6" i="23"/>
  <c r="AN6" i="23"/>
  <c r="AO6" i="23"/>
  <c r="AP6" i="23"/>
  <c r="AQ6" i="23"/>
  <c r="AR6" i="23"/>
  <c r="AS6" i="23"/>
  <c r="AT6" i="23"/>
  <c r="A7" i="23"/>
  <c r="G7" i="23"/>
  <c r="N7" i="23"/>
  <c r="N7" i="23" a="1"/>
  <c r="P7" i="23"/>
  <c r="T7" i="23"/>
  <c r="AH7" i="23"/>
  <c r="AK7" i="23"/>
  <c r="AM7" i="23"/>
  <c r="AN7" i="23"/>
  <c r="AO7" i="23"/>
  <c r="AP7" i="23"/>
  <c r="AQ7" i="23"/>
  <c r="AR7" i="23"/>
  <c r="AS7" i="23"/>
  <c r="AT7" i="23"/>
  <c r="AV7" i="23"/>
  <c r="AW7" i="23"/>
  <c r="AX7" i="23"/>
  <c r="AY7" i="23"/>
  <c r="G8" i="23"/>
  <c r="N8" i="23"/>
  <c r="N8" i="23" a="1"/>
  <c r="P8" i="23"/>
  <c r="T8" i="23"/>
  <c r="V8" i="23"/>
  <c r="W8" i="23"/>
  <c r="Y8" i="23"/>
  <c r="Z8" i="23"/>
  <c r="AH8" i="23"/>
  <c r="AK8" i="23"/>
  <c r="AM8" i="23"/>
  <c r="AN8" i="23"/>
  <c r="AO8" i="23"/>
  <c r="AP8" i="23"/>
  <c r="AQ8" i="23"/>
  <c r="AR8" i="23"/>
  <c r="AS8" i="23"/>
  <c r="AT8" i="23"/>
  <c r="AV8" i="23"/>
  <c r="AW8" i="23"/>
  <c r="AX8" i="23"/>
  <c r="AY8" i="23"/>
  <c r="N9" i="23"/>
  <c r="N9" i="23" a="1"/>
  <c r="P9" i="23"/>
  <c r="AK9" i="23"/>
  <c r="AM9" i="23"/>
  <c r="AN9" i="23"/>
  <c r="AO9" i="23"/>
  <c r="AP9" i="23"/>
  <c r="AQ9" i="23"/>
  <c r="AR9" i="23"/>
  <c r="AS9" i="23"/>
  <c r="AT9" i="23"/>
  <c r="AV9" i="23"/>
  <c r="AW9" i="23"/>
  <c r="AX9" i="23"/>
  <c r="AY9" i="23"/>
  <c r="N10" i="23"/>
  <c r="P10" i="23"/>
  <c r="AH10" i="23"/>
  <c r="AM10" i="23"/>
  <c r="AN10" i="23"/>
  <c r="AO10" i="23"/>
  <c r="AP10" i="23"/>
  <c r="AQ10" i="23"/>
  <c r="AR10" i="23"/>
  <c r="AS10" i="23"/>
  <c r="AT10" i="23"/>
  <c r="AV10" i="23"/>
  <c r="AW10" i="23"/>
  <c r="AX10" i="23"/>
  <c r="AY10" i="23"/>
  <c r="D11" i="23"/>
  <c r="N11" i="23"/>
  <c r="P11" i="23"/>
  <c r="AM11" i="23"/>
  <c r="AN11" i="23"/>
  <c r="AO11" i="23"/>
  <c r="AP11" i="23"/>
  <c r="AQ11" i="23"/>
  <c r="AR11" i="23"/>
  <c r="AS11" i="23"/>
  <c r="AT11" i="23"/>
  <c r="AV11" i="23"/>
  <c r="AW11" i="23"/>
  <c r="AX11" i="23"/>
  <c r="AY11" i="23"/>
  <c r="D12" i="23"/>
  <c r="N12" i="23"/>
  <c r="P12" i="23"/>
  <c r="AH12" i="23"/>
  <c r="AM12" i="23"/>
  <c r="AN12" i="23"/>
  <c r="AO12" i="23"/>
  <c r="AP12" i="23"/>
  <c r="AQ12" i="23"/>
  <c r="AR12" i="23"/>
  <c r="AS12" i="23"/>
  <c r="AT12" i="23"/>
  <c r="AV12" i="23"/>
  <c r="AW12" i="23"/>
  <c r="AX12" i="23"/>
  <c r="AY12" i="23"/>
  <c r="N13" i="23"/>
  <c r="P13" i="23"/>
  <c r="AH13" i="23"/>
  <c r="AM13" i="23"/>
  <c r="AN13" i="23"/>
  <c r="AO13" i="23"/>
  <c r="AP13" i="23"/>
  <c r="AQ13" i="23"/>
  <c r="AR13" i="23"/>
  <c r="AS13" i="23"/>
  <c r="AT13" i="23"/>
  <c r="AV13" i="23"/>
  <c r="AW13" i="23"/>
  <c r="AX13" i="23"/>
  <c r="AY13" i="23"/>
  <c r="N14" i="23"/>
  <c r="P14" i="23"/>
  <c r="S14" i="23"/>
  <c r="T14" i="23"/>
  <c r="AM14" i="23"/>
  <c r="AN14" i="23"/>
  <c r="AO14" i="23"/>
  <c r="AP14" i="23"/>
  <c r="AQ14" i="23"/>
  <c r="AR14" i="23"/>
  <c r="AS14" i="23"/>
  <c r="AT14" i="23"/>
  <c r="AV14" i="23"/>
  <c r="AW14" i="23"/>
  <c r="AX14" i="23"/>
  <c r="AY14" i="23"/>
  <c r="N15" i="23"/>
  <c r="P15" i="23"/>
  <c r="AM15" i="23"/>
  <c r="AN15" i="23"/>
  <c r="AO15" i="23"/>
  <c r="AP15" i="23"/>
  <c r="AQ15" i="23"/>
  <c r="AR15" i="23"/>
  <c r="AS15" i="23"/>
  <c r="AT15" i="23"/>
  <c r="AV15" i="23"/>
  <c r="AW15" i="23"/>
  <c r="AX15" i="23"/>
  <c r="AY15" i="23"/>
  <c r="N16" i="23"/>
  <c r="P16" i="23"/>
  <c r="AV16" i="23"/>
  <c r="AW16" i="23"/>
  <c r="AX16" i="23"/>
  <c r="AY16" i="23"/>
  <c r="N17" i="23"/>
  <c r="P17" i="23"/>
  <c r="AV17" i="23"/>
  <c r="AW17" i="23"/>
  <c r="AX17" i="23"/>
  <c r="AY17" i="23"/>
  <c r="N18" i="23"/>
  <c r="P18" i="23"/>
  <c r="AX18" i="23"/>
  <c r="AY18" i="23"/>
  <c r="N19" i="23"/>
  <c r="P19" i="23"/>
  <c r="S20" i="23"/>
  <c r="T20" i="23"/>
  <c r="AM20" i="23"/>
  <c r="AO20" i="23"/>
  <c r="AV20" i="23"/>
  <c r="AW20" i="23"/>
  <c r="AX20" i="23"/>
  <c r="AY20" i="23"/>
  <c r="DL20" i="23"/>
  <c r="DM20" i="23"/>
  <c r="DN20" i="23"/>
  <c r="D22" i="23"/>
  <c r="F22" i="23"/>
  <c r="G22" i="23"/>
  <c r="H22" i="23"/>
  <c r="I22" i="23"/>
  <c r="K22" i="23"/>
  <c r="L22" i="23"/>
  <c r="N22" i="23"/>
  <c r="O22" i="23"/>
  <c r="P22" i="23"/>
  <c r="Q22" i="23"/>
  <c r="S22" i="23"/>
  <c r="T22" i="23"/>
  <c r="V22" i="23"/>
  <c r="X22" i="23"/>
  <c r="Y22" i="23"/>
  <c r="Z22" i="23"/>
  <c r="AA22" i="23"/>
  <c r="AB22" i="23"/>
  <c r="AC22" i="23"/>
  <c r="AF22" i="23"/>
  <c r="AG22" i="23"/>
  <c r="AH22" i="23"/>
  <c r="AI22" i="23"/>
  <c r="AJ22" i="23"/>
  <c r="AL22" i="23"/>
  <c r="AM22" i="23"/>
  <c r="AN22" i="23"/>
  <c r="AO22" i="23"/>
  <c r="AP22" i="23"/>
  <c r="AQ22" i="23"/>
  <c r="AR22" i="23"/>
  <c r="AS22" i="23"/>
  <c r="AT22" i="23"/>
  <c r="AU22" i="23"/>
  <c r="AV22" i="23"/>
  <c r="AW22" i="23"/>
  <c r="AX22" i="23"/>
  <c r="AY22" i="23"/>
  <c r="BB22" i="23"/>
  <c r="BC22" i="23"/>
  <c r="BD22" i="23"/>
  <c r="BE22" i="23"/>
  <c r="BF22" i="23"/>
  <c r="BG22" i="23"/>
  <c r="BH22" i="23"/>
  <c r="BI22" i="23"/>
  <c r="BJ22" i="23"/>
  <c r="BK22" i="23"/>
  <c r="BL22" i="23"/>
  <c r="BM22" i="23"/>
  <c r="BN22" i="23"/>
  <c r="BO22" i="23"/>
  <c r="CZ22" i="23"/>
  <c r="DA22" i="23"/>
  <c r="DB22" i="23"/>
  <c r="DC22" i="23"/>
  <c r="DD22" i="23"/>
  <c r="DE22" i="23"/>
  <c r="DF22" i="23"/>
  <c r="DG22" i="23"/>
  <c r="DH22" i="23"/>
  <c r="DI22" i="23"/>
  <c r="DJ22" i="23"/>
  <c r="DK22" i="23"/>
  <c r="DL22" i="23"/>
  <c r="DM22" i="23"/>
  <c r="DN22" i="23"/>
  <c r="D23" i="23"/>
  <c r="F23" i="23"/>
  <c r="G23" i="23"/>
  <c r="H23" i="23"/>
  <c r="I23" i="23"/>
  <c r="K23" i="23"/>
  <c r="L23" i="23"/>
  <c r="N23" i="23"/>
  <c r="O23" i="23"/>
  <c r="P23" i="23"/>
  <c r="Q23" i="23"/>
  <c r="S23" i="23"/>
  <c r="T23" i="23"/>
  <c r="V23" i="23"/>
  <c r="X23" i="23"/>
  <c r="Y23" i="23"/>
  <c r="Z23" i="23"/>
  <c r="AA23" i="23"/>
  <c r="AB23" i="23"/>
  <c r="AC23" i="23"/>
  <c r="AF23" i="23"/>
  <c r="AG23" i="23"/>
  <c r="AH23" i="23"/>
  <c r="AI23" i="23"/>
  <c r="AJ23" i="23"/>
  <c r="AL23" i="23"/>
  <c r="AM23" i="23"/>
  <c r="AN23" i="23"/>
  <c r="AO23" i="23"/>
  <c r="AP23" i="23"/>
  <c r="AQ23" i="23"/>
  <c r="AR23" i="23"/>
  <c r="AS23" i="23"/>
  <c r="AT23" i="23"/>
  <c r="AU23" i="23"/>
  <c r="AV23" i="23"/>
  <c r="AW23" i="23"/>
  <c r="AX23" i="23"/>
  <c r="AY23" i="23"/>
  <c r="BB23" i="23"/>
  <c r="BC23" i="23"/>
  <c r="BD23" i="23"/>
  <c r="BE23" i="23"/>
  <c r="BF23" i="23"/>
  <c r="BG23" i="23"/>
  <c r="BH23" i="23"/>
  <c r="BI23" i="23"/>
  <c r="BJ23" i="23"/>
  <c r="BK23" i="23"/>
  <c r="BL23" i="23"/>
  <c r="BM23" i="23"/>
  <c r="BN23" i="23"/>
  <c r="BO23" i="23"/>
  <c r="CZ23" i="23"/>
  <c r="DA23" i="23"/>
  <c r="DB23" i="23"/>
  <c r="DC23" i="23"/>
  <c r="DD23" i="23"/>
  <c r="DE23" i="23"/>
  <c r="DF23" i="23"/>
  <c r="DG23" i="23"/>
  <c r="DH23" i="23"/>
  <c r="DI23" i="23"/>
  <c r="DJ23" i="23"/>
  <c r="DK23" i="23"/>
  <c r="DL23" i="23"/>
  <c r="DM23" i="23"/>
  <c r="DN23" i="23"/>
  <c r="D24" i="23"/>
  <c r="F24" i="23"/>
  <c r="G24" i="23"/>
  <c r="H24" i="23"/>
  <c r="I24" i="23"/>
  <c r="K24" i="23"/>
  <c r="L24" i="23"/>
  <c r="N24" i="23"/>
  <c r="O24" i="23"/>
  <c r="P24" i="23"/>
  <c r="Q24" i="23"/>
  <c r="S24" i="23"/>
  <c r="T24" i="23"/>
  <c r="V24" i="23"/>
  <c r="X24" i="23"/>
  <c r="Y24" i="23"/>
  <c r="Z24" i="23"/>
  <c r="AA24" i="23"/>
  <c r="AB24" i="23"/>
  <c r="AC24" i="23"/>
  <c r="AF24" i="23"/>
  <c r="AG24" i="23"/>
  <c r="AH24" i="23"/>
  <c r="AI24" i="23"/>
  <c r="AJ24" i="23"/>
  <c r="AL24" i="23"/>
  <c r="AM24" i="23"/>
  <c r="AN24" i="23"/>
  <c r="AO24" i="23"/>
  <c r="AP24" i="23"/>
  <c r="AQ24" i="23"/>
  <c r="AR24" i="23"/>
  <c r="AS24" i="23"/>
  <c r="AT24" i="23"/>
  <c r="AU24" i="23"/>
  <c r="AV24" i="23"/>
  <c r="AW24" i="23"/>
  <c r="AX24" i="23"/>
  <c r="AY24" i="23"/>
  <c r="BB24" i="23"/>
  <c r="BC24" i="23"/>
  <c r="BD24" i="23"/>
  <c r="BE24" i="23"/>
  <c r="BF24" i="23"/>
  <c r="BG24" i="23"/>
  <c r="BH24" i="23"/>
  <c r="BI24" i="23"/>
  <c r="BJ24" i="23"/>
  <c r="BK24" i="23"/>
  <c r="BL24" i="23"/>
  <c r="BM24" i="23"/>
  <c r="BN24" i="23"/>
  <c r="BO24" i="23"/>
  <c r="CZ24" i="23"/>
  <c r="DA24" i="23"/>
  <c r="DB24" i="23"/>
  <c r="DC24" i="23"/>
  <c r="DD24" i="23"/>
  <c r="DE24" i="23"/>
  <c r="DF24" i="23"/>
  <c r="DG24" i="23"/>
  <c r="DH24" i="23"/>
  <c r="DI24" i="23"/>
  <c r="DJ24" i="23"/>
  <c r="DK24" i="23"/>
  <c r="DL24" i="23"/>
  <c r="DM24" i="23"/>
  <c r="DN24" i="23"/>
  <c r="D25" i="23"/>
  <c r="F25" i="23"/>
  <c r="G25" i="23"/>
  <c r="H25" i="23"/>
  <c r="I25" i="23"/>
  <c r="K25" i="23"/>
  <c r="L25" i="23"/>
  <c r="N25" i="23"/>
  <c r="O25" i="23"/>
  <c r="P25" i="23"/>
  <c r="Q25" i="23"/>
  <c r="S25" i="23"/>
  <c r="T25" i="23"/>
  <c r="V25" i="23"/>
  <c r="X25" i="23"/>
  <c r="Y25" i="23"/>
  <c r="Z25" i="23"/>
  <c r="AA25" i="23"/>
  <c r="AB25" i="23"/>
  <c r="AC25" i="23"/>
  <c r="AF25" i="23"/>
  <c r="AG25" i="23"/>
  <c r="AH25" i="23"/>
  <c r="AI25" i="23"/>
  <c r="AJ25" i="23"/>
  <c r="AL25" i="23"/>
  <c r="AM25" i="23"/>
  <c r="AN25" i="23"/>
  <c r="AO25" i="23"/>
  <c r="AP25" i="23"/>
  <c r="AQ25" i="23"/>
  <c r="AR25" i="23"/>
  <c r="AS25" i="23"/>
  <c r="AT25" i="23"/>
  <c r="AU25" i="23"/>
  <c r="AV25" i="23"/>
  <c r="AW25" i="23"/>
  <c r="AX25" i="23"/>
  <c r="AY25" i="23"/>
  <c r="BB25" i="23"/>
  <c r="BC25" i="23"/>
  <c r="BD25" i="23"/>
  <c r="BE25" i="23"/>
  <c r="BF25" i="23"/>
  <c r="BG25" i="23"/>
  <c r="BH25" i="23"/>
  <c r="BI25" i="23"/>
  <c r="BJ25" i="23"/>
  <c r="BK25" i="23"/>
  <c r="BL25" i="23"/>
  <c r="BM25" i="23"/>
  <c r="BN25" i="23"/>
  <c r="BO25" i="23"/>
  <c r="CZ25" i="23"/>
  <c r="DA25" i="23"/>
  <c r="DB25" i="23"/>
  <c r="DC25" i="23"/>
  <c r="DD25" i="23"/>
  <c r="DE25" i="23"/>
  <c r="DF25" i="23"/>
  <c r="DG25" i="23"/>
  <c r="DH25" i="23"/>
  <c r="DI25" i="23"/>
  <c r="DJ25" i="23"/>
  <c r="DK25" i="23"/>
  <c r="DL25" i="23"/>
  <c r="DM25" i="23"/>
  <c r="DN25" i="23"/>
  <c r="D26" i="23"/>
  <c r="F26" i="23"/>
  <c r="G26" i="23"/>
  <c r="H26" i="23"/>
  <c r="I26" i="23"/>
  <c r="K26" i="23"/>
  <c r="L26" i="23"/>
  <c r="N26" i="23"/>
  <c r="O26" i="23"/>
  <c r="P26" i="23"/>
  <c r="Q26" i="23"/>
  <c r="S26" i="23"/>
  <c r="T26" i="23"/>
  <c r="V26" i="23"/>
  <c r="X26" i="23"/>
  <c r="Y26" i="23"/>
  <c r="Z26" i="23"/>
  <c r="AA26" i="23"/>
  <c r="AB26" i="23"/>
  <c r="AC26" i="23"/>
  <c r="AF26" i="23"/>
  <c r="AG26" i="23"/>
  <c r="AH26" i="23"/>
  <c r="AI26" i="23"/>
  <c r="AJ26" i="23"/>
  <c r="AL26" i="23"/>
  <c r="AM26" i="23"/>
  <c r="AN26" i="23"/>
  <c r="AO26" i="23"/>
  <c r="AP26" i="23"/>
  <c r="AQ26" i="23"/>
  <c r="AR26" i="23"/>
  <c r="AS26" i="23"/>
  <c r="AT26" i="23"/>
  <c r="AU26" i="23"/>
  <c r="AV26" i="23"/>
  <c r="AW26" i="23"/>
  <c r="AX26" i="23"/>
  <c r="AY26" i="23"/>
  <c r="BB26" i="23"/>
  <c r="BC26" i="23"/>
  <c r="BD26" i="23"/>
  <c r="BE26" i="23"/>
  <c r="BF26" i="23"/>
  <c r="BG26" i="23"/>
  <c r="BH26" i="23"/>
  <c r="BI26" i="23"/>
  <c r="BJ26" i="23"/>
  <c r="BK26" i="23"/>
  <c r="BL26" i="23"/>
  <c r="BM26" i="23"/>
  <c r="BN26" i="23"/>
  <c r="BO26" i="23"/>
  <c r="CZ26" i="23"/>
  <c r="DA26" i="23"/>
  <c r="DB26" i="23"/>
  <c r="DC26" i="23"/>
  <c r="DD26" i="23"/>
  <c r="DE26" i="23"/>
  <c r="DF26" i="23"/>
  <c r="DG26" i="23"/>
  <c r="DH26" i="23"/>
  <c r="DI26" i="23"/>
  <c r="DJ26" i="23"/>
  <c r="DK26" i="23"/>
  <c r="DL26" i="23"/>
  <c r="DM26" i="23"/>
  <c r="DN26" i="23"/>
  <c r="D27" i="23"/>
  <c r="F27" i="23"/>
  <c r="G27" i="23"/>
  <c r="H27" i="23"/>
  <c r="I27" i="23"/>
  <c r="K27" i="23"/>
  <c r="L27" i="23"/>
  <c r="N27" i="23"/>
  <c r="O27" i="23"/>
  <c r="P27" i="23"/>
  <c r="Q27" i="23"/>
  <c r="S27" i="23"/>
  <c r="T27" i="23"/>
  <c r="V27" i="23"/>
  <c r="X27" i="23"/>
  <c r="Y27" i="23"/>
  <c r="Z27" i="23"/>
  <c r="AA27" i="23"/>
  <c r="AB27" i="23"/>
  <c r="AC27" i="23"/>
  <c r="AF27" i="23"/>
  <c r="AG27" i="23"/>
  <c r="AH27" i="23"/>
  <c r="AI27" i="23"/>
  <c r="AJ27" i="23"/>
  <c r="AL27" i="23"/>
  <c r="AM27" i="23"/>
  <c r="AN27" i="23"/>
  <c r="AO27" i="23"/>
  <c r="AP27" i="23"/>
  <c r="AQ27" i="23"/>
  <c r="AR27" i="23"/>
  <c r="AS27" i="23"/>
  <c r="AT27" i="23"/>
  <c r="AU27" i="23"/>
  <c r="AV27" i="23"/>
  <c r="AW27" i="23"/>
  <c r="AX27" i="23"/>
  <c r="AY27" i="23"/>
  <c r="BB27" i="23"/>
  <c r="BC27" i="23"/>
  <c r="BD27" i="23"/>
  <c r="BE27" i="23"/>
  <c r="BF27" i="23"/>
  <c r="BG27" i="23"/>
  <c r="BH27" i="23"/>
  <c r="BI27" i="23"/>
  <c r="BJ27" i="23"/>
  <c r="BK27" i="23"/>
  <c r="BL27" i="23"/>
  <c r="BM27" i="23"/>
  <c r="BN27" i="23"/>
  <c r="BO27" i="23"/>
  <c r="CZ27" i="23"/>
  <c r="DA27" i="23"/>
  <c r="DB27" i="23"/>
  <c r="DC27" i="23"/>
  <c r="DD27" i="23"/>
  <c r="DE27" i="23"/>
  <c r="DF27" i="23"/>
  <c r="DG27" i="23"/>
  <c r="DH27" i="23"/>
  <c r="DI27" i="23"/>
  <c r="DJ27" i="23"/>
  <c r="DK27" i="23"/>
  <c r="DL27" i="23"/>
  <c r="DM27" i="23"/>
  <c r="DN27" i="23"/>
  <c r="D28" i="23"/>
  <c r="F28" i="23"/>
  <c r="G28" i="23"/>
  <c r="H28" i="23"/>
  <c r="I28" i="23"/>
  <c r="K28" i="23"/>
  <c r="L28" i="23"/>
  <c r="N28" i="23"/>
  <c r="O28" i="23"/>
  <c r="P28" i="23"/>
  <c r="Q28" i="23"/>
  <c r="S28" i="23"/>
  <c r="T28" i="23"/>
  <c r="V28" i="23"/>
  <c r="X28" i="23"/>
  <c r="Y28" i="23"/>
  <c r="Z28" i="23"/>
  <c r="AA28" i="23"/>
  <c r="AB28" i="23"/>
  <c r="AC28" i="23"/>
  <c r="AF28" i="23"/>
  <c r="AG28" i="23"/>
  <c r="AH28" i="23"/>
  <c r="AI28" i="23"/>
  <c r="AJ28" i="23"/>
  <c r="AL28" i="23"/>
  <c r="AM28" i="23"/>
  <c r="AN28" i="23"/>
  <c r="AO28" i="23"/>
  <c r="AP28" i="23"/>
  <c r="AQ28" i="23"/>
  <c r="AR28" i="23"/>
  <c r="AS28" i="23"/>
  <c r="AT28" i="23"/>
  <c r="AU28" i="23"/>
  <c r="AV28" i="23"/>
  <c r="AW28" i="23"/>
  <c r="AX28" i="23"/>
  <c r="AY28" i="23"/>
  <c r="BB28" i="23"/>
  <c r="BC28" i="23"/>
  <c r="BD28" i="23"/>
  <c r="BE28" i="23"/>
  <c r="BF28" i="23"/>
  <c r="BG28" i="23"/>
  <c r="BH28" i="23"/>
  <c r="BI28" i="23"/>
  <c r="BJ28" i="23"/>
  <c r="BK28" i="23"/>
  <c r="BL28" i="23"/>
  <c r="BM28" i="23"/>
  <c r="BN28" i="23"/>
  <c r="BO28" i="23"/>
  <c r="CZ28" i="23"/>
  <c r="DA28" i="23"/>
  <c r="DB28" i="23"/>
  <c r="DC28" i="23"/>
  <c r="DD28" i="23"/>
  <c r="DE28" i="23"/>
  <c r="DF28" i="23"/>
  <c r="DG28" i="23"/>
  <c r="DH28" i="23"/>
  <c r="DI28" i="23"/>
  <c r="DJ28" i="23"/>
  <c r="DK28" i="23"/>
  <c r="DL28" i="23"/>
  <c r="DM28" i="23"/>
  <c r="DN28" i="23"/>
  <c r="D29" i="23"/>
  <c r="F29" i="23"/>
  <c r="G29" i="23"/>
  <c r="H29" i="23"/>
  <c r="I29" i="23"/>
  <c r="K29" i="23"/>
  <c r="L29" i="23"/>
  <c r="N29" i="23"/>
  <c r="O29" i="23"/>
  <c r="P29" i="23"/>
  <c r="Q29" i="23"/>
  <c r="S29" i="23"/>
  <c r="T29" i="23"/>
  <c r="V29" i="23"/>
  <c r="X29" i="23"/>
  <c r="Y29" i="23"/>
  <c r="Z29" i="23"/>
  <c r="AA29" i="23"/>
  <c r="AB29" i="23"/>
  <c r="AC29" i="23"/>
  <c r="AF29" i="23"/>
  <c r="AG29" i="23"/>
  <c r="AH29" i="23"/>
  <c r="AI29" i="23"/>
  <c r="AJ29" i="23"/>
  <c r="AL29" i="23"/>
  <c r="AM29" i="23"/>
  <c r="AN29" i="23"/>
  <c r="AO29" i="23"/>
  <c r="AP29" i="23"/>
  <c r="AQ29" i="23"/>
  <c r="AR29" i="23"/>
  <c r="AS29" i="23"/>
  <c r="AT29" i="23"/>
  <c r="AU29" i="23"/>
  <c r="AV29" i="23"/>
  <c r="AW29" i="23"/>
  <c r="AX29" i="23"/>
  <c r="AY29" i="23"/>
  <c r="BB29" i="23"/>
  <c r="BC29" i="23"/>
  <c r="BD29" i="23"/>
  <c r="BE29" i="23"/>
  <c r="BF29" i="23"/>
  <c r="BG29" i="23"/>
  <c r="BH29" i="23"/>
  <c r="BI29" i="23"/>
  <c r="BJ29" i="23"/>
  <c r="BK29" i="23"/>
  <c r="BL29" i="23"/>
  <c r="BM29" i="23"/>
  <c r="BN29" i="23"/>
  <c r="BO29" i="23"/>
  <c r="CZ29" i="23"/>
  <c r="DA29" i="23"/>
  <c r="DB29" i="23"/>
  <c r="DC29" i="23"/>
  <c r="DD29" i="23"/>
  <c r="DE29" i="23"/>
  <c r="DF29" i="23"/>
  <c r="DG29" i="23"/>
  <c r="DH29" i="23"/>
  <c r="DI29" i="23"/>
  <c r="DJ29" i="23"/>
  <c r="DK29" i="23"/>
  <c r="DL29" i="23"/>
  <c r="DM29" i="23"/>
  <c r="DN29" i="23"/>
  <c r="D30" i="23"/>
  <c r="F30" i="23"/>
  <c r="G30" i="23"/>
  <c r="H30" i="23"/>
  <c r="I30" i="23"/>
  <c r="K30" i="23"/>
  <c r="L30" i="23"/>
  <c r="N30" i="23"/>
  <c r="O30" i="23"/>
  <c r="P30" i="23"/>
  <c r="Q30" i="23"/>
  <c r="S30" i="23"/>
  <c r="T30" i="23"/>
  <c r="V30" i="23"/>
  <c r="X30" i="23"/>
  <c r="Y30" i="23"/>
  <c r="Z30" i="23"/>
  <c r="AA30" i="23"/>
  <c r="AB30" i="23"/>
  <c r="AC30" i="23"/>
  <c r="AF30" i="23"/>
  <c r="AG30" i="23"/>
  <c r="AH30" i="23"/>
  <c r="AI30" i="23"/>
  <c r="AJ30" i="23"/>
  <c r="AL30" i="23"/>
  <c r="AM30" i="23"/>
  <c r="AN30" i="23"/>
  <c r="AO30" i="23"/>
  <c r="AP30" i="23"/>
  <c r="AQ30" i="23"/>
  <c r="AR30" i="23"/>
  <c r="AS30" i="23"/>
  <c r="AT30" i="23"/>
  <c r="AU30" i="23"/>
  <c r="AV30" i="23"/>
  <c r="AW30" i="23"/>
  <c r="AX30" i="23"/>
  <c r="AY30" i="23"/>
  <c r="BB30" i="23"/>
  <c r="BC30" i="23"/>
  <c r="BD30" i="23"/>
  <c r="BE30" i="23"/>
  <c r="BF30" i="23"/>
  <c r="BG30" i="23"/>
  <c r="BH30" i="23"/>
  <c r="BI30" i="23"/>
  <c r="BJ30" i="23"/>
  <c r="BK30" i="23"/>
  <c r="BL30" i="23"/>
  <c r="BM30" i="23"/>
  <c r="BN30" i="23"/>
  <c r="BO30" i="23"/>
  <c r="CZ30" i="23"/>
  <c r="DA30" i="23"/>
  <c r="DB30" i="23"/>
  <c r="DC30" i="23"/>
  <c r="DD30" i="23"/>
  <c r="DE30" i="23"/>
  <c r="DF30" i="23"/>
  <c r="DG30" i="23"/>
  <c r="DH30" i="23"/>
  <c r="DI30" i="23"/>
  <c r="DJ30" i="23"/>
  <c r="DK30" i="23"/>
  <c r="DL30" i="23"/>
  <c r="DM30" i="23"/>
  <c r="DN30" i="23"/>
  <c r="D31" i="23"/>
  <c r="F31" i="23"/>
  <c r="G31" i="23"/>
  <c r="H31" i="23"/>
  <c r="I31" i="23"/>
  <c r="K31" i="23"/>
  <c r="L31" i="23"/>
  <c r="N31" i="23"/>
  <c r="O31" i="23"/>
  <c r="P31" i="23"/>
  <c r="Q31" i="23"/>
  <c r="S31" i="23"/>
  <c r="T31" i="23"/>
  <c r="V31" i="23"/>
  <c r="X31" i="23"/>
  <c r="Y31" i="23"/>
  <c r="Z31" i="23"/>
  <c r="AA31" i="23"/>
  <c r="AB31" i="23"/>
  <c r="AC31" i="23"/>
  <c r="AF31" i="23"/>
  <c r="AG31" i="23"/>
  <c r="AH31" i="23"/>
  <c r="AI31" i="23"/>
  <c r="AJ31" i="23"/>
  <c r="AL31" i="23"/>
  <c r="AM31" i="23"/>
  <c r="AN31" i="23"/>
  <c r="AO31" i="23"/>
  <c r="AP31" i="23"/>
  <c r="AQ31" i="23"/>
  <c r="AR31" i="23"/>
  <c r="AS31" i="23"/>
  <c r="AT31" i="23"/>
  <c r="AU31" i="23"/>
  <c r="AV31" i="23"/>
  <c r="AW31" i="23"/>
  <c r="AX31" i="23"/>
  <c r="AY31" i="23"/>
  <c r="BB31" i="23"/>
  <c r="BC31" i="23"/>
  <c r="BD31" i="23"/>
  <c r="BE31" i="23"/>
  <c r="BF31" i="23"/>
  <c r="BG31" i="23"/>
  <c r="BH31" i="23"/>
  <c r="BI31" i="23"/>
  <c r="BJ31" i="23"/>
  <c r="BK31" i="23"/>
  <c r="BL31" i="23"/>
  <c r="BM31" i="23"/>
  <c r="BN31" i="23"/>
  <c r="BO31" i="23"/>
  <c r="CZ31" i="23"/>
  <c r="DA31" i="23"/>
  <c r="DB31" i="23"/>
  <c r="DC31" i="23"/>
  <c r="DD31" i="23"/>
  <c r="DE31" i="23"/>
  <c r="DF31" i="23"/>
  <c r="DG31" i="23"/>
  <c r="DH31" i="23"/>
  <c r="DI31" i="23"/>
  <c r="DJ31" i="23"/>
  <c r="DK31" i="23"/>
  <c r="DL31" i="23"/>
  <c r="DM31" i="23"/>
  <c r="DN31" i="23"/>
  <c r="D32" i="23"/>
  <c r="F32" i="23"/>
  <c r="G32" i="23"/>
  <c r="H32" i="23"/>
  <c r="I32" i="23"/>
  <c r="K32" i="23"/>
  <c r="L32" i="23"/>
  <c r="N32" i="23"/>
  <c r="O32" i="23"/>
  <c r="P32" i="23"/>
  <c r="Q32" i="23"/>
  <c r="S32" i="23"/>
  <c r="T32" i="23"/>
  <c r="V32" i="23"/>
  <c r="X32" i="23"/>
  <c r="Y32" i="23"/>
  <c r="Z32" i="23"/>
  <c r="AA32" i="23"/>
  <c r="AB32" i="23"/>
  <c r="AC32" i="23"/>
  <c r="AF32" i="23"/>
  <c r="AG32" i="23"/>
  <c r="AH32" i="23"/>
  <c r="AI32" i="23"/>
  <c r="AJ32" i="23"/>
  <c r="AL32" i="23"/>
  <c r="AM32" i="23"/>
  <c r="AN32" i="23"/>
  <c r="AO32" i="23"/>
  <c r="AP32" i="23"/>
  <c r="AQ32" i="23"/>
  <c r="AR32" i="23"/>
  <c r="AS32" i="23"/>
  <c r="AT32" i="23"/>
  <c r="AU32" i="23"/>
  <c r="AV32" i="23"/>
  <c r="AW32" i="23"/>
  <c r="AX32" i="23"/>
  <c r="AY32" i="23"/>
  <c r="BB32" i="23"/>
  <c r="BC32" i="23"/>
  <c r="BD32" i="23"/>
  <c r="BE32" i="23"/>
  <c r="BF32" i="23"/>
  <c r="BG32" i="23"/>
  <c r="BH32" i="23"/>
  <c r="BI32" i="23"/>
  <c r="BJ32" i="23"/>
  <c r="BK32" i="23"/>
  <c r="BL32" i="23"/>
  <c r="BM32" i="23"/>
  <c r="BN32" i="23"/>
  <c r="BO32" i="23"/>
  <c r="CZ32" i="23"/>
  <c r="DA32" i="23"/>
  <c r="DB32" i="23"/>
  <c r="DC32" i="23"/>
  <c r="DD32" i="23"/>
  <c r="DE32" i="23"/>
  <c r="DF32" i="23"/>
  <c r="DG32" i="23"/>
  <c r="DH32" i="23"/>
  <c r="DI32" i="23"/>
  <c r="DJ32" i="23"/>
  <c r="DK32" i="23"/>
  <c r="DL32" i="23"/>
  <c r="DM32" i="23"/>
  <c r="DN32" i="23"/>
  <c r="D33" i="23"/>
  <c r="F33" i="23"/>
  <c r="G33" i="23"/>
  <c r="H33" i="23"/>
  <c r="I33" i="23"/>
  <c r="K33" i="23"/>
  <c r="L33" i="23"/>
  <c r="N33" i="23"/>
  <c r="O33" i="23"/>
  <c r="P33" i="23"/>
  <c r="Q33" i="23"/>
  <c r="S33" i="23"/>
  <c r="T33" i="23"/>
  <c r="V33" i="23"/>
  <c r="X33" i="23"/>
  <c r="Y33" i="23"/>
  <c r="Z33" i="23"/>
  <c r="AA33" i="23"/>
  <c r="AB33" i="23"/>
  <c r="AC33" i="23"/>
  <c r="AF33" i="23"/>
  <c r="AG33" i="23"/>
  <c r="AH33" i="23"/>
  <c r="AI33" i="23"/>
  <c r="AJ33" i="23"/>
  <c r="AL33" i="23"/>
  <c r="AM33" i="23"/>
  <c r="AN33" i="23"/>
  <c r="AO33" i="23"/>
  <c r="AP33" i="23"/>
  <c r="AQ33" i="23"/>
  <c r="AR33" i="23"/>
  <c r="AS33" i="23"/>
  <c r="AT33" i="23"/>
  <c r="AU33" i="23"/>
  <c r="AV33" i="23"/>
  <c r="AW33" i="23"/>
  <c r="AX33" i="23"/>
  <c r="AY33" i="23"/>
  <c r="BB33" i="23"/>
  <c r="BC33" i="23"/>
  <c r="BD33" i="23"/>
  <c r="BE33" i="23"/>
  <c r="BF33" i="23"/>
  <c r="BG33" i="23"/>
  <c r="BH33" i="23"/>
  <c r="BI33" i="23"/>
  <c r="BJ33" i="23"/>
  <c r="BK33" i="23"/>
  <c r="BL33" i="23"/>
  <c r="BM33" i="23"/>
  <c r="BN33" i="23"/>
  <c r="BO33" i="23"/>
  <c r="CZ33" i="23"/>
  <c r="DA33" i="23"/>
  <c r="DB33" i="23"/>
  <c r="DC33" i="23"/>
  <c r="DD33" i="23"/>
  <c r="DE33" i="23"/>
  <c r="DF33" i="23"/>
  <c r="DG33" i="23"/>
  <c r="DH33" i="23"/>
  <c r="DI33" i="23"/>
  <c r="DJ33" i="23"/>
  <c r="DK33" i="23"/>
  <c r="DL33" i="23"/>
  <c r="DM33" i="23"/>
  <c r="DN33" i="23"/>
  <c r="D34" i="23"/>
  <c r="F34" i="23"/>
  <c r="G34" i="23"/>
  <c r="H34" i="23"/>
  <c r="I34" i="23"/>
  <c r="K34" i="23"/>
  <c r="L34" i="23"/>
  <c r="N34" i="23"/>
  <c r="O34" i="23"/>
  <c r="P34" i="23"/>
  <c r="Q34" i="23"/>
  <c r="S34" i="23"/>
  <c r="T34" i="23"/>
  <c r="V34" i="23"/>
  <c r="X34" i="23"/>
  <c r="Y34" i="23"/>
  <c r="Z34" i="23"/>
  <c r="AA34" i="23"/>
  <c r="AB34" i="23"/>
  <c r="AC34" i="23"/>
  <c r="AF34" i="23"/>
  <c r="AG34" i="23"/>
  <c r="AH34" i="23"/>
  <c r="AI34" i="23"/>
  <c r="AJ34" i="23"/>
  <c r="AL34" i="23"/>
  <c r="AM34" i="23"/>
  <c r="AN34" i="23"/>
  <c r="AO34" i="23"/>
  <c r="AP34" i="23"/>
  <c r="AQ34" i="23"/>
  <c r="AR34" i="23"/>
  <c r="AS34" i="23"/>
  <c r="AT34" i="23"/>
  <c r="AU34" i="23"/>
  <c r="AV34" i="23"/>
  <c r="AW34" i="23"/>
  <c r="AX34" i="23"/>
  <c r="AY34" i="23"/>
  <c r="BB34" i="23"/>
  <c r="BC34" i="23"/>
  <c r="BD34" i="23"/>
  <c r="BE34" i="23"/>
  <c r="BF34" i="23"/>
  <c r="BG34" i="23"/>
  <c r="BH34" i="23"/>
  <c r="BI34" i="23"/>
  <c r="BJ34" i="23"/>
  <c r="BK34" i="23"/>
  <c r="BL34" i="23"/>
  <c r="BM34" i="23"/>
  <c r="BN34" i="23"/>
  <c r="BO34" i="23"/>
  <c r="CZ34" i="23"/>
  <c r="DA34" i="23"/>
  <c r="DB34" i="23"/>
  <c r="DC34" i="23"/>
  <c r="DD34" i="23"/>
  <c r="DE34" i="23"/>
  <c r="DF34" i="23"/>
  <c r="DG34" i="23"/>
  <c r="DH34" i="23"/>
  <c r="DI34" i="23"/>
  <c r="DJ34" i="23"/>
  <c r="DK34" i="23"/>
  <c r="DL34" i="23"/>
  <c r="DM34" i="23"/>
  <c r="DN34" i="23"/>
  <c r="F1" i="51"/>
  <c r="AV1" i="51"/>
  <c r="A2" i="51"/>
  <c r="F2" i="51"/>
  <c r="G2" i="51"/>
  <c r="N2" i="51"/>
  <c r="AV2" i="51"/>
  <c r="AW2" i="51"/>
  <c r="AX2" i="51"/>
  <c r="AY2" i="51"/>
  <c r="BW2" i="51"/>
  <c r="BX2" i="51"/>
  <c r="BY2" i="51"/>
  <c r="BZ2" i="51"/>
  <c r="CA2" i="51"/>
  <c r="CB2" i="51"/>
  <c r="CC2" i="51"/>
  <c r="CD2" i="51"/>
  <c r="CE2" i="51"/>
  <c r="CF2" i="51"/>
  <c r="CG2" i="51"/>
  <c r="CH2" i="51"/>
  <c r="CI2" i="51"/>
  <c r="CJ2" i="51"/>
  <c r="CK2" i="51"/>
  <c r="CL2" i="51"/>
  <c r="CM2" i="51"/>
  <c r="CN2" i="51"/>
  <c r="CO2" i="51"/>
  <c r="CP2" i="51"/>
  <c r="CQ2" i="51"/>
  <c r="CR2" i="51"/>
  <c r="CS2" i="51"/>
  <c r="CT2" i="51"/>
  <c r="CU2" i="51"/>
  <c r="CV2" i="51"/>
  <c r="CW2" i="51"/>
  <c r="CX2" i="51"/>
  <c r="A3" i="51"/>
  <c r="AH3" i="51"/>
  <c r="AK3" i="51"/>
  <c r="AV3" i="51"/>
  <c r="AW3" i="51"/>
  <c r="AX3" i="51"/>
  <c r="AY3" i="51"/>
  <c r="A4" i="51"/>
  <c r="N4" i="51"/>
  <c r="P4" i="51"/>
  <c r="T4" i="51"/>
  <c r="V4" i="51"/>
  <c r="W4" i="51"/>
  <c r="AH4" i="51"/>
  <c r="AK4" i="51"/>
  <c r="AM4" i="51"/>
  <c r="AN4" i="51"/>
  <c r="AO4" i="51"/>
  <c r="AP4" i="51"/>
  <c r="AQ4" i="51"/>
  <c r="AR4" i="51"/>
  <c r="AS4" i="51"/>
  <c r="AT4" i="51"/>
  <c r="AV4" i="51"/>
  <c r="AW4" i="51"/>
  <c r="AX4" i="51"/>
  <c r="AY4" i="51"/>
  <c r="A5" i="51"/>
  <c r="G5" i="51"/>
  <c r="N5" i="51"/>
  <c r="P5" i="51"/>
  <c r="T5" i="51"/>
  <c r="V5" i="51"/>
  <c r="W5" i="51"/>
  <c r="AH5" i="51"/>
  <c r="AK5" i="51"/>
  <c r="AM5" i="51"/>
  <c r="AN5" i="51"/>
  <c r="AO5" i="51"/>
  <c r="AP5" i="51"/>
  <c r="AQ5" i="51"/>
  <c r="AR5" i="51"/>
  <c r="AS5" i="51"/>
  <c r="AT5" i="51"/>
  <c r="AV5" i="51"/>
  <c r="AW5" i="51"/>
  <c r="AX5" i="51"/>
  <c r="AY5" i="51"/>
  <c r="BV5" i="51"/>
  <c r="A6" i="51"/>
  <c r="N6" i="51"/>
  <c r="P6" i="51"/>
  <c r="T6" i="51"/>
  <c r="V6" i="51"/>
  <c r="W6" i="51"/>
  <c r="AH6" i="51"/>
  <c r="AK6" i="51"/>
  <c r="AM6" i="51"/>
  <c r="AN6" i="51"/>
  <c r="AO6" i="51"/>
  <c r="AP6" i="51"/>
  <c r="AQ6" i="51"/>
  <c r="AR6" i="51"/>
  <c r="AS6" i="51"/>
  <c r="AT6" i="51"/>
  <c r="A7" i="51"/>
  <c r="G7" i="51"/>
  <c r="N7" i="51"/>
  <c r="N7" i="51" a="1"/>
  <c r="P7" i="51"/>
  <c r="T7" i="51"/>
  <c r="AH7" i="51"/>
  <c r="AK7" i="51"/>
  <c r="AM7" i="51"/>
  <c r="AN7" i="51"/>
  <c r="AO7" i="51"/>
  <c r="AP7" i="51"/>
  <c r="AQ7" i="51"/>
  <c r="AR7" i="51"/>
  <c r="AS7" i="51"/>
  <c r="AT7" i="51"/>
  <c r="AV7" i="51"/>
  <c r="AW7" i="51"/>
  <c r="AX7" i="51"/>
  <c r="AY7" i="51"/>
  <c r="G8" i="51"/>
  <c r="N8" i="51"/>
  <c r="N8" i="51" a="1"/>
  <c r="P8" i="51"/>
  <c r="T8" i="51"/>
  <c r="V8" i="51"/>
  <c r="W8" i="51"/>
  <c r="Y8" i="51"/>
  <c r="Z8" i="51"/>
  <c r="AH8" i="51"/>
  <c r="AK8" i="51"/>
  <c r="AM8" i="51"/>
  <c r="AN8" i="51"/>
  <c r="AO8" i="51"/>
  <c r="AP8" i="51"/>
  <c r="AQ8" i="51"/>
  <c r="AR8" i="51"/>
  <c r="AS8" i="51"/>
  <c r="AT8" i="51"/>
  <c r="AV8" i="51"/>
  <c r="AW8" i="51"/>
  <c r="AX8" i="51"/>
  <c r="AY8" i="51"/>
  <c r="N9" i="51"/>
  <c r="N9" i="51" a="1"/>
  <c r="P9" i="51"/>
  <c r="AK9" i="51"/>
  <c r="AM9" i="51"/>
  <c r="AN9" i="51"/>
  <c r="AO9" i="51"/>
  <c r="AP9" i="51"/>
  <c r="AQ9" i="51"/>
  <c r="AR9" i="51"/>
  <c r="AS9" i="51"/>
  <c r="AT9" i="51"/>
  <c r="AV9" i="51"/>
  <c r="AW9" i="51"/>
  <c r="AX9" i="51"/>
  <c r="AY9" i="51"/>
  <c r="K10" i="51"/>
  <c r="N10" i="51"/>
  <c r="P10" i="51"/>
  <c r="AH10" i="51"/>
  <c r="AM10" i="51"/>
  <c r="AN10" i="51"/>
  <c r="AO10" i="51"/>
  <c r="AP10" i="51"/>
  <c r="AQ10" i="51"/>
  <c r="AR10" i="51"/>
  <c r="AS10" i="51"/>
  <c r="AT10" i="51"/>
  <c r="AV10" i="51"/>
  <c r="AW10" i="51"/>
  <c r="AX10" i="51"/>
  <c r="AY10" i="51"/>
  <c r="D11" i="51"/>
  <c r="K11" i="51"/>
  <c r="N11" i="51"/>
  <c r="P11" i="51"/>
  <c r="AM11" i="51"/>
  <c r="AN11" i="51"/>
  <c r="AO11" i="51"/>
  <c r="AP11" i="51"/>
  <c r="AQ11" i="51"/>
  <c r="AR11" i="51"/>
  <c r="AS11" i="51"/>
  <c r="AT11" i="51"/>
  <c r="AV11" i="51"/>
  <c r="AW11" i="51"/>
  <c r="AX11" i="51"/>
  <c r="AY11" i="51"/>
  <c r="D12" i="51"/>
  <c r="N12" i="51"/>
  <c r="P12" i="51"/>
  <c r="AH12" i="51"/>
  <c r="AM12" i="51"/>
  <c r="AN12" i="51"/>
  <c r="AO12" i="51"/>
  <c r="AP12" i="51"/>
  <c r="AQ12" i="51"/>
  <c r="AR12" i="51"/>
  <c r="AS12" i="51"/>
  <c r="AT12" i="51"/>
  <c r="AV12" i="51"/>
  <c r="AW12" i="51"/>
  <c r="AX12" i="51"/>
  <c r="AY12" i="51"/>
  <c r="N13" i="51"/>
  <c r="P13" i="51"/>
  <c r="AH13" i="51"/>
  <c r="AM13" i="51"/>
  <c r="AN13" i="51"/>
  <c r="AO13" i="51"/>
  <c r="AP13" i="51"/>
  <c r="AQ13" i="51"/>
  <c r="AR13" i="51"/>
  <c r="AS13" i="51"/>
  <c r="AT13" i="51"/>
  <c r="AV13" i="51"/>
  <c r="AW13" i="51"/>
  <c r="AX13" i="51"/>
  <c r="AY13" i="51"/>
  <c r="N14" i="51"/>
  <c r="P14" i="51"/>
  <c r="S14" i="51"/>
  <c r="T14" i="51"/>
  <c r="AM14" i="51"/>
  <c r="AN14" i="51"/>
  <c r="AO14" i="51"/>
  <c r="AP14" i="51"/>
  <c r="AQ14" i="51"/>
  <c r="AR14" i="51"/>
  <c r="AS14" i="51"/>
  <c r="AT14" i="51"/>
  <c r="AV14" i="51"/>
  <c r="AW14" i="51"/>
  <c r="AX14" i="51"/>
  <c r="AY14" i="51"/>
  <c r="N15" i="51"/>
  <c r="P15" i="51"/>
  <c r="AM15" i="51"/>
  <c r="AN15" i="51"/>
  <c r="AO15" i="51"/>
  <c r="AP15" i="51"/>
  <c r="AQ15" i="51"/>
  <c r="AR15" i="51"/>
  <c r="AS15" i="51"/>
  <c r="AT15" i="51"/>
  <c r="AV15" i="51"/>
  <c r="AW15" i="51"/>
  <c r="AX15" i="51"/>
  <c r="AY15" i="51"/>
  <c r="N16" i="51"/>
  <c r="P16" i="51"/>
  <c r="AV16" i="51"/>
  <c r="AW16" i="51"/>
  <c r="AX16" i="51"/>
  <c r="AY16" i="51"/>
  <c r="N17" i="51"/>
  <c r="P17" i="51"/>
  <c r="AV17" i="51"/>
  <c r="AW17" i="51"/>
  <c r="AX17" i="51"/>
  <c r="AY17" i="51"/>
  <c r="N18" i="51"/>
  <c r="P18" i="51"/>
  <c r="AX18" i="51"/>
  <c r="AY18" i="51"/>
  <c r="N19" i="51"/>
  <c r="P19" i="51"/>
  <c r="S20" i="51"/>
  <c r="T20" i="51"/>
  <c r="AM20" i="51"/>
  <c r="AO20" i="51"/>
  <c r="AV20" i="51"/>
  <c r="AW20" i="51"/>
  <c r="AX20" i="51"/>
  <c r="AY20" i="51"/>
  <c r="D22" i="51"/>
  <c r="F22" i="51"/>
  <c r="G22" i="51"/>
  <c r="H22" i="51"/>
  <c r="I22" i="51"/>
  <c r="K22" i="51"/>
  <c r="L22" i="51"/>
  <c r="N22" i="51"/>
  <c r="O22" i="51"/>
  <c r="P22" i="51"/>
  <c r="Q22" i="51"/>
  <c r="S22" i="51"/>
  <c r="T22" i="51"/>
  <c r="V22" i="51"/>
  <c r="X22" i="51"/>
  <c r="Y22" i="51"/>
  <c r="Z22" i="51"/>
  <c r="AA22" i="51"/>
  <c r="AB22" i="51"/>
  <c r="AC22" i="51"/>
  <c r="AF22" i="51"/>
  <c r="AG22" i="51"/>
  <c r="AH22" i="51"/>
  <c r="AI22" i="51"/>
  <c r="AJ22" i="51"/>
  <c r="AL22" i="51"/>
  <c r="AM22" i="51"/>
  <c r="AN22" i="51"/>
  <c r="AO22" i="51"/>
  <c r="AP22" i="51"/>
  <c r="AQ22" i="51"/>
  <c r="AR22" i="51"/>
  <c r="AS22" i="51"/>
  <c r="AT22" i="51"/>
  <c r="AU22" i="51"/>
  <c r="AV22" i="51"/>
  <c r="AW22" i="51"/>
  <c r="AX22" i="51"/>
  <c r="AY22" i="51"/>
  <c r="BB22" i="51"/>
  <c r="BC22" i="51"/>
  <c r="BD22" i="51"/>
  <c r="BE22" i="51"/>
  <c r="BF22" i="51"/>
  <c r="BG22" i="51"/>
  <c r="BH22" i="51"/>
  <c r="BI22" i="51"/>
  <c r="BJ22" i="51"/>
  <c r="BK22" i="51"/>
  <c r="BL22" i="51"/>
  <c r="BM22" i="51"/>
  <c r="BN22" i="51"/>
  <c r="BO22" i="51"/>
  <c r="D23" i="51"/>
  <c r="F23" i="51"/>
  <c r="G23" i="51"/>
  <c r="H23" i="51"/>
  <c r="I23" i="51"/>
  <c r="K23" i="51"/>
  <c r="L23" i="51"/>
  <c r="N23" i="51"/>
  <c r="O23" i="51"/>
  <c r="P23" i="51"/>
  <c r="Q23" i="51"/>
  <c r="S23" i="51"/>
  <c r="T23" i="51"/>
  <c r="V23" i="51"/>
  <c r="X23" i="51"/>
  <c r="Y23" i="51"/>
  <c r="Z23" i="51"/>
  <c r="AA23" i="51"/>
  <c r="AB23" i="51"/>
  <c r="AC23" i="51"/>
  <c r="AF23" i="51"/>
  <c r="AG23" i="51"/>
  <c r="AH23" i="51"/>
  <c r="AI23" i="51"/>
  <c r="AJ23" i="51"/>
  <c r="AL23" i="51"/>
  <c r="AM23" i="51"/>
  <c r="AN23" i="51"/>
  <c r="AO23" i="51"/>
  <c r="AP23" i="51"/>
  <c r="AQ23" i="51"/>
  <c r="AR23" i="51"/>
  <c r="AS23" i="51"/>
  <c r="AT23" i="51"/>
  <c r="AU23" i="51"/>
  <c r="AV23" i="51"/>
  <c r="AW23" i="51"/>
  <c r="AX23" i="51"/>
  <c r="AY23" i="51"/>
  <c r="BB23" i="51"/>
  <c r="BC23" i="51"/>
  <c r="BD23" i="51"/>
  <c r="BE23" i="51"/>
  <c r="BF23" i="51"/>
  <c r="BG23" i="51"/>
  <c r="BH23" i="51"/>
  <c r="BI23" i="51"/>
  <c r="BJ23" i="51"/>
  <c r="BK23" i="51"/>
  <c r="BL23" i="51"/>
  <c r="BM23" i="51"/>
  <c r="BN23" i="51"/>
  <c r="BO23" i="51"/>
  <c r="D24" i="51"/>
  <c r="F24" i="51"/>
  <c r="G24" i="51"/>
  <c r="H24" i="51"/>
  <c r="I24" i="51"/>
  <c r="K24" i="51"/>
  <c r="L24" i="51"/>
  <c r="N24" i="51"/>
  <c r="O24" i="51"/>
  <c r="P24" i="51"/>
  <c r="Q24" i="51"/>
  <c r="S24" i="51"/>
  <c r="T24" i="51"/>
  <c r="V24" i="51"/>
  <c r="X24" i="51"/>
  <c r="Y24" i="51"/>
  <c r="Z24" i="51"/>
  <c r="AA24" i="51"/>
  <c r="AB24" i="51"/>
  <c r="AC24" i="51"/>
  <c r="AF24" i="51"/>
  <c r="AG24" i="51"/>
  <c r="AH24" i="51"/>
  <c r="AI24" i="51"/>
  <c r="AJ24" i="51"/>
  <c r="AL24" i="51"/>
  <c r="AM24" i="51"/>
  <c r="AN24" i="51"/>
  <c r="AO24" i="51"/>
  <c r="AP24" i="51"/>
  <c r="AQ24" i="51"/>
  <c r="AR24" i="51"/>
  <c r="AS24" i="51"/>
  <c r="AT24" i="51"/>
  <c r="AU24" i="51"/>
  <c r="AV24" i="51"/>
  <c r="AW24" i="51"/>
  <c r="AX24" i="51"/>
  <c r="AY24" i="51"/>
  <c r="BB24" i="51"/>
  <c r="BC24" i="51"/>
  <c r="BD24" i="51"/>
  <c r="BE24" i="51"/>
  <c r="BF24" i="51"/>
  <c r="BG24" i="51"/>
  <c r="BH24" i="51"/>
  <c r="BI24" i="51"/>
  <c r="BJ24" i="51"/>
  <c r="BK24" i="51"/>
  <c r="BL24" i="51"/>
  <c r="BM24" i="51"/>
  <c r="BN24" i="51"/>
  <c r="BO24" i="51"/>
  <c r="D25" i="51"/>
  <c r="F25" i="51"/>
  <c r="G25" i="51"/>
  <c r="H25" i="51"/>
  <c r="I25" i="51"/>
  <c r="K25" i="51"/>
  <c r="L25" i="51"/>
  <c r="N25" i="51"/>
  <c r="O25" i="51"/>
  <c r="P25" i="51"/>
  <c r="Q25" i="51"/>
  <c r="S25" i="51"/>
  <c r="T25" i="51"/>
  <c r="V25" i="51"/>
  <c r="X25" i="51"/>
  <c r="Y25" i="51"/>
  <c r="Z25" i="51"/>
  <c r="AA25" i="51"/>
  <c r="AB25" i="51"/>
  <c r="AC25" i="51"/>
  <c r="AF25" i="51"/>
  <c r="AG25" i="51"/>
  <c r="AH25" i="51"/>
  <c r="AI25" i="51"/>
  <c r="AJ25" i="51"/>
  <c r="AL25" i="51"/>
  <c r="AM25" i="51"/>
  <c r="AN25" i="51"/>
  <c r="AO25" i="51"/>
  <c r="AP25" i="51"/>
  <c r="AQ25" i="51"/>
  <c r="AR25" i="51"/>
  <c r="AS25" i="51"/>
  <c r="AT25" i="51"/>
  <c r="AU25" i="51"/>
  <c r="AV25" i="51"/>
  <c r="AW25" i="51"/>
  <c r="AX25" i="51"/>
  <c r="AY25" i="51"/>
  <c r="BB25" i="51"/>
  <c r="BC25" i="51"/>
  <c r="BD25" i="51"/>
  <c r="BE25" i="51"/>
  <c r="BF25" i="51"/>
  <c r="BG25" i="51"/>
  <c r="BH25" i="51"/>
  <c r="BI25" i="51"/>
  <c r="BJ25" i="51"/>
  <c r="BK25" i="51"/>
  <c r="BL25" i="51"/>
  <c r="BM25" i="51"/>
  <c r="BN25" i="51"/>
  <c r="BO25" i="51"/>
  <c r="D26" i="51"/>
  <c r="F26" i="51"/>
  <c r="G26" i="51"/>
  <c r="H26" i="51"/>
  <c r="I26" i="51"/>
  <c r="K26" i="51"/>
  <c r="L26" i="51"/>
  <c r="N26" i="51"/>
  <c r="O26" i="51"/>
  <c r="P26" i="51"/>
  <c r="Q26" i="51"/>
  <c r="S26" i="51"/>
  <c r="T26" i="51"/>
  <c r="V26" i="51"/>
  <c r="X26" i="51"/>
  <c r="Y26" i="51"/>
  <c r="Z26" i="51"/>
  <c r="AA26" i="51"/>
  <c r="AB26" i="51"/>
  <c r="AC26" i="51"/>
  <c r="AF26" i="51"/>
  <c r="AG26" i="51"/>
  <c r="AH26" i="51"/>
  <c r="AI26" i="51"/>
  <c r="AJ26" i="51"/>
  <c r="AL26" i="51"/>
  <c r="AM26" i="51"/>
  <c r="AN26" i="51"/>
  <c r="AO26" i="51"/>
  <c r="AP26" i="51"/>
  <c r="AQ26" i="51"/>
  <c r="AR26" i="51"/>
  <c r="AS26" i="51"/>
  <c r="AT26" i="51"/>
  <c r="AU26" i="51"/>
  <c r="AV26" i="51"/>
  <c r="AW26" i="51"/>
  <c r="AX26" i="51"/>
  <c r="AY26" i="51"/>
  <c r="BB26" i="51"/>
  <c r="BC26" i="51"/>
  <c r="BD26" i="51"/>
  <c r="BE26" i="51"/>
  <c r="BF26" i="51"/>
  <c r="BG26" i="51"/>
  <c r="BH26" i="51"/>
  <c r="BI26" i="51"/>
  <c r="BJ26" i="51"/>
  <c r="BK26" i="51"/>
  <c r="BL26" i="51"/>
  <c r="BM26" i="51"/>
  <c r="BN26" i="51"/>
  <c r="BO26" i="51"/>
  <c r="D27" i="51"/>
  <c r="F27" i="51"/>
  <c r="G27" i="51"/>
  <c r="H27" i="51"/>
  <c r="I27" i="51"/>
  <c r="K27" i="51"/>
  <c r="L27" i="51"/>
  <c r="N27" i="51"/>
  <c r="O27" i="51"/>
  <c r="P27" i="51"/>
  <c r="Q27" i="51"/>
  <c r="S27" i="51"/>
  <c r="T27" i="51"/>
  <c r="V27" i="51"/>
  <c r="X27" i="51"/>
  <c r="Y27" i="51"/>
  <c r="Z27" i="51"/>
  <c r="AA27" i="51"/>
  <c r="AB27" i="51"/>
  <c r="AC27" i="51"/>
  <c r="AF27" i="51"/>
  <c r="AG27" i="51"/>
  <c r="AH27" i="51"/>
  <c r="AI27" i="51"/>
  <c r="AJ27" i="51"/>
  <c r="AL27" i="51"/>
  <c r="AM27" i="51"/>
  <c r="AN27" i="51"/>
  <c r="AO27" i="51"/>
  <c r="AP27" i="51"/>
  <c r="AQ27" i="51"/>
  <c r="AR27" i="51"/>
  <c r="AS27" i="51"/>
  <c r="AT27" i="51"/>
  <c r="AU27" i="51"/>
  <c r="AV27" i="51"/>
  <c r="AW27" i="51"/>
  <c r="AX27" i="51"/>
  <c r="AY27" i="51"/>
  <c r="BB27" i="51"/>
  <c r="BC27" i="51"/>
  <c r="BD27" i="51"/>
  <c r="BE27" i="51"/>
  <c r="BF27" i="51"/>
  <c r="BG27" i="51"/>
  <c r="BH27" i="51"/>
  <c r="BI27" i="51"/>
  <c r="BJ27" i="51"/>
  <c r="BK27" i="51"/>
  <c r="BL27" i="51"/>
  <c r="BM27" i="51"/>
  <c r="BN27" i="51"/>
  <c r="BO27" i="51"/>
  <c r="D28" i="51"/>
  <c r="F28" i="51"/>
  <c r="G28" i="51"/>
  <c r="H28" i="51"/>
  <c r="I28" i="51"/>
  <c r="K28" i="51"/>
  <c r="L28" i="51"/>
  <c r="N28" i="51"/>
  <c r="O28" i="51"/>
  <c r="P28" i="51"/>
  <c r="Q28" i="51"/>
  <c r="S28" i="51"/>
  <c r="T28" i="51"/>
  <c r="V28" i="51"/>
  <c r="X28" i="51"/>
  <c r="Y28" i="51"/>
  <c r="Z28" i="51"/>
  <c r="AA28" i="51"/>
  <c r="AB28" i="51"/>
  <c r="AC28" i="51"/>
  <c r="AF28" i="51"/>
  <c r="AG28" i="51"/>
  <c r="AH28" i="51"/>
  <c r="AI28" i="51"/>
  <c r="AJ28" i="51"/>
  <c r="AL28" i="51"/>
  <c r="AM28" i="51"/>
  <c r="AN28" i="51"/>
  <c r="AO28" i="51"/>
  <c r="AP28" i="51"/>
  <c r="AQ28" i="51"/>
  <c r="AR28" i="51"/>
  <c r="AS28" i="51"/>
  <c r="AT28" i="51"/>
  <c r="AU28" i="51"/>
  <c r="AV28" i="51"/>
  <c r="AW28" i="51"/>
  <c r="AX28" i="51"/>
  <c r="AY28" i="51"/>
  <c r="BB28" i="51"/>
  <c r="BC28" i="51"/>
  <c r="BD28" i="51"/>
  <c r="BE28" i="51"/>
  <c r="BF28" i="51"/>
  <c r="BG28" i="51"/>
  <c r="BH28" i="51"/>
  <c r="BI28" i="51"/>
  <c r="BJ28" i="51"/>
  <c r="BK28" i="51"/>
  <c r="BL28" i="51"/>
  <c r="BM28" i="51"/>
  <c r="BN28" i="51"/>
  <c r="BO28" i="51"/>
  <c r="D29" i="51"/>
  <c r="F29" i="51"/>
  <c r="G29" i="51"/>
  <c r="H29" i="51"/>
  <c r="I29" i="51"/>
  <c r="K29" i="51"/>
  <c r="L29" i="51"/>
  <c r="N29" i="51"/>
  <c r="O29" i="51"/>
  <c r="P29" i="51"/>
  <c r="Q29" i="51"/>
  <c r="S29" i="51"/>
  <c r="T29" i="51"/>
  <c r="V29" i="51"/>
  <c r="X29" i="51"/>
  <c r="Y29" i="51"/>
  <c r="Z29" i="51"/>
  <c r="AA29" i="51"/>
  <c r="AB29" i="51"/>
  <c r="AC29" i="51"/>
  <c r="AF29" i="51"/>
  <c r="AG29" i="51"/>
  <c r="AH29" i="51"/>
  <c r="AI29" i="51"/>
  <c r="AJ29" i="51"/>
  <c r="AL29" i="51"/>
  <c r="AM29" i="51"/>
  <c r="AN29" i="51"/>
  <c r="AO29" i="51"/>
  <c r="AP29" i="51"/>
  <c r="AQ29" i="51"/>
  <c r="AR29" i="51"/>
  <c r="AS29" i="51"/>
  <c r="AT29" i="51"/>
  <c r="AU29" i="51"/>
  <c r="AV29" i="51"/>
  <c r="AW29" i="51"/>
  <c r="AX29" i="51"/>
  <c r="AY29" i="51"/>
  <c r="BB29" i="51"/>
  <c r="BC29" i="51"/>
  <c r="BD29" i="51"/>
  <c r="BE29" i="51"/>
  <c r="BF29" i="51"/>
  <c r="BG29" i="51"/>
  <c r="BH29" i="51"/>
  <c r="BI29" i="51"/>
  <c r="BJ29" i="51"/>
  <c r="BK29" i="51"/>
  <c r="BL29" i="51"/>
  <c r="BM29" i="51"/>
  <c r="BN29" i="51"/>
  <c r="BO29" i="51"/>
  <c r="D30" i="51"/>
  <c r="F30" i="51"/>
  <c r="G30" i="51"/>
  <c r="H30" i="51"/>
  <c r="I30" i="51"/>
  <c r="K30" i="51"/>
  <c r="L30" i="51"/>
  <c r="N30" i="51"/>
  <c r="O30" i="51"/>
  <c r="P30" i="51"/>
  <c r="Q30" i="51"/>
  <c r="S30" i="51"/>
  <c r="T30" i="51"/>
  <c r="V30" i="51"/>
  <c r="X30" i="51"/>
  <c r="Y30" i="51"/>
  <c r="Z30" i="51"/>
  <c r="AA30" i="51"/>
  <c r="AB30" i="51"/>
  <c r="AC30" i="51"/>
  <c r="AF30" i="51"/>
  <c r="AG30" i="51"/>
  <c r="AH30" i="51"/>
  <c r="AI30" i="51"/>
  <c r="AJ30" i="51"/>
  <c r="AL30" i="51"/>
  <c r="AM30" i="51"/>
  <c r="AN30" i="51"/>
  <c r="AO30" i="51"/>
  <c r="AP30" i="51"/>
  <c r="AQ30" i="51"/>
  <c r="AR30" i="51"/>
  <c r="AS30" i="51"/>
  <c r="AT30" i="51"/>
  <c r="AU30" i="51"/>
  <c r="AV30" i="51"/>
  <c r="AW30" i="51"/>
  <c r="AX30" i="51"/>
  <c r="AY30" i="51"/>
  <c r="BB30" i="51"/>
  <c r="BC30" i="51"/>
  <c r="BD30" i="51"/>
  <c r="BE30" i="51"/>
  <c r="BF30" i="51"/>
  <c r="BG30" i="51"/>
  <c r="BH30" i="51"/>
  <c r="BI30" i="51"/>
  <c r="BJ30" i="51"/>
  <c r="BK30" i="51"/>
  <c r="BL30" i="51"/>
  <c r="BM30" i="51"/>
  <c r="BN30" i="51"/>
  <c r="BO30" i="51"/>
  <c r="D31" i="51"/>
  <c r="F31" i="51"/>
  <c r="G31" i="51"/>
  <c r="H31" i="51"/>
  <c r="I31" i="51"/>
  <c r="K31" i="51"/>
  <c r="L31" i="51"/>
  <c r="N31" i="51"/>
  <c r="O31" i="51"/>
  <c r="P31" i="51"/>
  <c r="Q31" i="51"/>
  <c r="S31" i="51"/>
  <c r="T31" i="51"/>
  <c r="V31" i="51"/>
  <c r="X31" i="51"/>
  <c r="Y31" i="51"/>
  <c r="Z31" i="51"/>
  <c r="AA31" i="51"/>
  <c r="AB31" i="51"/>
  <c r="AC31" i="51"/>
  <c r="AF31" i="51"/>
  <c r="AG31" i="51"/>
  <c r="AH31" i="51"/>
  <c r="AI31" i="51"/>
  <c r="AJ31" i="51"/>
  <c r="AL31" i="51"/>
  <c r="AM31" i="51"/>
  <c r="AN31" i="51"/>
  <c r="AO31" i="51"/>
  <c r="AP31" i="51"/>
  <c r="AQ31" i="51"/>
  <c r="AR31" i="51"/>
  <c r="AS31" i="51"/>
  <c r="AT31" i="51"/>
  <c r="AU31" i="51"/>
  <c r="AV31" i="51"/>
  <c r="AW31" i="51"/>
  <c r="AX31" i="51"/>
  <c r="AY31" i="51"/>
  <c r="BB31" i="51"/>
  <c r="BC31" i="51"/>
  <c r="BD31" i="51"/>
  <c r="BE31" i="51"/>
  <c r="BF31" i="51"/>
  <c r="BG31" i="51"/>
  <c r="BH31" i="51"/>
  <c r="BI31" i="51"/>
  <c r="BJ31" i="51"/>
  <c r="BK31" i="51"/>
  <c r="BL31" i="51"/>
  <c r="BM31" i="51"/>
  <c r="BN31" i="51"/>
  <c r="BO31" i="51"/>
  <c r="D32" i="51"/>
  <c r="F32" i="51"/>
  <c r="G32" i="51"/>
  <c r="H32" i="51"/>
  <c r="I32" i="51"/>
  <c r="K32" i="51"/>
  <c r="L32" i="51"/>
  <c r="N32" i="51"/>
  <c r="O32" i="51"/>
  <c r="P32" i="51"/>
  <c r="Q32" i="51"/>
  <c r="S32" i="51"/>
  <c r="T32" i="51"/>
  <c r="V32" i="51"/>
  <c r="X32" i="51"/>
  <c r="Y32" i="51"/>
  <c r="Z32" i="51"/>
  <c r="AA32" i="51"/>
  <c r="AB32" i="51"/>
  <c r="AC32" i="51"/>
  <c r="AF32" i="51"/>
  <c r="AG32" i="51"/>
  <c r="AH32" i="51"/>
  <c r="AI32" i="51"/>
  <c r="AJ32" i="51"/>
  <c r="AL32" i="51"/>
  <c r="AM32" i="51"/>
  <c r="AN32" i="51"/>
  <c r="AO32" i="51"/>
  <c r="AP32" i="51"/>
  <c r="AQ32" i="51"/>
  <c r="AR32" i="51"/>
  <c r="AS32" i="51"/>
  <c r="AT32" i="51"/>
  <c r="AU32" i="51"/>
  <c r="AV32" i="51"/>
  <c r="AW32" i="51"/>
  <c r="AX32" i="51"/>
  <c r="AY32" i="51"/>
  <c r="BB32" i="51"/>
  <c r="BC32" i="51"/>
  <c r="BD32" i="51"/>
  <c r="BE32" i="51"/>
  <c r="BF32" i="51"/>
  <c r="BG32" i="51"/>
  <c r="BH32" i="51"/>
  <c r="BI32" i="51"/>
  <c r="BJ32" i="51"/>
  <c r="BK32" i="51"/>
  <c r="BL32" i="51"/>
  <c r="BM32" i="51"/>
  <c r="BN32" i="51"/>
  <c r="BO32" i="51"/>
  <c r="A2" i="19"/>
  <c r="A3" i="19"/>
  <c r="E7" i="19"/>
  <c r="H8" i="19"/>
  <c r="H8" i="19" a="1"/>
  <c r="I8" i="19"/>
  <c r="J8" i="19"/>
  <c r="K8" i="19"/>
  <c r="L8" i="19"/>
  <c r="M8" i="19"/>
  <c r="N8" i="19"/>
  <c r="O8" i="19"/>
  <c r="P8" i="19"/>
  <c r="Q8" i="19"/>
  <c r="R8" i="19"/>
  <c r="S8" i="19"/>
  <c r="T8" i="19"/>
  <c r="H9" i="19"/>
  <c r="H9" i="19" a="1"/>
  <c r="I9" i="19"/>
  <c r="J9" i="19"/>
  <c r="K9" i="19"/>
  <c r="L9" i="19"/>
  <c r="M9" i="19"/>
  <c r="N9" i="19"/>
  <c r="O9" i="19"/>
  <c r="P9" i="19"/>
  <c r="Q9" i="19"/>
  <c r="R9" i="19"/>
  <c r="S9" i="19"/>
  <c r="T9" i="19"/>
  <c r="E10" i="19"/>
  <c r="F10" i="19"/>
  <c r="G10" i="19"/>
  <c r="H10" i="19"/>
  <c r="H10" i="19" a="1"/>
  <c r="I10" i="19"/>
  <c r="I10" i="19" a="1"/>
  <c r="J10" i="19"/>
  <c r="J10" i="19" a="1"/>
  <c r="K10" i="19"/>
  <c r="K10" i="19" a="1"/>
  <c r="L10" i="19"/>
  <c r="L10" i="19" a="1"/>
  <c r="M10" i="19"/>
  <c r="M10" i="19" a="1"/>
  <c r="N10" i="19"/>
  <c r="N10" i="19" a="1"/>
  <c r="O10" i="19"/>
  <c r="O10" i="19" a="1"/>
  <c r="P10" i="19"/>
  <c r="P10" i="19" a="1"/>
  <c r="Q10" i="19"/>
  <c r="Q10" i="19" a="1"/>
  <c r="R10" i="19"/>
  <c r="R10" i="19" a="1"/>
  <c r="S10" i="19"/>
  <c r="S10" i="19" a="1"/>
  <c r="T10" i="19"/>
  <c r="T10" i="19" a="1"/>
  <c r="V10" i="19"/>
  <c r="Y10" i="19"/>
  <c r="Z10" i="19"/>
  <c r="AA10" i="19"/>
  <c r="AB10" i="19"/>
  <c r="AC10" i="19"/>
  <c r="G11" i="19"/>
  <c r="H11" i="19"/>
  <c r="H11" i="19" a="1"/>
  <c r="I11" i="19"/>
  <c r="I11" i="19" a="1"/>
  <c r="J11" i="19"/>
  <c r="J11" i="19" a="1"/>
  <c r="K11" i="19"/>
  <c r="K11" i="19" a="1"/>
  <c r="L11" i="19"/>
  <c r="L11" i="19" a="1"/>
  <c r="M11" i="19"/>
  <c r="M11" i="19" a="1"/>
  <c r="N11" i="19"/>
  <c r="N11" i="19" a="1"/>
  <c r="O11" i="19"/>
  <c r="O11" i="19" a="1"/>
  <c r="P11" i="19"/>
  <c r="P11" i="19" a="1"/>
  <c r="Q11" i="19"/>
  <c r="Q11" i="19" a="1"/>
  <c r="R11" i="19"/>
  <c r="R11" i="19" a="1"/>
  <c r="S11" i="19"/>
  <c r="S11" i="19" a="1"/>
  <c r="T11" i="19"/>
  <c r="T11" i="19" a="1"/>
  <c r="V11" i="19"/>
  <c r="Y11" i="19"/>
  <c r="AA11" i="19"/>
  <c r="AB11" i="19"/>
  <c r="AC11" i="19"/>
  <c r="H15" i="19"/>
  <c r="I15" i="19"/>
  <c r="J15" i="19"/>
  <c r="K15" i="19"/>
  <c r="L15" i="19"/>
  <c r="M15" i="19"/>
  <c r="N15" i="19"/>
  <c r="O15" i="19"/>
  <c r="P15" i="19"/>
  <c r="Q15" i="19"/>
  <c r="R15" i="19"/>
  <c r="S15" i="19"/>
  <c r="T15" i="19"/>
  <c r="H16" i="19"/>
  <c r="I16" i="19"/>
  <c r="J16" i="19"/>
  <c r="K16" i="19"/>
  <c r="L16" i="19"/>
  <c r="M16" i="19"/>
  <c r="N16" i="19"/>
  <c r="O16" i="19"/>
  <c r="P16" i="19"/>
  <c r="Q16" i="19"/>
  <c r="R16" i="19"/>
  <c r="S16" i="19"/>
  <c r="T16" i="19"/>
  <c r="H19" i="19"/>
  <c r="I19" i="19"/>
  <c r="J19" i="19"/>
  <c r="K19" i="19"/>
  <c r="L19" i="19"/>
  <c r="M19" i="19"/>
  <c r="N19" i="19"/>
  <c r="O19" i="19"/>
  <c r="P19" i="19"/>
  <c r="Q19" i="19"/>
  <c r="R19" i="19"/>
  <c r="S19" i="19"/>
  <c r="T19" i="19"/>
  <c r="H20" i="19"/>
  <c r="I20" i="19"/>
  <c r="J20" i="19"/>
  <c r="K20" i="19"/>
  <c r="L20" i="19"/>
  <c r="M20" i="19"/>
  <c r="N20" i="19"/>
  <c r="O20" i="19"/>
  <c r="P20" i="19"/>
  <c r="Q20" i="19"/>
  <c r="R20" i="19"/>
  <c r="S20" i="19"/>
  <c r="T20" i="19"/>
  <c r="A2" i="6"/>
  <c r="A3" i="6"/>
  <c r="A4" i="6"/>
  <c r="E10" i="6"/>
  <c r="F10" i="6"/>
  <c r="G10" i="6"/>
  <c r="H10" i="6"/>
  <c r="I10" i="6"/>
  <c r="J10" i="6"/>
  <c r="K10" i="6"/>
  <c r="L10" i="6"/>
  <c r="N10" i="6"/>
  <c r="O10" i="6"/>
  <c r="Q10" i="6"/>
  <c r="R10" i="6"/>
  <c r="S10" i="6"/>
  <c r="U10" i="6"/>
  <c r="V10" i="6"/>
  <c r="X10" i="6"/>
  <c r="Y10" i="6"/>
  <c r="Z10" i="6"/>
  <c r="AA10" i="6"/>
  <c r="AB10" i="6"/>
  <c r="AC10" i="6"/>
  <c r="AH10" i="6"/>
  <c r="AI10" i="6"/>
  <c r="AJ10" i="6"/>
  <c r="AK10" i="6"/>
  <c r="AL10" i="6"/>
  <c r="G11" i="6"/>
  <c r="AI11" i="6"/>
  <c r="AJ11" i="6"/>
  <c r="AK11" i="6"/>
  <c r="AL11" i="6"/>
  <c r="E12" i="6"/>
  <c r="F12" i="6"/>
  <c r="G12" i="6"/>
  <c r="H12" i="6"/>
  <c r="I12" i="6"/>
  <c r="J12" i="6"/>
  <c r="K12" i="6"/>
  <c r="L12" i="6"/>
  <c r="N12" i="6"/>
  <c r="O12" i="6"/>
  <c r="Q12" i="6"/>
  <c r="R12" i="6"/>
  <c r="S12" i="6"/>
  <c r="U12" i="6"/>
  <c r="V12" i="6"/>
  <c r="X12" i="6"/>
  <c r="Y12" i="6"/>
  <c r="Z12" i="6"/>
  <c r="AA12" i="6"/>
  <c r="AB12" i="6"/>
  <c r="AC12" i="6"/>
  <c r="AH12" i="6"/>
  <c r="AI12" i="6"/>
  <c r="AJ12" i="6"/>
  <c r="AK12" i="6"/>
  <c r="AL12" i="6"/>
  <c r="G13" i="6"/>
  <c r="AI13" i="6"/>
  <c r="AJ13" i="6"/>
  <c r="AK13" i="6"/>
  <c r="AL13" i="6"/>
  <c r="E14" i="6"/>
  <c r="F14" i="6"/>
  <c r="G14" i="6"/>
  <c r="H14" i="6"/>
  <c r="I14" i="6"/>
  <c r="J14" i="6"/>
  <c r="K14" i="6"/>
  <c r="L14" i="6"/>
  <c r="N14" i="6"/>
  <c r="O14" i="6"/>
  <c r="Q14" i="6"/>
  <c r="R14" i="6"/>
  <c r="S14" i="6"/>
  <c r="U14" i="6"/>
  <c r="V14" i="6"/>
  <c r="X14" i="6"/>
  <c r="Y14" i="6"/>
  <c r="Z14" i="6"/>
  <c r="AA14" i="6"/>
  <c r="AB14" i="6"/>
  <c r="AC14" i="6"/>
  <c r="AH14" i="6"/>
  <c r="AI14" i="6"/>
  <c r="AJ14" i="6"/>
  <c r="AK14" i="6"/>
  <c r="AL14" i="6"/>
  <c r="G15" i="6"/>
  <c r="AI15" i="6"/>
  <c r="AJ15" i="6"/>
  <c r="AK15" i="6"/>
  <c r="AL15" i="6"/>
  <c r="E16" i="6"/>
  <c r="F16" i="6"/>
  <c r="G16" i="6"/>
  <c r="H16" i="6"/>
  <c r="I16" i="6"/>
  <c r="J16" i="6"/>
  <c r="K16" i="6"/>
  <c r="L16" i="6"/>
  <c r="N16" i="6"/>
  <c r="O16" i="6"/>
  <c r="Q16" i="6"/>
  <c r="R16" i="6"/>
  <c r="S16" i="6"/>
  <c r="U16" i="6"/>
  <c r="V16" i="6"/>
  <c r="X16" i="6"/>
  <c r="Y16" i="6"/>
  <c r="Z16" i="6"/>
  <c r="AA16" i="6"/>
  <c r="AB16" i="6"/>
  <c r="AC16" i="6"/>
  <c r="AH16" i="6"/>
  <c r="AI16" i="6"/>
  <c r="AJ16" i="6"/>
  <c r="AK16" i="6"/>
  <c r="AL16" i="6"/>
  <c r="G17" i="6"/>
  <c r="AI17" i="6"/>
  <c r="AJ17" i="6"/>
  <c r="AK17" i="6"/>
  <c r="AL17" i="6"/>
  <c r="E18" i="6"/>
  <c r="F18" i="6"/>
  <c r="G18" i="6"/>
  <c r="H18" i="6"/>
  <c r="I18" i="6"/>
  <c r="J18" i="6"/>
  <c r="K18" i="6"/>
  <c r="L18" i="6"/>
  <c r="N18" i="6"/>
  <c r="O18" i="6"/>
  <c r="Q18" i="6"/>
  <c r="R18" i="6"/>
  <c r="S18" i="6"/>
  <c r="U18" i="6"/>
  <c r="V18" i="6"/>
  <c r="X18" i="6"/>
  <c r="Y18" i="6"/>
  <c r="Z18" i="6"/>
  <c r="AA18" i="6"/>
  <c r="AB18" i="6"/>
  <c r="AC18" i="6"/>
  <c r="AH18" i="6"/>
  <c r="AI18" i="6"/>
  <c r="AJ18" i="6"/>
  <c r="AK18" i="6"/>
  <c r="AL18" i="6"/>
  <c r="G19" i="6"/>
  <c r="AI19" i="6"/>
  <c r="AJ19" i="6"/>
  <c r="AK19" i="6"/>
  <c r="AL19" i="6"/>
  <c r="E20" i="6"/>
  <c r="F20" i="6"/>
  <c r="G20" i="6"/>
  <c r="H20" i="6"/>
  <c r="I20" i="6"/>
  <c r="J20" i="6"/>
  <c r="K20" i="6"/>
  <c r="L20" i="6"/>
  <c r="N20" i="6"/>
  <c r="O20" i="6"/>
  <c r="Q20" i="6"/>
  <c r="R20" i="6"/>
  <c r="S20" i="6"/>
  <c r="U20" i="6"/>
  <c r="V20" i="6"/>
  <c r="X20" i="6"/>
  <c r="Y20" i="6"/>
  <c r="Z20" i="6"/>
  <c r="AA20" i="6"/>
  <c r="AB20" i="6"/>
  <c r="AC20" i="6"/>
  <c r="AH20" i="6"/>
  <c r="AI20" i="6"/>
  <c r="AJ20" i="6"/>
  <c r="AK20" i="6"/>
  <c r="AL20" i="6"/>
  <c r="G21" i="6"/>
  <c r="AI21" i="6"/>
  <c r="AJ21" i="6"/>
  <c r="AK21" i="6"/>
  <c r="AL21" i="6"/>
  <c r="E22" i="6"/>
  <c r="F22" i="6"/>
  <c r="G22" i="6"/>
  <c r="H22" i="6"/>
  <c r="I22" i="6"/>
  <c r="J22" i="6"/>
  <c r="K22" i="6"/>
  <c r="L22" i="6"/>
  <c r="N22" i="6"/>
  <c r="O22" i="6"/>
  <c r="Q22" i="6"/>
  <c r="R22" i="6"/>
  <c r="S22" i="6"/>
  <c r="U22" i="6"/>
  <c r="V22" i="6"/>
  <c r="X22" i="6"/>
  <c r="Y22" i="6"/>
  <c r="Z22" i="6"/>
  <c r="AA22" i="6"/>
  <c r="AB22" i="6"/>
  <c r="AC22" i="6"/>
  <c r="AH22" i="6"/>
  <c r="AI22" i="6"/>
  <c r="AJ22" i="6"/>
  <c r="AK22" i="6"/>
  <c r="AL22" i="6"/>
  <c r="G23" i="6"/>
  <c r="AI23" i="6"/>
  <c r="AJ23" i="6"/>
  <c r="AK23" i="6"/>
  <c r="AL23" i="6"/>
  <c r="H24" i="6"/>
  <c r="I24" i="6"/>
  <c r="J24" i="6"/>
  <c r="K24" i="6"/>
  <c r="L24" i="6"/>
  <c r="N24" i="6"/>
  <c r="O24" i="6"/>
  <c r="Q24" i="6"/>
  <c r="R24" i="6"/>
  <c r="S24" i="6"/>
  <c r="U24" i="6"/>
  <c r="V24" i="6"/>
  <c r="X24" i="6"/>
  <c r="Y24" i="6"/>
  <c r="Z24" i="6"/>
  <c r="AA24" i="6"/>
  <c r="AB24" i="6"/>
  <c r="AC24" i="6"/>
  <c r="AI24" i="6"/>
  <c r="AJ24" i="6"/>
  <c r="E30" i="6"/>
  <c r="F30" i="6"/>
  <c r="G30" i="6"/>
  <c r="H30" i="6"/>
  <c r="I30" i="6"/>
  <c r="J30" i="6"/>
  <c r="K30" i="6"/>
  <c r="L30" i="6"/>
  <c r="N30" i="6"/>
  <c r="O30" i="6"/>
  <c r="Q30" i="6"/>
  <c r="R30" i="6"/>
  <c r="S30" i="6"/>
  <c r="U30" i="6"/>
  <c r="V30" i="6"/>
  <c r="X30" i="6"/>
  <c r="Y30" i="6"/>
  <c r="Z30" i="6"/>
  <c r="AA30" i="6"/>
  <c r="AB30" i="6"/>
  <c r="AC30" i="6"/>
  <c r="AH30" i="6"/>
  <c r="AI30" i="6"/>
  <c r="AJ30" i="6"/>
  <c r="AK30" i="6"/>
  <c r="AL30" i="6"/>
  <c r="G31" i="6"/>
  <c r="AI31" i="6"/>
  <c r="AJ31" i="6"/>
  <c r="AK31" i="6"/>
  <c r="AL31" i="6"/>
  <c r="E32" i="6"/>
  <c r="F32" i="6"/>
  <c r="G32" i="6"/>
  <c r="H32" i="6"/>
  <c r="I32" i="6"/>
  <c r="J32" i="6"/>
  <c r="K32" i="6"/>
  <c r="L32" i="6"/>
  <c r="N32" i="6"/>
  <c r="O32" i="6"/>
  <c r="Q32" i="6"/>
  <c r="R32" i="6"/>
  <c r="S32" i="6"/>
  <c r="U32" i="6"/>
  <c r="V32" i="6"/>
  <c r="X32" i="6"/>
  <c r="Y32" i="6"/>
  <c r="Z32" i="6"/>
  <c r="AA32" i="6"/>
  <c r="AB32" i="6"/>
  <c r="AC32" i="6"/>
  <c r="AH32" i="6"/>
  <c r="AI32" i="6"/>
  <c r="AJ32" i="6"/>
  <c r="AK32" i="6"/>
  <c r="AL32" i="6"/>
  <c r="G33" i="6"/>
  <c r="AI33" i="6"/>
  <c r="AJ33" i="6"/>
  <c r="AK33" i="6"/>
  <c r="AL33" i="6"/>
  <c r="E34" i="6"/>
  <c r="F34" i="6"/>
  <c r="G34" i="6"/>
  <c r="H34" i="6"/>
  <c r="I34" i="6"/>
  <c r="J34" i="6"/>
  <c r="K34" i="6"/>
  <c r="L34" i="6"/>
  <c r="N34" i="6"/>
  <c r="O34" i="6"/>
  <c r="Q34" i="6"/>
  <c r="R34" i="6"/>
  <c r="S34" i="6"/>
  <c r="U34" i="6"/>
  <c r="V34" i="6"/>
  <c r="X34" i="6"/>
  <c r="Y34" i="6"/>
  <c r="Z34" i="6"/>
  <c r="AA34" i="6"/>
  <c r="AB34" i="6"/>
  <c r="AC34" i="6"/>
  <c r="AH34" i="6"/>
  <c r="AI34" i="6"/>
  <c r="AJ34" i="6"/>
  <c r="AK34" i="6"/>
  <c r="AL34" i="6"/>
  <c r="G35" i="6"/>
  <c r="AI35" i="6"/>
  <c r="AJ35" i="6"/>
  <c r="AK35" i="6"/>
  <c r="AL35" i="6"/>
  <c r="E36" i="6"/>
  <c r="F36" i="6"/>
  <c r="G36" i="6"/>
  <c r="H36" i="6"/>
  <c r="I36" i="6"/>
  <c r="J36" i="6"/>
  <c r="K36" i="6"/>
  <c r="L36" i="6"/>
  <c r="N36" i="6"/>
  <c r="O36" i="6"/>
  <c r="Q36" i="6"/>
  <c r="R36" i="6"/>
  <c r="S36" i="6"/>
  <c r="U36" i="6"/>
  <c r="V36" i="6"/>
  <c r="X36" i="6"/>
  <c r="Y36" i="6"/>
  <c r="Z36" i="6"/>
  <c r="AA36" i="6"/>
  <c r="AB36" i="6"/>
  <c r="AC36" i="6"/>
  <c r="AH36" i="6"/>
  <c r="AI36" i="6"/>
  <c r="AJ36" i="6"/>
  <c r="AK36" i="6"/>
  <c r="AL36" i="6"/>
  <c r="G37" i="6"/>
  <c r="AI37" i="6"/>
  <c r="AJ37" i="6"/>
  <c r="AK37" i="6"/>
  <c r="AL37" i="6"/>
  <c r="E38" i="6"/>
  <c r="F38" i="6"/>
  <c r="G38" i="6"/>
  <c r="H38" i="6"/>
  <c r="I38" i="6"/>
  <c r="J38" i="6"/>
  <c r="K38" i="6"/>
  <c r="L38" i="6"/>
  <c r="N38" i="6"/>
  <c r="O38" i="6"/>
  <c r="Q38" i="6"/>
  <c r="R38" i="6"/>
  <c r="S38" i="6"/>
  <c r="U38" i="6"/>
  <c r="V38" i="6"/>
  <c r="X38" i="6"/>
  <c r="Y38" i="6"/>
  <c r="Z38" i="6"/>
  <c r="AA38" i="6"/>
  <c r="AB38" i="6"/>
  <c r="AC38" i="6"/>
  <c r="AH38" i="6"/>
  <c r="AI38" i="6"/>
  <c r="AJ38" i="6"/>
  <c r="AK38" i="6"/>
  <c r="AL38" i="6"/>
  <c r="G39" i="6"/>
  <c r="AI39" i="6"/>
  <c r="AJ39" i="6"/>
  <c r="AK39" i="6"/>
  <c r="AL39" i="6"/>
  <c r="E40" i="6"/>
  <c r="F40" i="6"/>
  <c r="G40" i="6"/>
  <c r="H40" i="6"/>
  <c r="I40" i="6"/>
  <c r="J40" i="6"/>
  <c r="K40" i="6"/>
  <c r="L40" i="6"/>
  <c r="N40" i="6"/>
  <c r="O40" i="6"/>
  <c r="Q40" i="6"/>
  <c r="R40" i="6"/>
  <c r="S40" i="6"/>
  <c r="U40" i="6"/>
  <c r="V40" i="6"/>
  <c r="X40" i="6"/>
  <c r="Y40" i="6"/>
  <c r="Z40" i="6"/>
  <c r="AA40" i="6"/>
  <c r="AB40" i="6"/>
  <c r="AC40" i="6"/>
  <c r="AH40" i="6"/>
  <c r="AI40" i="6"/>
  <c r="AJ40" i="6"/>
  <c r="AK40" i="6"/>
  <c r="AL40" i="6"/>
  <c r="G41" i="6"/>
  <c r="AI41" i="6"/>
  <c r="AJ41" i="6"/>
  <c r="AK41" i="6"/>
  <c r="AL41" i="6"/>
  <c r="E42" i="6"/>
  <c r="F42" i="6"/>
  <c r="G42" i="6"/>
  <c r="H42" i="6"/>
  <c r="I42" i="6"/>
  <c r="J42" i="6"/>
  <c r="K42" i="6"/>
  <c r="L42" i="6"/>
  <c r="N42" i="6"/>
  <c r="O42" i="6"/>
  <c r="Q42" i="6"/>
  <c r="R42" i="6"/>
  <c r="S42" i="6"/>
  <c r="U42" i="6"/>
  <c r="V42" i="6"/>
  <c r="X42" i="6"/>
  <c r="Y42" i="6"/>
  <c r="Z42" i="6"/>
  <c r="AA42" i="6"/>
  <c r="AB42" i="6"/>
  <c r="AC42" i="6"/>
  <c r="AH42" i="6"/>
  <c r="AI42" i="6"/>
  <c r="AJ42" i="6"/>
  <c r="AK42" i="6"/>
  <c r="AL42" i="6"/>
  <c r="G43" i="6"/>
  <c r="AI43" i="6"/>
  <c r="AJ43" i="6"/>
  <c r="AK43" i="6"/>
  <c r="AL43" i="6"/>
  <c r="E44" i="6"/>
  <c r="F44" i="6"/>
  <c r="G44" i="6"/>
  <c r="H44" i="6"/>
  <c r="I44" i="6"/>
  <c r="J44" i="6"/>
  <c r="K44" i="6"/>
  <c r="L44" i="6"/>
  <c r="N44" i="6"/>
  <c r="O44" i="6"/>
  <c r="Q44" i="6"/>
  <c r="R44" i="6"/>
  <c r="S44" i="6"/>
  <c r="U44" i="6"/>
  <c r="V44" i="6"/>
  <c r="X44" i="6"/>
  <c r="Y44" i="6"/>
  <c r="Z44" i="6"/>
  <c r="AA44" i="6"/>
  <c r="AB44" i="6"/>
  <c r="AC44" i="6"/>
  <c r="AH44" i="6"/>
  <c r="AI44" i="6"/>
  <c r="AJ44" i="6"/>
  <c r="AK44" i="6"/>
  <c r="AL44" i="6"/>
  <c r="G45" i="6"/>
  <c r="AI45" i="6"/>
  <c r="AJ45" i="6"/>
  <c r="AK45" i="6"/>
  <c r="AL45" i="6"/>
  <c r="E46" i="6"/>
  <c r="F46" i="6"/>
  <c r="G46" i="6"/>
  <c r="H46" i="6"/>
  <c r="I46" i="6"/>
  <c r="J46" i="6"/>
  <c r="K46" i="6"/>
  <c r="L46" i="6"/>
  <c r="N46" i="6"/>
  <c r="O46" i="6"/>
  <c r="Q46" i="6"/>
  <c r="R46" i="6"/>
  <c r="S46" i="6"/>
  <c r="U46" i="6"/>
  <c r="V46" i="6"/>
  <c r="X46" i="6"/>
  <c r="Y46" i="6"/>
  <c r="Z46" i="6"/>
  <c r="AA46" i="6"/>
  <c r="AB46" i="6"/>
  <c r="AC46" i="6"/>
  <c r="AH46" i="6"/>
  <c r="AI46" i="6"/>
  <c r="AJ46" i="6"/>
  <c r="AK46" i="6"/>
  <c r="AL46" i="6"/>
  <c r="G47" i="6"/>
  <c r="AI47" i="6"/>
  <c r="AJ47" i="6"/>
  <c r="AK47" i="6"/>
  <c r="AL47" i="6"/>
  <c r="E48" i="6"/>
  <c r="F48" i="6"/>
  <c r="G48" i="6"/>
  <c r="H48" i="6"/>
  <c r="I48" i="6"/>
  <c r="J48" i="6"/>
  <c r="K48" i="6"/>
  <c r="L48" i="6"/>
  <c r="N48" i="6"/>
  <c r="O48" i="6"/>
  <c r="Q48" i="6"/>
  <c r="R48" i="6"/>
  <c r="S48" i="6"/>
  <c r="U48" i="6"/>
  <c r="V48" i="6"/>
  <c r="X48" i="6"/>
  <c r="Y48" i="6"/>
  <c r="Z48" i="6"/>
  <c r="AA48" i="6"/>
  <c r="AB48" i="6"/>
  <c r="AC48" i="6"/>
  <c r="AH48" i="6"/>
  <c r="AI48" i="6"/>
  <c r="AJ48" i="6"/>
  <c r="AK48" i="6"/>
  <c r="AL48" i="6"/>
  <c r="G49" i="6"/>
  <c r="AI49" i="6"/>
  <c r="AJ49" i="6"/>
  <c r="AK49" i="6"/>
  <c r="AL49" i="6"/>
  <c r="E50" i="6"/>
  <c r="F50" i="6"/>
  <c r="G50" i="6"/>
  <c r="H50" i="6"/>
  <c r="I50" i="6"/>
  <c r="J50" i="6"/>
  <c r="K50" i="6"/>
  <c r="L50" i="6"/>
  <c r="N50" i="6"/>
  <c r="O50" i="6"/>
  <c r="Q50" i="6"/>
  <c r="R50" i="6"/>
  <c r="S50" i="6"/>
  <c r="U50" i="6"/>
  <c r="V50" i="6"/>
  <c r="X50" i="6"/>
  <c r="Y50" i="6"/>
  <c r="Z50" i="6"/>
  <c r="AA50" i="6"/>
  <c r="AB50" i="6"/>
  <c r="AC50" i="6"/>
  <c r="AH50" i="6"/>
  <c r="AI50" i="6"/>
  <c r="AJ50" i="6"/>
  <c r="AK50" i="6"/>
  <c r="AL50" i="6"/>
  <c r="G51" i="6"/>
  <c r="AI51" i="6"/>
  <c r="AJ51" i="6"/>
  <c r="AK51" i="6"/>
  <c r="AL51" i="6"/>
  <c r="E52" i="6"/>
  <c r="F52" i="6"/>
  <c r="G52" i="6"/>
  <c r="H52" i="6"/>
  <c r="I52" i="6"/>
  <c r="J52" i="6"/>
  <c r="K52" i="6"/>
  <c r="L52" i="6"/>
  <c r="N52" i="6"/>
  <c r="O52" i="6"/>
  <c r="Q52" i="6"/>
  <c r="R52" i="6"/>
  <c r="S52" i="6"/>
  <c r="U52" i="6"/>
  <c r="V52" i="6"/>
  <c r="X52" i="6"/>
  <c r="Y52" i="6"/>
  <c r="Z52" i="6"/>
  <c r="AA52" i="6"/>
  <c r="AB52" i="6"/>
  <c r="AC52" i="6"/>
  <c r="AH52" i="6"/>
  <c r="AI52" i="6"/>
  <c r="AJ52" i="6"/>
  <c r="AK52" i="6"/>
  <c r="AL52" i="6"/>
  <c r="G53" i="6"/>
  <c r="AI53" i="6"/>
  <c r="AJ53" i="6"/>
  <c r="AK53" i="6"/>
  <c r="AL53" i="6"/>
  <c r="E54" i="6"/>
  <c r="F54" i="6"/>
  <c r="G54" i="6"/>
  <c r="H54" i="6"/>
  <c r="I54" i="6"/>
  <c r="J54" i="6"/>
  <c r="K54" i="6"/>
  <c r="L54" i="6"/>
  <c r="N54" i="6"/>
  <c r="O54" i="6"/>
  <c r="Q54" i="6"/>
  <c r="R54" i="6"/>
  <c r="S54" i="6"/>
  <c r="U54" i="6"/>
  <c r="V54" i="6"/>
  <c r="X54" i="6"/>
  <c r="Y54" i="6"/>
  <c r="Z54" i="6"/>
  <c r="AA54" i="6"/>
  <c r="AB54" i="6"/>
  <c r="AC54" i="6"/>
  <c r="AH54" i="6"/>
  <c r="AI54" i="6"/>
  <c r="AJ54" i="6"/>
  <c r="AK54" i="6"/>
  <c r="AL54" i="6"/>
  <c r="G55" i="6"/>
  <c r="AI55" i="6"/>
  <c r="AJ55" i="6"/>
  <c r="AK55" i="6"/>
  <c r="AL55" i="6"/>
  <c r="E56" i="6"/>
  <c r="F56" i="6"/>
  <c r="G56" i="6"/>
  <c r="H56" i="6"/>
  <c r="I56" i="6"/>
  <c r="J56" i="6"/>
  <c r="K56" i="6"/>
  <c r="L56" i="6"/>
  <c r="N56" i="6"/>
  <c r="O56" i="6"/>
  <c r="Q56" i="6"/>
  <c r="R56" i="6"/>
  <c r="S56" i="6"/>
  <c r="U56" i="6"/>
  <c r="V56" i="6"/>
  <c r="X56" i="6"/>
  <c r="Y56" i="6"/>
  <c r="Z56" i="6"/>
  <c r="AA56" i="6"/>
  <c r="AB56" i="6"/>
  <c r="AC56" i="6"/>
  <c r="AH56" i="6"/>
  <c r="AI56" i="6"/>
  <c r="AJ56" i="6"/>
  <c r="AK56" i="6"/>
  <c r="AL56" i="6"/>
  <c r="G57" i="6"/>
  <c r="AI57" i="6"/>
  <c r="AJ57" i="6"/>
  <c r="AK57" i="6"/>
  <c r="AL57" i="6"/>
  <c r="E58" i="6"/>
  <c r="F58" i="6"/>
  <c r="G58" i="6"/>
  <c r="H58" i="6"/>
  <c r="I58" i="6"/>
  <c r="J58" i="6"/>
  <c r="K58" i="6"/>
  <c r="L58" i="6"/>
  <c r="N58" i="6"/>
  <c r="O58" i="6"/>
  <c r="Q58" i="6"/>
  <c r="R58" i="6"/>
  <c r="S58" i="6"/>
  <c r="U58" i="6"/>
  <c r="V58" i="6"/>
  <c r="X58" i="6"/>
  <c r="Y58" i="6"/>
  <c r="Z58" i="6"/>
  <c r="AA58" i="6"/>
  <c r="AB58" i="6"/>
  <c r="AC58" i="6"/>
  <c r="AH58" i="6"/>
  <c r="AI58" i="6"/>
  <c r="AJ58" i="6"/>
  <c r="AK58" i="6"/>
  <c r="AL58" i="6"/>
  <c r="G59" i="6"/>
  <c r="AI59" i="6"/>
  <c r="AJ59" i="6"/>
  <c r="AK59" i="6"/>
  <c r="AL59" i="6"/>
  <c r="E60" i="6"/>
  <c r="F60" i="6"/>
  <c r="G60" i="6"/>
  <c r="H60" i="6"/>
  <c r="I60" i="6"/>
  <c r="J60" i="6"/>
  <c r="K60" i="6"/>
  <c r="L60" i="6"/>
  <c r="N60" i="6"/>
  <c r="O60" i="6"/>
  <c r="Q60" i="6"/>
  <c r="R60" i="6"/>
  <c r="S60" i="6"/>
  <c r="U60" i="6"/>
  <c r="V60" i="6"/>
  <c r="X60" i="6"/>
  <c r="Y60" i="6"/>
  <c r="Z60" i="6"/>
  <c r="AA60" i="6"/>
  <c r="AB60" i="6"/>
  <c r="AC60" i="6"/>
  <c r="AH60" i="6"/>
  <c r="AI60" i="6"/>
  <c r="AJ60" i="6"/>
  <c r="AK60" i="6"/>
  <c r="AL60" i="6"/>
  <c r="G61" i="6"/>
  <c r="AI61" i="6"/>
  <c r="AJ61" i="6"/>
  <c r="AK61" i="6"/>
  <c r="AL61" i="6"/>
  <c r="E62" i="6"/>
  <c r="F62" i="6"/>
  <c r="G62" i="6"/>
  <c r="H62" i="6"/>
  <c r="I62" i="6"/>
  <c r="J62" i="6"/>
  <c r="K62" i="6"/>
  <c r="L62" i="6"/>
  <c r="N62" i="6"/>
  <c r="O62" i="6"/>
  <c r="Q62" i="6"/>
  <c r="R62" i="6"/>
  <c r="S62" i="6"/>
  <c r="U62" i="6"/>
  <c r="V62" i="6"/>
  <c r="X62" i="6"/>
  <c r="Y62" i="6"/>
  <c r="Z62" i="6"/>
  <c r="AA62" i="6"/>
  <c r="AB62" i="6"/>
  <c r="AC62" i="6"/>
  <c r="AH62" i="6"/>
  <c r="AI62" i="6"/>
  <c r="AJ62" i="6"/>
  <c r="AK62" i="6"/>
  <c r="AL62" i="6"/>
  <c r="G63" i="6"/>
  <c r="AI63" i="6"/>
  <c r="AJ63" i="6"/>
  <c r="AK63" i="6"/>
  <c r="AL63" i="6"/>
  <c r="E64" i="6"/>
  <c r="F64" i="6"/>
  <c r="G64" i="6"/>
  <c r="H64" i="6"/>
  <c r="I64" i="6"/>
  <c r="J64" i="6"/>
  <c r="K64" i="6"/>
  <c r="L64" i="6"/>
  <c r="N64" i="6"/>
  <c r="O64" i="6"/>
  <c r="Q64" i="6"/>
  <c r="R64" i="6"/>
  <c r="S64" i="6"/>
  <c r="U64" i="6"/>
  <c r="V64" i="6"/>
  <c r="X64" i="6"/>
  <c r="Y64" i="6"/>
  <c r="Z64" i="6"/>
  <c r="AA64" i="6"/>
  <c r="AB64" i="6"/>
  <c r="AC64" i="6"/>
  <c r="AH64" i="6"/>
  <c r="AI64" i="6"/>
  <c r="AJ64" i="6"/>
  <c r="AK64" i="6"/>
  <c r="AL64" i="6"/>
  <c r="G65" i="6"/>
  <c r="AI65" i="6"/>
  <c r="AJ65" i="6"/>
  <c r="AK65" i="6"/>
  <c r="AL65" i="6"/>
  <c r="E66" i="6"/>
  <c r="F66" i="6"/>
  <c r="G66" i="6"/>
  <c r="H66" i="6"/>
  <c r="I66" i="6"/>
  <c r="J66" i="6"/>
  <c r="K66" i="6"/>
  <c r="L66" i="6"/>
  <c r="N66" i="6"/>
  <c r="O66" i="6"/>
  <c r="Q66" i="6"/>
  <c r="R66" i="6"/>
  <c r="S66" i="6"/>
  <c r="U66" i="6"/>
  <c r="V66" i="6"/>
  <c r="X66" i="6"/>
  <c r="Y66" i="6"/>
  <c r="Z66" i="6"/>
  <c r="AA66" i="6"/>
  <c r="AB66" i="6"/>
  <c r="AC66" i="6"/>
  <c r="AH66" i="6"/>
  <c r="AI66" i="6"/>
  <c r="AJ66" i="6"/>
  <c r="AK66" i="6"/>
  <c r="AL66" i="6"/>
  <c r="G67" i="6"/>
  <c r="AI67" i="6"/>
  <c r="AJ67" i="6"/>
  <c r="AK67" i="6"/>
  <c r="AL67" i="6"/>
  <c r="E68" i="6"/>
  <c r="F68" i="6"/>
  <c r="G68" i="6"/>
  <c r="H68" i="6"/>
  <c r="I68" i="6"/>
  <c r="J68" i="6"/>
  <c r="K68" i="6"/>
  <c r="L68" i="6"/>
  <c r="N68" i="6"/>
  <c r="O68" i="6"/>
  <c r="Q68" i="6"/>
  <c r="R68" i="6"/>
  <c r="S68" i="6"/>
  <c r="U68" i="6"/>
  <c r="V68" i="6"/>
  <c r="X68" i="6"/>
  <c r="Y68" i="6"/>
  <c r="Z68" i="6"/>
  <c r="AA68" i="6"/>
  <c r="AB68" i="6"/>
  <c r="AC68" i="6"/>
  <c r="AH68" i="6"/>
  <c r="AI68" i="6"/>
  <c r="AJ68" i="6"/>
  <c r="AK68" i="6"/>
  <c r="AL68" i="6"/>
  <c r="G69" i="6"/>
  <c r="AI69" i="6"/>
  <c r="AJ69" i="6"/>
  <c r="AK69" i="6"/>
  <c r="AL69" i="6"/>
  <c r="E70" i="6"/>
  <c r="F70" i="6"/>
  <c r="G70" i="6"/>
  <c r="H70" i="6"/>
  <c r="I70" i="6"/>
  <c r="J70" i="6"/>
  <c r="K70" i="6"/>
  <c r="L70" i="6"/>
  <c r="N70" i="6"/>
  <c r="O70" i="6"/>
  <c r="Q70" i="6"/>
  <c r="R70" i="6"/>
  <c r="S70" i="6"/>
  <c r="U70" i="6"/>
  <c r="V70" i="6"/>
  <c r="X70" i="6"/>
  <c r="Y70" i="6"/>
  <c r="Z70" i="6"/>
  <c r="AA70" i="6"/>
  <c r="AB70" i="6"/>
  <c r="AC70" i="6"/>
  <c r="AH70" i="6"/>
  <c r="AI70" i="6"/>
  <c r="AJ70" i="6"/>
  <c r="AK70" i="6"/>
  <c r="AL70" i="6"/>
  <c r="G71" i="6"/>
  <c r="AI71" i="6"/>
  <c r="AJ71" i="6"/>
  <c r="AK71" i="6"/>
  <c r="AL71" i="6"/>
  <c r="E72" i="6"/>
  <c r="F72" i="6"/>
  <c r="G72" i="6"/>
  <c r="H72" i="6"/>
  <c r="I72" i="6"/>
  <c r="J72" i="6"/>
  <c r="K72" i="6"/>
  <c r="L72" i="6"/>
  <c r="N72" i="6"/>
  <c r="O72" i="6"/>
  <c r="Q72" i="6"/>
  <c r="R72" i="6"/>
  <c r="S72" i="6"/>
  <c r="U72" i="6"/>
  <c r="V72" i="6"/>
  <c r="X72" i="6"/>
  <c r="Y72" i="6"/>
  <c r="Z72" i="6"/>
  <c r="AA72" i="6"/>
  <c r="AB72" i="6"/>
  <c r="AC72" i="6"/>
  <c r="AH72" i="6"/>
  <c r="AI72" i="6"/>
  <c r="AJ72" i="6"/>
  <c r="AK72" i="6"/>
  <c r="AL72" i="6"/>
  <c r="G73" i="6"/>
  <c r="AI73" i="6"/>
  <c r="AJ73" i="6"/>
  <c r="AK73" i="6"/>
  <c r="AL73" i="6"/>
  <c r="H74" i="6"/>
  <c r="I74" i="6"/>
  <c r="J74" i="6"/>
  <c r="K74" i="6"/>
  <c r="L74" i="6"/>
  <c r="N74" i="6"/>
  <c r="O74" i="6"/>
  <c r="Q74" i="6"/>
  <c r="R74" i="6"/>
  <c r="S74" i="6"/>
  <c r="U74" i="6"/>
  <c r="V74" i="6"/>
  <c r="X74" i="6"/>
  <c r="Y74" i="6"/>
  <c r="Z74" i="6"/>
  <c r="AA74" i="6"/>
  <c r="AB74" i="6"/>
  <c r="AC74" i="6"/>
  <c r="AI74" i="6"/>
  <c r="AJ74" i="6"/>
  <c r="E80" i="6"/>
  <c r="F80" i="6"/>
  <c r="G80" i="6"/>
  <c r="H80" i="6"/>
  <c r="I80" i="6"/>
  <c r="J80" i="6"/>
  <c r="K80" i="6"/>
  <c r="L80" i="6"/>
  <c r="N80" i="6"/>
  <c r="O80" i="6"/>
  <c r="Q80" i="6"/>
  <c r="R80" i="6"/>
  <c r="S80" i="6"/>
  <c r="U80" i="6"/>
  <c r="V80" i="6"/>
  <c r="X80" i="6"/>
  <c r="Y80" i="6"/>
  <c r="Z80" i="6"/>
  <c r="AA80" i="6"/>
  <c r="AB80" i="6"/>
  <c r="AC80" i="6"/>
  <c r="AH80" i="6"/>
  <c r="AI80" i="6"/>
  <c r="AJ80" i="6"/>
  <c r="AK80" i="6"/>
  <c r="AL80" i="6"/>
  <c r="G81" i="6"/>
  <c r="AI81" i="6"/>
  <c r="AJ81" i="6"/>
  <c r="AK81" i="6"/>
  <c r="AL81" i="6"/>
  <c r="H82" i="6"/>
  <c r="I82" i="6"/>
  <c r="J82" i="6"/>
  <c r="K82" i="6"/>
  <c r="L82" i="6"/>
  <c r="N82" i="6"/>
  <c r="O82" i="6"/>
  <c r="Q82" i="6"/>
  <c r="R82" i="6"/>
  <c r="S82" i="6"/>
  <c r="U82" i="6"/>
  <c r="V82" i="6"/>
  <c r="X82" i="6"/>
  <c r="Y82" i="6"/>
  <c r="Z82" i="6"/>
  <c r="AA82" i="6"/>
  <c r="AB82" i="6"/>
  <c r="AC82" i="6"/>
  <c r="AI82" i="6"/>
  <c r="AJ82" i="6"/>
  <c r="E88" i="6"/>
  <c r="F88" i="6"/>
  <c r="G88" i="6"/>
  <c r="H88" i="6"/>
  <c r="I88" i="6"/>
  <c r="J88" i="6"/>
  <c r="K88" i="6"/>
  <c r="L88" i="6"/>
  <c r="N88" i="6"/>
  <c r="O88" i="6"/>
  <c r="Q88" i="6"/>
  <c r="R88" i="6"/>
  <c r="S88" i="6"/>
  <c r="U88" i="6"/>
  <c r="V88" i="6"/>
  <c r="X88" i="6"/>
  <c r="Y88" i="6"/>
  <c r="Z88" i="6"/>
  <c r="AA88" i="6"/>
  <c r="AB88" i="6"/>
  <c r="AC88" i="6"/>
  <c r="AH88" i="6"/>
  <c r="AI88" i="6"/>
  <c r="AJ88" i="6"/>
  <c r="AK88" i="6"/>
  <c r="AL88" i="6"/>
  <c r="G89" i="6"/>
  <c r="AI89" i="6"/>
  <c r="AJ89" i="6"/>
  <c r="AK89" i="6"/>
  <c r="AL89" i="6"/>
  <c r="H90" i="6"/>
  <c r="I90" i="6"/>
  <c r="J90" i="6"/>
  <c r="K90" i="6"/>
  <c r="L90" i="6"/>
  <c r="N90" i="6"/>
  <c r="O90" i="6"/>
  <c r="Q90" i="6"/>
  <c r="R90" i="6"/>
  <c r="S90" i="6"/>
  <c r="U90" i="6"/>
  <c r="V90" i="6"/>
  <c r="X90" i="6"/>
  <c r="Y90" i="6"/>
  <c r="Z90" i="6"/>
  <c r="AA90" i="6"/>
  <c r="AB90" i="6"/>
  <c r="AC90" i="6"/>
  <c r="AI90" i="6"/>
  <c r="AJ90" i="6"/>
  <c r="E96" i="6"/>
  <c r="F96" i="6"/>
  <c r="G96" i="6"/>
  <c r="H96" i="6"/>
  <c r="I96" i="6"/>
  <c r="J96" i="6"/>
  <c r="K96" i="6"/>
  <c r="L96" i="6"/>
  <c r="N96" i="6"/>
  <c r="O96" i="6"/>
  <c r="Q96" i="6"/>
  <c r="R96" i="6"/>
  <c r="S96" i="6"/>
  <c r="U96" i="6"/>
  <c r="V96" i="6"/>
  <c r="X96" i="6"/>
  <c r="Y96" i="6"/>
  <c r="Z96" i="6"/>
  <c r="AA96" i="6"/>
  <c r="AB96" i="6"/>
  <c r="AC96" i="6"/>
  <c r="AH96" i="6"/>
  <c r="AI96" i="6"/>
  <c r="AJ96" i="6"/>
  <c r="AK96" i="6"/>
  <c r="AL96" i="6"/>
  <c r="G97" i="6"/>
  <c r="AI97" i="6"/>
  <c r="AJ97" i="6"/>
  <c r="AK97" i="6"/>
  <c r="AL97" i="6"/>
  <c r="E98" i="6"/>
  <c r="F98" i="6"/>
  <c r="G98" i="6"/>
  <c r="H98" i="6"/>
  <c r="I98" i="6"/>
  <c r="J98" i="6"/>
  <c r="K98" i="6"/>
  <c r="L98" i="6"/>
  <c r="N98" i="6"/>
  <c r="O98" i="6"/>
  <c r="Q98" i="6"/>
  <c r="R98" i="6"/>
  <c r="S98" i="6"/>
  <c r="U98" i="6"/>
  <c r="V98" i="6"/>
  <c r="X98" i="6"/>
  <c r="Y98" i="6"/>
  <c r="Z98" i="6"/>
  <c r="AA98" i="6"/>
  <c r="AB98" i="6"/>
  <c r="AC98" i="6"/>
  <c r="AH98" i="6"/>
  <c r="AI98" i="6"/>
  <c r="AJ98" i="6"/>
  <c r="AK98" i="6"/>
  <c r="AL98" i="6"/>
  <c r="G99" i="6"/>
  <c r="AI99" i="6"/>
  <c r="AJ99" i="6"/>
  <c r="AK99" i="6"/>
  <c r="AL99" i="6"/>
  <c r="E100" i="6"/>
  <c r="F100" i="6"/>
  <c r="G100" i="6"/>
  <c r="H100" i="6"/>
  <c r="I100" i="6"/>
  <c r="J100" i="6"/>
  <c r="K100" i="6"/>
  <c r="L100" i="6"/>
  <c r="N100" i="6"/>
  <c r="O100" i="6"/>
  <c r="Q100" i="6"/>
  <c r="R100" i="6"/>
  <c r="S100" i="6"/>
  <c r="U100" i="6"/>
  <c r="V100" i="6"/>
  <c r="X100" i="6"/>
  <c r="Y100" i="6"/>
  <c r="Z100" i="6"/>
  <c r="AA100" i="6"/>
  <c r="AB100" i="6"/>
  <c r="AC100" i="6"/>
  <c r="AH100" i="6"/>
  <c r="AI100" i="6"/>
  <c r="AJ100" i="6"/>
  <c r="AK100" i="6"/>
  <c r="AL100" i="6"/>
  <c r="G101" i="6"/>
  <c r="AI101" i="6"/>
  <c r="AJ101" i="6"/>
  <c r="AK101" i="6"/>
  <c r="AL101" i="6"/>
  <c r="E102" i="6"/>
  <c r="F102" i="6"/>
  <c r="G102" i="6"/>
  <c r="H102" i="6"/>
  <c r="I102" i="6"/>
  <c r="J102" i="6"/>
  <c r="K102" i="6"/>
  <c r="L102" i="6"/>
  <c r="N102" i="6"/>
  <c r="O102" i="6"/>
  <c r="Q102" i="6"/>
  <c r="R102" i="6"/>
  <c r="S102" i="6"/>
  <c r="U102" i="6"/>
  <c r="V102" i="6"/>
  <c r="X102" i="6"/>
  <c r="Y102" i="6"/>
  <c r="Z102" i="6"/>
  <c r="AA102" i="6"/>
  <c r="AB102" i="6"/>
  <c r="AC102" i="6"/>
  <c r="AH102" i="6"/>
  <c r="AI102" i="6"/>
  <c r="AJ102" i="6"/>
  <c r="AK102" i="6"/>
  <c r="AL102" i="6"/>
  <c r="G103" i="6"/>
  <c r="AI103" i="6"/>
  <c r="AJ103" i="6"/>
  <c r="AK103" i="6"/>
  <c r="AL103" i="6"/>
  <c r="H104" i="6"/>
  <c r="I104" i="6"/>
  <c r="J104" i="6"/>
  <c r="K104" i="6"/>
  <c r="L104" i="6"/>
  <c r="N104" i="6"/>
  <c r="O104" i="6"/>
  <c r="Q104" i="6"/>
  <c r="R104" i="6"/>
  <c r="S104" i="6"/>
  <c r="U104" i="6"/>
  <c r="V104" i="6"/>
  <c r="X104" i="6"/>
  <c r="Y104" i="6"/>
  <c r="Z104" i="6"/>
  <c r="AA104" i="6"/>
  <c r="AB104" i="6"/>
  <c r="AC104" i="6"/>
  <c r="AI104" i="6"/>
  <c r="AJ104" i="6"/>
  <c r="E110" i="6"/>
  <c r="F110" i="6"/>
  <c r="G110" i="6"/>
  <c r="H110" i="6"/>
  <c r="I110" i="6"/>
  <c r="J110" i="6"/>
  <c r="K110" i="6"/>
  <c r="L110" i="6"/>
  <c r="N110" i="6"/>
  <c r="O110" i="6"/>
  <c r="Q110" i="6"/>
  <c r="R110" i="6"/>
  <c r="S110" i="6"/>
  <c r="U110" i="6"/>
  <c r="V110" i="6"/>
  <c r="X110" i="6"/>
  <c r="Y110" i="6"/>
  <c r="Z110" i="6"/>
  <c r="AA110" i="6"/>
  <c r="AB110" i="6"/>
  <c r="AC110" i="6"/>
  <c r="AH110" i="6"/>
  <c r="AI110" i="6"/>
  <c r="AJ110" i="6"/>
  <c r="AK110" i="6"/>
  <c r="AL110" i="6"/>
  <c r="G111" i="6"/>
  <c r="AI111" i="6"/>
  <c r="AJ111" i="6"/>
  <c r="AK111" i="6"/>
  <c r="AL111" i="6"/>
  <c r="E112" i="6"/>
  <c r="F112" i="6"/>
  <c r="G112" i="6"/>
  <c r="H112" i="6"/>
  <c r="I112" i="6"/>
  <c r="J112" i="6"/>
  <c r="K112" i="6"/>
  <c r="L112" i="6"/>
  <c r="N112" i="6"/>
  <c r="O112" i="6"/>
  <c r="Q112" i="6"/>
  <c r="R112" i="6"/>
  <c r="S112" i="6"/>
  <c r="U112" i="6"/>
  <c r="V112" i="6"/>
  <c r="X112" i="6"/>
  <c r="Y112" i="6"/>
  <c r="Z112" i="6"/>
  <c r="AA112" i="6"/>
  <c r="AB112" i="6"/>
  <c r="AC112" i="6"/>
  <c r="AH112" i="6"/>
  <c r="AI112" i="6"/>
  <c r="AJ112" i="6"/>
  <c r="AK112" i="6"/>
  <c r="AL112" i="6"/>
  <c r="G113" i="6"/>
  <c r="AI113" i="6"/>
  <c r="AJ113" i="6"/>
  <c r="AK113" i="6"/>
  <c r="AL113" i="6"/>
  <c r="E114" i="6"/>
  <c r="F114" i="6"/>
  <c r="G114" i="6"/>
  <c r="H114" i="6"/>
  <c r="I114" i="6"/>
  <c r="J114" i="6"/>
  <c r="K114" i="6"/>
  <c r="L114" i="6"/>
  <c r="N114" i="6"/>
  <c r="O114" i="6"/>
  <c r="Q114" i="6"/>
  <c r="R114" i="6"/>
  <c r="S114" i="6"/>
  <c r="U114" i="6"/>
  <c r="V114" i="6"/>
  <c r="X114" i="6"/>
  <c r="Y114" i="6"/>
  <c r="Z114" i="6"/>
  <c r="AA114" i="6"/>
  <c r="AB114" i="6"/>
  <c r="AC114" i="6"/>
  <c r="AH114" i="6"/>
  <c r="AI114" i="6"/>
  <c r="AJ114" i="6"/>
  <c r="AK114" i="6"/>
  <c r="AL114" i="6"/>
  <c r="G115" i="6"/>
  <c r="AI115" i="6"/>
  <c r="AJ115" i="6"/>
  <c r="AK115" i="6"/>
  <c r="AL115" i="6"/>
  <c r="E116" i="6"/>
  <c r="F116" i="6"/>
  <c r="G116" i="6"/>
  <c r="H116" i="6"/>
  <c r="I116" i="6"/>
  <c r="J116" i="6"/>
  <c r="K116" i="6"/>
  <c r="L116" i="6"/>
  <c r="N116" i="6"/>
  <c r="O116" i="6"/>
  <c r="Q116" i="6"/>
  <c r="R116" i="6"/>
  <c r="S116" i="6"/>
  <c r="U116" i="6"/>
  <c r="V116" i="6"/>
  <c r="X116" i="6"/>
  <c r="Y116" i="6"/>
  <c r="Z116" i="6"/>
  <c r="AA116" i="6"/>
  <c r="AB116" i="6"/>
  <c r="AC116" i="6"/>
  <c r="AH116" i="6"/>
  <c r="AI116" i="6"/>
  <c r="AJ116" i="6"/>
  <c r="AK116" i="6"/>
  <c r="AL116" i="6"/>
  <c r="G117" i="6"/>
  <c r="AI117" i="6"/>
  <c r="AJ117" i="6"/>
  <c r="AK117" i="6"/>
  <c r="AL117" i="6"/>
  <c r="H118" i="6"/>
  <c r="I118" i="6"/>
  <c r="J118" i="6"/>
  <c r="K118" i="6"/>
  <c r="L118" i="6"/>
  <c r="N118" i="6"/>
  <c r="O118" i="6"/>
  <c r="Q118" i="6"/>
  <c r="R118" i="6"/>
  <c r="S118" i="6"/>
  <c r="U118" i="6"/>
  <c r="V118" i="6"/>
  <c r="X118" i="6"/>
  <c r="Y118" i="6"/>
  <c r="Z118" i="6"/>
  <c r="AA118" i="6"/>
  <c r="AB118" i="6"/>
  <c r="AC118" i="6"/>
  <c r="AI118" i="6"/>
  <c r="AJ118" i="6"/>
  <c r="E124" i="6"/>
  <c r="F124" i="6"/>
  <c r="G124" i="6"/>
  <c r="H124" i="6"/>
  <c r="I124" i="6"/>
  <c r="J124" i="6"/>
  <c r="K124" i="6"/>
  <c r="L124" i="6"/>
  <c r="N124" i="6"/>
  <c r="O124" i="6"/>
  <c r="Q124" i="6"/>
  <c r="R124" i="6"/>
  <c r="S124" i="6"/>
  <c r="U124" i="6"/>
  <c r="V124" i="6"/>
  <c r="X124" i="6"/>
  <c r="Y124" i="6"/>
  <c r="Z124" i="6"/>
  <c r="AA124" i="6"/>
  <c r="AB124" i="6"/>
  <c r="AC124" i="6"/>
  <c r="AH124" i="6"/>
  <c r="AI124" i="6"/>
  <c r="AJ124" i="6"/>
  <c r="AK124" i="6"/>
  <c r="AL124" i="6"/>
  <c r="G125" i="6"/>
  <c r="AI125" i="6"/>
  <c r="AJ125" i="6"/>
  <c r="AK125" i="6"/>
  <c r="AL125" i="6"/>
  <c r="H126" i="6"/>
  <c r="I126" i="6"/>
  <c r="J126" i="6"/>
  <c r="K126" i="6"/>
  <c r="L126" i="6"/>
  <c r="N126" i="6"/>
  <c r="O126" i="6"/>
  <c r="Q126" i="6"/>
  <c r="R126" i="6"/>
  <c r="S126" i="6"/>
  <c r="U126" i="6"/>
  <c r="V126" i="6"/>
  <c r="X126" i="6"/>
  <c r="Y126" i="6"/>
  <c r="Z126" i="6"/>
  <c r="AA126" i="6"/>
  <c r="AB126" i="6"/>
  <c r="AC126" i="6"/>
  <c r="AI126" i="6"/>
  <c r="AJ126" i="6"/>
  <c r="A2" i="9"/>
  <c r="A3" i="9"/>
  <c r="A4" i="9"/>
  <c r="A5" i="9"/>
  <c r="A6" i="9"/>
  <c r="E10" i="9"/>
  <c r="F10" i="9"/>
  <c r="G10" i="9"/>
  <c r="H10" i="9"/>
  <c r="I10" i="9"/>
  <c r="J10" i="9"/>
  <c r="K10" i="9"/>
  <c r="L10" i="9"/>
  <c r="N10" i="9"/>
  <c r="O10" i="9"/>
  <c r="Q10" i="9"/>
  <c r="R10" i="9"/>
  <c r="S10" i="9"/>
  <c r="U10" i="9"/>
  <c r="V10" i="9"/>
  <c r="X10" i="9"/>
  <c r="Y10" i="9"/>
  <c r="Z10" i="9"/>
  <c r="AA10" i="9"/>
  <c r="AB10" i="9"/>
  <c r="AC10" i="9"/>
  <c r="AH10" i="9"/>
  <c r="AI10" i="9"/>
  <c r="AJ10" i="9"/>
  <c r="AK10" i="9"/>
  <c r="AL10" i="9"/>
  <c r="G11" i="9"/>
  <c r="AI11" i="9"/>
  <c r="AJ11" i="9"/>
  <c r="AK11" i="9"/>
  <c r="AL11" i="9"/>
  <c r="H12" i="9"/>
  <c r="I12" i="9"/>
  <c r="J12" i="9"/>
  <c r="K12" i="9"/>
  <c r="L12" i="9"/>
  <c r="N12" i="9"/>
  <c r="O12" i="9"/>
  <c r="Q12" i="9"/>
  <c r="R12" i="9"/>
  <c r="S12" i="9"/>
  <c r="U12" i="9"/>
  <c r="V12" i="9"/>
  <c r="X12" i="9"/>
  <c r="Y12" i="9"/>
  <c r="Z12" i="9"/>
  <c r="AA12" i="9"/>
  <c r="AB12" i="9"/>
  <c r="AC12" i="9"/>
  <c r="AI12" i="9"/>
  <c r="AJ12" i="9"/>
  <c r="B5" i="16"/>
  <c r="C5" i="16"/>
  <c r="E5" i="16"/>
  <c r="F5" i="16"/>
  <c r="H5" i="16"/>
  <c r="B6" i="16"/>
  <c r="C6" i="16"/>
  <c r="E6" i="16"/>
  <c r="F6" i="16"/>
  <c r="H6" i="16"/>
  <c r="I6" i="16"/>
  <c r="B7" i="16"/>
  <c r="C7" i="16"/>
  <c r="E7" i="16"/>
  <c r="F7" i="16"/>
  <c r="H7" i="16"/>
  <c r="I7" i="16"/>
  <c r="B8" i="16"/>
  <c r="C8" i="16"/>
  <c r="E8" i="16"/>
  <c r="F8" i="16"/>
  <c r="H8" i="16"/>
  <c r="I8" i="16"/>
  <c r="B9" i="16"/>
  <c r="C9" i="16"/>
  <c r="E9" i="16"/>
  <c r="F9" i="16"/>
  <c r="H9" i="16"/>
  <c r="I9" i="16"/>
  <c r="B10" i="16"/>
  <c r="C10" i="16"/>
  <c r="E10" i="16"/>
  <c r="F10" i="16"/>
  <c r="H10" i="16"/>
  <c r="I10" i="16"/>
  <c r="J10" i="16"/>
  <c r="B11" i="16"/>
  <c r="C11" i="16"/>
  <c r="E11" i="16"/>
  <c r="F11" i="16"/>
  <c r="H11" i="16"/>
  <c r="I11" i="16"/>
  <c r="J11" i="16"/>
  <c r="B12" i="16"/>
  <c r="C12" i="16"/>
  <c r="E12" i="16"/>
  <c r="F12" i="16"/>
  <c r="H12" i="16"/>
  <c r="I12" i="16"/>
  <c r="J12" i="16"/>
  <c r="B13" i="16"/>
  <c r="C13" i="16"/>
  <c r="E13" i="16"/>
  <c r="F13" i="16"/>
  <c r="H13" i="16"/>
  <c r="I13" i="16"/>
  <c r="J13" i="16"/>
  <c r="B14" i="16"/>
  <c r="C14" i="16"/>
  <c r="E14" i="16"/>
  <c r="F14" i="16"/>
  <c r="H14" i="16"/>
  <c r="I14" i="16"/>
  <c r="J14" i="16"/>
  <c r="B15" i="16"/>
  <c r="C15" i="16"/>
  <c r="E15" i="16"/>
  <c r="F15" i="16"/>
  <c r="H15" i="16"/>
  <c r="I15" i="16"/>
  <c r="J15" i="16"/>
  <c r="B16" i="16"/>
  <c r="C16" i="16"/>
  <c r="E16" i="16"/>
  <c r="F16" i="16"/>
  <c r="H16" i="16"/>
  <c r="I16" i="16"/>
  <c r="J16" i="16"/>
  <c r="B17" i="16"/>
  <c r="C17" i="16"/>
  <c r="E17" i="16"/>
  <c r="F17" i="16"/>
  <c r="H17" i="16"/>
  <c r="I17" i="16"/>
  <c r="J17" i="16"/>
  <c r="B18" i="16"/>
  <c r="C18" i="16"/>
  <c r="E18" i="16"/>
  <c r="F18" i="16"/>
  <c r="H18" i="16"/>
  <c r="I18" i="16"/>
  <c r="J18" i="16"/>
  <c r="D4" i="20"/>
  <c r="E4" i="20"/>
  <c r="F4" i="20"/>
  <c r="G4" i="20"/>
  <c r="H4" i="20"/>
  <c r="I4" i="20"/>
  <c r="M4" i="20"/>
  <c r="N4" i="20"/>
  <c r="O4" i="20"/>
  <c r="D5" i="20"/>
  <c r="E5" i="20"/>
  <c r="F5" i="20"/>
  <c r="G5" i="20"/>
  <c r="H5" i="20"/>
  <c r="I5" i="20"/>
  <c r="M5" i="20"/>
  <c r="N5" i="20"/>
  <c r="O5" i="20"/>
  <c r="D6" i="20"/>
  <c r="E6" i="20"/>
  <c r="F6" i="20"/>
  <c r="G6" i="20"/>
  <c r="H6" i="20"/>
  <c r="I6" i="20"/>
  <c r="M6" i="20"/>
  <c r="N6" i="20"/>
  <c r="O6" i="20"/>
  <c r="D7" i="20"/>
  <c r="E7" i="20"/>
  <c r="F7" i="20"/>
  <c r="G7" i="20"/>
  <c r="H7" i="20"/>
  <c r="I7" i="20"/>
  <c r="M7" i="20"/>
  <c r="N7" i="20"/>
  <c r="O7" i="20"/>
  <c r="D8" i="20"/>
  <c r="E8" i="20"/>
  <c r="F8" i="20"/>
  <c r="G8" i="20"/>
  <c r="H8" i="20"/>
  <c r="I8" i="20"/>
  <c r="M8" i="20"/>
  <c r="N8" i="20"/>
  <c r="O8" i="20"/>
  <c r="D9" i="20"/>
  <c r="E9" i="20"/>
  <c r="F9" i="20"/>
  <c r="G9" i="20"/>
  <c r="H9" i="20"/>
  <c r="I9" i="20"/>
  <c r="M9" i="20"/>
  <c r="N9" i="20"/>
  <c r="O9" i="20"/>
  <c r="D10" i="20"/>
  <c r="E10" i="20"/>
  <c r="F10" i="20"/>
  <c r="G10" i="20"/>
  <c r="H10" i="20"/>
  <c r="I10" i="20"/>
  <c r="M10" i="20"/>
  <c r="N10" i="20"/>
  <c r="O10" i="20"/>
  <c r="D11" i="20"/>
  <c r="E11" i="20"/>
  <c r="F11" i="20"/>
  <c r="G11" i="20"/>
  <c r="H11" i="20"/>
  <c r="I11" i="20"/>
  <c r="M11" i="20"/>
  <c r="N11" i="20"/>
  <c r="O11" i="20"/>
  <c r="D12" i="20"/>
  <c r="E12" i="20"/>
  <c r="F12" i="20"/>
  <c r="G12" i="20"/>
  <c r="H12" i="20"/>
  <c r="I12" i="20"/>
  <c r="M12" i="20"/>
  <c r="N12" i="20"/>
  <c r="O12" i="20"/>
  <c r="D13" i="20"/>
  <c r="E13" i="20"/>
  <c r="F13" i="20"/>
  <c r="G13" i="20"/>
  <c r="H13" i="20"/>
  <c r="I13" i="20"/>
  <c r="M13" i="20"/>
  <c r="N13" i="20"/>
  <c r="O13" i="20"/>
  <c r="B17" i="20"/>
  <c r="C17" i="20"/>
  <c r="D17" i="20"/>
  <c r="E17" i="20"/>
  <c r="F17" i="20"/>
  <c r="G17" i="20"/>
  <c r="H17" i="20"/>
  <c r="I17" i="20"/>
  <c r="M17" i="20"/>
  <c r="N17" i="20"/>
  <c r="O17" i="20"/>
  <c r="Q17" i="20"/>
  <c r="R17" i="20"/>
  <c r="S17" i="20"/>
  <c r="T17" i="20"/>
  <c r="U17" i="20"/>
  <c r="V17" i="20"/>
  <c r="W17" i="20"/>
  <c r="X17" i="20"/>
  <c r="Y17" i="20"/>
  <c r="Z17" i="20"/>
  <c r="AB17" i="20"/>
  <c r="AC17" i="20"/>
  <c r="AD17" i="20"/>
  <c r="AE17" i="20"/>
  <c r="AF17" i="20"/>
  <c r="AG17" i="20"/>
  <c r="AH17" i="20"/>
  <c r="AI17" i="20"/>
  <c r="AJ17" i="20"/>
  <c r="AK17" i="20"/>
  <c r="AM17" i="20"/>
  <c r="AN17" i="20"/>
  <c r="AO17" i="20"/>
  <c r="AP17" i="20"/>
  <c r="AQ17" i="20"/>
  <c r="AR17" i="20"/>
  <c r="AS17" i="20"/>
  <c r="AT17" i="20"/>
  <c r="AU17" i="20"/>
  <c r="AV17" i="20"/>
  <c r="AW17" i="20"/>
  <c r="AX17" i="20"/>
  <c r="BG17" i="20"/>
  <c r="BH17" i="20"/>
  <c r="BI17" i="20"/>
  <c r="BJ17" i="20"/>
  <c r="BK17" i="20"/>
  <c r="BL17" i="20"/>
  <c r="BM17" i="20"/>
  <c r="BN17" i="20"/>
  <c r="BP17" i="20"/>
  <c r="BQ17" i="20"/>
  <c r="BR17" i="20"/>
  <c r="BS17" i="20"/>
  <c r="BU17" i="20"/>
  <c r="BV17" i="20"/>
  <c r="BW17" i="20"/>
  <c r="BX17" i="20"/>
  <c r="BZ17" i="20"/>
  <c r="CA17" i="20"/>
  <c r="CB17" i="20"/>
  <c r="CC17" i="20"/>
  <c r="B18" i="20"/>
  <c r="C18" i="20"/>
  <c r="D18" i="20"/>
  <c r="E18" i="20"/>
  <c r="F18" i="20"/>
  <c r="G18" i="20"/>
  <c r="H18" i="20"/>
  <c r="I18" i="20"/>
  <c r="M18" i="20"/>
  <c r="N18" i="20"/>
  <c r="O18" i="20"/>
  <c r="Q18" i="20"/>
  <c r="R18" i="20"/>
  <c r="S18" i="20"/>
  <c r="T18" i="20"/>
  <c r="U18" i="20"/>
  <c r="V18" i="20"/>
  <c r="W18" i="20"/>
  <c r="X18" i="20"/>
  <c r="Y18" i="20"/>
  <c r="Z18" i="20"/>
  <c r="AB18" i="20"/>
  <c r="AC18" i="20"/>
  <c r="AD18" i="20"/>
  <c r="AE18" i="20"/>
  <c r="AF18" i="20"/>
  <c r="AG18" i="20"/>
  <c r="AH18" i="20"/>
  <c r="AI18" i="20"/>
  <c r="AJ18" i="20"/>
  <c r="AK18" i="20"/>
  <c r="AM18" i="20"/>
  <c r="AN18" i="20"/>
  <c r="AO18" i="20"/>
  <c r="AP18" i="20"/>
  <c r="AQ18" i="20"/>
  <c r="AR18" i="20"/>
  <c r="AS18" i="20"/>
  <c r="AT18" i="20"/>
  <c r="AU18" i="20"/>
  <c r="AV18" i="20"/>
  <c r="AW18" i="20"/>
  <c r="AX18" i="20"/>
  <c r="BG18" i="20"/>
  <c r="BH18" i="20"/>
  <c r="BI18" i="20"/>
  <c r="BJ18" i="20"/>
  <c r="BK18" i="20"/>
  <c r="BL18" i="20"/>
  <c r="BM18" i="20"/>
  <c r="BN18" i="20"/>
  <c r="BP18" i="20"/>
  <c r="BQ18" i="20"/>
  <c r="BR18" i="20"/>
  <c r="BS18" i="20"/>
  <c r="BU18" i="20"/>
  <c r="BV18" i="20"/>
  <c r="BW18" i="20"/>
  <c r="BX18" i="20"/>
  <c r="BZ18" i="20"/>
  <c r="CA18" i="20"/>
  <c r="CB18" i="20"/>
  <c r="CC18" i="20"/>
  <c r="B19" i="20"/>
  <c r="C19" i="20"/>
  <c r="D19" i="20"/>
  <c r="E19" i="20"/>
  <c r="F19" i="20"/>
  <c r="G19" i="20"/>
  <c r="H19" i="20"/>
  <c r="I19" i="20"/>
  <c r="M19" i="20"/>
  <c r="N19" i="20"/>
  <c r="O19" i="20"/>
  <c r="Q19" i="20"/>
  <c r="R19" i="20"/>
  <c r="S19" i="20"/>
  <c r="T19" i="20"/>
  <c r="U19" i="20"/>
  <c r="V19" i="20"/>
  <c r="W19" i="20"/>
  <c r="X19" i="20"/>
  <c r="Y19" i="20"/>
  <c r="Z19" i="20"/>
  <c r="AB19" i="20"/>
  <c r="AC19" i="20"/>
  <c r="AD19" i="20"/>
  <c r="AE19" i="20"/>
  <c r="AF19" i="20"/>
  <c r="AG19" i="20"/>
  <c r="AH19" i="20"/>
  <c r="AI19" i="20"/>
  <c r="AJ19" i="20"/>
  <c r="AK19" i="20"/>
  <c r="AM19" i="20"/>
  <c r="AN19" i="20"/>
  <c r="AO19" i="20"/>
  <c r="AP19" i="20"/>
  <c r="AQ19" i="20"/>
  <c r="AR19" i="20"/>
  <c r="AS19" i="20"/>
  <c r="AT19" i="20"/>
  <c r="AU19" i="20"/>
  <c r="AV19" i="20"/>
  <c r="AW19" i="20"/>
  <c r="AX19" i="20"/>
  <c r="BG19" i="20"/>
  <c r="BH19" i="20"/>
  <c r="BI19" i="20"/>
  <c r="BJ19" i="20"/>
  <c r="BK19" i="20"/>
  <c r="BL19" i="20"/>
  <c r="BM19" i="20"/>
  <c r="BN19" i="20"/>
  <c r="BP19" i="20"/>
  <c r="BQ19" i="20"/>
  <c r="BR19" i="20"/>
  <c r="BS19" i="20"/>
  <c r="BU19" i="20"/>
  <c r="BV19" i="20"/>
  <c r="BW19" i="20"/>
  <c r="BX19" i="20"/>
  <c r="BZ19" i="20"/>
  <c r="CA19" i="20"/>
  <c r="CB19" i="20"/>
  <c r="CC19" i="20"/>
  <c r="CE19" i="20"/>
  <c r="B20" i="20"/>
  <c r="C20" i="20"/>
  <c r="D20" i="20"/>
  <c r="E20" i="20"/>
  <c r="F20" i="20"/>
  <c r="G20" i="20"/>
  <c r="H20" i="20"/>
  <c r="I20" i="20"/>
  <c r="M20" i="20"/>
  <c r="N20" i="20"/>
  <c r="O20" i="20"/>
  <c r="Q20" i="20"/>
  <c r="R20" i="20"/>
  <c r="S20" i="20"/>
  <c r="T20" i="20"/>
  <c r="U20" i="20"/>
  <c r="V20" i="20"/>
  <c r="W20" i="20"/>
  <c r="X20" i="20"/>
  <c r="Y20" i="20"/>
  <c r="Z20" i="20"/>
  <c r="AB20" i="20"/>
  <c r="AC20" i="20"/>
  <c r="AD20" i="20"/>
  <c r="AE20" i="20"/>
  <c r="AF20" i="20"/>
  <c r="AG20" i="20"/>
  <c r="AH20" i="20"/>
  <c r="AI20" i="20"/>
  <c r="AJ20" i="20"/>
  <c r="AK20" i="20"/>
  <c r="AM20" i="20"/>
  <c r="AN20" i="20"/>
  <c r="AO20" i="20"/>
  <c r="AP20" i="20"/>
  <c r="AQ20" i="20"/>
  <c r="AR20" i="20"/>
  <c r="AS20" i="20"/>
  <c r="AT20" i="20"/>
  <c r="AU20" i="20"/>
  <c r="AV20" i="20"/>
  <c r="AW20" i="20"/>
  <c r="AX20" i="20"/>
  <c r="BG20" i="20"/>
  <c r="BH20" i="20"/>
  <c r="BI20" i="20"/>
  <c r="BJ20" i="20"/>
  <c r="BP20" i="20"/>
  <c r="BQ20" i="20"/>
  <c r="BR20" i="20"/>
  <c r="BS20" i="20"/>
  <c r="BU20" i="20"/>
  <c r="BV20" i="20"/>
  <c r="BW20" i="20"/>
  <c r="BX20" i="20"/>
  <c r="BZ20" i="20"/>
  <c r="CA20" i="20"/>
  <c r="CB20" i="20"/>
  <c r="CC20" i="20"/>
  <c r="CE20" i="20"/>
  <c r="B21" i="20"/>
  <c r="C21" i="20"/>
  <c r="D21" i="20"/>
  <c r="E21" i="20"/>
  <c r="F21" i="20"/>
  <c r="G21" i="20"/>
  <c r="H21" i="20"/>
  <c r="I21" i="20"/>
  <c r="M21" i="20"/>
  <c r="N21" i="20"/>
  <c r="O21" i="20"/>
  <c r="Q21" i="20"/>
  <c r="R21" i="20"/>
  <c r="S21" i="20"/>
  <c r="T21" i="20"/>
  <c r="U21" i="20"/>
  <c r="V21" i="20"/>
  <c r="W21" i="20"/>
  <c r="X21" i="20"/>
  <c r="Y21" i="20"/>
  <c r="Z21" i="20"/>
  <c r="AB21" i="20"/>
  <c r="AC21" i="20"/>
  <c r="AD21" i="20"/>
  <c r="AE21" i="20"/>
  <c r="AF21" i="20"/>
  <c r="AG21" i="20"/>
  <c r="AH21" i="20"/>
  <c r="AI21" i="20"/>
  <c r="AJ21" i="20"/>
  <c r="AK21" i="20"/>
  <c r="AM21" i="20"/>
  <c r="AN21" i="20"/>
  <c r="AO21" i="20"/>
  <c r="AP21" i="20"/>
  <c r="AQ21" i="20"/>
  <c r="AR21" i="20"/>
  <c r="AS21" i="20"/>
  <c r="AT21" i="20"/>
  <c r="AU21" i="20"/>
  <c r="AV21" i="20"/>
  <c r="AW21" i="20"/>
  <c r="AX21" i="20"/>
  <c r="BG21" i="20"/>
  <c r="BH21" i="20"/>
  <c r="BI21" i="20"/>
  <c r="BJ21" i="20"/>
  <c r="BP21" i="20"/>
  <c r="BQ21" i="20"/>
  <c r="BR21" i="20"/>
  <c r="BS21" i="20"/>
  <c r="BU21" i="20"/>
  <c r="BV21" i="20"/>
  <c r="BW21" i="20"/>
  <c r="BX21" i="20"/>
  <c r="BZ21" i="20"/>
  <c r="CA21" i="20"/>
  <c r="CB21" i="20"/>
  <c r="CC21" i="20"/>
  <c r="CE21" i="20"/>
  <c r="B22" i="20"/>
  <c r="C22" i="20"/>
  <c r="D22" i="20"/>
  <c r="E22" i="20"/>
  <c r="F22" i="20"/>
  <c r="G22" i="20"/>
  <c r="H22" i="20"/>
  <c r="I22" i="20"/>
  <c r="M22" i="20"/>
  <c r="N22" i="20"/>
  <c r="O22" i="20"/>
  <c r="Q22" i="20"/>
  <c r="R22" i="20"/>
  <c r="S22" i="20"/>
  <c r="T22" i="20"/>
  <c r="U22" i="20"/>
  <c r="V22" i="20"/>
  <c r="W22" i="20"/>
  <c r="X22" i="20"/>
  <c r="Y22" i="20"/>
  <c r="Z22" i="20"/>
  <c r="AB22" i="20"/>
  <c r="AC22" i="20"/>
  <c r="AD22" i="20"/>
  <c r="AE22" i="20"/>
  <c r="AF22" i="20"/>
  <c r="AG22" i="20"/>
  <c r="AH22" i="20"/>
  <c r="AI22" i="20"/>
  <c r="AJ22" i="20"/>
  <c r="AK22" i="20"/>
  <c r="AM22" i="20"/>
  <c r="AN22" i="20"/>
  <c r="AO22" i="20"/>
  <c r="AP22" i="20"/>
  <c r="AQ22" i="20"/>
  <c r="AR22" i="20"/>
  <c r="AS22" i="20"/>
  <c r="AT22" i="20"/>
  <c r="AU22" i="20"/>
  <c r="AV22" i="20"/>
  <c r="AW22" i="20"/>
  <c r="AX22" i="20"/>
  <c r="BG22" i="20"/>
  <c r="BH22" i="20"/>
  <c r="BI22" i="20"/>
  <c r="BJ22" i="20"/>
  <c r="BP22" i="20"/>
  <c r="BQ22" i="20"/>
  <c r="BR22" i="20"/>
  <c r="BS22" i="20"/>
  <c r="BU22" i="20"/>
  <c r="BV22" i="20"/>
  <c r="BW22" i="20"/>
  <c r="BX22" i="20"/>
  <c r="BZ22" i="20"/>
  <c r="CA22" i="20"/>
  <c r="CB22" i="20"/>
  <c r="CC22" i="20"/>
  <c r="CE22" i="20"/>
  <c r="B23" i="20"/>
  <c r="C23" i="20"/>
  <c r="D23" i="20"/>
  <c r="E23" i="20"/>
  <c r="F23" i="20"/>
  <c r="G23" i="20"/>
  <c r="H23" i="20"/>
  <c r="I23" i="20"/>
  <c r="M23" i="20"/>
  <c r="N23" i="20"/>
  <c r="O23" i="20"/>
  <c r="Q23" i="20"/>
  <c r="R23" i="20"/>
  <c r="S23" i="20"/>
  <c r="T23" i="20"/>
  <c r="U23" i="20"/>
  <c r="V23" i="20"/>
  <c r="W23" i="20"/>
  <c r="X23" i="20"/>
  <c r="Y23" i="20"/>
  <c r="Z23" i="20"/>
  <c r="AB23" i="20"/>
  <c r="AC23" i="20"/>
  <c r="AD23" i="20"/>
  <c r="AE23" i="20"/>
  <c r="AF23" i="20"/>
  <c r="AG23" i="20"/>
  <c r="AH23" i="20"/>
  <c r="AI23" i="20"/>
  <c r="AJ23" i="20"/>
  <c r="AK23" i="20"/>
  <c r="AM23" i="20"/>
  <c r="AN23" i="20"/>
  <c r="AO23" i="20"/>
  <c r="AP23" i="20"/>
  <c r="AQ23" i="20"/>
  <c r="AR23" i="20"/>
  <c r="AS23" i="20"/>
  <c r="AT23" i="20"/>
  <c r="AU23" i="20"/>
  <c r="AV23" i="20"/>
  <c r="AW23" i="20"/>
  <c r="AX23" i="20"/>
  <c r="BG23" i="20"/>
  <c r="BH23" i="20"/>
  <c r="BI23" i="20"/>
  <c r="BJ23" i="20"/>
  <c r="BP23" i="20"/>
  <c r="BQ23" i="20"/>
  <c r="BR23" i="20"/>
  <c r="BS23" i="20"/>
  <c r="BU23" i="20"/>
  <c r="BV23" i="20"/>
  <c r="BW23" i="20"/>
  <c r="BX23" i="20"/>
  <c r="BZ23" i="20"/>
  <c r="CA23" i="20"/>
  <c r="CB23" i="20"/>
  <c r="CC23" i="20"/>
  <c r="CE23" i="20"/>
  <c r="B24" i="20"/>
  <c r="C24" i="20"/>
  <c r="D24" i="20"/>
  <c r="E24" i="20"/>
  <c r="F24" i="20"/>
  <c r="G24" i="20"/>
  <c r="H24" i="20"/>
  <c r="I24" i="20"/>
  <c r="M24" i="20"/>
  <c r="N24" i="20"/>
  <c r="O24" i="20"/>
  <c r="Q24" i="20"/>
  <c r="R24" i="20"/>
  <c r="S24" i="20"/>
  <c r="T24" i="20"/>
  <c r="U24" i="20"/>
  <c r="V24" i="20"/>
  <c r="W24" i="20"/>
  <c r="X24" i="20"/>
  <c r="Y24" i="20"/>
  <c r="Z24" i="20"/>
  <c r="AB24" i="20"/>
  <c r="AC24" i="20"/>
  <c r="AD24" i="20"/>
  <c r="AE24" i="20"/>
  <c r="AF24" i="20"/>
  <c r="AG24" i="20"/>
  <c r="AH24" i="20"/>
  <c r="AI24" i="20"/>
  <c r="AJ24" i="20"/>
  <c r="AK24" i="20"/>
  <c r="AM24" i="20"/>
  <c r="AN24" i="20"/>
  <c r="AO24" i="20"/>
  <c r="AP24" i="20"/>
  <c r="AQ24" i="20"/>
  <c r="AR24" i="20"/>
  <c r="AS24" i="20"/>
  <c r="AT24" i="20"/>
  <c r="AU24" i="20"/>
  <c r="AV24" i="20"/>
  <c r="AW24" i="20"/>
  <c r="AX24" i="20"/>
  <c r="BG24" i="20"/>
  <c r="BH24" i="20"/>
  <c r="BI24" i="20"/>
  <c r="BJ24" i="20"/>
  <c r="BP24" i="20"/>
  <c r="BQ24" i="20"/>
  <c r="BR24" i="20"/>
  <c r="BS24" i="20"/>
  <c r="BU24" i="20"/>
  <c r="BV24" i="20"/>
  <c r="BW24" i="20"/>
  <c r="BX24" i="20"/>
  <c r="BZ24" i="20"/>
  <c r="CA24" i="20"/>
  <c r="CB24" i="20"/>
  <c r="CC24" i="20"/>
  <c r="CE24" i="20"/>
  <c r="B25" i="20"/>
  <c r="C25" i="20"/>
  <c r="D25" i="20"/>
  <c r="E25" i="20"/>
  <c r="F25" i="20"/>
  <c r="G25" i="20"/>
  <c r="H25" i="20"/>
  <c r="I25" i="20"/>
  <c r="M25" i="20"/>
  <c r="N25" i="20"/>
  <c r="O25" i="20"/>
  <c r="Q25" i="20"/>
  <c r="R25" i="20"/>
  <c r="S25" i="20"/>
  <c r="T25" i="20"/>
  <c r="U25" i="20"/>
  <c r="V25" i="20"/>
  <c r="W25" i="20"/>
  <c r="X25" i="20"/>
  <c r="Y25" i="20"/>
  <c r="Z25" i="20"/>
  <c r="AB25" i="20"/>
  <c r="AC25" i="20"/>
  <c r="AD25" i="20"/>
  <c r="AE25" i="20"/>
  <c r="AF25" i="20"/>
  <c r="AG25" i="20"/>
  <c r="AH25" i="20"/>
  <c r="AI25" i="20"/>
  <c r="AJ25" i="20"/>
  <c r="AK25" i="20"/>
  <c r="AM25" i="20"/>
  <c r="AN25" i="20"/>
  <c r="AO25" i="20"/>
  <c r="AP25" i="20"/>
  <c r="AQ25" i="20"/>
  <c r="AR25" i="20"/>
  <c r="AS25" i="20"/>
  <c r="AT25" i="20"/>
  <c r="AU25" i="20"/>
  <c r="AV25" i="20"/>
  <c r="AW25" i="20"/>
  <c r="AX25" i="20"/>
  <c r="BG25" i="20"/>
  <c r="BH25" i="20"/>
  <c r="BI25" i="20"/>
  <c r="BJ25" i="20"/>
  <c r="BP25" i="20"/>
  <c r="BQ25" i="20"/>
  <c r="BR25" i="20"/>
  <c r="BS25" i="20"/>
  <c r="BU25" i="20"/>
  <c r="BV25" i="20"/>
  <c r="BW25" i="20"/>
  <c r="BX25" i="20"/>
  <c r="BZ25" i="20"/>
  <c r="CA25" i="20"/>
  <c r="CB25" i="20"/>
  <c r="CC25" i="20"/>
  <c r="CE25" i="20"/>
  <c r="B26" i="20"/>
  <c r="C26" i="20"/>
  <c r="D26" i="20"/>
  <c r="E26" i="20"/>
  <c r="F26" i="20"/>
  <c r="G26" i="20"/>
  <c r="H26" i="20"/>
  <c r="I26" i="20"/>
  <c r="M26" i="20"/>
  <c r="N26" i="20"/>
  <c r="O26" i="20"/>
  <c r="Q26" i="20"/>
  <c r="R26" i="20"/>
  <c r="S26" i="20"/>
  <c r="T26" i="20"/>
  <c r="U26" i="20"/>
  <c r="V26" i="20"/>
  <c r="W26" i="20"/>
  <c r="X26" i="20"/>
  <c r="Y26" i="20"/>
  <c r="Z26" i="20"/>
  <c r="AB26" i="20"/>
  <c r="AC26" i="20"/>
  <c r="AD26" i="20"/>
  <c r="AE26" i="20"/>
  <c r="AF26" i="20"/>
  <c r="AG26" i="20"/>
  <c r="AH26" i="20"/>
  <c r="AI26" i="20"/>
  <c r="AJ26" i="20"/>
  <c r="AK26" i="20"/>
  <c r="AM26" i="20"/>
  <c r="AN26" i="20"/>
  <c r="AO26" i="20"/>
  <c r="AP26" i="20"/>
  <c r="AU26" i="20"/>
  <c r="AV26" i="20"/>
  <c r="AW26" i="20"/>
  <c r="AX26" i="20"/>
  <c r="BG26" i="20"/>
  <c r="BH26" i="20"/>
  <c r="BI26" i="20"/>
  <c r="BJ26" i="20"/>
  <c r="BP26" i="20"/>
  <c r="BQ26" i="20"/>
  <c r="BR26" i="20"/>
  <c r="BS26" i="20"/>
  <c r="BU26" i="20"/>
  <c r="BV26" i="20"/>
  <c r="BW26" i="20"/>
  <c r="BX26" i="20"/>
  <c r="BZ26" i="20"/>
  <c r="CA26" i="20"/>
  <c r="CB26" i="20"/>
  <c r="CC26" i="20"/>
  <c r="CE26" i="20"/>
  <c r="B27" i="20"/>
  <c r="C27" i="20"/>
  <c r="D27" i="20"/>
  <c r="E27" i="20"/>
  <c r="F27" i="20"/>
  <c r="G27" i="20"/>
  <c r="H27" i="20"/>
  <c r="I27" i="20"/>
  <c r="M27" i="20"/>
  <c r="N27" i="20"/>
  <c r="O27" i="20"/>
  <c r="Q27" i="20"/>
  <c r="R27" i="20"/>
  <c r="S27" i="20"/>
  <c r="T27" i="20"/>
  <c r="U27" i="20"/>
  <c r="V27" i="20"/>
  <c r="W27" i="20"/>
  <c r="X27" i="20"/>
  <c r="Y27" i="20"/>
  <c r="Z27" i="20"/>
  <c r="AB27" i="20"/>
  <c r="AC27" i="20"/>
  <c r="AD27" i="20"/>
  <c r="AE27" i="20"/>
  <c r="AF27" i="20"/>
  <c r="AG27" i="20"/>
  <c r="AH27" i="20"/>
  <c r="AI27" i="20"/>
  <c r="AJ27" i="20"/>
  <c r="AK27" i="20"/>
  <c r="AM27" i="20"/>
  <c r="AN27" i="20"/>
  <c r="AO27" i="20"/>
  <c r="AP27" i="20"/>
  <c r="BG27" i="20"/>
  <c r="BH27" i="20"/>
  <c r="BI27" i="20"/>
  <c r="BJ27" i="20"/>
  <c r="BP27" i="20"/>
  <c r="BQ27" i="20"/>
  <c r="BR27" i="20"/>
  <c r="BS27" i="20"/>
  <c r="BU27" i="20"/>
  <c r="BV27" i="20"/>
  <c r="BW27" i="20"/>
  <c r="BX27" i="20"/>
  <c r="BZ27" i="20"/>
  <c r="CA27" i="20"/>
  <c r="CB27" i="20"/>
  <c r="CC27" i="20"/>
  <c r="CE27" i="20"/>
  <c r="B28" i="20"/>
  <c r="C28" i="20"/>
  <c r="D28" i="20"/>
  <c r="E28" i="20"/>
  <c r="F28" i="20"/>
  <c r="G28" i="20"/>
  <c r="H28" i="20"/>
  <c r="I28" i="20"/>
  <c r="M28" i="20"/>
  <c r="N28" i="20"/>
  <c r="O28" i="20"/>
  <c r="Q28" i="20"/>
  <c r="R28" i="20"/>
  <c r="S28" i="20"/>
  <c r="T28" i="20"/>
  <c r="U28" i="20"/>
  <c r="V28" i="20"/>
  <c r="W28" i="20"/>
  <c r="X28" i="20"/>
  <c r="Y28" i="20"/>
  <c r="Z28" i="20"/>
  <c r="AB28" i="20"/>
  <c r="AC28" i="20"/>
  <c r="AD28" i="20"/>
  <c r="AE28" i="20"/>
  <c r="AF28" i="20"/>
  <c r="AG28" i="20"/>
  <c r="AH28" i="20"/>
  <c r="AI28" i="20"/>
  <c r="AJ28" i="20"/>
  <c r="AK28" i="20"/>
  <c r="AM28" i="20"/>
  <c r="AN28" i="20"/>
  <c r="AO28" i="20"/>
  <c r="AP28" i="20"/>
  <c r="BG28" i="20"/>
  <c r="BH28" i="20"/>
  <c r="BI28" i="20"/>
  <c r="BJ28" i="20"/>
  <c r="BP28" i="20"/>
  <c r="BQ28" i="20"/>
  <c r="BR28" i="20"/>
  <c r="BS28" i="20"/>
  <c r="BU28" i="20"/>
  <c r="BV28" i="20"/>
  <c r="BW28" i="20"/>
  <c r="BX28" i="20"/>
  <c r="BZ28" i="20"/>
  <c r="CA28" i="20"/>
  <c r="CB28" i="20"/>
  <c r="CC28" i="20"/>
  <c r="CE28" i="20"/>
  <c r="B29" i="20"/>
  <c r="C29" i="20"/>
  <c r="D29" i="20"/>
  <c r="E29" i="20"/>
  <c r="F29" i="20"/>
  <c r="G29" i="20"/>
  <c r="H29" i="20"/>
  <c r="I29" i="20"/>
  <c r="M29" i="20"/>
  <c r="N29" i="20"/>
  <c r="O29" i="20"/>
  <c r="Q29" i="20"/>
  <c r="R29" i="20"/>
  <c r="S29" i="20"/>
  <c r="T29" i="20"/>
  <c r="U29" i="20"/>
  <c r="V29" i="20"/>
  <c r="W29" i="20"/>
  <c r="X29" i="20"/>
  <c r="Y29" i="20"/>
  <c r="Z29" i="20"/>
  <c r="AB29" i="20"/>
  <c r="AC29" i="20"/>
  <c r="AD29" i="20"/>
  <c r="AE29" i="20"/>
  <c r="AF29" i="20"/>
  <c r="AG29" i="20"/>
  <c r="AH29" i="20"/>
  <c r="AI29" i="20"/>
  <c r="AJ29" i="20"/>
  <c r="AK29" i="20"/>
  <c r="AM29" i="20"/>
  <c r="AN29" i="20"/>
  <c r="AO29" i="20"/>
  <c r="AP29" i="20"/>
  <c r="BG29" i="20"/>
  <c r="BH29" i="20"/>
  <c r="BI29" i="20"/>
  <c r="BJ29" i="20"/>
  <c r="BP29" i="20"/>
  <c r="BQ29" i="20"/>
  <c r="BR29" i="20"/>
  <c r="BS29" i="20"/>
  <c r="BU29" i="20"/>
  <c r="BV29" i="20"/>
  <c r="BW29" i="20"/>
  <c r="BX29" i="20"/>
  <c r="BZ29" i="20"/>
  <c r="CA29" i="20"/>
  <c r="CB29" i="20"/>
  <c r="CC29" i="20"/>
  <c r="CE29" i="20"/>
  <c r="B30" i="20"/>
  <c r="C30" i="20"/>
  <c r="D30" i="20"/>
  <c r="E30" i="20"/>
  <c r="F30" i="20"/>
  <c r="G30" i="20"/>
  <c r="H30" i="20"/>
  <c r="I30" i="20"/>
  <c r="M30" i="20"/>
  <c r="N30" i="20"/>
  <c r="O30" i="20"/>
  <c r="Q30" i="20"/>
  <c r="R30" i="20"/>
  <c r="S30" i="20"/>
  <c r="T30" i="20"/>
  <c r="U30" i="20"/>
  <c r="V30" i="20"/>
  <c r="W30" i="20"/>
  <c r="X30" i="20"/>
  <c r="Y30" i="20"/>
  <c r="Z30" i="20"/>
  <c r="AB30" i="20"/>
  <c r="AC30" i="20"/>
  <c r="AD30" i="20"/>
  <c r="AE30" i="20"/>
  <c r="AF30" i="20"/>
  <c r="AG30" i="20"/>
  <c r="AH30" i="20"/>
  <c r="AI30" i="20"/>
  <c r="AJ30" i="20"/>
  <c r="AK30" i="20"/>
  <c r="AM30" i="20"/>
  <c r="AN30" i="20"/>
  <c r="AO30" i="20"/>
  <c r="AP30" i="20"/>
  <c r="BG30" i="20"/>
  <c r="BH30" i="20"/>
  <c r="BI30" i="20"/>
  <c r="BJ30" i="20"/>
  <c r="BP30" i="20"/>
  <c r="BQ30" i="20"/>
  <c r="BR30" i="20"/>
  <c r="BS30" i="20"/>
  <c r="BU30" i="20"/>
  <c r="BV30" i="20"/>
  <c r="BW30" i="20"/>
  <c r="BX30" i="20"/>
  <c r="BZ30" i="20"/>
  <c r="CA30" i="20"/>
  <c r="CB30" i="20"/>
  <c r="CC30" i="20"/>
  <c r="CE30" i="20"/>
  <c r="B31" i="20"/>
  <c r="C31" i="20"/>
  <c r="D31" i="20"/>
  <c r="E31" i="20"/>
  <c r="F31" i="20"/>
  <c r="G31" i="20"/>
  <c r="H31" i="20"/>
  <c r="I31" i="20"/>
  <c r="M31" i="20"/>
  <c r="N31" i="20"/>
  <c r="O31" i="20"/>
  <c r="Q31" i="20"/>
  <c r="R31" i="20"/>
  <c r="S31" i="20"/>
  <c r="T31" i="20"/>
  <c r="U31" i="20"/>
  <c r="V31" i="20"/>
  <c r="W31" i="20"/>
  <c r="X31" i="20"/>
  <c r="Y31" i="20"/>
  <c r="Z31" i="20"/>
  <c r="AB31" i="20"/>
  <c r="AC31" i="20"/>
  <c r="AD31" i="20"/>
  <c r="AE31" i="20"/>
  <c r="AF31" i="20"/>
  <c r="AG31" i="20"/>
  <c r="AH31" i="20"/>
  <c r="AI31" i="20"/>
  <c r="AJ31" i="20"/>
  <c r="AK31" i="20"/>
  <c r="AM31" i="20"/>
  <c r="AN31" i="20"/>
  <c r="AO31" i="20"/>
  <c r="AP31" i="20"/>
  <c r="BG31" i="20"/>
  <c r="BH31" i="20"/>
  <c r="BI31" i="20"/>
  <c r="BJ31" i="20"/>
  <c r="BP31" i="20"/>
  <c r="BQ31" i="20"/>
  <c r="BR31" i="20"/>
  <c r="BS31" i="20"/>
  <c r="BU31" i="20"/>
  <c r="BV31" i="20"/>
  <c r="BW31" i="20"/>
  <c r="BX31" i="20"/>
  <c r="BZ31" i="20"/>
  <c r="CA31" i="20"/>
  <c r="CB31" i="20"/>
  <c r="CC31" i="20"/>
  <c r="CE31" i="20"/>
  <c r="B32" i="20"/>
  <c r="C32" i="20"/>
  <c r="D32" i="20"/>
  <c r="E32" i="20"/>
  <c r="F32" i="20"/>
  <c r="G32" i="20"/>
  <c r="H32" i="20"/>
  <c r="I32" i="20"/>
  <c r="M32" i="20"/>
  <c r="N32" i="20"/>
  <c r="O32" i="20"/>
  <c r="Q32" i="20"/>
  <c r="R32" i="20"/>
  <c r="S32" i="20"/>
  <c r="T32" i="20"/>
  <c r="U32" i="20"/>
  <c r="V32" i="20"/>
  <c r="W32" i="20"/>
  <c r="X32" i="20"/>
  <c r="Y32" i="20"/>
  <c r="Z32" i="20"/>
  <c r="AB32" i="20"/>
  <c r="AC32" i="20"/>
  <c r="AD32" i="20"/>
  <c r="AE32" i="20"/>
  <c r="AF32" i="20"/>
  <c r="AG32" i="20"/>
  <c r="AH32" i="20"/>
  <c r="AI32" i="20"/>
  <c r="AJ32" i="20"/>
  <c r="AK32" i="20"/>
  <c r="AM32" i="20"/>
  <c r="AN32" i="20"/>
  <c r="AO32" i="20"/>
  <c r="AP32" i="20"/>
  <c r="BG32" i="20"/>
  <c r="BH32" i="20"/>
  <c r="BI32" i="20"/>
  <c r="BJ32" i="20"/>
  <c r="BP32" i="20"/>
  <c r="BQ32" i="20"/>
  <c r="BR32" i="20"/>
  <c r="BS32" i="20"/>
  <c r="BU32" i="20"/>
  <c r="BV32" i="20"/>
  <c r="BW32" i="20"/>
  <c r="BX32" i="20"/>
  <c r="BZ32" i="20"/>
  <c r="CA32" i="20"/>
  <c r="CB32" i="20"/>
  <c r="CC32" i="20"/>
  <c r="CE32" i="20"/>
  <c r="B33" i="20"/>
  <c r="C33" i="20"/>
  <c r="D33" i="20"/>
  <c r="E33" i="20"/>
  <c r="F33" i="20"/>
  <c r="G33" i="20"/>
  <c r="H33" i="20"/>
  <c r="I33" i="20"/>
  <c r="M33" i="20"/>
  <c r="N33" i="20"/>
  <c r="O33" i="20"/>
  <c r="Q33" i="20"/>
  <c r="R33" i="20"/>
  <c r="S33" i="20"/>
  <c r="T33" i="20"/>
  <c r="U33" i="20"/>
  <c r="V33" i="20"/>
  <c r="W33" i="20"/>
  <c r="X33" i="20"/>
  <c r="Y33" i="20"/>
  <c r="Z33" i="20"/>
  <c r="AB33" i="20"/>
  <c r="AC33" i="20"/>
  <c r="AD33" i="20"/>
  <c r="AE33" i="20"/>
  <c r="AF33" i="20"/>
  <c r="AG33" i="20"/>
  <c r="AH33" i="20"/>
  <c r="AI33" i="20"/>
  <c r="AJ33" i="20"/>
  <c r="AK33" i="20"/>
  <c r="AM33" i="20"/>
  <c r="AN33" i="20"/>
  <c r="AO33" i="20"/>
  <c r="AP33" i="20"/>
  <c r="BG33" i="20"/>
  <c r="BH33" i="20"/>
  <c r="BI33" i="20"/>
  <c r="BJ33" i="20"/>
  <c r="BP33" i="20"/>
  <c r="BQ33" i="20"/>
  <c r="BR33" i="20"/>
  <c r="BS33" i="20"/>
  <c r="BU33" i="20"/>
  <c r="BV33" i="20"/>
  <c r="BW33" i="20"/>
  <c r="BX33" i="20"/>
  <c r="BZ33" i="20"/>
  <c r="CA33" i="20"/>
  <c r="CB33" i="20"/>
  <c r="CC33" i="20"/>
  <c r="CE33" i="20"/>
  <c r="B34" i="20"/>
  <c r="C34" i="20"/>
  <c r="D34" i="20"/>
  <c r="E34" i="20"/>
  <c r="F34" i="20"/>
  <c r="G34" i="20"/>
  <c r="H34" i="20"/>
  <c r="I34" i="20"/>
  <c r="M34" i="20"/>
  <c r="N34" i="20"/>
  <c r="O34" i="20"/>
  <c r="Q34" i="20"/>
  <c r="R34" i="20"/>
  <c r="S34" i="20"/>
  <c r="T34" i="20"/>
  <c r="U34" i="20"/>
  <c r="V34" i="20"/>
  <c r="W34" i="20"/>
  <c r="X34" i="20"/>
  <c r="Y34" i="20"/>
  <c r="Z34" i="20"/>
  <c r="AB34" i="20"/>
  <c r="AC34" i="20"/>
  <c r="AD34" i="20"/>
  <c r="AE34" i="20"/>
  <c r="AF34" i="20"/>
  <c r="AG34" i="20"/>
  <c r="AH34" i="20"/>
  <c r="AI34" i="20"/>
  <c r="AJ34" i="20"/>
  <c r="AK34" i="20"/>
  <c r="AM34" i="20"/>
  <c r="AN34" i="20"/>
  <c r="AO34" i="20"/>
  <c r="AP34" i="20"/>
  <c r="BG34" i="20"/>
  <c r="BH34" i="20"/>
  <c r="BI34" i="20"/>
  <c r="BJ34" i="20"/>
  <c r="BP34" i="20"/>
  <c r="BQ34" i="20"/>
  <c r="BR34" i="20"/>
  <c r="BS34" i="20"/>
  <c r="BU34" i="20"/>
  <c r="BV34" i="20"/>
  <c r="BW34" i="20"/>
  <c r="BX34" i="20"/>
  <c r="BZ34" i="20"/>
  <c r="CA34" i="20"/>
  <c r="CB34" i="20"/>
  <c r="CC34" i="20"/>
  <c r="CE34" i="20"/>
  <c r="B35" i="20"/>
  <c r="C35" i="20"/>
  <c r="D35" i="20"/>
  <c r="E35" i="20"/>
  <c r="F35" i="20"/>
  <c r="G35" i="20"/>
  <c r="H35" i="20"/>
  <c r="I35" i="20"/>
  <c r="M35" i="20"/>
  <c r="N35" i="20"/>
  <c r="O35" i="20"/>
  <c r="Q35" i="20"/>
  <c r="R35" i="20"/>
  <c r="S35" i="20"/>
  <c r="T35" i="20"/>
  <c r="U35" i="20"/>
  <c r="V35" i="20"/>
  <c r="W35" i="20"/>
  <c r="X35" i="20"/>
  <c r="Y35" i="20"/>
  <c r="Z35" i="20"/>
  <c r="AB35" i="20"/>
  <c r="AC35" i="20"/>
  <c r="AD35" i="20"/>
  <c r="AE35" i="20"/>
  <c r="AF35" i="20"/>
  <c r="AG35" i="20"/>
  <c r="AH35" i="20"/>
  <c r="AI35" i="20"/>
  <c r="AJ35" i="20"/>
  <c r="AK35" i="20"/>
  <c r="AM35" i="20"/>
  <c r="AN35" i="20"/>
  <c r="AO35" i="20"/>
  <c r="AP35" i="20"/>
  <c r="BG35" i="20"/>
  <c r="BH35" i="20"/>
  <c r="BI35" i="20"/>
  <c r="BJ35" i="20"/>
  <c r="BP35" i="20"/>
  <c r="BQ35" i="20"/>
  <c r="BR35" i="20"/>
  <c r="BS35" i="20"/>
  <c r="BU35" i="20"/>
  <c r="BV35" i="20"/>
  <c r="BW35" i="20"/>
  <c r="BX35" i="20"/>
  <c r="BZ35" i="20"/>
  <c r="CA35" i="20"/>
  <c r="CB35" i="20"/>
  <c r="CC35" i="20"/>
  <c r="CE35" i="20"/>
  <c r="B36" i="20"/>
  <c r="C36" i="20"/>
  <c r="D36" i="20"/>
  <c r="E36" i="20"/>
  <c r="F36" i="20"/>
  <c r="G36" i="20"/>
  <c r="H36" i="20"/>
  <c r="I36" i="20"/>
  <c r="M36" i="20"/>
  <c r="N36" i="20"/>
  <c r="O36" i="20"/>
  <c r="Q36" i="20"/>
  <c r="R36" i="20"/>
  <c r="S36" i="20"/>
  <c r="T36" i="20"/>
  <c r="U36" i="20"/>
  <c r="V36" i="20"/>
  <c r="W36" i="20"/>
  <c r="X36" i="20"/>
  <c r="Y36" i="20"/>
  <c r="Z36" i="20"/>
  <c r="AB36" i="20"/>
  <c r="AC36" i="20"/>
  <c r="AD36" i="20"/>
  <c r="AE36" i="20"/>
  <c r="AF36" i="20"/>
  <c r="AG36" i="20"/>
  <c r="AH36" i="20"/>
  <c r="AI36" i="20"/>
  <c r="AJ36" i="20"/>
  <c r="AK36" i="20"/>
  <c r="AM36" i="20"/>
  <c r="AN36" i="20"/>
  <c r="AO36" i="20"/>
  <c r="AP36" i="20"/>
  <c r="BG36" i="20"/>
  <c r="BH36" i="20"/>
  <c r="BI36" i="20"/>
  <c r="BJ36" i="20"/>
  <c r="BP36" i="20"/>
  <c r="BQ36" i="20"/>
  <c r="BR36" i="20"/>
  <c r="BS36" i="20"/>
  <c r="BU36" i="20"/>
  <c r="BV36" i="20"/>
  <c r="BW36" i="20"/>
  <c r="BX36" i="20"/>
  <c r="BZ36" i="20"/>
  <c r="CA36" i="20"/>
  <c r="CB36" i="20"/>
  <c r="CC36" i="20"/>
  <c r="CE36" i="20"/>
  <c r="B37" i="20"/>
  <c r="C37" i="20"/>
  <c r="D37" i="20"/>
  <c r="E37" i="20"/>
  <c r="F37" i="20"/>
  <c r="G37" i="20"/>
  <c r="H37" i="20"/>
  <c r="I37" i="20"/>
  <c r="M37" i="20"/>
  <c r="N37" i="20"/>
  <c r="O37" i="20"/>
  <c r="Q37" i="20"/>
  <c r="R37" i="20"/>
  <c r="S37" i="20"/>
  <c r="T37" i="20"/>
  <c r="U37" i="20"/>
  <c r="V37" i="20"/>
  <c r="W37" i="20"/>
  <c r="X37" i="20"/>
  <c r="Y37" i="20"/>
  <c r="Z37" i="20"/>
  <c r="AB37" i="20"/>
  <c r="AC37" i="20"/>
  <c r="AD37" i="20"/>
  <c r="AE37" i="20"/>
  <c r="AF37" i="20"/>
  <c r="AG37" i="20"/>
  <c r="AH37" i="20"/>
  <c r="AI37" i="20"/>
  <c r="AJ37" i="20"/>
  <c r="AK37" i="20"/>
  <c r="AM37" i="20"/>
  <c r="AN37" i="20"/>
  <c r="AO37" i="20"/>
  <c r="AP37" i="20"/>
  <c r="BG37" i="20"/>
  <c r="BH37" i="20"/>
  <c r="BI37" i="20"/>
  <c r="BJ37" i="20"/>
  <c r="BP37" i="20"/>
  <c r="BQ37" i="20"/>
  <c r="BR37" i="20"/>
  <c r="BS37" i="20"/>
  <c r="BU37" i="20"/>
  <c r="BV37" i="20"/>
  <c r="BW37" i="20"/>
  <c r="BX37" i="20"/>
  <c r="BZ37" i="20"/>
  <c r="CA37" i="20"/>
  <c r="CB37" i="20"/>
  <c r="CC37" i="20"/>
  <c r="CE37" i="20"/>
  <c r="B38" i="20"/>
  <c r="C38" i="20"/>
  <c r="D38" i="20"/>
  <c r="E38" i="20"/>
  <c r="F38" i="20"/>
  <c r="G38" i="20"/>
  <c r="H38" i="20"/>
  <c r="I38" i="20"/>
  <c r="M38" i="20"/>
  <c r="N38" i="20"/>
  <c r="O38" i="20"/>
  <c r="Q38" i="20"/>
  <c r="R38" i="20"/>
  <c r="S38" i="20"/>
  <c r="T38" i="20"/>
  <c r="U38" i="20"/>
  <c r="V38" i="20"/>
  <c r="W38" i="20"/>
  <c r="X38" i="20"/>
  <c r="Y38" i="20"/>
  <c r="Z38" i="20"/>
  <c r="AB38" i="20"/>
  <c r="AC38" i="20"/>
  <c r="AD38" i="20"/>
  <c r="AE38" i="20"/>
  <c r="AF38" i="20"/>
  <c r="AG38" i="20"/>
  <c r="AH38" i="20"/>
  <c r="AI38" i="20"/>
  <c r="AJ38" i="20"/>
  <c r="AK38" i="20"/>
  <c r="AM38" i="20"/>
  <c r="AN38" i="20"/>
  <c r="AO38" i="20"/>
  <c r="AP38" i="20"/>
  <c r="BG38" i="20"/>
  <c r="BH38" i="20"/>
  <c r="BI38" i="20"/>
  <c r="BJ38" i="20"/>
  <c r="BP38" i="20"/>
  <c r="BQ38" i="20"/>
  <c r="BR38" i="20"/>
  <c r="BS38" i="20"/>
  <c r="BU38" i="20"/>
  <c r="BV38" i="20"/>
  <c r="BW38" i="20"/>
  <c r="BX38" i="20"/>
  <c r="BZ38" i="20"/>
  <c r="CA38" i="20"/>
  <c r="CB38" i="20"/>
  <c r="CC38" i="20"/>
  <c r="CE38" i="20"/>
  <c r="B39" i="20"/>
  <c r="C39" i="20"/>
  <c r="D39" i="20"/>
  <c r="E39" i="20"/>
  <c r="F39" i="20"/>
  <c r="G39" i="20"/>
  <c r="H39" i="20"/>
  <c r="I39" i="20"/>
  <c r="M39" i="20"/>
  <c r="N39" i="20"/>
  <c r="O39" i="20"/>
  <c r="Q39" i="20"/>
  <c r="R39" i="20"/>
  <c r="S39" i="20"/>
  <c r="T39" i="20"/>
  <c r="U39" i="20"/>
  <c r="V39" i="20"/>
  <c r="W39" i="20"/>
  <c r="X39" i="20"/>
  <c r="Y39" i="20"/>
  <c r="Z39" i="20"/>
  <c r="AB39" i="20"/>
  <c r="AC39" i="20"/>
  <c r="AD39" i="20"/>
  <c r="AE39" i="20"/>
  <c r="AF39" i="20"/>
  <c r="AG39" i="20"/>
  <c r="AH39" i="20"/>
  <c r="AI39" i="20"/>
  <c r="AJ39" i="20"/>
  <c r="AK39" i="20"/>
  <c r="AM39" i="20"/>
  <c r="AN39" i="20"/>
  <c r="AO39" i="20"/>
  <c r="AP39" i="20"/>
  <c r="BG39" i="20"/>
  <c r="BH39" i="20"/>
  <c r="BI39" i="20"/>
  <c r="BJ39" i="20"/>
  <c r="BP39" i="20"/>
  <c r="BQ39" i="20"/>
  <c r="BR39" i="20"/>
  <c r="BS39" i="20"/>
  <c r="BU39" i="20"/>
  <c r="BV39" i="20"/>
  <c r="BW39" i="20"/>
  <c r="BX39" i="20"/>
  <c r="BZ39" i="20"/>
  <c r="CA39" i="20"/>
  <c r="CB39" i="20"/>
  <c r="CC39" i="20"/>
  <c r="CE39" i="20"/>
  <c r="B40" i="20"/>
  <c r="C40" i="20"/>
  <c r="D40" i="20"/>
  <c r="E40" i="20"/>
  <c r="F40" i="20"/>
  <c r="G40" i="20"/>
  <c r="H40" i="20"/>
  <c r="I40" i="20"/>
  <c r="M40" i="20"/>
  <c r="N40" i="20"/>
  <c r="O40" i="20"/>
  <c r="Q40" i="20"/>
  <c r="R40" i="20"/>
  <c r="S40" i="20"/>
  <c r="T40" i="20"/>
  <c r="U40" i="20"/>
  <c r="V40" i="20"/>
  <c r="W40" i="20"/>
  <c r="X40" i="20"/>
  <c r="Y40" i="20"/>
  <c r="Z40" i="20"/>
  <c r="AB40" i="20"/>
  <c r="AC40" i="20"/>
  <c r="AD40" i="20"/>
  <c r="AE40" i="20"/>
  <c r="AF40" i="20"/>
  <c r="AG40" i="20"/>
  <c r="AH40" i="20"/>
  <c r="AI40" i="20"/>
  <c r="AJ40" i="20"/>
  <c r="AK40" i="20"/>
  <c r="AM40" i="20"/>
  <c r="AN40" i="20"/>
  <c r="AO40" i="20"/>
  <c r="AP40" i="20"/>
  <c r="BG40" i="20"/>
  <c r="BH40" i="20"/>
  <c r="BI40" i="20"/>
  <c r="BJ40" i="20"/>
  <c r="BP40" i="20"/>
  <c r="BQ40" i="20"/>
  <c r="BR40" i="20"/>
  <c r="BS40" i="20"/>
  <c r="BU40" i="20"/>
  <c r="BV40" i="20"/>
  <c r="BW40" i="20"/>
  <c r="BX40" i="20"/>
  <c r="BZ40" i="20"/>
  <c r="CA40" i="20"/>
  <c r="CB40" i="20"/>
  <c r="CC40" i="20"/>
  <c r="CE40" i="20"/>
  <c r="B41" i="20"/>
  <c r="C41" i="20"/>
  <c r="D41" i="20"/>
  <c r="E41" i="20"/>
  <c r="F41" i="20"/>
  <c r="G41" i="20"/>
  <c r="H41" i="20"/>
  <c r="I41" i="20"/>
  <c r="M41" i="20"/>
  <c r="N41" i="20"/>
  <c r="O41" i="20"/>
  <c r="Q41" i="20"/>
  <c r="R41" i="20"/>
  <c r="S41" i="20"/>
  <c r="T41" i="20"/>
  <c r="U41" i="20"/>
  <c r="V41" i="20"/>
  <c r="W41" i="20"/>
  <c r="X41" i="20"/>
  <c r="Y41" i="20"/>
  <c r="Z41" i="20"/>
  <c r="AB41" i="20"/>
  <c r="AC41" i="20"/>
  <c r="AD41" i="20"/>
  <c r="AE41" i="20"/>
  <c r="AF41" i="20"/>
  <c r="AG41" i="20"/>
  <c r="AH41" i="20"/>
  <c r="AI41" i="20"/>
  <c r="AJ41" i="20"/>
  <c r="AK41" i="20"/>
  <c r="AM41" i="20"/>
  <c r="AN41" i="20"/>
  <c r="AO41" i="20"/>
  <c r="AP41" i="20"/>
  <c r="BG41" i="20"/>
  <c r="BH41" i="20"/>
  <c r="BI41" i="20"/>
  <c r="BJ41" i="20"/>
  <c r="BP41" i="20"/>
  <c r="BQ41" i="20"/>
  <c r="BR41" i="20"/>
  <c r="BS41" i="20"/>
  <c r="BU41" i="20"/>
  <c r="BV41" i="20"/>
  <c r="BW41" i="20"/>
  <c r="BX41" i="20"/>
  <c r="BZ41" i="20"/>
  <c r="CA41" i="20"/>
  <c r="CB41" i="20"/>
  <c r="CC41" i="20"/>
  <c r="CE41" i="20"/>
  <c r="B42" i="20"/>
  <c r="C42" i="20"/>
  <c r="D42" i="20"/>
  <c r="E42" i="20"/>
  <c r="F42" i="20"/>
  <c r="G42" i="20"/>
  <c r="H42" i="20"/>
  <c r="I42" i="20"/>
  <c r="M42" i="20"/>
  <c r="N42" i="20"/>
  <c r="O42" i="20"/>
  <c r="Q42" i="20"/>
  <c r="R42" i="20"/>
  <c r="S42" i="20"/>
  <c r="T42" i="20"/>
  <c r="U42" i="20"/>
  <c r="V42" i="20"/>
  <c r="W42" i="20"/>
  <c r="X42" i="20"/>
  <c r="Y42" i="20"/>
  <c r="Z42" i="20"/>
  <c r="AB42" i="20"/>
  <c r="AC42" i="20"/>
  <c r="AD42" i="20"/>
  <c r="AE42" i="20"/>
  <c r="AF42" i="20"/>
  <c r="AG42" i="20"/>
  <c r="AH42" i="20"/>
  <c r="AI42" i="20"/>
  <c r="AJ42" i="20"/>
  <c r="AK42" i="20"/>
  <c r="AM42" i="20"/>
  <c r="AN42" i="20"/>
  <c r="AO42" i="20"/>
  <c r="AP42" i="20"/>
  <c r="BG42" i="20"/>
  <c r="BH42" i="20"/>
  <c r="BI42" i="20"/>
  <c r="BJ42" i="20"/>
  <c r="BP42" i="20"/>
  <c r="BQ42" i="20"/>
  <c r="BR42" i="20"/>
  <c r="BS42" i="20"/>
  <c r="BU42" i="20"/>
  <c r="BV42" i="20"/>
  <c r="BW42" i="20"/>
  <c r="BX42" i="20"/>
  <c r="BZ42" i="20"/>
  <c r="CA42" i="20"/>
  <c r="CB42" i="20"/>
  <c r="CC42" i="20"/>
  <c r="CE42" i="20"/>
  <c r="B43" i="20"/>
  <c r="C43" i="20"/>
  <c r="D43" i="20"/>
  <c r="E43" i="20"/>
  <c r="F43" i="20"/>
  <c r="G43" i="20"/>
  <c r="H43" i="20"/>
  <c r="I43" i="20"/>
  <c r="M43" i="20"/>
  <c r="N43" i="20"/>
  <c r="O43" i="20"/>
  <c r="Q43" i="20"/>
  <c r="R43" i="20"/>
  <c r="S43" i="20"/>
  <c r="T43" i="20"/>
  <c r="U43" i="20"/>
  <c r="V43" i="20"/>
  <c r="W43" i="20"/>
  <c r="X43" i="20"/>
  <c r="Y43" i="20"/>
  <c r="Z43" i="20"/>
  <c r="AB43" i="20"/>
  <c r="AC43" i="20"/>
  <c r="AD43" i="20"/>
  <c r="AE43" i="20"/>
  <c r="AF43" i="20"/>
  <c r="AG43" i="20"/>
  <c r="AH43" i="20"/>
  <c r="AI43" i="20"/>
  <c r="AJ43" i="20"/>
  <c r="AK43" i="20"/>
  <c r="AM43" i="20"/>
  <c r="AN43" i="20"/>
  <c r="AO43" i="20"/>
  <c r="AP43" i="20"/>
  <c r="BG43" i="20"/>
  <c r="BH43" i="20"/>
  <c r="BI43" i="20"/>
  <c r="BJ43" i="20"/>
  <c r="BP43" i="20"/>
  <c r="BQ43" i="20"/>
  <c r="BR43" i="20"/>
  <c r="BS43" i="20"/>
  <c r="BU43" i="20"/>
  <c r="BV43" i="20"/>
  <c r="BW43" i="20"/>
  <c r="BX43" i="20"/>
  <c r="BZ43" i="20"/>
  <c r="CA43" i="20"/>
  <c r="CB43" i="20"/>
  <c r="CC43" i="20"/>
  <c r="CE43" i="20"/>
  <c r="B44" i="20"/>
  <c r="C44" i="20"/>
  <c r="D44" i="20"/>
  <c r="E44" i="20"/>
  <c r="F44" i="20"/>
  <c r="G44" i="20"/>
  <c r="H44" i="20"/>
  <c r="I44" i="20"/>
  <c r="M44" i="20"/>
  <c r="N44" i="20"/>
  <c r="O44" i="20"/>
  <c r="Q44" i="20"/>
  <c r="R44" i="20"/>
  <c r="S44" i="20"/>
  <c r="T44" i="20"/>
  <c r="U44" i="20"/>
  <c r="V44" i="20"/>
  <c r="W44" i="20"/>
  <c r="X44" i="20"/>
  <c r="Y44" i="20"/>
  <c r="Z44" i="20"/>
  <c r="AB44" i="20"/>
  <c r="AC44" i="20"/>
  <c r="AD44" i="20"/>
  <c r="AE44" i="20"/>
  <c r="AF44" i="20"/>
  <c r="AG44" i="20"/>
  <c r="AH44" i="20"/>
  <c r="AI44" i="20"/>
  <c r="AJ44" i="20"/>
  <c r="AK44" i="20"/>
  <c r="AM44" i="20"/>
  <c r="AN44" i="20"/>
  <c r="AO44" i="20"/>
  <c r="AP44" i="20"/>
  <c r="BG44" i="20"/>
  <c r="BH44" i="20"/>
  <c r="BI44" i="20"/>
  <c r="BJ44" i="20"/>
  <c r="BP44" i="20"/>
  <c r="BQ44" i="20"/>
  <c r="BR44" i="20"/>
  <c r="BS44" i="20"/>
  <c r="BU44" i="20"/>
  <c r="BV44" i="20"/>
  <c r="BW44" i="20"/>
  <c r="BX44" i="20"/>
  <c r="BZ44" i="20"/>
  <c r="CA44" i="20"/>
  <c r="CB44" i="20"/>
  <c r="CC44" i="20"/>
  <c r="CE44" i="20"/>
  <c r="B45" i="20"/>
  <c r="C45" i="20"/>
  <c r="D45" i="20"/>
  <c r="E45" i="20"/>
  <c r="F45" i="20"/>
  <c r="G45" i="20"/>
  <c r="H45" i="20"/>
  <c r="I45" i="20"/>
  <c r="M45" i="20"/>
  <c r="N45" i="20"/>
  <c r="O45" i="20"/>
  <c r="Q45" i="20"/>
  <c r="R45" i="20"/>
  <c r="S45" i="20"/>
  <c r="T45" i="20"/>
  <c r="U45" i="20"/>
  <c r="V45" i="20"/>
  <c r="W45" i="20"/>
  <c r="X45" i="20"/>
  <c r="Y45" i="20"/>
  <c r="Z45" i="20"/>
  <c r="AB45" i="20"/>
  <c r="AC45" i="20"/>
  <c r="AD45" i="20"/>
  <c r="AE45" i="20"/>
  <c r="AF45" i="20"/>
  <c r="AG45" i="20"/>
  <c r="AH45" i="20"/>
  <c r="AI45" i="20"/>
  <c r="AJ45" i="20"/>
  <c r="AK45" i="20"/>
  <c r="AM45" i="20"/>
  <c r="AN45" i="20"/>
  <c r="AO45" i="20"/>
  <c r="AP45" i="20"/>
  <c r="BG45" i="20"/>
  <c r="BH45" i="20"/>
  <c r="BI45" i="20"/>
  <c r="BJ45" i="20"/>
  <c r="BP45" i="20"/>
  <c r="BQ45" i="20"/>
  <c r="BR45" i="20"/>
  <c r="BS45" i="20"/>
  <c r="BU45" i="20"/>
  <c r="BV45" i="20"/>
  <c r="BW45" i="20"/>
  <c r="BX45" i="20"/>
  <c r="BZ45" i="20"/>
  <c r="CA45" i="20"/>
  <c r="CB45" i="20"/>
  <c r="CC45" i="20"/>
  <c r="CE45" i="20"/>
  <c r="B46" i="20"/>
  <c r="C46" i="20"/>
  <c r="D46" i="20"/>
  <c r="E46" i="20"/>
  <c r="F46" i="20"/>
  <c r="G46" i="20"/>
  <c r="H46" i="20"/>
  <c r="I46" i="20"/>
  <c r="M46" i="20"/>
  <c r="N46" i="20"/>
  <c r="O46" i="20"/>
  <c r="Q46" i="20"/>
  <c r="R46" i="20"/>
  <c r="S46" i="20"/>
  <c r="T46" i="20"/>
  <c r="U46" i="20"/>
  <c r="V46" i="20"/>
  <c r="W46" i="20"/>
  <c r="X46" i="20"/>
  <c r="Y46" i="20"/>
  <c r="Z46" i="20"/>
  <c r="AB46" i="20"/>
  <c r="AC46" i="20"/>
  <c r="AD46" i="20"/>
  <c r="AE46" i="20"/>
  <c r="AF46" i="20"/>
  <c r="AG46" i="20"/>
  <c r="AH46" i="20"/>
  <c r="AI46" i="20"/>
  <c r="AJ46" i="20"/>
  <c r="AK46" i="20"/>
  <c r="AM46" i="20"/>
  <c r="AN46" i="20"/>
  <c r="AO46" i="20"/>
  <c r="AP46" i="20"/>
  <c r="BG46" i="20"/>
  <c r="BH46" i="20"/>
  <c r="BI46" i="20"/>
  <c r="BJ46" i="20"/>
  <c r="BP46" i="20"/>
  <c r="BQ46" i="20"/>
  <c r="BR46" i="20"/>
  <c r="BS46" i="20"/>
  <c r="BU46" i="20"/>
  <c r="BV46" i="20"/>
  <c r="BW46" i="20"/>
  <c r="BX46" i="20"/>
  <c r="BZ46" i="20"/>
  <c r="CA46" i="20"/>
  <c r="CB46" i="20"/>
  <c r="CC46" i="20"/>
  <c r="CE46" i="20"/>
  <c r="B47" i="20"/>
  <c r="C47" i="20"/>
  <c r="D47" i="20"/>
  <c r="E47" i="20"/>
  <c r="F47" i="20"/>
  <c r="G47" i="20"/>
  <c r="H47" i="20"/>
  <c r="I47" i="20"/>
  <c r="M47" i="20"/>
  <c r="N47" i="20"/>
  <c r="O47" i="20"/>
  <c r="Q47" i="20"/>
  <c r="R47" i="20"/>
  <c r="S47" i="20"/>
  <c r="T47" i="20"/>
  <c r="U47" i="20"/>
  <c r="V47" i="20"/>
  <c r="W47" i="20"/>
  <c r="X47" i="20"/>
  <c r="Y47" i="20"/>
  <c r="Z47" i="20"/>
  <c r="AB47" i="20"/>
  <c r="AC47" i="20"/>
  <c r="AD47" i="20"/>
  <c r="AE47" i="20"/>
  <c r="AF47" i="20"/>
  <c r="AG47" i="20"/>
  <c r="AH47" i="20"/>
  <c r="AI47" i="20"/>
  <c r="AJ47" i="20"/>
  <c r="AK47" i="20"/>
  <c r="AM47" i="20"/>
  <c r="AN47" i="20"/>
  <c r="AO47" i="20"/>
  <c r="AP47" i="20"/>
  <c r="BG47" i="20"/>
  <c r="BH47" i="20"/>
  <c r="BI47" i="20"/>
  <c r="BJ47" i="20"/>
  <c r="BP47" i="20"/>
  <c r="BQ47" i="20"/>
  <c r="BR47" i="20"/>
  <c r="BS47" i="20"/>
  <c r="BU47" i="20"/>
  <c r="BV47" i="20"/>
  <c r="BW47" i="20"/>
  <c r="BX47" i="20"/>
  <c r="BZ47" i="20"/>
  <c r="CA47" i="20"/>
  <c r="CB47" i="20"/>
  <c r="CC47" i="20"/>
  <c r="CE47" i="20"/>
  <c r="B48" i="20"/>
  <c r="C48" i="20"/>
  <c r="D48" i="20"/>
  <c r="E48" i="20"/>
  <c r="F48" i="20"/>
  <c r="G48" i="20"/>
  <c r="H48" i="20"/>
  <c r="I48" i="20"/>
  <c r="M48" i="20"/>
  <c r="N48" i="20"/>
  <c r="O48" i="20"/>
  <c r="Q48" i="20"/>
  <c r="R48" i="20"/>
  <c r="S48" i="20"/>
  <c r="T48" i="20"/>
  <c r="U48" i="20"/>
  <c r="V48" i="20"/>
  <c r="W48" i="20"/>
  <c r="X48" i="20"/>
  <c r="Y48" i="20"/>
  <c r="Z48" i="20"/>
  <c r="AB48" i="20"/>
  <c r="AC48" i="20"/>
  <c r="AD48" i="20"/>
  <c r="AE48" i="20"/>
  <c r="AF48" i="20"/>
  <c r="AG48" i="20"/>
  <c r="AH48" i="20"/>
  <c r="AI48" i="20"/>
  <c r="AJ48" i="20"/>
  <c r="AK48" i="20"/>
  <c r="AM48" i="20"/>
  <c r="AN48" i="20"/>
  <c r="AO48" i="20"/>
  <c r="AP48" i="20"/>
  <c r="BG48" i="20"/>
  <c r="BH48" i="20"/>
  <c r="BI48" i="20"/>
  <c r="BJ48" i="20"/>
  <c r="BP48" i="20"/>
  <c r="BQ48" i="20"/>
  <c r="BR48" i="20"/>
  <c r="BS48" i="20"/>
  <c r="BU48" i="20"/>
  <c r="BV48" i="20"/>
  <c r="BW48" i="20"/>
  <c r="BX48" i="20"/>
  <c r="BZ48" i="20"/>
  <c r="CA48" i="20"/>
  <c r="CB48" i="20"/>
  <c r="CC48" i="20"/>
  <c r="CE48" i="20"/>
  <c r="B49" i="20"/>
  <c r="C49" i="20"/>
  <c r="D49" i="20"/>
  <c r="E49" i="20"/>
  <c r="F49" i="20"/>
  <c r="G49" i="20"/>
  <c r="H49" i="20"/>
  <c r="I49" i="20"/>
  <c r="M49" i="20"/>
  <c r="N49" i="20"/>
  <c r="O49" i="20"/>
  <c r="Q49" i="20"/>
  <c r="R49" i="20"/>
  <c r="S49" i="20"/>
  <c r="T49" i="20"/>
  <c r="U49" i="20"/>
  <c r="V49" i="20"/>
  <c r="W49" i="20"/>
  <c r="X49" i="20"/>
  <c r="Y49" i="20"/>
  <c r="Z49" i="20"/>
  <c r="AB49" i="20"/>
  <c r="AC49" i="20"/>
  <c r="AD49" i="20"/>
  <c r="AE49" i="20"/>
  <c r="AF49" i="20"/>
  <c r="AG49" i="20"/>
  <c r="AH49" i="20"/>
  <c r="AI49" i="20"/>
  <c r="AJ49" i="20"/>
  <c r="AK49" i="20"/>
  <c r="AM49" i="20"/>
  <c r="AN49" i="20"/>
  <c r="AO49" i="20"/>
  <c r="AP49" i="20"/>
  <c r="BG49" i="20"/>
  <c r="BH49" i="20"/>
  <c r="BI49" i="20"/>
  <c r="BJ49" i="20"/>
  <c r="BP49" i="20"/>
  <c r="BQ49" i="20"/>
  <c r="BR49" i="20"/>
  <c r="BS49" i="20"/>
  <c r="BU49" i="20"/>
  <c r="BV49" i="20"/>
  <c r="BW49" i="20"/>
  <c r="BX49" i="20"/>
  <c r="BZ49" i="20"/>
  <c r="CA49" i="20"/>
  <c r="CB49" i="20"/>
  <c r="CC49" i="20"/>
  <c r="CE49" i="20"/>
  <c r="B50" i="20"/>
  <c r="C50" i="20"/>
  <c r="D50" i="20"/>
  <c r="E50" i="20"/>
  <c r="F50" i="20"/>
  <c r="G50" i="20"/>
  <c r="H50" i="20"/>
  <c r="I50" i="20"/>
  <c r="M50" i="20"/>
  <c r="N50" i="20"/>
  <c r="O50" i="20"/>
  <c r="Q50" i="20"/>
  <c r="R50" i="20"/>
  <c r="S50" i="20"/>
  <c r="T50" i="20"/>
  <c r="U50" i="20"/>
  <c r="V50" i="20"/>
  <c r="W50" i="20"/>
  <c r="X50" i="20"/>
  <c r="Y50" i="20"/>
  <c r="Z50" i="20"/>
  <c r="AB50" i="20"/>
  <c r="AC50" i="20"/>
  <c r="AD50" i="20"/>
  <c r="AE50" i="20"/>
  <c r="AF50" i="20"/>
  <c r="AG50" i="20"/>
  <c r="AH50" i="20"/>
  <c r="AI50" i="20"/>
  <c r="AJ50" i="20"/>
  <c r="AK50" i="20"/>
  <c r="AM50" i="20"/>
  <c r="AN50" i="20"/>
  <c r="AO50" i="20"/>
  <c r="AP50" i="20"/>
  <c r="BG50" i="20"/>
  <c r="BH50" i="20"/>
  <c r="BI50" i="20"/>
  <c r="BJ50" i="20"/>
  <c r="BP50" i="20"/>
  <c r="BQ50" i="20"/>
  <c r="BR50" i="20"/>
  <c r="BS50" i="20"/>
  <c r="BU50" i="20"/>
  <c r="BV50" i="20"/>
  <c r="BW50" i="20"/>
  <c r="BX50" i="20"/>
  <c r="BZ50" i="20"/>
  <c r="CA50" i="20"/>
  <c r="CB50" i="20"/>
  <c r="CC50" i="20"/>
  <c r="CE50" i="20"/>
  <c r="B51" i="20"/>
  <c r="C51" i="20"/>
  <c r="D51" i="20"/>
  <c r="E51" i="20"/>
  <c r="F51" i="20"/>
  <c r="G51" i="20"/>
  <c r="H51" i="20"/>
  <c r="I51" i="20"/>
  <c r="M51" i="20"/>
  <c r="N51" i="20"/>
  <c r="O51" i="20"/>
  <c r="Q51" i="20"/>
  <c r="R51" i="20"/>
  <c r="S51" i="20"/>
  <c r="T51" i="20"/>
  <c r="U51" i="20"/>
  <c r="V51" i="20"/>
  <c r="W51" i="20"/>
  <c r="X51" i="20"/>
  <c r="Y51" i="20"/>
  <c r="Z51" i="20"/>
  <c r="AB51" i="20"/>
  <c r="AC51" i="20"/>
  <c r="AD51" i="20"/>
  <c r="AE51" i="20"/>
  <c r="AF51" i="20"/>
  <c r="AG51" i="20"/>
  <c r="AH51" i="20"/>
  <c r="AI51" i="20"/>
  <c r="AJ51" i="20"/>
  <c r="AK51" i="20"/>
  <c r="AM51" i="20"/>
  <c r="AN51" i="20"/>
  <c r="AO51" i="20"/>
  <c r="AP51" i="20"/>
  <c r="BG51" i="20"/>
  <c r="BH51" i="20"/>
  <c r="BI51" i="20"/>
  <c r="BJ51" i="20"/>
  <c r="BP51" i="20"/>
  <c r="BQ51" i="20"/>
  <c r="BR51" i="20"/>
  <c r="BS51" i="20"/>
  <c r="BU51" i="20"/>
  <c r="BV51" i="20"/>
  <c r="BW51" i="20"/>
  <c r="BX51" i="20"/>
  <c r="BZ51" i="20"/>
  <c r="CA51" i="20"/>
  <c r="CB51" i="20"/>
  <c r="CC51" i="20"/>
  <c r="CE51" i="20"/>
  <c r="B52" i="20"/>
  <c r="C52" i="20"/>
  <c r="D52" i="20"/>
  <c r="E52" i="20"/>
  <c r="F52" i="20"/>
  <c r="G52" i="20"/>
  <c r="H52" i="20"/>
  <c r="I52" i="20"/>
  <c r="M52" i="20"/>
  <c r="N52" i="20"/>
  <c r="O52" i="20"/>
  <c r="Q52" i="20"/>
  <c r="R52" i="20"/>
  <c r="S52" i="20"/>
  <c r="T52" i="20"/>
  <c r="U52" i="20"/>
  <c r="V52" i="20"/>
  <c r="W52" i="20"/>
  <c r="X52" i="20"/>
  <c r="Y52" i="20"/>
  <c r="Z52" i="20"/>
  <c r="AB52" i="20"/>
  <c r="AC52" i="20"/>
  <c r="AD52" i="20"/>
  <c r="AE52" i="20"/>
  <c r="AF52" i="20"/>
  <c r="AG52" i="20"/>
  <c r="AH52" i="20"/>
  <c r="AI52" i="20"/>
  <c r="AJ52" i="20"/>
  <c r="AK52" i="20"/>
  <c r="AM52" i="20"/>
  <c r="AN52" i="20"/>
  <c r="AO52" i="20"/>
  <c r="AP52" i="20"/>
  <c r="BG52" i="20"/>
  <c r="BH52" i="20"/>
  <c r="BI52" i="20"/>
  <c r="BJ52" i="20"/>
  <c r="BP52" i="20"/>
  <c r="BQ52" i="20"/>
  <c r="BR52" i="20"/>
  <c r="BS52" i="20"/>
  <c r="BU52" i="20"/>
  <c r="BV52" i="20"/>
  <c r="BW52" i="20"/>
  <c r="BX52" i="20"/>
  <c r="BZ52" i="20"/>
  <c r="CA52" i="20"/>
  <c r="CB52" i="20"/>
  <c r="CC52" i="20"/>
  <c r="CE52" i="20"/>
  <c r="B53" i="20"/>
  <c r="C53" i="20"/>
  <c r="D53" i="20"/>
  <c r="E53" i="20"/>
  <c r="F53" i="20"/>
  <c r="G53" i="20"/>
  <c r="H53" i="20"/>
  <c r="I53" i="20"/>
  <c r="M53" i="20"/>
  <c r="N53" i="20"/>
  <c r="O53" i="20"/>
  <c r="Q53" i="20"/>
  <c r="R53" i="20"/>
  <c r="S53" i="20"/>
  <c r="T53" i="20"/>
  <c r="U53" i="20"/>
  <c r="V53" i="20"/>
  <c r="W53" i="20"/>
  <c r="X53" i="20"/>
  <c r="Y53" i="20"/>
  <c r="Z53" i="20"/>
  <c r="AB53" i="20"/>
  <c r="AC53" i="20"/>
  <c r="AD53" i="20"/>
  <c r="AE53" i="20"/>
  <c r="AF53" i="20"/>
  <c r="AG53" i="20"/>
  <c r="AH53" i="20"/>
  <c r="AI53" i="20"/>
  <c r="AJ53" i="20"/>
  <c r="AK53" i="20"/>
  <c r="AM53" i="20"/>
  <c r="AN53" i="20"/>
  <c r="AO53" i="20"/>
  <c r="AP53" i="20"/>
  <c r="BG53" i="20"/>
  <c r="BH53" i="20"/>
  <c r="BI53" i="20"/>
  <c r="BJ53" i="20"/>
  <c r="BP53" i="20"/>
  <c r="BQ53" i="20"/>
  <c r="BR53" i="20"/>
  <c r="BS53" i="20"/>
  <c r="BU53" i="20"/>
  <c r="BV53" i="20"/>
  <c r="BW53" i="20"/>
  <c r="BX53" i="20"/>
  <c r="BZ53" i="20"/>
  <c r="CA53" i="20"/>
  <c r="CB53" i="20"/>
  <c r="CC53" i="20"/>
  <c r="CE53" i="20"/>
  <c r="B54" i="20"/>
  <c r="C54" i="20"/>
  <c r="D54" i="20"/>
  <c r="E54" i="20"/>
  <c r="F54" i="20"/>
  <c r="G54" i="20"/>
  <c r="H54" i="20"/>
  <c r="I54" i="20"/>
  <c r="M54" i="20"/>
  <c r="N54" i="20"/>
  <c r="O54" i="20"/>
  <c r="Q54" i="20"/>
  <c r="R54" i="20"/>
  <c r="S54" i="20"/>
  <c r="T54" i="20"/>
  <c r="U54" i="20"/>
  <c r="V54" i="20"/>
  <c r="W54" i="20"/>
  <c r="X54" i="20"/>
  <c r="Y54" i="20"/>
  <c r="Z54" i="20"/>
  <c r="AB54" i="20"/>
  <c r="AC54" i="20"/>
  <c r="AD54" i="20"/>
  <c r="AE54" i="20"/>
  <c r="AF54" i="20"/>
  <c r="AG54" i="20"/>
  <c r="AH54" i="20"/>
  <c r="AI54" i="20"/>
  <c r="AJ54" i="20"/>
  <c r="AK54" i="20"/>
  <c r="AM54" i="20"/>
  <c r="AN54" i="20"/>
  <c r="AO54" i="20"/>
  <c r="AP54" i="20"/>
  <c r="BG54" i="20"/>
  <c r="BH54" i="20"/>
  <c r="BI54" i="20"/>
  <c r="BJ54" i="20"/>
  <c r="BP54" i="20"/>
  <c r="BQ54" i="20"/>
  <c r="BR54" i="20"/>
  <c r="BS54" i="20"/>
  <c r="BU54" i="20"/>
  <c r="BV54" i="20"/>
  <c r="BW54" i="20"/>
  <c r="BX54" i="20"/>
  <c r="BZ54" i="20"/>
  <c r="CA54" i="20"/>
  <c r="CB54" i="20"/>
  <c r="CC54" i="20"/>
  <c r="CE54" i="20"/>
  <c r="B55" i="20"/>
  <c r="C55" i="20"/>
  <c r="D55" i="20"/>
  <c r="E55" i="20"/>
  <c r="F55" i="20"/>
  <c r="G55" i="20"/>
  <c r="H55" i="20"/>
  <c r="I55" i="20"/>
  <c r="M55" i="20"/>
  <c r="N55" i="20"/>
  <c r="O55" i="20"/>
  <c r="Q55" i="20"/>
  <c r="R55" i="20"/>
  <c r="S55" i="20"/>
  <c r="T55" i="20"/>
  <c r="U55" i="20"/>
  <c r="V55" i="20"/>
  <c r="W55" i="20"/>
  <c r="X55" i="20"/>
  <c r="Y55" i="20"/>
  <c r="Z55" i="20"/>
  <c r="AB55" i="20"/>
  <c r="AC55" i="20"/>
  <c r="AD55" i="20"/>
  <c r="AE55" i="20"/>
  <c r="AF55" i="20"/>
  <c r="AG55" i="20"/>
  <c r="AH55" i="20"/>
  <c r="AI55" i="20"/>
  <c r="AJ55" i="20"/>
  <c r="AK55" i="20"/>
  <c r="AM55" i="20"/>
  <c r="AN55" i="20"/>
  <c r="AO55" i="20"/>
  <c r="AP55" i="20"/>
  <c r="BG55" i="20"/>
  <c r="BH55" i="20"/>
  <c r="BI55" i="20"/>
  <c r="BJ55" i="20"/>
  <c r="BP55" i="20"/>
  <c r="BQ55" i="20"/>
  <c r="BR55" i="20"/>
  <c r="BS55" i="20"/>
  <c r="BU55" i="20"/>
  <c r="BV55" i="20"/>
  <c r="BW55" i="20"/>
  <c r="BX55" i="20"/>
  <c r="BZ55" i="20"/>
  <c r="CA55" i="20"/>
  <c r="CB55" i="20"/>
  <c r="CC55" i="20"/>
  <c r="CE55" i="20"/>
  <c r="B56" i="20"/>
  <c r="C56" i="20"/>
  <c r="D56" i="20"/>
  <c r="E56" i="20"/>
  <c r="F56" i="20"/>
  <c r="G56" i="20"/>
  <c r="H56" i="20"/>
  <c r="I56" i="20"/>
  <c r="M56" i="20"/>
  <c r="N56" i="20"/>
  <c r="O56" i="20"/>
  <c r="Q56" i="20"/>
  <c r="R56" i="20"/>
  <c r="S56" i="20"/>
  <c r="T56" i="20"/>
  <c r="U56" i="20"/>
  <c r="V56" i="20"/>
  <c r="W56" i="20"/>
  <c r="X56" i="20"/>
  <c r="Y56" i="20"/>
  <c r="Z56" i="20"/>
  <c r="AB56" i="20"/>
  <c r="AC56" i="20"/>
  <c r="AD56" i="20"/>
  <c r="AE56" i="20"/>
  <c r="AF56" i="20"/>
  <c r="AG56" i="20"/>
  <c r="AH56" i="20"/>
  <c r="AI56" i="20"/>
  <c r="AJ56" i="20"/>
  <c r="AK56" i="20"/>
  <c r="AM56" i="20"/>
  <c r="AN56" i="20"/>
  <c r="AO56" i="20"/>
  <c r="AP56" i="20"/>
  <c r="BG56" i="20"/>
  <c r="BH56" i="20"/>
  <c r="BI56" i="20"/>
  <c r="BJ56" i="20"/>
  <c r="BP56" i="20"/>
  <c r="BQ56" i="20"/>
  <c r="BR56" i="20"/>
  <c r="BS56" i="20"/>
  <c r="BU56" i="20"/>
  <c r="BV56" i="20"/>
  <c r="BW56" i="20"/>
  <c r="BX56" i="20"/>
  <c r="BZ56" i="20"/>
  <c r="CA56" i="20"/>
  <c r="CB56" i="20"/>
  <c r="CC56" i="20"/>
  <c r="CE56" i="20"/>
  <c r="B57" i="20"/>
  <c r="C57" i="20"/>
  <c r="D57" i="20"/>
  <c r="E57" i="20"/>
  <c r="F57" i="20"/>
  <c r="G57" i="20"/>
  <c r="H57" i="20"/>
  <c r="I57" i="20"/>
  <c r="M57" i="20"/>
  <c r="N57" i="20"/>
  <c r="O57" i="20"/>
  <c r="Q57" i="20"/>
  <c r="R57" i="20"/>
  <c r="S57" i="20"/>
  <c r="T57" i="20"/>
  <c r="U57" i="20"/>
  <c r="V57" i="20"/>
  <c r="W57" i="20"/>
  <c r="X57" i="20"/>
  <c r="Y57" i="20"/>
  <c r="Z57" i="20"/>
  <c r="AB57" i="20"/>
  <c r="AC57" i="20"/>
  <c r="AD57" i="20"/>
  <c r="AE57" i="20"/>
  <c r="AF57" i="20"/>
  <c r="AG57" i="20"/>
  <c r="AH57" i="20"/>
  <c r="AI57" i="20"/>
  <c r="AJ57" i="20"/>
  <c r="AK57" i="20"/>
  <c r="AM57" i="20"/>
  <c r="AN57" i="20"/>
  <c r="AO57" i="20"/>
  <c r="AP57" i="20"/>
  <c r="BG57" i="20"/>
  <c r="BH57" i="20"/>
  <c r="BI57" i="20"/>
  <c r="BJ57" i="20"/>
  <c r="BP57" i="20"/>
  <c r="BQ57" i="20"/>
  <c r="BR57" i="20"/>
  <c r="BS57" i="20"/>
  <c r="BU57" i="20"/>
  <c r="BV57" i="20"/>
  <c r="BW57" i="20"/>
  <c r="BX57" i="20"/>
  <c r="BZ57" i="20"/>
  <c r="CA57" i="20"/>
  <c r="CB57" i="20"/>
  <c r="CC57" i="20"/>
  <c r="CE57" i="20"/>
  <c r="B58" i="20"/>
  <c r="C58" i="20"/>
  <c r="D58" i="20"/>
  <c r="E58" i="20"/>
  <c r="F58" i="20"/>
  <c r="G58" i="20"/>
  <c r="H58" i="20"/>
  <c r="I58" i="20"/>
  <c r="M58" i="20"/>
  <c r="N58" i="20"/>
  <c r="O58" i="20"/>
  <c r="Q58" i="20"/>
  <c r="R58" i="20"/>
  <c r="S58" i="20"/>
  <c r="T58" i="20"/>
  <c r="U58" i="20"/>
  <c r="V58" i="20"/>
  <c r="W58" i="20"/>
  <c r="X58" i="20"/>
  <c r="Y58" i="20"/>
  <c r="Z58" i="20"/>
  <c r="AB58" i="20"/>
  <c r="AC58" i="20"/>
  <c r="AD58" i="20"/>
  <c r="AE58" i="20"/>
  <c r="AF58" i="20"/>
  <c r="AG58" i="20"/>
  <c r="AH58" i="20"/>
  <c r="AI58" i="20"/>
  <c r="AJ58" i="20"/>
  <c r="AK58" i="20"/>
  <c r="AM58" i="20"/>
  <c r="AN58" i="20"/>
  <c r="AO58" i="20"/>
  <c r="AP58" i="20"/>
  <c r="BG58" i="20"/>
  <c r="BH58" i="20"/>
  <c r="BI58" i="20"/>
  <c r="BJ58" i="20"/>
  <c r="BP58" i="20"/>
  <c r="BQ58" i="20"/>
  <c r="BR58" i="20"/>
  <c r="BS58" i="20"/>
  <c r="BU58" i="20"/>
  <c r="BV58" i="20"/>
  <c r="BW58" i="20"/>
  <c r="BX58" i="20"/>
  <c r="BZ58" i="20"/>
  <c r="CA58" i="20"/>
  <c r="CB58" i="20"/>
  <c r="CC58" i="20"/>
  <c r="CE58" i="20"/>
  <c r="B59" i="20"/>
  <c r="C59" i="20"/>
  <c r="D59" i="20"/>
  <c r="E59" i="20"/>
  <c r="F59" i="20"/>
  <c r="G59" i="20"/>
  <c r="H59" i="20"/>
  <c r="I59" i="20"/>
  <c r="M59" i="20"/>
  <c r="N59" i="20"/>
  <c r="O59" i="20"/>
  <c r="Q59" i="20"/>
  <c r="R59" i="20"/>
  <c r="S59" i="20"/>
  <c r="T59" i="20"/>
  <c r="U59" i="20"/>
  <c r="V59" i="20"/>
  <c r="W59" i="20"/>
  <c r="X59" i="20"/>
  <c r="Y59" i="20"/>
  <c r="Z59" i="20"/>
  <c r="AB59" i="20"/>
  <c r="AC59" i="20"/>
  <c r="AD59" i="20"/>
  <c r="AE59" i="20"/>
  <c r="AF59" i="20"/>
  <c r="AG59" i="20"/>
  <c r="AH59" i="20"/>
  <c r="AI59" i="20"/>
  <c r="AJ59" i="20"/>
  <c r="AK59" i="20"/>
  <c r="AM59" i="20"/>
  <c r="AN59" i="20"/>
  <c r="AO59" i="20"/>
  <c r="AP59" i="20"/>
  <c r="BG59" i="20"/>
  <c r="BH59" i="20"/>
  <c r="BI59" i="20"/>
  <c r="BJ59" i="20"/>
  <c r="BP59" i="20"/>
  <c r="BQ59" i="20"/>
  <c r="BR59" i="20"/>
  <c r="BS59" i="20"/>
  <c r="BU59" i="20"/>
  <c r="BV59" i="20"/>
  <c r="BW59" i="20"/>
  <c r="BX59" i="20"/>
  <c r="BZ59" i="20"/>
  <c r="CA59" i="20"/>
  <c r="CB59" i="20"/>
  <c r="CC59" i="20"/>
  <c r="CE59" i="20"/>
  <c r="B60" i="20"/>
  <c r="C60" i="20"/>
  <c r="D60" i="20"/>
  <c r="E60" i="20"/>
  <c r="F60" i="20"/>
  <c r="G60" i="20"/>
  <c r="H60" i="20"/>
  <c r="I60" i="20"/>
  <c r="M60" i="20"/>
  <c r="N60" i="20"/>
  <c r="O60" i="20"/>
  <c r="Q60" i="20"/>
  <c r="R60" i="20"/>
  <c r="S60" i="20"/>
  <c r="T60" i="20"/>
  <c r="U60" i="20"/>
  <c r="V60" i="20"/>
  <c r="W60" i="20"/>
  <c r="X60" i="20"/>
  <c r="Y60" i="20"/>
  <c r="Z60" i="20"/>
  <c r="AB60" i="20"/>
  <c r="AC60" i="20"/>
  <c r="AD60" i="20"/>
  <c r="AE60" i="20"/>
  <c r="AF60" i="20"/>
  <c r="AG60" i="20"/>
  <c r="AH60" i="20"/>
  <c r="AI60" i="20"/>
  <c r="AJ60" i="20"/>
  <c r="AK60" i="20"/>
  <c r="AM60" i="20"/>
  <c r="AN60" i="20"/>
  <c r="AO60" i="20"/>
  <c r="AP60" i="20"/>
  <c r="BG60" i="20"/>
  <c r="BH60" i="20"/>
  <c r="BI60" i="20"/>
  <c r="BJ60" i="20"/>
  <c r="BP60" i="20"/>
  <c r="BQ60" i="20"/>
  <c r="BR60" i="20"/>
  <c r="BS60" i="20"/>
  <c r="BU60" i="20"/>
  <c r="BV60" i="20"/>
  <c r="BW60" i="20"/>
  <c r="BX60" i="20"/>
  <c r="BZ60" i="20"/>
  <c r="CA60" i="20"/>
  <c r="CB60" i="20"/>
  <c r="CC60" i="20"/>
  <c r="CE60" i="20"/>
  <c r="B61" i="20"/>
  <c r="C61" i="20"/>
  <c r="D61" i="20"/>
  <c r="E61" i="20"/>
  <c r="F61" i="20"/>
  <c r="G61" i="20"/>
  <c r="H61" i="20"/>
  <c r="I61" i="20"/>
  <c r="M61" i="20"/>
  <c r="N61" i="20"/>
  <c r="O61" i="20"/>
  <c r="Q61" i="20"/>
  <c r="R61" i="20"/>
  <c r="S61" i="20"/>
  <c r="T61" i="20"/>
  <c r="U61" i="20"/>
  <c r="V61" i="20"/>
  <c r="W61" i="20"/>
  <c r="X61" i="20"/>
  <c r="Y61" i="20"/>
  <c r="Z61" i="20"/>
  <c r="AB61" i="20"/>
  <c r="AC61" i="20"/>
  <c r="AD61" i="20"/>
  <c r="AE61" i="20"/>
  <c r="AF61" i="20"/>
  <c r="AG61" i="20"/>
  <c r="AH61" i="20"/>
  <c r="AI61" i="20"/>
  <c r="AJ61" i="20"/>
  <c r="AK61" i="20"/>
  <c r="AM61" i="20"/>
  <c r="AN61" i="20"/>
  <c r="AO61" i="20"/>
  <c r="AP61" i="20"/>
  <c r="BG61" i="20"/>
  <c r="BH61" i="20"/>
  <c r="BI61" i="20"/>
  <c r="BJ61" i="20"/>
  <c r="BP61" i="20"/>
  <c r="BQ61" i="20"/>
  <c r="BR61" i="20"/>
  <c r="BS61" i="20"/>
  <c r="BU61" i="20"/>
  <c r="BV61" i="20"/>
  <c r="BW61" i="20"/>
  <c r="BX61" i="20"/>
  <c r="BZ61" i="20"/>
  <c r="CA61" i="20"/>
  <c r="CB61" i="20"/>
  <c r="CC61" i="20"/>
  <c r="CE61" i="20"/>
  <c r="B62" i="20"/>
  <c r="C62" i="20"/>
  <c r="D62" i="20"/>
  <c r="E62" i="20"/>
  <c r="F62" i="20"/>
  <c r="G62" i="20"/>
  <c r="H62" i="20"/>
  <c r="I62" i="20"/>
  <c r="M62" i="20"/>
  <c r="N62" i="20"/>
  <c r="O62" i="20"/>
  <c r="Q62" i="20"/>
  <c r="R62" i="20"/>
  <c r="S62" i="20"/>
  <c r="T62" i="20"/>
  <c r="U62" i="20"/>
  <c r="V62" i="20"/>
  <c r="W62" i="20"/>
  <c r="X62" i="20"/>
  <c r="Y62" i="20"/>
  <c r="Z62" i="20"/>
  <c r="AB62" i="20"/>
  <c r="AC62" i="20"/>
  <c r="AD62" i="20"/>
  <c r="AE62" i="20"/>
  <c r="AF62" i="20"/>
  <c r="AG62" i="20"/>
  <c r="AH62" i="20"/>
  <c r="AI62" i="20"/>
  <c r="AJ62" i="20"/>
  <c r="AK62" i="20"/>
  <c r="AM62" i="20"/>
  <c r="AN62" i="20"/>
  <c r="AO62" i="20"/>
  <c r="AP62" i="20"/>
  <c r="BG62" i="20"/>
  <c r="BH62" i="20"/>
  <c r="BI62" i="20"/>
  <c r="BJ62" i="20"/>
  <c r="BP62" i="20"/>
  <c r="BQ62" i="20"/>
  <c r="BR62" i="20"/>
  <c r="BS62" i="20"/>
  <c r="BU62" i="20"/>
  <c r="BV62" i="20"/>
  <c r="BW62" i="20"/>
  <c r="BX62" i="20"/>
  <c r="BZ62" i="20"/>
  <c r="CA62" i="20"/>
  <c r="CB62" i="20"/>
  <c r="CC62" i="20"/>
  <c r="CE62" i="20"/>
  <c r="B63" i="20"/>
  <c r="C63" i="20"/>
  <c r="D63" i="20"/>
  <c r="E63" i="20"/>
  <c r="F63" i="20"/>
  <c r="G63" i="20"/>
  <c r="H63" i="20"/>
  <c r="I63" i="20"/>
  <c r="M63" i="20"/>
  <c r="N63" i="20"/>
  <c r="O63" i="20"/>
  <c r="Q63" i="20"/>
  <c r="R63" i="20"/>
  <c r="S63" i="20"/>
  <c r="T63" i="20"/>
  <c r="U63" i="20"/>
  <c r="V63" i="20"/>
  <c r="W63" i="20"/>
  <c r="X63" i="20"/>
  <c r="Y63" i="20"/>
  <c r="Z63" i="20"/>
  <c r="AB63" i="20"/>
  <c r="AC63" i="20"/>
  <c r="AD63" i="20"/>
  <c r="AE63" i="20"/>
  <c r="AF63" i="20"/>
  <c r="AG63" i="20"/>
  <c r="AH63" i="20"/>
  <c r="AI63" i="20"/>
  <c r="AJ63" i="20"/>
  <c r="AK63" i="20"/>
  <c r="AM63" i="20"/>
  <c r="AN63" i="20"/>
  <c r="AO63" i="20"/>
  <c r="AP63" i="20"/>
  <c r="BG63" i="20"/>
  <c r="BH63" i="20"/>
  <c r="BI63" i="20"/>
  <c r="BJ63" i="20"/>
  <c r="BP63" i="20"/>
  <c r="BQ63" i="20"/>
  <c r="BR63" i="20"/>
  <c r="BS63" i="20"/>
  <c r="BU63" i="20"/>
  <c r="BV63" i="20"/>
  <c r="BW63" i="20"/>
  <c r="BX63" i="20"/>
  <c r="BZ63" i="20"/>
  <c r="CA63" i="20"/>
  <c r="CB63" i="20"/>
  <c r="CC63" i="20"/>
  <c r="CE63" i="20"/>
  <c r="B64" i="20"/>
  <c r="C64" i="20"/>
  <c r="D64" i="20"/>
  <c r="E64" i="20"/>
  <c r="F64" i="20"/>
  <c r="G64" i="20"/>
  <c r="H64" i="20"/>
  <c r="I64" i="20"/>
  <c r="M64" i="20"/>
  <c r="N64" i="20"/>
  <c r="O64" i="20"/>
  <c r="Q64" i="20"/>
  <c r="R64" i="20"/>
  <c r="S64" i="20"/>
  <c r="T64" i="20"/>
  <c r="U64" i="20"/>
  <c r="V64" i="20"/>
  <c r="W64" i="20"/>
  <c r="X64" i="20"/>
  <c r="Y64" i="20"/>
  <c r="Z64" i="20"/>
  <c r="AB64" i="20"/>
  <c r="AC64" i="20"/>
  <c r="AD64" i="20"/>
  <c r="AE64" i="20"/>
  <c r="AF64" i="20"/>
  <c r="AG64" i="20"/>
  <c r="AH64" i="20"/>
  <c r="AI64" i="20"/>
  <c r="AJ64" i="20"/>
  <c r="AK64" i="20"/>
  <c r="AM64" i="20"/>
  <c r="AN64" i="20"/>
  <c r="AO64" i="20"/>
  <c r="AP64" i="20"/>
  <c r="BG64" i="20"/>
  <c r="BH64" i="20"/>
  <c r="BI64" i="20"/>
  <c r="BJ64" i="20"/>
  <c r="BP64" i="20"/>
  <c r="BQ64" i="20"/>
  <c r="BR64" i="20"/>
  <c r="BS64" i="20"/>
  <c r="BU64" i="20"/>
  <c r="BV64" i="20"/>
  <c r="BW64" i="20"/>
  <c r="BX64" i="20"/>
  <c r="BZ64" i="20"/>
  <c r="CA64" i="20"/>
  <c r="CB64" i="20"/>
  <c r="CC64" i="20"/>
  <c r="CE64" i="20"/>
  <c r="B65" i="20"/>
  <c r="C65" i="20"/>
  <c r="D65" i="20"/>
  <c r="E65" i="20"/>
  <c r="F65" i="20"/>
  <c r="G65" i="20"/>
  <c r="H65" i="20"/>
  <c r="I65" i="20"/>
  <c r="M65" i="20"/>
  <c r="N65" i="20"/>
  <c r="O65" i="20"/>
  <c r="Q65" i="20"/>
  <c r="R65" i="20"/>
  <c r="S65" i="20"/>
  <c r="T65" i="20"/>
  <c r="U65" i="20"/>
  <c r="V65" i="20"/>
  <c r="W65" i="20"/>
  <c r="X65" i="20"/>
  <c r="Y65" i="20"/>
  <c r="Z65" i="20"/>
  <c r="AB65" i="20"/>
  <c r="AC65" i="20"/>
  <c r="AD65" i="20"/>
  <c r="AE65" i="20"/>
  <c r="AF65" i="20"/>
  <c r="AG65" i="20"/>
  <c r="AH65" i="20"/>
  <c r="AI65" i="20"/>
  <c r="AJ65" i="20"/>
  <c r="AK65" i="20"/>
  <c r="AM65" i="20"/>
  <c r="AN65" i="20"/>
  <c r="AO65" i="20"/>
  <c r="AP65" i="20"/>
  <c r="BG65" i="20"/>
  <c r="BH65" i="20"/>
  <c r="BI65" i="20"/>
  <c r="BJ65" i="20"/>
  <c r="BP65" i="20"/>
  <c r="BQ65" i="20"/>
  <c r="BR65" i="20"/>
  <c r="BS65" i="20"/>
  <c r="BU65" i="20"/>
  <c r="BV65" i="20"/>
  <c r="BW65" i="20"/>
  <c r="BX65" i="20"/>
  <c r="BZ65" i="20"/>
  <c r="CA65" i="20"/>
  <c r="CB65" i="20"/>
  <c r="CC65" i="20"/>
  <c r="CE65" i="20"/>
  <c r="B66" i="20"/>
  <c r="C66" i="20"/>
  <c r="D66" i="20"/>
  <c r="E66" i="20"/>
  <c r="F66" i="20"/>
  <c r="G66" i="20"/>
  <c r="H66" i="20"/>
  <c r="I66" i="20"/>
  <c r="M66" i="20"/>
  <c r="N66" i="20"/>
  <c r="O66" i="20"/>
  <c r="Q66" i="20"/>
  <c r="R66" i="20"/>
  <c r="S66" i="20"/>
  <c r="T66" i="20"/>
  <c r="U66" i="20"/>
  <c r="V66" i="20"/>
  <c r="W66" i="20"/>
  <c r="X66" i="20"/>
  <c r="Y66" i="20"/>
  <c r="Z66" i="20"/>
  <c r="AB66" i="20"/>
  <c r="AC66" i="20"/>
  <c r="AD66" i="20"/>
  <c r="AE66" i="20"/>
  <c r="AF66" i="20"/>
  <c r="AG66" i="20"/>
  <c r="AH66" i="20"/>
  <c r="AI66" i="20"/>
  <c r="AJ66" i="20"/>
  <c r="AK66" i="20"/>
  <c r="AM66" i="20"/>
  <c r="AN66" i="20"/>
  <c r="AO66" i="20"/>
  <c r="AP66" i="20"/>
  <c r="BG66" i="20"/>
  <c r="BH66" i="20"/>
  <c r="BI66" i="20"/>
  <c r="BJ66" i="20"/>
  <c r="BP66" i="20"/>
  <c r="BQ66" i="20"/>
  <c r="BR66" i="20"/>
  <c r="BS66" i="20"/>
  <c r="BU66" i="20"/>
  <c r="BV66" i="20"/>
  <c r="BW66" i="20"/>
  <c r="BX66" i="20"/>
  <c r="BZ66" i="20"/>
  <c r="CA66" i="20"/>
  <c r="CB66" i="20"/>
  <c r="CC66" i="20"/>
  <c r="CE66" i="20"/>
  <c r="B67" i="20"/>
  <c r="C67" i="20"/>
  <c r="D67" i="20"/>
  <c r="E67" i="20"/>
  <c r="F67" i="20"/>
  <c r="G67" i="20"/>
  <c r="H67" i="20"/>
  <c r="I67" i="20"/>
  <c r="M67" i="20"/>
  <c r="N67" i="20"/>
  <c r="O67" i="20"/>
  <c r="Q67" i="20"/>
  <c r="R67" i="20"/>
  <c r="S67" i="20"/>
  <c r="T67" i="20"/>
  <c r="U67" i="20"/>
  <c r="V67" i="20"/>
  <c r="W67" i="20"/>
  <c r="X67" i="20"/>
  <c r="Y67" i="20"/>
  <c r="Z67" i="20"/>
  <c r="AB67" i="20"/>
  <c r="AC67" i="20"/>
  <c r="AD67" i="20"/>
  <c r="AE67" i="20"/>
  <c r="AF67" i="20"/>
  <c r="AG67" i="20"/>
  <c r="AH67" i="20"/>
  <c r="AI67" i="20"/>
  <c r="AJ67" i="20"/>
  <c r="AK67" i="20"/>
  <c r="AM67" i="20"/>
  <c r="AN67" i="20"/>
  <c r="AO67" i="20"/>
  <c r="AP67" i="20"/>
  <c r="BG67" i="20"/>
  <c r="BH67" i="20"/>
  <c r="BI67" i="20"/>
  <c r="BJ67" i="20"/>
  <c r="BP67" i="20"/>
  <c r="BQ67" i="20"/>
  <c r="BR67" i="20"/>
  <c r="BS67" i="20"/>
  <c r="BU67" i="20"/>
  <c r="BV67" i="20"/>
  <c r="BW67" i="20"/>
  <c r="BX67" i="20"/>
  <c r="BZ67" i="20"/>
  <c r="CA67" i="20"/>
  <c r="CB67" i="20"/>
  <c r="CC67" i="20"/>
  <c r="CE67" i="20"/>
  <c r="B68" i="20"/>
  <c r="C68" i="20"/>
  <c r="D68" i="20"/>
  <c r="E68" i="20"/>
  <c r="F68" i="20"/>
  <c r="G68" i="20"/>
  <c r="H68" i="20"/>
  <c r="I68" i="20"/>
  <c r="M68" i="20"/>
  <c r="N68" i="20"/>
  <c r="O68" i="20"/>
  <c r="Q68" i="20"/>
  <c r="R68" i="20"/>
  <c r="S68" i="20"/>
  <c r="T68" i="20"/>
  <c r="U68" i="20"/>
  <c r="V68" i="20"/>
  <c r="W68" i="20"/>
  <c r="X68" i="20"/>
  <c r="Y68" i="20"/>
  <c r="Z68" i="20"/>
  <c r="AB68" i="20"/>
  <c r="AC68" i="20"/>
  <c r="AD68" i="20"/>
  <c r="AE68" i="20"/>
  <c r="AF68" i="20"/>
  <c r="AG68" i="20"/>
  <c r="AH68" i="20"/>
  <c r="AI68" i="20"/>
  <c r="AJ68" i="20"/>
  <c r="AK68" i="20"/>
  <c r="AM68" i="20"/>
  <c r="AN68" i="20"/>
  <c r="AO68" i="20"/>
  <c r="AP68" i="20"/>
  <c r="BG68" i="20"/>
  <c r="BH68" i="20"/>
  <c r="BI68" i="20"/>
  <c r="BJ68" i="20"/>
  <c r="BP68" i="20"/>
  <c r="BQ68" i="20"/>
  <c r="BR68" i="20"/>
  <c r="BS68" i="20"/>
  <c r="BU68" i="20"/>
  <c r="BV68" i="20"/>
  <c r="BW68" i="20"/>
  <c r="BX68" i="20"/>
  <c r="BZ68" i="20"/>
  <c r="CA68" i="20"/>
  <c r="CB68" i="20"/>
  <c r="CC68" i="20"/>
  <c r="CE68" i="20"/>
  <c r="B69" i="20"/>
  <c r="C69" i="20"/>
  <c r="D69" i="20"/>
  <c r="E69" i="20"/>
  <c r="F69" i="20"/>
  <c r="G69" i="20"/>
  <c r="H69" i="20"/>
  <c r="I69" i="20"/>
  <c r="M69" i="20"/>
  <c r="N69" i="20"/>
  <c r="O69" i="20"/>
  <c r="Q69" i="20"/>
  <c r="R69" i="20"/>
  <c r="S69" i="20"/>
  <c r="T69" i="20"/>
  <c r="U69" i="20"/>
  <c r="V69" i="20"/>
  <c r="W69" i="20"/>
  <c r="X69" i="20"/>
  <c r="Y69" i="20"/>
  <c r="Z69" i="20"/>
  <c r="AB69" i="20"/>
  <c r="AC69" i="20"/>
  <c r="AD69" i="20"/>
  <c r="AE69" i="20"/>
  <c r="AF69" i="20"/>
  <c r="AG69" i="20"/>
  <c r="AH69" i="20"/>
  <c r="AI69" i="20"/>
  <c r="AJ69" i="20"/>
  <c r="AK69" i="20"/>
  <c r="AM69" i="20"/>
  <c r="AN69" i="20"/>
  <c r="AO69" i="20"/>
  <c r="AP69" i="20"/>
  <c r="BG69" i="20"/>
  <c r="BH69" i="20"/>
  <c r="BI69" i="20"/>
  <c r="BJ69" i="20"/>
  <c r="BP69" i="20"/>
  <c r="BQ69" i="20"/>
  <c r="BR69" i="20"/>
  <c r="BS69" i="20"/>
  <c r="BU69" i="20"/>
  <c r="BV69" i="20"/>
  <c r="BW69" i="20"/>
  <c r="BX69" i="20"/>
  <c r="BZ69" i="20"/>
  <c r="CA69" i="20"/>
  <c r="CB69" i="20"/>
  <c r="CC69" i="20"/>
  <c r="CE69" i="20"/>
  <c r="B70" i="20"/>
  <c r="C70" i="20"/>
  <c r="D70" i="20"/>
  <c r="E70" i="20"/>
  <c r="F70" i="20"/>
  <c r="G70" i="20"/>
  <c r="H70" i="20"/>
  <c r="I70" i="20"/>
  <c r="M70" i="20"/>
  <c r="N70" i="20"/>
  <c r="O70" i="20"/>
  <c r="Q70" i="20"/>
  <c r="R70" i="20"/>
  <c r="S70" i="20"/>
  <c r="T70" i="20"/>
  <c r="U70" i="20"/>
  <c r="V70" i="20"/>
  <c r="W70" i="20"/>
  <c r="X70" i="20"/>
  <c r="Y70" i="20"/>
  <c r="Z70" i="20"/>
  <c r="AB70" i="20"/>
  <c r="AC70" i="20"/>
  <c r="AD70" i="20"/>
  <c r="AE70" i="20"/>
  <c r="AF70" i="20"/>
  <c r="AG70" i="20"/>
  <c r="AH70" i="20"/>
  <c r="AI70" i="20"/>
  <c r="AJ70" i="20"/>
  <c r="AK70" i="20"/>
  <c r="AM70" i="20"/>
  <c r="AN70" i="20"/>
  <c r="AO70" i="20"/>
  <c r="AP70" i="20"/>
  <c r="BG70" i="20"/>
  <c r="BH70" i="20"/>
  <c r="BI70" i="20"/>
  <c r="BJ70" i="20"/>
  <c r="BP70" i="20"/>
  <c r="BQ70" i="20"/>
  <c r="BR70" i="20"/>
  <c r="BS70" i="20"/>
  <c r="BU70" i="20"/>
  <c r="BV70" i="20"/>
  <c r="BW70" i="20"/>
  <c r="BX70" i="20"/>
  <c r="BZ70" i="20"/>
  <c r="CA70" i="20"/>
  <c r="CB70" i="20"/>
  <c r="CC70" i="20"/>
  <c r="CE70" i="20"/>
  <c r="B71" i="20"/>
  <c r="C71" i="20"/>
  <c r="D71" i="20"/>
  <c r="E71" i="20"/>
  <c r="F71" i="20"/>
  <c r="G71" i="20"/>
  <c r="H71" i="20"/>
  <c r="I71" i="20"/>
  <c r="M71" i="20"/>
  <c r="N71" i="20"/>
  <c r="O71" i="20"/>
  <c r="Q71" i="20"/>
  <c r="R71" i="20"/>
  <c r="S71" i="20"/>
  <c r="T71" i="20"/>
  <c r="U71" i="20"/>
  <c r="V71" i="20"/>
  <c r="W71" i="20"/>
  <c r="X71" i="20"/>
  <c r="Y71" i="20"/>
  <c r="Z71" i="20"/>
  <c r="AB71" i="20"/>
  <c r="AC71" i="20"/>
  <c r="AD71" i="20"/>
  <c r="AE71" i="20"/>
  <c r="AF71" i="20"/>
  <c r="AG71" i="20"/>
  <c r="AH71" i="20"/>
  <c r="AI71" i="20"/>
  <c r="AJ71" i="20"/>
  <c r="AK71" i="20"/>
  <c r="AM71" i="20"/>
  <c r="AN71" i="20"/>
  <c r="AO71" i="20"/>
  <c r="AP71" i="20"/>
  <c r="BG71" i="20"/>
  <c r="BH71" i="20"/>
  <c r="BI71" i="20"/>
  <c r="BJ71" i="20"/>
  <c r="BP71" i="20"/>
  <c r="BQ71" i="20"/>
  <c r="BR71" i="20"/>
  <c r="BS71" i="20"/>
  <c r="BU71" i="20"/>
  <c r="BV71" i="20"/>
  <c r="BW71" i="20"/>
  <c r="BX71" i="20"/>
  <c r="BZ71" i="20"/>
  <c r="CA71" i="20"/>
  <c r="CB71" i="20"/>
  <c r="CC71" i="20"/>
  <c r="CE71" i="20"/>
  <c r="B72" i="20"/>
  <c r="C72" i="20"/>
  <c r="D72" i="20"/>
  <c r="E72" i="20"/>
  <c r="F72" i="20"/>
  <c r="G72" i="20"/>
  <c r="H72" i="20"/>
  <c r="I72" i="20"/>
  <c r="M72" i="20"/>
  <c r="N72" i="20"/>
  <c r="O72" i="20"/>
  <c r="Q72" i="20"/>
  <c r="R72" i="20"/>
  <c r="S72" i="20"/>
  <c r="T72" i="20"/>
  <c r="U72" i="20"/>
  <c r="V72" i="20"/>
  <c r="W72" i="20"/>
  <c r="X72" i="20"/>
  <c r="Y72" i="20"/>
  <c r="Z72" i="20"/>
  <c r="AB72" i="20"/>
  <c r="AC72" i="20"/>
  <c r="AD72" i="20"/>
  <c r="AE72" i="20"/>
  <c r="AF72" i="20"/>
  <c r="AG72" i="20"/>
  <c r="AH72" i="20"/>
  <c r="AI72" i="20"/>
  <c r="AJ72" i="20"/>
  <c r="AK72" i="20"/>
  <c r="AM72" i="20"/>
  <c r="AN72" i="20"/>
  <c r="AO72" i="20"/>
  <c r="AP72" i="20"/>
  <c r="BG72" i="20"/>
  <c r="BH72" i="20"/>
  <c r="BI72" i="20"/>
  <c r="BJ72" i="20"/>
  <c r="BP72" i="20"/>
  <c r="BQ72" i="20"/>
  <c r="BR72" i="20"/>
  <c r="BS72" i="20"/>
  <c r="BU72" i="20"/>
  <c r="BV72" i="20"/>
  <c r="BW72" i="20"/>
  <c r="BX72" i="20"/>
  <c r="BZ72" i="20"/>
  <c r="CA72" i="20"/>
  <c r="CB72" i="20"/>
  <c r="CC72" i="20"/>
  <c r="CE72" i="20"/>
  <c r="B73" i="20"/>
  <c r="C73" i="20"/>
  <c r="D73" i="20"/>
  <c r="E73" i="20"/>
  <c r="F73" i="20"/>
  <c r="G73" i="20"/>
  <c r="H73" i="20"/>
  <c r="I73" i="20"/>
  <c r="M73" i="20"/>
  <c r="N73" i="20"/>
  <c r="O73" i="20"/>
  <c r="Q73" i="20"/>
  <c r="R73" i="20"/>
  <c r="S73" i="20"/>
  <c r="T73" i="20"/>
  <c r="U73" i="20"/>
  <c r="V73" i="20"/>
  <c r="W73" i="20"/>
  <c r="X73" i="20"/>
  <c r="Y73" i="20"/>
  <c r="Z73" i="20"/>
  <c r="AB73" i="20"/>
  <c r="AC73" i="20"/>
  <c r="AD73" i="20"/>
  <c r="AE73" i="20"/>
  <c r="AF73" i="20"/>
  <c r="AG73" i="20"/>
  <c r="AH73" i="20"/>
  <c r="AI73" i="20"/>
  <c r="AJ73" i="20"/>
  <c r="AK73" i="20"/>
  <c r="AM73" i="20"/>
  <c r="AN73" i="20"/>
  <c r="AO73" i="20"/>
  <c r="AP73" i="20"/>
  <c r="BG73" i="20"/>
  <c r="BH73" i="20"/>
  <c r="BI73" i="20"/>
  <c r="BJ73" i="20"/>
  <c r="BP73" i="20"/>
  <c r="BQ73" i="20"/>
  <c r="BR73" i="20"/>
  <c r="BS73" i="20"/>
  <c r="BU73" i="20"/>
  <c r="BV73" i="20"/>
  <c r="BW73" i="20"/>
  <c r="BX73" i="20"/>
  <c r="BZ73" i="20"/>
  <c r="CA73" i="20"/>
  <c r="CB73" i="20"/>
  <c r="CC73" i="20"/>
  <c r="CE73" i="20"/>
  <c r="B74" i="20"/>
  <c r="C74" i="20"/>
  <c r="D74" i="20"/>
  <c r="E74" i="20"/>
  <c r="F74" i="20"/>
  <c r="G74" i="20"/>
  <c r="H74" i="20"/>
  <c r="I74" i="20"/>
  <c r="M74" i="20"/>
  <c r="N74" i="20"/>
  <c r="O74" i="20"/>
  <c r="Q74" i="20"/>
  <c r="R74" i="20"/>
  <c r="S74" i="20"/>
  <c r="T74" i="20"/>
  <c r="U74" i="20"/>
  <c r="V74" i="20"/>
  <c r="W74" i="20"/>
  <c r="X74" i="20"/>
  <c r="Y74" i="20"/>
  <c r="Z74" i="20"/>
  <c r="AB74" i="20"/>
  <c r="AC74" i="20"/>
  <c r="AD74" i="20"/>
  <c r="AE74" i="20"/>
  <c r="AF74" i="20"/>
  <c r="AG74" i="20"/>
  <c r="AH74" i="20"/>
  <c r="AI74" i="20"/>
  <c r="AJ74" i="20"/>
  <c r="AK74" i="20"/>
  <c r="AM74" i="20"/>
  <c r="AN74" i="20"/>
  <c r="AO74" i="20"/>
  <c r="AP74" i="20"/>
  <c r="BG74" i="20"/>
  <c r="BH74" i="20"/>
  <c r="BI74" i="20"/>
  <c r="BJ74" i="20"/>
  <c r="BP74" i="20"/>
  <c r="BQ74" i="20"/>
  <c r="BR74" i="20"/>
  <c r="BS74" i="20"/>
  <c r="BU74" i="20"/>
  <c r="BV74" i="20"/>
  <c r="BW74" i="20"/>
  <c r="BX74" i="20"/>
  <c r="BZ74" i="20"/>
  <c r="CA74" i="20"/>
  <c r="CB74" i="20"/>
  <c r="CC74" i="20"/>
  <c r="CE74" i="20"/>
  <c r="B75" i="20"/>
  <c r="C75" i="20"/>
  <c r="D75" i="20"/>
  <c r="E75" i="20"/>
  <c r="F75" i="20"/>
  <c r="G75" i="20"/>
  <c r="H75" i="20"/>
  <c r="I75" i="20"/>
  <c r="M75" i="20"/>
  <c r="N75" i="20"/>
  <c r="O75" i="20"/>
  <c r="Q75" i="20"/>
  <c r="R75" i="20"/>
  <c r="S75" i="20"/>
  <c r="T75" i="20"/>
  <c r="U75" i="20"/>
  <c r="V75" i="20"/>
  <c r="W75" i="20"/>
  <c r="X75" i="20"/>
  <c r="Y75" i="20"/>
  <c r="Z75" i="20"/>
  <c r="AB75" i="20"/>
  <c r="AC75" i="20"/>
  <c r="AD75" i="20"/>
  <c r="AE75" i="20"/>
  <c r="AF75" i="20"/>
  <c r="AG75" i="20"/>
  <c r="AH75" i="20"/>
  <c r="AI75" i="20"/>
  <c r="AJ75" i="20"/>
  <c r="AK75" i="20"/>
  <c r="AM75" i="20"/>
  <c r="AN75" i="20"/>
  <c r="AO75" i="20"/>
  <c r="AP75" i="20"/>
  <c r="BG75" i="20"/>
  <c r="BH75" i="20"/>
  <c r="BI75" i="20"/>
  <c r="BJ75" i="20"/>
  <c r="BP75" i="20"/>
  <c r="BQ75" i="20"/>
  <c r="BR75" i="20"/>
  <c r="BS75" i="20"/>
  <c r="BU75" i="20"/>
  <c r="BV75" i="20"/>
  <c r="BW75" i="20"/>
  <c r="BX75" i="20"/>
  <c r="BZ75" i="20"/>
  <c r="CA75" i="20"/>
  <c r="CB75" i="20"/>
  <c r="CC75" i="20"/>
  <c r="CE75" i="20"/>
  <c r="B76" i="20"/>
  <c r="C76" i="20"/>
  <c r="D76" i="20"/>
  <c r="E76" i="20"/>
  <c r="F76" i="20"/>
  <c r="G76" i="20"/>
  <c r="H76" i="20"/>
  <c r="I76" i="20"/>
  <c r="M76" i="20"/>
  <c r="N76" i="20"/>
  <c r="O76" i="20"/>
  <c r="Q76" i="20"/>
  <c r="R76" i="20"/>
  <c r="S76" i="20"/>
  <c r="T76" i="20"/>
  <c r="U76" i="20"/>
  <c r="V76" i="20"/>
  <c r="W76" i="20"/>
  <c r="X76" i="20"/>
  <c r="Y76" i="20"/>
  <c r="Z76" i="20"/>
  <c r="AB76" i="20"/>
  <c r="AC76" i="20"/>
  <c r="AD76" i="20"/>
  <c r="AE76" i="20"/>
  <c r="AF76" i="20"/>
  <c r="AG76" i="20"/>
  <c r="AH76" i="20"/>
  <c r="AI76" i="20"/>
  <c r="AJ76" i="20"/>
  <c r="AK76" i="20"/>
  <c r="AM76" i="20"/>
  <c r="AN76" i="20"/>
  <c r="AO76" i="20"/>
  <c r="AP76" i="20"/>
  <c r="BG76" i="20"/>
  <c r="BH76" i="20"/>
  <c r="BI76" i="20"/>
  <c r="BJ76" i="20"/>
  <c r="BP76" i="20"/>
  <c r="BQ76" i="20"/>
  <c r="BR76" i="20"/>
  <c r="BS76" i="20"/>
  <c r="BU76" i="20"/>
  <c r="BV76" i="20"/>
  <c r="BW76" i="20"/>
  <c r="BX76" i="20"/>
  <c r="BZ76" i="20"/>
  <c r="CA76" i="20"/>
  <c r="CB76" i="20"/>
  <c r="CC76" i="20"/>
  <c r="CE76" i="20"/>
  <c r="B77" i="20"/>
  <c r="C77" i="20"/>
  <c r="D77" i="20"/>
  <c r="E77" i="20"/>
  <c r="F77" i="20"/>
  <c r="G77" i="20"/>
  <c r="H77" i="20"/>
  <c r="I77" i="20"/>
  <c r="M77" i="20"/>
  <c r="N77" i="20"/>
  <c r="O77" i="20"/>
  <c r="Q77" i="20"/>
  <c r="R77" i="20"/>
  <c r="S77" i="20"/>
  <c r="T77" i="20"/>
  <c r="U77" i="20"/>
  <c r="V77" i="20"/>
  <c r="W77" i="20"/>
  <c r="X77" i="20"/>
  <c r="Y77" i="20"/>
  <c r="Z77" i="20"/>
  <c r="AB77" i="20"/>
  <c r="AC77" i="20"/>
  <c r="AD77" i="20"/>
  <c r="AE77" i="20"/>
  <c r="AF77" i="20"/>
  <c r="AG77" i="20"/>
  <c r="AH77" i="20"/>
  <c r="AI77" i="20"/>
  <c r="AJ77" i="20"/>
  <c r="AK77" i="20"/>
  <c r="AM77" i="20"/>
  <c r="AN77" i="20"/>
  <c r="AO77" i="20"/>
  <c r="AP77" i="20"/>
  <c r="BG77" i="20"/>
  <c r="BH77" i="20"/>
  <c r="BI77" i="20"/>
  <c r="BJ77" i="20"/>
  <c r="BP77" i="20"/>
  <c r="BQ77" i="20"/>
  <c r="BR77" i="20"/>
  <c r="BS77" i="20"/>
  <c r="BU77" i="20"/>
  <c r="BV77" i="20"/>
  <c r="BW77" i="20"/>
  <c r="BX77" i="20"/>
  <c r="BZ77" i="20"/>
  <c r="CA77" i="20"/>
  <c r="CB77" i="20"/>
  <c r="CC77" i="20"/>
  <c r="CE77" i="20"/>
  <c r="B78" i="20"/>
  <c r="C78" i="20"/>
  <c r="D78" i="20"/>
  <c r="E78" i="20"/>
  <c r="F78" i="20"/>
  <c r="G78" i="20"/>
  <c r="H78" i="20"/>
  <c r="I78" i="20"/>
  <c r="M78" i="20"/>
  <c r="N78" i="20"/>
  <c r="O78" i="20"/>
  <c r="Q78" i="20"/>
  <c r="R78" i="20"/>
  <c r="S78" i="20"/>
  <c r="T78" i="20"/>
  <c r="U78" i="20"/>
  <c r="V78" i="20"/>
  <c r="W78" i="20"/>
  <c r="X78" i="20"/>
  <c r="Y78" i="20"/>
  <c r="Z78" i="20"/>
  <c r="AB78" i="20"/>
  <c r="AC78" i="20"/>
  <c r="AD78" i="20"/>
  <c r="AE78" i="20"/>
  <c r="AF78" i="20"/>
  <c r="AG78" i="20"/>
  <c r="AH78" i="20"/>
  <c r="AI78" i="20"/>
  <c r="AJ78" i="20"/>
  <c r="AK78" i="20"/>
  <c r="AM78" i="20"/>
  <c r="AN78" i="20"/>
  <c r="AO78" i="20"/>
  <c r="AP78" i="20"/>
  <c r="BG78" i="20"/>
  <c r="BH78" i="20"/>
  <c r="BI78" i="20"/>
  <c r="BJ78" i="20"/>
  <c r="BP78" i="20"/>
  <c r="BQ78" i="20"/>
  <c r="BR78" i="20"/>
  <c r="BS78" i="20"/>
  <c r="BU78" i="20"/>
  <c r="BV78" i="20"/>
  <c r="BW78" i="20"/>
  <c r="BX78" i="20"/>
  <c r="BZ78" i="20"/>
  <c r="CA78" i="20"/>
  <c r="CB78" i="20"/>
  <c r="CC78" i="20"/>
  <c r="CE78" i="20"/>
  <c r="B79" i="20"/>
  <c r="C79" i="20"/>
  <c r="D79" i="20"/>
  <c r="E79" i="20"/>
  <c r="F79" i="20"/>
  <c r="G79" i="20"/>
  <c r="H79" i="20"/>
  <c r="I79" i="20"/>
  <c r="M79" i="20"/>
  <c r="N79" i="20"/>
  <c r="O79" i="20"/>
  <c r="Q79" i="20"/>
  <c r="R79" i="20"/>
  <c r="S79" i="20"/>
  <c r="T79" i="20"/>
  <c r="U79" i="20"/>
  <c r="V79" i="20"/>
  <c r="W79" i="20"/>
  <c r="X79" i="20"/>
  <c r="Y79" i="20"/>
  <c r="Z79" i="20"/>
  <c r="AB79" i="20"/>
  <c r="AC79" i="20"/>
  <c r="AD79" i="20"/>
  <c r="AE79" i="20"/>
  <c r="AF79" i="20"/>
  <c r="AG79" i="20"/>
  <c r="AH79" i="20"/>
  <c r="AI79" i="20"/>
  <c r="AJ79" i="20"/>
  <c r="AK79" i="20"/>
  <c r="AM79" i="20"/>
  <c r="AN79" i="20"/>
  <c r="AO79" i="20"/>
  <c r="AP79" i="20"/>
  <c r="BG79" i="20"/>
  <c r="BH79" i="20"/>
  <c r="BI79" i="20"/>
  <c r="BJ79" i="20"/>
  <c r="BP79" i="20"/>
  <c r="BQ79" i="20"/>
  <c r="BR79" i="20"/>
  <c r="BS79" i="20"/>
  <c r="BU79" i="20"/>
  <c r="BV79" i="20"/>
  <c r="BW79" i="20"/>
  <c r="BX79" i="20"/>
  <c r="BZ79" i="20"/>
  <c r="CA79" i="20"/>
  <c r="CB79" i="20"/>
  <c r="CC79" i="20"/>
  <c r="CE79" i="20"/>
  <c r="B80" i="20"/>
  <c r="C80" i="20"/>
  <c r="D80" i="20"/>
  <c r="E80" i="20"/>
  <c r="F80" i="20"/>
  <c r="G80" i="20"/>
  <c r="H80" i="20"/>
  <c r="I80" i="20"/>
  <c r="M80" i="20"/>
  <c r="N80" i="20"/>
  <c r="O80" i="20"/>
  <c r="Q80" i="20"/>
  <c r="R80" i="20"/>
  <c r="S80" i="20"/>
  <c r="T80" i="20"/>
  <c r="U80" i="20"/>
  <c r="V80" i="20"/>
  <c r="W80" i="20"/>
  <c r="X80" i="20"/>
  <c r="Y80" i="20"/>
  <c r="Z80" i="20"/>
  <c r="AB80" i="20"/>
  <c r="AC80" i="20"/>
  <c r="AD80" i="20"/>
  <c r="AE80" i="20"/>
  <c r="AF80" i="20"/>
  <c r="AG80" i="20"/>
  <c r="AH80" i="20"/>
  <c r="AI80" i="20"/>
  <c r="AJ80" i="20"/>
  <c r="AK80" i="20"/>
  <c r="AM80" i="20"/>
  <c r="AN80" i="20"/>
  <c r="AO80" i="20"/>
  <c r="AP80" i="20"/>
  <c r="BG80" i="20"/>
  <c r="BH80" i="20"/>
  <c r="BI80" i="20"/>
  <c r="BJ80" i="20"/>
  <c r="BP80" i="20"/>
  <c r="BQ80" i="20"/>
  <c r="BR80" i="20"/>
  <c r="BS80" i="20"/>
  <c r="BU80" i="20"/>
  <c r="BV80" i="20"/>
  <c r="BW80" i="20"/>
  <c r="BX80" i="20"/>
  <c r="BZ80" i="20"/>
  <c r="CA80" i="20"/>
  <c r="CB80" i="20"/>
  <c r="CC80" i="20"/>
  <c r="CE80" i="20"/>
  <c r="B81" i="20"/>
  <c r="C81" i="20"/>
  <c r="D81" i="20"/>
  <c r="E81" i="20"/>
  <c r="F81" i="20"/>
  <c r="G81" i="20"/>
  <c r="H81" i="20"/>
  <c r="I81" i="20"/>
  <c r="M81" i="20"/>
  <c r="N81" i="20"/>
  <c r="O81" i="20"/>
  <c r="Q81" i="20"/>
  <c r="R81" i="20"/>
  <c r="S81" i="20"/>
  <c r="T81" i="20"/>
  <c r="U81" i="20"/>
  <c r="V81" i="20"/>
  <c r="W81" i="20"/>
  <c r="X81" i="20"/>
  <c r="Y81" i="20"/>
  <c r="Z81" i="20"/>
  <c r="AB81" i="20"/>
  <c r="AC81" i="20"/>
  <c r="AD81" i="20"/>
  <c r="AE81" i="20"/>
  <c r="AF81" i="20"/>
  <c r="AG81" i="20"/>
  <c r="AH81" i="20"/>
  <c r="AI81" i="20"/>
  <c r="AJ81" i="20"/>
  <c r="AK81" i="20"/>
  <c r="AM81" i="20"/>
  <c r="AN81" i="20"/>
  <c r="AO81" i="20"/>
  <c r="AP81" i="20"/>
  <c r="BG81" i="20"/>
  <c r="BH81" i="20"/>
  <c r="BI81" i="20"/>
  <c r="BJ81" i="20"/>
  <c r="BP81" i="20"/>
  <c r="BQ81" i="20"/>
  <c r="BR81" i="20"/>
  <c r="BS81" i="20"/>
  <c r="BU81" i="20"/>
  <c r="BV81" i="20"/>
  <c r="BW81" i="20"/>
  <c r="BX81" i="20"/>
  <c r="BZ81" i="20"/>
  <c r="CA81" i="20"/>
  <c r="CB81" i="20"/>
  <c r="CC81" i="20"/>
  <c r="CE81" i="20"/>
  <c r="B82" i="20"/>
  <c r="C82" i="20"/>
  <c r="D82" i="20"/>
  <c r="E82" i="20"/>
  <c r="F82" i="20"/>
  <c r="G82" i="20"/>
  <c r="H82" i="20"/>
  <c r="I82" i="20"/>
  <c r="M82" i="20"/>
  <c r="N82" i="20"/>
  <c r="O82" i="20"/>
  <c r="Q82" i="20"/>
  <c r="R82" i="20"/>
  <c r="S82" i="20"/>
  <c r="T82" i="20"/>
  <c r="U82" i="20"/>
  <c r="V82" i="20"/>
  <c r="W82" i="20"/>
  <c r="X82" i="20"/>
  <c r="Y82" i="20"/>
  <c r="Z82" i="20"/>
  <c r="AB82" i="20"/>
  <c r="AC82" i="20"/>
  <c r="AD82" i="20"/>
  <c r="AE82" i="20"/>
  <c r="AF82" i="20"/>
  <c r="AG82" i="20"/>
  <c r="AH82" i="20"/>
  <c r="AI82" i="20"/>
  <c r="AJ82" i="20"/>
  <c r="AK82" i="20"/>
  <c r="AM82" i="20"/>
  <c r="AN82" i="20"/>
  <c r="AO82" i="20"/>
  <c r="AP82" i="20"/>
  <c r="BG82" i="20"/>
  <c r="BH82" i="20"/>
  <c r="BI82" i="20"/>
  <c r="BJ82" i="20"/>
  <c r="BP82" i="20"/>
  <c r="BQ82" i="20"/>
  <c r="BR82" i="20"/>
  <c r="BS82" i="20"/>
  <c r="BU82" i="20"/>
  <c r="BV82" i="20"/>
  <c r="BW82" i="20"/>
  <c r="BX82" i="20"/>
  <c r="BZ82" i="20"/>
  <c r="CA82" i="20"/>
  <c r="CB82" i="20"/>
  <c r="CC82" i="20"/>
  <c r="CE82" i="20"/>
  <c r="B83" i="20"/>
  <c r="C83" i="20"/>
  <c r="D83" i="20"/>
  <c r="E83" i="20"/>
  <c r="F83" i="20"/>
  <c r="G83" i="20"/>
  <c r="H83" i="20"/>
  <c r="I83" i="20"/>
  <c r="M83" i="20"/>
  <c r="N83" i="20"/>
  <c r="O83" i="20"/>
  <c r="Q83" i="20"/>
  <c r="R83" i="20"/>
  <c r="S83" i="20"/>
  <c r="T83" i="20"/>
  <c r="U83" i="20"/>
  <c r="V83" i="20"/>
  <c r="W83" i="20"/>
  <c r="X83" i="20"/>
  <c r="Y83" i="20"/>
  <c r="Z83" i="20"/>
  <c r="AB83" i="20"/>
  <c r="AC83" i="20"/>
  <c r="AD83" i="20"/>
  <c r="AE83" i="20"/>
  <c r="AF83" i="20"/>
  <c r="AG83" i="20"/>
  <c r="AH83" i="20"/>
  <c r="AI83" i="20"/>
  <c r="AJ83" i="20"/>
  <c r="AK83" i="20"/>
  <c r="AM83" i="20"/>
  <c r="AN83" i="20"/>
  <c r="AO83" i="20"/>
  <c r="AP83" i="20"/>
  <c r="BG83" i="20"/>
  <c r="BH83" i="20"/>
  <c r="BI83" i="20"/>
  <c r="BJ83" i="20"/>
  <c r="BP83" i="20"/>
  <c r="BQ83" i="20"/>
  <c r="BR83" i="20"/>
  <c r="BS83" i="20"/>
  <c r="BU83" i="20"/>
  <c r="BV83" i="20"/>
  <c r="BW83" i="20"/>
  <c r="BX83" i="20"/>
  <c r="BZ83" i="20"/>
  <c r="CA83" i="20"/>
  <c r="CB83" i="20"/>
  <c r="CC83" i="20"/>
  <c r="CE83" i="20"/>
  <c r="B84" i="20"/>
  <c r="C84" i="20"/>
  <c r="D84" i="20"/>
  <c r="E84" i="20"/>
  <c r="F84" i="20"/>
  <c r="G84" i="20"/>
  <c r="H84" i="20"/>
  <c r="I84" i="20"/>
  <c r="M84" i="20"/>
  <c r="N84" i="20"/>
  <c r="O84" i="20"/>
  <c r="Q84" i="20"/>
  <c r="R84" i="20"/>
  <c r="S84" i="20"/>
  <c r="T84" i="20"/>
  <c r="U84" i="20"/>
  <c r="V84" i="20"/>
  <c r="W84" i="20"/>
  <c r="X84" i="20"/>
  <c r="Y84" i="20"/>
  <c r="Z84" i="20"/>
  <c r="AB84" i="20"/>
  <c r="AC84" i="20"/>
  <c r="AD84" i="20"/>
  <c r="AE84" i="20"/>
  <c r="AF84" i="20"/>
  <c r="AG84" i="20"/>
  <c r="AH84" i="20"/>
  <c r="AI84" i="20"/>
  <c r="AJ84" i="20"/>
  <c r="AK84" i="20"/>
  <c r="AM84" i="20"/>
  <c r="AN84" i="20"/>
  <c r="AO84" i="20"/>
  <c r="AP84" i="20"/>
  <c r="BG84" i="20"/>
  <c r="BH84" i="20"/>
  <c r="BI84" i="20"/>
  <c r="BJ84" i="20"/>
  <c r="BP84" i="20"/>
  <c r="BQ84" i="20"/>
  <c r="BR84" i="20"/>
  <c r="BS84" i="20"/>
  <c r="BU84" i="20"/>
  <c r="BV84" i="20"/>
  <c r="BW84" i="20"/>
  <c r="BX84" i="20"/>
  <c r="BZ84" i="20"/>
  <c r="CA84" i="20"/>
  <c r="CB84" i="20"/>
  <c r="CC84" i="20"/>
  <c r="CE84" i="20"/>
  <c r="B85" i="20"/>
  <c r="C85" i="20"/>
  <c r="D85" i="20"/>
  <c r="E85" i="20"/>
  <c r="F85" i="20"/>
  <c r="G85" i="20"/>
  <c r="H85" i="20"/>
  <c r="I85" i="20"/>
  <c r="M85" i="20"/>
  <c r="N85" i="20"/>
  <c r="O85" i="20"/>
  <c r="Q85" i="20"/>
  <c r="R85" i="20"/>
  <c r="S85" i="20"/>
  <c r="T85" i="20"/>
  <c r="U85" i="20"/>
  <c r="V85" i="20"/>
  <c r="W85" i="20"/>
  <c r="X85" i="20"/>
  <c r="Y85" i="20"/>
  <c r="Z85" i="20"/>
  <c r="AB85" i="20"/>
  <c r="AC85" i="20"/>
  <c r="AD85" i="20"/>
  <c r="AE85" i="20"/>
  <c r="AF85" i="20"/>
  <c r="AG85" i="20"/>
  <c r="AH85" i="20"/>
  <c r="AI85" i="20"/>
  <c r="AJ85" i="20"/>
  <c r="AK85" i="20"/>
  <c r="AM85" i="20"/>
  <c r="AN85" i="20"/>
  <c r="AO85" i="20"/>
  <c r="AP85" i="20"/>
  <c r="BG85" i="20"/>
  <c r="BH85" i="20"/>
  <c r="BI85" i="20"/>
  <c r="BJ85" i="20"/>
  <c r="BP85" i="20"/>
  <c r="BQ85" i="20"/>
  <c r="BR85" i="20"/>
  <c r="BS85" i="20"/>
  <c r="BU85" i="20"/>
  <c r="BV85" i="20"/>
  <c r="BW85" i="20"/>
  <c r="BX85" i="20"/>
  <c r="BZ85" i="20"/>
  <c r="CA85" i="20"/>
  <c r="CB85" i="20"/>
  <c r="CC85" i="20"/>
  <c r="CE85" i="20"/>
  <c r="B86" i="20"/>
  <c r="C86" i="20"/>
  <c r="D86" i="20"/>
  <c r="E86" i="20"/>
  <c r="F86" i="20"/>
  <c r="G86" i="20"/>
  <c r="H86" i="20"/>
  <c r="I86" i="20"/>
  <c r="M86" i="20"/>
  <c r="N86" i="20"/>
  <c r="O86" i="20"/>
  <c r="Q86" i="20"/>
  <c r="R86" i="20"/>
  <c r="S86" i="20"/>
  <c r="T86" i="20"/>
  <c r="U86" i="20"/>
  <c r="V86" i="20"/>
  <c r="W86" i="20"/>
  <c r="X86" i="20"/>
  <c r="Y86" i="20"/>
  <c r="Z86" i="20"/>
  <c r="AB86" i="20"/>
  <c r="AC86" i="20"/>
  <c r="AD86" i="20"/>
  <c r="AE86" i="20"/>
  <c r="AF86" i="20"/>
  <c r="AG86" i="20"/>
  <c r="AH86" i="20"/>
  <c r="AI86" i="20"/>
  <c r="AJ86" i="20"/>
  <c r="AK86" i="20"/>
  <c r="AM86" i="20"/>
  <c r="AN86" i="20"/>
  <c r="AO86" i="20"/>
  <c r="AP86" i="20"/>
  <c r="BG86" i="20"/>
  <c r="BH86" i="20"/>
  <c r="BI86" i="20"/>
  <c r="BJ86" i="20"/>
  <c r="BP86" i="20"/>
  <c r="BQ86" i="20"/>
  <c r="BR86" i="20"/>
  <c r="BS86" i="20"/>
  <c r="BU86" i="20"/>
  <c r="BV86" i="20"/>
  <c r="BW86" i="20"/>
  <c r="BX86" i="20"/>
  <c r="BZ86" i="20"/>
  <c r="CA86" i="20"/>
  <c r="CB86" i="20"/>
  <c r="CC86" i="20"/>
  <c r="CE86" i="20"/>
  <c r="B87" i="20"/>
  <c r="C87" i="20"/>
  <c r="D87" i="20"/>
  <c r="E87" i="20"/>
  <c r="F87" i="20"/>
  <c r="G87" i="20"/>
  <c r="H87" i="20"/>
  <c r="I87" i="20"/>
  <c r="M87" i="20"/>
  <c r="N87" i="20"/>
  <c r="O87" i="20"/>
  <c r="Q87" i="20"/>
  <c r="R87" i="20"/>
  <c r="S87" i="20"/>
  <c r="T87" i="20"/>
  <c r="U87" i="20"/>
  <c r="V87" i="20"/>
  <c r="W87" i="20"/>
  <c r="X87" i="20"/>
  <c r="Y87" i="20"/>
  <c r="Z87" i="20"/>
  <c r="AB87" i="20"/>
  <c r="AC87" i="20"/>
  <c r="AD87" i="20"/>
  <c r="AE87" i="20"/>
  <c r="AF87" i="20"/>
  <c r="AG87" i="20"/>
  <c r="AH87" i="20"/>
  <c r="AI87" i="20"/>
  <c r="AJ87" i="20"/>
  <c r="AK87" i="20"/>
  <c r="AM87" i="20"/>
  <c r="AN87" i="20"/>
  <c r="AO87" i="20"/>
  <c r="AP87" i="20"/>
  <c r="BG87" i="20"/>
  <c r="BH87" i="20"/>
  <c r="BI87" i="20"/>
  <c r="BJ87" i="20"/>
  <c r="BP87" i="20"/>
  <c r="BQ87" i="20"/>
  <c r="BR87" i="20"/>
  <c r="BS87" i="20"/>
  <c r="BU87" i="20"/>
  <c r="BV87" i="20"/>
  <c r="BW87" i="20"/>
  <c r="BX87" i="20"/>
  <c r="BZ87" i="20"/>
  <c r="CA87" i="20"/>
  <c r="CB87" i="20"/>
  <c r="CC87" i="20"/>
  <c r="CE87" i="20"/>
  <c r="B88" i="20"/>
  <c r="C88" i="20"/>
  <c r="D88" i="20"/>
  <c r="E88" i="20"/>
  <c r="F88" i="20"/>
  <c r="G88" i="20"/>
  <c r="H88" i="20"/>
  <c r="I88" i="20"/>
  <c r="M88" i="20"/>
  <c r="N88" i="20"/>
  <c r="O88" i="20"/>
  <c r="Q88" i="20"/>
  <c r="R88" i="20"/>
  <c r="S88" i="20"/>
  <c r="T88" i="20"/>
  <c r="U88" i="20"/>
  <c r="V88" i="20"/>
  <c r="W88" i="20"/>
  <c r="X88" i="20"/>
  <c r="Y88" i="20"/>
  <c r="Z88" i="20"/>
  <c r="AB88" i="20"/>
  <c r="AC88" i="20"/>
  <c r="AD88" i="20"/>
  <c r="AE88" i="20"/>
  <c r="AF88" i="20"/>
  <c r="AG88" i="20"/>
  <c r="AH88" i="20"/>
  <c r="AI88" i="20"/>
  <c r="AJ88" i="20"/>
  <c r="AK88" i="20"/>
  <c r="AM88" i="20"/>
  <c r="AN88" i="20"/>
  <c r="AO88" i="20"/>
  <c r="AP88" i="20"/>
  <c r="BG88" i="20"/>
  <c r="BH88" i="20"/>
  <c r="BI88" i="20"/>
  <c r="BJ88" i="20"/>
  <c r="BP88" i="20"/>
  <c r="BQ88" i="20"/>
  <c r="BR88" i="20"/>
  <c r="BS88" i="20"/>
  <c r="BU88" i="20"/>
  <c r="BV88" i="20"/>
  <c r="BW88" i="20"/>
  <c r="BX88" i="20"/>
  <c r="BZ88" i="20"/>
  <c r="CA88" i="20"/>
  <c r="CB88" i="20"/>
  <c r="CC88" i="20"/>
  <c r="CE88" i="20"/>
  <c r="B89" i="20"/>
  <c r="C89" i="20"/>
  <c r="D89" i="20"/>
  <c r="E89" i="20"/>
  <c r="F89" i="20"/>
  <c r="G89" i="20"/>
  <c r="H89" i="20"/>
  <c r="I89" i="20"/>
  <c r="M89" i="20"/>
  <c r="N89" i="20"/>
  <c r="O89" i="20"/>
  <c r="Q89" i="20"/>
  <c r="R89" i="20"/>
  <c r="S89" i="20"/>
  <c r="T89" i="20"/>
  <c r="U89" i="20"/>
  <c r="V89" i="20"/>
  <c r="W89" i="20"/>
  <c r="X89" i="20"/>
  <c r="Y89" i="20"/>
  <c r="Z89" i="20"/>
  <c r="AB89" i="20"/>
  <c r="AC89" i="20"/>
  <c r="AD89" i="20"/>
  <c r="AE89" i="20"/>
  <c r="AF89" i="20"/>
  <c r="AG89" i="20"/>
  <c r="AH89" i="20"/>
  <c r="AI89" i="20"/>
  <c r="AJ89" i="20"/>
  <c r="AK89" i="20"/>
  <c r="AM89" i="20"/>
  <c r="AN89" i="20"/>
  <c r="AO89" i="20"/>
  <c r="AP89" i="20"/>
  <c r="BG89" i="20"/>
  <c r="BH89" i="20"/>
  <c r="BI89" i="20"/>
  <c r="BJ89" i="20"/>
  <c r="BP89" i="20"/>
  <c r="BQ89" i="20"/>
  <c r="BR89" i="20"/>
  <c r="BS89" i="20"/>
  <c r="BU89" i="20"/>
  <c r="BV89" i="20"/>
  <c r="BW89" i="20"/>
  <c r="BX89" i="20"/>
  <c r="BZ89" i="20"/>
  <c r="CA89" i="20"/>
  <c r="CB89" i="20"/>
  <c r="CC89" i="20"/>
  <c r="CE89" i="20"/>
  <c r="B90" i="20"/>
  <c r="C90" i="20"/>
  <c r="D90" i="20"/>
  <c r="E90" i="20"/>
  <c r="F90" i="20"/>
  <c r="G90" i="20"/>
  <c r="H90" i="20"/>
  <c r="I90" i="20"/>
  <c r="M90" i="20"/>
  <c r="N90" i="20"/>
  <c r="O90" i="20"/>
  <c r="Q90" i="20"/>
  <c r="R90" i="20"/>
  <c r="S90" i="20"/>
  <c r="T90" i="20"/>
  <c r="U90" i="20"/>
  <c r="V90" i="20"/>
  <c r="W90" i="20"/>
  <c r="X90" i="20"/>
  <c r="Y90" i="20"/>
  <c r="Z90" i="20"/>
  <c r="AB90" i="20"/>
  <c r="AC90" i="20"/>
  <c r="AD90" i="20"/>
  <c r="AE90" i="20"/>
  <c r="AF90" i="20"/>
  <c r="AG90" i="20"/>
  <c r="AH90" i="20"/>
  <c r="AI90" i="20"/>
  <c r="AJ90" i="20"/>
  <c r="AK90" i="20"/>
  <c r="AM90" i="20"/>
  <c r="AN90" i="20"/>
  <c r="AO90" i="20"/>
  <c r="AP90" i="20"/>
  <c r="BG90" i="20"/>
  <c r="BH90" i="20"/>
  <c r="BI90" i="20"/>
  <c r="BJ90" i="20"/>
  <c r="BP90" i="20"/>
  <c r="BQ90" i="20"/>
  <c r="BR90" i="20"/>
  <c r="BS90" i="20"/>
  <c r="BU90" i="20"/>
  <c r="BV90" i="20"/>
  <c r="BW90" i="20"/>
  <c r="BX90" i="20"/>
  <c r="BZ90" i="20"/>
  <c r="CA90" i="20"/>
  <c r="CB90" i="20"/>
  <c r="CC90" i="20"/>
  <c r="CE90" i="20"/>
  <c r="B91" i="20"/>
  <c r="C91" i="20"/>
  <c r="D91" i="20"/>
  <c r="E91" i="20"/>
  <c r="F91" i="20"/>
  <c r="G91" i="20"/>
  <c r="H91" i="20"/>
  <c r="I91" i="20"/>
  <c r="M91" i="20"/>
  <c r="N91" i="20"/>
  <c r="O91" i="20"/>
  <c r="Q91" i="20"/>
  <c r="R91" i="20"/>
  <c r="S91" i="20"/>
  <c r="T91" i="20"/>
  <c r="U91" i="20"/>
  <c r="V91" i="20"/>
  <c r="W91" i="20"/>
  <c r="X91" i="20"/>
  <c r="Y91" i="20"/>
  <c r="Z91" i="20"/>
  <c r="AB91" i="20"/>
  <c r="AC91" i="20"/>
  <c r="AD91" i="20"/>
  <c r="AE91" i="20"/>
  <c r="AF91" i="20"/>
  <c r="AG91" i="20"/>
  <c r="AH91" i="20"/>
  <c r="AI91" i="20"/>
  <c r="AJ91" i="20"/>
  <c r="AK91" i="20"/>
  <c r="AM91" i="20"/>
  <c r="AN91" i="20"/>
  <c r="AO91" i="20"/>
  <c r="AP91" i="20"/>
  <c r="BG91" i="20"/>
  <c r="BH91" i="20"/>
  <c r="BI91" i="20"/>
  <c r="BJ91" i="20"/>
  <c r="BP91" i="20"/>
  <c r="BQ91" i="20"/>
  <c r="BR91" i="20"/>
  <c r="BS91" i="20"/>
  <c r="BU91" i="20"/>
  <c r="BV91" i="20"/>
  <c r="BW91" i="20"/>
  <c r="BX91" i="20"/>
  <c r="BZ91" i="20"/>
  <c r="CA91" i="20"/>
  <c r="CB91" i="20"/>
  <c r="CC91" i="20"/>
  <c r="CE91" i="20"/>
  <c r="B92" i="20"/>
  <c r="C92" i="20"/>
  <c r="D92" i="20"/>
  <c r="E92" i="20"/>
  <c r="F92" i="20"/>
  <c r="G92" i="20"/>
  <c r="H92" i="20"/>
  <c r="I92" i="20"/>
  <c r="M92" i="20"/>
  <c r="N92" i="20"/>
  <c r="O92" i="20"/>
  <c r="Q92" i="20"/>
  <c r="R92" i="20"/>
  <c r="S92" i="20"/>
  <c r="T92" i="20"/>
  <c r="U92" i="20"/>
  <c r="V92" i="20"/>
  <c r="W92" i="20"/>
  <c r="X92" i="20"/>
  <c r="Y92" i="20"/>
  <c r="Z92" i="20"/>
  <c r="AB92" i="20"/>
  <c r="AC92" i="20"/>
  <c r="AD92" i="20"/>
  <c r="AE92" i="20"/>
  <c r="AF92" i="20"/>
  <c r="AG92" i="20"/>
  <c r="AH92" i="20"/>
  <c r="AI92" i="20"/>
  <c r="AJ92" i="20"/>
  <c r="AK92" i="20"/>
  <c r="AM92" i="20"/>
  <c r="AN92" i="20"/>
  <c r="AO92" i="20"/>
  <c r="AP92" i="20"/>
  <c r="BG92" i="20"/>
  <c r="BH92" i="20"/>
  <c r="BI92" i="20"/>
  <c r="BJ92" i="20"/>
  <c r="BP92" i="20"/>
  <c r="BQ92" i="20"/>
  <c r="BR92" i="20"/>
  <c r="BS92" i="20"/>
  <c r="BU92" i="20"/>
  <c r="BV92" i="20"/>
  <c r="BW92" i="20"/>
  <c r="BX92" i="20"/>
  <c r="BZ92" i="20"/>
  <c r="CA92" i="20"/>
  <c r="CB92" i="20"/>
  <c r="CC92" i="20"/>
  <c r="CE92" i="20"/>
  <c r="B93" i="20"/>
  <c r="C93" i="20"/>
  <c r="D93" i="20"/>
  <c r="E93" i="20"/>
  <c r="F93" i="20"/>
  <c r="G93" i="20"/>
  <c r="H93" i="20"/>
  <c r="I93" i="20"/>
  <c r="M93" i="20"/>
  <c r="N93" i="20"/>
  <c r="O93" i="20"/>
  <c r="Q93" i="20"/>
  <c r="R93" i="20"/>
  <c r="S93" i="20"/>
  <c r="T93" i="20"/>
  <c r="U93" i="20"/>
  <c r="V93" i="20"/>
  <c r="W93" i="20"/>
  <c r="X93" i="20"/>
  <c r="Y93" i="20"/>
  <c r="Z93" i="20"/>
  <c r="AB93" i="20"/>
  <c r="AC93" i="20"/>
  <c r="AD93" i="20"/>
  <c r="AE93" i="20"/>
  <c r="AF93" i="20"/>
  <c r="AG93" i="20"/>
  <c r="AH93" i="20"/>
  <c r="AI93" i="20"/>
  <c r="AJ93" i="20"/>
  <c r="AK93" i="20"/>
  <c r="AM93" i="20"/>
  <c r="AN93" i="20"/>
  <c r="AO93" i="20"/>
  <c r="AP93" i="20"/>
  <c r="BG93" i="20"/>
  <c r="BH93" i="20"/>
  <c r="BI93" i="20"/>
  <c r="BJ93" i="20"/>
  <c r="BP93" i="20"/>
  <c r="BQ93" i="20"/>
  <c r="BR93" i="20"/>
  <c r="BS93" i="20"/>
  <c r="BU93" i="20"/>
  <c r="BV93" i="20"/>
  <c r="BW93" i="20"/>
  <c r="BX93" i="20"/>
  <c r="BZ93" i="20"/>
  <c r="CA93" i="20"/>
  <c r="CB93" i="20"/>
  <c r="CC93" i="20"/>
  <c r="CE93" i="20"/>
  <c r="B94" i="20"/>
  <c r="C94" i="20"/>
  <c r="D94" i="20"/>
  <c r="E94" i="20"/>
  <c r="F94" i="20"/>
  <c r="G94" i="20"/>
  <c r="H94" i="20"/>
  <c r="I94" i="20"/>
  <c r="M94" i="20"/>
  <c r="N94" i="20"/>
  <c r="O94" i="20"/>
  <c r="Q94" i="20"/>
  <c r="R94" i="20"/>
  <c r="S94" i="20"/>
  <c r="T94" i="20"/>
  <c r="U94" i="20"/>
  <c r="V94" i="20"/>
  <c r="W94" i="20"/>
  <c r="X94" i="20"/>
  <c r="Y94" i="20"/>
  <c r="Z94" i="20"/>
  <c r="AB94" i="20"/>
  <c r="AC94" i="20"/>
  <c r="AD94" i="20"/>
  <c r="AE94" i="20"/>
  <c r="AF94" i="20"/>
  <c r="AG94" i="20"/>
  <c r="AH94" i="20"/>
  <c r="AI94" i="20"/>
  <c r="AJ94" i="20"/>
  <c r="AK94" i="20"/>
  <c r="AM94" i="20"/>
  <c r="AN94" i="20"/>
  <c r="AO94" i="20"/>
  <c r="AP94" i="20"/>
  <c r="BG94" i="20"/>
  <c r="BH94" i="20"/>
  <c r="BI94" i="20"/>
  <c r="BJ94" i="20"/>
  <c r="BP94" i="20"/>
  <c r="BQ94" i="20"/>
  <c r="BR94" i="20"/>
  <c r="BS94" i="20"/>
  <c r="BU94" i="20"/>
  <c r="BV94" i="20"/>
  <c r="BW94" i="20"/>
  <c r="BX94" i="20"/>
  <c r="BZ94" i="20"/>
  <c r="CA94" i="20"/>
  <c r="CB94" i="20"/>
  <c r="CC94" i="20"/>
  <c r="CE94" i="20"/>
  <c r="B95" i="20"/>
  <c r="C95" i="20"/>
  <c r="D95" i="20"/>
  <c r="E95" i="20"/>
  <c r="F95" i="20"/>
  <c r="G95" i="20"/>
  <c r="H95" i="20"/>
  <c r="I95" i="20"/>
  <c r="M95" i="20"/>
  <c r="N95" i="20"/>
  <c r="O95" i="20"/>
  <c r="Q95" i="20"/>
  <c r="R95" i="20"/>
  <c r="S95" i="20"/>
  <c r="T95" i="20"/>
  <c r="U95" i="20"/>
  <c r="V95" i="20"/>
  <c r="W95" i="20"/>
  <c r="X95" i="20"/>
  <c r="Y95" i="20"/>
  <c r="Z95" i="20"/>
  <c r="AB95" i="20"/>
  <c r="AC95" i="20"/>
  <c r="AD95" i="20"/>
  <c r="AE95" i="20"/>
  <c r="AF95" i="20"/>
  <c r="AG95" i="20"/>
  <c r="AH95" i="20"/>
  <c r="AI95" i="20"/>
  <c r="AJ95" i="20"/>
  <c r="AK95" i="20"/>
  <c r="AM95" i="20"/>
  <c r="AN95" i="20"/>
  <c r="AO95" i="20"/>
  <c r="AP95" i="20"/>
  <c r="BG95" i="20"/>
  <c r="BH95" i="20"/>
  <c r="BI95" i="20"/>
  <c r="BJ95" i="20"/>
  <c r="CE95" i="20"/>
  <c r="B96" i="20"/>
  <c r="C96" i="20"/>
  <c r="D96" i="20"/>
  <c r="E96" i="20"/>
  <c r="F96" i="20"/>
  <c r="G96" i="20"/>
  <c r="H96" i="20"/>
  <c r="I96" i="20"/>
  <c r="M96" i="20"/>
  <c r="N96" i="20"/>
  <c r="O96" i="20"/>
  <c r="Q96" i="20"/>
  <c r="R96" i="20"/>
  <c r="S96" i="20"/>
  <c r="T96" i="20"/>
  <c r="U96" i="20"/>
  <c r="V96" i="20"/>
  <c r="W96" i="20"/>
  <c r="X96" i="20"/>
  <c r="Y96" i="20"/>
  <c r="Z96" i="20"/>
  <c r="AB96" i="20"/>
  <c r="AC96" i="20"/>
  <c r="AD96" i="20"/>
  <c r="AE96" i="20"/>
  <c r="AF96" i="20"/>
  <c r="AG96" i="20"/>
  <c r="AH96" i="20"/>
  <c r="AI96" i="20"/>
  <c r="AJ96" i="20"/>
  <c r="AK96" i="20"/>
  <c r="AM96" i="20"/>
  <c r="AN96" i="20"/>
  <c r="AO96" i="20"/>
  <c r="AP96" i="20"/>
  <c r="BG96" i="20"/>
  <c r="BH96" i="20"/>
  <c r="BI96" i="20"/>
  <c r="BJ96" i="20"/>
  <c r="CE96" i="20"/>
  <c r="B97" i="20"/>
  <c r="C97" i="20"/>
  <c r="D97" i="20"/>
  <c r="E97" i="20"/>
  <c r="F97" i="20"/>
  <c r="G97" i="20"/>
  <c r="H97" i="20"/>
  <c r="I97" i="20"/>
  <c r="M97" i="20"/>
  <c r="N97" i="20"/>
  <c r="O97" i="20"/>
  <c r="Q97" i="20"/>
  <c r="R97" i="20"/>
  <c r="S97" i="20"/>
  <c r="T97" i="20"/>
  <c r="U97" i="20"/>
  <c r="V97" i="20"/>
  <c r="W97" i="20"/>
  <c r="X97" i="20"/>
  <c r="Y97" i="20"/>
  <c r="Z97" i="20"/>
  <c r="AB97" i="20"/>
  <c r="AC97" i="20"/>
  <c r="AD97" i="20"/>
  <c r="AE97" i="20"/>
  <c r="AF97" i="20"/>
  <c r="AG97" i="20"/>
  <c r="AH97" i="20"/>
  <c r="AI97" i="20"/>
  <c r="AJ97" i="20"/>
  <c r="AK97" i="20"/>
  <c r="AM97" i="20"/>
  <c r="AN97" i="20"/>
  <c r="AO97" i="20"/>
  <c r="AP97" i="20"/>
  <c r="BG97" i="20"/>
  <c r="BH97" i="20"/>
  <c r="BI97" i="20"/>
  <c r="BJ97" i="20"/>
  <c r="CE97" i="20"/>
  <c r="B98" i="20"/>
  <c r="C98" i="20"/>
  <c r="D98" i="20"/>
  <c r="E98" i="20"/>
  <c r="F98" i="20"/>
  <c r="G98" i="20"/>
  <c r="H98" i="20"/>
  <c r="I98" i="20"/>
  <c r="M98" i="20"/>
  <c r="N98" i="20"/>
  <c r="O98" i="20"/>
  <c r="Q98" i="20"/>
  <c r="R98" i="20"/>
  <c r="S98" i="20"/>
  <c r="T98" i="20"/>
  <c r="U98" i="20"/>
  <c r="V98" i="20"/>
  <c r="W98" i="20"/>
  <c r="X98" i="20"/>
  <c r="Y98" i="20"/>
  <c r="Z98" i="20"/>
  <c r="AB98" i="20"/>
  <c r="AC98" i="20"/>
  <c r="AD98" i="20"/>
  <c r="AE98" i="20"/>
  <c r="AF98" i="20"/>
  <c r="AG98" i="20"/>
  <c r="AH98" i="20"/>
  <c r="AI98" i="20"/>
  <c r="AJ98" i="20"/>
  <c r="AK98" i="20"/>
  <c r="AM98" i="20"/>
  <c r="AN98" i="20"/>
  <c r="AO98" i="20"/>
  <c r="AP98" i="20"/>
  <c r="BG98" i="20"/>
  <c r="BH98" i="20"/>
  <c r="BI98" i="20"/>
  <c r="BJ98" i="20"/>
  <c r="CE98" i="20"/>
  <c r="B99" i="20"/>
  <c r="C99" i="20"/>
  <c r="D99" i="20"/>
  <c r="E99" i="20"/>
  <c r="F99" i="20"/>
  <c r="G99" i="20"/>
  <c r="H99" i="20"/>
  <c r="I99" i="20"/>
  <c r="M99" i="20"/>
  <c r="N99" i="20"/>
  <c r="O99" i="20"/>
  <c r="Q99" i="20"/>
  <c r="R99" i="20"/>
  <c r="S99" i="20"/>
  <c r="T99" i="20"/>
  <c r="U99" i="20"/>
  <c r="V99" i="20"/>
  <c r="W99" i="20"/>
  <c r="X99" i="20"/>
  <c r="Y99" i="20"/>
  <c r="Z99" i="20"/>
  <c r="AB99" i="20"/>
  <c r="AC99" i="20"/>
  <c r="AD99" i="20"/>
  <c r="AE99" i="20"/>
  <c r="AF99" i="20"/>
  <c r="AG99" i="20"/>
  <c r="AH99" i="20"/>
  <c r="AI99" i="20"/>
  <c r="AJ99" i="20"/>
  <c r="AK99" i="20"/>
  <c r="AM99" i="20"/>
  <c r="AN99" i="20"/>
  <c r="AO99" i="20"/>
  <c r="AP99" i="20"/>
  <c r="BG99" i="20"/>
  <c r="BH99" i="20"/>
  <c r="BI99" i="20"/>
  <c r="BJ99" i="20"/>
  <c r="CE99" i="20"/>
  <c r="B100" i="20"/>
  <c r="C100" i="20"/>
  <c r="D100" i="20"/>
  <c r="E100" i="20"/>
  <c r="F100" i="20"/>
  <c r="G100" i="20"/>
  <c r="H100" i="20"/>
  <c r="I100" i="20"/>
  <c r="M100" i="20"/>
  <c r="N100" i="20"/>
  <c r="O100" i="20"/>
  <c r="Q100" i="20"/>
  <c r="R100" i="20"/>
  <c r="S100" i="20"/>
  <c r="T100" i="20"/>
  <c r="U100" i="20"/>
  <c r="V100" i="20"/>
  <c r="W100" i="20"/>
  <c r="X100" i="20"/>
  <c r="Y100" i="20"/>
  <c r="Z100" i="20"/>
  <c r="AB100" i="20"/>
  <c r="AC100" i="20"/>
  <c r="AD100" i="20"/>
  <c r="AE100" i="20"/>
  <c r="AF100" i="20"/>
  <c r="AG100" i="20"/>
  <c r="AH100" i="20"/>
  <c r="AI100" i="20"/>
  <c r="AJ100" i="20"/>
  <c r="AK100" i="20"/>
  <c r="AM100" i="20"/>
  <c r="AN100" i="20"/>
  <c r="AO100" i="20"/>
  <c r="AP100" i="20"/>
  <c r="BG100" i="20"/>
  <c r="BH100" i="20"/>
  <c r="BI100" i="20"/>
  <c r="BJ100" i="20"/>
  <c r="CE100" i="20"/>
  <c r="B101" i="20"/>
  <c r="C101" i="20"/>
  <c r="D101" i="20"/>
  <c r="E101" i="20"/>
  <c r="F101" i="20"/>
  <c r="G101" i="20"/>
  <c r="H101" i="20"/>
  <c r="I101" i="20"/>
  <c r="M101" i="20"/>
  <c r="N101" i="20"/>
  <c r="O101" i="20"/>
  <c r="Q101" i="20"/>
  <c r="R101" i="20"/>
  <c r="S101" i="20"/>
  <c r="T101" i="20"/>
  <c r="U101" i="20"/>
  <c r="V101" i="20"/>
  <c r="W101" i="20"/>
  <c r="X101" i="20"/>
  <c r="Y101" i="20"/>
  <c r="Z101" i="20"/>
  <c r="AB101" i="20"/>
  <c r="AC101" i="20"/>
  <c r="AD101" i="20"/>
  <c r="AE101" i="20"/>
  <c r="AF101" i="20"/>
  <c r="AG101" i="20"/>
  <c r="AH101" i="20"/>
  <c r="AI101" i="20"/>
  <c r="AJ101" i="20"/>
  <c r="AK101" i="20"/>
  <c r="AM101" i="20"/>
  <c r="AN101" i="20"/>
  <c r="AO101" i="20"/>
  <c r="AP101" i="20"/>
  <c r="CE101" i="20"/>
  <c r="B102" i="20"/>
  <c r="C102" i="20"/>
  <c r="D102" i="20"/>
  <c r="E102" i="20"/>
  <c r="F102" i="20"/>
  <c r="G102" i="20"/>
  <c r="H102" i="20"/>
  <c r="I102" i="20"/>
  <c r="M102" i="20"/>
  <c r="N102" i="20"/>
  <c r="O102" i="20"/>
  <c r="Q102" i="20"/>
  <c r="R102" i="20"/>
  <c r="S102" i="20"/>
  <c r="T102" i="20"/>
  <c r="U102" i="20"/>
  <c r="V102" i="20"/>
  <c r="W102" i="20"/>
  <c r="X102" i="20"/>
  <c r="Y102" i="20"/>
  <c r="Z102" i="20"/>
  <c r="AB102" i="20"/>
  <c r="AC102" i="20"/>
  <c r="AD102" i="20"/>
  <c r="AE102" i="20"/>
  <c r="AF102" i="20"/>
  <c r="AG102" i="20"/>
  <c r="AH102" i="20"/>
  <c r="AI102" i="20"/>
  <c r="AJ102" i="20"/>
  <c r="AK102" i="20"/>
  <c r="AM102" i="20"/>
  <c r="AN102" i="20"/>
  <c r="AO102" i="20"/>
  <c r="AP102" i="20"/>
  <c r="CE102" i="20"/>
  <c r="B103" i="20"/>
  <c r="C103" i="20"/>
  <c r="D103" i="20"/>
  <c r="E103" i="20"/>
  <c r="F103" i="20"/>
  <c r="G103" i="20"/>
  <c r="H103" i="20"/>
  <c r="I103" i="20"/>
  <c r="M103" i="20"/>
  <c r="N103" i="20"/>
  <c r="O103" i="20"/>
  <c r="Q103" i="20"/>
  <c r="R103" i="20"/>
  <c r="S103" i="20"/>
  <c r="T103" i="20"/>
  <c r="U103" i="20"/>
  <c r="V103" i="20"/>
  <c r="W103" i="20"/>
  <c r="X103" i="20"/>
  <c r="Y103" i="20"/>
  <c r="Z103" i="20"/>
  <c r="AB103" i="20"/>
  <c r="AC103" i="20"/>
  <c r="AD103" i="20"/>
  <c r="AE103" i="20"/>
  <c r="AF103" i="20"/>
  <c r="AG103" i="20"/>
  <c r="AH103" i="20"/>
  <c r="AI103" i="20"/>
  <c r="AJ103" i="20"/>
  <c r="AK103" i="20"/>
  <c r="AM103" i="20"/>
  <c r="AN103" i="20"/>
  <c r="AO103" i="20"/>
  <c r="AP103" i="20"/>
  <c r="CE103" i="20"/>
  <c r="B104" i="20"/>
  <c r="C104" i="20"/>
  <c r="D104" i="20"/>
  <c r="E104" i="20"/>
  <c r="F104" i="20"/>
  <c r="G104" i="20"/>
  <c r="H104" i="20"/>
  <c r="I104" i="20"/>
  <c r="M104" i="20"/>
  <c r="N104" i="20"/>
  <c r="O104" i="20"/>
  <c r="Q104" i="20"/>
  <c r="R104" i="20"/>
  <c r="S104" i="20"/>
  <c r="T104" i="20"/>
  <c r="U104" i="20"/>
  <c r="V104" i="20"/>
  <c r="W104" i="20"/>
  <c r="X104" i="20"/>
  <c r="Y104" i="20"/>
  <c r="Z104" i="20"/>
  <c r="AB104" i="20"/>
  <c r="AC104" i="20"/>
  <c r="AD104" i="20"/>
  <c r="AE104" i="20"/>
  <c r="AF104" i="20"/>
  <c r="AG104" i="20"/>
  <c r="AH104" i="20"/>
  <c r="AI104" i="20"/>
  <c r="AJ104" i="20"/>
  <c r="AK104" i="20"/>
  <c r="AM104" i="20"/>
  <c r="AN104" i="20"/>
  <c r="AO104" i="20"/>
  <c r="AP104" i="20"/>
  <c r="CE104" i="20"/>
  <c r="B105" i="20"/>
  <c r="C105" i="20"/>
  <c r="D105" i="20"/>
  <c r="E105" i="20"/>
  <c r="F105" i="20"/>
  <c r="G105" i="20"/>
  <c r="H105" i="20"/>
  <c r="I105" i="20"/>
  <c r="M105" i="20"/>
  <c r="N105" i="20"/>
  <c r="O105" i="20"/>
  <c r="Q105" i="20"/>
  <c r="R105" i="20"/>
  <c r="S105" i="20"/>
  <c r="T105" i="20"/>
  <c r="U105" i="20"/>
  <c r="V105" i="20"/>
  <c r="W105" i="20"/>
  <c r="X105" i="20"/>
  <c r="Y105" i="20"/>
  <c r="Z105" i="20"/>
  <c r="AB105" i="20"/>
  <c r="AC105" i="20"/>
  <c r="AD105" i="20"/>
  <c r="AE105" i="20"/>
  <c r="AF105" i="20"/>
  <c r="AG105" i="20"/>
  <c r="AH105" i="20"/>
  <c r="AI105" i="20"/>
  <c r="AJ105" i="20"/>
  <c r="AK105" i="20"/>
  <c r="AM105" i="20"/>
  <c r="AN105" i="20"/>
  <c r="AO105" i="20"/>
  <c r="AP105" i="20"/>
  <c r="CE105" i="20"/>
  <c r="B106" i="20"/>
  <c r="C106" i="20"/>
  <c r="D106" i="20"/>
  <c r="E106" i="20"/>
  <c r="F106" i="20"/>
  <c r="G106" i="20"/>
  <c r="H106" i="20"/>
  <c r="I106" i="20"/>
  <c r="M106" i="20"/>
  <c r="N106" i="20"/>
  <c r="O106" i="20"/>
  <c r="Q106" i="20"/>
  <c r="R106" i="20"/>
  <c r="S106" i="20"/>
  <c r="T106" i="20"/>
  <c r="U106" i="20"/>
  <c r="V106" i="20"/>
  <c r="W106" i="20"/>
  <c r="X106" i="20"/>
  <c r="Y106" i="20"/>
  <c r="Z106" i="20"/>
  <c r="AB106" i="20"/>
  <c r="AC106" i="20"/>
  <c r="AD106" i="20"/>
  <c r="AE106" i="20"/>
  <c r="AF106" i="20"/>
  <c r="AG106" i="20"/>
  <c r="AH106" i="20"/>
  <c r="AI106" i="20"/>
  <c r="AJ106" i="20"/>
  <c r="AK106" i="20"/>
  <c r="AM106" i="20"/>
  <c r="AN106" i="20"/>
  <c r="AO106" i="20"/>
  <c r="AP106" i="20"/>
  <c r="CE106" i="20"/>
  <c r="B107" i="20"/>
  <c r="C107" i="20"/>
  <c r="D107" i="20"/>
  <c r="E107" i="20"/>
  <c r="F107" i="20"/>
  <c r="G107" i="20"/>
  <c r="H107" i="20"/>
  <c r="I107" i="20"/>
  <c r="M107" i="20"/>
  <c r="N107" i="20"/>
  <c r="O107" i="20"/>
  <c r="Q107" i="20"/>
  <c r="R107" i="20"/>
  <c r="S107" i="20"/>
  <c r="T107" i="20"/>
  <c r="U107" i="20"/>
  <c r="V107" i="20"/>
  <c r="W107" i="20"/>
  <c r="X107" i="20"/>
  <c r="Y107" i="20"/>
  <c r="Z107" i="20"/>
  <c r="AB107" i="20"/>
  <c r="AM107" i="20"/>
  <c r="AN107" i="20"/>
  <c r="AO107" i="20"/>
  <c r="AP107" i="20"/>
  <c r="CE107" i="20"/>
  <c r="B108" i="20"/>
  <c r="C108" i="20"/>
  <c r="D108" i="20"/>
  <c r="E108" i="20"/>
  <c r="F108" i="20"/>
  <c r="G108" i="20"/>
  <c r="H108" i="20"/>
  <c r="I108" i="20"/>
  <c r="M108" i="20"/>
  <c r="N108" i="20"/>
  <c r="O108" i="20"/>
  <c r="Q108" i="20"/>
  <c r="R108" i="20"/>
  <c r="S108" i="20"/>
  <c r="T108" i="20"/>
  <c r="U108" i="20"/>
  <c r="V108" i="20"/>
  <c r="W108" i="20"/>
  <c r="X108" i="20"/>
  <c r="Y108" i="20"/>
  <c r="Z108" i="20"/>
  <c r="AB108" i="20"/>
  <c r="AM108" i="20"/>
  <c r="AN108" i="20"/>
  <c r="AO108" i="20"/>
  <c r="AP108" i="20"/>
  <c r="CE108" i="20"/>
  <c r="B109" i="20"/>
  <c r="C109" i="20"/>
  <c r="D109" i="20"/>
  <c r="E109" i="20"/>
  <c r="F109" i="20"/>
  <c r="G109" i="20"/>
  <c r="H109" i="20"/>
  <c r="I109" i="20"/>
  <c r="M109" i="20"/>
  <c r="N109" i="20"/>
  <c r="O109" i="20"/>
  <c r="Q109" i="20"/>
  <c r="R109" i="20"/>
  <c r="S109" i="20"/>
  <c r="T109" i="20"/>
  <c r="U109" i="20"/>
  <c r="V109" i="20"/>
  <c r="W109" i="20"/>
  <c r="X109" i="20"/>
  <c r="Y109" i="20"/>
  <c r="Z109" i="20"/>
  <c r="AB109" i="20"/>
  <c r="AM109" i="20"/>
  <c r="AN109" i="20"/>
  <c r="AO109" i="20"/>
  <c r="AP109" i="20"/>
  <c r="CE109" i="20"/>
  <c r="B110" i="20"/>
  <c r="C110" i="20"/>
  <c r="D110" i="20"/>
  <c r="E110" i="20"/>
  <c r="F110" i="20"/>
  <c r="G110" i="20"/>
  <c r="H110" i="20"/>
  <c r="I110" i="20"/>
  <c r="M110" i="20"/>
  <c r="N110" i="20"/>
  <c r="O110" i="20"/>
  <c r="Q110" i="20"/>
  <c r="R110" i="20"/>
  <c r="S110" i="20"/>
  <c r="T110" i="20"/>
  <c r="U110" i="20"/>
  <c r="V110" i="20"/>
  <c r="W110" i="20"/>
  <c r="X110" i="20"/>
  <c r="Y110" i="20"/>
  <c r="Z110" i="20"/>
  <c r="AB110" i="20"/>
  <c r="AM110" i="20"/>
  <c r="AN110" i="20"/>
  <c r="AO110" i="20"/>
  <c r="AP110" i="20"/>
  <c r="CE110" i="20"/>
  <c r="B111" i="20"/>
  <c r="C111" i="20"/>
  <c r="D111" i="20"/>
  <c r="E111" i="20"/>
  <c r="F111" i="20"/>
  <c r="G111" i="20"/>
  <c r="H111" i="20"/>
  <c r="I111" i="20"/>
  <c r="M111" i="20"/>
  <c r="N111" i="20"/>
  <c r="O111" i="20"/>
  <c r="Q111" i="20"/>
  <c r="R111" i="20"/>
  <c r="S111" i="20"/>
  <c r="T111" i="20"/>
  <c r="U111" i="20"/>
  <c r="V111" i="20"/>
  <c r="W111" i="20"/>
  <c r="X111" i="20"/>
  <c r="Y111" i="20"/>
  <c r="Z111" i="20"/>
  <c r="AB111" i="20"/>
  <c r="AM111" i="20"/>
  <c r="AN111" i="20"/>
  <c r="AO111" i="20"/>
  <c r="AP111" i="20"/>
  <c r="CE111" i="20"/>
  <c r="B112" i="20"/>
  <c r="C112" i="20"/>
  <c r="D112" i="20"/>
  <c r="E112" i="20"/>
  <c r="F112" i="20"/>
  <c r="G112" i="20"/>
  <c r="H112" i="20"/>
  <c r="I112" i="20"/>
  <c r="M112" i="20"/>
  <c r="N112" i="20"/>
  <c r="O112" i="20"/>
  <c r="Q112" i="20"/>
  <c r="R112" i="20"/>
  <c r="S112" i="20"/>
  <c r="T112" i="20"/>
  <c r="U112" i="20"/>
  <c r="V112" i="20"/>
  <c r="W112" i="20"/>
  <c r="X112" i="20"/>
  <c r="Y112" i="20"/>
  <c r="Z112" i="20"/>
  <c r="AB112" i="20"/>
  <c r="AM112" i="20"/>
  <c r="AN112" i="20"/>
  <c r="AO112" i="20"/>
  <c r="AP112" i="20"/>
  <c r="CE112" i="20"/>
  <c r="D113" i="20"/>
  <c r="E113" i="20"/>
  <c r="F113" i="20"/>
  <c r="G113" i="20"/>
  <c r="H113" i="20"/>
  <c r="I113" i="20"/>
  <c r="M113" i="20"/>
  <c r="N113" i="20"/>
  <c r="O113" i="20"/>
  <c r="R113" i="20"/>
  <c r="S113" i="20"/>
  <c r="T113" i="20"/>
  <c r="U113" i="20"/>
  <c r="V113" i="20"/>
  <c r="W113" i="20"/>
  <c r="X113" i="20"/>
  <c r="Y113" i="20"/>
  <c r="Z113" i="20"/>
  <c r="AC113" i="20"/>
  <c r="AD113" i="20"/>
  <c r="AE113" i="20"/>
  <c r="AF113" i="20"/>
  <c r="AG113" i="20"/>
  <c r="AH113" i="20"/>
  <c r="AI113" i="20"/>
  <c r="AJ113" i="20"/>
  <c r="AK113" i="20"/>
  <c r="AM113" i="20"/>
  <c r="AN113" i="20"/>
  <c r="AO113" i="20"/>
  <c r="AP113" i="20"/>
  <c r="CE113" i="20"/>
  <c r="AM114" i="20"/>
  <c r="AN114" i="20"/>
  <c r="AO114" i="20"/>
  <c r="AP114" i="20"/>
  <c r="AM115" i="20"/>
  <c r="AN115" i="20"/>
  <c r="AO115" i="20"/>
  <c r="AP115" i="20"/>
  <c r="AM116" i="20"/>
  <c r="AN116" i="20"/>
  <c r="AO116" i="20"/>
  <c r="AP116" i="20"/>
  <c r="AM117" i="20"/>
  <c r="AN117" i="20"/>
  <c r="AO117" i="20"/>
  <c r="AP117" i="20"/>
  <c r="AM118" i="20"/>
  <c r="AN118" i="20"/>
  <c r="AO118" i="20"/>
  <c r="AP118" i="20"/>
  <c r="AM119" i="20"/>
  <c r="AN119" i="20"/>
  <c r="AO119" i="20"/>
  <c r="AP119" i="20"/>
  <c r="A2" i="14"/>
  <c r="A3" i="14"/>
  <c r="E7" i="14"/>
  <c r="H8" i="14"/>
  <c r="H8" i="14" a="1"/>
  <c r="I8" i="14"/>
  <c r="J8" i="14"/>
  <c r="K8" i="14"/>
  <c r="L8" i="14"/>
  <c r="M8" i="14"/>
  <c r="N8" i="14"/>
  <c r="O8" i="14"/>
  <c r="P8" i="14"/>
  <c r="Q8" i="14"/>
  <c r="R8" i="14"/>
  <c r="S8" i="14"/>
  <c r="T8" i="14"/>
  <c r="H9" i="14"/>
  <c r="H9" i="14" a="1"/>
  <c r="I9" i="14"/>
  <c r="J9" i="14"/>
  <c r="K9" i="14"/>
  <c r="L9" i="14"/>
  <c r="M9" i="14"/>
  <c r="N9" i="14"/>
  <c r="O9" i="14"/>
  <c r="P9" i="14"/>
  <c r="Q9" i="14"/>
  <c r="R9" i="14"/>
  <c r="S9" i="14"/>
  <c r="T9" i="14"/>
  <c r="E10" i="14"/>
  <c r="F10" i="14"/>
  <c r="G10" i="14"/>
  <c r="H10" i="14"/>
  <c r="H10" i="14" a="1"/>
  <c r="I10" i="14"/>
  <c r="I10" i="14" a="1"/>
  <c r="J10" i="14"/>
  <c r="J10" i="14" a="1"/>
  <c r="K10" i="14"/>
  <c r="K10" i="14" a="1"/>
  <c r="L10" i="14"/>
  <c r="L10" i="14" a="1"/>
  <c r="M10" i="14"/>
  <c r="M10" i="14" a="1"/>
  <c r="N10" i="14"/>
  <c r="N10" i="14" a="1"/>
  <c r="O10" i="14"/>
  <c r="O10" i="14" a="1"/>
  <c r="P10" i="14"/>
  <c r="P10" i="14" a="1"/>
  <c r="Q10" i="14"/>
  <c r="Q10" i="14" a="1"/>
  <c r="R10" i="14"/>
  <c r="R10" i="14" a="1"/>
  <c r="S10" i="14"/>
  <c r="S10" i="14" a="1"/>
  <c r="T10" i="14"/>
  <c r="T10" i="14" a="1"/>
  <c r="V10" i="14"/>
  <c r="Y10" i="14"/>
  <c r="Z10" i="14"/>
  <c r="AA10" i="14"/>
  <c r="AB10" i="14"/>
  <c r="AC10" i="14"/>
  <c r="G11" i="14"/>
  <c r="H11" i="14"/>
  <c r="H11" i="14" a="1"/>
  <c r="I11" i="14"/>
  <c r="I11" i="14" a="1"/>
  <c r="J11" i="14"/>
  <c r="J11" i="14" a="1"/>
  <c r="K11" i="14"/>
  <c r="K11" i="14" a="1"/>
  <c r="L11" i="14"/>
  <c r="L11" i="14" a="1"/>
  <c r="M11" i="14"/>
  <c r="M11" i="14" a="1"/>
  <c r="N11" i="14"/>
  <c r="N11" i="14" a="1"/>
  <c r="O11" i="14"/>
  <c r="O11" i="14" a="1"/>
  <c r="P11" i="14"/>
  <c r="P11" i="14" a="1"/>
  <c r="Q11" i="14"/>
  <c r="Q11" i="14" a="1"/>
  <c r="R11" i="14"/>
  <c r="R11" i="14" a="1"/>
  <c r="S11" i="14"/>
  <c r="S11" i="14" a="1"/>
  <c r="T11" i="14"/>
  <c r="T11" i="14" a="1"/>
  <c r="V11" i="14"/>
  <c r="Y11" i="14"/>
  <c r="AA11" i="14"/>
  <c r="AB11" i="14"/>
  <c r="AC11" i="14"/>
  <c r="H15" i="14"/>
  <c r="I15" i="14"/>
  <c r="J15" i="14"/>
  <c r="K15" i="14"/>
  <c r="L15" i="14"/>
  <c r="M15" i="14"/>
  <c r="N15" i="14"/>
  <c r="O15" i="14"/>
  <c r="P15" i="14"/>
  <c r="Q15" i="14"/>
  <c r="R15" i="14"/>
  <c r="S15" i="14"/>
  <c r="T15" i="14"/>
  <c r="H16" i="14"/>
  <c r="I16" i="14"/>
  <c r="J16" i="14"/>
  <c r="K16" i="14"/>
  <c r="L16" i="14"/>
  <c r="M16" i="14"/>
  <c r="N16" i="14"/>
  <c r="O16" i="14"/>
  <c r="P16" i="14"/>
  <c r="Q16" i="14"/>
  <c r="R16" i="14"/>
  <c r="S16" i="14"/>
  <c r="T16" i="14"/>
  <c r="H19" i="14"/>
  <c r="I19" i="14"/>
  <c r="J19" i="14"/>
  <c r="K19" i="14"/>
  <c r="L19" i="14"/>
  <c r="M19" i="14"/>
  <c r="N19" i="14"/>
  <c r="O19" i="14"/>
  <c r="P19" i="14"/>
  <c r="Q19" i="14"/>
  <c r="R19" i="14"/>
  <c r="S19" i="14"/>
  <c r="T19" i="14"/>
  <c r="H20" i="14"/>
  <c r="I20" i="14"/>
  <c r="J20" i="14"/>
  <c r="K20" i="14"/>
  <c r="L20" i="14"/>
  <c r="M20" i="14"/>
  <c r="N20" i="14"/>
  <c r="O20" i="14"/>
  <c r="P20" i="14"/>
  <c r="Q20" i="14"/>
  <c r="R20" i="14"/>
  <c r="S20" i="14"/>
  <c r="T20" i="14"/>
  <c r="A2" i="12"/>
  <c r="A3" i="12"/>
  <c r="E7" i="12"/>
  <c r="H8" i="12"/>
  <c r="H8" i="12" a="1"/>
  <c r="I8" i="12"/>
  <c r="J8" i="12"/>
  <c r="K8" i="12"/>
  <c r="L8" i="12"/>
  <c r="M8" i="12"/>
  <c r="N8" i="12"/>
  <c r="O8" i="12"/>
  <c r="P8" i="12"/>
  <c r="Q8" i="12"/>
  <c r="R8" i="12"/>
  <c r="S8" i="12"/>
  <c r="T8" i="12"/>
  <c r="H9" i="12"/>
  <c r="H9" i="12" a="1"/>
  <c r="I9" i="12"/>
  <c r="J9" i="12"/>
  <c r="K9" i="12"/>
  <c r="L9" i="12"/>
  <c r="M9" i="12"/>
  <c r="N9" i="12"/>
  <c r="O9" i="12"/>
  <c r="P9" i="12"/>
  <c r="Q9" i="12"/>
  <c r="R9" i="12"/>
  <c r="S9" i="12"/>
  <c r="T9" i="12"/>
  <c r="E10" i="12"/>
  <c r="F10" i="12"/>
  <c r="G10" i="12"/>
  <c r="H10" i="12"/>
  <c r="H10" i="12" a="1"/>
  <c r="I10" i="12"/>
  <c r="I10" i="12" a="1"/>
  <c r="J10" i="12"/>
  <c r="J10" i="12" a="1"/>
  <c r="K10" i="12"/>
  <c r="K10" i="12" a="1"/>
  <c r="L10" i="12"/>
  <c r="L10" i="12" a="1"/>
  <c r="M10" i="12"/>
  <c r="M10" i="12" a="1"/>
  <c r="N10" i="12"/>
  <c r="N10" i="12" a="1"/>
  <c r="O10" i="12"/>
  <c r="O10" i="12" a="1"/>
  <c r="P10" i="12"/>
  <c r="P10" i="12" a="1"/>
  <c r="Q10" i="12"/>
  <c r="Q10" i="12" a="1"/>
  <c r="R10" i="12"/>
  <c r="R10" i="12" a="1"/>
  <c r="S10" i="12"/>
  <c r="S10" i="12" a="1"/>
  <c r="T10" i="12"/>
  <c r="T10" i="12" a="1"/>
  <c r="V10" i="12"/>
  <c r="Y10" i="12"/>
  <c r="Z10" i="12"/>
  <c r="AA10" i="12"/>
  <c r="AB10" i="12"/>
  <c r="AC10" i="12"/>
  <c r="G11" i="12"/>
  <c r="H11" i="12"/>
  <c r="H11" i="12" a="1"/>
  <c r="I11" i="12"/>
  <c r="I11" i="12" a="1"/>
  <c r="J11" i="12"/>
  <c r="J11" i="12" a="1"/>
  <c r="K11" i="12"/>
  <c r="K11" i="12" a="1"/>
  <c r="L11" i="12"/>
  <c r="L11" i="12" a="1"/>
  <c r="M11" i="12"/>
  <c r="M11" i="12" a="1"/>
  <c r="N11" i="12"/>
  <c r="N11" i="12" a="1"/>
  <c r="O11" i="12"/>
  <c r="O11" i="12" a="1"/>
  <c r="P11" i="12"/>
  <c r="P11" i="12" a="1"/>
  <c r="Q11" i="12"/>
  <c r="Q11" i="12" a="1"/>
  <c r="R11" i="12"/>
  <c r="R11" i="12" a="1"/>
  <c r="S11" i="12"/>
  <c r="S11" i="12" a="1"/>
  <c r="T11" i="12"/>
  <c r="T11" i="12" a="1"/>
  <c r="V11" i="12"/>
  <c r="Y11" i="12"/>
  <c r="AA11" i="12"/>
  <c r="AB11" i="12"/>
  <c r="AC11" i="12"/>
  <c r="E12" i="12"/>
  <c r="F12" i="12"/>
  <c r="G12" i="12"/>
  <c r="H12" i="12"/>
  <c r="H12" i="12" a="1"/>
  <c r="I12" i="12"/>
  <c r="I12" i="12" a="1"/>
  <c r="J12" i="12"/>
  <c r="J12" i="12" a="1"/>
  <c r="K12" i="12"/>
  <c r="K12" i="12" a="1"/>
  <c r="L12" i="12"/>
  <c r="L12" i="12" a="1"/>
  <c r="M12" i="12"/>
  <c r="M12" i="12" a="1"/>
  <c r="N12" i="12"/>
  <c r="N12" i="12" a="1"/>
  <c r="O12" i="12"/>
  <c r="O12" i="12" a="1"/>
  <c r="P12" i="12"/>
  <c r="P12" i="12" a="1"/>
  <c r="Q12" i="12"/>
  <c r="Q12" i="12" a="1"/>
  <c r="R12" i="12"/>
  <c r="R12" i="12" a="1"/>
  <c r="S12" i="12"/>
  <c r="S12" i="12" a="1"/>
  <c r="T12" i="12"/>
  <c r="T12" i="12" a="1"/>
  <c r="V12" i="12"/>
  <c r="Y12" i="12"/>
  <c r="Z12" i="12"/>
  <c r="AA12" i="12"/>
  <c r="AB12" i="12"/>
  <c r="AC12" i="12"/>
  <c r="G13" i="12"/>
  <c r="H13" i="12"/>
  <c r="H13" i="12" a="1"/>
  <c r="I13" i="12"/>
  <c r="I13" i="12" a="1"/>
  <c r="J13" i="12"/>
  <c r="J13" i="12" a="1"/>
  <c r="K13" i="12"/>
  <c r="K13" i="12" a="1"/>
  <c r="L13" i="12"/>
  <c r="L13" i="12" a="1"/>
  <c r="M13" i="12"/>
  <c r="M13" i="12" a="1"/>
  <c r="N13" i="12"/>
  <c r="N13" i="12" a="1"/>
  <c r="O13" i="12"/>
  <c r="O13" i="12" a="1"/>
  <c r="P13" i="12"/>
  <c r="P13" i="12" a="1"/>
  <c r="Q13" i="12"/>
  <c r="Q13" i="12" a="1"/>
  <c r="R13" i="12"/>
  <c r="R13" i="12" a="1"/>
  <c r="S13" i="12"/>
  <c r="S13" i="12" a="1"/>
  <c r="T13" i="12"/>
  <c r="T13" i="12" a="1"/>
  <c r="V13" i="12"/>
  <c r="Y13" i="12"/>
  <c r="AA13" i="12"/>
  <c r="AB13" i="12"/>
  <c r="AC13" i="12"/>
  <c r="E14" i="12"/>
  <c r="F14" i="12"/>
  <c r="G14" i="12"/>
  <c r="H14" i="12"/>
  <c r="H14" i="12" a="1"/>
  <c r="I14" i="12"/>
  <c r="I14" i="12" a="1"/>
  <c r="J14" i="12"/>
  <c r="J14" i="12" a="1"/>
  <c r="K14" i="12"/>
  <c r="K14" i="12" a="1"/>
  <c r="L14" i="12"/>
  <c r="L14" i="12" a="1"/>
  <c r="M14" i="12"/>
  <c r="M14" i="12" a="1"/>
  <c r="N14" i="12"/>
  <c r="N14" i="12" a="1"/>
  <c r="O14" i="12"/>
  <c r="O14" i="12" a="1"/>
  <c r="P14" i="12"/>
  <c r="P14" i="12" a="1"/>
  <c r="Q14" i="12"/>
  <c r="Q14" i="12" a="1"/>
  <c r="R14" i="12"/>
  <c r="R14" i="12" a="1"/>
  <c r="S14" i="12"/>
  <c r="S14" i="12" a="1"/>
  <c r="T14" i="12"/>
  <c r="T14" i="12" a="1"/>
  <c r="V14" i="12"/>
  <c r="Y14" i="12"/>
  <c r="Z14" i="12"/>
  <c r="AA14" i="12"/>
  <c r="AB14" i="12"/>
  <c r="AC14" i="12"/>
  <c r="G15" i="12"/>
  <c r="H15" i="12"/>
  <c r="H15" i="12" a="1"/>
  <c r="I15" i="12"/>
  <c r="I15" i="12" a="1"/>
  <c r="J15" i="12"/>
  <c r="J15" i="12" a="1"/>
  <c r="K15" i="12"/>
  <c r="K15" i="12" a="1"/>
  <c r="L15" i="12"/>
  <c r="L15" i="12" a="1"/>
  <c r="M15" i="12"/>
  <c r="M15" i="12" a="1"/>
  <c r="N15" i="12"/>
  <c r="N15" i="12" a="1"/>
  <c r="O15" i="12"/>
  <c r="O15" i="12" a="1"/>
  <c r="P15" i="12"/>
  <c r="P15" i="12" a="1"/>
  <c r="Q15" i="12"/>
  <c r="Q15" i="12" a="1"/>
  <c r="R15" i="12"/>
  <c r="R15" i="12" a="1"/>
  <c r="S15" i="12"/>
  <c r="S15" i="12" a="1"/>
  <c r="T15" i="12"/>
  <c r="T15" i="12" a="1"/>
  <c r="V15" i="12"/>
  <c r="Y15" i="12"/>
  <c r="AA15" i="12"/>
  <c r="AB15" i="12"/>
  <c r="AC15" i="12"/>
  <c r="E16" i="12"/>
  <c r="F16" i="12"/>
  <c r="G16" i="12"/>
  <c r="H16" i="12"/>
  <c r="H16" i="12" a="1"/>
  <c r="I16" i="12"/>
  <c r="I16" i="12" a="1"/>
  <c r="J16" i="12"/>
  <c r="J16" i="12" a="1"/>
  <c r="K16" i="12"/>
  <c r="K16" i="12" a="1"/>
  <c r="L16" i="12"/>
  <c r="L16" i="12" a="1"/>
  <c r="M16" i="12"/>
  <c r="M16" i="12" a="1"/>
  <c r="N16" i="12"/>
  <c r="N16" i="12" a="1"/>
  <c r="O16" i="12"/>
  <c r="O16" i="12" a="1"/>
  <c r="P16" i="12"/>
  <c r="P16" i="12" a="1"/>
  <c r="Q16" i="12"/>
  <c r="Q16" i="12" a="1"/>
  <c r="R16" i="12"/>
  <c r="R16" i="12" a="1"/>
  <c r="S16" i="12"/>
  <c r="S16" i="12" a="1"/>
  <c r="T16" i="12"/>
  <c r="T16" i="12" a="1"/>
  <c r="V16" i="12"/>
  <c r="Y16" i="12"/>
  <c r="Z16" i="12"/>
  <c r="AA16" i="12"/>
  <c r="AB16" i="12"/>
  <c r="AC16" i="12"/>
  <c r="G17" i="12"/>
  <c r="H17" i="12"/>
  <c r="H17" i="12" a="1"/>
  <c r="I17" i="12"/>
  <c r="I17" i="12" a="1"/>
  <c r="J17" i="12"/>
  <c r="J17" i="12" a="1"/>
  <c r="K17" i="12"/>
  <c r="K17" i="12" a="1"/>
  <c r="L17" i="12"/>
  <c r="L17" i="12" a="1"/>
  <c r="M17" i="12"/>
  <c r="M17" i="12" a="1"/>
  <c r="N17" i="12"/>
  <c r="N17" i="12" a="1"/>
  <c r="O17" i="12"/>
  <c r="O17" i="12" a="1"/>
  <c r="P17" i="12"/>
  <c r="P17" i="12" a="1"/>
  <c r="Q17" i="12"/>
  <c r="Q17" i="12" a="1"/>
  <c r="R17" i="12"/>
  <c r="R17" i="12" a="1"/>
  <c r="S17" i="12"/>
  <c r="S17" i="12" a="1"/>
  <c r="T17" i="12"/>
  <c r="T17" i="12" a="1"/>
  <c r="V17" i="12"/>
  <c r="Y17" i="12"/>
  <c r="AA17" i="12"/>
  <c r="AB17" i="12"/>
  <c r="AC17" i="12"/>
  <c r="H21" i="12"/>
  <c r="I21" i="12"/>
  <c r="J21" i="12"/>
  <c r="K21" i="12"/>
  <c r="L21" i="12"/>
  <c r="M21" i="12"/>
  <c r="N21" i="12"/>
  <c r="O21" i="12"/>
  <c r="P21" i="12"/>
  <c r="Q21" i="12"/>
  <c r="R21" i="12"/>
  <c r="S21" i="12"/>
  <c r="T21" i="12"/>
  <c r="H22" i="12"/>
  <c r="I22" i="12"/>
  <c r="J22" i="12"/>
  <c r="K22" i="12"/>
  <c r="L22" i="12"/>
  <c r="M22" i="12"/>
  <c r="N22" i="12"/>
  <c r="O22" i="12"/>
  <c r="P22" i="12"/>
  <c r="Q22" i="12"/>
  <c r="R22" i="12"/>
  <c r="S22" i="12"/>
  <c r="T22" i="12"/>
  <c r="H25" i="12"/>
  <c r="I25" i="12"/>
  <c r="J25" i="12"/>
  <c r="K25" i="12"/>
  <c r="L25" i="12"/>
  <c r="M25" i="12"/>
  <c r="N25" i="12"/>
  <c r="O25" i="12"/>
  <c r="P25" i="12"/>
  <c r="Q25" i="12"/>
  <c r="R25" i="12"/>
  <c r="S25" i="12"/>
  <c r="T25" i="12"/>
  <c r="H26" i="12"/>
  <c r="I26" i="12"/>
  <c r="J26" i="12"/>
  <c r="K26" i="12"/>
  <c r="L26" i="12"/>
  <c r="M26" i="12"/>
  <c r="N26" i="12"/>
  <c r="O26" i="12"/>
  <c r="P26" i="12"/>
  <c r="Q26" i="12"/>
  <c r="R26" i="12"/>
  <c r="S26" i="12"/>
  <c r="T26" i="12"/>
  <c r="A2" i="13"/>
  <c r="A3" i="13"/>
  <c r="E7" i="13"/>
  <c r="H8" i="13"/>
  <c r="H8" i="13" a="1"/>
  <c r="I8" i="13"/>
  <c r="J8" i="13"/>
  <c r="K8" i="13"/>
  <c r="L8" i="13"/>
  <c r="M8" i="13"/>
  <c r="N8" i="13"/>
  <c r="O8" i="13"/>
  <c r="P8" i="13"/>
  <c r="Q8" i="13"/>
  <c r="R8" i="13"/>
  <c r="S8" i="13"/>
  <c r="T8" i="13"/>
  <c r="H9" i="13"/>
  <c r="H9" i="13" a="1"/>
  <c r="I9" i="13"/>
  <c r="J9" i="13"/>
  <c r="K9" i="13"/>
  <c r="L9" i="13"/>
  <c r="M9" i="13"/>
  <c r="N9" i="13"/>
  <c r="O9" i="13"/>
  <c r="P9" i="13"/>
  <c r="Q9" i="13"/>
  <c r="R9" i="13"/>
  <c r="S9" i="13"/>
  <c r="T9" i="13"/>
  <c r="E10" i="13"/>
  <c r="F10" i="13"/>
  <c r="G10" i="13"/>
  <c r="H10" i="13"/>
  <c r="H10" i="13" a="1"/>
  <c r="I10" i="13"/>
  <c r="I10" i="13" a="1"/>
  <c r="J10" i="13"/>
  <c r="J10" i="13" a="1"/>
  <c r="K10" i="13"/>
  <c r="K10" i="13" a="1"/>
  <c r="L10" i="13"/>
  <c r="L10" i="13" a="1"/>
  <c r="M10" i="13"/>
  <c r="M10" i="13" a="1"/>
  <c r="N10" i="13"/>
  <c r="N10" i="13" a="1"/>
  <c r="O10" i="13"/>
  <c r="O10" i="13" a="1"/>
  <c r="P10" i="13"/>
  <c r="P10" i="13" a="1"/>
  <c r="Q10" i="13"/>
  <c r="Q10" i="13" a="1"/>
  <c r="R10" i="13"/>
  <c r="R10" i="13" a="1"/>
  <c r="S10" i="13"/>
  <c r="S10" i="13" a="1"/>
  <c r="T10" i="13"/>
  <c r="T10" i="13" a="1"/>
  <c r="V10" i="13"/>
  <c r="Y10" i="13"/>
  <c r="Z10" i="13"/>
  <c r="AA10" i="13"/>
  <c r="AB10" i="13"/>
  <c r="AC10" i="13"/>
  <c r="G11" i="13"/>
  <c r="H11" i="13"/>
  <c r="H11" i="13" a="1"/>
  <c r="I11" i="13"/>
  <c r="I11" i="13" a="1"/>
  <c r="J11" i="13"/>
  <c r="J11" i="13" a="1"/>
  <c r="K11" i="13"/>
  <c r="K11" i="13" a="1"/>
  <c r="L11" i="13"/>
  <c r="L11" i="13" a="1"/>
  <c r="M11" i="13"/>
  <c r="M11" i="13" a="1"/>
  <c r="N11" i="13"/>
  <c r="N11" i="13" a="1"/>
  <c r="O11" i="13"/>
  <c r="O11" i="13" a="1"/>
  <c r="P11" i="13"/>
  <c r="P11" i="13" a="1"/>
  <c r="Q11" i="13"/>
  <c r="Q11" i="13" a="1"/>
  <c r="R11" i="13"/>
  <c r="R11" i="13" a="1"/>
  <c r="S11" i="13"/>
  <c r="S11" i="13" a="1"/>
  <c r="T11" i="13"/>
  <c r="T11" i="13" a="1"/>
  <c r="V11" i="13"/>
  <c r="Y11" i="13"/>
  <c r="AA11" i="13"/>
  <c r="AB11" i="13"/>
  <c r="AC11" i="13"/>
  <c r="E12" i="13"/>
  <c r="F12" i="13"/>
  <c r="G12" i="13"/>
  <c r="H12" i="13"/>
  <c r="H12" i="13" a="1"/>
  <c r="I12" i="13"/>
  <c r="I12" i="13" a="1"/>
  <c r="J12" i="13"/>
  <c r="J12" i="13" a="1"/>
  <c r="K12" i="13"/>
  <c r="K12" i="13" a="1"/>
  <c r="L12" i="13"/>
  <c r="L12" i="13" a="1"/>
  <c r="M12" i="13"/>
  <c r="M12" i="13" a="1"/>
  <c r="N12" i="13"/>
  <c r="N12" i="13" a="1"/>
  <c r="O12" i="13"/>
  <c r="O12" i="13" a="1"/>
  <c r="P12" i="13"/>
  <c r="P12" i="13" a="1"/>
  <c r="Q12" i="13"/>
  <c r="Q12" i="13" a="1"/>
  <c r="R12" i="13"/>
  <c r="R12" i="13" a="1"/>
  <c r="S12" i="13"/>
  <c r="S12" i="13" a="1"/>
  <c r="T12" i="13"/>
  <c r="T12" i="13" a="1"/>
  <c r="V12" i="13"/>
  <c r="Y12" i="13"/>
  <c r="Z12" i="13"/>
  <c r="AA12" i="13"/>
  <c r="AB12" i="13"/>
  <c r="AC12" i="13"/>
  <c r="G13" i="13"/>
  <c r="H13" i="13"/>
  <c r="H13" i="13" a="1"/>
  <c r="I13" i="13"/>
  <c r="I13" i="13" a="1"/>
  <c r="J13" i="13"/>
  <c r="J13" i="13" a="1"/>
  <c r="K13" i="13"/>
  <c r="K13" i="13" a="1"/>
  <c r="L13" i="13"/>
  <c r="L13" i="13" a="1"/>
  <c r="M13" i="13"/>
  <c r="M13" i="13" a="1"/>
  <c r="N13" i="13"/>
  <c r="N13" i="13" a="1"/>
  <c r="O13" i="13"/>
  <c r="O13" i="13" a="1"/>
  <c r="P13" i="13"/>
  <c r="P13" i="13" a="1"/>
  <c r="Q13" i="13"/>
  <c r="Q13" i="13" a="1"/>
  <c r="R13" i="13"/>
  <c r="R13" i="13" a="1"/>
  <c r="S13" i="13"/>
  <c r="S13" i="13" a="1"/>
  <c r="T13" i="13"/>
  <c r="T13" i="13" a="1"/>
  <c r="V13" i="13"/>
  <c r="Y13" i="13"/>
  <c r="AA13" i="13"/>
  <c r="AB13" i="13"/>
  <c r="AC13" i="13"/>
  <c r="E14" i="13"/>
  <c r="F14" i="13"/>
  <c r="G14" i="13"/>
  <c r="H14" i="13"/>
  <c r="H14" i="13" a="1"/>
  <c r="I14" i="13"/>
  <c r="I14" i="13" a="1"/>
  <c r="J14" i="13"/>
  <c r="J14" i="13" a="1"/>
  <c r="K14" i="13"/>
  <c r="K14" i="13" a="1"/>
  <c r="L14" i="13"/>
  <c r="L14" i="13" a="1"/>
  <c r="M14" i="13"/>
  <c r="M14" i="13" a="1"/>
  <c r="N14" i="13"/>
  <c r="N14" i="13" a="1"/>
  <c r="O14" i="13"/>
  <c r="O14" i="13" a="1"/>
  <c r="P14" i="13"/>
  <c r="P14" i="13" a="1"/>
  <c r="Q14" i="13"/>
  <c r="Q14" i="13" a="1"/>
  <c r="R14" i="13"/>
  <c r="R14" i="13" a="1"/>
  <c r="S14" i="13"/>
  <c r="S14" i="13" a="1"/>
  <c r="T14" i="13"/>
  <c r="T14" i="13" a="1"/>
  <c r="V14" i="13"/>
  <c r="Y14" i="13"/>
  <c r="Z14" i="13"/>
  <c r="AA14" i="13"/>
  <c r="AB14" i="13"/>
  <c r="AC14" i="13"/>
  <c r="G15" i="13"/>
  <c r="H15" i="13"/>
  <c r="H15" i="13" a="1"/>
  <c r="I15" i="13"/>
  <c r="I15" i="13" a="1"/>
  <c r="J15" i="13"/>
  <c r="J15" i="13" a="1"/>
  <c r="K15" i="13"/>
  <c r="K15" i="13" a="1"/>
  <c r="L15" i="13"/>
  <c r="L15" i="13" a="1"/>
  <c r="M15" i="13"/>
  <c r="M15" i="13" a="1"/>
  <c r="N15" i="13"/>
  <c r="N15" i="13" a="1"/>
  <c r="O15" i="13"/>
  <c r="O15" i="13" a="1"/>
  <c r="P15" i="13"/>
  <c r="P15" i="13" a="1"/>
  <c r="Q15" i="13"/>
  <c r="Q15" i="13" a="1"/>
  <c r="R15" i="13"/>
  <c r="R15" i="13" a="1"/>
  <c r="S15" i="13"/>
  <c r="S15" i="13" a="1"/>
  <c r="T15" i="13"/>
  <c r="T15" i="13" a="1"/>
  <c r="V15" i="13"/>
  <c r="Y15" i="13"/>
  <c r="AA15" i="13"/>
  <c r="AB15" i="13"/>
  <c r="AC15" i="13"/>
  <c r="E16" i="13"/>
  <c r="F16" i="13"/>
  <c r="G16" i="13"/>
  <c r="H16" i="13"/>
  <c r="H16" i="13" a="1"/>
  <c r="I16" i="13"/>
  <c r="I16" i="13" a="1"/>
  <c r="J16" i="13"/>
  <c r="J16" i="13" a="1"/>
  <c r="K16" i="13"/>
  <c r="K16" i="13" a="1"/>
  <c r="L16" i="13"/>
  <c r="L16" i="13" a="1"/>
  <c r="M16" i="13"/>
  <c r="M16" i="13" a="1"/>
  <c r="N16" i="13"/>
  <c r="N16" i="13" a="1"/>
  <c r="O16" i="13"/>
  <c r="O16" i="13" a="1"/>
  <c r="P16" i="13"/>
  <c r="P16" i="13" a="1"/>
  <c r="Q16" i="13"/>
  <c r="Q16" i="13" a="1"/>
  <c r="R16" i="13"/>
  <c r="R16" i="13" a="1"/>
  <c r="S16" i="13"/>
  <c r="S16" i="13" a="1"/>
  <c r="T16" i="13"/>
  <c r="T16" i="13" a="1"/>
  <c r="V16" i="13"/>
  <c r="Y16" i="13"/>
  <c r="Z16" i="13"/>
  <c r="AA16" i="13"/>
  <c r="AB16" i="13"/>
  <c r="AC16" i="13"/>
  <c r="G17" i="13"/>
  <c r="H17" i="13"/>
  <c r="H17" i="13" a="1"/>
  <c r="I17" i="13"/>
  <c r="I17" i="13" a="1"/>
  <c r="J17" i="13"/>
  <c r="J17" i="13" a="1"/>
  <c r="K17" i="13"/>
  <c r="K17" i="13" a="1"/>
  <c r="L17" i="13"/>
  <c r="L17" i="13" a="1"/>
  <c r="M17" i="13"/>
  <c r="M17" i="13" a="1"/>
  <c r="N17" i="13"/>
  <c r="N17" i="13" a="1"/>
  <c r="O17" i="13"/>
  <c r="O17" i="13" a="1"/>
  <c r="P17" i="13"/>
  <c r="P17" i="13" a="1"/>
  <c r="Q17" i="13"/>
  <c r="Q17" i="13" a="1"/>
  <c r="R17" i="13"/>
  <c r="R17" i="13" a="1"/>
  <c r="S17" i="13"/>
  <c r="S17" i="13" a="1"/>
  <c r="T17" i="13"/>
  <c r="T17" i="13" a="1"/>
  <c r="V17" i="13"/>
  <c r="Y17" i="13"/>
  <c r="AA17" i="13"/>
  <c r="AB17" i="13"/>
  <c r="AC17" i="13"/>
  <c r="H21" i="13"/>
  <c r="I21" i="13"/>
  <c r="J21" i="13"/>
  <c r="K21" i="13"/>
  <c r="L21" i="13"/>
  <c r="M21" i="13"/>
  <c r="N21" i="13"/>
  <c r="O21" i="13"/>
  <c r="P21" i="13"/>
  <c r="Q21" i="13"/>
  <c r="R21" i="13"/>
  <c r="S21" i="13"/>
  <c r="T21" i="13"/>
  <c r="H22" i="13"/>
  <c r="I22" i="13"/>
  <c r="J22" i="13"/>
  <c r="K22" i="13"/>
  <c r="L22" i="13"/>
  <c r="M22" i="13"/>
  <c r="N22" i="13"/>
  <c r="O22" i="13"/>
  <c r="P22" i="13"/>
  <c r="Q22" i="13"/>
  <c r="R22" i="13"/>
  <c r="S22" i="13"/>
  <c r="T22" i="13"/>
  <c r="H23" i="13"/>
  <c r="I23" i="13"/>
  <c r="J23" i="13"/>
  <c r="K23" i="13"/>
  <c r="L23" i="13"/>
  <c r="M23" i="13"/>
  <c r="N23" i="13"/>
  <c r="O23" i="13"/>
  <c r="P23" i="13"/>
  <c r="Q23" i="13"/>
  <c r="R23" i="13"/>
  <c r="S23" i="13"/>
  <c r="T23" i="13"/>
  <c r="H24" i="13"/>
  <c r="I24" i="13"/>
  <c r="J24" i="13"/>
  <c r="K24" i="13"/>
  <c r="L24" i="13"/>
  <c r="M24" i="13"/>
  <c r="N24" i="13"/>
  <c r="O24" i="13"/>
  <c r="P24" i="13"/>
  <c r="Q24" i="13"/>
  <c r="R24" i="13"/>
  <c r="S24" i="13"/>
  <c r="T24" i="13"/>
  <c r="H27" i="13"/>
  <c r="I27" i="13"/>
  <c r="J27" i="13"/>
  <c r="K27" i="13"/>
  <c r="L27" i="13"/>
  <c r="M27" i="13"/>
  <c r="N27" i="13"/>
  <c r="O27" i="13"/>
  <c r="P27" i="13"/>
  <c r="Q27" i="13"/>
  <c r="R27" i="13"/>
  <c r="S27" i="13"/>
  <c r="T27" i="13"/>
  <c r="H28" i="13"/>
  <c r="I28" i="13"/>
  <c r="J28" i="13"/>
  <c r="K28" i="13"/>
  <c r="L28" i="13"/>
  <c r="M28" i="13"/>
  <c r="N28" i="13"/>
  <c r="O28" i="13"/>
  <c r="P28" i="13"/>
  <c r="Q28" i="13"/>
  <c r="R28" i="13"/>
  <c r="S28" i="13"/>
  <c r="T28" i="13"/>
  <c r="A2" i="11"/>
  <c r="A3" i="11"/>
  <c r="E7" i="11"/>
  <c r="H8" i="11"/>
  <c r="H8" i="11" a="1"/>
  <c r="I8" i="11"/>
  <c r="J8" i="11"/>
  <c r="K8" i="11"/>
  <c r="L8" i="11"/>
  <c r="M8" i="11"/>
  <c r="N8" i="11"/>
  <c r="O8" i="11"/>
  <c r="P8" i="11"/>
  <c r="Q8" i="11"/>
  <c r="R8" i="11"/>
  <c r="S8" i="11"/>
  <c r="T8" i="11"/>
  <c r="H9" i="11"/>
  <c r="H9" i="11" a="1"/>
  <c r="I9" i="11"/>
  <c r="J9" i="11"/>
  <c r="K9" i="11"/>
  <c r="L9" i="11"/>
  <c r="M9" i="11"/>
  <c r="N9" i="11"/>
  <c r="O9" i="11"/>
  <c r="P9" i="11"/>
  <c r="Q9" i="11"/>
  <c r="R9" i="11"/>
  <c r="S9" i="11"/>
  <c r="T9" i="11"/>
  <c r="E10" i="11"/>
  <c r="F10" i="11"/>
  <c r="G10" i="11"/>
  <c r="H10" i="11"/>
  <c r="H10" i="11" a="1"/>
  <c r="I10" i="11"/>
  <c r="I10" i="11" a="1"/>
  <c r="J10" i="11"/>
  <c r="J10" i="11" a="1"/>
  <c r="K10" i="11"/>
  <c r="K10" i="11" a="1"/>
  <c r="L10" i="11"/>
  <c r="L10" i="11" a="1"/>
  <c r="M10" i="11"/>
  <c r="M10" i="11" a="1"/>
  <c r="N10" i="11"/>
  <c r="N10" i="11" a="1"/>
  <c r="O10" i="11"/>
  <c r="O10" i="11" a="1"/>
  <c r="P10" i="11"/>
  <c r="P10" i="11" a="1"/>
  <c r="Q10" i="11"/>
  <c r="Q10" i="11" a="1"/>
  <c r="R10" i="11"/>
  <c r="R10" i="11" a="1"/>
  <c r="S10" i="11"/>
  <c r="S10" i="11" a="1"/>
  <c r="T10" i="11"/>
  <c r="T10" i="11" a="1"/>
  <c r="V10" i="11"/>
  <c r="Y10" i="11"/>
  <c r="Z10" i="11"/>
  <c r="AA10" i="11"/>
  <c r="AB10" i="11"/>
  <c r="AC10" i="11"/>
  <c r="G11" i="11"/>
  <c r="H11" i="11"/>
  <c r="H11" i="11" a="1"/>
  <c r="I11" i="11"/>
  <c r="I11" i="11" a="1"/>
  <c r="J11" i="11"/>
  <c r="J11" i="11" a="1"/>
  <c r="K11" i="11"/>
  <c r="K11" i="11" a="1"/>
  <c r="L11" i="11"/>
  <c r="L11" i="11" a="1"/>
  <c r="M11" i="11"/>
  <c r="M11" i="11" a="1"/>
  <c r="N11" i="11"/>
  <c r="N11" i="11" a="1"/>
  <c r="O11" i="11"/>
  <c r="O11" i="11" a="1"/>
  <c r="P11" i="11"/>
  <c r="P11" i="11" a="1"/>
  <c r="Q11" i="11"/>
  <c r="Q11" i="11" a="1"/>
  <c r="R11" i="11"/>
  <c r="R11" i="11" a="1"/>
  <c r="S11" i="11"/>
  <c r="S11" i="11" a="1"/>
  <c r="T11" i="11"/>
  <c r="T11" i="11" a="1"/>
  <c r="V11" i="11"/>
  <c r="Y11" i="11"/>
  <c r="AA11" i="11"/>
  <c r="AB11" i="11"/>
  <c r="AC11" i="11"/>
  <c r="H15" i="11"/>
  <c r="I15" i="11"/>
  <c r="J15" i="11"/>
  <c r="K15" i="11"/>
  <c r="L15" i="11"/>
  <c r="M15" i="11"/>
  <c r="N15" i="11"/>
  <c r="O15" i="11"/>
  <c r="P15" i="11"/>
  <c r="Q15" i="11"/>
  <c r="R15" i="11"/>
  <c r="S15" i="11"/>
  <c r="T15" i="11"/>
  <c r="H16" i="11"/>
  <c r="I16" i="11"/>
  <c r="J16" i="11"/>
  <c r="K16" i="11"/>
  <c r="L16" i="11"/>
  <c r="M16" i="11"/>
  <c r="N16" i="11"/>
  <c r="O16" i="11"/>
  <c r="P16" i="11"/>
  <c r="Q16" i="11"/>
  <c r="R16" i="11"/>
  <c r="S16" i="11"/>
  <c r="T16" i="11"/>
  <c r="H19" i="11"/>
  <c r="I19" i="11"/>
  <c r="J19" i="11"/>
  <c r="K19" i="11"/>
  <c r="L19" i="11"/>
  <c r="M19" i="11"/>
  <c r="N19" i="11"/>
  <c r="O19" i="11"/>
  <c r="P19" i="11"/>
  <c r="Q19" i="11"/>
  <c r="R19" i="11"/>
  <c r="S19" i="11"/>
  <c r="T19" i="11"/>
  <c r="H20" i="11"/>
  <c r="I20" i="11"/>
  <c r="J20" i="11"/>
  <c r="K20" i="11"/>
  <c r="L20" i="11"/>
  <c r="M20" i="11"/>
  <c r="N20" i="11"/>
  <c r="O20" i="11"/>
  <c r="P20" i="11"/>
  <c r="Q20" i="11"/>
  <c r="R20" i="11"/>
  <c r="S20" i="11"/>
  <c r="T20" i="11"/>
</calcChain>
</file>

<file path=xl/comments1.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2.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3.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4.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5.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6.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7.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8.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9.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10.xml><?xml version="1.0" encoding="utf-8"?>
<comments xmlns="http://schemas.openxmlformats.org/spreadsheetml/2006/main">
  <authors>
    <author>Greg Couch</author>
  </authors>
  <commentList>
    <comment ref="A1" authorId="0" shapeId="0">
      <text>
        <r>
          <rPr>
            <sz val="8"/>
            <color indexed="81"/>
            <rFont val="Tahoma"/>
            <family val="2"/>
          </rPr>
          <t>"PATH" here indicates this is a worksheet where a path is valued.</t>
        </r>
      </text>
    </comment>
  </commentList>
</comments>
</file>

<file path=xl/comments1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1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2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3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1.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2.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3.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4.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5.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6.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7.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8.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49.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comments50.xml><?xml version="1.0" encoding="utf-8"?>
<comments xmlns="http://schemas.openxmlformats.org/spreadsheetml/2006/main">
  <authors>
    <author>Greg Couch</author>
    <author>Kyle Etter</author>
  </authors>
  <commentList>
    <comment ref="A1" authorId="0" shapeId="0">
      <text>
        <r>
          <rPr>
            <sz val="8"/>
            <color indexed="81"/>
            <rFont val="Tahoma"/>
            <family val="2"/>
          </rPr>
          <t>"PATH" here indicates this is a worksheet where a path is valued.</t>
        </r>
      </text>
    </comment>
    <comment ref="A2" authorId="1" shapeId="0">
      <text>
        <r>
          <rPr>
            <sz val="8"/>
            <color indexed="81"/>
            <rFont val="Tahoma"/>
            <family val="2"/>
          </rPr>
          <t>Used to point to the start of the output information.</t>
        </r>
      </text>
    </comment>
    <comment ref="A3" authorId="1" shapeId="0">
      <text>
        <r>
          <rPr>
            <sz val="8"/>
            <color indexed="81"/>
            <rFont val="Tahoma"/>
            <family val="2"/>
          </rPr>
          <t>Used to point to Start of Date (for position reporting purposes).</t>
        </r>
      </text>
    </comment>
    <comment ref="AM3" authorId="0" shapeId="0">
      <text>
        <r>
          <rPr>
            <sz val="8"/>
            <color indexed="81"/>
            <rFont val="Tahoma"/>
          </rPr>
          <t xml:space="preserve">This table has the responsibility of searching through the database records for this path's record number and then pull all volume and rate information by month.  Prior to pulling the information, it must first determine the appropriate tier for the month.  Once determined, that tier's information is loaded into this table for use by the calculation sheet.
</t>
        </r>
      </text>
    </comment>
    <comment ref="A4" authorId="1" shapeId="0">
      <text>
        <r>
          <rPr>
            <sz val="8"/>
            <color indexed="81"/>
            <rFont val="Tahoma"/>
            <family val="2"/>
          </rPr>
          <t>Used to point to Start of Receipt Positions (for position reporting purposes).</t>
        </r>
      </text>
    </comment>
    <comment ref="A5" authorId="1" shapeId="0">
      <text>
        <r>
          <rPr>
            <sz val="8"/>
            <color indexed="81"/>
            <rFont val="Tahoma"/>
            <family val="2"/>
          </rPr>
          <t>Used to point to Receipt curve (for position reporting purposes).</t>
        </r>
      </text>
    </comment>
    <comment ref="A6" authorId="1" shapeId="0">
      <text>
        <r>
          <rPr>
            <sz val="8"/>
            <color indexed="81"/>
            <rFont val="Tahoma"/>
            <family val="2"/>
          </rPr>
          <t>Used to point to Receipt curve (for position reporting purposes).</t>
        </r>
      </text>
    </comment>
    <comment ref="A7" authorId="1" shapeId="0">
      <text>
        <r>
          <rPr>
            <sz val="8"/>
            <color indexed="81"/>
            <rFont val="Tahoma"/>
            <family val="2"/>
          </rPr>
          <t>Used to point to Receipt curve (for position reporting purposes).</t>
        </r>
      </text>
    </comment>
    <comment ref="G7" authorId="1" shapeId="0">
      <text>
        <r>
          <rPr>
            <sz val="8"/>
            <color indexed="81"/>
            <rFont val="Tahoma"/>
            <family val="2"/>
          </rPr>
          <t>This field will be the later of contract start date or prompt month.</t>
        </r>
      </text>
    </comment>
    <comment ref="H21" authorId="1" shapeId="0">
      <text>
        <r>
          <rPr>
            <sz val="8"/>
            <color indexed="81"/>
            <rFont val="Tahoma"/>
          </rPr>
          <t xml:space="preserve">Total Receipt Price = (NYMEX + Receipt Pt Basis + Receipt Pt Index + Index Adjustment) grossed up for fuel rate
</t>
        </r>
      </text>
    </comment>
    <comment ref="I21" authorId="1" shapeId="0">
      <text>
        <r>
          <rPr>
            <sz val="8"/>
            <color indexed="81"/>
            <rFont val="Tahoma"/>
          </rPr>
          <t>Total Delivery Price = (NYMEX + Delivery Pt Basis + Delivery Pt Index + Index Adjustment)</t>
        </r>
      </text>
    </comment>
    <comment ref="K21" authorId="1" shapeId="0">
      <text>
        <r>
          <rPr>
            <sz val="8"/>
            <color indexed="81"/>
            <rFont val="Tahoma"/>
          </rPr>
          <t>Intrinsic Value = Value of gas at delivery point less receipt point price and variable transport charges</t>
        </r>
      </text>
    </comment>
    <comment ref="L21" authorId="1" shapeId="0">
      <text>
        <r>
          <rPr>
            <sz val="8"/>
            <color indexed="81"/>
            <rFont val="Tahoma"/>
            <family val="2"/>
          </rPr>
          <t>Extrinsic Value = Total Value of Option less Intrinsic Value
   (The value of an option = Intrinsic Value + Extrinsic (Time) Value)</t>
        </r>
      </text>
    </comment>
  </commentList>
</comments>
</file>

<file path=xl/sharedStrings.xml><?xml version="1.0" encoding="utf-8"?>
<sst xmlns="http://schemas.openxmlformats.org/spreadsheetml/2006/main" count="9762" uniqueCount="839">
  <si>
    <t>Pipeline</t>
  </si>
  <si>
    <t>Start</t>
  </si>
  <si>
    <t>End</t>
  </si>
  <si>
    <t>Receipt</t>
  </si>
  <si>
    <t>Delivery</t>
  </si>
  <si>
    <t>Months</t>
  </si>
  <si>
    <t>Tier1</t>
  </si>
  <si>
    <t>Tier2</t>
  </si>
  <si>
    <t>Tier3</t>
  </si>
  <si>
    <t>Tier4</t>
  </si>
  <si>
    <t>Volume</t>
  </si>
  <si>
    <t>Commodity</t>
  </si>
  <si>
    <t>Fuel Rate</t>
  </si>
  <si>
    <t>Demand</t>
  </si>
  <si>
    <t>TRANSPORTATION CONTRACT INFORMATION</t>
  </si>
  <si>
    <t>(none)</t>
  </si>
  <si>
    <t>Comments</t>
  </si>
  <si>
    <t>Surcharge</t>
  </si>
  <si>
    <t>CGT</t>
  </si>
  <si>
    <t>Leach</t>
  </si>
  <si>
    <t>IF-COLGUL/RAYNE</t>
  </si>
  <si>
    <t>IF-CGT/APPALAC</t>
  </si>
  <si>
    <t>NG_OMICRON_7</t>
  </si>
  <si>
    <t>This is a test comment</t>
  </si>
  <si>
    <t>Contract #</t>
  </si>
  <si>
    <t>Start Date</t>
  </si>
  <si>
    <t>End Date</t>
  </si>
  <si>
    <t>Y</t>
  </si>
  <si>
    <t>Today</t>
  </si>
  <si>
    <t>Receipt Price</t>
  </si>
  <si>
    <t>Delivery Price</t>
  </si>
  <si>
    <t>Receipt Basis Column</t>
  </si>
  <si>
    <t>Receipt Index Column</t>
  </si>
  <si>
    <t>Delivery Basis Column</t>
  </si>
  <si>
    <t>Delivery Index Column</t>
  </si>
  <si>
    <t>Days In Month</t>
  </si>
  <si>
    <t>Month</t>
  </si>
  <si>
    <t>Increment Days</t>
  </si>
  <si>
    <t>DB Key (Rec No)</t>
  </si>
  <si>
    <t>Tier</t>
  </si>
  <si>
    <t>NG</t>
  </si>
  <si>
    <t>Nymex</t>
  </si>
  <si>
    <t>RecPt Index Adj</t>
  </si>
  <si>
    <t>DelPt Index Adj</t>
  </si>
  <si>
    <t>Libor</t>
  </si>
  <si>
    <t>Discount Factor</t>
  </si>
  <si>
    <t>PV Vol</t>
  </si>
  <si>
    <t>Region</t>
  </si>
  <si>
    <t>Central</t>
  </si>
  <si>
    <t>Database Connection Parameters</t>
  </si>
  <si>
    <t>Curve Parameters</t>
  </si>
  <si>
    <t>Database Name</t>
  </si>
  <si>
    <t>EGSPROD32</t>
  </si>
  <si>
    <t>Fetch As Of</t>
  </si>
  <si>
    <t>UserId</t>
  </si>
  <si>
    <t>MHAYS_PC</t>
  </si>
  <si>
    <t>Password</t>
  </si>
  <si>
    <t>Fetch</t>
  </si>
  <si>
    <t>Last Updated</t>
  </si>
  <si>
    <t>Curve Date</t>
  </si>
  <si>
    <t>Curve Code</t>
  </si>
  <si>
    <t>INT</t>
  </si>
  <si>
    <t>IF-NNG/VENT</t>
  </si>
  <si>
    <t>Curve Type</t>
  </si>
  <si>
    <t>PR</t>
  </si>
  <si>
    <t>AA</t>
  </si>
  <si>
    <t>Book Code</t>
  </si>
  <si>
    <t>P</t>
  </si>
  <si>
    <t>R</t>
  </si>
  <si>
    <t>D</t>
  </si>
  <si>
    <t>I</t>
  </si>
  <si>
    <t>Curve Descrip</t>
  </si>
  <si>
    <t>Nymex Column</t>
  </si>
  <si>
    <t>Nymex Curve</t>
  </si>
  <si>
    <t>Nymex Mid</t>
  </si>
  <si>
    <t>Omicron D</t>
  </si>
  <si>
    <t>Omicron R</t>
  </si>
  <si>
    <t>Libor Curve</t>
  </si>
  <si>
    <t>Libor AA</t>
  </si>
  <si>
    <t>Libor Column</t>
  </si>
  <si>
    <t>Omicron NG</t>
  </si>
  <si>
    <t>Omicron NG Col</t>
  </si>
  <si>
    <t>Omicron (NG)</t>
  </si>
  <si>
    <t>Omicron (Receipt)</t>
  </si>
  <si>
    <t>Omicron (Delivery)</t>
  </si>
  <si>
    <t>Correlation Table</t>
  </si>
  <si>
    <t>Correlation</t>
  </si>
  <si>
    <t>CGPR-NIAGARA</t>
  </si>
  <si>
    <t>IF-MONCHY</t>
  </si>
  <si>
    <t>IF-NGPLTXOK</t>
  </si>
  <si>
    <t>IF-ELPO/SJ</t>
  </si>
  <si>
    <t>IF-EPSJ(BONDAD)</t>
  </si>
  <si>
    <t>NGI-SOCAL</t>
  </si>
  <si>
    <t>CGPR-KINGSGATE</t>
  </si>
  <si>
    <t>IF-TRANSCO/Z1</t>
  </si>
  <si>
    <t>IF-TRANSCO/Z3</t>
  </si>
  <si>
    <t>Tetco STX</t>
  </si>
  <si>
    <t>Tenn Z0</t>
  </si>
  <si>
    <t>IF-TENN/LA</t>
  </si>
  <si>
    <t>IF-TRANSCO/Z2</t>
  </si>
  <si>
    <t>WLA</t>
  </si>
  <si>
    <t>ELA</t>
  </si>
  <si>
    <t>M1</t>
  </si>
  <si>
    <t>ETX</t>
  </si>
  <si>
    <t>Tenn Z1</t>
  </si>
  <si>
    <t>Texas Gas SL</t>
  </si>
  <si>
    <t>CNG-S</t>
  </si>
  <si>
    <t>IF-ANR/LA</t>
  </si>
  <si>
    <t>IF-NNG/TOK</t>
  </si>
  <si>
    <t>IF-TGT/ZSL</t>
  </si>
  <si>
    <t>IF-NWPL_ROCKY_M</t>
  </si>
  <si>
    <t>IF-ELPO/PERMIAN</t>
  </si>
  <si>
    <t>IF-ANR/OK</t>
  </si>
  <si>
    <t>IF-COLGULF/LA</t>
  </si>
  <si>
    <t>NGI-CHI. GATE</t>
  </si>
  <si>
    <t>IF-NORAM/WEST</t>
  </si>
  <si>
    <t>IF-PAN/TX/OK</t>
  </si>
  <si>
    <t>IF-TRUNKL/LA</t>
  </si>
  <si>
    <t>NGI-MICH_CG</t>
  </si>
  <si>
    <t>IF-NGPL/STX</t>
  </si>
  <si>
    <t>IF-NGPL/MIDCON</t>
  </si>
  <si>
    <t>NGI/CHI. GATE</t>
  </si>
  <si>
    <t>IF-TRANSCO/Z6</t>
  </si>
  <si>
    <t>IF-NGPL/LA</t>
  </si>
  <si>
    <t>WAHA KCBT</t>
  </si>
  <si>
    <t>NGI-PGE/CG</t>
  </si>
  <si>
    <t>NGI-MALIN</t>
  </si>
  <si>
    <t>Tetco M3</t>
  </si>
  <si>
    <t>TCO</t>
  </si>
  <si>
    <t>M3</t>
  </si>
  <si>
    <t>IF-TENN/Z6</t>
  </si>
  <si>
    <t>Tenn Z5</t>
  </si>
  <si>
    <t>Tenn Z3</t>
  </si>
  <si>
    <t>Texas Gas Z4</t>
  </si>
  <si>
    <t>Leidy</t>
  </si>
  <si>
    <t>MICH_CG-GD</t>
  </si>
  <si>
    <t>IF-NNG/DEMARCAT</t>
  </si>
  <si>
    <t>CGPR-DAWN</t>
  </si>
  <si>
    <t>MICH/CONS</t>
  </si>
  <si>
    <t>Correlation Col</t>
  </si>
  <si>
    <t>Include Variable GRI (Y/N)</t>
  </si>
  <si>
    <t>Variable GRI Charges</t>
  </si>
  <si>
    <t>Variable GRI Factor</t>
  </si>
  <si>
    <t>N</t>
  </si>
  <si>
    <t>NG_OMICRON_1</t>
  </si>
  <si>
    <t>Delivery Price Volatility</t>
  </si>
  <si>
    <t>Receipt Price Volatility</t>
  </si>
  <si>
    <t>Variable Transport Charges</t>
  </si>
  <si>
    <t>Valid Month Factor</t>
  </si>
  <si>
    <t>NPV</t>
  </si>
  <si>
    <t>Prior Day</t>
  </si>
  <si>
    <t>Change</t>
  </si>
  <si>
    <t>O U T P U T   S U M M A R Y</t>
  </si>
  <si>
    <t>I N T E R M E D I A T E   C A L C U L A T I O N S</t>
  </si>
  <si>
    <t>Status Messages</t>
  </si>
  <si>
    <t>Gamma</t>
  </si>
  <si>
    <t>Theta</t>
  </si>
  <si>
    <t>Vega</t>
  </si>
  <si>
    <t>Rho</t>
  </si>
  <si>
    <t>Expiration Date</t>
  </si>
  <si>
    <t>Valued as Of</t>
  </si>
  <si>
    <t>Days Until First of Month</t>
  </si>
  <si>
    <t>P R I O R    D A Y   C A L C U L A T I O N S</t>
  </si>
  <si>
    <t>Correlation File</t>
  </si>
  <si>
    <t>Leg</t>
  </si>
  <si>
    <t>Position 1</t>
  </si>
  <si>
    <t>Position 2</t>
  </si>
  <si>
    <t>Position 3</t>
  </si>
  <si>
    <t>Position 4</t>
  </si>
  <si>
    <t>Position 5</t>
  </si>
  <si>
    <t>Position 6</t>
  </si>
  <si>
    <t>Position 7</t>
  </si>
  <si>
    <t>Position 8</t>
  </si>
  <si>
    <t>Path</t>
  </si>
  <si>
    <t>Position 9</t>
  </si>
  <si>
    <t>Position 10</t>
  </si>
  <si>
    <t>Position 11</t>
  </si>
  <si>
    <t>Position 12</t>
  </si>
  <si>
    <t>Position 13</t>
  </si>
  <si>
    <t>REPORT</t>
  </si>
  <si>
    <t>DB</t>
  </si>
  <si>
    <t xml:space="preserve">Receipt Pt </t>
  </si>
  <si>
    <t>Delivery Pt</t>
  </si>
  <si>
    <t>Totals</t>
  </si>
  <si>
    <t>East</t>
  </si>
  <si>
    <t>DB Page</t>
  </si>
  <si>
    <t>Record Ndx</t>
  </si>
  <si>
    <t>Record Number</t>
  </si>
  <si>
    <t>Receipt Basis</t>
  </si>
  <si>
    <t>Receipt Index</t>
  </si>
  <si>
    <t>Receipt Omicron</t>
  </si>
  <si>
    <t>Delivery Basis</t>
  </si>
  <si>
    <t>Delivery Index</t>
  </si>
  <si>
    <t>Delivery Omicron</t>
  </si>
  <si>
    <t>Type</t>
  </si>
  <si>
    <t>LONGTERMPATH</t>
  </si>
  <si>
    <t>Date Ranges for Position Reports</t>
  </si>
  <si>
    <t>SUMMARY BY POINT</t>
  </si>
  <si>
    <t>TOTAL LONG AND SHORT POSITIONS</t>
  </si>
  <si>
    <t>Long</t>
  </si>
  <si>
    <t>Short</t>
  </si>
  <si>
    <t>Asset Value</t>
  </si>
  <si>
    <t>Demand Costs</t>
  </si>
  <si>
    <t>Today's P&amp;L</t>
  </si>
  <si>
    <t>Yesterday's P&amp;L</t>
  </si>
  <si>
    <t>P&amp;L Change</t>
  </si>
  <si>
    <t>REGION SUB-TOTAL</t>
  </si>
  <si>
    <t xml:space="preserve">East </t>
  </si>
  <si>
    <t>CENTRAL REGION</t>
  </si>
  <si>
    <t>EAST  REGION</t>
  </si>
  <si>
    <t>TEMPLATE</t>
  </si>
  <si>
    <t>Drift</t>
  </si>
  <si>
    <t>All</t>
  </si>
  <si>
    <t>I N T E R M E D I A T E   G R E E K S</t>
  </si>
  <si>
    <t>Cross Gamma</t>
  </si>
  <si>
    <t>Receipt Price Change</t>
  </si>
  <si>
    <t>Delivery Price Change</t>
  </si>
  <si>
    <t>Receipt Gamma</t>
  </si>
  <si>
    <t>Delivery Gamma</t>
  </si>
  <si>
    <t>Annualized Theta</t>
  </si>
  <si>
    <t>Receipt Vega</t>
  </si>
  <si>
    <t>Delivery Vega</t>
  </si>
  <si>
    <t>Receipt Volatility Change</t>
  </si>
  <si>
    <t>Delivery Volatility Change</t>
  </si>
  <si>
    <t xml:space="preserve"> </t>
  </si>
  <si>
    <t>Page to Import</t>
  </si>
  <si>
    <t xml:space="preserve">   (name of page from correlation file)</t>
  </si>
  <si>
    <t>Cell of First Curve</t>
  </si>
  <si>
    <t xml:space="preserve">   (cell address of first curve name on import page - ie: A4)</t>
  </si>
  <si>
    <t>T r a n s p o r t a t i o n   M o d e l</t>
  </si>
  <si>
    <t>Full Operation</t>
  </si>
  <si>
    <t>Subset Operations</t>
  </si>
  <si>
    <t>Notes:</t>
  </si>
  <si>
    <t>Roll Schedule</t>
  </si>
  <si>
    <t xml:space="preserve">  (full path name with extention)</t>
  </si>
  <si>
    <t>Todo</t>
  </si>
  <si>
    <t>Complete Add/Edit/Copy</t>
  </si>
  <si>
    <t>Additional reports?</t>
  </si>
  <si>
    <t>Imbedded help</t>
  </si>
  <si>
    <t>Documentation</t>
  </si>
  <si>
    <t>Figure out error where code modify breaks RollToPrior procedure</t>
  </si>
  <si>
    <t>Database Operations</t>
  </si>
  <si>
    <t>Daily Operations Page</t>
  </si>
  <si>
    <t>Reporting</t>
  </si>
  <si>
    <t>Due to the complexity of this model, please use CTRL-ALT-F9 to make sure the model is fully recalculated before printing reports.</t>
  </si>
  <si>
    <t>PGT</t>
  </si>
  <si>
    <t>Kingsgate</t>
  </si>
  <si>
    <t>Malin</t>
  </si>
  <si>
    <t>EPNG</t>
  </si>
  <si>
    <t>Valero</t>
  </si>
  <si>
    <t>IF-ELPO/SJ Basis Mid</t>
  </si>
  <si>
    <t>IF-ELPO/SJ Index Mid</t>
  </si>
  <si>
    <t>NGI-SOCAL Basis Mid</t>
  </si>
  <si>
    <t>Ventura</t>
  </si>
  <si>
    <t>Chicago</t>
  </si>
  <si>
    <t>Monchy</t>
  </si>
  <si>
    <t>IF-MONCHY Basis Mid</t>
  </si>
  <si>
    <t>IF-MONCHY Index Mid</t>
  </si>
  <si>
    <t>NGPL</t>
  </si>
  <si>
    <t>NGPL/TX OK</t>
  </si>
  <si>
    <t>NGPL/LA</t>
  </si>
  <si>
    <t>Fix calcs that end prior to end of the month</t>
  </si>
  <si>
    <t>IF-NGPL/LA Basis Mid</t>
  </si>
  <si>
    <t>IF-NGPL/LA Index Mid</t>
  </si>
  <si>
    <t>IF-NORAM/WEST Basis Mid</t>
  </si>
  <si>
    <t>IF-NORAM/WEST Index Mid</t>
  </si>
  <si>
    <t>NGI/CHI. GATE Basis Mid</t>
  </si>
  <si>
    <t>NGI/CHI. GATE Index Mid</t>
  </si>
  <si>
    <t>NGI-SOCAL Index Mid</t>
  </si>
  <si>
    <t>Delivery Delta</t>
  </si>
  <si>
    <t>Receipt Delta</t>
  </si>
  <si>
    <t>Delta</t>
  </si>
  <si>
    <t>Group</t>
  </si>
  <si>
    <t>1</t>
  </si>
  <si>
    <t>General Description</t>
  </si>
  <si>
    <t>This spreadsheet allow a user to fetch multiple curves at once from the designated database.</t>
  </si>
  <si>
    <t>Overview Of Operation</t>
  </si>
  <si>
    <t>1) Decide what curves are needed for a particular project/evaluation</t>
  </si>
  <si>
    <t>2) Add each curve, via the "Add Curves" button on the "Fetch" sheet, to the list of curves to be fetched.</t>
  </si>
  <si>
    <t>3) Update the curves via the "Update Curves" button.</t>
  </si>
  <si>
    <t>How Do I ?</t>
  </si>
  <si>
    <t>Use the curve information in my project?</t>
  </si>
  <si>
    <t>The easiest way to access the curve information is using the VLOOKUP function.  The date would be the first argument, the named range "CurveTbl" the second, and the offset of the desired curve the third.</t>
  </si>
  <si>
    <t>Add a new curve to be fetched?</t>
  </si>
  <si>
    <t>Only update specific curves?</t>
  </si>
  <si>
    <t>Prevent a "Trader Quote" from being updated along with the rest of the quotes?</t>
  </si>
  <si>
    <t>See the discussion above.</t>
  </si>
  <si>
    <t>Add a new curve code?</t>
  </si>
  <si>
    <t>Use the "Add…" button to add a new curve code.  Specify "Curve Code" in the pop-up window along with a Code and Description.</t>
  </si>
  <si>
    <t>Add a new curve type?</t>
  </si>
  <si>
    <t>Use the "Add…" button to add a new curve code.  Specify "Curve Type" in the pop-up window along with a Code and Description.</t>
  </si>
  <si>
    <t>Add a new book code?</t>
  </si>
  <si>
    <t>Use the "Add…" button to add a new curve code.  Specify "Book Code" in the pop-up window along with a Code and Description.</t>
  </si>
  <si>
    <t>Detailed Operation</t>
  </si>
  <si>
    <t>"Fetch" Sheet</t>
  </si>
  <si>
    <t>* All user inputs are in blue</t>
  </si>
  <si>
    <t>* Specify appropriate "Database Name", "UserID", and "Password" for access to the curves database</t>
  </si>
  <si>
    <t>* Enter the three dates "Fetch as of", "Start Date", and "End Date".  The first date, "Fetch as of" designates the date of the curves to be fetched.  "Start Date" and "End Date" control the range of values that are returned.</t>
  </si>
  <si>
    <t>* Press the "Update Curves" button to access the database and refresh the desired curves.</t>
  </si>
  <si>
    <t>* Press the "Add Curve" button to add a curve to the fetch list.</t>
  </si>
  <si>
    <t>* To delete a curve, simply remove the information in the "Curve Code", "Curve Type", and "Book Code" rows for that curve.  For ease of use and operation, keep all curves in contiguous columns.</t>
  </si>
  <si>
    <t>"Codes" Sheet</t>
  </si>
  <si>
    <t>* The information contained in each of the tables on this sheet is used by the "Add Curves" button on the "Fetch" sheet to determine, when adding a new curve, what "Curve Code", "Curve Type", and "Book Code" to use for the new curve.</t>
  </si>
  <si>
    <t>C U R V E   C O D E S</t>
  </si>
  <si>
    <t>B O O K   C O D E S</t>
  </si>
  <si>
    <t>C U R V E   T Y P E S</t>
  </si>
  <si>
    <t>Description</t>
  </si>
  <si>
    <t>Code</t>
  </si>
  <si>
    <t>Nymex Natural Gas</t>
  </si>
  <si>
    <t>P - Price</t>
  </si>
  <si>
    <t>PR - Mid Price</t>
  </si>
  <si>
    <t>Libor AA Interest Rate</t>
  </si>
  <si>
    <t>D - Basis</t>
  </si>
  <si>
    <t>BP - Bid Price</t>
  </si>
  <si>
    <t>BP</t>
  </si>
  <si>
    <t>IF Auga Dulce</t>
  </si>
  <si>
    <t>IF-AGUA DULCE</t>
  </si>
  <si>
    <t>I - Index</t>
  </si>
  <si>
    <t>AP - Ask Price</t>
  </si>
  <si>
    <t>AP</t>
  </si>
  <si>
    <t>IF ANR Oklahoma</t>
  </si>
  <si>
    <t>R - Rate</t>
  </si>
  <si>
    <t>AA - Libor AA</t>
  </si>
  <si>
    <t>IF Arkla/Ark,OK-50%</t>
  </si>
  <si>
    <t>IF-ARKLA/ARK-OK</t>
  </si>
  <si>
    <t>F - Foreign Exchange</t>
  </si>
  <si>
    <t>F</t>
  </si>
  <si>
    <t>VO - Mid Volatility</t>
  </si>
  <si>
    <t>VO</t>
  </si>
  <si>
    <t>IF CNG Appalachia</t>
  </si>
  <si>
    <t>IF-CNG/APPALACH</t>
  </si>
  <si>
    <t>BV - Bid Volatility</t>
  </si>
  <si>
    <t>BV</t>
  </si>
  <si>
    <t>IF CIG Rocky Mountains</t>
  </si>
  <si>
    <t>IF-CIG/RKYMTN</t>
  </si>
  <si>
    <t>AV - Ask Volatility</t>
  </si>
  <si>
    <t>AV</t>
  </si>
  <si>
    <t>IF Columbia Gas Appalachia</t>
  </si>
  <si>
    <t>FX - Foreign Exchange</t>
  </si>
  <si>
    <t>FX</t>
  </si>
  <si>
    <t>IF Columbia Gulf Louisiana</t>
  </si>
  <si>
    <t>IR - Interest Rate</t>
  </si>
  <si>
    <t>IR</t>
  </si>
  <si>
    <t>IF EL Paso Permian</t>
  </si>
  <si>
    <t>IF EL Paso San Juan</t>
  </si>
  <si>
    <t>IF FGT Zone 1</t>
  </si>
  <si>
    <t>IF-FGT/Z1</t>
  </si>
  <si>
    <t>IF FGT Zone 2</t>
  </si>
  <si>
    <t>IF-FGT/Z2</t>
  </si>
  <si>
    <t>IF FGT Zone 3</t>
  </si>
  <si>
    <t>IF-FGT/Z3</t>
  </si>
  <si>
    <t>IF Henry Hub</t>
  </si>
  <si>
    <t>IF-HEHUB</t>
  </si>
  <si>
    <t>IF HPL Ship Channel</t>
  </si>
  <si>
    <t>IF-HPL/SHPCHAN</t>
  </si>
  <si>
    <t>IF KATY Hub East Texas</t>
  </si>
  <si>
    <t>IF-KATY</t>
  </si>
  <si>
    <t>IF Kern River Wyoming</t>
  </si>
  <si>
    <t>IF-KERN/RIVER</t>
  </si>
  <si>
    <t>IF Koch South Louisiana</t>
  </si>
  <si>
    <t>IF-KOCH</t>
  </si>
  <si>
    <t>IF Koch Texas</t>
  </si>
  <si>
    <t>IF-KOCH/TX</t>
  </si>
  <si>
    <t>IF NGPL Mid Continent</t>
  </si>
  <si>
    <t>IF NGPL Louisiana</t>
  </si>
  <si>
    <t>IF NGPL TX-OK</t>
  </si>
  <si>
    <t>IF NGPL South Texas</t>
  </si>
  <si>
    <t>IF-NGPL/TX</t>
  </si>
  <si>
    <t>IF NorAm East</t>
  </si>
  <si>
    <t>IF-NORAM/EAST</t>
  </si>
  <si>
    <t>IF NorAm West</t>
  </si>
  <si>
    <t>IF NNG TX-OK-KS</t>
  </si>
  <si>
    <t>IF NNG Demarcation</t>
  </si>
  <si>
    <t>IF NNG Ventura</t>
  </si>
  <si>
    <t>IF NWPL Rocky Mountains</t>
  </si>
  <si>
    <t>IF NWPL Canadian Border</t>
  </si>
  <si>
    <t>IF-NTHWST/CANBR</t>
  </si>
  <si>
    <t>IF ONG Oklahoma</t>
  </si>
  <si>
    <t>IF-ONG/OKLAHOMA</t>
  </si>
  <si>
    <t>IF PEPL TX-OK</t>
  </si>
  <si>
    <t>IF Questar Rocky Mountains</t>
  </si>
  <si>
    <t>IF-QUESTAR</t>
  </si>
  <si>
    <t>IF Sonat Louisiana</t>
  </si>
  <si>
    <t>IF-SONAT/LA</t>
  </si>
  <si>
    <t>IF Tenn LA Zone 1 (500 Line)</t>
  </si>
  <si>
    <t>IF Tenn LA Zone 1 (800 Line)</t>
  </si>
  <si>
    <t>IF-TENN/LA_OFF</t>
  </si>
  <si>
    <t>IF Tenn TX Zone 0 (100 Line)</t>
  </si>
  <si>
    <t>IF-TENN/TX</t>
  </si>
  <si>
    <t>IF-TENN/Z5</t>
  </si>
  <si>
    <t>IF TETCO East Louisiana</t>
  </si>
  <si>
    <t>IF-TETCO/ELA</t>
  </si>
  <si>
    <t>IF TETCO West Louisiana</t>
  </si>
  <si>
    <t>IF-TETCO/WLA</t>
  </si>
  <si>
    <t>IF TETCO East Texas</t>
  </si>
  <si>
    <t>IF-TETCO/ETX</t>
  </si>
  <si>
    <t>IF TETCO South Texas</t>
  </si>
  <si>
    <t>IF-TETCO/STX</t>
  </si>
  <si>
    <t>IF TETCO Zone M3 (Market)</t>
  </si>
  <si>
    <t>IF-TETCO/M3</t>
  </si>
  <si>
    <t>IF TGT Zone 1</t>
  </si>
  <si>
    <t>IF-TGT/Z1</t>
  </si>
  <si>
    <t>IF TGT South Louisiana</t>
  </si>
  <si>
    <t>IF Transco Zone 1  (30)</t>
  </si>
  <si>
    <t>IF Transco Zone 2  (45)</t>
  </si>
  <si>
    <t>IF Transco Zone 3  (50,62,65)</t>
  </si>
  <si>
    <t>IF Transco Miss/Ala  (85)</t>
  </si>
  <si>
    <t>IF-TRANSCO/Z4</t>
  </si>
  <si>
    <t>IF-TRANSCO/Z5</t>
  </si>
  <si>
    <t>IF Transco Zone 6 (Market)</t>
  </si>
  <si>
    <t>IF TW Permian</t>
  </si>
  <si>
    <t>IF-TW/PERMIAN</t>
  </si>
  <si>
    <t>IF Trunkline Louisiana</t>
  </si>
  <si>
    <t>IF Trunkline Texas</t>
  </si>
  <si>
    <t>IF-TRUNKL/TX</t>
  </si>
  <si>
    <t>IF Valero Texas</t>
  </si>
  <si>
    <t>IF-VALERO/TX</t>
  </si>
  <si>
    <t>IF Williams TX-OK-KS</t>
  </si>
  <si>
    <t>IF-WNG/TOK</t>
  </si>
  <si>
    <t>NGI Chicago City Gate</t>
  </si>
  <si>
    <t>NGI Michigan ConsoIidated</t>
  </si>
  <si>
    <t>NGI Malin (North Cal Border)</t>
  </si>
  <si>
    <t>NGI Socal (South Cal Border)</t>
  </si>
  <si>
    <t>Alberta Aeco Basis</t>
  </si>
  <si>
    <t>CGPR-AECO/BASIS</t>
  </si>
  <si>
    <t>Waha Hub West Texas</t>
  </si>
  <si>
    <t>GD Niagara (1st of Month)</t>
  </si>
  <si>
    <t>NIAGARA-GDM</t>
  </si>
  <si>
    <t>FGT City Gate</t>
  </si>
  <si>
    <t>IF-FGT/MKTAREA</t>
  </si>
  <si>
    <t>MB Ethane</t>
  </si>
  <si>
    <t>C2GC</t>
  </si>
  <si>
    <t>MB Ethane/Propane Mix</t>
  </si>
  <si>
    <t>EPMX</t>
  </si>
  <si>
    <t>Conway Ethane</t>
  </si>
  <si>
    <t>C2CN</t>
  </si>
  <si>
    <t>MB TET Propane</t>
  </si>
  <si>
    <t>C3GC</t>
  </si>
  <si>
    <t>MB NTET Propane</t>
  </si>
  <si>
    <t>C3XT</t>
  </si>
  <si>
    <t>Conway Propane</t>
  </si>
  <si>
    <t>C3CN</t>
  </si>
  <si>
    <t>MB TET N-Butane</t>
  </si>
  <si>
    <t>NC4</t>
  </si>
  <si>
    <t>MB NTET N-Butane</t>
  </si>
  <si>
    <t>NBXT</t>
  </si>
  <si>
    <t>Conway N-Butane</t>
  </si>
  <si>
    <t>NBCN</t>
  </si>
  <si>
    <t>MB TET Iso-Butane</t>
  </si>
  <si>
    <t>IC4</t>
  </si>
  <si>
    <t>MB NTET Iso-Butane</t>
  </si>
  <si>
    <t>IBXT</t>
  </si>
  <si>
    <t>Conway Iso-Butane</t>
  </si>
  <si>
    <t>IBCN</t>
  </si>
  <si>
    <t>MB TET Nat Gasoline</t>
  </si>
  <si>
    <t>C5+</t>
  </si>
  <si>
    <t>MB NTET Nat Gasoline</t>
  </si>
  <si>
    <t>C5XT</t>
  </si>
  <si>
    <t>Conway Nat Gasoline</t>
  </si>
  <si>
    <t>C5CN</t>
  </si>
  <si>
    <t>WTI Crude Oil</t>
  </si>
  <si>
    <t>WTI</t>
  </si>
  <si>
    <t>#6 Oil 1%S New York</t>
  </si>
  <si>
    <t>61NY</t>
  </si>
  <si>
    <t>#6 Oil 2%S New York</t>
  </si>
  <si>
    <t>62NY</t>
  </si>
  <si>
    <t>#6 Oil 1%S Gulf coast</t>
  </si>
  <si>
    <t>61GC</t>
  </si>
  <si>
    <t>#6 Oil 3%S Gulf coast</t>
  </si>
  <si>
    <t>63GC</t>
  </si>
  <si>
    <t>#2 Oil New York</t>
  </si>
  <si>
    <t>NYHO</t>
  </si>
  <si>
    <t>#2 Oil Gulf Coast</t>
  </si>
  <si>
    <t>GCHO</t>
  </si>
  <si>
    <t>Unleaded Gasoline</t>
  </si>
  <si>
    <t>HU</t>
  </si>
  <si>
    <t>Methanol Gulf Coast</t>
  </si>
  <si>
    <t>MEOH</t>
  </si>
  <si>
    <t>MTBE Gulf coast</t>
  </si>
  <si>
    <t>MTBE</t>
  </si>
  <si>
    <t>Omi Vol - LA/Offshore South</t>
  </si>
  <si>
    <t>Omi Vol - HSC/Katy/ETX</t>
  </si>
  <si>
    <t>NG_OMICRON_2</t>
  </si>
  <si>
    <t>Omi Vol - OK/Mid Continent</t>
  </si>
  <si>
    <t>NG_OMICRON_3</t>
  </si>
  <si>
    <t>Omi Vol - Permian/San Juan</t>
  </si>
  <si>
    <t>NG_OMICRON_4</t>
  </si>
  <si>
    <t>Omi Vol - NNG Demrc/Vent</t>
  </si>
  <si>
    <t>NG_OMICRON_5</t>
  </si>
  <si>
    <t>Omi Vol - NE Market Area</t>
  </si>
  <si>
    <t>NG_OMICRON_6</t>
  </si>
  <si>
    <t>Omi Vol - Appalachia</t>
  </si>
  <si>
    <t>Omi Vol - Rocky Mountains</t>
  </si>
  <si>
    <t>NG_OMICRON_8</t>
  </si>
  <si>
    <t>Omi Vol - Alberta/Sumas</t>
  </si>
  <si>
    <t>NG_OMICRON_9</t>
  </si>
  <si>
    <t>Omi Vol - Sithe (ANR/LA)</t>
  </si>
  <si>
    <t>NG_OMICRON_10</t>
  </si>
  <si>
    <t>Canada/US Dollar</t>
  </si>
  <si>
    <t>CAD/USD</t>
  </si>
  <si>
    <t>IF-CNG/NORTH</t>
  </si>
  <si>
    <t xml:space="preserve">DJ BASIN </t>
  </si>
  <si>
    <t>DJ/BASIN/CIG</t>
  </si>
  <si>
    <t>IF NGPL Harper</t>
  </si>
  <si>
    <t>IF-NGPL/HARPER</t>
  </si>
  <si>
    <t>IF NGPL OK NW ( GAGE)</t>
  </si>
  <si>
    <t>IF-NGPL/OK-NW</t>
  </si>
  <si>
    <t>ML7 CITYGATE (CRYSTAL FALLS)</t>
  </si>
  <si>
    <t>ML7/CG</t>
  </si>
  <si>
    <t>IF Texas City Loop</t>
  </si>
  <si>
    <t>IF-TX CITY LOOP</t>
  </si>
  <si>
    <t>Add a new curve via the "Add Curve" button on the "Fetch" sheet.  A dialog with pop-up with a list of valid curves.  Select the desired curve and press the "Next" button on the dialog sheet.  Continue adding curve by specifying the curve code, curve type, and curve description.  You may also specify a format to apply to the display of the new curve, if desired.</t>
  </si>
  <si>
    <t>Only those curves with a "Y" coded in the "Fetch" row on the "Fetch" sheet will be updated during the update process.  The only exception to this is if the desired start date for curves differs from the starting date already in the CurveTbl.  If there is a difference, all curves, except "Trader Quotes", those coded with a "T" in the "Fetch" row, will be overwritten.  This protects the user from rolling off a month at the start of the valuation but forgetting to set all the automatic curves to "Y" for the "Fetch" row, and thus using inaccurate curves.  Since "Trader Quotes" are not fetched, there is no provision to update these except through a manual process.  If the start date changes, and there are existing "Trader Quotes", a verify indicator appears above the "Trader Quote" and it is up to the user to update appropriately.</t>
  </si>
  <si>
    <t>* Use the row labeled "Fetch" to control whether a curve is actually refreshed when the "Update Curves" button is pressed.  For curves that are manually input (ex: trader curves), turn the setting to "N".  For all others that should be updated, leave as "Y".  Code "Trader Quotes" with a "T".  These are never updated, except manually.  See discussion above under "How Do I?".</t>
  </si>
  <si>
    <t>* For proper program operation, it is imperitive that new codes, and types be entered via the "Add Curve/Book Code, Curve Type" button and that the "Code" information entered in the associated window be correct for the particular item being entered.   It is also helpful to enter a meaningful description since this is the information actually displayed via the "Add Curve" button when adding a new curve to the fetch list.</t>
  </si>
  <si>
    <t>Fetch Curves Through</t>
  </si>
  <si>
    <t>Nymex Vol</t>
  </si>
  <si>
    <t>NG_OMICRON_11</t>
  </si>
  <si>
    <t>NG_OMICRON_12</t>
  </si>
  <si>
    <t>IF-WAHA-TX</t>
  </si>
  <si>
    <t>CGLF</t>
  </si>
  <si>
    <t>IF-NNG/VENT Basis Mid</t>
  </si>
  <si>
    <t>IF-NNG/VENT Index Mid</t>
  </si>
  <si>
    <t>IF-NGPLTXOK Basis Mid</t>
  </si>
  <si>
    <t>IF-NGPLTXOK Index Mid</t>
  </si>
  <si>
    <t>IF-TRUNKL/LA Basis Mid</t>
  </si>
  <si>
    <t>IF-TRUNKL/LA Index Mid</t>
  </si>
  <si>
    <t>MICH/CONS Basis Mid</t>
  </si>
  <si>
    <t>MICH/CONS Index Mid</t>
  </si>
  <si>
    <t>IF-WAHA-TX Basis Mid</t>
  </si>
  <si>
    <t>IF-WAHA-TX Index Mid</t>
  </si>
  <si>
    <t>NGI-MALIN Basis Mid</t>
  </si>
  <si>
    <t>NGI-MALIN Index Mid</t>
  </si>
  <si>
    <t>CGPR-KINGSGATE Basis Mid</t>
  </si>
  <si>
    <t>CGPR-KINGSGATE Index Mid</t>
  </si>
  <si>
    <t>IF-COLGUL/RAYNE Basis Mid</t>
  </si>
  <si>
    <t>IF-COLGUL/RAYNE Index Mid</t>
  </si>
  <si>
    <t>IF-CGT/APPALAC Basis Mid</t>
  </si>
  <si>
    <t>IF-CGT/APPALAC Index Mid</t>
  </si>
  <si>
    <t>IF-COLGULF/LA Basis Mid</t>
  </si>
  <si>
    <t>IF-COLGULF/LA Index Mid</t>
  </si>
  <si>
    <t>IF-HEHUB Basis Mid</t>
  </si>
  <si>
    <t>IF-HEHUB Index Mid</t>
  </si>
  <si>
    <t>NBPL</t>
  </si>
  <si>
    <t>IF-NNG/Vent Index Mid</t>
  </si>
  <si>
    <t>Grabthis</t>
  </si>
  <si>
    <t>B1</t>
  </si>
  <si>
    <t>Consumers</t>
  </si>
  <si>
    <t>O:\Transport\TransportY2K\Correlation Mids.xls</t>
  </si>
  <si>
    <t>IF-COLGULF/RAYNE</t>
  </si>
  <si>
    <t>ELPO/SJ</t>
  </si>
  <si>
    <t>Stanfield</t>
  </si>
  <si>
    <t>IF-NWPL_ROCKY_M Basis Mid</t>
  </si>
  <si>
    <t>IF-NWPL_ROCKY_M Index Mid</t>
  </si>
  <si>
    <t>Topock</t>
  </si>
  <si>
    <t>NGI-PGE/CG Basis Mid</t>
  </si>
  <si>
    <t>NGI-PGE/CG Index Mid</t>
  </si>
  <si>
    <t>Onshore</t>
  </si>
  <si>
    <t>Rayne</t>
  </si>
  <si>
    <t>Days From Yesterday</t>
  </si>
  <si>
    <t>Delta Value</t>
  </si>
  <si>
    <t>Gamma Value</t>
  </si>
  <si>
    <t>Theta Value</t>
  </si>
  <si>
    <t>Vega Value</t>
  </si>
  <si>
    <t>Rho Value</t>
  </si>
  <si>
    <t>Drift Value</t>
  </si>
  <si>
    <t>LongTerm</t>
  </si>
  <si>
    <t>LONGTERMPLREPORT</t>
  </si>
  <si>
    <t>LONGTERMPLREPORTTEMPLATE</t>
  </si>
  <si>
    <t>LongTermPLReport</t>
  </si>
  <si>
    <t>Region List</t>
  </si>
  <si>
    <t>Include in P&amp;L (Y/N)</t>
  </si>
  <si>
    <t>P&amp;L Group</t>
  </si>
  <si>
    <t>Region List and P&amp;L Rpt Configuration</t>
  </si>
  <si>
    <t>Price</t>
  </si>
  <si>
    <t>R / D Basis</t>
  </si>
  <si>
    <t>R / D Value</t>
  </si>
  <si>
    <t>Fuel</t>
  </si>
  <si>
    <t>R / D Index</t>
  </si>
  <si>
    <t>Var Charges</t>
  </si>
  <si>
    <t>Fuel Cost</t>
  </si>
  <si>
    <t>Change in Price</t>
  </si>
  <si>
    <t>Change in Basis</t>
  </si>
  <si>
    <t>Change in Index</t>
  </si>
  <si>
    <t>Change in Fuel</t>
  </si>
  <si>
    <t>Change in Var Charges</t>
  </si>
  <si>
    <t>NW STANF/1ST-GD</t>
  </si>
  <si>
    <t>NW STANF/1ST-GD Basis Mid</t>
  </si>
  <si>
    <t>NW STANF/1ST-GD Index Mid</t>
  </si>
  <si>
    <t>SJ to Valero</t>
  </si>
  <si>
    <t>Basis A</t>
  </si>
  <si>
    <t>Basis B</t>
  </si>
  <si>
    <t>PRICE</t>
  </si>
  <si>
    <t>SAN JUAN</t>
  </si>
  <si>
    <t>WAHA</t>
  </si>
  <si>
    <t>ADJUSTED DELTA POSITIONS</t>
  </si>
  <si>
    <t>BASIS HEDGES</t>
  </si>
  <si>
    <t>DELTA POSITONS + HEDGES</t>
  </si>
  <si>
    <t>TOTALS</t>
  </si>
  <si>
    <t>IF-TRANSCO/Z3 Basis Mid</t>
  </si>
  <si>
    <t>IF-TRANSCO/Z6 Basis Mid</t>
  </si>
  <si>
    <t>IF-TRANSCO/Z3 Index Mid</t>
  </si>
  <si>
    <t>IF-TRANSCO/Z6 Index Mid</t>
  </si>
  <si>
    <t>West/Holst</t>
  </si>
  <si>
    <t>West/Allen</t>
  </si>
  <si>
    <t>WEST/ALLEN REGION</t>
  </si>
  <si>
    <t>WEST/HOLST REGION</t>
  </si>
  <si>
    <t>Monthly PV'ed Intrinsic Value</t>
  </si>
  <si>
    <t>Monthly PV'ed Extrinsic (Time) Value</t>
  </si>
  <si>
    <t>Monthly Daily Opt Price</t>
  </si>
  <si>
    <t>Delta P/L</t>
  </si>
  <si>
    <t>Current</t>
  </si>
  <si>
    <t>Prior</t>
  </si>
  <si>
    <t>Basis</t>
  </si>
  <si>
    <t>Index</t>
  </si>
  <si>
    <t>Receipt (Fuel Adjusted)</t>
  </si>
  <si>
    <t>ELPO/SJ to Valero</t>
  </si>
  <si>
    <t>Kingsgate to Malin</t>
  </si>
  <si>
    <t>Number</t>
  </si>
  <si>
    <t>Pipe</t>
  </si>
  <si>
    <t>Location</t>
  </si>
  <si>
    <t>Intrinsic Value</t>
  </si>
  <si>
    <t>Extrinsic Value</t>
  </si>
  <si>
    <t>Intrinsic</t>
  </si>
  <si>
    <t>Extrinsic</t>
  </si>
  <si>
    <t>Price Change</t>
  </si>
  <si>
    <t>Basis Change</t>
  </si>
  <si>
    <t>Index Change</t>
  </si>
  <si>
    <t>Fuel Change</t>
  </si>
  <si>
    <t>Variable Change</t>
  </si>
  <si>
    <t>PV Monthly Fuel Vol</t>
  </si>
  <si>
    <t>Position Export File</t>
  </si>
  <si>
    <t>O:\Transport\Position.TXT</t>
  </si>
  <si>
    <t>SJ/Permian</t>
  </si>
  <si>
    <t>Socal</t>
  </si>
  <si>
    <t>Total Intrinsic</t>
  </si>
  <si>
    <t>Total Extrinsic</t>
  </si>
  <si>
    <t>Total MMBtus</t>
  </si>
  <si>
    <t>Extrinsic $/MMBtu</t>
  </si>
  <si>
    <t>Avg Correlation</t>
  </si>
  <si>
    <t>Deal # 1</t>
  </si>
  <si>
    <t>Vent</t>
  </si>
  <si>
    <t>Deal # 2</t>
  </si>
  <si>
    <t>Deal # 25</t>
  </si>
  <si>
    <t>Deal # 26</t>
  </si>
  <si>
    <t>Chic</t>
  </si>
  <si>
    <t>From Model</t>
  </si>
  <si>
    <t>Hedges</t>
  </si>
  <si>
    <t>Denver</t>
  </si>
  <si>
    <t>WY/Wellhead</t>
  </si>
  <si>
    <t>WY/MktZone</t>
  </si>
  <si>
    <t>WY/Wellhead Basis Mid</t>
  </si>
  <si>
    <t>Wy/Wellhead Index Mid</t>
  </si>
  <si>
    <t>Wy/MktZone Index Mid</t>
  </si>
  <si>
    <t>WY/MktZone Basis Mid</t>
  </si>
  <si>
    <t>WY/WELLHEAD</t>
  </si>
  <si>
    <t>WY/MKTZONE</t>
  </si>
  <si>
    <t>Theretical Net Position (Theretical Delta + Hedges)</t>
  </si>
  <si>
    <t>IF-FGT/MKT</t>
  </si>
  <si>
    <t>IF-FGT/MKT Basis Mid</t>
  </si>
  <si>
    <t>IF-FGT/MKT Index Mid</t>
  </si>
  <si>
    <t>IF-FGT/Z1 Basis Mid</t>
  </si>
  <si>
    <t>IF-FGT/Z1 Index Mid</t>
  </si>
  <si>
    <t>IF-FGT/Z2 Basis Mid</t>
  </si>
  <si>
    <t>IF-FGT/Z2 Index Mid</t>
  </si>
  <si>
    <t>IF-FGT/Z3 Basis Mid</t>
  </si>
  <si>
    <t>IF-FGT/Z3 Index Mid</t>
  </si>
  <si>
    <t>FGT</t>
  </si>
  <si>
    <t>FGT/MKT</t>
  </si>
  <si>
    <t>FGT/Zone 1</t>
  </si>
  <si>
    <t>FGT/Zone 2</t>
  </si>
  <si>
    <t>FGT/Zone 3</t>
  </si>
  <si>
    <t>Entered 11/2</t>
  </si>
  <si>
    <t>FGTZ</t>
  </si>
  <si>
    <t>Jan, Feb, Mar, Apr, Oct, Nov, Dec</t>
  </si>
  <si>
    <t>May, Jun, Jul, Aug, Sep</t>
  </si>
  <si>
    <t>NG_OMICRON_15</t>
  </si>
  <si>
    <t>PGE</t>
  </si>
  <si>
    <t>PGE/Topock</t>
  </si>
  <si>
    <t>PGE City Gate</t>
  </si>
  <si>
    <t>Kern River Station</t>
  </si>
  <si>
    <t>PGE City</t>
  </si>
  <si>
    <t>Kern</t>
  </si>
  <si>
    <t>Entered 12/12</t>
  </si>
  <si>
    <t>NGI-SOCAL(KRS) Basis Mid</t>
  </si>
  <si>
    <t>NGI-SOCAL(KRS) Index Mid</t>
  </si>
  <si>
    <t>NGI-SOCAL(KRS)</t>
  </si>
  <si>
    <t>MidCon</t>
  </si>
  <si>
    <t>IF-NGPL/MIDCON Basis Mid</t>
  </si>
  <si>
    <t>IF-NGPL/MIDCON Index Mid</t>
  </si>
  <si>
    <t>MIDCON</t>
  </si>
  <si>
    <t>Show Value On:</t>
  </si>
  <si>
    <t>Average Correlation</t>
  </si>
  <si>
    <t>Trader</t>
  </si>
  <si>
    <t>CENTRAL</t>
  </si>
  <si>
    <t>NB</t>
  </si>
  <si>
    <t>Cuilla</t>
  </si>
  <si>
    <t>9,300-15,000</t>
  </si>
  <si>
    <t>ANR</t>
  </si>
  <si>
    <t>Midcon</t>
  </si>
  <si>
    <t>WEST</t>
  </si>
  <si>
    <t>Holst</t>
  </si>
  <si>
    <t>Allen</t>
  </si>
  <si>
    <t>CityGate</t>
  </si>
  <si>
    <t>EAST</t>
  </si>
  <si>
    <t>Keavey</t>
  </si>
  <si>
    <t>FGT Field</t>
  </si>
  <si>
    <t>FGT Market</t>
  </si>
  <si>
    <t>ALL REGIONS TOTAL EXTRINSIC</t>
  </si>
  <si>
    <t>IF-TENN/TX Basis Mid</t>
  </si>
  <si>
    <t>IF-TENN/TX Index Mid</t>
  </si>
  <si>
    <t>PORTLAND Basis Mid</t>
  </si>
  <si>
    <t>PORTLAND Index Mid</t>
  </si>
  <si>
    <t>PORTLAND</t>
  </si>
  <si>
    <t>Parkway</t>
  </si>
  <si>
    <t>Niagara</t>
  </si>
  <si>
    <t>CGPR-PARKWAY Basis Mid</t>
  </si>
  <si>
    <t>CGPR-NIAGARA Basis Mid</t>
  </si>
  <si>
    <t>CGPR-PARKWAY Index Mid</t>
  </si>
  <si>
    <t>CGPR-NIAGARA Index Mid</t>
  </si>
  <si>
    <t>Ontario</t>
  </si>
  <si>
    <t>St Clair</t>
  </si>
  <si>
    <t>CGPR-ST.CLAIR Basis Mid</t>
  </si>
  <si>
    <t>CGPR-ST.CLAIR Index Mid</t>
  </si>
  <si>
    <t>CGPR-CHIPPAWA Basis Mid</t>
  </si>
  <si>
    <t>CGPR-CHIPPAWA Index Mid</t>
  </si>
  <si>
    <t>Farwell</t>
  </si>
  <si>
    <t>CGPR-FARWELL Basis Mid</t>
  </si>
  <si>
    <t>CGPR-FARWELL Index Mid</t>
  </si>
  <si>
    <t>ONTARIO REGION</t>
  </si>
  <si>
    <t>CGPR-PARKWAY</t>
  </si>
  <si>
    <t>CGPR-CHIPPAWA</t>
  </si>
  <si>
    <t>CGPR-ST.CLAIR</t>
  </si>
  <si>
    <t>CGPR-FARWELL</t>
  </si>
  <si>
    <t>Niag</t>
  </si>
  <si>
    <t>Park</t>
  </si>
  <si>
    <t>Niagara/Parkway</t>
  </si>
  <si>
    <t>Permian</t>
  </si>
  <si>
    <t>IF-ELPO/PERMIAN Basis Mid</t>
  </si>
  <si>
    <t>IF-ELPO/PERMIAN Index Mid</t>
  </si>
  <si>
    <t>Entered 2/13</t>
  </si>
  <si>
    <t>Entered 2/14</t>
  </si>
  <si>
    <t>Oct</t>
  </si>
  <si>
    <t>Nov, Dec, Jan, Feb, Mar</t>
  </si>
  <si>
    <t>Apr</t>
  </si>
  <si>
    <t>Entered 2/15/01</t>
  </si>
  <si>
    <t>ELPO/PERM</t>
  </si>
  <si>
    <t>NGPL/MIDCON</t>
  </si>
  <si>
    <t>Perm</t>
  </si>
  <si>
    <t>NGI-MOJAVE Basis Mid</t>
  </si>
  <si>
    <t>NGI-MOJAVE Index Mid</t>
  </si>
  <si>
    <t>NGI-MOJAVE</t>
  </si>
  <si>
    <t>CHI./N/BORDER</t>
  </si>
  <si>
    <t>CHI./N/BORDER Basis Mid</t>
  </si>
  <si>
    <t>CHI./N/BORDER Index Mid</t>
  </si>
  <si>
    <t>Apr,May,Jun,Jul,Aug,Sep,Oct,Dec</t>
  </si>
  <si>
    <t>Nov</t>
  </si>
  <si>
    <t>Entered 04/10</t>
  </si>
  <si>
    <t>NWPL Rockies</t>
  </si>
  <si>
    <t>Demand Rates</t>
  </si>
  <si>
    <t>Reservation</t>
  </si>
  <si>
    <t>Variable GRI Table</t>
  </si>
  <si>
    <t>Year</t>
  </si>
  <si>
    <t>Rate</t>
  </si>
  <si>
    <t>(See LongTerm84 Sheet)</t>
  </si>
  <si>
    <t>(See LongTerm87 Sheet)</t>
  </si>
  <si>
    <t>(See LongTerm86 Sheet)</t>
  </si>
  <si>
    <t>(See LongTerm85 Sheet)</t>
  </si>
  <si>
    <t>all</t>
  </si>
  <si>
    <t>IF-TRANSCO/Z1 Basis Mid</t>
  </si>
  <si>
    <t>IF-TRANSCO/Z1 Index Mid</t>
  </si>
  <si>
    <t>NG_OMICRON_13</t>
  </si>
  <si>
    <t>Entered 4/27</t>
  </si>
  <si>
    <t>IF-TRANSCO/Z2 Basis Mid</t>
  </si>
  <si>
    <t>IF-TRANSCO/Z2 Index Mid</t>
  </si>
  <si>
    <t>NGI-SOBDR-PG&amp;E Basis Mid</t>
  </si>
  <si>
    <t>NGI-SOBDR-PG&amp;E Index Mid</t>
  </si>
  <si>
    <t>NGI-SOBDR-PG&amp;E</t>
  </si>
  <si>
    <t>9E3X</t>
  </si>
  <si>
    <t>0202BON007</t>
  </si>
  <si>
    <t>0202BOF016</t>
  </si>
  <si>
    <t>0202BON009</t>
  </si>
  <si>
    <t>KERN</t>
  </si>
  <si>
    <t>RiskTrac Export</t>
  </si>
  <si>
    <t>Trade #</t>
  </si>
  <si>
    <t>CPID</t>
  </si>
  <si>
    <t>Price Book</t>
  </si>
  <si>
    <t>Basis Book</t>
  </si>
  <si>
    <t>TRANS-WEST-PRC</t>
  </si>
  <si>
    <t>TRANS-WEST-BAS</t>
  </si>
  <si>
    <t>TRANS-EAST-PRC</t>
  </si>
  <si>
    <t>TRANS-EAST-BAS</t>
  </si>
  <si>
    <t>TRANS-CENT-PRC</t>
  </si>
  <si>
    <t>TRANS-CENT-BAS</t>
  </si>
  <si>
    <t>O:\Transport\Transport.TXT</t>
  </si>
  <si>
    <t>TOTAL</t>
  </si>
  <si>
    <t>Deal # 62</t>
  </si>
  <si>
    <t>Nov,Dec,Jan,Feb,Mar</t>
  </si>
  <si>
    <t>Deal # 72</t>
  </si>
  <si>
    <t>West/Grigsby</t>
  </si>
  <si>
    <t>West/Ermis</t>
  </si>
  <si>
    <t>WEST/GRIGSBY REGION</t>
  </si>
  <si>
    <t>Notional Positions</t>
  </si>
  <si>
    <t>Delta Positions</t>
  </si>
  <si>
    <t>Citygate</t>
  </si>
  <si>
    <t>LT-TRANS-WE-PRC</t>
  </si>
  <si>
    <t>LT-TRANS-WE-BAS</t>
  </si>
  <si>
    <t>Tetco/ETX</t>
  </si>
  <si>
    <t>CNG/Appalach</t>
  </si>
  <si>
    <t>Dec,Jan,Feb,Mar</t>
  </si>
  <si>
    <t>IF-TETCO/ETX Basis Mid</t>
  </si>
  <si>
    <t>IF-TETCO/ETX Index Mid</t>
  </si>
  <si>
    <t>Entered 10/17/01</t>
  </si>
  <si>
    <t>Tetco/ELA</t>
  </si>
  <si>
    <t>IF-TETCO/ELA Basis Mid</t>
  </si>
  <si>
    <t>IF-TETCO/ELA Index Mid</t>
  </si>
  <si>
    <t>Tetco/WLA</t>
  </si>
  <si>
    <t>IF-TETCO/WLA Basis Mid</t>
  </si>
  <si>
    <t>IF-TETCO/WLA Index Mid</t>
  </si>
  <si>
    <t>Tetco/STX</t>
  </si>
  <si>
    <t>Tetco/M3</t>
  </si>
  <si>
    <t>IF-TETCO/STX Basis Mid</t>
  </si>
  <si>
    <t>IF-TETCO/STX Index Mid</t>
  </si>
  <si>
    <t>IF-TETCO/M3 Basis Mid</t>
  </si>
  <si>
    <t>IF-TETCO/M3 Index Mid</t>
  </si>
  <si>
    <t>Tetco ETX</t>
  </si>
  <si>
    <t xml:space="preserve"> ELA</t>
  </si>
  <si>
    <t>IF-CNG/APPALACH Basis Mid</t>
  </si>
  <si>
    <t>IF-CNG/APPALACH Index Mid</t>
  </si>
  <si>
    <t>Entered 10/26/01</t>
  </si>
  <si>
    <t>Harper</t>
  </si>
  <si>
    <t>IF-HARPER Basis Mid</t>
  </si>
  <si>
    <t>IF-HARPER Index Mid</t>
  </si>
  <si>
    <t>IF-HARPER</t>
  </si>
  <si>
    <t>Deal 107</t>
  </si>
  <si>
    <t>Deal 108</t>
  </si>
  <si>
    <t xml:space="preserve">Harper </t>
  </si>
  <si>
    <t>West/ERMIS</t>
  </si>
  <si>
    <t>WEST/ERMIS REGION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</si>
</sst>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6" formatCode="&quot;$&quot;#,##0_);[Red]\(&quot;$&quot;#,##0\)"/>
    <numFmt numFmtId="164" formatCode="&quot;$&quot;#,##0;\-&quot;$&quot;#,##0"/>
    <numFmt numFmtId="165" formatCode="&quot;$&quot;#,##0;[Red]\-&quot;$&quot;#,##0"/>
    <numFmt numFmtId="167" formatCode="&quot;$&quot;#,##0.00;[Red]\-&quot;$&quot;#,##0.00"/>
    <numFmt numFmtId="171" formatCode="_-* #,##0.00_-;\-* #,##0.00_-;_-* &quot;-&quot;??_-;_-@_-"/>
    <numFmt numFmtId="172" formatCode="#,##0_ ;[Red]\-#,##0\ "/>
    <numFmt numFmtId="173" formatCode="&quot;$&quot;#,##0.0000;[Red]\-&quot;$&quot;#,##0.0000"/>
    <numFmt numFmtId="174" formatCode="0.0000%"/>
    <numFmt numFmtId="175" formatCode="&quot;$&quot;#,##0.00"/>
    <numFmt numFmtId="176" formatCode="&quot;$&quot;#,##0.0000"/>
    <numFmt numFmtId="177" formatCode="0.00000"/>
    <numFmt numFmtId="178" formatCode="#,##0.0000"/>
    <numFmt numFmtId="179" formatCode="_(* #,##0_);_(* \(#,##0\);_(* &quot;-&quot;??_);_(@_)"/>
    <numFmt numFmtId="180" formatCode="0.0"/>
    <numFmt numFmtId="181" formatCode="&quot;$&quot;#,##0.000"/>
    <numFmt numFmtId="182" formatCode="&quot;$&quot;#,##0.0000_);\(&quot;$&quot;#,##0.0000\)"/>
    <numFmt numFmtId="183" formatCode="&quot;$&quot;#,##0"/>
    <numFmt numFmtId="184" formatCode="#,##0.0_);[Red]\(#,##0.0\)"/>
    <numFmt numFmtId="185" formatCode="&quot;$&quot;#,##0.000;[Red]\-&quot;$&quot;#,##0.000"/>
    <numFmt numFmtId="186" formatCode="0.0_ ;[Red]\-0.0\ "/>
    <numFmt numFmtId="187" formatCode="&quot;$&quot;\ #,##0;\(&quot;$&quot;\ #,##0\)"/>
    <numFmt numFmtId="188" formatCode="&quot;$&quot;#,##0.00000;[Red]\-&quot;$&quot;#,##0.00000"/>
    <numFmt numFmtId="192" formatCode="_-* #,##0.0_-;\-* #,##0.0_-;_-* &quot;-&quot;??_-;_-@_-"/>
    <numFmt numFmtId="193" formatCode="_-* #,##0_-;\-* #,##0_-;_-* &quot;-&quot;??_-;_-@_-"/>
  </numFmts>
  <fonts count="42" x14ac:knownFonts="1">
    <font>
      <sz val="10"/>
      <name val="Arial"/>
    </font>
    <font>
      <sz val="10"/>
      <name val="Arial"/>
    </font>
    <font>
      <b/>
      <sz val="10"/>
      <name val="Arial"/>
      <family val="2"/>
    </font>
    <font>
      <b/>
      <sz val="12"/>
      <color indexed="12"/>
      <name val="Arial"/>
      <family val="2"/>
    </font>
    <font>
      <sz val="10"/>
      <color indexed="12"/>
      <name val="Arial"/>
      <family val="2"/>
    </font>
    <font>
      <b/>
      <sz val="10"/>
      <color indexed="63"/>
      <name val="Arial"/>
      <family val="2"/>
    </font>
    <font>
      <b/>
      <sz val="18"/>
      <name val="Arial"/>
      <family val="2"/>
    </font>
    <font>
      <sz val="12"/>
      <color indexed="12"/>
      <name val="Arial"/>
      <family val="2"/>
    </font>
    <font>
      <b/>
      <sz val="12"/>
      <name val="Arial"/>
      <family val="2"/>
    </font>
    <font>
      <b/>
      <sz val="18"/>
      <color indexed="9"/>
      <name val="Arial"/>
      <family val="2"/>
    </font>
    <font>
      <sz val="8"/>
      <color indexed="81"/>
      <name val="Tahoma"/>
    </font>
    <font>
      <b/>
      <sz val="10"/>
      <color indexed="9"/>
      <name val="Arial"/>
      <family val="2"/>
    </font>
    <font>
      <b/>
      <sz val="10"/>
      <color indexed="55"/>
      <name val="Arial"/>
      <family val="2"/>
    </font>
    <font>
      <sz val="10"/>
      <color indexed="55"/>
      <name val="Arial"/>
      <family val="2"/>
    </font>
    <font>
      <sz val="8"/>
      <color indexed="81"/>
      <name val="Tahoma"/>
      <family val="2"/>
    </font>
    <font>
      <b/>
      <sz val="10"/>
      <color indexed="8"/>
      <name val="Arial"/>
      <family val="2"/>
    </font>
    <font>
      <sz val="11"/>
      <name val="Arial"/>
    </font>
    <font>
      <sz val="10"/>
      <color indexed="8"/>
      <name val="Arial"/>
      <family val="2"/>
    </font>
    <font>
      <b/>
      <sz val="10"/>
      <color indexed="10"/>
      <name val="Arial"/>
      <family val="2"/>
    </font>
    <font>
      <b/>
      <sz val="10"/>
      <color indexed="23"/>
      <name val="Arial"/>
      <family val="2"/>
    </font>
    <font>
      <sz val="10"/>
      <color indexed="23"/>
      <name val="Arial"/>
      <family val="2"/>
    </font>
    <font>
      <sz val="10"/>
      <color indexed="63"/>
      <name val="Arial"/>
      <family val="2"/>
    </font>
    <font>
      <b/>
      <sz val="10"/>
      <color indexed="13"/>
      <name val="Arial"/>
      <family val="2"/>
    </font>
    <font>
      <b/>
      <sz val="12"/>
      <color indexed="23"/>
      <name val="Arial"/>
      <family val="2"/>
    </font>
    <font>
      <b/>
      <sz val="12"/>
      <color indexed="17"/>
      <name val="Arial"/>
      <family val="2"/>
    </font>
    <font>
      <b/>
      <i/>
      <sz val="10"/>
      <color indexed="17"/>
      <name val="Arial"/>
      <family val="2"/>
    </font>
    <font>
      <sz val="12"/>
      <name val="Arial"/>
      <family val="2"/>
    </font>
    <font>
      <i/>
      <sz val="12"/>
      <name val="Arial"/>
      <family val="2"/>
    </font>
    <font>
      <sz val="10"/>
      <color indexed="22"/>
      <name val="Arial"/>
      <family val="2"/>
    </font>
    <font>
      <sz val="10"/>
      <name val="Arial"/>
      <family val="2"/>
    </font>
    <font>
      <b/>
      <i/>
      <sz val="14"/>
      <name val="Arial"/>
      <family val="2"/>
    </font>
    <font>
      <b/>
      <sz val="20"/>
      <color indexed="12"/>
      <name val="Arial"/>
      <family val="2"/>
    </font>
    <font>
      <b/>
      <sz val="10"/>
      <color indexed="22"/>
      <name val="Arial"/>
      <family val="2"/>
    </font>
    <font>
      <b/>
      <sz val="10"/>
      <color indexed="17"/>
      <name val="Arial"/>
      <family val="2"/>
    </font>
    <font>
      <b/>
      <sz val="10"/>
      <color indexed="12"/>
      <name val="Arial"/>
      <family val="2"/>
    </font>
    <font>
      <sz val="9"/>
      <name val="Times New Roman"/>
      <family val="1"/>
    </font>
    <font>
      <b/>
      <sz val="8"/>
      <name val="Arial"/>
      <family val="2"/>
    </font>
    <font>
      <sz val="8"/>
      <name val="Arial"/>
      <family val="2"/>
    </font>
    <font>
      <sz val="10"/>
      <name val="Times New Roman"/>
      <family val="1"/>
    </font>
    <font>
      <b/>
      <sz val="10"/>
      <name val="Times New Roman"/>
      <family val="1"/>
    </font>
    <font>
      <sz val="10"/>
      <name val="Arial"/>
    </font>
    <font>
      <sz val="10"/>
      <color indexed="12"/>
      <name val="Times New Roman"/>
      <family val="1"/>
    </font>
  </fonts>
  <fills count="18">
    <fill>
      <patternFill patternType="none"/>
    </fill>
    <fill>
      <patternFill patternType="gray125"/>
    </fill>
    <fill>
      <patternFill patternType="solid">
        <fgColor indexed="9"/>
        <bgColor indexed="64"/>
      </patternFill>
    </fill>
    <fill>
      <patternFill patternType="solid">
        <fgColor indexed="27"/>
        <bgColor indexed="64"/>
      </patternFill>
    </fill>
    <fill>
      <patternFill patternType="solid">
        <fgColor indexed="24"/>
        <bgColor indexed="64"/>
      </patternFill>
    </fill>
    <fill>
      <patternFill patternType="solid">
        <fgColor indexed="23"/>
        <bgColor indexed="64"/>
      </patternFill>
    </fill>
    <fill>
      <patternFill patternType="solid">
        <fgColor indexed="33"/>
        <bgColor indexed="64"/>
      </patternFill>
    </fill>
    <fill>
      <patternFill patternType="solid">
        <fgColor indexed="43"/>
        <bgColor indexed="64"/>
      </patternFill>
    </fill>
    <fill>
      <patternFill patternType="solid">
        <fgColor indexed="26"/>
        <bgColor indexed="64"/>
      </patternFill>
    </fill>
    <fill>
      <patternFill patternType="solid">
        <fgColor indexed="22"/>
        <bgColor indexed="64"/>
      </patternFill>
    </fill>
    <fill>
      <patternFill patternType="solid">
        <fgColor indexed="42"/>
        <bgColor indexed="64"/>
      </patternFill>
    </fill>
    <fill>
      <patternFill patternType="solid">
        <fgColor indexed="31"/>
        <bgColor indexed="64"/>
      </patternFill>
    </fill>
    <fill>
      <patternFill patternType="solid">
        <fgColor indexed="13"/>
        <bgColor indexed="64"/>
      </patternFill>
    </fill>
    <fill>
      <patternFill patternType="solid">
        <fgColor indexed="55"/>
        <bgColor indexed="64"/>
      </patternFill>
    </fill>
    <fill>
      <patternFill patternType="solid">
        <fgColor indexed="41"/>
        <bgColor indexed="64"/>
      </patternFill>
    </fill>
    <fill>
      <patternFill patternType="solid">
        <fgColor indexed="47"/>
        <bgColor indexed="64"/>
      </patternFill>
    </fill>
    <fill>
      <patternFill patternType="solid">
        <fgColor indexed="35"/>
        <bgColor indexed="64"/>
      </patternFill>
    </fill>
    <fill>
      <patternFill patternType="solid">
        <fgColor indexed="48"/>
        <bgColor indexed="64"/>
      </patternFill>
    </fill>
  </fills>
  <borders count="175">
    <border>
      <left/>
      <right/>
      <top/>
      <bottom/>
      <diagonal/>
    </border>
    <border>
      <left style="thin">
        <color indexed="64"/>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diagonal/>
    </border>
    <border>
      <left style="medium">
        <color indexed="64"/>
      </left>
      <right style="thin">
        <color indexed="64"/>
      </right>
      <top style="dotted">
        <color indexed="64"/>
      </top>
      <bottom style="dotted">
        <color indexed="64"/>
      </bottom>
      <diagonal/>
    </border>
    <border>
      <left style="medium">
        <color indexed="64"/>
      </left>
      <right style="thin">
        <color indexed="64"/>
      </right>
      <top/>
      <bottom style="dotted">
        <color indexed="64"/>
      </bottom>
      <diagonal/>
    </border>
    <border>
      <left style="thin">
        <color indexed="64"/>
      </left>
      <right style="thin">
        <color indexed="64"/>
      </right>
      <top/>
      <bottom style="dotted">
        <color indexed="64"/>
      </bottom>
      <diagonal/>
    </border>
    <border>
      <left style="medium">
        <color indexed="64"/>
      </left>
      <right style="thin">
        <color indexed="64"/>
      </right>
      <top style="medium">
        <color indexed="64"/>
      </top>
      <bottom style="dotted">
        <color indexed="64"/>
      </bottom>
      <diagonal/>
    </border>
    <border>
      <left style="medium">
        <color indexed="64"/>
      </left>
      <right style="hair">
        <color indexed="64"/>
      </right>
      <top style="thin">
        <color indexed="64"/>
      </top>
      <bottom style="thin">
        <color indexed="64"/>
      </bottom>
      <diagonal/>
    </border>
    <border>
      <left style="thin">
        <color indexed="64"/>
      </left>
      <right style="thin">
        <color indexed="64"/>
      </right>
      <top style="medium">
        <color indexed="64"/>
      </top>
      <bottom style="dotted">
        <color indexed="64"/>
      </bottom>
      <diagonal/>
    </border>
    <border>
      <left/>
      <right style="thick">
        <color indexed="64"/>
      </right>
      <top style="medium">
        <color indexed="64"/>
      </top>
      <bottom style="thin">
        <color indexed="64"/>
      </bottom>
      <diagonal/>
    </border>
    <border>
      <left/>
      <right style="thick">
        <color indexed="64"/>
      </right>
      <top/>
      <bottom/>
      <diagonal/>
    </border>
    <border>
      <left/>
      <right style="thick">
        <color indexed="64"/>
      </right>
      <top style="dotted">
        <color indexed="64"/>
      </top>
      <bottom style="dotted">
        <color indexed="64"/>
      </bottom>
      <diagonal/>
    </border>
    <border>
      <left style="thin">
        <color indexed="64"/>
      </left>
      <right style="thin">
        <color indexed="64"/>
      </right>
      <top style="dotted">
        <color indexed="64"/>
      </top>
      <bottom style="dotted">
        <color indexed="64"/>
      </bottom>
      <diagonal/>
    </border>
    <border>
      <left/>
      <right/>
      <top/>
      <bottom style="dotted">
        <color indexed="64"/>
      </bottom>
      <diagonal/>
    </border>
    <border>
      <left style="thick">
        <color indexed="64"/>
      </left>
      <right style="medium">
        <color indexed="64"/>
      </right>
      <top style="thick">
        <color indexed="64"/>
      </top>
      <bottom style="medium">
        <color indexed="64"/>
      </bottom>
      <diagonal/>
    </border>
    <border>
      <left style="thin">
        <color indexed="64"/>
      </left>
      <right style="thin">
        <color indexed="64"/>
      </right>
      <top style="thin">
        <color indexed="64"/>
      </top>
      <bottom style="dotted">
        <color indexed="64"/>
      </bottom>
      <diagonal/>
    </border>
    <border>
      <left/>
      <right style="thick">
        <color indexed="64"/>
      </right>
      <top style="thin">
        <color indexed="64"/>
      </top>
      <bottom style="dotted">
        <color indexed="64"/>
      </bottom>
      <diagonal/>
    </border>
    <border>
      <left style="medium">
        <color indexed="64"/>
      </left>
      <right/>
      <top/>
      <bottom style="medium">
        <color indexed="64"/>
      </bottom>
      <diagonal/>
    </border>
    <border>
      <left style="medium">
        <color indexed="23"/>
      </left>
      <right style="hair">
        <color indexed="23"/>
      </right>
      <top style="hair">
        <color indexed="23"/>
      </top>
      <bottom style="hair">
        <color indexed="23"/>
      </bottom>
      <diagonal/>
    </border>
    <border>
      <left style="hair">
        <color indexed="23"/>
      </left>
      <right style="hair">
        <color indexed="23"/>
      </right>
      <top style="hair">
        <color indexed="23"/>
      </top>
      <bottom style="hair">
        <color indexed="23"/>
      </bottom>
      <diagonal/>
    </border>
    <border>
      <left style="hair">
        <color indexed="23"/>
      </left>
      <right style="medium">
        <color indexed="23"/>
      </right>
      <top style="hair">
        <color indexed="23"/>
      </top>
      <bottom style="hair">
        <color indexed="23"/>
      </bottom>
      <diagonal/>
    </border>
    <border>
      <left style="medium">
        <color indexed="23"/>
      </left>
      <right style="hair">
        <color indexed="23"/>
      </right>
      <top style="hair">
        <color indexed="23"/>
      </top>
      <bottom style="medium">
        <color indexed="23"/>
      </bottom>
      <diagonal/>
    </border>
    <border>
      <left style="hair">
        <color indexed="23"/>
      </left>
      <right style="hair">
        <color indexed="23"/>
      </right>
      <top style="hair">
        <color indexed="23"/>
      </top>
      <bottom style="medium">
        <color indexed="23"/>
      </bottom>
      <diagonal/>
    </border>
    <border>
      <left style="hair">
        <color indexed="23"/>
      </left>
      <right style="medium">
        <color indexed="23"/>
      </right>
      <top style="hair">
        <color indexed="23"/>
      </top>
      <bottom style="medium">
        <color indexed="23"/>
      </bottom>
      <diagonal/>
    </border>
    <border>
      <left style="medium">
        <color indexed="23"/>
      </left>
      <right style="hair">
        <color indexed="23"/>
      </right>
      <top/>
      <bottom style="hair">
        <color indexed="23"/>
      </bottom>
      <diagonal/>
    </border>
    <border>
      <left style="hair">
        <color indexed="23"/>
      </left>
      <right style="hair">
        <color indexed="23"/>
      </right>
      <top/>
      <bottom style="hair">
        <color indexed="23"/>
      </bottom>
      <diagonal/>
    </border>
    <border>
      <left style="hair">
        <color indexed="23"/>
      </left>
      <right style="medium">
        <color indexed="23"/>
      </right>
      <top/>
      <bottom style="hair">
        <color indexed="23"/>
      </bottom>
      <diagonal/>
    </border>
    <border>
      <left style="medium">
        <color indexed="23"/>
      </left>
      <right style="hair">
        <color indexed="23"/>
      </right>
      <top style="medium">
        <color indexed="23"/>
      </top>
      <bottom style="thin">
        <color indexed="23"/>
      </bottom>
      <diagonal/>
    </border>
    <border>
      <left style="medium">
        <color indexed="64"/>
      </left>
      <right style="thin">
        <color indexed="64"/>
      </right>
      <top style="thin">
        <color indexed="64"/>
      </top>
      <bottom style="dotted">
        <color indexed="64"/>
      </bottom>
      <diagonal/>
    </border>
    <border>
      <left/>
      <right/>
      <top style="medium">
        <color indexed="64"/>
      </top>
      <bottom style="dotted">
        <color indexed="64"/>
      </bottom>
      <diagonal/>
    </border>
    <border>
      <left style="hair">
        <color indexed="23"/>
      </left>
      <right/>
      <top style="medium">
        <color indexed="23"/>
      </top>
      <bottom style="thin">
        <color indexed="23"/>
      </bottom>
      <diagonal/>
    </border>
    <border>
      <left style="hair">
        <color indexed="23"/>
      </left>
      <right style="hair">
        <color indexed="23"/>
      </right>
      <top style="medium">
        <color indexed="23"/>
      </top>
      <bottom style="thin">
        <color indexed="23"/>
      </bottom>
      <diagonal/>
    </border>
    <border>
      <left style="medium">
        <color indexed="64"/>
      </left>
      <right style="thick">
        <color indexed="64"/>
      </right>
      <top style="medium">
        <color indexed="64"/>
      </top>
      <bottom style="thin">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medium">
        <color indexed="64"/>
      </top>
      <bottom style="dotted">
        <color indexed="64"/>
      </bottom>
      <diagonal/>
    </border>
    <border>
      <left style="thin">
        <color indexed="64"/>
      </left>
      <right/>
      <top/>
      <bottom style="dotted">
        <color indexed="64"/>
      </bottom>
      <diagonal/>
    </border>
    <border>
      <left style="medium">
        <color indexed="64"/>
      </left>
      <right style="thin">
        <color indexed="64"/>
      </right>
      <top style="dotted">
        <color indexed="64"/>
      </top>
      <bottom style="medium">
        <color indexed="64"/>
      </bottom>
      <diagonal/>
    </border>
    <border>
      <left/>
      <right/>
      <top style="dotted">
        <color indexed="64"/>
      </top>
      <bottom style="medium">
        <color indexed="64"/>
      </bottom>
      <diagonal/>
    </border>
    <border>
      <left style="thin">
        <color indexed="64"/>
      </left>
      <right style="thin">
        <color indexed="64"/>
      </right>
      <top style="dotted">
        <color indexed="64"/>
      </top>
      <bottom style="medium">
        <color indexed="64"/>
      </bottom>
      <diagonal/>
    </border>
    <border>
      <left style="thin">
        <color indexed="64"/>
      </left>
      <right style="medium">
        <color indexed="64"/>
      </right>
      <top style="dotted">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medium">
        <color indexed="64"/>
      </left>
      <right style="thick">
        <color indexed="64"/>
      </right>
      <top style="thin">
        <color indexed="64"/>
      </top>
      <bottom style="medium">
        <color indexed="64"/>
      </bottom>
      <diagonal/>
    </border>
    <border>
      <left style="medium">
        <color indexed="64"/>
      </left>
      <right style="thick">
        <color indexed="64"/>
      </right>
      <top/>
      <bottom style="medium">
        <color indexed="64"/>
      </bottom>
      <diagonal/>
    </border>
    <border>
      <left/>
      <right style="thin">
        <color indexed="64"/>
      </right>
      <top/>
      <bottom/>
      <diagonal/>
    </border>
    <border>
      <left style="thin">
        <color indexed="64"/>
      </left>
      <right/>
      <top style="thin">
        <color indexed="64"/>
      </top>
      <bottom style="dotted">
        <color indexed="64"/>
      </bottom>
      <diagonal/>
    </border>
    <border>
      <left/>
      <right style="thin">
        <color indexed="64"/>
      </right>
      <top style="thin">
        <color indexed="64"/>
      </top>
      <bottom style="dotted">
        <color indexed="64"/>
      </bottom>
      <diagonal/>
    </border>
    <border>
      <left/>
      <right style="thick">
        <color indexed="64"/>
      </right>
      <top style="thin">
        <color indexed="64"/>
      </top>
      <bottom/>
      <diagonal/>
    </border>
    <border>
      <left style="thin">
        <color indexed="64"/>
      </left>
      <right style="thick">
        <color indexed="64"/>
      </right>
      <top style="dotted">
        <color indexed="64"/>
      </top>
      <bottom style="medium">
        <color indexed="64"/>
      </bottom>
      <diagonal/>
    </border>
    <border>
      <left style="hair">
        <color indexed="23"/>
      </left>
      <right/>
      <top/>
      <bottom style="hair">
        <color indexed="23"/>
      </bottom>
      <diagonal/>
    </border>
    <border>
      <left style="hair">
        <color indexed="23"/>
      </left>
      <right/>
      <top style="hair">
        <color indexed="23"/>
      </top>
      <bottom style="hair">
        <color indexed="23"/>
      </bottom>
      <diagonal/>
    </border>
    <border>
      <left style="hair">
        <color indexed="23"/>
      </left>
      <right/>
      <top style="hair">
        <color indexed="23"/>
      </top>
      <bottom style="medium">
        <color indexed="23"/>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hair">
        <color indexed="64"/>
      </top>
      <bottom/>
      <diagonal/>
    </border>
    <border>
      <left style="thin">
        <color indexed="64"/>
      </left>
      <right style="hair">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right style="hair">
        <color indexed="64"/>
      </right>
      <top style="thin">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thin">
        <color indexed="64"/>
      </bottom>
      <diagonal/>
    </border>
    <border>
      <left style="thin">
        <color indexed="64"/>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style="hair">
        <color indexed="64"/>
      </right>
      <top/>
      <bottom style="thin">
        <color indexed="64"/>
      </bottom>
      <diagonal/>
    </border>
    <border>
      <left style="thin">
        <color indexed="64"/>
      </left>
      <right style="hair">
        <color indexed="64"/>
      </right>
      <top/>
      <bottom style="thin">
        <color indexed="64"/>
      </bottom>
      <diagonal/>
    </border>
    <border>
      <left style="hair">
        <color indexed="64"/>
      </left>
      <right style="thin">
        <color indexed="64"/>
      </right>
      <top style="thin">
        <color indexed="64"/>
      </top>
      <bottom/>
      <diagonal/>
    </border>
    <border>
      <left style="hair">
        <color indexed="64"/>
      </left>
      <right style="thin">
        <color indexed="64"/>
      </right>
      <top/>
      <bottom style="thin">
        <color indexed="64"/>
      </bottom>
      <diagonal/>
    </border>
    <border>
      <left/>
      <right style="hair">
        <color indexed="64"/>
      </right>
      <top style="thin">
        <color indexed="64"/>
      </top>
      <bottom/>
      <diagonal/>
    </border>
    <border>
      <left/>
      <right style="hair">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dotted">
        <color indexed="64"/>
      </right>
      <top style="thin">
        <color indexed="64"/>
      </top>
      <bottom style="thin">
        <color indexed="64"/>
      </bottom>
      <diagonal/>
    </border>
    <border>
      <left style="dotted">
        <color indexed="64"/>
      </left>
      <right style="thin">
        <color indexed="64"/>
      </right>
      <top style="thin">
        <color indexed="64"/>
      </top>
      <bottom style="thin">
        <color indexed="64"/>
      </bottom>
      <diagonal/>
    </border>
    <border>
      <left style="thin">
        <color indexed="55"/>
      </left>
      <right style="thin">
        <color indexed="55"/>
      </right>
      <top style="thin">
        <color indexed="55"/>
      </top>
      <bottom style="thin">
        <color indexed="55"/>
      </bottom>
      <diagonal/>
    </border>
    <border>
      <left/>
      <right/>
      <top/>
      <bottom style="medium">
        <color indexed="64"/>
      </bottom>
      <diagonal/>
    </border>
    <border>
      <left/>
      <right style="medium">
        <color indexed="64"/>
      </right>
      <top/>
      <bottom style="medium">
        <color indexed="64"/>
      </bottom>
      <diagonal/>
    </border>
    <border>
      <left style="medium">
        <color indexed="8"/>
      </left>
      <right/>
      <top/>
      <bottom/>
      <diagonal/>
    </border>
    <border>
      <left/>
      <right style="medium">
        <color indexed="9"/>
      </right>
      <top/>
      <bottom/>
      <diagonal/>
    </border>
    <border>
      <left style="medium">
        <color indexed="8"/>
      </left>
      <right/>
      <top/>
      <bottom style="medium">
        <color indexed="9"/>
      </bottom>
      <diagonal/>
    </border>
    <border>
      <left/>
      <right/>
      <top/>
      <bottom style="medium">
        <color indexed="9"/>
      </bottom>
      <diagonal/>
    </border>
    <border>
      <left/>
      <right style="medium">
        <color indexed="9"/>
      </right>
      <top/>
      <bottom style="medium">
        <color indexed="9"/>
      </bottom>
      <diagonal/>
    </border>
    <border>
      <left style="medium">
        <color indexed="9"/>
      </left>
      <right/>
      <top/>
      <bottom style="medium">
        <color indexed="64"/>
      </bottom>
      <diagonal/>
    </border>
    <border>
      <left style="thin">
        <color indexed="64"/>
      </left>
      <right style="dotted">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hair">
        <color indexed="64"/>
      </right>
      <top/>
      <bottom style="hair">
        <color indexed="64"/>
      </bottom>
      <diagonal/>
    </border>
    <border>
      <left/>
      <right style="thin">
        <color indexed="64"/>
      </right>
      <top/>
      <bottom style="dotted">
        <color indexed="64"/>
      </bottom>
      <diagonal/>
    </border>
    <border>
      <left style="hair">
        <color indexed="23"/>
      </left>
      <right style="medium">
        <color indexed="23"/>
      </right>
      <top style="medium">
        <color indexed="23"/>
      </top>
      <bottom style="thin">
        <color indexed="23"/>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style="thin">
        <color indexed="64"/>
      </top>
      <bottom style="double">
        <color indexed="64"/>
      </bottom>
      <diagonal/>
    </border>
    <border>
      <left style="thin">
        <color indexed="64"/>
      </left>
      <right style="thick">
        <color indexed="64"/>
      </right>
      <top style="dotted">
        <color indexed="64"/>
      </top>
      <bottom style="dotted">
        <color indexed="64"/>
      </bottom>
      <diagonal/>
    </border>
    <border>
      <left style="thin">
        <color indexed="64"/>
      </left>
      <right style="thick">
        <color indexed="64"/>
      </right>
      <top style="dotted">
        <color indexed="64"/>
      </top>
      <bottom/>
      <diagonal/>
    </border>
    <border>
      <left style="thin">
        <color indexed="64"/>
      </left>
      <right style="thick">
        <color indexed="64"/>
      </right>
      <top style="thin">
        <color indexed="64"/>
      </top>
      <bottom style="dotted">
        <color indexed="64"/>
      </bottom>
      <diagonal/>
    </border>
    <border>
      <left style="thin">
        <color indexed="64"/>
      </left>
      <right style="thick">
        <color indexed="64"/>
      </right>
      <top/>
      <bottom/>
      <diagonal/>
    </border>
    <border>
      <left style="thin">
        <color indexed="64"/>
      </left>
      <right style="thick">
        <color indexed="64"/>
      </right>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8"/>
      </top>
      <bottom/>
      <diagonal/>
    </border>
    <border>
      <left/>
      <right style="medium">
        <color indexed="9"/>
      </right>
      <top style="medium">
        <color indexed="8"/>
      </top>
      <bottom/>
      <diagonal/>
    </border>
    <border>
      <left style="medium">
        <color indexed="8"/>
      </left>
      <right/>
      <top/>
      <bottom style="thin">
        <color indexed="57"/>
      </bottom>
      <diagonal/>
    </border>
    <border>
      <left/>
      <right/>
      <top/>
      <bottom style="thin">
        <color indexed="57"/>
      </bottom>
      <diagonal/>
    </border>
    <border>
      <left/>
      <right style="medium">
        <color indexed="9"/>
      </right>
      <top/>
      <bottom style="thin">
        <color indexed="57"/>
      </bottom>
      <diagonal/>
    </border>
    <border>
      <left style="thick">
        <color indexed="64"/>
      </left>
      <right style="medium">
        <color indexed="64"/>
      </right>
      <top style="thick">
        <color indexed="64"/>
      </top>
      <bottom/>
      <diagonal/>
    </border>
    <border>
      <left style="medium">
        <color indexed="9"/>
      </left>
      <right/>
      <top style="thin">
        <color indexed="57"/>
      </top>
      <bottom/>
      <diagonal/>
    </border>
    <border>
      <left/>
      <right/>
      <top style="thin">
        <color indexed="57"/>
      </top>
      <bottom/>
      <diagonal/>
    </border>
    <border>
      <left/>
      <right style="medium">
        <color indexed="64"/>
      </right>
      <top style="thin">
        <color indexed="57"/>
      </top>
      <bottom/>
      <diagonal/>
    </border>
    <border>
      <left style="medium">
        <color indexed="9"/>
      </left>
      <right/>
      <top/>
      <bottom/>
      <diagonal/>
    </border>
    <border>
      <left style="medium">
        <color indexed="9"/>
      </left>
      <right/>
      <top style="medium">
        <color indexed="9"/>
      </top>
      <bottom style="thin">
        <color indexed="57"/>
      </bottom>
      <diagonal/>
    </border>
    <border>
      <left/>
      <right/>
      <top style="medium">
        <color indexed="9"/>
      </top>
      <bottom style="thin">
        <color indexed="57"/>
      </bottom>
      <diagonal/>
    </border>
    <border>
      <left/>
      <right style="medium">
        <color indexed="64"/>
      </right>
      <top style="medium">
        <color indexed="9"/>
      </top>
      <bottom style="thin">
        <color indexed="57"/>
      </bottom>
      <diagonal/>
    </border>
    <border>
      <left style="medium">
        <color indexed="9"/>
      </left>
      <right/>
      <top style="medium">
        <color indexed="9"/>
      </top>
      <bottom/>
      <diagonal/>
    </border>
    <border>
      <left/>
      <right/>
      <top style="medium">
        <color indexed="9"/>
      </top>
      <bottom/>
      <diagonal/>
    </border>
    <border>
      <left/>
      <right style="medium">
        <color indexed="64"/>
      </right>
      <top style="medium">
        <color indexed="9"/>
      </top>
      <bottom/>
      <diagonal/>
    </border>
    <border>
      <left style="medium">
        <color indexed="8"/>
      </left>
      <right/>
      <top style="medium">
        <color indexed="8"/>
      </top>
      <bottom/>
      <diagonal/>
    </border>
    <border>
      <left style="thick">
        <color indexed="64"/>
      </left>
      <right style="medium">
        <color indexed="64"/>
      </right>
      <top/>
      <bottom/>
      <diagonal/>
    </border>
    <border>
      <left style="thick">
        <color indexed="64"/>
      </left>
      <right/>
      <top/>
      <bottom/>
      <diagonal/>
    </border>
    <border>
      <left style="thick">
        <color indexed="64"/>
      </left>
      <right style="medium">
        <color indexed="64"/>
      </right>
      <top/>
      <bottom style="thick">
        <color indexed="64"/>
      </bottom>
      <diagonal/>
    </border>
    <border>
      <left/>
      <right/>
      <top style="thick">
        <color indexed="64"/>
      </top>
      <bottom/>
      <diagonal/>
    </border>
    <border>
      <left/>
      <right style="thick">
        <color indexed="64"/>
      </right>
      <top style="thick">
        <color indexed="64"/>
      </top>
      <bottom/>
      <diagonal/>
    </border>
    <border>
      <left style="medium">
        <color indexed="64"/>
      </left>
      <right style="thin">
        <color indexed="64"/>
      </right>
      <top/>
      <bottom style="thick">
        <color indexed="64"/>
      </bottom>
      <diagonal/>
    </border>
    <border>
      <left style="thin">
        <color indexed="64"/>
      </left>
      <right/>
      <top style="medium">
        <color indexed="64"/>
      </top>
      <bottom/>
      <diagonal/>
    </border>
    <border>
      <left/>
      <right style="thick">
        <color indexed="64"/>
      </right>
      <top style="medium">
        <color indexed="64"/>
      </top>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medium">
        <color indexed="8"/>
      </left>
      <right/>
      <top style="medium">
        <color indexed="8"/>
      </top>
      <bottom style="thin">
        <color indexed="57"/>
      </bottom>
      <diagonal/>
    </border>
    <border>
      <left/>
      <right/>
      <top style="medium">
        <color indexed="8"/>
      </top>
      <bottom style="thin">
        <color indexed="57"/>
      </bottom>
      <diagonal/>
    </border>
    <border>
      <left/>
      <right style="medium">
        <color indexed="9"/>
      </right>
      <top style="medium">
        <color indexed="8"/>
      </top>
      <bottom style="thin">
        <color indexed="57"/>
      </bottom>
      <diagonal/>
    </border>
    <border>
      <left style="medium">
        <color indexed="64"/>
      </left>
      <right/>
      <top style="thick">
        <color indexed="64"/>
      </top>
      <bottom style="medium">
        <color indexed="64"/>
      </bottom>
      <diagonal/>
    </border>
    <border>
      <left/>
      <right/>
      <top style="thick">
        <color indexed="64"/>
      </top>
      <bottom style="medium">
        <color indexed="64"/>
      </bottom>
      <diagonal/>
    </border>
    <border>
      <left/>
      <right style="thick">
        <color indexed="64"/>
      </right>
      <top style="thick">
        <color indexed="64"/>
      </top>
      <bottom style="medium">
        <color indexed="64"/>
      </bottom>
      <diagonal/>
    </border>
    <border>
      <left style="dotted">
        <color indexed="64"/>
      </left>
      <right style="thin">
        <color indexed="64"/>
      </right>
      <top style="thin">
        <color indexed="64"/>
      </top>
      <bottom/>
      <diagonal/>
    </border>
    <border>
      <left style="dotted">
        <color indexed="64"/>
      </left>
      <right style="thin">
        <color indexed="64"/>
      </right>
      <top/>
      <bottom style="thin">
        <color indexed="64"/>
      </bottom>
      <diagonal/>
    </border>
    <border>
      <left/>
      <right style="dotted">
        <color indexed="64"/>
      </right>
      <top style="thin">
        <color indexed="64"/>
      </top>
      <bottom/>
      <diagonal/>
    </border>
    <border>
      <left/>
      <right style="dotted">
        <color indexed="64"/>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style="thin">
        <color indexed="64"/>
      </bottom>
      <diagonal/>
    </border>
    <border>
      <left style="dotted">
        <color indexed="64"/>
      </left>
      <right style="dotted">
        <color indexed="64"/>
      </right>
      <top style="thin">
        <color indexed="64"/>
      </top>
      <bottom/>
      <diagonal/>
    </border>
    <border>
      <left style="dotted">
        <color indexed="64"/>
      </left>
      <right style="dotted">
        <color indexed="64"/>
      </right>
      <top/>
      <bottom style="thin">
        <color indexed="64"/>
      </bottom>
      <diagonal/>
    </border>
    <border>
      <left style="medium">
        <color indexed="64"/>
      </left>
      <right/>
      <top style="medium">
        <color indexed="64"/>
      </top>
      <bottom style="medium">
        <color indexed="64"/>
      </bottom>
      <diagonal/>
    </border>
  </borders>
  <cellStyleXfs count="4">
    <xf numFmtId="0" fontId="0" fillId="0" borderId="0"/>
    <xf numFmtId="171" fontId="1" fillId="0" borderId="0" applyFont="0" applyFill="0" applyBorder="0" applyAlignment="0" applyProtection="0"/>
    <xf numFmtId="0" fontId="16" fillId="0" borderId="0"/>
    <xf numFmtId="9" fontId="1" fillId="0" borderId="0" applyFont="0" applyFill="0" applyBorder="0" applyAlignment="0" applyProtection="0"/>
  </cellStyleXfs>
  <cellXfs count="763">
    <xf numFmtId="0" fontId="0" fillId="0" borderId="0" xfId="0"/>
    <xf numFmtId="0" fontId="4" fillId="2" borderId="1" xfId="0" applyFont="1" applyFill="1" applyBorder="1" applyAlignment="1" applyProtection="1">
      <alignment horizontal="center"/>
      <protection locked="0"/>
    </xf>
    <xf numFmtId="15" fontId="4" fillId="2" borderId="1" xfId="0" applyNumberFormat="1" applyFont="1" applyFill="1" applyBorder="1" applyAlignment="1" applyProtection="1">
      <alignment horizontal="center"/>
      <protection locked="0"/>
    </xf>
    <xf numFmtId="0" fontId="5" fillId="3" borderId="2" xfId="0" applyFont="1" applyFill="1" applyBorder="1" applyAlignment="1">
      <alignment horizontal="center"/>
    </xf>
    <xf numFmtId="0" fontId="5" fillId="3" borderId="3" xfId="0" applyFont="1" applyFill="1" applyBorder="1" applyAlignment="1">
      <alignment horizontal="center"/>
    </xf>
    <xf numFmtId="0" fontId="5" fillId="3" borderId="4" xfId="0" applyFont="1" applyFill="1" applyBorder="1" applyAlignment="1">
      <alignment horizontal="right"/>
    </xf>
    <xf numFmtId="0" fontId="5" fillId="3" borderId="5" xfId="0" applyFont="1" applyFill="1" applyBorder="1" applyAlignment="1">
      <alignment horizontal="right"/>
    </xf>
    <xf numFmtId="0" fontId="5" fillId="3" borderId="6" xfId="0" applyFont="1" applyFill="1" applyBorder="1" applyAlignment="1">
      <alignment horizontal="right"/>
    </xf>
    <xf numFmtId="0" fontId="5" fillId="3" borderId="7" xfId="0" applyFont="1" applyFill="1" applyBorder="1" applyAlignment="1">
      <alignment horizontal="right"/>
    </xf>
    <xf numFmtId="0" fontId="5" fillId="3" borderId="8" xfId="0" applyFont="1" applyFill="1" applyBorder="1" applyAlignment="1">
      <alignment horizontal="right" vertical="center"/>
    </xf>
    <xf numFmtId="0" fontId="3" fillId="2" borderId="2" xfId="0" applyFont="1" applyFill="1" applyBorder="1" applyAlignment="1" applyProtection="1">
      <alignment horizontal="center"/>
      <protection locked="0"/>
    </xf>
    <xf numFmtId="0" fontId="2" fillId="3" borderId="9" xfId="0" applyFont="1" applyFill="1" applyBorder="1" applyAlignment="1">
      <alignment horizontal="center"/>
    </xf>
    <xf numFmtId="0" fontId="2" fillId="3" borderId="3" xfId="0" applyFont="1" applyFill="1" applyBorder="1" applyAlignment="1">
      <alignment horizontal="center"/>
    </xf>
    <xf numFmtId="0" fontId="5" fillId="3" borderId="8" xfId="0" applyFont="1" applyFill="1" applyBorder="1" applyAlignment="1">
      <alignment horizontal="right"/>
    </xf>
    <xf numFmtId="0" fontId="5" fillId="3" borderId="10" xfId="0" applyFont="1" applyFill="1" applyBorder="1" applyAlignment="1">
      <alignment horizontal="right"/>
    </xf>
    <xf numFmtId="0" fontId="2" fillId="3" borderId="11" xfId="0" applyFont="1" applyFill="1" applyBorder="1" applyAlignment="1">
      <alignment horizontal="center"/>
    </xf>
    <xf numFmtId="15" fontId="4" fillId="2" borderId="12" xfId="0" applyNumberFormat="1" applyFont="1" applyFill="1" applyBorder="1" applyAlignment="1" applyProtection="1">
      <alignment horizontal="center"/>
      <protection locked="0"/>
    </xf>
    <xf numFmtId="0" fontId="5" fillId="3" borderId="11" xfId="0" applyFont="1" applyFill="1" applyBorder="1" applyAlignment="1">
      <alignment horizontal="center"/>
    </xf>
    <xf numFmtId="172" fontId="4" fillId="2" borderId="13" xfId="0" applyNumberFormat="1" applyFont="1" applyFill="1" applyBorder="1" applyAlignment="1" applyProtection="1">
      <alignment horizontal="center"/>
      <protection locked="0"/>
    </xf>
    <xf numFmtId="174" fontId="4" fillId="2" borderId="13" xfId="0" applyNumberFormat="1" applyFont="1" applyFill="1" applyBorder="1" applyAlignment="1" applyProtection="1">
      <alignment horizontal="center"/>
      <protection locked="0"/>
    </xf>
    <xf numFmtId="172" fontId="4" fillId="2" borderId="14" xfId="0" applyNumberFormat="1" applyFont="1" applyFill="1" applyBorder="1" applyAlignment="1" applyProtection="1">
      <alignment horizontal="center"/>
      <protection locked="0"/>
    </xf>
    <xf numFmtId="174" fontId="4" fillId="2" borderId="14" xfId="0" applyNumberFormat="1" applyFont="1" applyFill="1" applyBorder="1" applyAlignment="1" applyProtection="1">
      <alignment horizontal="center"/>
      <protection locked="0"/>
    </xf>
    <xf numFmtId="167" fontId="4" fillId="2" borderId="15" xfId="0" applyNumberFormat="1" applyFont="1" applyFill="1" applyBorder="1" applyAlignment="1" applyProtection="1">
      <alignment horizontal="center"/>
      <protection locked="0"/>
    </xf>
    <xf numFmtId="0" fontId="0" fillId="4" borderId="0" xfId="0" applyFill="1"/>
    <xf numFmtId="0" fontId="11" fillId="5" borderId="16" xfId="0" applyFont="1" applyFill="1" applyBorder="1" applyAlignment="1">
      <alignment horizontal="center" vertical="center" wrapText="1"/>
    </xf>
    <xf numFmtId="0" fontId="4" fillId="6" borderId="17" xfId="0" applyFont="1" applyFill="1" applyBorder="1" applyAlignment="1" applyProtection="1">
      <alignment horizontal="center" vertical="center" wrapText="1"/>
      <protection locked="0"/>
    </xf>
    <xf numFmtId="0" fontId="4" fillId="6" borderId="18" xfId="0" applyFont="1" applyFill="1" applyBorder="1" applyAlignment="1" applyProtection="1">
      <alignment horizontal="center" vertical="center" wrapText="1"/>
      <protection locked="0"/>
    </xf>
    <xf numFmtId="0" fontId="7" fillId="6" borderId="19" xfId="0" applyFont="1" applyFill="1" applyBorder="1" applyAlignment="1" applyProtection="1">
      <alignment horizontal="center"/>
      <protection locked="0"/>
    </xf>
    <xf numFmtId="3" fontId="0" fillId="2" borderId="0" xfId="0" applyNumberFormat="1" applyFill="1"/>
    <xf numFmtId="0" fontId="0" fillId="2" borderId="0" xfId="0" applyFill="1"/>
    <xf numFmtId="1" fontId="0" fillId="2" borderId="0" xfId="0" applyNumberFormat="1" applyFill="1"/>
    <xf numFmtId="15" fontId="0" fillId="2" borderId="0" xfId="0" applyNumberFormat="1" applyFill="1"/>
    <xf numFmtId="0" fontId="12" fillId="2" borderId="0" xfId="0" applyFont="1" applyFill="1" applyAlignment="1">
      <alignment horizontal="right"/>
    </xf>
    <xf numFmtId="3" fontId="12" fillId="2" borderId="0" xfId="0" applyNumberFormat="1" applyFont="1" applyFill="1" applyAlignment="1">
      <alignment horizontal="left"/>
    </xf>
    <xf numFmtId="0" fontId="13" fillId="2" borderId="0" xfId="0" applyFont="1" applyFill="1"/>
    <xf numFmtId="3" fontId="13" fillId="2" borderId="0" xfId="0" applyNumberFormat="1" applyFont="1" applyFill="1" applyAlignment="1">
      <alignment horizontal="left"/>
    </xf>
    <xf numFmtId="0" fontId="2" fillId="2" borderId="0" xfId="0" applyFont="1" applyFill="1" applyAlignment="1">
      <alignment horizontal="right" wrapText="1"/>
    </xf>
    <xf numFmtId="3" fontId="13" fillId="2" borderId="20" xfId="0" applyNumberFormat="1" applyFont="1" applyFill="1" applyBorder="1"/>
    <xf numFmtId="173" fontId="13" fillId="2" borderId="21" xfId="0" applyNumberFormat="1" applyFont="1" applyFill="1" applyBorder="1"/>
    <xf numFmtId="174" fontId="13" fillId="2" borderId="21" xfId="0" applyNumberFormat="1" applyFont="1" applyFill="1" applyBorder="1"/>
    <xf numFmtId="173" fontId="13" fillId="2" borderId="22" xfId="0" applyNumberFormat="1" applyFont="1" applyFill="1" applyBorder="1"/>
    <xf numFmtId="3" fontId="13" fillId="2" borderId="23" xfId="0" applyNumberFormat="1" applyFont="1" applyFill="1" applyBorder="1"/>
    <xf numFmtId="173" fontId="13" fillId="2" borderId="24" xfId="0" applyNumberFormat="1" applyFont="1" applyFill="1" applyBorder="1"/>
    <xf numFmtId="174" fontId="13" fillId="2" borderId="24" xfId="0" applyNumberFormat="1" applyFont="1" applyFill="1" applyBorder="1"/>
    <xf numFmtId="173" fontId="13" fillId="2" borderId="25" xfId="0" applyNumberFormat="1" applyFont="1" applyFill="1" applyBorder="1"/>
    <xf numFmtId="3" fontId="13" fillId="2" borderId="26" xfId="0" applyNumberFormat="1" applyFont="1" applyFill="1" applyBorder="1"/>
    <xf numFmtId="173" fontId="13" fillId="2" borderId="27" xfId="0" applyNumberFormat="1" applyFont="1" applyFill="1" applyBorder="1"/>
    <xf numFmtId="174" fontId="13" fillId="2" borderId="27" xfId="0" applyNumberFormat="1" applyFont="1" applyFill="1" applyBorder="1"/>
    <xf numFmtId="173" fontId="13" fillId="2" borderId="28" xfId="0" applyNumberFormat="1" applyFont="1" applyFill="1" applyBorder="1"/>
    <xf numFmtId="3" fontId="12" fillId="2" borderId="29" xfId="0" applyNumberFormat="1" applyFont="1" applyFill="1" applyBorder="1" applyAlignment="1">
      <alignment horizontal="right"/>
    </xf>
    <xf numFmtId="0" fontId="5" fillId="3" borderId="30" xfId="0" applyFont="1" applyFill="1" applyBorder="1" applyAlignment="1">
      <alignment horizontal="right"/>
    </xf>
    <xf numFmtId="167" fontId="4" fillId="6" borderId="31" xfId="0" applyNumberFormat="1" applyFont="1" applyFill="1" applyBorder="1" applyAlignment="1" applyProtection="1">
      <alignment horizontal="center"/>
      <protection locked="0"/>
    </xf>
    <xf numFmtId="173" fontId="0" fillId="2" borderId="0" xfId="0" applyNumberFormat="1" applyFill="1"/>
    <xf numFmtId="0" fontId="12" fillId="2" borderId="32" xfId="0" applyFont="1" applyFill="1" applyBorder="1" applyAlignment="1">
      <alignment horizontal="right"/>
    </xf>
    <xf numFmtId="173" fontId="12" fillId="2" borderId="33" xfId="0" applyNumberFormat="1" applyFont="1" applyFill="1" applyBorder="1" applyAlignment="1">
      <alignment horizontal="right"/>
    </xf>
    <xf numFmtId="174" fontId="0" fillId="2" borderId="0" xfId="0" applyNumberFormat="1" applyFill="1"/>
    <xf numFmtId="174" fontId="12" fillId="2" borderId="33" xfId="0" applyNumberFormat="1" applyFont="1" applyFill="1" applyBorder="1" applyAlignment="1">
      <alignment horizontal="right"/>
    </xf>
    <xf numFmtId="167" fontId="15" fillId="3" borderId="34" xfId="0" applyNumberFormat="1" applyFont="1" applyFill="1" applyBorder="1" applyAlignment="1" applyProtection="1">
      <alignment horizontal="center"/>
      <protection locked="0"/>
    </xf>
    <xf numFmtId="0" fontId="2" fillId="7" borderId="35" xfId="0" applyFont="1" applyFill="1" applyBorder="1"/>
    <xf numFmtId="0" fontId="0" fillId="7" borderId="35" xfId="0" applyFill="1" applyBorder="1"/>
    <xf numFmtId="17" fontId="2" fillId="7" borderId="35" xfId="0" applyNumberFormat="1" applyFont="1" applyFill="1" applyBorder="1"/>
    <xf numFmtId="0" fontId="0" fillId="7" borderId="35" xfId="0" applyNumberFormat="1" applyFill="1" applyBorder="1"/>
    <xf numFmtId="0" fontId="0" fillId="0" borderId="0" xfId="0" applyNumberFormat="1"/>
    <xf numFmtId="0" fontId="2" fillId="7" borderId="35" xfId="0" applyNumberFormat="1" applyFont="1" applyFill="1" applyBorder="1"/>
    <xf numFmtId="17" fontId="4" fillId="2" borderId="36" xfId="0" applyNumberFormat="1" applyFont="1" applyFill="1" applyBorder="1" applyProtection="1">
      <protection locked="0"/>
    </xf>
    <xf numFmtId="15" fontId="4" fillId="2" borderId="36" xfId="0" applyNumberFormat="1" applyFont="1" applyFill="1" applyBorder="1" applyProtection="1">
      <protection locked="0"/>
    </xf>
    <xf numFmtId="14" fontId="0" fillId="0" borderId="0" xfId="0" applyNumberFormat="1"/>
    <xf numFmtId="0" fontId="4" fillId="0" borderId="0" xfId="0" applyFont="1" applyAlignment="1" applyProtection="1">
      <alignment horizontal="right"/>
      <protection locked="0"/>
    </xf>
    <xf numFmtId="0" fontId="4" fillId="0" borderId="37" xfId="0" applyNumberFormat="1" applyFont="1" applyBorder="1" applyAlignment="1" applyProtection="1">
      <alignment horizontal="right" vertical="top" wrapText="1"/>
      <protection locked="0"/>
    </xf>
    <xf numFmtId="0" fontId="4" fillId="0" borderId="37" xfId="0" applyNumberFormat="1" applyFont="1" applyBorder="1" applyAlignment="1" applyProtection="1">
      <alignment horizontal="right" vertical="top"/>
      <protection locked="0"/>
    </xf>
    <xf numFmtId="0" fontId="4" fillId="0" borderId="37" xfId="0" applyFont="1" applyBorder="1" applyAlignment="1" applyProtection="1">
      <alignment horizontal="right" vertical="top"/>
      <protection locked="0"/>
    </xf>
    <xf numFmtId="15" fontId="17" fillId="0" borderId="0" xfId="0" applyNumberFormat="1" applyFont="1" applyAlignment="1">
      <alignment horizontal="right"/>
    </xf>
    <xf numFmtId="0" fontId="17" fillId="0" borderId="35" xfId="0" applyNumberFormat="1" applyFont="1" applyBorder="1" applyAlignment="1">
      <alignment horizontal="right" vertical="top" wrapText="1"/>
    </xf>
    <xf numFmtId="15" fontId="17" fillId="0" borderId="35" xfId="0" applyNumberFormat="1" applyFont="1" applyBorder="1" applyAlignment="1">
      <alignment horizontal="right" vertical="top" wrapText="1"/>
    </xf>
    <xf numFmtId="15" fontId="17" fillId="0" borderId="35" xfId="0" applyNumberFormat="1" applyFont="1" applyBorder="1" applyAlignment="1">
      <alignment horizontal="right" vertical="top"/>
    </xf>
    <xf numFmtId="0" fontId="0" fillId="0" borderId="0" xfId="0" applyNumberFormat="1" applyAlignment="1">
      <alignment horizontal="right" wrapText="1"/>
    </xf>
    <xf numFmtId="0" fontId="0" fillId="0" borderId="0" xfId="0" applyAlignment="1">
      <alignment horizontal="right" wrapText="1"/>
    </xf>
    <xf numFmtId="0" fontId="0" fillId="0" borderId="35" xfId="0" applyNumberFormat="1" applyBorder="1" applyAlignment="1">
      <alignment horizontal="right" vertical="top" wrapText="1"/>
    </xf>
    <xf numFmtId="0" fontId="0" fillId="0" borderId="35" xfId="0" applyBorder="1" applyAlignment="1">
      <alignment horizontal="right" vertical="top" wrapText="1"/>
    </xf>
    <xf numFmtId="0" fontId="0" fillId="0" borderId="0" xfId="0" applyAlignment="1">
      <alignment horizontal="right"/>
    </xf>
    <xf numFmtId="0" fontId="0" fillId="0" borderId="37" xfId="0" applyNumberFormat="1" applyBorder="1" applyAlignment="1">
      <alignment horizontal="right" wrapText="1"/>
    </xf>
    <xf numFmtId="0" fontId="0" fillId="0" borderId="37" xfId="0" applyNumberFormat="1" applyBorder="1" applyAlignment="1">
      <alignment horizontal="right"/>
    </xf>
    <xf numFmtId="0" fontId="0" fillId="0" borderId="37" xfId="0" applyBorder="1" applyAlignment="1">
      <alignment horizontal="right"/>
    </xf>
    <xf numFmtId="0" fontId="0" fillId="0" borderId="37" xfId="0" applyBorder="1" applyAlignment="1">
      <alignment horizontal="right" wrapText="1"/>
    </xf>
    <xf numFmtId="0" fontId="0" fillId="0" borderId="0" xfId="0" applyNumberFormat="1" applyAlignment="1">
      <alignment horizontal="right"/>
    </xf>
    <xf numFmtId="0" fontId="18" fillId="2" borderId="0" xfId="0" applyNumberFormat="1" applyFont="1" applyFill="1" applyAlignment="1" applyProtection="1">
      <alignment horizontal="right" wrapText="1"/>
    </xf>
    <xf numFmtId="17" fontId="2" fillId="0" borderId="0" xfId="0" applyNumberFormat="1" applyFont="1" applyAlignment="1">
      <alignment horizontal="right" wrapText="1"/>
    </xf>
    <xf numFmtId="176" fontId="0" fillId="0" borderId="0" xfId="0" applyNumberFormat="1" applyAlignment="1">
      <alignment horizontal="right" wrapText="1"/>
    </xf>
    <xf numFmtId="174" fontId="0" fillId="0" borderId="0" xfId="0" applyNumberFormat="1" applyAlignment="1">
      <alignment horizontal="right" wrapText="1"/>
    </xf>
    <xf numFmtId="176" fontId="0" fillId="0" borderId="0" xfId="0" applyNumberFormat="1"/>
    <xf numFmtId="174" fontId="0" fillId="0" borderId="0" xfId="0" applyNumberFormat="1"/>
    <xf numFmtId="17" fontId="2" fillId="0" borderId="0" xfId="0" applyNumberFormat="1" applyFont="1"/>
    <xf numFmtId="0" fontId="0" fillId="8" borderId="0" xfId="0" applyFill="1"/>
    <xf numFmtId="17" fontId="2" fillId="8" borderId="0" xfId="0" applyNumberFormat="1" applyFont="1" applyFill="1"/>
    <xf numFmtId="0" fontId="0" fillId="8" borderId="0" xfId="0" applyNumberFormat="1" applyFill="1"/>
    <xf numFmtId="0" fontId="0" fillId="8" borderId="0" xfId="0" applyNumberFormat="1" applyFill="1" applyAlignment="1">
      <alignment horizontal="left" indent="1"/>
    </xf>
    <xf numFmtId="17" fontId="15" fillId="4" borderId="36" xfId="0" applyNumberFormat="1" applyFont="1" applyFill="1" applyBorder="1" applyAlignment="1" applyProtection="1">
      <alignment horizontal="right" vertical="center" wrapText="1"/>
      <protection locked="0"/>
    </xf>
    <xf numFmtId="17" fontId="15" fillId="4" borderId="36" xfId="0" applyNumberFormat="1" applyFont="1" applyFill="1" applyBorder="1" applyAlignment="1">
      <alignment horizontal="right" vertical="center" wrapText="1"/>
    </xf>
    <xf numFmtId="17" fontId="2" fillId="4" borderId="36" xfId="0" applyNumberFormat="1" applyFont="1" applyFill="1" applyBorder="1" applyAlignment="1">
      <alignment horizontal="right" vertical="center" wrapText="1"/>
    </xf>
    <xf numFmtId="14" fontId="4" fillId="2" borderId="36" xfId="0" applyNumberFormat="1" applyFont="1" applyFill="1" applyBorder="1"/>
    <xf numFmtId="0" fontId="4" fillId="2" borderId="36" xfId="0" applyFont="1" applyFill="1" applyBorder="1"/>
    <xf numFmtId="0" fontId="4" fillId="2" borderId="36" xfId="0" applyFont="1" applyFill="1" applyBorder="1" applyAlignment="1">
      <alignment horizontal="right"/>
    </xf>
    <xf numFmtId="0" fontId="2" fillId="4" borderId="0" xfId="0" applyFont="1" applyFill="1" applyAlignment="1">
      <alignment horizontal="right"/>
    </xf>
    <xf numFmtId="173" fontId="19" fillId="2" borderId="0" xfId="0" applyNumberFormat="1" applyFont="1" applyFill="1" applyAlignment="1">
      <alignment horizontal="right"/>
    </xf>
    <xf numFmtId="172" fontId="20" fillId="2" borderId="38" xfId="0" applyNumberFormat="1" applyFont="1" applyFill="1" applyBorder="1" applyAlignment="1">
      <alignment horizontal="center"/>
    </xf>
    <xf numFmtId="172" fontId="20" fillId="2" borderId="39" xfId="0" applyNumberFormat="1" applyFont="1" applyFill="1" applyBorder="1" applyAlignment="1">
      <alignment horizontal="center"/>
    </xf>
    <xf numFmtId="172" fontId="20" fillId="2" borderId="40" xfId="0" applyNumberFormat="1" applyFont="1" applyFill="1" applyBorder="1" applyAlignment="1">
      <alignment horizontal="center"/>
    </xf>
    <xf numFmtId="167" fontId="4" fillId="6" borderId="41" xfId="0" applyNumberFormat="1" applyFont="1" applyFill="1" applyBorder="1" applyAlignment="1" applyProtection="1">
      <alignment horizontal="center"/>
      <protection locked="0"/>
    </xf>
    <xf numFmtId="167" fontId="4" fillId="2" borderId="42" xfId="0" applyNumberFormat="1" applyFont="1" applyFill="1" applyBorder="1" applyAlignment="1" applyProtection="1">
      <alignment horizontal="center"/>
      <protection locked="0"/>
    </xf>
    <xf numFmtId="0" fontId="5" fillId="3" borderId="43" xfId="0" applyFont="1" applyFill="1" applyBorder="1" applyAlignment="1">
      <alignment horizontal="right"/>
    </xf>
    <xf numFmtId="167" fontId="4" fillId="6" borderId="44" xfId="0" applyNumberFormat="1" applyFont="1" applyFill="1" applyBorder="1" applyAlignment="1" applyProtection="1">
      <alignment horizontal="center"/>
      <protection locked="0"/>
    </xf>
    <xf numFmtId="0" fontId="5" fillId="3" borderId="45" xfId="0" applyFont="1" applyFill="1" applyBorder="1" applyAlignment="1">
      <alignment horizontal="right"/>
    </xf>
    <xf numFmtId="167" fontId="4" fillId="6" borderId="46" xfId="0" applyNumberFormat="1" applyFont="1" applyFill="1" applyBorder="1" applyAlignment="1" applyProtection="1">
      <alignment horizontal="center"/>
      <protection locked="0"/>
    </xf>
    <xf numFmtId="0" fontId="5" fillId="3" borderId="47" xfId="0" applyFont="1" applyFill="1" applyBorder="1" applyAlignment="1">
      <alignment horizontal="right"/>
    </xf>
    <xf numFmtId="1" fontId="4" fillId="2" borderId="48" xfId="0" applyNumberFormat="1" applyFont="1" applyFill="1" applyBorder="1" applyAlignment="1" applyProtection="1">
      <alignment horizontal="center"/>
      <protection locked="0"/>
    </xf>
    <xf numFmtId="167" fontId="21" fillId="9" borderId="0" xfId="0" applyNumberFormat="1" applyFont="1" applyFill="1" applyBorder="1" applyAlignment="1" applyProtection="1">
      <alignment horizontal="center"/>
      <protection locked="0"/>
    </xf>
    <xf numFmtId="0" fontId="21" fillId="9" borderId="49" xfId="0" applyFont="1" applyFill="1" applyBorder="1" applyAlignment="1">
      <alignment horizontal="center"/>
    </xf>
    <xf numFmtId="0" fontId="7" fillId="6" borderId="50" xfId="0" applyNumberFormat="1" applyFont="1" applyFill="1" applyBorder="1" applyAlignment="1" applyProtection="1">
      <alignment horizontal="center" vertical="center"/>
      <protection locked="0"/>
    </xf>
    <xf numFmtId="0" fontId="4" fillId="6" borderId="51" xfId="0" applyNumberFormat="1" applyFont="1" applyFill="1" applyBorder="1" applyAlignment="1" applyProtection="1">
      <alignment horizontal="center" vertical="center"/>
      <protection locked="0"/>
    </xf>
    <xf numFmtId="172" fontId="20" fillId="2" borderId="36" xfId="0" applyNumberFormat="1" applyFont="1" applyFill="1" applyBorder="1" applyAlignment="1">
      <alignment horizontal="center"/>
    </xf>
    <xf numFmtId="182" fontId="4" fillId="6" borderId="14" xfId="0" applyNumberFormat="1" applyFont="1" applyFill="1" applyBorder="1" applyAlignment="1" applyProtection="1">
      <alignment horizontal="center"/>
      <protection locked="0"/>
    </xf>
    <xf numFmtId="182" fontId="4" fillId="6" borderId="13" xfId="0" applyNumberFormat="1" applyFont="1" applyFill="1" applyBorder="1" applyAlignment="1" applyProtection="1">
      <alignment horizontal="center"/>
      <protection locked="0"/>
    </xf>
    <xf numFmtId="182" fontId="4" fillId="2" borderId="0" xfId="0" applyNumberFormat="1" applyFont="1" applyFill="1" applyBorder="1" applyAlignment="1" applyProtection="1">
      <alignment horizontal="center"/>
      <protection locked="0"/>
    </xf>
    <xf numFmtId="182" fontId="4" fillId="2" borderId="1" xfId="0" applyNumberFormat="1" applyFont="1" applyFill="1" applyBorder="1" applyAlignment="1" applyProtection="1">
      <alignment horizontal="center"/>
      <protection locked="0"/>
    </xf>
    <xf numFmtId="182" fontId="4" fillId="2" borderId="52" xfId="0" applyNumberFormat="1" applyFont="1" applyFill="1" applyBorder="1" applyAlignment="1" applyProtection="1">
      <alignment horizontal="center"/>
      <protection locked="0"/>
    </xf>
    <xf numFmtId="182" fontId="4" fillId="2" borderId="12" xfId="0" applyNumberFormat="1" applyFont="1" applyFill="1" applyBorder="1" applyAlignment="1" applyProtection="1">
      <alignment horizontal="center"/>
      <protection locked="0"/>
    </xf>
    <xf numFmtId="182" fontId="4" fillId="6" borderId="53" xfId="0" applyNumberFormat="1" applyFont="1" applyFill="1" applyBorder="1" applyAlignment="1" applyProtection="1">
      <alignment horizontal="center"/>
      <protection locked="0"/>
    </xf>
    <xf numFmtId="182" fontId="4" fillId="6" borderId="17" xfId="0" applyNumberFormat="1" applyFont="1" applyFill="1" applyBorder="1" applyAlignment="1" applyProtection="1">
      <alignment horizontal="center"/>
      <protection locked="0"/>
    </xf>
    <xf numFmtId="182" fontId="4" fillId="6" borderId="54" xfId="0" applyNumberFormat="1" applyFont="1" applyFill="1" applyBorder="1" applyAlignment="1" applyProtection="1">
      <alignment horizontal="center"/>
      <protection locked="0"/>
    </xf>
    <xf numFmtId="182" fontId="4" fillId="6" borderId="55" xfId="0" applyNumberFormat="1" applyFont="1" applyFill="1" applyBorder="1" applyAlignment="1" applyProtection="1">
      <alignment horizontal="center"/>
      <protection locked="0"/>
    </xf>
    <xf numFmtId="182" fontId="4" fillId="2" borderId="56" xfId="0" applyNumberFormat="1" applyFont="1" applyFill="1" applyBorder="1" applyAlignment="1" applyProtection="1">
      <alignment horizontal="center"/>
      <protection locked="0"/>
    </xf>
    <xf numFmtId="10" fontId="0" fillId="2" borderId="0" xfId="0" applyNumberFormat="1" applyFill="1"/>
    <xf numFmtId="182" fontId="13" fillId="2" borderId="57" xfId="0" applyNumberFormat="1" applyFont="1" applyFill="1" applyBorder="1"/>
    <xf numFmtId="182" fontId="13" fillId="2" borderId="58" xfId="0" applyNumberFormat="1" applyFont="1" applyFill="1" applyBorder="1"/>
    <xf numFmtId="182" fontId="13" fillId="2" borderId="59" xfId="0" applyNumberFormat="1" applyFont="1" applyFill="1" applyBorder="1"/>
    <xf numFmtId="182" fontId="0" fillId="2" borderId="0" xfId="0" applyNumberFormat="1" applyFill="1"/>
    <xf numFmtId="173" fontId="13" fillId="2" borderId="0" xfId="0" applyNumberFormat="1" applyFont="1" applyFill="1"/>
    <xf numFmtId="174" fontId="13" fillId="2" borderId="0" xfId="0" applyNumberFormat="1" applyFont="1" applyFill="1"/>
    <xf numFmtId="1" fontId="13" fillId="2" borderId="0" xfId="0" applyNumberFormat="1" applyFont="1" applyFill="1"/>
    <xf numFmtId="1" fontId="12" fillId="2" borderId="0" xfId="0" applyNumberFormat="1" applyFont="1" applyFill="1" applyAlignment="1">
      <alignment horizontal="right" wrapText="1"/>
    </xf>
    <xf numFmtId="0" fontId="12" fillId="2" borderId="0" xfId="0" applyFont="1" applyFill="1" applyAlignment="1">
      <alignment horizontal="right" wrapText="1"/>
    </xf>
    <xf numFmtId="173" fontId="12" fillId="2" borderId="0" xfId="0" applyNumberFormat="1" applyFont="1" applyFill="1" applyAlignment="1">
      <alignment horizontal="right" wrapText="1"/>
    </xf>
    <xf numFmtId="174" fontId="12" fillId="2" borderId="0" xfId="0" applyNumberFormat="1" applyFont="1" applyFill="1" applyAlignment="1">
      <alignment horizontal="right" wrapText="1"/>
    </xf>
    <xf numFmtId="0" fontId="0" fillId="2" borderId="52" xfId="0" applyFill="1" applyBorder="1"/>
    <xf numFmtId="0" fontId="2" fillId="2" borderId="52" xfId="0" applyFont="1" applyFill="1" applyBorder="1" applyAlignment="1">
      <alignment horizontal="right" wrapText="1"/>
    </xf>
    <xf numFmtId="182" fontId="13" fillId="2" borderId="0" xfId="0" applyNumberFormat="1" applyFont="1" applyFill="1"/>
    <xf numFmtId="173" fontId="17" fillId="2" borderId="0" xfId="0" applyNumberFormat="1" applyFont="1" applyFill="1"/>
    <xf numFmtId="0" fontId="0" fillId="2" borderId="0" xfId="0" applyFill="1" applyBorder="1"/>
    <xf numFmtId="173" fontId="0" fillId="2" borderId="0" xfId="0" applyNumberFormat="1" applyFill="1" applyBorder="1"/>
    <xf numFmtId="3" fontId="2" fillId="10" borderId="37" xfId="0" applyNumberFormat="1" applyFont="1" applyFill="1" applyBorder="1" applyAlignment="1">
      <alignment horizontal="right" wrapText="1"/>
    </xf>
    <xf numFmtId="173" fontId="2" fillId="10" borderId="37" xfId="0" applyNumberFormat="1" applyFont="1" applyFill="1" applyBorder="1" applyAlignment="1">
      <alignment horizontal="right" wrapText="1"/>
    </xf>
    <xf numFmtId="173" fontId="2" fillId="10" borderId="60" xfId="0" applyNumberFormat="1" applyFont="1" applyFill="1" applyBorder="1" applyAlignment="1">
      <alignment horizontal="right" wrapText="1"/>
    </xf>
    <xf numFmtId="0" fontId="2" fillId="10" borderId="61" xfId="0" applyFont="1" applyFill="1" applyBorder="1" applyAlignment="1">
      <alignment horizontal="right" wrapText="1"/>
    </xf>
    <xf numFmtId="0" fontId="2" fillId="10" borderId="37" xfId="0" applyFont="1" applyFill="1" applyBorder="1" applyAlignment="1">
      <alignment horizontal="right" wrapText="1"/>
    </xf>
    <xf numFmtId="0" fontId="2" fillId="10" borderId="60" xfId="0" applyFont="1" applyFill="1" applyBorder="1" applyAlignment="1">
      <alignment horizontal="right" wrapText="1"/>
    </xf>
    <xf numFmtId="174" fontId="2" fillId="10" borderId="60" xfId="0" applyNumberFormat="1" applyFont="1" applyFill="1" applyBorder="1" applyAlignment="1">
      <alignment horizontal="right" wrapText="1"/>
    </xf>
    <xf numFmtId="15" fontId="0" fillId="2" borderId="0" xfId="0" applyNumberFormat="1" applyFill="1" applyBorder="1"/>
    <xf numFmtId="3" fontId="0" fillId="2" borderId="0" xfId="0" applyNumberFormat="1" applyFill="1" applyBorder="1"/>
    <xf numFmtId="1" fontId="0" fillId="2" borderId="0" xfId="0" applyNumberFormat="1" applyFill="1" applyBorder="1"/>
    <xf numFmtId="173" fontId="15" fillId="10" borderId="36" xfId="0" applyNumberFormat="1" applyFont="1" applyFill="1" applyBorder="1" applyAlignment="1">
      <alignment horizontal="right" wrapText="1"/>
    </xf>
    <xf numFmtId="174" fontId="2" fillId="10" borderId="37" xfId="0" applyNumberFormat="1" applyFont="1" applyFill="1" applyBorder="1" applyAlignment="1">
      <alignment horizontal="right" wrapText="1"/>
    </xf>
    <xf numFmtId="15" fontId="2" fillId="10" borderId="36" xfId="0" applyNumberFormat="1" applyFont="1" applyFill="1" applyBorder="1" applyAlignment="1">
      <alignment horizontal="right" wrapText="1"/>
    </xf>
    <xf numFmtId="3" fontId="2" fillId="10" borderId="61" xfId="0" applyNumberFormat="1" applyFont="1" applyFill="1" applyBorder="1" applyAlignment="1">
      <alignment horizontal="right" wrapText="1"/>
    </xf>
    <xf numFmtId="173" fontId="2" fillId="11" borderId="61" xfId="0" applyNumberFormat="1" applyFont="1" applyFill="1" applyBorder="1" applyAlignment="1">
      <alignment horizontal="right"/>
    </xf>
    <xf numFmtId="0" fontId="2" fillId="11" borderId="37" xfId="0" applyFont="1" applyFill="1" applyBorder="1" applyAlignment="1">
      <alignment horizontal="right"/>
    </xf>
    <xf numFmtId="3" fontId="3" fillId="2" borderId="36" xfId="0" applyNumberFormat="1" applyFont="1" applyFill="1" applyBorder="1" applyAlignment="1">
      <alignment horizontal="center"/>
    </xf>
    <xf numFmtId="3" fontId="0" fillId="4" borderId="62" xfId="0" applyNumberFormat="1" applyFill="1" applyBorder="1"/>
    <xf numFmtId="3" fontId="0" fillId="4" borderId="63" xfId="0" applyNumberFormat="1" applyFill="1" applyBorder="1"/>
    <xf numFmtId="173" fontId="0" fillId="4" borderId="63" xfId="0" applyNumberFormat="1" applyFill="1" applyBorder="1"/>
    <xf numFmtId="173" fontId="0" fillId="4" borderId="64" xfId="0" applyNumberFormat="1" applyFill="1" applyBorder="1"/>
    <xf numFmtId="3" fontId="0" fillId="4" borderId="65" xfId="0" applyNumberFormat="1" applyFill="1" applyBorder="1"/>
    <xf numFmtId="3" fontId="0" fillId="4" borderId="0" xfId="0" applyNumberFormat="1" applyFill="1" applyBorder="1"/>
    <xf numFmtId="173" fontId="0" fillId="4" borderId="0" xfId="0" applyNumberFormat="1" applyFill="1" applyBorder="1"/>
    <xf numFmtId="173" fontId="0" fillId="4" borderId="52" xfId="0" applyNumberFormat="1" applyFill="1" applyBorder="1"/>
    <xf numFmtId="3" fontId="0" fillId="4" borderId="66" xfId="0" applyNumberFormat="1" applyFill="1" applyBorder="1"/>
    <xf numFmtId="3" fontId="0" fillId="4" borderId="35" xfId="0" applyNumberFormat="1" applyFill="1" applyBorder="1"/>
    <xf numFmtId="173" fontId="0" fillId="4" borderId="35" xfId="0" applyNumberFormat="1" applyFill="1" applyBorder="1"/>
    <xf numFmtId="173" fontId="0" fillId="4" borderId="67" xfId="0" applyNumberFormat="1" applyFill="1" applyBorder="1"/>
    <xf numFmtId="173" fontId="25" fillId="4" borderId="61" xfId="0" applyNumberFormat="1" applyFont="1" applyFill="1" applyBorder="1" applyAlignment="1">
      <alignment horizontal="left"/>
    </xf>
    <xf numFmtId="173" fontId="25" fillId="4" borderId="60" xfId="0" applyNumberFormat="1" applyFont="1" applyFill="1" applyBorder="1" applyAlignment="1">
      <alignment horizontal="right"/>
    </xf>
    <xf numFmtId="0" fontId="2" fillId="9" borderId="36" xfId="0" applyFont="1" applyFill="1" applyBorder="1" applyAlignment="1">
      <alignment horizontal="right"/>
    </xf>
    <xf numFmtId="37" fontId="0" fillId="2" borderId="0" xfId="0" applyNumberFormat="1" applyFill="1"/>
    <xf numFmtId="37" fontId="0" fillId="2" borderId="0" xfId="0" applyNumberFormat="1" applyFill="1" applyBorder="1"/>
    <xf numFmtId="37" fontId="2" fillId="10" borderId="61" xfId="0" applyNumberFormat="1" applyFont="1" applyFill="1" applyBorder="1" applyAlignment="1">
      <alignment horizontal="right" wrapText="1"/>
    </xf>
    <xf numFmtId="37" fontId="2" fillId="10" borderId="60" xfId="0" applyNumberFormat="1" applyFont="1" applyFill="1" applyBorder="1" applyAlignment="1">
      <alignment horizontal="right" wrapText="1"/>
    </xf>
    <xf numFmtId="0" fontId="18" fillId="2" borderId="0" xfId="0" applyFont="1" applyFill="1"/>
    <xf numFmtId="1" fontId="15" fillId="2" borderId="0" xfId="0" applyNumberFormat="1" applyFont="1" applyFill="1" applyAlignment="1">
      <alignment horizontal="right" wrapText="1"/>
    </xf>
    <xf numFmtId="3" fontId="17" fillId="2" borderId="0" xfId="0" applyNumberFormat="1" applyFont="1" applyFill="1"/>
    <xf numFmtId="15" fontId="17" fillId="4" borderId="36" xfId="0" applyNumberFormat="1" applyFont="1" applyFill="1" applyBorder="1" applyAlignment="1">
      <alignment horizontal="center"/>
    </xf>
    <xf numFmtId="15" fontId="17" fillId="4" borderId="40" xfId="0" applyNumberFormat="1" applyFont="1" applyFill="1" applyBorder="1" applyAlignment="1">
      <alignment horizontal="center"/>
    </xf>
    <xf numFmtId="15" fontId="17" fillId="4" borderId="39" xfId="0" applyNumberFormat="1" applyFont="1" applyFill="1" applyBorder="1" applyAlignment="1">
      <alignment horizontal="center"/>
    </xf>
    <xf numFmtId="0" fontId="0" fillId="2" borderId="65" xfId="0" applyFill="1" applyBorder="1"/>
    <xf numFmtId="0" fontId="2" fillId="2" borderId="65" xfId="0" applyFont="1" applyFill="1" applyBorder="1" applyAlignment="1">
      <alignment horizontal="right" wrapText="1"/>
    </xf>
    <xf numFmtId="0" fontId="2" fillId="4" borderId="40" xfId="0" applyFont="1" applyFill="1" applyBorder="1"/>
    <xf numFmtId="0" fontId="2" fillId="4" borderId="38" xfId="0" applyFont="1" applyFill="1" applyBorder="1"/>
    <xf numFmtId="177" fontId="0" fillId="4" borderId="0" xfId="0" applyNumberFormat="1" applyFill="1"/>
    <xf numFmtId="0" fontId="2" fillId="4" borderId="39" xfId="0" applyFont="1" applyFill="1" applyBorder="1"/>
    <xf numFmtId="15" fontId="2" fillId="4" borderId="40" xfId="0" applyNumberFormat="1" applyFont="1" applyFill="1" applyBorder="1"/>
    <xf numFmtId="15" fontId="2" fillId="4" borderId="38" xfId="0" applyNumberFormat="1" applyFont="1" applyFill="1" applyBorder="1"/>
    <xf numFmtId="15" fontId="2" fillId="4" borderId="68" xfId="0" applyNumberFormat="1" applyFont="1" applyFill="1" applyBorder="1"/>
    <xf numFmtId="15" fontId="2" fillId="4" borderId="39" xfId="0" applyNumberFormat="1" applyFont="1" applyFill="1" applyBorder="1"/>
    <xf numFmtId="10" fontId="4" fillId="2" borderId="69" xfId="0" applyNumberFormat="1" applyFont="1" applyFill="1" applyBorder="1"/>
    <xf numFmtId="10" fontId="4" fillId="2" borderId="70" xfId="0" applyNumberFormat="1" applyFont="1" applyFill="1" applyBorder="1"/>
    <xf numFmtId="10" fontId="4" fillId="2" borderId="71" xfId="0" applyNumberFormat="1" applyFont="1" applyFill="1" applyBorder="1"/>
    <xf numFmtId="10" fontId="4" fillId="2" borderId="72" xfId="0" applyNumberFormat="1" applyFont="1" applyFill="1" applyBorder="1"/>
    <xf numFmtId="10" fontId="4" fillId="2" borderId="73" xfId="0" applyNumberFormat="1" applyFont="1" applyFill="1" applyBorder="1"/>
    <xf numFmtId="10" fontId="4" fillId="2" borderId="74" xfId="0" applyNumberFormat="1" applyFont="1" applyFill="1" applyBorder="1"/>
    <xf numFmtId="176" fontId="4" fillId="2" borderId="70" xfId="0" applyNumberFormat="1" applyFont="1" applyFill="1" applyBorder="1"/>
    <xf numFmtId="176" fontId="4" fillId="2" borderId="72" xfId="0" applyNumberFormat="1" applyFont="1" applyFill="1" applyBorder="1"/>
    <xf numFmtId="176" fontId="4" fillId="2" borderId="75" xfId="0" applyNumberFormat="1" applyFont="1" applyFill="1" applyBorder="1"/>
    <xf numFmtId="176" fontId="4" fillId="2" borderId="74" xfId="0" applyNumberFormat="1" applyFont="1" applyFill="1" applyBorder="1"/>
    <xf numFmtId="0" fontId="27" fillId="4" borderId="0" xfId="0" applyFont="1" applyFill="1" applyAlignment="1">
      <alignment horizontal="center"/>
    </xf>
    <xf numFmtId="17" fontId="4" fillId="2" borderId="76" xfId="0" applyNumberFormat="1" applyFont="1" applyFill="1" applyBorder="1"/>
    <xf numFmtId="17" fontId="4" fillId="2" borderId="77" xfId="0" applyNumberFormat="1" applyFont="1" applyFill="1" applyBorder="1"/>
    <xf numFmtId="17" fontId="4" fillId="2" borderId="78" xfId="0" applyNumberFormat="1" applyFont="1" applyFill="1" applyBorder="1"/>
    <xf numFmtId="17" fontId="4" fillId="2" borderId="79" xfId="0" applyNumberFormat="1" applyFont="1" applyFill="1" applyBorder="1"/>
    <xf numFmtId="17" fontId="4" fillId="2" borderId="80" xfId="0" applyNumberFormat="1" applyFont="1" applyFill="1" applyBorder="1"/>
    <xf numFmtId="17" fontId="2" fillId="7" borderId="81" xfId="0" applyNumberFormat="1" applyFont="1" applyFill="1" applyBorder="1"/>
    <xf numFmtId="17" fontId="2" fillId="7" borderId="82" xfId="0" applyNumberFormat="1" applyFont="1" applyFill="1" applyBorder="1" applyAlignment="1">
      <alignment horizontal="left"/>
    </xf>
    <xf numFmtId="17" fontId="2" fillId="7" borderId="83" xfId="0" applyNumberFormat="1" applyFont="1" applyFill="1" applyBorder="1" applyAlignment="1">
      <alignment horizontal="left"/>
    </xf>
    <xf numFmtId="17" fontId="2" fillId="7" borderId="84" xfId="0" applyNumberFormat="1" applyFont="1" applyFill="1" applyBorder="1" applyAlignment="1">
      <alignment horizontal="center"/>
    </xf>
    <xf numFmtId="0" fontId="4" fillId="2" borderId="36" xfId="0" applyFont="1" applyFill="1" applyBorder="1" applyAlignment="1">
      <alignment horizontal="left"/>
    </xf>
    <xf numFmtId="17" fontId="2" fillId="7" borderId="82" xfId="0" applyNumberFormat="1" applyFont="1" applyFill="1" applyBorder="1" applyAlignment="1">
      <alignment horizontal="right"/>
    </xf>
    <xf numFmtId="17" fontId="2" fillId="7" borderId="85" xfId="0" applyNumberFormat="1" applyFont="1" applyFill="1" applyBorder="1" applyAlignment="1">
      <alignment horizontal="right"/>
    </xf>
    <xf numFmtId="17" fontId="2" fillId="7" borderId="83" xfId="0" applyNumberFormat="1" applyFont="1" applyFill="1" applyBorder="1" applyAlignment="1">
      <alignment horizontal="right"/>
    </xf>
    <xf numFmtId="17" fontId="2" fillId="7" borderId="86" xfId="0" applyNumberFormat="1" applyFont="1" applyFill="1" applyBorder="1" applyAlignment="1">
      <alignment horizontal="right"/>
    </xf>
    <xf numFmtId="38" fontId="0" fillId="2" borderId="82" xfId="0" applyNumberFormat="1" applyFill="1" applyBorder="1" applyAlignment="1">
      <alignment horizontal="right"/>
    </xf>
    <xf numFmtId="38" fontId="0" fillId="2" borderId="85" xfId="0" applyNumberFormat="1" applyFill="1" applyBorder="1" applyAlignment="1">
      <alignment horizontal="right"/>
    </xf>
    <xf numFmtId="38" fontId="0" fillId="2" borderId="83" xfId="0" applyNumberFormat="1" applyFill="1" applyBorder="1" applyAlignment="1">
      <alignment horizontal="right"/>
    </xf>
    <xf numFmtId="38" fontId="0" fillId="2" borderId="86" xfId="0" applyNumberFormat="1" applyFill="1" applyBorder="1" applyAlignment="1">
      <alignment horizontal="right"/>
    </xf>
    <xf numFmtId="0" fontId="0" fillId="2" borderId="0" xfId="0" applyFill="1" applyAlignment="1">
      <alignment horizontal="left"/>
    </xf>
    <xf numFmtId="0" fontId="0" fillId="2" borderId="0" xfId="0" applyFill="1" applyAlignment="1">
      <alignment horizontal="left" vertical="center" wrapText="1"/>
    </xf>
    <xf numFmtId="38" fontId="0" fillId="2" borderId="0" xfId="0" applyNumberFormat="1" applyFill="1" applyAlignment="1">
      <alignment horizontal="right"/>
    </xf>
    <xf numFmtId="38" fontId="0" fillId="2" borderId="0" xfId="0" applyNumberFormat="1" applyFill="1"/>
    <xf numFmtId="0" fontId="2" fillId="2" borderId="0" xfId="0" applyFont="1" applyFill="1"/>
    <xf numFmtId="17" fontId="2" fillId="2" borderId="0" xfId="0" applyNumberFormat="1" applyFont="1" applyFill="1"/>
    <xf numFmtId="0" fontId="28" fillId="2" borderId="0" xfId="0" applyFont="1" applyFill="1" applyAlignment="1"/>
    <xf numFmtId="17" fontId="2" fillId="7" borderId="87" xfId="0" applyNumberFormat="1" applyFont="1" applyFill="1" applyBorder="1" applyAlignment="1">
      <alignment horizontal="right"/>
    </xf>
    <xf numFmtId="17" fontId="2" fillId="7" borderId="88" xfId="0" applyNumberFormat="1" applyFont="1" applyFill="1" applyBorder="1" applyAlignment="1">
      <alignment horizontal="right"/>
    </xf>
    <xf numFmtId="38" fontId="0" fillId="2" borderId="87" xfId="0" applyNumberFormat="1" applyFill="1" applyBorder="1" applyAlignment="1">
      <alignment horizontal="right"/>
    </xf>
    <xf numFmtId="38" fontId="0" fillId="2" borderId="88" xfId="0" applyNumberFormat="1" applyFill="1" applyBorder="1" applyAlignment="1">
      <alignment horizontal="right"/>
    </xf>
    <xf numFmtId="17" fontId="2" fillId="7" borderId="85" xfId="0" applyNumberFormat="1" applyFont="1" applyFill="1" applyBorder="1" applyAlignment="1">
      <alignment horizontal="left" vertical="center" wrapText="1"/>
    </xf>
    <xf numFmtId="17" fontId="2" fillId="7" borderId="86" xfId="0" applyNumberFormat="1" applyFont="1" applyFill="1" applyBorder="1" applyAlignment="1">
      <alignment horizontal="left" vertical="center" wrapText="1"/>
    </xf>
    <xf numFmtId="0" fontId="0" fillId="6" borderId="85" xfId="0" applyFill="1" applyBorder="1" applyAlignment="1">
      <alignment horizontal="left" vertical="center" wrapText="1"/>
    </xf>
    <xf numFmtId="0" fontId="0" fillId="6" borderId="86" xfId="0" applyFill="1" applyBorder="1" applyAlignment="1">
      <alignment horizontal="left" vertical="center" wrapText="1"/>
    </xf>
    <xf numFmtId="38" fontId="0" fillId="2" borderId="89" xfId="0" applyNumberFormat="1" applyFill="1" applyBorder="1"/>
    <xf numFmtId="38" fontId="0" fillId="2" borderId="90" xfId="0" applyNumberFormat="1" applyFill="1" applyBorder="1"/>
    <xf numFmtId="0" fontId="0" fillId="4" borderId="0" xfId="0" applyFill="1" applyAlignment="1">
      <alignment horizontal="right"/>
    </xf>
    <xf numFmtId="1" fontId="12" fillId="2" borderId="0" xfId="0" applyNumberFormat="1" applyFont="1" applyFill="1" applyAlignment="1">
      <alignment horizontal="right"/>
    </xf>
    <xf numFmtId="15" fontId="2" fillId="2" borderId="0" xfId="0" applyNumberFormat="1" applyFont="1" applyFill="1" applyAlignment="1">
      <alignment horizontal="right" shrinkToFit="1"/>
    </xf>
    <xf numFmtId="38" fontId="4" fillId="2" borderId="36" xfId="0" applyNumberFormat="1" applyFont="1" applyFill="1" applyBorder="1" applyAlignment="1">
      <alignment horizontal="right"/>
    </xf>
    <xf numFmtId="0" fontId="2" fillId="2" borderId="0" xfId="0" applyFont="1" applyFill="1" applyAlignment="1">
      <alignment horizontal="left" vertical="center" wrapText="1"/>
    </xf>
    <xf numFmtId="0" fontId="2" fillId="2" borderId="0" xfId="0" applyFont="1" applyFill="1" applyAlignment="1">
      <alignment horizontal="left" vertical="center"/>
    </xf>
    <xf numFmtId="0" fontId="30" fillId="2" borderId="0" xfId="0" applyFont="1" applyFill="1"/>
    <xf numFmtId="0" fontId="2" fillId="7" borderId="36" xfId="0" applyFont="1" applyFill="1" applyBorder="1" applyAlignment="1">
      <alignment horizontal="left" vertical="center" wrapText="1"/>
    </xf>
    <xf numFmtId="0" fontId="2" fillId="11" borderId="60" xfId="0" applyFont="1" applyFill="1" applyBorder="1" applyAlignment="1">
      <alignment horizontal="right"/>
    </xf>
    <xf numFmtId="165" fontId="0" fillId="2" borderId="91" xfId="0" applyNumberFormat="1" applyFill="1" applyBorder="1" applyAlignment="1">
      <alignment horizontal="right"/>
    </xf>
    <xf numFmtId="165" fontId="0" fillId="2" borderId="92" xfId="0" applyNumberFormat="1" applyFill="1" applyBorder="1" applyAlignment="1">
      <alignment horizontal="right"/>
    </xf>
    <xf numFmtId="176" fontId="13" fillId="2" borderId="0" xfId="0" applyNumberFormat="1" applyFont="1" applyFill="1"/>
    <xf numFmtId="174" fontId="12" fillId="2" borderId="65" xfId="0" applyNumberFormat="1" applyFont="1" applyFill="1" applyBorder="1" applyAlignment="1">
      <alignment horizontal="right" wrapText="1"/>
    </xf>
    <xf numFmtId="0" fontId="2" fillId="2" borderId="0" xfId="0" applyFont="1" applyFill="1" applyBorder="1" applyAlignment="1">
      <alignment horizontal="right" wrapText="1"/>
    </xf>
    <xf numFmtId="174" fontId="12" fillId="2" borderId="0" xfId="0" applyNumberFormat="1" applyFont="1" applyFill="1" applyBorder="1" applyAlignment="1">
      <alignment horizontal="right" wrapText="1"/>
    </xf>
    <xf numFmtId="173" fontId="13" fillId="2" borderId="0" xfId="0" applyNumberFormat="1" applyFont="1" applyFill="1" applyBorder="1"/>
    <xf numFmtId="174" fontId="0" fillId="2" borderId="65" xfId="0" applyNumberFormat="1" applyFill="1" applyBorder="1"/>
    <xf numFmtId="174" fontId="13" fillId="2" borderId="65" xfId="0" applyNumberFormat="1" applyFont="1" applyFill="1" applyBorder="1"/>
    <xf numFmtId="15" fontId="13" fillId="2" borderId="0" xfId="0" applyNumberFormat="1" applyFont="1" applyFill="1" applyBorder="1"/>
    <xf numFmtId="15" fontId="13" fillId="2" borderId="93" xfId="0" applyNumberFormat="1" applyFont="1" applyFill="1" applyBorder="1"/>
    <xf numFmtId="0" fontId="12" fillId="2" borderId="0" xfId="0" applyFont="1" applyFill="1" applyBorder="1" applyAlignment="1">
      <alignment horizontal="right"/>
    </xf>
    <xf numFmtId="9" fontId="0" fillId="2" borderId="0" xfId="0" applyNumberFormat="1" applyFill="1"/>
    <xf numFmtId="0" fontId="29" fillId="9" borderId="36" xfId="0" applyFont="1" applyFill="1" applyBorder="1" applyAlignment="1">
      <alignment horizontal="right"/>
    </xf>
    <xf numFmtId="0" fontId="29" fillId="2" borderId="0" xfId="0" applyFont="1" applyFill="1" applyAlignment="1"/>
    <xf numFmtId="0" fontId="0" fillId="4" borderId="62" xfId="0" applyFill="1" applyBorder="1"/>
    <xf numFmtId="0" fontId="0" fillId="4" borderId="63" xfId="0" applyFill="1" applyBorder="1"/>
    <xf numFmtId="0" fontId="0" fillId="4" borderId="64" xfId="0" applyFill="1" applyBorder="1"/>
    <xf numFmtId="0" fontId="0" fillId="4" borderId="65" xfId="0" applyFill="1" applyBorder="1"/>
    <xf numFmtId="0" fontId="0" fillId="4" borderId="0" xfId="0" applyFill="1" applyBorder="1"/>
    <xf numFmtId="0" fontId="0" fillId="4" borderId="52" xfId="0" applyFill="1" applyBorder="1"/>
    <xf numFmtId="0" fontId="0" fillId="4" borderId="66" xfId="0" applyFill="1" applyBorder="1"/>
    <xf numFmtId="0" fontId="0" fillId="4" borderId="35" xfId="0" applyFill="1" applyBorder="1"/>
    <xf numFmtId="0" fontId="0" fillId="4" borderId="67" xfId="0" applyFill="1" applyBorder="1"/>
    <xf numFmtId="0" fontId="2" fillId="4" borderId="0" xfId="0" applyFont="1" applyFill="1" applyAlignment="1">
      <alignment horizontal="center"/>
    </xf>
    <xf numFmtId="15" fontId="0" fillId="4" borderId="36" xfId="0" applyNumberFormat="1" applyFill="1" applyBorder="1"/>
    <xf numFmtId="0" fontId="0" fillId="2" borderId="94" xfId="0" applyFill="1" applyBorder="1"/>
    <xf numFmtId="0" fontId="0" fillId="2" borderId="95" xfId="0" applyFill="1" applyBorder="1"/>
    <xf numFmtId="0" fontId="0" fillId="4" borderId="0" xfId="0" applyFill="1" applyBorder="1" applyAlignment="1">
      <alignment horizontal="center"/>
    </xf>
    <xf numFmtId="0" fontId="13" fillId="4" borderId="36" xfId="0" applyFont="1" applyFill="1" applyBorder="1" applyAlignment="1">
      <alignment horizontal="right"/>
    </xf>
    <xf numFmtId="0" fontId="12" fillId="2" borderId="0" xfId="0" applyFont="1" applyFill="1" applyBorder="1"/>
    <xf numFmtId="176" fontId="12" fillId="2" borderId="0" xfId="0" applyNumberFormat="1" applyFont="1" applyFill="1" applyAlignment="1">
      <alignment horizontal="right" wrapText="1"/>
    </xf>
    <xf numFmtId="0" fontId="2" fillId="4" borderId="61" xfId="0" applyFont="1" applyFill="1" applyBorder="1"/>
    <xf numFmtId="0" fontId="2" fillId="4" borderId="37" xfId="0" applyFont="1" applyFill="1" applyBorder="1"/>
    <xf numFmtId="0" fontId="0" fillId="4" borderId="96" xfId="0" applyFill="1" applyBorder="1" applyAlignment="1">
      <alignment horizontal="center"/>
    </xf>
    <xf numFmtId="0" fontId="0" fillId="4" borderId="97" xfId="0" applyFill="1" applyBorder="1" applyAlignment="1">
      <alignment horizontal="center"/>
    </xf>
    <xf numFmtId="0" fontId="0" fillId="4" borderId="98" xfId="0" applyFill="1" applyBorder="1" applyAlignment="1">
      <alignment horizontal="center"/>
    </xf>
    <xf numFmtId="0" fontId="0" fillId="4" borderId="99" xfId="0" applyFill="1" applyBorder="1" applyAlignment="1">
      <alignment horizontal="center"/>
    </xf>
    <xf numFmtId="0" fontId="0" fillId="4" borderId="100" xfId="0" applyFill="1" applyBorder="1" applyAlignment="1">
      <alignment horizontal="center"/>
    </xf>
    <xf numFmtId="0" fontId="0" fillId="4" borderId="96" xfId="0" applyFill="1" applyBorder="1"/>
    <xf numFmtId="0" fontId="0" fillId="4" borderId="97" xfId="0" applyFill="1" applyBorder="1"/>
    <xf numFmtId="0" fontId="0" fillId="4" borderId="98" xfId="0" applyFill="1" applyBorder="1"/>
    <xf numFmtId="0" fontId="0" fillId="4" borderId="99" xfId="0" applyFill="1" applyBorder="1"/>
    <xf numFmtId="0" fontId="0" fillId="4" borderId="100" xfId="0" applyFill="1" applyBorder="1"/>
    <xf numFmtId="0" fontId="0" fillId="2" borderId="101" xfId="0" applyFill="1" applyBorder="1"/>
    <xf numFmtId="14" fontId="4" fillId="2" borderId="36" xfId="0" applyNumberFormat="1" applyFont="1" applyFill="1" applyBorder="1" applyAlignment="1" applyProtection="1">
      <alignment horizontal="center"/>
      <protection locked="0"/>
    </xf>
    <xf numFmtId="0" fontId="0" fillId="4" borderId="96" xfId="0" applyFill="1" applyBorder="1" applyAlignment="1">
      <alignment horizontal="left"/>
    </xf>
    <xf numFmtId="0" fontId="28" fillId="2" borderId="0" xfId="0" applyFont="1" applyFill="1"/>
    <xf numFmtId="17" fontId="32" fillId="2" borderId="0" xfId="0" applyNumberFormat="1" applyFont="1" applyFill="1"/>
    <xf numFmtId="37" fontId="28" fillId="2" borderId="0" xfId="0" applyNumberFormat="1" applyFont="1" applyFill="1" applyAlignment="1">
      <alignment horizontal="right"/>
    </xf>
    <xf numFmtId="165" fontId="0" fillId="2" borderId="102" xfId="0" applyNumberFormat="1" applyFill="1" applyBorder="1" applyAlignment="1">
      <alignment horizontal="right"/>
    </xf>
    <xf numFmtId="0" fontId="0" fillId="8" borderId="0" xfId="0" applyFill="1" applyAlignment="1">
      <alignment horizontal="left" wrapText="1"/>
    </xf>
    <xf numFmtId="0" fontId="0" fillId="8" borderId="0" xfId="0" applyFill="1" applyAlignment="1">
      <alignment horizontal="left"/>
    </xf>
    <xf numFmtId="0" fontId="33" fillId="8" borderId="0" xfId="0" applyFont="1" applyFill="1" applyAlignment="1">
      <alignment horizontal="left" wrapText="1"/>
    </xf>
    <xf numFmtId="0" fontId="4" fillId="8" borderId="0" xfId="0" applyFont="1" applyFill="1" applyAlignment="1">
      <alignment horizontal="left" wrapText="1"/>
    </xf>
    <xf numFmtId="0" fontId="17" fillId="8" borderId="0" xfId="0" applyFont="1" applyFill="1" applyAlignment="1">
      <alignment horizontal="left" wrapText="1"/>
    </xf>
    <xf numFmtId="0" fontId="0" fillId="8" borderId="0" xfId="0" applyFill="1" applyAlignment="1">
      <alignment wrapText="1"/>
    </xf>
    <xf numFmtId="4" fontId="0" fillId="4" borderId="0" xfId="0" applyNumberFormat="1" applyFill="1"/>
    <xf numFmtId="0" fontId="0" fillId="4" borderId="0" xfId="0" applyNumberFormat="1" applyFill="1"/>
    <xf numFmtId="0" fontId="2" fillId="4" borderId="0" xfId="0" applyFont="1" applyFill="1"/>
    <xf numFmtId="0" fontId="29" fillId="4" borderId="0" xfId="0" quotePrefix="1" applyFont="1" applyFill="1" applyBorder="1" applyAlignment="1">
      <alignment horizontal="left"/>
    </xf>
    <xf numFmtId="0" fontId="29" fillId="4" borderId="0" xfId="0" applyFont="1" applyFill="1" applyBorder="1"/>
    <xf numFmtId="0" fontId="29" fillId="4" borderId="0" xfId="2" quotePrefix="1" applyFont="1" applyFill="1" applyBorder="1" applyAlignment="1">
      <alignment horizontal="left"/>
    </xf>
    <xf numFmtId="0" fontId="29" fillId="4" borderId="0" xfId="2" applyFont="1" applyFill="1" applyBorder="1" applyAlignment="1">
      <alignment horizontal="left"/>
    </xf>
    <xf numFmtId="0" fontId="29" fillId="4" borderId="0" xfId="2" applyFont="1" applyFill="1" applyBorder="1"/>
    <xf numFmtId="0" fontId="29" fillId="4" borderId="0" xfId="2" applyNumberFormat="1" applyFont="1" applyFill="1" applyBorder="1"/>
    <xf numFmtId="175" fontId="0" fillId="4" borderId="0" xfId="0" applyNumberFormat="1" applyFill="1"/>
    <xf numFmtId="0" fontId="29" fillId="4" borderId="0" xfId="0" applyFont="1" applyFill="1" applyBorder="1" applyAlignment="1">
      <alignment horizontal="left"/>
    </xf>
    <xf numFmtId="0" fontId="34" fillId="4" borderId="0" xfId="0" applyFont="1" applyFill="1"/>
    <xf numFmtId="15" fontId="4" fillId="2" borderId="36" xfId="0" applyNumberFormat="1" applyFont="1" applyFill="1" applyBorder="1"/>
    <xf numFmtId="0" fontId="29" fillId="0" borderId="0" xfId="0" applyFont="1" applyFill="1"/>
    <xf numFmtId="0" fontId="29" fillId="0" borderId="0" xfId="0" quotePrefix="1" applyFont="1" applyFill="1" applyAlignment="1">
      <alignment horizontal="left"/>
    </xf>
    <xf numFmtId="0" fontId="0" fillId="0" borderId="0" xfId="0" applyFill="1"/>
    <xf numFmtId="0" fontId="29" fillId="0" borderId="0" xfId="0" applyFont="1" applyFill="1" applyAlignment="1">
      <alignment horizontal="left"/>
    </xf>
    <xf numFmtId="0" fontId="35" fillId="0" borderId="0" xfId="0" applyFont="1" applyFill="1" applyBorder="1" applyAlignment="1">
      <alignment horizontal="left"/>
    </xf>
    <xf numFmtId="0" fontId="0" fillId="12" borderId="0" xfId="0" applyFill="1"/>
    <xf numFmtId="0" fontId="4" fillId="0" borderId="0" xfId="0" applyFont="1"/>
    <xf numFmtId="0" fontId="0" fillId="9" borderId="0" xfId="0" applyFill="1"/>
    <xf numFmtId="183" fontId="0" fillId="2" borderId="0" xfId="0" applyNumberFormat="1" applyFill="1"/>
    <xf numFmtId="183" fontId="0" fillId="2" borderId="0" xfId="0" applyNumberFormat="1" applyFill="1" applyBorder="1"/>
    <xf numFmtId="183" fontId="15" fillId="10" borderId="36" xfId="0" applyNumberFormat="1" applyFont="1" applyFill="1" applyBorder="1" applyAlignment="1">
      <alignment horizontal="right" wrapText="1"/>
    </xf>
    <xf numFmtId="183" fontId="15" fillId="10" borderId="60" xfId="0" applyNumberFormat="1" applyFont="1" applyFill="1" applyBorder="1" applyAlignment="1">
      <alignment horizontal="right" wrapText="1"/>
    </xf>
    <xf numFmtId="183" fontId="17" fillId="2" borderId="0" xfId="0" applyNumberFormat="1" applyFont="1" applyFill="1"/>
    <xf numFmtId="37" fontId="13" fillId="2" borderId="0" xfId="0" applyNumberFormat="1" applyFont="1" applyFill="1" applyAlignment="1">
      <alignment horizontal="right"/>
    </xf>
    <xf numFmtId="49" fontId="4" fillId="2" borderId="71" xfId="0" applyNumberFormat="1" applyFont="1" applyFill="1" applyBorder="1"/>
    <xf numFmtId="49" fontId="4" fillId="2" borderId="73" xfId="0" applyNumberFormat="1" applyFont="1" applyFill="1" applyBorder="1"/>
    <xf numFmtId="49" fontId="4" fillId="2" borderId="103" xfId="0" applyNumberFormat="1" applyFont="1" applyFill="1" applyBorder="1"/>
    <xf numFmtId="49" fontId="4" fillId="2" borderId="38" xfId="0" applyNumberFormat="1" applyFont="1" applyFill="1" applyBorder="1"/>
    <xf numFmtId="49" fontId="4" fillId="2" borderId="39" xfId="0" applyNumberFormat="1" applyFont="1" applyFill="1" applyBorder="1"/>
    <xf numFmtId="49" fontId="4" fillId="2" borderId="104" xfId="0" applyNumberFormat="1" applyFont="1" applyFill="1" applyBorder="1" applyAlignment="1">
      <alignment horizontal="center"/>
    </xf>
    <xf numFmtId="49" fontId="4" fillId="2" borderId="72" xfId="0" applyNumberFormat="1" applyFont="1" applyFill="1" applyBorder="1" applyAlignment="1">
      <alignment horizontal="center"/>
    </xf>
    <xf numFmtId="49" fontId="4" fillId="2" borderId="105" xfId="0" applyNumberFormat="1" applyFont="1" applyFill="1" applyBorder="1" applyAlignment="1">
      <alignment horizontal="right"/>
    </xf>
    <xf numFmtId="49" fontId="4" fillId="2" borderId="71" xfId="0" applyNumberFormat="1" applyFont="1" applyFill="1" applyBorder="1" applyAlignment="1">
      <alignment horizontal="right"/>
    </xf>
    <xf numFmtId="165" fontId="0" fillId="2" borderId="0" xfId="0" applyNumberFormat="1" applyFill="1" applyBorder="1" applyAlignment="1">
      <alignment horizontal="right" vertical="center"/>
    </xf>
    <xf numFmtId="165" fontId="0" fillId="2" borderId="0" xfId="0" applyNumberFormat="1" applyFill="1" applyBorder="1" applyAlignment="1">
      <alignment horizontal="right"/>
    </xf>
    <xf numFmtId="165" fontId="0" fillId="2" borderId="60" xfId="0" applyNumberFormat="1" applyFill="1" applyBorder="1" applyAlignment="1">
      <alignment horizontal="right"/>
    </xf>
    <xf numFmtId="165" fontId="0" fillId="8" borderId="0" xfId="0" applyNumberFormat="1" applyFill="1" applyBorder="1"/>
    <xf numFmtId="183" fontId="13" fillId="2" borderId="0" xfId="0" applyNumberFormat="1" applyFont="1" applyFill="1"/>
    <xf numFmtId="165" fontId="0" fillId="8" borderId="64" xfId="0" applyNumberFormat="1" applyFill="1" applyBorder="1" applyAlignment="1">
      <alignment horizontal="right"/>
    </xf>
    <xf numFmtId="165" fontId="0" fillId="8" borderId="52" xfId="0" applyNumberFormat="1" applyFill="1" applyBorder="1" applyAlignment="1">
      <alignment horizontal="right"/>
    </xf>
    <xf numFmtId="165" fontId="0" fillId="8" borderId="42" xfId="0" applyNumberFormat="1" applyFill="1" applyBorder="1"/>
    <xf numFmtId="165" fontId="0" fillId="8" borderId="15" xfId="0" applyNumberFormat="1" applyFill="1" applyBorder="1"/>
    <xf numFmtId="165" fontId="0" fillId="8" borderId="106" xfId="0" applyNumberFormat="1" applyFill="1" applyBorder="1" applyAlignment="1">
      <alignment horizontal="right"/>
    </xf>
    <xf numFmtId="165" fontId="0" fillId="8" borderId="35" xfId="0" applyNumberFormat="1" applyFill="1" applyBorder="1"/>
    <xf numFmtId="165" fontId="0" fillId="8" borderId="67" xfId="0" applyNumberFormat="1" applyFill="1" applyBorder="1" applyAlignment="1">
      <alignment horizontal="right"/>
    </xf>
    <xf numFmtId="174" fontId="12" fillId="2" borderId="0" xfId="0" applyNumberFormat="1" applyFont="1" applyFill="1"/>
    <xf numFmtId="174" fontId="12" fillId="2" borderId="0" xfId="0" applyNumberFormat="1" applyFont="1" applyFill="1" applyAlignment="1">
      <alignment horizontal="right"/>
    </xf>
    <xf numFmtId="183" fontId="12" fillId="2" borderId="0" xfId="0" applyNumberFormat="1" applyFont="1" applyFill="1"/>
    <xf numFmtId="173" fontId="12" fillId="2" borderId="107" xfId="0" applyNumberFormat="1" applyFont="1" applyFill="1" applyBorder="1" applyAlignment="1">
      <alignment horizontal="right"/>
    </xf>
    <xf numFmtId="165" fontId="0" fillId="2" borderId="0" xfId="0" applyNumberFormat="1" applyFill="1" applyBorder="1" applyAlignment="1">
      <alignment horizontal="center" vertical="center"/>
    </xf>
    <xf numFmtId="0" fontId="0" fillId="4" borderId="37" xfId="0" applyFill="1" applyBorder="1"/>
    <xf numFmtId="0" fontId="0" fillId="4" borderId="60" xfId="0" applyFill="1" applyBorder="1"/>
    <xf numFmtId="17" fontId="0" fillId="0" borderId="0" xfId="0" applyNumberFormat="1"/>
    <xf numFmtId="2" fontId="0" fillId="0" borderId="0" xfId="0" applyNumberFormat="1"/>
    <xf numFmtId="0" fontId="2" fillId="0" borderId="0" xfId="0" applyFont="1" applyAlignment="1">
      <alignment horizontal="center"/>
    </xf>
    <xf numFmtId="0" fontId="0" fillId="0" borderId="0" xfId="0" applyAlignment="1">
      <alignment horizontal="center"/>
    </xf>
    <xf numFmtId="2" fontId="0" fillId="0" borderId="0" xfId="0" applyNumberFormat="1" applyFill="1"/>
    <xf numFmtId="2" fontId="0" fillId="0" borderId="0" xfId="0" applyNumberFormat="1" applyAlignment="1">
      <alignment horizontal="center"/>
    </xf>
    <xf numFmtId="40" fontId="0" fillId="0" borderId="0" xfId="0" applyNumberFormat="1" applyAlignment="1">
      <alignment horizontal="center"/>
    </xf>
    <xf numFmtId="0" fontId="29" fillId="0" borderId="0" xfId="0" applyFont="1"/>
    <xf numFmtId="0" fontId="0" fillId="0" borderId="108" xfId="0" applyBorder="1"/>
    <xf numFmtId="0" fontId="0" fillId="0" borderId="109" xfId="0" applyBorder="1"/>
    <xf numFmtId="0" fontId="0" fillId="0" borderId="110" xfId="0" applyBorder="1"/>
    <xf numFmtId="0" fontId="0" fillId="0" borderId="111" xfId="0" applyBorder="1"/>
    <xf numFmtId="0" fontId="0" fillId="0" borderId="0" xfId="0" applyBorder="1"/>
    <xf numFmtId="0" fontId="0" fillId="0" borderId="112" xfId="0" applyBorder="1"/>
    <xf numFmtId="0" fontId="2" fillId="0" borderId="111" xfId="0" applyFont="1" applyBorder="1" applyAlignment="1">
      <alignment horizontal="center"/>
    </xf>
    <xf numFmtId="0" fontId="2" fillId="0" borderId="0" xfId="0" applyFont="1" applyBorder="1" applyAlignment="1">
      <alignment horizontal="center"/>
    </xf>
    <xf numFmtId="0" fontId="0" fillId="0" borderId="19" xfId="0" applyBorder="1"/>
    <xf numFmtId="0" fontId="0" fillId="0" borderId="94" xfId="0" applyBorder="1"/>
    <xf numFmtId="0" fontId="0" fillId="0" borderId="95" xfId="0" applyBorder="1"/>
    <xf numFmtId="0" fontId="8" fillId="0" borderId="0" xfId="0" applyFont="1" applyBorder="1"/>
    <xf numFmtId="0" fontId="8" fillId="0" borderId="109" xfId="0" applyFont="1" applyBorder="1"/>
    <xf numFmtId="0" fontId="2" fillId="12" borderId="0" xfId="0" applyFont="1" applyFill="1"/>
    <xf numFmtId="0" fontId="7" fillId="6" borderId="50" xfId="0" quotePrefix="1" applyNumberFormat="1" applyFont="1" applyFill="1" applyBorder="1" applyAlignment="1" applyProtection="1">
      <alignment horizontal="center" vertical="center"/>
      <protection locked="0"/>
    </xf>
    <xf numFmtId="49" fontId="4" fillId="2" borderId="38" xfId="0" quotePrefix="1" applyNumberFormat="1" applyFont="1" applyFill="1" applyBorder="1"/>
    <xf numFmtId="0" fontId="4" fillId="2" borderId="36" xfId="0" quotePrefix="1" applyFont="1" applyFill="1" applyBorder="1" applyAlignment="1">
      <alignment horizontal="left"/>
    </xf>
    <xf numFmtId="14" fontId="0" fillId="2" borderId="0" xfId="0" applyNumberFormat="1" applyFill="1"/>
    <xf numFmtId="3" fontId="13" fillId="2" borderId="0" xfId="0" applyNumberFormat="1" applyFont="1" applyFill="1"/>
    <xf numFmtId="184" fontId="0" fillId="0" borderId="0" xfId="0" applyNumberFormat="1" applyAlignment="1">
      <alignment horizontal="center"/>
    </xf>
    <xf numFmtId="17" fontId="0" fillId="0" borderId="0" xfId="0" applyNumberFormat="1" applyBorder="1"/>
    <xf numFmtId="165" fontId="0" fillId="2" borderId="65" xfId="0" applyNumberFormat="1" applyFill="1" applyBorder="1" applyAlignment="1">
      <alignment horizontal="center"/>
    </xf>
    <xf numFmtId="165" fontId="0" fillId="2" borderId="0" xfId="0" applyNumberFormat="1" applyFill="1" applyBorder="1" applyAlignment="1">
      <alignment horizontal="center"/>
    </xf>
    <xf numFmtId="165" fontId="0" fillId="2" borderId="52" xfId="0" applyNumberFormat="1" applyFill="1" applyBorder="1" applyAlignment="1">
      <alignment horizontal="center"/>
    </xf>
    <xf numFmtId="0" fontId="2" fillId="2" borderId="65" xfId="0" applyFont="1" applyFill="1" applyBorder="1" applyAlignment="1">
      <alignment horizontal="center" wrapText="1"/>
    </xf>
    <xf numFmtId="0" fontId="2" fillId="2" borderId="0" xfId="0" applyFont="1" applyFill="1" applyBorder="1" applyAlignment="1">
      <alignment horizontal="center" wrapText="1"/>
    </xf>
    <xf numFmtId="0" fontId="2" fillId="2" borderId="52" xfId="0" applyFont="1" applyFill="1" applyBorder="1" applyAlignment="1">
      <alignment horizontal="center" wrapText="1"/>
    </xf>
    <xf numFmtId="185" fontId="0" fillId="2" borderId="65" xfId="0" applyNumberFormat="1" applyFill="1" applyBorder="1" applyAlignment="1">
      <alignment horizontal="center"/>
    </xf>
    <xf numFmtId="185" fontId="0" fillId="2" borderId="0" xfId="0" applyNumberFormat="1" applyFill="1" applyBorder="1" applyAlignment="1">
      <alignment horizontal="center"/>
    </xf>
    <xf numFmtId="185" fontId="0" fillId="2" borderId="52" xfId="0" applyNumberFormat="1" applyFill="1" applyBorder="1" applyAlignment="1">
      <alignment horizontal="center"/>
    </xf>
    <xf numFmtId="0" fontId="0" fillId="2" borderId="66" xfId="0" applyFill="1" applyBorder="1"/>
    <xf numFmtId="0" fontId="0" fillId="2" borderId="35" xfId="0" applyFill="1" applyBorder="1"/>
    <xf numFmtId="0" fontId="0" fillId="2" borderId="67" xfId="0" applyFill="1" applyBorder="1"/>
    <xf numFmtId="38" fontId="0" fillId="0" borderId="0" xfId="0" applyNumberFormat="1" applyAlignment="1">
      <alignment horizontal="center"/>
    </xf>
    <xf numFmtId="0" fontId="0" fillId="0" borderId="0" xfId="0" applyFill="1" applyBorder="1"/>
    <xf numFmtId="17" fontId="36" fillId="0" borderId="0" xfId="0" applyNumberFormat="1" applyFont="1" applyFill="1" applyBorder="1"/>
    <xf numFmtId="17" fontId="36" fillId="0" borderId="0" xfId="0" applyNumberFormat="1" applyFont="1" applyFill="1" applyBorder="1" applyAlignment="1">
      <alignment horizontal="left"/>
    </xf>
    <xf numFmtId="17" fontId="36" fillId="0" borderId="0" xfId="0" applyNumberFormat="1" applyFont="1" applyFill="1" applyBorder="1" applyAlignment="1">
      <alignment horizontal="center"/>
    </xf>
    <xf numFmtId="0" fontId="37" fillId="0" borderId="0" xfId="0" applyFont="1" applyFill="1" applyBorder="1" applyAlignment="1">
      <alignment horizontal="left" vertical="center"/>
    </xf>
    <xf numFmtId="0" fontId="0" fillId="0" borderId="0" xfId="0" applyFill="1" applyBorder="1" applyAlignment="1"/>
    <xf numFmtId="0" fontId="0" fillId="0" borderId="0" xfId="0" applyAlignment="1"/>
    <xf numFmtId="0" fontId="37" fillId="0" borderId="0" xfId="0" applyFont="1" applyFill="1" applyBorder="1" applyAlignment="1">
      <alignment horizontal="center" vertical="center"/>
    </xf>
    <xf numFmtId="0" fontId="2" fillId="2" borderId="65" xfId="0" applyFont="1" applyFill="1" applyBorder="1" applyAlignment="1">
      <alignment horizontal="center"/>
    </xf>
    <xf numFmtId="0" fontId="2" fillId="2" borderId="0" xfId="0" applyFont="1" applyFill="1" applyBorder="1" applyAlignment="1">
      <alignment horizontal="center"/>
    </xf>
    <xf numFmtId="0" fontId="2" fillId="2" borderId="52" xfId="0" applyFont="1" applyFill="1" applyBorder="1" applyAlignment="1">
      <alignment horizontal="center"/>
    </xf>
    <xf numFmtId="164" fontId="13" fillId="13" borderId="0" xfId="0" applyNumberFormat="1" applyFont="1" applyFill="1" applyBorder="1"/>
    <xf numFmtId="183" fontId="0" fillId="2" borderId="64" xfId="0" applyNumberFormat="1" applyFill="1" applyBorder="1"/>
    <xf numFmtId="183" fontId="0" fillId="2" borderId="52" xfId="0" applyNumberFormat="1" applyFill="1" applyBorder="1"/>
    <xf numFmtId="37" fontId="0" fillId="2" borderId="52" xfId="0" applyNumberFormat="1" applyFill="1" applyBorder="1"/>
    <xf numFmtId="176" fontId="0" fillId="2" borderId="52" xfId="0" applyNumberFormat="1" applyFill="1" applyBorder="1"/>
    <xf numFmtId="10" fontId="0" fillId="2" borderId="67" xfId="0" applyNumberFormat="1" applyFill="1" applyBorder="1"/>
    <xf numFmtId="37" fontId="2" fillId="7" borderId="89" xfId="0" applyNumberFormat="1" applyFont="1" applyFill="1" applyBorder="1"/>
    <xf numFmtId="37" fontId="2" fillId="7" borderId="1" xfId="0" applyNumberFormat="1" applyFont="1" applyFill="1" applyBorder="1"/>
    <xf numFmtId="37" fontId="2" fillId="7" borderId="90" xfId="0" applyNumberFormat="1" applyFont="1" applyFill="1" applyBorder="1"/>
    <xf numFmtId="38" fontId="0" fillId="0" borderId="113" xfId="0" applyNumberFormat="1" applyBorder="1" applyAlignment="1">
      <alignment horizontal="center"/>
    </xf>
    <xf numFmtId="186" fontId="0" fillId="0" borderId="0" xfId="0" applyNumberFormat="1" applyBorder="1" applyAlignment="1">
      <alignment horizontal="center"/>
    </xf>
    <xf numFmtId="186" fontId="8" fillId="0" borderId="0" xfId="0" applyNumberFormat="1" applyFont="1" applyBorder="1" applyAlignment="1">
      <alignment horizontal="center"/>
    </xf>
    <xf numFmtId="0" fontId="38" fillId="0" borderId="0" xfId="0" applyFont="1"/>
    <xf numFmtId="15" fontId="38" fillId="0" borderId="0" xfId="0" applyNumberFormat="1" applyFont="1"/>
    <xf numFmtId="1" fontId="38" fillId="0" borderId="0" xfId="0" applyNumberFormat="1" applyFont="1"/>
    <xf numFmtId="0" fontId="39" fillId="0" borderId="65" xfId="0" applyFont="1" applyBorder="1" applyAlignment="1">
      <alignment horizontal="center"/>
    </xf>
    <xf numFmtId="0" fontId="39" fillId="0" borderId="0" xfId="0" applyFont="1" applyBorder="1" applyAlignment="1">
      <alignment horizontal="center"/>
    </xf>
    <xf numFmtId="0" fontId="39" fillId="0" borderId="52" xfId="0" applyFont="1" applyBorder="1" applyAlignment="1">
      <alignment horizontal="center"/>
    </xf>
    <xf numFmtId="0" fontId="39" fillId="0" borderId="66" xfId="0" applyFont="1" applyBorder="1" applyAlignment="1">
      <alignment horizontal="center"/>
    </xf>
    <xf numFmtId="0" fontId="39" fillId="0" borderId="35" xfId="0" applyFont="1" applyBorder="1" applyAlignment="1">
      <alignment horizontal="center"/>
    </xf>
    <xf numFmtId="0" fontId="39" fillId="0" borderId="67" xfId="0" applyFont="1" applyBorder="1" applyAlignment="1">
      <alignment horizontal="center"/>
    </xf>
    <xf numFmtId="0" fontId="39" fillId="0" borderId="61" xfId="0" applyFont="1" applyBorder="1" applyAlignment="1">
      <alignment horizontal="centerContinuous"/>
    </xf>
    <xf numFmtId="0" fontId="39" fillId="0" borderId="37" xfId="0" applyFont="1" applyBorder="1" applyAlignment="1">
      <alignment horizontal="centerContinuous"/>
    </xf>
    <xf numFmtId="0" fontId="39" fillId="0" borderId="60" xfId="0" applyFont="1" applyBorder="1" applyAlignment="1">
      <alignment horizontal="centerContinuous"/>
    </xf>
    <xf numFmtId="1" fontId="38" fillId="0" borderId="52" xfId="0" applyNumberFormat="1" applyFont="1" applyBorder="1"/>
    <xf numFmtId="9" fontId="0" fillId="0" borderId="0" xfId="0" applyNumberFormat="1"/>
    <xf numFmtId="1" fontId="38" fillId="0" borderId="0" xfId="0" applyNumberFormat="1" applyFont="1" applyBorder="1"/>
    <xf numFmtId="0" fontId="38" fillId="9" borderId="37" xfId="0" applyFont="1" applyFill="1" applyBorder="1"/>
    <xf numFmtId="15" fontId="0" fillId="0" borderId="0" xfId="0" applyNumberFormat="1"/>
    <xf numFmtId="1" fontId="0" fillId="0" borderId="0" xfId="0" quotePrefix="1" applyNumberFormat="1" applyAlignment="1">
      <alignment horizontal="right"/>
    </xf>
    <xf numFmtId="187" fontId="0" fillId="0" borderId="0" xfId="0" applyNumberFormat="1"/>
    <xf numFmtId="10" fontId="0" fillId="0" borderId="0" xfId="0" applyNumberFormat="1"/>
    <xf numFmtId="0" fontId="13" fillId="0" borderId="0" xfId="0" applyFont="1" applyAlignment="1">
      <alignment horizontal="right"/>
    </xf>
    <xf numFmtId="0" fontId="2" fillId="0" borderId="0" xfId="0" applyFont="1" applyAlignment="1">
      <alignment wrapText="1"/>
    </xf>
    <xf numFmtId="3" fontId="2" fillId="0" borderId="0" xfId="0" applyNumberFormat="1" applyFont="1" applyAlignment="1">
      <alignment horizontal="right" wrapText="1"/>
    </xf>
    <xf numFmtId="15" fontId="2" fillId="0" borderId="0" xfId="0" applyNumberFormat="1" applyFont="1" applyAlignment="1">
      <alignment horizontal="right" wrapText="1"/>
    </xf>
    <xf numFmtId="1" fontId="2" fillId="0" borderId="0" xfId="0" quotePrefix="1" applyNumberFormat="1" applyFont="1" applyAlignment="1">
      <alignment horizontal="right" wrapText="1"/>
    </xf>
    <xf numFmtId="187" fontId="2" fillId="0" borderId="0" xfId="0" applyNumberFormat="1" applyFont="1" applyAlignment="1">
      <alignment horizontal="right" wrapText="1"/>
    </xf>
    <xf numFmtId="0" fontId="2" fillId="0" borderId="0" xfId="0" applyFont="1" applyAlignment="1">
      <alignment horizontal="center" wrapText="1"/>
    </xf>
    <xf numFmtId="187" fontId="2" fillId="0" borderId="0" xfId="0" applyNumberFormat="1" applyFont="1" applyAlignment="1">
      <alignment horizontal="center" wrapText="1"/>
    </xf>
    <xf numFmtId="10" fontId="2" fillId="0" borderId="0" xfId="0" applyNumberFormat="1" applyFont="1" applyAlignment="1">
      <alignment horizontal="right" wrapText="1"/>
    </xf>
    <xf numFmtId="10" fontId="2" fillId="0" borderId="0" xfId="0" applyNumberFormat="1" applyFont="1" applyAlignment="1">
      <alignment horizontal="center" wrapText="1"/>
    </xf>
    <xf numFmtId="0" fontId="12" fillId="0" borderId="0" xfId="0" applyFont="1" applyAlignment="1">
      <alignment horizontal="right" wrapText="1"/>
    </xf>
    <xf numFmtId="0" fontId="2" fillId="0" borderId="0" xfId="0" applyFont="1"/>
    <xf numFmtId="3" fontId="0" fillId="0" borderId="0" xfId="0" applyNumberFormat="1" applyBorder="1" applyAlignment="1">
      <alignment horizontal="right"/>
    </xf>
    <xf numFmtId="15" fontId="0" fillId="0" borderId="0" xfId="0" applyNumberFormat="1" applyBorder="1"/>
    <xf numFmtId="1" fontId="0" fillId="0" borderId="0" xfId="0" quotePrefix="1" applyNumberFormat="1" applyBorder="1" applyAlignment="1">
      <alignment horizontal="right"/>
    </xf>
    <xf numFmtId="187" fontId="0" fillId="0" borderId="0" xfId="0" applyNumberFormat="1" applyBorder="1"/>
    <xf numFmtId="176" fontId="0" fillId="0" borderId="0" xfId="0" applyNumberFormat="1" applyBorder="1"/>
    <xf numFmtId="10" fontId="0" fillId="0" borderId="0" xfId="0" applyNumberFormat="1" applyBorder="1"/>
    <xf numFmtId="38" fontId="0" fillId="0" borderId="0" xfId="0" applyNumberFormat="1" applyFill="1" applyBorder="1"/>
    <xf numFmtId="10" fontId="0" fillId="0" borderId="0" xfId="0" applyNumberFormat="1" applyFill="1" applyBorder="1"/>
    <xf numFmtId="187" fontId="0" fillId="0" borderId="0" xfId="0" applyNumberFormat="1" applyFill="1" applyBorder="1"/>
    <xf numFmtId="187" fontId="0" fillId="0" borderId="0" xfId="0" applyNumberFormat="1" applyFill="1" applyBorder="1" applyAlignment="1">
      <alignment horizontal="center"/>
    </xf>
    <xf numFmtId="0" fontId="13" fillId="0" borderId="0" xfId="0" applyFont="1" applyBorder="1" applyAlignment="1">
      <alignment horizontal="right"/>
    </xf>
    <xf numFmtId="187" fontId="0" fillId="0" borderId="113" xfId="0" applyNumberFormat="1" applyBorder="1"/>
    <xf numFmtId="3" fontId="0" fillId="0" borderId="0" xfId="0" applyNumberFormat="1" applyAlignment="1">
      <alignment horizontal="right"/>
    </xf>
    <xf numFmtId="0" fontId="0" fillId="0" borderId="0" xfId="0" applyFill="1" applyBorder="1" applyAlignment="1">
      <alignment horizontal="center"/>
    </xf>
    <xf numFmtId="6" fontId="0" fillId="0" borderId="0" xfId="0" applyNumberFormat="1" applyFill="1" applyBorder="1"/>
    <xf numFmtId="10" fontId="0" fillId="0" borderId="0" xfId="0" applyNumberFormat="1" applyAlignment="1">
      <alignment horizontal="center"/>
    </xf>
    <xf numFmtId="0" fontId="0" fillId="0" borderId="0" xfId="0" quotePrefix="1" applyFill="1" applyBorder="1" applyAlignment="1">
      <alignment horizontal="right"/>
    </xf>
    <xf numFmtId="15" fontId="2" fillId="0" borderId="0" xfId="0" applyNumberFormat="1" applyFont="1" applyBorder="1"/>
    <xf numFmtId="187" fontId="2" fillId="0" borderId="0" xfId="0" applyNumberFormat="1" applyFont="1" applyAlignment="1">
      <alignment horizontal="center"/>
    </xf>
    <xf numFmtId="187" fontId="2" fillId="0" borderId="0" xfId="0" applyNumberFormat="1" applyFont="1" applyFill="1" applyBorder="1" applyAlignment="1">
      <alignment horizontal="center"/>
    </xf>
    <xf numFmtId="187" fontId="0" fillId="0" borderId="0" xfId="0" applyNumberFormat="1" applyAlignment="1">
      <alignment horizontal="right"/>
    </xf>
    <xf numFmtId="181" fontId="0" fillId="0" borderId="0" xfId="0" applyNumberFormat="1" applyAlignment="1">
      <alignment horizontal="right"/>
    </xf>
    <xf numFmtId="0" fontId="35" fillId="0" borderId="0" xfId="0" applyFont="1" applyFill="1" applyBorder="1"/>
    <xf numFmtId="0" fontId="1" fillId="0" borderId="0" xfId="0" applyFont="1" applyFill="1"/>
    <xf numFmtId="0" fontId="40" fillId="0" borderId="0" xfId="0" applyFont="1" applyFill="1" applyBorder="1"/>
    <xf numFmtId="0" fontId="40" fillId="0" borderId="0" xfId="0" applyFont="1" applyFill="1"/>
    <xf numFmtId="3" fontId="38" fillId="0" borderId="0" xfId="0" applyNumberFormat="1" applyFont="1"/>
    <xf numFmtId="14" fontId="38" fillId="0" borderId="0" xfId="0" applyNumberFormat="1" applyFont="1" applyBorder="1"/>
    <xf numFmtId="179" fontId="38" fillId="0" borderId="0" xfId="1" applyNumberFormat="1" applyFont="1" applyBorder="1"/>
    <xf numFmtId="179" fontId="38" fillId="0" borderId="65" xfId="1" applyNumberFormat="1" applyFont="1" applyBorder="1"/>
    <xf numFmtId="179" fontId="38" fillId="0" borderId="66" xfId="1" applyNumberFormat="1" applyFont="1" applyBorder="1"/>
    <xf numFmtId="179" fontId="38" fillId="0" borderId="35" xfId="1" applyNumberFormat="1" applyFont="1" applyBorder="1"/>
    <xf numFmtId="15" fontId="4" fillId="2" borderId="36" xfId="0" quotePrefix="1" applyNumberFormat="1" applyFont="1" applyFill="1" applyBorder="1" applyProtection="1">
      <protection locked="0"/>
    </xf>
    <xf numFmtId="1" fontId="2" fillId="2" borderId="0" xfId="0" applyNumberFormat="1" applyFont="1" applyFill="1"/>
    <xf numFmtId="188" fontId="4" fillId="2" borderId="0" xfId="0" applyNumberFormat="1" applyFont="1" applyFill="1"/>
    <xf numFmtId="1" fontId="0" fillId="7" borderId="61" xfId="0" applyNumberFormat="1" applyFill="1" applyBorder="1" applyAlignment="1">
      <alignment horizontal="right"/>
    </xf>
    <xf numFmtId="183" fontId="0" fillId="7" borderId="60" xfId="0" applyNumberFormat="1" applyFill="1" applyBorder="1" applyAlignment="1">
      <alignment horizontal="right"/>
    </xf>
    <xf numFmtId="1" fontId="4" fillId="2" borderId="65" xfId="0" applyNumberFormat="1" applyFont="1" applyFill="1" applyBorder="1"/>
    <xf numFmtId="188" fontId="4" fillId="2" borderId="52" xfId="0" applyNumberFormat="1" applyFont="1" applyFill="1" applyBorder="1"/>
    <xf numFmtId="1" fontId="4" fillId="2" borderId="66" xfId="0" applyNumberFormat="1" applyFont="1" applyFill="1" applyBorder="1"/>
    <xf numFmtId="188" fontId="4" fillId="2" borderId="67" xfId="0" applyNumberFormat="1" applyFont="1" applyFill="1" applyBorder="1"/>
    <xf numFmtId="182" fontId="18" fillId="6" borderId="14" xfId="0" applyNumberFormat="1" applyFont="1" applyFill="1" applyBorder="1" applyAlignment="1" applyProtection="1">
      <alignment horizontal="center"/>
      <protection locked="0"/>
    </xf>
    <xf numFmtId="182" fontId="4" fillId="6" borderId="114" xfId="0" applyNumberFormat="1" applyFont="1" applyFill="1" applyBorder="1" applyAlignment="1" applyProtection="1">
      <alignment horizontal="center"/>
      <protection locked="0"/>
    </xf>
    <xf numFmtId="174" fontId="4" fillId="2" borderId="114" xfId="0" applyNumberFormat="1" applyFont="1" applyFill="1" applyBorder="1" applyAlignment="1" applyProtection="1">
      <alignment horizontal="center"/>
      <protection locked="0"/>
    </xf>
    <xf numFmtId="182" fontId="4" fillId="6" borderId="115" xfId="0" applyNumberFormat="1" applyFont="1" applyFill="1" applyBorder="1" applyAlignment="1" applyProtection="1">
      <alignment horizontal="center"/>
      <protection locked="0"/>
    </xf>
    <xf numFmtId="0" fontId="4" fillId="6" borderId="116" xfId="0" applyFont="1" applyFill="1" applyBorder="1" applyAlignment="1" applyProtection="1">
      <alignment horizontal="center" vertical="center" wrapText="1"/>
      <protection locked="0"/>
    </xf>
    <xf numFmtId="172" fontId="4" fillId="2" borderId="114" xfId="0" applyNumberFormat="1" applyFont="1" applyFill="1" applyBorder="1" applyAlignment="1" applyProtection="1">
      <alignment horizontal="center"/>
      <protection locked="0"/>
    </xf>
    <xf numFmtId="182" fontId="4" fillId="2" borderId="117" xfId="0" applyNumberFormat="1" applyFont="1" applyFill="1" applyBorder="1" applyAlignment="1" applyProtection="1">
      <alignment horizontal="center"/>
      <protection locked="0"/>
    </xf>
    <xf numFmtId="182" fontId="4" fillId="6" borderId="116" xfId="0" applyNumberFormat="1" applyFont="1" applyFill="1" applyBorder="1" applyAlignment="1" applyProtection="1">
      <alignment horizontal="center"/>
      <protection locked="0"/>
    </xf>
    <xf numFmtId="182" fontId="4" fillId="2" borderId="118" xfId="0" applyNumberFormat="1" applyFont="1" applyFill="1" applyBorder="1" applyAlignment="1" applyProtection="1">
      <alignment horizontal="center"/>
      <protection locked="0"/>
    </xf>
    <xf numFmtId="0" fontId="35" fillId="9" borderId="0" xfId="0" applyFont="1" applyFill="1" applyBorder="1"/>
    <xf numFmtId="0" fontId="35" fillId="9" borderId="0" xfId="0" applyFont="1" applyFill="1" applyBorder="1" applyAlignment="1">
      <alignment horizontal="left"/>
    </xf>
    <xf numFmtId="0" fontId="2" fillId="0" borderId="0" xfId="0" applyFont="1" applyAlignment="1">
      <alignment horizontal="right"/>
    </xf>
    <xf numFmtId="0" fontId="2" fillId="0" borderId="0" xfId="0" applyFont="1" applyAlignment="1">
      <alignment horizontal="left"/>
    </xf>
    <xf numFmtId="0" fontId="0" fillId="0" borderId="0" xfId="0" applyAlignment="1">
      <alignment horizontal="left"/>
    </xf>
    <xf numFmtId="0" fontId="38" fillId="0" borderId="0" xfId="0" applyFont="1" applyBorder="1"/>
    <xf numFmtId="0" fontId="39" fillId="0" borderId="0" xfId="0" applyFont="1" applyBorder="1" applyAlignment="1">
      <alignment horizontal="centerContinuous"/>
    </xf>
    <xf numFmtId="0" fontId="38" fillId="0" borderId="0" xfId="0" applyFont="1" applyBorder="1" applyAlignment="1">
      <alignment horizontal="centerContinuous"/>
    </xf>
    <xf numFmtId="15" fontId="38" fillId="0" borderId="0" xfId="0" applyNumberFormat="1" applyFont="1" applyBorder="1"/>
    <xf numFmtId="180" fontId="38" fillId="0" borderId="0" xfId="0" applyNumberFormat="1" applyFont="1" applyBorder="1"/>
    <xf numFmtId="0" fontId="38" fillId="0" borderId="36" xfId="0" applyFont="1" applyBorder="1"/>
    <xf numFmtId="192" fontId="38" fillId="0" borderId="0" xfId="1" applyNumberFormat="1" applyFont="1"/>
    <xf numFmtId="192" fontId="0" fillId="0" borderId="1" xfId="1" applyNumberFormat="1" applyFont="1" applyBorder="1"/>
    <xf numFmtId="192" fontId="0" fillId="0" borderId="90" xfId="1" applyNumberFormat="1" applyFont="1" applyBorder="1"/>
    <xf numFmtId="192" fontId="0" fillId="0" borderId="0" xfId="1" applyNumberFormat="1" applyFont="1" applyBorder="1"/>
    <xf numFmtId="1" fontId="39" fillId="0" borderId="119" xfId="0" applyNumberFormat="1" applyFont="1" applyBorder="1"/>
    <xf numFmtId="1" fontId="39" fillId="0" borderId="120" xfId="0" applyNumberFormat="1" applyFont="1" applyBorder="1"/>
    <xf numFmtId="0" fontId="38" fillId="14" borderId="61" xfId="0" applyFont="1" applyFill="1" applyBorder="1"/>
    <xf numFmtId="0" fontId="38" fillId="14" borderId="1" xfId="0" applyFont="1" applyFill="1" applyBorder="1"/>
    <xf numFmtId="0" fontId="39" fillId="14" borderId="1" xfId="0" applyFont="1" applyFill="1" applyBorder="1"/>
    <xf numFmtId="0" fontId="39" fillId="14" borderId="90" xfId="0" applyFont="1" applyFill="1" applyBorder="1"/>
    <xf numFmtId="0" fontId="39" fillId="14" borderId="37" xfId="0" applyFont="1" applyFill="1" applyBorder="1" applyAlignment="1">
      <alignment horizontal="centerContinuous"/>
    </xf>
    <xf numFmtId="0" fontId="39" fillId="14" borderId="63" xfId="0" applyFont="1" applyFill="1" applyBorder="1" applyAlignment="1">
      <alignment horizontal="centerContinuous"/>
    </xf>
    <xf numFmtId="0" fontId="39" fillId="14" borderId="64" xfId="0" applyFont="1" applyFill="1" applyBorder="1" applyAlignment="1">
      <alignment horizontal="centerContinuous"/>
    </xf>
    <xf numFmtId="0" fontId="39" fillId="14" borderId="62" xfId="0" applyFont="1" applyFill="1" applyBorder="1" applyAlignment="1">
      <alignment horizontal="centerContinuous"/>
    </xf>
    <xf numFmtId="0" fontId="39" fillId="14" borderId="60" xfId="0" applyFont="1" applyFill="1" applyBorder="1" applyAlignment="1">
      <alignment horizontal="centerContinuous"/>
    </xf>
    <xf numFmtId="0" fontId="39" fillId="14" borderId="66" xfId="0" applyFont="1" applyFill="1" applyBorder="1" applyAlignment="1">
      <alignment horizontal="center"/>
    </xf>
    <xf numFmtId="0" fontId="39" fillId="14" borderId="35" xfId="0" applyFont="1" applyFill="1" applyBorder="1" applyAlignment="1">
      <alignment horizontal="center"/>
    </xf>
    <xf numFmtId="0" fontId="39" fillId="14" borderId="37" xfId="0" applyFont="1" applyFill="1" applyBorder="1" applyAlignment="1">
      <alignment horizontal="center"/>
    </xf>
    <xf numFmtId="0" fontId="39" fillId="14" borderId="60" xfId="0" applyFont="1" applyFill="1" applyBorder="1" applyAlignment="1">
      <alignment horizontal="center"/>
    </xf>
    <xf numFmtId="0" fontId="38" fillId="14" borderId="37" xfId="0" applyFont="1" applyFill="1" applyBorder="1"/>
    <xf numFmtId="1" fontId="38" fillId="14" borderId="37" xfId="0" applyNumberFormat="1" applyFont="1" applyFill="1" applyBorder="1"/>
    <xf numFmtId="0" fontId="39" fillId="14" borderId="37" xfId="0" applyFont="1" applyFill="1" applyBorder="1"/>
    <xf numFmtId="0" fontId="38" fillId="14" borderId="60" xfId="0" applyFont="1" applyFill="1" applyBorder="1"/>
    <xf numFmtId="0" fontId="39" fillId="14" borderId="67" xfId="0" applyFont="1" applyFill="1" applyBorder="1" applyAlignment="1">
      <alignment horizontal="center"/>
    </xf>
    <xf numFmtId="0" fontId="38" fillId="14" borderId="37" xfId="0" applyFont="1" applyFill="1" applyBorder="1" applyAlignment="1">
      <alignment horizontal="centerContinuous"/>
    </xf>
    <xf numFmtId="0" fontId="38" fillId="14" borderId="60" xfId="0" applyFont="1" applyFill="1" applyBorder="1" applyAlignment="1">
      <alignment horizontal="centerContinuous"/>
    </xf>
    <xf numFmtId="15" fontId="38" fillId="14" borderId="89" xfId="0" applyNumberFormat="1" applyFont="1" applyFill="1" applyBorder="1"/>
    <xf numFmtId="15" fontId="38" fillId="14" borderId="1" xfId="0" applyNumberFormat="1" applyFont="1" applyFill="1" applyBorder="1"/>
    <xf numFmtId="15" fontId="38" fillId="14" borderId="90" xfId="0" applyNumberFormat="1" applyFont="1" applyFill="1" applyBorder="1"/>
    <xf numFmtId="0" fontId="38" fillId="0" borderId="0" xfId="0" applyFont="1" applyFill="1"/>
    <xf numFmtId="1" fontId="38" fillId="0" borderId="94" xfId="0" applyNumberFormat="1" applyFont="1" applyBorder="1"/>
    <xf numFmtId="1" fontId="38" fillId="0" borderId="121" xfId="0" applyNumberFormat="1" applyFont="1" applyBorder="1"/>
    <xf numFmtId="15" fontId="38" fillId="14" borderId="66" xfId="0" applyNumberFormat="1" applyFont="1" applyFill="1" applyBorder="1"/>
    <xf numFmtId="1" fontId="38" fillId="0" borderId="119" xfId="0" applyNumberFormat="1" applyFont="1" applyBorder="1"/>
    <xf numFmtId="1" fontId="38" fillId="0" borderId="120" xfId="0" applyNumberFormat="1" applyFont="1" applyBorder="1"/>
    <xf numFmtId="1" fontId="38" fillId="0" borderId="122" xfId="0" applyNumberFormat="1" applyFont="1" applyBorder="1"/>
    <xf numFmtId="1" fontId="38" fillId="0" borderId="64" xfId="0" applyNumberFormat="1" applyFont="1" applyBorder="1"/>
    <xf numFmtId="1" fontId="38" fillId="0" borderId="47" xfId="0" applyNumberFormat="1" applyFont="1" applyBorder="1"/>
    <xf numFmtId="0" fontId="39" fillId="14" borderId="36" xfId="0" applyFont="1" applyFill="1" applyBorder="1" applyAlignment="1">
      <alignment horizontal="center"/>
    </xf>
    <xf numFmtId="1" fontId="38" fillId="0" borderId="1" xfId="0" applyNumberFormat="1" applyFont="1" applyBorder="1"/>
    <xf numFmtId="1" fontId="39" fillId="0" borderId="47" xfId="0" applyNumberFormat="1" applyFont="1" applyBorder="1"/>
    <xf numFmtId="1" fontId="39" fillId="0" borderId="123" xfId="0" applyNumberFormat="1" applyFont="1" applyBorder="1"/>
    <xf numFmtId="1" fontId="39" fillId="0" borderId="122" xfId="0" applyNumberFormat="1" applyFont="1" applyBorder="1"/>
    <xf numFmtId="1" fontId="38" fillId="0" borderId="124" xfId="0" applyNumberFormat="1" applyFont="1" applyBorder="1"/>
    <xf numFmtId="1" fontId="38" fillId="0" borderId="123" xfId="0" applyNumberFormat="1" applyFont="1" applyBorder="1"/>
    <xf numFmtId="180" fontId="38" fillId="0" borderId="52" xfId="0" applyNumberFormat="1" applyFont="1" applyBorder="1"/>
    <xf numFmtId="180" fontId="38" fillId="0" borderId="1" xfId="0" applyNumberFormat="1" applyFont="1" applyBorder="1"/>
    <xf numFmtId="180" fontId="38" fillId="0" borderId="47" xfId="0" applyNumberFormat="1" applyFont="1" applyBorder="1"/>
    <xf numFmtId="10" fontId="1" fillId="0" borderId="0" xfId="3" applyNumberFormat="1"/>
    <xf numFmtId="14" fontId="0" fillId="0" borderId="0" xfId="0" applyNumberFormat="1" applyFill="1"/>
    <xf numFmtId="37" fontId="1" fillId="0" borderId="0" xfId="1" applyNumberFormat="1"/>
    <xf numFmtId="37" fontId="0" fillId="0" borderId="0" xfId="0" applyNumberFormat="1"/>
    <xf numFmtId="193" fontId="1" fillId="0" borderId="0" xfId="1" applyNumberFormat="1"/>
    <xf numFmtId="17" fontId="0" fillId="0" borderId="0" xfId="0" applyNumberFormat="1" applyFill="1"/>
    <xf numFmtId="37" fontId="1" fillId="0" borderId="0" xfId="1" applyNumberFormat="1" applyFont="1"/>
    <xf numFmtId="179" fontId="38" fillId="0" borderId="36" xfId="1" applyNumberFormat="1" applyFont="1" applyBorder="1"/>
    <xf numFmtId="192" fontId="0" fillId="0" borderId="36" xfId="1" applyNumberFormat="1" applyFont="1" applyBorder="1"/>
    <xf numFmtId="0" fontId="41" fillId="0" borderId="36" xfId="0" applyFont="1" applyBorder="1"/>
    <xf numFmtId="0" fontId="39" fillId="7" borderId="61" xfId="0" applyFont="1" applyFill="1" applyBorder="1" applyAlignment="1">
      <alignment horizontal="centerContinuous"/>
    </xf>
    <xf numFmtId="0" fontId="39" fillId="7" borderId="37" xfId="0" applyFont="1" applyFill="1" applyBorder="1" applyAlignment="1">
      <alignment horizontal="centerContinuous"/>
    </xf>
    <xf numFmtId="0" fontId="39" fillId="7" borderId="60" xfId="0" applyFont="1" applyFill="1" applyBorder="1" applyAlignment="1">
      <alignment horizontal="centerContinuous"/>
    </xf>
    <xf numFmtId="0" fontId="39" fillId="15" borderId="65" xfId="0" applyFont="1" applyFill="1" applyBorder="1" applyAlignment="1">
      <alignment horizontal="center"/>
    </xf>
    <xf numFmtId="0" fontId="39" fillId="15" borderId="0" xfId="0" applyFont="1" applyFill="1" applyBorder="1" applyAlignment="1">
      <alignment horizontal="center"/>
    </xf>
    <xf numFmtId="0" fontId="39" fillId="15" borderId="52" xfId="0" applyFont="1" applyFill="1" applyBorder="1" applyAlignment="1">
      <alignment horizontal="center"/>
    </xf>
    <xf numFmtId="0" fontId="39" fillId="15" borderId="66" xfId="0" applyFont="1" applyFill="1" applyBorder="1" applyAlignment="1">
      <alignment horizontal="center"/>
    </xf>
    <xf numFmtId="0" fontId="39" fillId="15" borderId="35" xfId="0" applyFont="1" applyFill="1" applyBorder="1" applyAlignment="1">
      <alignment horizontal="center"/>
    </xf>
    <xf numFmtId="0" fontId="39" fillId="15" borderId="67" xfId="0" applyFont="1" applyFill="1" applyBorder="1" applyAlignment="1">
      <alignment horizontal="center"/>
    </xf>
    <xf numFmtId="15" fontId="38" fillId="0" borderId="36" xfId="0" applyNumberFormat="1" applyFont="1" applyBorder="1"/>
    <xf numFmtId="1" fontId="38" fillId="0" borderId="36" xfId="0" applyNumberFormat="1" applyFont="1" applyBorder="1"/>
    <xf numFmtId="14" fontId="38" fillId="15" borderId="36" xfId="0" applyNumberFormat="1" applyFont="1" applyFill="1" applyBorder="1"/>
    <xf numFmtId="15" fontId="38" fillId="15" borderId="36" xfId="0" applyNumberFormat="1" applyFont="1" applyFill="1" applyBorder="1"/>
    <xf numFmtId="0" fontId="39" fillId="0" borderId="0" xfId="0" applyFont="1" applyFill="1" applyBorder="1" applyAlignment="1">
      <alignment horizontal="centerContinuous"/>
    </xf>
    <xf numFmtId="0" fontId="39" fillId="0" borderId="0" xfId="0" applyFont="1" applyFill="1" applyBorder="1" applyAlignment="1">
      <alignment horizontal="center"/>
    </xf>
    <xf numFmtId="1" fontId="38" fillId="0" borderId="0" xfId="0" applyNumberFormat="1" applyFont="1" applyFill="1" applyBorder="1"/>
    <xf numFmtId="1" fontId="38" fillId="0" borderId="0" xfId="0" applyNumberFormat="1" applyFont="1" applyFill="1"/>
    <xf numFmtId="0" fontId="39" fillId="7" borderId="60" xfId="0" applyFont="1" applyFill="1" applyBorder="1" applyAlignment="1">
      <alignment horizontal="left"/>
    </xf>
    <xf numFmtId="0" fontId="39" fillId="14" borderId="125" xfId="0" applyFont="1" applyFill="1" applyBorder="1" applyAlignment="1">
      <alignment horizontal="centerContinuous"/>
    </xf>
    <xf numFmtId="0" fontId="39" fillId="14" borderId="126" xfId="0" applyFont="1" applyFill="1" applyBorder="1" applyAlignment="1">
      <alignment horizontal="centerContinuous"/>
    </xf>
    <xf numFmtId="0" fontId="39" fillId="14" borderId="127" xfId="0" applyFont="1" applyFill="1" applyBorder="1" applyAlignment="1">
      <alignment horizontal="centerContinuous"/>
    </xf>
    <xf numFmtId="0" fontId="39" fillId="14" borderId="110" xfId="0" applyFont="1" applyFill="1" applyBorder="1" applyAlignment="1">
      <alignment horizontal="centerContinuous"/>
    </xf>
    <xf numFmtId="0" fontId="38" fillId="14" borderId="19" xfId="0" applyFont="1" applyFill="1" applyBorder="1"/>
    <xf numFmtId="0" fontId="39" fillId="14" borderId="128" xfId="0" applyFont="1" applyFill="1" applyBorder="1" applyAlignment="1">
      <alignment horizontal="center"/>
    </xf>
    <xf numFmtId="0" fontId="39" fillId="14" borderId="129" xfId="0" applyFont="1" applyFill="1" applyBorder="1" applyAlignment="1">
      <alignment horizontal="center"/>
    </xf>
    <xf numFmtId="0" fontId="39" fillId="14" borderId="121" xfId="0" applyFont="1" applyFill="1" applyBorder="1" applyAlignment="1">
      <alignment horizontal="center"/>
    </xf>
    <xf numFmtId="0" fontId="38" fillId="14" borderId="89" xfId="0" applyFont="1" applyFill="1" applyBorder="1" applyAlignment="1">
      <alignment horizontal="centerContinuous"/>
    </xf>
    <xf numFmtId="1" fontId="38" fillId="0" borderId="130" xfId="0" applyNumberFormat="1" applyFont="1" applyBorder="1"/>
    <xf numFmtId="0" fontId="38" fillId="14" borderId="36" xfId="0" applyFont="1" applyFill="1" applyBorder="1"/>
    <xf numFmtId="1" fontId="38" fillId="0" borderId="89" xfId="0" applyNumberFormat="1" applyFont="1" applyBorder="1"/>
    <xf numFmtId="0" fontId="39" fillId="14" borderId="36" xfId="0" applyFont="1" applyFill="1" applyBorder="1" applyAlignment="1">
      <alignment horizontal="centerContinuous"/>
    </xf>
    <xf numFmtId="1" fontId="39" fillId="0" borderId="130" xfId="0" applyNumberFormat="1" applyFont="1" applyBorder="1"/>
    <xf numFmtId="0" fontId="38" fillId="7" borderId="61" xfId="0" applyFont="1" applyFill="1" applyBorder="1"/>
    <xf numFmtId="0" fontId="39" fillId="7" borderId="37" xfId="0" applyFont="1" applyFill="1" applyBorder="1"/>
    <xf numFmtId="0" fontId="38" fillId="7" borderId="37" xfId="0" applyFont="1" applyFill="1" applyBorder="1"/>
    <xf numFmtId="192" fontId="38" fillId="7" borderId="37" xfId="1" applyNumberFormat="1" applyFont="1" applyFill="1" applyBorder="1"/>
    <xf numFmtId="0" fontId="38" fillId="7" borderId="60" xfId="0" applyFont="1" applyFill="1" applyBorder="1"/>
    <xf numFmtId="0" fontId="38" fillId="15" borderId="89" xfId="0" applyFont="1" applyFill="1" applyBorder="1"/>
    <xf numFmtId="0" fontId="38" fillId="15" borderId="64" xfId="0" applyFont="1" applyFill="1" applyBorder="1"/>
    <xf numFmtId="192" fontId="38" fillId="15" borderId="89" xfId="1" applyNumberFormat="1" applyFont="1" applyFill="1" applyBorder="1"/>
    <xf numFmtId="0" fontId="38" fillId="15" borderId="36" xfId="0" applyFont="1" applyFill="1" applyBorder="1"/>
    <xf numFmtId="1" fontId="38" fillId="0" borderId="131" xfId="0" applyNumberFormat="1" applyFont="1" applyBorder="1"/>
    <xf numFmtId="38" fontId="0" fillId="2" borderId="130" xfId="0" applyNumberFormat="1" applyFill="1" applyBorder="1"/>
    <xf numFmtId="0" fontId="0" fillId="2" borderId="1" xfId="0" applyFill="1" applyBorder="1"/>
    <xf numFmtId="0" fontId="0" fillId="2" borderId="124" xfId="0" applyFill="1" applyBorder="1"/>
    <xf numFmtId="0" fontId="18" fillId="2" borderId="138" xfId="0" applyFont="1" applyFill="1" applyBorder="1" applyAlignment="1">
      <alignment horizontal="left" vertical="center" wrapText="1"/>
    </xf>
    <xf numFmtId="0" fontId="18" fillId="2" borderId="139" xfId="0" applyFont="1" applyFill="1" applyBorder="1" applyAlignment="1">
      <alignment horizontal="left" vertical="center" wrapText="1"/>
    </xf>
    <xf numFmtId="0" fontId="18" fillId="2" borderId="140" xfId="0" applyFont="1" applyFill="1" applyBorder="1" applyAlignment="1">
      <alignment horizontal="left" vertical="center" wrapText="1"/>
    </xf>
    <xf numFmtId="0" fontId="18" fillId="2" borderId="141" xfId="0" applyFont="1" applyFill="1" applyBorder="1" applyAlignment="1">
      <alignment horizontal="left" vertical="center" wrapText="1"/>
    </xf>
    <xf numFmtId="0" fontId="18" fillId="2" borderId="0" xfId="0" applyFont="1" applyFill="1" applyBorder="1" applyAlignment="1">
      <alignment horizontal="left" vertical="center" wrapText="1"/>
    </xf>
    <xf numFmtId="0" fontId="18" fillId="2" borderId="112" xfId="0" applyFont="1" applyFill="1" applyBorder="1" applyAlignment="1">
      <alignment horizontal="left" vertical="center" wrapText="1"/>
    </xf>
    <xf numFmtId="0" fontId="2" fillId="10" borderId="142" xfId="0" applyFont="1" applyFill="1" applyBorder="1" applyAlignment="1">
      <alignment horizontal="left"/>
    </xf>
    <xf numFmtId="0" fontId="2" fillId="10" borderId="143" xfId="0" applyFont="1" applyFill="1" applyBorder="1" applyAlignment="1">
      <alignment horizontal="left"/>
    </xf>
    <xf numFmtId="0" fontId="2" fillId="10" borderId="144" xfId="0" applyFont="1" applyFill="1" applyBorder="1" applyAlignment="1">
      <alignment horizontal="left"/>
    </xf>
    <xf numFmtId="0" fontId="31" fillId="7" borderId="145" xfId="0" applyFont="1" applyFill="1" applyBorder="1" applyAlignment="1">
      <alignment horizontal="center" vertical="center"/>
    </xf>
    <xf numFmtId="0" fontId="31" fillId="7" borderId="146" xfId="0" applyFont="1" applyFill="1" applyBorder="1" applyAlignment="1">
      <alignment horizontal="center" vertical="center"/>
    </xf>
    <xf numFmtId="0" fontId="31" fillId="7" borderId="147" xfId="0" applyFont="1" applyFill="1" applyBorder="1" applyAlignment="1">
      <alignment horizontal="center" vertical="center"/>
    </xf>
    <xf numFmtId="0" fontId="31" fillId="7" borderId="101" xfId="0" applyFont="1" applyFill="1" applyBorder="1" applyAlignment="1">
      <alignment horizontal="center" vertical="center"/>
    </xf>
    <xf numFmtId="0" fontId="31" fillId="7" borderId="94" xfId="0" applyFont="1" applyFill="1" applyBorder="1" applyAlignment="1">
      <alignment horizontal="center" vertical="center"/>
    </xf>
    <xf numFmtId="0" fontId="31" fillId="7" borderId="95" xfId="0" applyFont="1" applyFill="1" applyBorder="1" applyAlignment="1">
      <alignment horizontal="center" vertical="center"/>
    </xf>
    <xf numFmtId="0" fontId="8" fillId="4" borderId="0" xfId="0" applyFont="1" applyFill="1" applyBorder="1" applyAlignment="1">
      <alignment horizontal="center"/>
    </xf>
    <xf numFmtId="0" fontId="2" fillId="10" borderId="148" xfId="0" applyFont="1" applyFill="1" applyBorder="1" applyAlignment="1">
      <alignment horizontal="center" vertical="center"/>
    </xf>
    <xf numFmtId="0" fontId="2" fillId="10" borderId="132" xfId="0" applyFont="1" applyFill="1" applyBorder="1" applyAlignment="1">
      <alignment horizontal="center" vertical="center"/>
    </xf>
    <xf numFmtId="0" fontId="2" fillId="10" borderId="133" xfId="0" applyFont="1" applyFill="1" applyBorder="1" applyAlignment="1">
      <alignment horizontal="center" vertical="center"/>
    </xf>
    <xf numFmtId="0" fontId="2" fillId="10" borderId="134" xfId="0" applyFont="1" applyFill="1" applyBorder="1" applyAlignment="1">
      <alignment horizontal="center" vertical="center"/>
    </xf>
    <xf numFmtId="0" fontId="2" fillId="10" borderId="135" xfId="0" applyFont="1" applyFill="1" applyBorder="1" applyAlignment="1">
      <alignment horizontal="center" vertical="center"/>
    </xf>
    <xf numFmtId="0" fontId="2" fillId="10" borderId="136" xfId="0" applyFont="1" applyFill="1" applyBorder="1" applyAlignment="1">
      <alignment horizontal="center" vertical="center"/>
    </xf>
    <xf numFmtId="0" fontId="6" fillId="16" borderId="137" xfId="0" applyFont="1" applyFill="1" applyBorder="1" applyAlignment="1">
      <alignment horizontal="center" vertical="center"/>
    </xf>
    <xf numFmtId="0" fontId="6" fillId="16" borderId="149" xfId="0" applyFont="1" applyFill="1" applyBorder="1" applyAlignment="1">
      <alignment horizontal="center" vertical="center"/>
    </xf>
    <xf numFmtId="0" fontId="6" fillId="16" borderId="150" xfId="0" applyFont="1" applyFill="1" applyBorder="1" applyAlignment="1">
      <alignment horizontal="center" vertical="center"/>
    </xf>
    <xf numFmtId="0" fontId="6" fillId="16" borderId="151" xfId="0" applyFont="1" applyFill="1" applyBorder="1" applyAlignment="1">
      <alignment horizontal="center" vertical="center"/>
    </xf>
    <xf numFmtId="0" fontId="8" fillId="7" borderId="152" xfId="0" applyFont="1" applyFill="1" applyBorder="1" applyAlignment="1">
      <alignment horizontal="left"/>
    </xf>
    <xf numFmtId="0" fontId="8" fillId="7" borderId="153" xfId="0" applyFont="1" applyFill="1" applyBorder="1" applyAlignment="1">
      <alignment horizontal="left"/>
    </xf>
    <xf numFmtId="0" fontId="5" fillId="3" borderId="4" xfId="0" applyFont="1" applyFill="1" applyBorder="1" applyAlignment="1">
      <alignment horizontal="right" vertical="center"/>
    </xf>
    <xf numFmtId="0" fontId="5" fillId="3" borderId="154" xfId="0" applyFont="1" applyFill="1" applyBorder="1" applyAlignment="1">
      <alignment horizontal="right" vertical="center"/>
    </xf>
    <xf numFmtId="167" fontId="4" fillId="2" borderId="155" xfId="0" applyNumberFormat="1" applyFont="1" applyFill="1" applyBorder="1" applyAlignment="1" applyProtection="1">
      <alignment horizontal="left" vertical="center" wrapText="1"/>
      <protection locked="0"/>
    </xf>
    <xf numFmtId="167" fontId="4" fillId="2" borderId="109" xfId="0" applyNumberFormat="1" applyFont="1" applyFill="1" applyBorder="1" applyAlignment="1" applyProtection="1">
      <alignment horizontal="left" vertical="center" wrapText="1"/>
      <protection locked="0"/>
    </xf>
    <xf numFmtId="167" fontId="4" fillId="2" borderId="156" xfId="0" applyNumberFormat="1" applyFont="1" applyFill="1" applyBorder="1" applyAlignment="1" applyProtection="1">
      <alignment horizontal="left" vertical="center" wrapText="1"/>
      <protection locked="0"/>
    </xf>
    <xf numFmtId="167" fontId="4" fillId="2" borderId="157" xfId="0" applyNumberFormat="1" applyFont="1" applyFill="1" applyBorder="1" applyAlignment="1" applyProtection="1">
      <alignment horizontal="left" vertical="center" wrapText="1"/>
      <protection locked="0"/>
    </xf>
    <xf numFmtId="167" fontId="4" fillId="2" borderId="158" xfId="0" applyNumberFormat="1" applyFont="1" applyFill="1" applyBorder="1" applyAlignment="1" applyProtection="1">
      <alignment horizontal="left" vertical="center" wrapText="1"/>
      <protection locked="0"/>
    </xf>
    <xf numFmtId="167" fontId="4" fillId="2" borderId="159" xfId="0" applyNumberFormat="1" applyFont="1" applyFill="1" applyBorder="1" applyAlignment="1" applyProtection="1">
      <alignment horizontal="left" vertical="center" wrapText="1"/>
      <protection locked="0"/>
    </xf>
    <xf numFmtId="0" fontId="2" fillId="10" borderId="160" xfId="0" applyFont="1" applyFill="1" applyBorder="1" applyAlignment="1">
      <alignment horizontal="left"/>
    </xf>
    <xf numFmtId="0" fontId="2" fillId="10" borderId="161" xfId="0" applyFont="1" applyFill="1" applyBorder="1" applyAlignment="1">
      <alignment horizontal="left"/>
    </xf>
    <xf numFmtId="0" fontId="2" fillId="10" borderId="162" xfId="0" applyFont="1" applyFill="1" applyBorder="1" applyAlignment="1">
      <alignment horizontal="left"/>
    </xf>
    <xf numFmtId="0" fontId="9" fillId="5" borderId="163" xfId="0" applyFont="1" applyFill="1" applyBorder="1" applyAlignment="1">
      <alignment horizontal="center" vertical="center"/>
    </xf>
    <xf numFmtId="0" fontId="9" fillId="5" borderId="164" xfId="0" applyFont="1" applyFill="1" applyBorder="1" applyAlignment="1">
      <alignment horizontal="center" vertical="center"/>
    </xf>
    <xf numFmtId="0" fontId="9" fillId="5" borderId="165" xfId="0" applyFont="1" applyFill="1" applyBorder="1" applyAlignment="1">
      <alignment horizontal="center" vertical="center"/>
    </xf>
    <xf numFmtId="16" fontId="4" fillId="2" borderId="155" xfId="0" applyNumberFormat="1" applyFont="1" applyFill="1" applyBorder="1" applyAlignment="1" applyProtection="1">
      <alignment horizontal="left" vertical="center" wrapText="1"/>
      <protection locked="0"/>
    </xf>
    <xf numFmtId="0" fontId="4" fillId="2" borderId="109" xfId="0" applyNumberFormat="1" applyFont="1" applyFill="1" applyBorder="1" applyAlignment="1" applyProtection="1">
      <alignment horizontal="left" vertical="center" wrapText="1"/>
      <protection locked="0"/>
    </xf>
    <xf numFmtId="0" fontId="4" fillId="2" borderId="156" xfId="0" applyNumberFormat="1" applyFont="1" applyFill="1" applyBorder="1" applyAlignment="1" applyProtection="1">
      <alignment horizontal="left" vertical="center" wrapText="1"/>
      <protection locked="0"/>
    </xf>
    <xf numFmtId="0" fontId="4" fillId="2" borderId="157" xfId="0" applyNumberFormat="1" applyFont="1" applyFill="1" applyBorder="1" applyAlignment="1" applyProtection="1">
      <alignment horizontal="left" vertical="center" wrapText="1"/>
      <protection locked="0"/>
    </xf>
    <xf numFmtId="0" fontId="4" fillId="2" borderId="158" xfId="0" applyNumberFormat="1" applyFont="1" applyFill="1" applyBorder="1" applyAlignment="1" applyProtection="1">
      <alignment horizontal="left" vertical="center" wrapText="1"/>
      <protection locked="0"/>
    </xf>
    <xf numFmtId="0" fontId="4" fillId="2" borderId="159" xfId="0" applyNumberFormat="1" applyFont="1" applyFill="1" applyBorder="1" applyAlignment="1" applyProtection="1">
      <alignment horizontal="left" vertical="center" wrapText="1"/>
      <protection locked="0"/>
    </xf>
    <xf numFmtId="165" fontId="0" fillId="2" borderId="166" xfId="0" applyNumberFormat="1" applyFill="1" applyBorder="1" applyAlignment="1">
      <alignment horizontal="right" vertical="center"/>
    </xf>
    <xf numFmtId="165" fontId="0" fillId="2" borderId="167" xfId="0" applyNumberFormat="1" applyFill="1" applyBorder="1" applyAlignment="1">
      <alignment horizontal="right" vertical="center"/>
    </xf>
    <xf numFmtId="165" fontId="0" fillId="2" borderId="170" xfId="0" applyNumberFormat="1" applyFill="1" applyBorder="1" applyAlignment="1">
      <alignment horizontal="right" vertical="center"/>
    </xf>
    <xf numFmtId="165" fontId="0" fillId="2" borderId="171" xfId="0" applyNumberFormat="1" applyFill="1" applyBorder="1" applyAlignment="1">
      <alignment horizontal="right" vertical="center"/>
    </xf>
    <xf numFmtId="165" fontId="0" fillId="2" borderId="172" xfId="0" applyNumberFormat="1" applyFill="1" applyBorder="1" applyAlignment="1">
      <alignment horizontal="right" vertical="center"/>
    </xf>
    <xf numFmtId="165" fontId="0" fillId="2" borderId="173" xfId="0" applyNumberFormat="1" applyFill="1" applyBorder="1" applyAlignment="1">
      <alignment horizontal="right" vertical="center"/>
    </xf>
    <xf numFmtId="165" fontId="0" fillId="2" borderId="64" xfId="0" applyNumberFormat="1" applyFill="1" applyBorder="1" applyAlignment="1">
      <alignment horizontal="right" vertical="center"/>
    </xf>
    <xf numFmtId="165" fontId="0" fillId="2" borderId="67" xfId="0" applyNumberFormat="1" applyFill="1" applyBorder="1" applyAlignment="1">
      <alignment horizontal="right" vertical="center"/>
    </xf>
    <xf numFmtId="0" fontId="17" fillId="4" borderId="89" xfId="0" applyFont="1" applyFill="1" applyBorder="1" applyAlignment="1">
      <alignment horizontal="center" vertical="center"/>
    </xf>
    <xf numFmtId="0" fontId="0" fillId="4" borderId="90" xfId="0" applyFill="1" applyBorder="1"/>
    <xf numFmtId="0" fontId="2" fillId="6" borderId="81" xfId="0" applyFont="1" applyFill="1" applyBorder="1" applyAlignment="1">
      <alignment horizontal="center" vertical="center"/>
    </xf>
    <xf numFmtId="0" fontId="2" fillId="6" borderId="84" xfId="0" applyFont="1" applyFill="1" applyBorder="1" applyAlignment="1">
      <alignment horizontal="center" vertical="center"/>
    </xf>
    <xf numFmtId="0" fontId="0" fillId="6" borderId="82" xfId="0" applyFill="1" applyBorder="1" applyAlignment="1">
      <alignment horizontal="left" vertical="center"/>
    </xf>
    <xf numFmtId="0" fontId="0" fillId="6" borderId="83" xfId="0" applyFill="1" applyBorder="1" applyAlignment="1">
      <alignment horizontal="left" vertical="center"/>
    </xf>
    <xf numFmtId="38" fontId="2" fillId="7" borderId="64" xfId="0" applyNumberFormat="1" applyFont="1" applyFill="1" applyBorder="1" applyAlignment="1">
      <alignment horizontal="right" wrapText="1"/>
    </xf>
    <xf numFmtId="38" fontId="2" fillId="7" borderId="67" xfId="0" applyNumberFormat="1" applyFont="1" applyFill="1" applyBorder="1" applyAlignment="1">
      <alignment horizontal="right" wrapText="1"/>
    </xf>
    <xf numFmtId="38" fontId="2" fillId="7" borderId="170" xfId="0" applyNumberFormat="1" applyFont="1" applyFill="1" applyBorder="1" applyAlignment="1">
      <alignment horizontal="right" wrapText="1"/>
    </xf>
    <xf numFmtId="38" fontId="2" fillId="7" borderId="171" xfId="0" applyNumberFormat="1" applyFont="1" applyFill="1" applyBorder="1" applyAlignment="1">
      <alignment horizontal="right" wrapText="1"/>
    </xf>
    <xf numFmtId="38" fontId="2" fillId="7" borderId="168" xfId="0" applyNumberFormat="1" applyFont="1" applyFill="1" applyBorder="1" applyAlignment="1">
      <alignment horizontal="right" wrapText="1"/>
    </xf>
    <xf numFmtId="38" fontId="2" fillId="7" borderId="169" xfId="0" applyNumberFormat="1" applyFont="1" applyFill="1" applyBorder="1" applyAlignment="1">
      <alignment horizontal="right" wrapText="1"/>
    </xf>
    <xf numFmtId="38" fontId="2" fillId="7" borderId="166" xfId="0" applyNumberFormat="1" applyFont="1" applyFill="1" applyBorder="1" applyAlignment="1">
      <alignment horizontal="right" wrapText="1"/>
    </xf>
    <xf numFmtId="38" fontId="2" fillId="7" borderId="167" xfId="0" applyNumberFormat="1" applyFont="1" applyFill="1" applyBorder="1" applyAlignment="1">
      <alignment horizontal="right" wrapText="1"/>
    </xf>
    <xf numFmtId="17" fontId="2" fillId="7" borderId="89" xfId="0" applyNumberFormat="1" applyFont="1" applyFill="1" applyBorder="1" applyAlignment="1">
      <alignment horizontal="center"/>
    </xf>
    <xf numFmtId="17" fontId="2" fillId="7" borderId="90" xfId="0" applyNumberFormat="1" applyFont="1" applyFill="1" applyBorder="1" applyAlignment="1">
      <alignment horizontal="center"/>
    </xf>
    <xf numFmtId="0" fontId="2" fillId="0" borderId="0" xfId="0" applyFont="1" applyAlignment="1">
      <alignment horizontal="center"/>
    </xf>
    <xf numFmtId="173" fontId="12" fillId="7" borderId="61" xfId="0" applyNumberFormat="1" applyFont="1" applyFill="1" applyBorder="1" applyAlignment="1">
      <alignment horizontal="center"/>
    </xf>
    <xf numFmtId="173" fontId="12" fillId="7" borderId="60" xfId="0" applyNumberFormat="1" applyFont="1" applyFill="1" applyBorder="1" applyAlignment="1">
      <alignment horizontal="center"/>
    </xf>
    <xf numFmtId="173" fontId="2" fillId="11" borderId="42" xfId="0" applyNumberFormat="1" applyFont="1" applyFill="1" applyBorder="1" applyAlignment="1">
      <alignment horizontal="center"/>
    </xf>
    <xf numFmtId="173" fontId="2" fillId="11" borderId="106" xfId="0" applyNumberFormat="1" applyFont="1" applyFill="1" applyBorder="1" applyAlignment="1">
      <alignment horizontal="center"/>
    </xf>
    <xf numFmtId="173" fontId="2" fillId="11" borderId="65" xfId="0" applyNumberFormat="1" applyFont="1" applyFill="1" applyBorder="1" applyAlignment="1">
      <alignment horizontal="center"/>
    </xf>
    <xf numFmtId="173" fontId="2" fillId="11" borderId="52" xfId="0" applyNumberFormat="1" applyFont="1" applyFill="1" applyBorder="1" applyAlignment="1">
      <alignment horizontal="center"/>
    </xf>
    <xf numFmtId="49" fontId="24" fillId="7" borderId="61" xfId="0" applyNumberFormat="1" applyFont="1" applyFill="1" applyBorder="1" applyAlignment="1">
      <alignment horizontal="center"/>
    </xf>
    <xf numFmtId="49" fontId="24" fillId="7" borderId="60" xfId="0" applyNumberFormat="1" applyFont="1" applyFill="1" applyBorder="1" applyAlignment="1">
      <alignment horizontal="center"/>
    </xf>
    <xf numFmtId="173" fontId="22" fillId="17" borderId="174" xfId="0" applyNumberFormat="1" applyFont="1" applyFill="1" applyBorder="1" applyAlignment="1">
      <alignment horizontal="center" vertical="center"/>
    </xf>
    <xf numFmtId="173" fontId="22" fillId="17" borderId="119" xfId="0" applyNumberFormat="1" applyFont="1" applyFill="1" applyBorder="1" applyAlignment="1">
      <alignment horizontal="center" vertical="center"/>
    </xf>
    <xf numFmtId="173" fontId="22" fillId="17" borderId="120" xfId="0" applyNumberFormat="1" applyFont="1" applyFill="1" applyBorder="1" applyAlignment="1">
      <alignment horizontal="center" vertical="center"/>
    </xf>
    <xf numFmtId="173" fontId="0" fillId="2" borderId="35" xfId="0" applyNumberFormat="1" applyFill="1" applyBorder="1" applyAlignment="1">
      <alignment horizontal="center"/>
    </xf>
    <xf numFmtId="173" fontId="0" fillId="2" borderId="67" xfId="0" applyNumberFormat="1" applyFill="1" applyBorder="1" applyAlignment="1">
      <alignment horizontal="center"/>
    </xf>
    <xf numFmtId="0" fontId="23" fillId="9" borderId="61" xfId="0" applyFont="1" applyFill="1" applyBorder="1" applyAlignment="1">
      <alignment horizontal="left"/>
    </xf>
    <xf numFmtId="0" fontId="23" fillId="9" borderId="37" xfId="0" applyFont="1" applyFill="1" applyBorder="1" applyAlignment="1">
      <alignment horizontal="left"/>
    </xf>
    <xf numFmtId="0" fontId="23" fillId="9" borderId="60" xfId="0" applyFont="1" applyFill="1" applyBorder="1" applyAlignment="1">
      <alignment horizontal="left"/>
    </xf>
    <xf numFmtId="3" fontId="2" fillId="10" borderId="61" xfId="0" applyNumberFormat="1" applyFont="1" applyFill="1" applyBorder="1" applyAlignment="1">
      <alignment horizontal="left"/>
    </xf>
    <xf numFmtId="3" fontId="2" fillId="10" borderId="37" xfId="0" applyNumberFormat="1" applyFont="1" applyFill="1" applyBorder="1" applyAlignment="1">
      <alignment horizontal="left"/>
    </xf>
    <xf numFmtId="3" fontId="2" fillId="10" borderId="60" xfId="0" applyNumberFormat="1" applyFont="1" applyFill="1" applyBorder="1" applyAlignment="1">
      <alignment horizontal="left"/>
    </xf>
    <xf numFmtId="173" fontId="2" fillId="11" borderId="62" xfId="0" applyNumberFormat="1" applyFont="1" applyFill="1" applyBorder="1" applyAlignment="1">
      <alignment horizontal="center"/>
    </xf>
    <xf numFmtId="173" fontId="2" fillId="11" borderId="64" xfId="0" applyNumberFormat="1" applyFont="1" applyFill="1" applyBorder="1" applyAlignment="1">
      <alignment horizontal="center"/>
    </xf>
    <xf numFmtId="0" fontId="0" fillId="2" borderId="0" xfId="0" applyFill="1" applyAlignment="1">
      <alignment horizontal="center"/>
    </xf>
    <xf numFmtId="173" fontId="2" fillId="11" borderId="66" xfId="0" applyNumberFormat="1" applyFont="1" applyFill="1" applyBorder="1" applyAlignment="1">
      <alignment horizontal="center"/>
    </xf>
    <xf numFmtId="173" fontId="2" fillId="11" borderId="67" xfId="0" applyNumberFormat="1" applyFont="1" applyFill="1" applyBorder="1" applyAlignment="1">
      <alignment horizontal="center"/>
    </xf>
    <xf numFmtId="178" fontId="0" fillId="2" borderId="0" xfId="0" applyNumberFormat="1" applyFill="1" applyAlignment="1">
      <alignment horizontal="center"/>
    </xf>
    <xf numFmtId="173" fontId="0" fillId="2" borderId="0" xfId="0" applyNumberFormat="1" applyFill="1" applyAlignment="1">
      <alignment horizontal="center"/>
    </xf>
    <xf numFmtId="0" fontId="2" fillId="2" borderId="62" xfId="0" applyFont="1" applyFill="1" applyBorder="1" applyAlignment="1">
      <alignment horizontal="center"/>
    </xf>
    <xf numFmtId="0" fontId="2" fillId="2" borderId="63" xfId="0" applyFont="1" applyFill="1" applyBorder="1" applyAlignment="1">
      <alignment horizontal="center"/>
    </xf>
    <xf numFmtId="0" fontId="2" fillId="2" borderId="64" xfId="0" applyFont="1" applyFill="1" applyBorder="1" applyAlignment="1">
      <alignment horizontal="center"/>
    </xf>
    <xf numFmtId="0" fontId="2" fillId="2" borderId="65" xfId="0" applyFont="1" applyFill="1" applyBorder="1" applyAlignment="1">
      <alignment horizontal="center"/>
    </xf>
    <xf numFmtId="0" fontId="2" fillId="2" borderId="0" xfId="0" applyFont="1" applyFill="1" applyBorder="1" applyAlignment="1">
      <alignment horizontal="center"/>
    </xf>
    <xf numFmtId="0" fontId="2" fillId="2" borderId="52" xfId="0" applyFont="1" applyFill="1" applyBorder="1" applyAlignment="1">
      <alignment horizontal="center"/>
    </xf>
    <xf numFmtId="1" fontId="2" fillId="12" borderId="61" xfId="0" applyNumberFormat="1" applyFont="1" applyFill="1" applyBorder="1" applyAlignment="1">
      <alignment horizontal="center"/>
    </xf>
    <xf numFmtId="1" fontId="2" fillId="12" borderId="60" xfId="0" applyNumberFormat="1" applyFont="1" applyFill="1" applyBorder="1" applyAlignment="1">
      <alignment horizontal="center"/>
    </xf>
    <xf numFmtId="0" fontId="33" fillId="8" borderId="0" xfId="0" applyFont="1" applyFill="1" applyAlignment="1">
      <alignment horizontal="left" wrapText="1"/>
    </xf>
    <xf numFmtId="0" fontId="0" fillId="8" borderId="0" xfId="0" applyFill="1" applyAlignment="1">
      <alignment horizontal="left" wrapText="1"/>
    </xf>
    <xf numFmtId="0" fontId="4" fillId="8" borderId="0" xfId="0" applyFont="1" applyFill="1" applyAlignment="1">
      <alignment horizontal="left" wrapText="1"/>
    </xf>
    <xf numFmtId="0" fontId="2" fillId="7" borderId="61" xfId="0" applyFont="1" applyFill="1" applyBorder="1" applyAlignment="1">
      <alignment horizontal="center"/>
    </xf>
    <xf numFmtId="0" fontId="2" fillId="7" borderId="60" xfId="0" applyFont="1" applyFill="1" applyBorder="1" applyAlignment="1">
      <alignment horizontal="center"/>
    </xf>
    <xf numFmtId="0" fontId="4" fillId="2" borderId="61" xfId="0" applyFont="1" applyFill="1" applyBorder="1" applyAlignment="1">
      <alignment horizontal="left"/>
    </xf>
    <xf numFmtId="0" fontId="4" fillId="2" borderId="37" xfId="0" applyFont="1" applyFill="1" applyBorder="1" applyAlignment="1">
      <alignment horizontal="left"/>
    </xf>
    <xf numFmtId="0" fontId="4" fillId="2" borderId="60" xfId="0" applyFont="1" applyFill="1" applyBorder="1" applyAlignment="1">
      <alignment horizontal="left"/>
    </xf>
    <xf numFmtId="0" fontId="8" fillId="6" borderId="61" xfId="0" applyFont="1" applyFill="1" applyBorder="1" applyAlignment="1">
      <alignment horizontal="center"/>
    </xf>
    <xf numFmtId="0" fontId="8" fillId="6" borderId="37" xfId="0" applyFont="1" applyFill="1" applyBorder="1" applyAlignment="1">
      <alignment horizontal="center"/>
    </xf>
    <xf numFmtId="0" fontId="8" fillId="6" borderId="60" xfId="0" applyFont="1" applyFill="1" applyBorder="1" applyAlignment="1">
      <alignment horizontal="center"/>
    </xf>
    <xf numFmtId="0" fontId="8" fillId="6" borderId="61" xfId="0" applyFont="1" applyFill="1" applyBorder="1" applyAlignment="1">
      <alignment horizontal="left"/>
    </xf>
    <xf numFmtId="0" fontId="8" fillId="6" borderId="37" xfId="0" applyFont="1" applyFill="1" applyBorder="1" applyAlignment="1">
      <alignment horizontal="left"/>
    </xf>
    <xf numFmtId="0" fontId="8" fillId="6" borderId="60" xfId="0" applyFont="1" applyFill="1" applyBorder="1" applyAlignment="1">
      <alignment horizontal="left"/>
    </xf>
    <xf numFmtId="15" fontId="29" fillId="4" borderId="81" xfId="0" applyNumberFormat="1" applyFont="1" applyFill="1" applyBorder="1" applyAlignment="1">
      <alignment horizontal="center" wrapText="1"/>
    </xf>
    <xf numFmtId="15" fontId="29" fillId="4" borderId="84" xfId="0" applyNumberFormat="1" applyFont="1" applyFill="1" applyBorder="1" applyAlignment="1">
      <alignment horizontal="center" wrapText="1"/>
    </xf>
    <xf numFmtId="15" fontId="29" fillId="4" borderId="89" xfId="0" applyNumberFormat="1" applyFont="1" applyFill="1" applyBorder="1" applyAlignment="1">
      <alignment horizontal="center" wrapText="1"/>
    </xf>
    <xf numFmtId="15" fontId="29" fillId="4" borderId="90" xfId="0" applyNumberFormat="1" applyFont="1" applyFill="1" applyBorder="1" applyAlignment="1">
      <alignment horizontal="center" wrapText="1"/>
    </xf>
    <xf numFmtId="15" fontId="29" fillId="4" borderId="64" xfId="0" applyNumberFormat="1" applyFont="1" applyFill="1" applyBorder="1" applyAlignment="1">
      <alignment horizontal="center" wrapText="1"/>
    </xf>
    <xf numFmtId="15" fontId="29" fillId="4" borderId="67" xfId="0" applyNumberFormat="1" applyFont="1" applyFill="1" applyBorder="1" applyAlignment="1">
      <alignment horizontal="center" wrapText="1"/>
    </xf>
    <xf numFmtId="10" fontId="2" fillId="12" borderId="61" xfId="0" applyNumberFormat="1" applyFont="1" applyFill="1" applyBorder="1" applyAlignment="1">
      <alignment horizontal="center"/>
    </xf>
    <xf numFmtId="10" fontId="2" fillId="12" borderId="37" xfId="0" applyNumberFormat="1" applyFont="1" applyFill="1" applyBorder="1" applyAlignment="1">
      <alignment horizontal="center"/>
    </xf>
    <xf numFmtId="10" fontId="2" fillId="12" borderId="60" xfId="0" applyNumberFormat="1" applyFont="1" applyFill="1" applyBorder="1" applyAlignment="1">
      <alignment horizontal="center"/>
    </xf>
    <xf numFmtId="0" fontId="0" fillId="7" borderId="89" xfId="0" applyFill="1" applyBorder="1" applyAlignment="1">
      <alignment horizontal="center" wrapText="1"/>
    </xf>
    <xf numFmtId="0" fontId="0" fillId="7" borderId="90" xfId="0" applyFill="1" applyBorder="1" applyAlignment="1">
      <alignment horizontal="center" wrapText="1"/>
    </xf>
    <xf numFmtId="14" fontId="4" fillId="0" borderId="89" xfId="0" applyNumberFormat="1" applyFont="1" applyBorder="1" applyAlignment="1">
      <alignment horizontal="center" vertical="center"/>
    </xf>
    <xf numFmtId="14" fontId="4" fillId="0" borderId="90" xfId="0" applyNumberFormat="1" applyFont="1" applyBorder="1" applyAlignment="1">
      <alignment horizontal="center" vertical="center"/>
    </xf>
  </cellXfs>
  <cellStyles count="4">
    <cellStyle name="Comma" xfId="1" builtinId="3"/>
    <cellStyle name="Normal" xfId="0" builtinId="0"/>
    <cellStyle name="Normal_Codes2" xfId="2"/>
    <cellStyle name="Percent" xfId="3" builtinId="5"/>
  </cellStyles>
  <dxfs count="1">
    <dxf>
      <font>
        <b/>
        <i val="0"/>
        <condense val="0"/>
        <extend val="0"/>
        <color indexed="10"/>
      </font>
      <fill>
        <patternFill>
          <bgColor indexed="13"/>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EAEAEA"/>
      <rgbColor rgb="00993366"/>
      <rgbColor rgb="00FFFFCC"/>
      <rgbColor rgb="00EAEAEA"/>
      <rgbColor rgb="00FFDBDB"/>
      <rgbColor rgb="00FF8080"/>
      <rgbColor rgb="000066CC"/>
      <rgbColor rgb="00CCCCFF"/>
      <rgbColor rgb="00000080"/>
      <rgbColor rgb="00DDFFDD"/>
      <rgbColor rgb="00FFFF00"/>
      <rgbColor rgb="00CCEC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externalLink" Target="externalLinks/externalLink3.xml"/><Relationship Id="rId7" Type="http://schemas.openxmlformats.org/officeDocument/2006/relationships/worksheet" Target="worksheets/sheet7.xml"/><Relationship Id="rId71"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externalLink" Target="externalLinks/externalLink4.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activeX/activeX3.xml><?xml version="1.0" encoding="utf-8"?>
<ax:ocx xmlns:ax="http://schemas.microsoft.com/office/2006/activeX" xmlns:r="http://schemas.openxmlformats.org/officeDocument/2006/relationships" ax:classid="{D7053240-CE69-11CD-A777-00DD01143C57}" ax:persistence="persistStreamInit" r:id="rId1"/>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ctrlProps/ctrlProp61.xml><?xml version="1.0" encoding="utf-8"?>
<formControlPr xmlns="http://schemas.microsoft.com/office/spreadsheetml/2009/9/main" objectType="Button" lockText="1"/>
</file>

<file path=xl/ctrlProps/ctrlProp62.xml><?xml version="1.0" encoding="utf-8"?>
<formControlPr xmlns="http://schemas.microsoft.com/office/spreadsheetml/2009/9/main" objectType="Button" lockText="1"/>
</file>

<file path=xl/ctrlProps/ctrlProp63.xml><?xml version="1.0" encoding="utf-8"?>
<formControlPr xmlns="http://schemas.microsoft.com/office/spreadsheetml/2009/9/main" objectType="Button" lockText="1"/>
</file>

<file path=xl/ctrlProps/ctrlProp64.xml><?xml version="1.0" encoding="utf-8"?>
<formControlPr xmlns="http://schemas.microsoft.com/office/spreadsheetml/2009/9/main" objectType="Button" lockText="1"/>
</file>

<file path=xl/ctrlProps/ctrlProp65.xml><?xml version="1.0" encoding="utf-8"?>
<formControlPr xmlns="http://schemas.microsoft.com/office/spreadsheetml/2009/9/main" objectType="Button" lockText="1"/>
</file>

<file path=xl/ctrlProps/ctrlProp66.xml><?xml version="1.0" encoding="utf-8"?>
<formControlPr xmlns="http://schemas.microsoft.com/office/spreadsheetml/2009/9/main" objectType="Button" lockText="1"/>
</file>

<file path=xl/ctrlProps/ctrlProp67.xml><?xml version="1.0" encoding="utf-8"?>
<formControlPr xmlns="http://schemas.microsoft.com/office/spreadsheetml/2009/9/main" objectType="Button" lockText="1"/>
</file>

<file path=xl/ctrlProps/ctrlProp68.xml><?xml version="1.0" encoding="utf-8"?>
<formControlPr xmlns="http://schemas.microsoft.com/office/spreadsheetml/2009/9/main" objectType="Button" lockText="1"/>
</file>

<file path=xl/ctrlProps/ctrlProp69.xml><?xml version="1.0" encoding="utf-8"?>
<formControlPr xmlns="http://schemas.microsoft.com/office/spreadsheetml/2009/9/main" objectType="Button" lockText="1"/>
</file>

<file path=xl/ctrlProps/ctrlProp70.xml><?xml version="1.0" encoding="utf-8"?>
<formControlPr xmlns="http://schemas.microsoft.com/office/spreadsheetml/2009/9/main" objectType="Button" lockText="1"/>
</file>

<file path=xl/ctrlProps/ctrlProp71.xml><?xml version="1.0" encoding="utf-8"?>
<formControlPr xmlns="http://schemas.microsoft.com/office/spreadsheetml/2009/9/main" objectType="Button" lockText="1"/>
</file>

<file path=xl/ctrlProps/ctrlProp72.xml><?xml version="1.0" encoding="utf-8"?>
<formControlPr xmlns="http://schemas.microsoft.com/office/spreadsheetml/2009/9/main" objectType="Button" lockText="1"/>
</file>

<file path=xl/ctrlProps/ctrlProp73.xml><?xml version="1.0" encoding="utf-8"?>
<formControlPr xmlns="http://schemas.microsoft.com/office/spreadsheetml/2009/9/main" objectType="Button" lockText="1"/>
</file>

<file path=xl/ctrlProps/ctrlProp74.xml><?xml version="1.0" encoding="utf-8"?>
<formControlPr xmlns="http://schemas.microsoft.com/office/spreadsheetml/2009/9/main" objectType="Button" lockText="1"/>
</file>

<file path=xl/ctrlProps/ctrlProp75.xml><?xml version="1.0" encoding="utf-8"?>
<formControlPr xmlns="http://schemas.microsoft.com/office/spreadsheetml/2009/9/main" objectType="Button" lockText="1"/>
</file>

<file path=xl/ctrlProps/ctrlProp76.xml><?xml version="1.0" encoding="utf-8"?>
<formControlPr xmlns="http://schemas.microsoft.com/office/spreadsheetml/2009/9/main" objectType="Button" lockText="1"/>
</file>

<file path=xl/ctrlProps/ctrlProp77.xml><?xml version="1.0" encoding="utf-8"?>
<formControlPr xmlns="http://schemas.microsoft.com/office/spreadsheetml/2009/9/main" objectType="Button" lockText="1"/>
</file>

<file path=xl/ctrlProps/ctrlProp78.xml><?xml version="1.0" encoding="utf-8"?>
<formControlPr xmlns="http://schemas.microsoft.com/office/spreadsheetml/2009/9/main" objectType="Button" lockText="1"/>
</file>

<file path=xl/ctrlProps/ctrlProp79.xml><?xml version="1.0" encoding="utf-8"?>
<formControlPr xmlns="http://schemas.microsoft.com/office/spreadsheetml/2009/9/main" objectType="Button" lockText="1"/>
</file>

<file path=xl/ctrlProps/ctrlProp80.xml><?xml version="1.0" encoding="utf-8"?>
<formControlPr xmlns="http://schemas.microsoft.com/office/spreadsheetml/2009/9/main" objectType="Button" lockText="1"/>
</file>

<file path=xl/ctrlProps/ctrlProp81.xml><?xml version="1.0" encoding="utf-8"?>
<formControlPr xmlns="http://schemas.microsoft.com/office/spreadsheetml/2009/9/main" objectType="Button" lockText="1"/>
</file>

<file path=xl/ctrlProps/ctrlProp82.xml><?xml version="1.0" encoding="utf-8"?>
<formControlPr xmlns="http://schemas.microsoft.com/office/spreadsheetml/2009/9/main" objectType="Button" lockText="1"/>
</file>

<file path=xl/ctrlProps/ctrlProp83.xml><?xml version="1.0" encoding="utf-8"?>
<formControlPr xmlns="http://schemas.microsoft.com/office/spreadsheetml/2009/9/main" objectType="Button" lockText="1"/>
</file>

<file path=xl/ctrlProps/ctrlProp84.xml><?xml version="1.0" encoding="utf-8"?>
<formControlPr xmlns="http://schemas.microsoft.com/office/spreadsheetml/2009/9/main" objectType="Button" lockText="1"/>
</file>

<file path=xl/ctrlProps/ctrlProp85.xml><?xml version="1.0" encoding="utf-8"?>
<formControlPr xmlns="http://schemas.microsoft.com/office/spreadsheetml/2009/9/main" objectType="Button" lockText="1"/>
</file>

<file path=xl/ctrlProps/ctrlProp86.xml><?xml version="1.0" encoding="utf-8"?>
<formControlPr xmlns="http://schemas.microsoft.com/office/spreadsheetml/2009/9/main" objectType="Button" lockText="1"/>
</file>

<file path=xl/ctrlProps/ctrlProp87.xml><?xml version="1.0" encoding="utf-8"?>
<formControlPr xmlns="http://schemas.microsoft.com/office/spreadsheetml/2009/9/main" objectType="Button" lockText="1"/>
</file>

<file path=xl/ctrlProps/ctrlProp88.xml><?xml version="1.0" encoding="utf-8"?>
<formControlPr xmlns="http://schemas.microsoft.com/office/spreadsheetml/2009/9/main" objectType="Button" lockText="1"/>
</file>

<file path=xl/ctrlProps/ctrlProp89.xml><?xml version="1.0" encoding="utf-8"?>
<formControlPr xmlns="http://schemas.microsoft.com/office/spreadsheetml/2009/9/main" objectType="Button" lockText="1"/>
</file>

<file path=xl/ctrlProps/ctrlProp90.xml><?xml version="1.0" encoding="utf-8"?>
<formControlPr xmlns="http://schemas.microsoft.com/office/spreadsheetml/2009/9/main" objectType="Button" lockText="1"/>
</file>

<file path=xl/ctrlProps/ctrlProp91.xml><?xml version="1.0" encoding="utf-8"?>
<formControlPr xmlns="http://schemas.microsoft.com/office/spreadsheetml/2009/9/main" objectType="Button" lockText="1"/>
</file>

<file path=xl/ctrlProps/ctrlProp92.xml><?xml version="1.0" encoding="utf-8"?>
<formControlPr xmlns="http://schemas.microsoft.com/office/spreadsheetml/2009/9/main" objectType="Button" lockText="1"/>
</file>

<file path=xl/ctrlProps/ctrlProp93.xml><?xml version="1.0" encoding="utf-8"?>
<formControlPr xmlns="http://schemas.microsoft.com/office/spreadsheetml/2009/9/main" objectType="Button" lockText="1"/>
</file>

<file path=xl/ctrlProps/ctrlProp94.xml><?xml version="1.0" encoding="utf-8"?>
<formControlPr xmlns="http://schemas.microsoft.com/office/spreadsheetml/2009/9/main" objectType="Button" lockText="1"/>
</file>

<file path=xl/ctrlProps/ctrlProp95.xml><?xml version="1.0" encoding="utf-8"?>
<formControlPr xmlns="http://schemas.microsoft.com/office/spreadsheetml/2009/9/main" objectType="Button" lockText="1"/>
</file>

<file path=xl/ctrlProps/ctrlProp96.xml><?xml version="1.0" encoding="utf-8"?>
<formControlPr xmlns="http://schemas.microsoft.com/office/spreadsheetml/2009/9/main" objectType="Button" lockText="1"/>
</file>

<file path=xl/ctrlProps/ctrlProp97.xml><?xml version="1.0" encoding="utf-8"?>
<formControlPr xmlns="http://schemas.microsoft.com/office/spreadsheetml/2009/9/main" objectType="Button" lockText="1"/>
</file>

<file path=xl/ctrlProps/ctrlProp98.xml><?xml version="1.0" encoding="utf-8"?>
<formControlPr xmlns="http://schemas.microsoft.com/office/spreadsheetml/2009/9/main" objectType="Button" lockText="1"/>
</file>

<file path=xl/ctrlProps/ctrlProp99.xml><?xml version="1.0" encoding="utf-8"?>
<formControlPr xmlns="http://schemas.microsoft.com/office/spreadsheetml/2009/9/main" objectType="Button" lockText="1"/>
</file>

<file path=xl/ctrlProps/ctrlProp100.xml><?xml version="1.0" encoding="utf-8"?>
<formControlPr xmlns="http://schemas.microsoft.com/office/spreadsheetml/2009/9/main" objectType="Button" lockText="1"/>
</file>

<file path=xl/ctrlProps/ctrlProp101.xml><?xml version="1.0" encoding="utf-8"?>
<formControlPr xmlns="http://schemas.microsoft.com/office/spreadsheetml/2009/9/main" objectType="Button" lockText="1"/>
</file>

<file path=xl/ctrlProps/ctrlProp102.xml><?xml version="1.0" encoding="utf-8"?>
<formControlPr xmlns="http://schemas.microsoft.com/office/spreadsheetml/2009/9/main" objectType="Button" lockText="1"/>
</file>

<file path=xl/ctrlProps/ctrlProp103.xml><?xml version="1.0" encoding="utf-8"?>
<formControlPr xmlns="http://schemas.microsoft.com/office/spreadsheetml/2009/9/main" objectType="Button" lockText="1"/>
</file>

<file path=xl/ctrlProps/ctrlProp104.xml><?xml version="1.0" encoding="utf-8"?>
<formControlPr xmlns="http://schemas.microsoft.com/office/spreadsheetml/2009/9/main" objectType="Button" lockText="1"/>
</file>

<file path=xl/ctrlProps/ctrlProp105.xml><?xml version="1.0" encoding="utf-8"?>
<formControlPr xmlns="http://schemas.microsoft.com/office/spreadsheetml/2009/9/main" objectType="Button" lockText="1"/>
</file>

<file path=xl/ctrlProps/ctrlProp106.xml><?xml version="1.0" encoding="utf-8"?>
<formControlPr xmlns="http://schemas.microsoft.com/office/spreadsheetml/2009/9/main" objectType="Button" lockText="1"/>
</file>

<file path=xl/ctrlProps/ctrlProp107.xml><?xml version="1.0" encoding="utf-8"?>
<formControlPr xmlns="http://schemas.microsoft.com/office/spreadsheetml/2009/9/main" objectType="Button" lockText="1"/>
</file>

<file path=xl/ctrlProps/ctrlProp108.xml><?xml version="1.0" encoding="utf-8"?>
<formControlPr xmlns="http://schemas.microsoft.com/office/spreadsheetml/2009/9/main" objectType="Button" lockText="1"/>
</file>

<file path=xl/ctrlProps/ctrlProp109.xml><?xml version="1.0" encoding="utf-8"?>
<formControlPr xmlns="http://schemas.microsoft.com/office/spreadsheetml/2009/9/main" objectType="Button" lockText="1"/>
</file>

<file path=xl/ctrlProps/ctrlProp110.xml><?xml version="1.0" encoding="utf-8"?>
<formControlPr xmlns="http://schemas.microsoft.com/office/spreadsheetml/2009/9/main" objectType="Button" lockText="1"/>
</file>

<file path=xl/ctrlProps/ctrlProp111.xml><?xml version="1.0" encoding="utf-8"?>
<formControlPr xmlns="http://schemas.microsoft.com/office/spreadsheetml/2009/9/main" objectType="Button" lockText="1"/>
</file>

<file path=xl/drawings/_rels/vmlDrawing7.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_rels/vmlDrawing57.vml.rels><?xml version="1.0" encoding="UTF-8" standalone="yes"?>
<Relationships xmlns="http://schemas.openxmlformats.org/package/2006/relationships"><Relationship Id="rId1"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320040</xdr:colOff>
          <xdr:row>11</xdr:row>
          <xdr:rowOff>0</xdr:rowOff>
        </xdr:from>
        <xdr:to>
          <xdr:col>5</xdr:col>
          <xdr:colOff>739140</xdr:colOff>
          <xdr:row>15</xdr:row>
          <xdr:rowOff>106680</xdr:rowOff>
        </xdr:to>
        <xdr:sp macro="" textlink="">
          <xdr:nvSpPr>
            <xdr:cNvPr id="24578" name="Button 2" hidden="1">
              <a:extLst>
                <a:ext uri="{63B3BB69-23CF-44E3-9099-C40C66FF867C}">
                  <a14:compatExt spid="_x0000_s2457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Calc Today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320040</xdr:colOff>
          <xdr:row>11</xdr:row>
          <xdr:rowOff>0</xdr:rowOff>
        </xdr:from>
        <xdr:to>
          <xdr:col>9</xdr:col>
          <xdr:colOff>739140</xdr:colOff>
          <xdr:row>15</xdr:row>
          <xdr:rowOff>106680</xdr:rowOff>
        </xdr:to>
        <xdr:sp macro="" textlink="">
          <xdr:nvSpPr>
            <xdr:cNvPr id="24579" name="Button 3" hidden="1">
              <a:extLst>
                <a:ext uri="{63B3BB69-23CF-44E3-9099-C40C66FF867C}">
                  <a14:compatExt spid="_x0000_s2457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Roll Pages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320040</xdr:colOff>
          <xdr:row>16</xdr:row>
          <xdr:rowOff>76200</xdr:rowOff>
        </xdr:from>
        <xdr:to>
          <xdr:col>9</xdr:col>
          <xdr:colOff>739140</xdr:colOff>
          <xdr:row>21</xdr:row>
          <xdr:rowOff>22860</xdr:rowOff>
        </xdr:to>
        <xdr:sp macro="" textlink="">
          <xdr:nvSpPr>
            <xdr:cNvPr id="24580" name="Button 4" hidden="1">
              <a:extLst>
                <a:ext uri="{63B3BB69-23CF-44E3-9099-C40C66FF867C}">
                  <a14:compatExt spid="_x0000_s2458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Fetch Curves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304800</xdr:colOff>
          <xdr:row>22</xdr:row>
          <xdr:rowOff>30480</xdr:rowOff>
        </xdr:from>
        <xdr:to>
          <xdr:col>5</xdr:col>
          <xdr:colOff>701040</xdr:colOff>
          <xdr:row>26</xdr:row>
          <xdr:rowOff>160020</xdr:rowOff>
        </xdr:to>
        <xdr:sp macro="" textlink="">
          <xdr:nvSpPr>
            <xdr:cNvPr id="24582" name="Button 6" hidden="1">
              <a:extLst>
                <a:ext uri="{63B3BB69-23CF-44E3-9099-C40C66FF867C}">
                  <a14:compatExt spid="_x0000_s2458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Print Reports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1051560</xdr:colOff>
          <xdr:row>37</xdr:row>
          <xdr:rowOff>45720</xdr:rowOff>
        </xdr:from>
        <xdr:to>
          <xdr:col>7</xdr:col>
          <xdr:colOff>403860</xdr:colOff>
          <xdr:row>39</xdr:row>
          <xdr:rowOff>76200</xdr:rowOff>
        </xdr:to>
        <xdr:sp macro="" textlink="">
          <xdr:nvSpPr>
            <xdr:cNvPr id="24586" name="Button 10" hidden="1">
              <a:extLst>
                <a:ext uri="{63B3BB69-23CF-44E3-9099-C40C66FF867C}">
                  <a14:compatExt spid="_x0000_s2458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Export Positions File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1051560</xdr:colOff>
          <xdr:row>39</xdr:row>
          <xdr:rowOff>160020</xdr:rowOff>
        </xdr:from>
        <xdr:to>
          <xdr:col>7</xdr:col>
          <xdr:colOff>403860</xdr:colOff>
          <xdr:row>42</xdr:row>
          <xdr:rowOff>22860</xdr:rowOff>
        </xdr:to>
        <xdr:sp macro="" textlink="">
          <xdr:nvSpPr>
            <xdr:cNvPr id="24587" name="Button 11" hidden="1">
              <a:extLst>
                <a:ext uri="{63B3BB69-23CF-44E3-9099-C40C66FF867C}">
                  <a14:compatExt spid="_x0000_s2458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Export RiskTrac File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975360</xdr:colOff>
          <xdr:row>3</xdr:row>
          <xdr:rowOff>106680</xdr:rowOff>
        </xdr:from>
        <xdr:to>
          <xdr:col>5</xdr:col>
          <xdr:colOff>419100</xdr:colOff>
          <xdr:row>6</xdr:row>
          <xdr:rowOff>0</xdr:rowOff>
        </xdr:to>
        <xdr:sp macro="" textlink="">
          <xdr:nvSpPr>
            <xdr:cNvPr id="81921" name="Button 1" hidden="1">
              <a:extLst>
                <a:ext uri="{63B3BB69-23CF-44E3-9099-C40C66FF867C}">
                  <a14:compatExt spid="_x0000_s8192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129540</xdr:colOff>
          <xdr:row>3</xdr:row>
          <xdr:rowOff>106680</xdr:rowOff>
        </xdr:from>
        <xdr:to>
          <xdr:col>3</xdr:col>
          <xdr:colOff>937260</xdr:colOff>
          <xdr:row>6</xdr:row>
          <xdr:rowOff>0</xdr:rowOff>
        </xdr:to>
        <xdr:sp macro="" textlink="">
          <xdr:nvSpPr>
            <xdr:cNvPr id="81922" name="Button 2" hidden="1">
              <a:extLst>
                <a:ext uri="{63B3BB69-23CF-44E3-9099-C40C66FF867C}">
                  <a14:compatExt spid="_x0000_s8192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1752600</xdr:colOff>
          <xdr:row>3</xdr:row>
          <xdr:rowOff>106680</xdr:rowOff>
        </xdr:from>
        <xdr:to>
          <xdr:col>6</xdr:col>
          <xdr:colOff>1196340</xdr:colOff>
          <xdr:row>6</xdr:row>
          <xdr:rowOff>0</xdr:rowOff>
        </xdr:to>
        <xdr:sp macro="" textlink="">
          <xdr:nvSpPr>
            <xdr:cNvPr id="81923" name="Button 3" hidden="1">
              <a:extLst>
                <a:ext uri="{63B3BB69-23CF-44E3-9099-C40C66FF867C}">
                  <a14:compatExt spid="_x0000_s81923"/>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419100</xdr:colOff>
          <xdr:row>3</xdr:row>
          <xdr:rowOff>106680</xdr:rowOff>
        </xdr:from>
        <xdr:to>
          <xdr:col>7</xdr:col>
          <xdr:colOff>1965960</xdr:colOff>
          <xdr:row>6</xdr:row>
          <xdr:rowOff>0</xdr:rowOff>
        </xdr:to>
        <xdr:sp macro="" textlink="">
          <xdr:nvSpPr>
            <xdr:cNvPr id="81924" name="Button 4" hidden="1">
              <a:extLst>
                <a:ext uri="{63B3BB69-23CF-44E3-9099-C40C66FF867C}">
                  <a14:compatExt spid="_x0000_s81924"/>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975360</xdr:colOff>
          <xdr:row>3</xdr:row>
          <xdr:rowOff>106680</xdr:rowOff>
        </xdr:from>
        <xdr:to>
          <xdr:col>5</xdr:col>
          <xdr:colOff>419100</xdr:colOff>
          <xdr:row>6</xdr:row>
          <xdr:rowOff>0</xdr:rowOff>
        </xdr:to>
        <xdr:sp macro="" textlink="">
          <xdr:nvSpPr>
            <xdr:cNvPr id="82945" name="Button 1" hidden="1">
              <a:extLst>
                <a:ext uri="{63B3BB69-23CF-44E3-9099-C40C66FF867C}">
                  <a14:compatExt spid="_x0000_s8294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129540</xdr:colOff>
          <xdr:row>3</xdr:row>
          <xdr:rowOff>106680</xdr:rowOff>
        </xdr:from>
        <xdr:to>
          <xdr:col>3</xdr:col>
          <xdr:colOff>937260</xdr:colOff>
          <xdr:row>6</xdr:row>
          <xdr:rowOff>0</xdr:rowOff>
        </xdr:to>
        <xdr:sp macro="" textlink="">
          <xdr:nvSpPr>
            <xdr:cNvPr id="82946" name="Button 2" hidden="1">
              <a:extLst>
                <a:ext uri="{63B3BB69-23CF-44E3-9099-C40C66FF867C}">
                  <a14:compatExt spid="_x0000_s8294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1752600</xdr:colOff>
          <xdr:row>3</xdr:row>
          <xdr:rowOff>106680</xdr:rowOff>
        </xdr:from>
        <xdr:to>
          <xdr:col>6</xdr:col>
          <xdr:colOff>1196340</xdr:colOff>
          <xdr:row>6</xdr:row>
          <xdr:rowOff>0</xdr:rowOff>
        </xdr:to>
        <xdr:sp macro="" textlink="">
          <xdr:nvSpPr>
            <xdr:cNvPr id="82947" name="Button 3" hidden="1">
              <a:extLst>
                <a:ext uri="{63B3BB69-23CF-44E3-9099-C40C66FF867C}">
                  <a14:compatExt spid="_x0000_s82947"/>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419100</xdr:colOff>
          <xdr:row>3</xdr:row>
          <xdr:rowOff>106680</xdr:rowOff>
        </xdr:from>
        <xdr:to>
          <xdr:col>7</xdr:col>
          <xdr:colOff>1965960</xdr:colOff>
          <xdr:row>6</xdr:row>
          <xdr:rowOff>0</xdr:rowOff>
        </xdr:to>
        <xdr:sp macro="" textlink="">
          <xdr:nvSpPr>
            <xdr:cNvPr id="82948" name="Button 4" hidden="1">
              <a:extLst>
                <a:ext uri="{63B3BB69-23CF-44E3-9099-C40C66FF867C}">
                  <a14:compatExt spid="_x0000_s8294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975360</xdr:colOff>
          <xdr:row>3</xdr:row>
          <xdr:rowOff>106680</xdr:rowOff>
        </xdr:from>
        <xdr:to>
          <xdr:col>5</xdr:col>
          <xdr:colOff>419100</xdr:colOff>
          <xdr:row>6</xdr:row>
          <xdr:rowOff>0</xdr:rowOff>
        </xdr:to>
        <xdr:sp macro="" textlink="">
          <xdr:nvSpPr>
            <xdr:cNvPr id="108545" name="Button 1" hidden="1">
              <a:extLst>
                <a:ext uri="{63B3BB69-23CF-44E3-9099-C40C66FF867C}">
                  <a14:compatExt spid="_x0000_s108545"/>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129540</xdr:colOff>
          <xdr:row>3</xdr:row>
          <xdr:rowOff>106680</xdr:rowOff>
        </xdr:from>
        <xdr:to>
          <xdr:col>3</xdr:col>
          <xdr:colOff>937260</xdr:colOff>
          <xdr:row>6</xdr:row>
          <xdr:rowOff>0</xdr:rowOff>
        </xdr:to>
        <xdr:sp macro="" textlink="">
          <xdr:nvSpPr>
            <xdr:cNvPr id="108546" name="Button 2" hidden="1">
              <a:extLst>
                <a:ext uri="{63B3BB69-23CF-44E3-9099-C40C66FF867C}">
                  <a14:compatExt spid="_x0000_s108546"/>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1752600</xdr:colOff>
          <xdr:row>3</xdr:row>
          <xdr:rowOff>106680</xdr:rowOff>
        </xdr:from>
        <xdr:to>
          <xdr:col>6</xdr:col>
          <xdr:colOff>1196340</xdr:colOff>
          <xdr:row>6</xdr:row>
          <xdr:rowOff>0</xdr:rowOff>
        </xdr:to>
        <xdr:sp macro="" textlink="">
          <xdr:nvSpPr>
            <xdr:cNvPr id="108547" name="Button 3" hidden="1">
              <a:extLst>
                <a:ext uri="{63B3BB69-23CF-44E3-9099-C40C66FF867C}">
                  <a14:compatExt spid="_x0000_s108547"/>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419100</xdr:colOff>
          <xdr:row>3</xdr:row>
          <xdr:rowOff>106680</xdr:rowOff>
        </xdr:from>
        <xdr:to>
          <xdr:col>7</xdr:col>
          <xdr:colOff>1965960</xdr:colOff>
          <xdr:row>6</xdr:row>
          <xdr:rowOff>0</xdr:rowOff>
        </xdr:to>
        <xdr:sp macro="" textlink="">
          <xdr:nvSpPr>
            <xdr:cNvPr id="108548" name="Button 4" hidden="1">
              <a:extLst>
                <a:ext uri="{63B3BB69-23CF-44E3-9099-C40C66FF867C}">
                  <a14:compatExt spid="_x0000_s108548"/>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975360</xdr:colOff>
          <xdr:row>3</xdr:row>
          <xdr:rowOff>106680</xdr:rowOff>
        </xdr:from>
        <xdr:to>
          <xdr:col>5</xdr:col>
          <xdr:colOff>419100</xdr:colOff>
          <xdr:row>6</xdr:row>
          <xdr:rowOff>0</xdr:rowOff>
        </xdr:to>
        <xdr:sp macro="" textlink="">
          <xdr:nvSpPr>
            <xdr:cNvPr id="135169" name="Button 1" hidden="1">
              <a:extLst>
                <a:ext uri="{63B3BB69-23CF-44E3-9099-C40C66FF867C}">
                  <a14:compatExt spid="_x0000_s135169"/>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Edit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2</xdr:col>
          <xdr:colOff>129540</xdr:colOff>
          <xdr:row>3</xdr:row>
          <xdr:rowOff>106680</xdr:rowOff>
        </xdr:from>
        <xdr:to>
          <xdr:col>3</xdr:col>
          <xdr:colOff>937260</xdr:colOff>
          <xdr:row>6</xdr:row>
          <xdr:rowOff>0</xdr:rowOff>
        </xdr:to>
        <xdr:sp macro="" textlink="">
          <xdr:nvSpPr>
            <xdr:cNvPr id="135170" name="Button 2" hidden="1">
              <a:extLst>
                <a:ext uri="{63B3BB69-23CF-44E3-9099-C40C66FF867C}">
                  <a14:compatExt spid="_x0000_s13517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Add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5</xdr:col>
          <xdr:colOff>1752600</xdr:colOff>
          <xdr:row>3</xdr:row>
          <xdr:rowOff>106680</xdr:rowOff>
        </xdr:from>
        <xdr:to>
          <xdr:col>6</xdr:col>
          <xdr:colOff>1196340</xdr:colOff>
          <xdr:row>6</xdr:row>
          <xdr:rowOff>0</xdr:rowOff>
        </xdr:to>
        <xdr:sp macro="" textlink="">
          <xdr:nvSpPr>
            <xdr:cNvPr id="135171" name="Button 3" hidden="1">
              <a:extLst>
                <a:ext uri="{63B3BB69-23CF-44E3-9099-C40C66FF867C}">
                  <a14:compatExt spid="_x0000_s135171"/>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Copy Transport Leg</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7</xdr:col>
          <xdr:colOff>419100</xdr:colOff>
          <xdr:row>3</xdr:row>
          <xdr:rowOff>106680</xdr:rowOff>
        </xdr:from>
        <xdr:to>
          <xdr:col>7</xdr:col>
          <xdr:colOff>1965960</xdr:colOff>
          <xdr:row>6</xdr:row>
          <xdr:rowOff>0</xdr:rowOff>
        </xdr:to>
        <xdr:sp macro="" textlink="">
          <xdr:nvSpPr>
            <xdr:cNvPr id="135172" name="Button 4" hidden="1">
              <a:extLst>
                <a:ext uri="{63B3BB69-23CF-44E3-9099-C40C66FF867C}">
                  <a14:compatExt spid="_x0000_s135172"/>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en-US" sz="1200" b="0" i="0" u="none" strike="noStrike" baseline="0">
                  <a:solidFill>
                    <a:srgbClr val="000000"/>
                  </a:solidFill>
                  <a:latin typeface="Arial"/>
                  <a:cs typeface="Arial"/>
                </a:rPr>
                <a:t>Delete Transport Leg</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20482" name="Button 2" hidden="1">
              <a:extLst>
                <a:ext uri="{63B3BB69-23CF-44E3-9099-C40C66FF867C}">
                  <a14:compatExt spid="_x0000_s2048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228600</xdr:colOff>
          <xdr:row>14</xdr:row>
          <xdr:rowOff>7620</xdr:rowOff>
        </xdr:from>
        <xdr:to>
          <xdr:col>2</xdr:col>
          <xdr:colOff>1082040</xdr:colOff>
          <xdr:row>16</xdr:row>
          <xdr:rowOff>7620</xdr:rowOff>
        </xdr:to>
        <xdr:sp macro="" textlink="">
          <xdr:nvSpPr>
            <xdr:cNvPr id="5121" name="CommandButton1" hidden="1">
              <a:extLst>
                <a:ext uri="{63B3BB69-23CF-44E3-9099-C40C66FF867C}">
                  <a14:compatExt spid="_x0000_s512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1</xdr:col>
      <xdr:colOff>0</xdr:colOff>
      <xdr:row>2</xdr:row>
      <xdr:rowOff>0</xdr:rowOff>
    </xdr:from>
    <xdr:to>
      <xdr:col>5</xdr:col>
      <xdr:colOff>0</xdr:colOff>
      <xdr:row>8</xdr:row>
      <xdr:rowOff>0</xdr:rowOff>
    </xdr:to>
    <xdr:sp macro="" textlink="">
      <xdr:nvSpPr>
        <xdr:cNvPr id="5122" name="Rectangle 2"/>
        <xdr:cNvSpPr>
          <a:spLocks noChangeArrowheads="1"/>
        </xdr:cNvSpPr>
      </xdr:nvSpPr>
      <xdr:spPr bwMode="auto">
        <a:xfrm>
          <a:off x="251460" y="335280"/>
          <a:ext cx="2651760" cy="1005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mc:AlternateContent xmlns:mc="http://schemas.openxmlformats.org/markup-compatibility/2006">
    <mc:Choice xmlns:a14="http://schemas.microsoft.com/office/drawing/2010/main" Requires="a14">
      <xdr:twoCellAnchor editAs="oneCell">
        <xdr:from>
          <xdr:col>1</xdr:col>
          <xdr:colOff>228600</xdr:colOff>
          <xdr:row>9</xdr:row>
          <xdr:rowOff>144780</xdr:rowOff>
        </xdr:from>
        <xdr:to>
          <xdr:col>2</xdr:col>
          <xdr:colOff>1082040</xdr:colOff>
          <xdr:row>11</xdr:row>
          <xdr:rowOff>144780</xdr:rowOff>
        </xdr:to>
        <xdr:sp macro="" textlink="">
          <xdr:nvSpPr>
            <xdr:cNvPr id="5123" name="CommandButton2" hidden="1">
              <a:extLst>
                <a:ext uri="{63B3BB69-23CF-44E3-9099-C40C66FF867C}">
                  <a14:compatExt spid="_x0000_s512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6</xdr:col>
      <xdr:colOff>0</xdr:colOff>
      <xdr:row>2</xdr:row>
      <xdr:rowOff>0</xdr:rowOff>
    </xdr:from>
    <xdr:to>
      <xdr:col>9</xdr:col>
      <xdr:colOff>0</xdr:colOff>
      <xdr:row>8</xdr:row>
      <xdr:rowOff>0</xdr:rowOff>
    </xdr:to>
    <xdr:sp macro="" textlink="">
      <xdr:nvSpPr>
        <xdr:cNvPr id="5124" name="Rectangle 4"/>
        <xdr:cNvSpPr>
          <a:spLocks noChangeArrowheads="1"/>
        </xdr:cNvSpPr>
      </xdr:nvSpPr>
      <xdr:spPr bwMode="auto">
        <a:xfrm>
          <a:off x="3840480" y="335280"/>
          <a:ext cx="2811780" cy="100584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ffectLst>
          <a:outerShdw dist="35921" dir="2700000" algn="ctr" rotWithShape="0">
            <a:srgbClr val="808080"/>
          </a:outerShdw>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31746" name="Button 2" hidden="1">
              <a:extLst>
                <a:ext uri="{63B3BB69-23CF-44E3-9099-C40C66FF867C}">
                  <a14:compatExt spid="_x0000_s3174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4338" name="Button 2" hidden="1">
              <a:extLst>
                <a:ext uri="{63B3BB69-23CF-44E3-9099-C40C66FF867C}">
                  <a14:compatExt spid="_x0000_s1433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78177" name="Button 1" hidden="1">
              <a:extLst>
                <a:ext uri="{63B3BB69-23CF-44E3-9099-C40C66FF867C}">
                  <a14:compatExt spid="_x0000_s17817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77153" name="Button 1" hidden="1">
              <a:extLst>
                <a:ext uri="{63B3BB69-23CF-44E3-9099-C40C66FF867C}">
                  <a14:compatExt spid="_x0000_s17715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04450" name="Button 2" hidden="1">
              <a:extLst>
                <a:ext uri="{63B3BB69-23CF-44E3-9099-C40C66FF867C}">
                  <a14:compatExt spid="_x0000_s10445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21858" name="Button 2" hidden="1">
              <a:extLst>
                <a:ext uri="{63B3BB69-23CF-44E3-9099-C40C66FF867C}">
                  <a14:compatExt spid="_x0000_s12185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32770" name="Button 2" hidden="1">
              <a:extLst>
                <a:ext uri="{63B3BB69-23CF-44E3-9099-C40C66FF867C}">
                  <a14:compatExt spid="_x0000_s3277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182880</xdr:colOff>
          <xdr:row>1</xdr:row>
          <xdr:rowOff>76200</xdr:rowOff>
        </xdr:from>
        <xdr:to>
          <xdr:col>3</xdr:col>
          <xdr:colOff>45720</xdr:colOff>
          <xdr:row>4</xdr:row>
          <xdr:rowOff>68580</xdr:rowOff>
        </xdr:to>
        <xdr:sp macro="" textlink="">
          <xdr:nvSpPr>
            <xdr:cNvPr id="146434" name="Button 2" hidden="1">
              <a:extLst>
                <a:ext uri="{63B3BB69-23CF-44E3-9099-C40C66FF867C}">
                  <a14:compatExt spid="_x0000_s14643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Report</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1271" name="Button 7" hidden="1">
              <a:extLst>
                <a:ext uri="{63B3BB69-23CF-44E3-9099-C40C66FF867C}">
                  <a14:compatExt spid="_x0000_s1127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1272" name="Button 8" hidden="1">
              <a:extLst>
                <a:ext uri="{63B3BB69-23CF-44E3-9099-C40C66FF867C}">
                  <a14:compatExt spid="_x0000_s1127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56324" name="Button 4" hidden="1">
              <a:extLst>
                <a:ext uri="{63B3BB69-23CF-44E3-9099-C40C66FF867C}">
                  <a14:compatExt spid="_x0000_s5632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56325" name="Button 5" hidden="1">
              <a:extLst>
                <a:ext uri="{63B3BB69-23CF-44E3-9099-C40C66FF867C}">
                  <a14:compatExt spid="_x0000_s5632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63492" name="Button 4" hidden="1">
              <a:extLst>
                <a:ext uri="{63B3BB69-23CF-44E3-9099-C40C66FF867C}">
                  <a14:compatExt spid="_x0000_s6349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63493" name="Button 5" hidden="1">
              <a:extLst>
                <a:ext uri="{63B3BB69-23CF-44E3-9099-C40C66FF867C}">
                  <a14:compatExt spid="_x0000_s634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64516" name="Button 4" hidden="1">
              <a:extLst>
                <a:ext uri="{63B3BB69-23CF-44E3-9099-C40C66FF867C}">
                  <a14:compatExt spid="_x0000_s6451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64517" name="Button 5" hidden="1">
              <a:extLst>
                <a:ext uri="{63B3BB69-23CF-44E3-9099-C40C66FF867C}">
                  <a14:compatExt spid="_x0000_s6451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71684" name="Button 4" hidden="1">
              <a:extLst>
                <a:ext uri="{63B3BB69-23CF-44E3-9099-C40C66FF867C}">
                  <a14:compatExt spid="_x0000_s7168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71685" name="Button 5" hidden="1">
              <a:extLst>
                <a:ext uri="{63B3BB69-23CF-44E3-9099-C40C66FF867C}">
                  <a14:compatExt spid="_x0000_s716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73732" name="Button 4" hidden="1">
              <a:extLst>
                <a:ext uri="{63B3BB69-23CF-44E3-9099-C40C66FF867C}">
                  <a14:compatExt spid="_x0000_s7373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73733" name="Button 5" hidden="1">
              <a:extLst>
                <a:ext uri="{63B3BB69-23CF-44E3-9099-C40C66FF867C}">
                  <a14:compatExt spid="_x0000_s7373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74756" name="Button 4" hidden="1">
              <a:extLst>
                <a:ext uri="{63B3BB69-23CF-44E3-9099-C40C66FF867C}">
                  <a14:compatExt spid="_x0000_s7475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74757" name="Button 5" hidden="1">
              <a:extLst>
                <a:ext uri="{63B3BB69-23CF-44E3-9099-C40C66FF867C}">
                  <a14:compatExt spid="_x0000_s7475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75780" name="Button 4" hidden="1">
              <a:extLst>
                <a:ext uri="{63B3BB69-23CF-44E3-9099-C40C66FF867C}">
                  <a14:compatExt spid="_x0000_s7578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75781" name="Button 5" hidden="1">
              <a:extLst>
                <a:ext uri="{63B3BB69-23CF-44E3-9099-C40C66FF867C}">
                  <a14:compatExt spid="_x0000_s7578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78852" name="Button 4" hidden="1">
              <a:extLst>
                <a:ext uri="{63B3BB69-23CF-44E3-9099-C40C66FF867C}">
                  <a14:compatExt spid="_x0000_s7885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78853" name="Button 5" hidden="1">
              <a:extLst>
                <a:ext uri="{63B3BB69-23CF-44E3-9099-C40C66FF867C}">
                  <a14:compatExt spid="_x0000_s7885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84996" name="Button 4" hidden="1">
              <a:extLst>
                <a:ext uri="{63B3BB69-23CF-44E3-9099-C40C66FF867C}">
                  <a14:compatExt spid="_x0000_s8499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84997" name="Button 5" hidden="1">
              <a:extLst>
                <a:ext uri="{63B3BB69-23CF-44E3-9099-C40C66FF867C}">
                  <a14:compatExt spid="_x0000_s8499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86020" name="Button 4" hidden="1">
              <a:extLst>
                <a:ext uri="{63B3BB69-23CF-44E3-9099-C40C66FF867C}">
                  <a14:compatExt spid="_x0000_s8602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86021" name="Button 5" hidden="1">
              <a:extLst>
                <a:ext uri="{63B3BB69-23CF-44E3-9099-C40C66FF867C}">
                  <a14:compatExt spid="_x0000_s860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2884" name="Button 4" hidden="1">
              <a:extLst>
                <a:ext uri="{63B3BB69-23CF-44E3-9099-C40C66FF867C}">
                  <a14:compatExt spid="_x0000_s12288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2885" name="Button 5" hidden="1">
              <a:extLst>
                <a:ext uri="{63B3BB69-23CF-44E3-9099-C40C66FF867C}">
                  <a14:compatExt spid="_x0000_s1228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3908" name="Button 4" hidden="1">
              <a:extLst>
                <a:ext uri="{63B3BB69-23CF-44E3-9099-C40C66FF867C}">
                  <a14:compatExt spid="_x0000_s12390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3909" name="Button 5" hidden="1">
              <a:extLst>
                <a:ext uri="{63B3BB69-23CF-44E3-9099-C40C66FF867C}">
                  <a14:compatExt spid="_x0000_s12390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2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4932" name="Button 4" hidden="1">
              <a:extLst>
                <a:ext uri="{63B3BB69-23CF-44E3-9099-C40C66FF867C}">
                  <a14:compatExt spid="_x0000_s12493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4933" name="Button 5" hidden="1">
              <a:extLst>
                <a:ext uri="{63B3BB69-23CF-44E3-9099-C40C66FF867C}">
                  <a14:compatExt spid="_x0000_s12493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5956" name="Button 4" hidden="1">
              <a:extLst>
                <a:ext uri="{63B3BB69-23CF-44E3-9099-C40C66FF867C}">
                  <a14:compatExt spid="_x0000_s12595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5957" name="Button 5" hidden="1">
              <a:extLst>
                <a:ext uri="{63B3BB69-23CF-44E3-9099-C40C66FF867C}">
                  <a14:compatExt spid="_x0000_s12595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6980" name="Button 4" hidden="1">
              <a:extLst>
                <a:ext uri="{63B3BB69-23CF-44E3-9099-C40C66FF867C}">
                  <a14:compatExt spid="_x0000_s12698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6981" name="Button 5" hidden="1">
              <a:extLst>
                <a:ext uri="{63B3BB69-23CF-44E3-9099-C40C66FF867C}">
                  <a14:compatExt spid="_x0000_s12698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8004" name="Button 4" hidden="1">
              <a:extLst>
                <a:ext uri="{63B3BB69-23CF-44E3-9099-C40C66FF867C}">
                  <a14:compatExt spid="_x0000_s12800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8005" name="Button 5" hidden="1">
              <a:extLst>
                <a:ext uri="{63B3BB69-23CF-44E3-9099-C40C66FF867C}">
                  <a14:compatExt spid="_x0000_s12800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29028" name="Button 4" hidden="1">
              <a:extLst>
                <a:ext uri="{63B3BB69-23CF-44E3-9099-C40C66FF867C}">
                  <a14:compatExt spid="_x0000_s12902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29029" name="Button 5" hidden="1">
              <a:extLst>
                <a:ext uri="{63B3BB69-23CF-44E3-9099-C40C66FF867C}">
                  <a14:compatExt spid="_x0000_s12902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30052" name="Button 4" hidden="1">
              <a:extLst>
                <a:ext uri="{63B3BB69-23CF-44E3-9099-C40C66FF867C}">
                  <a14:compatExt spid="_x0000_s13005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30053" name="Button 5" hidden="1">
              <a:extLst>
                <a:ext uri="{63B3BB69-23CF-44E3-9099-C40C66FF867C}">
                  <a14:compatExt spid="_x0000_s13005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36196" name="Button 4" hidden="1">
              <a:extLst>
                <a:ext uri="{63B3BB69-23CF-44E3-9099-C40C66FF867C}">
                  <a14:compatExt spid="_x0000_s13619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36197" name="Button 5" hidden="1">
              <a:extLst>
                <a:ext uri="{63B3BB69-23CF-44E3-9099-C40C66FF867C}">
                  <a14:compatExt spid="_x0000_s13619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47460" name="Button 4" hidden="1">
              <a:extLst>
                <a:ext uri="{63B3BB69-23CF-44E3-9099-C40C66FF867C}">
                  <a14:compatExt spid="_x0000_s14746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47461" name="Button 5" hidden="1">
              <a:extLst>
                <a:ext uri="{63B3BB69-23CF-44E3-9099-C40C66FF867C}">
                  <a14:compatExt spid="_x0000_s14746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48484" name="Button 4" hidden="1">
              <a:extLst>
                <a:ext uri="{63B3BB69-23CF-44E3-9099-C40C66FF867C}">
                  <a14:compatExt spid="_x0000_s14848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48485" name="Button 5" hidden="1">
              <a:extLst>
                <a:ext uri="{63B3BB69-23CF-44E3-9099-C40C66FF867C}">
                  <a14:compatExt spid="_x0000_s1484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49508" name="Button 4" hidden="1">
              <a:extLst>
                <a:ext uri="{63B3BB69-23CF-44E3-9099-C40C66FF867C}">
                  <a14:compatExt spid="_x0000_s14950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49509" name="Button 5" hidden="1">
              <a:extLst>
                <a:ext uri="{63B3BB69-23CF-44E3-9099-C40C66FF867C}">
                  <a14:compatExt spid="_x0000_s14950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3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3844" name="Button 4" hidden="1">
              <a:extLst>
                <a:ext uri="{63B3BB69-23CF-44E3-9099-C40C66FF867C}">
                  <a14:compatExt spid="_x0000_s16384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3845" name="Button 5" hidden="1">
              <a:extLst>
                <a:ext uri="{63B3BB69-23CF-44E3-9099-C40C66FF867C}">
                  <a14:compatExt spid="_x0000_s16384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4868" name="Button 4" hidden="1">
              <a:extLst>
                <a:ext uri="{63B3BB69-23CF-44E3-9099-C40C66FF867C}">
                  <a14:compatExt spid="_x0000_s16486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4869" name="Button 5" hidden="1">
              <a:extLst>
                <a:ext uri="{63B3BB69-23CF-44E3-9099-C40C66FF867C}">
                  <a14:compatExt spid="_x0000_s16486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5892" name="Button 4" hidden="1">
              <a:extLst>
                <a:ext uri="{63B3BB69-23CF-44E3-9099-C40C66FF867C}">
                  <a14:compatExt spid="_x0000_s16589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5893" name="Button 5" hidden="1">
              <a:extLst>
                <a:ext uri="{63B3BB69-23CF-44E3-9099-C40C66FF867C}">
                  <a14:compatExt spid="_x0000_s1658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6916" name="Button 4" hidden="1">
              <a:extLst>
                <a:ext uri="{63B3BB69-23CF-44E3-9099-C40C66FF867C}">
                  <a14:compatExt spid="_x0000_s16691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6917" name="Button 5" hidden="1">
              <a:extLst>
                <a:ext uri="{63B3BB69-23CF-44E3-9099-C40C66FF867C}">
                  <a14:compatExt spid="_x0000_s16691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7940" name="Button 4" hidden="1">
              <a:extLst>
                <a:ext uri="{63B3BB69-23CF-44E3-9099-C40C66FF867C}">
                  <a14:compatExt spid="_x0000_s16794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7941" name="Button 5" hidden="1">
              <a:extLst>
                <a:ext uri="{63B3BB69-23CF-44E3-9099-C40C66FF867C}">
                  <a14:compatExt spid="_x0000_s16794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8961" name="Button 1" hidden="1">
              <a:extLst>
                <a:ext uri="{63B3BB69-23CF-44E3-9099-C40C66FF867C}">
                  <a14:compatExt spid="_x0000_s16896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8962" name="Button 2" hidden="1">
              <a:extLst>
                <a:ext uri="{63B3BB69-23CF-44E3-9099-C40C66FF867C}">
                  <a14:compatExt spid="_x0000_s16896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69985" name="Button 1" hidden="1">
              <a:extLst>
                <a:ext uri="{63B3BB69-23CF-44E3-9099-C40C66FF867C}">
                  <a14:compatExt spid="_x0000_s16998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69986" name="Button 2" hidden="1">
              <a:extLst>
                <a:ext uri="{63B3BB69-23CF-44E3-9099-C40C66FF867C}">
                  <a14:compatExt spid="_x0000_s16998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71009" name="Button 1" hidden="1">
              <a:extLst>
                <a:ext uri="{63B3BB69-23CF-44E3-9099-C40C66FF867C}">
                  <a14:compatExt spid="_x0000_s17100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71010" name="Button 2" hidden="1">
              <a:extLst>
                <a:ext uri="{63B3BB69-23CF-44E3-9099-C40C66FF867C}">
                  <a14:compatExt spid="_x0000_s17101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79201" name="Button 1" hidden="1">
              <a:extLst>
                <a:ext uri="{63B3BB69-23CF-44E3-9099-C40C66FF867C}">
                  <a14:compatExt spid="_x0000_s17920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79202" name="Button 2" hidden="1">
              <a:extLst>
                <a:ext uri="{63B3BB69-23CF-44E3-9099-C40C66FF867C}">
                  <a14:compatExt spid="_x0000_s17920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0225" name="Button 1" hidden="1">
              <a:extLst>
                <a:ext uri="{63B3BB69-23CF-44E3-9099-C40C66FF867C}">
                  <a14:compatExt spid="_x0000_s18022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0226" name="Button 2" hidden="1">
              <a:extLst>
                <a:ext uri="{63B3BB69-23CF-44E3-9099-C40C66FF867C}">
                  <a14:compatExt spid="_x0000_s18022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4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1249" name="Button 1" hidden="1">
              <a:extLst>
                <a:ext uri="{63B3BB69-23CF-44E3-9099-C40C66FF867C}">
                  <a14:compatExt spid="_x0000_s18124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1250" name="Button 2" hidden="1">
              <a:extLst>
                <a:ext uri="{63B3BB69-23CF-44E3-9099-C40C66FF867C}">
                  <a14:compatExt spid="_x0000_s18125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2273" name="Button 1" hidden="1">
              <a:extLst>
                <a:ext uri="{63B3BB69-23CF-44E3-9099-C40C66FF867C}">
                  <a14:compatExt spid="_x0000_s18227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2274" name="Button 2" hidden="1">
              <a:extLst>
                <a:ext uri="{63B3BB69-23CF-44E3-9099-C40C66FF867C}">
                  <a14:compatExt spid="_x0000_s18227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3297" name="Button 1" hidden="1">
              <a:extLst>
                <a:ext uri="{63B3BB69-23CF-44E3-9099-C40C66FF867C}">
                  <a14:compatExt spid="_x0000_s18329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3298" name="Button 2" hidden="1">
              <a:extLst>
                <a:ext uri="{63B3BB69-23CF-44E3-9099-C40C66FF867C}">
                  <a14:compatExt spid="_x0000_s183298"/>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4321" name="Button 1" hidden="1">
              <a:extLst>
                <a:ext uri="{63B3BB69-23CF-44E3-9099-C40C66FF867C}">
                  <a14:compatExt spid="_x0000_s1843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4322" name="Button 2" hidden="1">
              <a:extLst>
                <a:ext uri="{63B3BB69-23CF-44E3-9099-C40C66FF867C}">
                  <a14:compatExt spid="_x0000_s184322"/>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5345" name="Button 1" hidden="1">
              <a:extLst>
                <a:ext uri="{63B3BB69-23CF-44E3-9099-C40C66FF867C}">
                  <a14:compatExt spid="_x0000_s18534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5346" name="Button 2" hidden="1">
              <a:extLst>
                <a:ext uri="{63B3BB69-23CF-44E3-9099-C40C66FF867C}">
                  <a14:compatExt spid="_x0000_s185346"/>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6369" name="Button 1" hidden="1">
              <a:extLst>
                <a:ext uri="{63B3BB69-23CF-44E3-9099-C40C66FF867C}">
                  <a14:compatExt spid="_x0000_s186369"/>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6370" name="Button 2" hidden="1">
              <a:extLst>
                <a:ext uri="{63B3BB69-23CF-44E3-9099-C40C66FF867C}">
                  <a14:compatExt spid="_x0000_s18637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3</xdr:col>
          <xdr:colOff>0</xdr:colOff>
          <xdr:row>3</xdr:row>
          <xdr:rowOff>38100</xdr:rowOff>
        </xdr:from>
        <xdr:to>
          <xdr:col>5</xdr:col>
          <xdr:colOff>0</xdr:colOff>
          <xdr:row>5</xdr:row>
          <xdr:rowOff>60960</xdr:rowOff>
        </xdr:to>
        <xdr:sp macro="" textlink="">
          <xdr:nvSpPr>
            <xdr:cNvPr id="187393" name="Button 1" hidden="1">
              <a:extLst>
                <a:ext uri="{63B3BB69-23CF-44E3-9099-C40C66FF867C}">
                  <a14:compatExt spid="_x0000_s1873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Roll To Prior Day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3</xdr:col>
          <xdr:colOff>0</xdr:colOff>
          <xdr:row>5</xdr:row>
          <xdr:rowOff>137160</xdr:rowOff>
        </xdr:from>
        <xdr:to>
          <xdr:col>5</xdr:col>
          <xdr:colOff>0</xdr:colOff>
          <xdr:row>7</xdr:row>
          <xdr:rowOff>144780</xdr:rowOff>
        </xdr:to>
        <xdr:sp macro="" textlink="">
          <xdr:nvSpPr>
            <xdr:cNvPr id="187394" name="Button 2" hidden="1">
              <a:extLst>
                <a:ext uri="{63B3BB69-23CF-44E3-9099-C40C66FF867C}">
                  <a14:compatExt spid="_x0000_s187394"/>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Setup Dates</a:t>
              </a:r>
            </a:p>
          </xdr:txBody>
        </xdr:sp>
        <xdr:clientData fPrintsWithSheet="0"/>
      </xdr:twoCellAnchor>
    </mc:Choice>
    <mc:Fallback/>
  </mc:AlternateContent>
</xdr:wsDr>
</file>

<file path=xl/drawings/drawing56.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7620</xdr:colOff>
          <xdr:row>1</xdr:row>
          <xdr:rowOff>30480</xdr:rowOff>
        </xdr:from>
        <xdr:to>
          <xdr:col>3</xdr:col>
          <xdr:colOff>0</xdr:colOff>
          <xdr:row>3</xdr:row>
          <xdr:rowOff>30480</xdr:rowOff>
        </xdr:to>
        <xdr:sp macro="" textlink="">
          <xdr:nvSpPr>
            <xdr:cNvPr id="36865" name="CommandButton1" hidden="1">
              <a:extLst>
                <a:ext uri="{63B3BB69-23CF-44E3-9099-C40C66FF867C}">
                  <a14:compatExt spid="_x0000_s368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H:\Transport\Central%20Transport\0700\model\Financial%20Transport\Intra-Month%20Financi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_Dropbox\greg\Transport%20Be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Transport\West%20Transport\Jays\Transport%20Be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Transport\Central%20Transport\2001\0101\Financial%20Transport\Financial%20Transport%20010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Operation"/>
      <sheetName val="Contract DB (Central)"/>
      <sheetName val="Contract DB (West)"/>
      <sheetName val="Contract DB (East)"/>
      <sheetName val="P&amp;L Template"/>
      <sheetName val="P&amp;L Report"/>
      <sheetName val="Central Position Rpt"/>
      <sheetName val="West Position Rpt"/>
      <sheetName val="East Position Rpt"/>
      <sheetName val="IntraMonth1"/>
      <sheetName val="IntraMonth2"/>
      <sheetName val="IntraMonth3"/>
      <sheetName val="IntraMonth4"/>
      <sheetName val="IntraMonth5"/>
      <sheetName val="IntraMonth6"/>
      <sheetName val="IntraMonth7"/>
      <sheetName val="IntraMonth8"/>
      <sheetName val="IntraMonth9"/>
      <sheetName val="IntraMonth10"/>
      <sheetName val="IntraMonth11"/>
      <sheetName val="IntraMonth12"/>
      <sheetName val="IntraMonth13"/>
      <sheetName val="IntraMonth14"/>
      <sheetName val="IntraMonth15"/>
      <sheetName val="IntraMonth16"/>
      <sheetName val="IntraMonth17"/>
      <sheetName val="IntraMonth18"/>
      <sheetName val="IntraMonth19"/>
      <sheetName val="IntraMonth20"/>
      <sheetName val="IntraMonth21"/>
      <sheetName val="IntraMonth22"/>
      <sheetName val="IntraMonth23"/>
      <sheetName val="IntraMonth24"/>
      <sheetName val="IntraMonth25"/>
      <sheetName val="IntraMonth26"/>
      <sheetName val="IntraMonth27"/>
      <sheetName val="IntraMonth28"/>
      <sheetName val="IntraMonth29"/>
      <sheetName val="IntraMonth30"/>
      <sheetName val="IntraMonth31"/>
      <sheetName val="IntraMonth32"/>
      <sheetName val="IntraMonth33"/>
      <sheetName val="IntraMonth34"/>
      <sheetName val="IntraMonth35"/>
      <sheetName val="IntraMonth36"/>
      <sheetName val="IntraMonth37"/>
      <sheetName val="IntraMonth38"/>
      <sheetName val="IntraMonth39"/>
      <sheetName val="IntraMonth40"/>
      <sheetName val="IntraMonth41"/>
      <sheetName val="IntraMonth42"/>
      <sheetName val="Configuration"/>
      <sheetName val="Correlations"/>
      <sheetName val="Help"/>
      <sheetName val="Curves"/>
      <sheetName val="Codes"/>
      <sheetName val="East CurveShift"/>
      <sheetName val="WestHolst Position Rpt"/>
      <sheetName val="WestAllen Position Rpt"/>
      <sheetName val="West Delta Positions"/>
      <sheetName val="East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4"/>
      <sheetName val="LongTerm15"/>
      <sheetName val="LongTerm16"/>
      <sheetName val="LongTerm17"/>
      <sheetName val="LongTerm19"/>
      <sheetName val="LongTerm20"/>
      <sheetName val="LongTerm21"/>
      <sheetName val="LongTerm22"/>
      <sheetName val="LongTerm23"/>
      <sheetName val="LongTerm24"/>
      <sheetName val="LongTerm25"/>
      <sheetName val="LongTerm26"/>
      <sheetName val="LongTerm27"/>
      <sheetName val="LongTerm28"/>
      <sheetName val="LongTerm29"/>
      <sheetName val="LongTerm37"/>
      <sheetName val="LongTerm38"/>
      <sheetName val="LongTerm39"/>
      <sheetName val="LongTerm43"/>
      <sheetName val="LongTerm44"/>
      <sheetName val="LongTerm45"/>
      <sheetName val="LongTerm46"/>
      <sheetName val="LongTerm47"/>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Operation"/>
      <sheetName val="Contract DB (Central)"/>
      <sheetName val="Contract DB (West)"/>
      <sheetName val="Contract DB (East)"/>
      <sheetName val="P&amp;L Report"/>
      <sheetName val="P&amp;L Template"/>
      <sheetName val="Central Position Rpt"/>
      <sheetName val="West Position Rpt"/>
      <sheetName val="East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3"/>
      <sheetName val="LongTerm14"/>
      <sheetName val="LongTerm15"/>
      <sheetName val="LongTerm16"/>
      <sheetName val="LongTerm17"/>
      <sheetName val="LongTerm18"/>
      <sheetName val="LongTerm19"/>
      <sheetName val="LongTerm20"/>
      <sheetName val="LongTerm21"/>
      <sheetName val="LongTerm22"/>
      <sheetName val="LongTerm23"/>
      <sheetName val="LongTerm24"/>
      <sheetName val="LongTerm25"/>
      <sheetName val="LongTerm26"/>
      <sheetName val="Configuration"/>
      <sheetName val="Correlations"/>
      <sheetName val="Curves"/>
      <sheetName val="Help"/>
      <sheetName val="Codes"/>
    </sheetNames>
    <definedNames>
      <definedName name="Button10_Click"/>
      <definedName name="Button11_click"/>
      <definedName name="Button18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refreshError="1"/>
      <sheetData sheetId="3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Operation"/>
      <sheetName val="Contract DB (Central)"/>
      <sheetName val="Contract DB (West)"/>
      <sheetName val="Contract DB (East)"/>
      <sheetName val="P&amp;L Report"/>
      <sheetName val="P&amp;L Template"/>
      <sheetName val="Central Position Rpt"/>
      <sheetName val="West Position Rpt"/>
      <sheetName val="Central-CES Postition Rpt"/>
      <sheetName val="LongTerm1"/>
      <sheetName val="LongTerm2"/>
      <sheetName val="LongTerm3"/>
      <sheetName val="LongTerm4"/>
      <sheetName val="LongTerm5"/>
      <sheetName val="LongTerm6"/>
      <sheetName val="LongTerm7"/>
      <sheetName val="LongTerm8"/>
      <sheetName val="LongTerm9"/>
      <sheetName val="LongTerm10"/>
      <sheetName val="LongTerm11"/>
      <sheetName val="LongTerm12"/>
      <sheetName val="LongTerm13"/>
      <sheetName val="LongTerm14"/>
      <sheetName val="LongTerm15"/>
      <sheetName val="LongTerm16"/>
      <sheetName val="LongTerm17"/>
      <sheetName val="LongTerm18"/>
      <sheetName val="LongTerm19"/>
      <sheetName val="LongTerm20"/>
      <sheetName val="LongTerm21"/>
      <sheetName val="LongTerm22"/>
      <sheetName val="LongTerm23"/>
      <sheetName val="LongTerm24"/>
      <sheetName val="LongTerm27"/>
      <sheetName val="IntraMonthTemplate (2)"/>
      <sheetName val="IntraMonthTemplate"/>
      <sheetName val="Configuration"/>
      <sheetName val="Correlations"/>
      <sheetName val="Curves"/>
      <sheetName val="Help"/>
      <sheetName val="Codes"/>
    </sheetNames>
    <definedNames>
      <definedName name="Button10_Click"/>
      <definedName name="Button11_click"/>
      <definedName name="Button18_Click"/>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ily Operation"/>
      <sheetName val="Contract DB (Central)"/>
      <sheetName val="Contract DB (West)"/>
      <sheetName val="Contract DB (East)"/>
      <sheetName val="Contract DB (Denver)"/>
      <sheetName val="P&amp;L Report"/>
      <sheetName val="P&amp;L Template"/>
      <sheetName val="Central Position Rpt"/>
      <sheetName val="WestHolst Position Rpt"/>
      <sheetName val="WestAllen Position Rpt"/>
      <sheetName val="Denver Positions"/>
      <sheetName val="West Delta Positions"/>
      <sheetName val="East Postition Rpt"/>
      <sheetName val="Martin"/>
      <sheetName val="LongTerm1"/>
      <sheetName val="LongTerm2"/>
      <sheetName val="LongTerm3"/>
      <sheetName val="LongTerm4"/>
      <sheetName val="LongTerm7"/>
      <sheetName val="LongTerm9"/>
      <sheetName val="LongTerm10"/>
      <sheetName val="LongTerm17"/>
      <sheetName val="LongTerm19"/>
      <sheetName val="LongTerm20"/>
      <sheetName val="LongTerm21"/>
      <sheetName val="LongTerm24"/>
      <sheetName val="LongTerm25"/>
      <sheetName val="LongTerm26"/>
      <sheetName val="LongTerm27"/>
      <sheetName val="LongTerm28"/>
      <sheetName val="LongTerm43"/>
      <sheetName val="LongTerm44"/>
      <sheetName val="LongTerm45"/>
      <sheetName val="LongTerm46"/>
      <sheetName val="LongTerm47"/>
      <sheetName val="LongTerm48"/>
      <sheetName val="LongTerm49"/>
      <sheetName val="LongTerm50"/>
      <sheetName val="LongTerm51"/>
      <sheetName val="LongTerm52"/>
      <sheetName val="LongTerm53"/>
      <sheetName val="LongTerm54"/>
      <sheetName val="LongTerm55"/>
      <sheetName val="LongTerm56"/>
      <sheetName val="LongTerm57"/>
      <sheetName val="LongTerm58"/>
      <sheetName val="Correlations"/>
      <sheetName val="Curves"/>
      <sheetName val="Help"/>
      <sheetName val="Codes"/>
      <sheetName val="Configur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T7">
            <v>3.3881665772386244E-2</v>
          </cell>
        </row>
        <row r="8">
          <cell r="T8">
            <v>0.99754114760223589</v>
          </cell>
        </row>
      </sheetData>
      <sheetData sheetId="15">
        <row r="5">
          <cell r="T5">
            <v>284990.19149126892</v>
          </cell>
        </row>
        <row r="6">
          <cell r="T6">
            <v>3790317.879942995</v>
          </cell>
        </row>
        <row r="8">
          <cell r="Y8">
            <v>12.942110069198243</v>
          </cell>
          <cell r="Z8">
            <v>13</v>
          </cell>
        </row>
      </sheetData>
      <sheetData sheetId="16">
        <row r="7">
          <cell r="T7">
            <v>6.445287339826862E-2</v>
          </cell>
        </row>
        <row r="8">
          <cell r="T8">
            <v>0.9956490502662152</v>
          </cell>
        </row>
      </sheetData>
      <sheetData sheetId="17">
        <row r="7">
          <cell r="T7">
            <v>0.1140472044323889</v>
          </cell>
        </row>
        <row r="8">
          <cell r="T8">
            <v>0.99418264143299262</v>
          </cell>
        </row>
      </sheetData>
      <sheetData sheetId="18">
        <row r="7">
          <cell r="T7">
            <v>6.4998975052274047E-2</v>
          </cell>
        </row>
        <row r="8">
          <cell r="T8">
            <v>0.99418264143299262</v>
          </cell>
        </row>
      </sheetData>
      <sheetData sheetId="19">
        <row r="7">
          <cell r="T7">
            <v>2.4948942158063203E-2</v>
          </cell>
        </row>
        <row r="8">
          <cell r="T8">
            <v>0.99796121585007047</v>
          </cell>
        </row>
      </sheetData>
      <sheetData sheetId="20">
        <row r="7">
          <cell r="T7">
            <v>0.10671743341650804</v>
          </cell>
        </row>
        <row r="8">
          <cell r="T8">
            <v>0.97157881191787665</v>
          </cell>
        </row>
      </sheetData>
      <sheetData sheetId="21">
        <row r="7">
          <cell r="T7">
            <v>4.1911724354412219E-2</v>
          </cell>
        </row>
        <row r="8">
          <cell r="T8">
            <v>0.99759305607567672</v>
          </cell>
        </row>
      </sheetData>
      <sheetData sheetId="22">
        <row r="7">
          <cell r="T7">
            <v>6.2226314356314599E-3</v>
          </cell>
        </row>
        <row r="8">
          <cell r="T8">
            <v>0.99977580770160801</v>
          </cell>
        </row>
      </sheetData>
      <sheetData sheetId="23">
        <row r="7">
          <cell r="T7">
            <v>4.9159199275726692E-3</v>
          </cell>
        </row>
        <row r="8">
          <cell r="T8">
            <v>0.99982276590938712</v>
          </cell>
        </row>
      </sheetData>
      <sheetData sheetId="24">
        <row r="7">
          <cell r="T7">
            <v>4.6596514229665438E-2</v>
          </cell>
        </row>
        <row r="8">
          <cell r="T8">
            <v>0.99694796505134264</v>
          </cell>
        </row>
      </sheetData>
      <sheetData sheetId="25">
        <row r="7">
          <cell r="T7">
            <v>6.6724105878904441E-2</v>
          </cell>
        </row>
        <row r="8">
          <cell r="T8">
            <v>0.9955387235293226</v>
          </cell>
        </row>
      </sheetData>
      <sheetData sheetId="26">
        <row r="5">
          <cell r="T5">
            <v>112116.32758839375</v>
          </cell>
        </row>
        <row r="6">
          <cell r="T6">
            <v>18394174.454340503</v>
          </cell>
        </row>
        <row r="8">
          <cell r="Y8">
            <v>83.831664309348142</v>
          </cell>
          <cell r="Z8">
            <v>84</v>
          </cell>
        </row>
      </sheetData>
      <sheetData sheetId="27">
        <row r="5">
          <cell r="T5">
            <v>76.188607137819275</v>
          </cell>
        </row>
        <row r="6">
          <cell r="T6">
            <v>855392.48803437804</v>
          </cell>
        </row>
        <row r="8">
          <cell r="Y8">
            <v>2.9952527902105155</v>
          </cell>
          <cell r="Z8">
            <v>3</v>
          </cell>
        </row>
      </sheetData>
      <sheetData sheetId="28">
        <row r="7">
          <cell r="T7">
            <v>0.20452087543208813</v>
          </cell>
        </row>
        <row r="8">
          <cell r="T8">
            <v>0.82074258368989772</v>
          </cell>
        </row>
      </sheetData>
      <sheetData sheetId="29">
        <row r="7">
          <cell r="T7">
            <v>7.4599454061133441E-2</v>
          </cell>
        </row>
        <row r="8">
          <cell r="T8">
            <v>0.9948355064726051</v>
          </cell>
        </row>
      </sheetData>
      <sheetData sheetId="30">
        <row r="7">
          <cell r="T7">
            <v>4.3792673788732125E-2</v>
          </cell>
        </row>
        <row r="8">
          <cell r="T8">
            <v>0.99844261364917819</v>
          </cell>
        </row>
      </sheetData>
      <sheetData sheetId="31">
        <row r="7">
          <cell r="T7">
            <v>6.6642846032598527E-2</v>
          </cell>
        </row>
        <row r="8">
          <cell r="T8">
            <v>0.9948355064726051</v>
          </cell>
        </row>
      </sheetData>
      <sheetData sheetId="32">
        <row r="7">
          <cell r="T7">
            <v>3.1879929532457787E-2</v>
          </cell>
        </row>
        <row r="8">
          <cell r="T8">
            <v>0.99576382575705846</v>
          </cell>
        </row>
      </sheetData>
      <sheetData sheetId="33">
        <row r="7">
          <cell r="T7">
            <v>0.20294430484717649</v>
          </cell>
        </row>
        <row r="8">
          <cell r="T8">
            <v>0.87819346281656607</v>
          </cell>
        </row>
      </sheetData>
      <sheetData sheetId="34">
        <row r="7">
          <cell r="T7">
            <v>0.20294430484717646</v>
          </cell>
        </row>
        <row r="8">
          <cell r="T8">
            <v>0.87819346281656607</v>
          </cell>
        </row>
      </sheetData>
      <sheetData sheetId="35"/>
      <sheetData sheetId="36"/>
      <sheetData sheetId="37">
        <row r="5">
          <cell r="T5">
            <v>1911.2985479847844</v>
          </cell>
        </row>
        <row r="6">
          <cell r="T6">
            <v>1133331.008760087</v>
          </cell>
        </row>
        <row r="8">
          <cell r="Y8">
            <v>71.994180032097603</v>
          </cell>
          <cell r="Z8">
            <v>72</v>
          </cell>
        </row>
      </sheetData>
      <sheetData sheetId="38">
        <row r="5">
          <cell r="T5">
            <v>3425.1249605816397</v>
          </cell>
        </row>
        <row r="6">
          <cell r="T6">
            <v>1355552.7751836339</v>
          </cell>
        </row>
        <row r="8">
          <cell r="Y8">
            <v>71.994180032097603</v>
          </cell>
          <cell r="Z8">
            <v>72</v>
          </cell>
        </row>
      </sheetData>
      <sheetData sheetId="39">
        <row r="5">
          <cell r="T5">
            <v>1155.3871164969655</v>
          </cell>
        </row>
        <row r="6">
          <cell r="T6">
            <v>659257.90705652139</v>
          </cell>
        </row>
        <row r="8">
          <cell r="Y8">
            <v>71.994180032097603</v>
          </cell>
          <cell r="Z8">
            <v>72</v>
          </cell>
        </row>
      </sheetData>
      <sheetData sheetId="40">
        <row r="5">
          <cell r="T5">
            <v>1236.7176836245408</v>
          </cell>
        </row>
        <row r="6">
          <cell r="T6">
            <v>621325.26967063814</v>
          </cell>
        </row>
        <row r="8">
          <cell r="Y8">
            <v>71.994180032097603</v>
          </cell>
          <cell r="Z8">
            <v>72</v>
          </cell>
        </row>
      </sheetData>
      <sheetData sheetId="41">
        <row r="5">
          <cell r="T5">
            <v>2217.9033788286893</v>
          </cell>
        </row>
        <row r="6">
          <cell r="T6">
            <v>742434.71794447128</v>
          </cell>
        </row>
        <row r="8">
          <cell r="Y8">
            <v>71.994180032097603</v>
          </cell>
          <cell r="Z8">
            <v>72</v>
          </cell>
        </row>
      </sheetData>
      <sheetData sheetId="42">
        <row r="5">
          <cell r="T5">
            <v>746.45531608795193</v>
          </cell>
        </row>
        <row r="6">
          <cell r="T6">
            <v>362143.53924777394</v>
          </cell>
        </row>
        <row r="8">
          <cell r="Y8">
            <v>71.994180032097603</v>
          </cell>
          <cell r="Z8">
            <v>72</v>
          </cell>
        </row>
      </sheetData>
      <sheetData sheetId="43">
        <row r="7">
          <cell r="T7">
            <v>1.8496089562135094E-3</v>
          </cell>
        </row>
        <row r="8">
          <cell r="T8">
            <v>0.99995188063838425</v>
          </cell>
        </row>
      </sheetData>
      <sheetData sheetId="44">
        <row r="7">
          <cell r="T7">
            <v>2.3248199878459445E-3</v>
          </cell>
        </row>
        <row r="8">
          <cell r="T8">
            <v>0.99995188063838425</v>
          </cell>
        </row>
      </sheetData>
      <sheetData sheetId="45">
        <row r="7">
          <cell r="T7">
            <v>9.7913015636060807E-2</v>
          </cell>
        </row>
        <row r="8">
          <cell r="T8">
            <v>0.99441079666584575</v>
          </cell>
        </row>
      </sheetData>
      <sheetData sheetId="46"/>
      <sheetData sheetId="47"/>
      <sheetData sheetId="48"/>
      <sheetData sheetId="49"/>
      <sheetData sheetId="5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1.vml"/><Relationship Id="rId7" Type="http://schemas.openxmlformats.org/officeDocument/2006/relationships/ctrlProp" Target="../ctrlProps/ctrlProp4.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ctrlProp" Target="../ctrlProps/ctrlProp10.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9.xml"/><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7" Type="http://schemas.openxmlformats.org/officeDocument/2006/relationships/ctrlProp" Target="../ctrlProps/ctrlProp14.xml"/><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ctrlProp" Target="../ctrlProps/ctrlProp13.xml"/><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7" Type="http://schemas.openxmlformats.org/officeDocument/2006/relationships/ctrlProp" Target="../ctrlProps/ctrlProp18.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17.xml"/><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7" Type="http://schemas.openxmlformats.org/officeDocument/2006/relationships/ctrlProp" Target="../ctrlProps/ctrlProp22.xml"/><Relationship Id="rId2" Type="http://schemas.openxmlformats.org/officeDocument/2006/relationships/drawing" Target="../drawings/drawing5.xml"/><Relationship Id="rId1" Type="http://schemas.openxmlformats.org/officeDocument/2006/relationships/printerSettings" Target="../printerSettings/printerSettings5.bin"/><Relationship Id="rId6" Type="http://schemas.openxmlformats.org/officeDocument/2006/relationships/ctrlProp" Target="../ctrlProps/ctrlProp21.xml"/><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comments" Target="../comments1.xml"/><Relationship Id="rId4" Type="http://schemas.openxmlformats.org/officeDocument/2006/relationships/ctrlProp" Target="../ctrlProps/ctrlProp2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7" Type="http://schemas.openxmlformats.org/officeDocument/2006/relationships/image" Target="../media/image2.emf"/><Relationship Id="rId2" Type="http://schemas.openxmlformats.org/officeDocument/2006/relationships/drawing" Target="../drawings/drawing7.xml"/><Relationship Id="rId1" Type="http://schemas.openxmlformats.org/officeDocument/2006/relationships/printerSettings" Target="../printerSettings/printerSettings7.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8.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comments" Target="../comments3.xml"/><Relationship Id="rId4" Type="http://schemas.openxmlformats.org/officeDocument/2006/relationships/ctrlProp" Target="../ctrlProps/ctrlProp24.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comments" Target="../comments4.xml"/><Relationship Id="rId4" Type="http://schemas.openxmlformats.org/officeDocument/2006/relationships/ctrlProp" Target="../ctrlProps/ctrlProp25.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comments" Target="../comments5.xml"/><Relationship Id="rId4" Type="http://schemas.openxmlformats.org/officeDocument/2006/relationships/ctrlProp" Target="../ctrlProps/ctrlProp26.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comments" Target="../comments6.xml"/><Relationship Id="rId4" Type="http://schemas.openxmlformats.org/officeDocument/2006/relationships/ctrlProp" Target="../ctrlProps/ctrlProp27.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4.bin"/><Relationship Id="rId5" Type="http://schemas.openxmlformats.org/officeDocument/2006/relationships/comments" Target="../comments7.xml"/><Relationship Id="rId4" Type="http://schemas.openxmlformats.org/officeDocument/2006/relationships/ctrlProp" Target="../ctrlProps/ctrlProp2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5.bin"/><Relationship Id="rId5" Type="http://schemas.openxmlformats.org/officeDocument/2006/relationships/comments" Target="../comments8.xml"/><Relationship Id="rId4" Type="http://schemas.openxmlformats.org/officeDocument/2006/relationships/ctrlProp" Target="../ctrlProps/ctrlProp29.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4.xml"/><Relationship Id="rId1" Type="http://schemas.openxmlformats.org/officeDocument/2006/relationships/printerSettings" Target="../printerSettings/printerSettings17.bin"/><Relationship Id="rId5" Type="http://schemas.openxmlformats.org/officeDocument/2006/relationships/comments" Target="../comments9.xml"/><Relationship Id="rId4" Type="http://schemas.openxmlformats.org/officeDocument/2006/relationships/ctrlProp" Target="../ctrlProps/ctrlProp3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5.xml"/><Relationship Id="rId1" Type="http://schemas.openxmlformats.org/officeDocument/2006/relationships/printerSettings" Target="../printerSettings/printerSettings18.bin"/><Relationship Id="rId5" Type="http://schemas.openxmlformats.org/officeDocument/2006/relationships/comments" Target="../comments10.xml"/><Relationship Id="rId4" Type="http://schemas.openxmlformats.org/officeDocument/2006/relationships/ctrlProp" Target="../ctrlProps/ctrlProp31.xm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6.xml"/><Relationship Id="rId1" Type="http://schemas.openxmlformats.org/officeDocument/2006/relationships/printerSettings" Target="../printerSettings/printerSettings20.bin"/><Relationship Id="rId6" Type="http://schemas.openxmlformats.org/officeDocument/2006/relationships/comments" Target="../comments11.xml"/><Relationship Id="rId5" Type="http://schemas.openxmlformats.org/officeDocument/2006/relationships/ctrlProp" Target="../ctrlProps/ctrlProp33.xml"/><Relationship Id="rId4" Type="http://schemas.openxmlformats.org/officeDocument/2006/relationships/ctrlProp" Target="../ctrlProps/ctrlProp32.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7.xml"/><Relationship Id="rId1" Type="http://schemas.openxmlformats.org/officeDocument/2006/relationships/printerSettings" Target="../printerSettings/printerSettings21.bin"/><Relationship Id="rId6" Type="http://schemas.openxmlformats.org/officeDocument/2006/relationships/comments" Target="../comments12.xml"/><Relationship Id="rId5" Type="http://schemas.openxmlformats.org/officeDocument/2006/relationships/ctrlProp" Target="../ctrlProps/ctrlProp35.xml"/><Relationship Id="rId4" Type="http://schemas.openxmlformats.org/officeDocument/2006/relationships/ctrlProp" Target="../ctrlProps/ctrlProp34.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8.xml"/><Relationship Id="rId1" Type="http://schemas.openxmlformats.org/officeDocument/2006/relationships/printerSettings" Target="../printerSettings/printerSettings22.bin"/><Relationship Id="rId6" Type="http://schemas.openxmlformats.org/officeDocument/2006/relationships/comments" Target="../comments13.xml"/><Relationship Id="rId5" Type="http://schemas.openxmlformats.org/officeDocument/2006/relationships/ctrlProp" Target="../ctrlProps/ctrlProp37.xml"/><Relationship Id="rId4" Type="http://schemas.openxmlformats.org/officeDocument/2006/relationships/ctrlProp" Target="../ctrlProps/ctrlProp36.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9.xml"/><Relationship Id="rId1" Type="http://schemas.openxmlformats.org/officeDocument/2006/relationships/printerSettings" Target="../printerSettings/printerSettings23.bin"/><Relationship Id="rId6" Type="http://schemas.openxmlformats.org/officeDocument/2006/relationships/comments" Target="../comments14.xml"/><Relationship Id="rId5" Type="http://schemas.openxmlformats.org/officeDocument/2006/relationships/ctrlProp" Target="../ctrlProps/ctrlProp39.xml"/><Relationship Id="rId4" Type="http://schemas.openxmlformats.org/officeDocument/2006/relationships/ctrlProp" Target="../ctrlProps/ctrlProp38.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0.xml"/><Relationship Id="rId1" Type="http://schemas.openxmlformats.org/officeDocument/2006/relationships/printerSettings" Target="../printerSettings/printerSettings24.bin"/><Relationship Id="rId6" Type="http://schemas.openxmlformats.org/officeDocument/2006/relationships/comments" Target="../comments15.xml"/><Relationship Id="rId5" Type="http://schemas.openxmlformats.org/officeDocument/2006/relationships/ctrlProp" Target="../ctrlProps/ctrlProp41.xml"/><Relationship Id="rId4" Type="http://schemas.openxmlformats.org/officeDocument/2006/relationships/ctrlProp" Target="../ctrlProps/ctrlProp40.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1.xml"/><Relationship Id="rId1" Type="http://schemas.openxmlformats.org/officeDocument/2006/relationships/printerSettings" Target="../printerSettings/printerSettings25.bin"/><Relationship Id="rId6" Type="http://schemas.openxmlformats.org/officeDocument/2006/relationships/comments" Target="../comments16.xml"/><Relationship Id="rId5" Type="http://schemas.openxmlformats.org/officeDocument/2006/relationships/ctrlProp" Target="../ctrlProps/ctrlProp43.xml"/><Relationship Id="rId4" Type="http://schemas.openxmlformats.org/officeDocument/2006/relationships/ctrlProp" Target="../ctrlProps/ctrlProp42.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2.xml"/><Relationship Id="rId1" Type="http://schemas.openxmlformats.org/officeDocument/2006/relationships/printerSettings" Target="../printerSettings/printerSettings26.bin"/><Relationship Id="rId6" Type="http://schemas.openxmlformats.org/officeDocument/2006/relationships/comments" Target="../comments17.xml"/><Relationship Id="rId5" Type="http://schemas.openxmlformats.org/officeDocument/2006/relationships/ctrlProp" Target="../ctrlProps/ctrlProp45.xml"/><Relationship Id="rId4" Type="http://schemas.openxmlformats.org/officeDocument/2006/relationships/ctrlProp" Target="../ctrlProps/ctrlProp4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3.xml"/><Relationship Id="rId1" Type="http://schemas.openxmlformats.org/officeDocument/2006/relationships/printerSettings" Target="../printerSettings/printerSettings27.bin"/><Relationship Id="rId6" Type="http://schemas.openxmlformats.org/officeDocument/2006/relationships/comments" Target="../comments18.xml"/><Relationship Id="rId5" Type="http://schemas.openxmlformats.org/officeDocument/2006/relationships/ctrlProp" Target="../ctrlProps/ctrlProp47.xml"/><Relationship Id="rId4" Type="http://schemas.openxmlformats.org/officeDocument/2006/relationships/ctrlProp" Target="../ctrlProps/ctrlProp46.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4.xml"/><Relationship Id="rId1" Type="http://schemas.openxmlformats.org/officeDocument/2006/relationships/printerSettings" Target="../printerSettings/printerSettings28.bin"/><Relationship Id="rId6" Type="http://schemas.openxmlformats.org/officeDocument/2006/relationships/comments" Target="../comments19.xml"/><Relationship Id="rId5" Type="http://schemas.openxmlformats.org/officeDocument/2006/relationships/ctrlProp" Target="../ctrlProps/ctrlProp49.xml"/><Relationship Id="rId4" Type="http://schemas.openxmlformats.org/officeDocument/2006/relationships/ctrlProp" Target="../ctrlProps/ctrlProp48.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5.xml"/><Relationship Id="rId1" Type="http://schemas.openxmlformats.org/officeDocument/2006/relationships/printerSettings" Target="../printerSettings/printerSettings29.bin"/><Relationship Id="rId6" Type="http://schemas.openxmlformats.org/officeDocument/2006/relationships/comments" Target="../comments20.xml"/><Relationship Id="rId5" Type="http://schemas.openxmlformats.org/officeDocument/2006/relationships/ctrlProp" Target="../ctrlProps/ctrlProp51.xml"/><Relationship Id="rId4" Type="http://schemas.openxmlformats.org/officeDocument/2006/relationships/ctrlProp" Target="../ctrlProps/ctrlProp50.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6.xml"/><Relationship Id="rId1" Type="http://schemas.openxmlformats.org/officeDocument/2006/relationships/printerSettings" Target="../printerSettings/printerSettings30.bin"/><Relationship Id="rId6" Type="http://schemas.openxmlformats.org/officeDocument/2006/relationships/comments" Target="../comments21.xml"/><Relationship Id="rId5" Type="http://schemas.openxmlformats.org/officeDocument/2006/relationships/ctrlProp" Target="../ctrlProps/ctrlProp53.xml"/><Relationship Id="rId4" Type="http://schemas.openxmlformats.org/officeDocument/2006/relationships/ctrlProp" Target="../ctrlProps/ctrlProp52.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7.xml"/><Relationship Id="rId1" Type="http://schemas.openxmlformats.org/officeDocument/2006/relationships/printerSettings" Target="../printerSettings/printerSettings31.bin"/><Relationship Id="rId6" Type="http://schemas.openxmlformats.org/officeDocument/2006/relationships/comments" Target="../comments22.xml"/><Relationship Id="rId5" Type="http://schemas.openxmlformats.org/officeDocument/2006/relationships/ctrlProp" Target="../ctrlProps/ctrlProp55.xml"/><Relationship Id="rId4" Type="http://schemas.openxmlformats.org/officeDocument/2006/relationships/ctrlProp" Target="../ctrlProps/ctrlProp54.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8.xml"/><Relationship Id="rId1" Type="http://schemas.openxmlformats.org/officeDocument/2006/relationships/printerSettings" Target="../printerSettings/printerSettings32.bin"/><Relationship Id="rId6" Type="http://schemas.openxmlformats.org/officeDocument/2006/relationships/comments" Target="../comments23.xml"/><Relationship Id="rId5" Type="http://schemas.openxmlformats.org/officeDocument/2006/relationships/ctrlProp" Target="../ctrlProps/ctrlProp57.xml"/><Relationship Id="rId4" Type="http://schemas.openxmlformats.org/officeDocument/2006/relationships/ctrlProp" Target="../ctrlProps/ctrlProp56.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29.xml"/><Relationship Id="rId1" Type="http://schemas.openxmlformats.org/officeDocument/2006/relationships/printerSettings" Target="../printerSettings/printerSettings33.bin"/><Relationship Id="rId6" Type="http://schemas.openxmlformats.org/officeDocument/2006/relationships/comments" Target="../comments24.xml"/><Relationship Id="rId5" Type="http://schemas.openxmlformats.org/officeDocument/2006/relationships/ctrlProp" Target="../ctrlProps/ctrlProp59.xml"/><Relationship Id="rId4" Type="http://schemas.openxmlformats.org/officeDocument/2006/relationships/ctrlProp" Target="../ctrlProps/ctrlProp58.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0.xml"/><Relationship Id="rId1" Type="http://schemas.openxmlformats.org/officeDocument/2006/relationships/printerSettings" Target="../printerSettings/printerSettings34.bin"/><Relationship Id="rId6" Type="http://schemas.openxmlformats.org/officeDocument/2006/relationships/comments" Target="../comments25.xml"/><Relationship Id="rId5" Type="http://schemas.openxmlformats.org/officeDocument/2006/relationships/ctrlProp" Target="../ctrlProps/ctrlProp61.xml"/><Relationship Id="rId4" Type="http://schemas.openxmlformats.org/officeDocument/2006/relationships/ctrlProp" Target="../ctrlProps/ctrlProp60.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1.xml"/><Relationship Id="rId1" Type="http://schemas.openxmlformats.org/officeDocument/2006/relationships/printerSettings" Target="../printerSettings/printerSettings35.bin"/><Relationship Id="rId6" Type="http://schemas.openxmlformats.org/officeDocument/2006/relationships/comments" Target="../comments26.xml"/><Relationship Id="rId5" Type="http://schemas.openxmlformats.org/officeDocument/2006/relationships/ctrlProp" Target="../ctrlProps/ctrlProp63.xml"/><Relationship Id="rId4" Type="http://schemas.openxmlformats.org/officeDocument/2006/relationships/ctrlProp" Target="../ctrlProps/ctrlProp62.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2.xml"/><Relationship Id="rId1" Type="http://schemas.openxmlformats.org/officeDocument/2006/relationships/printerSettings" Target="../printerSettings/printerSettings36.bin"/><Relationship Id="rId6" Type="http://schemas.openxmlformats.org/officeDocument/2006/relationships/comments" Target="../comments27.xml"/><Relationship Id="rId5" Type="http://schemas.openxmlformats.org/officeDocument/2006/relationships/ctrlProp" Target="../ctrlProps/ctrlProp65.xml"/><Relationship Id="rId4" Type="http://schemas.openxmlformats.org/officeDocument/2006/relationships/ctrlProp" Target="../ctrlProps/ctrlProp6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3.xml"/><Relationship Id="rId1" Type="http://schemas.openxmlformats.org/officeDocument/2006/relationships/printerSettings" Target="../printerSettings/printerSettings37.bin"/><Relationship Id="rId6" Type="http://schemas.openxmlformats.org/officeDocument/2006/relationships/comments" Target="../comments28.xml"/><Relationship Id="rId5" Type="http://schemas.openxmlformats.org/officeDocument/2006/relationships/ctrlProp" Target="../ctrlProps/ctrlProp67.xml"/><Relationship Id="rId4" Type="http://schemas.openxmlformats.org/officeDocument/2006/relationships/ctrlProp" Target="../ctrlProps/ctrlProp66.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4.xml"/><Relationship Id="rId1" Type="http://schemas.openxmlformats.org/officeDocument/2006/relationships/printerSettings" Target="../printerSettings/printerSettings38.bin"/><Relationship Id="rId6" Type="http://schemas.openxmlformats.org/officeDocument/2006/relationships/comments" Target="../comments29.xml"/><Relationship Id="rId5" Type="http://schemas.openxmlformats.org/officeDocument/2006/relationships/ctrlProp" Target="../ctrlProps/ctrlProp69.xml"/><Relationship Id="rId4" Type="http://schemas.openxmlformats.org/officeDocument/2006/relationships/ctrlProp" Target="../ctrlProps/ctrlProp68.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5.xml"/><Relationship Id="rId1" Type="http://schemas.openxmlformats.org/officeDocument/2006/relationships/printerSettings" Target="../printerSettings/printerSettings39.bin"/><Relationship Id="rId6" Type="http://schemas.openxmlformats.org/officeDocument/2006/relationships/comments" Target="../comments30.xml"/><Relationship Id="rId5" Type="http://schemas.openxmlformats.org/officeDocument/2006/relationships/ctrlProp" Target="../ctrlProps/ctrlProp71.xml"/><Relationship Id="rId4" Type="http://schemas.openxmlformats.org/officeDocument/2006/relationships/ctrlProp" Target="../ctrlProps/ctrlProp70.xml"/></Relationships>
</file>

<file path=xl/worksheets/_rels/sheet41.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drawing" Target="../drawings/drawing36.xml"/><Relationship Id="rId1" Type="http://schemas.openxmlformats.org/officeDocument/2006/relationships/printerSettings" Target="../printerSettings/printerSettings40.bin"/><Relationship Id="rId6" Type="http://schemas.openxmlformats.org/officeDocument/2006/relationships/comments" Target="../comments31.xml"/><Relationship Id="rId5" Type="http://schemas.openxmlformats.org/officeDocument/2006/relationships/ctrlProp" Target="../ctrlProps/ctrlProp73.xml"/><Relationship Id="rId4" Type="http://schemas.openxmlformats.org/officeDocument/2006/relationships/ctrlProp" Target="../ctrlProps/ctrlProp72.xml"/></Relationships>
</file>

<file path=xl/worksheets/_rels/sheet42.xml.rels><?xml version="1.0" encoding="UTF-8" standalone="yes"?>
<Relationships xmlns="http://schemas.openxmlformats.org/package/2006/relationships"><Relationship Id="rId3" Type="http://schemas.openxmlformats.org/officeDocument/2006/relationships/vmlDrawing" Target="../drawings/vmlDrawing38.vml"/><Relationship Id="rId2" Type="http://schemas.openxmlformats.org/officeDocument/2006/relationships/drawing" Target="../drawings/drawing37.xml"/><Relationship Id="rId1" Type="http://schemas.openxmlformats.org/officeDocument/2006/relationships/printerSettings" Target="../printerSettings/printerSettings41.bin"/><Relationship Id="rId6" Type="http://schemas.openxmlformats.org/officeDocument/2006/relationships/comments" Target="../comments32.xml"/><Relationship Id="rId5" Type="http://schemas.openxmlformats.org/officeDocument/2006/relationships/ctrlProp" Target="../ctrlProps/ctrlProp75.xml"/><Relationship Id="rId4" Type="http://schemas.openxmlformats.org/officeDocument/2006/relationships/ctrlProp" Target="../ctrlProps/ctrlProp74.xml"/></Relationships>
</file>

<file path=xl/worksheets/_rels/sheet43.xml.rels><?xml version="1.0" encoding="UTF-8" standalone="yes"?>
<Relationships xmlns="http://schemas.openxmlformats.org/package/2006/relationships"><Relationship Id="rId3" Type="http://schemas.openxmlformats.org/officeDocument/2006/relationships/vmlDrawing" Target="../drawings/vmlDrawing39.vml"/><Relationship Id="rId2" Type="http://schemas.openxmlformats.org/officeDocument/2006/relationships/drawing" Target="../drawings/drawing38.xml"/><Relationship Id="rId1" Type="http://schemas.openxmlformats.org/officeDocument/2006/relationships/printerSettings" Target="../printerSettings/printerSettings42.bin"/><Relationship Id="rId6" Type="http://schemas.openxmlformats.org/officeDocument/2006/relationships/comments" Target="../comments33.xml"/><Relationship Id="rId5" Type="http://schemas.openxmlformats.org/officeDocument/2006/relationships/ctrlProp" Target="../ctrlProps/ctrlProp77.xml"/><Relationship Id="rId4" Type="http://schemas.openxmlformats.org/officeDocument/2006/relationships/ctrlProp" Target="../ctrlProps/ctrlProp76.xml"/></Relationships>
</file>

<file path=xl/worksheets/_rels/sheet44.xml.rels><?xml version="1.0" encoding="UTF-8" standalone="yes"?>
<Relationships xmlns="http://schemas.openxmlformats.org/package/2006/relationships"><Relationship Id="rId3" Type="http://schemas.openxmlformats.org/officeDocument/2006/relationships/vmlDrawing" Target="../drawings/vmlDrawing40.vml"/><Relationship Id="rId2" Type="http://schemas.openxmlformats.org/officeDocument/2006/relationships/drawing" Target="../drawings/drawing39.xml"/><Relationship Id="rId1" Type="http://schemas.openxmlformats.org/officeDocument/2006/relationships/printerSettings" Target="../printerSettings/printerSettings43.bin"/><Relationship Id="rId6" Type="http://schemas.openxmlformats.org/officeDocument/2006/relationships/comments" Target="../comments34.xml"/><Relationship Id="rId5" Type="http://schemas.openxmlformats.org/officeDocument/2006/relationships/ctrlProp" Target="../ctrlProps/ctrlProp79.xml"/><Relationship Id="rId4" Type="http://schemas.openxmlformats.org/officeDocument/2006/relationships/ctrlProp" Target="../ctrlProps/ctrlProp78.xml"/></Relationships>
</file>

<file path=xl/worksheets/_rels/sheet45.xml.rels><?xml version="1.0" encoding="UTF-8" standalone="yes"?>
<Relationships xmlns="http://schemas.openxmlformats.org/package/2006/relationships"><Relationship Id="rId3" Type="http://schemas.openxmlformats.org/officeDocument/2006/relationships/vmlDrawing" Target="../drawings/vmlDrawing41.vml"/><Relationship Id="rId2" Type="http://schemas.openxmlformats.org/officeDocument/2006/relationships/drawing" Target="../drawings/drawing40.xml"/><Relationship Id="rId1" Type="http://schemas.openxmlformats.org/officeDocument/2006/relationships/printerSettings" Target="../printerSettings/printerSettings44.bin"/><Relationship Id="rId6" Type="http://schemas.openxmlformats.org/officeDocument/2006/relationships/comments" Target="../comments35.xml"/><Relationship Id="rId5" Type="http://schemas.openxmlformats.org/officeDocument/2006/relationships/ctrlProp" Target="../ctrlProps/ctrlProp81.xml"/><Relationship Id="rId4" Type="http://schemas.openxmlformats.org/officeDocument/2006/relationships/ctrlProp" Target="../ctrlProps/ctrlProp80.xml"/></Relationships>
</file>

<file path=xl/worksheets/_rels/sheet46.xml.rels><?xml version="1.0" encoding="UTF-8" standalone="yes"?>
<Relationships xmlns="http://schemas.openxmlformats.org/package/2006/relationships"><Relationship Id="rId3" Type="http://schemas.openxmlformats.org/officeDocument/2006/relationships/vmlDrawing" Target="../drawings/vmlDrawing42.vml"/><Relationship Id="rId2" Type="http://schemas.openxmlformats.org/officeDocument/2006/relationships/drawing" Target="../drawings/drawing41.xml"/><Relationship Id="rId1" Type="http://schemas.openxmlformats.org/officeDocument/2006/relationships/printerSettings" Target="../printerSettings/printerSettings45.bin"/><Relationship Id="rId6" Type="http://schemas.openxmlformats.org/officeDocument/2006/relationships/comments" Target="../comments36.xml"/><Relationship Id="rId5" Type="http://schemas.openxmlformats.org/officeDocument/2006/relationships/ctrlProp" Target="../ctrlProps/ctrlProp83.xml"/><Relationship Id="rId4" Type="http://schemas.openxmlformats.org/officeDocument/2006/relationships/ctrlProp" Target="../ctrlProps/ctrlProp82.xml"/></Relationships>
</file>

<file path=xl/worksheets/_rels/sheet47.xml.rels><?xml version="1.0" encoding="UTF-8" standalone="yes"?>
<Relationships xmlns="http://schemas.openxmlformats.org/package/2006/relationships"><Relationship Id="rId3" Type="http://schemas.openxmlformats.org/officeDocument/2006/relationships/vmlDrawing" Target="../drawings/vmlDrawing43.vml"/><Relationship Id="rId2" Type="http://schemas.openxmlformats.org/officeDocument/2006/relationships/drawing" Target="../drawings/drawing42.xml"/><Relationship Id="rId1" Type="http://schemas.openxmlformats.org/officeDocument/2006/relationships/printerSettings" Target="../printerSettings/printerSettings46.bin"/><Relationship Id="rId6" Type="http://schemas.openxmlformats.org/officeDocument/2006/relationships/comments" Target="../comments37.xml"/><Relationship Id="rId5" Type="http://schemas.openxmlformats.org/officeDocument/2006/relationships/ctrlProp" Target="../ctrlProps/ctrlProp85.xml"/><Relationship Id="rId4" Type="http://schemas.openxmlformats.org/officeDocument/2006/relationships/ctrlProp" Target="../ctrlProps/ctrlProp84.xml"/></Relationships>
</file>

<file path=xl/worksheets/_rels/sheet48.xml.rels><?xml version="1.0" encoding="UTF-8" standalone="yes"?>
<Relationships xmlns="http://schemas.openxmlformats.org/package/2006/relationships"><Relationship Id="rId3" Type="http://schemas.openxmlformats.org/officeDocument/2006/relationships/vmlDrawing" Target="../drawings/vmlDrawing44.vml"/><Relationship Id="rId2" Type="http://schemas.openxmlformats.org/officeDocument/2006/relationships/drawing" Target="../drawings/drawing43.xml"/><Relationship Id="rId1" Type="http://schemas.openxmlformats.org/officeDocument/2006/relationships/printerSettings" Target="../printerSettings/printerSettings47.bin"/><Relationship Id="rId6" Type="http://schemas.openxmlformats.org/officeDocument/2006/relationships/comments" Target="../comments38.xml"/><Relationship Id="rId5" Type="http://schemas.openxmlformats.org/officeDocument/2006/relationships/ctrlProp" Target="../ctrlProps/ctrlProp87.xml"/><Relationship Id="rId4" Type="http://schemas.openxmlformats.org/officeDocument/2006/relationships/ctrlProp" Target="../ctrlProps/ctrlProp86.xml"/></Relationships>
</file>

<file path=xl/worksheets/_rels/sheet49.xml.rels><?xml version="1.0" encoding="UTF-8" standalone="yes"?>
<Relationships xmlns="http://schemas.openxmlformats.org/package/2006/relationships"><Relationship Id="rId3" Type="http://schemas.openxmlformats.org/officeDocument/2006/relationships/ctrlProp" Target="../ctrlProps/ctrlProp88.xml"/><Relationship Id="rId2" Type="http://schemas.openxmlformats.org/officeDocument/2006/relationships/vmlDrawing" Target="../drawings/vmlDrawing45.vml"/><Relationship Id="rId1" Type="http://schemas.openxmlformats.org/officeDocument/2006/relationships/drawing" Target="../drawings/drawing44.xml"/><Relationship Id="rId5" Type="http://schemas.openxmlformats.org/officeDocument/2006/relationships/comments" Target="../comments39.xml"/><Relationship Id="rId4" Type="http://schemas.openxmlformats.org/officeDocument/2006/relationships/ctrlProp" Target="../ctrlProps/ctrlProp89.xml"/></Relationships>
</file>

<file path=xl/worksheets/_rels/sheet50.xml.rels><?xml version="1.0" encoding="UTF-8" standalone="yes"?>
<Relationships xmlns="http://schemas.openxmlformats.org/package/2006/relationships"><Relationship Id="rId3" Type="http://schemas.openxmlformats.org/officeDocument/2006/relationships/ctrlProp" Target="../ctrlProps/ctrlProp90.xml"/><Relationship Id="rId2" Type="http://schemas.openxmlformats.org/officeDocument/2006/relationships/vmlDrawing" Target="../drawings/vmlDrawing46.vml"/><Relationship Id="rId1" Type="http://schemas.openxmlformats.org/officeDocument/2006/relationships/drawing" Target="../drawings/drawing45.xml"/><Relationship Id="rId5" Type="http://schemas.openxmlformats.org/officeDocument/2006/relationships/comments" Target="../comments40.xml"/><Relationship Id="rId4" Type="http://schemas.openxmlformats.org/officeDocument/2006/relationships/ctrlProp" Target="../ctrlProps/ctrlProp91.xml"/></Relationships>
</file>

<file path=xl/worksheets/_rels/sheet51.xml.rels><?xml version="1.0" encoding="UTF-8" standalone="yes"?>
<Relationships xmlns="http://schemas.openxmlformats.org/package/2006/relationships"><Relationship Id="rId3" Type="http://schemas.openxmlformats.org/officeDocument/2006/relationships/ctrlProp" Target="../ctrlProps/ctrlProp92.xml"/><Relationship Id="rId2" Type="http://schemas.openxmlformats.org/officeDocument/2006/relationships/vmlDrawing" Target="../drawings/vmlDrawing47.vml"/><Relationship Id="rId1" Type="http://schemas.openxmlformats.org/officeDocument/2006/relationships/drawing" Target="../drawings/drawing46.xml"/><Relationship Id="rId5" Type="http://schemas.openxmlformats.org/officeDocument/2006/relationships/comments" Target="../comments41.xml"/><Relationship Id="rId4" Type="http://schemas.openxmlformats.org/officeDocument/2006/relationships/ctrlProp" Target="../ctrlProps/ctrlProp93.xml"/></Relationships>
</file>

<file path=xl/worksheets/_rels/sheet52.xml.rels><?xml version="1.0" encoding="UTF-8" standalone="yes"?>
<Relationships xmlns="http://schemas.openxmlformats.org/package/2006/relationships"><Relationship Id="rId3" Type="http://schemas.openxmlformats.org/officeDocument/2006/relationships/ctrlProp" Target="../ctrlProps/ctrlProp94.xml"/><Relationship Id="rId2" Type="http://schemas.openxmlformats.org/officeDocument/2006/relationships/vmlDrawing" Target="../drawings/vmlDrawing48.vml"/><Relationship Id="rId1" Type="http://schemas.openxmlformats.org/officeDocument/2006/relationships/drawing" Target="../drawings/drawing47.xml"/><Relationship Id="rId5" Type="http://schemas.openxmlformats.org/officeDocument/2006/relationships/comments" Target="../comments42.xml"/><Relationship Id="rId4" Type="http://schemas.openxmlformats.org/officeDocument/2006/relationships/ctrlProp" Target="../ctrlProps/ctrlProp95.xml"/></Relationships>
</file>

<file path=xl/worksheets/_rels/sheet53.xml.rels><?xml version="1.0" encoding="UTF-8" standalone="yes"?>
<Relationships xmlns="http://schemas.openxmlformats.org/package/2006/relationships"><Relationship Id="rId3" Type="http://schemas.openxmlformats.org/officeDocument/2006/relationships/ctrlProp" Target="../ctrlProps/ctrlProp96.xml"/><Relationship Id="rId2" Type="http://schemas.openxmlformats.org/officeDocument/2006/relationships/vmlDrawing" Target="../drawings/vmlDrawing49.vml"/><Relationship Id="rId1" Type="http://schemas.openxmlformats.org/officeDocument/2006/relationships/drawing" Target="../drawings/drawing48.xml"/><Relationship Id="rId5" Type="http://schemas.openxmlformats.org/officeDocument/2006/relationships/comments" Target="../comments43.xml"/><Relationship Id="rId4" Type="http://schemas.openxmlformats.org/officeDocument/2006/relationships/ctrlProp" Target="../ctrlProps/ctrlProp97.xml"/></Relationships>
</file>

<file path=xl/worksheets/_rels/sheet54.xml.rels><?xml version="1.0" encoding="UTF-8" standalone="yes"?>
<Relationships xmlns="http://schemas.openxmlformats.org/package/2006/relationships"><Relationship Id="rId3" Type="http://schemas.openxmlformats.org/officeDocument/2006/relationships/ctrlProp" Target="../ctrlProps/ctrlProp98.xml"/><Relationship Id="rId2" Type="http://schemas.openxmlformats.org/officeDocument/2006/relationships/vmlDrawing" Target="../drawings/vmlDrawing50.vml"/><Relationship Id="rId1" Type="http://schemas.openxmlformats.org/officeDocument/2006/relationships/drawing" Target="../drawings/drawing49.xml"/><Relationship Id="rId5" Type="http://schemas.openxmlformats.org/officeDocument/2006/relationships/comments" Target="../comments44.xml"/><Relationship Id="rId4" Type="http://schemas.openxmlformats.org/officeDocument/2006/relationships/ctrlProp" Target="../ctrlProps/ctrlProp99.xml"/></Relationships>
</file>

<file path=xl/worksheets/_rels/sheet55.xml.rels><?xml version="1.0" encoding="UTF-8" standalone="yes"?>
<Relationships xmlns="http://schemas.openxmlformats.org/package/2006/relationships"><Relationship Id="rId3" Type="http://schemas.openxmlformats.org/officeDocument/2006/relationships/ctrlProp" Target="../ctrlProps/ctrlProp100.xml"/><Relationship Id="rId2" Type="http://schemas.openxmlformats.org/officeDocument/2006/relationships/vmlDrawing" Target="../drawings/vmlDrawing51.vml"/><Relationship Id="rId1" Type="http://schemas.openxmlformats.org/officeDocument/2006/relationships/drawing" Target="../drawings/drawing50.xml"/><Relationship Id="rId5" Type="http://schemas.openxmlformats.org/officeDocument/2006/relationships/comments" Target="../comments45.xml"/><Relationship Id="rId4" Type="http://schemas.openxmlformats.org/officeDocument/2006/relationships/ctrlProp" Target="../ctrlProps/ctrlProp101.xml"/></Relationships>
</file>

<file path=xl/worksheets/_rels/sheet56.xml.rels><?xml version="1.0" encoding="UTF-8" standalone="yes"?>
<Relationships xmlns="http://schemas.openxmlformats.org/package/2006/relationships"><Relationship Id="rId3" Type="http://schemas.openxmlformats.org/officeDocument/2006/relationships/ctrlProp" Target="../ctrlProps/ctrlProp102.xml"/><Relationship Id="rId2" Type="http://schemas.openxmlformats.org/officeDocument/2006/relationships/vmlDrawing" Target="../drawings/vmlDrawing52.vml"/><Relationship Id="rId1" Type="http://schemas.openxmlformats.org/officeDocument/2006/relationships/drawing" Target="../drawings/drawing51.xml"/><Relationship Id="rId5" Type="http://schemas.openxmlformats.org/officeDocument/2006/relationships/comments" Target="../comments46.xml"/><Relationship Id="rId4" Type="http://schemas.openxmlformats.org/officeDocument/2006/relationships/ctrlProp" Target="../ctrlProps/ctrlProp103.xml"/></Relationships>
</file>

<file path=xl/worksheets/_rels/sheet57.xml.rels><?xml version="1.0" encoding="UTF-8" standalone="yes"?>
<Relationships xmlns="http://schemas.openxmlformats.org/package/2006/relationships"><Relationship Id="rId3" Type="http://schemas.openxmlformats.org/officeDocument/2006/relationships/ctrlProp" Target="../ctrlProps/ctrlProp104.xml"/><Relationship Id="rId2" Type="http://schemas.openxmlformats.org/officeDocument/2006/relationships/vmlDrawing" Target="../drawings/vmlDrawing53.vml"/><Relationship Id="rId1" Type="http://schemas.openxmlformats.org/officeDocument/2006/relationships/drawing" Target="../drawings/drawing52.xml"/><Relationship Id="rId5" Type="http://schemas.openxmlformats.org/officeDocument/2006/relationships/comments" Target="../comments47.xml"/><Relationship Id="rId4" Type="http://schemas.openxmlformats.org/officeDocument/2006/relationships/ctrlProp" Target="../ctrlProps/ctrlProp105.xml"/></Relationships>
</file>

<file path=xl/worksheets/_rels/sheet58.xml.rels><?xml version="1.0" encoding="UTF-8" standalone="yes"?>
<Relationships xmlns="http://schemas.openxmlformats.org/package/2006/relationships"><Relationship Id="rId3" Type="http://schemas.openxmlformats.org/officeDocument/2006/relationships/ctrlProp" Target="../ctrlProps/ctrlProp106.xml"/><Relationship Id="rId2" Type="http://schemas.openxmlformats.org/officeDocument/2006/relationships/vmlDrawing" Target="../drawings/vmlDrawing54.vml"/><Relationship Id="rId1" Type="http://schemas.openxmlformats.org/officeDocument/2006/relationships/drawing" Target="../drawings/drawing53.xml"/><Relationship Id="rId5" Type="http://schemas.openxmlformats.org/officeDocument/2006/relationships/comments" Target="../comments48.xml"/><Relationship Id="rId4" Type="http://schemas.openxmlformats.org/officeDocument/2006/relationships/ctrlProp" Target="../ctrlProps/ctrlProp107.xml"/></Relationships>
</file>

<file path=xl/worksheets/_rels/sheet59.xml.rels><?xml version="1.0" encoding="UTF-8" standalone="yes"?>
<Relationships xmlns="http://schemas.openxmlformats.org/package/2006/relationships"><Relationship Id="rId3" Type="http://schemas.openxmlformats.org/officeDocument/2006/relationships/ctrlProp" Target="../ctrlProps/ctrlProp108.xml"/><Relationship Id="rId2" Type="http://schemas.openxmlformats.org/officeDocument/2006/relationships/vmlDrawing" Target="../drawings/vmlDrawing55.vml"/><Relationship Id="rId1" Type="http://schemas.openxmlformats.org/officeDocument/2006/relationships/drawing" Target="../drawings/drawing54.xml"/><Relationship Id="rId5" Type="http://schemas.openxmlformats.org/officeDocument/2006/relationships/comments" Target="../comments49.xml"/><Relationship Id="rId4" Type="http://schemas.openxmlformats.org/officeDocument/2006/relationships/ctrlProp" Target="../ctrlProps/ctrlProp109.xml"/></Relationships>
</file>

<file path=xl/worksheets/_rels/sheet60.xml.rels><?xml version="1.0" encoding="UTF-8" standalone="yes"?>
<Relationships xmlns="http://schemas.openxmlformats.org/package/2006/relationships"><Relationship Id="rId3" Type="http://schemas.openxmlformats.org/officeDocument/2006/relationships/ctrlProp" Target="../ctrlProps/ctrlProp110.xml"/><Relationship Id="rId2" Type="http://schemas.openxmlformats.org/officeDocument/2006/relationships/vmlDrawing" Target="../drawings/vmlDrawing56.vml"/><Relationship Id="rId1" Type="http://schemas.openxmlformats.org/officeDocument/2006/relationships/drawing" Target="../drawings/drawing55.xml"/><Relationship Id="rId5" Type="http://schemas.openxmlformats.org/officeDocument/2006/relationships/comments" Target="../comments50.xml"/><Relationship Id="rId4" Type="http://schemas.openxmlformats.org/officeDocument/2006/relationships/ctrlProp" Target="../ctrlProps/ctrlProp111.xml"/></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62.xml.rels><?xml version="1.0" encoding="UTF-8" standalone="yes"?>
<Relationships xmlns="http://schemas.openxmlformats.org/package/2006/relationships"><Relationship Id="rId3" Type="http://schemas.openxmlformats.org/officeDocument/2006/relationships/vmlDrawing" Target="../drawings/vmlDrawing57.vml"/><Relationship Id="rId2" Type="http://schemas.openxmlformats.org/officeDocument/2006/relationships/drawing" Target="../drawings/drawing56.xml"/><Relationship Id="rId1" Type="http://schemas.openxmlformats.org/officeDocument/2006/relationships/printerSettings" Target="../printerSettings/printerSettings49.bin"/><Relationship Id="rId5" Type="http://schemas.openxmlformats.org/officeDocument/2006/relationships/image" Target="../media/image3.emf"/><Relationship Id="rId4" Type="http://schemas.openxmlformats.org/officeDocument/2006/relationships/control" Target="../activeX/activeX3.xml"/></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pageSetUpPr autoPageBreaks="0"/>
  </sheetPr>
  <dimension ref="D2:J36"/>
  <sheetViews>
    <sheetView tabSelected="1" zoomScale="80" workbookViewId="0">
      <selection activeCell="D8" sqref="D8"/>
    </sheetView>
  </sheetViews>
  <sheetFormatPr defaultColWidth="9.109375" defaultRowHeight="13.2" x14ac:dyDescent="0.25"/>
  <cols>
    <col min="1" max="2" width="3.6640625" style="23" customWidth="1"/>
    <col min="3" max="11" width="15.6640625" style="23" customWidth="1"/>
    <col min="12" max="13" width="3.6640625" style="23" customWidth="1"/>
    <col min="14" max="16384" width="9.109375" style="23"/>
  </cols>
  <sheetData>
    <row r="2" spans="4:10" ht="13.8" thickBot="1" x14ac:dyDescent="0.3"/>
    <row r="3" spans="4:10" x14ac:dyDescent="0.25">
      <c r="D3" s="638" t="s">
        <v>229</v>
      </c>
      <c r="E3" s="639"/>
      <c r="F3" s="639"/>
      <c r="G3" s="639"/>
      <c r="H3" s="639"/>
      <c r="I3" s="639"/>
      <c r="J3" s="640"/>
    </row>
    <row r="4" spans="4:10" ht="13.8" thickBot="1" x14ac:dyDescent="0.3">
      <c r="D4" s="641"/>
      <c r="E4" s="642"/>
      <c r="F4" s="642"/>
      <c r="G4" s="642"/>
      <c r="H4" s="642"/>
      <c r="I4" s="642"/>
      <c r="J4" s="643"/>
    </row>
    <row r="5" spans="4:10" ht="15.6" x14ac:dyDescent="0.3">
      <c r="D5" s="644" t="s">
        <v>242</v>
      </c>
      <c r="E5" s="644"/>
      <c r="F5" s="644"/>
      <c r="G5" s="644"/>
      <c r="H5" s="644"/>
      <c r="I5" s="644"/>
      <c r="J5" s="644"/>
    </row>
    <row r="6" spans="4:10" x14ac:dyDescent="0.25">
      <c r="D6" s="280" t="s">
        <v>28</v>
      </c>
    </row>
    <row r="7" spans="4:10" x14ac:dyDescent="0.25">
      <c r="D7" s="301">
        <v>37242</v>
      </c>
    </row>
    <row r="8" spans="4:10" ht="13.8" thickBot="1" x14ac:dyDescent="0.3">
      <c r="D8" s="23" t="s">
        <v>224</v>
      </c>
    </row>
    <row r="9" spans="4:10" x14ac:dyDescent="0.25">
      <c r="D9" s="645" t="s">
        <v>230</v>
      </c>
      <c r="E9" s="646"/>
      <c r="F9" s="647"/>
      <c r="H9" s="645" t="s">
        <v>231</v>
      </c>
      <c r="I9" s="646"/>
      <c r="J9" s="647"/>
    </row>
    <row r="10" spans="4:10" x14ac:dyDescent="0.25">
      <c r="D10" s="648"/>
      <c r="E10" s="649"/>
      <c r="F10" s="650"/>
      <c r="H10" s="648"/>
      <c r="I10" s="649"/>
      <c r="J10" s="650"/>
    </row>
    <row r="11" spans="4:10" x14ac:dyDescent="0.25">
      <c r="D11" s="290"/>
      <c r="E11" s="284"/>
      <c r="F11" s="291"/>
      <c r="H11" s="290"/>
      <c r="I11" s="284"/>
      <c r="J11" s="291"/>
    </row>
    <row r="12" spans="4:10" x14ac:dyDescent="0.25">
      <c r="D12" s="290"/>
      <c r="E12" s="284"/>
      <c r="F12" s="291"/>
      <c r="H12" s="290"/>
      <c r="I12" s="284"/>
      <c r="J12" s="291"/>
    </row>
    <row r="13" spans="4:10" x14ac:dyDescent="0.25">
      <c r="D13" s="290"/>
      <c r="E13" s="284"/>
      <c r="F13" s="291"/>
      <c r="H13" s="290"/>
      <c r="I13" s="284"/>
      <c r="J13" s="291"/>
    </row>
    <row r="14" spans="4:10" x14ac:dyDescent="0.25">
      <c r="D14" s="290"/>
      <c r="E14" s="284"/>
      <c r="F14" s="291"/>
      <c r="H14" s="302"/>
      <c r="I14" s="284"/>
      <c r="J14" s="291"/>
    </row>
    <row r="15" spans="4:10" x14ac:dyDescent="0.25">
      <c r="D15" s="290"/>
      <c r="E15" s="284"/>
      <c r="F15" s="291"/>
      <c r="H15" s="290"/>
      <c r="I15" s="284"/>
      <c r="J15" s="291"/>
    </row>
    <row r="16" spans="4:10" x14ac:dyDescent="0.25">
      <c r="D16" s="290"/>
      <c r="E16" s="284"/>
      <c r="F16" s="291"/>
      <c r="H16" s="290"/>
      <c r="I16" s="284"/>
      <c r="J16" s="291"/>
    </row>
    <row r="17" spans="4:10" x14ac:dyDescent="0.25">
      <c r="D17" s="290"/>
      <c r="E17" s="284"/>
      <c r="F17" s="291"/>
      <c r="H17" s="290"/>
      <c r="I17" s="284"/>
      <c r="J17" s="291"/>
    </row>
    <row r="18" spans="4:10" ht="13.8" thickBot="1" x14ac:dyDescent="0.3">
      <c r="D18" s="292"/>
      <c r="E18" s="293"/>
      <c r="F18" s="294"/>
      <c r="H18" s="290"/>
      <c r="I18" s="284"/>
      <c r="J18" s="291"/>
    </row>
    <row r="19" spans="4:10" ht="13.8" thickBot="1" x14ac:dyDescent="0.3">
      <c r="H19" s="290"/>
      <c r="I19" s="284"/>
      <c r="J19" s="291"/>
    </row>
    <row r="20" spans="4:10" x14ac:dyDescent="0.25">
      <c r="D20" s="645" t="s">
        <v>243</v>
      </c>
      <c r="E20" s="646"/>
      <c r="F20" s="647"/>
      <c r="H20" s="290"/>
      <c r="I20" s="284"/>
      <c r="J20" s="291"/>
    </row>
    <row r="21" spans="4:10" x14ac:dyDescent="0.25">
      <c r="D21" s="648"/>
      <c r="E21" s="649"/>
      <c r="F21" s="650"/>
      <c r="H21" s="290"/>
      <c r="I21" s="284"/>
      <c r="J21" s="291"/>
    </row>
    <row r="22" spans="4:10" x14ac:dyDescent="0.25">
      <c r="D22" s="290"/>
      <c r="E22" s="284"/>
      <c r="F22" s="291"/>
      <c r="H22" s="290"/>
      <c r="I22" s="284"/>
      <c r="J22" s="291"/>
    </row>
    <row r="23" spans="4:10" x14ac:dyDescent="0.25">
      <c r="D23" s="290"/>
      <c r="E23" s="284"/>
      <c r="F23" s="291"/>
      <c r="H23" s="290"/>
      <c r="I23" s="284"/>
      <c r="J23" s="291"/>
    </row>
    <row r="24" spans="4:10" x14ac:dyDescent="0.25">
      <c r="D24" s="290"/>
      <c r="E24" s="284"/>
      <c r="F24" s="291"/>
      <c r="H24" s="290"/>
      <c r="I24" s="284"/>
      <c r="J24" s="291"/>
    </row>
    <row r="25" spans="4:10" x14ac:dyDescent="0.25">
      <c r="D25" s="290"/>
      <c r="E25" s="284"/>
      <c r="F25" s="291"/>
      <c r="H25" s="290"/>
      <c r="I25" s="284"/>
      <c r="J25" s="291"/>
    </row>
    <row r="26" spans="4:10" x14ac:dyDescent="0.25">
      <c r="D26" s="290"/>
      <c r="E26" s="284"/>
      <c r="F26" s="291"/>
      <c r="H26" s="290"/>
      <c r="I26" s="284"/>
      <c r="J26" s="291"/>
    </row>
    <row r="27" spans="4:10" x14ac:dyDescent="0.25">
      <c r="D27" s="290"/>
      <c r="E27" s="284"/>
      <c r="F27" s="291"/>
      <c r="H27" s="290"/>
      <c r="I27" s="284"/>
      <c r="J27" s="291"/>
    </row>
    <row r="28" spans="4:10" x14ac:dyDescent="0.25">
      <c r="D28" s="290"/>
      <c r="E28" s="284"/>
      <c r="F28" s="291"/>
      <c r="H28" s="290"/>
      <c r="I28" s="284"/>
      <c r="J28" s="291"/>
    </row>
    <row r="29" spans="4:10" ht="13.8" thickBot="1" x14ac:dyDescent="0.3">
      <c r="D29" s="292"/>
      <c r="E29" s="293"/>
      <c r="F29" s="294"/>
      <c r="H29" s="292"/>
      <c r="I29" s="293"/>
      <c r="J29" s="294"/>
    </row>
    <row r="31" spans="4:10" ht="13.8" thickBot="1" x14ac:dyDescent="0.3"/>
    <row r="32" spans="4:10" x14ac:dyDescent="0.25">
      <c r="D32" s="635" t="s">
        <v>232</v>
      </c>
      <c r="E32" s="636"/>
      <c r="F32" s="636"/>
      <c r="G32" s="636"/>
      <c r="H32" s="636"/>
      <c r="I32" s="636"/>
      <c r="J32" s="637"/>
    </row>
    <row r="33" spans="4:10" x14ac:dyDescent="0.25">
      <c r="D33" s="629" t="s">
        <v>244</v>
      </c>
      <c r="E33" s="630"/>
      <c r="F33" s="630"/>
      <c r="G33" s="630"/>
      <c r="H33" s="630"/>
      <c r="I33" s="630"/>
      <c r="J33" s="631"/>
    </row>
    <row r="34" spans="4:10" x14ac:dyDescent="0.25">
      <c r="D34" s="632"/>
      <c r="E34" s="633"/>
      <c r="F34" s="633"/>
      <c r="G34" s="633"/>
      <c r="H34" s="633"/>
      <c r="I34" s="633"/>
      <c r="J34" s="634"/>
    </row>
    <row r="35" spans="4:10" ht="13.8" thickBot="1" x14ac:dyDescent="0.3">
      <c r="D35" s="300"/>
      <c r="E35" s="282"/>
      <c r="F35" s="282"/>
      <c r="G35" s="282"/>
      <c r="H35" s="282"/>
      <c r="I35" s="282"/>
      <c r="J35" s="283"/>
    </row>
    <row r="36" spans="4:10" x14ac:dyDescent="0.25">
      <c r="I36" s="23" t="s">
        <v>224</v>
      </c>
    </row>
  </sheetData>
  <mergeCells count="7">
    <mergeCell ref="D33:J34"/>
    <mergeCell ref="D32:J32"/>
    <mergeCell ref="D3:J4"/>
    <mergeCell ref="D5:J5"/>
    <mergeCell ref="D9:F10"/>
    <mergeCell ref="H9:J10"/>
    <mergeCell ref="D20:F2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4578" r:id="rId4" name="Button 2">
              <controlPr defaultSize="0" print="0" autoFill="0" autoPict="0">
                <anchor moveWithCells="1" sizeWithCells="1">
                  <from>
                    <xdr:col>3</xdr:col>
                    <xdr:colOff>320040</xdr:colOff>
                    <xdr:row>11</xdr:row>
                    <xdr:rowOff>0</xdr:rowOff>
                  </from>
                  <to>
                    <xdr:col>5</xdr:col>
                    <xdr:colOff>739140</xdr:colOff>
                    <xdr:row>15</xdr:row>
                    <xdr:rowOff>106680</xdr:rowOff>
                  </to>
                </anchor>
              </controlPr>
            </control>
          </mc:Choice>
        </mc:AlternateContent>
        <mc:AlternateContent xmlns:mc="http://schemas.openxmlformats.org/markup-compatibility/2006">
          <mc:Choice Requires="x14">
            <control shapeId="24579" r:id="rId5" name="Button 3">
              <controlPr defaultSize="0" print="0" autoFill="0" autoPict="0" macro="[0]!Button3_Click">
                <anchor moveWithCells="1" sizeWithCells="1">
                  <from>
                    <xdr:col>7</xdr:col>
                    <xdr:colOff>320040</xdr:colOff>
                    <xdr:row>11</xdr:row>
                    <xdr:rowOff>0</xdr:rowOff>
                  </from>
                  <to>
                    <xdr:col>9</xdr:col>
                    <xdr:colOff>739140</xdr:colOff>
                    <xdr:row>15</xdr:row>
                    <xdr:rowOff>106680</xdr:rowOff>
                  </to>
                </anchor>
              </controlPr>
            </control>
          </mc:Choice>
        </mc:AlternateContent>
        <mc:AlternateContent xmlns:mc="http://schemas.openxmlformats.org/markup-compatibility/2006">
          <mc:Choice Requires="x14">
            <control shapeId="24580" r:id="rId6" name="Button 4">
              <controlPr defaultSize="0" print="0" autoFill="0" autoPict="0" macro="[0]!Button4_Click">
                <anchor moveWithCells="1" sizeWithCells="1">
                  <from>
                    <xdr:col>7</xdr:col>
                    <xdr:colOff>320040</xdr:colOff>
                    <xdr:row>16</xdr:row>
                    <xdr:rowOff>76200</xdr:rowOff>
                  </from>
                  <to>
                    <xdr:col>9</xdr:col>
                    <xdr:colOff>739140</xdr:colOff>
                    <xdr:row>21</xdr:row>
                    <xdr:rowOff>22860</xdr:rowOff>
                  </to>
                </anchor>
              </controlPr>
            </control>
          </mc:Choice>
        </mc:AlternateContent>
        <mc:AlternateContent xmlns:mc="http://schemas.openxmlformats.org/markup-compatibility/2006">
          <mc:Choice Requires="x14">
            <control shapeId="24582" r:id="rId7" name="Button 6">
              <controlPr defaultSize="0" print="0" autoFill="0" autoPict="0">
                <anchor moveWithCells="1" sizeWithCells="1">
                  <from>
                    <xdr:col>3</xdr:col>
                    <xdr:colOff>304800</xdr:colOff>
                    <xdr:row>22</xdr:row>
                    <xdr:rowOff>30480</xdr:rowOff>
                  </from>
                  <to>
                    <xdr:col>5</xdr:col>
                    <xdr:colOff>701040</xdr:colOff>
                    <xdr:row>26</xdr:row>
                    <xdr:rowOff>160020</xdr:rowOff>
                  </to>
                </anchor>
              </controlPr>
            </control>
          </mc:Choice>
        </mc:AlternateContent>
        <mc:AlternateContent xmlns:mc="http://schemas.openxmlformats.org/markup-compatibility/2006">
          <mc:Choice Requires="x14">
            <control shapeId="24586" r:id="rId8" name="Button 10">
              <controlPr defaultSize="0" print="0" autoFill="0" autoPict="0" macro="[0]!DailyOperation_Button10_Click">
                <anchor moveWithCells="1" sizeWithCells="1">
                  <from>
                    <xdr:col>4</xdr:col>
                    <xdr:colOff>1051560</xdr:colOff>
                    <xdr:row>37</xdr:row>
                    <xdr:rowOff>45720</xdr:rowOff>
                  </from>
                  <to>
                    <xdr:col>7</xdr:col>
                    <xdr:colOff>403860</xdr:colOff>
                    <xdr:row>39</xdr:row>
                    <xdr:rowOff>76200</xdr:rowOff>
                  </to>
                </anchor>
              </controlPr>
            </control>
          </mc:Choice>
        </mc:AlternateContent>
        <mc:AlternateContent xmlns:mc="http://schemas.openxmlformats.org/markup-compatibility/2006">
          <mc:Choice Requires="x14">
            <control shapeId="24587" r:id="rId9" name="Button 11">
              <controlPr defaultSize="0" print="0" autoFill="0" autoPict="0" macro="[0]!DailyOperation_Button11_Click">
                <anchor moveWithCells="1" sizeWithCells="1">
                  <from>
                    <xdr:col>4</xdr:col>
                    <xdr:colOff>1051560</xdr:colOff>
                    <xdr:row>39</xdr:row>
                    <xdr:rowOff>160020</xdr:rowOff>
                  </from>
                  <to>
                    <xdr:col>7</xdr:col>
                    <xdr:colOff>403860</xdr:colOff>
                    <xdr:row>42</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pageSetUpPr autoPageBreaks="0" fitToPage="1"/>
  </sheetPr>
  <dimension ref="A1:H137"/>
  <sheetViews>
    <sheetView zoomScale="80" workbookViewId="0">
      <selection activeCell="E91" sqref="E91"/>
    </sheetView>
  </sheetViews>
  <sheetFormatPr defaultColWidth="9.109375" defaultRowHeight="13.2" x14ac:dyDescent="0.25"/>
  <cols>
    <col min="1" max="2" width="3.6640625" style="23" customWidth="1"/>
    <col min="3" max="3" width="10.6640625" style="23" customWidth="1"/>
    <col min="4" max="4" width="18.6640625" style="23" customWidth="1"/>
    <col min="5" max="8" width="30.6640625" style="23" customWidth="1"/>
    <col min="9" max="10" width="13.6640625" style="23" customWidth="1"/>
    <col min="11" max="16384" width="9.109375" style="23"/>
  </cols>
  <sheetData>
    <row r="1" spans="1:8" x14ac:dyDescent="0.25">
      <c r="A1" s="180" t="s">
        <v>180</v>
      </c>
    </row>
    <row r="2" spans="1:8" ht="13.8" thickBot="1" x14ac:dyDescent="0.3">
      <c r="A2" s="180" t="str">
        <f>ADDRESS(ROW($C$9),COLUMN($C$9))</f>
        <v>$C$9</v>
      </c>
    </row>
    <row r="3" spans="1:8" x14ac:dyDescent="0.25">
      <c r="C3" s="665" t="s">
        <v>241</v>
      </c>
      <c r="D3" s="666"/>
      <c r="E3" s="666"/>
      <c r="F3" s="666"/>
      <c r="G3" s="666"/>
      <c r="H3" s="667"/>
    </row>
    <row r="4" spans="1:8" x14ac:dyDescent="0.25">
      <c r="C4" s="295"/>
      <c r="D4" s="275"/>
      <c r="E4" s="275"/>
      <c r="F4" s="275"/>
      <c r="G4" s="275"/>
      <c r="H4" s="296"/>
    </row>
    <row r="5" spans="1:8" x14ac:dyDescent="0.25">
      <c r="C5" s="295"/>
      <c r="D5" s="275"/>
      <c r="E5" s="275"/>
      <c r="F5" s="275"/>
      <c r="G5" s="275"/>
      <c r="H5" s="296"/>
    </row>
    <row r="6" spans="1:8" x14ac:dyDescent="0.25">
      <c r="C6" s="295"/>
      <c r="D6" s="275"/>
      <c r="E6" s="275"/>
      <c r="F6" s="275"/>
      <c r="G6" s="275"/>
      <c r="H6" s="296"/>
    </row>
    <row r="7" spans="1:8" ht="13.8" thickBot="1" x14ac:dyDescent="0.3">
      <c r="C7" s="297"/>
      <c r="D7" s="298"/>
      <c r="E7" s="298"/>
      <c r="F7" s="298"/>
      <c r="G7" s="298"/>
      <c r="H7" s="299"/>
    </row>
    <row r="8" spans="1:8" ht="13.8" thickBot="1" x14ac:dyDescent="0.3"/>
    <row r="9" spans="1:8" ht="27.6" thickTop="1" thickBot="1" x14ac:dyDescent="0.3">
      <c r="C9" s="24" t="s">
        <v>38</v>
      </c>
      <c r="D9" s="668" t="s">
        <v>14</v>
      </c>
      <c r="E9" s="669"/>
      <c r="F9" s="669"/>
      <c r="G9" s="669"/>
      <c r="H9" s="670"/>
    </row>
    <row r="10" spans="1:8" ht="16.2" thickBot="1" x14ac:dyDescent="0.35">
      <c r="C10" s="211"/>
    </row>
    <row r="11" spans="1:8" ht="16.5" customHeight="1" thickTop="1" thickBot="1" x14ac:dyDescent="0.35">
      <c r="C11" s="651">
        <v>1</v>
      </c>
      <c r="D11" s="655" t="s">
        <v>0</v>
      </c>
      <c r="E11" s="655"/>
      <c r="F11" s="655"/>
      <c r="G11" s="655"/>
      <c r="H11" s="656"/>
    </row>
    <row r="12" spans="1:8" ht="15.75" customHeight="1" x14ac:dyDescent="0.3">
      <c r="C12" s="652"/>
      <c r="D12" s="10" t="s">
        <v>543</v>
      </c>
      <c r="E12" s="12" t="s">
        <v>3</v>
      </c>
      <c r="F12" s="12" t="s">
        <v>4</v>
      </c>
      <c r="G12" s="12" t="s">
        <v>1</v>
      </c>
      <c r="H12" s="15" t="s">
        <v>2</v>
      </c>
    </row>
    <row r="13" spans="1:8" ht="13.5" customHeight="1" thickBot="1" x14ac:dyDescent="0.3">
      <c r="C13" s="652"/>
      <c r="D13" s="11" t="s">
        <v>24</v>
      </c>
      <c r="E13" s="1" t="s">
        <v>253</v>
      </c>
      <c r="F13" s="1" t="s">
        <v>254</v>
      </c>
      <c r="G13" s="2">
        <v>36617</v>
      </c>
      <c r="H13" s="16">
        <v>39955</v>
      </c>
    </row>
    <row r="14" spans="1:8" ht="15.75" customHeight="1" thickBot="1" x14ac:dyDescent="0.3">
      <c r="C14" s="652"/>
      <c r="D14" s="27"/>
      <c r="E14" s="3" t="s">
        <v>6</v>
      </c>
      <c r="F14" s="4" t="s">
        <v>7</v>
      </c>
      <c r="G14" s="4" t="s">
        <v>8</v>
      </c>
      <c r="H14" s="17" t="s">
        <v>9</v>
      </c>
    </row>
    <row r="15" spans="1:8" ht="12.75" customHeight="1" x14ac:dyDescent="0.25">
      <c r="C15" s="652"/>
      <c r="D15" s="9" t="s">
        <v>5</v>
      </c>
      <c r="E15" s="25" t="s">
        <v>212</v>
      </c>
      <c r="F15" s="25" t="s">
        <v>15</v>
      </c>
      <c r="G15" s="25" t="s">
        <v>15</v>
      </c>
      <c r="H15" s="26" t="s">
        <v>15</v>
      </c>
    </row>
    <row r="16" spans="1:8" ht="12.75" customHeight="1" x14ac:dyDescent="0.25">
      <c r="C16" s="652"/>
      <c r="D16" s="6" t="s">
        <v>10</v>
      </c>
      <c r="E16" s="20">
        <v>60000</v>
      </c>
      <c r="F16" s="20">
        <v>0</v>
      </c>
      <c r="G16" s="20">
        <v>0</v>
      </c>
      <c r="H16" s="18">
        <v>0</v>
      </c>
    </row>
    <row r="17" spans="3:8" ht="12.75" customHeight="1" x14ac:dyDescent="0.25">
      <c r="C17" s="652"/>
      <c r="D17" s="6" t="s">
        <v>11</v>
      </c>
      <c r="E17" s="120">
        <v>0</v>
      </c>
      <c r="F17" s="120">
        <v>0</v>
      </c>
      <c r="G17" s="120">
        <v>0</v>
      </c>
      <c r="H17" s="121">
        <v>0</v>
      </c>
    </row>
    <row r="18" spans="3:8" ht="12.75" customHeight="1" x14ac:dyDescent="0.25">
      <c r="C18" s="652"/>
      <c r="D18" s="6" t="s">
        <v>12</v>
      </c>
      <c r="E18" s="21">
        <v>1.15E-2</v>
      </c>
      <c r="F18" s="21">
        <v>0</v>
      </c>
      <c r="G18" s="21">
        <v>0</v>
      </c>
      <c r="H18" s="19">
        <v>0</v>
      </c>
    </row>
    <row r="19" spans="3:8" ht="12.75" customHeight="1" x14ac:dyDescent="0.25">
      <c r="C19" s="652"/>
      <c r="D19" s="6" t="s">
        <v>13</v>
      </c>
      <c r="E19" s="120">
        <v>0.1431</v>
      </c>
      <c r="F19" s="120">
        <v>0</v>
      </c>
      <c r="G19" s="120">
        <v>0</v>
      </c>
      <c r="H19" s="121">
        <v>0</v>
      </c>
    </row>
    <row r="20" spans="3:8" ht="12.75" customHeight="1" x14ac:dyDescent="0.25">
      <c r="C20" s="653"/>
      <c r="D20" s="5" t="s">
        <v>17</v>
      </c>
      <c r="E20" s="122">
        <v>0</v>
      </c>
      <c r="F20" s="123">
        <v>0</v>
      </c>
      <c r="G20" s="124">
        <v>0</v>
      </c>
      <c r="H20" s="125">
        <v>0</v>
      </c>
    </row>
    <row r="21" spans="3:8" ht="13.5" customHeight="1" x14ac:dyDescent="0.25">
      <c r="C21" s="653"/>
      <c r="D21" s="50" t="s">
        <v>42</v>
      </c>
      <c r="E21" s="126">
        <v>0</v>
      </c>
      <c r="F21" s="127">
        <v>0</v>
      </c>
      <c r="G21" s="128">
        <v>0</v>
      </c>
      <c r="H21" s="129">
        <v>0</v>
      </c>
    </row>
    <row r="22" spans="3:8" ht="13.5" customHeight="1" thickBot="1" x14ac:dyDescent="0.3">
      <c r="C22" s="653"/>
      <c r="D22" s="5" t="s">
        <v>43</v>
      </c>
      <c r="E22" s="122">
        <v>0</v>
      </c>
      <c r="F22" s="123">
        <v>0</v>
      </c>
      <c r="G22" s="123">
        <v>0</v>
      </c>
      <c r="H22" s="130">
        <v>0</v>
      </c>
    </row>
    <row r="23" spans="3:8" ht="13.5" customHeight="1" x14ac:dyDescent="0.25">
      <c r="C23" s="653"/>
      <c r="D23" s="13" t="s">
        <v>188</v>
      </c>
      <c r="E23" s="51" t="s">
        <v>521</v>
      </c>
      <c r="F23" s="14" t="s">
        <v>191</v>
      </c>
      <c r="G23" s="107" t="s">
        <v>266</v>
      </c>
      <c r="H23" s="57" t="s">
        <v>47</v>
      </c>
    </row>
    <row r="24" spans="3:8" ht="13.5" customHeight="1" thickBot="1" x14ac:dyDescent="0.3">
      <c r="C24" s="653"/>
      <c r="D24" s="7" t="s">
        <v>189</v>
      </c>
      <c r="E24" s="22" t="s">
        <v>544</v>
      </c>
      <c r="F24" s="8" t="s">
        <v>192</v>
      </c>
      <c r="G24" s="108" t="s">
        <v>754</v>
      </c>
      <c r="H24" s="117" t="s">
        <v>48</v>
      </c>
    </row>
    <row r="25" spans="3:8" ht="13.5" customHeight="1" thickBot="1" x14ac:dyDescent="0.3">
      <c r="C25" s="653"/>
      <c r="D25" s="109" t="s">
        <v>190</v>
      </c>
      <c r="E25" s="110" t="s">
        <v>488</v>
      </c>
      <c r="F25" s="111" t="s">
        <v>193</v>
      </c>
      <c r="G25" s="112" t="s">
        <v>517</v>
      </c>
      <c r="H25" s="57" t="s">
        <v>140</v>
      </c>
    </row>
    <row r="26" spans="3:8" ht="13.5" customHeight="1" thickBot="1" x14ac:dyDescent="0.3">
      <c r="C26" s="653"/>
      <c r="D26" s="113" t="s">
        <v>139</v>
      </c>
      <c r="E26" s="114">
        <v>4</v>
      </c>
      <c r="F26" s="116" t="str">
        <f>GetCorrelName1($E26)</f>
        <v>IF-NNG/VENT</v>
      </c>
      <c r="G26" s="115" t="str">
        <f>GetCorrelName2($E26)</f>
        <v>NGI/CHI. GATE</v>
      </c>
      <c r="H26" s="118" t="s">
        <v>143</v>
      </c>
    </row>
    <row r="27" spans="3:8" ht="13.5" customHeight="1" x14ac:dyDescent="0.25">
      <c r="C27" s="652"/>
      <c r="D27" s="657" t="s">
        <v>16</v>
      </c>
      <c r="E27" s="659" t="s">
        <v>23</v>
      </c>
      <c r="F27" s="660"/>
      <c r="G27" s="660"/>
      <c r="H27" s="661"/>
    </row>
    <row r="28" spans="3:8" ht="13.5" customHeight="1" thickBot="1" x14ac:dyDescent="0.3">
      <c r="C28" s="654"/>
      <c r="D28" s="658"/>
      <c r="E28" s="662"/>
      <c r="F28" s="663"/>
      <c r="G28" s="663"/>
      <c r="H28" s="664"/>
    </row>
    <row r="29" spans="3:8" ht="16.5" customHeight="1" thickTop="1" thickBot="1" x14ac:dyDescent="0.35">
      <c r="C29" s="651">
        <v>2</v>
      </c>
      <c r="D29" s="655" t="s">
        <v>0</v>
      </c>
      <c r="E29" s="655"/>
      <c r="F29" s="655"/>
      <c r="G29" s="655"/>
      <c r="H29" s="656"/>
    </row>
    <row r="30" spans="3:8" ht="15.75" customHeight="1" x14ac:dyDescent="0.3">
      <c r="C30" s="652"/>
      <c r="D30" s="10" t="s">
        <v>543</v>
      </c>
      <c r="E30" s="12" t="s">
        <v>3</v>
      </c>
      <c r="F30" s="12" t="s">
        <v>4</v>
      </c>
      <c r="G30" s="12" t="s">
        <v>1</v>
      </c>
      <c r="H30" s="15" t="s">
        <v>2</v>
      </c>
    </row>
    <row r="31" spans="3:8" ht="13.5" customHeight="1" thickBot="1" x14ac:dyDescent="0.3">
      <c r="C31" s="652"/>
      <c r="D31" s="11" t="s">
        <v>24</v>
      </c>
      <c r="E31" s="1" t="s">
        <v>255</v>
      </c>
      <c r="F31" s="1" t="s">
        <v>254</v>
      </c>
      <c r="G31" s="2">
        <v>36495</v>
      </c>
      <c r="H31" s="16">
        <v>37315</v>
      </c>
    </row>
    <row r="32" spans="3:8" ht="15.75" customHeight="1" thickBot="1" x14ac:dyDescent="0.3">
      <c r="C32" s="652"/>
      <c r="D32" s="27"/>
      <c r="E32" s="3" t="s">
        <v>6</v>
      </c>
      <c r="F32" s="4" t="s">
        <v>7</v>
      </c>
      <c r="G32" s="4" t="s">
        <v>8</v>
      </c>
      <c r="H32" s="17" t="s">
        <v>9</v>
      </c>
    </row>
    <row r="33" spans="3:8" ht="12.75" customHeight="1" x14ac:dyDescent="0.25">
      <c r="C33" s="652"/>
      <c r="D33" s="9" t="s">
        <v>5</v>
      </c>
      <c r="E33" s="25" t="s">
        <v>212</v>
      </c>
      <c r="F33" s="25" t="s">
        <v>15</v>
      </c>
      <c r="G33" s="25" t="s">
        <v>15</v>
      </c>
      <c r="H33" s="26" t="s">
        <v>15</v>
      </c>
    </row>
    <row r="34" spans="3:8" ht="12.75" customHeight="1" x14ac:dyDescent="0.25">
      <c r="C34" s="652"/>
      <c r="D34" s="6" t="s">
        <v>10</v>
      </c>
      <c r="E34" s="20">
        <v>10000</v>
      </c>
      <c r="F34" s="20">
        <v>0</v>
      </c>
      <c r="G34" s="20">
        <v>0</v>
      </c>
      <c r="H34" s="18">
        <v>0</v>
      </c>
    </row>
    <row r="35" spans="3:8" ht="12.75" customHeight="1" x14ac:dyDescent="0.25">
      <c r="C35" s="652"/>
      <c r="D35" s="6" t="s">
        <v>11</v>
      </c>
      <c r="E35" s="120">
        <v>0</v>
      </c>
      <c r="F35" s="120">
        <v>0</v>
      </c>
      <c r="G35" s="120">
        <v>0</v>
      </c>
      <c r="H35" s="121">
        <v>0</v>
      </c>
    </row>
    <row r="36" spans="3:8" ht="12.75" customHeight="1" x14ac:dyDescent="0.25">
      <c r="C36" s="652"/>
      <c r="D36" s="6" t="s">
        <v>12</v>
      </c>
      <c r="E36" s="21">
        <v>3.5999999999999997E-2</v>
      </c>
      <c r="F36" s="21">
        <v>0</v>
      </c>
      <c r="G36" s="21">
        <v>0</v>
      </c>
      <c r="H36" s="19">
        <v>0</v>
      </c>
    </row>
    <row r="37" spans="3:8" ht="12.75" customHeight="1" x14ac:dyDescent="0.25">
      <c r="C37" s="652"/>
      <c r="D37" s="6" t="s">
        <v>13</v>
      </c>
      <c r="E37" s="120">
        <v>0.44240000000000002</v>
      </c>
      <c r="F37" s="120">
        <v>0</v>
      </c>
      <c r="G37" s="120">
        <v>0</v>
      </c>
      <c r="H37" s="121">
        <v>0</v>
      </c>
    </row>
    <row r="38" spans="3:8" ht="12.75" customHeight="1" x14ac:dyDescent="0.25">
      <c r="C38" s="653"/>
      <c r="D38" s="5" t="s">
        <v>17</v>
      </c>
      <c r="E38" s="122">
        <v>0</v>
      </c>
      <c r="F38" s="123">
        <v>0</v>
      </c>
      <c r="G38" s="124">
        <v>0</v>
      </c>
      <c r="H38" s="125">
        <v>0</v>
      </c>
    </row>
    <row r="39" spans="3:8" ht="13.5" customHeight="1" x14ac:dyDescent="0.25">
      <c r="C39" s="653"/>
      <c r="D39" s="50" t="s">
        <v>42</v>
      </c>
      <c r="E39" s="126">
        <v>0</v>
      </c>
      <c r="F39" s="127">
        <v>0</v>
      </c>
      <c r="G39" s="128">
        <v>0</v>
      </c>
      <c r="H39" s="129">
        <v>0</v>
      </c>
    </row>
    <row r="40" spans="3:8" ht="13.5" customHeight="1" thickBot="1" x14ac:dyDescent="0.3">
      <c r="C40" s="653"/>
      <c r="D40" s="5" t="s">
        <v>43</v>
      </c>
      <c r="E40" s="122">
        <v>0</v>
      </c>
      <c r="F40" s="123">
        <v>0</v>
      </c>
      <c r="G40" s="123">
        <v>0</v>
      </c>
      <c r="H40" s="130">
        <v>0</v>
      </c>
    </row>
    <row r="41" spans="3:8" ht="13.5" customHeight="1" x14ac:dyDescent="0.25">
      <c r="C41" s="653"/>
      <c r="D41" s="13" t="s">
        <v>188</v>
      </c>
      <c r="E41" s="51" t="s">
        <v>256</v>
      </c>
      <c r="F41" s="14" t="s">
        <v>191</v>
      </c>
      <c r="G41" s="107" t="s">
        <v>266</v>
      </c>
      <c r="H41" s="57" t="s">
        <v>47</v>
      </c>
    </row>
    <row r="42" spans="3:8" ht="13.5" customHeight="1" thickBot="1" x14ac:dyDescent="0.3">
      <c r="C42" s="653"/>
      <c r="D42" s="7" t="s">
        <v>189</v>
      </c>
      <c r="E42" s="22" t="s">
        <v>257</v>
      </c>
      <c r="F42" s="8" t="s">
        <v>192</v>
      </c>
      <c r="G42" s="108" t="s">
        <v>754</v>
      </c>
      <c r="H42" s="117" t="s">
        <v>48</v>
      </c>
    </row>
    <row r="43" spans="3:8" ht="13.5" customHeight="1" thickBot="1" x14ac:dyDescent="0.3">
      <c r="C43" s="653"/>
      <c r="D43" s="109" t="s">
        <v>190</v>
      </c>
      <c r="E43" s="110" t="s">
        <v>488</v>
      </c>
      <c r="F43" s="111" t="s">
        <v>193</v>
      </c>
      <c r="G43" s="112" t="s">
        <v>517</v>
      </c>
      <c r="H43" s="57" t="s">
        <v>140</v>
      </c>
    </row>
    <row r="44" spans="3:8" ht="13.5" customHeight="1" thickBot="1" x14ac:dyDescent="0.3">
      <c r="C44" s="653"/>
      <c r="D44" s="113" t="s">
        <v>139</v>
      </c>
      <c r="E44" s="114">
        <v>5</v>
      </c>
      <c r="F44" s="116" t="str">
        <f>GetCorrelName1($E44)</f>
        <v>IF-MONCHY</v>
      </c>
      <c r="G44" s="115" t="str">
        <f>GetCorrelName2($E44)</f>
        <v>NGI/CHI. GATE</v>
      </c>
      <c r="H44" s="118" t="s">
        <v>143</v>
      </c>
    </row>
    <row r="45" spans="3:8" ht="13.5" customHeight="1" x14ac:dyDescent="0.25">
      <c r="C45" s="652"/>
      <c r="D45" s="657" t="s">
        <v>16</v>
      </c>
      <c r="E45" s="659" t="s">
        <v>23</v>
      </c>
      <c r="F45" s="660"/>
      <c r="G45" s="660"/>
      <c r="H45" s="661"/>
    </row>
    <row r="46" spans="3:8" ht="13.5" customHeight="1" thickBot="1" x14ac:dyDescent="0.3">
      <c r="C46" s="654"/>
      <c r="D46" s="658"/>
      <c r="E46" s="662"/>
      <c r="F46" s="663"/>
      <c r="G46" s="663"/>
      <c r="H46" s="664"/>
    </row>
    <row r="47" spans="3:8" ht="17.25" customHeight="1" thickTop="1" thickBot="1" x14ac:dyDescent="0.35">
      <c r="C47" s="651">
        <v>25</v>
      </c>
      <c r="D47" s="655" t="s">
        <v>0</v>
      </c>
      <c r="E47" s="655"/>
      <c r="F47" s="655"/>
      <c r="G47" s="655"/>
      <c r="H47" s="656"/>
    </row>
    <row r="48" spans="3:8" ht="15.75" customHeight="1" x14ac:dyDescent="0.3">
      <c r="C48" s="652"/>
      <c r="D48" s="10" t="s">
        <v>543</v>
      </c>
      <c r="E48" s="12" t="s">
        <v>3</v>
      </c>
      <c r="F48" s="12" t="s">
        <v>4</v>
      </c>
      <c r="G48" s="12" t="s">
        <v>1</v>
      </c>
      <c r="H48" s="15" t="s">
        <v>2</v>
      </c>
    </row>
    <row r="49" spans="3:8" ht="13.5" customHeight="1" thickBot="1" x14ac:dyDescent="0.3">
      <c r="C49" s="652"/>
      <c r="D49" s="11" t="s">
        <v>24</v>
      </c>
      <c r="E49" s="1" t="s">
        <v>255</v>
      </c>
      <c r="F49" s="1" t="s">
        <v>254</v>
      </c>
      <c r="G49" s="2">
        <v>37316</v>
      </c>
      <c r="H49" s="16">
        <v>39872</v>
      </c>
    </row>
    <row r="50" spans="3:8" ht="15.75" customHeight="1" thickBot="1" x14ac:dyDescent="0.3">
      <c r="C50" s="652"/>
      <c r="D50" s="27"/>
      <c r="E50" s="3" t="s">
        <v>6</v>
      </c>
      <c r="F50" s="4" t="s">
        <v>7</v>
      </c>
      <c r="G50" s="4" t="s">
        <v>8</v>
      </c>
      <c r="H50" s="17" t="s">
        <v>9</v>
      </c>
    </row>
    <row r="51" spans="3:8" ht="12.75" customHeight="1" x14ac:dyDescent="0.25">
      <c r="C51" s="652"/>
      <c r="D51" s="9" t="s">
        <v>5</v>
      </c>
      <c r="E51" s="25" t="s">
        <v>212</v>
      </c>
      <c r="F51" s="25" t="s">
        <v>15</v>
      </c>
      <c r="G51" s="25" t="s">
        <v>15</v>
      </c>
      <c r="H51" s="26" t="s">
        <v>15</v>
      </c>
    </row>
    <row r="52" spans="3:8" ht="12.75" customHeight="1" x14ac:dyDescent="0.25">
      <c r="C52" s="652"/>
      <c r="D52" s="6" t="s">
        <v>10</v>
      </c>
      <c r="E52" s="20">
        <v>9300</v>
      </c>
      <c r="F52" s="20">
        <v>0</v>
      </c>
      <c r="G52" s="20">
        <v>0</v>
      </c>
      <c r="H52" s="18">
        <v>0</v>
      </c>
    </row>
    <row r="53" spans="3:8" ht="12.75" customHeight="1" x14ac:dyDescent="0.25">
      <c r="C53" s="652"/>
      <c r="D53" s="6" t="s">
        <v>11</v>
      </c>
      <c r="E53" s="120">
        <v>0</v>
      </c>
      <c r="F53" s="120">
        <v>0</v>
      </c>
      <c r="G53" s="120">
        <v>0</v>
      </c>
      <c r="H53" s="121">
        <v>0</v>
      </c>
    </row>
    <row r="54" spans="3:8" ht="12.75" customHeight="1" x14ac:dyDescent="0.25">
      <c r="C54" s="652"/>
      <c r="D54" s="6" t="s">
        <v>12</v>
      </c>
      <c r="E54" s="21">
        <v>3.5999999999999997E-2</v>
      </c>
      <c r="F54" s="21">
        <v>0</v>
      </c>
      <c r="G54" s="21">
        <v>0</v>
      </c>
      <c r="H54" s="19">
        <v>0</v>
      </c>
    </row>
    <row r="55" spans="3:8" ht="12.75" customHeight="1" x14ac:dyDescent="0.25">
      <c r="C55" s="652"/>
      <c r="D55" s="6" t="s">
        <v>13</v>
      </c>
      <c r="E55" s="120">
        <v>0.44240000000000002</v>
      </c>
      <c r="F55" s="120">
        <v>0</v>
      </c>
      <c r="G55" s="120">
        <v>0</v>
      </c>
      <c r="H55" s="121">
        <v>0</v>
      </c>
    </row>
    <row r="56" spans="3:8" ht="12.75" customHeight="1" x14ac:dyDescent="0.25">
      <c r="C56" s="653"/>
      <c r="D56" s="5" t="s">
        <v>17</v>
      </c>
      <c r="E56" s="122">
        <v>0</v>
      </c>
      <c r="F56" s="123">
        <v>0</v>
      </c>
      <c r="G56" s="124">
        <v>0</v>
      </c>
      <c r="H56" s="125">
        <v>0</v>
      </c>
    </row>
    <row r="57" spans="3:8" ht="12.75" customHeight="1" x14ac:dyDescent="0.25">
      <c r="C57" s="653"/>
      <c r="D57" s="50" t="s">
        <v>42</v>
      </c>
      <c r="E57" s="126">
        <v>0</v>
      </c>
      <c r="F57" s="127">
        <v>0</v>
      </c>
      <c r="G57" s="128">
        <v>0</v>
      </c>
      <c r="H57" s="129">
        <v>0</v>
      </c>
    </row>
    <row r="58" spans="3:8" ht="13.5" customHeight="1" thickBot="1" x14ac:dyDescent="0.3">
      <c r="C58" s="653"/>
      <c r="D58" s="5" t="s">
        <v>43</v>
      </c>
      <c r="E58" s="122">
        <v>0</v>
      </c>
      <c r="F58" s="123">
        <v>0</v>
      </c>
      <c r="G58" s="123">
        <v>0</v>
      </c>
      <c r="H58" s="130">
        <v>0</v>
      </c>
    </row>
    <row r="59" spans="3:8" ht="12.75" customHeight="1" x14ac:dyDescent="0.25">
      <c r="C59" s="653"/>
      <c r="D59" s="13" t="s">
        <v>188</v>
      </c>
      <c r="E59" s="51" t="s">
        <v>256</v>
      </c>
      <c r="F59" s="14" t="s">
        <v>191</v>
      </c>
      <c r="G59" s="107" t="s">
        <v>266</v>
      </c>
      <c r="H59" s="57" t="s">
        <v>47</v>
      </c>
    </row>
    <row r="60" spans="3:8" ht="15.75" customHeight="1" thickBot="1" x14ac:dyDescent="0.3">
      <c r="C60" s="653"/>
      <c r="D60" s="7" t="s">
        <v>189</v>
      </c>
      <c r="E60" s="22" t="s">
        <v>257</v>
      </c>
      <c r="F60" s="8" t="s">
        <v>192</v>
      </c>
      <c r="G60" s="108" t="s">
        <v>754</v>
      </c>
      <c r="H60" s="117" t="s">
        <v>48</v>
      </c>
    </row>
    <row r="61" spans="3:8" ht="13.5" customHeight="1" thickBot="1" x14ac:dyDescent="0.3">
      <c r="C61" s="653"/>
      <c r="D61" s="109" t="s">
        <v>190</v>
      </c>
      <c r="E61" s="110" t="s">
        <v>488</v>
      </c>
      <c r="F61" s="111" t="s">
        <v>193</v>
      </c>
      <c r="G61" s="112" t="s">
        <v>517</v>
      </c>
      <c r="H61" s="57" t="s">
        <v>140</v>
      </c>
    </row>
    <row r="62" spans="3:8" ht="13.5" customHeight="1" thickBot="1" x14ac:dyDescent="0.3">
      <c r="C62" s="653"/>
      <c r="D62" s="113" t="s">
        <v>139</v>
      </c>
      <c r="E62" s="114">
        <v>5</v>
      </c>
      <c r="F62" s="116" t="str">
        <f>GetCorrelName1($E62)</f>
        <v>IF-MONCHY</v>
      </c>
      <c r="G62" s="115" t="str">
        <f>GetCorrelName2($E62)</f>
        <v>NGI/CHI. GATE</v>
      </c>
      <c r="H62" s="118" t="s">
        <v>143</v>
      </c>
    </row>
    <row r="63" spans="3:8" ht="12.75" customHeight="1" x14ac:dyDescent="0.25">
      <c r="C63" s="652"/>
      <c r="D63" s="657" t="s">
        <v>16</v>
      </c>
      <c r="E63" s="659"/>
      <c r="F63" s="660"/>
      <c r="G63" s="660"/>
      <c r="H63" s="661"/>
    </row>
    <row r="64" spans="3:8" ht="13.5" customHeight="1" thickBot="1" x14ac:dyDescent="0.3">
      <c r="C64" s="654"/>
      <c r="D64" s="658"/>
      <c r="E64" s="662"/>
      <c r="F64" s="663"/>
      <c r="G64" s="663"/>
      <c r="H64" s="664"/>
    </row>
    <row r="65" spans="3:8" ht="17.25" customHeight="1" thickTop="1" thickBot="1" x14ac:dyDescent="0.35">
      <c r="C65" s="651">
        <v>26</v>
      </c>
      <c r="D65" s="655" t="s">
        <v>0</v>
      </c>
      <c r="E65" s="655"/>
      <c r="F65" s="655"/>
      <c r="G65" s="655"/>
      <c r="H65" s="656"/>
    </row>
    <row r="66" spans="3:8" ht="15.75" customHeight="1" x14ac:dyDescent="0.3">
      <c r="C66" s="652"/>
      <c r="D66" s="10" t="s">
        <v>543</v>
      </c>
      <c r="E66" s="12" t="s">
        <v>3</v>
      </c>
      <c r="F66" s="12" t="s">
        <v>4</v>
      </c>
      <c r="G66" s="12" t="s">
        <v>1</v>
      </c>
      <c r="H66" s="15" t="s">
        <v>2</v>
      </c>
    </row>
    <row r="67" spans="3:8" ht="13.5" customHeight="1" thickBot="1" x14ac:dyDescent="0.3">
      <c r="C67" s="652"/>
      <c r="D67" s="11" t="s">
        <v>24</v>
      </c>
      <c r="E67" s="1" t="s">
        <v>255</v>
      </c>
      <c r="F67" s="1" t="s">
        <v>254</v>
      </c>
      <c r="G67" s="2">
        <v>39873</v>
      </c>
      <c r="H67" s="16">
        <v>39964</v>
      </c>
    </row>
    <row r="68" spans="3:8" ht="15.75" customHeight="1" thickBot="1" x14ac:dyDescent="0.3">
      <c r="C68" s="652"/>
      <c r="D68" s="27"/>
      <c r="E68" s="3" t="s">
        <v>6</v>
      </c>
      <c r="F68" s="4" t="s">
        <v>7</v>
      </c>
      <c r="G68" s="4" t="s">
        <v>8</v>
      </c>
      <c r="H68" s="17" t="s">
        <v>9</v>
      </c>
    </row>
    <row r="69" spans="3:8" ht="12.75" customHeight="1" x14ac:dyDescent="0.25">
      <c r="C69" s="652"/>
      <c r="D69" s="9" t="s">
        <v>5</v>
      </c>
      <c r="E69" s="25" t="s">
        <v>212</v>
      </c>
      <c r="F69" s="25" t="s">
        <v>15</v>
      </c>
      <c r="G69" s="25" t="s">
        <v>15</v>
      </c>
      <c r="H69" s="26" t="s">
        <v>15</v>
      </c>
    </row>
    <row r="70" spans="3:8" ht="12.75" customHeight="1" x14ac:dyDescent="0.25">
      <c r="C70" s="652"/>
      <c r="D70" s="6" t="s">
        <v>10</v>
      </c>
      <c r="E70" s="20">
        <v>15000</v>
      </c>
      <c r="F70" s="20">
        <v>0</v>
      </c>
      <c r="G70" s="20">
        <v>0</v>
      </c>
      <c r="H70" s="18">
        <v>0</v>
      </c>
    </row>
    <row r="71" spans="3:8" ht="12.75" customHeight="1" x14ac:dyDescent="0.25">
      <c r="C71" s="652"/>
      <c r="D71" s="6" t="s">
        <v>11</v>
      </c>
      <c r="E71" s="120">
        <v>0</v>
      </c>
      <c r="F71" s="120">
        <v>0</v>
      </c>
      <c r="G71" s="120">
        <v>0</v>
      </c>
      <c r="H71" s="121">
        <v>0</v>
      </c>
    </row>
    <row r="72" spans="3:8" ht="12.75" customHeight="1" x14ac:dyDescent="0.25">
      <c r="C72" s="652"/>
      <c r="D72" s="6" t="s">
        <v>12</v>
      </c>
      <c r="E72" s="21">
        <v>3.5999999999999997E-2</v>
      </c>
      <c r="F72" s="21">
        <v>0</v>
      </c>
      <c r="G72" s="21">
        <v>0</v>
      </c>
      <c r="H72" s="19">
        <v>0</v>
      </c>
    </row>
    <row r="73" spans="3:8" ht="12.75" customHeight="1" x14ac:dyDescent="0.25">
      <c r="C73" s="652"/>
      <c r="D73" s="6" t="s">
        <v>13</v>
      </c>
      <c r="E73" s="120">
        <v>0.44240000000000002</v>
      </c>
      <c r="F73" s="120">
        <v>0</v>
      </c>
      <c r="G73" s="120">
        <v>0</v>
      </c>
      <c r="H73" s="121">
        <v>0</v>
      </c>
    </row>
    <row r="74" spans="3:8" ht="12.75" customHeight="1" x14ac:dyDescent="0.25">
      <c r="C74" s="653"/>
      <c r="D74" s="5" t="s">
        <v>17</v>
      </c>
      <c r="E74" s="122">
        <v>0</v>
      </c>
      <c r="F74" s="123">
        <v>0</v>
      </c>
      <c r="G74" s="124">
        <v>0</v>
      </c>
      <c r="H74" s="125">
        <v>0</v>
      </c>
    </row>
    <row r="75" spans="3:8" ht="12.75" customHeight="1" x14ac:dyDescent="0.25">
      <c r="C75" s="653"/>
      <c r="D75" s="50" t="s">
        <v>42</v>
      </c>
      <c r="E75" s="126">
        <v>0</v>
      </c>
      <c r="F75" s="127">
        <v>0</v>
      </c>
      <c r="G75" s="128">
        <v>0</v>
      </c>
      <c r="H75" s="129">
        <v>0</v>
      </c>
    </row>
    <row r="76" spans="3:8" ht="13.5" customHeight="1" thickBot="1" x14ac:dyDescent="0.3">
      <c r="C76" s="653"/>
      <c r="D76" s="5" t="s">
        <v>43</v>
      </c>
      <c r="E76" s="122">
        <v>0</v>
      </c>
      <c r="F76" s="123">
        <v>0</v>
      </c>
      <c r="G76" s="123">
        <v>0</v>
      </c>
      <c r="H76" s="130">
        <v>0</v>
      </c>
    </row>
    <row r="77" spans="3:8" ht="12.75" customHeight="1" x14ac:dyDescent="0.25">
      <c r="C77" s="653"/>
      <c r="D77" s="13" t="s">
        <v>188</v>
      </c>
      <c r="E77" s="51" t="s">
        <v>256</v>
      </c>
      <c r="F77" s="14" t="s">
        <v>191</v>
      </c>
      <c r="G77" s="107" t="s">
        <v>266</v>
      </c>
      <c r="H77" s="57" t="s">
        <v>47</v>
      </c>
    </row>
    <row r="78" spans="3:8" ht="15.75" customHeight="1" thickBot="1" x14ac:dyDescent="0.3">
      <c r="C78" s="653"/>
      <c r="D78" s="7" t="s">
        <v>189</v>
      </c>
      <c r="E78" s="22" t="s">
        <v>257</v>
      </c>
      <c r="F78" s="8" t="s">
        <v>192</v>
      </c>
      <c r="G78" s="108" t="s">
        <v>754</v>
      </c>
      <c r="H78" s="117" t="s">
        <v>48</v>
      </c>
    </row>
    <row r="79" spans="3:8" ht="13.5" customHeight="1" thickBot="1" x14ac:dyDescent="0.3">
      <c r="C79" s="653"/>
      <c r="D79" s="109" t="s">
        <v>190</v>
      </c>
      <c r="E79" s="110" t="s">
        <v>488</v>
      </c>
      <c r="F79" s="111" t="s">
        <v>193</v>
      </c>
      <c r="G79" s="112" t="s">
        <v>517</v>
      </c>
      <c r="H79" s="57" t="s">
        <v>140</v>
      </c>
    </row>
    <row r="80" spans="3:8" ht="13.5" customHeight="1" thickBot="1" x14ac:dyDescent="0.3">
      <c r="C80" s="653"/>
      <c r="D80" s="113" t="s">
        <v>139</v>
      </c>
      <c r="E80" s="114">
        <v>5</v>
      </c>
      <c r="F80" s="116" t="str">
        <f>GetCorrelName1($E80)</f>
        <v>IF-MONCHY</v>
      </c>
      <c r="G80" s="115" t="str">
        <f>GetCorrelName2($E80)</f>
        <v>NGI/CHI. GATE</v>
      </c>
      <c r="H80" s="118" t="s">
        <v>143</v>
      </c>
    </row>
    <row r="81" spans="3:8" ht="12.75" customHeight="1" x14ac:dyDescent="0.25">
      <c r="C81" s="652"/>
      <c r="D81" s="657" t="s">
        <v>16</v>
      </c>
      <c r="E81" s="659"/>
      <c r="F81" s="660"/>
      <c r="G81" s="660"/>
      <c r="H81" s="661"/>
    </row>
    <row r="82" spans="3:8" ht="13.5" customHeight="1" thickBot="1" x14ac:dyDescent="0.3">
      <c r="C82" s="654"/>
      <c r="D82" s="658"/>
      <c r="E82" s="662"/>
      <c r="F82" s="663"/>
      <c r="G82" s="663"/>
      <c r="H82" s="664"/>
    </row>
    <row r="83" spans="3:8" ht="16.8" thickTop="1" thickBot="1" x14ac:dyDescent="0.35">
      <c r="C83" s="651">
        <v>72</v>
      </c>
      <c r="D83" s="655" t="s">
        <v>0</v>
      </c>
      <c r="E83" s="655"/>
      <c r="F83" s="655"/>
      <c r="G83" s="655"/>
      <c r="H83" s="656"/>
    </row>
    <row r="84" spans="3:8" ht="15.6" x14ac:dyDescent="0.3">
      <c r="C84" s="652"/>
      <c r="D84" s="10"/>
      <c r="E84" s="12" t="s">
        <v>3</v>
      </c>
      <c r="F84" s="12" t="s">
        <v>4</v>
      </c>
      <c r="G84" s="12" t="s">
        <v>1</v>
      </c>
      <c r="H84" s="15" t="s">
        <v>2</v>
      </c>
    </row>
    <row r="85" spans="3:8" ht="13.8" thickBot="1" x14ac:dyDescent="0.3">
      <c r="C85" s="652"/>
      <c r="D85" s="11" t="s">
        <v>24</v>
      </c>
      <c r="E85" s="1" t="s">
        <v>687</v>
      </c>
      <c r="F85" s="1" t="s">
        <v>737</v>
      </c>
      <c r="G85" s="2">
        <v>36982</v>
      </c>
      <c r="H85" s="16">
        <v>37346</v>
      </c>
    </row>
    <row r="86" spans="3:8" ht="15.6" thickBot="1" x14ac:dyDescent="0.3">
      <c r="C86" s="652"/>
      <c r="D86" s="27"/>
      <c r="E86" s="3" t="s">
        <v>6</v>
      </c>
      <c r="F86" s="4" t="s">
        <v>7</v>
      </c>
      <c r="G86" s="4" t="s">
        <v>8</v>
      </c>
      <c r="H86" s="17" t="s">
        <v>9</v>
      </c>
    </row>
    <row r="87" spans="3:8" x14ac:dyDescent="0.25">
      <c r="C87" s="652"/>
      <c r="D87" s="9" t="s">
        <v>5</v>
      </c>
      <c r="E87" s="25" t="s">
        <v>212</v>
      </c>
      <c r="F87" s="25" t="s">
        <v>15</v>
      </c>
      <c r="G87" s="25" t="s">
        <v>15</v>
      </c>
      <c r="H87" s="26" t="s">
        <v>15</v>
      </c>
    </row>
    <row r="88" spans="3:8" x14ac:dyDescent="0.25">
      <c r="C88" s="652"/>
      <c r="D88" s="6" t="s">
        <v>10</v>
      </c>
      <c r="E88" s="20">
        <v>10000</v>
      </c>
      <c r="F88" s="20">
        <v>0</v>
      </c>
      <c r="G88" s="20">
        <v>0</v>
      </c>
      <c r="H88" s="18">
        <v>0</v>
      </c>
    </row>
    <row r="89" spans="3:8" x14ac:dyDescent="0.25">
      <c r="C89" s="652"/>
      <c r="D89" s="6" t="s">
        <v>11</v>
      </c>
      <c r="E89" s="120">
        <v>1.11E-2</v>
      </c>
      <c r="F89" s="120">
        <v>0</v>
      </c>
      <c r="G89" s="120">
        <v>0</v>
      </c>
      <c r="H89" s="121">
        <v>0</v>
      </c>
    </row>
    <row r="90" spans="3:8" x14ac:dyDescent="0.25">
      <c r="C90" s="652"/>
      <c r="D90" s="6" t="s">
        <v>12</v>
      </c>
      <c r="E90" s="21">
        <v>2.12E-2</v>
      </c>
      <c r="F90" s="21">
        <v>0</v>
      </c>
      <c r="G90" s="21">
        <v>0</v>
      </c>
      <c r="H90" s="19">
        <v>0</v>
      </c>
    </row>
    <row r="91" spans="3:8" x14ac:dyDescent="0.25">
      <c r="C91" s="652"/>
      <c r="D91" s="6" t="s">
        <v>13</v>
      </c>
      <c r="E91" s="120">
        <v>0.16</v>
      </c>
      <c r="F91" s="120">
        <v>0</v>
      </c>
      <c r="G91" s="120">
        <v>0</v>
      </c>
      <c r="H91" s="121">
        <v>0</v>
      </c>
    </row>
    <row r="92" spans="3:8" x14ac:dyDescent="0.25">
      <c r="C92" s="653"/>
      <c r="D92" s="5" t="s">
        <v>17</v>
      </c>
      <c r="E92" s="122">
        <v>0</v>
      </c>
      <c r="F92" s="123">
        <v>0</v>
      </c>
      <c r="G92" s="124">
        <v>0</v>
      </c>
      <c r="H92" s="125">
        <v>0</v>
      </c>
    </row>
    <row r="93" spans="3:8" x14ac:dyDescent="0.25">
      <c r="C93" s="653"/>
      <c r="D93" s="50" t="s">
        <v>42</v>
      </c>
      <c r="E93" s="126">
        <v>0</v>
      </c>
      <c r="F93" s="127">
        <v>0</v>
      </c>
      <c r="G93" s="128">
        <v>0</v>
      </c>
      <c r="H93" s="129">
        <v>0</v>
      </c>
    </row>
    <row r="94" spans="3:8" ht="13.8" thickBot="1" x14ac:dyDescent="0.3">
      <c r="C94" s="653"/>
      <c r="D94" s="5" t="s">
        <v>43</v>
      </c>
      <c r="E94" s="122">
        <v>0</v>
      </c>
      <c r="F94" s="123">
        <v>0</v>
      </c>
      <c r="G94" s="123">
        <v>0</v>
      </c>
      <c r="H94" s="130">
        <v>0</v>
      </c>
    </row>
    <row r="95" spans="3:8" x14ac:dyDescent="0.25">
      <c r="C95" s="653"/>
      <c r="D95" s="13" t="s">
        <v>188</v>
      </c>
      <c r="E95" s="51" t="s">
        <v>688</v>
      </c>
      <c r="F95" s="14" t="s">
        <v>191</v>
      </c>
      <c r="G95" s="107" t="s">
        <v>738</v>
      </c>
      <c r="H95" s="57" t="s">
        <v>47</v>
      </c>
    </row>
    <row r="96" spans="3:8" ht="15.6" thickBot="1" x14ac:dyDescent="0.3">
      <c r="C96" s="653"/>
      <c r="D96" s="7" t="s">
        <v>189</v>
      </c>
      <c r="E96" s="22" t="s">
        <v>689</v>
      </c>
      <c r="F96" s="8" t="s">
        <v>192</v>
      </c>
      <c r="G96" s="108" t="s">
        <v>739</v>
      </c>
      <c r="H96" s="117" t="s">
        <v>48</v>
      </c>
    </row>
    <row r="97" spans="3:8" ht="13.8" thickBot="1" x14ac:dyDescent="0.3">
      <c r="C97" s="653"/>
      <c r="D97" s="109" t="s">
        <v>190</v>
      </c>
      <c r="E97" s="110" t="s">
        <v>484</v>
      </c>
      <c r="F97" s="111" t="s">
        <v>193</v>
      </c>
      <c r="G97" s="112" t="s">
        <v>486</v>
      </c>
      <c r="H97" s="57" t="s">
        <v>140</v>
      </c>
    </row>
    <row r="98" spans="3:8" ht="13.8" thickBot="1" x14ac:dyDescent="0.3">
      <c r="C98" s="653"/>
      <c r="D98" s="113" t="s">
        <v>139</v>
      </c>
      <c r="E98" s="114">
        <v>66</v>
      </c>
      <c r="F98" s="116" t="str">
        <f>GetCorrelName1($E98)</f>
        <v>Midcon</v>
      </c>
      <c r="G98" s="115" t="str">
        <f>GetCorrelName2($E98)</f>
        <v>Permian</v>
      </c>
      <c r="H98" s="118" t="s">
        <v>143</v>
      </c>
    </row>
    <row r="99" spans="3:8" x14ac:dyDescent="0.25">
      <c r="C99" s="652"/>
      <c r="D99" s="657" t="s">
        <v>16</v>
      </c>
      <c r="E99" s="659" t="s">
        <v>740</v>
      </c>
      <c r="F99" s="660"/>
      <c r="G99" s="660"/>
      <c r="H99" s="661"/>
    </row>
    <row r="100" spans="3:8" ht="13.8" thickBot="1" x14ac:dyDescent="0.3">
      <c r="C100" s="654"/>
      <c r="D100" s="658"/>
      <c r="E100" s="662"/>
      <c r="F100" s="663"/>
      <c r="G100" s="663"/>
      <c r="H100" s="664"/>
    </row>
    <row r="101" spans="3:8" ht="16.8" thickTop="1" thickBot="1" x14ac:dyDescent="0.35">
      <c r="C101" s="651">
        <v>107</v>
      </c>
      <c r="D101" s="655" t="s">
        <v>0</v>
      </c>
      <c r="E101" s="655"/>
      <c r="F101" s="655"/>
      <c r="G101" s="655"/>
      <c r="H101" s="656"/>
    </row>
    <row r="102" spans="3:8" ht="15.6" x14ac:dyDescent="0.3">
      <c r="C102" s="652"/>
      <c r="D102" s="10" t="s">
        <v>543</v>
      </c>
      <c r="E102" s="12" t="s">
        <v>3</v>
      </c>
      <c r="F102" s="12" t="s">
        <v>4</v>
      </c>
      <c r="G102" s="12" t="s">
        <v>1</v>
      </c>
      <c r="H102" s="15" t="s">
        <v>2</v>
      </c>
    </row>
    <row r="103" spans="3:8" ht="13.8" thickBot="1" x14ac:dyDescent="0.3">
      <c r="C103" s="652"/>
      <c r="D103" s="11" t="s">
        <v>24</v>
      </c>
      <c r="E103" s="1" t="s">
        <v>253</v>
      </c>
      <c r="F103" s="1" t="s">
        <v>830</v>
      </c>
      <c r="G103" s="2">
        <v>37196</v>
      </c>
      <c r="H103" s="16">
        <v>37560</v>
      </c>
    </row>
    <row r="104" spans="3:8" ht="15.6" thickBot="1" x14ac:dyDescent="0.3">
      <c r="C104" s="652"/>
      <c r="D104" s="27"/>
      <c r="E104" s="3" t="s">
        <v>6</v>
      </c>
      <c r="F104" s="4" t="s">
        <v>7</v>
      </c>
      <c r="G104" s="4" t="s">
        <v>8</v>
      </c>
      <c r="H104" s="17" t="s">
        <v>9</v>
      </c>
    </row>
    <row r="105" spans="3:8" x14ac:dyDescent="0.25">
      <c r="C105" s="652"/>
      <c r="D105" s="9" t="s">
        <v>5</v>
      </c>
      <c r="E105" s="25" t="s">
        <v>212</v>
      </c>
      <c r="F105" s="25" t="s">
        <v>15</v>
      </c>
      <c r="G105" s="25" t="s">
        <v>15</v>
      </c>
      <c r="H105" s="26" t="s">
        <v>15</v>
      </c>
    </row>
    <row r="106" spans="3:8" x14ac:dyDescent="0.25">
      <c r="C106" s="652"/>
      <c r="D106" s="6" t="s">
        <v>10</v>
      </c>
      <c r="E106" s="20">
        <v>15600</v>
      </c>
      <c r="F106" s="20">
        <v>0</v>
      </c>
      <c r="G106" s="20">
        <v>0</v>
      </c>
      <c r="H106" s="18">
        <v>0</v>
      </c>
    </row>
    <row r="107" spans="3:8" x14ac:dyDescent="0.25">
      <c r="C107" s="652"/>
      <c r="D107" s="6" t="s">
        <v>11</v>
      </c>
      <c r="E107" s="120">
        <v>5.9999999999999995E-4</v>
      </c>
      <c r="F107" s="120">
        <v>0</v>
      </c>
      <c r="G107" s="120">
        <v>0</v>
      </c>
      <c r="H107" s="121">
        <v>0</v>
      </c>
    </row>
    <row r="108" spans="3:8" x14ac:dyDescent="0.25">
      <c r="C108" s="652"/>
      <c r="D108" s="6" t="s">
        <v>12</v>
      </c>
      <c r="E108" s="21">
        <v>4.0000000000000001E-3</v>
      </c>
      <c r="F108" s="21">
        <v>0</v>
      </c>
      <c r="G108" s="21">
        <v>0</v>
      </c>
      <c r="H108" s="19">
        <v>0</v>
      </c>
    </row>
    <row r="109" spans="3:8" x14ac:dyDescent="0.25">
      <c r="C109" s="652"/>
      <c r="D109" s="6" t="s">
        <v>13</v>
      </c>
      <c r="E109" s="120">
        <v>4.3999999999999997E-2</v>
      </c>
      <c r="F109" s="120">
        <v>0</v>
      </c>
      <c r="G109" s="120">
        <v>0</v>
      </c>
      <c r="H109" s="121">
        <v>0</v>
      </c>
    </row>
    <row r="110" spans="3:8" x14ac:dyDescent="0.25">
      <c r="C110" s="653"/>
      <c r="D110" s="5" t="s">
        <v>17</v>
      </c>
      <c r="E110" s="122">
        <v>0</v>
      </c>
      <c r="F110" s="123">
        <v>0</v>
      </c>
      <c r="G110" s="124">
        <v>0</v>
      </c>
      <c r="H110" s="125">
        <v>0</v>
      </c>
    </row>
    <row r="111" spans="3:8" x14ac:dyDescent="0.25">
      <c r="C111" s="653"/>
      <c r="D111" s="50" t="s">
        <v>42</v>
      </c>
      <c r="E111" s="126">
        <v>0</v>
      </c>
      <c r="F111" s="127">
        <v>0</v>
      </c>
      <c r="G111" s="128">
        <v>0</v>
      </c>
      <c r="H111" s="129">
        <v>0</v>
      </c>
    </row>
    <row r="112" spans="3:8" ht="13.8" thickBot="1" x14ac:dyDescent="0.3">
      <c r="C112" s="653"/>
      <c r="D112" s="5" t="s">
        <v>43</v>
      </c>
      <c r="E112" s="122">
        <v>0</v>
      </c>
      <c r="F112" s="123">
        <v>0</v>
      </c>
      <c r="G112" s="123">
        <v>0</v>
      </c>
      <c r="H112" s="130">
        <v>0</v>
      </c>
    </row>
    <row r="113" spans="3:8" x14ac:dyDescent="0.25">
      <c r="C113" s="653"/>
      <c r="D113" s="13" t="s">
        <v>188</v>
      </c>
      <c r="E113" s="51" t="s">
        <v>521</v>
      </c>
      <c r="F113" s="14" t="s">
        <v>191</v>
      </c>
      <c r="G113" s="107" t="s">
        <v>831</v>
      </c>
      <c r="H113" s="57" t="s">
        <v>47</v>
      </c>
    </row>
    <row r="114" spans="3:8" ht="15.6" thickBot="1" x14ac:dyDescent="0.3">
      <c r="C114" s="653"/>
      <c r="D114" s="7" t="s">
        <v>189</v>
      </c>
      <c r="E114" s="22" t="s">
        <v>544</v>
      </c>
      <c r="F114" s="8" t="s">
        <v>192</v>
      </c>
      <c r="G114" s="108" t="s">
        <v>832</v>
      </c>
      <c r="H114" s="117" t="s">
        <v>48</v>
      </c>
    </row>
    <row r="115" spans="3:8" ht="13.8" thickBot="1" x14ac:dyDescent="0.3">
      <c r="C115" s="653"/>
      <c r="D115" s="109" t="s">
        <v>190</v>
      </c>
      <c r="E115" s="110" t="s">
        <v>488</v>
      </c>
      <c r="F115" s="111" t="s">
        <v>193</v>
      </c>
      <c r="G115" s="112" t="s">
        <v>517</v>
      </c>
      <c r="H115" s="57" t="s">
        <v>140</v>
      </c>
    </row>
    <row r="116" spans="3:8" ht="13.8" thickBot="1" x14ac:dyDescent="0.3">
      <c r="C116" s="653"/>
      <c r="D116" s="113" t="s">
        <v>139</v>
      </c>
      <c r="E116" s="114">
        <v>4</v>
      </c>
      <c r="F116" s="116" t="str">
        <f>GetCorrelName1($E116)</f>
        <v>IF-NNG/VENT</v>
      </c>
      <c r="G116" s="115" t="str">
        <f>GetCorrelName2($E116)</f>
        <v>NGI/CHI. GATE</v>
      </c>
      <c r="H116" s="118" t="s">
        <v>143</v>
      </c>
    </row>
    <row r="117" spans="3:8" x14ac:dyDescent="0.25">
      <c r="C117" s="652"/>
      <c r="D117" s="657" t="s">
        <v>16</v>
      </c>
      <c r="E117" s="659" t="s">
        <v>829</v>
      </c>
      <c r="F117" s="660"/>
      <c r="G117" s="660"/>
      <c r="H117" s="661"/>
    </row>
    <row r="118" spans="3:8" ht="13.8" thickBot="1" x14ac:dyDescent="0.3">
      <c r="C118" s="654"/>
      <c r="D118" s="658"/>
      <c r="E118" s="662"/>
      <c r="F118" s="663"/>
      <c r="G118" s="663"/>
      <c r="H118" s="664"/>
    </row>
    <row r="119" spans="3:8" ht="16.8" thickTop="1" thickBot="1" x14ac:dyDescent="0.35">
      <c r="C119" s="651">
        <v>108</v>
      </c>
      <c r="D119" s="655" t="s">
        <v>0</v>
      </c>
      <c r="E119" s="655"/>
      <c r="F119" s="655"/>
      <c r="G119" s="655"/>
      <c r="H119" s="656"/>
    </row>
    <row r="120" spans="3:8" ht="15.6" x14ac:dyDescent="0.3">
      <c r="C120" s="652"/>
      <c r="D120" s="10" t="s">
        <v>543</v>
      </c>
      <c r="E120" s="12" t="s">
        <v>3</v>
      </c>
      <c r="F120" s="12" t="s">
        <v>4</v>
      </c>
      <c r="G120" s="12" t="s">
        <v>1</v>
      </c>
      <c r="H120" s="15" t="s">
        <v>2</v>
      </c>
    </row>
    <row r="121" spans="3:8" ht="13.8" thickBot="1" x14ac:dyDescent="0.3">
      <c r="C121" s="652"/>
      <c r="D121" s="11" t="s">
        <v>24</v>
      </c>
      <c r="E121" s="1" t="s">
        <v>253</v>
      </c>
      <c r="F121" s="1" t="s">
        <v>830</v>
      </c>
      <c r="G121" s="2">
        <v>37561</v>
      </c>
      <c r="H121" s="16">
        <v>37925</v>
      </c>
    </row>
    <row r="122" spans="3:8" ht="15.6" thickBot="1" x14ac:dyDescent="0.3">
      <c r="C122" s="652"/>
      <c r="D122" s="27"/>
      <c r="E122" s="3" t="s">
        <v>6</v>
      </c>
      <c r="F122" s="4" t="s">
        <v>7</v>
      </c>
      <c r="G122" s="4" t="s">
        <v>8</v>
      </c>
      <c r="H122" s="17" t="s">
        <v>9</v>
      </c>
    </row>
    <row r="123" spans="3:8" x14ac:dyDescent="0.25">
      <c r="C123" s="652"/>
      <c r="D123" s="9" t="s">
        <v>5</v>
      </c>
      <c r="E123" s="25" t="s">
        <v>212</v>
      </c>
      <c r="F123" s="25" t="s">
        <v>15</v>
      </c>
      <c r="G123" s="25" t="s">
        <v>15</v>
      </c>
      <c r="H123" s="26" t="s">
        <v>15</v>
      </c>
    </row>
    <row r="124" spans="3:8" x14ac:dyDescent="0.25">
      <c r="C124" s="652"/>
      <c r="D124" s="6" t="s">
        <v>10</v>
      </c>
      <c r="E124" s="20">
        <v>27600</v>
      </c>
      <c r="F124" s="20">
        <v>0</v>
      </c>
      <c r="G124" s="20">
        <v>0</v>
      </c>
      <c r="H124" s="18">
        <v>0</v>
      </c>
    </row>
    <row r="125" spans="3:8" x14ac:dyDescent="0.25">
      <c r="C125" s="652"/>
      <c r="D125" s="6" t="s">
        <v>11</v>
      </c>
      <c r="E125" s="120">
        <v>5.9999999999999995E-4</v>
      </c>
      <c r="F125" s="120">
        <v>0</v>
      </c>
      <c r="G125" s="120">
        <v>0</v>
      </c>
      <c r="H125" s="121">
        <v>0</v>
      </c>
    </row>
    <row r="126" spans="3:8" x14ac:dyDescent="0.25">
      <c r="C126" s="652"/>
      <c r="D126" s="6" t="s">
        <v>12</v>
      </c>
      <c r="E126" s="21">
        <v>4.0000000000000001E-3</v>
      </c>
      <c r="F126" s="21">
        <v>0</v>
      </c>
      <c r="G126" s="21">
        <v>0</v>
      </c>
      <c r="H126" s="19">
        <v>0</v>
      </c>
    </row>
    <row r="127" spans="3:8" x14ac:dyDescent="0.25">
      <c r="C127" s="652"/>
      <c r="D127" s="6" t="s">
        <v>13</v>
      </c>
      <c r="E127" s="120">
        <v>0.05</v>
      </c>
      <c r="F127" s="120">
        <v>0</v>
      </c>
      <c r="G127" s="120">
        <v>0</v>
      </c>
      <c r="H127" s="121">
        <v>0</v>
      </c>
    </row>
    <row r="128" spans="3:8" x14ac:dyDescent="0.25">
      <c r="C128" s="653"/>
      <c r="D128" s="5" t="s">
        <v>17</v>
      </c>
      <c r="E128" s="122">
        <v>0</v>
      </c>
      <c r="F128" s="123">
        <v>0</v>
      </c>
      <c r="G128" s="124">
        <v>0</v>
      </c>
      <c r="H128" s="125">
        <v>0</v>
      </c>
    </row>
    <row r="129" spans="3:8" x14ac:dyDescent="0.25">
      <c r="C129" s="653"/>
      <c r="D129" s="50" t="s">
        <v>42</v>
      </c>
      <c r="E129" s="126">
        <v>0</v>
      </c>
      <c r="F129" s="127">
        <v>0</v>
      </c>
      <c r="G129" s="128">
        <v>0</v>
      </c>
      <c r="H129" s="129">
        <v>0</v>
      </c>
    </row>
    <row r="130" spans="3:8" ht="13.8" thickBot="1" x14ac:dyDescent="0.3">
      <c r="C130" s="653"/>
      <c r="D130" s="5" t="s">
        <v>43</v>
      </c>
      <c r="E130" s="122">
        <v>0</v>
      </c>
      <c r="F130" s="123">
        <v>0</v>
      </c>
      <c r="G130" s="123">
        <v>0</v>
      </c>
      <c r="H130" s="130">
        <v>0</v>
      </c>
    </row>
    <row r="131" spans="3:8" x14ac:dyDescent="0.25">
      <c r="C131" s="653"/>
      <c r="D131" s="13" t="s">
        <v>188</v>
      </c>
      <c r="E131" s="51" t="s">
        <v>521</v>
      </c>
      <c r="F131" s="14" t="s">
        <v>191</v>
      </c>
      <c r="G131" s="107" t="s">
        <v>831</v>
      </c>
      <c r="H131" s="57" t="s">
        <v>47</v>
      </c>
    </row>
    <row r="132" spans="3:8" ht="15.6" thickBot="1" x14ac:dyDescent="0.3">
      <c r="C132" s="653"/>
      <c r="D132" s="7" t="s">
        <v>189</v>
      </c>
      <c r="E132" s="22" t="s">
        <v>544</v>
      </c>
      <c r="F132" s="8" t="s">
        <v>192</v>
      </c>
      <c r="G132" s="108" t="s">
        <v>832</v>
      </c>
      <c r="H132" s="117" t="s">
        <v>48</v>
      </c>
    </row>
    <row r="133" spans="3:8" ht="13.8" thickBot="1" x14ac:dyDescent="0.3">
      <c r="C133" s="653"/>
      <c r="D133" s="109" t="s">
        <v>190</v>
      </c>
      <c r="E133" s="110" t="s">
        <v>488</v>
      </c>
      <c r="F133" s="111" t="s">
        <v>193</v>
      </c>
      <c r="G133" s="112" t="s">
        <v>517</v>
      </c>
      <c r="H133" s="57" t="s">
        <v>140</v>
      </c>
    </row>
    <row r="134" spans="3:8" ht="13.8" thickBot="1" x14ac:dyDescent="0.3">
      <c r="C134" s="653"/>
      <c r="D134" s="113" t="s">
        <v>139</v>
      </c>
      <c r="E134" s="114">
        <v>4</v>
      </c>
      <c r="F134" s="116" t="str">
        <f>GetCorrelName1($E134)</f>
        <v>IF-NNG/VENT</v>
      </c>
      <c r="G134" s="115" t="str">
        <f>GetCorrelName2($E134)</f>
        <v>NGI/CHI. GATE</v>
      </c>
      <c r="H134" s="118" t="s">
        <v>143</v>
      </c>
    </row>
    <row r="135" spans="3:8" x14ac:dyDescent="0.25">
      <c r="C135" s="652"/>
      <c r="D135" s="657" t="s">
        <v>16</v>
      </c>
      <c r="E135" s="659" t="s">
        <v>829</v>
      </c>
      <c r="F135" s="660"/>
      <c r="G135" s="660"/>
      <c r="H135" s="661"/>
    </row>
    <row r="136" spans="3:8" ht="13.8" thickBot="1" x14ac:dyDescent="0.3">
      <c r="C136" s="654"/>
      <c r="D136" s="658"/>
      <c r="E136" s="662"/>
      <c r="F136" s="663"/>
      <c r="G136" s="663"/>
      <c r="H136" s="664"/>
    </row>
    <row r="137" spans="3:8" ht="13.8" thickTop="1" x14ac:dyDescent="0.25"/>
  </sheetData>
  <sheetCalcPr fullCalcOnLoad="1"/>
  <dataConsolidate/>
  <mergeCells count="30">
    <mergeCell ref="C119:C136"/>
    <mergeCell ref="D119:H119"/>
    <mergeCell ref="D135:D136"/>
    <mergeCell ref="E135:H136"/>
    <mergeCell ref="C83:C100"/>
    <mergeCell ref="D83:H83"/>
    <mergeCell ref="D99:D100"/>
    <mergeCell ref="E99:H100"/>
    <mergeCell ref="C101:C118"/>
    <mergeCell ref="D101:H101"/>
    <mergeCell ref="D117:D118"/>
    <mergeCell ref="E117:H118"/>
    <mergeCell ref="C3:H3"/>
    <mergeCell ref="D9:H9"/>
    <mergeCell ref="C29:C46"/>
    <mergeCell ref="D29:H29"/>
    <mergeCell ref="D45:D46"/>
    <mergeCell ref="E45:H46"/>
    <mergeCell ref="C11:C28"/>
    <mergeCell ref="D11:H11"/>
    <mergeCell ref="D27:D28"/>
    <mergeCell ref="E27:H28"/>
    <mergeCell ref="C65:C82"/>
    <mergeCell ref="D65:H65"/>
    <mergeCell ref="D81:D82"/>
    <mergeCell ref="E81:H82"/>
    <mergeCell ref="C47:C64"/>
    <mergeCell ref="D47:H47"/>
    <mergeCell ref="D63:D64"/>
    <mergeCell ref="E63:H64"/>
  </mergeCells>
  <phoneticPr fontId="0" type="noConversion"/>
  <pageMargins left="0.75" right="0.75" top="0.5" bottom="0.5" header="0.5" footer="0.5"/>
  <pageSetup paperSize="5" scale="5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1" r:id="rId4" name="Button 1">
              <controlPr defaultSize="0" print="0" autoFill="0" autoPict="0" macro="[2]!Button11_click">
                <anchor moveWithCells="1" sizeWithCells="1">
                  <from>
                    <xdr:col>4</xdr:col>
                    <xdr:colOff>975360</xdr:colOff>
                    <xdr:row>3</xdr:row>
                    <xdr:rowOff>106680</xdr:rowOff>
                  </from>
                  <to>
                    <xdr:col>5</xdr:col>
                    <xdr:colOff>419100</xdr:colOff>
                    <xdr:row>6</xdr:row>
                    <xdr:rowOff>0</xdr:rowOff>
                  </to>
                </anchor>
              </controlPr>
            </control>
          </mc:Choice>
        </mc:AlternateContent>
        <mc:AlternateContent xmlns:mc="http://schemas.openxmlformats.org/markup-compatibility/2006">
          <mc:Choice Requires="x14">
            <control shapeId="81922" r:id="rId5" name="Button 2">
              <controlPr defaultSize="0" print="0" autoFill="0" autoPict="0" macro="[2]!Button10_Click">
                <anchor moveWithCells="1" sizeWithCells="1">
                  <from>
                    <xdr:col>2</xdr:col>
                    <xdr:colOff>129540</xdr:colOff>
                    <xdr:row>3</xdr:row>
                    <xdr:rowOff>106680</xdr:rowOff>
                  </from>
                  <to>
                    <xdr:col>3</xdr:col>
                    <xdr:colOff>937260</xdr:colOff>
                    <xdr:row>6</xdr:row>
                    <xdr:rowOff>0</xdr:rowOff>
                  </to>
                </anchor>
              </controlPr>
            </control>
          </mc:Choice>
        </mc:AlternateContent>
        <mc:AlternateContent xmlns:mc="http://schemas.openxmlformats.org/markup-compatibility/2006">
          <mc:Choice Requires="x14">
            <control shapeId="81923" r:id="rId6" name="Button 3">
              <controlPr defaultSize="0" print="0" autoFill="0" autoPict="0" macro="[2]!Button18_Click">
                <anchor moveWithCells="1" sizeWithCells="1">
                  <from>
                    <xdr:col>5</xdr:col>
                    <xdr:colOff>1752600</xdr:colOff>
                    <xdr:row>3</xdr:row>
                    <xdr:rowOff>106680</xdr:rowOff>
                  </from>
                  <to>
                    <xdr:col>6</xdr:col>
                    <xdr:colOff>1196340</xdr:colOff>
                    <xdr:row>6</xdr:row>
                    <xdr:rowOff>0</xdr:rowOff>
                  </to>
                </anchor>
              </controlPr>
            </control>
          </mc:Choice>
        </mc:AlternateContent>
        <mc:AlternateContent xmlns:mc="http://schemas.openxmlformats.org/markup-compatibility/2006">
          <mc:Choice Requires="x14">
            <control shapeId="81924" r:id="rId7" name="Button 4">
              <controlPr defaultSize="0" print="0" autoFill="0" autoPict="0">
                <anchor moveWithCells="1" sizeWithCells="1">
                  <from>
                    <xdr:col>7</xdr:col>
                    <xdr:colOff>419100</xdr:colOff>
                    <xdr:row>3</xdr:row>
                    <xdr:rowOff>106680</xdr:rowOff>
                  </from>
                  <to>
                    <xdr:col>7</xdr:col>
                    <xdr:colOff>1965960</xdr:colOff>
                    <xdr:row>6</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pageSetUpPr autoPageBreaks="0"/>
  </sheetPr>
  <dimension ref="A1:H262"/>
  <sheetViews>
    <sheetView topLeftCell="C157" zoomScale="80" workbookViewId="0">
      <selection activeCell="J180" sqref="J180:J181"/>
    </sheetView>
  </sheetViews>
  <sheetFormatPr defaultColWidth="9.109375" defaultRowHeight="13.2" x14ac:dyDescent="0.25"/>
  <cols>
    <col min="1" max="2" width="3.6640625" style="23" customWidth="1"/>
    <col min="3" max="3" width="10.6640625" style="23" customWidth="1"/>
    <col min="4" max="4" width="18.6640625" style="23" customWidth="1"/>
    <col min="5" max="8" width="30.6640625" style="23" customWidth="1"/>
    <col min="9" max="10" width="13.6640625" style="23" customWidth="1"/>
    <col min="11" max="16384" width="9.109375" style="23"/>
  </cols>
  <sheetData>
    <row r="1" spans="1:8" x14ac:dyDescent="0.25">
      <c r="A1" s="180" t="s">
        <v>180</v>
      </c>
    </row>
    <row r="2" spans="1:8" ht="13.8" thickBot="1" x14ac:dyDescent="0.3">
      <c r="A2" s="180" t="str">
        <f>ADDRESS(ROW($C$9),COLUMN($C$9))</f>
        <v>$C$9</v>
      </c>
    </row>
    <row r="3" spans="1:8" x14ac:dyDescent="0.25">
      <c r="C3" s="665" t="s">
        <v>241</v>
      </c>
      <c r="D3" s="666"/>
      <c r="E3" s="666"/>
      <c r="F3" s="666"/>
      <c r="G3" s="666"/>
      <c r="H3" s="667"/>
    </row>
    <row r="4" spans="1:8" x14ac:dyDescent="0.25">
      <c r="C4" s="295"/>
      <c r="D4" s="275"/>
      <c r="E4" s="275"/>
      <c r="F4" s="275"/>
      <c r="G4" s="275"/>
      <c r="H4" s="296"/>
    </row>
    <row r="5" spans="1:8" x14ac:dyDescent="0.25">
      <c r="C5" s="295"/>
      <c r="D5" s="275"/>
      <c r="E5" s="275"/>
      <c r="F5" s="275"/>
      <c r="G5" s="275"/>
      <c r="H5" s="296"/>
    </row>
    <row r="6" spans="1:8" x14ac:dyDescent="0.25">
      <c r="C6" s="295"/>
      <c r="D6" s="275"/>
      <c r="E6" s="275"/>
      <c r="F6" s="275"/>
      <c r="G6" s="275"/>
      <c r="H6" s="296"/>
    </row>
    <row r="7" spans="1:8" ht="13.8" thickBot="1" x14ac:dyDescent="0.3">
      <c r="C7" s="297"/>
      <c r="D7" s="298"/>
      <c r="E7" s="298"/>
      <c r="F7" s="298"/>
      <c r="G7" s="298"/>
      <c r="H7" s="299"/>
    </row>
    <row r="8" spans="1:8" ht="13.8" thickBot="1" x14ac:dyDescent="0.3"/>
    <row r="9" spans="1:8" ht="27.6" thickTop="1" thickBot="1" x14ac:dyDescent="0.3">
      <c r="C9" s="24" t="s">
        <v>38</v>
      </c>
      <c r="D9" s="668" t="s">
        <v>14</v>
      </c>
      <c r="E9" s="669"/>
      <c r="F9" s="669"/>
      <c r="G9" s="669"/>
      <c r="H9" s="670"/>
    </row>
    <row r="10" spans="1:8" ht="16.2" thickBot="1" x14ac:dyDescent="0.35">
      <c r="C10" s="211"/>
    </row>
    <row r="11" spans="1:8" ht="16.5" customHeight="1" thickTop="1" thickBot="1" x14ac:dyDescent="0.35">
      <c r="C11" s="651">
        <v>9</v>
      </c>
      <c r="D11" s="655" t="s">
        <v>0</v>
      </c>
      <c r="E11" s="655"/>
      <c r="F11" s="655"/>
      <c r="G11" s="655"/>
      <c r="H11" s="656"/>
    </row>
    <row r="12" spans="1:8" ht="15.75" customHeight="1" x14ac:dyDescent="0.3">
      <c r="C12" s="652"/>
      <c r="D12" s="10" t="s">
        <v>245</v>
      </c>
      <c r="E12" s="12" t="s">
        <v>3</v>
      </c>
      <c r="F12" s="12" t="s">
        <v>4</v>
      </c>
      <c r="G12" s="12" t="s">
        <v>1</v>
      </c>
      <c r="H12" s="15" t="s">
        <v>2</v>
      </c>
    </row>
    <row r="13" spans="1:8" ht="13.5" customHeight="1" thickBot="1" x14ac:dyDescent="0.3">
      <c r="C13" s="652"/>
      <c r="D13" s="11" t="s">
        <v>24</v>
      </c>
      <c r="E13" s="1" t="s">
        <v>246</v>
      </c>
      <c r="F13" s="1" t="s">
        <v>247</v>
      </c>
      <c r="G13" s="2">
        <v>37196</v>
      </c>
      <c r="H13" s="16">
        <v>37560</v>
      </c>
    </row>
    <row r="14" spans="1:8" ht="15.75" customHeight="1" thickBot="1" x14ac:dyDescent="0.3">
      <c r="C14" s="652"/>
      <c r="D14" s="27">
        <v>6557</v>
      </c>
      <c r="E14" s="3" t="s">
        <v>6</v>
      </c>
      <c r="F14" s="4" t="s">
        <v>7</v>
      </c>
      <c r="G14" s="4" t="s">
        <v>8</v>
      </c>
      <c r="H14" s="17" t="s">
        <v>9</v>
      </c>
    </row>
    <row r="15" spans="1:8" ht="12.75" customHeight="1" x14ac:dyDescent="0.25">
      <c r="C15" s="652"/>
      <c r="D15" s="9" t="s">
        <v>5</v>
      </c>
      <c r="E15" s="25" t="s">
        <v>212</v>
      </c>
      <c r="F15" s="25" t="s">
        <v>15</v>
      </c>
      <c r="G15" s="25" t="s">
        <v>15</v>
      </c>
      <c r="H15" s="26" t="s">
        <v>15</v>
      </c>
    </row>
    <row r="16" spans="1:8" ht="12.75" customHeight="1" x14ac:dyDescent="0.25">
      <c r="C16" s="652"/>
      <c r="D16" s="6" t="s">
        <v>10</v>
      </c>
      <c r="E16" s="20">
        <v>10010</v>
      </c>
      <c r="F16" s="20">
        <v>0</v>
      </c>
      <c r="G16" s="20">
        <v>0</v>
      </c>
      <c r="H16" s="18">
        <v>0</v>
      </c>
    </row>
    <row r="17" spans="3:8" ht="12.75" customHeight="1" x14ac:dyDescent="0.25">
      <c r="C17" s="652"/>
      <c r="D17" s="6" t="s">
        <v>11</v>
      </c>
      <c r="E17" s="120">
        <v>0</v>
      </c>
      <c r="F17" s="120">
        <v>0</v>
      </c>
      <c r="G17" s="120">
        <v>0</v>
      </c>
      <c r="H17" s="121">
        <v>0</v>
      </c>
    </row>
    <row r="18" spans="3:8" ht="12.75" customHeight="1" x14ac:dyDescent="0.25">
      <c r="C18" s="652"/>
      <c r="D18" s="6" t="s">
        <v>12</v>
      </c>
      <c r="E18" s="21">
        <v>3.4000000000000002E-2</v>
      </c>
      <c r="F18" s="21">
        <v>0</v>
      </c>
      <c r="G18" s="21">
        <v>0</v>
      </c>
      <c r="H18" s="19">
        <v>0</v>
      </c>
    </row>
    <row r="19" spans="3:8" ht="12.75" customHeight="1" x14ac:dyDescent="0.25">
      <c r="C19" s="652"/>
      <c r="D19" s="6" t="s">
        <v>13</v>
      </c>
      <c r="E19" s="120">
        <v>0.34300000000000003</v>
      </c>
      <c r="F19" s="120">
        <v>0</v>
      </c>
      <c r="G19" s="120">
        <v>0</v>
      </c>
      <c r="H19" s="121">
        <v>0</v>
      </c>
    </row>
    <row r="20" spans="3:8" ht="12.75" customHeight="1" x14ac:dyDescent="0.25">
      <c r="C20" s="653"/>
      <c r="D20" s="5" t="s">
        <v>17</v>
      </c>
      <c r="E20" s="122">
        <v>0</v>
      </c>
      <c r="F20" s="123">
        <v>0</v>
      </c>
      <c r="G20" s="124">
        <v>0</v>
      </c>
      <c r="H20" s="125">
        <v>0</v>
      </c>
    </row>
    <row r="21" spans="3:8" ht="13.5" customHeight="1" x14ac:dyDescent="0.25">
      <c r="C21" s="653"/>
      <c r="D21" s="50" t="s">
        <v>42</v>
      </c>
      <c r="E21" s="126">
        <v>0</v>
      </c>
      <c r="F21" s="127">
        <v>0</v>
      </c>
      <c r="G21" s="128">
        <v>0</v>
      </c>
      <c r="H21" s="129">
        <v>0</v>
      </c>
    </row>
    <row r="22" spans="3:8" ht="13.5" customHeight="1" thickBot="1" x14ac:dyDescent="0.3">
      <c r="C22" s="653"/>
      <c r="D22" s="5" t="s">
        <v>43</v>
      </c>
      <c r="E22" s="122">
        <v>0</v>
      </c>
      <c r="F22" s="123">
        <v>0</v>
      </c>
      <c r="G22" s="123">
        <v>0</v>
      </c>
      <c r="H22" s="130">
        <v>0</v>
      </c>
    </row>
    <row r="23" spans="3:8" ht="13.5" customHeight="1" x14ac:dyDescent="0.25">
      <c r="C23" s="653"/>
      <c r="D23" s="13" t="s">
        <v>188</v>
      </c>
      <c r="E23" s="51" t="s">
        <v>533</v>
      </c>
      <c r="F23" s="14" t="s">
        <v>191</v>
      </c>
      <c r="G23" s="107" t="s">
        <v>531</v>
      </c>
      <c r="H23" s="57" t="s">
        <v>47</v>
      </c>
    </row>
    <row r="24" spans="3:8" ht="13.5" customHeight="1" thickBot="1" x14ac:dyDescent="0.3">
      <c r="C24" s="653"/>
      <c r="D24" s="7" t="s">
        <v>189</v>
      </c>
      <c r="E24" s="22" t="s">
        <v>534</v>
      </c>
      <c r="F24" s="8" t="s">
        <v>192</v>
      </c>
      <c r="G24" s="108" t="s">
        <v>532</v>
      </c>
      <c r="H24" s="390" t="s">
        <v>799</v>
      </c>
    </row>
    <row r="25" spans="3:8" ht="13.5" customHeight="1" thickBot="1" x14ac:dyDescent="0.3">
      <c r="C25" s="653"/>
      <c r="D25" s="109" t="s">
        <v>190</v>
      </c>
      <c r="E25" s="110" t="s">
        <v>495</v>
      </c>
      <c r="F25" s="111" t="s">
        <v>193</v>
      </c>
      <c r="G25" s="112" t="s">
        <v>676</v>
      </c>
      <c r="H25" s="57" t="s">
        <v>140</v>
      </c>
    </row>
    <row r="26" spans="3:8" ht="13.5" customHeight="1" thickBot="1" x14ac:dyDescent="0.3">
      <c r="C26" s="653"/>
      <c r="D26" s="113" t="s">
        <v>139</v>
      </c>
      <c r="E26" s="114">
        <v>10</v>
      </c>
      <c r="F26" s="116" t="str">
        <f>GetCorrelName1($E26)</f>
        <v>CGPR-KINGSGATE</v>
      </c>
      <c r="G26" s="115" t="str">
        <f>GetCorrelName2($E26)</f>
        <v>NGI-MALIN</v>
      </c>
      <c r="H26" s="118" t="s">
        <v>143</v>
      </c>
    </row>
    <row r="27" spans="3:8" ht="13.5" customHeight="1" x14ac:dyDescent="0.25">
      <c r="C27" s="652"/>
      <c r="D27" s="657" t="s">
        <v>16</v>
      </c>
      <c r="E27" s="659" t="s">
        <v>23</v>
      </c>
      <c r="F27" s="660"/>
      <c r="G27" s="660"/>
      <c r="H27" s="661"/>
    </row>
    <row r="28" spans="3:8" ht="13.5" customHeight="1" thickBot="1" x14ac:dyDescent="0.3">
      <c r="C28" s="654"/>
      <c r="D28" s="658"/>
      <c r="E28" s="662"/>
      <c r="F28" s="663"/>
      <c r="G28" s="663"/>
      <c r="H28" s="664"/>
    </row>
    <row r="29" spans="3:8" ht="16.5" customHeight="1" thickTop="1" thickBot="1" x14ac:dyDescent="0.35">
      <c r="C29" s="651">
        <v>10</v>
      </c>
      <c r="D29" s="655" t="s">
        <v>0</v>
      </c>
      <c r="E29" s="655"/>
      <c r="F29" s="655"/>
      <c r="G29" s="655"/>
      <c r="H29" s="656"/>
    </row>
    <row r="30" spans="3:8" ht="15.75" customHeight="1" x14ac:dyDescent="0.3">
      <c r="C30" s="652"/>
      <c r="D30" s="10" t="s">
        <v>248</v>
      </c>
      <c r="E30" s="12" t="s">
        <v>3</v>
      </c>
      <c r="F30" s="12" t="s">
        <v>4</v>
      </c>
      <c r="G30" s="12" t="s">
        <v>1</v>
      </c>
      <c r="H30" s="15" t="s">
        <v>2</v>
      </c>
    </row>
    <row r="31" spans="3:8" ht="13.5" customHeight="1" thickBot="1" x14ac:dyDescent="0.3">
      <c r="C31" s="652"/>
      <c r="D31" s="11" t="s">
        <v>24</v>
      </c>
      <c r="E31" s="1" t="s">
        <v>550</v>
      </c>
      <c r="F31" s="1" t="s">
        <v>249</v>
      </c>
      <c r="G31" s="2">
        <v>36495</v>
      </c>
      <c r="H31" s="16">
        <v>37468</v>
      </c>
    </row>
    <row r="32" spans="3:8" ht="15.75" customHeight="1" thickBot="1" x14ac:dyDescent="0.3">
      <c r="C32" s="652"/>
      <c r="D32" s="27" t="s">
        <v>778</v>
      </c>
      <c r="E32" s="3" t="s">
        <v>6</v>
      </c>
      <c r="F32" s="4" t="s">
        <v>7</v>
      </c>
      <c r="G32" s="4" t="s">
        <v>8</v>
      </c>
      <c r="H32" s="17" t="s">
        <v>9</v>
      </c>
    </row>
    <row r="33" spans="3:8" ht="12.75" customHeight="1" x14ac:dyDescent="0.25">
      <c r="C33" s="652"/>
      <c r="D33" s="9" t="s">
        <v>5</v>
      </c>
      <c r="E33" s="25" t="s">
        <v>212</v>
      </c>
      <c r="F33" s="25" t="s">
        <v>15</v>
      </c>
      <c r="G33" s="25" t="s">
        <v>15</v>
      </c>
      <c r="H33" s="26" t="s">
        <v>15</v>
      </c>
    </row>
    <row r="34" spans="3:8" ht="12.75" customHeight="1" x14ac:dyDescent="0.25">
      <c r="C34" s="652"/>
      <c r="D34" s="6" t="s">
        <v>10</v>
      </c>
      <c r="E34" s="20">
        <v>16495</v>
      </c>
      <c r="F34" s="20">
        <v>0</v>
      </c>
      <c r="G34" s="20">
        <v>0</v>
      </c>
      <c r="H34" s="18">
        <v>0</v>
      </c>
    </row>
    <row r="35" spans="3:8" ht="12.75" customHeight="1" x14ac:dyDescent="0.25">
      <c r="C35" s="652"/>
      <c r="D35" s="6" t="s">
        <v>11</v>
      </c>
      <c r="E35" s="120">
        <v>3.3999999999999998E-3</v>
      </c>
      <c r="F35" s="120">
        <v>0</v>
      </c>
      <c r="G35" s="120">
        <v>0</v>
      </c>
      <c r="H35" s="121">
        <v>0</v>
      </c>
    </row>
    <row r="36" spans="3:8" ht="12.75" customHeight="1" x14ac:dyDescent="0.25">
      <c r="C36" s="652"/>
      <c r="D36" s="6" t="s">
        <v>12</v>
      </c>
      <c r="E36" s="21">
        <v>3.8800000000000001E-2</v>
      </c>
      <c r="F36" s="21">
        <v>0</v>
      </c>
      <c r="G36" s="21">
        <v>0</v>
      </c>
      <c r="H36" s="19">
        <v>0</v>
      </c>
    </row>
    <row r="37" spans="3:8" ht="12.75" customHeight="1" x14ac:dyDescent="0.25">
      <c r="C37" s="652"/>
      <c r="D37" s="6" t="s">
        <v>13</v>
      </c>
      <c r="E37" s="120">
        <v>0.1439</v>
      </c>
      <c r="F37" s="120">
        <v>0</v>
      </c>
      <c r="G37" s="120">
        <v>0</v>
      </c>
      <c r="H37" s="121">
        <v>0</v>
      </c>
    </row>
    <row r="38" spans="3:8" ht="12.75" customHeight="1" x14ac:dyDescent="0.25">
      <c r="C38" s="653"/>
      <c r="D38" s="5" t="s">
        <v>17</v>
      </c>
      <c r="E38" s="122">
        <v>9.4000000000000004E-3</v>
      </c>
      <c r="F38" s="123">
        <v>0</v>
      </c>
      <c r="G38" s="124">
        <v>0</v>
      </c>
      <c r="H38" s="125">
        <v>0</v>
      </c>
    </row>
    <row r="39" spans="3:8" ht="13.5" customHeight="1" x14ac:dyDescent="0.25">
      <c r="C39" s="653"/>
      <c r="D39" s="50" t="s">
        <v>42</v>
      </c>
      <c r="E39" s="126">
        <v>0</v>
      </c>
      <c r="F39" s="127">
        <v>0</v>
      </c>
      <c r="G39" s="128">
        <v>0</v>
      </c>
      <c r="H39" s="129">
        <v>0</v>
      </c>
    </row>
    <row r="40" spans="3:8" ht="13.5" customHeight="1" thickBot="1" x14ac:dyDescent="0.3">
      <c r="C40" s="653"/>
      <c r="D40" s="5" t="s">
        <v>43</v>
      </c>
      <c r="E40" s="122">
        <v>-0.01</v>
      </c>
      <c r="F40" s="123">
        <v>0</v>
      </c>
      <c r="G40" s="123">
        <v>0</v>
      </c>
      <c r="H40" s="130">
        <v>0</v>
      </c>
    </row>
    <row r="41" spans="3:8" ht="13.5" customHeight="1" x14ac:dyDescent="0.25">
      <c r="C41" s="653"/>
      <c r="D41" s="13" t="s">
        <v>188</v>
      </c>
      <c r="E41" s="51" t="s">
        <v>250</v>
      </c>
      <c r="F41" s="14" t="s">
        <v>191</v>
      </c>
      <c r="G41" s="107" t="s">
        <v>529</v>
      </c>
      <c r="H41" s="57" t="s">
        <v>47</v>
      </c>
    </row>
    <row r="42" spans="3:8" ht="13.5" customHeight="1" thickBot="1" x14ac:dyDescent="0.3">
      <c r="C42" s="653"/>
      <c r="D42" s="7" t="s">
        <v>189</v>
      </c>
      <c r="E42" s="22" t="s">
        <v>251</v>
      </c>
      <c r="F42" s="8" t="s">
        <v>192</v>
      </c>
      <c r="G42" s="108" t="s">
        <v>530</v>
      </c>
      <c r="H42" s="390" t="s">
        <v>603</v>
      </c>
    </row>
    <row r="43" spans="3:8" ht="13.5" customHeight="1" thickBot="1" x14ac:dyDescent="0.3">
      <c r="C43" s="653"/>
      <c r="D43" s="109" t="s">
        <v>190</v>
      </c>
      <c r="E43" s="110" t="s">
        <v>486</v>
      </c>
      <c r="F43" s="111" t="s">
        <v>193</v>
      </c>
      <c r="G43" s="112" t="s">
        <v>486</v>
      </c>
      <c r="H43" s="57" t="s">
        <v>140</v>
      </c>
    </row>
    <row r="44" spans="3:8" ht="13.5" customHeight="1" thickBot="1" x14ac:dyDescent="0.3">
      <c r="C44" s="653"/>
      <c r="D44" s="113" t="s">
        <v>139</v>
      </c>
      <c r="E44" s="114">
        <v>7</v>
      </c>
      <c r="F44" s="116" t="str">
        <f>GetCorrelName1($E44)</f>
        <v>IF-ELPO/SJ</v>
      </c>
      <c r="G44" s="115" t="str">
        <f>GetCorrelName2($E44)</f>
        <v>IF-WAHA-TX</v>
      </c>
      <c r="H44" s="118" t="s">
        <v>143</v>
      </c>
    </row>
    <row r="45" spans="3:8" ht="13.5" customHeight="1" x14ac:dyDescent="0.25">
      <c r="C45" s="652"/>
      <c r="D45" s="657" t="s">
        <v>16</v>
      </c>
      <c r="E45" s="659" t="s">
        <v>23</v>
      </c>
      <c r="F45" s="660"/>
      <c r="G45" s="660"/>
      <c r="H45" s="661"/>
    </row>
    <row r="46" spans="3:8" ht="13.5" customHeight="1" thickBot="1" x14ac:dyDescent="0.3">
      <c r="C46" s="654"/>
      <c r="D46" s="658"/>
      <c r="E46" s="662"/>
      <c r="F46" s="663"/>
      <c r="G46" s="663"/>
      <c r="H46" s="664"/>
    </row>
    <row r="47" spans="3:8" ht="16.8" thickTop="1" thickBot="1" x14ac:dyDescent="0.35">
      <c r="C47" s="651">
        <v>56</v>
      </c>
      <c r="D47" s="655" t="s">
        <v>0</v>
      </c>
      <c r="E47" s="655"/>
      <c r="F47" s="655"/>
      <c r="G47" s="655"/>
      <c r="H47" s="656"/>
    </row>
    <row r="48" spans="3:8" ht="15.6" x14ac:dyDescent="0.3">
      <c r="C48" s="652"/>
      <c r="D48" s="10" t="s">
        <v>677</v>
      </c>
      <c r="E48" s="12" t="s">
        <v>3</v>
      </c>
      <c r="F48" s="12" t="s">
        <v>4</v>
      </c>
      <c r="G48" s="12" t="s">
        <v>1</v>
      </c>
      <c r="H48" s="15" t="s">
        <v>2</v>
      </c>
    </row>
    <row r="49" spans="3:8" ht="13.8" thickBot="1" x14ac:dyDescent="0.3">
      <c r="C49" s="652"/>
      <c r="D49" s="11" t="s">
        <v>24</v>
      </c>
      <c r="E49" s="1" t="s">
        <v>678</v>
      </c>
      <c r="F49" s="1" t="s">
        <v>679</v>
      </c>
      <c r="G49" s="2">
        <v>36982</v>
      </c>
      <c r="H49" s="16">
        <v>37346</v>
      </c>
    </row>
    <row r="50" spans="3:8" ht="15.6" thickBot="1" x14ac:dyDescent="0.3">
      <c r="C50" s="652"/>
      <c r="D50" s="27" t="s">
        <v>779</v>
      </c>
      <c r="E50" s="3" t="s">
        <v>6</v>
      </c>
      <c r="F50" s="4" t="s">
        <v>7</v>
      </c>
      <c r="G50" s="4" t="s">
        <v>8</v>
      </c>
      <c r="H50" s="17" t="s">
        <v>9</v>
      </c>
    </row>
    <row r="51" spans="3:8" x14ac:dyDescent="0.25">
      <c r="C51" s="652"/>
      <c r="D51" s="9" t="s">
        <v>5</v>
      </c>
      <c r="E51" s="25" t="s">
        <v>212</v>
      </c>
      <c r="F51" s="25" t="s">
        <v>15</v>
      </c>
      <c r="G51" s="25" t="s">
        <v>15</v>
      </c>
      <c r="H51" s="26" t="s">
        <v>15</v>
      </c>
    </row>
    <row r="52" spans="3:8" x14ac:dyDescent="0.25">
      <c r="C52" s="652"/>
      <c r="D52" s="6" t="s">
        <v>10</v>
      </c>
      <c r="E52" s="20">
        <v>80000</v>
      </c>
      <c r="F52" s="20">
        <v>0</v>
      </c>
      <c r="G52" s="20">
        <v>0</v>
      </c>
      <c r="H52" s="18">
        <v>0</v>
      </c>
    </row>
    <row r="53" spans="3:8" x14ac:dyDescent="0.25">
      <c r="C53" s="652"/>
      <c r="D53" s="6" t="s">
        <v>11</v>
      </c>
      <c r="E53" s="120">
        <v>4.4999999999999998E-2</v>
      </c>
      <c r="F53" s="120">
        <v>0</v>
      </c>
      <c r="G53" s="120">
        <v>0</v>
      </c>
      <c r="H53" s="121">
        <v>0</v>
      </c>
    </row>
    <row r="54" spans="3:8" x14ac:dyDescent="0.25">
      <c r="C54" s="652"/>
      <c r="D54" s="6" t="s">
        <v>12</v>
      </c>
      <c r="E54" s="21">
        <v>1.37E-2</v>
      </c>
      <c r="F54" s="21">
        <v>0</v>
      </c>
      <c r="G54" s="21">
        <v>0</v>
      </c>
      <c r="H54" s="19">
        <v>0</v>
      </c>
    </row>
    <row r="55" spans="3:8" x14ac:dyDescent="0.25">
      <c r="C55" s="652"/>
      <c r="D55" s="6" t="s">
        <v>13</v>
      </c>
      <c r="E55" s="120">
        <f>3.8573/30</f>
        <v>0.12857666666666667</v>
      </c>
      <c r="F55" s="120">
        <v>0</v>
      </c>
      <c r="G55" s="120">
        <v>0</v>
      </c>
      <c r="H55" s="121">
        <v>0</v>
      </c>
    </row>
    <row r="56" spans="3:8" x14ac:dyDescent="0.25">
      <c r="C56" s="653"/>
      <c r="D56" s="5" t="s">
        <v>17</v>
      </c>
      <c r="E56" s="122">
        <v>0</v>
      </c>
      <c r="F56" s="123">
        <v>0</v>
      </c>
      <c r="G56" s="124">
        <v>0</v>
      </c>
      <c r="H56" s="125">
        <v>0</v>
      </c>
    </row>
    <row r="57" spans="3:8" x14ac:dyDescent="0.25">
      <c r="C57" s="653"/>
      <c r="D57" s="50" t="s">
        <v>42</v>
      </c>
      <c r="E57" s="126">
        <v>0</v>
      </c>
      <c r="F57" s="127">
        <v>0</v>
      </c>
      <c r="G57" s="128">
        <v>0</v>
      </c>
      <c r="H57" s="129">
        <v>0</v>
      </c>
    </row>
    <row r="58" spans="3:8" ht="13.8" thickBot="1" x14ac:dyDescent="0.3">
      <c r="C58" s="653"/>
      <c r="D58" s="5" t="s">
        <v>43</v>
      </c>
      <c r="E58" s="122">
        <v>0</v>
      </c>
      <c r="F58" s="123">
        <v>0</v>
      </c>
      <c r="G58" s="123">
        <v>0</v>
      </c>
      <c r="H58" s="130">
        <v>0</v>
      </c>
    </row>
    <row r="59" spans="3:8" ht="13.8" thickBot="1" x14ac:dyDescent="0.3">
      <c r="C59" s="653"/>
      <c r="D59" s="13" t="s">
        <v>188</v>
      </c>
      <c r="E59" s="51" t="s">
        <v>775</v>
      </c>
      <c r="F59" s="14" t="s">
        <v>191</v>
      </c>
      <c r="G59" s="51" t="s">
        <v>555</v>
      </c>
      <c r="H59" s="57" t="s">
        <v>47</v>
      </c>
    </row>
    <row r="60" spans="3:8" ht="15.6" thickBot="1" x14ac:dyDescent="0.3">
      <c r="C60" s="653"/>
      <c r="D60" s="7" t="s">
        <v>189</v>
      </c>
      <c r="E60" s="51" t="s">
        <v>776</v>
      </c>
      <c r="F60" s="8" t="s">
        <v>192</v>
      </c>
      <c r="G60" s="51" t="s">
        <v>556</v>
      </c>
      <c r="H60" s="390" t="s">
        <v>799</v>
      </c>
    </row>
    <row r="61" spans="3:8" ht="13.8" thickBot="1" x14ac:dyDescent="0.3">
      <c r="C61" s="653"/>
      <c r="D61" s="109" t="s">
        <v>190</v>
      </c>
      <c r="E61" s="110" t="s">
        <v>676</v>
      </c>
      <c r="F61" s="111" t="s">
        <v>193</v>
      </c>
      <c r="G61" s="110" t="s">
        <v>676</v>
      </c>
      <c r="H61" s="57" t="s">
        <v>140</v>
      </c>
    </row>
    <row r="62" spans="3:8" ht="13.8" thickBot="1" x14ac:dyDescent="0.3">
      <c r="C62" s="653"/>
      <c r="D62" s="113" t="s">
        <v>139</v>
      </c>
      <c r="E62" s="114">
        <v>56</v>
      </c>
      <c r="F62" s="116" t="str">
        <f>GetCorrelName1($E62)</f>
        <v>PGE/Topock</v>
      </c>
      <c r="G62" s="115" t="str">
        <f>GetCorrelName2($E62)</f>
        <v>PGE City</v>
      </c>
      <c r="H62" s="118" t="s">
        <v>143</v>
      </c>
    </row>
    <row r="63" spans="3:8" x14ac:dyDescent="0.25">
      <c r="C63" s="652"/>
      <c r="D63" s="657" t="s">
        <v>16</v>
      </c>
      <c r="E63" s="659" t="s">
        <v>683</v>
      </c>
      <c r="F63" s="660"/>
      <c r="G63" s="660"/>
      <c r="H63" s="661"/>
    </row>
    <row r="64" spans="3:8" ht="13.8" thickBot="1" x14ac:dyDescent="0.3">
      <c r="C64" s="654"/>
      <c r="D64" s="658"/>
      <c r="E64" s="662"/>
      <c r="F64" s="663"/>
      <c r="G64" s="663"/>
      <c r="H64" s="664"/>
    </row>
    <row r="65" spans="3:8" ht="16.8" thickTop="1" thickBot="1" x14ac:dyDescent="0.35">
      <c r="C65" s="651">
        <v>57</v>
      </c>
      <c r="D65" s="655" t="s">
        <v>0</v>
      </c>
      <c r="E65" s="655"/>
      <c r="F65" s="655"/>
      <c r="G65" s="655"/>
      <c r="H65" s="656"/>
    </row>
    <row r="66" spans="3:8" ht="15.6" x14ac:dyDescent="0.3">
      <c r="C66" s="652"/>
      <c r="D66" s="10" t="s">
        <v>677</v>
      </c>
      <c r="E66" s="12" t="s">
        <v>3</v>
      </c>
      <c r="F66" s="12" t="s">
        <v>4</v>
      </c>
      <c r="G66" s="12" t="s">
        <v>1</v>
      </c>
      <c r="H66" s="15" t="s">
        <v>2</v>
      </c>
    </row>
    <row r="67" spans="3:8" ht="13.8" thickBot="1" x14ac:dyDescent="0.3">
      <c r="C67" s="652"/>
      <c r="D67" s="11" t="s">
        <v>24</v>
      </c>
      <c r="E67" s="1" t="s">
        <v>678</v>
      </c>
      <c r="F67" s="1" t="s">
        <v>680</v>
      </c>
      <c r="G67" s="2">
        <v>36982</v>
      </c>
      <c r="H67" s="16">
        <v>37346</v>
      </c>
    </row>
    <row r="68" spans="3:8" ht="15.6" thickBot="1" x14ac:dyDescent="0.3">
      <c r="C68" s="652"/>
      <c r="D68" s="27" t="s">
        <v>780</v>
      </c>
      <c r="E68" s="3" t="s">
        <v>6</v>
      </c>
      <c r="F68" s="4" t="s">
        <v>7</v>
      </c>
      <c r="G68" s="4" t="s">
        <v>8</v>
      </c>
      <c r="H68" s="17" t="s">
        <v>9</v>
      </c>
    </row>
    <row r="69" spans="3:8" x14ac:dyDescent="0.25">
      <c r="C69" s="652"/>
      <c r="D69" s="9" t="s">
        <v>5</v>
      </c>
      <c r="E69" s="25" t="s">
        <v>212</v>
      </c>
      <c r="F69" s="25" t="s">
        <v>15</v>
      </c>
      <c r="G69" s="25" t="s">
        <v>15</v>
      </c>
      <c r="H69" s="26" t="s">
        <v>15</v>
      </c>
    </row>
    <row r="70" spans="3:8" x14ac:dyDescent="0.25">
      <c r="C70" s="652"/>
      <c r="D70" s="6" t="s">
        <v>10</v>
      </c>
      <c r="E70" s="20">
        <v>20000</v>
      </c>
      <c r="F70" s="20">
        <v>0</v>
      </c>
      <c r="G70" s="20">
        <v>0</v>
      </c>
      <c r="H70" s="18">
        <v>0</v>
      </c>
    </row>
    <row r="71" spans="3:8" x14ac:dyDescent="0.25">
      <c r="C71" s="652"/>
      <c r="D71" s="6" t="s">
        <v>11</v>
      </c>
      <c r="E71" s="120">
        <v>3.8E-3</v>
      </c>
      <c r="F71" s="120">
        <v>0</v>
      </c>
      <c r="G71" s="120">
        <v>0</v>
      </c>
      <c r="H71" s="121">
        <v>0</v>
      </c>
    </row>
    <row r="72" spans="3:8" x14ac:dyDescent="0.25">
      <c r="C72" s="652"/>
      <c r="D72" s="6" t="s">
        <v>12</v>
      </c>
      <c r="E72" s="21">
        <v>1.37E-2</v>
      </c>
      <c r="F72" s="21">
        <v>0</v>
      </c>
      <c r="G72" s="21">
        <v>0</v>
      </c>
      <c r="H72" s="19">
        <v>0</v>
      </c>
    </row>
    <row r="73" spans="3:8" x14ac:dyDescent="0.25">
      <c r="C73" s="652"/>
      <c r="D73" s="6" t="s">
        <v>13</v>
      </c>
      <c r="E73" s="120">
        <f>5.1109/30</f>
        <v>0.17036333333333334</v>
      </c>
      <c r="F73" s="120">
        <v>0</v>
      </c>
      <c r="G73" s="120">
        <v>0</v>
      </c>
      <c r="H73" s="121">
        <v>0</v>
      </c>
    </row>
    <row r="74" spans="3:8" x14ac:dyDescent="0.25">
      <c r="C74" s="653"/>
      <c r="D74" s="5" t="s">
        <v>17</v>
      </c>
      <c r="E74" s="122">
        <v>0</v>
      </c>
      <c r="F74" s="123">
        <v>0</v>
      </c>
      <c r="G74" s="124">
        <v>0</v>
      </c>
      <c r="H74" s="125">
        <v>0</v>
      </c>
    </row>
    <row r="75" spans="3:8" x14ac:dyDescent="0.25">
      <c r="C75" s="653"/>
      <c r="D75" s="50" t="s">
        <v>42</v>
      </c>
      <c r="E75" s="126">
        <v>0</v>
      </c>
      <c r="F75" s="127">
        <v>0</v>
      </c>
      <c r="G75" s="128">
        <v>0</v>
      </c>
      <c r="H75" s="129">
        <v>0</v>
      </c>
    </row>
    <row r="76" spans="3:8" ht="13.8" thickBot="1" x14ac:dyDescent="0.3">
      <c r="C76" s="653"/>
      <c r="D76" s="5" t="s">
        <v>43</v>
      </c>
      <c r="E76" s="122">
        <v>0</v>
      </c>
      <c r="F76" s="123">
        <v>0</v>
      </c>
      <c r="G76" s="123">
        <v>0</v>
      </c>
      <c r="H76" s="130">
        <v>0</v>
      </c>
    </row>
    <row r="77" spans="3:8" ht="13.8" thickBot="1" x14ac:dyDescent="0.3">
      <c r="C77" s="653"/>
      <c r="D77" s="13" t="s">
        <v>188</v>
      </c>
      <c r="E77" s="51" t="s">
        <v>775</v>
      </c>
      <c r="F77" s="14" t="s">
        <v>191</v>
      </c>
      <c r="G77" s="51" t="s">
        <v>555</v>
      </c>
      <c r="H77" s="57" t="s">
        <v>47</v>
      </c>
    </row>
    <row r="78" spans="3:8" ht="15.6" thickBot="1" x14ac:dyDescent="0.3">
      <c r="C78" s="653"/>
      <c r="D78" s="7" t="s">
        <v>189</v>
      </c>
      <c r="E78" s="51" t="s">
        <v>776</v>
      </c>
      <c r="F78" s="8" t="s">
        <v>192</v>
      </c>
      <c r="G78" s="51" t="s">
        <v>556</v>
      </c>
      <c r="H78" s="390" t="s">
        <v>799</v>
      </c>
    </row>
    <row r="79" spans="3:8" ht="13.8" thickBot="1" x14ac:dyDescent="0.3">
      <c r="C79" s="653"/>
      <c r="D79" s="109" t="s">
        <v>190</v>
      </c>
      <c r="E79" s="110" t="s">
        <v>676</v>
      </c>
      <c r="F79" s="111" t="s">
        <v>193</v>
      </c>
      <c r="G79" s="110" t="s">
        <v>676</v>
      </c>
      <c r="H79" s="57" t="s">
        <v>140</v>
      </c>
    </row>
    <row r="80" spans="3:8" ht="13.8" thickBot="1" x14ac:dyDescent="0.3">
      <c r="C80" s="653"/>
      <c r="D80" s="113" t="s">
        <v>139</v>
      </c>
      <c r="E80" s="114">
        <v>57</v>
      </c>
      <c r="F80" s="116" t="str">
        <f>GetCorrelName1($E80)</f>
        <v>PGE/Topock</v>
      </c>
      <c r="G80" s="115" t="str">
        <f>GetCorrelName2($E80)</f>
        <v>Kern</v>
      </c>
      <c r="H80" s="118" t="s">
        <v>143</v>
      </c>
    </row>
    <row r="81" spans="3:8" x14ac:dyDescent="0.25">
      <c r="C81" s="652"/>
      <c r="D81" s="657" t="s">
        <v>16</v>
      </c>
      <c r="E81" s="659" t="s">
        <v>683</v>
      </c>
      <c r="F81" s="660"/>
      <c r="G81" s="660"/>
      <c r="H81" s="661"/>
    </row>
    <row r="82" spans="3:8" ht="13.8" thickBot="1" x14ac:dyDescent="0.3">
      <c r="C82" s="654"/>
      <c r="D82" s="658"/>
      <c r="E82" s="662"/>
      <c r="F82" s="663"/>
      <c r="G82" s="663"/>
      <c r="H82" s="664"/>
    </row>
    <row r="83" spans="3:8" ht="16.8" thickTop="1" thickBot="1" x14ac:dyDescent="0.35">
      <c r="C83" s="651">
        <v>74</v>
      </c>
      <c r="D83" s="655" t="s">
        <v>0</v>
      </c>
      <c r="E83" s="655"/>
      <c r="F83" s="655"/>
      <c r="G83" s="655"/>
      <c r="H83" s="656"/>
    </row>
    <row r="84" spans="3:8" ht="15.6" x14ac:dyDescent="0.3">
      <c r="C84" s="652"/>
      <c r="D84" s="10" t="s">
        <v>245</v>
      </c>
      <c r="E84" s="12" t="s">
        <v>3</v>
      </c>
      <c r="F84" s="12" t="s">
        <v>4</v>
      </c>
      <c r="G84" s="12" t="s">
        <v>1</v>
      </c>
      <c r="H84" s="15" t="s">
        <v>2</v>
      </c>
    </row>
    <row r="85" spans="3:8" ht="13.8" thickBot="1" x14ac:dyDescent="0.3">
      <c r="C85" s="652"/>
      <c r="D85" s="11" t="s">
        <v>24</v>
      </c>
      <c r="E85" s="1" t="s">
        <v>246</v>
      </c>
      <c r="F85" s="1" t="s">
        <v>247</v>
      </c>
      <c r="G85" s="2">
        <v>37073</v>
      </c>
      <c r="H85" s="16">
        <v>37256</v>
      </c>
    </row>
    <row r="86" spans="3:8" ht="15.6" thickBot="1" x14ac:dyDescent="0.3">
      <c r="C86" s="652"/>
      <c r="D86" s="27">
        <v>7454</v>
      </c>
      <c r="E86" s="3" t="s">
        <v>6</v>
      </c>
      <c r="F86" s="4" t="s">
        <v>7</v>
      </c>
      <c r="G86" s="4" t="s">
        <v>8</v>
      </c>
      <c r="H86" s="17" t="s">
        <v>9</v>
      </c>
    </row>
    <row r="87" spans="3:8" x14ac:dyDescent="0.25">
      <c r="C87" s="652"/>
      <c r="D87" s="9" t="s">
        <v>5</v>
      </c>
      <c r="E87" s="25" t="s">
        <v>212</v>
      </c>
      <c r="F87" s="25" t="s">
        <v>15</v>
      </c>
      <c r="G87" s="25" t="s">
        <v>15</v>
      </c>
      <c r="H87" s="26" t="s">
        <v>15</v>
      </c>
    </row>
    <row r="88" spans="3:8" x14ac:dyDescent="0.25">
      <c r="C88" s="652"/>
      <c r="D88" s="6" t="s">
        <v>10</v>
      </c>
      <c r="E88" s="20">
        <v>628</v>
      </c>
      <c r="F88" s="20">
        <v>0</v>
      </c>
      <c r="G88" s="20">
        <v>0</v>
      </c>
      <c r="H88" s="18">
        <v>0</v>
      </c>
    </row>
    <row r="89" spans="3:8" x14ac:dyDescent="0.25">
      <c r="C89" s="652"/>
      <c r="D89" s="6" t="s">
        <v>11</v>
      </c>
      <c r="E89" s="120">
        <v>1.7162E-2</v>
      </c>
      <c r="F89" s="120">
        <v>0</v>
      </c>
      <c r="G89" s="120">
        <v>0</v>
      </c>
      <c r="H89" s="121">
        <v>0</v>
      </c>
    </row>
    <row r="90" spans="3:8" x14ac:dyDescent="0.25">
      <c r="C90" s="652"/>
      <c r="D90" s="6" t="s">
        <v>12</v>
      </c>
      <c r="E90" s="21">
        <v>3.4000000000000002E-2</v>
      </c>
      <c r="F90" s="21">
        <v>0</v>
      </c>
      <c r="G90" s="21">
        <v>0</v>
      </c>
      <c r="H90" s="19">
        <v>0</v>
      </c>
    </row>
    <row r="91" spans="3:8" x14ac:dyDescent="0.25">
      <c r="C91" s="652"/>
      <c r="D91" s="6" t="s">
        <v>13</v>
      </c>
      <c r="E91" s="120">
        <v>0.25778400000000001</v>
      </c>
      <c r="F91" s="120">
        <v>0</v>
      </c>
      <c r="G91" s="120">
        <v>0</v>
      </c>
      <c r="H91" s="121">
        <v>0</v>
      </c>
    </row>
    <row r="92" spans="3:8" x14ac:dyDescent="0.25">
      <c r="C92" s="653"/>
      <c r="D92" s="5" t="s">
        <v>17</v>
      </c>
      <c r="E92" s="122">
        <v>0</v>
      </c>
      <c r="F92" s="123">
        <v>0</v>
      </c>
      <c r="G92" s="124">
        <v>0</v>
      </c>
      <c r="H92" s="125">
        <v>0</v>
      </c>
    </row>
    <row r="93" spans="3:8" x14ac:dyDescent="0.25">
      <c r="C93" s="653"/>
      <c r="D93" s="50" t="s">
        <v>42</v>
      </c>
      <c r="E93" s="126">
        <v>0</v>
      </c>
      <c r="F93" s="127">
        <v>0</v>
      </c>
      <c r="G93" s="128">
        <v>0</v>
      </c>
      <c r="H93" s="129">
        <v>0</v>
      </c>
    </row>
    <row r="94" spans="3:8" ht="13.8" thickBot="1" x14ac:dyDescent="0.3">
      <c r="C94" s="653"/>
      <c r="D94" s="5" t="s">
        <v>43</v>
      </c>
      <c r="E94" s="122">
        <v>0</v>
      </c>
      <c r="F94" s="123">
        <v>0</v>
      </c>
      <c r="G94" s="123">
        <v>0</v>
      </c>
      <c r="H94" s="130">
        <v>0</v>
      </c>
    </row>
    <row r="95" spans="3:8" x14ac:dyDescent="0.25">
      <c r="C95" s="653"/>
      <c r="D95" s="13" t="s">
        <v>188</v>
      </c>
      <c r="E95" s="51" t="s">
        <v>533</v>
      </c>
      <c r="F95" s="14" t="s">
        <v>191</v>
      </c>
      <c r="G95" s="107" t="s">
        <v>531</v>
      </c>
      <c r="H95" s="57" t="s">
        <v>47</v>
      </c>
    </row>
    <row r="96" spans="3:8" ht="15.6" thickBot="1" x14ac:dyDescent="0.3">
      <c r="C96" s="653"/>
      <c r="D96" s="7" t="s">
        <v>189</v>
      </c>
      <c r="E96" s="22" t="s">
        <v>534</v>
      </c>
      <c r="F96" s="8" t="s">
        <v>192</v>
      </c>
      <c r="G96" s="108" t="s">
        <v>532</v>
      </c>
      <c r="H96" s="390" t="s">
        <v>799</v>
      </c>
    </row>
    <row r="97" spans="3:8" ht="13.8" thickBot="1" x14ac:dyDescent="0.3">
      <c r="C97" s="653"/>
      <c r="D97" s="109" t="s">
        <v>190</v>
      </c>
      <c r="E97" s="110" t="s">
        <v>495</v>
      </c>
      <c r="F97" s="111" t="s">
        <v>193</v>
      </c>
      <c r="G97" s="112" t="s">
        <v>676</v>
      </c>
      <c r="H97" s="57" t="s">
        <v>140</v>
      </c>
    </row>
    <row r="98" spans="3:8" ht="13.8" thickBot="1" x14ac:dyDescent="0.3">
      <c r="C98" s="653"/>
      <c r="D98" s="113" t="s">
        <v>139</v>
      </c>
      <c r="E98" s="114">
        <v>10</v>
      </c>
      <c r="F98" s="116" t="str">
        <f>GetCorrelName1($E98)</f>
        <v>CGPR-KINGSGATE</v>
      </c>
      <c r="G98" s="115" t="str">
        <f>GetCorrelName2($E98)</f>
        <v>NGI-MALIN</v>
      </c>
      <c r="H98" s="118" t="s">
        <v>143</v>
      </c>
    </row>
    <row r="99" spans="3:8" x14ac:dyDescent="0.25">
      <c r="C99" s="652"/>
      <c r="D99" s="657" t="s">
        <v>16</v>
      </c>
      <c r="E99" s="671" t="s">
        <v>745</v>
      </c>
      <c r="F99" s="672"/>
      <c r="G99" s="672"/>
      <c r="H99" s="673"/>
    </row>
    <row r="100" spans="3:8" ht="13.8" thickBot="1" x14ac:dyDescent="0.3">
      <c r="C100" s="654"/>
      <c r="D100" s="658"/>
      <c r="E100" s="674"/>
      <c r="F100" s="675"/>
      <c r="G100" s="675"/>
      <c r="H100" s="676"/>
    </row>
    <row r="101" spans="3:8" ht="17.25" customHeight="1" thickTop="1" thickBot="1" x14ac:dyDescent="0.35">
      <c r="C101" s="651">
        <v>83</v>
      </c>
      <c r="D101" s="655" t="s">
        <v>0</v>
      </c>
      <c r="E101" s="655"/>
      <c r="F101" s="655"/>
      <c r="G101" s="655"/>
      <c r="H101" s="656"/>
    </row>
    <row r="102" spans="3:8" ht="15.75" customHeight="1" x14ac:dyDescent="0.3">
      <c r="C102" s="652"/>
      <c r="D102" s="10" t="s">
        <v>677</v>
      </c>
      <c r="E102" s="12" t="s">
        <v>3</v>
      </c>
      <c r="F102" s="12" t="s">
        <v>4</v>
      </c>
      <c r="G102" s="12" t="s">
        <v>1</v>
      </c>
      <c r="H102" s="15" t="s">
        <v>2</v>
      </c>
    </row>
    <row r="103" spans="3:8" ht="13.5" customHeight="1" thickBot="1" x14ac:dyDescent="0.3">
      <c r="C103" s="652"/>
      <c r="D103" s="11" t="s">
        <v>24</v>
      </c>
      <c r="E103" s="1" t="s">
        <v>678</v>
      </c>
      <c r="F103" s="1" t="s">
        <v>679</v>
      </c>
      <c r="G103" s="2">
        <v>37347</v>
      </c>
      <c r="H103" s="16">
        <v>37621</v>
      </c>
    </row>
    <row r="104" spans="3:8" ht="15.75" customHeight="1" thickBot="1" x14ac:dyDescent="0.3">
      <c r="C104" s="652"/>
      <c r="D104" s="27" t="s">
        <v>781</v>
      </c>
      <c r="E104" s="3" t="s">
        <v>6</v>
      </c>
      <c r="F104" s="4" t="s">
        <v>7</v>
      </c>
      <c r="G104" s="4" t="s">
        <v>8</v>
      </c>
      <c r="H104" s="17" t="s">
        <v>9</v>
      </c>
    </row>
    <row r="105" spans="3:8" ht="12.75" customHeight="1" x14ac:dyDescent="0.25">
      <c r="C105" s="652"/>
      <c r="D105" s="9" t="s">
        <v>5</v>
      </c>
      <c r="E105" s="25" t="s">
        <v>755</v>
      </c>
      <c r="F105" s="25" t="s">
        <v>756</v>
      </c>
      <c r="G105" s="25" t="s">
        <v>15</v>
      </c>
      <c r="H105" s="26" t="s">
        <v>15</v>
      </c>
    </row>
    <row r="106" spans="3:8" ht="12.75" customHeight="1" x14ac:dyDescent="0.25">
      <c r="C106" s="652"/>
      <c r="D106" s="6" t="s">
        <v>10</v>
      </c>
      <c r="E106" s="20">
        <v>225000</v>
      </c>
      <c r="F106" s="20">
        <v>270000</v>
      </c>
      <c r="G106" s="20">
        <v>0</v>
      </c>
      <c r="H106" s="18">
        <v>0</v>
      </c>
    </row>
    <row r="107" spans="3:8" ht="12.75" customHeight="1" x14ac:dyDescent="0.25">
      <c r="C107" s="652"/>
      <c r="D107" s="6" t="s">
        <v>11</v>
      </c>
      <c r="E107" s="120">
        <v>5.5199999999999999E-2</v>
      </c>
      <c r="F107" s="120">
        <v>5.5199999999999999E-2</v>
      </c>
      <c r="G107" s="120">
        <v>0</v>
      </c>
      <c r="H107" s="121">
        <v>0</v>
      </c>
    </row>
    <row r="108" spans="3:8" ht="12.75" customHeight="1" x14ac:dyDescent="0.25">
      <c r="C108" s="652"/>
      <c r="D108" s="6" t="s">
        <v>12</v>
      </c>
      <c r="E108" s="21">
        <v>1.37E-2</v>
      </c>
      <c r="F108" s="21">
        <v>1.37E-2</v>
      </c>
      <c r="G108" s="21">
        <v>0</v>
      </c>
      <c r="H108" s="19">
        <v>0</v>
      </c>
    </row>
    <row r="109" spans="3:8" ht="12.75" customHeight="1" x14ac:dyDescent="0.25">
      <c r="C109" s="652"/>
      <c r="D109" s="6" t="s">
        <v>13</v>
      </c>
      <c r="E109" s="120">
        <v>0.15379999999999999</v>
      </c>
      <c r="F109" s="120">
        <v>0.15379999999999999</v>
      </c>
      <c r="G109" s="120">
        <v>0</v>
      </c>
      <c r="H109" s="121">
        <v>0</v>
      </c>
    </row>
    <row r="110" spans="3:8" ht="12.75" customHeight="1" x14ac:dyDescent="0.25">
      <c r="C110" s="653"/>
      <c r="D110" s="5" t="s">
        <v>17</v>
      </c>
      <c r="E110" s="122">
        <v>0</v>
      </c>
      <c r="F110" s="123">
        <v>0</v>
      </c>
      <c r="G110" s="124">
        <v>0</v>
      </c>
      <c r="H110" s="125">
        <v>0</v>
      </c>
    </row>
    <row r="111" spans="3:8" ht="12.75" customHeight="1" x14ac:dyDescent="0.25">
      <c r="C111" s="653"/>
      <c r="D111" s="50" t="s">
        <v>42</v>
      </c>
      <c r="E111" s="126">
        <v>0</v>
      </c>
      <c r="F111" s="127">
        <v>0</v>
      </c>
      <c r="G111" s="128">
        <v>0</v>
      </c>
      <c r="H111" s="129">
        <v>0</v>
      </c>
    </row>
    <row r="112" spans="3:8" ht="13.5" customHeight="1" thickBot="1" x14ac:dyDescent="0.3">
      <c r="C112" s="653"/>
      <c r="D112" s="5" t="s">
        <v>43</v>
      </c>
      <c r="E112" s="122">
        <v>0</v>
      </c>
      <c r="F112" s="123">
        <v>0</v>
      </c>
      <c r="G112" s="123">
        <v>0</v>
      </c>
      <c r="H112" s="130">
        <v>0</v>
      </c>
    </row>
    <row r="113" spans="3:8" ht="13.5" customHeight="1" thickBot="1" x14ac:dyDescent="0.3">
      <c r="C113" s="653"/>
      <c r="D113" s="13" t="s">
        <v>188</v>
      </c>
      <c r="E113" s="51" t="s">
        <v>775</v>
      </c>
      <c r="F113" s="14" t="s">
        <v>191</v>
      </c>
      <c r="G113" s="51" t="s">
        <v>555</v>
      </c>
      <c r="H113" s="57" t="s">
        <v>47</v>
      </c>
    </row>
    <row r="114" spans="3:8" ht="15.75" customHeight="1" thickBot="1" x14ac:dyDescent="0.3">
      <c r="C114" s="653"/>
      <c r="D114" s="7" t="s">
        <v>189</v>
      </c>
      <c r="E114" s="51" t="s">
        <v>776</v>
      </c>
      <c r="F114" s="8" t="s">
        <v>192</v>
      </c>
      <c r="G114" s="51" t="s">
        <v>556</v>
      </c>
      <c r="H114" s="390" t="s">
        <v>604</v>
      </c>
    </row>
    <row r="115" spans="3:8" ht="13.5" customHeight="1" thickBot="1" x14ac:dyDescent="0.3">
      <c r="C115" s="653"/>
      <c r="D115" s="109" t="s">
        <v>190</v>
      </c>
      <c r="E115" s="110" t="s">
        <v>676</v>
      </c>
      <c r="F115" s="111" t="s">
        <v>193</v>
      </c>
      <c r="G115" s="110" t="s">
        <v>676</v>
      </c>
      <c r="H115" s="57" t="s">
        <v>140</v>
      </c>
    </row>
    <row r="116" spans="3:8" ht="13.5" customHeight="1" thickBot="1" x14ac:dyDescent="0.3">
      <c r="C116" s="653"/>
      <c r="D116" s="113" t="s">
        <v>139</v>
      </c>
      <c r="E116" s="114">
        <v>56</v>
      </c>
      <c r="F116" s="116" t="str">
        <f>GetCorrelName1($E116)</f>
        <v>PGE/Topock</v>
      </c>
      <c r="G116" s="115" t="str">
        <f>GetCorrelName2($E116)</f>
        <v>PGE City</v>
      </c>
      <c r="H116" s="118" t="s">
        <v>143</v>
      </c>
    </row>
    <row r="117" spans="3:8" ht="12.75" customHeight="1" x14ac:dyDescent="0.25">
      <c r="C117" s="652"/>
      <c r="D117" s="657" t="s">
        <v>16</v>
      </c>
      <c r="E117" s="659" t="s">
        <v>757</v>
      </c>
      <c r="F117" s="660"/>
      <c r="G117" s="660"/>
      <c r="H117" s="661"/>
    </row>
    <row r="118" spans="3:8" ht="13.5" customHeight="1" thickBot="1" x14ac:dyDescent="0.3">
      <c r="C118" s="654"/>
      <c r="D118" s="658"/>
      <c r="E118" s="662"/>
      <c r="F118" s="663"/>
      <c r="G118" s="663"/>
      <c r="H118" s="664"/>
    </row>
    <row r="119" spans="3:8" ht="16.8" thickTop="1" thickBot="1" x14ac:dyDescent="0.35">
      <c r="C119" s="651">
        <v>84</v>
      </c>
      <c r="D119" s="655" t="s">
        <v>0</v>
      </c>
      <c r="E119" s="655"/>
      <c r="F119" s="655"/>
      <c r="G119" s="655"/>
      <c r="H119" s="656"/>
    </row>
    <row r="120" spans="3:8" ht="15.6" x14ac:dyDescent="0.3">
      <c r="C120" s="652"/>
      <c r="D120" s="10" t="s">
        <v>782</v>
      </c>
      <c r="E120" s="12" t="s">
        <v>3</v>
      </c>
      <c r="F120" s="12" t="s">
        <v>4</v>
      </c>
      <c r="G120" s="12" t="s">
        <v>1</v>
      </c>
      <c r="H120" s="15" t="s">
        <v>2</v>
      </c>
    </row>
    <row r="121" spans="3:8" ht="13.8" thickBot="1" x14ac:dyDescent="0.3">
      <c r="C121" s="652"/>
      <c r="D121" s="11" t="s">
        <v>24</v>
      </c>
      <c r="E121" s="1" t="s">
        <v>758</v>
      </c>
      <c r="F121" s="1" t="s">
        <v>634</v>
      </c>
      <c r="G121" s="2">
        <v>37135</v>
      </c>
      <c r="H121" s="16">
        <v>37376</v>
      </c>
    </row>
    <row r="122" spans="3:8" ht="15.6" thickBot="1" x14ac:dyDescent="0.3">
      <c r="C122" s="652"/>
      <c r="D122" s="27"/>
      <c r="E122" s="3" t="s">
        <v>6</v>
      </c>
      <c r="F122" s="4" t="s">
        <v>7</v>
      </c>
      <c r="G122" s="4" t="s">
        <v>8</v>
      </c>
      <c r="H122" s="17" t="s">
        <v>9</v>
      </c>
    </row>
    <row r="123" spans="3:8" x14ac:dyDescent="0.25">
      <c r="C123" s="652"/>
      <c r="D123" s="9" t="s">
        <v>5</v>
      </c>
      <c r="E123" s="25" t="s">
        <v>212</v>
      </c>
      <c r="F123" s="25" t="s">
        <v>15</v>
      </c>
      <c r="G123" s="25" t="s">
        <v>15</v>
      </c>
      <c r="H123" s="26" t="s">
        <v>15</v>
      </c>
    </row>
    <row r="124" spans="3:8" x14ac:dyDescent="0.25">
      <c r="C124" s="652"/>
      <c r="D124" s="6" t="s">
        <v>10</v>
      </c>
      <c r="E124" s="20">
        <v>24500</v>
      </c>
      <c r="F124" s="20">
        <v>0</v>
      </c>
      <c r="G124" s="20">
        <v>0</v>
      </c>
      <c r="H124" s="18">
        <v>0</v>
      </c>
    </row>
    <row r="125" spans="3:8" x14ac:dyDescent="0.25">
      <c r="C125" s="652"/>
      <c r="D125" s="6" t="s">
        <v>11</v>
      </c>
      <c r="E125" s="120">
        <f>0.06+0.0022</f>
        <v>6.2199999999999998E-2</v>
      </c>
      <c r="F125" s="120">
        <v>0</v>
      </c>
      <c r="G125" s="120">
        <v>0</v>
      </c>
      <c r="H125" s="121">
        <v>0</v>
      </c>
    </row>
    <row r="126" spans="3:8" x14ac:dyDescent="0.25">
      <c r="C126" s="652"/>
      <c r="D126" s="6" t="s">
        <v>12</v>
      </c>
      <c r="E126" s="21">
        <v>4.2000000000000003E-2</v>
      </c>
      <c r="F126" s="21">
        <v>0</v>
      </c>
      <c r="G126" s="21">
        <v>0</v>
      </c>
      <c r="H126" s="19">
        <v>0</v>
      </c>
    </row>
    <row r="127" spans="3:8" x14ac:dyDescent="0.25">
      <c r="C127" s="652"/>
      <c r="D127" s="6" t="s">
        <v>13</v>
      </c>
      <c r="E127" s="506" t="s">
        <v>764</v>
      </c>
      <c r="F127" s="120">
        <v>0</v>
      </c>
      <c r="G127" s="120">
        <v>0</v>
      </c>
      <c r="H127" s="121">
        <v>0</v>
      </c>
    </row>
    <row r="128" spans="3:8" x14ac:dyDescent="0.25">
      <c r="C128" s="653"/>
      <c r="D128" s="5" t="s">
        <v>17</v>
      </c>
      <c r="E128" s="122">
        <v>0</v>
      </c>
      <c r="F128" s="123">
        <v>0</v>
      </c>
      <c r="G128" s="124">
        <v>0</v>
      </c>
      <c r="H128" s="125">
        <v>0</v>
      </c>
    </row>
    <row r="129" spans="3:8" x14ac:dyDescent="0.25">
      <c r="C129" s="653"/>
      <c r="D129" s="50" t="s">
        <v>42</v>
      </c>
      <c r="E129" s="126">
        <v>0</v>
      </c>
      <c r="F129" s="127">
        <v>0</v>
      </c>
      <c r="G129" s="128">
        <v>0</v>
      </c>
      <c r="H129" s="129">
        <v>0</v>
      </c>
    </row>
    <row r="130" spans="3:8" ht="13.8" thickBot="1" x14ac:dyDescent="0.3">
      <c r="C130" s="653"/>
      <c r="D130" s="5" t="s">
        <v>43</v>
      </c>
      <c r="E130" s="122">
        <v>0</v>
      </c>
      <c r="F130" s="123">
        <v>0</v>
      </c>
      <c r="G130" s="123">
        <v>0</v>
      </c>
      <c r="H130" s="130">
        <v>0</v>
      </c>
    </row>
    <row r="131" spans="3:8" ht="13.8" thickBot="1" x14ac:dyDescent="0.3">
      <c r="C131" s="653"/>
      <c r="D131" s="13" t="s">
        <v>188</v>
      </c>
      <c r="E131" s="51" t="s">
        <v>552</v>
      </c>
      <c r="F131" s="14" t="s">
        <v>191</v>
      </c>
      <c r="G131" s="51" t="s">
        <v>252</v>
      </c>
      <c r="H131" s="57" t="s">
        <v>47</v>
      </c>
    </row>
    <row r="132" spans="3:8" ht="15.6" thickBot="1" x14ac:dyDescent="0.3">
      <c r="C132" s="653"/>
      <c r="D132" s="7" t="s">
        <v>189</v>
      </c>
      <c r="E132" s="51" t="s">
        <v>553</v>
      </c>
      <c r="F132" s="8" t="s">
        <v>192</v>
      </c>
      <c r="G132" s="22" t="s">
        <v>268</v>
      </c>
      <c r="H132" s="390" t="s">
        <v>837</v>
      </c>
    </row>
    <row r="133" spans="3:8" ht="13.8" thickBot="1" x14ac:dyDescent="0.3">
      <c r="C133" s="653"/>
      <c r="D133" s="109" t="s">
        <v>190</v>
      </c>
      <c r="E133" s="110" t="s">
        <v>676</v>
      </c>
      <c r="F133" s="111" t="s">
        <v>193</v>
      </c>
      <c r="G133" s="110" t="s">
        <v>676</v>
      </c>
      <c r="H133" s="57" t="s">
        <v>140</v>
      </c>
    </row>
    <row r="134" spans="3:8" ht="13.8" thickBot="1" x14ac:dyDescent="0.3">
      <c r="C134" s="653"/>
      <c r="D134" s="113" t="s">
        <v>139</v>
      </c>
      <c r="E134" s="114">
        <v>69</v>
      </c>
      <c r="F134" s="116" t="str">
        <f>GetCorrelName1($E134)</f>
        <v>IF-NWPL_ROCKY_M</v>
      </c>
      <c r="G134" s="115" t="str">
        <f>GetCorrelName2($E134)</f>
        <v>NGI-SOCAL</v>
      </c>
      <c r="H134" s="118" t="s">
        <v>27</v>
      </c>
    </row>
    <row r="135" spans="3:8" x14ac:dyDescent="0.25">
      <c r="C135" s="652"/>
      <c r="D135" s="657" t="s">
        <v>16</v>
      </c>
      <c r="E135" s="659"/>
      <c r="F135" s="660"/>
      <c r="G135" s="660"/>
      <c r="H135" s="661"/>
    </row>
    <row r="136" spans="3:8" ht="13.8" thickBot="1" x14ac:dyDescent="0.3">
      <c r="C136" s="654"/>
      <c r="D136" s="658"/>
      <c r="E136" s="662"/>
      <c r="F136" s="663"/>
      <c r="G136" s="663"/>
      <c r="H136" s="664"/>
    </row>
    <row r="137" spans="3:8" ht="16.8" thickTop="1" thickBot="1" x14ac:dyDescent="0.35">
      <c r="C137" s="651">
        <v>85</v>
      </c>
      <c r="D137" s="655" t="s">
        <v>0</v>
      </c>
      <c r="E137" s="655"/>
      <c r="F137" s="655"/>
      <c r="G137" s="655"/>
      <c r="H137" s="656"/>
    </row>
    <row r="138" spans="3:8" ht="15.6" x14ac:dyDescent="0.3">
      <c r="C138" s="652"/>
      <c r="D138" s="10" t="s">
        <v>782</v>
      </c>
      <c r="E138" s="12" t="s">
        <v>3</v>
      </c>
      <c r="F138" s="12" t="s">
        <v>4</v>
      </c>
      <c r="G138" s="12" t="s">
        <v>1</v>
      </c>
      <c r="H138" s="15" t="s">
        <v>2</v>
      </c>
    </row>
    <row r="139" spans="3:8" ht="13.8" thickBot="1" x14ac:dyDescent="0.3">
      <c r="C139" s="652"/>
      <c r="D139" s="11" t="s">
        <v>24</v>
      </c>
      <c r="E139" s="1" t="s">
        <v>758</v>
      </c>
      <c r="F139" s="1" t="s">
        <v>634</v>
      </c>
      <c r="G139" s="2">
        <v>37377</v>
      </c>
      <c r="H139" s="16">
        <v>37741</v>
      </c>
    </row>
    <row r="140" spans="3:8" ht="15.6" thickBot="1" x14ac:dyDescent="0.3">
      <c r="C140" s="652"/>
      <c r="D140" s="27"/>
      <c r="E140" s="3" t="s">
        <v>6</v>
      </c>
      <c r="F140" s="4" t="s">
        <v>7</v>
      </c>
      <c r="G140" s="4" t="s">
        <v>8</v>
      </c>
      <c r="H140" s="17" t="s">
        <v>9</v>
      </c>
    </row>
    <row r="141" spans="3:8" x14ac:dyDescent="0.25">
      <c r="C141" s="652"/>
      <c r="D141" s="9" t="s">
        <v>5</v>
      </c>
      <c r="E141" s="25" t="s">
        <v>212</v>
      </c>
      <c r="F141" s="25" t="s">
        <v>15</v>
      </c>
      <c r="G141" s="25" t="s">
        <v>15</v>
      </c>
      <c r="H141" s="26" t="s">
        <v>15</v>
      </c>
    </row>
    <row r="142" spans="3:8" x14ac:dyDescent="0.25">
      <c r="C142" s="652"/>
      <c r="D142" s="6" t="s">
        <v>10</v>
      </c>
      <c r="E142" s="20">
        <v>3500</v>
      </c>
      <c r="F142" s="20">
        <v>0</v>
      </c>
      <c r="G142" s="20">
        <v>0</v>
      </c>
      <c r="H142" s="18">
        <v>0</v>
      </c>
    </row>
    <row r="143" spans="3:8" x14ac:dyDescent="0.25">
      <c r="C143" s="652"/>
      <c r="D143" s="6" t="s">
        <v>11</v>
      </c>
      <c r="E143" s="120">
        <f>0.06+0.0022</f>
        <v>6.2199999999999998E-2</v>
      </c>
      <c r="F143" s="120">
        <v>0</v>
      </c>
      <c r="G143" s="120">
        <v>0</v>
      </c>
      <c r="H143" s="121">
        <v>0</v>
      </c>
    </row>
    <row r="144" spans="3:8" x14ac:dyDescent="0.25">
      <c r="C144" s="652"/>
      <c r="D144" s="6" t="s">
        <v>12</v>
      </c>
      <c r="E144" s="21">
        <v>6.2E-2</v>
      </c>
      <c r="F144" s="21">
        <v>0</v>
      </c>
      <c r="G144" s="21">
        <v>0</v>
      </c>
      <c r="H144" s="19">
        <v>0</v>
      </c>
    </row>
    <row r="145" spans="3:8" x14ac:dyDescent="0.25">
      <c r="C145" s="652"/>
      <c r="D145" s="6" t="s">
        <v>13</v>
      </c>
      <c r="E145" s="506" t="s">
        <v>767</v>
      </c>
      <c r="F145" s="120">
        <v>0</v>
      </c>
      <c r="G145" s="120">
        <v>0</v>
      </c>
      <c r="H145" s="121">
        <v>0</v>
      </c>
    </row>
    <row r="146" spans="3:8" x14ac:dyDescent="0.25">
      <c r="C146" s="653"/>
      <c r="D146" s="5" t="s">
        <v>17</v>
      </c>
      <c r="E146" s="122">
        <v>0</v>
      </c>
      <c r="F146" s="123">
        <v>0</v>
      </c>
      <c r="G146" s="124">
        <v>0</v>
      </c>
      <c r="H146" s="125">
        <v>0</v>
      </c>
    </row>
    <row r="147" spans="3:8" x14ac:dyDescent="0.25">
      <c r="C147" s="653"/>
      <c r="D147" s="50" t="s">
        <v>42</v>
      </c>
      <c r="E147" s="126">
        <v>0</v>
      </c>
      <c r="F147" s="127">
        <v>0</v>
      </c>
      <c r="G147" s="128">
        <v>0</v>
      </c>
      <c r="H147" s="129">
        <v>0</v>
      </c>
    </row>
    <row r="148" spans="3:8" ht="13.8" thickBot="1" x14ac:dyDescent="0.3">
      <c r="C148" s="653"/>
      <c r="D148" s="5" t="s">
        <v>43</v>
      </c>
      <c r="E148" s="122">
        <v>0</v>
      </c>
      <c r="F148" s="123">
        <v>0</v>
      </c>
      <c r="G148" s="123">
        <v>0</v>
      </c>
      <c r="H148" s="130">
        <v>0</v>
      </c>
    </row>
    <row r="149" spans="3:8" ht="13.8" thickBot="1" x14ac:dyDescent="0.3">
      <c r="C149" s="653"/>
      <c r="D149" s="13" t="s">
        <v>188</v>
      </c>
      <c r="E149" s="51" t="s">
        <v>552</v>
      </c>
      <c r="F149" s="14" t="s">
        <v>191</v>
      </c>
      <c r="G149" s="51" t="s">
        <v>252</v>
      </c>
      <c r="H149" s="57" t="s">
        <v>47</v>
      </c>
    </row>
    <row r="150" spans="3:8" ht="15.6" thickBot="1" x14ac:dyDescent="0.3">
      <c r="C150" s="653"/>
      <c r="D150" s="7" t="s">
        <v>189</v>
      </c>
      <c r="E150" s="51" t="s">
        <v>553</v>
      </c>
      <c r="F150" s="8" t="s">
        <v>192</v>
      </c>
      <c r="G150" s="22" t="s">
        <v>268</v>
      </c>
      <c r="H150" s="390" t="s">
        <v>837</v>
      </c>
    </row>
    <row r="151" spans="3:8" ht="13.8" thickBot="1" x14ac:dyDescent="0.3">
      <c r="C151" s="653"/>
      <c r="D151" s="109" t="s">
        <v>190</v>
      </c>
      <c r="E151" s="110" t="s">
        <v>676</v>
      </c>
      <c r="F151" s="111" t="s">
        <v>193</v>
      </c>
      <c r="G151" s="110" t="s">
        <v>676</v>
      </c>
      <c r="H151" s="57" t="s">
        <v>140</v>
      </c>
    </row>
    <row r="152" spans="3:8" ht="13.8" thickBot="1" x14ac:dyDescent="0.3">
      <c r="C152" s="653"/>
      <c r="D152" s="113" t="s">
        <v>139</v>
      </c>
      <c r="E152" s="114">
        <v>69</v>
      </c>
      <c r="F152" s="116" t="str">
        <f>GetCorrelName1($E152)</f>
        <v>IF-NWPL_ROCKY_M</v>
      </c>
      <c r="G152" s="115" t="str">
        <f>GetCorrelName2($E152)</f>
        <v>NGI-SOCAL</v>
      </c>
      <c r="H152" s="118" t="s">
        <v>27</v>
      </c>
    </row>
    <row r="153" spans="3:8" x14ac:dyDescent="0.25">
      <c r="C153" s="652"/>
      <c r="D153" s="657" t="s">
        <v>16</v>
      </c>
      <c r="E153" s="659"/>
      <c r="F153" s="660"/>
      <c r="G153" s="660"/>
      <c r="H153" s="661"/>
    </row>
    <row r="154" spans="3:8" ht="13.8" thickBot="1" x14ac:dyDescent="0.3">
      <c r="C154" s="654"/>
      <c r="D154" s="658"/>
      <c r="E154" s="662"/>
      <c r="F154" s="663"/>
      <c r="G154" s="663"/>
      <c r="H154" s="664"/>
    </row>
    <row r="155" spans="3:8" ht="16.8" thickTop="1" thickBot="1" x14ac:dyDescent="0.35">
      <c r="C155" s="651">
        <v>86</v>
      </c>
      <c r="D155" s="655" t="s">
        <v>0</v>
      </c>
      <c r="E155" s="655"/>
      <c r="F155" s="655"/>
      <c r="G155" s="655"/>
      <c r="H155" s="656"/>
    </row>
    <row r="156" spans="3:8" ht="15.6" x14ac:dyDescent="0.3">
      <c r="C156" s="652"/>
      <c r="D156" s="10" t="s">
        <v>782</v>
      </c>
      <c r="E156" s="12" t="s">
        <v>3</v>
      </c>
      <c r="F156" s="12" t="s">
        <v>4</v>
      </c>
      <c r="G156" s="12" t="s">
        <v>1</v>
      </c>
      <c r="H156" s="15" t="s">
        <v>2</v>
      </c>
    </row>
    <row r="157" spans="3:8" ht="13.8" thickBot="1" x14ac:dyDescent="0.3">
      <c r="C157" s="652"/>
      <c r="D157" s="11" t="s">
        <v>24</v>
      </c>
      <c r="E157" s="1" t="s">
        <v>758</v>
      </c>
      <c r="F157" s="1" t="s">
        <v>634</v>
      </c>
      <c r="G157" s="2">
        <v>37135</v>
      </c>
      <c r="H157" s="16">
        <v>37376</v>
      </c>
    </row>
    <row r="158" spans="3:8" ht="15.6" thickBot="1" x14ac:dyDescent="0.3">
      <c r="C158" s="652"/>
      <c r="D158" s="27"/>
      <c r="E158" s="3" t="s">
        <v>6</v>
      </c>
      <c r="F158" s="4" t="s">
        <v>7</v>
      </c>
      <c r="G158" s="4" t="s">
        <v>8</v>
      </c>
      <c r="H158" s="17" t="s">
        <v>9</v>
      </c>
    </row>
    <row r="159" spans="3:8" x14ac:dyDescent="0.25">
      <c r="C159" s="652"/>
      <c r="D159" s="9" t="s">
        <v>5</v>
      </c>
      <c r="E159" s="25" t="s">
        <v>212</v>
      </c>
      <c r="F159" s="25" t="s">
        <v>15</v>
      </c>
      <c r="G159" s="25" t="s">
        <v>15</v>
      </c>
      <c r="H159" s="26" t="s">
        <v>15</v>
      </c>
    </row>
    <row r="160" spans="3:8" x14ac:dyDescent="0.25">
      <c r="C160" s="652"/>
      <c r="D160" s="6" t="s">
        <v>10</v>
      </c>
      <c r="E160" s="20">
        <v>3700</v>
      </c>
      <c r="F160" s="20">
        <v>0</v>
      </c>
      <c r="G160" s="20">
        <v>0</v>
      </c>
      <c r="H160" s="18">
        <v>0</v>
      </c>
    </row>
    <row r="161" spans="3:8" x14ac:dyDescent="0.25">
      <c r="C161" s="652"/>
      <c r="D161" s="6" t="s">
        <v>11</v>
      </c>
      <c r="E161" s="120">
        <f>0.06+0.0022</f>
        <v>6.2199999999999998E-2</v>
      </c>
      <c r="F161" s="120">
        <v>0</v>
      </c>
      <c r="G161" s="120">
        <v>0</v>
      </c>
      <c r="H161" s="121">
        <v>0</v>
      </c>
    </row>
    <row r="162" spans="3:8" x14ac:dyDescent="0.25">
      <c r="C162" s="652"/>
      <c r="D162" s="6" t="s">
        <v>12</v>
      </c>
      <c r="E162" s="21">
        <v>4.2000000000000003E-2</v>
      </c>
      <c r="F162" s="21">
        <v>0</v>
      </c>
      <c r="G162" s="21">
        <v>0</v>
      </c>
      <c r="H162" s="19">
        <v>0</v>
      </c>
    </row>
    <row r="163" spans="3:8" x14ac:dyDescent="0.25">
      <c r="C163" s="652"/>
      <c r="D163" s="6" t="s">
        <v>13</v>
      </c>
      <c r="E163" s="506" t="s">
        <v>766</v>
      </c>
      <c r="F163" s="120">
        <v>0</v>
      </c>
      <c r="G163" s="120">
        <v>0</v>
      </c>
      <c r="H163" s="121">
        <v>0</v>
      </c>
    </row>
    <row r="164" spans="3:8" x14ac:dyDescent="0.25">
      <c r="C164" s="653"/>
      <c r="D164" s="5" t="s">
        <v>17</v>
      </c>
      <c r="E164" s="122">
        <v>0</v>
      </c>
      <c r="F164" s="123">
        <v>0</v>
      </c>
      <c r="G164" s="124">
        <v>0</v>
      </c>
      <c r="H164" s="125">
        <v>0</v>
      </c>
    </row>
    <row r="165" spans="3:8" x14ac:dyDescent="0.25">
      <c r="C165" s="653"/>
      <c r="D165" s="50" t="s">
        <v>42</v>
      </c>
      <c r="E165" s="126">
        <v>0</v>
      </c>
      <c r="F165" s="127">
        <v>0</v>
      </c>
      <c r="G165" s="128">
        <v>0</v>
      </c>
      <c r="H165" s="129">
        <v>0</v>
      </c>
    </row>
    <row r="166" spans="3:8" ht="13.8" thickBot="1" x14ac:dyDescent="0.3">
      <c r="C166" s="653"/>
      <c r="D166" s="5" t="s">
        <v>43</v>
      </c>
      <c r="E166" s="122">
        <v>0</v>
      </c>
      <c r="F166" s="123">
        <v>0</v>
      </c>
      <c r="G166" s="123">
        <v>0</v>
      </c>
      <c r="H166" s="130">
        <v>0</v>
      </c>
    </row>
    <row r="167" spans="3:8" ht="13.8" thickBot="1" x14ac:dyDescent="0.3">
      <c r="C167" s="653"/>
      <c r="D167" s="13" t="s">
        <v>188</v>
      </c>
      <c r="E167" s="51" t="s">
        <v>552</v>
      </c>
      <c r="F167" s="14" t="s">
        <v>191</v>
      </c>
      <c r="G167" s="51" t="s">
        <v>252</v>
      </c>
      <c r="H167" s="57" t="s">
        <v>47</v>
      </c>
    </row>
    <row r="168" spans="3:8" ht="15.6" thickBot="1" x14ac:dyDescent="0.3">
      <c r="C168" s="653"/>
      <c r="D168" s="7" t="s">
        <v>189</v>
      </c>
      <c r="E168" s="51" t="s">
        <v>553</v>
      </c>
      <c r="F168" s="8" t="s">
        <v>192</v>
      </c>
      <c r="G168" s="22" t="s">
        <v>268</v>
      </c>
      <c r="H168" s="390" t="s">
        <v>837</v>
      </c>
    </row>
    <row r="169" spans="3:8" ht="13.8" thickBot="1" x14ac:dyDescent="0.3">
      <c r="C169" s="653"/>
      <c r="D169" s="109" t="s">
        <v>190</v>
      </c>
      <c r="E169" s="110" t="s">
        <v>676</v>
      </c>
      <c r="F169" s="111" t="s">
        <v>193</v>
      </c>
      <c r="G169" s="110" t="s">
        <v>676</v>
      </c>
      <c r="H169" s="57" t="s">
        <v>140</v>
      </c>
    </row>
    <row r="170" spans="3:8" ht="13.8" thickBot="1" x14ac:dyDescent="0.3">
      <c r="C170" s="653"/>
      <c r="D170" s="113" t="s">
        <v>139</v>
      </c>
      <c r="E170" s="114">
        <v>69</v>
      </c>
      <c r="F170" s="116" t="str">
        <f>GetCorrelName1($E170)</f>
        <v>IF-NWPL_ROCKY_M</v>
      </c>
      <c r="G170" s="115" t="str">
        <f>GetCorrelName2($E170)</f>
        <v>NGI-SOCAL</v>
      </c>
      <c r="H170" s="118" t="s">
        <v>27</v>
      </c>
    </row>
    <row r="171" spans="3:8" x14ac:dyDescent="0.25">
      <c r="C171" s="652"/>
      <c r="D171" s="657" t="s">
        <v>16</v>
      </c>
      <c r="E171" s="659"/>
      <c r="F171" s="660"/>
      <c r="G171" s="660"/>
      <c r="H171" s="661"/>
    </row>
    <row r="172" spans="3:8" ht="13.8" thickBot="1" x14ac:dyDescent="0.3">
      <c r="C172" s="654"/>
      <c r="D172" s="658"/>
      <c r="E172" s="662"/>
      <c r="F172" s="663"/>
      <c r="G172" s="663"/>
      <c r="H172" s="664"/>
    </row>
    <row r="173" spans="3:8" ht="16.8" thickTop="1" thickBot="1" x14ac:dyDescent="0.35">
      <c r="C173" s="651">
        <v>87</v>
      </c>
      <c r="D173" s="655" t="s">
        <v>0</v>
      </c>
      <c r="E173" s="655"/>
      <c r="F173" s="655"/>
      <c r="G173" s="655"/>
      <c r="H173" s="656"/>
    </row>
    <row r="174" spans="3:8" ht="15.6" x14ac:dyDescent="0.3">
      <c r="C174" s="652"/>
      <c r="D174" s="10" t="s">
        <v>782</v>
      </c>
      <c r="E174" s="12" t="s">
        <v>3</v>
      </c>
      <c r="F174" s="12" t="s">
        <v>4</v>
      </c>
      <c r="G174" s="12" t="s">
        <v>1</v>
      </c>
      <c r="H174" s="15" t="s">
        <v>2</v>
      </c>
    </row>
    <row r="175" spans="3:8" ht="13.8" thickBot="1" x14ac:dyDescent="0.3">
      <c r="C175" s="652"/>
      <c r="D175" s="11" t="s">
        <v>24</v>
      </c>
      <c r="E175" s="1" t="s">
        <v>758</v>
      </c>
      <c r="F175" s="1" t="s">
        <v>634</v>
      </c>
      <c r="G175" s="2">
        <v>37377</v>
      </c>
      <c r="H175" s="16">
        <v>37741</v>
      </c>
    </row>
    <row r="176" spans="3:8" ht="15.6" thickBot="1" x14ac:dyDescent="0.3">
      <c r="C176" s="652"/>
      <c r="D176" s="27"/>
      <c r="E176" s="3" t="s">
        <v>6</v>
      </c>
      <c r="F176" s="4" t="s">
        <v>7</v>
      </c>
      <c r="G176" s="4" t="s">
        <v>8</v>
      </c>
      <c r="H176" s="17" t="s">
        <v>9</v>
      </c>
    </row>
    <row r="177" spans="3:8" x14ac:dyDescent="0.25">
      <c r="C177" s="652"/>
      <c r="D177" s="9" t="s">
        <v>5</v>
      </c>
      <c r="E177" s="25" t="s">
        <v>212</v>
      </c>
      <c r="F177" s="25" t="s">
        <v>15</v>
      </c>
      <c r="G177" s="25" t="s">
        <v>15</v>
      </c>
      <c r="H177" s="26" t="s">
        <v>15</v>
      </c>
    </row>
    <row r="178" spans="3:8" x14ac:dyDescent="0.25">
      <c r="C178" s="652"/>
      <c r="D178" s="6" t="s">
        <v>10</v>
      </c>
      <c r="E178" s="20">
        <v>700</v>
      </c>
      <c r="F178" s="20">
        <v>0</v>
      </c>
      <c r="G178" s="20">
        <v>0</v>
      </c>
      <c r="H178" s="18">
        <v>0</v>
      </c>
    </row>
    <row r="179" spans="3:8" x14ac:dyDescent="0.25">
      <c r="C179" s="652"/>
      <c r="D179" s="6" t="s">
        <v>11</v>
      </c>
      <c r="E179" s="120">
        <f>0.06+0.0022</f>
        <v>6.2199999999999998E-2</v>
      </c>
      <c r="F179" s="120">
        <v>0</v>
      </c>
      <c r="G179" s="120">
        <v>0</v>
      </c>
      <c r="H179" s="121">
        <v>0</v>
      </c>
    </row>
    <row r="180" spans="3:8" x14ac:dyDescent="0.25">
      <c r="C180" s="652"/>
      <c r="D180" s="6" t="s">
        <v>12</v>
      </c>
      <c r="E180" s="21">
        <v>6.2E-2</v>
      </c>
      <c r="F180" s="21">
        <v>0</v>
      </c>
      <c r="G180" s="21">
        <v>0</v>
      </c>
      <c r="H180" s="19">
        <v>0</v>
      </c>
    </row>
    <row r="181" spans="3:8" x14ac:dyDescent="0.25">
      <c r="C181" s="652"/>
      <c r="D181" s="6" t="s">
        <v>13</v>
      </c>
      <c r="E181" s="506" t="s">
        <v>765</v>
      </c>
      <c r="F181" s="120">
        <v>0</v>
      </c>
      <c r="G181" s="120">
        <v>0</v>
      </c>
      <c r="H181" s="121">
        <v>0</v>
      </c>
    </row>
    <row r="182" spans="3:8" x14ac:dyDescent="0.25">
      <c r="C182" s="653"/>
      <c r="D182" s="5" t="s">
        <v>17</v>
      </c>
      <c r="E182" s="122">
        <v>0</v>
      </c>
      <c r="F182" s="123">
        <v>0</v>
      </c>
      <c r="G182" s="124">
        <v>0</v>
      </c>
      <c r="H182" s="125">
        <v>0</v>
      </c>
    </row>
    <row r="183" spans="3:8" x14ac:dyDescent="0.25">
      <c r="C183" s="653"/>
      <c r="D183" s="50" t="s">
        <v>42</v>
      </c>
      <c r="E183" s="126">
        <v>0</v>
      </c>
      <c r="F183" s="127">
        <v>0</v>
      </c>
      <c r="G183" s="128">
        <v>0</v>
      </c>
      <c r="H183" s="129">
        <v>0</v>
      </c>
    </row>
    <row r="184" spans="3:8" ht="13.8" thickBot="1" x14ac:dyDescent="0.3">
      <c r="C184" s="653"/>
      <c r="D184" s="5" t="s">
        <v>43</v>
      </c>
      <c r="E184" s="122">
        <v>0</v>
      </c>
      <c r="F184" s="123">
        <v>0</v>
      </c>
      <c r="G184" s="123">
        <v>0</v>
      </c>
      <c r="H184" s="130">
        <v>0</v>
      </c>
    </row>
    <row r="185" spans="3:8" ht="13.8" thickBot="1" x14ac:dyDescent="0.3">
      <c r="C185" s="653"/>
      <c r="D185" s="13" t="s">
        <v>188</v>
      </c>
      <c r="E185" s="51" t="s">
        <v>552</v>
      </c>
      <c r="F185" s="14" t="s">
        <v>191</v>
      </c>
      <c r="G185" s="51" t="s">
        <v>252</v>
      </c>
      <c r="H185" s="57" t="s">
        <v>47</v>
      </c>
    </row>
    <row r="186" spans="3:8" ht="15.6" thickBot="1" x14ac:dyDescent="0.3">
      <c r="C186" s="653"/>
      <c r="D186" s="7" t="s">
        <v>189</v>
      </c>
      <c r="E186" s="51" t="s">
        <v>553</v>
      </c>
      <c r="F186" s="8" t="s">
        <v>192</v>
      </c>
      <c r="G186" s="22" t="s">
        <v>268</v>
      </c>
      <c r="H186" s="390" t="s">
        <v>837</v>
      </c>
    </row>
    <row r="187" spans="3:8" ht="13.8" thickBot="1" x14ac:dyDescent="0.3">
      <c r="C187" s="653"/>
      <c r="D187" s="109" t="s">
        <v>190</v>
      </c>
      <c r="E187" s="110" t="s">
        <v>676</v>
      </c>
      <c r="F187" s="111" t="s">
        <v>193</v>
      </c>
      <c r="G187" s="110" t="s">
        <v>676</v>
      </c>
      <c r="H187" s="57" t="s">
        <v>140</v>
      </c>
    </row>
    <row r="188" spans="3:8" ht="13.8" thickBot="1" x14ac:dyDescent="0.3">
      <c r="C188" s="653"/>
      <c r="D188" s="113" t="s">
        <v>139</v>
      </c>
      <c r="E188" s="114">
        <v>69</v>
      </c>
      <c r="F188" s="116" t="str">
        <f>GetCorrelName1($E188)</f>
        <v>IF-NWPL_ROCKY_M</v>
      </c>
      <c r="G188" s="115" t="str">
        <f>GetCorrelName2($E188)</f>
        <v>NGI-SOCAL</v>
      </c>
      <c r="H188" s="118" t="s">
        <v>27</v>
      </c>
    </row>
    <row r="189" spans="3:8" x14ac:dyDescent="0.25">
      <c r="C189" s="652"/>
      <c r="D189" s="657" t="s">
        <v>16</v>
      </c>
      <c r="E189" s="659"/>
      <c r="F189" s="660"/>
      <c r="G189" s="660"/>
      <c r="H189" s="661"/>
    </row>
    <row r="190" spans="3:8" ht="13.8" thickBot="1" x14ac:dyDescent="0.3">
      <c r="C190" s="654"/>
      <c r="D190" s="658"/>
      <c r="E190" s="662"/>
      <c r="F190" s="663"/>
      <c r="G190" s="663"/>
      <c r="H190" s="664"/>
    </row>
    <row r="191" spans="3:8" ht="13.8" thickTop="1" x14ac:dyDescent="0.25"/>
    <row r="209" ht="17.25" customHeight="1" x14ac:dyDescent="0.25"/>
    <row r="210" ht="15.75" customHeight="1" x14ac:dyDescent="0.25"/>
    <row r="211" ht="13.5" customHeight="1" x14ac:dyDescent="0.25"/>
    <row r="212" ht="15.75" customHeight="1" x14ac:dyDescent="0.25"/>
    <row r="213" ht="12.75" customHeight="1" x14ac:dyDescent="0.25"/>
    <row r="214" ht="12.75" customHeight="1" x14ac:dyDescent="0.25"/>
    <row r="215" ht="12.75" customHeight="1" x14ac:dyDescent="0.25"/>
    <row r="216" ht="12.75" customHeight="1" x14ac:dyDescent="0.25"/>
    <row r="217" ht="12.75" customHeight="1" x14ac:dyDescent="0.25"/>
    <row r="218" ht="12.75" customHeight="1" x14ac:dyDescent="0.25"/>
    <row r="219" ht="12.75" customHeight="1" x14ac:dyDescent="0.25"/>
    <row r="220" ht="13.5" customHeight="1" x14ac:dyDescent="0.25"/>
    <row r="221" ht="13.5" customHeight="1" x14ac:dyDescent="0.25"/>
    <row r="222" ht="15.75" customHeight="1" x14ac:dyDescent="0.25"/>
    <row r="223" ht="13.5" customHeight="1" x14ac:dyDescent="0.25"/>
    <row r="224" ht="13.5" customHeight="1" x14ac:dyDescent="0.25"/>
    <row r="225" ht="12.75" customHeight="1" x14ac:dyDescent="0.25"/>
    <row r="226" ht="13.5" customHeight="1" x14ac:dyDescent="0.25"/>
    <row r="227" ht="17.25" customHeight="1" x14ac:dyDescent="0.25"/>
    <row r="228" ht="15.75" customHeight="1" x14ac:dyDescent="0.25"/>
    <row r="229" ht="13.5" customHeight="1" x14ac:dyDescent="0.25"/>
    <row r="230" ht="15.75" customHeight="1" x14ac:dyDescent="0.25"/>
    <row r="231" ht="12.75" customHeight="1" x14ac:dyDescent="0.25"/>
    <row r="232" ht="12.75" customHeight="1" x14ac:dyDescent="0.25"/>
    <row r="233" ht="12.75" customHeight="1" x14ac:dyDescent="0.25"/>
    <row r="234" ht="12.75" customHeight="1" x14ac:dyDescent="0.25"/>
    <row r="235" ht="12.75" customHeight="1" x14ac:dyDescent="0.25"/>
    <row r="236" ht="12.75" customHeight="1" x14ac:dyDescent="0.25"/>
    <row r="237" ht="12.75" customHeight="1" x14ac:dyDescent="0.25"/>
    <row r="238" ht="13.5" customHeight="1" x14ac:dyDescent="0.25"/>
    <row r="239" ht="13.5" customHeight="1" x14ac:dyDescent="0.25"/>
    <row r="240" ht="15.75" customHeight="1" x14ac:dyDescent="0.25"/>
    <row r="241" ht="13.5" customHeight="1" x14ac:dyDescent="0.25"/>
    <row r="242" ht="13.5" customHeight="1" x14ac:dyDescent="0.25"/>
    <row r="243" ht="12.75" customHeight="1" x14ac:dyDescent="0.25"/>
    <row r="244" ht="13.5" customHeight="1" x14ac:dyDescent="0.25"/>
    <row r="245" ht="17.25" customHeight="1" x14ac:dyDescent="0.25"/>
    <row r="246" ht="15.75" customHeight="1" x14ac:dyDescent="0.25"/>
    <row r="247" ht="13.5" customHeight="1" x14ac:dyDescent="0.25"/>
    <row r="248" ht="15.75" customHeight="1" x14ac:dyDescent="0.25"/>
    <row r="249" ht="12.75" customHeight="1" x14ac:dyDescent="0.25"/>
    <row r="250" ht="12.75" customHeight="1" x14ac:dyDescent="0.25"/>
    <row r="251" ht="12.75" customHeight="1" x14ac:dyDescent="0.25"/>
    <row r="252" ht="12.75" customHeight="1" x14ac:dyDescent="0.25"/>
    <row r="253" ht="12.75" customHeight="1" x14ac:dyDescent="0.25"/>
    <row r="254" ht="12.75" customHeight="1" x14ac:dyDescent="0.25"/>
    <row r="255" ht="12.75" customHeight="1" x14ac:dyDescent="0.25"/>
    <row r="256" ht="13.5" customHeight="1" x14ac:dyDescent="0.25"/>
    <row r="257" ht="13.5" customHeight="1" x14ac:dyDescent="0.25"/>
    <row r="258" ht="15.75" customHeight="1" x14ac:dyDescent="0.25"/>
    <row r="259" ht="13.5" customHeight="1" x14ac:dyDescent="0.25"/>
    <row r="260" ht="13.5" customHeight="1" x14ac:dyDescent="0.25"/>
    <row r="261" ht="12.75" customHeight="1" x14ac:dyDescent="0.25"/>
    <row r="262" ht="13.5" customHeight="1" x14ac:dyDescent="0.25"/>
  </sheetData>
  <sheetCalcPr fullCalcOnLoad="1"/>
  <dataConsolidate/>
  <mergeCells count="42">
    <mergeCell ref="C83:C100"/>
    <mergeCell ref="D83:H83"/>
    <mergeCell ref="D99:D100"/>
    <mergeCell ref="E99:H100"/>
    <mergeCell ref="C101:C118"/>
    <mergeCell ref="D101:H101"/>
    <mergeCell ref="D117:D118"/>
    <mergeCell ref="E117:H118"/>
    <mergeCell ref="C47:C64"/>
    <mergeCell ref="D47:H47"/>
    <mergeCell ref="D63:D64"/>
    <mergeCell ref="E63:H64"/>
    <mergeCell ref="C65:C82"/>
    <mergeCell ref="D65:H65"/>
    <mergeCell ref="D81:D82"/>
    <mergeCell ref="E81:H82"/>
    <mergeCell ref="C3:H3"/>
    <mergeCell ref="D9:H9"/>
    <mergeCell ref="C29:C46"/>
    <mergeCell ref="D29:H29"/>
    <mergeCell ref="D45:D46"/>
    <mergeCell ref="E45:H46"/>
    <mergeCell ref="C11:C28"/>
    <mergeCell ref="D11:H11"/>
    <mergeCell ref="D27:D28"/>
    <mergeCell ref="E27:H28"/>
    <mergeCell ref="C137:C154"/>
    <mergeCell ref="D137:H137"/>
    <mergeCell ref="D153:D154"/>
    <mergeCell ref="E153:H154"/>
    <mergeCell ref="C119:C136"/>
    <mergeCell ref="D119:H119"/>
    <mergeCell ref="D135:D136"/>
    <mergeCell ref="E135:H136"/>
    <mergeCell ref="C173:C190"/>
    <mergeCell ref="D173:H173"/>
    <mergeCell ref="D189:D190"/>
    <mergeCell ref="E189:H190"/>
    <mergeCell ref="C155:C172"/>
    <mergeCell ref="D155:H155"/>
    <mergeCell ref="D171:D172"/>
    <mergeCell ref="E171:H172"/>
  </mergeCells>
  <phoneticPr fontId="0" type="noConversion"/>
  <pageMargins left="0.75" right="0.75" top="0.5" bottom="0.5" header="0.5" footer="0.5"/>
  <pageSetup paperSize="5"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2945" r:id="rId4" name="Button 1">
              <controlPr defaultSize="0" print="0" autoFill="0" autoPict="0" macro="[0]!Button11_click">
                <anchor moveWithCells="1" sizeWithCells="1">
                  <from>
                    <xdr:col>4</xdr:col>
                    <xdr:colOff>975360</xdr:colOff>
                    <xdr:row>3</xdr:row>
                    <xdr:rowOff>106680</xdr:rowOff>
                  </from>
                  <to>
                    <xdr:col>5</xdr:col>
                    <xdr:colOff>419100</xdr:colOff>
                    <xdr:row>6</xdr:row>
                    <xdr:rowOff>0</xdr:rowOff>
                  </to>
                </anchor>
              </controlPr>
            </control>
          </mc:Choice>
        </mc:AlternateContent>
        <mc:AlternateContent xmlns:mc="http://schemas.openxmlformats.org/markup-compatibility/2006">
          <mc:Choice Requires="x14">
            <control shapeId="82946" r:id="rId5" name="Button 2">
              <controlPr defaultSize="0" print="0" autoFill="0" autoPict="0" macro="[0]!Button10_Click">
                <anchor moveWithCells="1" sizeWithCells="1">
                  <from>
                    <xdr:col>2</xdr:col>
                    <xdr:colOff>129540</xdr:colOff>
                    <xdr:row>3</xdr:row>
                    <xdr:rowOff>106680</xdr:rowOff>
                  </from>
                  <to>
                    <xdr:col>3</xdr:col>
                    <xdr:colOff>937260</xdr:colOff>
                    <xdr:row>6</xdr:row>
                    <xdr:rowOff>0</xdr:rowOff>
                  </to>
                </anchor>
              </controlPr>
            </control>
          </mc:Choice>
        </mc:AlternateContent>
        <mc:AlternateContent xmlns:mc="http://schemas.openxmlformats.org/markup-compatibility/2006">
          <mc:Choice Requires="x14">
            <control shapeId="82947" r:id="rId6" name="Button 3">
              <controlPr defaultSize="0" print="0" autoFill="0" autoPict="0" macro="[0]!Button18_Click">
                <anchor moveWithCells="1" sizeWithCells="1">
                  <from>
                    <xdr:col>5</xdr:col>
                    <xdr:colOff>1752600</xdr:colOff>
                    <xdr:row>3</xdr:row>
                    <xdr:rowOff>106680</xdr:rowOff>
                  </from>
                  <to>
                    <xdr:col>6</xdr:col>
                    <xdr:colOff>1196340</xdr:colOff>
                    <xdr:row>6</xdr:row>
                    <xdr:rowOff>0</xdr:rowOff>
                  </to>
                </anchor>
              </controlPr>
            </control>
          </mc:Choice>
        </mc:AlternateContent>
        <mc:AlternateContent xmlns:mc="http://schemas.openxmlformats.org/markup-compatibility/2006">
          <mc:Choice Requires="x14">
            <control shapeId="82948" r:id="rId7" name="Button 4">
              <controlPr defaultSize="0" print="0" autoFill="0" autoPict="0">
                <anchor moveWithCells="1" sizeWithCells="1">
                  <from>
                    <xdr:col>7</xdr:col>
                    <xdr:colOff>419100</xdr:colOff>
                    <xdr:row>3</xdr:row>
                    <xdr:rowOff>106680</xdr:rowOff>
                  </from>
                  <to>
                    <xdr:col>7</xdr:col>
                    <xdr:colOff>1965960</xdr:colOff>
                    <xdr:row>6</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1">
    <pageSetUpPr autoPageBreaks="0"/>
  </sheetPr>
  <dimension ref="A1:H407"/>
  <sheetViews>
    <sheetView topLeftCell="A284" zoomScale="80" workbookViewId="0">
      <selection activeCell="I322" sqref="I322"/>
    </sheetView>
  </sheetViews>
  <sheetFormatPr defaultColWidth="9.109375" defaultRowHeight="13.2" x14ac:dyDescent="0.25"/>
  <cols>
    <col min="1" max="2" width="3.6640625" style="23" customWidth="1"/>
    <col min="3" max="3" width="10.6640625" style="23" customWidth="1"/>
    <col min="4" max="4" width="18.6640625" style="23" customWidth="1"/>
    <col min="5" max="8" width="30.6640625" style="23" customWidth="1"/>
    <col min="9" max="9" width="13.88671875" style="23" customWidth="1"/>
    <col min="10" max="10" width="13.6640625" style="23" customWidth="1"/>
    <col min="11" max="16384" width="9.109375" style="23"/>
  </cols>
  <sheetData>
    <row r="1" spans="1:8" x14ac:dyDescent="0.25">
      <c r="A1" s="180" t="s">
        <v>180</v>
      </c>
    </row>
    <row r="2" spans="1:8" ht="13.8" thickBot="1" x14ac:dyDescent="0.3">
      <c r="A2" s="180" t="str">
        <f>ADDRESS(ROW($C$9),COLUMN($C$9))</f>
        <v>$C$9</v>
      </c>
    </row>
    <row r="3" spans="1:8" x14ac:dyDescent="0.25">
      <c r="C3" s="665" t="s">
        <v>241</v>
      </c>
      <c r="D3" s="666"/>
      <c r="E3" s="666"/>
      <c r="F3" s="666"/>
      <c r="G3" s="666"/>
      <c r="H3" s="667"/>
    </row>
    <row r="4" spans="1:8" x14ac:dyDescent="0.25">
      <c r="C4" s="295"/>
      <c r="D4" s="275"/>
      <c r="E4" s="275"/>
      <c r="F4" s="275"/>
      <c r="G4" s="275"/>
      <c r="H4" s="296"/>
    </row>
    <row r="5" spans="1:8" x14ac:dyDescent="0.25">
      <c r="C5" s="295"/>
      <c r="D5" s="275"/>
      <c r="E5" s="275"/>
      <c r="F5" s="275"/>
      <c r="G5" s="275"/>
      <c r="H5" s="296"/>
    </row>
    <row r="6" spans="1:8" x14ac:dyDescent="0.25">
      <c r="C6" s="295"/>
      <c r="D6" s="275"/>
      <c r="E6" s="275"/>
      <c r="F6" s="275"/>
      <c r="G6" s="275"/>
      <c r="H6" s="296"/>
    </row>
    <row r="7" spans="1:8" ht="13.8" thickBot="1" x14ac:dyDescent="0.3">
      <c r="C7" s="297"/>
      <c r="D7" s="298"/>
      <c r="E7" s="298"/>
      <c r="F7" s="298"/>
      <c r="G7" s="298"/>
      <c r="H7" s="299"/>
    </row>
    <row r="8" spans="1:8" ht="13.8" thickBot="1" x14ac:dyDescent="0.3"/>
    <row r="9" spans="1:8" ht="27.6" thickTop="1" thickBot="1" x14ac:dyDescent="0.3">
      <c r="C9" s="24" t="s">
        <v>38</v>
      </c>
      <c r="D9" s="668" t="s">
        <v>14</v>
      </c>
      <c r="E9" s="669"/>
      <c r="F9" s="669"/>
      <c r="G9" s="669"/>
      <c r="H9" s="670"/>
    </row>
    <row r="10" spans="1:8" ht="16.2" thickBot="1" x14ac:dyDescent="0.35">
      <c r="C10" s="211"/>
    </row>
    <row r="11" spans="1:8" ht="16.5" customHeight="1" thickTop="1" thickBot="1" x14ac:dyDescent="0.35">
      <c r="C11" s="651">
        <v>17</v>
      </c>
      <c r="D11" s="655" t="s">
        <v>0</v>
      </c>
      <c r="E11" s="655"/>
      <c r="F11" s="655"/>
      <c r="G11" s="655"/>
      <c r="H11" s="656"/>
    </row>
    <row r="12" spans="1:8" ht="15.75" customHeight="1" x14ac:dyDescent="0.3">
      <c r="C12" s="652"/>
      <c r="D12" s="10" t="s">
        <v>18</v>
      </c>
      <c r="E12" s="12" t="s">
        <v>3</v>
      </c>
      <c r="F12" s="12" t="s">
        <v>4</v>
      </c>
      <c r="G12" s="12" t="s">
        <v>1</v>
      </c>
      <c r="H12" s="15" t="s">
        <v>2</v>
      </c>
    </row>
    <row r="13" spans="1:8" ht="13.5" customHeight="1" thickBot="1" x14ac:dyDescent="0.3">
      <c r="C13" s="652"/>
      <c r="D13" s="11" t="s">
        <v>24</v>
      </c>
      <c r="E13" s="1" t="s">
        <v>558</v>
      </c>
      <c r="F13" s="1" t="s">
        <v>19</v>
      </c>
      <c r="G13" s="2">
        <v>34274</v>
      </c>
      <c r="H13" s="16">
        <v>40117</v>
      </c>
    </row>
    <row r="14" spans="1:8" ht="15.75" customHeight="1" thickBot="1" x14ac:dyDescent="0.3">
      <c r="C14" s="652"/>
      <c r="D14" s="27"/>
      <c r="E14" s="3" t="s">
        <v>6</v>
      </c>
      <c r="F14" s="4" t="s">
        <v>7</v>
      </c>
      <c r="G14" s="4" t="s">
        <v>8</v>
      </c>
      <c r="H14" s="17" t="s">
        <v>9</v>
      </c>
    </row>
    <row r="15" spans="1:8" ht="12.75" customHeight="1" x14ac:dyDescent="0.25">
      <c r="C15" s="652"/>
      <c r="D15" s="9" t="s">
        <v>5</v>
      </c>
      <c r="E15" s="25" t="s">
        <v>212</v>
      </c>
      <c r="F15" s="25" t="s">
        <v>15</v>
      </c>
      <c r="G15" s="25" t="s">
        <v>15</v>
      </c>
      <c r="H15" s="26" t="s">
        <v>15</v>
      </c>
    </row>
    <row r="16" spans="1:8" ht="12.75" customHeight="1" x14ac:dyDescent="0.25">
      <c r="C16" s="652"/>
      <c r="D16" s="6" t="s">
        <v>10</v>
      </c>
      <c r="E16" s="20">
        <v>15000</v>
      </c>
      <c r="F16" s="20">
        <v>0</v>
      </c>
      <c r="G16" s="20">
        <v>0</v>
      </c>
      <c r="H16" s="18">
        <v>0</v>
      </c>
    </row>
    <row r="17" spans="3:8" ht="12.75" customHeight="1" x14ac:dyDescent="0.25">
      <c r="C17" s="652"/>
      <c r="D17" s="6" t="s">
        <v>11</v>
      </c>
      <c r="E17" s="120">
        <v>1.7000000000000001E-2</v>
      </c>
      <c r="F17" s="120">
        <v>0</v>
      </c>
      <c r="G17" s="120">
        <v>0</v>
      </c>
      <c r="H17" s="121">
        <v>0</v>
      </c>
    </row>
    <row r="18" spans="3:8" ht="12.75" customHeight="1" x14ac:dyDescent="0.25">
      <c r="C18" s="652"/>
      <c r="D18" s="6" t="s">
        <v>12</v>
      </c>
      <c r="E18" s="21">
        <v>2.9020000000000001E-2</v>
      </c>
      <c r="F18" s="21">
        <v>0</v>
      </c>
      <c r="G18" s="21">
        <v>0</v>
      </c>
      <c r="H18" s="19">
        <v>0</v>
      </c>
    </row>
    <row r="19" spans="3:8" ht="12.75" customHeight="1" x14ac:dyDescent="0.25">
      <c r="C19" s="652"/>
      <c r="D19" s="6" t="s">
        <v>13</v>
      </c>
      <c r="E19" s="120">
        <v>0.1034539</v>
      </c>
      <c r="F19" s="120">
        <v>0</v>
      </c>
      <c r="G19" s="120">
        <v>0</v>
      </c>
      <c r="H19" s="121">
        <v>0</v>
      </c>
    </row>
    <row r="20" spans="3:8" ht="12.75" customHeight="1" x14ac:dyDescent="0.25">
      <c r="C20" s="653"/>
      <c r="D20" s="5" t="s">
        <v>17</v>
      </c>
      <c r="E20" s="122">
        <v>2.2000000000000001E-3</v>
      </c>
      <c r="F20" s="123">
        <v>0</v>
      </c>
      <c r="G20" s="124">
        <v>0</v>
      </c>
      <c r="H20" s="125">
        <v>0</v>
      </c>
    </row>
    <row r="21" spans="3:8" ht="13.5" customHeight="1" x14ac:dyDescent="0.25">
      <c r="C21" s="653"/>
      <c r="D21" s="50" t="s">
        <v>42</v>
      </c>
      <c r="E21" s="126">
        <v>0</v>
      </c>
      <c r="F21" s="127">
        <v>0</v>
      </c>
      <c r="G21" s="128">
        <v>0</v>
      </c>
      <c r="H21" s="129">
        <v>0</v>
      </c>
    </row>
    <row r="22" spans="3:8" ht="13.5" customHeight="1" thickBot="1" x14ac:dyDescent="0.3">
      <c r="C22" s="653"/>
      <c r="D22" s="5" t="s">
        <v>43</v>
      </c>
      <c r="E22" s="122">
        <v>-0.03</v>
      </c>
      <c r="F22" s="123">
        <v>0</v>
      </c>
      <c r="G22" s="123">
        <v>0</v>
      </c>
      <c r="H22" s="130">
        <v>0</v>
      </c>
    </row>
    <row r="23" spans="3:8" ht="13.5" customHeight="1" x14ac:dyDescent="0.25">
      <c r="C23" s="653"/>
      <c r="D23" s="13" t="s">
        <v>188</v>
      </c>
      <c r="E23" s="51" t="s">
        <v>535</v>
      </c>
      <c r="F23" s="14" t="s">
        <v>191</v>
      </c>
      <c r="G23" s="107" t="s">
        <v>537</v>
      </c>
      <c r="H23" s="57" t="s">
        <v>47</v>
      </c>
    </row>
    <row r="24" spans="3:8" ht="13.5" customHeight="1" thickBot="1" x14ac:dyDescent="0.3">
      <c r="C24" s="653"/>
      <c r="D24" s="7" t="s">
        <v>189</v>
      </c>
      <c r="E24" s="22" t="s">
        <v>536</v>
      </c>
      <c r="F24" s="8" t="s">
        <v>192</v>
      </c>
      <c r="G24" s="108" t="s">
        <v>538</v>
      </c>
      <c r="H24" s="117" t="s">
        <v>184</v>
      </c>
    </row>
    <row r="25" spans="3:8" ht="13.5" customHeight="1" thickBot="1" x14ac:dyDescent="0.3">
      <c r="C25" s="653"/>
      <c r="D25" s="109" t="s">
        <v>190</v>
      </c>
      <c r="E25" s="110" t="s">
        <v>144</v>
      </c>
      <c r="F25" s="111" t="s">
        <v>193</v>
      </c>
      <c r="G25" s="112" t="s">
        <v>22</v>
      </c>
      <c r="H25" s="57" t="s">
        <v>140</v>
      </c>
    </row>
    <row r="26" spans="3:8" ht="13.5" customHeight="1" thickBot="1" x14ac:dyDescent="0.3">
      <c r="C26" s="653"/>
      <c r="D26" s="113" t="s">
        <v>139</v>
      </c>
      <c r="E26" s="114">
        <v>2</v>
      </c>
      <c r="F26" s="116" t="str">
        <f>GetCorrelName1($E26)</f>
        <v>IF-COLGUL/RAYNE</v>
      </c>
      <c r="G26" s="115" t="str">
        <f>GetCorrelName2($E26)</f>
        <v>IF-CGT/APPALAC</v>
      </c>
      <c r="H26" s="118" t="s">
        <v>143</v>
      </c>
    </row>
    <row r="27" spans="3:8" ht="13.5" customHeight="1" x14ac:dyDescent="0.25">
      <c r="C27" s="652"/>
      <c r="D27" s="657" t="s">
        <v>16</v>
      </c>
      <c r="E27" s="659" t="s">
        <v>23</v>
      </c>
      <c r="F27" s="660"/>
      <c r="G27" s="660"/>
      <c r="H27" s="661"/>
    </row>
    <row r="28" spans="3:8" ht="13.5" customHeight="1" thickBot="1" x14ac:dyDescent="0.3">
      <c r="C28" s="654"/>
      <c r="D28" s="658"/>
      <c r="E28" s="662"/>
      <c r="F28" s="663"/>
      <c r="G28" s="663"/>
      <c r="H28" s="664"/>
    </row>
    <row r="29" spans="3:8" ht="16.5" customHeight="1" thickTop="1" thickBot="1" x14ac:dyDescent="0.35">
      <c r="C29" s="651">
        <v>19</v>
      </c>
      <c r="D29" s="655" t="s">
        <v>0</v>
      </c>
      <c r="E29" s="655"/>
      <c r="F29" s="655"/>
      <c r="G29" s="655"/>
      <c r="H29" s="656"/>
    </row>
    <row r="30" spans="3:8" ht="15.75" customHeight="1" x14ac:dyDescent="0.3">
      <c r="C30" s="652"/>
      <c r="D30" s="10"/>
      <c r="E30" s="12" t="s">
        <v>3</v>
      </c>
      <c r="F30" s="12" t="s">
        <v>4</v>
      </c>
      <c r="G30" s="12" t="s">
        <v>1</v>
      </c>
      <c r="H30" s="15" t="s">
        <v>2</v>
      </c>
    </row>
    <row r="31" spans="3:8" ht="13.5" customHeight="1" thickBot="1" x14ac:dyDescent="0.3">
      <c r="C31" s="652"/>
      <c r="D31" s="11" t="s">
        <v>24</v>
      </c>
      <c r="E31" s="1" t="s">
        <v>557</v>
      </c>
      <c r="F31" s="1" t="s">
        <v>558</v>
      </c>
      <c r="G31" s="2">
        <v>36526</v>
      </c>
      <c r="H31" s="16">
        <v>37955</v>
      </c>
    </row>
    <row r="32" spans="3:8" ht="15.75" customHeight="1" thickBot="1" x14ac:dyDescent="0.3">
      <c r="C32" s="652"/>
      <c r="D32" s="27"/>
      <c r="E32" s="3" t="s">
        <v>6</v>
      </c>
      <c r="F32" s="4" t="s">
        <v>7</v>
      </c>
      <c r="G32" s="4" t="s">
        <v>8</v>
      </c>
      <c r="H32" s="17" t="s">
        <v>9</v>
      </c>
    </row>
    <row r="33" spans="3:8" ht="12.75" customHeight="1" x14ac:dyDescent="0.25">
      <c r="C33" s="652"/>
      <c r="D33" s="9" t="s">
        <v>5</v>
      </c>
      <c r="E33" s="25" t="s">
        <v>212</v>
      </c>
      <c r="F33" s="25" t="s">
        <v>15</v>
      </c>
      <c r="G33" s="25" t="s">
        <v>15</v>
      </c>
      <c r="H33" s="26" t="s">
        <v>15</v>
      </c>
    </row>
    <row r="34" spans="3:8" ht="12.75" customHeight="1" x14ac:dyDescent="0.25">
      <c r="C34" s="652"/>
      <c r="D34" s="6" t="s">
        <v>10</v>
      </c>
      <c r="E34" s="20">
        <v>40000</v>
      </c>
      <c r="F34" s="20">
        <v>0</v>
      </c>
      <c r="G34" s="20">
        <v>0</v>
      </c>
      <c r="H34" s="18">
        <v>0</v>
      </c>
    </row>
    <row r="35" spans="3:8" ht="12.75" customHeight="1" x14ac:dyDescent="0.25">
      <c r="C35" s="652"/>
      <c r="D35" s="6" t="s">
        <v>11</v>
      </c>
      <c r="E35" s="120">
        <v>1.6999999999999999E-3</v>
      </c>
      <c r="F35" s="120">
        <v>0</v>
      </c>
      <c r="G35" s="120">
        <v>0</v>
      </c>
      <c r="H35" s="121">
        <v>0</v>
      </c>
    </row>
    <row r="36" spans="3:8" ht="12.75" customHeight="1" x14ac:dyDescent="0.25">
      <c r="C36" s="652"/>
      <c r="D36" s="6" t="s">
        <v>12</v>
      </c>
      <c r="E36" s="21">
        <v>6.9699999999999996E-3</v>
      </c>
      <c r="F36" s="21">
        <v>0</v>
      </c>
      <c r="G36" s="21">
        <v>0</v>
      </c>
      <c r="H36" s="19">
        <v>0</v>
      </c>
    </row>
    <row r="37" spans="3:8" ht="12.75" customHeight="1" x14ac:dyDescent="0.25">
      <c r="C37" s="652"/>
      <c r="D37" s="6" t="s">
        <v>13</v>
      </c>
      <c r="E37" s="120">
        <v>4.1399999999999999E-2</v>
      </c>
      <c r="F37" s="120">
        <v>0</v>
      </c>
      <c r="G37" s="120">
        <v>0</v>
      </c>
      <c r="H37" s="121">
        <v>0</v>
      </c>
    </row>
    <row r="38" spans="3:8" ht="12.75" customHeight="1" x14ac:dyDescent="0.25">
      <c r="C38" s="653"/>
      <c r="D38" s="5" t="s">
        <v>17</v>
      </c>
      <c r="E38" s="122">
        <v>2.2000000000000001E-3</v>
      </c>
      <c r="F38" s="123">
        <v>0</v>
      </c>
      <c r="G38" s="124">
        <v>0</v>
      </c>
      <c r="H38" s="125">
        <v>0</v>
      </c>
    </row>
    <row r="39" spans="3:8" ht="13.5" customHeight="1" x14ac:dyDescent="0.25">
      <c r="C39" s="653"/>
      <c r="D39" s="50" t="s">
        <v>42</v>
      </c>
      <c r="E39" s="126">
        <v>0</v>
      </c>
      <c r="F39" s="127">
        <v>0</v>
      </c>
      <c r="G39" s="128">
        <v>0</v>
      </c>
      <c r="H39" s="129">
        <v>0</v>
      </c>
    </row>
    <row r="40" spans="3:8" ht="13.5" customHeight="1" thickBot="1" x14ac:dyDescent="0.3">
      <c r="C40" s="653"/>
      <c r="D40" s="5" t="s">
        <v>43</v>
      </c>
      <c r="E40" s="122">
        <v>0</v>
      </c>
      <c r="F40" s="123">
        <v>0</v>
      </c>
      <c r="G40" s="123">
        <v>0</v>
      </c>
      <c r="H40" s="130">
        <v>0</v>
      </c>
    </row>
    <row r="41" spans="3:8" ht="13.5" customHeight="1" x14ac:dyDescent="0.25">
      <c r="C41" s="653"/>
      <c r="D41" s="13" t="s">
        <v>188</v>
      </c>
      <c r="E41" s="51" t="s">
        <v>539</v>
      </c>
      <c r="F41" s="14" t="s">
        <v>191</v>
      </c>
      <c r="G41" s="107" t="s">
        <v>535</v>
      </c>
      <c r="H41" s="57" t="s">
        <v>47</v>
      </c>
    </row>
    <row r="42" spans="3:8" ht="13.5" customHeight="1" thickBot="1" x14ac:dyDescent="0.3">
      <c r="C42" s="653"/>
      <c r="D42" s="7" t="s">
        <v>189</v>
      </c>
      <c r="E42" s="22" t="s">
        <v>540</v>
      </c>
      <c r="F42" s="8" t="s">
        <v>192</v>
      </c>
      <c r="G42" s="108" t="s">
        <v>536</v>
      </c>
      <c r="H42" s="117" t="s">
        <v>184</v>
      </c>
    </row>
    <row r="43" spans="3:8" ht="13.5" customHeight="1" thickBot="1" x14ac:dyDescent="0.3">
      <c r="C43" s="653"/>
      <c r="D43" s="109" t="s">
        <v>190</v>
      </c>
      <c r="E43" s="110" t="s">
        <v>144</v>
      </c>
      <c r="F43" s="111" t="s">
        <v>193</v>
      </c>
      <c r="G43" s="112" t="s">
        <v>144</v>
      </c>
      <c r="H43" s="57" t="s">
        <v>140</v>
      </c>
    </row>
    <row r="44" spans="3:8" ht="13.5" customHeight="1" thickBot="1" x14ac:dyDescent="0.3">
      <c r="C44" s="653"/>
      <c r="D44" s="113" t="s">
        <v>139</v>
      </c>
      <c r="E44" s="114">
        <v>40</v>
      </c>
      <c r="F44" s="116" t="str">
        <f>GetCorrelName1($E44)</f>
        <v>IF-COLGULF/LA</v>
      </c>
      <c r="G44" s="115" t="str">
        <f>GetCorrelName2($E44)</f>
        <v>IF-COLGUL/RAYNE</v>
      </c>
      <c r="H44" s="118" t="s">
        <v>143</v>
      </c>
    </row>
    <row r="45" spans="3:8" ht="13.5" customHeight="1" x14ac:dyDescent="0.25">
      <c r="C45" s="652"/>
      <c r="D45" s="657" t="s">
        <v>16</v>
      </c>
      <c r="E45" s="659" t="s">
        <v>23</v>
      </c>
      <c r="F45" s="660"/>
      <c r="G45" s="660"/>
      <c r="H45" s="661"/>
    </row>
    <row r="46" spans="3:8" ht="13.5" customHeight="1" thickBot="1" x14ac:dyDescent="0.3">
      <c r="C46" s="654"/>
      <c r="D46" s="658"/>
      <c r="E46" s="662"/>
      <c r="F46" s="663"/>
      <c r="G46" s="663"/>
      <c r="H46" s="664"/>
    </row>
    <row r="47" spans="3:8" ht="16.5" customHeight="1" thickTop="1" thickBot="1" x14ac:dyDescent="0.35">
      <c r="C47" s="651">
        <v>20</v>
      </c>
      <c r="D47" s="655" t="s">
        <v>0</v>
      </c>
      <c r="E47" s="655"/>
      <c r="F47" s="655"/>
      <c r="G47" s="655"/>
      <c r="H47" s="656"/>
    </row>
    <row r="48" spans="3:8" ht="15.75" customHeight="1" x14ac:dyDescent="0.3">
      <c r="C48" s="652"/>
      <c r="D48" s="10"/>
      <c r="E48" s="12" t="s">
        <v>3</v>
      </c>
      <c r="F48" s="12" t="s">
        <v>4</v>
      </c>
      <c r="G48" s="12" t="s">
        <v>1</v>
      </c>
      <c r="H48" s="15" t="s">
        <v>2</v>
      </c>
    </row>
    <row r="49" spans="3:8" ht="13.5" customHeight="1" thickBot="1" x14ac:dyDescent="0.3">
      <c r="C49" s="652"/>
      <c r="D49" s="11" t="s">
        <v>24</v>
      </c>
      <c r="E49" s="1" t="s">
        <v>557</v>
      </c>
      <c r="F49" s="1" t="s">
        <v>558</v>
      </c>
      <c r="G49" s="2">
        <v>36526</v>
      </c>
      <c r="H49" s="16">
        <v>38291</v>
      </c>
    </row>
    <row r="50" spans="3:8" ht="15.75" customHeight="1" thickBot="1" x14ac:dyDescent="0.3">
      <c r="C50" s="652"/>
      <c r="D50" s="27"/>
      <c r="E50" s="3" t="s">
        <v>6</v>
      </c>
      <c r="F50" s="4" t="s">
        <v>7</v>
      </c>
      <c r="G50" s="4" t="s">
        <v>8</v>
      </c>
      <c r="H50" s="17" t="s">
        <v>9</v>
      </c>
    </row>
    <row r="51" spans="3:8" ht="12.75" customHeight="1" x14ac:dyDescent="0.25">
      <c r="C51" s="652"/>
      <c r="D51" s="9" t="s">
        <v>5</v>
      </c>
      <c r="E51" s="25" t="s">
        <v>212</v>
      </c>
      <c r="F51" s="25" t="s">
        <v>15</v>
      </c>
      <c r="G51" s="25" t="s">
        <v>15</v>
      </c>
      <c r="H51" s="26" t="s">
        <v>15</v>
      </c>
    </row>
    <row r="52" spans="3:8" ht="12.75" customHeight="1" x14ac:dyDescent="0.25">
      <c r="C52" s="652"/>
      <c r="D52" s="6" t="s">
        <v>10</v>
      </c>
      <c r="E52" s="20">
        <v>25654</v>
      </c>
      <c r="F52" s="20">
        <v>0</v>
      </c>
      <c r="G52" s="20">
        <v>0</v>
      </c>
      <c r="H52" s="18">
        <v>0</v>
      </c>
    </row>
    <row r="53" spans="3:8" ht="12.75" customHeight="1" x14ac:dyDescent="0.25">
      <c r="C53" s="652"/>
      <c r="D53" s="6" t="s">
        <v>11</v>
      </c>
      <c r="E53" s="120">
        <v>1.6999999999999999E-3</v>
      </c>
      <c r="F53" s="120">
        <v>0</v>
      </c>
      <c r="G53" s="120">
        <v>0</v>
      </c>
      <c r="H53" s="121">
        <v>0</v>
      </c>
    </row>
    <row r="54" spans="3:8" ht="12.75" customHeight="1" x14ac:dyDescent="0.25">
      <c r="C54" s="652"/>
      <c r="D54" s="6" t="s">
        <v>12</v>
      </c>
      <c r="E54" s="21">
        <v>6.9699999999999996E-3</v>
      </c>
      <c r="F54" s="21">
        <v>0</v>
      </c>
      <c r="G54" s="21">
        <v>0</v>
      </c>
      <c r="H54" s="19">
        <v>0</v>
      </c>
    </row>
    <row r="55" spans="3:8" ht="12.75" customHeight="1" x14ac:dyDescent="0.25">
      <c r="C55" s="652"/>
      <c r="D55" s="6" t="s">
        <v>13</v>
      </c>
      <c r="E55" s="120">
        <v>4.1399999999999999E-2</v>
      </c>
      <c r="F55" s="120">
        <v>0</v>
      </c>
      <c r="G55" s="120">
        <v>0</v>
      </c>
      <c r="H55" s="121">
        <v>0</v>
      </c>
    </row>
    <row r="56" spans="3:8" ht="12.75" customHeight="1" x14ac:dyDescent="0.25">
      <c r="C56" s="653"/>
      <c r="D56" s="5" t="s">
        <v>17</v>
      </c>
      <c r="E56" s="122">
        <v>2.2000000000000001E-3</v>
      </c>
      <c r="F56" s="123">
        <v>0</v>
      </c>
      <c r="G56" s="124">
        <v>0</v>
      </c>
      <c r="H56" s="125">
        <v>0</v>
      </c>
    </row>
    <row r="57" spans="3:8" ht="13.5" customHeight="1" x14ac:dyDescent="0.25">
      <c r="C57" s="653"/>
      <c r="D57" s="50" t="s">
        <v>42</v>
      </c>
      <c r="E57" s="126">
        <v>0</v>
      </c>
      <c r="F57" s="127">
        <v>0</v>
      </c>
      <c r="G57" s="128">
        <v>0</v>
      </c>
      <c r="H57" s="129">
        <v>0</v>
      </c>
    </row>
    <row r="58" spans="3:8" ht="13.5" customHeight="1" thickBot="1" x14ac:dyDescent="0.3">
      <c r="C58" s="653"/>
      <c r="D58" s="5" t="s">
        <v>43</v>
      </c>
      <c r="E58" s="122">
        <v>0</v>
      </c>
      <c r="F58" s="123">
        <v>0</v>
      </c>
      <c r="G58" s="123">
        <v>0</v>
      </c>
      <c r="H58" s="130">
        <v>0</v>
      </c>
    </row>
    <row r="59" spans="3:8" ht="13.5" customHeight="1" x14ac:dyDescent="0.25">
      <c r="C59" s="653"/>
      <c r="D59" s="13" t="s">
        <v>188</v>
      </c>
      <c r="E59" s="51" t="s">
        <v>539</v>
      </c>
      <c r="F59" s="14" t="s">
        <v>191</v>
      </c>
      <c r="G59" s="107" t="s">
        <v>535</v>
      </c>
      <c r="H59" s="57" t="s">
        <v>47</v>
      </c>
    </row>
    <row r="60" spans="3:8" ht="13.5" customHeight="1" thickBot="1" x14ac:dyDescent="0.3">
      <c r="C60" s="653"/>
      <c r="D60" s="7" t="s">
        <v>189</v>
      </c>
      <c r="E60" s="22" t="s">
        <v>540</v>
      </c>
      <c r="F60" s="8" t="s">
        <v>192</v>
      </c>
      <c r="G60" s="108" t="s">
        <v>536</v>
      </c>
      <c r="H60" s="117" t="s">
        <v>184</v>
      </c>
    </row>
    <row r="61" spans="3:8" ht="13.5" customHeight="1" thickBot="1" x14ac:dyDescent="0.3">
      <c r="C61" s="653"/>
      <c r="D61" s="109" t="s">
        <v>190</v>
      </c>
      <c r="E61" s="110" t="s">
        <v>144</v>
      </c>
      <c r="F61" s="111" t="s">
        <v>193</v>
      </c>
      <c r="G61" s="112" t="s">
        <v>144</v>
      </c>
      <c r="H61" s="57" t="s">
        <v>140</v>
      </c>
    </row>
    <row r="62" spans="3:8" ht="13.5" customHeight="1" thickBot="1" x14ac:dyDescent="0.3">
      <c r="C62" s="653"/>
      <c r="D62" s="113" t="s">
        <v>139</v>
      </c>
      <c r="E62" s="114">
        <v>40</v>
      </c>
      <c r="F62" s="116" t="str">
        <f>GetCorrelName1($E62)</f>
        <v>IF-COLGULF/LA</v>
      </c>
      <c r="G62" s="115" t="str">
        <f>GetCorrelName2($E62)</f>
        <v>IF-COLGUL/RAYNE</v>
      </c>
      <c r="H62" s="118" t="s">
        <v>143</v>
      </c>
    </row>
    <row r="63" spans="3:8" ht="13.5" customHeight="1" x14ac:dyDescent="0.25">
      <c r="C63" s="652"/>
      <c r="D63" s="657" t="s">
        <v>16</v>
      </c>
      <c r="E63" s="659" t="s">
        <v>23</v>
      </c>
      <c r="F63" s="660"/>
      <c r="G63" s="660"/>
      <c r="H63" s="661"/>
    </row>
    <row r="64" spans="3:8" ht="13.5" customHeight="1" thickBot="1" x14ac:dyDescent="0.3">
      <c r="C64" s="654"/>
      <c r="D64" s="658"/>
      <c r="E64" s="662"/>
      <c r="F64" s="663"/>
      <c r="G64" s="663"/>
      <c r="H64" s="664"/>
    </row>
    <row r="65" spans="3:8" ht="17.25" customHeight="1" thickTop="1" thickBot="1" x14ac:dyDescent="0.35">
      <c r="C65" s="651">
        <v>21</v>
      </c>
      <c r="D65" s="655" t="s">
        <v>0</v>
      </c>
      <c r="E65" s="655"/>
      <c r="F65" s="655"/>
      <c r="G65" s="655"/>
      <c r="H65" s="656"/>
    </row>
    <row r="66" spans="3:8" ht="15.75" customHeight="1" x14ac:dyDescent="0.3">
      <c r="C66" s="652"/>
      <c r="D66" s="10" t="s">
        <v>520</v>
      </c>
      <c r="E66" s="12" t="s">
        <v>3</v>
      </c>
      <c r="F66" s="12" t="s">
        <v>4</v>
      </c>
      <c r="G66" s="12" t="s">
        <v>1</v>
      </c>
      <c r="H66" s="15" t="s">
        <v>2</v>
      </c>
    </row>
    <row r="67" spans="3:8" ht="13.5" customHeight="1" thickBot="1" x14ac:dyDescent="0.3">
      <c r="C67" s="652"/>
      <c r="D67" s="11" t="s">
        <v>24</v>
      </c>
      <c r="E67" s="1" t="s">
        <v>558</v>
      </c>
      <c r="F67" s="1" t="s">
        <v>19</v>
      </c>
      <c r="G67" s="2">
        <v>36526</v>
      </c>
      <c r="H67" s="16">
        <v>38472</v>
      </c>
    </row>
    <row r="68" spans="3:8" ht="15.75" customHeight="1" thickBot="1" x14ac:dyDescent="0.3">
      <c r="C68" s="652"/>
      <c r="D68" s="27"/>
      <c r="E68" s="3" t="s">
        <v>6</v>
      </c>
      <c r="F68" s="4" t="s">
        <v>7</v>
      </c>
      <c r="G68" s="4" t="s">
        <v>8</v>
      </c>
      <c r="H68" s="17" t="s">
        <v>9</v>
      </c>
    </row>
    <row r="69" spans="3:8" ht="12.75" customHeight="1" x14ac:dyDescent="0.25">
      <c r="C69" s="652"/>
      <c r="D69" s="9" t="s">
        <v>5</v>
      </c>
      <c r="E69" s="25" t="s">
        <v>212</v>
      </c>
      <c r="F69" s="25" t="s">
        <v>15</v>
      </c>
      <c r="G69" s="25" t="s">
        <v>15</v>
      </c>
      <c r="H69" s="26" t="s">
        <v>15</v>
      </c>
    </row>
    <row r="70" spans="3:8" ht="12.75" customHeight="1" x14ac:dyDescent="0.25">
      <c r="C70" s="652"/>
      <c r="D70" s="6" t="s">
        <v>10</v>
      </c>
      <c r="E70" s="20">
        <v>15000</v>
      </c>
      <c r="F70" s="20">
        <v>0</v>
      </c>
      <c r="G70" s="20">
        <v>0</v>
      </c>
      <c r="H70" s="18">
        <v>0</v>
      </c>
    </row>
    <row r="71" spans="3:8" ht="12.75" customHeight="1" x14ac:dyDescent="0.25">
      <c r="C71" s="652"/>
      <c r="D71" s="6" t="s">
        <v>11</v>
      </c>
      <c r="E71" s="120">
        <v>1.7000000000000001E-2</v>
      </c>
      <c r="F71" s="120">
        <v>0</v>
      </c>
      <c r="G71" s="120">
        <v>0</v>
      </c>
      <c r="H71" s="121">
        <v>0</v>
      </c>
    </row>
    <row r="72" spans="3:8" ht="12.75" customHeight="1" x14ac:dyDescent="0.25">
      <c r="C72" s="652"/>
      <c r="D72" s="6" t="s">
        <v>12</v>
      </c>
      <c r="E72" s="21">
        <v>2.9020000000000001E-2</v>
      </c>
      <c r="F72" s="21">
        <v>0</v>
      </c>
      <c r="G72" s="21">
        <v>0</v>
      </c>
      <c r="H72" s="19">
        <v>0</v>
      </c>
    </row>
    <row r="73" spans="3:8" ht="12.75" customHeight="1" x14ac:dyDescent="0.25">
      <c r="C73" s="652"/>
      <c r="D73" s="6" t="s">
        <v>13</v>
      </c>
      <c r="E73" s="120">
        <v>0.11</v>
      </c>
      <c r="F73" s="120">
        <v>0</v>
      </c>
      <c r="G73" s="120">
        <v>0</v>
      </c>
      <c r="H73" s="121">
        <v>0</v>
      </c>
    </row>
    <row r="74" spans="3:8" ht="12.75" customHeight="1" x14ac:dyDescent="0.25">
      <c r="C74" s="653"/>
      <c r="D74" s="5" t="s">
        <v>17</v>
      </c>
      <c r="E74" s="122">
        <v>2.2000000000000001E-3</v>
      </c>
      <c r="F74" s="123">
        <v>0</v>
      </c>
      <c r="G74" s="124">
        <v>0</v>
      </c>
      <c r="H74" s="125">
        <v>0</v>
      </c>
    </row>
    <row r="75" spans="3:8" ht="12.75" customHeight="1" x14ac:dyDescent="0.25">
      <c r="C75" s="653"/>
      <c r="D75" s="50" t="s">
        <v>42</v>
      </c>
      <c r="E75" s="126">
        <v>0</v>
      </c>
      <c r="F75" s="127">
        <v>0</v>
      </c>
      <c r="G75" s="128">
        <v>0</v>
      </c>
      <c r="H75" s="129">
        <v>0</v>
      </c>
    </row>
    <row r="76" spans="3:8" ht="13.5" customHeight="1" thickBot="1" x14ac:dyDescent="0.3">
      <c r="C76" s="653"/>
      <c r="D76" s="5" t="s">
        <v>43</v>
      </c>
      <c r="E76" s="122">
        <v>-0.03</v>
      </c>
      <c r="F76" s="123">
        <v>0</v>
      </c>
      <c r="G76" s="123">
        <v>0</v>
      </c>
      <c r="H76" s="130">
        <v>0</v>
      </c>
    </row>
    <row r="77" spans="3:8" ht="12.75" customHeight="1" x14ac:dyDescent="0.25">
      <c r="C77" s="653"/>
      <c r="D77" s="13" t="s">
        <v>188</v>
      </c>
      <c r="E77" s="51" t="s">
        <v>535</v>
      </c>
      <c r="F77" s="14" t="s">
        <v>191</v>
      </c>
      <c r="G77" s="107" t="s">
        <v>537</v>
      </c>
      <c r="H77" s="57" t="s">
        <v>47</v>
      </c>
    </row>
    <row r="78" spans="3:8" ht="15.75" customHeight="1" thickBot="1" x14ac:dyDescent="0.3">
      <c r="C78" s="653"/>
      <c r="D78" s="7" t="s">
        <v>189</v>
      </c>
      <c r="E78" s="22" t="s">
        <v>536</v>
      </c>
      <c r="F78" s="8" t="s">
        <v>192</v>
      </c>
      <c r="G78" s="108" t="s">
        <v>538</v>
      </c>
      <c r="H78" s="117" t="s">
        <v>184</v>
      </c>
    </row>
    <row r="79" spans="3:8" ht="13.5" customHeight="1" thickBot="1" x14ac:dyDescent="0.3">
      <c r="C79" s="653"/>
      <c r="D79" s="109" t="s">
        <v>190</v>
      </c>
      <c r="E79" s="110" t="s">
        <v>144</v>
      </c>
      <c r="F79" s="111" t="s">
        <v>193</v>
      </c>
      <c r="G79" s="112" t="s">
        <v>22</v>
      </c>
      <c r="H79" s="57" t="s">
        <v>140</v>
      </c>
    </row>
    <row r="80" spans="3:8" ht="13.5" customHeight="1" thickBot="1" x14ac:dyDescent="0.3">
      <c r="C80" s="653"/>
      <c r="D80" s="113" t="s">
        <v>139</v>
      </c>
      <c r="E80" s="114">
        <v>2</v>
      </c>
      <c r="F80" s="116" t="str">
        <f>GetCorrelName1($E80)</f>
        <v>IF-COLGUL/RAYNE</v>
      </c>
      <c r="G80" s="115" t="str">
        <f>GetCorrelName2($E80)</f>
        <v>IF-CGT/APPALAC</v>
      </c>
      <c r="H80" s="118" t="s">
        <v>143</v>
      </c>
    </row>
    <row r="81" spans="3:8" ht="12.75" customHeight="1" x14ac:dyDescent="0.25">
      <c r="C81" s="652"/>
      <c r="D81" s="657" t="s">
        <v>16</v>
      </c>
      <c r="E81" s="659" t="s">
        <v>23</v>
      </c>
      <c r="F81" s="660"/>
      <c r="G81" s="660"/>
      <c r="H81" s="661"/>
    </row>
    <row r="82" spans="3:8" ht="13.5" customHeight="1" thickBot="1" x14ac:dyDescent="0.3">
      <c r="C82" s="654"/>
      <c r="D82" s="658"/>
      <c r="E82" s="662"/>
      <c r="F82" s="663"/>
      <c r="G82" s="663"/>
      <c r="H82" s="664"/>
    </row>
    <row r="83" spans="3:8" ht="17.25" customHeight="1" thickTop="1" thickBot="1" x14ac:dyDescent="0.35">
      <c r="C83" s="651">
        <v>24</v>
      </c>
      <c r="D83" s="655" t="s">
        <v>0</v>
      </c>
      <c r="E83" s="655"/>
      <c r="F83" s="655"/>
      <c r="G83" s="655"/>
      <c r="H83" s="656"/>
    </row>
    <row r="84" spans="3:8" ht="15.75" customHeight="1" x14ac:dyDescent="0.3">
      <c r="C84" s="652"/>
      <c r="D84" s="10"/>
      <c r="E84" s="12" t="s">
        <v>3</v>
      </c>
      <c r="F84" s="12" t="s">
        <v>4</v>
      </c>
      <c r="G84" s="12" t="s">
        <v>1</v>
      </c>
      <c r="H84" s="15" t="s">
        <v>2</v>
      </c>
    </row>
    <row r="85" spans="3:8" ht="13.5" customHeight="1" thickBot="1" x14ac:dyDescent="0.3">
      <c r="C85" s="652"/>
      <c r="D85" s="11" t="s">
        <v>24</v>
      </c>
      <c r="E85" s="1" t="s">
        <v>558</v>
      </c>
      <c r="F85" s="1" t="s">
        <v>19</v>
      </c>
      <c r="G85" s="2">
        <v>36526</v>
      </c>
      <c r="H85" s="16">
        <v>37346</v>
      </c>
    </row>
    <row r="86" spans="3:8" ht="15.75" customHeight="1" thickBot="1" x14ac:dyDescent="0.3">
      <c r="C86" s="652"/>
      <c r="D86" s="27"/>
      <c r="E86" s="3" t="s">
        <v>6</v>
      </c>
      <c r="F86" s="4" t="s">
        <v>7</v>
      </c>
      <c r="G86" s="4" t="s">
        <v>8</v>
      </c>
      <c r="H86" s="17" t="s">
        <v>9</v>
      </c>
    </row>
    <row r="87" spans="3:8" ht="12.75" customHeight="1" x14ac:dyDescent="0.25">
      <c r="C87" s="652"/>
      <c r="D87" s="9" t="s">
        <v>5</v>
      </c>
      <c r="E87" s="25" t="s">
        <v>212</v>
      </c>
      <c r="F87" s="25" t="s">
        <v>15</v>
      </c>
      <c r="G87" s="25" t="s">
        <v>15</v>
      </c>
      <c r="H87" s="26" t="s">
        <v>15</v>
      </c>
    </row>
    <row r="88" spans="3:8" ht="12.75" customHeight="1" x14ac:dyDescent="0.25">
      <c r="C88" s="652"/>
      <c r="D88" s="6" t="s">
        <v>10</v>
      </c>
      <c r="E88" s="20">
        <v>30000</v>
      </c>
      <c r="F88" s="20">
        <v>0</v>
      </c>
      <c r="G88" s="20">
        <v>0</v>
      </c>
      <c r="H88" s="18">
        <v>0</v>
      </c>
    </row>
    <row r="89" spans="3:8" ht="12.75" customHeight="1" x14ac:dyDescent="0.25">
      <c r="C89" s="652"/>
      <c r="D89" s="6" t="s">
        <v>11</v>
      </c>
      <c r="E89" s="120">
        <v>1.7000000000000001E-2</v>
      </c>
      <c r="F89" s="120">
        <v>0</v>
      </c>
      <c r="G89" s="120">
        <v>0</v>
      </c>
      <c r="H89" s="121">
        <v>0</v>
      </c>
    </row>
    <row r="90" spans="3:8" ht="12.75" customHeight="1" x14ac:dyDescent="0.25">
      <c r="C90" s="652"/>
      <c r="D90" s="6" t="s">
        <v>12</v>
      </c>
      <c r="E90" s="21">
        <v>2.9020000000000001E-2</v>
      </c>
      <c r="F90" s="21">
        <v>0</v>
      </c>
      <c r="G90" s="21">
        <v>0</v>
      </c>
      <c r="H90" s="19">
        <v>0</v>
      </c>
    </row>
    <row r="91" spans="3:8" ht="12.75" customHeight="1" x14ac:dyDescent="0.25">
      <c r="C91" s="652"/>
      <c r="D91" s="6" t="s">
        <v>13</v>
      </c>
      <c r="E91" s="120">
        <v>0.11</v>
      </c>
      <c r="F91" s="120">
        <v>0</v>
      </c>
      <c r="G91" s="120">
        <v>0</v>
      </c>
      <c r="H91" s="121">
        <v>0</v>
      </c>
    </row>
    <row r="92" spans="3:8" ht="12.75" customHeight="1" x14ac:dyDescent="0.25">
      <c r="C92" s="653"/>
      <c r="D92" s="5" t="s">
        <v>17</v>
      </c>
      <c r="E92" s="122">
        <v>2.2000000000000001E-3</v>
      </c>
      <c r="F92" s="123">
        <v>0</v>
      </c>
      <c r="G92" s="124">
        <v>0</v>
      </c>
      <c r="H92" s="125">
        <v>0</v>
      </c>
    </row>
    <row r="93" spans="3:8" ht="12.75" customHeight="1" x14ac:dyDescent="0.25">
      <c r="C93" s="653"/>
      <c r="D93" s="50" t="s">
        <v>42</v>
      </c>
      <c r="E93" s="126">
        <v>0</v>
      </c>
      <c r="F93" s="127">
        <v>0</v>
      </c>
      <c r="G93" s="128">
        <v>0</v>
      </c>
      <c r="H93" s="129">
        <v>0</v>
      </c>
    </row>
    <row r="94" spans="3:8" ht="13.5" customHeight="1" thickBot="1" x14ac:dyDescent="0.3">
      <c r="C94" s="653"/>
      <c r="D94" s="5" t="s">
        <v>43</v>
      </c>
      <c r="E94" s="122">
        <v>-0.03</v>
      </c>
      <c r="F94" s="123">
        <v>0</v>
      </c>
      <c r="G94" s="123">
        <v>0</v>
      </c>
      <c r="H94" s="130">
        <v>0</v>
      </c>
    </row>
    <row r="95" spans="3:8" ht="12.75" customHeight="1" x14ac:dyDescent="0.25">
      <c r="C95" s="653"/>
      <c r="D95" s="13" t="s">
        <v>188</v>
      </c>
      <c r="E95" s="51" t="s">
        <v>535</v>
      </c>
      <c r="F95" s="14" t="s">
        <v>191</v>
      </c>
      <c r="G95" s="107" t="s">
        <v>537</v>
      </c>
      <c r="H95" s="57" t="s">
        <v>47</v>
      </c>
    </row>
    <row r="96" spans="3:8" ht="15.75" customHeight="1" thickBot="1" x14ac:dyDescent="0.3">
      <c r="C96" s="653"/>
      <c r="D96" s="7" t="s">
        <v>189</v>
      </c>
      <c r="E96" s="22" t="s">
        <v>536</v>
      </c>
      <c r="F96" s="8" t="s">
        <v>192</v>
      </c>
      <c r="G96" s="108" t="s">
        <v>538</v>
      </c>
      <c r="H96" s="117" t="s">
        <v>184</v>
      </c>
    </row>
    <row r="97" spans="3:8" ht="13.5" customHeight="1" thickBot="1" x14ac:dyDescent="0.3">
      <c r="C97" s="653"/>
      <c r="D97" s="109" t="s">
        <v>190</v>
      </c>
      <c r="E97" s="110" t="s">
        <v>144</v>
      </c>
      <c r="F97" s="111" t="s">
        <v>193</v>
      </c>
      <c r="G97" s="112" t="s">
        <v>22</v>
      </c>
      <c r="H97" s="57" t="s">
        <v>140</v>
      </c>
    </row>
    <row r="98" spans="3:8" ht="13.5" customHeight="1" thickBot="1" x14ac:dyDescent="0.3">
      <c r="C98" s="653"/>
      <c r="D98" s="113" t="s">
        <v>139</v>
      </c>
      <c r="E98" s="114">
        <v>2</v>
      </c>
      <c r="F98" s="116" t="str">
        <f>GetCorrelName1($E98)</f>
        <v>IF-COLGUL/RAYNE</v>
      </c>
      <c r="G98" s="115" t="str">
        <f>GetCorrelName2($E98)</f>
        <v>IF-CGT/APPALAC</v>
      </c>
      <c r="H98" s="118" t="s">
        <v>143</v>
      </c>
    </row>
    <row r="99" spans="3:8" ht="12.75" customHeight="1" x14ac:dyDescent="0.25">
      <c r="C99" s="652"/>
      <c r="D99" s="657" t="s">
        <v>16</v>
      </c>
      <c r="E99" s="659" t="s">
        <v>23</v>
      </c>
      <c r="F99" s="660"/>
      <c r="G99" s="660"/>
      <c r="H99" s="661"/>
    </row>
    <row r="100" spans="3:8" ht="13.5" customHeight="1" thickBot="1" x14ac:dyDescent="0.3">
      <c r="C100" s="654"/>
      <c r="D100" s="658"/>
      <c r="E100" s="662"/>
      <c r="F100" s="663"/>
      <c r="G100" s="663"/>
      <c r="H100" s="664"/>
    </row>
    <row r="101" spans="3:8" ht="17.25" customHeight="1" thickTop="1" thickBot="1" x14ac:dyDescent="0.35">
      <c r="C101" s="651">
        <v>50</v>
      </c>
      <c r="D101" s="655" t="s">
        <v>0</v>
      </c>
      <c r="E101" s="655"/>
      <c r="F101" s="655"/>
      <c r="G101" s="655"/>
      <c r="H101" s="656"/>
    </row>
    <row r="102" spans="3:8" ht="15.75" customHeight="1" x14ac:dyDescent="0.3">
      <c r="C102" s="652"/>
      <c r="D102" s="10" t="s">
        <v>667</v>
      </c>
      <c r="E102" s="12" t="s">
        <v>3</v>
      </c>
      <c r="F102" s="12" t="s">
        <v>4</v>
      </c>
      <c r="G102" s="12" t="s">
        <v>1</v>
      </c>
      <c r="H102" s="15" t="s">
        <v>2</v>
      </c>
    </row>
    <row r="103" spans="3:8" ht="13.5" customHeight="1" thickBot="1" x14ac:dyDescent="0.3">
      <c r="C103" s="652"/>
      <c r="D103" s="11" t="s">
        <v>24</v>
      </c>
      <c r="E103" s="1" t="s">
        <v>669</v>
      </c>
      <c r="F103" s="1" t="s">
        <v>668</v>
      </c>
      <c r="G103" s="2">
        <v>36069</v>
      </c>
      <c r="H103" s="16">
        <v>39113</v>
      </c>
    </row>
    <row r="104" spans="3:8" ht="15.75" customHeight="1" thickBot="1" x14ac:dyDescent="0.3">
      <c r="C104" s="652"/>
      <c r="D104" s="27"/>
      <c r="E104" s="3" t="s">
        <v>6</v>
      </c>
      <c r="F104" s="4" t="s">
        <v>7</v>
      </c>
      <c r="G104" s="4" t="s">
        <v>8</v>
      </c>
      <c r="H104" s="17" t="s">
        <v>9</v>
      </c>
    </row>
    <row r="105" spans="3:8" ht="12.75" customHeight="1" x14ac:dyDescent="0.25">
      <c r="C105" s="652"/>
      <c r="D105" s="9" t="s">
        <v>5</v>
      </c>
      <c r="E105" s="25" t="s">
        <v>212</v>
      </c>
      <c r="F105" s="25" t="s">
        <v>15</v>
      </c>
      <c r="G105" s="25" t="s">
        <v>15</v>
      </c>
      <c r="H105" s="26" t="s">
        <v>15</v>
      </c>
    </row>
    <row r="106" spans="3:8" ht="12.75" customHeight="1" x14ac:dyDescent="0.25">
      <c r="C106" s="652"/>
      <c r="D106" s="6" t="s">
        <v>10</v>
      </c>
      <c r="E106" s="20">
        <v>612</v>
      </c>
      <c r="F106" s="20">
        <v>0</v>
      </c>
      <c r="G106" s="20">
        <v>0</v>
      </c>
      <c r="H106" s="18">
        <v>0</v>
      </c>
    </row>
    <row r="107" spans="3:8" ht="12.75" customHeight="1" x14ac:dyDescent="0.25">
      <c r="C107" s="652"/>
      <c r="D107" s="6" t="s">
        <v>11</v>
      </c>
      <c r="E107" s="120">
        <f>0.0312+0.0022</f>
        <v>3.3399999999999999E-2</v>
      </c>
      <c r="F107" s="120">
        <v>0</v>
      </c>
      <c r="G107" s="120">
        <v>0</v>
      </c>
      <c r="H107" s="121">
        <v>0</v>
      </c>
    </row>
    <row r="108" spans="3:8" ht="12.75" customHeight="1" x14ac:dyDescent="0.25">
      <c r="C108" s="652"/>
      <c r="D108" s="6" t="s">
        <v>12</v>
      </c>
      <c r="E108" s="21">
        <v>2.75E-2</v>
      </c>
      <c r="F108" s="21">
        <v>0</v>
      </c>
      <c r="G108" s="21">
        <v>0</v>
      </c>
      <c r="H108" s="19">
        <v>0</v>
      </c>
    </row>
    <row r="109" spans="3:8" ht="12.75" customHeight="1" x14ac:dyDescent="0.25">
      <c r="C109" s="652"/>
      <c r="D109" s="6" t="s">
        <v>13</v>
      </c>
      <c r="E109" s="120">
        <v>0.37530000000000002</v>
      </c>
      <c r="F109" s="120">
        <v>0</v>
      </c>
      <c r="G109" s="120">
        <v>0</v>
      </c>
      <c r="H109" s="121">
        <v>0</v>
      </c>
    </row>
    <row r="110" spans="3:8" ht="12.75" customHeight="1" x14ac:dyDescent="0.25">
      <c r="C110" s="653"/>
      <c r="D110" s="5" t="s">
        <v>17</v>
      </c>
      <c r="E110" s="122">
        <v>0</v>
      </c>
      <c r="F110" s="123">
        <v>0</v>
      </c>
      <c r="G110" s="124">
        <v>0</v>
      </c>
      <c r="H110" s="125">
        <v>0</v>
      </c>
    </row>
    <row r="111" spans="3:8" ht="12.75" customHeight="1" x14ac:dyDescent="0.25">
      <c r="C111" s="653"/>
      <c r="D111" s="50" t="s">
        <v>42</v>
      </c>
      <c r="E111" s="126">
        <v>0</v>
      </c>
      <c r="F111" s="127">
        <v>0</v>
      </c>
      <c r="G111" s="128">
        <v>0</v>
      </c>
      <c r="H111" s="129">
        <v>0</v>
      </c>
    </row>
    <row r="112" spans="3:8" ht="13.5" customHeight="1" thickBot="1" x14ac:dyDescent="0.3">
      <c r="C112" s="653"/>
      <c r="D112" s="5" t="s">
        <v>43</v>
      </c>
      <c r="E112" s="122">
        <v>0</v>
      </c>
      <c r="F112" s="123">
        <v>0</v>
      </c>
      <c r="G112" s="123">
        <v>0</v>
      </c>
      <c r="H112" s="130">
        <v>0</v>
      </c>
    </row>
    <row r="113" spans="3:8" ht="12.75" customHeight="1" thickBot="1" x14ac:dyDescent="0.3">
      <c r="C113" s="653"/>
      <c r="D113" s="13" t="s">
        <v>188</v>
      </c>
      <c r="E113" s="51" t="s">
        <v>661</v>
      </c>
      <c r="F113" s="14" t="s">
        <v>191</v>
      </c>
      <c r="G113" s="51" t="s">
        <v>659</v>
      </c>
      <c r="H113" s="57" t="s">
        <v>47</v>
      </c>
    </row>
    <row r="114" spans="3:8" ht="15.75" customHeight="1" thickBot="1" x14ac:dyDescent="0.3">
      <c r="C114" s="653"/>
      <c r="D114" s="7" t="s">
        <v>189</v>
      </c>
      <c r="E114" s="51" t="s">
        <v>662</v>
      </c>
      <c r="F114" s="8" t="s">
        <v>192</v>
      </c>
      <c r="G114" s="51" t="s">
        <v>660</v>
      </c>
      <c r="H114" s="117" t="s">
        <v>184</v>
      </c>
    </row>
    <row r="115" spans="3:8" ht="13.5" customHeight="1" thickBot="1" x14ac:dyDescent="0.3">
      <c r="C115" s="653"/>
      <c r="D115" s="109" t="s">
        <v>190</v>
      </c>
      <c r="E115" s="110" t="s">
        <v>518</v>
      </c>
      <c r="F115" s="111" t="s">
        <v>193</v>
      </c>
      <c r="G115" s="110" t="s">
        <v>518</v>
      </c>
      <c r="H115" s="57" t="s">
        <v>140</v>
      </c>
    </row>
    <row r="116" spans="3:8" ht="13.5" customHeight="1" thickBot="1" x14ac:dyDescent="0.3">
      <c r="C116" s="653"/>
      <c r="D116" s="113" t="s">
        <v>139</v>
      </c>
      <c r="E116" s="114">
        <v>55</v>
      </c>
      <c r="F116" s="116" t="str">
        <f>GetCorrelName1($E116)</f>
        <v>FGT/MKT</v>
      </c>
      <c r="G116" s="115" t="str">
        <f>GetCorrelName2($E116)</f>
        <v>FGTZ</v>
      </c>
      <c r="H116" s="118" t="s">
        <v>27</v>
      </c>
    </row>
    <row r="117" spans="3:8" ht="12.75" customHeight="1" x14ac:dyDescent="0.25">
      <c r="C117" s="652"/>
      <c r="D117" s="657" t="s">
        <v>16</v>
      </c>
      <c r="E117" s="659" t="s">
        <v>672</v>
      </c>
      <c r="F117" s="660"/>
      <c r="G117" s="660"/>
      <c r="H117" s="661"/>
    </row>
    <row r="118" spans="3:8" ht="13.5" customHeight="1" thickBot="1" x14ac:dyDescent="0.3">
      <c r="C118" s="654"/>
      <c r="D118" s="658"/>
      <c r="E118" s="662"/>
      <c r="F118" s="663"/>
      <c r="G118" s="663"/>
      <c r="H118" s="664"/>
    </row>
    <row r="119" spans="3:8" ht="16.8" thickTop="1" thickBot="1" x14ac:dyDescent="0.35">
      <c r="C119" s="651">
        <v>51</v>
      </c>
      <c r="D119" s="655" t="s">
        <v>0</v>
      </c>
      <c r="E119" s="655"/>
      <c r="F119" s="655"/>
      <c r="G119" s="655"/>
      <c r="H119" s="656"/>
    </row>
    <row r="120" spans="3:8" ht="15.6" x14ac:dyDescent="0.3">
      <c r="C120" s="652"/>
      <c r="D120" s="10" t="s">
        <v>667</v>
      </c>
      <c r="E120" s="12" t="s">
        <v>3</v>
      </c>
      <c r="F120" s="12" t="s">
        <v>4</v>
      </c>
      <c r="G120" s="12" t="s">
        <v>1</v>
      </c>
      <c r="H120" s="15" t="s">
        <v>2</v>
      </c>
    </row>
    <row r="121" spans="3:8" ht="13.8" thickBot="1" x14ac:dyDescent="0.3">
      <c r="C121" s="652"/>
      <c r="D121" s="11" t="s">
        <v>24</v>
      </c>
      <c r="E121" s="1" t="s">
        <v>670</v>
      </c>
      <c r="F121" s="1" t="s">
        <v>668</v>
      </c>
      <c r="G121" s="2">
        <v>36069</v>
      </c>
      <c r="H121" s="16">
        <v>39113</v>
      </c>
    </row>
    <row r="122" spans="3:8" ht="15.6" thickBot="1" x14ac:dyDescent="0.3">
      <c r="C122" s="652"/>
      <c r="D122" s="27"/>
      <c r="E122" s="3" t="s">
        <v>6</v>
      </c>
      <c r="F122" s="4" t="s">
        <v>7</v>
      </c>
      <c r="G122" s="4" t="s">
        <v>8</v>
      </c>
      <c r="H122" s="17" t="s">
        <v>9</v>
      </c>
    </row>
    <row r="123" spans="3:8" x14ac:dyDescent="0.25">
      <c r="C123" s="652"/>
      <c r="D123" s="9" t="s">
        <v>5</v>
      </c>
      <c r="E123" s="25" t="s">
        <v>212</v>
      </c>
      <c r="F123" s="25" t="s">
        <v>15</v>
      </c>
      <c r="G123" s="25" t="s">
        <v>15</v>
      </c>
      <c r="H123" s="26" t="s">
        <v>15</v>
      </c>
    </row>
    <row r="124" spans="3:8" x14ac:dyDescent="0.25">
      <c r="C124" s="652"/>
      <c r="D124" s="6" t="s">
        <v>10</v>
      </c>
      <c r="E124" s="20">
        <v>732</v>
      </c>
      <c r="F124" s="20">
        <v>0</v>
      </c>
      <c r="G124" s="20">
        <v>0</v>
      </c>
      <c r="H124" s="18">
        <v>0</v>
      </c>
    </row>
    <row r="125" spans="3:8" x14ac:dyDescent="0.25">
      <c r="C125" s="652"/>
      <c r="D125" s="6" t="s">
        <v>11</v>
      </c>
      <c r="E125" s="120">
        <f>0.0312+0.0022</f>
        <v>3.3399999999999999E-2</v>
      </c>
      <c r="F125" s="120">
        <v>0</v>
      </c>
      <c r="G125" s="120">
        <v>0</v>
      </c>
      <c r="H125" s="121">
        <v>0</v>
      </c>
    </row>
    <row r="126" spans="3:8" x14ac:dyDescent="0.25">
      <c r="C126" s="652"/>
      <c r="D126" s="6" t="s">
        <v>12</v>
      </c>
      <c r="E126" s="21">
        <v>2.75E-2</v>
      </c>
      <c r="F126" s="21">
        <v>0</v>
      </c>
      <c r="G126" s="21">
        <v>0</v>
      </c>
      <c r="H126" s="19">
        <v>0</v>
      </c>
    </row>
    <row r="127" spans="3:8" x14ac:dyDescent="0.25">
      <c r="C127" s="652"/>
      <c r="D127" s="6" t="s">
        <v>13</v>
      </c>
      <c r="E127" s="120">
        <v>0.37530000000000002</v>
      </c>
      <c r="F127" s="120">
        <v>0</v>
      </c>
      <c r="G127" s="120">
        <v>0</v>
      </c>
      <c r="H127" s="121">
        <v>0</v>
      </c>
    </row>
    <row r="128" spans="3:8" x14ac:dyDescent="0.25">
      <c r="C128" s="653"/>
      <c r="D128" s="5" t="s">
        <v>17</v>
      </c>
      <c r="E128" s="122">
        <v>0</v>
      </c>
      <c r="F128" s="123">
        <v>0</v>
      </c>
      <c r="G128" s="124">
        <v>0</v>
      </c>
      <c r="H128" s="125">
        <v>0</v>
      </c>
    </row>
    <row r="129" spans="3:8" x14ac:dyDescent="0.25">
      <c r="C129" s="653"/>
      <c r="D129" s="50" t="s">
        <v>42</v>
      </c>
      <c r="E129" s="126">
        <v>0</v>
      </c>
      <c r="F129" s="127">
        <v>0</v>
      </c>
      <c r="G129" s="128">
        <v>0</v>
      </c>
      <c r="H129" s="129">
        <v>0</v>
      </c>
    </row>
    <row r="130" spans="3:8" ht="13.8" thickBot="1" x14ac:dyDescent="0.3">
      <c r="C130" s="653"/>
      <c r="D130" s="5" t="s">
        <v>43</v>
      </c>
      <c r="E130" s="122">
        <v>0</v>
      </c>
      <c r="F130" s="123">
        <v>0</v>
      </c>
      <c r="G130" s="123">
        <v>0</v>
      </c>
      <c r="H130" s="130">
        <v>0</v>
      </c>
    </row>
    <row r="131" spans="3:8" ht="13.8" thickBot="1" x14ac:dyDescent="0.3">
      <c r="C131" s="653"/>
      <c r="D131" s="13" t="s">
        <v>188</v>
      </c>
      <c r="E131" s="51" t="s">
        <v>663</v>
      </c>
      <c r="F131" s="14" t="s">
        <v>191</v>
      </c>
      <c r="G131" s="51" t="s">
        <v>659</v>
      </c>
      <c r="H131" s="57" t="s">
        <v>47</v>
      </c>
    </row>
    <row r="132" spans="3:8" ht="15.6" thickBot="1" x14ac:dyDescent="0.3">
      <c r="C132" s="653"/>
      <c r="D132" s="7" t="s">
        <v>189</v>
      </c>
      <c r="E132" s="51" t="s">
        <v>664</v>
      </c>
      <c r="F132" s="8" t="s">
        <v>192</v>
      </c>
      <c r="G132" s="51" t="s">
        <v>660</v>
      </c>
      <c r="H132" s="117" t="s">
        <v>184</v>
      </c>
    </row>
    <row r="133" spans="3:8" ht="13.8" thickBot="1" x14ac:dyDescent="0.3">
      <c r="C133" s="653"/>
      <c r="D133" s="109" t="s">
        <v>190</v>
      </c>
      <c r="E133" s="110" t="s">
        <v>518</v>
      </c>
      <c r="F133" s="111" t="s">
        <v>193</v>
      </c>
      <c r="G133" s="110" t="s">
        <v>518</v>
      </c>
      <c r="H133" s="57" t="s">
        <v>140</v>
      </c>
    </row>
    <row r="134" spans="3:8" ht="13.8" thickBot="1" x14ac:dyDescent="0.3">
      <c r="C134" s="653"/>
      <c r="D134" s="113" t="s">
        <v>139</v>
      </c>
      <c r="E134" s="114">
        <v>55</v>
      </c>
      <c r="F134" s="116" t="str">
        <f>GetCorrelName1($E134)</f>
        <v>FGT/MKT</v>
      </c>
      <c r="G134" s="115" t="str">
        <f>GetCorrelName2($E134)</f>
        <v>FGTZ</v>
      </c>
      <c r="H134" s="118" t="s">
        <v>27</v>
      </c>
    </row>
    <row r="135" spans="3:8" x14ac:dyDescent="0.25">
      <c r="C135" s="652"/>
      <c r="D135" s="657" t="s">
        <v>16</v>
      </c>
      <c r="E135" s="659" t="s">
        <v>672</v>
      </c>
      <c r="F135" s="660"/>
      <c r="G135" s="660"/>
      <c r="H135" s="661"/>
    </row>
    <row r="136" spans="3:8" ht="13.8" thickBot="1" x14ac:dyDescent="0.3">
      <c r="C136" s="654"/>
      <c r="D136" s="658"/>
      <c r="E136" s="662"/>
      <c r="F136" s="663"/>
      <c r="G136" s="663"/>
      <c r="H136" s="664"/>
    </row>
    <row r="137" spans="3:8" ht="16.8" thickTop="1" thickBot="1" x14ac:dyDescent="0.35">
      <c r="C137" s="651">
        <v>52</v>
      </c>
      <c r="D137" s="655" t="s">
        <v>0</v>
      </c>
      <c r="E137" s="655"/>
      <c r="F137" s="655"/>
      <c r="G137" s="655"/>
      <c r="H137" s="656"/>
    </row>
    <row r="138" spans="3:8" ht="15.6" x14ac:dyDescent="0.3">
      <c r="C138" s="652"/>
      <c r="D138" s="10" t="s">
        <v>667</v>
      </c>
      <c r="E138" s="12" t="s">
        <v>3</v>
      </c>
      <c r="F138" s="12" t="s">
        <v>4</v>
      </c>
      <c r="G138" s="12" t="s">
        <v>1</v>
      </c>
      <c r="H138" s="15" t="s">
        <v>2</v>
      </c>
    </row>
    <row r="139" spans="3:8" ht="13.8" thickBot="1" x14ac:dyDescent="0.3">
      <c r="C139" s="652"/>
      <c r="D139" s="11" t="s">
        <v>24</v>
      </c>
      <c r="E139" s="1" t="s">
        <v>671</v>
      </c>
      <c r="F139" s="1" t="s">
        <v>668</v>
      </c>
      <c r="G139" s="2">
        <v>36069</v>
      </c>
      <c r="H139" s="16">
        <v>39113</v>
      </c>
    </row>
    <row r="140" spans="3:8" ht="15.6" thickBot="1" x14ac:dyDescent="0.3">
      <c r="C140" s="652"/>
      <c r="D140" s="27"/>
      <c r="E140" s="3" t="s">
        <v>6</v>
      </c>
      <c r="F140" s="4" t="s">
        <v>7</v>
      </c>
      <c r="G140" s="4" t="s">
        <v>8</v>
      </c>
      <c r="H140" s="17" t="s">
        <v>9</v>
      </c>
    </row>
    <row r="141" spans="3:8" x14ac:dyDescent="0.25">
      <c r="C141" s="652"/>
      <c r="D141" s="9" t="s">
        <v>5</v>
      </c>
      <c r="E141" s="25" t="s">
        <v>212</v>
      </c>
      <c r="F141" s="25" t="s">
        <v>15</v>
      </c>
      <c r="G141" s="25" t="s">
        <v>15</v>
      </c>
      <c r="H141" s="26" t="s">
        <v>15</v>
      </c>
    </row>
    <row r="142" spans="3:8" x14ac:dyDescent="0.25">
      <c r="C142" s="652"/>
      <c r="D142" s="6" t="s">
        <v>10</v>
      </c>
      <c r="E142" s="20">
        <v>356</v>
      </c>
      <c r="F142" s="20">
        <v>0</v>
      </c>
      <c r="G142" s="20">
        <v>0</v>
      </c>
      <c r="H142" s="18">
        <v>0</v>
      </c>
    </row>
    <row r="143" spans="3:8" x14ac:dyDescent="0.25">
      <c r="C143" s="652"/>
      <c r="D143" s="6" t="s">
        <v>11</v>
      </c>
      <c r="E143" s="120">
        <f>0.0312+0.0022</f>
        <v>3.3399999999999999E-2</v>
      </c>
      <c r="F143" s="120">
        <v>0</v>
      </c>
      <c r="G143" s="120">
        <v>0</v>
      </c>
      <c r="H143" s="121">
        <v>0</v>
      </c>
    </row>
    <row r="144" spans="3:8" x14ac:dyDescent="0.25">
      <c r="C144" s="652"/>
      <c r="D144" s="6" t="s">
        <v>12</v>
      </c>
      <c r="E144" s="21">
        <v>2.75E-2</v>
      </c>
      <c r="F144" s="21">
        <v>0</v>
      </c>
      <c r="G144" s="21">
        <v>0</v>
      </c>
      <c r="H144" s="19">
        <v>0</v>
      </c>
    </row>
    <row r="145" spans="3:8" x14ac:dyDescent="0.25">
      <c r="C145" s="652"/>
      <c r="D145" s="6" t="s">
        <v>13</v>
      </c>
      <c r="E145" s="120">
        <v>0.37530000000000002</v>
      </c>
      <c r="F145" s="120">
        <v>0</v>
      </c>
      <c r="G145" s="120">
        <v>0</v>
      </c>
      <c r="H145" s="121">
        <v>0</v>
      </c>
    </row>
    <row r="146" spans="3:8" x14ac:dyDescent="0.25">
      <c r="C146" s="653"/>
      <c r="D146" s="5" t="s">
        <v>17</v>
      </c>
      <c r="E146" s="122">
        <v>0</v>
      </c>
      <c r="F146" s="123">
        <v>0</v>
      </c>
      <c r="G146" s="124">
        <v>0</v>
      </c>
      <c r="H146" s="125">
        <v>0</v>
      </c>
    </row>
    <row r="147" spans="3:8" x14ac:dyDescent="0.25">
      <c r="C147" s="653"/>
      <c r="D147" s="50" t="s">
        <v>42</v>
      </c>
      <c r="E147" s="126">
        <v>0</v>
      </c>
      <c r="F147" s="127">
        <v>0</v>
      </c>
      <c r="G147" s="128">
        <v>0</v>
      </c>
      <c r="H147" s="129">
        <v>0</v>
      </c>
    </row>
    <row r="148" spans="3:8" ht="13.8" thickBot="1" x14ac:dyDescent="0.3">
      <c r="C148" s="653"/>
      <c r="D148" s="5" t="s">
        <v>43</v>
      </c>
      <c r="E148" s="122">
        <v>0</v>
      </c>
      <c r="F148" s="123">
        <v>0</v>
      </c>
      <c r="G148" s="123">
        <v>0</v>
      </c>
      <c r="H148" s="130">
        <v>0</v>
      </c>
    </row>
    <row r="149" spans="3:8" ht="13.8" thickBot="1" x14ac:dyDescent="0.3">
      <c r="C149" s="653"/>
      <c r="D149" s="13" t="s">
        <v>188</v>
      </c>
      <c r="E149" s="51" t="s">
        <v>665</v>
      </c>
      <c r="F149" s="14" t="s">
        <v>191</v>
      </c>
      <c r="G149" s="51" t="s">
        <v>659</v>
      </c>
      <c r="H149" s="57" t="s">
        <v>47</v>
      </c>
    </row>
    <row r="150" spans="3:8" ht="15.6" thickBot="1" x14ac:dyDescent="0.3">
      <c r="C150" s="653"/>
      <c r="D150" s="7" t="s">
        <v>189</v>
      </c>
      <c r="E150" s="51" t="s">
        <v>666</v>
      </c>
      <c r="F150" s="8" t="s">
        <v>192</v>
      </c>
      <c r="G150" s="51" t="s">
        <v>660</v>
      </c>
      <c r="H150" s="117" t="s">
        <v>184</v>
      </c>
    </row>
    <row r="151" spans="3:8" ht="13.8" thickBot="1" x14ac:dyDescent="0.3">
      <c r="C151" s="653"/>
      <c r="D151" s="109" t="s">
        <v>190</v>
      </c>
      <c r="E151" s="110" t="s">
        <v>518</v>
      </c>
      <c r="F151" s="111" t="s">
        <v>193</v>
      </c>
      <c r="G151" s="110" t="s">
        <v>518</v>
      </c>
      <c r="H151" s="57" t="s">
        <v>140</v>
      </c>
    </row>
    <row r="152" spans="3:8" ht="13.8" thickBot="1" x14ac:dyDescent="0.3">
      <c r="C152" s="653"/>
      <c r="D152" s="113" t="s">
        <v>139</v>
      </c>
      <c r="E152" s="114">
        <v>55</v>
      </c>
      <c r="F152" s="116" t="str">
        <f>GetCorrelName1($E152)</f>
        <v>FGT/MKT</v>
      </c>
      <c r="G152" s="115" t="str">
        <f>GetCorrelName2($E152)</f>
        <v>FGTZ</v>
      </c>
      <c r="H152" s="118" t="s">
        <v>27</v>
      </c>
    </row>
    <row r="153" spans="3:8" x14ac:dyDescent="0.25">
      <c r="C153" s="652"/>
      <c r="D153" s="657" t="s">
        <v>16</v>
      </c>
      <c r="E153" s="659" t="s">
        <v>672</v>
      </c>
      <c r="F153" s="660"/>
      <c r="G153" s="660"/>
      <c r="H153" s="661"/>
    </row>
    <row r="154" spans="3:8" ht="13.8" thickBot="1" x14ac:dyDescent="0.3">
      <c r="C154" s="654"/>
      <c r="D154" s="658"/>
      <c r="E154" s="662"/>
      <c r="F154" s="663"/>
      <c r="G154" s="663"/>
      <c r="H154" s="664"/>
    </row>
    <row r="155" spans="3:8" ht="16.8" thickTop="1" thickBot="1" x14ac:dyDescent="0.35">
      <c r="C155" s="651">
        <v>53</v>
      </c>
      <c r="D155" s="655" t="s">
        <v>0</v>
      </c>
      <c r="E155" s="655"/>
      <c r="F155" s="655"/>
      <c r="G155" s="655"/>
      <c r="H155" s="656"/>
    </row>
    <row r="156" spans="3:8" ht="15.6" x14ac:dyDescent="0.3">
      <c r="C156" s="652"/>
      <c r="D156" s="10" t="s">
        <v>667</v>
      </c>
      <c r="E156" s="12" t="s">
        <v>3</v>
      </c>
      <c r="F156" s="12" t="s">
        <v>4</v>
      </c>
      <c r="G156" s="12" t="s">
        <v>1</v>
      </c>
      <c r="H156" s="15" t="s">
        <v>2</v>
      </c>
    </row>
    <row r="157" spans="3:8" ht="13.8" thickBot="1" x14ac:dyDescent="0.3">
      <c r="C157" s="652"/>
      <c r="D157" s="11" t="s">
        <v>24</v>
      </c>
      <c r="E157" s="1" t="s">
        <v>669</v>
      </c>
      <c r="F157" s="1" t="s">
        <v>668</v>
      </c>
      <c r="G157" s="2">
        <v>36495</v>
      </c>
      <c r="H157" s="16">
        <v>39113</v>
      </c>
    </row>
    <row r="158" spans="3:8" ht="15.6" thickBot="1" x14ac:dyDescent="0.3">
      <c r="C158" s="652"/>
      <c r="D158" s="27"/>
      <c r="E158" s="3" t="s">
        <v>6</v>
      </c>
      <c r="F158" s="4" t="s">
        <v>7</v>
      </c>
      <c r="G158" s="4" t="s">
        <v>8</v>
      </c>
      <c r="H158" s="17" t="s">
        <v>9</v>
      </c>
    </row>
    <row r="159" spans="3:8" x14ac:dyDescent="0.25">
      <c r="C159" s="652"/>
      <c r="D159" s="9" t="s">
        <v>5</v>
      </c>
      <c r="E159" s="25" t="s">
        <v>674</v>
      </c>
      <c r="F159" s="25" t="s">
        <v>675</v>
      </c>
      <c r="G159" s="25" t="s">
        <v>15</v>
      </c>
      <c r="H159" s="26" t="s">
        <v>15</v>
      </c>
    </row>
    <row r="160" spans="3:8" x14ac:dyDescent="0.25">
      <c r="C160" s="652"/>
      <c r="D160" s="6" t="s">
        <v>10</v>
      </c>
      <c r="E160" s="20">
        <v>396</v>
      </c>
      <c r="F160" s="20">
        <v>252</v>
      </c>
      <c r="G160" s="20">
        <v>0</v>
      </c>
      <c r="H160" s="18">
        <v>0</v>
      </c>
    </row>
    <row r="161" spans="3:8" x14ac:dyDescent="0.25">
      <c r="C161" s="652"/>
      <c r="D161" s="6" t="s">
        <v>11</v>
      </c>
      <c r="E161" s="120">
        <f>0.0312+0.0022</f>
        <v>3.3399999999999999E-2</v>
      </c>
      <c r="F161" s="120">
        <v>0</v>
      </c>
      <c r="G161" s="120">
        <v>0</v>
      </c>
      <c r="H161" s="121">
        <v>0</v>
      </c>
    </row>
    <row r="162" spans="3:8" x14ac:dyDescent="0.25">
      <c r="C162" s="652"/>
      <c r="D162" s="6" t="s">
        <v>12</v>
      </c>
      <c r="E162" s="21">
        <v>2.75E-2</v>
      </c>
      <c r="F162" s="21">
        <v>0</v>
      </c>
      <c r="G162" s="21">
        <v>0</v>
      </c>
      <c r="H162" s="19">
        <v>0</v>
      </c>
    </row>
    <row r="163" spans="3:8" x14ac:dyDescent="0.25">
      <c r="C163" s="652"/>
      <c r="D163" s="6" t="s">
        <v>13</v>
      </c>
      <c r="E163" s="120">
        <v>0.37530000000000002</v>
      </c>
      <c r="F163" s="120">
        <v>0</v>
      </c>
      <c r="G163" s="120">
        <v>0</v>
      </c>
      <c r="H163" s="121">
        <v>0</v>
      </c>
    </row>
    <row r="164" spans="3:8" x14ac:dyDescent="0.25">
      <c r="C164" s="653"/>
      <c r="D164" s="5" t="s">
        <v>17</v>
      </c>
      <c r="E164" s="122">
        <v>0</v>
      </c>
      <c r="F164" s="123">
        <v>0</v>
      </c>
      <c r="G164" s="124">
        <v>0</v>
      </c>
      <c r="H164" s="125">
        <v>0</v>
      </c>
    </row>
    <row r="165" spans="3:8" x14ac:dyDescent="0.25">
      <c r="C165" s="653"/>
      <c r="D165" s="50" t="s">
        <v>42</v>
      </c>
      <c r="E165" s="126">
        <v>0</v>
      </c>
      <c r="F165" s="127">
        <v>0</v>
      </c>
      <c r="G165" s="128">
        <v>0</v>
      </c>
      <c r="H165" s="129">
        <v>0</v>
      </c>
    </row>
    <row r="166" spans="3:8" ht="13.8" thickBot="1" x14ac:dyDescent="0.3">
      <c r="C166" s="653"/>
      <c r="D166" s="5" t="s">
        <v>43</v>
      </c>
      <c r="E166" s="122">
        <v>0</v>
      </c>
      <c r="F166" s="123">
        <v>0</v>
      </c>
      <c r="G166" s="123">
        <v>0</v>
      </c>
      <c r="H166" s="130">
        <v>0</v>
      </c>
    </row>
    <row r="167" spans="3:8" ht="13.8" thickBot="1" x14ac:dyDescent="0.3">
      <c r="C167" s="653"/>
      <c r="D167" s="13" t="s">
        <v>188</v>
      </c>
      <c r="E167" s="51" t="s">
        <v>661</v>
      </c>
      <c r="F167" s="14" t="s">
        <v>191</v>
      </c>
      <c r="G167" s="51" t="s">
        <v>659</v>
      </c>
      <c r="H167" s="57" t="s">
        <v>47</v>
      </c>
    </row>
    <row r="168" spans="3:8" ht="15.6" thickBot="1" x14ac:dyDescent="0.3">
      <c r="C168" s="653"/>
      <c r="D168" s="7" t="s">
        <v>189</v>
      </c>
      <c r="E168" s="51" t="s">
        <v>662</v>
      </c>
      <c r="F168" s="8" t="s">
        <v>192</v>
      </c>
      <c r="G168" s="51" t="s">
        <v>660</v>
      </c>
      <c r="H168" s="117" t="s">
        <v>184</v>
      </c>
    </row>
    <row r="169" spans="3:8" ht="13.8" thickBot="1" x14ac:dyDescent="0.3">
      <c r="C169" s="653"/>
      <c r="D169" s="109" t="s">
        <v>190</v>
      </c>
      <c r="E169" s="110" t="s">
        <v>518</v>
      </c>
      <c r="F169" s="111" t="s">
        <v>193</v>
      </c>
      <c r="G169" s="110" t="s">
        <v>518</v>
      </c>
      <c r="H169" s="57" t="s">
        <v>140</v>
      </c>
    </row>
    <row r="170" spans="3:8" ht="13.8" thickBot="1" x14ac:dyDescent="0.3">
      <c r="C170" s="653"/>
      <c r="D170" s="113" t="s">
        <v>139</v>
      </c>
      <c r="E170" s="114">
        <v>55</v>
      </c>
      <c r="F170" s="116" t="str">
        <f>GetCorrelName1($E170)</f>
        <v>FGT/MKT</v>
      </c>
      <c r="G170" s="115" t="str">
        <f>GetCorrelName2($E170)</f>
        <v>FGTZ</v>
      </c>
      <c r="H170" s="118" t="s">
        <v>27</v>
      </c>
    </row>
    <row r="171" spans="3:8" x14ac:dyDescent="0.25">
      <c r="C171" s="652"/>
      <c r="D171" s="657" t="s">
        <v>16</v>
      </c>
      <c r="E171" s="659" t="s">
        <v>672</v>
      </c>
      <c r="F171" s="660"/>
      <c r="G171" s="660"/>
      <c r="H171" s="661"/>
    </row>
    <row r="172" spans="3:8" ht="13.8" thickBot="1" x14ac:dyDescent="0.3">
      <c r="C172" s="654"/>
      <c r="D172" s="658"/>
      <c r="E172" s="662"/>
      <c r="F172" s="663"/>
      <c r="G172" s="663"/>
      <c r="H172" s="664"/>
    </row>
    <row r="173" spans="3:8" ht="16.8" thickTop="1" thickBot="1" x14ac:dyDescent="0.35">
      <c r="C173" s="651">
        <v>54</v>
      </c>
      <c r="D173" s="655" t="s">
        <v>0</v>
      </c>
      <c r="E173" s="655"/>
      <c r="F173" s="655"/>
      <c r="G173" s="655"/>
      <c r="H173" s="656"/>
    </row>
    <row r="174" spans="3:8" ht="15.6" x14ac:dyDescent="0.3">
      <c r="C174" s="652"/>
      <c r="D174" s="10" t="s">
        <v>667</v>
      </c>
      <c r="E174" s="12" t="s">
        <v>3</v>
      </c>
      <c r="F174" s="12" t="s">
        <v>4</v>
      </c>
      <c r="G174" s="12" t="s">
        <v>1</v>
      </c>
      <c r="H174" s="15" t="s">
        <v>2</v>
      </c>
    </row>
    <row r="175" spans="3:8" ht="13.8" thickBot="1" x14ac:dyDescent="0.3">
      <c r="C175" s="652"/>
      <c r="D175" s="11" t="s">
        <v>24</v>
      </c>
      <c r="E175" s="1" t="s">
        <v>670</v>
      </c>
      <c r="F175" s="1" t="s">
        <v>668</v>
      </c>
      <c r="G175" s="2">
        <v>36495</v>
      </c>
      <c r="H175" s="16">
        <v>39113</v>
      </c>
    </row>
    <row r="176" spans="3:8" ht="15.6" thickBot="1" x14ac:dyDescent="0.3">
      <c r="C176" s="652"/>
      <c r="D176" s="27"/>
      <c r="E176" s="3" t="s">
        <v>6</v>
      </c>
      <c r="F176" s="4" t="s">
        <v>7</v>
      </c>
      <c r="G176" s="4" t="s">
        <v>8</v>
      </c>
      <c r="H176" s="17" t="s">
        <v>9</v>
      </c>
    </row>
    <row r="177" spans="3:8" x14ac:dyDescent="0.25">
      <c r="C177" s="652"/>
      <c r="D177" s="9" t="s">
        <v>5</v>
      </c>
      <c r="E177" s="25" t="s">
        <v>674</v>
      </c>
      <c r="F177" s="25" t="s">
        <v>675</v>
      </c>
      <c r="G177" s="25" t="s">
        <v>15</v>
      </c>
      <c r="H177" s="26" t="s">
        <v>15</v>
      </c>
    </row>
    <row r="178" spans="3:8" x14ac:dyDescent="0.25">
      <c r="C178" s="652"/>
      <c r="D178" s="6" t="s">
        <v>10</v>
      </c>
      <c r="E178" s="20">
        <v>474</v>
      </c>
      <c r="F178" s="20">
        <v>300</v>
      </c>
      <c r="G178" s="20">
        <v>0</v>
      </c>
      <c r="H178" s="18">
        <v>0</v>
      </c>
    </row>
    <row r="179" spans="3:8" x14ac:dyDescent="0.25">
      <c r="C179" s="652"/>
      <c r="D179" s="6" t="s">
        <v>11</v>
      </c>
      <c r="E179" s="120">
        <f>0.0312+0.0022</f>
        <v>3.3399999999999999E-2</v>
      </c>
      <c r="F179" s="120">
        <f>0.0312+0.0022</f>
        <v>3.3399999999999999E-2</v>
      </c>
      <c r="G179" s="120">
        <v>0</v>
      </c>
      <c r="H179" s="121">
        <v>0</v>
      </c>
    </row>
    <row r="180" spans="3:8" x14ac:dyDescent="0.25">
      <c r="C180" s="652"/>
      <c r="D180" s="6" t="s">
        <v>12</v>
      </c>
      <c r="E180" s="21">
        <v>2.75E-2</v>
      </c>
      <c r="F180" s="21">
        <v>2.75E-2</v>
      </c>
      <c r="G180" s="21">
        <v>0</v>
      </c>
      <c r="H180" s="19">
        <v>0</v>
      </c>
    </row>
    <row r="181" spans="3:8" x14ac:dyDescent="0.25">
      <c r="C181" s="652"/>
      <c r="D181" s="6" t="s">
        <v>13</v>
      </c>
      <c r="E181" s="120">
        <v>0.37530000000000002</v>
      </c>
      <c r="F181" s="120">
        <v>0.37530000000000002</v>
      </c>
      <c r="G181" s="120">
        <v>0</v>
      </c>
      <c r="H181" s="121">
        <v>0</v>
      </c>
    </row>
    <row r="182" spans="3:8" x14ac:dyDescent="0.25">
      <c r="C182" s="653"/>
      <c r="D182" s="5" t="s">
        <v>17</v>
      </c>
      <c r="E182" s="122">
        <v>0</v>
      </c>
      <c r="F182" s="123">
        <v>0</v>
      </c>
      <c r="G182" s="124">
        <v>0</v>
      </c>
      <c r="H182" s="125">
        <v>0</v>
      </c>
    </row>
    <row r="183" spans="3:8" x14ac:dyDescent="0.25">
      <c r="C183" s="653"/>
      <c r="D183" s="50" t="s">
        <v>42</v>
      </c>
      <c r="E183" s="126">
        <v>0</v>
      </c>
      <c r="F183" s="127">
        <v>0</v>
      </c>
      <c r="G183" s="128">
        <v>0</v>
      </c>
      <c r="H183" s="129">
        <v>0</v>
      </c>
    </row>
    <row r="184" spans="3:8" ht="13.8" thickBot="1" x14ac:dyDescent="0.3">
      <c r="C184" s="653"/>
      <c r="D184" s="5" t="s">
        <v>43</v>
      </c>
      <c r="E184" s="122">
        <v>0</v>
      </c>
      <c r="F184" s="123">
        <v>0</v>
      </c>
      <c r="G184" s="123">
        <v>0</v>
      </c>
      <c r="H184" s="130">
        <v>0</v>
      </c>
    </row>
    <row r="185" spans="3:8" ht="13.8" thickBot="1" x14ac:dyDescent="0.3">
      <c r="C185" s="653"/>
      <c r="D185" s="13" t="s">
        <v>188</v>
      </c>
      <c r="E185" s="51" t="s">
        <v>663</v>
      </c>
      <c r="F185" s="14" t="s">
        <v>191</v>
      </c>
      <c r="G185" s="51" t="s">
        <v>659</v>
      </c>
      <c r="H185" s="57" t="s">
        <v>47</v>
      </c>
    </row>
    <row r="186" spans="3:8" ht="15.6" thickBot="1" x14ac:dyDescent="0.3">
      <c r="C186" s="653"/>
      <c r="D186" s="7" t="s">
        <v>189</v>
      </c>
      <c r="E186" s="51" t="s">
        <v>664</v>
      </c>
      <c r="F186" s="8" t="s">
        <v>192</v>
      </c>
      <c r="G186" s="51" t="s">
        <v>660</v>
      </c>
      <c r="H186" s="117" t="s">
        <v>184</v>
      </c>
    </row>
    <row r="187" spans="3:8" ht="13.8" thickBot="1" x14ac:dyDescent="0.3">
      <c r="C187" s="653"/>
      <c r="D187" s="109" t="s">
        <v>190</v>
      </c>
      <c r="E187" s="110" t="s">
        <v>518</v>
      </c>
      <c r="F187" s="111" t="s">
        <v>193</v>
      </c>
      <c r="G187" s="110" t="s">
        <v>518</v>
      </c>
      <c r="H187" s="57" t="s">
        <v>140</v>
      </c>
    </row>
    <row r="188" spans="3:8" ht="13.8" thickBot="1" x14ac:dyDescent="0.3">
      <c r="C188" s="653"/>
      <c r="D188" s="113" t="s">
        <v>139</v>
      </c>
      <c r="E188" s="114">
        <v>55</v>
      </c>
      <c r="F188" s="116" t="str">
        <f>GetCorrelName1($E188)</f>
        <v>FGT/MKT</v>
      </c>
      <c r="G188" s="115" t="str">
        <f>GetCorrelName2($E188)</f>
        <v>FGTZ</v>
      </c>
      <c r="H188" s="118" t="s">
        <v>27</v>
      </c>
    </row>
    <row r="189" spans="3:8" x14ac:dyDescent="0.25">
      <c r="C189" s="652"/>
      <c r="D189" s="657" t="s">
        <v>16</v>
      </c>
      <c r="E189" s="659" t="s">
        <v>672</v>
      </c>
      <c r="F189" s="660"/>
      <c r="G189" s="660"/>
      <c r="H189" s="661"/>
    </row>
    <row r="190" spans="3:8" ht="13.8" thickBot="1" x14ac:dyDescent="0.3">
      <c r="C190" s="654"/>
      <c r="D190" s="658"/>
      <c r="E190" s="662"/>
      <c r="F190" s="663"/>
      <c r="G190" s="663"/>
      <c r="H190" s="664"/>
    </row>
    <row r="191" spans="3:8" ht="16.8" thickTop="1" thickBot="1" x14ac:dyDescent="0.35">
      <c r="C191" s="651">
        <v>55</v>
      </c>
      <c r="D191" s="655" t="s">
        <v>0</v>
      </c>
      <c r="E191" s="655"/>
      <c r="F191" s="655"/>
      <c r="G191" s="655"/>
      <c r="H191" s="656"/>
    </row>
    <row r="192" spans="3:8" ht="15.6" x14ac:dyDescent="0.3">
      <c r="C192" s="652"/>
      <c r="D192" s="10" t="s">
        <v>667</v>
      </c>
      <c r="E192" s="12" t="s">
        <v>3</v>
      </c>
      <c r="F192" s="12" t="s">
        <v>4</v>
      </c>
      <c r="G192" s="12" t="s">
        <v>1</v>
      </c>
      <c r="H192" s="15" t="s">
        <v>2</v>
      </c>
    </row>
    <row r="193" spans="3:8" ht="13.8" thickBot="1" x14ac:dyDescent="0.3">
      <c r="C193" s="652"/>
      <c r="D193" s="11" t="s">
        <v>24</v>
      </c>
      <c r="E193" s="1" t="s">
        <v>671</v>
      </c>
      <c r="F193" s="1" t="s">
        <v>668</v>
      </c>
      <c r="G193" s="2">
        <v>36495</v>
      </c>
      <c r="H193" s="16">
        <v>39113</v>
      </c>
    </row>
    <row r="194" spans="3:8" ht="15.6" thickBot="1" x14ac:dyDescent="0.3">
      <c r="C194" s="652"/>
      <c r="D194" s="27"/>
      <c r="E194" s="3" t="s">
        <v>6</v>
      </c>
      <c r="F194" s="4" t="s">
        <v>7</v>
      </c>
      <c r="G194" s="4" t="s">
        <v>8</v>
      </c>
      <c r="H194" s="17" t="s">
        <v>9</v>
      </c>
    </row>
    <row r="195" spans="3:8" x14ac:dyDescent="0.25">
      <c r="C195" s="652"/>
      <c r="D195" s="9" t="s">
        <v>5</v>
      </c>
      <c r="E195" s="25" t="s">
        <v>674</v>
      </c>
      <c r="F195" s="25" t="s">
        <v>675</v>
      </c>
      <c r="G195" s="25" t="s">
        <v>15</v>
      </c>
      <c r="H195" s="26" t="s">
        <v>15</v>
      </c>
    </row>
    <row r="196" spans="3:8" x14ac:dyDescent="0.25">
      <c r="C196" s="652"/>
      <c r="D196" s="6" t="s">
        <v>10</v>
      </c>
      <c r="E196" s="20">
        <v>230</v>
      </c>
      <c r="F196" s="20">
        <v>148</v>
      </c>
      <c r="G196" s="20">
        <v>0</v>
      </c>
      <c r="H196" s="18">
        <v>0</v>
      </c>
    </row>
    <row r="197" spans="3:8" x14ac:dyDescent="0.25">
      <c r="C197" s="652"/>
      <c r="D197" s="6" t="s">
        <v>11</v>
      </c>
      <c r="E197" s="120">
        <f>0.0312+0.0022</f>
        <v>3.3399999999999999E-2</v>
      </c>
      <c r="F197" s="120">
        <f>0.0312+0.0022</f>
        <v>3.3399999999999999E-2</v>
      </c>
      <c r="G197" s="120">
        <v>0</v>
      </c>
      <c r="H197" s="121">
        <v>0</v>
      </c>
    </row>
    <row r="198" spans="3:8" x14ac:dyDescent="0.25">
      <c r="C198" s="652"/>
      <c r="D198" s="6" t="s">
        <v>12</v>
      </c>
      <c r="E198" s="21">
        <v>2.75E-2</v>
      </c>
      <c r="F198" s="21">
        <v>2.75E-2</v>
      </c>
      <c r="G198" s="21">
        <v>0</v>
      </c>
      <c r="H198" s="19">
        <v>0</v>
      </c>
    </row>
    <row r="199" spans="3:8" x14ac:dyDescent="0.25">
      <c r="C199" s="652"/>
      <c r="D199" s="6" t="s">
        <v>13</v>
      </c>
      <c r="E199" s="120">
        <v>0.37530000000000002</v>
      </c>
      <c r="F199" s="120">
        <v>0.37530000000000002</v>
      </c>
      <c r="G199" s="120">
        <v>0</v>
      </c>
      <c r="H199" s="121">
        <v>0</v>
      </c>
    </row>
    <row r="200" spans="3:8" x14ac:dyDescent="0.25">
      <c r="C200" s="653"/>
      <c r="D200" s="5" t="s">
        <v>17</v>
      </c>
      <c r="E200" s="122">
        <v>0</v>
      </c>
      <c r="F200" s="123">
        <v>0</v>
      </c>
      <c r="G200" s="124">
        <v>0</v>
      </c>
      <c r="H200" s="125">
        <v>0</v>
      </c>
    </row>
    <row r="201" spans="3:8" x14ac:dyDescent="0.25">
      <c r="C201" s="653"/>
      <c r="D201" s="50" t="s">
        <v>42</v>
      </c>
      <c r="E201" s="126">
        <v>0</v>
      </c>
      <c r="F201" s="127">
        <v>0</v>
      </c>
      <c r="G201" s="128">
        <v>0</v>
      </c>
      <c r="H201" s="129">
        <v>0</v>
      </c>
    </row>
    <row r="202" spans="3:8" ht="13.8" thickBot="1" x14ac:dyDescent="0.3">
      <c r="C202" s="653"/>
      <c r="D202" s="5" t="s">
        <v>43</v>
      </c>
      <c r="E202" s="122">
        <v>0</v>
      </c>
      <c r="F202" s="123">
        <v>0</v>
      </c>
      <c r="G202" s="123">
        <v>0</v>
      </c>
      <c r="H202" s="130">
        <v>0</v>
      </c>
    </row>
    <row r="203" spans="3:8" ht="13.8" thickBot="1" x14ac:dyDescent="0.3">
      <c r="C203" s="653"/>
      <c r="D203" s="13" t="s">
        <v>188</v>
      </c>
      <c r="E203" s="51" t="s">
        <v>665</v>
      </c>
      <c r="F203" s="14" t="s">
        <v>191</v>
      </c>
      <c r="G203" s="51" t="s">
        <v>659</v>
      </c>
      <c r="H203" s="57" t="s">
        <v>47</v>
      </c>
    </row>
    <row r="204" spans="3:8" ht="15.6" thickBot="1" x14ac:dyDescent="0.3">
      <c r="C204" s="653"/>
      <c r="D204" s="7" t="s">
        <v>189</v>
      </c>
      <c r="E204" s="51" t="s">
        <v>666</v>
      </c>
      <c r="F204" s="8" t="s">
        <v>192</v>
      </c>
      <c r="G204" s="51" t="s">
        <v>660</v>
      </c>
      <c r="H204" s="117" t="s">
        <v>184</v>
      </c>
    </row>
    <row r="205" spans="3:8" ht="13.8" thickBot="1" x14ac:dyDescent="0.3">
      <c r="C205" s="653"/>
      <c r="D205" s="109" t="s">
        <v>190</v>
      </c>
      <c r="E205" s="110" t="s">
        <v>518</v>
      </c>
      <c r="F205" s="111" t="s">
        <v>193</v>
      </c>
      <c r="G205" s="110" t="s">
        <v>518</v>
      </c>
      <c r="H205" s="57" t="s">
        <v>140</v>
      </c>
    </row>
    <row r="206" spans="3:8" ht="13.8" thickBot="1" x14ac:dyDescent="0.3">
      <c r="C206" s="653"/>
      <c r="D206" s="113" t="s">
        <v>139</v>
      </c>
      <c r="E206" s="114">
        <v>55</v>
      </c>
      <c r="F206" s="116" t="str">
        <f>GetCorrelName1($E206)</f>
        <v>FGT/MKT</v>
      </c>
      <c r="G206" s="115" t="str">
        <f>GetCorrelName2($E206)</f>
        <v>FGTZ</v>
      </c>
      <c r="H206" s="118" t="s">
        <v>27</v>
      </c>
    </row>
    <row r="207" spans="3:8" x14ac:dyDescent="0.25">
      <c r="C207" s="652"/>
      <c r="D207" s="657" t="s">
        <v>16</v>
      </c>
      <c r="E207" s="659" t="s">
        <v>672</v>
      </c>
      <c r="F207" s="660"/>
      <c r="G207" s="660"/>
      <c r="H207" s="661"/>
    </row>
    <row r="208" spans="3:8" ht="13.8" thickBot="1" x14ac:dyDescent="0.3">
      <c r="C208" s="654"/>
      <c r="D208" s="658"/>
      <c r="E208" s="662"/>
      <c r="F208" s="663"/>
      <c r="G208" s="663"/>
      <c r="H208" s="664"/>
    </row>
    <row r="209" spans="3:8" ht="16.8" thickTop="1" thickBot="1" x14ac:dyDescent="0.35">
      <c r="C209" s="651">
        <v>73</v>
      </c>
      <c r="D209" s="655" t="s">
        <v>0</v>
      </c>
      <c r="E209" s="655"/>
      <c r="F209" s="655"/>
      <c r="G209" s="655"/>
      <c r="H209" s="656"/>
    </row>
    <row r="210" spans="3:8" ht="15.6" x14ac:dyDescent="0.3">
      <c r="C210" s="652"/>
      <c r="D210" s="10"/>
      <c r="E210" s="12" t="s">
        <v>3</v>
      </c>
      <c r="F210" s="12" t="s">
        <v>4</v>
      </c>
      <c r="G210" s="12" t="s">
        <v>1</v>
      </c>
      <c r="H210" s="15" t="s">
        <v>2</v>
      </c>
    </row>
    <row r="211" spans="3:8" ht="13.8" thickBot="1" x14ac:dyDescent="0.3">
      <c r="C211" s="652"/>
      <c r="D211" s="11" t="s">
        <v>24</v>
      </c>
      <c r="E211" s="1" t="s">
        <v>667</v>
      </c>
      <c r="F211" s="1" t="s">
        <v>668</v>
      </c>
      <c r="G211" s="2">
        <v>37165</v>
      </c>
      <c r="H211" s="16">
        <v>44043</v>
      </c>
    </row>
    <row r="212" spans="3:8" ht="15.6" thickBot="1" x14ac:dyDescent="0.3">
      <c r="C212" s="652"/>
      <c r="D212" s="27"/>
      <c r="E212" s="3" t="s">
        <v>6</v>
      </c>
      <c r="F212" s="4" t="s">
        <v>7</v>
      </c>
      <c r="G212" s="4" t="s">
        <v>8</v>
      </c>
      <c r="H212" s="17" t="s">
        <v>9</v>
      </c>
    </row>
    <row r="213" spans="3:8" x14ac:dyDescent="0.25">
      <c r="C213" s="652"/>
      <c r="D213" s="9" t="s">
        <v>5</v>
      </c>
      <c r="E213" s="25" t="s">
        <v>742</v>
      </c>
      <c r="F213" s="25" t="s">
        <v>743</v>
      </c>
      <c r="G213" s="25" t="s">
        <v>744</v>
      </c>
      <c r="H213" s="26" t="s">
        <v>675</v>
      </c>
    </row>
    <row r="214" spans="3:8" x14ac:dyDescent="0.25">
      <c r="C214" s="652"/>
      <c r="D214" s="6" t="s">
        <v>10</v>
      </c>
      <c r="E214" s="20">
        <v>6669</v>
      </c>
      <c r="F214" s="20">
        <v>11107</v>
      </c>
      <c r="G214" s="20">
        <v>5899</v>
      </c>
      <c r="H214" s="18">
        <v>5895</v>
      </c>
    </row>
    <row r="215" spans="3:8" x14ac:dyDescent="0.25">
      <c r="C215" s="652"/>
      <c r="D215" s="6" t="s">
        <v>11</v>
      </c>
      <c r="E215" s="120">
        <v>3.6400000000000002E-2</v>
      </c>
      <c r="F215" s="120">
        <v>3.6400000000000002E-2</v>
      </c>
      <c r="G215" s="120">
        <v>3.6400000000000002E-2</v>
      </c>
      <c r="H215" s="120">
        <v>3.6400000000000002E-2</v>
      </c>
    </row>
    <row r="216" spans="3:8" x14ac:dyDescent="0.25">
      <c r="C216" s="652"/>
      <c r="D216" s="6" t="s">
        <v>12</v>
      </c>
      <c r="E216" s="21">
        <v>2.5000000000000001E-2</v>
      </c>
      <c r="F216" s="21">
        <v>2.2499999999999999E-2</v>
      </c>
      <c r="G216" s="21">
        <v>2.2499999999999999E-2</v>
      </c>
      <c r="H216" s="21">
        <v>2.2499999999999999E-2</v>
      </c>
    </row>
    <row r="217" spans="3:8" x14ac:dyDescent="0.25">
      <c r="C217" s="652"/>
      <c r="D217" s="6" t="s">
        <v>13</v>
      </c>
      <c r="E217" s="120">
        <v>0.36870000000000003</v>
      </c>
      <c r="F217" s="120">
        <v>0.36870000000000003</v>
      </c>
      <c r="G217" s="120">
        <v>0.36870000000000003</v>
      </c>
      <c r="H217" s="120">
        <v>0.36870000000000003</v>
      </c>
    </row>
    <row r="218" spans="3:8" x14ac:dyDescent="0.25">
      <c r="C218" s="653"/>
      <c r="D218" s="5" t="s">
        <v>17</v>
      </c>
      <c r="E218" s="122">
        <v>0</v>
      </c>
      <c r="F218" s="123">
        <v>0</v>
      </c>
      <c r="G218" s="124">
        <v>0</v>
      </c>
      <c r="H218" s="125">
        <v>0</v>
      </c>
    </row>
    <row r="219" spans="3:8" x14ac:dyDescent="0.25">
      <c r="C219" s="653"/>
      <c r="D219" s="50" t="s">
        <v>42</v>
      </c>
      <c r="E219" s="126">
        <v>0</v>
      </c>
      <c r="F219" s="127">
        <v>0</v>
      </c>
      <c r="G219" s="128">
        <v>0</v>
      </c>
      <c r="H219" s="129">
        <v>0</v>
      </c>
    </row>
    <row r="220" spans="3:8" ht="13.8" thickBot="1" x14ac:dyDescent="0.3">
      <c r="C220" s="653"/>
      <c r="D220" s="5" t="s">
        <v>43</v>
      </c>
      <c r="E220" s="122">
        <v>0</v>
      </c>
      <c r="F220" s="123">
        <v>0</v>
      </c>
      <c r="G220" s="123">
        <v>0</v>
      </c>
      <c r="H220" s="130">
        <v>0</v>
      </c>
    </row>
    <row r="221" spans="3:8" ht="13.8" thickBot="1" x14ac:dyDescent="0.3">
      <c r="C221" s="653"/>
      <c r="D221" s="13" t="s">
        <v>188</v>
      </c>
      <c r="E221" s="51" t="s">
        <v>663</v>
      </c>
      <c r="F221" s="14" t="s">
        <v>191</v>
      </c>
      <c r="G221" s="51" t="s">
        <v>659</v>
      </c>
      <c r="H221" s="57" t="s">
        <v>47</v>
      </c>
    </row>
    <row r="222" spans="3:8" ht="15.6" thickBot="1" x14ac:dyDescent="0.3">
      <c r="C222" s="653"/>
      <c r="D222" s="7" t="s">
        <v>189</v>
      </c>
      <c r="E222" s="51" t="s">
        <v>664</v>
      </c>
      <c r="F222" s="8" t="s">
        <v>192</v>
      </c>
      <c r="G222" s="51" t="s">
        <v>660</v>
      </c>
      <c r="H222" s="117" t="s">
        <v>184</v>
      </c>
    </row>
    <row r="223" spans="3:8" ht="13.8" thickBot="1" x14ac:dyDescent="0.3">
      <c r="C223" s="653"/>
      <c r="D223" s="109" t="s">
        <v>190</v>
      </c>
      <c r="E223" s="110" t="s">
        <v>518</v>
      </c>
      <c r="F223" s="111" t="s">
        <v>193</v>
      </c>
      <c r="G223" s="110" t="s">
        <v>518</v>
      </c>
      <c r="H223" s="57" t="s">
        <v>140</v>
      </c>
    </row>
    <row r="224" spans="3:8" ht="13.8" thickBot="1" x14ac:dyDescent="0.3">
      <c r="C224" s="653"/>
      <c r="D224" s="113" t="s">
        <v>139</v>
      </c>
      <c r="E224" s="114">
        <v>55</v>
      </c>
      <c r="F224" s="116" t="str">
        <f>GetCorrelName1($E224)</f>
        <v>FGT/MKT</v>
      </c>
      <c r="G224" s="115" t="str">
        <f>GetCorrelName2($E224)</f>
        <v>FGTZ</v>
      </c>
      <c r="H224" s="118" t="s">
        <v>27</v>
      </c>
    </row>
    <row r="225" spans="3:8" x14ac:dyDescent="0.25">
      <c r="C225" s="652"/>
      <c r="D225" s="657" t="s">
        <v>16</v>
      </c>
      <c r="E225" s="659" t="s">
        <v>741</v>
      </c>
      <c r="F225" s="660"/>
      <c r="G225" s="660"/>
      <c r="H225" s="661"/>
    </row>
    <row r="226" spans="3:8" ht="13.8" thickBot="1" x14ac:dyDescent="0.3">
      <c r="C226" s="654"/>
      <c r="D226" s="658"/>
      <c r="E226" s="662"/>
      <c r="F226" s="663"/>
      <c r="G226" s="663"/>
      <c r="H226" s="664"/>
    </row>
    <row r="227" spans="3:8" ht="16.8" thickTop="1" thickBot="1" x14ac:dyDescent="0.35">
      <c r="C227" s="651">
        <v>88</v>
      </c>
      <c r="D227" s="655" t="s">
        <v>0</v>
      </c>
      <c r="E227" s="655"/>
      <c r="F227" s="655"/>
      <c r="G227" s="655"/>
      <c r="H227" s="656"/>
    </row>
    <row r="228" spans="3:8" ht="15.6" x14ac:dyDescent="0.3">
      <c r="C228" s="652"/>
      <c r="D228" s="10"/>
      <c r="E228" s="12" t="s">
        <v>3</v>
      </c>
      <c r="F228" s="12" t="s">
        <v>4</v>
      </c>
      <c r="G228" s="12" t="s">
        <v>1</v>
      </c>
      <c r="H228" s="15" t="s">
        <v>2</v>
      </c>
    </row>
    <row r="229" spans="3:8" ht="13.8" thickBot="1" x14ac:dyDescent="0.3">
      <c r="C229" s="652"/>
      <c r="D229" s="11" t="s">
        <v>24</v>
      </c>
      <c r="E229" s="1" t="s">
        <v>94</v>
      </c>
      <c r="F229" s="1" t="s">
        <v>122</v>
      </c>
      <c r="G229" s="2">
        <v>37012</v>
      </c>
      <c r="H229" s="16">
        <v>37376</v>
      </c>
    </row>
    <row r="230" spans="3:8" ht="15.6" thickBot="1" x14ac:dyDescent="0.3">
      <c r="C230" s="652"/>
      <c r="D230" s="27"/>
      <c r="E230" s="3" t="s">
        <v>6</v>
      </c>
      <c r="F230" s="4" t="s">
        <v>7</v>
      </c>
      <c r="G230" s="4" t="s">
        <v>8</v>
      </c>
      <c r="H230" s="17" t="s">
        <v>9</v>
      </c>
    </row>
    <row r="231" spans="3:8" x14ac:dyDescent="0.25">
      <c r="C231" s="652"/>
      <c r="D231" s="9" t="s">
        <v>5</v>
      </c>
      <c r="E231" s="25" t="s">
        <v>768</v>
      </c>
      <c r="F231" s="25" t="s">
        <v>15</v>
      </c>
      <c r="G231" s="25" t="s">
        <v>15</v>
      </c>
      <c r="H231" s="26" t="s">
        <v>15</v>
      </c>
    </row>
    <row r="232" spans="3:8" x14ac:dyDescent="0.25">
      <c r="C232" s="652"/>
      <c r="D232" s="6" t="s">
        <v>10</v>
      </c>
      <c r="E232" s="20">
        <v>1700</v>
      </c>
      <c r="F232" s="20">
        <v>0</v>
      </c>
      <c r="G232" s="20">
        <v>0</v>
      </c>
      <c r="H232" s="18">
        <v>0</v>
      </c>
    </row>
    <row r="233" spans="3:8" x14ac:dyDescent="0.25">
      <c r="C233" s="652"/>
      <c r="D233" s="6" t="s">
        <v>11</v>
      </c>
      <c r="E233" s="120">
        <v>4.8899999999999999E-2</v>
      </c>
      <c r="F233" s="120">
        <v>0</v>
      </c>
      <c r="G233" s="120">
        <v>0</v>
      </c>
      <c r="H233" s="507">
        <v>0</v>
      </c>
    </row>
    <row r="234" spans="3:8" x14ac:dyDescent="0.25">
      <c r="C234" s="652"/>
      <c r="D234" s="6" t="s">
        <v>12</v>
      </c>
      <c r="E234" s="21">
        <v>5.3900000000000003E-2</v>
      </c>
      <c r="F234" s="21">
        <v>0</v>
      </c>
      <c r="G234" s="21">
        <v>0</v>
      </c>
      <c r="H234" s="508">
        <v>0</v>
      </c>
    </row>
    <row r="235" spans="3:8" x14ac:dyDescent="0.25">
      <c r="C235" s="652"/>
      <c r="D235" s="6" t="s">
        <v>13</v>
      </c>
      <c r="E235" s="120">
        <v>0</v>
      </c>
      <c r="F235" s="120">
        <v>0</v>
      </c>
      <c r="G235" s="120">
        <v>0</v>
      </c>
      <c r="H235" s="509">
        <v>0</v>
      </c>
    </row>
    <row r="236" spans="3:8" x14ac:dyDescent="0.25">
      <c r="C236" s="653"/>
      <c r="D236" s="5" t="s">
        <v>17</v>
      </c>
      <c r="E236" s="122">
        <v>0</v>
      </c>
      <c r="F236" s="123">
        <v>0</v>
      </c>
      <c r="G236" s="124">
        <v>0</v>
      </c>
      <c r="H236" s="125">
        <v>0</v>
      </c>
    </row>
    <row r="237" spans="3:8" x14ac:dyDescent="0.25">
      <c r="C237" s="653"/>
      <c r="D237" s="50" t="s">
        <v>42</v>
      </c>
      <c r="E237" s="126">
        <v>0</v>
      </c>
      <c r="F237" s="127">
        <v>0</v>
      </c>
      <c r="G237" s="128">
        <v>0</v>
      </c>
      <c r="H237" s="129">
        <v>0</v>
      </c>
    </row>
    <row r="238" spans="3:8" ht="13.8" thickBot="1" x14ac:dyDescent="0.3">
      <c r="C238" s="653"/>
      <c r="D238" s="5" t="s">
        <v>43</v>
      </c>
      <c r="E238" s="122">
        <v>0</v>
      </c>
      <c r="F238" s="123">
        <v>0</v>
      </c>
      <c r="G238" s="123">
        <v>0</v>
      </c>
      <c r="H238" s="130">
        <v>0</v>
      </c>
    </row>
    <row r="239" spans="3:8" ht="13.8" thickBot="1" x14ac:dyDescent="0.3">
      <c r="C239" s="653"/>
      <c r="D239" s="13" t="s">
        <v>188</v>
      </c>
      <c r="E239" s="51" t="s">
        <v>769</v>
      </c>
      <c r="F239" s="14" t="s">
        <v>191</v>
      </c>
      <c r="G239" s="51" t="s">
        <v>600</v>
      </c>
      <c r="H239" s="57" t="s">
        <v>47</v>
      </c>
    </row>
    <row r="240" spans="3:8" ht="15.6" thickBot="1" x14ac:dyDescent="0.3">
      <c r="C240" s="653"/>
      <c r="D240" s="7" t="s">
        <v>189</v>
      </c>
      <c r="E240" s="51" t="s">
        <v>770</v>
      </c>
      <c r="F240" s="8" t="s">
        <v>192</v>
      </c>
      <c r="G240" s="51" t="s">
        <v>602</v>
      </c>
      <c r="H240" s="117" t="s">
        <v>184</v>
      </c>
    </row>
    <row r="241" spans="3:8" ht="13.8" thickBot="1" x14ac:dyDescent="0.3">
      <c r="C241" s="653"/>
      <c r="D241" s="109" t="s">
        <v>190</v>
      </c>
      <c r="E241" s="110" t="s">
        <v>482</v>
      </c>
      <c r="F241" s="111" t="s">
        <v>193</v>
      </c>
      <c r="G241" s="110" t="s">
        <v>771</v>
      </c>
      <c r="H241" s="57" t="s">
        <v>140</v>
      </c>
    </row>
    <row r="242" spans="3:8" ht="13.8" thickBot="1" x14ac:dyDescent="0.3">
      <c r="C242" s="653"/>
      <c r="D242" s="113" t="s">
        <v>139</v>
      </c>
      <c r="E242" s="114">
        <v>12</v>
      </c>
      <c r="F242" s="116" t="str">
        <f>GetCorrelName1($E242)</f>
        <v>IF-TRANSCO/Z1</v>
      </c>
      <c r="G242" s="115" t="str">
        <f>GetCorrelName2($E242)</f>
        <v>IF-TRANSCO/Z6</v>
      </c>
      <c r="H242" s="118" t="s">
        <v>27</v>
      </c>
    </row>
    <row r="243" spans="3:8" x14ac:dyDescent="0.25">
      <c r="C243" s="652"/>
      <c r="D243" s="657" t="s">
        <v>16</v>
      </c>
      <c r="E243" s="659" t="s">
        <v>772</v>
      </c>
      <c r="F243" s="660"/>
      <c r="G243" s="660"/>
      <c r="H243" s="661"/>
    </row>
    <row r="244" spans="3:8" ht="13.8" thickBot="1" x14ac:dyDescent="0.3">
      <c r="C244" s="654"/>
      <c r="D244" s="658"/>
      <c r="E244" s="662"/>
      <c r="F244" s="663"/>
      <c r="G244" s="663"/>
      <c r="H244" s="664"/>
    </row>
    <row r="245" spans="3:8" ht="16.8" thickTop="1" thickBot="1" x14ac:dyDescent="0.35">
      <c r="C245" s="651">
        <v>89</v>
      </c>
      <c r="D245" s="655" t="s">
        <v>0</v>
      </c>
      <c r="E245" s="655"/>
      <c r="F245" s="655"/>
      <c r="G245" s="655"/>
      <c r="H245" s="656"/>
    </row>
    <row r="246" spans="3:8" ht="15.6" x14ac:dyDescent="0.3">
      <c r="C246" s="652"/>
      <c r="D246" s="10"/>
      <c r="E246" s="12" t="s">
        <v>3</v>
      </c>
      <c r="F246" s="12" t="s">
        <v>4</v>
      </c>
      <c r="G246" s="12" t="s">
        <v>1</v>
      </c>
      <c r="H246" s="15" t="s">
        <v>2</v>
      </c>
    </row>
    <row r="247" spans="3:8" ht="13.8" thickBot="1" x14ac:dyDescent="0.3">
      <c r="C247" s="652"/>
      <c r="D247" s="11" t="s">
        <v>24</v>
      </c>
      <c r="E247" s="1" t="s">
        <v>99</v>
      </c>
      <c r="F247" s="1" t="s">
        <v>122</v>
      </c>
      <c r="G247" s="2">
        <v>37012</v>
      </c>
      <c r="H247" s="16">
        <v>37376</v>
      </c>
    </row>
    <row r="248" spans="3:8" ht="15.6" thickBot="1" x14ac:dyDescent="0.3">
      <c r="C248" s="652"/>
      <c r="D248" s="27"/>
      <c r="E248" s="3" t="s">
        <v>6</v>
      </c>
      <c r="F248" s="4" t="s">
        <v>7</v>
      </c>
      <c r="G248" s="4" t="s">
        <v>8</v>
      </c>
      <c r="H248" s="17" t="s">
        <v>9</v>
      </c>
    </row>
    <row r="249" spans="3:8" x14ac:dyDescent="0.25">
      <c r="C249" s="652"/>
      <c r="D249" s="9" t="s">
        <v>5</v>
      </c>
      <c r="E249" s="25" t="s">
        <v>768</v>
      </c>
      <c r="F249" s="25" t="s">
        <v>15</v>
      </c>
      <c r="G249" s="25" t="s">
        <v>15</v>
      </c>
      <c r="H249" s="510" t="s">
        <v>15</v>
      </c>
    </row>
    <row r="250" spans="3:8" x14ac:dyDescent="0.25">
      <c r="C250" s="652"/>
      <c r="D250" s="6" t="s">
        <v>10</v>
      </c>
      <c r="E250" s="20">
        <v>2500</v>
      </c>
      <c r="F250" s="20">
        <v>0</v>
      </c>
      <c r="G250" s="20">
        <v>0</v>
      </c>
      <c r="H250" s="511">
        <v>0</v>
      </c>
    </row>
    <row r="251" spans="3:8" x14ac:dyDescent="0.25">
      <c r="C251" s="652"/>
      <c r="D251" s="6" t="s">
        <v>11</v>
      </c>
      <c r="E251" s="120">
        <v>4.6399999999999997E-2</v>
      </c>
      <c r="F251" s="120">
        <v>0</v>
      </c>
      <c r="G251" s="120">
        <v>0</v>
      </c>
      <c r="H251" s="507">
        <v>0</v>
      </c>
    </row>
    <row r="252" spans="3:8" x14ac:dyDescent="0.25">
      <c r="C252" s="652"/>
      <c r="D252" s="6" t="s">
        <v>12</v>
      </c>
      <c r="E252" s="21">
        <v>5.04E-2</v>
      </c>
      <c r="F252" s="21">
        <v>0</v>
      </c>
      <c r="G252" s="21">
        <v>0</v>
      </c>
      <c r="H252" s="508">
        <v>0</v>
      </c>
    </row>
    <row r="253" spans="3:8" x14ac:dyDescent="0.25">
      <c r="C253" s="652"/>
      <c r="D253" s="6" t="s">
        <v>13</v>
      </c>
      <c r="E253" s="120">
        <v>0</v>
      </c>
      <c r="F253" s="120">
        <v>0</v>
      </c>
      <c r="G253" s="120">
        <v>0</v>
      </c>
      <c r="H253" s="507">
        <v>0</v>
      </c>
    </row>
    <row r="254" spans="3:8" x14ac:dyDescent="0.25">
      <c r="C254" s="653"/>
      <c r="D254" s="5" t="s">
        <v>17</v>
      </c>
      <c r="E254" s="122">
        <v>0</v>
      </c>
      <c r="F254" s="123">
        <v>0</v>
      </c>
      <c r="G254" s="123">
        <v>0</v>
      </c>
      <c r="H254" s="512">
        <v>0</v>
      </c>
    </row>
    <row r="255" spans="3:8" x14ac:dyDescent="0.25">
      <c r="C255" s="653"/>
      <c r="D255" s="50" t="s">
        <v>42</v>
      </c>
      <c r="E255" s="126">
        <v>0</v>
      </c>
      <c r="F255" s="127">
        <v>0</v>
      </c>
      <c r="G255" s="127">
        <v>0</v>
      </c>
      <c r="H255" s="513">
        <v>0</v>
      </c>
    </row>
    <row r="256" spans="3:8" ht="13.8" thickBot="1" x14ac:dyDescent="0.3">
      <c r="C256" s="653"/>
      <c r="D256" s="5" t="s">
        <v>43</v>
      </c>
      <c r="E256" s="122">
        <v>0</v>
      </c>
      <c r="F256" s="123">
        <v>0</v>
      </c>
      <c r="G256" s="123">
        <v>0</v>
      </c>
      <c r="H256" s="514">
        <v>0</v>
      </c>
    </row>
    <row r="257" spans="3:8" ht="13.8" thickBot="1" x14ac:dyDescent="0.3">
      <c r="C257" s="653"/>
      <c r="D257" s="13" t="s">
        <v>188</v>
      </c>
      <c r="E257" s="51" t="s">
        <v>773</v>
      </c>
      <c r="F257" s="14" t="s">
        <v>191</v>
      </c>
      <c r="G257" s="51" t="s">
        <v>600</v>
      </c>
      <c r="H257" s="57" t="s">
        <v>47</v>
      </c>
    </row>
    <row r="258" spans="3:8" ht="15.6" thickBot="1" x14ac:dyDescent="0.3">
      <c r="C258" s="653"/>
      <c r="D258" s="7" t="s">
        <v>189</v>
      </c>
      <c r="E258" s="51" t="s">
        <v>774</v>
      </c>
      <c r="F258" s="8" t="s">
        <v>192</v>
      </c>
      <c r="G258" s="51" t="s">
        <v>602</v>
      </c>
      <c r="H258" s="117" t="s">
        <v>184</v>
      </c>
    </row>
    <row r="259" spans="3:8" ht="13.8" thickBot="1" x14ac:dyDescent="0.3">
      <c r="C259" s="653"/>
      <c r="D259" s="109" t="s">
        <v>190</v>
      </c>
      <c r="E259" s="110" t="s">
        <v>144</v>
      </c>
      <c r="F259" s="111" t="s">
        <v>193</v>
      </c>
      <c r="G259" s="110" t="s">
        <v>771</v>
      </c>
      <c r="H259" s="57" t="s">
        <v>140</v>
      </c>
    </row>
    <row r="260" spans="3:8" ht="13.8" thickBot="1" x14ac:dyDescent="0.3">
      <c r="C260" s="653"/>
      <c r="D260" s="113" t="s">
        <v>139</v>
      </c>
      <c r="E260" s="114">
        <v>19</v>
      </c>
      <c r="F260" s="116" t="str">
        <f>GetCorrelName1($E260)</f>
        <v>IF-TRANSCO/Z2</v>
      </c>
      <c r="G260" s="115" t="str">
        <f>GetCorrelName2($E260)</f>
        <v>IF-TRANSCO/Z6</v>
      </c>
      <c r="H260" s="118" t="s">
        <v>27</v>
      </c>
    </row>
    <row r="261" spans="3:8" x14ac:dyDescent="0.25">
      <c r="C261" s="652"/>
      <c r="D261" s="657" t="s">
        <v>16</v>
      </c>
      <c r="E261" s="659" t="s">
        <v>772</v>
      </c>
      <c r="F261" s="660"/>
      <c r="G261" s="660"/>
      <c r="H261" s="661"/>
    </row>
    <row r="262" spans="3:8" ht="13.8" thickBot="1" x14ac:dyDescent="0.3">
      <c r="C262" s="654"/>
      <c r="D262" s="658"/>
      <c r="E262" s="662"/>
      <c r="F262" s="663"/>
      <c r="G262" s="663"/>
      <c r="H262" s="664"/>
    </row>
    <row r="263" spans="3:8" ht="16.8" thickTop="1" thickBot="1" x14ac:dyDescent="0.35">
      <c r="C263" s="651">
        <v>90</v>
      </c>
      <c r="D263" s="655" t="s">
        <v>0</v>
      </c>
      <c r="E263" s="655"/>
      <c r="F263" s="655"/>
      <c r="G263" s="655"/>
      <c r="H263" s="656"/>
    </row>
    <row r="264" spans="3:8" ht="15.6" x14ac:dyDescent="0.3">
      <c r="C264" s="652"/>
      <c r="D264" s="10"/>
      <c r="E264" s="12" t="s">
        <v>3</v>
      </c>
      <c r="F264" s="12" t="s">
        <v>4</v>
      </c>
      <c r="G264" s="12" t="s">
        <v>1</v>
      </c>
      <c r="H264" s="15" t="s">
        <v>2</v>
      </c>
    </row>
    <row r="265" spans="3:8" ht="13.8" thickBot="1" x14ac:dyDescent="0.3">
      <c r="C265" s="652"/>
      <c r="D265" s="11" t="s">
        <v>24</v>
      </c>
      <c r="E265" s="1" t="s">
        <v>95</v>
      </c>
      <c r="F265" s="1" t="s">
        <v>122</v>
      </c>
      <c r="G265" s="2">
        <v>37012</v>
      </c>
      <c r="H265" s="16">
        <v>37376</v>
      </c>
    </row>
    <row r="266" spans="3:8" ht="15.6" thickBot="1" x14ac:dyDescent="0.3">
      <c r="C266" s="652"/>
      <c r="D266" s="27"/>
      <c r="E266" s="3" t="s">
        <v>6</v>
      </c>
      <c r="F266" s="4" t="s">
        <v>7</v>
      </c>
      <c r="G266" s="4" t="s">
        <v>8</v>
      </c>
      <c r="H266" s="17" t="s">
        <v>9</v>
      </c>
    </row>
    <row r="267" spans="3:8" x14ac:dyDescent="0.25">
      <c r="C267" s="652"/>
      <c r="D267" s="9" t="s">
        <v>5</v>
      </c>
      <c r="E267" s="25" t="s">
        <v>768</v>
      </c>
      <c r="F267" s="25" t="s">
        <v>15</v>
      </c>
      <c r="G267" s="25" t="s">
        <v>15</v>
      </c>
      <c r="H267" s="510" t="s">
        <v>15</v>
      </c>
    </row>
    <row r="268" spans="3:8" x14ac:dyDescent="0.25">
      <c r="C268" s="652"/>
      <c r="D268" s="6" t="s">
        <v>10</v>
      </c>
      <c r="E268" s="20">
        <v>5800</v>
      </c>
      <c r="F268" s="20">
        <v>0</v>
      </c>
      <c r="G268" s="20">
        <v>0</v>
      </c>
      <c r="H268" s="511">
        <v>0</v>
      </c>
    </row>
    <row r="269" spans="3:8" x14ac:dyDescent="0.25">
      <c r="C269" s="652"/>
      <c r="D269" s="6" t="s">
        <v>11</v>
      </c>
      <c r="E269" s="120">
        <v>4.3299999999999998E-2</v>
      </c>
      <c r="F269" s="120">
        <v>0</v>
      </c>
      <c r="G269" s="120">
        <v>0</v>
      </c>
      <c r="H269" s="507">
        <v>0</v>
      </c>
    </row>
    <row r="270" spans="3:8" x14ac:dyDescent="0.25">
      <c r="C270" s="652"/>
      <c r="D270" s="6" t="s">
        <v>12</v>
      </c>
      <c r="E270" s="21">
        <v>4.6199999999999998E-2</v>
      </c>
      <c r="F270" s="21">
        <v>0</v>
      </c>
      <c r="G270" s="21">
        <v>0</v>
      </c>
      <c r="H270" s="508">
        <v>0</v>
      </c>
    </row>
    <row r="271" spans="3:8" x14ac:dyDescent="0.25">
      <c r="C271" s="652"/>
      <c r="D271" s="6" t="s">
        <v>13</v>
      </c>
      <c r="E271" s="120">
        <v>0</v>
      </c>
      <c r="F271" s="120">
        <v>0</v>
      </c>
      <c r="G271" s="120">
        <v>0</v>
      </c>
      <c r="H271" s="507">
        <v>0</v>
      </c>
    </row>
    <row r="272" spans="3:8" x14ac:dyDescent="0.25">
      <c r="C272" s="653"/>
      <c r="D272" s="5" t="s">
        <v>17</v>
      </c>
      <c r="E272" s="122">
        <v>0</v>
      </c>
      <c r="F272" s="123">
        <v>0</v>
      </c>
      <c r="G272" s="123">
        <v>0</v>
      </c>
      <c r="H272" s="512">
        <v>0</v>
      </c>
    </row>
    <row r="273" spans="3:8" x14ac:dyDescent="0.25">
      <c r="C273" s="653"/>
      <c r="D273" s="50" t="s">
        <v>42</v>
      </c>
      <c r="E273" s="126">
        <v>0</v>
      </c>
      <c r="F273" s="127">
        <v>0</v>
      </c>
      <c r="G273" s="127">
        <v>0</v>
      </c>
      <c r="H273" s="513">
        <v>0</v>
      </c>
    </row>
    <row r="274" spans="3:8" ht="13.8" thickBot="1" x14ac:dyDescent="0.3">
      <c r="C274" s="653"/>
      <c r="D274" s="5" t="s">
        <v>43</v>
      </c>
      <c r="E274" s="122">
        <v>0</v>
      </c>
      <c r="F274" s="123">
        <v>0</v>
      </c>
      <c r="G274" s="123">
        <v>0</v>
      </c>
      <c r="H274" s="514">
        <v>0</v>
      </c>
    </row>
    <row r="275" spans="3:8" ht="13.8" thickBot="1" x14ac:dyDescent="0.3">
      <c r="C275" s="653"/>
      <c r="D275" s="13" t="s">
        <v>188</v>
      </c>
      <c r="E275" s="51" t="s">
        <v>599</v>
      </c>
      <c r="F275" s="14" t="s">
        <v>191</v>
      </c>
      <c r="G275" s="51" t="s">
        <v>600</v>
      </c>
      <c r="H275" s="57" t="s">
        <v>47</v>
      </c>
    </row>
    <row r="276" spans="3:8" ht="15.6" thickBot="1" x14ac:dyDescent="0.3">
      <c r="C276" s="653"/>
      <c r="D276" s="7" t="s">
        <v>189</v>
      </c>
      <c r="E276" s="51" t="s">
        <v>601</v>
      </c>
      <c r="F276" s="8" t="s">
        <v>192</v>
      </c>
      <c r="G276" s="51" t="s">
        <v>602</v>
      </c>
      <c r="H276" s="117" t="s">
        <v>184</v>
      </c>
    </row>
    <row r="277" spans="3:8" ht="13.8" thickBot="1" x14ac:dyDescent="0.3">
      <c r="C277" s="653"/>
      <c r="D277" s="109" t="s">
        <v>190</v>
      </c>
      <c r="E277" s="110" t="s">
        <v>518</v>
      </c>
      <c r="F277" s="111" t="s">
        <v>193</v>
      </c>
      <c r="G277" s="110" t="s">
        <v>771</v>
      </c>
      <c r="H277" s="57" t="s">
        <v>140</v>
      </c>
    </row>
    <row r="278" spans="3:8" ht="13.8" thickBot="1" x14ac:dyDescent="0.3">
      <c r="C278" s="653"/>
      <c r="D278" s="113" t="s">
        <v>139</v>
      </c>
      <c r="E278" s="114">
        <v>13</v>
      </c>
      <c r="F278" s="116" t="str">
        <f>GetCorrelName1($E278)</f>
        <v>IF-TRANSCO/Z3</v>
      </c>
      <c r="G278" s="115" t="str">
        <f>GetCorrelName2($E278)</f>
        <v>IF-TRANSCO/Z6</v>
      </c>
      <c r="H278" s="118" t="s">
        <v>27</v>
      </c>
    </row>
    <row r="279" spans="3:8" x14ac:dyDescent="0.25">
      <c r="C279" s="652"/>
      <c r="D279" s="657" t="s">
        <v>16</v>
      </c>
      <c r="E279" s="659" t="s">
        <v>772</v>
      </c>
      <c r="F279" s="660"/>
      <c r="G279" s="660"/>
      <c r="H279" s="661"/>
    </row>
    <row r="280" spans="3:8" ht="13.8" thickBot="1" x14ac:dyDescent="0.3">
      <c r="C280" s="654"/>
      <c r="D280" s="658"/>
      <c r="E280" s="662"/>
      <c r="F280" s="663"/>
      <c r="G280" s="663"/>
      <c r="H280" s="664"/>
    </row>
    <row r="281" spans="3:8" ht="16.8" thickTop="1" thickBot="1" x14ac:dyDescent="0.35">
      <c r="C281" s="651">
        <v>100</v>
      </c>
      <c r="D281" s="655" t="s">
        <v>0</v>
      </c>
      <c r="E281" s="655"/>
      <c r="F281" s="655"/>
      <c r="G281" s="655"/>
      <c r="H281" s="656"/>
    </row>
    <row r="282" spans="3:8" ht="15.6" x14ac:dyDescent="0.3">
      <c r="C282" s="652"/>
      <c r="D282" s="10"/>
      <c r="E282" s="12" t="s">
        <v>3</v>
      </c>
      <c r="F282" s="12" t="s">
        <v>4</v>
      </c>
      <c r="G282" s="12" t="s">
        <v>1</v>
      </c>
      <c r="H282" s="15" t="s">
        <v>2</v>
      </c>
    </row>
    <row r="283" spans="3:8" ht="13.8" thickBot="1" x14ac:dyDescent="0.3">
      <c r="C283" s="652"/>
      <c r="D283" s="11" t="s">
        <v>24</v>
      </c>
      <c r="E283" s="1" t="s">
        <v>807</v>
      </c>
      <c r="F283" s="1" t="s">
        <v>808</v>
      </c>
      <c r="G283" s="2">
        <v>37196</v>
      </c>
      <c r="H283" s="16">
        <v>37346</v>
      </c>
    </row>
    <row r="284" spans="3:8" ht="15.6" thickBot="1" x14ac:dyDescent="0.3">
      <c r="C284" s="652"/>
      <c r="D284" s="27"/>
      <c r="E284" s="3" t="s">
        <v>6</v>
      </c>
      <c r="F284" s="4" t="s">
        <v>7</v>
      </c>
      <c r="G284" s="4" t="s">
        <v>8</v>
      </c>
      <c r="H284" s="17" t="s">
        <v>9</v>
      </c>
    </row>
    <row r="285" spans="3:8" x14ac:dyDescent="0.25">
      <c r="C285" s="652"/>
      <c r="D285" s="9" t="s">
        <v>5</v>
      </c>
      <c r="E285" s="25" t="s">
        <v>756</v>
      </c>
      <c r="F285" s="25" t="s">
        <v>809</v>
      </c>
      <c r="G285" s="25" t="s">
        <v>15</v>
      </c>
      <c r="H285" s="510" t="s">
        <v>15</v>
      </c>
    </row>
    <row r="286" spans="3:8" x14ac:dyDescent="0.25">
      <c r="C286" s="652"/>
      <c r="D286" s="6" t="s">
        <v>10</v>
      </c>
      <c r="E286" s="20">
        <v>1074</v>
      </c>
      <c r="F286" s="20">
        <v>1074</v>
      </c>
      <c r="G286" s="20">
        <v>0</v>
      </c>
      <c r="H286" s="511">
        <v>0</v>
      </c>
    </row>
    <row r="287" spans="3:8" x14ac:dyDescent="0.25">
      <c r="C287" s="652"/>
      <c r="D287" s="6" t="s">
        <v>11</v>
      </c>
      <c r="E287" s="120">
        <v>7.5700000000000003E-2</v>
      </c>
      <c r="F287" s="120">
        <v>7.5700000000000003E-2</v>
      </c>
      <c r="G287" s="120">
        <v>0</v>
      </c>
      <c r="H287" s="507">
        <v>0</v>
      </c>
    </row>
    <row r="288" spans="3:8" x14ac:dyDescent="0.25">
      <c r="C288" s="652"/>
      <c r="D288" s="6" t="s">
        <v>12</v>
      </c>
      <c r="E288" s="21">
        <v>7.0699999999999999E-2</v>
      </c>
      <c r="F288" s="21">
        <v>7.0699999999999999E-2</v>
      </c>
      <c r="G288" s="21">
        <v>0</v>
      </c>
      <c r="H288" s="508">
        <v>0</v>
      </c>
    </row>
    <row r="289" spans="3:8" x14ac:dyDescent="0.25">
      <c r="C289" s="652"/>
      <c r="D289" s="6" t="s">
        <v>13</v>
      </c>
      <c r="E289" s="120">
        <v>0</v>
      </c>
      <c r="F289" s="120">
        <v>0</v>
      </c>
      <c r="G289" s="120">
        <v>0</v>
      </c>
      <c r="H289" s="507">
        <v>0</v>
      </c>
    </row>
    <row r="290" spans="3:8" x14ac:dyDescent="0.25">
      <c r="C290" s="653"/>
      <c r="D290" s="5" t="s">
        <v>17</v>
      </c>
      <c r="E290" s="122">
        <v>0</v>
      </c>
      <c r="F290" s="123">
        <v>0</v>
      </c>
      <c r="G290" s="123">
        <v>0</v>
      </c>
      <c r="H290" s="512">
        <v>0</v>
      </c>
    </row>
    <row r="291" spans="3:8" x14ac:dyDescent="0.25">
      <c r="C291" s="653"/>
      <c r="D291" s="50" t="s">
        <v>42</v>
      </c>
      <c r="E291" s="126">
        <v>0</v>
      </c>
      <c r="F291" s="127">
        <v>0</v>
      </c>
      <c r="G291" s="127">
        <v>0</v>
      </c>
      <c r="H291" s="513">
        <v>0</v>
      </c>
    </row>
    <row r="292" spans="3:8" ht="13.8" thickBot="1" x14ac:dyDescent="0.3">
      <c r="C292" s="653"/>
      <c r="D292" s="5" t="s">
        <v>43</v>
      </c>
      <c r="E292" s="122">
        <v>0</v>
      </c>
      <c r="F292" s="123">
        <v>0</v>
      </c>
      <c r="G292" s="123">
        <v>0</v>
      </c>
      <c r="H292" s="514">
        <v>0</v>
      </c>
    </row>
    <row r="293" spans="3:8" ht="13.8" thickBot="1" x14ac:dyDescent="0.3">
      <c r="C293" s="653"/>
      <c r="D293" s="13" t="s">
        <v>188</v>
      </c>
      <c r="E293" s="51" t="s">
        <v>810</v>
      </c>
      <c r="F293" s="14" t="s">
        <v>191</v>
      </c>
      <c r="G293" s="51" t="s">
        <v>827</v>
      </c>
      <c r="H293" s="57" t="s">
        <v>47</v>
      </c>
    </row>
    <row r="294" spans="3:8" ht="15.6" thickBot="1" x14ac:dyDescent="0.3">
      <c r="C294" s="653"/>
      <c r="D294" s="7" t="s">
        <v>189</v>
      </c>
      <c r="E294" s="51" t="s">
        <v>811</v>
      </c>
      <c r="F294" s="8" t="s">
        <v>192</v>
      </c>
      <c r="G294" s="51" t="s">
        <v>828</v>
      </c>
      <c r="H294" s="117" t="s">
        <v>184</v>
      </c>
    </row>
    <row r="295" spans="3:8" ht="13.8" thickBot="1" x14ac:dyDescent="0.3">
      <c r="C295" s="653"/>
      <c r="D295" s="109" t="s">
        <v>190</v>
      </c>
      <c r="E295" s="110" t="s">
        <v>482</v>
      </c>
      <c r="F295" s="111" t="s">
        <v>193</v>
      </c>
      <c r="G295" s="110" t="s">
        <v>22</v>
      </c>
      <c r="H295" s="57" t="s">
        <v>140</v>
      </c>
    </row>
    <row r="296" spans="3:8" ht="13.8" thickBot="1" x14ac:dyDescent="0.3">
      <c r="C296" s="653"/>
      <c r="D296" s="113" t="s">
        <v>139</v>
      </c>
      <c r="E296" s="114">
        <v>27</v>
      </c>
      <c r="F296" s="116" t="s">
        <v>103</v>
      </c>
      <c r="G296" s="115" t="s">
        <v>128</v>
      </c>
      <c r="H296" s="118" t="s">
        <v>143</v>
      </c>
    </row>
    <row r="297" spans="3:8" x14ac:dyDescent="0.25">
      <c r="C297" s="652"/>
      <c r="D297" s="657" t="s">
        <v>16</v>
      </c>
      <c r="E297" s="659" t="s">
        <v>812</v>
      </c>
      <c r="F297" s="660"/>
      <c r="G297" s="660"/>
      <c r="H297" s="661"/>
    </row>
    <row r="298" spans="3:8" ht="13.8" thickBot="1" x14ac:dyDescent="0.3">
      <c r="C298" s="654"/>
      <c r="D298" s="658"/>
      <c r="E298" s="662"/>
      <c r="F298" s="663"/>
      <c r="G298" s="663"/>
      <c r="H298" s="664"/>
    </row>
    <row r="299" spans="3:8" ht="16.8" thickTop="1" thickBot="1" x14ac:dyDescent="0.35">
      <c r="C299" s="651">
        <v>101</v>
      </c>
      <c r="D299" s="655" t="s">
        <v>0</v>
      </c>
      <c r="E299" s="655"/>
      <c r="F299" s="655"/>
      <c r="G299" s="655"/>
      <c r="H299" s="656"/>
    </row>
    <row r="300" spans="3:8" ht="15.6" x14ac:dyDescent="0.3">
      <c r="C300" s="652"/>
      <c r="D300" s="10"/>
      <c r="E300" s="12" t="s">
        <v>3</v>
      </c>
      <c r="F300" s="12" t="s">
        <v>4</v>
      </c>
      <c r="G300" s="12" t="s">
        <v>1</v>
      </c>
      <c r="H300" s="15" t="s">
        <v>2</v>
      </c>
    </row>
    <row r="301" spans="3:8" ht="13.8" thickBot="1" x14ac:dyDescent="0.3">
      <c r="C301" s="652"/>
      <c r="D301" s="11" t="s">
        <v>24</v>
      </c>
      <c r="E301" s="1" t="s">
        <v>813</v>
      </c>
      <c r="F301" s="1" t="s">
        <v>808</v>
      </c>
      <c r="G301" s="2">
        <v>37196</v>
      </c>
      <c r="H301" s="16">
        <v>37346</v>
      </c>
    </row>
    <row r="302" spans="3:8" ht="15.6" thickBot="1" x14ac:dyDescent="0.3">
      <c r="C302" s="652"/>
      <c r="D302" s="27"/>
      <c r="E302" s="3" t="s">
        <v>6</v>
      </c>
      <c r="F302" s="4" t="s">
        <v>7</v>
      </c>
      <c r="G302" s="4" t="s">
        <v>8</v>
      </c>
      <c r="H302" s="17" t="s">
        <v>9</v>
      </c>
    </row>
    <row r="303" spans="3:8" x14ac:dyDescent="0.25">
      <c r="C303" s="652"/>
      <c r="D303" s="9" t="s">
        <v>5</v>
      </c>
      <c r="E303" s="25" t="s">
        <v>756</v>
      </c>
      <c r="F303" s="25" t="s">
        <v>809</v>
      </c>
      <c r="G303" s="25" t="s">
        <v>15</v>
      </c>
      <c r="H303" s="510" t="s">
        <v>15</v>
      </c>
    </row>
    <row r="304" spans="3:8" x14ac:dyDescent="0.25">
      <c r="C304" s="652"/>
      <c r="D304" s="6" t="s">
        <v>10</v>
      </c>
      <c r="E304" s="20">
        <v>1597</v>
      </c>
      <c r="F304" s="20">
        <v>1597</v>
      </c>
      <c r="G304" s="20">
        <v>0</v>
      </c>
      <c r="H304" s="511">
        <v>0</v>
      </c>
    </row>
    <row r="305" spans="3:8" x14ac:dyDescent="0.25">
      <c r="C305" s="652"/>
      <c r="D305" s="6" t="s">
        <v>11</v>
      </c>
      <c r="E305" s="120">
        <v>7.5700000000000003E-2</v>
      </c>
      <c r="F305" s="120">
        <v>7.5700000000000003E-2</v>
      </c>
      <c r="G305" s="120">
        <v>0</v>
      </c>
      <c r="H305" s="507">
        <v>0</v>
      </c>
    </row>
    <row r="306" spans="3:8" x14ac:dyDescent="0.25">
      <c r="C306" s="652"/>
      <c r="D306" s="6" t="s">
        <v>12</v>
      </c>
      <c r="E306" s="21">
        <v>7.0699999999999999E-2</v>
      </c>
      <c r="F306" s="21">
        <v>7.0699999999999999E-2</v>
      </c>
      <c r="G306" s="21">
        <v>0</v>
      </c>
      <c r="H306" s="508">
        <v>0</v>
      </c>
    </row>
    <row r="307" spans="3:8" x14ac:dyDescent="0.25">
      <c r="C307" s="652"/>
      <c r="D307" s="6" t="s">
        <v>13</v>
      </c>
      <c r="E307" s="120">
        <v>0</v>
      </c>
      <c r="F307" s="120">
        <v>0</v>
      </c>
      <c r="G307" s="120">
        <v>0</v>
      </c>
      <c r="H307" s="507">
        <v>0</v>
      </c>
    </row>
    <row r="308" spans="3:8" x14ac:dyDescent="0.25">
      <c r="C308" s="653"/>
      <c r="D308" s="5" t="s">
        <v>17</v>
      </c>
      <c r="E308" s="122">
        <v>0</v>
      </c>
      <c r="F308" s="123">
        <v>0</v>
      </c>
      <c r="G308" s="123">
        <v>0</v>
      </c>
      <c r="H308" s="512">
        <v>0</v>
      </c>
    </row>
    <row r="309" spans="3:8" x14ac:dyDescent="0.25">
      <c r="C309" s="653"/>
      <c r="D309" s="50" t="s">
        <v>42</v>
      </c>
      <c r="E309" s="126">
        <v>0</v>
      </c>
      <c r="F309" s="127">
        <v>0</v>
      </c>
      <c r="G309" s="127">
        <v>0</v>
      </c>
      <c r="H309" s="513">
        <v>0</v>
      </c>
    </row>
    <row r="310" spans="3:8" ht="13.8" thickBot="1" x14ac:dyDescent="0.3">
      <c r="C310" s="653"/>
      <c r="D310" s="5" t="s">
        <v>43</v>
      </c>
      <c r="E310" s="122">
        <v>0</v>
      </c>
      <c r="F310" s="123">
        <v>0</v>
      </c>
      <c r="G310" s="123">
        <v>0</v>
      </c>
      <c r="H310" s="514">
        <v>0</v>
      </c>
    </row>
    <row r="311" spans="3:8" ht="13.8" thickBot="1" x14ac:dyDescent="0.3">
      <c r="C311" s="653"/>
      <c r="D311" s="13" t="s">
        <v>188</v>
      </c>
      <c r="E311" s="51" t="s">
        <v>814</v>
      </c>
      <c r="F311" s="14" t="s">
        <v>191</v>
      </c>
      <c r="G311" s="51" t="s">
        <v>827</v>
      </c>
      <c r="H311" s="57" t="s">
        <v>47</v>
      </c>
    </row>
    <row r="312" spans="3:8" ht="15.6" thickBot="1" x14ac:dyDescent="0.3">
      <c r="C312" s="653"/>
      <c r="D312" s="7" t="s">
        <v>189</v>
      </c>
      <c r="E312" s="51" t="s">
        <v>815</v>
      </c>
      <c r="F312" s="8" t="s">
        <v>192</v>
      </c>
      <c r="G312" s="51" t="s">
        <v>828</v>
      </c>
      <c r="H312" s="117" t="s">
        <v>184</v>
      </c>
    </row>
    <row r="313" spans="3:8" ht="13.8" thickBot="1" x14ac:dyDescent="0.3">
      <c r="C313" s="653"/>
      <c r="D313" s="109" t="s">
        <v>190</v>
      </c>
      <c r="E313" s="110" t="s">
        <v>144</v>
      </c>
      <c r="F313" s="111" t="s">
        <v>193</v>
      </c>
      <c r="G313" s="110" t="s">
        <v>22</v>
      </c>
      <c r="H313" s="57" t="s">
        <v>140</v>
      </c>
    </row>
    <row r="314" spans="3:8" ht="13.8" thickBot="1" x14ac:dyDescent="0.3">
      <c r="C314" s="653"/>
      <c r="D314" s="113" t="s">
        <v>139</v>
      </c>
      <c r="E314" s="114">
        <v>25</v>
      </c>
      <c r="F314" s="116" t="s">
        <v>101</v>
      </c>
      <c r="G314" s="115" t="s">
        <v>128</v>
      </c>
      <c r="H314" s="118" t="s">
        <v>143</v>
      </c>
    </row>
    <row r="315" spans="3:8" x14ac:dyDescent="0.25">
      <c r="C315" s="652"/>
      <c r="D315" s="657" t="s">
        <v>16</v>
      </c>
      <c r="E315" s="659" t="s">
        <v>812</v>
      </c>
      <c r="F315" s="660"/>
      <c r="G315" s="660"/>
      <c r="H315" s="661"/>
    </row>
    <row r="316" spans="3:8" ht="13.8" thickBot="1" x14ac:dyDescent="0.3">
      <c r="C316" s="654"/>
      <c r="D316" s="658"/>
      <c r="E316" s="662"/>
      <c r="F316" s="663"/>
      <c r="G316" s="663"/>
      <c r="H316" s="664"/>
    </row>
    <row r="317" spans="3:8" ht="16.8" thickTop="1" thickBot="1" x14ac:dyDescent="0.35">
      <c r="C317" s="651">
        <v>102</v>
      </c>
      <c r="D317" s="655" t="s">
        <v>0</v>
      </c>
      <c r="E317" s="655"/>
      <c r="F317" s="655"/>
      <c r="G317" s="655"/>
      <c r="H317" s="656"/>
    </row>
    <row r="318" spans="3:8" ht="15.6" x14ac:dyDescent="0.3">
      <c r="C318" s="652"/>
      <c r="D318" s="10"/>
      <c r="E318" s="12" t="s">
        <v>3</v>
      </c>
      <c r="F318" s="12" t="s">
        <v>4</v>
      </c>
      <c r="G318" s="12" t="s">
        <v>1</v>
      </c>
      <c r="H318" s="15" t="s">
        <v>2</v>
      </c>
    </row>
    <row r="319" spans="3:8" ht="13.8" thickBot="1" x14ac:dyDescent="0.3">
      <c r="C319" s="652"/>
      <c r="D319" s="11" t="s">
        <v>24</v>
      </c>
      <c r="E319" s="1" t="s">
        <v>816</v>
      </c>
      <c r="F319" s="1" t="s">
        <v>808</v>
      </c>
      <c r="G319" s="2">
        <v>37196</v>
      </c>
      <c r="H319" s="16">
        <v>37346</v>
      </c>
    </row>
    <row r="320" spans="3:8" ht="15.6" thickBot="1" x14ac:dyDescent="0.3">
      <c r="C320" s="652"/>
      <c r="D320" s="27"/>
      <c r="E320" s="3" t="s">
        <v>6</v>
      </c>
      <c r="F320" s="4" t="s">
        <v>7</v>
      </c>
      <c r="G320" s="4" t="s">
        <v>8</v>
      </c>
      <c r="H320" s="17" t="s">
        <v>9</v>
      </c>
    </row>
    <row r="321" spans="3:8" x14ac:dyDescent="0.25">
      <c r="C321" s="652"/>
      <c r="D321" s="9" t="s">
        <v>5</v>
      </c>
      <c r="E321" s="25" t="s">
        <v>756</v>
      </c>
      <c r="F321" s="25" t="s">
        <v>809</v>
      </c>
      <c r="G321" s="25" t="s">
        <v>15</v>
      </c>
      <c r="H321" s="510" t="s">
        <v>15</v>
      </c>
    </row>
    <row r="322" spans="3:8" x14ac:dyDescent="0.25">
      <c r="C322" s="652"/>
      <c r="D322" s="6" t="s">
        <v>10</v>
      </c>
      <c r="E322" s="20">
        <v>989</v>
      </c>
      <c r="F322" s="20">
        <v>989</v>
      </c>
      <c r="G322" s="20">
        <v>0</v>
      </c>
      <c r="H322" s="511">
        <v>0</v>
      </c>
    </row>
    <row r="323" spans="3:8" x14ac:dyDescent="0.25">
      <c r="C323" s="652"/>
      <c r="D323" s="6" t="s">
        <v>11</v>
      </c>
      <c r="E323" s="120">
        <v>7.8799999999999995E-2</v>
      </c>
      <c r="F323" s="120">
        <v>7.8799999999999995E-2</v>
      </c>
      <c r="G323" s="120">
        <v>0</v>
      </c>
      <c r="H323" s="507">
        <v>0</v>
      </c>
    </row>
    <row r="324" spans="3:8" x14ac:dyDescent="0.25">
      <c r="C324" s="652"/>
      <c r="D324" s="6" t="s">
        <v>12</v>
      </c>
      <c r="E324" s="21">
        <v>7.3400000000000007E-2</v>
      </c>
      <c r="F324" s="21">
        <v>7.3400000000000007E-2</v>
      </c>
      <c r="G324" s="21">
        <v>0</v>
      </c>
      <c r="H324" s="508">
        <v>0</v>
      </c>
    </row>
    <row r="325" spans="3:8" x14ac:dyDescent="0.25">
      <c r="C325" s="652"/>
      <c r="D325" s="6" t="s">
        <v>13</v>
      </c>
      <c r="E325" s="120">
        <v>0</v>
      </c>
      <c r="F325" s="120">
        <v>0</v>
      </c>
      <c r="G325" s="120">
        <v>0</v>
      </c>
      <c r="H325" s="507">
        <v>0</v>
      </c>
    </row>
    <row r="326" spans="3:8" x14ac:dyDescent="0.25">
      <c r="C326" s="653"/>
      <c r="D326" s="5" t="s">
        <v>17</v>
      </c>
      <c r="E326" s="122">
        <v>0</v>
      </c>
      <c r="F326" s="123">
        <v>0</v>
      </c>
      <c r="G326" s="123">
        <v>0</v>
      </c>
      <c r="H326" s="512">
        <v>0</v>
      </c>
    </row>
    <row r="327" spans="3:8" x14ac:dyDescent="0.25">
      <c r="C327" s="653"/>
      <c r="D327" s="50" t="s">
        <v>42</v>
      </c>
      <c r="E327" s="126">
        <v>0</v>
      </c>
      <c r="F327" s="127">
        <v>0</v>
      </c>
      <c r="G327" s="127">
        <v>0</v>
      </c>
      <c r="H327" s="513">
        <v>0</v>
      </c>
    </row>
    <row r="328" spans="3:8" ht="13.8" thickBot="1" x14ac:dyDescent="0.3">
      <c r="C328" s="653"/>
      <c r="D328" s="5" t="s">
        <v>43</v>
      </c>
      <c r="E328" s="122">
        <v>0</v>
      </c>
      <c r="F328" s="123">
        <v>0</v>
      </c>
      <c r="G328" s="123">
        <v>0</v>
      </c>
      <c r="H328" s="514">
        <v>0</v>
      </c>
    </row>
    <row r="329" spans="3:8" ht="13.8" thickBot="1" x14ac:dyDescent="0.3">
      <c r="C329" s="653"/>
      <c r="D329" s="13" t="s">
        <v>188</v>
      </c>
      <c r="E329" s="51" t="s">
        <v>817</v>
      </c>
      <c r="F329" s="14" t="s">
        <v>191</v>
      </c>
      <c r="G329" s="51" t="s">
        <v>827</v>
      </c>
      <c r="H329" s="57" t="s">
        <v>47</v>
      </c>
    </row>
    <row r="330" spans="3:8" ht="15.6" thickBot="1" x14ac:dyDescent="0.3">
      <c r="C330" s="653"/>
      <c r="D330" s="7" t="s">
        <v>189</v>
      </c>
      <c r="E330" s="51" t="s">
        <v>818</v>
      </c>
      <c r="F330" s="8" t="s">
        <v>192</v>
      </c>
      <c r="G330" s="51" t="s">
        <v>828</v>
      </c>
      <c r="H330" s="117" t="s">
        <v>184</v>
      </c>
    </row>
    <row r="331" spans="3:8" ht="13.8" thickBot="1" x14ac:dyDescent="0.3">
      <c r="C331" s="653"/>
      <c r="D331" s="109" t="s">
        <v>190</v>
      </c>
      <c r="E331" s="110" t="s">
        <v>144</v>
      </c>
      <c r="F331" s="111" t="s">
        <v>193</v>
      </c>
      <c r="G331" s="110" t="s">
        <v>22</v>
      </c>
      <c r="H331" s="57" t="s">
        <v>140</v>
      </c>
    </row>
    <row r="332" spans="3:8" ht="13.8" thickBot="1" x14ac:dyDescent="0.3">
      <c r="C332" s="653"/>
      <c r="D332" s="113" t="s">
        <v>139</v>
      </c>
      <c r="E332" s="114">
        <v>24</v>
      </c>
      <c r="F332" s="116" t="s">
        <v>100</v>
      </c>
      <c r="G332" s="115" t="s">
        <v>128</v>
      </c>
      <c r="H332" s="118" t="s">
        <v>143</v>
      </c>
    </row>
    <row r="333" spans="3:8" x14ac:dyDescent="0.25">
      <c r="C333" s="652"/>
      <c r="D333" s="657" t="s">
        <v>16</v>
      </c>
      <c r="E333" s="659" t="s">
        <v>812</v>
      </c>
      <c r="F333" s="660"/>
      <c r="G333" s="660"/>
      <c r="H333" s="661"/>
    </row>
    <row r="334" spans="3:8" ht="13.8" thickBot="1" x14ac:dyDescent="0.3">
      <c r="C334" s="654"/>
      <c r="D334" s="658"/>
      <c r="E334" s="662"/>
      <c r="F334" s="663"/>
      <c r="G334" s="663"/>
      <c r="H334" s="664"/>
    </row>
    <row r="335" spans="3:8" ht="16.8" thickTop="1" thickBot="1" x14ac:dyDescent="0.35">
      <c r="C335" s="651">
        <v>103</v>
      </c>
      <c r="D335" s="655" t="s">
        <v>0</v>
      </c>
      <c r="E335" s="655"/>
      <c r="F335" s="655"/>
      <c r="G335" s="655"/>
      <c r="H335" s="656"/>
    </row>
    <row r="336" spans="3:8" ht="15.6" x14ac:dyDescent="0.3">
      <c r="C336" s="652"/>
      <c r="D336" s="10"/>
      <c r="E336" s="12" t="s">
        <v>3</v>
      </c>
      <c r="F336" s="12" t="s">
        <v>4</v>
      </c>
      <c r="G336" s="12" t="s">
        <v>1</v>
      </c>
      <c r="H336" s="15" t="s">
        <v>2</v>
      </c>
    </row>
    <row r="337" spans="3:8" ht="13.8" thickBot="1" x14ac:dyDescent="0.3">
      <c r="C337" s="652"/>
      <c r="D337" s="11" t="s">
        <v>24</v>
      </c>
      <c r="E337" s="1" t="s">
        <v>819</v>
      </c>
      <c r="F337" s="1" t="s">
        <v>820</v>
      </c>
      <c r="G337" s="2">
        <v>37196</v>
      </c>
      <c r="H337" s="16">
        <v>37346</v>
      </c>
    </row>
    <row r="338" spans="3:8" ht="15.6" thickBot="1" x14ac:dyDescent="0.3">
      <c r="C338" s="652"/>
      <c r="D338" s="27"/>
      <c r="E338" s="3" t="s">
        <v>6</v>
      </c>
      <c r="F338" s="4" t="s">
        <v>7</v>
      </c>
      <c r="G338" s="4" t="s">
        <v>8</v>
      </c>
      <c r="H338" s="17" t="s">
        <v>9</v>
      </c>
    </row>
    <row r="339" spans="3:8" x14ac:dyDescent="0.25">
      <c r="C339" s="652"/>
      <c r="D339" s="9" t="s">
        <v>5</v>
      </c>
      <c r="E339" s="25" t="s">
        <v>756</v>
      </c>
      <c r="F339" s="25" t="s">
        <v>809</v>
      </c>
      <c r="G339" s="25" t="s">
        <v>15</v>
      </c>
      <c r="H339" s="510" t="s">
        <v>15</v>
      </c>
    </row>
    <row r="340" spans="3:8" x14ac:dyDescent="0.25">
      <c r="C340" s="652"/>
      <c r="D340" s="6" t="s">
        <v>10</v>
      </c>
      <c r="E340" s="20">
        <v>402</v>
      </c>
      <c r="F340" s="20">
        <v>402</v>
      </c>
      <c r="G340" s="20">
        <v>0</v>
      </c>
      <c r="H340" s="511">
        <v>0</v>
      </c>
    </row>
    <row r="341" spans="3:8" x14ac:dyDescent="0.25">
      <c r="C341" s="652"/>
      <c r="D341" s="6" t="s">
        <v>11</v>
      </c>
      <c r="E341" s="120">
        <v>0.1134</v>
      </c>
      <c r="F341" s="120">
        <v>0.1134</v>
      </c>
      <c r="G341" s="120">
        <v>0</v>
      </c>
      <c r="H341" s="507">
        <v>0</v>
      </c>
    </row>
    <row r="342" spans="3:8" x14ac:dyDescent="0.25">
      <c r="C342" s="652"/>
      <c r="D342" s="6" t="s">
        <v>12</v>
      </c>
      <c r="E342" s="21">
        <v>8.8400000000000006E-2</v>
      </c>
      <c r="F342" s="21">
        <v>8.8400000000000006E-2</v>
      </c>
      <c r="G342" s="21">
        <v>0</v>
      </c>
      <c r="H342" s="508">
        <v>0</v>
      </c>
    </row>
    <row r="343" spans="3:8" x14ac:dyDescent="0.25">
      <c r="C343" s="652"/>
      <c r="D343" s="6" t="s">
        <v>13</v>
      </c>
      <c r="E343" s="120">
        <v>0</v>
      </c>
      <c r="F343" s="120">
        <v>0</v>
      </c>
      <c r="G343" s="120">
        <v>0</v>
      </c>
      <c r="H343" s="507">
        <v>0</v>
      </c>
    </row>
    <row r="344" spans="3:8" x14ac:dyDescent="0.25">
      <c r="C344" s="653"/>
      <c r="D344" s="5" t="s">
        <v>17</v>
      </c>
      <c r="E344" s="122">
        <v>0</v>
      </c>
      <c r="F344" s="123">
        <v>0</v>
      </c>
      <c r="G344" s="123">
        <v>0</v>
      </c>
      <c r="H344" s="512">
        <v>0</v>
      </c>
    </row>
    <row r="345" spans="3:8" x14ac:dyDescent="0.25">
      <c r="C345" s="653"/>
      <c r="D345" s="50" t="s">
        <v>42</v>
      </c>
      <c r="E345" s="126">
        <v>0</v>
      </c>
      <c r="F345" s="127">
        <v>0</v>
      </c>
      <c r="G345" s="127">
        <v>0</v>
      </c>
      <c r="H345" s="513">
        <v>0</v>
      </c>
    </row>
    <row r="346" spans="3:8" ht="13.8" thickBot="1" x14ac:dyDescent="0.3">
      <c r="C346" s="653"/>
      <c r="D346" s="5" t="s">
        <v>43</v>
      </c>
      <c r="E346" s="122">
        <v>0</v>
      </c>
      <c r="F346" s="123">
        <v>0</v>
      </c>
      <c r="G346" s="123">
        <v>0</v>
      </c>
      <c r="H346" s="514">
        <v>0</v>
      </c>
    </row>
    <row r="347" spans="3:8" ht="13.8" thickBot="1" x14ac:dyDescent="0.3">
      <c r="C347" s="653"/>
      <c r="D347" s="13" t="s">
        <v>188</v>
      </c>
      <c r="E347" s="51" t="s">
        <v>821</v>
      </c>
      <c r="F347" s="14" t="s">
        <v>191</v>
      </c>
      <c r="G347" s="51" t="s">
        <v>823</v>
      </c>
      <c r="H347" s="57" t="s">
        <v>47</v>
      </c>
    </row>
    <row r="348" spans="3:8" ht="15.6" thickBot="1" x14ac:dyDescent="0.3">
      <c r="C348" s="653"/>
      <c r="D348" s="7" t="s">
        <v>189</v>
      </c>
      <c r="E348" s="51" t="s">
        <v>822</v>
      </c>
      <c r="F348" s="8" t="s">
        <v>192</v>
      </c>
      <c r="G348" s="51" t="s">
        <v>824</v>
      </c>
      <c r="H348" s="117" t="s">
        <v>184</v>
      </c>
    </row>
    <row r="349" spans="3:8" ht="13.8" thickBot="1" x14ac:dyDescent="0.3">
      <c r="C349" s="653"/>
      <c r="D349" s="109" t="s">
        <v>190</v>
      </c>
      <c r="E349" s="110" t="s">
        <v>482</v>
      </c>
      <c r="F349" s="111" t="s">
        <v>193</v>
      </c>
      <c r="G349" s="110" t="s">
        <v>490</v>
      </c>
      <c r="H349" s="57" t="s">
        <v>140</v>
      </c>
    </row>
    <row r="350" spans="3:8" ht="13.8" thickBot="1" x14ac:dyDescent="0.3">
      <c r="C350" s="653"/>
      <c r="D350" s="113" t="s">
        <v>139</v>
      </c>
      <c r="E350" s="114">
        <v>14</v>
      </c>
      <c r="F350" s="116" t="s">
        <v>96</v>
      </c>
      <c r="G350" s="115" t="s">
        <v>127</v>
      </c>
      <c r="H350" s="118" t="s">
        <v>143</v>
      </c>
    </row>
    <row r="351" spans="3:8" x14ac:dyDescent="0.25">
      <c r="C351" s="652"/>
      <c r="D351" s="657" t="s">
        <v>16</v>
      </c>
      <c r="E351" s="659" t="s">
        <v>812</v>
      </c>
      <c r="F351" s="660"/>
      <c r="G351" s="660"/>
      <c r="H351" s="661"/>
    </row>
    <row r="352" spans="3:8" ht="13.8" thickBot="1" x14ac:dyDescent="0.3">
      <c r="C352" s="654"/>
      <c r="D352" s="658"/>
      <c r="E352" s="662"/>
      <c r="F352" s="663"/>
      <c r="G352" s="663"/>
      <c r="H352" s="664"/>
    </row>
    <row r="353" spans="3:8" ht="16.8" thickTop="1" thickBot="1" x14ac:dyDescent="0.35">
      <c r="C353" s="651">
        <v>104</v>
      </c>
      <c r="D353" s="655" t="s">
        <v>0</v>
      </c>
      <c r="E353" s="655"/>
      <c r="F353" s="655"/>
      <c r="G353" s="655"/>
      <c r="H353" s="656"/>
    </row>
    <row r="354" spans="3:8" ht="15.6" x14ac:dyDescent="0.3">
      <c r="C354" s="652"/>
      <c r="D354" s="10"/>
      <c r="E354" s="12" t="s">
        <v>3</v>
      </c>
      <c r="F354" s="12" t="s">
        <v>4</v>
      </c>
      <c r="G354" s="12" t="s">
        <v>1</v>
      </c>
      <c r="H354" s="15" t="s">
        <v>2</v>
      </c>
    </row>
    <row r="355" spans="3:8" ht="13.8" thickBot="1" x14ac:dyDescent="0.3">
      <c r="C355" s="652"/>
      <c r="D355" s="11" t="s">
        <v>24</v>
      </c>
      <c r="E355" s="1" t="s">
        <v>807</v>
      </c>
      <c r="F355" s="1" t="s">
        <v>820</v>
      </c>
      <c r="G355" s="2">
        <v>37196</v>
      </c>
      <c r="H355" s="16">
        <v>37346</v>
      </c>
    </row>
    <row r="356" spans="3:8" ht="15.6" thickBot="1" x14ac:dyDescent="0.3">
      <c r="C356" s="652"/>
      <c r="D356" s="27"/>
      <c r="E356" s="3" t="s">
        <v>6</v>
      </c>
      <c r="F356" s="4" t="s">
        <v>7</v>
      </c>
      <c r="G356" s="4" t="s">
        <v>8</v>
      </c>
      <c r="H356" s="17" t="s">
        <v>9</v>
      </c>
    </row>
    <row r="357" spans="3:8" x14ac:dyDescent="0.25">
      <c r="C357" s="652"/>
      <c r="D357" s="9" t="s">
        <v>5</v>
      </c>
      <c r="E357" s="25" t="s">
        <v>756</v>
      </c>
      <c r="F357" s="25" t="s">
        <v>809</v>
      </c>
      <c r="G357" s="25" t="s">
        <v>15</v>
      </c>
      <c r="H357" s="510" t="s">
        <v>15</v>
      </c>
    </row>
    <row r="358" spans="3:8" x14ac:dyDescent="0.25">
      <c r="C358" s="652"/>
      <c r="D358" s="6" t="s">
        <v>10</v>
      </c>
      <c r="E358" s="20">
        <v>6578</v>
      </c>
      <c r="F358" s="20">
        <v>6578</v>
      </c>
      <c r="G358" s="20">
        <v>0</v>
      </c>
      <c r="H358" s="511">
        <v>0</v>
      </c>
    </row>
    <row r="359" spans="3:8" x14ac:dyDescent="0.25">
      <c r="C359" s="652"/>
      <c r="D359" s="6" t="s">
        <v>11</v>
      </c>
      <c r="E359" s="120">
        <v>0.10299999999999999</v>
      </c>
      <c r="F359" s="120">
        <v>0.10299999999999999</v>
      </c>
      <c r="G359" s="120">
        <v>0</v>
      </c>
      <c r="H359" s="507">
        <v>0</v>
      </c>
    </row>
    <row r="360" spans="3:8" x14ac:dyDescent="0.25">
      <c r="C360" s="652"/>
      <c r="D360" s="6" t="s">
        <v>12</v>
      </c>
      <c r="E360" s="21">
        <v>7.9600000000000004E-2</v>
      </c>
      <c r="F360" s="21">
        <v>7.9600000000000004E-2</v>
      </c>
      <c r="G360" s="21">
        <v>0</v>
      </c>
      <c r="H360" s="508">
        <v>0</v>
      </c>
    </row>
    <row r="361" spans="3:8" x14ac:dyDescent="0.25">
      <c r="C361" s="652"/>
      <c r="D361" s="6" t="s">
        <v>13</v>
      </c>
      <c r="E361" s="120">
        <v>0</v>
      </c>
      <c r="F361" s="120">
        <v>0</v>
      </c>
      <c r="G361" s="120">
        <v>0</v>
      </c>
      <c r="H361" s="507">
        <v>0</v>
      </c>
    </row>
    <row r="362" spans="3:8" x14ac:dyDescent="0.25">
      <c r="C362" s="653"/>
      <c r="D362" s="5" t="s">
        <v>17</v>
      </c>
      <c r="E362" s="122">
        <v>0</v>
      </c>
      <c r="F362" s="123">
        <v>0</v>
      </c>
      <c r="G362" s="123">
        <v>0</v>
      </c>
      <c r="H362" s="512">
        <v>0</v>
      </c>
    </row>
    <row r="363" spans="3:8" x14ac:dyDescent="0.25">
      <c r="C363" s="653"/>
      <c r="D363" s="50" t="s">
        <v>42</v>
      </c>
      <c r="E363" s="126">
        <v>0</v>
      </c>
      <c r="F363" s="127">
        <v>0</v>
      </c>
      <c r="G363" s="127">
        <v>0</v>
      </c>
      <c r="H363" s="513">
        <v>0</v>
      </c>
    </row>
    <row r="364" spans="3:8" ht="13.8" thickBot="1" x14ac:dyDescent="0.3">
      <c r="C364" s="653"/>
      <c r="D364" s="5" t="s">
        <v>43</v>
      </c>
      <c r="E364" s="122">
        <v>0</v>
      </c>
      <c r="F364" s="123">
        <v>0</v>
      </c>
      <c r="G364" s="123">
        <v>0</v>
      </c>
      <c r="H364" s="514">
        <v>0</v>
      </c>
    </row>
    <row r="365" spans="3:8" ht="13.8" thickBot="1" x14ac:dyDescent="0.3">
      <c r="C365" s="653"/>
      <c r="D365" s="13" t="s">
        <v>188</v>
      </c>
      <c r="E365" s="51" t="s">
        <v>810</v>
      </c>
      <c r="F365" s="14" t="s">
        <v>191</v>
      </c>
      <c r="G365" s="51" t="s">
        <v>823</v>
      </c>
      <c r="H365" s="57" t="s">
        <v>47</v>
      </c>
    </row>
    <row r="366" spans="3:8" ht="15.6" thickBot="1" x14ac:dyDescent="0.3">
      <c r="C366" s="653"/>
      <c r="D366" s="7" t="s">
        <v>189</v>
      </c>
      <c r="E366" s="51" t="s">
        <v>811</v>
      </c>
      <c r="F366" s="8" t="s">
        <v>192</v>
      </c>
      <c r="G366" s="51" t="s">
        <v>824</v>
      </c>
      <c r="H366" s="117" t="s">
        <v>184</v>
      </c>
    </row>
    <row r="367" spans="3:8" ht="13.8" thickBot="1" x14ac:dyDescent="0.3">
      <c r="C367" s="653"/>
      <c r="D367" s="109" t="s">
        <v>190</v>
      </c>
      <c r="E367" s="110" t="s">
        <v>482</v>
      </c>
      <c r="F367" s="111" t="s">
        <v>193</v>
      </c>
      <c r="G367" s="110" t="s">
        <v>490</v>
      </c>
      <c r="H367" s="57" t="s">
        <v>140</v>
      </c>
    </row>
    <row r="368" spans="3:8" ht="13.8" thickBot="1" x14ac:dyDescent="0.3">
      <c r="C368" s="653"/>
      <c r="D368" s="113" t="s">
        <v>139</v>
      </c>
      <c r="E368" s="114">
        <v>23</v>
      </c>
      <c r="F368" s="116" t="s">
        <v>825</v>
      </c>
      <c r="G368" s="115" t="s">
        <v>127</v>
      </c>
      <c r="H368" s="118" t="s">
        <v>143</v>
      </c>
    </row>
    <row r="369" spans="3:8" x14ac:dyDescent="0.25">
      <c r="C369" s="652"/>
      <c r="D369" s="657" t="s">
        <v>16</v>
      </c>
      <c r="E369" s="659" t="s">
        <v>812</v>
      </c>
      <c r="F369" s="660"/>
      <c r="G369" s="660"/>
      <c r="H369" s="661"/>
    </row>
    <row r="370" spans="3:8" ht="13.8" thickBot="1" x14ac:dyDescent="0.3">
      <c r="C370" s="654"/>
      <c r="D370" s="658"/>
      <c r="E370" s="662"/>
      <c r="F370" s="663"/>
      <c r="G370" s="663"/>
      <c r="H370" s="664"/>
    </row>
    <row r="371" spans="3:8" ht="16.8" thickTop="1" thickBot="1" x14ac:dyDescent="0.35">
      <c r="C371" s="651">
        <v>105</v>
      </c>
      <c r="D371" s="655" t="s">
        <v>0</v>
      </c>
      <c r="E371" s="655"/>
      <c r="F371" s="655"/>
      <c r="G371" s="655"/>
      <c r="H371" s="656"/>
    </row>
    <row r="372" spans="3:8" ht="15.6" x14ac:dyDescent="0.3">
      <c r="C372" s="652"/>
      <c r="D372" s="10"/>
      <c r="E372" s="12" t="s">
        <v>3</v>
      </c>
      <c r="F372" s="12" t="s">
        <v>4</v>
      </c>
      <c r="G372" s="12" t="s">
        <v>1</v>
      </c>
      <c r="H372" s="15" t="s">
        <v>2</v>
      </c>
    </row>
    <row r="373" spans="3:8" ht="13.8" thickBot="1" x14ac:dyDescent="0.3">
      <c r="C373" s="652"/>
      <c r="D373" s="11" t="s">
        <v>24</v>
      </c>
      <c r="E373" s="1" t="s">
        <v>813</v>
      </c>
      <c r="F373" s="1" t="s">
        <v>820</v>
      </c>
      <c r="G373" s="2">
        <v>37196</v>
      </c>
      <c r="H373" s="16">
        <v>37346</v>
      </c>
    </row>
    <row r="374" spans="3:8" ht="15.6" thickBot="1" x14ac:dyDescent="0.3">
      <c r="C374" s="652"/>
      <c r="D374" s="27"/>
      <c r="E374" s="3" t="s">
        <v>6</v>
      </c>
      <c r="F374" s="4" t="s">
        <v>7</v>
      </c>
      <c r="G374" s="4" t="s">
        <v>8</v>
      </c>
      <c r="H374" s="17" t="s">
        <v>9</v>
      </c>
    </row>
    <row r="375" spans="3:8" x14ac:dyDescent="0.25">
      <c r="C375" s="652"/>
      <c r="D375" s="9" t="s">
        <v>5</v>
      </c>
      <c r="E375" s="25" t="s">
        <v>756</v>
      </c>
      <c r="F375" s="25" t="s">
        <v>809</v>
      </c>
      <c r="G375" s="25" t="s">
        <v>15</v>
      </c>
      <c r="H375" s="510" t="s">
        <v>15</v>
      </c>
    </row>
    <row r="376" spans="3:8" x14ac:dyDescent="0.25">
      <c r="C376" s="652"/>
      <c r="D376" s="6" t="s">
        <v>10</v>
      </c>
      <c r="E376" s="20">
        <v>20749</v>
      </c>
      <c r="F376" s="20">
        <v>20749</v>
      </c>
      <c r="G376" s="20">
        <v>0</v>
      </c>
      <c r="H376" s="511">
        <v>0</v>
      </c>
    </row>
    <row r="377" spans="3:8" x14ac:dyDescent="0.25">
      <c r="C377" s="652"/>
      <c r="D377" s="6" t="s">
        <v>11</v>
      </c>
      <c r="E377" s="120">
        <v>0.10299999999999999</v>
      </c>
      <c r="F377" s="120">
        <v>0.10299999999999999</v>
      </c>
      <c r="G377" s="120">
        <v>0</v>
      </c>
      <c r="H377" s="507">
        <v>0</v>
      </c>
    </row>
    <row r="378" spans="3:8" x14ac:dyDescent="0.25">
      <c r="C378" s="652"/>
      <c r="D378" s="6" t="s">
        <v>12</v>
      </c>
      <c r="E378" s="21">
        <v>7.9600000000000004E-2</v>
      </c>
      <c r="F378" s="21">
        <v>7.9600000000000004E-2</v>
      </c>
      <c r="G378" s="21">
        <v>0</v>
      </c>
      <c r="H378" s="508">
        <v>0</v>
      </c>
    </row>
    <row r="379" spans="3:8" x14ac:dyDescent="0.25">
      <c r="C379" s="652"/>
      <c r="D379" s="6" t="s">
        <v>13</v>
      </c>
      <c r="E379" s="120">
        <v>0</v>
      </c>
      <c r="F379" s="120">
        <v>0</v>
      </c>
      <c r="G379" s="120">
        <v>0</v>
      </c>
      <c r="H379" s="507">
        <v>0</v>
      </c>
    </row>
    <row r="380" spans="3:8" x14ac:dyDescent="0.25">
      <c r="C380" s="653"/>
      <c r="D380" s="5" t="s">
        <v>17</v>
      </c>
      <c r="E380" s="122">
        <v>0</v>
      </c>
      <c r="F380" s="123">
        <v>0</v>
      </c>
      <c r="G380" s="123">
        <v>0</v>
      </c>
      <c r="H380" s="512">
        <v>0</v>
      </c>
    </row>
    <row r="381" spans="3:8" x14ac:dyDescent="0.25">
      <c r="C381" s="653"/>
      <c r="D381" s="50" t="s">
        <v>42</v>
      </c>
      <c r="E381" s="126">
        <v>0</v>
      </c>
      <c r="F381" s="127">
        <v>0</v>
      </c>
      <c r="G381" s="127">
        <v>0</v>
      </c>
      <c r="H381" s="513">
        <v>0</v>
      </c>
    </row>
    <row r="382" spans="3:8" ht="13.8" thickBot="1" x14ac:dyDescent="0.3">
      <c r="C382" s="653"/>
      <c r="D382" s="5" t="s">
        <v>43</v>
      </c>
      <c r="E382" s="122">
        <v>0</v>
      </c>
      <c r="F382" s="123">
        <v>0</v>
      </c>
      <c r="G382" s="123">
        <v>0</v>
      </c>
      <c r="H382" s="514">
        <v>0</v>
      </c>
    </row>
    <row r="383" spans="3:8" ht="13.8" thickBot="1" x14ac:dyDescent="0.3">
      <c r="C383" s="653"/>
      <c r="D383" s="13" t="s">
        <v>188</v>
      </c>
      <c r="E383" s="51" t="s">
        <v>814</v>
      </c>
      <c r="F383" s="14" t="s">
        <v>191</v>
      </c>
      <c r="G383" s="51" t="s">
        <v>823</v>
      </c>
      <c r="H383" s="57" t="s">
        <v>47</v>
      </c>
    </row>
    <row r="384" spans="3:8" ht="15.6" thickBot="1" x14ac:dyDescent="0.3">
      <c r="C384" s="653"/>
      <c r="D384" s="7" t="s">
        <v>189</v>
      </c>
      <c r="E384" s="51" t="s">
        <v>815</v>
      </c>
      <c r="F384" s="8" t="s">
        <v>192</v>
      </c>
      <c r="G384" s="51" t="s">
        <v>824</v>
      </c>
      <c r="H384" s="117" t="s">
        <v>184</v>
      </c>
    </row>
    <row r="385" spans="3:8" ht="13.8" thickBot="1" x14ac:dyDescent="0.3">
      <c r="C385" s="653"/>
      <c r="D385" s="109" t="s">
        <v>190</v>
      </c>
      <c r="E385" s="110" t="s">
        <v>144</v>
      </c>
      <c r="F385" s="111" t="s">
        <v>193</v>
      </c>
      <c r="G385" s="110" t="s">
        <v>490</v>
      </c>
      <c r="H385" s="57" t="s">
        <v>140</v>
      </c>
    </row>
    <row r="386" spans="3:8" ht="13.8" thickBot="1" x14ac:dyDescent="0.3">
      <c r="C386" s="653"/>
      <c r="D386" s="113" t="s">
        <v>139</v>
      </c>
      <c r="E386" s="114">
        <v>21</v>
      </c>
      <c r="F386" s="116" t="s">
        <v>826</v>
      </c>
      <c r="G386" s="115" t="s">
        <v>127</v>
      </c>
      <c r="H386" s="118" t="s">
        <v>143</v>
      </c>
    </row>
    <row r="387" spans="3:8" x14ac:dyDescent="0.25">
      <c r="C387" s="652"/>
      <c r="D387" s="657" t="s">
        <v>16</v>
      </c>
      <c r="E387" s="659" t="s">
        <v>812</v>
      </c>
      <c r="F387" s="660"/>
      <c r="G387" s="660"/>
      <c r="H387" s="661"/>
    </row>
    <row r="388" spans="3:8" ht="13.8" thickBot="1" x14ac:dyDescent="0.3">
      <c r="C388" s="654"/>
      <c r="D388" s="658"/>
      <c r="E388" s="662"/>
      <c r="F388" s="663"/>
      <c r="G388" s="663"/>
      <c r="H388" s="664"/>
    </row>
    <row r="389" spans="3:8" ht="16.8" thickTop="1" thickBot="1" x14ac:dyDescent="0.35">
      <c r="C389" s="651">
        <v>106</v>
      </c>
      <c r="D389" s="655" t="s">
        <v>0</v>
      </c>
      <c r="E389" s="655"/>
      <c r="F389" s="655"/>
      <c r="G389" s="655"/>
      <c r="H389" s="656"/>
    </row>
    <row r="390" spans="3:8" ht="15.6" x14ac:dyDescent="0.3">
      <c r="C390" s="652"/>
      <c r="D390" s="10"/>
      <c r="E390" s="12" t="s">
        <v>3</v>
      </c>
      <c r="F390" s="12" t="s">
        <v>4</v>
      </c>
      <c r="G390" s="12" t="s">
        <v>1</v>
      </c>
      <c r="H390" s="15" t="s">
        <v>2</v>
      </c>
    </row>
    <row r="391" spans="3:8" ht="13.8" thickBot="1" x14ac:dyDescent="0.3">
      <c r="C391" s="652"/>
      <c r="D391" s="11" t="s">
        <v>24</v>
      </c>
      <c r="E391" s="1" t="s">
        <v>816</v>
      </c>
      <c r="F391" s="1" t="s">
        <v>820</v>
      </c>
      <c r="G391" s="2">
        <v>37196</v>
      </c>
      <c r="H391" s="16">
        <v>37346</v>
      </c>
    </row>
    <row r="392" spans="3:8" ht="15.6" thickBot="1" x14ac:dyDescent="0.3">
      <c r="C392" s="652"/>
      <c r="D392" s="27"/>
      <c r="E392" s="3" t="s">
        <v>6</v>
      </c>
      <c r="F392" s="4" t="s">
        <v>7</v>
      </c>
      <c r="G392" s="4" t="s">
        <v>8</v>
      </c>
      <c r="H392" s="17" t="s">
        <v>9</v>
      </c>
    </row>
    <row r="393" spans="3:8" x14ac:dyDescent="0.25">
      <c r="C393" s="652"/>
      <c r="D393" s="9" t="s">
        <v>5</v>
      </c>
      <c r="E393" s="25" t="s">
        <v>756</v>
      </c>
      <c r="F393" s="25" t="s">
        <v>809</v>
      </c>
      <c r="G393" s="25" t="s">
        <v>15</v>
      </c>
      <c r="H393" s="510" t="s">
        <v>15</v>
      </c>
    </row>
    <row r="394" spans="3:8" x14ac:dyDescent="0.25">
      <c r="C394" s="652"/>
      <c r="D394" s="6" t="s">
        <v>10</v>
      </c>
      <c r="E394" s="20">
        <v>12557</v>
      </c>
      <c r="F394" s="20">
        <v>12557</v>
      </c>
      <c r="G394" s="20">
        <v>0</v>
      </c>
      <c r="H394" s="511">
        <v>0</v>
      </c>
    </row>
    <row r="395" spans="3:8" x14ac:dyDescent="0.25">
      <c r="C395" s="652"/>
      <c r="D395" s="6" t="s">
        <v>11</v>
      </c>
      <c r="E395" s="120">
        <v>0.1061</v>
      </c>
      <c r="F395" s="120">
        <v>0.1061</v>
      </c>
      <c r="G395" s="120">
        <v>0</v>
      </c>
      <c r="H395" s="507">
        <v>0</v>
      </c>
    </row>
    <row r="396" spans="3:8" x14ac:dyDescent="0.25">
      <c r="C396" s="652"/>
      <c r="D396" s="6" t="s">
        <v>12</v>
      </c>
      <c r="E396" s="21">
        <v>8.2299999999999998E-2</v>
      </c>
      <c r="F396" s="21">
        <v>8.2299999999999998E-2</v>
      </c>
      <c r="G396" s="21">
        <v>0</v>
      </c>
      <c r="H396" s="508">
        <v>0</v>
      </c>
    </row>
    <row r="397" spans="3:8" x14ac:dyDescent="0.25">
      <c r="C397" s="652"/>
      <c r="D397" s="6" t="s">
        <v>13</v>
      </c>
      <c r="E397" s="120">
        <v>0</v>
      </c>
      <c r="F397" s="120">
        <v>0</v>
      </c>
      <c r="G397" s="120">
        <v>0</v>
      </c>
      <c r="H397" s="507">
        <v>0</v>
      </c>
    </row>
    <row r="398" spans="3:8" x14ac:dyDescent="0.25">
      <c r="C398" s="653"/>
      <c r="D398" s="5" t="s">
        <v>17</v>
      </c>
      <c r="E398" s="122">
        <v>0</v>
      </c>
      <c r="F398" s="123">
        <v>0</v>
      </c>
      <c r="G398" s="123">
        <v>0</v>
      </c>
      <c r="H398" s="512">
        <v>0</v>
      </c>
    </row>
    <row r="399" spans="3:8" x14ac:dyDescent="0.25">
      <c r="C399" s="653"/>
      <c r="D399" s="50" t="s">
        <v>42</v>
      </c>
      <c r="E399" s="126">
        <v>0</v>
      </c>
      <c r="F399" s="127">
        <v>0</v>
      </c>
      <c r="G399" s="127">
        <v>0</v>
      </c>
      <c r="H399" s="513">
        <v>0</v>
      </c>
    </row>
    <row r="400" spans="3:8" ht="13.8" thickBot="1" x14ac:dyDescent="0.3">
      <c r="C400" s="653"/>
      <c r="D400" s="5" t="s">
        <v>43</v>
      </c>
      <c r="E400" s="122">
        <v>0</v>
      </c>
      <c r="F400" s="123">
        <v>0</v>
      </c>
      <c r="G400" s="123">
        <v>0</v>
      </c>
      <c r="H400" s="514">
        <v>0</v>
      </c>
    </row>
    <row r="401" spans="3:8" ht="13.8" thickBot="1" x14ac:dyDescent="0.3">
      <c r="C401" s="653"/>
      <c r="D401" s="13" t="s">
        <v>188</v>
      </c>
      <c r="E401" s="51" t="s">
        <v>817</v>
      </c>
      <c r="F401" s="14" t="s">
        <v>191</v>
      </c>
      <c r="G401" s="51" t="s">
        <v>823</v>
      </c>
      <c r="H401" s="57" t="s">
        <v>47</v>
      </c>
    </row>
    <row r="402" spans="3:8" ht="15.6" thickBot="1" x14ac:dyDescent="0.3">
      <c r="C402" s="653"/>
      <c r="D402" s="7" t="s">
        <v>189</v>
      </c>
      <c r="E402" s="51" t="s">
        <v>818</v>
      </c>
      <c r="F402" s="8" t="s">
        <v>192</v>
      </c>
      <c r="G402" s="51" t="s">
        <v>824</v>
      </c>
      <c r="H402" s="117" t="s">
        <v>184</v>
      </c>
    </row>
    <row r="403" spans="3:8" ht="13.8" thickBot="1" x14ac:dyDescent="0.3">
      <c r="C403" s="653"/>
      <c r="D403" s="109" t="s">
        <v>190</v>
      </c>
      <c r="E403" s="110" t="s">
        <v>144</v>
      </c>
      <c r="F403" s="111" t="s">
        <v>193</v>
      </c>
      <c r="G403" s="110" t="s">
        <v>490</v>
      </c>
      <c r="H403" s="57" t="s">
        <v>140</v>
      </c>
    </row>
    <row r="404" spans="3:8" ht="13.8" thickBot="1" x14ac:dyDescent="0.3">
      <c r="C404" s="653"/>
      <c r="D404" s="113" t="s">
        <v>139</v>
      </c>
      <c r="E404" s="114">
        <v>20</v>
      </c>
      <c r="F404" s="116" t="s">
        <v>100</v>
      </c>
      <c r="G404" s="115" t="s">
        <v>127</v>
      </c>
      <c r="H404" s="118" t="s">
        <v>143</v>
      </c>
    </row>
    <row r="405" spans="3:8" x14ac:dyDescent="0.25">
      <c r="C405" s="652"/>
      <c r="D405" s="657" t="s">
        <v>16</v>
      </c>
      <c r="E405" s="659" t="s">
        <v>812</v>
      </c>
      <c r="F405" s="660"/>
      <c r="G405" s="660"/>
      <c r="H405" s="661"/>
    </row>
    <row r="406" spans="3:8" ht="13.8" thickBot="1" x14ac:dyDescent="0.3">
      <c r="C406" s="654"/>
      <c r="D406" s="658"/>
      <c r="E406" s="662"/>
      <c r="F406" s="663"/>
      <c r="G406" s="663"/>
      <c r="H406" s="664"/>
    </row>
    <row r="407" spans="3:8" ht="13.8" thickTop="1" x14ac:dyDescent="0.25"/>
  </sheetData>
  <sheetCalcPr fullCalcOnLoad="1"/>
  <dataConsolidate/>
  <mergeCells count="90">
    <mergeCell ref="C371:C388"/>
    <mergeCell ref="D371:H371"/>
    <mergeCell ref="D387:D388"/>
    <mergeCell ref="E387:H388"/>
    <mergeCell ref="C389:C406"/>
    <mergeCell ref="D389:H389"/>
    <mergeCell ref="D405:D406"/>
    <mergeCell ref="E405:H406"/>
    <mergeCell ref="C335:C352"/>
    <mergeCell ref="D335:H335"/>
    <mergeCell ref="D351:D352"/>
    <mergeCell ref="E351:H352"/>
    <mergeCell ref="C353:C370"/>
    <mergeCell ref="D353:H353"/>
    <mergeCell ref="D369:D370"/>
    <mergeCell ref="E369:H370"/>
    <mergeCell ref="C299:C316"/>
    <mergeCell ref="D299:H299"/>
    <mergeCell ref="D315:D316"/>
    <mergeCell ref="E315:H316"/>
    <mergeCell ref="C317:C334"/>
    <mergeCell ref="D317:H317"/>
    <mergeCell ref="D333:D334"/>
    <mergeCell ref="E333:H334"/>
    <mergeCell ref="C191:C208"/>
    <mergeCell ref="D191:H191"/>
    <mergeCell ref="D207:D208"/>
    <mergeCell ref="E207:H208"/>
    <mergeCell ref="C281:C298"/>
    <mergeCell ref="D281:H281"/>
    <mergeCell ref="D297:D298"/>
    <mergeCell ref="E297:H298"/>
    <mergeCell ref="C155:C172"/>
    <mergeCell ref="D155:H155"/>
    <mergeCell ref="D171:D172"/>
    <mergeCell ref="E171:H172"/>
    <mergeCell ref="C173:C190"/>
    <mergeCell ref="D173:H173"/>
    <mergeCell ref="D189:D190"/>
    <mergeCell ref="E189:H190"/>
    <mergeCell ref="C119:C136"/>
    <mergeCell ref="D119:H119"/>
    <mergeCell ref="D135:D136"/>
    <mergeCell ref="E135:H136"/>
    <mergeCell ref="C137:C154"/>
    <mergeCell ref="D137:H137"/>
    <mergeCell ref="D153:D154"/>
    <mergeCell ref="E153:H154"/>
    <mergeCell ref="C83:C100"/>
    <mergeCell ref="D83:H83"/>
    <mergeCell ref="D99:D100"/>
    <mergeCell ref="E99:H100"/>
    <mergeCell ref="C101:C118"/>
    <mergeCell ref="D101:H101"/>
    <mergeCell ref="D117:D118"/>
    <mergeCell ref="E117:H118"/>
    <mergeCell ref="C11:C28"/>
    <mergeCell ref="D11:H11"/>
    <mergeCell ref="D27:D28"/>
    <mergeCell ref="E27:H28"/>
    <mergeCell ref="D65:H65"/>
    <mergeCell ref="D81:D82"/>
    <mergeCell ref="E81:H82"/>
    <mergeCell ref="C65:C82"/>
    <mergeCell ref="C47:C64"/>
    <mergeCell ref="D47:H47"/>
    <mergeCell ref="D63:D64"/>
    <mergeCell ref="E63:H64"/>
    <mergeCell ref="C29:C46"/>
    <mergeCell ref="C3:H3"/>
    <mergeCell ref="D9:H9"/>
    <mergeCell ref="D29:H29"/>
    <mergeCell ref="D45:D46"/>
    <mergeCell ref="E45:H46"/>
    <mergeCell ref="C227:C244"/>
    <mergeCell ref="D227:H227"/>
    <mergeCell ref="D243:D244"/>
    <mergeCell ref="E243:H244"/>
    <mergeCell ref="C209:C226"/>
    <mergeCell ref="D209:H209"/>
    <mergeCell ref="D225:D226"/>
    <mergeCell ref="E225:H226"/>
    <mergeCell ref="C263:C280"/>
    <mergeCell ref="D263:H263"/>
    <mergeCell ref="D279:D280"/>
    <mergeCell ref="E279:H280"/>
    <mergeCell ref="C245:C262"/>
    <mergeCell ref="D245:H245"/>
    <mergeCell ref="D261:D262"/>
    <mergeCell ref="E261:H262"/>
  </mergeCells>
  <phoneticPr fontId="0" type="noConversion"/>
  <pageMargins left="0.75" right="0.75" top="0.5" bottom="0.5" header="0.5" footer="0.5"/>
  <pageSetup paperSize="5" scale="55"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8545" r:id="rId4" name="Button 1">
              <controlPr defaultSize="0" print="0" autoFill="0" autoPict="0" macro="[3]!Button11_click">
                <anchor moveWithCells="1" sizeWithCells="1">
                  <from>
                    <xdr:col>4</xdr:col>
                    <xdr:colOff>975360</xdr:colOff>
                    <xdr:row>3</xdr:row>
                    <xdr:rowOff>106680</xdr:rowOff>
                  </from>
                  <to>
                    <xdr:col>5</xdr:col>
                    <xdr:colOff>419100</xdr:colOff>
                    <xdr:row>6</xdr:row>
                    <xdr:rowOff>0</xdr:rowOff>
                  </to>
                </anchor>
              </controlPr>
            </control>
          </mc:Choice>
        </mc:AlternateContent>
        <mc:AlternateContent xmlns:mc="http://schemas.openxmlformats.org/markup-compatibility/2006">
          <mc:Choice Requires="x14">
            <control shapeId="108546" r:id="rId5" name="Button 2">
              <controlPr defaultSize="0" print="0" autoFill="0" autoPict="0" macro="[3]!Button10_Click">
                <anchor moveWithCells="1" sizeWithCells="1">
                  <from>
                    <xdr:col>2</xdr:col>
                    <xdr:colOff>129540</xdr:colOff>
                    <xdr:row>3</xdr:row>
                    <xdr:rowOff>106680</xdr:rowOff>
                  </from>
                  <to>
                    <xdr:col>3</xdr:col>
                    <xdr:colOff>937260</xdr:colOff>
                    <xdr:row>6</xdr:row>
                    <xdr:rowOff>0</xdr:rowOff>
                  </to>
                </anchor>
              </controlPr>
            </control>
          </mc:Choice>
        </mc:AlternateContent>
        <mc:AlternateContent xmlns:mc="http://schemas.openxmlformats.org/markup-compatibility/2006">
          <mc:Choice Requires="x14">
            <control shapeId="108547" r:id="rId6" name="Button 3">
              <controlPr defaultSize="0" print="0" autoFill="0" autoPict="0" macro="[3]!Button18_Click">
                <anchor moveWithCells="1" sizeWithCells="1">
                  <from>
                    <xdr:col>5</xdr:col>
                    <xdr:colOff>1752600</xdr:colOff>
                    <xdr:row>3</xdr:row>
                    <xdr:rowOff>106680</xdr:rowOff>
                  </from>
                  <to>
                    <xdr:col>6</xdr:col>
                    <xdr:colOff>1196340</xdr:colOff>
                    <xdr:row>6</xdr:row>
                    <xdr:rowOff>0</xdr:rowOff>
                  </to>
                </anchor>
              </controlPr>
            </control>
          </mc:Choice>
        </mc:AlternateContent>
        <mc:AlternateContent xmlns:mc="http://schemas.openxmlformats.org/markup-compatibility/2006">
          <mc:Choice Requires="x14">
            <control shapeId="108548" r:id="rId7" name="Button 4">
              <controlPr defaultSize="0" print="0" autoFill="0" autoPict="0">
                <anchor moveWithCells="1" sizeWithCells="1">
                  <from>
                    <xdr:col>7</xdr:col>
                    <xdr:colOff>419100</xdr:colOff>
                    <xdr:row>3</xdr:row>
                    <xdr:rowOff>106680</xdr:rowOff>
                  </from>
                  <to>
                    <xdr:col>7</xdr:col>
                    <xdr:colOff>1965960</xdr:colOff>
                    <xdr:row>6</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pageSetUpPr autoPageBreaks="0" fitToPage="1"/>
  </sheetPr>
  <dimension ref="A1:H29"/>
  <sheetViews>
    <sheetView topLeftCell="D1" zoomScale="80" workbookViewId="0">
      <selection activeCell="E16" sqref="E16"/>
    </sheetView>
  </sheetViews>
  <sheetFormatPr defaultColWidth="9.109375" defaultRowHeight="13.2" x14ac:dyDescent="0.25"/>
  <cols>
    <col min="1" max="2" width="3.6640625" style="23" customWidth="1"/>
    <col min="3" max="3" width="10.6640625" style="23" customWidth="1"/>
    <col min="4" max="4" width="18.6640625" style="23" customWidth="1"/>
    <col min="5" max="8" width="30.6640625" style="23" customWidth="1"/>
    <col min="9" max="10" width="13.6640625" style="23" customWidth="1"/>
    <col min="11" max="16384" width="9.109375" style="23"/>
  </cols>
  <sheetData>
    <row r="1" spans="1:8" x14ac:dyDescent="0.25">
      <c r="A1" s="180" t="s">
        <v>180</v>
      </c>
    </row>
    <row r="2" spans="1:8" ht="13.8" thickBot="1" x14ac:dyDescent="0.3">
      <c r="A2" s="180" t="str">
        <f>ADDRESS(ROW($C$9),COLUMN($C$9))</f>
        <v>$C$9</v>
      </c>
    </row>
    <row r="3" spans="1:8" x14ac:dyDescent="0.25">
      <c r="C3" s="665" t="s">
        <v>241</v>
      </c>
      <c r="D3" s="666"/>
      <c r="E3" s="666"/>
      <c r="F3" s="666"/>
      <c r="G3" s="666"/>
      <c r="H3" s="667"/>
    </row>
    <row r="4" spans="1:8" x14ac:dyDescent="0.25">
      <c r="C4" s="295"/>
      <c r="D4" s="275"/>
      <c r="E4" s="275"/>
      <c r="F4" s="275"/>
      <c r="G4" s="275"/>
      <c r="H4" s="296"/>
    </row>
    <row r="5" spans="1:8" x14ac:dyDescent="0.25">
      <c r="C5" s="295"/>
      <c r="D5" s="275"/>
      <c r="E5" s="275"/>
      <c r="F5" s="275"/>
      <c r="G5" s="275"/>
      <c r="H5" s="296"/>
    </row>
    <row r="6" spans="1:8" x14ac:dyDescent="0.25">
      <c r="C6" s="295"/>
      <c r="D6" s="275"/>
      <c r="E6" s="275"/>
      <c r="F6" s="275"/>
      <c r="G6" s="275"/>
      <c r="H6" s="296"/>
    </row>
    <row r="7" spans="1:8" ht="13.8" thickBot="1" x14ac:dyDescent="0.3">
      <c r="C7" s="297"/>
      <c r="D7" s="298"/>
      <c r="E7" s="298"/>
      <c r="F7" s="298"/>
      <c r="G7" s="298"/>
      <c r="H7" s="299"/>
    </row>
    <row r="8" spans="1:8" ht="13.8" thickBot="1" x14ac:dyDescent="0.3"/>
    <row r="9" spans="1:8" ht="27.6" thickTop="1" thickBot="1" x14ac:dyDescent="0.3">
      <c r="C9" s="24" t="s">
        <v>38</v>
      </c>
      <c r="D9" s="668" t="s">
        <v>14</v>
      </c>
      <c r="E9" s="669"/>
      <c r="F9" s="669"/>
      <c r="G9" s="669"/>
      <c r="H9" s="670"/>
    </row>
    <row r="10" spans="1:8" ht="16.2" thickBot="1" x14ac:dyDescent="0.35">
      <c r="C10" s="211"/>
    </row>
    <row r="11" spans="1:8" ht="16.5" customHeight="1" thickTop="1" thickBot="1" x14ac:dyDescent="0.35">
      <c r="C11" s="651">
        <v>62</v>
      </c>
      <c r="D11" s="655" t="s">
        <v>0</v>
      </c>
      <c r="E11" s="655"/>
      <c r="F11" s="655"/>
      <c r="G11" s="655"/>
      <c r="H11" s="656"/>
    </row>
    <row r="12" spans="1:8" ht="15.75" customHeight="1" x14ac:dyDescent="0.3">
      <c r="C12" s="652"/>
      <c r="D12" s="10"/>
      <c r="E12" s="12" t="s">
        <v>3</v>
      </c>
      <c r="F12" s="12" t="s">
        <v>4</v>
      </c>
      <c r="G12" s="12" t="s">
        <v>1</v>
      </c>
      <c r="H12" s="15" t="s">
        <v>2</v>
      </c>
    </row>
    <row r="13" spans="1:8" ht="13.5" customHeight="1" thickBot="1" x14ac:dyDescent="0.3">
      <c r="C13" s="652"/>
      <c r="D13" s="11" t="s">
        <v>24</v>
      </c>
      <c r="E13" s="1" t="s">
        <v>714</v>
      </c>
      <c r="F13" s="1" t="s">
        <v>715</v>
      </c>
      <c r="G13" s="2">
        <v>36831</v>
      </c>
      <c r="H13" s="16">
        <v>39538</v>
      </c>
    </row>
    <row r="14" spans="1:8" ht="15.75" customHeight="1" thickBot="1" x14ac:dyDescent="0.3">
      <c r="C14" s="652"/>
      <c r="D14" s="27"/>
      <c r="E14" s="3" t="s">
        <v>6</v>
      </c>
      <c r="F14" s="4" t="s">
        <v>7</v>
      </c>
      <c r="G14" s="4" t="s">
        <v>8</v>
      </c>
      <c r="H14" s="17" t="s">
        <v>9</v>
      </c>
    </row>
    <row r="15" spans="1:8" ht="12.75" customHeight="1" x14ac:dyDescent="0.25">
      <c r="C15" s="652"/>
      <c r="D15" s="9" t="s">
        <v>5</v>
      </c>
      <c r="E15" s="25" t="s">
        <v>797</v>
      </c>
      <c r="F15" s="25" t="s">
        <v>15</v>
      </c>
      <c r="G15" s="25" t="s">
        <v>15</v>
      </c>
      <c r="H15" s="26" t="s">
        <v>15</v>
      </c>
    </row>
    <row r="16" spans="1:8" ht="12.75" customHeight="1" x14ac:dyDescent="0.25">
      <c r="C16" s="652"/>
      <c r="D16" s="6" t="s">
        <v>10</v>
      </c>
      <c r="E16" s="20">
        <v>9189</v>
      </c>
      <c r="F16" s="20">
        <v>0</v>
      </c>
      <c r="G16" s="20">
        <v>0</v>
      </c>
      <c r="H16" s="18">
        <v>0</v>
      </c>
    </row>
    <row r="17" spans="3:8" ht="12.75" customHeight="1" x14ac:dyDescent="0.25">
      <c r="C17" s="652"/>
      <c r="D17" s="6" t="s">
        <v>11</v>
      </c>
      <c r="E17" s="120">
        <v>0</v>
      </c>
      <c r="F17" s="120">
        <v>0</v>
      </c>
      <c r="G17" s="120">
        <v>0</v>
      </c>
      <c r="H17" s="121">
        <v>0</v>
      </c>
    </row>
    <row r="18" spans="3:8" ht="12.75" customHeight="1" x14ac:dyDescent="0.25">
      <c r="C18" s="652"/>
      <c r="D18" s="6" t="s">
        <v>12</v>
      </c>
      <c r="E18" s="21">
        <v>0</v>
      </c>
      <c r="F18" s="21">
        <v>0</v>
      </c>
      <c r="G18" s="21">
        <v>0</v>
      </c>
      <c r="H18" s="19">
        <v>0</v>
      </c>
    </row>
    <row r="19" spans="3:8" ht="12.75" customHeight="1" x14ac:dyDescent="0.25">
      <c r="C19" s="652"/>
      <c r="D19" s="6" t="s">
        <v>13</v>
      </c>
      <c r="E19" s="120">
        <v>0</v>
      </c>
      <c r="F19" s="120">
        <v>0</v>
      </c>
      <c r="G19" s="120">
        <v>0</v>
      </c>
      <c r="H19" s="121">
        <v>0</v>
      </c>
    </row>
    <row r="20" spans="3:8" ht="12.75" customHeight="1" x14ac:dyDescent="0.25">
      <c r="C20" s="653"/>
      <c r="D20" s="5" t="s">
        <v>17</v>
      </c>
      <c r="E20" s="122">
        <v>0</v>
      </c>
      <c r="F20" s="123">
        <v>0</v>
      </c>
      <c r="G20" s="124">
        <v>0</v>
      </c>
      <c r="H20" s="125">
        <v>0</v>
      </c>
    </row>
    <row r="21" spans="3:8" ht="13.5" customHeight="1" x14ac:dyDescent="0.25">
      <c r="C21" s="653"/>
      <c r="D21" s="50" t="s">
        <v>42</v>
      </c>
      <c r="E21" s="126">
        <v>0</v>
      </c>
      <c r="F21" s="127">
        <v>0</v>
      </c>
      <c r="G21" s="128">
        <v>0</v>
      </c>
      <c r="H21" s="129">
        <v>0</v>
      </c>
    </row>
    <row r="22" spans="3:8" ht="13.5" customHeight="1" thickBot="1" x14ac:dyDescent="0.3">
      <c r="C22" s="653"/>
      <c r="D22" s="5" t="s">
        <v>43</v>
      </c>
      <c r="E22" s="122">
        <v>0</v>
      </c>
      <c r="F22" s="123">
        <v>0</v>
      </c>
      <c r="G22" s="123">
        <v>0</v>
      </c>
      <c r="H22" s="130">
        <v>0</v>
      </c>
    </row>
    <row r="23" spans="3:8" ht="13.5" customHeight="1" x14ac:dyDescent="0.25">
      <c r="C23" s="653"/>
      <c r="D23" s="13" t="s">
        <v>188</v>
      </c>
      <c r="E23" s="51" t="s">
        <v>716</v>
      </c>
      <c r="F23" s="14" t="s">
        <v>191</v>
      </c>
      <c r="G23" s="107" t="s">
        <v>717</v>
      </c>
      <c r="H23" s="57" t="s">
        <v>47</v>
      </c>
    </row>
    <row r="24" spans="3:8" ht="13.5" customHeight="1" thickBot="1" x14ac:dyDescent="0.3">
      <c r="C24" s="653"/>
      <c r="D24" s="7" t="s">
        <v>189</v>
      </c>
      <c r="E24" s="22" t="s">
        <v>718</v>
      </c>
      <c r="F24" s="8" t="s">
        <v>192</v>
      </c>
      <c r="G24" s="108" t="s">
        <v>719</v>
      </c>
      <c r="H24" s="117" t="s">
        <v>720</v>
      </c>
    </row>
    <row r="25" spans="3:8" ht="13.5" customHeight="1" thickBot="1" x14ac:dyDescent="0.3">
      <c r="C25" s="653"/>
      <c r="D25" s="109" t="s">
        <v>190</v>
      </c>
      <c r="E25" s="110" t="s">
        <v>517</v>
      </c>
      <c r="F25" s="111" t="s">
        <v>193</v>
      </c>
      <c r="G25" s="112" t="s">
        <v>517</v>
      </c>
      <c r="H25" s="57" t="s">
        <v>140</v>
      </c>
    </row>
    <row r="26" spans="3:8" ht="13.5" customHeight="1" thickBot="1" x14ac:dyDescent="0.3">
      <c r="C26" s="653"/>
      <c r="D26" s="113" t="s">
        <v>139</v>
      </c>
      <c r="E26" s="114">
        <v>61</v>
      </c>
      <c r="F26" s="116" t="str">
        <f>GetCorrelName1($E26)</f>
        <v>Park</v>
      </c>
      <c r="G26" s="115" t="str">
        <f>GetCorrelName2($E26)</f>
        <v>Niag</v>
      </c>
      <c r="H26" s="118" t="s">
        <v>143</v>
      </c>
    </row>
    <row r="27" spans="3:8" ht="13.5" customHeight="1" x14ac:dyDescent="0.25">
      <c r="C27" s="652"/>
      <c r="D27" s="657" t="s">
        <v>16</v>
      </c>
      <c r="E27" s="659"/>
      <c r="F27" s="660"/>
      <c r="G27" s="660"/>
      <c r="H27" s="661"/>
    </row>
    <row r="28" spans="3:8" ht="13.5" customHeight="1" thickBot="1" x14ac:dyDescent="0.3">
      <c r="C28" s="654"/>
      <c r="D28" s="658"/>
      <c r="E28" s="662"/>
      <c r="F28" s="663"/>
      <c r="G28" s="663"/>
      <c r="H28" s="664"/>
    </row>
    <row r="29" spans="3:8" ht="13.8" thickTop="1" x14ac:dyDescent="0.25"/>
  </sheetData>
  <sheetCalcPr fullCalcOnLoad="1"/>
  <dataConsolidate/>
  <mergeCells count="6">
    <mergeCell ref="C3:H3"/>
    <mergeCell ref="D9:H9"/>
    <mergeCell ref="C11:C28"/>
    <mergeCell ref="D11:H11"/>
    <mergeCell ref="D27:D28"/>
    <mergeCell ref="E27:H28"/>
  </mergeCells>
  <phoneticPr fontId="0" type="noConversion"/>
  <pageMargins left="0.75" right="0.75" top="0.5" bottom="0.5" header="0.5" footer="0.5"/>
  <pageSetup paperSize="5" scale="57" fitToHeight="2"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5169" r:id="rId4" name="Button 1">
              <controlPr defaultSize="0" print="0" autoFill="0" autoPict="0" macro="[2]!Button11_click">
                <anchor moveWithCells="1" sizeWithCells="1">
                  <from>
                    <xdr:col>4</xdr:col>
                    <xdr:colOff>975360</xdr:colOff>
                    <xdr:row>3</xdr:row>
                    <xdr:rowOff>106680</xdr:rowOff>
                  </from>
                  <to>
                    <xdr:col>5</xdr:col>
                    <xdr:colOff>419100</xdr:colOff>
                    <xdr:row>6</xdr:row>
                    <xdr:rowOff>0</xdr:rowOff>
                  </to>
                </anchor>
              </controlPr>
            </control>
          </mc:Choice>
        </mc:AlternateContent>
        <mc:AlternateContent xmlns:mc="http://schemas.openxmlformats.org/markup-compatibility/2006">
          <mc:Choice Requires="x14">
            <control shapeId="135170" r:id="rId5" name="Button 2">
              <controlPr defaultSize="0" print="0" autoFill="0" autoPict="0" macro="[2]!Button10_Click">
                <anchor moveWithCells="1" sizeWithCells="1">
                  <from>
                    <xdr:col>2</xdr:col>
                    <xdr:colOff>129540</xdr:colOff>
                    <xdr:row>3</xdr:row>
                    <xdr:rowOff>106680</xdr:rowOff>
                  </from>
                  <to>
                    <xdr:col>3</xdr:col>
                    <xdr:colOff>937260</xdr:colOff>
                    <xdr:row>6</xdr:row>
                    <xdr:rowOff>0</xdr:rowOff>
                  </to>
                </anchor>
              </controlPr>
            </control>
          </mc:Choice>
        </mc:AlternateContent>
        <mc:AlternateContent xmlns:mc="http://schemas.openxmlformats.org/markup-compatibility/2006">
          <mc:Choice Requires="x14">
            <control shapeId="135171" r:id="rId6" name="Button 3">
              <controlPr defaultSize="0" print="0" autoFill="0" autoPict="0" macro="[2]!Button18_Click">
                <anchor moveWithCells="1" sizeWithCells="1">
                  <from>
                    <xdr:col>5</xdr:col>
                    <xdr:colOff>1752600</xdr:colOff>
                    <xdr:row>3</xdr:row>
                    <xdr:rowOff>106680</xdr:rowOff>
                  </from>
                  <to>
                    <xdr:col>6</xdr:col>
                    <xdr:colOff>1196340</xdr:colOff>
                    <xdr:row>6</xdr:row>
                    <xdr:rowOff>0</xdr:rowOff>
                  </to>
                </anchor>
              </controlPr>
            </control>
          </mc:Choice>
        </mc:AlternateContent>
        <mc:AlternateContent xmlns:mc="http://schemas.openxmlformats.org/markup-compatibility/2006">
          <mc:Choice Requires="x14">
            <control shapeId="135172" r:id="rId7" name="Button 4">
              <controlPr defaultSize="0" print="0" autoFill="0" autoPict="0">
                <anchor moveWithCells="1" sizeWithCells="1">
                  <from>
                    <xdr:col>7</xdr:col>
                    <xdr:colOff>419100</xdr:colOff>
                    <xdr:row>3</xdr:row>
                    <xdr:rowOff>106680</xdr:rowOff>
                  </from>
                  <to>
                    <xdr:col>7</xdr:col>
                    <xdr:colOff>1965960</xdr:colOff>
                    <xdr:row>6</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
    <pageSetUpPr autoPageBreaks="0" fitToPage="1"/>
  </sheetPr>
  <dimension ref="A1:AL126"/>
  <sheetViews>
    <sheetView topLeftCell="G92" zoomScale="80" workbookViewId="0">
      <selection activeCell="C85" sqref="C85:AC127"/>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32.6640625" style="230" bestFit="1" customWidth="1"/>
    <col min="7" max="7" width="30.6640625" style="231" customWidth="1"/>
    <col min="8" max="12" width="13.6640625" style="232" customWidth="1"/>
    <col min="13" max="13" width="3.6640625" style="232" customWidth="1"/>
    <col min="14" max="15" width="13.6640625" style="232" customWidth="1"/>
    <col min="16" max="16" width="3.6640625" style="232" customWidth="1"/>
    <col min="17" max="19" width="13.6640625" style="232" customWidth="1"/>
    <col min="20" max="20" width="3.6640625" style="232" customWidth="1"/>
    <col min="21" max="21" width="13.6640625" style="233" customWidth="1"/>
    <col min="22" max="22" width="13.6640625" style="29" customWidth="1"/>
    <col min="23" max="23" width="3.6640625" style="29" customWidth="1"/>
    <col min="24" max="24" width="13.6640625" style="29" bestFit="1" customWidth="1"/>
    <col min="25" max="26" width="11.6640625" style="29" customWidth="1"/>
    <col min="27" max="27" width="12.6640625" style="29" bestFit="1" customWidth="1"/>
    <col min="28" max="29" width="11.6640625" style="29" customWidth="1"/>
    <col min="30" max="16384" width="9.109375" style="29"/>
  </cols>
  <sheetData>
    <row r="1" spans="1:38" x14ac:dyDescent="0.25">
      <c r="A1" s="180" t="s">
        <v>567</v>
      </c>
    </row>
    <row r="2" spans="1:38" x14ac:dyDescent="0.25">
      <c r="A2" s="180" t="str">
        <f>ADDRESS(ROW($F$3),COLUMN($F$3))</f>
        <v>$F$3</v>
      </c>
      <c r="F2" s="29"/>
    </row>
    <row r="3" spans="1:38" x14ac:dyDescent="0.25">
      <c r="A3" s="180" t="str">
        <f>ADDRESS(ROW($C$7),COLUMN($C$7))</f>
        <v>$C$7</v>
      </c>
      <c r="E3" s="234" t="s">
        <v>194</v>
      </c>
      <c r="F3" s="250" t="s">
        <v>569</v>
      </c>
    </row>
    <row r="4" spans="1:38" x14ac:dyDescent="0.25">
      <c r="A4" s="180" t="str">
        <f>ADDRESS(ROW($F$4),COLUMN($F$4))</f>
        <v>$F$4</v>
      </c>
      <c r="E4" s="234" t="s">
        <v>272</v>
      </c>
      <c r="F4" s="250">
        <v>1</v>
      </c>
    </row>
    <row r="7" spans="1:38" ht="17.399999999999999" x14ac:dyDescent="0.3">
      <c r="E7" s="253" t="s">
        <v>208</v>
      </c>
      <c r="U7" s="232"/>
      <c r="V7" s="232"/>
      <c r="W7" s="232"/>
      <c r="X7" s="232"/>
      <c r="Y7" s="232"/>
      <c r="Z7" s="232"/>
      <c r="AA7" s="232"/>
      <c r="AB7" s="232"/>
      <c r="AC7" s="232"/>
      <c r="AD7" s="232"/>
      <c r="AE7" s="233"/>
    </row>
    <row r="8" spans="1:38" s="235" customFormat="1" ht="12.75" customHeight="1" x14ac:dyDescent="0.25">
      <c r="C8" s="699" t="s">
        <v>164</v>
      </c>
      <c r="D8" s="29"/>
      <c r="E8" s="217"/>
      <c r="F8" s="218"/>
      <c r="G8" s="241" t="s">
        <v>181</v>
      </c>
      <c r="H8" s="693" t="s">
        <v>201</v>
      </c>
      <c r="I8" s="695" t="s">
        <v>202</v>
      </c>
      <c r="J8" s="695" t="s">
        <v>203</v>
      </c>
      <c r="K8" s="695" t="s">
        <v>204</v>
      </c>
      <c r="L8" s="697" t="s">
        <v>205</v>
      </c>
      <c r="M8" s="232"/>
      <c r="N8" s="693" t="s">
        <v>621</v>
      </c>
      <c r="O8" s="691" t="s">
        <v>622</v>
      </c>
      <c r="P8" s="232"/>
      <c r="Q8" s="693" t="s">
        <v>581</v>
      </c>
      <c r="R8" s="695" t="s">
        <v>582</v>
      </c>
      <c r="S8" s="691" t="s">
        <v>583</v>
      </c>
      <c r="T8" s="232"/>
      <c r="U8" s="693" t="s">
        <v>584</v>
      </c>
      <c r="V8" s="691" t="s">
        <v>585</v>
      </c>
      <c r="W8" s="232"/>
      <c r="X8" s="693" t="s">
        <v>271</v>
      </c>
      <c r="Y8" s="695" t="s">
        <v>155</v>
      </c>
      <c r="Z8" s="695" t="s">
        <v>156</v>
      </c>
      <c r="AA8" s="695" t="s">
        <v>157</v>
      </c>
      <c r="AB8" s="695" t="s">
        <v>158</v>
      </c>
      <c r="AC8" s="697" t="s">
        <v>211</v>
      </c>
      <c r="AD8" s="232"/>
      <c r="AE8" s="232"/>
      <c r="AF8" s="232"/>
    </row>
    <row r="9" spans="1:38" s="235" customFormat="1" ht="12.75" customHeight="1" x14ac:dyDescent="0.25">
      <c r="C9" s="700"/>
      <c r="D9" s="29"/>
      <c r="E9" s="220" t="s">
        <v>0</v>
      </c>
      <c r="F9" s="219" t="s">
        <v>173</v>
      </c>
      <c r="G9" s="242" t="s">
        <v>182</v>
      </c>
      <c r="H9" s="694"/>
      <c r="I9" s="696" t="s">
        <v>202</v>
      </c>
      <c r="J9" s="696"/>
      <c r="K9" s="696"/>
      <c r="L9" s="698"/>
      <c r="M9" s="232"/>
      <c r="N9" s="694"/>
      <c r="O9" s="692"/>
      <c r="P9" s="232"/>
      <c r="Q9" s="694"/>
      <c r="R9" s="696"/>
      <c r="S9" s="692"/>
      <c r="T9" s="232"/>
      <c r="U9" s="694"/>
      <c r="V9" s="692"/>
      <c r="W9" s="232"/>
      <c r="X9" s="694"/>
      <c r="Y9" s="696"/>
      <c r="Z9" s="696"/>
      <c r="AA9" s="696"/>
      <c r="AB9" s="696"/>
      <c r="AC9" s="698"/>
      <c r="AD9" s="232"/>
      <c r="AE9" s="232"/>
      <c r="AF9" s="232"/>
    </row>
    <row r="10" spans="1:38" x14ac:dyDescent="0.25">
      <c r="C10" s="685">
        <v>1</v>
      </c>
      <c r="E10" s="687" t="str">
        <f>GetPipeName($AH10,$AL10)</f>
        <v>NBPL</v>
      </c>
      <c r="F10" s="689" t="str">
        <f>CONCATENATE(GetRcptPoint($AH10,$AL10)," to ",GetDelPoint($AH10,$AL10))</f>
        <v>Ventura to Chicago</v>
      </c>
      <c r="G10" s="243" t="str">
        <f>GetRcptBasis($AH10,$AL10)</f>
        <v>IF-NNG/VENT Basis Mid</v>
      </c>
      <c r="H10" s="679">
        <f ca="1">GetTodayAsset($AI10)</f>
        <v>17989602.529800002</v>
      </c>
      <c r="I10" s="681">
        <f ca="1">GetTodayDemand($AI10)</f>
        <v>19413442.430599999</v>
      </c>
      <c r="J10" s="681">
        <f ca="1">H10-I10</f>
        <v>-1423839.9007999972</v>
      </c>
      <c r="K10" s="681">
        <f>GetYesterdayPL($AI10)</f>
        <v>-1419825.25</v>
      </c>
      <c r="L10" s="677">
        <f ca="1">J10-K10</f>
        <v>-4014.6507999971509</v>
      </c>
      <c r="N10" s="679">
        <f ca="1">GetTodayIntrinsic($AI10)</f>
        <v>14722731.0425</v>
      </c>
      <c r="O10" s="677">
        <f ca="1">GetTodayExtrinsic($AI10)</f>
        <v>3266871.4873000002</v>
      </c>
      <c r="Q10" s="679">
        <f ca="1">GetPriceChange($AI10)</f>
        <v>0</v>
      </c>
      <c r="R10" s="681">
        <f ca="1">GetBasisChange($AI10)</f>
        <v>0</v>
      </c>
      <c r="S10" s="677">
        <f ca="1">GetIndexChange($AI10)</f>
        <v>0</v>
      </c>
      <c r="T10" s="365"/>
      <c r="U10" s="679">
        <f ca="1">GetFuelChange($AI10)</f>
        <v>-1877.9197999999999</v>
      </c>
      <c r="V10" s="683">
        <f ca="1">GetVarChrgChange($AI10)</f>
        <v>0</v>
      </c>
      <c r="W10" s="232"/>
      <c r="X10" s="679">
        <f ca="1">GetDelta($AI10)</f>
        <v>0</v>
      </c>
      <c r="Y10" s="681">
        <f ca="1">GetGamma($AI10)</f>
        <v>0</v>
      </c>
      <c r="Z10" s="681">
        <f ca="1">GetTheta($AI10)</f>
        <v>-11980.962299999999</v>
      </c>
      <c r="AA10" s="681">
        <f ca="1">GetVega($AI10)</f>
        <v>3079.8132000000001</v>
      </c>
      <c r="AB10" s="681">
        <f ca="1">GetRho($AI10)</f>
        <v>0</v>
      </c>
      <c r="AC10" s="677">
        <f ca="1">GetDrift($AI10)</f>
        <v>6370.3762999999999</v>
      </c>
      <c r="AD10" s="232"/>
      <c r="AE10" s="232"/>
      <c r="AF10" s="232"/>
      <c r="AH10" s="303" t="str">
        <f>GetDBPage($C10)</f>
        <v>Contract DB (Central)</v>
      </c>
      <c r="AI10" s="236" t="str">
        <f>GetWorkSheet($C10)</f>
        <v>LongTerm1</v>
      </c>
      <c r="AJ10" s="236" t="str">
        <f t="shared" ref="AJ10:AJ23" si="0">IF(NOT($AI10="#VALUE#"),CONCATENATE($AI10,"!",GetDateStart($AI10),":",GetDateEnd($AI10)),"")</f>
        <v>LongTerm1!$D$22:$D$117</v>
      </c>
      <c r="AK10" s="236" t="str">
        <f>IF(NOT($AI10="#VALUE#"),CONCATENATE($AI10,"!",GetReceiptStart($AI10),":",GetReceiptEnd($AI10)),"")</f>
        <v>LongTerm1!$S$22:$S$117</v>
      </c>
      <c r="AL10" s="236">
        <f>GetRecNdx($AH10,$C10)</f>
        <v>1</v>
      </c>
    </row>
    <row r="11" spans="1:38" x14ac:dyDescent="0.25">
      <c r="C11" s="686"/>
      <c r="E11" s="688"/>
      <c r="F11" s="690"/>
      <c r="G11" s="244" t="str">
        <f>GetDelBasis($AH10,$AL11)</f>
        <v>NGI/CHI. GATE Basis Mid</v>
      </c>
      <c r="H11" s="680"/>
      <c r="I11" s="682"/>
      <c r="J11" s="682"/>
      <c r="K11" s="682"/>
      <c r="L11" s="678"/>
      <c r="M11" s="349"/>
      <c r="N11" s="680"/>
      <c r="O11" s="678"/>
      <c r="P11" s="349"/>
      <c r="Q11" s="680"/>
      <c r="R11" s="682"/>
      <c r="S11" s="678"/>
      <c r="T11" s="365"/>
      <c r="U11" s="680"/>
      <c r="V11" s="684"/>
      <c r="W11" s="232"/>
      <c r="X11" s="680"/>
      <c r="Y11" s="682"/>
      <c r="Z11" s="682"/>
      <c r="AA11" s="682"/>
      <c r="AB11" s="682"/>
      <c r="AC11" s="678"/>
      <c r="AD11" s="232"/>
      <c r="AE11" s="232"/>
      <c r="AF11" s="232"/>
      <c r="AI11" s="236" t="str">
        <f>GetWorkSheet($C10)</f>
        <v>LongTerm1</v>
      </c>
      <c r="AJ11" s="236" t="str">
        <f t="shared" si="0"/>
        <v>LongTerm1!$D$22:$D$117</v>
      </c>
      <c r="AK11" s="236" t="str">
        <f>IF(NOT($AI11="#VALUE#"),CONCATENATE($AI11,"!",GetDeliveryStart($AI11),":",GetDeliveryEnd($AI11)),"")</f>
        <v>LongTerm1!$T$22:$T$117</v>
      </c>
      <c r="AL11" s="236">
        <f>GetRecNdx($AH10,$C10)</f>
        <v>1</v>
      </c>
    </row>
    <row r="12" spans="1:38" x14ac:dyDescent="0.25">
      <c r="C12" s="685">
        <v>2</v>
      </c>
      <c r="E12" s="687" t="str">
        <f>GetPipeName($AH12,$AL12)</f>
        <v>NBPL</v>
      </c>
      <c r="F12" s="689" t="str">
        <f>CONCATENATE(GetRcptPoint($AH12,$AL12)," to ",GetDelPoint($AH12,$AL12))</f>
        <v>Monchy to Chicago</v>
      </c>
      <c r="G12" s="243" t="str">
        <f>GetRcptBasis($AH12,$AL12)</f>
        <v>IF-MONCHY Basis Mid</v>
      </c>
      <c r="H12" s="679">
        <f ca="1">GetTodayAsset($AI12)</f>
        <v>171218.32190000001</v>
      </c>
      <c r="I12" s="681">
        <f ca="1">GetTodayDemand($AI12)</f>
        <v>260422.00810000001</v>
      </c>
      <c r="J12" s="681">
        <f ca="1">H12-I12</f>
        <v>-89203.686199999996</v>
      </c>
      <c r="K12" s="681">
        <f>GetYesterdayPL($AI12)</f>
        <v>-89164.33</v>
      </c>
      <c r="L12" s="677">
        <f ca="1">J12-K12</f>
        <v>-39.356199999994715</v>
      </c>
      <c r="N12" s="679">
        <f ca="1">GetTodayIntrinsic($AI12)</f>
        <v>171100.50159999999</v>
      </c>
      <c r="O12" s="677">
        <f ca="1">GetTodayExtrinsic($AI12)</f>
        <v>117.8203</v>
      </c>
      <c r="Q12" s="679">
        <f ca="1">GetPriceChange($AI12)</f>
        <v>0</v>
      </c>
      <c r="R12" s="681">
        <f ca="1">GetBasisChange($AI12)</f>
        <v>0</v>
      </c>
      <c r="S12" s="677">
        <f ca="1">GetIndexChange($AI12)</f>
        <v>0</v>
      </c>
      <c r="T12" s="365"/>
      <c r="U12" s="679">
        <f ca="1">GetFuelChange($AI12)</f>
        <v>-8.9229000000000003</v>
      </c>
      <c r="V12" s="683">
        <f ca="1">GetVarChrgChange($AI12)</f>
        <v>0</v>
      </c>
      <c r="W12" s="232"/>
      <c r="X12" s="679">
        <f ca="1">GetDelta($AI12)</f>
        <v>0</v>
      </c>
      <c r="Y12" s="681">
        <f ca="1">GetGamma($AI12)</f>
        <v>0</v>
      </c>
      <c r="Z12" s="681">
        <f ca="1">GetTheta($AI12)</f>
        <v>-7.7249999999999996</v>
      </c>
      <c r="AA12" s="681">
        <f ca="1">GetVega($AI12)</f>
        <v>8.5274999999999999</v>
      </c>
      <c r="AB12" s="681">
        <f ca="1">GetRho($AI12)</f>
        <v>0</v>
      </c>
      <c r="AC12" s="677">
        <f ca="1">GetDrift($AI12)</f>
        <v>26.745899999999999</v>
      </c>
      <c r="AD12" s="232"/>
      <c r="AE12" s="232"/>
      <c r="AF12" s="232"/>
      <c r="AH12" s="303" t="str">
        <f>GetDBPage($C12)</f>
        <v>Contract DB (Central)</v>
      </c>
      <c r="AI12" s="236" t="str">
        <f>GetWorkSheet($C12)</f>
        <v>LongTerm2</v>
      </c>
      <c r="AJ12" s="236" t="str">
        <f t="shared" si="0"/>
        <v>LongTerm2!$D$22:$D$30</v>
      </c>
      <c r="AK12" s="236" t="str">
        <f>IF(NOT($AI12="#VALUE#"),CONCATENATE($AI12,"!",GetReceiptStart($AI12),":",GetReceiptEnd($AI12)),"")</f>
        <v>LongTerm2!$S$22:$S$30</v>
      </c>
      <c r="AL12" s="236">
        <f>GetRecNdx($AH12,$C12)</f>
        <v>2</v>
      </c>
    </row>
    <row r="13" spans="1:38" x14ac:dyDescent="0.25">
      <c r="C13" s="686"/>
      <c r="E13" s="688"/>
      <c r="F13" s="690"/>
      <c r="G13" s="244" t="str">
        <f>GetDelBasis($AH12,$AL13)</f>
        <v>NGI/CHI. GATE Basis Mid</v>
      </c>
      <c r="H13" s="680"/>
      <c r="I13" s="682"/>
      <c r="J13" s="682"/>
      <c r="K13" s="682"/>
      <c r="L13" s="678"/>
      <c r="M13" s="349"/>
      <c r="N13" s="680"/>
      <c r="O13" s="678"/>
      <c r="P13" s="349"/>
      <c r="Q13" s="680"/>
      <c r="R13" s="682"/>
      <c r="S13" s="678"/>
      <c r="T13" s="365"/>
      <c r="U13" s="680"/>
      <c r="V13" s="684"/>
      <c r="W13" s="232"/>
      <c r="X13" s="680"/>
      <c r="Y13" s="682"/>
      <c r="Z13" s="682"/>
      <c r="AA13" s="682"/>
      <c r="AB13" s="682"/>
      <c r="AC13" s="678"/>
      <c r="AD13" s="232"/>
      <c r="AE13" s="232"/>
      <c r="AF13" s="232"/>
      <c r="AI13" s="236" t="str">
        <f>GetWorkSheet($C12)</f>
        <v>LongTerm2</v>
      </c>
      <c r="AJ13" s="236" t="str">
        <f t="shared" si="0"/>
        <v>LongTerm2!$D$22:$D$30</v>
      </c>
      <c r="AK13" s="236" t="str">
        <f>IF(NOT($AI13="#VALUE#"),CONCATENATE($AI13,"!",GetDeliveryStart($AI13),":",GetDeliveryEnd($AI13)),"")</f>
        <v>LongTerm2!$T$22:$T$30</v>
      </c>
      <c r="AL13" s="236">
        <f>GetRecNdx($AH12,$C12)</f>
        <v>2</v>
      </c>
    </row>
    <row r="14" spans="1:38" x14ac:dyDescent="0.25">
      <c r="C14" s="685">
        <v>25</v>
      </c>
      <c r="E14" s="687" t="str">
        <f>GetPipeName($AH14,$AL14)</f>
        <v>NBPL</v>
      </c>
      <c r="F14" s="689" t="str">
        <f>CONCATENATE(GetRcptPoint($AH14,$AL14)," to ",GetDelPoint($AH14,$AL14))</f>
        <v>Monchy to Chicago</v>
      </c>
      <c r="G14" s="243" t="str">
        <f>GetRcptBasis($AH14,$AL14)</f>
        <v>IF-MONCHY Basis Mid</v>
      </c>
      <c r="H14" s="679">
        <f ca="1">GetTodayAsset($AI14)</f>
        <v>5233143.6755999997</v>
      </c>
      <c r="I14" s="681">
        <f ca="1">GetTodayDemand($AI14)</f>
        <v>8812371.1125000007</v>
      </c>
      <c r="J14" s="681">
        <f ca="1">H14-I14</f>
        <v>-3579227.436900001</v>
      </c>
      <c r="K14" s="681">
        <f>GetYesterdayPL($AI14)</f>
        <v>-3577945.81</v>
      </c>
      <c r="L14" s="677">
        <f ca="1">J14-K14</f>
        <v>-1281.6269000009634</v>
      </c>
      <c r="N14" s="679">
        <f ca="1">GetTodayIntrinsic($AI14)</f>
        <v>5231444.1392999999</v>
      </c>
      <c r="O14" s="677">
        <f ca="1">GetTodayExtrinsic($AI14)</f>
        <v>1699.5363</v>
      </c>
      <c r="Q14" s="679">
        <f ca="1">GetPriceChange($AI14)</f>
        <v>0</v>
      </c>
      <c r="R14" s="681">
        <f ca="1">GetBasisChange($AI14)</f>
        <v>0</v>
      </c>
      <c r="S14" s="677">
        <f ca="1">GetIndexChange($AI14)</f>
        <v>0</v>
      </c>
      <c r="T14" s="365"/>
      <c r="U14" s="679">
        <f ca="1">GetFuelChange($AI14)</f>
        <v>-829.59709999999995</v>
      </c>
      <c r="V14" s="683">
        <f ca="1">GetVarChrgChange($AI14)</f>
        <v>0</v>
      </c>
      <c r="W14" s="232"/>
      <c r="X14" s="679">
        <f ca="1">GetDelta($AI14)</f>
        <v>0</v>
      </c>
      <c r="Y14" s="681">
        <f ca="1">GetGamma($AI14)</f>
        <v>0</v>
      </c>
      <c r="Z14" s="681">
        <f ca="1">GetTheta($AI14)</f>
        <v>1764.0105000000001</v>
      </c>
      <c r="AA14" s="681">
        <f ca="1">GetVega($AI14)</f>
        <v>2.3206000000000002</v>
      </c>
      <c r="AB14" s="681">
        <f ca="1">GetRho($AI14)</f>
        <v>0</v>
      </c>
      <c r="AC14" s="677">
        <f ca="1">GetDrift($AI14)</f>
        <v>1805.4226000000001</v>
      </c>
      <c r="AD14" s="232"/>
      <c r="AE14" s="232"/>
      <c r="AF14" s="232"/>
      <c r="AH14" s="303" t="str">
        <f>GetDBPage($C14)</f>
        <v>Contract DB (Central)</v>
      </c>
      <c r="AI14" s="236" t="str">
        <f>GetWorkSheet($C14)</f>
        <v>LongTerm25</v>
      </c>
      <c r="AJ14" s="236" t="str">
        <f t="shared" si="0"/>
        <v>LongTerm25!$D$22:$D$105</v>
      </c>
      <c r="AK14" s="236" t="str">
        <f>IF(NOT($AI14="#VALUE#"),CONCATENATE($AI14,"!",GetReceiptStart($AI14),":",GetReceiptEnd($AI14)),"")</f>
        <v>LongTerm25!$S$22:$S$105</v>
      </c>
      <c r="AL14" s="236">
        <f>GetRecNdx($AH14,$C14)</f>
        <v>3</v>
      </c>
    </row>
    <row r="15" spans="1:38" x14ac:dyDescent="0.25">
      <c r="C15" s="686"/>
      <c r="E15" s="688"/>
      <c r="F15" s="690"/>
      <c r="G15" s="244" t="str">
        <f>GetDelBasis($AH14,$AL15)</f>
        <v>NGI/CHI. GATE Basis Mid</v>
      </c>
      <c r="H15" s="680"/>
      <c r="I15" s="682"/>
      <c r="J15" s="682"/>
      <c r="K15" s="682"/>
      <c r="L15" s="678"/>
      <c r="M15" s="349"/>
      <c r="N15" s="680"/>
      <c r="O15" s="678"/>
      <c r="P15" s="349"/>
      <c r="Q15" s="680"/>
      <c r="R15" s="682"/>
      <c r="S15" s="678"/>
      <c r="T15" s="365"/>
      <c r="U15" s="680"/>
      <c r="V15" s="684"/>
      <c r="W15" s="232"/>
      <c r="X15" s="680"/>
      <c r="Y15" s="682"/>
      <c r="Z15" s="682"/>
      <c r="AA15" s="682"/>
      <c r="AB15" s="682"/>
      <c r="AC15" s="678"/>
      <c r="AD15" s="232"/>
      <c r="AE15" s="232"/>
      <c r="AF15" s="232"/>
      <c r="AI15" s="236" t="str">
        <f>GetWorkSheet($C14)</f>
        <v>LongTerm25</v>
      </c>
      <c r="AJ15" s="236" t="str">
        <f t="shared" si="0"/>
        <v>LongTerm25!$D$22:$D$105</v>
      </c>
      <c r="AK15" s="236" t="str">
        <f>IF(NOT($AI15="#VALUE#"),CONCATENATE($AI15,"!",GetDeliveryStart($AI15),":",GetDeliveryEnd($AI15)),"")</f>
        <v>LongTerm25!$T$22:$T$105</v>
      </c>
      <c r="AL15" s="236">
        <f>GetRecNdx($AH14,$C14)</f>
        <v>3</v>
      </c>
    </row>
    <row r="16" spans="1:38" x14ac:dyDescent="0.25">
      <c r="C16" s="685">
        <v>26</v>
      </c>
      <c r="E16" s="687" t="str">
        <f>GetPipeName($AH16,$AL16)</f>
        <v>NBPL</v>
      </c>
      <c r="F16" s="689" t="str">
        <f>CONCATENATE(GetRcptPoint($AH16,$AL16)," to ",GetDelPoint($AH16,$AL16))</f>
        <v>Monchy to Chicago</v>
      </c>
      <c r="G16" s="243" t="str">
        <f>GetRcptBasis($AH16,$AL16)</f>
        <v>IF-MONCHY Basis Mid</v>
      </c>
      <c r="H16" s="679">
        <f ca="1">GetTodayAsset($AI16)</f>
        <v>267041.16690000001</v>
      </c>
      <c r="I16" s="681">
        <f ca="1">GetTodayDemand($AI16)</f>
        <v>400244.87790000002</v>
      </c>
      <c r="J16" s="681">
        <f ca="1">H16-I16</f>
        <v>-133203.71100000001</v>
      </c>
      <c r="K16" s="681">
        <f>GetYesterdayPL($AI16)</f>
        <v>-133140.5</v>
      </c>
      <c r="L16" s="677">
        <f ca="1">J16-K16</f>
        <v>-63.211000000010245</v>
      </c>
      <c r="N16" s="679">
        <f ca="1">GetTodayIntrinsic($AI16)</f>
        <v>266995.37180000002</v>
      </c>
      <c r="O16" s="677">
        <f ca="1">GetTodayExtrinsic($AI16)</f>
        <v>45.795099999999998</v>
      </c>
      <c r="Q16" s="679">
        <f ca="1">GetPriceChange($AI16)</f>
        <v>0</v>
      </c>
      <c r="R16" s="681">
        <f ca="1">GetBasisChange($AI16)</f>
        <v>0</v>
      </c>
      <c r="S16" s="677">
        <f ca="1">GetIndexChange($AI16)</f>
        <v>0</v>
      </c>
      <c r="T16" s="365"/>
      <c r="U16" s="679">
        <f ca="1">GetFuelChange($AI16)</f>
        <v>-53.419800000000002</v>
      </c>
      <c r="V16" s="683">
        <f ca="1">GetVarChrgChange($AI16)</f>
        <v>0</v>
      </c>
      <c r="W16" s="232"/>
      <c r="X16" s="679">
        <f ca="1">GetDelta($AI16)</f>
        <v>0</v>
      </c>
      <c r="Y16" s="681">
        <f ca="1">GetGamma($AI16)</f>
        <v>0</v>
      </c>
      <c r="Z16" s="681">
        <f ca="1">GetTheta($AI16)</f>
        <v>126.155</v>
      </c>
      <c r="AA16" s="681">
        <f ca="1">GetVega($AI16)</f>
        <v>2.9100000000000001E-2</v>
      </c>
      <c r="AB16" s="681">
        <f ca="1">GetRho($AI16)</f>
        <v>0</v>
      </c>
      <c r="AC16" s="677">
        <f ca="1">GetDrift($AI16)</f>
        <v>128.2039</v>
      </c>
      <c r="AD16" s="232"/>
      <c r="AE16" s="232"/>
      <c r="AF16" s="232"/>
      <c r="AH16" s="303" t="str">
        <f>GetDBPage($C16)</f>
        <v>Contract DB (Central)</v>
      </c>
      <c r="AI16" s="236" t="str">
        <f>GetWorkSheet($C16)</f>
        <v>LongTerm26</v>
      </c>
      <c r="AJ16" s="236" t="str">
        <f t="shared" si="0"/>
        <v>LongTerm26!$D$22:$D$24</v>
      </c>
      <c r="AK16" s="236" t="str">
        <f>IF(NOT($AI16="#VALUE#"),CONCATENATE($AI16,"!",GetReceiptStart($AI16),":",GetReceiptEnd($AI16)),"")</f>
        <v>LongTerm26!$S$22:$S$24</v>
      </c>
      <c r="AL16" s="236">
        <f>GetRecNdx($AH16,$C16)</f>
        <v>4</v>
      </c>
    </row>
    <row r="17" spans="3:38" x14ac:dyDescent="0.25">
      <c r="C17" s="686"/>
      <c r="E17" s="688"/>
      <c r="F17" s="690"/>
      <c r="G17" s="244" t="str">
        <f>GetDelBasis($AH16,$AL17)</f>
        <v>NGI/CHI. GATE Basis Mid</v>
      </c>
      <c r="H17" s="680"/>
      <c r="I17" s="682"/>
      <c r="J17" s="682"/>
      <c r="K17" s="682"/>
      <c r="L17" s="678"/>
      <c r="M17" s="349"/>
      <c r="N17" s="680"/>
      <c r="O17" s="678"/>
      <c r="P17" s="349"/>
      <c r="Q17" s="680"/>
      <c r="R17" s="682"/>
      <c r="S17" s="678"/>
      <c r="T17" s="365"/>
      <c r="U17" s="680"/>
      <c r="V17" s="684"/>
      <c r="W17" s="232"/>
      <c r="X17" s="680"/>
      <c r="Y17" s="682"/>
      <c r="Z17" s="682"/>
      <c r="AA17" s="682"/>
      <c r="AB17" s="682"/>
      <c r="AC17" s="678"/>
      <c r="AD17" s="232"/>
      <c r="AE17" s="232"/>
      <c r="AF17" s="232"/>
      <c r="AI17" s="236" t="str">
        <f>GetWorkSheet($C16)</f>
        <v>LongTerm26</v>
      </c>
      <c r="AJ17" s="236" t="str">
        <f t="shared" si="0"/>
        <v>LongTerm26!$D$22:$D$24</v>
      </c>
      <c r="AK17" s="236" t="str">
        <f>IF(NOT($AI17="#VALUE#"),CONCATENATE($AI17,"!",GetDeliveryStart($AI17),":",GetDeliveryEnd($AI17)),"")</f>
        <v>LongTerm26!$T$22:$T$24</v>
      </c>
      <c r="AL17" s="236">
        <f>GetRecNdx($AH16,$C16)</f>
        <v>4</v>
      </c>
    </row>
    <row r="18" spans="3:38" x14ac:dyDescent="0.25">
      <c r="C18" s="685">
        <v>72</v>
      </c>
      <c r="E18" s="687">
        <f>GetPipeName($AH18,$AL18)</f>
        <v>0</v>
      </c>
      <c r="F18" s="689" t="str">
        <f>CONCATENATE(GetRcptPoint($AH18,$AL18)," to ",GetDelPoint($AH18,$AL18))</f>
        <v>MidCon to Permian</v>
      </c>
      <c r="G18" s="243" t="str">
        <f>GetRcptBasis($AH18,$AL18)</f>
        <v>IF-NGPL/MIDCON Basis Mid</v>
      </c>
      <c r="H18" s="679">
        <f ca="1">GetTodayAsset($AI18)</f>
        <v>13019.661400000001</v>
      </c>
      <c r="I18" s="681">
        <f ca="1">GetTodayDemand($AI18)</f>
        <v>143556.4884</v>
      </c>
      <c r="J18" s="681">
        <f ca="1">H18-I18</f>
        <v>-130536.827</v>
      </c>
      <c r="K18" s="681">
        <f>GetYesterdayPL($AI18)</f>
        <v>-130047.67999999999</v>
      </c>
      <c r="L18" s="677">
        <f ca="1">J18-K18</f>
        <v>-489.14700000001176</v>
      </c>
      <c r="N18" s="679">
        <f ca="1">GetTodayIntrinsic($AI18)</f>
        <v>0</v>
      </c>
      <c r="O18" s="677">
        <f ca="1">GetTodayExtrinsic($AI18)</f>
        <v>13019.661400000001</v>
      </c>
      <c r="Q18" s="679">
        <f ca="1">GetPriceChange($AI18)</f>
        <v>0</v>
      </c>
      <c r="R18" s="681">
        <f ca="1">GetBasisChange($AI18)</f>
        <v>0</v>
      </c>
      <c r="S18" s="677">
        <f ca="1">GetIndexChange($AI18)</f>
        <v>0</v>
      </c>
      <c r="T18" s="365"/>
      <c r="U18" s="679">
        <f ca="1">GetFuelChange($AI18)</f>
        <v>-8.3443000000000005</v>
      </c>
      <c r="V18" s="683">
        <f ca="1">GetVarChrgChange($AI18)</f>
        <v>0</v>
      </c>
      <c r="W18" s="232"/>
      <c r="X18" s="679">
        <f ca="1">GetDelta($AI18)</f>
        <v>0</v>
      </c>
      <c r="Y18" s="681">
        <f ca="1">GetGamma($AI18)</f>
        <v>0</v>
      </c>
      <c r="Z18" s="681">
        <f ca="1">GetTheta($AI18)</f>
        <v>-1098.0497</v>
      </c>
      <c r="AA18" s="681">
        <f ca="1">GetVega($AI18)</f>
        <v>146.0283</v>
      </c>
      <c r="AB18" s="681">
        <f ca="1">GetRho($AI18)</f>
        <v>0</v>
      </c>
      <c r="AC18" s="677">
        <f ca="1">GetDrift($AI18)</f>
        <v>2.1088</v>
      </c>
      <c r="AD18" s="232"/>
      <c r="AE18" s="232"/>
      <c r="AF18" s="232"/>
      <c r="AH18" s="303" t="str">
        <f>GetDBPage($C18)</f>
        <v>Contract DB (Central)</v>
      </c>
      <c r="AI18" s="236" t="str">
        <f>GetWorkSheet($C18)</f>
        <v>LongTerm72</v>
      </c>
      <c r="AJ18" s="236" t="str">
        <f t="shared" si="0"/>
        <v>LongTerm72!$D$22:$D$31</v>
      </c>
      <c r="AK18" s="236" t="str">
        <f>IF(NOT($AI18="#VALUE#"),CONCATENATE($AI18,"!",GetReceiptStart($AI18),":",GetReceiptEnd($AI18)),"")</f>
        <v>LongTerm72!$S$22:$S$31</v>
      </c>
      <c r="AL18" s="236">
        <f>GetRecNdx($AH18,$C18)</f>
        <v>5</v>
      </c>
    </row>
    <row r="19" spans="3:38" x14ac:dyDescent="0.25">
      <c r="C19" s="686"/>
      <c r="E19" s="688"/>
      <c r="F19" s="690"/>
      <c r="G19" s="244" t="str">
        <f>GetDelBasis($AH18,$AL19)</f>
        <v>IF-ELPO/PERMIAN Basis Mid</v>
      </c>
      <c r="H19" s="680"/>
      <c r="I19" s="682"/>
      <c r="J19" s="682"/>
      <c r="K19" s="682"/>
      <c r="L19" s="678"/>
      <c r="M19" s="349"/>
      <c r="N19" s="680"/>
      <c r="O19" s="678"/>
      <c r="P19" s="349"/>
      <c r="Q19" s="680"/>
      <c r="R19" s="682"/>
      <c r="S19" s="678"/>
      <c r="T19" s="365"/>
      <c r="U19" s="680"/>
      <c r="V19" s="684"/>
      <c r="W19" s="232"/>
      <c r="X19" s="680"/>
      <c r="Y19" s="682"/>
      <c r="Z19" s="682"/>
      <c r="AA19" s="682"/>
      <c r="AB19" s="682"/>
      <c r="AC19" s="678"/>
      <c r="AD19" s="232"/>
      <c r="AE19" s="232"/>
      <c r="AF19" s="232"/>
      <c r="AI19" s="236" t="str">
        <f>GetWorkSheet($C18)</f>
        <v>LongTerm72</v>
      </c>
      <c r="AJ19" s="236" t="str">
        <f t="shared" si="0"/>
        <v>LongTerm72!$D$22:$D$31</v>
      </c>
      <c r="AK19" s="236" t="str">
        <f>IF(NOT($AI19="#VALUE#"),CONCATENATE($AI19,"!",GetDeliveryStart($AI19),":",GetDeliveryEnd($AI19)),"")</f>
        <v>LongTerm72!$T$22:$T$31</v>
      </c>
      <c r="AL19" s="236">
        <f>GetRecNdx($AH18,$C18)</f>
        <v>5</v>
      </c>
    </row>
    <row r="20" spans="3:38" x14ac:dyDescent="0.25">
      <c r="C20" s="685">
        <v>107</v>
      </c>
      <c r="E20" s="687" t="str">
        <f>GetPipeName($AH20,$AL20)</f>
        <v>NBPL</v>
      </c>
      <c r="F20" s="689" t="str">
        <f>CONCATENATE(GetRcptPoint($AH20,$AL20)," to ",GetDelPoint($AH20,$AL20))</f>
        <v>Ventura to Harper</v>
      </c>
      <c r="G20" s="243" t="str">
        <f>GetRcptBasis($AH20,$AL20)</f>
        <v>IF-NNG/VENT Basis Mid</v>
      </c>
      <c r="H20" s="679">
        <f ca="1">GetTodayAsset($AI20)</f>
        <v>277089.89520000003</v>
      </c>
      <c r="I20" s="681">
        <f ca="1">GetTodayDemand($AI20)</f>
        <v>206719.16589999999</v>
      </c>
      <c r="J20" s="681">
        <f ca="1">H20-I20</f>
        <v>70370.729300000035</v>
      </c>
      <c r="K20" s="681">
        <f>GetYesterdayPL($AI20)</f>
        <v>71379.009999999995</v>
      </c>
      <c r="L20" s="677">
        <f ca="1">J20-K20</f>
        <v>-1008.2806999999593</v>
      </c>
      <c r="N20" s="679">
        <f ca="1">GetTodayIntrinsic($AI20)</f>
        <v>118440.48020000001</v>
      </c>
      <c r="O20" s="677">
        <f ca="1">GetTodayExtrinsic($AI20)</f>
        <v>158649.4149</v>
      </c>
      <c r="Q20" s="679">
        <f ca="1">GetPriceChange($AI20)</f>
        <v>0</v>
      </c>
      <c r="R20" s="681">
        <f ca="1">GetBasisChange($AI20)</f>
        <v>0</v>
      </c>
      <c r="S20" s="677">
        <f ca="1">GetIndexChange($AI20)</f>
        <v>0</v>
      </c>
      <c r="T20" s="365"/>
      <c r="U20" s="679">
        <f ca="1">GetFuelChange($AI20)</f>
        <v>-9.0251000000000001</v>
      </c>
      <c r="V20" s="683">
        <f ca="1">GetVarChrgChange($AI20)</f>
        <v>0</v>
      </c>
      <c r="W20" s="232"/>
      <c r="X20" s="679">
        <f ca="1">GetDelta($AI20)</f>
        <v>0</v>
      </c>
      <c r="Y20" s="681">
        <f ca="1">GetGamma($AI20)</f>
        <v>0</v>
      </c>
      <c r="Z20" s="681">
        <f ca="1">GetTheta($AI20)</f>
        <v>-3503.23</v>
      </c>
      <c r="AA20" s="681">
        <f ca="1">GetVega($AI20)</f>
        <v>657.09929999999997</v>
      </c>
      <c r="AB20" s="681">
        <f ca="1">GetRho($AI20)</f>
        <v>0</v>
      </c>
      <c r="AC20" s="677">
        <f ca="1">GetDrift($AI20)</f>
        <v>45.872100000000003</v>
      </c>
      <c r="AD20" s="232"/>
      <c r="AE20" s="232"/>
      <c r="AF20" s="232"/>
      <c r="AH20" s="303" t="str">
        <f>GetDBPage($C20)</f>
        <v>Contract DB (Central)</v>
      </c>
      <c r="AI20" s="236" t="str">
        <f>GetWorkSheet($C20)</f>
        <v>LongTerm107</v>
      </c>
      <c r="AJ20" s="236" t="str">
        <f t="shared" si="0"/>
        <v>LongTerm107!$D$22:$D$117</v>
      </c>
      <c r="AK20" s="236" t="str">
        <f>IF(NOT($AI20="#VALUE#"),CONCATENATE($AI20,"!",GetReceiptStart($AI20),":",GetReceiptEnd($AI20)),"")</f>
        <v>LongTerm107!$S$22:$S$117</v>
      </c>
      <c r="AL20" s="236">
        <f>GetRecNdx($AH20,$C20)</f>
        <v>6</v>
      </c>
    </row>
    <row r="21" spans="3:38" x14ac:dyDescent="0.25">
      <c r="C21" s="686"/>
      <c r="E21" s="688"/>
      <c r="F21" s="690"/>
      <c r="G21" s="244" t="str">
        <f>GetDelBasis($AH20,$AL21)</f>
        <v>IF-HARPER Basis Mid</v>
      </c>
      <c r="H21" s="680"/>
      <c r="I21" s="682"/>
      <c r="J21" s="682"/>
      <c r="K21" s="682"/>
      <c r="L21" s="678"/>
      <c r="M21" s="349"/>
      <c r="N21" s="680"/>
      <c r="O21" s="678"/>
      <c r="P21" s="349"/>
      <c r="Q21" s="680"/>
      <c r="R21" s="682"/>
      <c r="S21" s="678"/>
      <c r="T21" s="365"/>
      <c r="U21" s="680"/>
      <c r="V21" s="684"/>
      <c r="W21" s="232"/>
      <c r="X21" s="680"/>
      <c r="Y21" s="682"/>
      <c r="Z21" s="682"/>
      <c r="AA21" s="682"/>
      <c r="AB21" s="682"/>
      <c r="AC21" s="678"/>
      <c r="AD21" s="232"/>
      <c r="AE21" s="232"/>
      <c r="AF21" s="232"/>
      <c r="AI21" s="236" t="str">
        <f>GetWorkSheet($C20)</f>
        <v>LongTerm107</v>
      </c>
      <c r="AJ21" s="236" t="str">
        <f t="shared" si="0"/>
        <v>LongTerm107!$D$22:$D$117</v>
      </c>
      <c r="AK21" s="236" t="str">
        <f>IF(NOT($AI21="#VALUE#"),CONCATENATE($AI21,"!",GetDeliveryStart($AI21),":",GetDeliveryEnd($AI21)),"")</f>
        <v>LongTerm107!$T$22:$T$117</v>
      </c>
      <c r="AL21" s="236">
        <f>GetRecNdx($AH20,$C20)</f>
        <v>6</v>
      </c>
    </row>
    <row r="22" spans="3:38" x14ac:dyDescent="0.25">
      <c r="C22" s="685">
        <v>108</v>
      </c>
      <c r="E22" s="687" t="str">
        <f>GetPipeName($AH22,$AL22)</f>
        <v>NBPL</v>
      </c>
      <c r="F22" s="689" t="str">
        <f>CONCATENATE(GetRcptPoint($AH22,$AL22)," to ",GetDelPoint($AH22,$AL22))</f>
        <v>Ventura to Harper</v>
      </c>
      <c r="G22" s="243" t="str">
        <f>GetRcptBasis($AH22,$AL22)</f>
        <v>IF-NNG/VENT Basis Mid</v>
      </c>
      <c r="H22" s="679">
        <f ca="1">GetTodayAsset($AI22)</f>
        <v>613083.14760000003</v>
      </c>
      <c r="I22" s="681">
        <f ca="1">GetTodayDemand($AI22)</f>
        <v>484105.62760000001</v>
      </c>
      <c r="J22" s="681">
        <f ca="1">H22-I22</f>
        <v>128977.52000000002</v>
      </c>
      <c r="K22" s="681">
        <f>GetYesterdayPL($AI22)</f>
        <v>128954.14</v>
      </c>
      <c r="L22" s="677">
        <f ca="1">J22-K22</f>
        <v>23.380000000019209</v>
      </c>
      <c r="N22" s="679">
        <f ca="1">GetTodayIntrinsic($AI22)</f>
        <v>251339.2512</v>
      </c>
      <c r="O22" s="677">
        <f ca="1">GetTodayExtrinsic($AI22)</f>
        <v>361743.89640000003</v>
      </c>
      <c r="Q22" s="679">
        <f ca="1">GetPriceChange($AI22)</f>
        <v>0</v>
      </c>
      <c r="R22" s="681">
        <f ca="1">GetBasisChange($AI22)</f>
        <v>0</v>
      </c>
      <c r="S22" s="677">
        <f ca="1">GetIndexChange($AI22)</f>
        <v>0</v>
      </c>
      <c r="T22" s="365"/>
      <c r="U22" s="679">
        <f ca="1">GetFuelChange($AI22)</f>
        <v>-29.015799999999999</v>
      </c>
      <c r="V22" s="683">
        <f ca="1">GetVarChrgChange($AI22)</f>
        <v>0</v>
      </c>
      <c r="W22" s="232"/>
      <c r="X22" s="679">
        <f ca="1">GetDelta($AI22)</f>
        <v>0</v>
      </c>
      <c r="Y22" s="681">
        <f ca="1">GetGamma($AI22)</f>
        <v>0</v>
      </c>
      <c r="Z22" s="681">
        <f ca="1">GetTheta($AI22)</f>
        <v>-1391.1383000000001</v>
      </c>
      <c r="AA22" s="681">
        <f ca="1">GetVega($AI22)</f>
        <v>162.21600000000001</v>
      </c>
      <c r="AB22" s="681">
        <f ca="1">GetRho($AI22)</f>
        <v>0</v>
      </c>
      <c r="AC22" s="677">
        <f ca="1">GetDrift($AI22)</f>
        <v>141.03319999999999</v>
      </c>
      <c r="AD22" s="232"/>
      <c r="AE22" s="232"/>
      <c r="AF22" s="232"/>
      <c r="AH22" s="303" t="str">
        <f>GetDBPage($C22)</f>
        <v>Contract DB (Central)</v>
      </c>
      <c r="AI22" s="236" t="str">
        <f>GetWorkSheet($C22)</f>
        <v>LongTerm108</v>
      </c>
      <c r="AJ22" s="236" t="str">
        <f t="shared" si="0"/>
        <v>LongTerm108!$D$22:$D$117</v>
      </c>
      <c r="AK22" s="236" t="str">
        <f>IF(NOT($AI22="#VALUE#"),CONCATENATE($AI22,"!",GetReceiptStart($AI22),":",GetReceiptEnd($AI22)),"")</f>
        <v>LongTerm108!$S$22:$S$117</v>
      </c>
      <c r="AL22" s="236">
        <f>GetRecNdx($AH22,$C22)</f>
        <v>7</v>
      </c>
    </row>
    <row r="23" spans="3:38" x14ac:dyDescent="0.25">
      <c r="C23" s="686"/>
      <c r="E23" s="688"/>
      <c r="F23" s="690"/>
      <c r="G23" s="244" t="str">
        <f>GetDelBasis($AH22,$AL23)</f>
        <v>IF-HARPER Basis Mid</v>
      </c>
      <c r="H23" s="680"/>
      <c r="I23" s="682"/>
      <c r="J23" s="682"/>
      <c r="K23" s="682"/>
      <c r="L23" s="678"/>
      <c r="M23" s="349"/>
      <c r="N23" s="680"/>
      <c r="O23" s="678"/>
      <c r="P23" s="349"/>
      <c r="Q23" s="680"/>
      <c r="R23" s="682"/>
      <c r="S23" s="678"/>
      <c r="T23" s="365"/>
      <c r="U23" s="680"/>
      <c r="V23" s="684"/>
      <c r="W23" s="232"/>
      <c r="X23" s="680"/>
      <c r="Y23" s="682"/>
      <c r="Z23" s="682"/>
      <c r="AA23" s="682"/>
      <c r="AB23" s="682"/>
      <c r="AC23" s="678"/>
      <c r="AD23" s="232"/>
      <c r="AE23" s="232"/>
      <c r="AF23" s="232"/>
      <c r="AI23" s="236" t="str">
        <f>GetWorkSheet($C22)</f>
        <v>LongTerm108</v>
      </c>
      <c r="AJ23" s="236" t="str">
        <f t="shared" si="0"/>
        <v>LongTerm108!$D$22:$D$117</v>
      </c>
      <c r="AK23" s="236" t="str">
        <f>IF(NOT($AI23="#VALUE#"),CONCATENATE($AI23,"!",GetDeliveryStart($AI23),":",GetDeliveryEnd($AI23)),"")</f>
        <v>LongTerm108!$T$22:$T$117</v>
      </c>
      <c r="AL23" s="236">
        <f>GetRecNdx($AH22,$C22)</f>
        <v>7</v>
      </c>
    </row>
    <row r="24" spans="3:38" x14ac:dyDescent="0.25">
      <c r="G24" s="254" t="s">
        <v>206</v>
      </c>
      <c r="H24" s="256">
        <f ca="1">SUM(INDIRECT(CONCATENATE(ADDRESS($AI24,COLUMN()),":",ADDRESS($AJ24,COLUMN()))))</f>
        <v>24564198.398400001</v>
      </c>
      <c r="I24" s="256">
        <f ca="1">SUM(INDIRECT(CONCATENATE(ADDRESS($AI24,COLUMN()),":",ADDRESS($AJ24,COLUMN()))))</f>
        <v>29720861.710999999</v>
      </c>
      <c r="J24" s="256">
        <f ca="1">SUM(INDIRECT(CONCATENATE(ADDRESS($AI24,COLUMN()),":",ADDRESS($AJ24,COLUMN()))))</f>
        <v>-5156663.312599998</v>
      </c>
      <c r="K24" s="256">
        <f ca="1">SUM(INDIRECT(CONCATENATE(ADDRESS($AI24,COLUMN()),":",ADDRESS($AJ24,COLUMN()))))</f>
        <v>-5149790.4200000009</v>
      </c>
      <c r="L24" s="257">
        <f ca="1">SUM(INDIRECT(CONCATENATE(ADDRESS($AI24,COLUMN()),":",ADDRESS($AJ24,COLUMN()))))</f>
        <v>-6872.8925999980711</v>
      </c>
      <c r="M24" s="350"/>
      <c r="N24" s="306">
        <f ca="1">SUM(INDIRECT(CONCATENATE(ADDRESS($AI24,COLUMN()),":",ADDRESS($AJ24,COLUMN()))))</f>
        <v>20762050.786600001</v>
      </c>
      <c r="O24" s="351">
        <f ca="1">SUM(INDIRECT(CONCATENATE(ADDRESS($AI24,COLUMN()),":",ADDRESS($AJ24,COLUMN()))))</f>
        <v>3802147.6117000002</v>
      </c>
      <c r="P24" s="350"/>
      <c r="Q24" s="306">
        <f ca="1">SUM(INDIRECT(CONCATENATE(ADDRESS($AI24,COLUMN()),":",ADDRESS($AJ24,COLUMN()))))</f>
        <v>0</v>
      </c>
      <c r="R24" s="256">
        <f ca="1">SUM(INDIRECT(CONCATENATE(ADDRESS($AI24,COLUMN()),":",ADDRESS($AJ24,COLUMN()))))</f>
        <v>0</v>
      </c>
      <c r="S24" s="351">
        <f ca="1">SUM(INDIRECT(CONCATENATE(ADDRESS($AI24,COLUMN()),":",ADDRESS($AJ24,COLUMN()))))</f>
        <v>0</v>
      </c>
      <c r="T24" s="350"/>
      <c r="U24" s="306">
        <f ca="1">SUM(INDIRECT(CONCATENATE(ADDRESS($AI24,COLUMN()),":",ADDRESS($AJ24,COLUMN()))))</f>
        <v>-2816.2448000000004</v>
      </c>
      <c r="V24" s="351">
        <f ca="1">SUM(INDIRECT(CONCATENATE(ADDRESS($AI24,COLUMN()),":",ADDRESS($AJ24,COLUMN()))))</f>
        <v>0</v>
      </c>
      <c r="W24" s="232"/>
      <c r="X24" s="306">
        <f t="shared" ref="X24:AC24" ca="1" si="1">SUM(INDIRECT(CONCATENATE(ADDRESS($AI24,COLUMN()),":",ADDRESS($AJ24,COLUMN()))))</f>
        <v>0</v>
      </c>
      <c r="Y24" s="256">
        <f t="shared" ca="1" si="1"/>
        <v>0</v>
      </c>
      <c r="Z24" s="256">
        <f t="shared" ca="1" si="1"/>
        <v>-16090.939799999998</v>
      </c>
      <c r="AA24" s="256">
        <f t="shared" ca="1" si="1"/>
        <v>4056.0340000000001</v>
      </c>
      <c r="AB24" s="256">
        <f t="shared" ca="1" si="1"/>
        <v>0</v>
      </c>
      <c r="AC24" s="257">
        <f t="shared" ca="1" si="1"/>
        <v>8519.7628000000004</v>
      </c>
      <c r="AD24" s="232"/>
      <c r="AE24" s="233"/>
      <c r="AI24" s="34">
        <f>GetStartRow($AI23)</f>
        <v>10</v>
      </c>
      <c r="AJ24" s="34">
        <f>ROW($AI23)</f>
        <v>23</v>
      </c>
    </row>
    <row r="27" spans="3:38" ht="17.399999999999999" x14ac:dyDescent="0.3">
      <c r="E27" s="253" t="s">
        <v>209</v>
      </c>
      <c r="U27" s="232"/>
      <c r="V27" s="232"/>
      <c r="W27" s="232"/>
      <c r="X27" s="232"/>
      <c r="Y27" s="232"/>
      <c r="Z27" s="232"/>
      <c r="AA27" s="232"/>
      <c r="AB27" s="232"/>
      <c r="AC27" s="232"/>
      <c r="AD27" s="232"/>
      <c r="AE27" s="233"/>
    </row>
    <row r="28" spans="3:38" s="235" customFormat="1" ht="12.75" customHeight="1" x14ac:dyDescent="0.25">
      <c r="C28" s="699" t="s">
        <v>164</v>
      </c>
      <c r="D28" s="29"/>
      <c r="E28" s="217"/>
      <c r="F28" s="218"/>
      <c r="G28" s="241" t="s">
        <v>181</v>
      </c>
      <c r="H28" s="693" t="s">
        <v>201</v>
      </c>
      <c r="I28" s="695" t="s">
        <v>202</v>
      </c>
      <c r="J28" s="695" t="s">
        <v>203</v>
      </c>
      <c r="K28" s="695" t="s">
        <v>204</v>
      </c>
      <c r="L28" s="697" t="s">
        <v>205</v>
      </c>
      <c r="M28" s="232"/>
      <c r="N28" s="693" t="s">
        <v>621</v>
      </c>
      <c r="O28" s="691" t="s">
        <v>622</v>
      </c>
      <c r="P28" s="232"/>
      <c r="Q28" s="693" t="s">
        <v>581</v>
      </c>
      <c r="R28" s="695" t="s">
        <v>582</v>
      </c>
      <c r="S28" s="691" t="s">
        <v>583</v>
      </c>
      <c r="T28" s="232"/>
      <c r="U28" s="693" t="s">
        <v>584</v>
      </c>
      <c r="V28" s="691" t="s">
        <v>585</v>
      </c>
      <c r="W28" s="232"/>
      <c r="X28" s="693" t="s">
        <v>271</v>
      </c>
      <c r="Y28" s="695" t="s">
        <v>155</v>
      </c>
      <c r="Z28" s="695" t="s">
        <v>156</v>
      </c>
      <c r="AA28" s="695" t="s">
        <v>157</v>
      </c>
      <c r="AB28" s="695" t="s">
        <v>158</v>
      </c>
      <c r="AC28" s="697" t="s">
        <v>211</v>
      </c>
      <c r="AD28" s="232"/>
      <c r="AE28" s="232"/>
      <c r="AF28" s="232"/>
    </row>
    <row r="29" spans="3:38" s="235" customFormat="1" ht="12.75" customHeight="1" x14ac:dyDescent="0.25">
      <c r="C29" s="700"/>
      <c r="D29" s="29"/>
      <c r="E29" s="220" t="s">
        <v>0</v>
      </c>
      <c r="F29" s="219" t="s">
        <v>173</v>
      </c>
      <c r="G29" s="242" t="s">
        <v>182</v>
      </c>
      <c r="H29" s="694"/>
      <c r="I29" s="696" t="s">
        <v>202</v>
      </c>
      <c r="J29" s="696"/>
      <c r="K29" s="696"/>
      <c r="L29" s="698"/>
      <c r="M29" s="232"/>
      <c r="N29" s="694"/>
      <c r="O29" s="692"/>
      <c r="P29" s="232"/>
      <c r="Q29" s="694"/>
      <c r="R29" s="696"/>
      <c r="S29" s="692"/>
      <c r="T29" s="232"/>
      <c r="U29" s="694"/>
      <c r="V29" s="692"/>
      <c r="W29" s="232"/>
      <c r="X29" s="694"/>
      <c r="Y29" s="696"/>
      <c r="Z29" s="696"/>
      <c r="AA29" s="696"/>
      <c r="AB29" s="696"/>
      <c r="AC29" s="698"/>
      <c r="AD29" s="232"/>
      <c r="AE29" s="232"/>
      <c r="AF29" s="232"/>
    </row>
    <row r="30" spans="3:38" x14ac:dyDescent="0.25">
      <c r="C30" s="685">
        <v>17</v>
      </c>
      <c r="E30" s="687" t="str">
        <f>GetPipeName($AH30,$AL30)</f>
        <v>CGT</v>
      </c>
      <c r="F30" s="689" t="str">
        <f>CONCATENATE(GetRcptPoint($AH30,$AL30)," to ",GetDelPoint($AH30,$AL30))</f>
        <v>Rayne to Leach</v>
      </c>
      <c r="G30" s="243" t="str">
        <f>GetRcptBasis($AH30,$AL30)</f>
        <v>IF-COLGUL/RAYNE Basis Mid</v>
      </c>
      <c r="H30" s="679">
        <f ca="1">GetTodayAsset($AI30)</f>
        <v>1393277.7487000001</v>
      </c>
      <c r="I30" s="681">
        <f ca="1">GetTodayDemand($AI30)</f>
        <v>3662545.7900999999</v>
      </c>
      <c r="J30" s="681">
        <f ca="1">H30-I30</f>
        <v>-2269268.0413999995</v>
      </c>
      <c r="K30" s="681">
        <f>GetYesterdayPL($AI30)</f>
        <v>-2267347.4900000002</v>
      </c>
      <c r="L30" s="677">
        <f ca="1">J30-K30</f>
        <v>-1920.5513999992982</v>
      </c>
      <c r="N30" s="679">
        <f ca="1">GetTodayIntrinsic($AI30)</f>
        <v>351865.57020000002</v>
      </c>
      <c r="O30" s="677">
        <f ca="1">GetTodayExtrinsic($AI30)</f>
        <v>1041412.1785</v>
      </c>
      <c r="Q30" s="679">
        <f ca="1">GetPriceChange($AI30)</f>
        <v>0</v>
      </c>
      <c r="R30" s="681">
        <f ca="1">GetBasisChange($AI30)</f>
        <v>0</v>
      </c>
      <c r="S30" s="677">
        <f ca="1">GetIndexChange($AI30)</f>
        <v>0</v>
      </c>
      <c r="T30" s="365"/>
      <c r="U30" s="679">
        <f ca="1">GetFuelChange($AI30)</f>
        <v>-1307.9047</v>
      </c>
      <c r="V30" s="683">
        <f ca="1">GetVarChrgChange($AI30)</f>
        <v>0</v>
      </c>
      <c r="W30" s="232"/>
      <c r="X30" s="679">
        <f ca="1">GetDelta($AI30)</f>
        <v>0</v>
      </c>
      <c r="Y30" s="681">
        <f ca="1">GetGamma($AI30)</f>
        <v>0</v>
      </c>
      <c r="Z30" s="681">
        <f ca="1">GetTheta($AI30)</f>
        <v>-4385.4853999999996</v>
      </c>
      <c r="AA30" s="681">
        <f ca="1">GetVega($AI30)</f>
        <v>600.17420000000004</v>
      </c>
      <c r="AB30" s="681">
        <f ca="1">GetRho($AI30)</f>
        <v>0</v>
      </c>
      <c r="AC30" s="677">
        <f ca="1">GetDrift($AI30)</f>
        <v>488.56779999999998</v>
      </c>
      <c r="AD30" s="232"/>
      <c r="AE30" s="232"/>
      <c r="AF30" s="232"/>
      <c r="AH30" s="303" t="str">
        <f>GetDBPage($C30)</f>
        <v>Contract DB (East)</v>
      </c>
      <c r="AI30" s="236" t="str">
        <f>GetWorkSheet($C30)</f>
        <v>LongTerm17</v>
      </c>
      <c r="AJ30" s="236" t="str">
        <f t="shared" ref="AJ30:AJ73" si="2">IF(NOT($AI30="#VALUE#"),CONCATENATE($AI30,"!",GetDateStart($AI30),":",GetDateEnd($AI30)),"")</f>
        <v>LongTerm17!$D$22:$D$122</v>
      </c>
      <c r="AK30" s="236" t="str">
        <f>IF(NOT($AI30="#VALUE#"),CONCATENATE($AI30,"!",GetReceiptStart($AI30),":",GetReceiptEnd($AI30)),"")</f>
        <v>LongTerm17!$S$22:$S$122</v>
      </c>
      <c r="AL30" s="236">
        <f>GetRecNdx($AH30,$C30)</f>
        <v>1</v>
      </c>
    </row>
    <row r="31" spans="3:38" x14ac:dyDescent="0.25">
      <c r="C31" s="686"/>
      <c r="E31" s="688"/>
      <c r="F31" s="690"/>
      <c r="G31" s="244" t="str">
        <f>GetDelBasis($AH30,$AL31)</f>
        <v>IF-CGT/APPALAC Basis Mid</v>
      </c>
      <c r="H31" s="680"/>
      <c r="I31" s="682"/>
      <c r="J31" s="682"/>
      <c r="K31" s="682"/>
      <c r="L31" s="678"/>
      <c r="M31" s="349"/>
      <c r="N31" s="680"/>
      <c r="O31" s="678"/>
      <c r="P31" s="349"/>
      <c r="Q31" s="680"/>
      <c r="R31" s="682"/>
      <c r="S31" s="678"/>
      <c r="T31" s="365"/>
      <c r="U31" s="680"/>
      <c r="V31" s="684"/>
      <c r="W31" s="232"/>
      <c r="X31" s="680"/>
      <c r="Y31" s="682"/>
      <c r="Z31" s="682"/>
      <c r="AA31" s="682"/>
      <c r="AB31" s="682"/>
      <c r="AC31" s="678"/>
      <c r="AD31" s="232"/>
      <c r="AE31" s="232"/>
      <c r="AF31" s="232"/>
      <c r="AI31" s="236" t="str">
        <f>GetWorkSheet($C30)</f>
        <v>LongTerm17</v>
      </c>
      <c r="AJ31" s="236" t="str">
        <f t="shared" si="2"/>
        <v>LongTerm17!$D$22:$D$122</v>
      </c>
      <c r="AK31" s="236" t="str">
        <f>IF(NOT($AI31="#VALUE#"),CONCATENATE($AI31,"!",GetDeliveryStart($AI31),":",GetDeliveryEnd($AI31)),"")</f>
        <v>LongTerm17!$T$22:$T$122</v>
      </c>
      <c r="AL31" s="236">
        <f>GetRecNdx($AH30,$C30)</f>
        <v>1</v>
      </c>
    </row>
    <row r="32" spans="3:38" x14ac:dyDescent="0.25">
      <c r="C32" s="685">
        <v>19</v>
      </c>
      <c r="E32" s="687">
        <f>GetPipeName($AH32,$AL32)</f>
        <v>0</v>
      </c>
      <c r="F32" s="689" t="str">
        <f>CONCATENATE(GetRcptPoint($AH32,$AL32)," to ",GetDelPoint($AH32,$AL32))</f>
        <v>Onshore to Rayne</v>
      </c>
      <c r="G32" s="243" t="str">
        <f>GetRcptBasis($AH32,$AL32)</f>
        <v>IF-COLGULF/LA Basis Mid</v>
      </c>
      <c r="H32" s="679">
        <f ca="1">GetTodayAsset($AI32)</f>
        <v>1026760.5603</v>
      </c>
      <c r="I32" s="681">
        <f ca="1">GetTodayDemand($AI32)</f>
        <v>1126161.8178000001</v>
      </c>
      <c r="J32" s="681">
        <f ca="1">H32-I32</f>
        <v>-99401.257500000065</v>
      </c>
      <c r="K32" s="681">
        <f>GetYesterdayPL($AI32)</f>
        <v>-95377.9</v>
      </c>
      <c r="L32" s="677">
        <f ca="1">J32-K32</f>
        <v>-4023.357500000071</v>
      </c>
      <c r="N32" s="679">
        <f ca="1">GetTodayIntrinsic($AI32)</f>
        <v>807342.88040000002</v>
      </c>
      <c r="O32" s="677">
        <f ca="1">GetTodayExtrinsic($AI32)</f>
        <v>219417.67989999999</v>
      </c>
      <c r="Q32" s="679">
        <f ca="1">GetPriceChange($AI32)</f>
        <v>0</v>
      </c>
      <c r="R32" s="681">
        <f ca="1">GetBasisChange($AI32)</f>
        <v>0</v>
      </c>
      <c r="S32" s="677">
        <f ca="1">GetIndexChange($AI32)</f>
        <v>0</v>
      </c>
      <c r="T32" s="365"/>
      <c r="U32" s="679">
        <f ca="1">GetFuelChange($AI32)</f>
        <v>-122.2941</v>
      </c>
      <c r="V32" s="683">
        <f ca="1">GetVarChrgChange($AI32)</f>
        <v>0</v>
      </c>
      <c r="W32" s="232"/>
      <c r="X32" s="679">
        <f ca="1">GetDelta($AI32)</f>
        <v>0</v>
      </c>
      <c r="Y32" s="681">
        <f ca="1">GetGamma($AI32)</f>
        <v>0</v>
      </c>
      <c r="Z32" s="681">
        <f ca="1">GetTheta($AI32)</f>
        <v>-4861.9278999999997</v>
      </c>
      <c r="AA32" s="681">
        <f ca="1">GetVega($AI32)</f>
        <v>516.82429999999999</v>
      </c>
      <c r="AB32" s="681">
        <f ca="1">GetRho($AI32)</f>
        <v>0</v>
      </c>
      <c r="AC32" s="677">
        <f ca="1">GetDrift($AI32)</f>
        <v>207.6568</v>
      </c>
      <c r="AD32" s="232"/>
      <c r="AE32" s="232"/>
      <c r="AF32" s="232"/>
      <c r="AH32" s="303" t="str">
        <f>GetDBPage($C32)</f>
        <v>Contract DB (East)</v>
      </c>
      <c r="AI32" s="236" t="str">
        <f>GetWorkSheet($C32)</f>
        <v>LongTerm19</v>
      </c>
      <c r="AJ32" s="236" t="str">
        <f t="shared" si="2"/>
        <v>LongTerm19!$D$22:$D$51</v>
      </c>
      <c r="AK32" s="236" t="str">
        <f>IF(NOT($AI32="#VALUE#"),CONCATENATE($AI32,"!",GetReceiptStart($AI32),":",GetReceiptEnd($AI32)),"")</f>
        <v>LongTerm19!$S$22:$S$51</v>
      </c>
      <c r="AL32" s="236">
        <f>GetRecNdx($AH32,$C32)</f>
        <v>2</v>
      </c>
    </row>
    <row r="33" spans="3:38" x14ac:dyDescent="0.25">
      <c r="C33" s="686"/>
      <c r="E33" s="688"/>
      <c r="F33" s="690"/>
      <c r="G33" s="244" t="str">
        <f>GetDelBasis($AH32,$AL33)</f>
        <v>IF-COLGUL/RAYNE Basis Mid</v>
      </c>
      <c r="H33" s="680"/>
      <c r="I33" s="682"/>
      <c r="J33" s="682"/>
      <c r="K33" s="682"/>
      <c r="L33" s="678"/>
      <c r="M33" s="349"/>
      <c r="N33" s="680"/>
      <c r="O33" s="678"/>
      <c r="P33" s="349"/>
      <c r="Q33" s="680"/>
      <c r="R33" s="682"/>
      <c r="S33" s="678"/>
      <c r="T33" s="365"/>
      <c r="U33" s="680"/>
      <c r="V33" s="684"/>
      <c r="W33" s="232"/>
      <c r="X33" s="680"/>
      <c r="Y33" s="682"/>
      <c r="Z33" s="682"/>
      <c r="AA33" s="682"/>
      <c r="AB33" s="682"/>
      <c r="AC33" s="678"/>
      <c r="AD33" s="232"/>
      <c r="AE33" s="232"/>
      <c r="AF33" s="232"/>
      <c r="AI33" s="236" t="str">
        <f>GetWorkSheet($C32)</f>
        <v>LongTerm19</v>
      </c>
      <c r="AJ33" s="236" t="str">
        <f t="shared" si="2"/>
        <v>LongTerm19!$D$22:$D$51</v>
      </c>
      <c r="AK33" s="236" t="str">
        <f>IF(NOT($AI33="#VALUE#"),CONCATENATE($AI33,"!",GetDeliveryStart($AI33),":",GetDeliveryEnd($AI33)),"")</f>
        <v>LongTerm19!$T$22:$T$51</v>
      </c>
      <c r="AL33" s="236">
        <f>GetRecNdx($AH32,$C32)</f>
        <v>2</v>
      </c>
    </row>
    <row r="34" spans="3:38" x14ac:dyDescent="0.25">
      <c r="C34" s="685">
        <v>20</v>
      </c>
      <c r="E34" s="687">
        <f>GetPipeName($AH34,$AL34)</f>
        <v>0</v>
      </c>
      <c r="F34" s="689" t="str">
        <f>CONCATENATE(GetRcptPoint($AH34,$AL34)," to ",GetDelPoint($AH34,$AL34))</f>
        <v>Onshore to Rayne</v>
      </c>
      <c r="G34" s="243" t="str">
        <f>GetRcptBasis($AH34,$AL34)</f>
        <v>IF-COLGULF/LA Basis Mid</v>
      </c>
      <c r="H34" s="679">
        <f ca="1">GetTodayAsset($AI34)</f>
        <v>925367.79599999997</v>
      </c>
      <c r="I34" s="681">
        <f ca="1">GetTodayDemand($AI34)</f>
        <v>1046718.2144000001</v>
      </c>
      <c r="J34" s="681">
        <f ca="1">H34-I34</f>
        <v>-121350.41840000008</v>
      </c>
      <c r="K34" s="681">
        <f>GetYesterdayPL($AI34)</f>
        <v>-118795.88</v>
      </c>
      <c r="L34" s="677">
        <f ca="1">J34-K34</f>
        <v>-2554.5384000000777</v>
      </c>
      <c r="N34" s="679">
        <f ca="1">GetTodayIntrinsic($AI34)</f>
        <v>735164.36320000002</v>
      </c>
      <c r="O34" s="677">
        <f ca="1">GetTodayExtrinsic($AI34)</f>
        <v>190203.43280000001</v>
      </c>
      <c r="Q34" s="679">
        <f ca="1">GetPriceChange($AI34)</f>
        <v>0</v>
      </c>
      <c r="R34" s="681">
        <f ca="1">GetBasisChange($AI34)</f>
        <v>0</v>
      </c>
      <c r="S34" s="677">
        <f ca="1">GetIndexChange($AI34)</f>
        <v>0</v>
      </c>
      <c r="T34" s="365"/>
      <c r="U34" s="679">
        <f ca="1">GetFuelChange($AI34)</f>
        <v>-137.23220000000001</v>
      </c>
      <c r="V34" s="683">
        <f ca="1">GetVarChrgChange($AI34)</f>
        <v>-1E-3</v>
      </c>
      <c r="W34" s="232"/>
      <c r="X34" s="679">
        <f ca="1">GetDelta($AI34)</f>
        <v>0</v>
      </c>
      <c r="Y34" s="681">
        <f ca="1">GetGamma($AI34)</f>
        <v>0</v>
      </c>
      <c r="Z34" s="681">
        <f ca="1">GetTheta($AI34)</f>
        <v>-3221.2820999999999</v>
      </c>
      <c r="AA34" s="681">
        <f ca="1">GetVega($AI34)</f>
        <v>346.55970000000002</v>
      </c>
      <c r="AB34" s="681">
        <f ca="1">GetRho($AI34)</f>
        <v>0</v>
      </c>
      <c r="AC34" s="677">
        <f ca="1">GetDrift($AI34)</f>
        <v>219.5359</v>
      </c>
      <c r="AD34" s="232"/>
      <c r="AE34" s="232"/>
      <c r="AF34" s="232"/>
      <c r="AH34" s="303" t="str">
        <f>GetDBPage($C34)</f>
        <v>Contract DB (East)</v>
      </c>
      <c r="AI34" s="236" t="str">
        <f>GetWorkSheet($C34)</f>
        <v>LongTerm20</v>
      </c>
      <c r="AJ34" s="236" t="str">
        <f t="shared" si="2"/>
        <v>LongTerm20!$D$22:$D$62</v>
      </c>
      <c r="AK34" s="236" t="str">
        <f>IF(NOT($AI34="#VALUE#"),CONCATENATE($AI34,"!",GetReceiptStart($AI34),":",GetReceiptEnd($AI34)),"")</f>
        <v>LongTerm20!$S$22:$S$62</v>
      </c>
      <c r="AL34" s="236">
        <f>GetRecNdx($AH34,$C34)</f>
        <v>3</v>
      </c>
    </row>
    <row r="35" spans="3:38" x14ac:dyDescent="0.25">
      <c r="C35" s="686"/>
      <c r="E35" s="688"/>
      <c r="F35" s="690"/>
      <c r="G35" s="244" t="str">
        <f>GetDelBasis($AH34,$AL35)</f>
        <v>IF-COLGUL/RAYNE Basis Mid</v>
      </c>
      <c r="H35" s="680"/>
      <c r="I35" s="682"/>
      <c r="J35" s="682"/>
      <c r="K35" s="682"/>
      <c r="L35" s="678"/>
      <c r="M35" s="349"/>
      <c r="N35" s="680"/>
      <c r="O35" s="678"/>
      <c r="P35" s="349"/>
      <c r="Q35" s="680"/>
      <c r="R35" s="682"/>
      <c r="S35" s="678"/>
      <c r="T35" s="365"/>
      <c r="U35" s="680"/>
      <c r="V35" s="684"/>
      <c r="W35" s="232"/>
      <c r="X35" s="680"/>
      <c r="Y35" s="682"/>
      <c r="Z35" s="682"/>
      <c r="AA35" s="682"/>
      <c r="AB35" s="682"/>
      <c r="AC35" s="678"/>
      <c r="AD35" s="232"/>
      <c r="AE35" s="232"/>
      <c r="AF35" s="232"/>
      <c r="AI35" s="236" t="str">
        <f>GetWorkSheet($C34)</f>
        <v>LongTerm20</v>
      </c>
      <c r="AJ35" s="236" t="str">
        <f t="shared" si="2"/>
        <v>LongTerm20!$D$22:$D$62</v>
      </c>
      <c r="AK35" s="236" t="str">
        <f>IF(NOT($AI35="#VALUE#"),CONCATENATE($AI35,"!",GetDeliveryStart($AI35),":",GetDeliveryEnd($AI35)),"")</f>
        <v>LongTerm20!$T$22:$T$62</v>
      </c>
      <c r="AL35" s="236">
        <f>GetRecNdx($AH34,$C34)</f>
        <v>3</v>
      </c>
    </row>
    <row r="36" spans="3:38" x14ac:dyDescent="0.25">
      <c r="C36" s="685">
        <v>21</v>
      </c>
      <c r="E36" s="687" t="str">
        <f>GetPipeName($AH36,$AL36)</f>
        <v>CGLF</v>
      </c>
      <c r="F36" s="689" t="str">
        <f>CONCATENATE(GetRcptPoint($AH36,$AL36)," to ",GetDelPoint($AH36,$AL36))</f>
        <v>Rayne to Leach</v>
      </c>
      <c r="G36" s="243" t="str">
        <f>GetRcptBasis($AH36,$AL36)</f>
        <v>IF-COLGUL/RAYNE Basis Mid</v>
      </c>
      <c r="H36" s="679">
        <f ca="1">GetTodayAsset($AI36)</f>
        <v>731938.66520000005</v>
      </c>
      <c r="I36" s="681">
        <f ca="1">GetTodayDemand($AI36)</f>
        <v>1885988.7485</v>
      </c>
      <c r="J36" s="681">
        <f ca="1">H36-I36</f>
        <v>-1154050.0833000001</v>
      </c>
      <c r="K36" s="681">
        <f>GetYesterdayPL($AI36)</f>
        <v>-1152612.3700000001</v>
      </c>
      <c r="L36" s="677">
        <f ca="1">J36-K36</f>
        <v>-1437.7132999999449</v>
      </c>
      <c r="N36" s="679">
        <f ca="1">GetTodayIntrinsic($AI36)</f>
        <v>212072.5012</v>
      </c>
      <c r="O36" s="677">
        <f ca="1">GetTodayExtrinsic($AI36)</f>
        <v>519866.16399999999</v>
      </c>
      <c r="Q36" s="679">
        <f ca="1">GetPriceChange($AI36)</f>
        <v>0</v>
      </c>
      <c r="R36" s="681">
        <f ca="1">GetBasisChange($AI36)</f>
        <v>0</v>
      </c>
      <c r="S36" s="677">
        <f ca="1">GetIndexChange($AI36)</f>
        <v>0</v>
      </c>
      <c r="T36" s="365"/>
      <c r="U36" s="679">
        <f ca="1">GetFuelChange($AI36)</f>
        <v>-439.20319999999998</v>
      </c>
      <c r="V36" s="683">
        <f ca="1">GetVarChrgChange($AI36)</f>
        <v>0</v>
      </c>
      <c r="W36" s="232"/>
      <c r="X36" s="679">
        <f ca="1">GetDelta($AI36)</f>
        <v>0</v>
      </c>
      <c r="Y36" s="681">
        <f ca="1">GetGamma($AI36)</f>
        <v>0</v>
      </c>
      <c r="Z36" s="681">
        <f ca="1">GetTheta($AI36)</f>
        <v>-4103.3531999999996</v>
      </c>
      <c r="AA36" s="681">
        <f ca="1">GetVega($AI36)</f>
        <v>552.21659999999997</v>
      </c>
      <c r="AB36" s="681">
        <f ca="1">GetRho($AI36)</f>
        <v>0</v>
      </c>
      <c r="AC36" s="677">
        <f ca="1">GetDrift($AI36)</f>
        <v>194.626</v>
      </c>
      <c r="AD36" s="232"/>
      <c r="AE36" s="232"/>
      <c r="AF36" s="232"/>
      <c r="AH36" s="303" t="str">
        <f>GetDBPage($C36)</f>
        <v>Contract DB (East)</v>
      </c>
      <c r="AI36" s="236" t="str">
        <f>GetWorkSheet($C36)</f>
        <v>LongTerm21</v>
      </c>
      <c r="AJ36" s="236" t="str">
        <f t="shared" si="2"/>
        <v>LongTerm21!$D$22:$D$67</v>
      </c>
      <c r="AK36" s="236" t="str">
        <f>IF(NOT($AI36="#VALUE#"),CONCATENATE($AI36,"!",GetReceiptStart($AI36),":",GetReceiptEnd($AI36)),"")</f>
        <v>LongTerm21!$S$22:$S$67</v>
      </c>
      <c r="AL36" s="236">
        <f>GetRecNdx($AH36,$C36)</f>
        <v>4</v>
      </c>
    </row>
    <row r="37" spans="3:38" x14ac:dyDescent="0.25">
      <c r="C37" s="686"/>
      <c r="E37" s="688"/>
      <c r="F37" s="690"/>
      <c r="G37" s="244" t="str">
        <f>GetDelBasis($AH36,$AL37)</f>
        <v>IF-CGT/APPALAC Basis Mid</v>
      </c>
      <c r="H37" s="680"/>
      <c r="I37" s="682"/>
      <c r="J37" s="682"/>
      <c r="K37" s="682"/>
      <c r="L37" s="678"/>
      <c r="M37" s="349"/>
      <c r="N37" s="680"/>
      <c r="O37" s="678"/>
      <c r="P37" s="349"/>
      <c r="Q37" s="680"/>
      <c r="R37" s="682"/>
      <c r="S37" s="678"/>
      <c r="T37" s="365"/>
      <c r="U37" s="680"/>
      <c r="V37" s="684"/>
      <c r="W37" s="232"/>
      <c r="X37" s="680"/>
      <c r="Y37" s="682"/>
      <c r="Z37" s="682"/>
      <c r="AA37" s="682"/>
      <c r="AB37" s="682"/>
      <c r="AC37" s="678"/>
      <c r="AD37" s="232"/>
      <c r="AE37" s="232"/>
      <c r="AF37" s="232"/>
      <c r="AI37" s="236" t="str">
        <f>GetWorkSheet($C36)</f>
        <v>LongTerm21</v>
      </c>
      <c r="AJ37" s="236" t="str">
        <f t="shared" si="2"/>
        <v>LongTerm21!$D$22:$D$67</v>
      </c>
      <c r="AK37" s="236" t="str">
        <f>IF(NOT($AI37="#VALUE#"),CONCATENATE($AI37,"!",GetDeliveryStart($AI37),":",GetDeliveryEnd($AI37)),"")</f>
        <v>LongTerm21!$T$22:$T$67</v>
      </c>
      <c r="AL37" s="236">
        <f>GetRecNdx($AH36,$C36)</f>
        <v>4</v>
      </c>
    </row>
    <row r="38" spans="3:38" x14ac:dyDescent="0.25">
      <c r="C38" s="685">
        <v>24</v>
      </c>
      <c r="E38" s="687">
        <f>GetPipeName($AH38,$AL38)</f>
        <v>0</v>
      </c>
      <c r="F38" s="689" t="str">
        <f>CONCATENATE(GetRcptPoint($AH38,$AL38)," to ",GetDelPoint($AH38,$AL38))</f>
        <v>Rayne to Leach</v>
      </c>
      <c r="G38" s="243" t="str">
        <f>GetRcptBasis($AH38,$AL38)</f>
        <v>IF-COLGUL/RAYNE Basis Mid</v>
      </c>
      <c r="H38" s="679">
        <f ca="1">GetTodayAsset($AI38)</f>
        <v>111383.43240000001</v>
      </c>
      <c r="I38" s="681">
        <f ca="1">GetTodayDemand($AI38)</f>
        <v>296085.2574</v>
      </c>
      <c r="J38" s="681">
        <f ca="1">H38-I38</f>
        <v>-184701.82500000001</v>
      </c>
      <c r="K38" s="681">
        <f>GetYesterdayPL($AI38)</f>
        <v>-182391.49</v>
      </c>
      <c r="L38" s="677">
        <f ca="1">J38-K38</f>
        <v>-2310.335000000021</v>
      </c>
      <c r="N38" s="679">
        <f ca="1">GetTodayIntrinsic($AI38)</f>
        <v>0</v>
      </c>
      <c r="O38" s="677">
        <f ca="1">GetTodayExtrinsic($AI38)</f>
        <v>111383.43240000001</v>
      </c>
      <c r="Q38" s="679">
        <f ca="1">GetPriceChange($AI38)</f>
        <v>0</v>
      </c>
      <c r="R38" s="681">
        <f ca="1">GetBasisChange($AI38)</f>
        <v>0</v>
      </c>
      <c r="S38" s="677">
        <f ca="1">GetIndexChange($AI38)</f>
        <v>0</v>
      </c>
      <c r="T38" s="365"/>
      <c r="U38" s="679">
        <f ca="1">GetFuelChange($AI38)</f>
        <v>-36.686399999999999</v>
      </c>
      <c r="V38" s="683">
        <f ca="1">GetVarChrgChange($AI38)</f>
        <v>0</v>
      </c>
      <c r="W38" s="232"/>
      <c r="X38" s="679">
        <f ca="1">GetDelta($AI38)</f>
        <v>0</v>
      </c>
      <c r="Y38" s="681">
        <f ca="1">GetGamma($AI38)</f>
        <v>0</v>
      </c>
      <c r="Z38" s="681">
        <f ca="1">GetTheta($AI38)</f>
        <v>-4561.2541000000001</v>
      </c>
      <c r="AA38" s="681">
        <f ca="1">GetVega($AI38)</f>
        <v>797.04949999999997</v>
      </c>
      <c r="AB38" s="681">
        <f ca="1">GetRho($AI38)</f>
        <v>0</v>
      </c>
      <c r="AC38" s="677">
        <f ca="1">GetDrift($AI38)</f>
        <v>17.826000000000001</v>
      </c>
      <c r="AD38" s="232"/>
      <c r="AE38" s="232"/>
      <c r="AF38" s="232"/>
      <c r="AH38" s="303" t="str">
        <f>GetDBPage($C38)</f>
        <v>Contract DB (East)</v>
      </c>
      <c r="AI38" s="236" t="str">
        <f>GetWorkSheet($C38)</f>
        <v>LongTerm24</v>
      </c>
      <c r="AJ38" s="236" t="str">
        <f t="shared" si="2"/>
        <v>LongTerm24!$D$22:$D$31</v>
      </c>
      <c r="AK38" s="236" t="str">
        <f>IF(NOT($AI38="#VALUE#"),CONCATENATE($AI38,"!",GetReceiptStart($AI38),":",GetReceiptEnd($AI38)),"")</f>
        <v>LongTerm24!$S$22:$S$31</v>
      </c>
      <c r="AL38" s="236">
        <f>GetRecNdx($AH38,$C38)</f>
        <v>5</v>
      </c>
    </row>
    <row r="39" spans="3:38" x14ac:dyDescent="0.25">
      <c r="C39" s="686"/>
      <c r="E39" s="688"/>
      <c r="F39" s="690"/>
      <c r="G39" s="244" t="str">
        <f>GetDelBasis($AH38,$AL39)</f>
        <v>IF-CGT/APPALAC Basis Mid</v>
      </c>
      <c r="H39" s="680"/>
      <c r="I39" s="682"/>
      <c r="J39" s="682"/>
      <c r="K39" s="682"/>
      <c r="L39" s="678"/>
      <c r="M39" s="349"/>
      <c r="N39" s="680"/>
      <c r="O39" s="678"/>
      <c r="P39" s="349"/>
      <c r="Q39" s="680"/>
      <c r="R39" s="682"/>
      <c r="S39" s="678"/>
      <c r="T39" s="365"/>
      <c r="U39" s="680"/>
      <c r="V39" s="684"/>
      <c r="W39" s="232"/>
      <c r="X39" s="680"/>
      <c r="Y39" s="682"/>
      <c r="Z39" s="682"/>
      <c r="AA39" s="682"/>
      <c r="AB39" s="682"/>
      <c r="AC39" s="678"/>
      <c r="AD39" s="232"/>
      <c r="AE39" s="232"/>
      <c r="AF39" s="232"/>
      <c r="AI39" s="236" t="str">
        <f>GetWorkSheet($C38)</f>
        <v>LongTerm24</v>
      </c>
      <c r="AJ39" s="236" t="str">
        <f t="shared" si="2"/>
        <v>LongTerm24!$D$22:$D$31</v>
      </c>
      <c r="AK39" s="236" t="str">
        <f>IF(NOT($AI39="#VALUE#"),CONCATENATE($AI39,"!",GetDeliveryStart($AI39),":",GetDeliveryEnd($AI39)),"")</f>
        <v>LongTerm24!$T$22:$T$31</v>
      </c>
      <c r="AL39" s="236">
        <f>GetRecNdx($AH38,$C38)</f>
        <v>5</v>
      </c>
    </row>
    <row r="40" spans="3:38" x14ac:dyDescent="0.25">
      <c r="C40" s="685">
        <v>50</v>
      </c>
      <c r="E40" s="687" t="str">
        <f>GetPipeName($AH40,$AL40)</f>
        <v>FGT</v>
      </c>
      <c r="F40" s="689" t="str">
        <f>CONCATENATE(GetRcptPoint($AH40,$AL40)," to ",GetDelPoint($AH40,$AL40))</f>
        <v>FGT/Zone 1 to FGT/MKT</v>
      </c>
      <c r="G40" s="243" t="str">
        <f>GetRcptBasis($AH40,$AL40)</f>
        <v>IF-FGT/Z1 Basis Mid</v>
      </c>
      <c r="H40" s="679">
        <f ca="1">GetTodayAsset($AI40)</f>
        <v>543552.46010000003</v>
      </c>
      <c r="I40" s="681">
        <f ca="1">GetTodayDemand($AI40)</f>
        <v>381560.70289999997</v>
      </c>
      <c r="J40" s="681">
        <f ca="1">H40-I40</f>
        <v>161991.75720000005</v>
      </c>
      <c r="K40" s="681">
        <f>GetYesterdayPL($AI40)</f>
        <v>161943.25</v>
      </c>
      <c r="L40" s="677">
        <f ca="1">J40-K40</f>
        <v>48.507200000050943</v>
      </c>
      <c r="N40" s="679">
        <f ca="1">GetTodayIntrinsic($AI40)</f>
        <v>543551.30989999999</v>
      </c>
      <c r="O40" s="677">
        <f ca="1">GetTodayExtrinsic($AI40)</f>
        <v>1.1501999999999999</v>
      </c>
      <c r="Q40" s="679">
        <f ca="1">GetPriceChange($AI40)</f>
        <v>0</v>
      </c>
      <c r="R40" s="681">
        <f ca="1">GetBasisChange($AI40)</f>
        <v>0</v>
      </c>
      <c r="S40" s="677">
        <f ca="1">GetIndexChange($AI40)</f>
        <v>0</v>
      </c>
      <c r="T40" s="365"/>
      <c r="U40" s="679">
        <f ca="1">GetFuelChange($AI40)</f>
        <v>-28.791699999999999</v>
      </c>
      <c r="V40" s="683">
        <f ca="1">GetVarChrgChange($AI40)</f>
        <v>4.4000000000000003E-3</v>
      </c>
      <c r="W40" s="232"/>
      <c r="X40" s="679">
        <f ca="1">GetDelta($AI40)</f>
        <v>0</v>
      </c>
      <c r="Y40" s="681">
        <f ca="1">GetGamma($AI40)</f>
        <v>0</v>
      </c>
      <c r="Z40" s="681">
        <f ca="1">GetTheta($AI40)</f>
        <v>165.1377</v>
      </c>
      <c r="AA40" s="681">
        <f ca="1">GetVega($AI40)</f>
        <v>3.3099999999999997E-2</v>
      </c>
      <c r="AB40" s="681">
        <f ca="1">GetRho($AI40)</f>
        <v>0</v>
      </c>
      <c r="AC40" s="677">
        <f ca="1">GetDrift($AI40)</f>
        <v>167.13550000000001</v>
      </c>
      <c r="AD40" s="232"/>
      <c r="AE40" s="232"/>
      <c r="AF40" s="232"/>
      <c r="AH40" s="303" t="str">
        <f>GetDBPage($C40)</f>
        <v>Contract DB (East)</v>
      </c>
      <c r="AI40" s="236" t="str">
        <f>GetWorkSheet($C40)</f>
        <v>LongTerm50</v>
      </c>
      <c r="AJ40" s="236" t="str">
        <f t="shared" si="2"/>
        <v>LongTerm50!$D$22:$D$89</v>
      </c>
      <c r="AK40" s="236" t="str">
        <f>IF(NOT($AI40="#VALUE#"),CONCATENATE($AI40,"!",GetReceiptStart($AI40),":",GetReceiptEnd($AI40)),"")</f>
        <v>LongTerm50!$S$22:$S$89</v>
      </c>
      <c r="AL40" s="236">
        <f>GetRecNdx($AH40,$C40)</f>
        <v>6</v>
      </c>
    </row>
    <row r="41" spans="3:38" x14ac:dyDescent="0.25">
      <c r="C41" s="686"/>
      <c r="E41" s="688"/>
      <c r="F41" s="690"/>
      <c r="G41" s="244" t="str">
        <f>GetDelBasis($AH40,$AL41)</f>
        <v>IF-FGT/MKT Basis Mid</v>
      </c>
      <c r="H41" s="680"/>
      <c r="I41" s="682"/>
      <c r="J41" s="682"/>
      <c r="K41" s="682"/>
      <c r="L41" s="678"/>
      <c r="M41" s="349"/>
      <c r="N41" s="680"/>
      <c r="O41" s="678"/>
      <c r="P41" s="349"/>
      <c r="Q41" s="680"/>
      <c r="R41" s="682"/>
      <c r="S41" s="678"/>
      <c r="T41" s="365"/>
      <c r="U41" s="680"/>
      <c r="V41" s="684"/>
      <c r="W41" s="232"/>
      <c r="X41" s="680"/>
      <c r="Y41" s="682"/>
      <c r="Z41" s="682"/>
      <c r="AA41" s="682"/>
      <c r="AB41" s="682"/>
      <c r="AC41" s="678"/>
      <c r="AD41" s="232"/>
      <c r="AE41" s="232"/>
      <c r="AF41" s="232"/>
      <c r="AI41" s="236" t="str">
        <f>GetWorkSheet($C40)</f>
        <v>LongTerm50</v>
      </c>
      <c r="AJ41" s="236" t="str">
        <f t="shared" si="2"/>
        <v>LongTerm50!$D$22:$D$89</v>
      </c>
      <c r="AK41" s="236" t="str">
        <f>IF(NOT($AI41="#VALUE#"),CONCATENATE($AI41,"!",GetDeliveryStart($AI41),":",GetDeliveryEnd($AI41)),"")</f>
        <v>LongTerm50!$T$22:$T$89</v>
      </c>
      <c r="AL41" s="236">
        <f>GetRecNdx($AH40,$C40)</f>
        <v>6</v>
      </c>
    </row>
    <row r="42" spans="3:38" x14ac:dyDescent="0.25">
      <c r="C42" s="685">
        <v>51</v>
      </c>
      <c r="E42" s="687" t="str">
        <f>GetPipeName($AH42,$AL42)</f>
        <v>FGT</v>
      </c>
      <c r="F42" s="689" t="str">
        <f>CONCATENATE(GetRcptPoint($AH42,$AL42)," to ",GetDelPoint($AH42,$AL42))</f>
        <v>FGT/Zone 2 to FGT/MKT</v>
      </c>
      <c r="G42" s="243" t="str">
        <f>GetRcptBasis($AH42,$AL42)</f>
        <v>IF-FGT/Z2 Basis Mid</v>
      </c>
      <c r="H42" s="679">
        <f ca="1">GetTodayAsset($AI42)</f>
        <v>577617.29650000005</v>
      </c>
      <c r="I42" s="681">
        <f ca="1">GetTodayDemand($AI42)</f>
        <v>456376.527</v>
      </c>
      <c r="J42" s="681">
        <f ca="1">H42-I42</f>
        <v>121240.76950000005</v>
      </c>
      <c r="K42" s="681">
        <f>GetYesterdayPL($AI42)</f>
        <v>121206.18</v>
      </c>
      <c r="L42" s="677">
        <f ca="1">J42-K42</f>
        <v>34.58950000006007</v>
      </c>
      <c r="N42" s="679">
        <f ca="1">GetTodayIntrinsic($AI42)</f>
        <v>577611.19499999995</v>
      </c>
      <c r="O42" s="677">
        <f ca="1">GetTodayExtrinsic($AI42)</f>
        <v>6.1014999999999997</v>
      </c>
      <c r="Q42" s="679">
        <f ca="1">GetPriceChange($AI42)</f>
        <v>0</v>
      </c>
      <c r="R42" s="681">
        <f ca="1">GetBasisChange($AI42)</f>
        <v>0</v>
      </c>
      <c r="S42" s="677">
        <f ca="1">GetIndexChange($AI42)</f>
        <v>0</v>
      </c>
      <c r="T42" s="365"/>
      <c r="U42" s="679">
        <f ca="1">GetFuelChange($AI42)</f>
        <v>-36.19</v>
      </c>
      <c r="V42" s="683">
        <f ca="1">GetVarChrgChange($AI42)</f>
        <v>-1.6000000000000001E-3</v>
      </c>
      <c r="W42" s="232"/>
      <c r="X42" s="679">
        <f ca="1">GetDelta($AI42)</f>
        <v>0</v>
      </c>
      <c r="Y42" s="681">
        <f ca="1">GetGamma($AI42)</f>
        <v>0</v>
      </c>
      <c r="Z42" s="681">
        <f ca="1">GetTheta($AI42)</f>
        <v>174.35050000000001</v>
      </c>
      <c r="AA42" s="681">
        <f ca="1">GetVega($AI42)</f>
        <v>0.17760000000000001</v>
      </c>
      <c r="AB42" s="681">
        <f ca="1">GetRho($AI42)</f>
        <v>0</v>
      </c>
      <c r="AC42" s="677">
        <f ca="1">GetDrift($AI42)</f>
        <v>177.68780000000001</v>
      </c>
      <c r="AD42" s="232"/>
      <c r="AE42" s="232"/>
      <c r="AF42" s="232"/>
      <c r="AH42" s="303" t="str">
        <f>GetDBPage($C42)</f>
        <v>Contract DB (East)</v>
      </c>
      <c r="AI42" s="236" t="str">
        <f>GetWorkSheet($C42)</f>
        <v>LongTerm51</v>
      </c>
      <c r="AJ42" s="236" t="str">
        <f t="shared" si="2"/>
        <v>LongTerm51!$D$22:$D$89</v>
      </c>
      <c r="AK42" s="236" t="str">
        <f>IF(NOT($AI42="#VALUE#"),CONCATENATE($AI42,"!",GetReceiptStart($AI42),":",GetReceiptEnd($AI42)),"")</f>
        <v>LongTerm51!$S$22:$S$89</v>
      </c>
      <c r="AL42" s="236">
        <f>GetRecNdx($AH42,$C42)</f>
        <v>7</v>
      </c>
    </row>
    <row r="43" spans="3:38" x14ac:dyDescent="0.25">
      <c r="C43" s="686"/>
      <c r="E43" s="688"/>
      <c r="F43" s="690"/>
      <c r="G43" s="244" t="str">
        <f>GetDelBasis($AH42,$AL43)</f>
        <v>IF-FGT/MKT Basis Mid</v>
      </c>
      <c r="H43" s="680"/>
      <c r="I43" s="682"/>
      <c r="J43" s="682"/>
      <c r="K43" s="682"/>
      <c r="L43" s="678"/>
      <c r="M43" s="349"/>
      <c r="N43" s="680"/>
      <c r="O43" s="678"/>
      <c r="P43" s="349"/>
      <c r="Q43" s="680"/>
      <c r="R43" s="682"/>
      <c r="S43" s="678"/>
      <c r="T43" s="365"/>
      <c r="U43" s="680"/>
      <c r="V43" s="684"/>
      <c r="W43" s="232"/>
      <c r="X43" s="680"/>
      <c r="Y43" s="682"/>
      <c r="Z43" s="682"/>
      <c r="AA43" s="682"/>
      <c r="AB43" s="682"/>
      <c r="AC43" s="678"/>
      <c r="AD43" s="232"/>
      <c r="AE43" s="232"/>
      <c r="AF43" s="232"/>
      <c r="AI43" s="236" t="str">
        <f>GetWorkSheet($C42)</f>
        <v>LongTerm51</v>
      </c>
      <c r="AJ43" s="236" t="str">
        <f t="shared" si="2"/>
        <v>LongTerm51!$D$22:$D$89</v>
      </c>
      <c r="AK43" s="236" t="str">
        <f>IF(NOT($AI43="#VALUE#"),CONCATENATE($AI43,"!",GetDeliveryStart($AI43),":",GetDeliveryEnd($AI43)),"")</f>
        <v>LongTerm51!$T$22:$T$89</v>
      </c>
      <c r="AL43" s="236">
        <f>GetRecNdx($AH42,$C42)</f>
        <v>7</v>
      </c>
    </row>
    <row r="44" spans="3:38" x14ac:dyDescent="0.25">
      <c r="C44" s="685">
        <v>52</v>
      </c>
      <c r="E44" s="687" t="str">
        <f>GetPipeName($AH44,$AL44)</f>
        <v>FGT</v>
      </c>
      <c r="F44" s="689" t="str">
        <f>CONCATENATE(GetRcptPoint($AH44,$AL44)," to ",GetDelPoint($AH44,$AL44))</f>
        <v>FGT/Zone 3 to FGT/MKT</v>
      </c>
      <c r="G44" s="243" t="str">
        <f>GetRcptBasis($AH44,$AL44)</f>
        <v>IF-FGT/Z3 Basis Mid</v>
      </c>
      <c r="H44" s="679">
        <f ca="1">GetTodayAsset($AI44)</f>
        <v>298930.60509999999</v>
      </c>
      <c r="I44" s="681">
        <f ca="1">GetTodayDemand($AI44)</f>
        <v>221953.6115</v>
      </c>
      <c r="J44" s="681">
        <f ca="1">H44-I44</f>
        <v>76976.993599999987</v>
      </c>
      <c r="K44" s="681">
        <f>GetYesterdayPL($AI44)</f>
        <v>76954.3</v>
      </c>
      <c r="L44" s="677">
        <f ca="1">J44-K44</f>
        <v>22.693599999984144</v>
      </c>
      <c r="N44" s="679">
        <f ca="1">GetTodayIntrinsic($AI44)</f>
        <v>298929.3334</v>
      </c>
      <c r="O44" s="677">
        <f ca="1">GetTodayExtrinsic($AI44)</f>
        <v>1.2717000000000001</v>
      </c>
      <c r="Q44" s="679">
        <f ca="1">GetPriceChange($AI44)</f>
        <v>0</v>
      </c>
      <c r="R44" s="681">
        <f ca="1">GetBasisChange($AI44)</f>
        <v>0</v>
      </c>
      <c r="S44" s="677">
        <f ca="1">GetIndexChange($AI44)</f>
        <v>0</v>
      </c>
      <c r="T44" s="365"/>
      <c r="U44" s="679">
        <f ca="1">GetFuelChange($AI44)</f>
        <v>-17.081</v>
      </c>
      <c r="V44" s="683">
        <f ca="1">GetVarChrgChange($AI44)</f>
        <v>-2.8E-3</v>
      </c>
      <c r="W44" s="232"/>
      <c r="X44" s="679">
        <f ca="1">GetDelta($AI44)</f>
        <v>0</v>
      </c>
      <c r="Y44" s="681">
        <f ca="1">GetGamma($AI44)</f>
        <v>0</v>
      </c>
      <c r="Z44" s="681">
        <f ca="1">GetTheta($AI44)</f>
        <v>90.571899999999999</v>
      </c>
      <c r="AA44" s="681">
        <f ca="1">GetVega($AI44)</f>
        <v>3.8600000000000002E-2</v>
      </c>
      <c r="AB44" s="681">
        <f ca="1">GetRho($AI44)</f>
        <v>0</v>
      </c>
      <c r="AC44" s="677">
        <f ca="1">GetDrift($AI44)</f>
        <v>91.847899999999996</v>
      </c>
      <c r="AD44" s="232"/>
      <c r="AE44" s="232"/>
      <c r="AF44" s="232"/>
      <c r="AH44" s="303" t="str">
        <f>GetDBPage($C44)</f>
        <v>Contract DB (East)</v>
      </c>
      <c r="AI44" s="236" t="str">
        <f>GetWorkSheet($C44)</f>
        <v>LongTerm52</v>
      </c>
      <c r="AJ44" s="236" t="str">
        <f t="shared" si="2"/>
        <v>LongTerm52!$D$22:$D$89</v>
      </c>
      <c r="AK44" s="236" t="str">
        <f>IF(NOT($AI44="#VALUE#"),CONCATENATE($AI44,"!",GetReceiptStart($AI44),":",GetReceiptEnd($AI44)),"")</f>
        <v>LongTerm52!$S$22:$S$89</v>
      </c>
      <c r="AL44" s="236">
        <f>GetRecNdx($AH44,$C44)</f>
        <v>8</v>
      </c>
    </row>
    <row r="45" spans="3:38" x14ac:dyDescent="0.25">
      <c r="C45" s="686"/>
      <c r="E45" s="688"/>
      <c r="F45" s="690"/>
      <c r="G45" s="244" t="str">
        <f>GetDelBasis($AH44,$AL45)</f>
        <v>IF-FGT/MKT Basis Mid</v>
      </c>
      <c r="H45" s="680"/>
      <c r="I45" s="682"/>
      <c r="J45" s="682"/>
      <c r="K45" s="682"/>
      <c r="L45" s="678"/>
      <c r="M45" s="349"/>
      <c r="N45" s="680"/>
      <c r="O45" s="678"/>
      <c r="P45" s="349"/>
      <c r="Q45" s="680"/>
      <c r="R45" s="682"/>
      <c r="S45" s="678"/>
      <c r="T45" s="365"/>
      <c r="U45" s="680"/>
      <c r="V45" s="684"/>
      <c r="W45" s="232"/>
      <c r="X45" s="680"/>
      <c r="Y45" s="682"/>
      <c r="Z45" s="682"/>
      <c r="AA45" s="682"/>
      <c r="AB45" s="682"/>
      <c r="AC45" s="678"/>
      <c r="AD45" s="232"/>
      <c r="AE45" s="232"/>
      <c r="AF45" s="232"/>
      <c r="AI45" s="236" t="str">
        <f>GetWorkSheet($C44)</f>
        <v>LongTerm52</v>
      </c>
      <c r="AJ45" s="236" t="str">
        <f t="shared" si="2"/>
        <v>LongTerm52!$D$22:$D$89</v>
      </c>
      <c r="AK45" s="236" t="str">
        <f>IF(NOT($AI45="#VALUE#"),CONCATENATE($AI45,"!",GetDeliveryStart($AI45),":",GetDeliveryEnd($AI45)),"")</f>
        <v>LongTerm52!$T$22:$T$89</v>
      </c>
      <c r="AL45" s="236">
        <f>GetRecNdx($AH44,$C44)</f>
        <v>8</v>
      </c>
    </row>
    <row r="46" spans="3:38" x14ac:dyDescent="0.25">
      <c r="C46" s="685">
        <v>53</v>
      </c>
      <c r="E46" s="687" t="str">
        <f>GetPipeName($AH46,$AL46)</f>
        <v>FGT</v>
      </c>
      <c r="F46" s="689" t="str">
        <f>CONCATENATE(GetRcptPoint($AH46,$AL46)," to ",GetDelPoint($AH46,$AL46))</f>
        <v>FGT/Zone 1 to FGT/MKT</v>
      </c>
      <c r="G46" s="243" t="str">
        <f>GetRcptBasis($AH46,$AL46)</f>
        <v>IF-FGT/Z1 Basis Mid</v>
      </c>
      <c r="H46" s="679">
        <f ca="1">GetTodayAsset($AI46)</f>
        <v>292980.65269999998</v>
      </c>
      <c r="I46" s="681">
        <f ca="1">GetTodayDemand($AI46)</f>
        <v>145106.02040000001</v>
      </c>
      <c r="J46" s="681">
        <f ca="1">H46-I46</f>
        <v>147874.63229999997</v>
      </c>
      <c r="K46" s="681">
        <f>GetYesterdayPL($AI46)</f>
        <v>147829.98000000001</v>
      </c>
      <c r="L46" s="677">
        <f ca="1">J46-K46</f>
        <v>44.652299999957904</v>
      </c>
      <c r="N46" s="679">
        <f ca="1">GetTodayIntrinsic($AI46)</f>
        <v>292979.91440000001</v>
      </c>
      <c r="O46" s="677">
        <f ca="1">GetTodayExtrinsic($AI46)</f>
        <v>0.73819999999999997</v>
      </c>
      <c r="Q46" s="679">
        <f ca="1">GetPriceChange($AI46)</f>
        <v>0</v>
      </c>
      <c r="R46" s="681">
        <f ca="1">GetBasisChange($AI46)</f>
        <v>0</v>
      </c>
      <c r="S46" s="677">
        <f ca="1">GetIndexChange($AI46)</f>
        <v>0</v>
      </c>
      <c r="T46" s="365"/>
      <c r="U46" s="679">
        <f ca="1">GetFuelChange($AI46)</f>
        <v>-11.196899999999999</v>
      </c>
      <c r="V46" s="683">
        <f ca="1">GetVarChrgChange($AI46)</f>
        <v>-8.0000000000000004E-4</v>
      </c>
      <c r="W46" s="232"/>
      <c r="X46" s="679">
        <f ca="1">GetDelta($AI46)</f>
        <v>0</v>
      </c>
      <c r="Y46" s="681">
        <f ca="1">GetGamma($AI46)</f>
        <v>0</v>
      </c>
      <c r="Z46" s="681">
        <f ca="1">GetTheta($AI46)</f>
        <v>89.007999999999996</v>
      </c>
      <c r="AA46" s="681">
        <f ca="1">GetVega($AI46)</f>
        <v>2.1399999999999999E-2</v>
      </c>
      <c r="AB46" s="681">
        <f ca="1">GetRho($AI46)</f>
        <v>0</v>
      </c>
      <c r="AC46" s="677">
        <f ca="1">GetDrift($AI46)</f>
        <v>90.118700000000004</v>
      </c>
      <c r="AD46" s="232"/>
      <c r="AE46" s="232"/>
      <c r="AF46" s="232"/>
      <c r="AH46" s="303" t="str">
        <f>GetDBPage($C46)</f>
        <v>Contract DB (East)</v>
      </c>
      <c r="AI46" s="236" t="str">
        <f>GetWorkSheet($C46)</f>
        <v>LongTerm53</v>
      </c>
      <c r="AJ46" s="236" t="str">
        <f t="shared" si="2"/>
        <v>LongTerm53!$D$22:$D$89</v>
      </c>
      <c r="AK46" s="236" t="str">
        <f>IF(NOT($AI46="#VALUE#"),CONCATENATE($AI46,"!",GetReceiptStart($AI46),":",GetReceiptEnd($AI46)),"")</f>
        <v>LongTerm53!$S$22:$S$89</v>
      </c>
      <c r="AL46" s="236">
        <f>GetRecNdx($AH46,$C46)</f>
        <v>9</v>
      </c>
    </row>
    <row r="47" spans="3:38" x14ac:dyDescent="0.25">
      <c r="C47" s="686"/>
      <c r="E47" s="688"/>
      <c r="F47" s="690"/>
      <c r="G47" s="244" t="str">
        <f>GetDelBasis($AH46,$AL47)</f>
        <v>IF-FGT/MKT Basis Mid</v>
      </c>
      <c r="H47" s="680"/>
      <c r="I47" s="682"/>
      <c r="J47" s="682"/>
      <c r="K47" s="682"/>
      <c r="L47" s="678"/>
      <c r="M47" s="349"/>
      <c r="N47" s="680"/>
      <c r="O47" s="678"/>
      <c r="P47" s="349"/>
      <c r="Q47" s="680"/>
      <c r="R47" s="682"/>
      <c r="S47" s="678"/>
      <c r="T47" s="365"/>
      <c r="U47" s="680"/>
      <c r="V47" s="684"/>
      <c r="W47" s="232"/>
      <c r="X47" s="680"/>
      <c r="Y47" s="682"/>
      <c r="Z47" s="682"/>
      <c r="AA47" s="682"/>
      <c r="AB47" s="682"/>
      <c r="AC47" s="678"/>
      <c r="AD47" s="232"/>
      <c r="AE47" s="232"/>
      <c r="AF47" s="232"/>
      <c r="AI47" s="236" t="str">
        <f>GetWorkSheet($C46)</f>
        <v>LongTerm53</v>
      </c>
      <c r="AJ47" s="236" t="str">
        <f t="shared" si="2"/>
        <v>LongTerm53!$D$22:$D$89</v>
      </c>
      <c r="AK47" s="236" t="str">
        <f>IF(NOT($AI47="#VALUE#"),CONCATENATE($AI47,"!",GetDeliveryStart($AI47),":",GetDeliveryEnd($AI47)),"")</f>
        <v>LongTerm53!$T$22:$T$89</v>
      </c>
      <c r="AL47" s="236">
        <f>GetRecNdx($AH46,$C46)</f>
        <v>9</v>
      </c>
    </row>
    <row r="48" spans="3:38" x14ac:dyDescent="0.25">
      <c r="C48" s="685">
        <v>54</v>
      </c>
      <c r="E48" s="687" t="str">
        <f>GetPipeName($AH48,$AL48)</f>
        <v>FGT</v>
      </c>
      <c r="F48" s="689" t="str">
        <f>CONCATENATE(GetRcptPoint($AH48,$AL48)," to ",GetDelPoint($AH48,$AL48))</f>
        <v>FGT/Zone 2 to FGT/MKT</v>
      </c>
      <c r="G48" s="243" t="str">
        <f>GetRcptBasis($AH48,$AL48)</f>
        <v>IF-FGT/Z2 Basis Mid</v>
      </c>
      <c r="H48" s="679">
        <f ca="1">GetTodayAsset($AI48)</f>
        <v>285058.34009999997</v>
      </c>
      <c r="I48" s="681">
        <f ca="1">GetTodayDemand($AI48)</f>
        <v>250798.26620000001</v>
      </c>
      <c r="J48" s="681">
        <f ca="1">H48-I48</f>
        <v>34260.073899999959</v>
      </c>
      <c r="K48" s="681">
        <f>GetYesterdayPL($AI48)</f>
        <v>34251.18</v>
      </c>
      <c r="L48" s="677">
        <f ca="1">J48-K48</f>
        <v>8.8938999999591033</v>
      </c>
      <c r="N48" s="679">
        <f ca="1">GetTodayIntrinsic($AI48)</f>
        <v>285054.39850000001</v>
      </c>
      <c r="O48" s="677">
        <f ca="1">GetTodayExtrinsic($AI48)</f>
        <v>3.9416000000000002</v>
      </c>
      <c r="Q48" s="679">
        <f ca="1">GetPriceChange($AI48)</f>
        <v>0</v>
      </c>
      <c r="R48" s="681">
        <f ca="1">GetBasisChange($AI48)</f>
        <v>0</v>
      </c>
      <c r="S48" s="677">
        <f ca="1">GetIndexChange($AI48)</f>
        <v>0</v>
      </c>
      <c r="T48" s="365"/>
      <c r="U48" s="679">
        <f ca="1">GetFuelChange($AI48)</f>
        <v>-18.957799999999999</v>
      </c>
      <c r="V48" s="683">
        <f ca="1">GetVarChrgChange($AI48)</f>
        <v>8.0000000000000004E-4</v>
      </c>
      <c r="W48" s="232"/>
      <c r="X48" s="679">
        <f ca="1">GetDelta($AI48)</f>
        <v>0</v>
      </c>
      <c r="Y48" s="681">
        <f ca="1">GetGamma($AI48)</f>
        <v>0</v>
      </c>
      <c r="Z48" s="681">
        <f ca="1">GetTheta($AI48)</f>
        <v>85.723500000000001</v>
      </c>
      <c r="AA48" s="681">
        <f ca="1">GetVega($AI48)</f>
        <v>0.115</v>
      </c>
      <c r="AB48" s="681">
        <f ca="1">GetRho($AI48)</f>
        <v>0</v>
      </c>
      <c r="AC48" s="677">
        <f ca="1">GetDrift($AI48)</f>
        <v>87.606399999999994</v>
      </c>
      <c r="AD48" s="232"/>
      <c r="AE48" s="232"/>
      <c r="AF48" s="232"/>
      <c r="AH48" s="303" t="str">
        <f>GetDBPage($C48)</f>
        <v>Contract DB (East)</v>
      </c>
      <c r="AI48" s="236" t="str">
        <f>GetWorkSheet($C48)</f>
        <v>LongTerm54</v>
      </c>
      <c r="AJ48" s="236" t="str">
        <f t="shared" si="2"/>
        <v>LongTerm54!$D$22:$D$89</v>
      </c>
      <c r="AK48" s="236" t="str">
        <f>IF(NOT($AI48="#VALUE#"),CONCATENATE($AI48,"!",GetReceiptStart($AI48),":",GetReceiptEnd($AI48)),"")</f>
        <v>LongTerm54!$S$22:$S$89</v>
      </c>
      <c r="AL48" s="236">
        <f>GetRecNdx($AH48,$C48)</f>
        <v>10</v>
      </c>
    </row>
    <row r="49" spans="3:38" x14ac:dyDescent="0.25">
      <c r="C49" s="686"/>
      <c r="E49" s="688"/>
      <c r="F49" s="690"/>
      <c r="G49" s="244" t="str">
        <f>GetDelBasis($AH48,$AL49)</f>
        <v>IF-FGT/MKT Basis Mid</v>
      </c>
      <c r="H49" s="680"/>
      <c r="I49" s="682"/>
      <c r="J49" s="682"/>
      <c r="K49" s="682"/>
      <c r="L49" s="678"/>
      <c r="M49" s="349"/>
      <c r="N49" s="680"/>
      <c r="O49" s="678"/>
      <c r="P49" s="349"/>
      <c r="Q49" s="680"/>
      <c r="R49" s="682"/>
      <c r="S49" s="678"/>
      <c r="T49" s="365"/>
      <c r="U49" s="680"/>
      <c r="V49" s="684"/>
      <c r="W49" s="232"/>
      <c r="X49" s="680"/>
      <c r="Y49" s="682"/>
      <c r="Z49" s="682"/>
      <c r="AA49" s="682"/>
      <c r="AB49" s="682"/>
      <c r="AC49" s="678"/>
      <c r="AD49" s="232"/>
      <c r="AE49" s="232"/>
      <c r="AF49" s="232"/>
      <c r="AI49" s="236" t="str">
        <f>GetWorkSheet($C48)</f>
        <v>LongTerm54</v>
      </c>
      <c r="AJ49" s="236" t="str">
        <f t="shared" si="2"/>
        <v>LongTerm54!$D$22:$D$89</v>
      </c>
      <c r="AK49" s="236" t="str">
        <f>IF(NOT($AI49="#VALUE#"),CONCATENATE($AI49,"!",GetDeliveryStart($AI49),":",GetDeliveryEnd($AI49)),"")</f>
        <v>LongTerm54!$T$22:$T$89</v>
      </c>
      <c r="AL49" s="236">
        <f>GetRecNdx($AH48,$C48)</f>
        <v>10</v>
      </c>
    </row>
    <row r="50" spans="3:38" x14ac:dyDescent="0.25">
      <c r="C50" s="685">
        <v>55</v>
      </c>
      <c r="E50" s="687" t="str">
        <f>GetPipeName($AH50,$AL50)</f>
        <v>FGT</v>
      </c>
      <c r="F50" s="689" t="str">
        <f>CONCATENATE(GetRcptPoint($AH50,$AL50)," to ",GetDelPoint($AH50,$AL50))</f>
        <v>FGT/Zone 3 to FGT/MKT</v>
      </c>
      <c r="G50" s="243" t="str">
        <f>GetRcptBasis($AH50,$AL50)</f>
        <v>IF-FGT/Z3 Basis Mid</v>
      </c>
      <c r="H50" s="679">
        <f ca="1">GetTodayAsset($AI50)</f>
        <v>149480.09659999999</v>
      </c>
      <c r="I50" s="681">
        <f ca="1">GetTodayDemand($AI50)</f>
        <v>122320.056</v>
      </c>
      <c r="J50" s="681">
        <f ca="1">H50-I50</f>
        <v>27160.040599999993</v>
      </c>
      <c r="K50" s="681">
        <f>GetYesterdayPL($AI50)</f>
        <v>27152.25</v>
      </c>
      <c r="L50" s="677">
        <f ca="1">J50-K50</f>
        <v>7.7905999999929918</v>
      </c>
      <c r="N50" s="679">
        <f ca="1">GetTodayIntrinsic($AI50)</f>
        <v>149479.27960000001</v>
      </c>
      <c r="O50" s="677">
        <f ca="1">GetTodayExtrinsic($AI50)</f>
        <v>0.81699999999999995</v>
      </c>
      <c r="Q50" s="679">
        <f ca="1">GetPriceChange($AI50)</f>
        <v>0</v>
      </c>
      <c r="R50" s="681">
        <f ca="1">GetBasisChange($AI50)</f>
        <v>0</v>
      </c>
      <c r="S50" s="677">
        <f ca="1">GetIndexChange($AI50)</f>
        <v>0</v>
      </c>
      <c r="T50" s="365"/>
      <c r="U50" s="679">
        <f ca="1">GetFuelChange($AI50)</f>
        <v>-9.9109999999999996</v>
      </c>
      <c r="V50" s="683">
        <f ca="1">GetVarChrgChange($AI50)</f>
        <v>2E-3</v>
      </c>
      <c r="W50" s="232"/>
      <c r="X50" s="679">
        <f ca="1">GetDelta($AI50)</f>
        <v>0</v>
      </c>
      <c r="Y50" s="681">
        <f ca="1">GetGamma($AI50)</f>
        <v>0</v>
      </c>
      <c r="Z50" s="681">
        <f ca="1">GetTheta($AI50)</f>
        <v>45.202399999999997</v>
      </c>
      <c r="AA50" s="681">
        <f ca="1">GetVega($AI50)</f>
        <v>2.4899999999999999E-2</v>
      </c>
      <c r="AB50" s="681">
        <f ca="1">GetRho($AI50)</f>
        <v>0</v>
      </c>
      <c r="AC50" s="677">
        <f ca="1">GetDrift($AI50)</f>
        <v>45.890700000000002</v>
      </c>
      <c r="AD50" s="232"/>
      <c r="AE50" s="232"/>
      <c r="AF50" s="232"/>
      <c r="AH50" s="303" t="str">
        <f>GetDBPage($C50)</f>
        <v>Contract DB (East)</v>
      </c>
      <c r="AI50" s="236" t="str">
        <f>GetWorkSheet($C50)</f>
        <v>LongTerm55</v>
      </c>
      <c r="AJ50" s="236" t="str">
        <f t="shared" si="2"/>
        <v>LongTerm55!$D$22:$D$89</v>
      </c>
      <c r="AK50" s="236" t="str">
        <f>IF(NOT($AI50="#VALUE#"),CONCATENATE($AI50,"!",GetReceiptStart($AI50),":",GetReceiptEnd($AI50)),"")</f>
        <v>LongTerm55!$S$22:$S$89</v>
      </c>
      <c r="AL50" s="236">
        <f>GetRecNdx($AH50,$C50)</f>
        <v>11</v>
      </c>
    </row>
    <row r="51" spans="3:38" x14ac:dyDescent="0.25">
      <c r="C51" s="686"/>
      <c r="E51" s="688"/>
      <c r="F51" s="690"/>
      <c r="G51" s="244" t="str">
        <f>GetDelBasis($AH50,$AL51)</f>
        <v>IF-FGT/MKT Basis Mid</v>
      </c>
      <c r="H51" s="680"/>
      <c r="I51" s="682"/>
      <c r="J51" s="682"/>
      <c r="K51" s="682"/>
      <c r="L51" s="678"/>
      <c r="M51" s="349"/>
      <c r="N51" s="680"/>
      <c r="O51" s="678"/>
      <c r="P51" s="349"/>
      <c r="Q51" s="680"/>
      <c r="R51" s="682"/>
      <c r="S51" s="678"/>
      <c r="T51" s="365"/>
      <c r="U51" s="680"/>
      <c r="V51" s="684"/>
      <c r="W51" s="232"/>
      <c r="X51" s="680"/>
      <c r="Y51" s="682"/>
      <c r="Z51" s="682"/>
      <c r="AA51" s="682"/>
      <c r="AB51" s="682"/>
      <c r="AC51" s="678"/>
      <c r="AD51" s="232"/>
      <c r="AE51" s="232"/>
      <c r="AF51" s="232"/>
      <c r="AI51" s="236" t="str">
        <f>GetWorkSheet($C50)</f>
        <v>LongTerm55</v>
      </c>
      <c r="AJ51" s="236" t="str">
        <f t="shared" si="2"/>
        <v>LongTerm55!$D$22:$D$89</v>
      </c>
      <c r="AK51" s="236" t="str">
        <f>IF(NOT($AI51="#VALUE#"),CONCATENATE($AI51,"!",GetDeliveryStart($AI51),":",GetDeliveryEnd($AI51)),"")</f>
        <v>LongTerm55!$T$22:$T$89</v>
      </c>
      <c r="AL51" s="236">
        <f>GetRecNdx($AH50,$C50)</f>
        <v>11</v>
      </c>
    </row>
    <row r="52" spans="3:38" x14ac:dyDescent="0.25">
      <c r="C52" s="685">
        <v>73</v>
      </c>
      <c r="E52" s="687">
        <f>GetPipeName($AH52,$AL52)</f>
        <v>0</v>
      </c>
      <c r="F52" s="689" t="str">
        <f>CONCATENATE(GetRcptPoint($AH52,$AL52)," to ",GetDelPoint($AH52,$AL52))</f>
        <v>FGT to FGT/MKT</v>
      </c>
      <c r="G52" s="243" t="str">
        <f>GetRcptBasis($AH52,$AL52)</f>
        <v>IF-FGT/Z2 Basis Mid</v>
      </c>
      <c r="H52" s="679">
        <f ca="1">GetTodayAsset($AI52)</f>
        <v>13840031.726500001</v>
      </c>
      <c r="I52" s="681">
        <f ca="1">GetTodayDemand($AI52)</f>
        <v>12311186.602399999</v>
      </c>
      <c r="J52" s="681">
        <f ca="1">H52-I52</f>
        <v>1528845.1241000015</v>
      </c>
      <c r="K52" s="681">
        <f>GetYesterdayPL($AI52)</f>
        <v>1528268.43</v>
      </c>
      <c r="L52" s="677">
        <f ca="1">J52-K52</f>
        <v>576.69410000159405</v>
      </c>
      <c r="N52" s="679">
        <f ca="1">GetTodayIntrinsic($AI52)</f>
        <v>13839654.2358</v>
      </c>
      <c r="O52" s="677">
        <f ca="1">GetTodayExtrinsic($AI52)</f>
        <v>377.4907</v>
      </c>
      <c r="Q52" s="679">
        <f ca="1">GetPriceChange($AI52)</f>
        <v>0</v>
      </c>
      <c r="R52" s="681">
        <f ca="1">GetBasisChange($AI52)</f>
        <v>0</v>
      </c>
      <c r="S52" s="677">
        <f ca="1">GetIndexChange($AI52)</f>
        <v>0</v>
      </c>
      <c r="T52" s="365"/>
      <c r="U52" s="679">
        <f ca="1">GetFuelChange($AI52)</f>
        <v>-1268.9238</v>
      </c>
      <c r="V52" s="683">
        <f ca="1">GetVarChrgChange($AI52)</f>
        <v>-4.1999999999999997E-3</v>
      </c>
      <c r="W52" s="232"/>
      <c r="X52" s="679">
        <f ca="1">GetDelta($AI52)</f>
        <v>0</v>
      </c>
      <c r="Y52" s="681">
        <f ca="1">GetGamma($AI52)</f>
        <v>0</v>
      </c>
      <c r="Z52" s="681">
        <f ca="1">GetTheta($AI52)</f>
        <v>5724.1388999999999</v>
      </c>
      <c r="AA52" s="681">
        <f ca="1">GetVega($AI52)</f>
        <v>1.9972000000000001</v>
      </c>
      <c r="AB52" s="681">
        <f ca="1">GetRho($AI52)</f>
        <v>0</v>
      </c>
      <c r="AC52" s="677">
        <f ca="1">GetDrift($AI52)</f>
        <v>5820.7703000000001</v>
      </c>
      <c r="AD52" s="232"/>
      <c r="AE52" s="232"/>
      <c r="AF52" s="232"/>
      <c r="AH52" s="303" t="str">
        <f>GetDBPage($C52)</f>
        <v>Contract DB (East)</v>
      </c>
      <c r="AI52" s="236" t="str">
        <f>GetWorkSheet($C52)</f>
        <v>LongTerm73</v>
      </c>
      <c r="AJ52" s="236" t="str">
        <f t="shared" si="2"/>
        <v>LongTerm73!$D$22:$D$248</v>
      </c>
      <c r="AK52" s="236" t="str">
        <f>IF(NOT($AI52="#VALUE#"),CONCATENATE($AI52,"!",GetReceiptStart($AI52),":",GetReceiptEnd($AI52)),"")</f>
        <v>LongTerm73!$S$22:$S$248</v>
      </c>
      <c r="AL52" s="236">
        <f>GetRecNdx($AH52,$C52)</f>
        <v>12</v>
      </c>
    </row>
    <row r="53" spans="3:38" x14ac:dyDescent="0.25">
      <c r="C53" s="686"/>
      <c r="E53" s="688"/>
      <c r="F53" s="690"/>
      <c r="G53" s="244" t="str">
        <f>GetDelBasis($AH52,$AL53)</f>
        <v>IF-FGT/MKT Basis Mid</v>
      </c>
      <c r="H53" s="680"/>
      <c r="I53" s="682"/>
      <c r="J53" s="682"/>
      <c r="K53" s="682"/>
      <c r="L53" s="678"/>
      <c r="M53" s="349"/>
      <c r="N53" s="680"/>
      <c r="O53" s="678"/>
      <c r="P53" s="349"/>
      <c r="Q53" s="680"/>
      <c r="R53" s="682"/>
      <c r="S53" s="678"/>
      <c r="T53" s="365"/>
      <c r="U53" s="680"/>
      <c r="V53" s="684"/>
      <c r="W53" s="232"/>
      <c r="X53" s="680"/>
      <c r="Y53" s="682"/>
      <c r="Z53" s="682"/>
      <c r="AA53" s="682"/>
      <c r="AB53" s="682"/>
      <c r="AC53" s="678"/>
      <c r="AD53" s="232"/>
      <c r="AE53" s="232"/>
      <c r="AF53" s="232"/>
      <c r="AI53" s="236" t="str">
        <f>GetWorkSheet($C52)</f>
        <v>LongTerm73</v>
      </c>
      <c r="AJ53" s="236" t="str">
        <f t="shared" si="2"/>
        <v>LongTerm73!$D$22:$D$248</v>
      </c>
      <c r="AK53" s="236" t="str">
        <f>IF(NOT($AI53="#VALUE#"),CONCATENATE($AI53,"!",GetDeliveryStart($AI53),":",GetDeliveryEnd($AI53)),"")</f>
        <v>LongTerm73!$T$22:$T$248</v>
      </c>
      <c r="AL53" s="236">
        <f>GetRecNdx($AH52,$C52)</f>
        <v>12</v>
      </c>
    </row>
    <row r="54" spans="3:38" x14ac:dyDescent="0.25">
      <c r="C54" s="685">
        <v>88</v>
      </c>
      <c r="E54" s="687">
        <f>GetPipeName($AH54,$AL54)</f>
        <v>0</v>
      </c>
      <c r="F54" s="689" t="str">
        <f>CONCATENATE(GetRcptPoint($AH54,$AL54)," to ",GetDelPoint($AH54,$AL54))</f>
        <v>IF-TRANSCO/Z1 to IF-TRANSCO/Z6</v>
      </c>
      <c r="G54" s="243" t="str">
        <f>GetRcptBasis($AH54,$AL54)</f>
        <v>IF-TRANSCO/Z1 Basis Mid</v>
      </c>
      <c r="H54" s="679">
        <f ca="1">GetTodayAsset($AI54)</f>
        <v>272448.71480000002</v>
      </c>
      <c r="I54" s="681">
        <f ca="1">GetTodayDemand($AI54)</f>
        <v>0</v>
      </c>
      <c r="J54" s="681">
        <f ca="1">H54-I54</f>
        <v>272448.71480000002</v>
      </c>
      <c r="K54" s="681">
        <f>GetYesterdayPL($AI54)</f>
        <v>272251.21999999997</v>
      </c>
      <c r="L54" s="677">
        <f ca="1">J54-K54</f>
        <v>197.49480000004405</v>
      </c>
      <c r="N54" s="679">
        <f ca="1">GetTodayIntrinsic($AI54)</f>
        <v>268119.15059999999</v>
      </c>
      <c r="O54" s="677">
        <f ca="1">GetTodayExtrinsic($AI54)</f>
        <v>4329.5672999999997</v>
      </c>
      <c r="Q54" s="679">
        <f ca="1">GetPriceChange($AI54)</f>
        <v>0</v>
      </c>
      <c r="R54" s="681">
        <f ca="1">GetBasisChange($AI54)</f>
        <v>0</v>
      </c>
      <c r="S54" s="677">
        <f ca="1">GetIndexChange($AI54)</f>
        <v>0</v>
      </c>
      <c r="T54" s="365"/>
      <c r="U54" s="679">
        <f ca="1">GetFuelChange($AI54)</f>
        <v>-5.1007999999999996</v>
      </c>
      <c r="V54" s="683">
        <f ca="1">GetVarChrgChange($AI54)</f>
        <v>0</v>
      </c>
      <c r="W54" s="232"/>
      <c r="X54" s="679">
        <f ca="1">GetDelta($AI54)</f>
        <v>0</v>
      </c>
      <c r="Y54" s="681">
        <f ca="1">GetGamma($AI54)</f>
        <v>0</v>
      </c>
      <c r="Z54" s="681">
        <f ca="1">GetTheta($AI54)</f>
        <v>-208.8339</v>
      </c>
      <c r="AA54" s="681">
        <f ca="1">GetVega($AI54)</f>
        <v>282.9008</v>
      </c>
      <c r="AB54" s="681">
        <f ca="1">GetRho($AI54)</f>
        <v>0</v>
      </c>
      <c r="AC54" s="677">
        <f ca="1">GetDrift($AI54)</f>
        <v>42.662999999999997</v>
      </c>
      <c r="AD54" s="232"/>
      <c r="AE54" s="232"/>
      <c r="AF54" s="232"/>
      <c r="AH54" s="303" t="str">
        <f>GetDBPage($C54)</f>
        <v>Contract DB (East)</v>
      </c>
      <c r="AI54" s="236" t="str">
        <f>GetWorkSheet($C54)</f>
        <v>LongTerm88</v>
      </c>
      <c r="AJ54" s="236" t="str">
        <f t="shared" si="2"/>
        <v>LongTerm88!$D$22:$D$32</v>
      </c>
      <c r="AK54" s="236" t="str">
        <f>IF(NOT($AI54="#VALUE#"),CONCATENATE($AI54,"!",GetReceiptStart($AI54),":",GetReceiptEnd($AI54)),"")</f>
        <v>LongTerm88!$S$22:$S$32</v>
      </c>
      <c r="AL54" s="236">
        <f>GetRecNdx($AH54,$C54)</f>
        <v>13</v>
      </c>
    </row>
    <row r="55" spans="3:38" x14ac:dyDescent="0.25">
      <c r="C55" s="686"/>
      <c r="E55" s="688"/>
      <c r="F55" s="690"/>
      <c r="G55" s="244" t="str">
        <f>GetDelBasis($AH54,$AL55)</f>
        <v>IF-TRANSCO/Z6 Basis Mid</v>
      </c>
      <c r="H55" s="680"/>
      <c r="I55" s="682"/>
      <c r="J55" s="682"/>
      <c r="K55" s="682"/>
      <c r="L55" s="678"/>
      <c r="M55" s="349"/>
      <c r="N55" s="680"/>
      <c r="O55" s="678"/>
      <c r="P55" s="349"/>
      <c r="Q55" s="680"/>
      <c r="R55" s="682"/>
      <c r="S55" s="678"/>
      <c r="T55" s="365"/>
      <c r="U55" s="680"/>
      <c r="V55" s="684"/>
      <c r="W55" s="232"/>
      <c r="X55" s="680"/>
      <c r="Y55" s="682"/>
      <c r="Z55" s="682"/>
      <c r="AA55" s="682"/>
      <c r="AB55" s="682"/>
      <c r="AC55" s="678"/>
      <c r="AD55" s="232"/>
      <c r="AE55" s="232"/>
      <c r="AF55" s="232"/>
      <c r="AI55" s="236" t="str">
        <f>GetWorkSheet($C54)</f>
        <v>LongTerm88</v>
      </c>
      <c r="AJ55" s="236" t="str">
        <f t="shared" si="2"/>
        <v>LongTerm88!$D$22:$D$32</v>
      </c>
      <c r="AK55" s="236" t="str">
        <f>IF(NOT($AI55="#VALUE#"),CONCATENATE($AI55,"!",GetDeliveryStart($AI55),":",GetDeliveryEnd($AI55)),"")</f>
        <v>LongTerm88!$T$22:$T$32</v>
      </c>
      <c r="AL55" s="236">
        <f>GetRecNdx($AH54,$C54)</f>
        <v>13</v>
      </c>
    </row>
    <row r="56" spans="3:38" x14ac:dyDescent="0.25">
      <c r="C56" s="685">
        <v>89</v>
      </c>
      <c r="E56" s="687">
        <f>GetPipeName($AH56,$AL56)</f>
        <v>0</v>
      </c>
      <c r="F56" s="689" t="str">
        <f>CONCATENATE(GetRcptPoint($AH56,$AL56)," to ",GetDelPoint($AH56,$AL56))</f>
        <v>IF-TRANSCO/Z2 to IF-TRANSCO/Z6</v>
      </c>
      <c r="G56" s="243" t="str">
        <f>GetRcptBasis($AH56,$AL56)</f>
        <v>IF-TRANSCO/Z2 Basis Mid</v>
      </c>
      <c r="H56" s="679">
        <f ca="1">GetTodayAsset($AI56)</f>
        <v>390539.8947</v>
      </c>
      <c r="I56" s="681">
        <f ca="1">GetTodayDemand($AI56)</f>
        <v>0</v>
      </c>
      <c r="J56" s="681">
        <f ca="1">H56-I56</f>
        <v>390539.8947</v>
      </c>
      <c r="K56" s="681">
        <f>GetYesterdayPL($AI56)</f>
        <v>390297.97</v>
      </c>
      <c r="L56" s="677">
        <f ca="1">J56-K56</f>
        <v>241.92470000003232</v>
      </c>
      <c r="N56" s="679">
        <f ca="1">GetTodayIntrinsic($AI56)</f>
        <v>382761.0001</v>
      </c>
      <c r="O56" s="677">
        <f ca="1">GetTodayExtrinsic($AI56)</f>
        <v>7779.3207000000002</v>
      </c>
      <c r="Q56" s="679">
        <f ca="1">GetPriceChange($AI56)</f>
        <v>0</v>
      </c>
      <c r="R56" s="681">
        <f ca="1">GetBasisChange($AI56)</f>
        <v>0</v>
      </c>
      <c r="S56" s="677">
        <f ca="1">GetIndexChange($AI56)</f>
        <v>0</v>
      </c>
      <c r="T56" s="365"/>
      <c r="U56" s="679">
        <f ca="1">GetFuelChange($AI56)</f>
        <v>-7.1214000000000004</v>
      </c>
      <c r="V56" s="683">
        <f ca="1">GetVarChrgChange($AI56)</f>
        <v>0</v>
      </c>
      <c r="W56" s="232"/>
      <c r="X56" s="679">
        <f ca="1">GetDelta($AI56)</f>
        <v>0</v>
      </c>
      <c r="Y56" s="681">
        <f ca="1">GetGamma($AI56)</f>
        <v>0</v>
      </c>
      <c r="Z56" s="681">
        <f ca="1">GetTheta($AI56)</f>
        <v>-993.56550000000004</v>
      </c>
      <c r="AA56" s="681">
        <f ca="1">GetVega($AI56)</f>
        <v>1372.6030000000001</v>
      </c>
      <c r="AB56" s="681">
        <f ca="1">GetRho($AI56)</f>
        <v>0</v>
      </c>
      <c r="AC56" s="677">
        <f ca="1">GetDrift($AI56)</f>
        <v>61.151400000000002</v>
      </c>
      <c r="AD56" s="232"/>
      <c r="AE56" s="232"/>
      <c r="AF56" s="232"/>
      <c r="AH56" s="303" t="str">
        <f>GetDBPage($C56)</f>
        <v>Contract DB (East)</v>
      </c>
      <c r="AI56" s="236" t="str">
        <f>GetWorkSheet($C56)</f>
        <v>LongTerm89</v>
      </c>
      <c r="AJ56" s="236" t="str">
        <f t="shared" si="2"/>
        <v>LongTerm89!$D$22:$D$32</v>
      </c>
      <c r="AK56" s="236" t="str">
        <f>IF(NOT($AI56="#VALUE#"),CONCATENATE($AI56,"!",GetReceiptStart($AI56),":",GetReceiptEnd($AI56)),"")</f>
        <v>LongTerm89!$S$22:$S$32</v>
      </c>
      <c r="AL56" s="236">
        <f>GetRecNdx($AH56,$C56)</f>
        <v>14</v>
      </c>
    </row>
    <row r="57" spans="3:38" x14ac:dyDescent="0.25">
      <c r="C57" s="686"/>
      <c r="E57" s="688"/>
      <c r="F57" s="690"/>
      <c r="G57" s="244" t="str">
        <f>GetDelBasis($AH56,$AL57)</f>
        <v>IF-TRANSCO/Z6 Basis Mid</v>
      </c>
      <c r="H57" s="680"/>
      <c r="I57" s="682"/>
      <c r="J57" s="682"/>
      <c r="K57" s="682"/>
      <c r="L57" s="678"/>
      <c r="M57" s="349"/>
      <c r="N57" s="680"/>
      <c r="O57" s="678"/>
      <c r="P57" s="349"/>
      <c r="Q57" s="680"/>
      <c r="R57" s="682"/>
      <c r="S57" s="678"/>
      <c r="T57" s="365"/>
      <c r="U57" s="680"/>
      <c r="V57" s="684"/>
      <c r="W57" s="232"/>
      <c r="X57" s="680"/>
      <c r="Y57" s="682"/>
      <c r="Z57" s="682"/>
      <c r="AA57" s="682"/>
      <c r="AB57" s="682"/>
      <c r="AC57" s="678"/>
      <c r="AD57" s="232"/>
      <c r="AE57" s="232"/>
      <c r="AF57" s="232"/>
      <c r="AI57" s="236" t="str">
        <f>GetWorkSheet($C56)</f>
        <v>LongTerm89</v>
      </c>
      <c r="AJ57" s="236" t="str">
        <f t="shared" si="2"/>
        <v>LongTerm89!$D$22:$D$32</v>
      </c>
      <c r="AK57" s="236" t="str">
        <f>IF(NOT($AI57="#VALUE#"),CONCATENATE($AI57,"!",GetDeliveryStart($AI57),":",GetDeliveryEnd($AI57)),"")</f>
        <v>LongTerm89!$T$22:$T$32</v>
      </c>
      <c r="AL57" s="236">
        <f>GetRecNdx($AH56,$C56)</f>
        <v>14</v>
      </c>
    </row>
    <row r="58" spans="3:38" x14ac:dyDescent="0.25">
      <c r="C58" s="685">
        <v>90</v>
      </c>
      <c r="E58" s="687">
        <f>GetPipeName($AH58,$AL58)</f>
        <v>0</v>
      </c>
      <c r="F58" s="689" t="str">
        <f>CONCATENATE(GetRcptPoint($AH58,$AL58)," to ",GetDelPoint($AH58,$AL58))</f>
        <v>IF-TRANSCO/Z3 to IF-TRANSCO/Z6</v>
      </c>
      <c r="G58" s="243" t="str">
        <f>GetRcptBasis($AH58,$AL58)</f>
        <v>IF-TRANSCO/Z3 Basis Mid</v>
      </c>
      <c r="H58" s="679">
        <f ca="1">GetTodayAsset($AI58)</f>
        <v>887710.85770000005</v>
      </c>
      <c r="I58" s="681">
        <f ca="1">GetTodayDemand($AI58)</f>
        <v>0</v>
      </c>
      <c r="J58" s="681">
        <f ca="1">H58-I58</f>
        <v>887710.85770000005</v>
      </c>
      <c r="K58" s="681">
        <f>GetYesterdayPL($AI58)</f>
        <v>887302.82</v>
      </c>
      <c r="L58" s="677">
        <f ca="1">J58-K58</f>
        <v>408.03770000010263</v>
      </c>
      <c r="N58" s="679">
        <f ca="1">GetTodayIntrinsic($AI58)</f>
        <v>868438.27439999999</v>
      </c>
      <c r="O58" s="677">
        <f ca="1">GetTodayExtrinsic($AI58)</f>
        <v>19276.416700000002</v>
      </c>
      <c r="Q58" s="679">
        <f ca="1">GetPriceChange($AI58)</f>
        <v>0</v>
      </c>
      <c r="R58" s="681">
        <f ca="1">GetBasisChange($AI58)</f>
        <v>0</v>
      </c>
      <c r="S58" s="677">
        <f ca="1">GetIndexChange($AI58)</f>
        <v>0</v>
      </c>
      <c r="T58" s="365"/>
      <c r="U58" s="679">
        <f ca="1">GetFuelChange($AI58)</f>
        <v>-15.2652</v>
      </c>
      <c r="V58" s="683">
        <f ca="1">GetVarChrgChange($AI58)</f>
        <v>0</v>
      </c>
      <c r="W58" s="232"/>
      <c r="X58" s="679">
        <f ca="1">GetDelta($AI58)</f>
        <v>0</v>
      </c>
      <c r="Y58" s="681">
        <f ca="1">GetGamma($AI58)</f>
        <v>0</v>
      </c>
      <c r="Z58" s="681">
        <f ca="1">GetTheta($AI58)</f>
        <v>-2416.2734</v>
      </c>
      <c r="AA58" s="681">
        <f ca="1">GetVega($AI58)</f>
        <v>3328.2265000000002</v>
      </c>
      <c r="AB58" s="681">
        <f ca="1">GetRho($AI58)</f>
        <v>0</v>
      </c>
      <c r="AC58" s="677">
        <f ca="1">GetDrift($AI58)</f>
        <v>139.0035</v>
      </c>
      <c r="AD58" s="232"/>
      <c r="AE58" s="232"/>
      <c r="AF58" s="232"/>
      <c r="AH58" s="303" t="str">
        <f>GetDBPage($C58)</f>
        <v>Contract DB (East)</v>
      </c>
      <c r="AI58" s="236" t="str">
        <f>GetWorkSheet($C58)</f>
        <v>LongTerm90</v>
      </c>
      <c r="AJ58" s="236" t="str">
        <f t="shared" si="2"/>
        <v>LongTerm90!$D$22:$D$32</v>
      </c>
      <c r="AK58" s="236" t="str">
        <f>IF(NOT($AI58="#VALUE#"),CONCATENATE($AI58,"!",GetReceiptStart($AI58),":",GetReceiptEnd($AI58)),"")</f>
        <v>LongTerm90!$S$22:$S$32</v>
      </c>
      <c r="AL58" s="236">
        <f>GetRecNdx($AH58,$C58)</f>
        <v>15</v>
      </c>
    </row>
    <row r="59" spans="3:38" x14ac:dyDescent="0.25">
      <c r="C59" s="686"/>
      <c r="E59" s="688"/>
      <c r="F59" s="690"/>
      <c r="G59" s="244" t="str">
        <f>GetDelBasis($AH58,$AL59)</f>
        <v>IF-TRANSCO/Z6 Basis Mid</v>
      </c>
      <c r="H59" s="680"/>
      <c r="I59" s="682"/>
      <c r="J59" s="682"/>
      <c r="K59" s="682"/>
      <c r="L59" s="678"/>
      <c r="M59" s="349"/>
      <c r="N59" s="680"/>
      <c r="O59" s="678"/>
      <c r="P59" s="349"/>
      <c r="Q59" s="680"/>
      <c r="R59" s="682"/>
      <c r="S59" s="678"/>
      <c r="T59" s="365"/>
      <c r="U59" s="680"/>
      <c r="V59" s="684"/>
      <c r="W59" s="232"/>
      <c r="X59" s="680"/>
      <c r="Y59" s="682"/>
      <c r="Z59" s="682"/>
      <c r="AA59" s="682"/>
      <c r="AB59" s="682"/>
      <c r="AC59" s="678"/>
      <c r="AD59" s="232"/>
      <c r="AE59" s="232"/>
      <c r="AF59" s="232"/>
      <c r="AI59" s="236" t="str">
        <f>GetWorkSheet($C58)</f>
        <v>LongTerm90</v>
      </c>
      <c r="AJ59" s="236" t="str">
        <f t="shared" si="2"/>
        <v>LongTerm90!$D$22:$D$32</v>
      </c>
      <c r="AK59" s="236" t="str">
        <f>IF(NOT($AI59="#VALUE#"),CONCATENATE($AI59,"!",GetDeliveryStart($AI59),":",GetDeliveryEnd($AI59)),"")</f>
        <v>LongTerm90!$T$22:$T$32</v>
      </c>
      <c r="AL59" s="236">
        <f>GetRecNdx($AH58,$C58)</f>
        <v>15</v>
      </c>
    </row>
    <row r="60" spans="3:38" x14ac:dyDescent="0.25">
      <c r="C60" s="685">
        <v>100</v>
      </c>
      <c r="E60" s="687">
        <f>GetPipeName($AH60,$AL60)</f>
        <v>0</v>
      </c>
      <c r="F60" s="689" t="str">
        <f>CONCATENATE(GetRcptPoint($AH60,$AL60)," to ",GetDelPoint($AH60,$AL60))</f>
        <v>Tetco/ETX to CNG/Appalach</v>
      </c>
      <c r="G60" s="243" t="str">
        <f>GetRcptBasis($AH60,$AL60)</f>
        <v>IF-TETCO/ETX Basis Mid</v>
      </c>
      <c r="H60" s="679">
        <f ca="1">GetTodayAsset($AI60)</f>
        <v>6349.2232000000004</v>
      </c>
      <c r="I60" s="681">
        <f ca="1">GetTodayDemand($AI60)</f>
        <v>0</v>
      </c>
      <c r="J60" s="681">
        <f ca="1">H60-I60</f>
        <v>6349.2232000000004</v>
      </c>
      <c r="K60" s="681">
        <f>GetYesterdayPL($AI60)</f>
        <v>6465.42</v>
      </c>
      <c r="L60" s="677">
        <f ca="1">J60-K60</f>
        <v>-116.19679999999971</v>
      </c>
      <c r="N60" s="679">
        <f ca="1">GetTodayIntrinsic($AI60)</f>
        <v>4808.6814000000004</v>
      </c>
      <c r="O60" s="677">
        <f ca="1">GetTodayExtrinsic($AI60)</f>
        <v>1540.5418</v>
      </c>
      <c r="Q60" s="679">
        <f ca="1">GetPriceChange($AI60)</f>
        <v>0</v>
      </c>
      <c r="R60" s="681">
        <f ca="1">GetBasisChange($AI60)</f>
        <v>0</v>
      </c>
      <c r="S60" s="677">
        <f ca="1">GetIndexChange($AI60)</f>
        <v>0</v>
      </c>
      <c r="T60" s="365"/>
      <c r="U60" s="679">
        <f ca="1">GetFuelChange($AI60)</f>
        <v>-3.1703999999999999</v>
      </c>
      <c r="V60" s="683">
        <f ca="1">GetVarChrgChange($AI60)</f>
        <v>-2E-3</v>
      </c>
      <c r="W60" s="232"/>
      <c r="X60" s="679">
        <f ca="1">GetDelta($AI60)</f>
        <v>0</v>
      </c>
      <c r="Y60" s="681">
        <f ca="1">GetGamma($AI60)</f>
        <v>0</v>
      </c>
      <c r="Z60" s="681">
        <f ca="1">GetTheta($AI60)</f>
        <v>-83.508499999999998</v>
      </c>
      <c r="AA60" s="681">
        <f ca="1">GetVega($AI60)</f>
        <v>15.7828</v>
      </c>
      <c r="AB60" s="681">
        <f ca="1">GetRho($AI60)</f>
        <v>0</v>
      </c>
      <c r="AC60" s="677">
        <f ca="1">GetDrift($AI60)</f>
        <v>1.0139</v>
      </c>
      <c r="AD60" s="232"/>
      <c r="AE60" s="232"/>
      <c r="AF60" s="232"/>
      <c r="AH60" s="303" t="str">
        <f>GetDBPage($C60)</f>
        <v>Contract DB (East)</v>
      </c>
      <c r="AI60" s="236" t="str">
        <f>GetWorkSheet($C60)</f>
        <v>LongTerm100</v>
      </c>
      <c r="AJ60" s="236" t="str">
        <f t="shared" si="2"/>
        <v>LongTerm100!$D$22:$D$27</v>
      </c>
      <c r="AK60" s="236" t="str">
        <f>IF(NOT($AI60="#VALUE#"),CONCATENATE($AI60,"!",GetReceiptStart($AI60),":",GetReceiptEnd($AI60)),"")</f>
        <v>LongTerm100!$S$22:$S$27</v>
      </c>
      <c r="AL60" s="236">
        <f>GetRecNdx($AH60,$C60)</f>
        <v>16</v>
      </c>
    </row>
    <row r="61" spans="3:38" x14ac:dyDescent="0.25">
      <c r="C61" s="686"/>
      <c r="E61" s="688"/>
      <c r="F61" s="690"/>
      <c r="G61" s="244" t="str">
        <f>GetDelBasis($AH60,$AL61)</f>
        <v>IF-CNG/APPALACH Basis Mid</v>
      </c>
      <c r="H61" s="680"/>
      <c r="I61" s="682"/>
      <c r="J61" s="682"/>
      <c r="K61" s="682"/>
      <c r="L61" s="678"/>
      <c r="M61" s="349"/>
      <c r="N61" s="680"/>
      <c r="O61" s="678"/>
      <c r="P61" s="349"/>
      <c r="Q61" s="680"/>
      <c r="R61" s="682"/>
      <c r="S61" s="678"/>
      <c r="T61" s="365"/>
      <c r="U61" s="680"/>
      <c r="V61" s="684"/>
      <c r="W61" s="232"/>
      <c r="X61" s="680"/>
      <c r="Y61" s="682"/>
      <c r="Z61" s="682"/>
      <c r="AA61" s="682"/>
      <c r="AB61" s="682"/>
      <c r="AC61" s="678"/>
      <c r="AD61" s="232"/>
      <c r="AE61" s="232"/>
      <c r="AF61" s="232"/>
      <c r="AI61" s="236" t="str">
        <f>GetWorkSheet($C60)</f>
        <v>LongTerm100</v>
      </c>
      <c r="AJ61" s="236" t="str">
        <f t="shared" si="2"/>
        <v>LongTerm100!$D$22:$D$27</v>
      </c>
      <c r="AK61" s="236" t="str">
        <f>IF(NOT($AI61="#VALUE#"),CONCATENATE($AI61,"!",GetDeliveryStart($AI61),":",GetDeliveryEnd($AI61)),"")</f>
        <v>LongTerm100!$T$22:$T$27</v>
      </c>
      <c r="AL61" s="236">
        <f>GetRecNdx($AH60,$C60)</f>
        <v>16</v>
      </c>
    </row>
    <row r="62" spans="3:38" x14ac:dyDescent="0.25">
      <c r="C62" s="685">
        <v>101</v>
      </c>
      <c r="E62" s="687">
        <f>GetPipeName($AH62,$AL62)</f>
        <v>0</v>
      </c>
      <c r="F62" s="689" t="str">
        <f>CONCATENATE(GetRcptPoint($AH62,$AL62)," to ",GetDelPoint($AH62,$AL62))</f>
        <v>Tetco/ELA to CNG/Appalach</v>
      </c>
      <c r="G62" s="243" t="str">
        <f>GetRcptBasis($AH62,$AL62)</f>
        <v>IF-TETCO/ELA Basis Mid</v>
      </c>
      <c r="H62" s="679">
        <f ca="1">GetTodayAsset($AI62)</f>
        <v>4725.4417000000003</v>
      </c>
      <c r="I62" s="681">
        <f ca="1">GetTodayDemand($AI62)</f>
        <v>0</v>
      </c>
      <c r="J62" s="681">
        <f ca="1">H62-I62</f>
        <v>4725.4417000000003</v>
      </c>
      <c r="K62" s="681">
        <f>GetYesterdayPL($AI62)</f>
        <v>4930.6099999999997</v>
      </c>
      <c r="L62" s="677">
        <f ca="1">J62-K62</f>
        <v>-205.16829999999936</v>
      </c>
      <c r="N62" s="679">
        <f ca="1">GetTodayIntrinsic($AI62)</f>
        <v>277.09219999999999</v>
      </c>
      <c r="O62" s="677">
        <f ca="1">GetTodayExtrinsic($AI62)</f>
        <v>4448.3495000000003</v>
      </c>
      <c r="Q62" s="679">
        <f ca="1">GetPriceChange($AI62)</f>
        <v>0</v>
      </c>
      <c r="R62" s="681">
        <f ca="1">GetBasisChange($AI62)</f>
        <v>0</v>
      </c>
      <c r="S62" s="677">
        <f ca="1">GetIndexChange($AI62)</f>
        <v>0</v>
      </c>
      <c r="T62" s="365"/>
      <c r="U62" s="679">
        <f ca="1">GetFuelChange($AI62)</f>
        <v>-4.7723000000000004</v>
      </c>
      <c r="V62" s="683">
        <f ca="1">GetVarChrgChange($AI62)</f>
        <v>-1E-3</v>
      </c>
      <c r="W62" s="232"/>
      <c r="X62" s="679">
        <f ca="1">GetDelta($AI62)</f>
        <v>0</v>
      </c>
      <c r="Y62" s="681">
        <f ca="1">GetGamma($AI62)</f>
        <v>0</v>
      </c>
      <c r="Z62" s="681">
        <f ca="1">GetTheta($AI62)</f>
        <v>-158.96629999999999</v>
      </c>
      <c r="AA62" s="681">
        <f ca="1">GetVega($AI62)</f>
        <v>44.204900000000002</v>
      </c>
      <c r="AB62" s="681">
        <f ca="1">GetRho($AI62)</f>
        <v>0</v>
      </c>
      <c r="AC62" s="677">
        <f ca="1">GetDrift($AI62)</f>
        <v>0.77300000000000002</v>
      </c>
      <c r="AD62" s="232"/>
      <c r="AE62" s="232"/>
      <c r="AF62" s="232"/>
      <c r="AH62" s="303" t="str">
        <f>GetDBPage($C62)</f>
        <v>Contract DB (East)</v>
      </c>
      <c r="AI62" s="236" t="str">
        <f>GetWorkSheet($C62)</f>
        <v>LongTerm101</v>
      </c>
      <c r="AJ62" s="236" t="str">
        <f t="shared" si="2"/>
        <v>LongTerm101!$D$22:$D$26</v>
      </c>
      <c r="AK62" s="236" t="str">
        <f>IF(NOT($AI62="#VALUE#"),CONCATENATE($AI62,"!",GetReceiptStart($AI62),":",GetReceiptEnd($AI62)),"")</f>
        <v>LongTerm101!$S$22:$S$26</v>
      </c>
      <c r="AL62" s="236">
        <f>GetRecNdx($AH62,$C62)</f>
        <v>17</v>
      </c>
    </row>
    <row r="63" spans="3:38" x14ac:dyDescent="0.25">
      <c r="C63" s="686"/>
      <c r="E63" s="688"/>
      <c r="F63" s="690"/>
      <c r="G63" s="244" t="str">
        <f>GetDelBasis($AH62,$AL63)</f>
        <v>IF-CNG/APPALACH Basis Mid</v>
      </c>
      <c r="H63" s="680"/>
      <c r="I63" s="682"/>
      <c r="J63" s="682"/>
      <c r="K63" s="682"/>
      <c r="L63" s="678"/>
      <c r="M63" s="349"/>
      <c r="N63" s="680"/>
      <c r="O63" s="678"/>
      <c r="P63" s="349"/>
      <c r="Q63" s="680"/>
      <c r="R63" s="682"/>
      <c r="S63" s="678"/>
      <c r="T63" s="365"/>
      <c r="U63" s="680"/>
      <c r="V63" s="684"/>
      <c r="W63" s="232"/>
      <c r="X63" s="680"/>
      <c r="Y63" s="682"/>
      <c r="Z63" s="682"/>
      <c r="AA63" s="682"/>
      <c r="AB63" s="682"/>
      <c r="AC63" s="678"/>
      <c r="AD63" s="232"/>
      <c r="AE63" s="232"/>
      <c r="AF63" s="232"/>
      <c r="AI63" s="236" t="str">
        <f>GetWorkSheet($C62)</f>
        <v>LongTerm101</v>
      </c>
      <c r="AJ63" s="236" t="str">
        <f t="shared" si="2"/>
        <v>LongTerm101!$D$22:$D$26</v>
      </c>
      <c r="AK63" s="236" t="str">
        <f>IF(NOT($AI63="#VALUE#"),CONCATENATE($AI63,"!",GetDeliveryStart($AI63),":",GetDeliveryEnd($AI63)),"")</f>
        <v>LongTerm101!$T$22:$T$26</v>
      </c>
      <c r="AL63" s="236">
        <f>GetRecNdx($AH62,$C62)</f>
        <v>17</v>
      </c>
    </row>
    <row r="64" spans="3:38" x14ac:dyDescent="0.25">
      <c r="C64" s="685">
        <v>102</v>
      </c>
      <c r="E64" s="687">
        <f>GetPipeName($AH64,$AL64)</f>
        <v>0</v>
      </c>
      <c r="F64" s="689" t="str">
        <f>CONCATENATE(GetRcptPoint($AH64,$AL64)," to ",GetDelPoint($AH64,$AL64))</f>
        <v>Tetco/WLA to CNG/Appalach</v>
      </c>
      <c r="G64" s="243" t="str">
        <f>GetRcptBasis($AH64,$AL64)</f>
        <v>IF-TETCO/WLA Basis Mid</v>
      </c>
      <c r="H64" s="679">
        <f ca="1">GetTodayAsset($AI64)</f>
        <v>3348.0704999999998</v>
      </c>
      <c r="I64" s="681">
        <f ca="1">GetTodayDemand($AI64)</f>
        <v>0</v>
      </c>
      <c r="J64" s="681">
        <f ca="1">H64-I64</f>
        <v>3348.0704999999998</v>
      </c>
      <c r="K64" s="681">
        <f>GetYesterdayPL($AI64)</f>
        <v>3474.3</v>
      </c>
      <c r="L64" s="677">
        <f ca="1">J64-K64</f>
        <v>-126.22950000000037</v>
      </c>
      <c r="N64" s="679">
        <f ca="1">GetTodayIntrinsic($AI64)</f>
        <v>691.11869999999999</v>
      </c>
      <c r="O64" s="677">
        <f ca="1">GetTodayExtrinsic($AI64)</f>
        <v>2656.9517999999998</v>
      </c>
      <c r="Q64" s="679">
        <f ca="1">GetPriceChange($AI64)</f>
        <v>0</v>
      </c>
      <c r="R64" s="681">
        <f ca="1">GetBasisChange($AI64)</f>
        <v>0</v>
      </c>
      <c r="S64" s="677">
        <f ca="1">GetIndexChange($AI64)</f>
        <v>0</v>
      </c>
      <c r="T64" s="365"/>
      <c r="U64" s="679">
        <f ca="1">GetFuelChange($AI64)</f>
        <v>-3.0565000000000002</v>
      </c>
      <c r="V64" s="683">
        <f ca="1">GetVarChrgChange($AI64)</f>
        <v>2E-3</v>
      </c>
      <c r="W64" s="232"/>
      <c r="X64" s="679">
        <f ca="1">GetDelta($AI64)</f>
        <v>0</v>
      </c>
      <c r="Y64" s="681">
        <f ca="1">GetGamma($AI64)</f>
        <v>0</v>
      </c>
      <c r="Z64" s="681">
        <f ca="1">GetTheta($AI64)</f>
        <v>-98.645099999999999</v>
      </c>
      <c r="AA64" s="681">
        <f ca="1">GetVega($AI64)</f>
        <v>27.444299999999998</v>
      </c>
      <c r="AB64" s="681">
        <f ca="1">GetRho($AI64)</f>
        <v>0</v>
      </c>
      <c r="AC64" s="677">
        <f ca="1">GetDrift($AI64)</f>
        <v>0.54469999999999996</v>
      </c>
      <c r="AD64" s="232"/>
      <c r="AE64" s="232"/>
      <c r="AF64" s="232"/>
      <c r="AH64" s="303" t="str">
        <f>GetDBPage($C64)</f>
        <v>Contract DB (East)</v>
      </c>
      <c r="AI64" s="236" t="str">
        <f>GetWorkSheet($C64)</f>
        <v>LongTerm102</v>
      </c>
      <c r="AJ64" s="236" t="str">
        <f t="shared" si="2"/>
        <v>LongTerm102!$D$22:$D$26</v>
      </c>
      <c r="AK64" s="236" t="str">
        <f>IF(NOT($AI64="#VALUE#"),CONCATENATE($AI64,"!",GetReceiptStart($AI64),":",GetReceiptEnd($AI64)),"")</f>
        <v>LongTerm102!$S$22:$S$26</v>
      </c>
      <c r="AL64" s="236">
        <f>GetRecNdx($AH64,$C64)</f>
        <v>18</v>
      </c>
    </row>
    <row r="65" spans="3:38" x14ac:dyDescent="0.25">
      <c r="C65" s="686"/>
      <c r="E65" s="688"/>
      <c r="F65" s="690"/>
      <c r="G65" s="244" t="str">
        <f>GetDelBasis($AH64,$AL65)</f>
        <v>IF-CNG/APPALACH Basis Mid</v>
      </c>
      <c r="H65" s="680"/>
      <c r="I65" s="682"/>
      <c r="J65" s="682"/>
      <c r="K65" s="682"/>
      <c r="L65" s="678"/>
      <c r="M65" s="349"/>
      <c r="N65" s="680"/>
      <c r="O65" s="678"/>
      <c r="P65" s="349"/>
      <c r="Q65" s="680"/>
      <c r="R65" s="682"/>
      <c r="S65" s="678"/>
      <c r="T65" s="365"/>
      <c r="U65" s="680"/>
      <c r="V65" s="684"/>
      <c r="W65" s="232"/>
      <c r="X65" s="680"/>
      <c r="Y65" s="682"/>
      <c r="Z65" s="682"/>
      <c r="AA65" s="682"/>
      <c r="AB65" s="682"/>
      <c r="AC65" s="678"/>
      <c r="AD65" s="232"/>
      <c r="AE65" s="232"/>
      <c r="AF65" s="232"/>
      <c r="AI65" s="236" t="str">
        <f>GetWorkSheet($C64)</f>
        <v>LongTerm102</v>
      </c>
      <c r="AJ65" s="236" t="str">
        <f t="shared" si="2"/>
        <v>LongTerm102!$D$22:$D$26</v>
      </c>
      <c r="AK65" s="236" t="str">
        <f>IF(NOT($AI65="#VALUE#"),CONCATENATE($AI65,"!",GetDeliveryStart($AI65),":",GetDeliveryEnd($AI65)),"")</f>
        <v>LongTerm102!$T$22:$T$26</v>
      </c>
      <c r="AL65" s="236">
        <f>GetRecNdx($AH64,$C64)</f>
        <v>18</v>
      </c>
    </row>
    <row r="66" spans="3:38" x14ac:dyDescent="0.25">
      <c r="C66" s="685">
        <v>103</v>
      </c>
      <c r="E66" s="687">
        <f>GetPipeName($AH66,$AL66)</f>
        <v>0</v>
      </c>
      <c r="F66" s="689" t="str">
        <f>CONCATENATE(GetRcptPoint($AH66,$AL66)," to ",GetDelPoint($AH66,$AL66))</f>
        <v>Tetco/STX to Tetco/M3</v>
      </c>
      <c r="G66" s="243" t="str">
        <f>GetRcptBasis($AH66,$AL66)</f>
        <v>IF-TETCO/STX Basis Mid</v>
      </c>
      <c r="H66" s="679">
        <f ca="1">GetTodayAsset($AI66)</f>
        <v>23804.187000000002</v>
      </c>
      <c r="I66" s="681">
        <f ca="1">GetTodayDemand($AI66)</f>
        <v>0</v>
      </c>
      <c r="J66" s="681">
        <f ca="1">H66-I66</f>
        <v>23804.187000000002</v>
      </c>
      <c r="K66" s="681">
        <f>GetYesterdayPL($AI66)</f>
        <v>23802.65</v>
      </c>
      <c r="L66" s="677">
        <f ca="1">J66-K66</f>
        <v>1.5370000000002619</v>
      </c>
      <c r="N66" s="679">
        <f ca="1">GetTodayIntrinsic($AI66)</f>
        <v>23755.8099</v>
      </c>
      <c r="O66" s="677">
        <f ca="1">GetTodayExtrinsic($AI66)</f>
        <v>48.377099999999999</v>
      </c>
      <c r="Q66" s="679">
        <f ca="1">GetPriceChange($AI66)</f>
        <v>0</v>
      </c>
      <c r="R66" s="681">
        <f ca="1">GetBasisChange($AI66)</f>
        <v>0</v>
      </c>
      <c r="S66" s="677">
        <f ca="1">GetIndexChange($AI66)</f>
        <v>0</v>
      </c>
      <c r="T66" s="365"/>
      <c r="U66" s="679">
        <f ca="1">GetFuelChange($AI66)</f>
        <v>-1.4948999999999999</v>
      </c>
      <c r="V66" s="683">
        <f ca="1">GetVarChrgChange($AI66)</f>
        <v>-2E-3</v>
      </c>
      <c r="W66" s="232"/>
      <c r="X66" s="679">
        <f ca="1">GetDelta($AI66)</f>
        <v>0</v>
      </c>
      <c r="Y66" s="681">
        <f ca="1">GetGamma($AI66)</f>
        <v>0</v>
      </c>
      <c r="Z66" s="681">
        <f ca="1">GetTheta($AI66)</f>
        <v>-7.4099000000000004</v>
      </c>
      <c r="AA66" s="681">
        <f ca="1">GetVega($AI66)</f>
        <v>10.2136</v>
      </c>
      <c r="AB66" s="681">
        <f ca="1">GetRho($AI66)</f>
        <v>0</v>
      </c>
      <c r="AC66" s="677">
        <f ca="1">GetDrift($AI66)</f>
        <v>3.7315999999999998</v>
      </c>
      <c r="AD66" s="232"/>
      <c r="AE66" s="232"/>
      <c r="AF66" s="232"/>
      <c r="AH66" s="303" t="str">
        <f>GetDBPage($C66)</f>
        <v>Contract DB (East)</v>
      </c>
      <c r="AI66" s="236" t="str">
        <f>GetWorkSheet($C66)</f>
        <v>LongTerm103</v>
      </c>
      <c r="AJ66" s="236" t="str">
        <f t="shared" si="2"/>
        <v>LongTerm103!$D$22:$D$26</v>
      </c>
      <c r="AK66" s="236" t="str">
        <f>IF(NOT($AI66="#VALUE#"),CONCATENATE($AI66,"!",GetReceiptStart($AI66),":",GetReceiptEnd($AI66)),"")</f>
        <v>LongTerm103!$S$22:$S$26</v>
      </c>
      <c r="AL66" s="236">
        <f>GetRecNdx($AH66,$C66)</f>
        <v>19</v>
      </c>
    </row>
    <row r="67" spans="3:38" x14ac:dyDescent="0.25">
      <c r="C67" s="686"/>
      <c r="E67" s="688"/>
      <c r="F67" s="690"/>
      <c r="G67" s="244" t="str">
        <f>GetDelBasis($AH66,$AL67)</f>
        <v>IF-TETCO/M3 Basis Mid</v>
      </c>
      <c r="H67" s="680"/>
      <c r="I67" s="682"/>
      <c r="J67" s="682"/>
      <c r="K67" s="682"/>
      <c r="L67" s="678"/>
      <c r="M67" s="349"/>
      <c r="N67" s="680"/>
      <c r="O67" s="678"/>
      <c r="P67" s="349"/>
      <c r="Q67" s="680"/>
      <c r="R67" s="682"/>
      <c r="S67" s="678"/>
      <c r="T67" s="365"/>
      <c r="U67" s="680"/>
      <c r="V67" s="684"/>
      <c r="W67" s="232"/>
      <c r="X67" s="680"/>
      <c r="Y67" s="682"/>
      <c r="Z67" s="682"/>
      <c r="AA67" s="682"/>
      <c r="AB67" s="682"/>
      <c r="AC67" s="678"/>
      <c r="AD67" s="232"/>
      <c r="AE67" s="232"/>
      <c r="AF67" s="232"/>
      <c r="AI67" s="236" t="str">
        <f>GetWorkSheet($C66)</f>
        <v>LongTerm103</v>
      </c>
      <c r="AJ67" s="236" t="str">
        <f t="shared" si="2"/>
        <v>LongTerm103!$D$22:$D$26</v>
      </c>
      <c r="AK67" s="236" t="str">
        <f>IF(NOT($AI67="#VALUE#"),CONCATENATE($AI67,"!",GetDeliveryStart($AI67),":",GetDeliveryEnd($AI67)),"")</f>
        <v>LongTerm103!$T$22:$T$26</v>
      </c>
      <c r="AL67" s="236">
        <f>GetRecNdx($AH66,$C66)</f>
        <v>19</v>
      </c>
    </row>
    <row r="68" spans="3:38" x14ac:dyDescent="0.25">
      <c r="C68" s="685">
        <v>104</v>
      </c>
      <c r="E68" s="687">
        <f>GetPipeName($AH68,$AL68)</f>
        <v>0</v>
      </c>
      <c r="F68" s="689" t="str">
        <f>CONCATENATE(GetRcptPoint($AH68,$AL68)," to ",GetDelPoint($AH68,$AL68))</f>
        <v>Tetco/ETX to Tetco/M3</v>
      </c>
      <c r="G68" s="243" t="str">
        <f>GetRcptBasis($AH68,$AL68)</f>
        <v>IF-TETCO/ETX Basis Mid</v>
      </c>
      <c r="H68" s="679">
        <f ca="1">GetTodayAsset($AI68)</f>
        <v>397995.49180000002</v>
      </c>
      <c r="I68" s="681">
        <f ca="1">GetTodayDemand($AI68)</f>
        <v>0</v>
      </c>
      <c r="J68" s="681">
        <f ca="1">H68-I68</f>
        <v>397995.49180000002</v>
      </c>
      <c r="K68" s="681">
        <f>GetYesterdayPL($AI68)</f>
        <v>397962.68</v>
      </c>
      <c r="L68" s="677">
        <f ca="1">J68-K68</f>
        <v>32.811800000024959</v>
      </c>
      <c r="N68" s="679">
        <f ca="1">GetTodayIntrinsic($AI68)</f>
        <v>397373.47489999997</v>
      </c>
      <c r="O68" s="677">
        <f ca="1">GetTodayExtrinsic($AI68)</f>
        <v>622.01689999999996</v>
      </c>
      <c r="Q68" s="679">
        <f ca="1">GetPriceChange($AI68)</f>
        <v>0</v>
      </c>
      <c r="R68" s="681">
        <f ca="1">GetBasisChange($AI68)</f>
        <v>0</v>
      </c>
      <c r="S68" s="677">
        <f ca="1">GetIndexChange($AI68)</f>
        <v>0</v>
      </c>
      <c r="T68" s="365"/>
      <c r="U68" s="679">
        <f ca="1">GetFuelChange($AI68)</f>
        <v>-22.011299999999999</v>
      </c>
      <c r="V68" s="683">
        <f ca="1">GetVarChrgChange($AI68)</f>
        <v>0</v>
      </c>
      <c r="W68" s="232"/>
      <c r="X68" s="679">
        <f ca="1">GetDelta($AI68)</f>
        <v>0</v>
      </c>
      <c r="Y68" s="681">
        <f ca="1">GetGamma($AI68)</f>
        <v>0</v>
      </c>
      <c r="Z68" s="681">
        <f ca="1">GetTheta($AI68)</f>
        <v>-90.500299999999996</v>
      </c>
      <c r="AA68" s="681">
        <f ca="1">GetVega($AI68)</f>
        <v>141.4838</v>
      </c>
      <c r="AB68" s="681">
        <f ca="1">GetRho($AI68)</f>
        <v>0</v>
      </c>
      <c r="AC68" s="677">
        <f ca="1">GetDrift($AI68)</f>
        <v>62.392299999999999</v>
      </c>
      <c r="AD68" s="232"/>
      <c r="AE68" s="232"/>
      <c r="AF68" s="232"/>
      <c r="AH68" s="303" t="str">
        <f>GetDBPage($C68)</f>
        <v>Contract DB (East)</v>
      </c>
      <c r="AI68" s="236" t="str">
        <f>GetWorkSheet($C68)</f>
        <v>LongTerm104</v>
      </c>
      <c r="AJ68" s="236" t="str">
        <f t="shared" si="2"/>
        <v>LongTerm104!$D$22:$D$26</v>
      </c>
      <c r="AK68" s="236" t="str">
        <f>IF(NOT($AI68="#VALUE#"),CONCATENATE($AI68,"!",GetReceiptStart($AI68),":",GetReceiptEnd($AI68)),"")</f>
        <v>LongTerm104!$S$22:$S$26</v>
      </c>
      <c r="AL68" s="236">
        <f>GetRecNdx($AH68,$C68)</f>
        <v>20</v>
      </c>
    </row>
    <row r="69" spans="3:38" x14ac:dyDescent="0.25">
      <c r="C69" s="686"/>
      <c r="E69" s="688"/>
      <c r="F69" s="690"/>
      <c r="G69" s="244" t="str">
        <f>GetDelBasis($AH68,$AL69)</f>
        <v>IF-TETCO/M3 Basis Mid</v>
      </c>
      <c r="H69" s="680"/>
      <c r="I69" s="682"/>
      <c r="J69" s="682"/>
      <c r="K69" s="682"/>
      <c r="L69" s="678"/>
      <c r="M69" s="349"/>
      <c r="N69" s="680"/>
      <c r="O69" s="678"/>
      <c r="P69" s="349"/>
      <c r="Q69" s="680"/>
      <c r="R69" s="682"/>
      <c r="S69" s="678"/>
      <c r="T69" s="365"/>
      <c r="U69" s="680"/>
      <c r="V69" s="684"/>
      <c r="W69" s="232"/>
      <c r="X69" s="680"/>
      <c r="Y69" s="682"/>
      <c r="Z69" s="682"/>
      <c r="AA69" s="682"/>
      <c r="AB69" s="682"/>
      <c r="AC69" s="678"/>
      <c r="AD69" s="232"/>
      <c r="AE69" s="232"/>
      <c r="AF69" s="232"/>
      <c r="AI69" s="236" t="str">
        <f>GetWorkSheet($C68)</f>
        <v>LongTerm104</v>
      </c>
      <c r="AJ69" s="236" t="str">
        <f t="shared" si="2"/>
        <v>LongTerm104!$D$22:$D$26</v>
      </c>
      <c r="AK69" s="236" t="str">
        <f>IF(NOT($AI69="#VALUE#"),CONCATENATE($AI69,"!",GetDeliveryStart($AI69),":",GetDeliveryEnd($AI69)),"")</f>
        <v>LongTerm104!$T$22:$T$26</v>
      </c>
      <c r="AL69" s="236">
        <f>GetRecNdx($AH68,$C68)</f>
        <v>20</v>
      </c>
    </row>
    <row r="70" spans="3:38" x14ac:dyDescent="0.25">
      <c r="C70" s="685">
        <v>105</v>
      </c>
      <c r="E70" s="687">
        <f>GetPipeName($AH70,$AL70)</f>
        <v>0</v>
      </c>
      <c r="F70" s="689" t="str">
        <f>CONCATENATE(GetRcptPoint($AH70,$AL70)," to ",GetDelPoint($AH70,$AL70))</f>
        <v>Tetco/ELA to Tetco/M3</v>
      </c>
      <c r="G70" s="243" t="str">
        <f>GetRcptBasis($AH70,$AL70)</f>
        <v>IF-TETCO/ELA Basis Mid</v>
      </c>
      <c r="H70" s="679">
        <f ca="1">GetTodayAsset($AI70)</f>
        <v>1147263.7612000001</v>
      </c>
      <c r="I70" s="681">
        <f ca="1">GetTodayDemand($AI70)</f>
        <v>0</v>
      </c>
      <c r="J70" s="681">
        <f ca="1">H70-I70</f>
        <v>1147263.7612000001</v>
      </c>
      <c r="K70" s="681">
        <f>GetYesterdayPL($AI70)</f>
        <v>1147257.8</v>
      </c>
      <c r="L70" s="677">
        <f ca="1">J70-K70</f>
        <v>5.961200000019744</v>
      </c>
      <c r="N70" s="679">
        <f ca="1">GetTodayIntrinsic($AI70)</f>
        <v>1142189.601</v>
      </c>
      <c r="O70" s="677">
        <f ca="1">GetTodayExtrinsic($AI70)</f>
        <v>5074.1602000000003</v>
      </c>
      <c r="Q70" s="679">
        <f ca="1">GetPriceChange($AI70)</f>
        <v>0</v>
      </c>
      <c r="R70" s="681">
        <f ca="1">GetBasisChange($AI70)</f>
        <v>0</v>
      </c>
      <c r="S70" s="677">
        <f ca="1">GetIndexChange($AI70)</f>
        <v>0</v>
      </c>
      <c r="T70" s="365"/>
      <c r="U70" s="679">
        <f ca="1">GetFuelChange($AI70)</f>
        <v>-70.794799999999995</v>
      </c>
      <c r="V70" s="683">
        <f ca="1">GetVarChrgChange($AI70)</f>
        <v>0</v>
      </c>
      <c r="W70" s="232"/>
      <c r="X70" s="679">
        <f ca="1">GetDelta($AI70)</f>
        <v>0</v>
      </c>
      <c r="Y70" s="681">
        <f ca="1">GetGamma($AI70)</f>
        <v>0</v>
      </c>
      <c r="Z70" s="681">
        <f ca="1">GetTheta($AI70)</f>
        <v>-784.93740000000003</v>
      </c>
      <c r="AA70" s="681">
        <f ca="1">GetVega($AI70)</f>
        <v>882.26210000000003</v>
      </c>
      <c r="AB70" s="681">
        <f ca="1">GetRho($AI70)</f>
        <v>0</v>
      </c>
      <c r="AC70" s="677">
        <f ca="1">GetDrift($AI70)</f>
        <v>179.84280000000001</v>
      </c>
      <c r="AD70" s="232"/>
      <c r="AE70" s="232"/>
      <c r="AF70" s="232"/>
      <c r="AH70" s="303" t="str">
        <f>GetDBPage($C70)</f>
        <v>Contract DB (East)</v>
      </c>
      <c r="AI70" s="236" t="str">
        <f>GetWorkSheet($C70)</f>
        <v>LongTerm105</v>
      </c>
      <c r="AJ70" s="236" t="str">
        <f t="shared" si="2"/>
        <v>LongTerm105!$D$22:$D$26</v>
      </c>
      <c r="AK70" s="236" t="str">
        <f>IF(NOT($AI70="#VALUE#"),CONCATENATE($AI70,"!",GetReceiptStart($AI70),":",GetReceiptEnd($AI70)),"")</f>
        <v>LongTerm105!$S$22:$S$26</v>
      </c>
      <c r="AL70" s="236">
        <f>GetRecNdx($AH70,$C70)</f>
        <v>21</v>
      </c>
    </row>
    <row r="71" spans="3:38" x14ac:dyDescent="0.25">
      <c r="C71" s="686"/>
      <c r="E71" s="688"/>
      <c r="F71" s="690"/>
      <c r="G71" s="244" t="str">
        <f>GetDelBasis($AH70,$AL71)</f>
        <v>IF-TETCO/M3 Basis Mid</v>
      </c>
      <c r="H71" s="680"/>
      <c r="I71" s="682"/>
      <c r="J71" s="682"/>
      <c r="K71" s="682"/>
      <c r="L71" s="678"/>
      <c r="M71" s="349"/>
      <c r="N71" s="680"/>
      <c r="O71" s="678"/>
      <c r="P71" s="349"/>
      <c r="Q71" s="680"/>
      <c r="R71" s="682"/>
      <c r="S71" s="678"/>
      <c r="T71" s="365"/>
      <c r="U71" s="680"/>
      <c r="V71" s="684"/>
      <c r="W71" s="232"/>
      <c r="X71" s="680"/>
      <c r="Y71" s="682"/>
      <c r="Z71" s="682"/>
      <c r="AA71" s="682"/>
      <c r="AB71" s="682"/>
      <c r="AC71" s="678"/>
      <c r="AD71" s="232"/>
      <c r="AE71" s="232"/>
      <c r="AF71" s="232"/>
      <c r="AI71" s="236" t="str">
        <f>GetWorkSheet($C70)</f>
        <v>LongTerm105</v>
      </c>
      <c r="AJ71" s="236" t="str">
        <f t="shared" si="2"/>
        <v>LongTerm105!$D$22:$D$26</v>
      </c>
      <c r="AK71" s="236" t="str">
        <f>IF(NOT($AI71="#VALUE#"),CONCATENATE($AI71,"!",GetDeliveryStart($AI71),":",GetDeliveryEnd($AI71)),"")</f>
        <v>LongTerm105!$T$22:$T$26</v>
      </c>
      <c r="AL71" s="236">
        <f>GetRecNdx($AH70,$C70)</f>
        <v>21</v>
      </c>
    </row>
    <row r="72" spans="3:38" x14ac:dyDescent="0.25">
      <c r="C72" s="685">
        <v>106</v>
      </c>
      <c r="E72" s="687">
        <f>GetPipeName($AH72,$AL72)</f>
        <v>0</v>
      </c>
      <c r="F72" s="689" t="str">
        <f>CONCATENATE(GetRcptPoint($AH72,$AL72)," to ",GetDelPoint($AH72,$AL72))</f>
        <v>Tetco/WLA to Tetco/M3</v>
      </c>
      <c r="G72" s="243" t="str">
        <f>GetRcptBasis($AH72,$AL72)</f>
        <v>IF-TETCO/WLA Basis Mid</v>
      </c>
      <c r="H72" s="679">
        <f ca="1">GetTodayAsset($AI72)</f>
        <v>705017.71160000004</v>
      </c>
      <c r="I72" s="681">
        <f ca="1">GetTodayDemand($AI72)</f>
        <v>0</v>
      </c>
      <c r="J72" s="681">
        <f ca="1">H72-I72</f>
        <v>705017.71160000004</v>
      </c>
      <c r="K72" s="681">
        <f>GetYesterdayPL($AI72)</f>
        <v>705007.55</v>
      </c>
      <c r="L72" s="677">
        <f ca="1">J72-K72</f>
        <v>10.161599999992177</v>
      </c>
      <c r="N72" s="679">
        <f ca="1">GetTodayIntrinsic($AI72)</f>
        <v>702161.66810000001</v>
      </c>
      <c r="O72" s="677">
        <f ca="1">GetTodayExtrinsic($AI72)</f>
        <v>2856.0435000000002</v>
      </c>
      <c r="Q72" s="679">
        <f ca="1">GetPriceChange($AI72)</f>
        <v>0</v>
      </c>
      <c r="R72" s="681">
        <f ca="1">GetBasisChange($AI72)</f>
        <v>0</v>
      </c>
      <c r="S72" s="677">
        <f ca="1">GetIndexChange($AI72)</f>
        <v>0</v>
      </c>
      <c r="T72" s="365"/>
      <c r="U72" s="679">
        <f ca="1">GetFuelChange($AI72)</f>
        <v>-44.117100000000001</v>
      </c>
      <c r="V72" s="683">
        <f ca="1">GetVarChrgChange($AI72)</f>
        <v>-3.0000000000000001E-3</v>
      </c>
      <c r="W72" s="232"/>
      <c r="X72" s="679">
        <f ca="1">GetDelta($AI72)</f>
        <v>0</v>
      </c>
      <c r="Y72" s="681">
        <f ca="1">GetGamma($AI72)</f>
        <v>0</v>
      </c>
      <c r="Z72" s="681">
        <f ca="1">GetTheta($AI72)</f>
        <v>-444.79520000000002</v>
      </c>
      <c r="AA72" s="681">
        <f ca="1">GetVega($AI72)</f>
        <v>507.92529999999999</v>
      </c>
      <c r="AB72" s="681">
        <f ca="1">GetRho($AI72)</f>
        <v>0</v>
      </c>
      <c r="AC72" s="677">
        <f ca="1">GetDrift($AI72)</f>
        <v>110.5185</v>
      </c>
      <c r="AD72" s="232"/>
      <c r="AE72" s="232"/>
      <c r="AF72" s="232"/>
      <c r="AH72" s="303" t="str">
        <f>GetDBPage($C72)</f>
        <v>Contract DB (East)</v>
      </c>
      <c r="AI72" s="236" t="str">
        <f>GetWorkSheet($C72)</f>
        <v>LongTerm106</v>
      </c>
      <c r="AJ72" s="236" t="str">
        <f t="shared" si="2"/>
        <v>LongTerm106!$D$22:$D$26</v>
      </c>
      <c r="AK72" s="236" t="str">
        <f>IF(NOT($AI72="#VALUE#"),CONCATENATE($AI72,"!",GetReceiptStart($AI72),":",GetReceiptEnd($AI72)),"")</f>
        <v>LongTerm106!$S$22:$S$26</v>
      </c>
      <c r="AL72" s="236">
        <f>GetRecNdx($AH72,$C72)</f>
        <v>22</v>
      </c>
    </row>
    <row r="73" spans="3:38" x14ac:dyDescent="0.25">
      <c r="C73" s="686"/>
      <c r="E73" s="688"/>
      <c r="F73" s="690"/>
      <c r="G73" s="244" t="str">
        <f>GetDelBasis($AH72,$AL73)</f>
        <v>IF-TETCO/M3 Basis Mid</v>
      </c>
      <c r="H73" s="680"/>
      <c r="I73" s="682"/>
      <c r="J73" s="682"/>
      <c r="K73" s="682"/>
      <c r="L73" s="678"/>
      <c r="M73" s="349"/>
      <c r="N73" s="680"/>
      <c r="O73" s="678"/>
      <c r="P73" s="349"/>
      <c r="Q73" s="680"/>
      <c r="R73" s="682"/>
      <c r="S73" s="678"/>
      <c r="T73" s="365"/>
      <c r="U73" s="680"/>
      <c r="V73" s="684"/>
      <c r="W73" s="232"/>
      <c r="X73" s="680"/>
      <c r="Y73" s="682"/>
      <c r="Z73" s="682"/>
      <c r="AA73" s="682"/>
      <c r="AB73" s="682"/>
      <c r="AC73" s="678"/>
      <c r="AD73" s="232"/>
      <c r="AE73" s="232"/>
      <c r="AF73" s="232"/>
      <c r="AI73" s="236" t="str">
        <f>GetWorkSheet($C72)</f>
        <v>LongTerm106</v>
      </c>
      <c r="AJ73" s="236" t="str">
        <f t="shared" si="2"/>
        <v>LongTerm106!$D$22:$D$26</v>
      </c>
      <c r="AK73" s="236" t="str">
        <f>IF(NOT($AI73="#VALUE#"),CONCATENATE($AI73,"!",GetDeliveryStart($AI73),":",GetDeliveryEnd($AI73)),"")</f>
        <v>LongTerm106!$T$22:$T$26</v>
      </c>
      <c r="AL73" s="236">
        <f>GetRecNdx($AH72,$C72)</f>
        <v>22</v>
      </c>
    </row>
    <row r="74" spans="3:38" x14ac:dyDescent="0.25">
      <c r="G74" s="254" t="s">
        <v>206</v>
      </c>
      <c r="H74" s="256">
        <f ca="1">SUM(INDIRECT(CONCATENATE(ADDRESS($AI74,COLUMN()),":",ADDRESS($AJ74,COLUMN()))))</f>
        <v>24015582.734399997</v>
      </c>
      <c r="I74" s="256">
        <f ca="1">SUM(INDIRECT(CONCATENATE(ADDRESS($AI74,COLUMN()),":",ADDRESS($AJ74,COLUMN()))))</f>
        <v>21906801.614600003</v>
      </c>
      <c r="J74" s="256">
        <f ca="1">SUM(INDIRECT(CONCATENATE(ADDRESS($AI74,COLUMN()),":",ADDRESS($AJ74,COLUMN()))))</f>
        <v>2108781.1198000014</v>
      </c>
      <c r="K74" s="256">
        <f ca="1">SUM(INDIRECT(CONCATENATE(ADDRESS($AI74,COLUMN()),":",ADDRESS($AJ74,COLUMN()))))</f>
        <v>2119833.46</v>
      </c>
      <c r="L74" s="257">
        <f ca="1">SUM(INDIRECT(CONCATENATE(ADDRESS($AI74,COLUMN()),":",ADDRESS($AJ74,COLUMN()))))</f>
        <v>-11052.340199997598</v>
      </c>
      <c r="M74" s="350"/>
      <c r="N74" s="306">
        <f ca="1">SUM(INDIRECT(CONCATENATE(ADDRESS($AI74,COLUMN()),":",ADDRESS($AJ74,COLUMN()))))</f>
        <v>21884280.852900006</v>
      </c>
      <c r="O74" s="351">
        <f ca="1">SUM(INDIRECT(CONCATENATE(ADDRESS($AI74,COLUMN()),":",ADDRESS($AJ74,COLUMN()))))</f>
        <v>2131306.1440000003</v>
      </c>
      <c r="P74" s="350"/>
      <c r="Q74" s="306">
        <f ca="1">SUM(INDIRECT(CONCATENATE(ADDRESS($AI74,COLUMN()),":",ADDRESS($AJ74,COLUMN()))))</f>
        <v>0</v>
      </c>
      <c r="R74" s="256">
        <f ca="1">SUM(INDIRECT(CONCATENATE(ADDRESS($AI74,COLUMN()),":",ADDRESS($AJ74,COLUMN()))))</f>
        <v>0</v>
      </c>
      <c r="S74" s="351">
        <f ca="1">SUM(INDIRECT(CONCATENATE(ADDRESS($AI74,COLUMN()),":",ADDRESS($AJ74,COLUMN()))))</f>
        <v>0</v>
      </c>
      <c r="T74" s="350"/>
      <c r="U74" s="306">
        <f ca="1">SUM(INDIRECT(CONCATENATE(ADDRESS($AI74,COLUMN()),":",ADDRESS($AJ74,COLUMN()))))</f>
        <v>-3611.2775000000011</v>
      </c>
      <c r="V74" s="351">
        <f ca="1">SUM(INDIRECT(CONCATENATE(ADDRESS($AI74,COLUMN()),":",ADDRESS($AJ74,COLUMN()))))</f>
        <v>-9.1999999999999998E-3</v>
      </c>
      <c r="W74" s="232"/>
      <c r="X74" s="306">
        <f t="shared" ref="X74:AC74" ca="1" si="3">SUM(INDIRECT(CONCATENATE(ADDRESS($AI74,COLUMN()),":",ADDRESS($AJ74,COLUMN()))))</f>
        <v>0</v>
      </c>
      <c r="Y74" s="256">
        <f t="shared" ca="1" si="3"/>
        <v>0</v>
      </c>
      <c r="Z74" s="256">
        <f t="shared" ca="1" si="3"/>
        <v>-20046.605300000003</v>
      </c>
      <c r="AA74" s="256">
        <f t="shared" ca="1" si="3"/>
        <v>9428.2792000000009</v>
      </c>
      <c r="AB74" s="256">
        <f t="shared" ca="1" si="3"/>
        <v>0</v>
      </c>
      <c r="AC74" s="257">
        <f t="shared" ca="1" si="3"/>
        <v>8210.9045000000006</v>
      </c>
      <c r="AD74" s="232"/>
      <c r="AE74" s="233"/>
      <c r="AI74" s="34">
        <f>GetStartRow($AI73)</f>
        <v>30</v>
      </c>
      <c r="AJ74" s="34">
        <f>ROW($AI73)</f>
        <v>73</v>
      </c>
    </row>
    <row r="77" spans="3:38" ht="17.399999999999999" x14ac:dyDescent="0.3">
      <c r="E77" s="253" t="s">
        <v>729</v>
      </c>
      <c r="U77" s="232"/>
      <c r="V77" s="232"/>
      <c r="W77" s="232"/>
      <c r="X77" s="232"/>
      <c r="Y77" s="232"/>
      <c r="Z77" s="232"/>
      <c r="AA77" s="232"/>
      <c r="AB77" s="232"/>
      <c r="AC77" s="232"/>
      <c r="AD77" s="232"/>
      <c r="AE77" s="233"/>
    </row>
    <row r="78" spans="3:38" s="235" customFormat="1" ht="12.75" customHeight="1" x14ac:dyDescent="0.25">
      <c r="C78" s="699" t="s">
        <v>164</v>
      </c>
      <c r="D78" s="29"/>
      <c r="E78" s="217"/>
      <c r="F78" s="218"/>
      <c r="G78" s="241" t="s">
        <v>181</v>
      </c>
      <c r="H78" s="693" t="s">
        <v>201</v>
      </c>
      <c r="I78" s="695" t="s">
        <v>202</v>
      </c>
      <c r="J78" s="695" t="s">
        <v>203</v>
      </c>
      <c r="K78" s="695" t="s">
        <v>204</v>
      </c>
      <c r="L78" s="697" t="s">
        <v>205</v>
      </c>
      <c r="M78" s="232"/>
      <c r="N78" s="693" t="s">
        <v>621</v>
      </c>
      <c r="O78" s="691" t="s">
        <v>622</v>
      </c>
      <c r="P78" s="232"/>
      <c r="Q78" s="693" t="s">
        <v>581</v>
      </c>
      <c r="R78" s="695" t="s">
        <v>582</v>
      </c>
      <c r="S78" s="691" t="s">
        <v>583</v>
      </c>
      <c r="T78" s="232"/>
      <c r="U78" s="693" t="s">
        <v>584</v>
      </c>
      <c r="V78" s="691" t="s">
        <v>585</v>
      </c>
      <c r="W78" s="232"/>
      <c r="X78" s="693" t="s">
        <v>271</v>
      </c>
      <c r="Y78" s="695" t="s">
        <v>155</v>
      </c>
      <c r="Z78" s="695" t="s">
        <v>156</v>
      </c>
      <c r="AA78" s="695" t="s">
        <v>157</v>
      </c>
      <c r="AB78" s="695" t="s">
        <v>158</v>
      </c>
      <c r="AC78" s="697" t="s">
        <v>211</v>
      </c>
      <c r="AD78" s="232"/>
      <c r="AE78" s="232"/>
      <c r="AF78" s="232"/>
    </row>
    <row r="79" spans="3:38" s="235" customFormat="1" ht="12.75" customHeight="1" x14ac:dyDescent="0.25">
      <c r="C79" s="700"/>
      <c r="D79" s="29"/>
      <c r="E79" s="220" t="s">
        <v>0</v>
      </c>
      <c r="F79" s="219" t="s">
        <v>173</v>
      </c>
      <c r="G79" s="242" t="s">
        <v>182</v>
      </c>
      <c r="H79" s="694"/>
      <c r="I79" s="696" t="s">
        <v>202</v>
      </c>
      <c r="J79" s="696"/>
      <c r="K79" s="696"/>
      <c r="L79" s="698"/>
      <c r="M79" s="232"/>
      <c r="N79" s="694"/>
      <c r="O79" s="692"/>
      <c r="P79" s="232"/>
      <c r="Q79" s="694"/>
      <c r="R79" s="696"/>
      <c r="S79" s="692"/>
      <c r="T79" s="232"/>
      <c r="U79" s="694"/>
      <c r="V79" s="692"/>
      <c r="W79" s="232"/>
      <c r="X79" s="694"/>
      <c r="Y79" s="696"/>
      <c r="Z79" s="696"/>
      <c r="AA79" s="696"/>
      <c r="AB79" s="696"/>
      <c r="AC79" s="698"/>
      <c r="AD79" s="232"/>
      <c r="AE79" s="232"/>
      <c r="AF79" s="232"/>
    </row>
    <row r="80" spans="3:38" x14ac:dyDescent="0.25">
      <c r="C80" s="685">
        <v>62</v>
      </c>
      <c r="E80" s="687">
        <f>GetPipeName($AH80,$AL80)</f>
        <v>0</v>
      </c>
      <c r="F80" s="689" t="str">
        <f>CONCATENATE(GetRcptPoint($AH80,$AL80)," to ",GetDelPoint($AH80,$AL80))</f>
        <v>Parkway to Niagara</v>
      </c>
      <c r="G80" s="243" t="str">
        <f>GetRcptBasis($AH80,$AL80)</f>
        <v>CGPR-PARKWAY Basis Mid</v>
      </c>
      <c r="H80" s="679">
        <f ca="1">GetTodayAsset($AI80)</f>
        <v>366726.84210000001</v>
      </c>
      <c r="I80" s="681">
        <f ca="1">GetTodayDemand($AI80)</f>
        <v>0</v>
      </c>
      <c r="J80" s="681">
        <f ca="1">H80-I80</f>
        <v>366726.84210000001</v>
      </c>
      <c r="K80" s="681">
        <f>GetYesterdayPL($AI80)</f>
        <v>367415.41</v>
      </c>
      <c r="L80" s="677">
        <f ca="1">J80-K80</f>
        <v>-688.56789999996545</v>
      </c>
      <c r="N80" s="679">
        <f ca="1">GetTodayIntrinsic($AI80)</f>
        <v>38825.119899999998</v>
      </c>
      <c r="O80" s="677">
        <f ca="1">GetTodayExtrinsic($AI80)</f>
        <v>327901.72210000001</v>
      </c>
      <c r="Q80" s="679">
        <f ca="1">GetPriceChange($AI80)</f>
        <v>0</v>
      </c>
      <c r="R80" s="681">
        <f ca="1">GetBasisChange($AI80)</f>
        <v>0</v>
      </c>
      <c r="S80" s="677">
        <f ca="1">GetIndexChange($AI80)</f>
        <v>0</v>
      </c>
      <c r="T80" s="365"/>
      <c r="U80" s="679">
        <f ca="1">GetFuelChange($AI80)</f>
        <v>0</v>
      </c>
      <c r="V80" s="683">
        <f ca="1">GetVarChrgChange($AI80)</f>
        <v>0</v>
      </c>
      <c r="W80" s="232"/>
      <c r="X80" s="679">
        <f ca="1">GetDelta($AI80)</f>
        <v>0</v>
      </c>
      <c r="Y80" s="681">
        <f ca="1">GetGamma($AI80)</f>
        <v>0</v>
      </c>
      <c r="Z80" s="681">
        <f ca="1">GetTheta($AI80)</f>
        <v>-1648.2244000000001</v>
      </c>
      <c r="AA80" s="681">
        <f ca="1">GetVega($AI80)</f>
        <v>289.67559999999997</v>
      </c>
      <c r="AB80" s="681">
        <f ca="1">GetRho($AI80)</f>
        <v>0</v>
      </c>
      <c r="AC80" s="677">
        <f ca="1">GetDrift($AI80)</f>
        <v>119.6795</v>
      </c>
      <c r="AD80" s="232"/>
      <c r="AE80" s="232"/>
      <c r="AF80" s="232"/>
      <c r="AH80" s="303" t="str">
        <f>GetDBPage($C80)</f>
        <v>Contract DB (Ontario)</v>
      </c>
      <c r="AI80" s="236" t="str">
        <f>GetWorkSheet($C80)</f>
        <v>LongTerm62</v>
      </c>
      <c r="AJ80" s="236" t="str">
        <f>IF(NOT($AI80="#VALUE#"),CONCATENATE($AI80,"!",GetDateStart($AI80),":",GetDateEnd($AI80)),"")</f>
        <v>LongTerm62!$D$22:$D$99</v>
      </c>
      <c r="AK80" s="236" t="str">
        <f>IF(NOT($AI80="#VALUE#"),CONCATENATE($AI80,"!",GetReceiptStart($AI80),":",GetReceiptEnd($AI80)),"")</f>
        <v>LongTerm62!$S$22:$S$99</v>
      </c>
      <c r="AL80" s="236">
        <f>GetRecNdx($AH80,$C80)</f>
        <v>1</v>
      </c>
    </row>
    <row r="81" spans="3:38" x14ac:dyDescent="0.25">
      <c r="C81" s="686"/>
      <c r="E81" s="688"/>
      <c r="F81" s="690"/>
      <c r="G81" s="244" t="str">
        <f>GetDelBasis($AH80,$AL81)</f>
        <v>CGPR-NIAGARA Basis Mid</v>
      </c>
      <c r="H81" s="680"/>
      <c r="I81" s="682"/>
      <c r="J81" s="682"/>
      <c r="K81" s="682"/>
      <c r="L81" s="678"/>
      <c r="M81" s="349"/>
      <c r="N81" s="680"/>
      <c r="O81" s="678"/>
      <c r="P81" s="349"/>
      <c r="Q81" s="680"/>
      <c r="R81" s="682"/>
      <c r="S81" s="678"/>
      <c r="T81" s="365"/>
      <c r="U81" s="680"/>
      <c r="V81" s="684"/>
      <c r="W81" s="232"/>
      <c r="X81" s="680"/>
      <c r="Y81" s="682"/>
      <c r="Z81" s="682"/>
      <c r="AA81" s="682"/>
      <c r="AB81" s="682"/>
      <c r="AC81" s="678"/>
      <c r="AD81" s="232"/>
      <c r="AE81" s="232"/>
      <c r="AF81" s="232"/>
      <c r="AI81" s="236" t="str">
        <f>GetWorkSheet($C80)</f>
        <v>LongTerm62</v>
      </c>
      <c r="AJ81" s="236" t="str">
        <f>IF(NOT($AI81="#VALUE#"),CONCATENATE($AI81,"!",GetDateStart($AI81),":",GetDateEnd($AI81)),"")</f>
        <v>LongTerm62!$D$22:$D$99</v>
      </c>
      <c r="AK81" s="236" t="str">
        <f>IF(NOT($AI81="#VALUE#"),CONCATENATE($AI81,"!",GetDeliveryStart($AI81),":",GetDeliveryEnd($AI81)),"")</f>
        <v>LongTerm62!$T$22:$T$99</v>
      </c>
      <c r="AL81" s="236">
        <f>GetRecNdx($AH80,$C80)</f>
        <v>1</v>
      </c>
    </row>
    <row r="82" spans="3:38" x14ac:dyDescent="0.25">
      <c r="G82" s="254" t="s">
        <v>206</v>
      </c>
      <c r="H82" s="256">
        <f ca="1">SUM(INDIRECT(CONCATENATE(ADDRESS($AI82,COLUMN()),":",ADDRESS($AJ82,COLUMN()))))</f>
        <v>366726.84210000001</v>
      </c>
      <c r="I82" s="256">
        <f ca="1">SUM(INDIRECT(CONCATENATE(ADDRESS($AI82,COLUMN()),":",ADDRESS($AJ82,COLUMN()))))</f>
        <v>0</v>
      </c>
      <c r="J82" s="256">
        <f ca="1">SUM(INDIRECT(CONCATENATE(ADDRESS($AI82,COLUMN()),":",ADDRESS($AJ82,COLUMN()))))</f>
        <v>366726.84210000001</v>
      </c>
      <c r="K82" s="256">
        <f ca="1">SUM(INDIRECT(CONCATENATE(ADDRESS($AI82,COLUMN()),":",ADDRESS($AJ82,COLUMN()))))</f>
        <v>367415.41</v>
      </c>
      <c r="L82" s="257">
        <f ca="1">SUM(INDIRECT(CONCATENATE(ADDRESS($AI82,COLUMN()),":",ADDRESS($AJ82,COLUMN()))))</f>
        <v>-688.56789999996545</v>
      </c>
      <c r="M82" s="350"/>
      <c r="N82" s="306">
        <f ca="1">SUM(INDIRECT(CONCATENATE(ADDRESS($AI82,COLUMN()),":",ADDRESS($AJ82,COLUMN()))))</f>
        <v>38825.119899999998</v>
      </c>
      <c r="O82" s="351">
        <f ca="1">SUM(INDIRECT(CONCATENATE(ADDRESS($AI82,COLUMN()),":",ADDRESS($AJ82,COLUMN()))))</f>
        <v>327901.72210000001</v>
      </c>
      <c r="P82" s="350"/>
      <c r="Q82" s="306">
        <f ca="1">SUM(INDIRECT(CONCATENATE(ADDRESS($AI82,COLUMN()),":",ADDRESS($AJ82,COLUMN()))))</f>
        <v>0</v>
      </c>
      <c r="R82" s="256">
        <f ca="1">SUM(INDIRECT(CONCATENATE(ADDRESS($AI82,COLUMN()),":",ADDRESS($AJ82,COLUMN()))))</f>
        <v>0</v>
      </c>
      <c r="S82" s="351">
        <f ca="1">SUM(INDIRECT(CONCATENATE(ADDRESS($AI82,COLUMN()),":",ADDRESS($AJ82,COLUMN()))))</f>
        <v>0</v>
      </c>
      <c r="T82" s="350"/>
      <c r="U82" s="306">
        <f ca="1">SUM(INDIRECT(CONCATENATE(ADDRESS($AI82,COLUMN()),":",ADDRESS($AJ82,COLUMN()))))</f>
        <v>0</v>
      </c>
      <c r="V82" s="351">
        <f ca="1">SUM(INDIRECT(CONCATENATE(ADDRESS($AI82,COLUMN()),":",ADDRESS($AJ82,COLUMN()))))</f>
        <v>0</v>
      </c>
      <c r="W82" s="232"/>
      <c r="X82" s="306">
        <f t="shared" ref="X82:AC82" ca="1" si="4">SUM(INDIRECT(CONCATENATE(ADDRESS($AI82,COLUMN()),":",ADDRESS($AJ82,COLUMN()))))</f>
        <v>0</v>
      </c>
      <c r="Y82" s="256">
        <f t="shared" ca="1" si="4"/>
        <v>0</v>
      </c>
      <c r="Z82" s="256">
        <f t="shared" ca="1" si="4"/>
        <v>-1648.2244000000001</v>
      </c>
      <c r="AA82" s="256">
        <f t="shared" ca="1" si="4"/>
        <v>289.67559999999997</v>
      </c>
      <c r="AB82" s="256">
        <f t="shared" ca="1" si="4"/>
        <v>0</v>
      </c>
      <c r="AC82" s="257">
        <f t="shared" ca="1" si="4"/>
        <v>119.6795</v>
      </c>
      <c r="AD82" s="232"/>
      <c r="AE82" s="233"/>
      <c r="AI82" s="34">
        <f>GetStartRow($AI81)</f>
        <v>80</v>
      </c>
      <c r="AJ82" s="34">
        <f>ROW($AI81)</f>
        <v>81</v>
      </c>
    </row>
    <row r="85" spans="3:38" ht="17.399999999999999" x14ac:dyDescent="0.3">
      <c r="E85" s="253" t="s">
        <v>605</v>
      </c>
      <c r="U85" s="232"/>
      <c r="V85" s="232"/>
      <c r="W85" s="232"/>
      <c r="X85" s="232"/>
      <c r="Y85" s="232"/>
      <c r="Z85" s="232"/>
      <c r="AA85" s="232"/>
      <c r="AB85" s="232"/>
      <c r="AC85" s="232"/>
      <c r="AD85" s="232"/>
      <c r="AE85" s="233"/>
    </row>
    <row r="86" spans="3:38" s="235" customFormat="1" ht="12.75" customHeight="1" x14ac:dyDescent="0.25">
      <c r="C86" s="699" t="s">
        <v>164</v>
      </c>
      <c r="D86" s="29"/>
      <c r="E86" s="217"/>
      <c r="F86" s="218"/>
      <c r="G86" s="241" t="s">
        <v>181</v>
      </c>
      <c r="H86" s="693" t="s">
        <v>201</v>
      </c>
      <c r="I86" s="695" t="s">
        <v>202</v>
      </c>
      <c r="J86" s="695" t="s">
        <v>203</v>
      </c>
      <c r="K86" s="695" t="s">
        <v>204</v>
      </c>
      <c r="L86" s="697" t="s">
        <v>205</v>
      </c>
      <c r="M86" s="232"/>
      <c r="N86" s="693" t="s">
        <v>621</v>
      </c>
      <c r="O86" s="691" t="s">
        <v>622</v>
      </c>
      <c r="P86" s="232"/>
      <c r="Q86" s="693" t="s">
        <v>581</v>
      </c>
      <c r="R86" s="695" t="s">
        <v>582</v>
      </c>
      <c r="S86" s="691" t="s">
        <v>583</v>
      </c>
      <c r="T86" s="232"/>
      <c r="U86" s="693" t="s">
        <v>584</v>
      </c>
      <c r="V86" s="691" t="s">
        <v>585</v>
      </c>
      <c r="W86" s="232"/>
      <c r="X86" s="693" t="s">
        <v>271</v>
      </c>
      <c r="Y86" s="695" t="s">
        <v>155</v>
      </c>
      <c r="Z86" s="695" t="s">
        <v>156</v>
      </c>
      <c r="AA86" s="695" t="s">
        <v>157</v>
      </c>
      <c r="AB86" s="695" t="s">
        <v>158</v>
      </c>
      <c r="AC86" s="697" t="s">
        <v>211</v>
      </c>
      <c r="AD86" s="232"/>
      <c r="AE86" s="232"/>
      <c r="AF86" s="232"/>
    </row>
    <row r="87" spans="3:38" s="235" customFormat="1" ht="12.75" customHeight="1" x14ac:dyDescent="0.25">
      <c r="C87" s="700"/>
      <c r="D87" s="29"/>
      <c r="E87" s="220" t="s">
        <v>0</v>
      </c>
      <c r="F87" s="219" t="s">
        <v>173</v>
      </c>
      <c r="G87" s="242" t="s">
        <v>182</v>
      </c>
      <c r="H87" s="694"/>
      <c r="I87" s="696" t="s">
        <v>202</v>
      </c>
      <c r="J87" s="696"/>
      <c r="K87" s="696"/>
      <c r="L87" s="698"/>
      <c r="M87" s="232"/>
      <c r="N87" s="694"/>
      <c r="O87" s="692"/>
      <c r="P87" s="232"/>
      <c r="Q87" s="694"/>
      <c r="R87" s="696"/>
      <c r="S87" s="692"/>
      <c r="T87" s="232"/>
      <c r="U87" s="694"/>
      <c r="V87" s="692"/>
      <c r="W87" s="232"/>
      <c r="X87" s="694"/>
      <c r="Y87" s="696"/>
      <c r="Z87" s="696"/>
      <c r="AA87" s="696"/>
      <c r="AB87" s="696"/>
      <c r="AC87" s="698"/>
      <c r="AD87" s="232"/>
      <c r="AE87" s="232"/>
      <c r="AF87" s="232"/>
    </row>
    <row r="88" spans="3:38" x14ac:dyDescent="0.25">
      <c r="C88" s="685">
        <v>83</v>
      </c>
      <c r="E88" s="687" t="str">
        <f>GetPipeName($AH88,$AL88)</f>
        <v>PGE</v>
      </c>
      <c r="F88" s="689" t="str">
        <f>CONCATENATE(GetRcptPoint($AH88,$AL88)," to ",GetDelPoint($AH88,$AL88))</f>
        <v>PGE/Topock to PGE City Gate</v>
      </c>
      <c r="G88" s="243" t="str">
        <f>GetRcptBasis($AH88,$AL88)</f>
        <v>NGI-SOBDR-PG&amp;E Basis Mid</v>
      </c>
      <c r="H88" s="679">
        <f ca="1">GetTodayAsset($AI88)</f>
        <v>8121484.2441999996</v>
      </c>
      <c r="I88" s="681">
        <f ca="1">GetTodayDemand($AI88)</f>
        <v>9584211.7564000003</v>
      </c>
      <c r="J88" s="681">
        <f ca="1">H88-I88</f>
        <v>-1462727.5122000007</v>
      </c>
      <c r="K88" s="681">
        <f>GetYesterdayPL($AI88)</f>
        <v>-1462180.59</v>
      </c>
      <c r="L88" s="677">
        <f ca="1">J88-K88</f>
        <v>-546.92220000061207</v>
      </c>
      <c r="N88" s="679">
        <f ca="1">GetTodayIntrinsic($AI88)</f>
        <v>8113130.5011999998</v>
      </c>
      <c r="O88" s="677">
        <f ca="1">GetTodayExtrinsic($AI88)</f>
        <v>8353.7430000000004</v>
      </c>
      <c r="Q88" s="679">
        <f ca="1">GetPriceChange($AI88)</f>
        <v>0</v>
      </c>
      <c r="R88" s="681">
        <f ca="1">GetBasisChange($AI88)</f>
        <v>0</v>
      </c>
      <c r="S88" s="677">
        <f ca="1">GetIndexChange($AI88)</f>
        <v>0</v>
      </c>
      <c r="T88" s="365"/>
      <c r="U88" s="679">
        <f ca="1">GetFuelChange($AI88)</f>
        <v>-462.16079999999999</v>
      </c>
      <c r="V88" s="683">
        <f ca="1">GetVarChrgChange($AI88)</f>
        <v>0</v>
      </c>
      <c r="W88" s="232"/>
      <c r="X88" s="679">
        <f ca="1">GetDelta($AI88)</f>
        <v>0</v>
      </c>
      <c r="Y88" s="681">
        <f ca="1">GetGamma($AI88)</f>
        <v>0</v>
      </c>
      <c r="Z88" s="681">
        <f ca="1">GetTheta($AI88)</f>
        <v>1095.2905000000001</v>
      </c>
      <c r="AA88" s="681">
        <f ca="1">GetVega($AI88)</f>
        <v>36.972700000000003</v>
      </c>
      <c r="AB88" s="681">
        <f ca="1">GetRho($AI88)</f>
        <v>0</v>
      </c>
      <c r="AC88" s="677">
        <f ca="1">GetDrift($AI88)</f>
        <v>1421.2268999999999</v>
      </c>
      <c r="AD88" s="232"/>
      <c r="AE88" s="232"/>
      <c r="AF88" s="232"/>
      <c r="AH88" s="303" t="str">
        <f>GetDBPage($C88)</f>
        <v>Contract DB (West)</v>
      </c>
      <c r="AI88" s="236" t="str">
        <f>GetWorkSheet($C88)</f>
        <v>LongTerm83</v>
      </c>
      <c r="AJ88" s="236" t="str">
        <f>IF(NOT($AI88="#VALUE#"),CONCATENATE($AI88,"!",GetDateStart($AI88),":",GetDateEnd($AI88)),"")</f>
        <v>LongTerm83!$D$22:$D$31</v>
      </c>
      <c r="AK88" s="236" t="str">
        <f>IF(NOT($AI88="#VALUE#"),CONCATENATE($AI88,"!",GetReceiptStart($AI88),":",GetReceiptEnd($AI88)),"")</f>
        <v>LongTerm83!$S$22:$S$31</v>
      </c>
      <c r="AL88" s="236">
        <f>GetRecNdx($AH88,$C88)</f>
        <v>6</v>
      </c>
    </row>
    <row r="89" spans="3:38" x14ac:dyDescent="0.25">
      <c r="C89" s="686"/>
      <c r="E89" s="688"/>
      <c r="F89" s="690"/>
      <c r="G89" s="244" t="str">
        <f>GetDelBasis($AH88,$AL89)</f>
        <v>NGI-PGE/CG Basis Mid</v>
      </c>
      <c r="H89" s="680"/>
      <c r="I89" s="682"/>
      <c r="J89" s="682"/>
      <c r="K89" s="682"/>
      <c r="L89" s="678"/>
      <c r="M89" s="349"/>
      <c r="N89" s="680"/>
      <c r="O89" s="678"/>
      <c r="P89" s="349"/>
      <c r="Q89" s="680"/>
      <c r="R89" s="682"/>
      <c r="S89" s="678"/>
      <c r="T89" s="365"/>
      <c r="U89" s="680"/>
      <c r="V89" s="684"/>
      <c r="W89" s="232"/>
      <c r="X89" s="680"/>
      <c r="Y89" s="682"/>
      <c r="Z89" s="682"/>
      <c r="AA89" s="682"/>
      <c r="AB89" s="682"/>
      <c r="AC89" s="678"/>
      <c r="AD89" s="232"/>
      <c r="AE89" s="232"/>
      <c r="AF89" s="232"/>
      <c r="AI89" s="236" t="str">
        <f>GetWorkSheet($C88)</f>
        <v>LongTerm83</v>
      </c>
      <c r="AJ89" s="236" t="str">
        <f>IF(NOT($AI89="#VALUE#"),CONCATENATE($AI89,"!",GetDateStart($AI89),":",GetDateEnd($AI89)),"")</f>
        <v>LongTerm83!$D$22:$D$31</v>
      </c>
      <c r="AK89" s="236" t="str">
        <f>IF(NOT($AI89="#VALUE#"),CONCATENATE($AI89,"!",GetDeliveryStart($AI89),":",GetDeliveryEnd($AI89)),"")</f>
        <v>LongTerm83!$T$22:$T$31</v>
      </c>
      <c r="AL89" s="236">
        <f>GetRecNdx($AH88,$C88)</f>
        <v>6</v>
      </c>
    </row>
    <row r="90" spans="3:38" x14ac:dyDescent="0.25">
      <c r="G90" s="254" t="s">
        <v>206</v>
      </c>
      <c r="H90" s="256">
        <f ca="1">SUM(INDIRECT(CONCATENATE(ADDRESS($AI90,COLUMN()),":",ADDRESS($AJ90,COLUMN()))))</f>
        <v>8121484.2441999996</v>
      </c>
      <c r="I90" s="256">
        <f ca="1">SUM(INDIRECT(CONCATENATE(ADDRESS($AI90,COLUMN()),":",ADDRESS($AJ90,COLUMN()))))</f>
        <v>9584211.7564000003</v>
      </c>
      <c r="J90" s="256">
        <f ca="1">SUM(INDIRECT(CONCATENATE(ADDRESS($AI90,COLUMN()),":",ADDRESS($AJ90,COLUMN()))))</f>
        <v>-1462727.5122000007</v>
      </c>
      <c r="K90" s="256">
        <f ca="1">SUM(INDIRECT(CONCATENATE(ADDRESS($AI90,COLUMN()),":",ADDRESS($AJ90,COLUMN()))))</f>
        <v>-1462180.59</v>
      </c>
      <c r="L90" s="257">
        <f ca="1">SUM(INDIRECT(CONCATENATE(ADDRESS($AI90,COLUMN()),":",ADDRESS($AJ90,COLUMN()))))</f>
        <v>-546.92220000061207</v>
      </c>
      <c r="M90" s="350"/>
      <c r="N90" s="306">
        <f ca="1">SUM(INDIRECT(CONCATENATE(ADDRESS($AI90,COLUMN()),":",ADDRESS($AJ90,COLUMN()))))</f>
        <v>8113130.5011999998</v>
      </c>
      <c r="O90" s="351">
        <f ca="1">SUM(INDIRECT(CONCATENATE(ADDRESS($AI90,COLUMN()),":",ADDRESS($AJ90,COLUMN()))))</f>
        <v>8353.7430000000004</v>
      </c>
      <c r="P90" s="350"/>
      <c r="Q90" s="306">
        <f ca="1">SUM(INDIRECT(CONCATENATE(ADDRESS($AI90,COLUMN()),":",ADDRESS($AJ90,COLUMN()))))</f>
        <v>0</v>
      </c>
      <c r="R90" s="256">
        <f ca="1">SUM(INDIRECT(CONCATENATE(ADDRESS($AI90,COLUMN()),":",ADDRESS($AJ90,COLUMN()))))</f>
        <v>0</v>
      </c>
      <c r="S90" s="351">
        <f ca="1">SUM(INDIRECT(CONCATENATE(ADDRESS($AI90,COLUMN()),":",ADDRESS($AJ90,COLUMN()))))</f>
        <v>0</v>
      </c>
      <c r="T90" s="350"/>
      <c r="U90" s="306">
        <f ca="1">SUM(INDIRECT(CONCATENATE(ADDRESS($AI90,COLUMN()),":",ADDRESS($AJ90,COLUMN()))))</f>
        <v>-462.16079999999999</v>
      </c>
      <c r="V90" s="351">
        <f ca="1">SUM(INDIRECT(CONCATENATE(ADDRESS($AI90,COLUMN()),":",ADDRESS($AJ90,COLUMN()))))</f>
        <v>0</v>
      </c>
      <c r="W90" s="232"/>
      <c r="X90" s="306">
        <f t="shared" ref="X90:AC90" ca="1" si="5">SUM(INDIRECT(CONCATENATE(ADDRESS($AI90,COLUMN()),":",ADDRESS($AJ90,COLUMN()))))</f>
        <v>0</v>
      </c>
      <c r="Y90" s="256">
        <f t="shared" ca="1" si="5"/>
        <v>0</v>
      </c>
      <c r="Z90" s="256">
        <f t="shared" ca="1" si="5"/>
        <v>1095.2905000000001</v>
      </c>
      <c r="AA90" s="256">
        <f t="shared" ca="1" si="5"/>
        <v>36.972700000000003</v>
      </c>
      <c r="AB90" s="256">
        <f t="shared" ca="1" si="5"/>
        <v>0</v>
      </c>
      <c r="AC90" s="257">
        <f t="shared" ca="1" si="5"/>
        <v>1421.2268999999999</v>
      </c>
      <c r="AD90" s="232"/>
      <c r="AE90" s="233"/>
      <c r="AI90" s="34">
        <f>GetStartRow($AI89)</f>
        <v>88</v>
      </c>
      <c r="AJ90" s="34">
        <f>ROW($AI89)</f>
        <v>89</v>
      </c>
    </row>
    <row r="93" spans="3:38" ht="17.399999999999999" x14ac:dyDescent="0.3">
      <c r="E93" s="253" t="s">
        <v>838</v>
      </c>
      <c r="U93" s="232"/>
      <c r="V93" s="232"/>
      <c r="W93" s="232"/>
      <c r="X93" s="232"/>
      <c r="Y93" s="232"/>
      <c r="Z93" s="232"/>
      <c r="AA93" s="232"/>
      <c r="AB93" s="232"/>
      <c r="AC93" s="232"/>
      <c r="AD93" s="232"/>
      <c r="AE93" s="233"/>
    </row>
    <row r="94" spans="3:38" s="235" customFormat="1" ht="12.75" customHeight="1" x14ac:dyDescent="0.25">
      <c r="C94" s="699" t="s">
        <v>164</v>
      </c>
      <c r="D94" s="29"/>
      <c r="E94" s="217"/>
      <c r="F94" s="218"/>
      <c r="G94" s="241" t="s">
        <v>181</v>
      </c>
      <c r="H94" s="693" t="s">
        <v>201</v>
      </c>
      <c r="I94" s="695" t="s">
        <v>202</v>
      </c>
      <c r="J94" s="695" t="s">
        <v>203</v>
      </c>
      <c r="K94" s="695" t="s">
        <v>204</v>
      </c>
      <c r="L94" s="697" t="s">
        <v>205</v>
      </c>
      <c r="M94" s="232"/>
      <c r="N94" s="693" t="s">
        <v>621</v>
      </c>
      <c r="O94" s="691" t="s">
        <v>622</v>
      </c>
      <c r="P94" s="232"/>
      <c r="Q94" s="693" t="s">
        <v>581</v>
      </c>
      <c r="R94" s="695" t="s">
        <v>582</v>
      </c>
      <c r="S94" s="691" t="s">
        <v>583</v>
      </c>
      <c r="T94" s="232"/>
      <c r="U94" s="693" t="s">
        <v>584</v>
      </c>
      <c r="V94" s="691" t="s">
        <v>585</v>
      </c>
      <c r="W94" s="232"/>
      <c r="X94" s="693" t="s">
        <v>271</v>
      </c>
      <c r="Y94" s="695" t="s">
        <v>155</v>
      </c>
      <c r="Z94" s="695" t="s">
        <v>156</v>
      </c>
      <c r="AA94" s="695" t="s">
        <v>157</v>
      </c>
      <c r="AB94" s="695" t="s">
        <v>158</v>
      </c>
      <c r="AC94" s="697" t="s">
        <v>211</v>
      </c>
      <c r="AD94" s="232"/>
      <c r="AE94" s="232"/>
      <c r="AF94" s="232"/>
    </row>
    <row r="95" spans="3:38" s="235" customFormat="1" ht="12.75" customHeight="1" x14ac:dyDescent="0.25">
      <c r="C95" s="700"/>
      <c r="D95" s="29"/>
      <c r="E95" s="220" t="s">
        <v>0</v>
      </c>
      <c r="F95" s="219" t="s">
        <v>173</v>
      </c>
      <c r="G95" s="242" t="s">
        <v>182</v>
      </c>
      <c r="H95" s="694"/>
      <c r="I95" s="696" t="s">
        <v>202</v>
      </c>
      <c r="J95" s="696"/>
      <c r="K95" s="696"/>
      <c r="L95" s="698"/>
      <c r="M95" s="232"/>
      <c r="N95" s="694"/>
      <c r="O95" s="692"/>
      <c r="P95" s="232"/>
      <c r="Q95" s="694"/>
      <c r="R95" s="696"/>
      <c r="S95" s="692"/>
      <c r="T95" s="232"/>
      <c r="U95" s="694"/>
      <c r="V95" s="692"/>
      <c r="W95" s="232"/>
      <c r="X95" s="694"/>
      <c r="Y95" s="696"/>
      <c r="Z95" s="696"/>
      <c r="AA95" s="696"/>
      <c r="AB95" s="696"/>
      <c r="AC95" s="698"/>
      <c r="AD95" s="232"/>
      <c r="AE95" s="232"/>
      <c r="AF95" s="232"/>
    </row>
    <row r="96" spans="3:38" x14ac:dyDescent="0.25">
      <c r="C96" s="685">
        <v>84</v>
      </c>
      <c r="E96" s="687" t="str">
        <f>GetPipeName($AH96,$AL96)</f>
        <v>KERN</v>
      </c>
      <c r="F96" s="689" t="str">
        <f>CONCATENATE(GetRcptPoint($AH96,$AL96)," to ",GetDelPoint($AH96,$AL96))</f>
        <v>NWPL Rockies to Socal</v>
      </c>
      <c r="G96" s="243" t="str">
        <f>GetRcptBasis($AH96,$AL96)</f>
        <v>IF-NWPL_ROCKY_M Basis Mid</v>
      </c>
      <c r="H96" s="679">
        <f ca="1">GetTodayAsset($AI96)</f>
        <v>454773.91830000002</v>
      </c>
      <c r="I96" s="681">
        <f ca="1">GetTodayDemand($AI96)</f>
        <v>2368061.6320000002</v>
      </c>
      <c r="J96" s="681">
        <f ca="1">H96-I96</f>
        <v>-1913287.7137000002</v>
      </c>
      <c r="K96" s="681">
        <f>GetYesterdayPL($AI96)</f>
        <v>-1911413.98</v>
      </c>
      <c r="L96" s="677">
        <f ca="1">J96-K96</f>
        <v>-1873.7337000002153</v>
      </c>
      <c r="N96" s="679">
        <f ca="1">GetTodayIntrinsic($AI96)</f>
        <v>440350.69689999998</v>
      </c>
      <c r="O96" s="677">
        <f ca="1">GetTodayExtrinsic($AI96)</f>
        <v>14423.2214</v>
      </c>
      <c r="Q96" s="679">
        <f ca="1">GetPriceChange($AI96)</f>
        <v>0</v>
      </c>
      <c r="R96" s="681">
        <f ca="1">GetBasisChange($AI96)</f>
        <v>0</v>
      </c>
      <c r="S96" s="677">
        <f ca="1">GetIndexChange($AI96)</f>
        <v>0</v>
      </c>
      <c r="T96" s="365"/>
      <c r="U96" s="679">
        <f ca="1">GetFuelChange($AI96)</f>
        <v>-50.107300000000002</v>
      </c>
      <c r="V96" s="683">
        <f ca="1">GetVarChrgChange($AI96)</f>
        <v>0</v>
      </c>
      <c r="W96" s="232"/>
      <c r="X96" s="679">
        <f ca="1">GetDelta($AI96)</f>
        <v>0</v>
      </c>
      <c r="Y96" s="681">
        <f ca="1">GetGamma($AI96)</f>
        <v>0</v>
      </c>
      <c r="Z96" s="681">
        <f ca="1">GetTheta($AI96)</f>
        <v>-1002.2996000000001</v>
      </c>
      <c r="AA96" s="681">
        <f ca="1">GetVega($AI96)</f>
        <v>238.69749999999999</v>
      </c>
      <c r="AB96" s="681">
        <f ca="1">GetRho($AI96)</f>
        <v>0</v>
      </c>
      <c r="AC96" s="677">
        <f ca="1">GetDrift($AI96)</f>
        <v>72.162099999999995</v>
      </c>
      <c r="AD96" s="232"/>
      <c r="AE96" s="232"/>
      <c r="AF96" s="232"/>
      <c r="AH96" s="303" t="str">
        <f>GetDBPage($C96)</f>
        <v>Contract DB (West)</v>
      </c>
      <c r="AI96" s="236" t="str">
        <f>GetWorkSheet($C96)</f>
        <v>LongTerm84</v>
      </c>
      <c r="AJ96" s="236" t="str">
        <f t="shared" ref="AJ96:AJ103" si="6">IF(NOT($AI96="#VALUE#"),CONCATENATE($AI96,"!",GetDateStart($AI96),":",GetDateEnd($AI96)),"")</f>
        <v>LongTerm84!$D$22:$D$30</v>
      </c>
      <c r="AK96" s="236" t="str">
        <f>IF(NOT($AI96="#VALUE#"),CONCATENATE($AI96,"!",GetReceiptStart($AI96),":",GetReceiptEnd($AI96)),"")</f>
        <v>LongTerm84!$S$22:$S$30</v>
      </c>
      <c r="AL96" s="236">
        <f>GetRecNdx($AH96,$C96)</f>
        <v>7</v>
      </c>
    </row>
    <row r="97" spans="3:38" x14ac:dyDescent="0.25">
      <c r="C97" s="686"/>
      <c r="E97" s="688"/>
      <c r="F97" s="690"/>
      <c r="G97" s="244" t="str">
        <f>GetDelBasis($AH96,$AL97)</f>
        <v>NGI-SOCAL Basis Mid</v>
      </c>
      <c r="H97" s="680"/>
      <c r="I97" s="682"/>
      <c r="J97" s="682"/>
      <c r="K97" s="682"/>
      <c r="L97" s="678"/>
      <c r="M97" s="349"/>
      <c r="N97" s="680"/>
      <c r="O97" s="678"/>
      <c r="P97" s="349"/>
      <c r="Q97" s="680"/>
      <c r="R97" s="682"/>
      <c r="S97" s="678"/>
      <c r="T97" s="365"/>
      <c r="U97" s="680"/>
      <c r="V97" s="684"/>
      <c r="W97" s="232"/>
      <c r="X97" s="680"/>
      <c r="Y97" s="682"/>
      <c r="Z97" s="682"/>
      <c r="AA97" s="682"/>
      <c r="AB97" s="682"/>
      <c r="AC97" s="678"/>
      <c r="AD97" s="232"/>
      <c r="AE97" s="232"/>
      <c r="AF97" s="232"/>
      <c r="AI97" s="236" t="str">
        <f>GetWorkSheet($C96)</f>
        <v>LongTerm84</v>
      </c>
      <c r="AJ97" s="236" t="str">
        <f t="shared" si="6"/>
        <v>LongTerm84!$D$22:$D$30</v>
      </c>
      <c r="AK97" s="236" t="str">
        <f>IF(NOT($AI97="#VALUE#"),CONCATENATE($AI97,"!",GetDeliveryStart($AI97),":",GetDeliveryEnd($AI97)),"")</f>
        <v>LongTerm84!$T$22:$T$30</v>
      </c>
      <c r="AL97" s="236">
        <f>GetRecNdx($AH96,$C96)</f>
        <v>7</v>
      </c>
    </row>
    <row r="98" spans="3:38" x14ac:dyDescent="0.25">
      <c r="C98" s="685">
        <v>85</v>
      </c>
      <c r="E98" s="687" t="str">
        <f>GetPipeName($AH98,$AL98)</f>
        <v>KERN</v>
      </c>
      <c r="F98" s="689" t="str">
        <f>CONCATENATE(GetRcptPoint($AH98,$AL98)," to ",GetDelPoint($AH98,$AL98))</f>
        <v>NWPL Rockies to Socal</v>
      </c>
      <c r="G98" s="243" t="str">
        <f>GetRcptBasis($AH98,$AL98)</f>
        <v>IF-NWPL_ROCKY_M Basis Mid</v>
      </c>
      <c r="H98" s="679">
        <f ca="1">GetTodayAsset($AI98)</f>
        <v>265099.47560000001</v>
      </c>
      <c r="I98" s="681">
        <f ca="1">GetTodayDemand($AI98)</f>
        <v>1011670.3429</v>
      </c>
      <c r="J98" s="681">
        <f ca="1">H98-I98</f>
        <v>-746570.86730000004</v>
      </c>
      <c r="K98" s="681">
        <f>GetYesterdayPL($AI98)</f>
        <v>-746404.98</v>
      </c>
      <c r="L98" s="677">
        <f ca="1">J98-K98</f>
        <v>-165.88730000006035</v>
      </c>
      <c r="N98" s="679">
        <f ca="1">GetTodayIntrinsic($AI98)</f>
        <v>260978.78750000001</v>
      </c>
      <c r="O98" s="677">
        <f ca="1">GetTodayExtrinsic($AI98)</f>
        <v>4120.6881000000003</v>
      </c>
      <c r="Q98" s="679">
        <f ca="1">GetPriceChange($AI98)</f>
        <v>0</v>
      </c>
      <c r="R98" s="681">
        <f ca="1">GetBasisChange($AI98)</f>
        <v>0</v>
      </c>
      <c r="S98" s="677">
        <f ca="1">GetIndexChange($AI98)</f>
        <v>0</v>
      </c>
      <c r="T98" s="365"/>
      <c r="U98" s="679">
        <f ca="1">GetFuelChange($AI98)</f>
        <v>-43.113300000000002</v>
      </c>
      <c r="V98" s="683">
        <f ca="1">GetVarChrgChange($AI98)</f>
        <v>0</v>
      </c>
      <c r="W98" s="232"/>
      <c r="X98" s="679">
        <f ca="1">GetDelta($AI98)</f>
        <v>0</v>
      </c>
      <c r="Y98" s="681">
        <f ca="1">GetGamma($AI98)</f>
        <v>0</v>
      </c>
      <c r="Z98" s="681">
        <f ca="1">GetTheta($AI98)</f>
        <v>22.825099999999999</v>
      </c>
      <c r="AA98" s="681">
        <f ca="1">GetVega($AI98)</f>
        <v>2.8344</v>
      </c>
      <c r="AB98" s="681">
        <f ca="1">GetRho($AI98)</f>
        <v>0</v>
      </c>
      <c r="AC98" s="677">
        <f ca="1">GetDrift($AI98)</f>
        <v>48.402099999999997</v>
      </c>
      <c r="AD98" s="232"/>
      <c r="AE98" s="232"/>
      <c r="AF98" s="232"/>
      <c r="AH98" s="303" t="str">
        <f>GetDBPage($C98)</f>
        <v>Contract DB (West)</v>
      </c>
      <c r="AI98" s="236" t="str">
        <f>GetWorkSheet($C98)</f>
        <v>LongTerm85</v>
      </c>
      <c r="AJ98" s="236" t="str">
        <f t="shared" si="6"/>
        <v>LongTerm85!$D$22:$D$33</v>
      </c>
      <c r="AK98" s="236" t="str">
        <f>IF(NOT($AI98="#VALUE#"),CONCATENATE($AI98,"!",GetReceiptStart($AI98),":",GetReceiptEnd($AI98)),"")</f>
        <v>LongTerm85!$S$22:$S$33</v>
      </c>
      <c r="AL98" s="236">
        <f>GetRecNdx($AH98,$C98)</f>
        <v>8</v>
      </c>
    </row>
    <row r="99" spans="3:38" x14ac:dyDescent="0.25">
      <c r="C99" s="686"/>
      <c r="E99" s="688"/>
      <c r="F99" s="690"/>
      <c r="G99" s="244" t="str">
        <f>GetDelBasis($AH98,$AL99)</f>
        <v>NGI-SOCAL Basis Mid</v>
      </c>
      <c r="H99" s="680"/>
      <c r="I99" s="682"/>
      <c r="J99" s="682"/>
      <c r="K99" s="682"/>
      <c r="L99" s="678"/>
      <c r="M99" s="349"/>
      <c r="N99" s="680"/>
      <c r="O99" s="678"/>
      <c r="P99" s="349"/>
      <c r="Q99" s="680"/>
      <c r="R99" s="682"/>
      <c r="S99" s="678"/>
      <c r="T99" s="365"/>
      <c r="U99" s="680"/>
      <c r="V99" s="684"/>
      <c r="W99" s="232"/>
      <c r="X99" s="680"/>
      <c r="Y99" s="682"/>
      <c r="Z99" s="682"/>
      <c r="AA99" s="682"/>
      <c r="AB99" s="682"/>
      <c r="AC99" s="678"/>
      <c r="AD99" s="232"/>
      <c r="AE99" s="232"/>
      <c r="AF99" s="232"/>
      <c r="AI99" s="236" t="str">
        <f>GetWorkSheet($C98)</f>
        <v>LongTerm85</v>
      </c>
      <c r="AJ99" s="236" t="str">
        <f t="shared" si="6"/>
        <v>LongTerm85!$D$22:$D$33</v>
      </c>
      <c r="AK99" s="236" t="str">
        <f>IF(NOT($AI99="#VALUE#"),CONCATENATE($AI99,"!",GetDeliveryStart($AI99),":",GetDeliveryEnd($AI99)),"")</f>
        <v>LongTerm85!$T$22:$T$33</v>
      </c>
      <c r="AL99" s="236">
        <f>GetRecNdx($AH98,$C98)</f>
        <v>8</v>
      </c>
    </row>
    <row r="100" spans="3:38" x14ac:dyDescent="0.25">
      <c r="C100" s="685">
        <v>86</v>
      </c>
      <c r="E100" s="687" t="str">
        <f>GetPipeName($AH100,$AL100)</f>
        <v>KERN</v>
      </c>
      <c r="F100" s="689" t="str">
        <f>CONCATENATE(GetRcptPoint($AH100,$AL100)," to ",GetDelPoint($AH100,$AL100))</f>
        <v>NWPL Rockies to Socal</v>
      </c>
      <c r="G100" s="243" t="str">
        <f>GetRcptBasis($AH100,$AL100)</f>
        <v>IF-NWPL_ROCKY_M Basis Mid</v>
      </c>
      <c r="H100" s="679">
        <f ca="1">GetTodayAsset($AI100)</f>
        <v>68680.142800000001</v>
      </c>
      <c r="I100" s="681">
        <f ca="1">GetTodayDemand($AI100)</f>
        <v>357625.63419999997</v>
      </c>
      <c r="J100" s="681">
        <f ca="1">H100-I100</f>
        <v>-288945.49139999994</v>
      </c>
      <c r="K100" s="681">
        <f>GetYesterdayPL($AI100)</f>
        <v>-288662.52</v>
      </c>
      <c r="L100" s="677">
        <f ca="1">J100-K100</f>
        <v>-282.97139999992214</v>
      </c>
      <c r="N100" s="679">
        <f ca="1">GetTodayIntrinsic($AI100)</f>
        <v>66501.941999999995</v>
      </c>
      <c r="O100" s="677">
        <f ca="1">GetTodayExtrinsic($AI100)</f>
        <v>2178.2008000000001</v>
      </c>
      <c r="Q100" s="679">
        <f ca="1">GetPriceChange($AI100)</f>
        <v>0</v>
      </c>
      <c r="R100" s="681">
        <f ca="1">GetBasisChange($AI100)</f>
        <v>0</v>
      </c>
      <c r="S100" s="677">
        <f ca="1">GetIndexChange($AI100)</f>
        <v>0</v>
      </c>
      <c r="T100" s="365"/>
      <c r="U100" s="679">
        <f ca="1">GetFuelChange($AI100)</f>
        <v>-7.5629</v>
      </c>
      <c r="V100" s="683">
        <f ca="1">GetVarChrgChange($AI100)</f>
        <v>0</v>
      </c>
      <c r="W100" s="232"/>
      <c r="X100" s="679">
        <f ca="1">GetDelta($AI100)</f>
        <v>0</v>
      </c>
      <c r="Y100" s="681">
        <f ca="1">GetGamma($AI100)</f>
        <v>0</v>
      </c>
      <c r="Z100" s="681">
        <f ca="1">GetTheta($AI100)</f>
        <v>-151.36770000000001</v>
      </c>
      <c r="AA100" s="681">
        <f ca="1">GetVega($AI100)</f>
        <v>36.048200000000001</v>
      </c>
      <c r="AB100" s="681">
        <f ca="1">GetRho($AI100)</f>
        <v>0</v>
      </c>
      <c r="AC100" s="677">
        <f ca="1">GetDrift($AI100)</f>
        <v>10.898</v>
      </c>
      <c r="AD100" s="232"/>
      <c r="AE100" s="232"/>
      <c r="AF100" s="232"/>
      <c r="AH100" s="303" t="str">
        <f>GetDBPage($C100)</f>
        <v>Contract DB (West)</v>
      </c>
      <c r="AI100" s="236" t="str">
        <f>GetWorkSheet($C100)</f>
        <v>LongTerm86</v>
      </c>
      <c r="AJ100" s="236" t="str">
        <f t="shared" si="6"/>
        <v>LongTerm86!$D$22:$D$30</v>
      </c>
      <c r="AK100" s="236" t="str">
        <f>IF(NOT($AI100="#VALUE#"),CONCATENATE($AI100,"!",GetReceiptStart($AI100),":",GetReceiptEnd($AI100)),"")</f>
        <v>LongTerm86!$S$22:$S$30</v>
      </c>
      <c r="AL100" s="236">
        <f>GetRecNdx($AH100,$C100)</f>
        <v>9</v>
      </c>
    </row>
    <row r="101" spans="3:38" x14ac:dyDescent="0.25">
      <c r="C101" s="686"/>
      <c r="E101" s="688"/>
      <c r="F101" s="690"/>
      <c r="G101" s="244" t="str">
        <f>GetDelBasis($AH100,$AL101)</f>
        <v>NGI-SOCAL Basis Mid</v>
      </c>
      <c r="H101" s="680"/>
      <c r="I101" s="682"/>
      <c r="J101" s="682"/>
      <c r="K101" s="682"/>
      <c r="L101" s="678"/>
      <c r="M101" s="349"/>
      <c r="N101" s="680"/>
      <c r="O101" s="678"/>
      <c r="P101" s="349"/>
      <c r="Q101" s="680"/>
      <c r="R101" s="682"/>
      <c r="S101" s="678"/>
      <c r="T101" s="365"/>
      <c r="U101" s="680"/>
      <c r="V101" s="684"/>
      <c r="W101" s="232"/>
      <c r="X101" s="680"/>
      <c r="Y101" s="682"/>
      <c r="Z101" s="682"/>
      <c r="AA101" s="682"/>
      <c r="AB101" s="682"/>
      <c r="AC101" s="678"/>
      <c r="AD101" s="232"/>
      <c r="AE101" s="232"/>
      <c r="AF101" s="232"/>
      <c r="AI101" s="236" t="str">
        <f>GetWorkSheet($C100)</f>
        <v>LongTerm86</v>
      </c>
      <c r="AJ101" s="236" t="str">
        <f t="shared" si="6"/>
        <v>LongTerm86!$D$22:$D$30</v>
      </c>
      <c r="AK101" s="236" t="str">
        <f>IF(NOT($AI101="#VALUE#"),CONCATENATE($AI101,"!",GetDeliveryStart($AI101),":",GetDeliveryEnd($AI101)),"")</f>
        <v>LongTerm86!$T$22:$T$30</v>
      </c>
      <c r="AL101" s="236">
        <f>GetRecNdx($AH100,$C100)</f>
        <v>9</v>
      </c>
    </row>
    <row r="102" spans="3:38" x14ac:dyDescent="0.25">
      <c r="C102" s="685">
        <v>87</v>
      </c>
      <c r="E102" s="687" t="str">
        <f>GetPipeName($AH102,$AL102)</f>
        <v>KERN</v>
      </c>
      <c r="F102" s="689" t="str">
        <f>CONCATENATE(GetRcptPoint($AH102,$AL102)," to ",GetDelPoint($AH102,$AL102))</f>
        <v>NWPL Rockies to Socal</v>
      </c>
      <c r="G102" s="243" t="str">
        <f>GetRcptBasis($AH102,$AL102)</f>
        <v>IF-NWPL_ROCKY_M Basis Mid</v>
      </c>
      <c r="H102" s="679">
        <f ca="1">GetTodayAsset($AI102)</f>
        <v>53019.895100000002</v>
      </c>
      <c r="I102" s="681">
        <f ca="1">GetTodayDemand($AI102)</f>
        <v>202334.0686</v>
      </c>
      <c r="J102" s="681">
        <f ca="1">H102-I102</f>
        <v>-149314.1735</v>
      </c>
      <c r="K102" s="681">
        <f>GetYesterdayPL($AI102)</f>
        <v>-149281</v>
      </c>
      <c r="L102" s="677">
        <f ca="1">J102-K102</f>
        <v>-33.173500000004424</v>
      </c>
      <c r="N102" s="679">
        <f ca="1">GetTodayIntrinsic($AI102)</f>
        <v>52195.7575</v>
      </c>
      <c r="O102" s="677">
        <f ca="1">GetTodayExtrinsic($AI102)</f>
        <v>824.13760000000002</v>
      </c>
      <c r="Q102" s="679">
        <f ca="1">GetPriceChange($AI102)</f>
        <v>0</v>
      </c>
      <c r="R102" s="681">
        <f ca="1">GetBasisChange($AI102)</f>
        <v>0</v>
      </c>
      <c r="S102" s="677">
        <f ca="1">GetIndexChange($AI102)</f>
        <v>0</v>
      </c>
      <c r="T102" s="365"/>
      <c r="U102" s="679">
        <f ca="1">GetFuelChange($AI102)</f>
        <v>-8.5828000000000007</v>
      </c>
      <c r="V102" s="683">
        <f ca="1">GetVarChrgChange($AI102)</f>
        <v>0</v>
      </c>
      <c r="W102" s="232"/>
      <c r="X102" s="679">
        <f ca="1">GetDelta($AI102)</f>
        <v>0</v>
      </c>
      <c r="Y102" s="681">
        <f ca="1">GetGamma($AI102)</f>
        <v>0</v>
      </c>
      <c r="Z102" s="681">
        <f ca="1">GetTheta($AI102)</f>
        <v>4.5650000000000004</v>
      </c>
      <c r="AA102" s="681">
        <f ca="1">GetVega($AI102)</f>
        <v>0.56689999999999996</v>
      </c>
      <c r="AB102" s="681">
        <f ca="1">GetRho($AI102)</f>
        <v>0</v>
      </c>
      <c r="AC102" s="677">
        <f ca="1">GetDrift($AI102)</f>
        <v>9.6804000000000006</v>
      </c>
      <c r="AD102" s="232"/>
      <c r="AE102" s="232"/>
      <c r="AF102" s="232"/>
      <c r="AH102" s="303" t="str">
        <f>GetDBPage($C102)</f>
        <v>Contract DB (West)</v>
      </c>
      <c r="AI102" s="236" t="str">
        <f>GetWorkSheet($C102)</f>
        <v>LongTerm87</v>
      </c>
      <c r="AJ102" s="236" t="str">
        <f t="shared" si="6"/>
        <v>LongTerm87!$D$22:$D$33</v>
      </c>
      <c r="AK102" s="236" t="str">
        <f>IF(NOT($AI102="#VALUE#"),CONCATENATE($AI102,"!",GetReceiptStart($AI102),":",GetReceiptEnd($AI102)),"")</f>
        <v>LongTerm87!$S$22:$S$33</v>
      </c>
      <c r="AL102" s="236">
        <f>GetRecNdx($AH102,$C102)</f>
        <v>10</v>
      </c>
    </row>
    <row r="103" spans="3:38" x14ac:dyDescent="0.25">
      <c r="C103" s="686"/>
      <c r="E103" s="688"/>
      <c r="F103" s="690"/>
      <c r="G103" s="244" t="str">
        <f>GetDelBasis($AH102,$AL103)</f>
        <v>NGI-SOCAL Basis Mid</v>
      </c>
      <c r="H103" s="680"/>
      <c r="I103" s="682"/>
      <c r="J103" s="682"/>
      <c r="K103" s="682"/>
      <c r="L103" s="678"/>
      <c r="M103" s="349"/>
      <c r="N103" s="680"/>
      <c r="O103" s="678"/>
      <c r="P103" s="349"/>
      <c r="Q103" s="680"/>
      <c r="R103" s="682"/>
      <c r="S103" s="678"/>
      <c r="T103" s="365"/>
      <c r="U103" s="680"/>
      <c r="V103" s="684"/>
      <c r="W103" s="232"/>
      <c r="X103" s="680"/>
      <c r="Y103" s="682"/>
      <c r="Z103" s="682"/>
      <c r="AA103" s="682"/>
      <c r="AB103" s="682"/>
      <c r="AC103" s="678"/>
      <c r="AD103" s="232"/>
      <c r="AE103" s="232"/>
      <c r="AF103" s="232"/>
      <c r="AI103" s="236" t="str">
        <f>GetWorkSheet($C102)</f>
        <v>LongTerm87</v>
      </c>
      <c r="AJ103" s="236" t="str">
        <f t="shared" si="6"/>
        <v>LongTerm87!$D$22:$D$33</v>
      </c>
      <c r="AK103" s="236" t="str">
        <f>IF(NOT($AI103="#VALUE#"),CONCATENATE($AI103,"!",GetDeliveryStart($AI103),":",GetDeliveryEnd($AI103)),"")</f>
        <v>LongTerm87!$T$22:$T$33</v>
      </c>
      <c r="AL103" s="236">
        <f>GetRecNdx($AH102,$C102)</f>
        <v>10</v>
      </c>
    </row>
    <row r="104" spans="3:38" x14ac:dyDescent="0.25">
      <c r="G104" s="254" t="s">
        <v>206</v>
      </c>
      <c r="H104" s="256">
        <f ca="1">SUM(INDIRECT(CONCATENATE(ADDRESS($AI104,COLUMN()),":",ADDRESS($AJ104,COLUMN()))))</f>
        <v>841573.43180000002</v>
      </c>
      <c r="I104" s="256">
        <f ca="1">SUM(INDIRECT(CONCATENATE(ADDRESS($AI104,COLUMN()),":",ADDRESS($AJ104,COLUMN()))))</f>
        <v>3939691.6776999999</v>
      </c>
      <c r="J104" s="256">
        <f ca="1">SUM(INDIRECT(CONCATENATE(ADDRESS($AI104,COLUMN()),":",ADDRESS($AJ104,COLUMN()))))</f>
        <v>-3098118.2459</v>
      </c>
      <c r="K104" s="256">
        <f ca="1">SUM(INDIRECT(CONCATENATE(ADDRESS($AI104,COLUMN()),":",ADDRESS($AJ104,COLUMN()))))</f>
        <v>-3095762.48</v>
      </c>
      <c r="L104" s="257">
        <f ca="1">SUM(INDIRECT(CONCATENATE(ADDRESS($AI104,COLUMN()),":",ADDRESS($AJ104,COLUMN()))))</f>
        <v>-2355.7659000002022</v>
      </c>
      <c r="M104" s="350"/>
      <c r="N104" s="306">
        <f ca="1">SUM(INDIRECT(CONCATENATE(ADDRESS($AI104,COLUMN()),":",ADDRESS($AJ104,COLUMN()))))</f>
        <v>820027.18389999995</v>
      </c>
      <c r="O104" s="351">
        <f ca="1">SUM(INDIRECT(CONCATENATE(ADDRESS($AI104,COLUMN()),":",ADDRESS($AJ104,COLUMN()))))</f>
        <v>21546.247900000002</v>
      </c>
      <c r="P104" s="350"/>
      <c r="Q104" s="306">
        <f ca="1">SUM(INDIRECT(CONCATENATE(ADDRESS($AI104,COLUMN()),":",ADDRESS($AJ104,COLUMN()))))</f>
        <v>0</v>
      </c>
      <c r="R104" s="256">
        <f ca="1">SUM(INDIRECT(CONCATENATE(ADDRESS($AI104,COLUMN()),":",ADDRESS($AJ104,COLUMN()))))</f>
        <v>0</v>
      </c>
      <c r="S104" s="351">
        <f ca="1">SUM(INDIRECT(CONCATENATE(ADDRESS($AI104,COLUMN()),":",ADDRESS($AJ104,COLUMN()))))</f>
        <v>0</v>
      </c>
      <c r="T104" s="350"/>
      <c r="U104" s="306">
        <f ca="1">SUM(INDIRECT(CONCATENATE(ADDRESS($AI104,COLUMN()),":",ADDRESS($AJ104,COLUMN()))))</f>
        <v>-109.36630000000001</v>
      </c>
      <c r="V104" s="351">
        <f ca="1">SUM(INDIRECT(CONCATENATE(ADDRESS($AI104,COLUMN()),":",ADDRESS($AJ104,COLUMN()))))</f>
        <v>0</v>
      </c>
      <c r="W104" s="232"/>
      <c r="X104" s="306">
        <f t="shared" ref="X104:AC104" ca="1" si="7">SUM(INDIRECT(CONCATENATE(ADDRESS($AI104,COLUMN()),":",ADDRESS($AJ104,COLUMN()))))</f>
        <v>0</v>
      </c>
      <c r="Y104" s="256">
        <f t="shared" ca="1" si="7"/>
        <v>0</v>
      </c>
      <c r="Z104" s="256">
        <f t="shared" ca="1" si="7"/>
        <v>-1126.2772</v>
      </c>
      <c r="AA104" s="256">
        <f t="shared" ca="1" si="7"/>
        <v>278.14699999999993</v>
      </c>
      <c r="AB104" s="256">
        <f t="shared" ca="1" si="7"/>
        <v>0</v>
      </c>
      <c r="AC104" s="257">
        <f t="shared" ca="1" si="7"/>
        <v>141.14259999999999</v>
      </c>
      <c r="AD104" s="232"/>
      <c r="AE104" s="233"/>
      <c r="AI104" s="34">
        <f>GetStartRow($AI103)</f>
        <v>96</v>
      </c>
      <c r="AJ104" s="34">
        <f>ROW($AI103)</f>
        <v>103</v>
      </c>
    </row>
    <row r="107" spans="3:38" ht="17.399999999999999" x14ac:dyDescent="0.3">
      <c r="E107" s="253" t="s">
        <v>801</v>
      </c>
      <c r="U107" s="232"/>
      <c r="V107" s="232"/>
      <c r="W107" s="232"/>
      <c r="X107" s="232"/>
      <c r="Y107" s="232"/>
      <c r="Z107" s="232"/>
      <c r="AA107" s="232"/>
      <c r="AB107" s="232"/>
      <c r="AC107" s="232"/>
      <c r="AD107" s="232"/>
      <c r="AE107" s="233"/>
    </row>
    <row r="108" spans="3:38" s="235" customFormat="1" ht="12.75" customHeight="1" x14ac:dyDescent="0.25">
      <c r="C108" s="699" t="s">
        <v>164</v>
      </c>
      <c r="D108" s="29"/>
      <c r="E108" s="217"/>
      <c r="F108" s="218"/>
      <c r="G108" s="241" t="s">
        <v>181</v>
      </c>
      <c r="H108" s="693" t="s">
        <v>201</v>
      </c>
      <c r="I108" s="695" t="s">
        <v>202</v>
      </c>
      <c r="J108" s="695" t="s">
        <v>203</v>
      </c>
      <c r="K108" s="695" t="s">
        <v>204</v>
      </c>
      <c r="L108" s="697" t="s">
        <v>205</v>
      </c>
      <c r="M108" s="232"/>
      <c r="N108" s="693" t="s">
        <v>621</v>
      </c>
      <c r="O108" s="691" t="s">
        <v>622</v>
      </c>
      <c r="P108" s="232"/>
      <c r="Q108" s="693" t="s">
        <v>581</v>
      </c>
      <c r="R108" s="695" t="s">
        <v>582</v>
      </c>
      <c r="S108" s="691" t="s">
        <v>583</v>
      </c>
      <c r="T108" s="232"/>
      <c r="U108" s="693" t="s">
        <v>584</v>
      </c>
      <c r="V108" s="691" t="s">
        <v>585</v>
      </c>
      <c r="W108" s="232"/>
      <c r="X108" s="693" t="s">
        <v>271</v>
      </c>
      <c r="Y108" s="695" t="s">
        <v>155</v>
      </c>
      <c r="Z108" s="695" t="s">
        <v>156</v>
      </c>
      <c r="AA108" s="695" t="s">
        <v>157</v>
      </c>
      <c r="AB108" s="695" t="s">
        <v>158</v>
      </c>
      <c r="AC108" s="697" t="s">
        <v>211</v>
      </c>
      <c r="AD108" s="232"/>
      <c r="AE108" s="232"/>
      <c r="AF108" s="232"/>
    </row>
    <row r="109" spans="3:38" s="235" customFormat="1" ht="12.75" customHeight="1" x14ac:dyDescent="0.25">
      <c r="C109" s="700"/>
      <c r="D109" s="29"/>
      <c r="E109" s="220" t="s">
        <v>0</v>
      </c>
      <c r="F109" s="219" t="s">
        <v>173</v>
      </c>
      <c r="G109" s="242" t="s">
        <v>182</v>
      </c>
      <c r="H109" s="694"/>
      <c r="I109" s="696" t="s">
        <v>202</v>
      </c>
      <c r="J109" s="696"/>
      <c r="K109" s="696"/>
      <c r="L109" s="698"/>
      <c r="M109" s="232"/>
      <c r="N109" s="694"/>
      <c r="O109" s="692"/>
      <c r="P109" s="232"/>
      <c r="Q109" s="694"/>
      <c r="R109" s="696"/>
      <c r="S109" s="692"/>
      <c r="T109" s="232"/>
      <c r="U109" s="694"/>
      <c r="V109" s="692"/>
      <c r="W109" s="232"/>
      <c r="X109" s="694"/>
      <c r="Y109" s="696"/>
      <c r="Z109" s="696"/>
      <c r="AA109" s="696"/>
      <c r="AB109" s="696"/>
      <c r="AC109" s="698"/>
      <c r="AD109" s="232"/>
      <c r="AE109" s="232"/>
      <c r="AF109" s="232"/>
    </row>
    <row r="110" spans="3:38" x14ac:dyDescent="0.25">
      <c r="C110" s="685">
        <v>9</v>
      </c>
      <c r="E110" s="687" t="str">
        <f>GetPipeName($AH110,$AL110)</f>
        <v>PGT</v>
      </c>
      <c r="F110" s="689" t="str">
        <f>CONCATENATE(GetRcptPoint($AH110,$AL110)," to ",GetDelPoint($AH110,$AL110))</f>
        <v>Kingsgate to Malin</v>
      </c>
      <c r="G110" s="243" t="str">
        <f>GetRcptBasis($AH110,$AL110)</f>
        <v>CGPR-KINGSGATE Basis Mid</v>
      </c>
      <c r="H110" s="679">
        <f ca="1">GetTodayAsset($AI110)</f>
        <v>413559.87809999997</v>
      </c>
      <c r="I110" s="681">
        <f ca="1">GetTodayDemand($AI110)</f>
        <v>1034026.4942</v>
      </c>
      <c r="J110" s="681">
        <f ca="1">H110-I110</f>
        <v>-620466.61609999998</v>
      </c>
      <c r="K110" s="681">
        <f>GetYesterdayPL($AI110)</f>
        <v>-619802.89</v>
      </c>
      <c r="L110" s="677">
        <f ca="1">J110-K110</f>
        <v>-663.72609999997076</v>
      </c>
      <c r="N110" s="679">
        <f ca="1">GetTodayIntrinsic($AI110)</f>
        <v>357507.31109999999</v>
      </c>
      <c r="O110" s="677">
        <f ca="1">GetTodayExtrinsic($AI110)</f>
        <v>56052.567000000003</v>
      </c>
      <c r="Q110" s="679">
        <f ca="1">GetPriceChange($AI110)</f>
        <v>0</v>
      </c>
      <c r="R110" s="681">
        <f ca="1">GetBasisChange($AI110)</f>
        <v>0</v>
      </c>
      <c r="S110" s="677">
        <f ca="1">GetIndexChange($AI110)</f>
        <v>0</v>
      </c>
      <c r="T110" s="365"/>
      <c r="U110" s="679">
        <f ca="1">GetFuelChange($AI110)</f>
        <v>-47.701799999999999</v>
      </c>
      <c r="V110" s="683">
        <f ca="1">GetVarChrgChange($AI110)</f>
        <v>0</v>
      </c>
      <c r="W110" s="232"/>
      <c r="X110" s="679">
        <f ca="1">GetDelta($AI110)</f>
        <v>0</v>
      </c>
      <c r="Y110" s="681">
        <f ca="1">GetGamma($AI110)</f>
        <v>0</v>
      </c>
      <c r="Z110" s="681">
        <f ca="1">GetTheta($AI110)</f>
        <v>-1542.8297</v>
      </c>
      <c r="AA110" s="681">
        <f ca="1">GetVega($AI110)</f>
        <v>934.35709999999995</v>
      </c>
      <c r="AB110" s="681">
        <f ca="1">GetRho($AI110)</f>
        <v>0</v>
      </c>
      <c r="AC110" s="677">
        <f ca="1">GetDrift($AI110)</f>
        <v>71.254000000000005</v>
      </c>
      <c r="AD110" s="232"/>
      <c r="AE110" s="232"/>
      <c r="AF110" s="232"/>
      <c r="AH110" s="303" t="str">
        <f>GetDBPage($C110)</f>
        <v>Contract DB (West)</v>
      </c>
      <c r="AI110" s="236" t="str">
        <f>GetWorkSheet($C110)</f>
        <v>LongTerm9</v>
      </c>
      <c r="AJ110" s="236" t="str">
        <f t="shared" ref="AJ110:AJ117" si="8">IF(NOT($AI110="#VALUE#"),CONCATENATE($AI110,"!",GetDateStart($AI110),":",GetDateEnd($AI110)),"")</f>
        <v>LongTerm9!$D$22:$D$34</v>
      </c>
      <c r="AK110" s="236" t="str">
        <f>IF(NOT($AI110="#VALUE#"),CONCATENATE($AI110,"!",GetReceiptStart($AI110),":",GetReceiptEnd($AI110)),"")</f>
        <v>LongTerm9!$S$22:$S$34</v>
      </c>
      <c r="AL110" s="236">
        <f>GetRecNdx($AH110,$C110)</f>
        <v>1</v>
      </c>
    </row>
    <row r="111" spans="3:38" x14ac:dyDescent="0.25">
      <c r="C111" s="686"/>
      <c r="E111" s="688"/>
      <c r="F111" s="690"/>
      <c r="G111" s="244" t="str">
        <f>GetDelBasis($AH110,$AL111)</f>
        <v>NGI-MALIN Basis Mid</v>
      </c>
      <c r="H111" s="680"/>
      <c r="I111" s="682"/>
      <c r="J111" s="682"/>
      <c r="K111" s="682"/>
      <c r="L111" s="678"/>
      <c r="M111" s="349"/>
      <c r="N111" s="680"/>
      <c r="O111" s="678"/>
      <c r="P111" s="349"/>
      <c r="Q111" s="680"/>
      <c r="R111" s="682"/>
      <c r="S111" s="678"/>
      <c r="T111" s="365"/>
      <c r="U111" s="680"/>
      <c r="V111" s="684"/>
      <c r="W111" s="232"/>
      <c r="X111" s="680"/>
      <c r="Y111" s="682"/>
      <c r="Z111" s="682"/>
      <c r="AA111" s="682"/>
      <c r="AB111" s="682"/>
      <c r="AC111" s="678"/>
      <c r="AD111" s="232"/>
      <c r="AE111" s="232"/>
      <c r="AF111" s="232"/>
      <c r="AI111" s="236" t="str">
        <f>GetWorkSheet($C110)</f>
        <v>LongTerm9</v>
      </c>
      <c r="AJ111" s="236" t="str">
        <f t="shared" si="8"/>
        <v>LongTerm9!$D$22:$D$34</v>
      </c>
      <c r="AK111" s="236" t="str">
        <f>IF(NOT($AI111="#VALUE#"),CONCATENATE($AI111,"!",GetDeliveryStart($AI111),":",GetDeliveryEnd($AI111)),"")</f>
        <v>LongTerm9!$T$22:$T$34</v>
      </c>
      <c r="AL111" s="236">
        <f>GetRecNdx($AH110,$C110)</f>
        <v>1</v>
      </c>
    </row>
    <row r="112" spans="3:38" x14ac:dyDescent="0.25">
      <c r="C112" s="685">
        <v>56</v>
      </c>
      <c r="E112" s="687" t="str">
        <f>GetPipeName($AH112,$AL112)</f>
        <v>PGE</v>
      </c>
      <c r="F112" s="689" t="str">
        <f>CONCATENATE(GetRcptPoint($AH112,$AL112)," to ",GetDelPoint($AH112,$AL112))</f>
        <v>PGE/Topock to PGE City Gate</v>
      </c>
      <c r="G112" s="243" t="str">
        <f>GetRcptBasis($AH112,$AL112)</f>
        <v>NGI-SOBDR-PG&amp;E Basis Mid</v>
      </c>
      <c r="H112" s="679">
        <f ca="1">GetTodayAsset($AI112)</f>
        <v>212592.33960000001</v>
      </c>
      <c r="I112" s="681">
        <f ca="1">GetTodayDemand($AI112)</f>
        <v>923068.22069999995</v>
      </c>
      <c r="J112" s="681">
        <f ca="1">H112-I112</f>
        <v>-710475.88109999988</v>
      </c>
      <c r="K112" s="681">
        <f>GetYesterdayPL($AI112)</f>
        <v>-699092.88</v>
      </c>
      <c r="L112" s="677">
        <f ca="1">J112-K112</f>
        <v>-11383.001099999878</v>
      </c>
      <c r="N112" s="679">
        <f ca="1">GetTodayIntrinsic($AI112)</f>
        <v>0</v>
      </c>
      <c r="O112" s="677">
        <f ca="1">GetTodayExtrinsic($AI112)</f>
        <v>212592.33960000001</v>
      </c>
      <c r="Q112" s="679">
        <f ca="1">GetPriceChange($AI112)</f>
        <v>0</v>
      </c>
      <c r="R112" s="681">
        <f ca="1">GetBasisChange($AI112)</f>
        <v>0</v>
      </c>
      <c r="S112" s="677">
        <f ca="1">GetIndexChange($AI112)</f>
        <v>0</v>
      </c>
      <c r="T112" s="365"/>
      <c r="U112" s="679">
        <f ca="1">GetFuelChange($AI112)</f>
        <v>-45.925600000000003</v>
      </c>
      <c r="V112" s="683">
        <f ca="1">GetVarChrgChange($AI112)</f>
        <v>0</v>
      </c>
      <c r="W112" s="232"/>
      <c r="X112" s="679">
        <f ca="1">GetDelta($AI112)</f>
        <v>0</v>
      </c>
      <c r="Y112" s="681">
        <f ca="1">GetGamma($AI112)</f>
        <v>0</v>
      </c>
      <c r="Z112" s="681">
        <f ca="1">GetTheta($AI112)</f>
        <v>-7094.0716000000002</v>
      </c>
      <c r="AA112" s="681">
        <f ca="1">GetVega($AI112)</f>
        <v>1486.8684000000001</v>
      </c>
      <c r="AB112" s="681">
        <f ca="1">GetRho($AI112)</f>
        <v>0</v>
      </c>
      <c r="AC112" s="677">
        <f ca="1">GetDrift($AI112)</f>
        <v>35.160800000000002</v>
      </c>
      <c r="AD112" s="232"/>
      <c r="AE112" s="232"/>
      <c r="AF112" s="232"/>
      <c r="AH112" s="303" t="str">
        <f>GetDBPage($C112)</f>
        <v>Contract DB (West)</v>
      </c>
      <c r="AI112" s="236" t="str">
        <f>GetWorkSheet($C112)</f>
        <v>LongTerm56</v>
      </c>
      <c r="AJ112" s="236" t="str">
        <f t="shared" si="8"/>
        <v>LongTerm56!$D$22:$D$31</v>
      </c>
      <c r="AK112" s="236" t="str">
        <f>IF(NOT($AI112="#VALUE#"),CONCATENATE($AI112,"!",GetReceiptStart($AI112),":",GetReceiptEnd($AI112)),"")</f>
        <v>LongTerm56!$S$22:$S$31</v>
      </c>
      <c r="AL112" s="236">
        <f>GetRecNdx($AH112,$C112)</f>
        <v>3</v>
      </c>
    </row>
    <row r="113" spans="3:38" x14ac:dyDescent="0.25">
      <c r="C113" s="686"/>
      <c r="E113" s="688"/>
      <c r="F113" s="690"/>
      <c r="G113" s="244" t="str">
        <f>GetDelBasis($AH112,$AL113)</f>
        <v>NGI-PGE/CG Basis Mid</v>
      </c>
      <c r="H113" s="680"/>
      <c r="I113" s="682"/>
      <c r="J113" s="682"/>
      <c r="K113" s="682"/>
      <c r="L113" s="678"/>
      <c r="M113" s="349"/>
      <c r="N113" s="680"/>
      <c r="O113" s="678"/>
      <c r="P113" s="349"/>
      <c r="Q113" s="680"/>
      <c r="R113" s="682"/>
      <c r="S113" s="678"/>
      <c r="T113" s="365"/>
      <c r="U113" s="680"/>
      <c r="V113" s="684"/>
      <c r="W113" s="232"/>
      <c r="X113" s="680"/>
      <c r="Y113" s="682"/>
      <c r="Z113" s="682"/>
      <c r="AA113" s="682"/>
      <c r="AB113" s="682"/>
      <c r="AC113" s="678"/>
      <c r="AD113" s="232"/>
      <c r="AE113" s="232"/>
      <c r="AF113" s="232"/>
      <c r="AI113" s="236" t="str">
        <f>GetWorkSheet($C112)</f>
        <v>LongTerm56</v>
      </c>
      <c r="AJ113" s="236" t="str">
        <f t="shared" si="8"/>
        <v>LongTerm56!$D$22:$D$31</v>
      </c>
      <c r="AK113" s="236" t="str">
        <f>IF(NOT($AI113="#VALUE#"),CONCATENATE($AI113,"!",GetDeliveryStart($AI113),":",GetDeliveryEnd($AI113)),"")</f>
        <v>LongTerm56!$T$22:$T$31</v>
      </c>
      <c r="AL113" s="236">
        <f>GetRecNdx($AH112,$C112)</f>
        <v>3</v>
      </c>
    </row>
    <row r="114" spans="3:38" x14ac:dyDescent="0.25">
      <c r="C114" s="685">
        <v>57</v>
      </c>
      <c r="E114" s="687" t="str">
        <f>GetPipeName($AH114,$AL114)</f>
        <v>PGE</v>
      </c>
      <c r="F114" s="689" t="str">
        <f>CONCATENATE(GetRcptPoint($AH114,$AL114)," to ",GetDelPoint($AH114,$AL114))</f>
        <v>PGE/Topock to Kern River Station</v>
      </c>
      <c r="G114" s="243" t="str">
        <f>GetRcptBasis($AH114,$AL114)</f>
        <v>NGI-SOBDR-PG&amp;E Basis Mid</v>
      </c>
      <c r="H114" s="679">
        <f ca="1">GetTodayAsset($AI114)</f>
        <v>94270.332800000004</v>
      </c>
      <c r="I114" s="681">
        <f ca="1">GetTodayDemand($AI114)</f>
        <v>305775.32040000003</v>
      </c>
      <c r="J114" s="681">
        <f ca="1">H114-I114</f>
        <v>-211504.98760000002</v>
      </c>
      <c r="K114" s="681">
        <f>GetYesterdayPL($AI114)</f>
        <v>-208910.38</v>
      </c>
      <c r="L114" s="677">
        <f ca="1">J114-K114</f>
        <v>-2594.6076000000176</v>
      </c>
      <c r="N114" s="679">
        <f ca="1">GetTodayIntrinsic($AI114)</f>
        <v>63239.198600000003</v>
      </c>
      <c r="O114" s="677">
        <f ca="1">GetTodayExtrinsic($AI114)</f>
        <v>31031.1342</v>
      </c>
      <c r="Q114" s="679">
        <f ca="1">GetPriceChange($AI114)</f>
        <v>0</v>
      </c>
      <c r="R114" s="681">
        <f ca="1">GetBasisChange($AI114)</f>
        <v>0</v>
      </c>
      <c r="S114" s="677">
        <f ca="1">GetIndexChange($AI114)</f>
        <v>0</v>
      </c>
      <c r="T114" s="365"/>
      <c r="U114" s="679">
        <f ca="1">GetFuelChange($AI114)</f>
        <v>-11.488200000000001</v>
      </c>
      <c r="V114" s="683">
        <f ca="1">GetVarChrgChange($AI114)</f>
        <v>0</v>
      </c>
      <c r="W114" s="232"/>
      <c r="X114" s="679">
        <f ca="1">GetDelta($AI114)</f>
        <v>0</v>
      </c>
      <c r="Y114" s="681">
        <f ca="1">GetGamma($AI114)</f>
        <v>0</v>
      </c>
      <c r="Z114" s="681">
        <f ca="1">GetTheta($AI114)</f>
        <v>-1588.0666000000001</v>
      </c>
      <c r="AA114" s="681">
        <f ca="1">GetVega($AI114)</f>
        <v>335.51319999999998</v>
      </c>
      <c r="AB114" s="681">
        <f ca="1">GetRho($AI114)</f>
        <v>0</v>
      </c>
      <c r="AC114" s="677">
        <f ca="1">GetDrift($AI114)</f>
        <v>15.204499999999999</v>
      </c>
      <c r="AD114" s="232"/>
      <c r="AE114" s="232"/>
      <c r="AF114" s="232"/>
      <c r="AH114" s="303" t="str">
        <f>GetDBPage($C114)</f>
        <v>Contract DB (West)</v>
      </c>
      <c r="AI114" s="236" t="str">
        <f>GetWorkSheet($C114)</f>
        <v>LongTerm57</v>
      </c>
      <c r="AJ114" s="236" t="str">
        <f t="shared" si="8"/>
        <v>LongTerm57!$D$22:$D$28</v>
      </c>
      <c r="AK114" s="236" t="str">
        <f>IF(NOT($AI114="#VALUE#"),CONCATENATE($AI114,"!",GetReceiptStart($AI114),":",GetReceiptEnd($AI114)),"")</f>
        <v>LongTerm57!$S$22:$S$28</v>
      </c>
      <c r="AL114" s="236">
        <f>GetRecNdx($AH114,$C114)</f>
        <v>4</v>
      </c>
    </row>
    <row r="115" spans="3:38" x14ac:dyDescent="0.25">
      <c r="C115" s="686"/>
      <c r="E115" s="688"/>
      <c r="F115" s="690"/>
      <c r="G115" s="244" t="str">
        <f>GetDelBasis($AH114,$AL115)</f>
        <v>NGI-PGE/CG Basis Mid</v>
      </c>
      <c r="H115" s="680"/>
      <c r="I115" s="682"/>
      <c r="J115" s="682"/>
      <c r="K115" s="682"/>
      <c r="L115" s="678"/>
      <c r="M115" s="349"/>
      <c r="N115" s="680"/>
      <c r="O115" s="678"/>
      <c r="P115" s="349"/>
      <c r="Q115" s="680"/>
      <c r="R115" s="682"/>
      <c r="S115" s="678"/>
      <c r="T115" s="365"/>
      <c r="U115" s="680"/>
      <c r="V115" s="684"/>
      <c r="W115" s="232"/>
      <c r="X115" s="680"/>
      <c r="Y115" s="682"/>
      <c r="Z115" s="682"/>
      <c r="AA115" s="682"/>
      <c r="AB115" s="682"/>
      <c r="AC115" s="678"/>
      <c r="AD115" s="232"/>
      <c r="AE115" s="232"/>
      <c r="AF115" s="232"/>
      <c r="AI115" s="236" t="str">
        <f>GetWorkSheet($C114)</f>
        <v>LongTerm57</v>
      </c>
      <c r="AJ115" s="236" t="str">
        <f t="shared" si="8"/>
        <v>LongTerm57!$D$22:$D$28</v>
      </c>
      <c r="AK115" s="236" t="str">
        <f>IF(NOT($AI115="#VALUE#"),CONCATENATE($AI115,"!",GetDeliveryStart($AI115),":",GetDeliveryEnd($AI115)),"")</f>
        <v>LongTerm57!$T$22:$T$28</v>
      </c>
      <c r="AL115" s="236">
        <f>GetRecNdx($AH114,$C114)</f>
        <v>4</v>
      </c>
    </row>
    <row r="116" spans="3:38" x14ac:dyDescent="0.25">
      <c r="C116" s="685">
        <v>74</v>
      </c>
      <c r="E116" s="687" t="str">
        <f>GetPipeName($AH116,$AL116)</f>
        <v>PGT</v>
      </c>
      <c r="F116" s="689" t="str">
        <f>CONCATENATE(GetRcptPoint($AH116,$AL116)," to ",GetDelPoint($AH116,$AL116))</f>
        <v>Kingsgate to Malin</v>
      </c>
      <c r="G116" s="243" t="str">
        <f>GetRcptBasis($AH116,$AL116)</f>
        <v>CGPR-KINGSGATE Basis Mid</v>
      </c>
      <c r="H116" s="679">
        <f ca="1">GetTodayAsset($AI116)</f>
        <v>0</v>
      </c>
      <c r="I116" s="681">
        <f ca="1">GetTodayDemand($AI116)</f>
        <v>0</v>
      </c>
      <c r="J116" s="681">
        <f ca="1">H116-I116</f>
        <v>0</v>
      </c>
      <c r="K116" s="681">
        <f>GetYesterdayPL($AI116)</f>
        <v>0</v>
      </c>
      <c r="L116" s="677">
        <f ca="1">J116-K116</f>
        <v>0</v>
      </c>
      <c r="N116" s="679">
        <f ca="1">GetTodayIntrinsic($AI116)</f>
        <v>0</v>
      </c>
      <c r="O116" s="677">
        <f ca="1">GetTodayExtrinsic($AI116)</f>
        <v>0</v>
      </c>
      <c r="Q116" s="679">
        <f ca="1">GetPriceChange($AI116)</f>
        <v>0</v>
      </c>
      <c r="R116" s="681">
        <f ca="1">GetBasisChange($AI116)</f>
        <v>0</v>
      </c>
      <c r="S116" s="677">
        <f ca="1">GetIndexChange($AI116)</f>
        <v>0</v>
      </c>
      <c r="T116" s="365"/>
      <c r="U116" s="679">
        <f ca="1">GetFuelChange($AI116)</f>
        <v>0</v>
      </c>
      <c r="V116" s="683">
        <f ca="1">GetVarChrgChange($AI116)</f>
        <v>0</v>
      </c>
      <c r="W116" s="232"/>
      <c r="X116" s="679">
        <f ca="1">GetDelta($AI116)</f>
        <v>0</v>
      </c>
      <c r="Y116" s="681">
        <f ca="1">GetGamma($AI116)</f>
        <v>0</v>
      </c>
      <c r="Z116" s="681">
        <f ca="1">GetTheta($AI116)</f>
        <v>0</v>
      </c>
      <c r="AA116" s="681">
        <f ca="1">GetVega($AI116)</f>
        <v>0</v>
      </c>
      <c r="AB116" s="681">
        <f ca="1">GetRho($AI116)</f>
        <v>0</v>
      </c>
      <c r="AC116" s="677">
        <f ca="1">GetDrift($AI116)</f>
        <v>0</v>
      </c>
      <c r="AD116" s="232"/>
      <c r="AE116" s="232"/>
      <c r="AF116" s="232"/>
      <c r="AH116" s="303" t="str">
        <f>GetDBPage($C116)</f>
        <v>Contract DB (West)</v>
      </c>
      <c r="AI116" s="236" t="str">
        <f>GetWorkSheet($C116)</f>
        <v>LongTerm74</v>
      </c>
      <c r="AJ116" s="236" t="str">
        <f t="shared" si="8"/>
        <v>LongTerm74!$D$22:$D$28</v>
      </c>
      <c r="AK116" s="236" t="str">
        <f>IF(NOT($AI116="#VALUE#"),CONCATENATE($AI116,"!",GetReceiptStart($AI116),":",GetReceiptEnd($AI116)),"")</f>
        <v>LongTerm74!$S$22:$S$28</v>
      </c>
      <c r="AL116" s="236">
        <f>GetRecNdx($AH116,$C116)</f>
        <v>5</v>
      </c>
    </row>
    <row r="117" spans="3:38" x14ac:dyDescent="0.25">
      <c r="C117" s="686"/>
      <c r="E117" s="688"/>
      <c r="F117" s="690"/>
      <c r="G117" s="244" t="str">
        <f>GetDelBasis($AH116,$AL117)</f>
        <v>NGI-MALIN Basis Mid</v>
      </c>
      <c r="H117" s="680"/>
      <c r="I117" s="682"/>
      <c r="J117" s="682"/>
      <c r="K117" s="682"/>
      <c r="L117" s="678"/>
      <c r="M117" s="349"/>
      <c r="N117" s="680"/>
      <c r="O117" s="678"/>
      <c r="P117" s="349"/>
      <c r="Q117" s="680"/>
      <c r="R117" s="682"/>
      <c r="S117" s="678"/>
      <c r="T117" s="365"/>
      <c r="U117" s="680"/>
      <c r="V117" s="684"/>
      <c r="W117" s="232"/>
      <c r="X117" s="680"/>
      <c r="Y117" s="682"/>
      <c r="Z117" s="682"/>
      <c r="AA117" s="682"/>
      <c r="AB117" s="682"/>
      <c r="AC117" s="678"/>
      <c r="AD117" s="232"/>
      <c r="AE117" s="232"/>
      <c r="AF117" s="232"/>
      <c r="AI117" s="236" t="str">
        <f>GetWorkSheet($C116)</f>
        <v>LongTerm74</v>
      </c>
      <c r="AJ117" s="236" t="str">
        <f t="shared" si="8"/>
        <v>LongTerm74!$D$22:$D$28</v>
      </c>
      <c r="AK117" s="236" t="str">
        <f>IF(NOT($AI117="#VALUE#"),CONCATENATE($AI117,"!",GetDeliveryStart($AI117),":",GetDeliveryEnd($AI117)),"")</f>
        <v>LongTerm74!$T$22:$T$28</v>
      </c>
      <c r="AL117" s="236">
        <f>GetRecNdx($AH116,$C116)</f>
        <v>5</v>
      </c>
    </row>
    <row r="118" spans="3:38" x14ac:dyDescent="0.25">
      <c r="G118" s="254" t="s">
        <v>206</v>
      </c>
      <c r="H118" s="256">
        <f ca="1">SUM(INDIRECT(CONCATENATE(ADDRESS($AI118,COLUMN()),":",ADDRESS($AJ118,COLUMN()))))</f>
        <v>720422.5504999999</v>
      </c>
      <c r="I118" s="256">
        <f ca="1">SUM(INDIRECT(CONCATENATE(ADDRESS($AI118,COLUMN()),":",ADDRESS($AJ118,COLUMN()))))</f>
        <v>2262870.0353000001</v>
      </c>
      <c r="J118" s="256">
        <f ca="1">SUM(INDIRECT(CONCATENATE(ADDRESS($AI118,COLUMN()),":",ADDRESS($AJ118,COLUMN()))))</f>
        <v>-1542447.4848</v>
      </c>
      <c r="K118" s="256">
        <f ca="1">SUM(INDIRECT(CONCATENATE(ADDRESS($AI118,COLUMN()),":",ADDRESS($AJ118,COLUMN()))))</f>
        <v>-1527806.15</v>
      </c>
      <c r="L118" s="257">
        <f ca="1">SUM(INDIRECT(CONCATENATE(ADDRESS($AI118,COLUMN()),":",ADDRESS($AJ118,COLUMN()))))</f>
        <v>-14641.334799999866</v>
      </c>
      <c r="M118" s="350"/>
      <c r="N118" s="306">
        <f ca="1">SUM(INDIRECT(CONCATENATE(ADDRESS($AI118,COLUMN()),":",ADDRESS($AJ118,COLUMN()))))</f>
        <v>420746.5097</v>
      </c>
      <c r="O118" s="351">
        <f ca="1">SUM(INDIRECT(CONCATENATE(ADDRESS($AI118,COLUMN()),":",ADDRESS($AJ118,COLUMN()))))</f>
        <v>299676.04079999996</v>
      </c>
      <c r="P118" s="350"/>
      <c r="Q118" s="306">
        <f ca="1">SUM(INDIRECT(CONCATENATE(ADDRESS($AI118,COLUMN()),":",ADDRESS($AJ118,COLUMN()))))</f>
        <v>0</v>
      </c>
      <c r="R118" s="256">
        <f ca="1">SUM(INDIRECT(CONCATENATE(ADDRESS($AI118,COLUMN()),":",ADDRESS($AJ118,COLUMN()))))</f>
        <v>0</v>
      </c>
      <c r="S118" s="351">
        <f ca="1">SUM(INDIRECT(CONCATENATE(ADDRESS($AI118,COLUMN()),":",ADDRESS($AJ118,COLUMN()))))</f>
        <v>0</v>
      </c>
      <c r="T118" s="350"/>
      <c r="U118" s="306">
        <f ca="1">SUM(INDIRECT(CONCATENATE(ADDRESS($AI118,COLUMN()),":",ADDRESS($AJ118,COLUMN()))))</f>
        <v>-105.1156</v>
      </c>
      <c r="V118" s="351">
        <f ca="1">SUM(INDIRECT(CONCATENATE(ADDRESS($AI118,COLUMN()),":",ADDRESS($AJ118,COLUMN()))))</f>
        <v>0</v>
      </c>
      <c r="W118" s="232"/>
      <c r="X118" s="306">
        <f t="shared" ref="X118:AC118" ca="1" si="9">SUM(INDIRECT(CONCATENATE(ADDRESS($AI118,COLUMN()),":",ADDRESS($AJ118,COLUMN()))))</f>
        <v>0</v>
      </c>
      <c r="Y118" s="256">
        <f t="shared" ca="1" si="9"/>
        <v>0</v>
      </c>
      <c r="Z118" s="256">
        <f t="shared" ca="1" si="9"/>
        <v>-10224.9679</v>
      </c>
      <c r="AA118" s="256">
        <f t="shared" ca="1" si="9"/>
        <v>2756.7386999999999</v>
      </c>
      <c r="AB118" s="256">
        <f t="shared" ca="1" si="9"/>
        <v>0</v>
      </c>
      <c r="AC118" s="257">
        <f t="shared" ca="1" si="9"/>
        <v>121.61930000000001</v>
      </c>
      <c r="AD118" s="232"/>
      <c r="AE118" s="233"/>
      <c r="AI118" s="34">
        <f>GetStartRow($AI117)</f>
        <v>110</v>
      </c>
      <c r="AJ118" s="34">
        <f>ROW($AI117)</f>
        <v>117</v>
      </c>
    </row>
    <row r="121" spans="3:38" ht="17.399999999999999" x14ac:dyDescent="0.3">
      <c r="E121" s="253" t="s">
        <v>606</v>
      </c>
      <c r="U121" s="232"/>
      <c r="V121" s="232"/>
      <c r="W121" s="232"/>
      <c r="X121" s="232"/>
      <c r="Y121" s="232"/>
      <c r="Z121" s="232"/>
      <c r="AA121" s="232"/>
      <c r="AB121" s="232"/>
      <c r="AC121" s="232"/>
      <c r="AD121" s="232"/>
      <c r="AE121" s="233"/>
    </row>
    <row r="122" spans="3:38" s="235" customFormat="1" ht="12.75" customHeight="1" x14ac:dyDescent="0.25">
      <c r="C122" s="699" t="s">
        <v>164</v>
      </c>
      <c r="D122" s="29"/>
      <c r="E122" s="217"/>
      <c r="F122" s="218"/>
      <c r="G122" s="241" t="s">
        <v>181</v>
      </c>
      <c r="H122" s="693" t="s">
        <v>201</v>
      </c>
      <c r="I122" s="695" t="s">
        <v>202</v>
      </c>
      <c r="J122" s="695" t="s">
        <v>203</v>
      </c>
      <c r="K122" s="695" t="s">
        <v>204</v>
      </c>
      <c r="L122" s="697" t="s">
        <v>205</v>
      </c>
      <c r="M122" s="232"/>
      <c r="N122" s="693" t="s">
        <v>621</v>
      </c>
      <c r="O122" s="691" t="s">
        <v>622</v>
      </c>
      <c r="P122" s="232"/>
      <c r="Q122" s="693" t="s">
        <v>581</v>
      </c>
      <c r="R122" s="695" t="s">
        <v>582</v>
      </c>
      <c r="S122" s="691" t="s">
        <v>583</v>
      </c>
      <c r="T122" s="232"/>
      <c r="U122" s="693" t="s">
        <v>584</v>
      </c>
      <c r="V122" s="691" t="s">
        <v>585</v>
      </c>
      <c r="W122" s="232"/>
      <c r="X122" s="693" t="s">
        <v>271</v>
      </c>
      <c r="Y122" s="695" t="s">
        <v>155</v>
      </c>
      <c r="Z122" s="695" t="s">
        <v>156</v>
      </c>
      <c r="AA122" s="695" t="s">
        <v>157</v>
      </c>
      <c r="AB122" s="695" t="s">
        <v>158</v>
      </c>
      <c r="AC122" s="697" t="s">
        <v>211</v>
      </c>
      <c r="AD122" s="232"/>
      <c r="AE122" s="232"/>
      <c r="AF122" s="232"/>
    </row>
    <row r="123" spans="3:38" s="235" customFormat="1" ht="12.75" customHeight="1" x14ac:dyDescent="0.25">
      <c r="C123" s="700"/>
      <c r="D123" s="29"/>
      <c r="E123" s="220" t="s">
        <v>0</v>
      </c>
      <c r="F123" s="219" t="s">
        <v>173</v>
      </c>
      <c r="G123" s="242" t="s">
        <v>182</v>
      </c>
      <c r="H123" s="694"/>
      <c r="I123" s="696" t="s">
        <v>202</v>
      </c>
      <c r="J123" s="696"/>
      <c r="K123" s="696"/>
      <c r="L123" s="698"/>
      <c r="M123" s="232"/>
      <c r="N123" s="694"/>
      <c r="O123" s="692"/>
      <c r="P123" s="232"/>
      <c r="Q123" s="694"/>
      <c r="R123" s="696"/>
      <c r="S123" s="692"/>
      <c r="T123" s="232"/>
      <c r="U123" s="694"/>
      <c r="V123" s="692"/>
      <c r="W123" s="232"/>
      <c r="X123" s="694"/>
      <c r="Y123" s="696"/>
      <c r="Z123" s="696"/>
      <c r="AA123" s="696"/>
      <c r="AB123" s="696"/>
      <c r="AC123" s="698"/>
      <c r="AD123" s="232"/>
      <c r="AE123" s="232"/>
      <c r="AF123" s="232"/>
    </row>
    <row r="124" spans="3:38" x14ac:dyDescent="0.25">
      <c r="C124" s="685">
        <v>10</v>
      </c>
      <c r="E124" s="687" t="str">
        <f>GetPipeName($AH124,$AL124)</f>
        <v>EPNG</v>
      </c>
      <c r="F124" s="689" t="str">
        <f>CONCATENATE(GetRcptPoint($AH124,$AL124)," to ",GetDelPoint($AH124,$AL124))</f>
        <v>ELPO/SJ to Valero</v>
      </c>
      <c r="G124" s="243" t="str">
        <f>GetRcptBasis($AH124,$AL124)</f>
        <v>IF-ELPO/SJ Basis Mid</v>
      </c>
      <c r="H124" s="679">
        <f ca="1">GetTodayAsset($AI124)</f>
        <v>391016.68520000001</v>
      </c>
      <c r="I124" s="681">
        <f ca="1">GetTodayDemand($AI124)</f>
        <v>499968.01150000002</v>
      </c>
      <c r="J124" s="681">
        <f ca="1">H124-I124</f>
        <v>-108951.32630000002</v>
      </c>
      <c r="K124" s="681">
        <f>GetYesterdayPL($AI124)</f>
        <v>-107587.04</v>
      </c>
      <c r="L124" s="677">
        <f ca="1">J124-K124</f>
        <v>-1364.2863000000216</v>
      </c>
      <c r="N124" s="679">
        <f ca="1">GetTodayIntrinsic($AI124)</f>
        <v>254366.55379999999</v>
      </c>
      <c r="O124" s="677">
        <f ca="1">GetTodayExtrinsic($AI124)</f>
        <v>136650.13140000001</v>
      </c>
      <c r="Q124" s="679">
        <f ca="1">GetPriceChange($AI124)</f>
        <v>0</v>
      </c>
      <c r="R124" s="681">
        <f ca="1">GetBasisChange($AI124)</f>
        <v>0</v>
      </c>
      <c r="S124" s="677">
        <f ca="1">GetIndexChange($AI124)</f>
        <v>0</v>
      </c>
      <c r="T124" s="365"/>
      <c r="U124" s="679">
        <f ca="1">GetFuelChange($AI124)</f>
        <v>-57.620199999999997</v>
      </c>
      <c r="V124" s="683">
        <f ca="1">GetVarChrgChange($AI124)</f>
        <v>-2E-3</v>
      </c>
      <c r="W124" s="232"/>
      <c r="X124" s="679">
        <f ca="1">GetDelta($AI124)</f>
        <v>0</v>
      </c>
      <c r="Y124" s="681">
        <f ca="1">GetGamma($AI124)</f>
        <v>0</v>
      </c>
      <c r="Z124" s="681">
        <f ca="1">GetTheta($AI124)</f>
        <v>-3177.3998000000001</v>
      </c>
      <c r="AA124" s="681">
        <f ca="1">GetVega($AI124)</f>
        <v>246.6095</v>
      </c>
      <c r="AB124" s="681">
        <f ca="1">GetRho($AI124)</f>
        <v>0</v>
      </c>
      <c r="AC124" s="677">
        <f ca="1">GetDrift($AI124)</f>
        <v>63.661700000000003</v>
      </c>
      <c r="AD124" s="232"/>
      <c r="AE124" s="232"/>
      <c r="AF124" s="232"/>
      <c r="AH124" s="303" t="str">
        <f>GetDBPage($C124)</f>
        <v>Contract DB (West)</v>
      </c>
      <c r="AI124" s="236" t="str">
        <f>GetWorkSheet($C124)</f>
        <v>LongTerm10</v>
      </c>
      <c r="AJ124" s="236" t="str">
        <f>IF(NOT($AI124="#VALUE#"),CONCATENATE($AI124,"!",GetDateStart($AI124),":",GetDateEnd($AI124)),"")</f>
        <v>LongTerm10!$D$22:$D$35</v>
      </c>
      <c r="AK124" s="236" t="str">
        <f>IF(NOT($AI124="#VALUE#"),CONCATENATE($AI124,"!",GetReceiptStart($AI124),":",GetReceiptEnd($AI124)),"")</f>
        <v>LongTerm10!$S$22:$S$35</v>
      </c>
      <c r="AL124" s="236">
        <f>GetRecNdx($AH124,$C124)</f>
        <v>2</v>
      </c>
    </row>
    <row r="125" spans="3:38" x14ac:dyDescent="0.25">
      <c r="C125" s="686"/>
      <c r="E125" s="688"/>
      <c r="F125" s="690"/>
      <c r="G125" s="244" t="str">
        <f>GetDelBasis($AH124,$AL125)</f>
        <v>IF-WAHA-TX Basis Mid</v>
      </c>
      <c r="H125" s="680"/>
      <c r="I125" s="682"/>
      <c r="J125" s="682"/>
      <c r="K125" s="682"/>
      <c r="L125" s="678"/>
      <c r="M125" s="349"/>
      <c r="N125" s="680"/>
      <c r="O125" s="678"/>
      <c r="P125" s="349"/>
      <c r="Q125" s="680"/>
      <c r="R125" s="682"/>
      <c r="S125" s="678"/>
      <c r="T125" s="365"/>
      <c r="U125" s="680"/>
      <c r="V125" s="684"/>
      <c r="W125" s="232"/>
      <c r="X125" s="680"/>
      <c r="Y125" s="682"/>
      <c r="Z125" s="682"/>
      <c r="AA125" s="682"/>
      <c r="AB125" s="682"/>
      <c r="AC125" s="678"/>
      <c r="AD125" s="232"/>
      <c r="AE125" s="232"/>
      <c r="AF125" s="232"/>
      <c r="AI125" s="236" t="str">
        <f>GetWorkSheet($C124)</f>
        <v>LongTerm10</v>
      </c>
      <c r="AJ125" s="236" t="str">
        <f>IF(NOT($AI125="#VALUE#"),CONCATENATE($AI125,"!",GetDateStart($AI125),":",GetDateEnd($AI125)),"")</f>
        <v>LongTerm10!$D$22:$D$35</v>
      </c>
      <c r="AK125" s="236" t="str">
        <f>IF(NOT($AI125="#VALUE#"),CONCATENATE($AI125,"!",GetDeliveryStart($AI125),":",GetDeliveryEnd($AI125)),"")</f>
        <v>LongTerm10!$T$22:$T$35</v>
      </c>
      <c r="AL125" s="236">
        <f>GetRecNdx($AH124,$C124)</f>
        <v>2</v>
      </c>
    </row>
    <row r="126" spans="3:38" x14ac:dyDescent="0.25">
      <c r="G126" s="254" t="s">
        <v>206</v>
      </c>
      <c r="H126" s="256">
        <f ca="1">SUM(INDIRECT(CONCATENATE(ADDRESS($AI126,COLUMN()),":",ADDRESS($AJ126,COLUMN()))))</f>
        <v>391016.68520000001</v>
      </c>
      <c r="I126" s="256">
        <f ca="1">SUM(INDIRECT(CONCATENATE(ADDRESS($AI126,COLUMN()),":",ADDRESS($AJ126,COLUMN()))))</f>
        <v>499968.01150000002</v>
      </c>
      <c r="J126" s="256">
        <f ca="1">SUM(INDIRECT(CONCATENATE(ADDRESS($AI126,COLUMN()),":",ADDRESS($AJ126,COLUMN()))))</f>
        <v>-108951.32630000002</v>
      </c>
      <c r="K126" s="256">
        <f ca="1">SUM(INDIRECT(CONCATENATE(ADDRESS($AI126,COLUMN()),":",ADDRESS($AJ126,COLUMN()))))</f>
        <v>-107587.04</v>
      </c>
      <c r="L126" s="257">
        <f ca="1">SUM(INDIRECT(CONCATENATE(ADDRESS($AI126,COLUMN()),":",ADDRESS($AJ126,COLUMN()))))</f>
        <v>-1364.2863000000216</v>
      </c>
      <c r="M126" s="350"/>
      <c r="N126" s="306">
        <f ca="1">SUM(INDIRECT(CONCATENATE(ADDRESS($AI126,COLUMN()),":",ADDRESS($AJ126,COLUMN()))))</f>
        <v>254366.55379999999</v>
      </c>
      <c r="O126" s="351">
        <f ca="1">SUM(INDIRECT(CONCATENATE(ADDRESS($AI126,COLUMN()),":",ADDRESS($AJ126,COLUMN()))))</f>
        <v>136650.13140000001</v>
      </c>
      <c r="P126" s="350"/>
      <c r="Q126" s="306">
        <f ca="1">SUM(INDIRECT(CONCATENATE(ADDRESS($AI126,COLUMN()),":",ADDRESS($AJ126,COLUMN()))))</f>
        <v>0</v>
      </c>
      <c r="R126" s="256">
        <f ca="1">SUM(INDIRECT(CONCATENATE(ADDRESS($AI126,COLUMN()),":",ADDRESS($AJ126,COLUMN()))))</f>
        <v>0</v>
      </c>
      <c r="S126" s="351">
        <f ca="1">SUM(INDIRECT(CONCATENATE(ADDRESS($AI126,COLUMN()),":",ADDRESS($AJ126,COLUMN()))))</f>
        <v>0</v>
      </c>
      <c r="T126" s="350"/>
      <c r="U126" s="306">
        <f ca="1">SUM(INDIRECT(CONCATENATE(ADDRESS($AI126,COLUMN()),":",ADDRESS($AJ126,COLUMN()))))</f>
        <v>-57.620199999999997</v>
      </c>
      <c r="V126" s="351">
        <f ca="1">SUM(INDIRECT(CONCATENATE(ADDRESS($AI126,COLUMN()),":",ADDRESS($AJ126,COLUMN()))))</f>
        <v>-2E-3</v>
      </c>
      <c r="W126" s="232"/>
      <c r="X126" s="306">
        <f t="shared" ref="X126:AC126" ca="1" si="10">SUM(INDIRECT(CONCATENATE(ADDRESS($AI126,COLUMN()),":",ADDRESS($AJ126,COLUMN()))))</f>
        <v>0</v>
      </c>
      <c r="Y126" s="256">
        <f t="shared" ca="1" si="10"/>
        <v>0</v>
      </c>
      <c r="Z126" s="256">
        <f t="shared" ca="1" si="10"/>
        <v>-3177.3998000000001</v>
      </c>
      <c r="AA126" s="256">
        <f t="shared" ca="1" si="10"/>
        <v>246.6095</v>
      </c>
      <c r="AB126" s="256">
        <f t="shared" ca="1" si="10"/>
        <v>0</v>
      </c>
      <c r="AC126" s="257">
        <f t="shared" ca="1" si="10"/>
        <v>63.661700000000003</v>
      </c>
      <c r="AD126" s="232"/>
      <c r="AE126" s="233"/>
      <c r="AI126" s="34">
        <f>GetStartRow($AI125)</f>
        <v>124</v>
      </c>
      <c r="AJ126" s="34">
        <f>ROW($AI125)</f>
        <v>125</v>
      </c>
    </row>
  </sheetData>
  <sheetCalcPr fullCalcOnLoad="1"/>
  <mergeCells count="973">
    <mergeCell ref="AC122:AC123"/>
    <mergeCell ref="E124:E125"/>
    <mergeCell ref="F124:F125"/>
    <mergeCell ref="Y122:Y123"/>
    <mergeCell ref="Z122:Z123"/>
    <mergeCell ref="AA122:AA123"/>
    <mergeCell ref="AB122:AB123"/>
    <mergeCell ref="S122:S123"/>
    <mergeCell ref="U122:U123"/>
    <mergeCell ref="V122:V123"/>
    <mergeCell ref="I122:I123"/>
    <mergeCell ref="J122:J123"/>
    <mergeCell ref="K122:K123"/>
    <mergeCell ref="L122:L123"/>
    <mergeCell ref="X122:X123"/>
    <mergeCell ref="N122:N123"/>
    <mergeCell ref="O122:O123"/>
    <mergeCell ref="Q122:Q123"/>
    <mergeCell ref="R122:R123"/>
    <mergeCell ref="E102:E103"/>
    <mergeCell ref="F102:F103"/>
    <mergeCell ref="C122:C123"/>
    <mergeCell ref="H122:H123"/>
    <mergeCell ref="C112:C113"/>
    <mergeCell ref="E112:E113"/>
    <mergeCell ref="F112:F113"/>
    <mergeCell ref="H112:H113"/>
    <mergeCell ref="C110:C111"/>
    <mergeCell ref="E110:E111"/>
    <mergeCell ref="X100:X101"/>
    <mergeCell ref="Y100:Y101"/>
    <mergeCell ref="Z100:Z101"/>
    <mergeCell ref="AA100:AA101"/>
    <mergeCell ref="AB100:AB101"/>
    <mergeCell ref="AC100:AC101"/>
    <mergeCell ref="O100:O101"/>
    <mergeCell ref="Q100:Q101"/>
    <mergeCell ref="R100:R101"/>
    <mergeCell ref="S100:S101"/>
    <mergeCell ref="U100:U101"/>
    <mergeCell ref="V100:V101"/>
    <mergeCell ref="AC98:AC99"/>
    <mergeCell ref="C100:C101"/>
    <mergeCell ref="E100:E101"/>
    <mergeCell ref="F100:F101"/>
    <mergeCell ref="H100:H101"/>
    <mergeCell ref="I100:I101"/>
    <mergeCell ref="J100:J101"/>
    <mergeCell ref="K100:K101"/>
    <mergeCell ref="L100:L101"/>
    <mergeCell ref="N100:N101"/>
    <mergeCell ref="V98:V99"/>
    <mergeCell ref="X98:X99"/>
    <mergeCell ref="Y98:Y99"/>
    <mergeCell ref="Z98:Z99"/>
    <mergeCell ref="AA98:AA99"/>
    <mergeCell ref="AB98:AB99"/>
    <mergeCell ref="N98:N99"/>
    <mergeCell ref="O98:O99"/>
    <mergeCell ref="Q98:Q99"/>
    <mergeCell ref="R98:R99"/>
    <mergeCell ref="S98:S99"/>
    <mergeCell ref="U98:U99"/>
    <mergeCell ref="AB34:AB35"/>
    <mergeCell ref="AC34:AC35"/>
    <mergeCell ref="C98:C99"/>
    <mergeCell ref="E98:E99"/>
    <mergeCell ref="F98:F99"/>
    <mergeCell ref="H98:H99"/>
    <mergeCell ref="I98:I99"/>
    <mergeCell ref="J98:J99"/>
    <mergeCell ref="K98:K99"/>
    <mergeCell ref="L98:L99"/>
    <mergeCell ref="U34:U35"/>
    <mergeCell ref="V34:V35"/>
    <mergeCell ref="X34:X35"/>
    <mergeCell ref="Y34:Y35"/>
    <mergeCell ref="Z34:Z35"/>
    <mergeCell ref="AA34:AA35"/>
    <mergeCell ref="L34:L35"/>
    <mergeCell ref="N34:N35"/>
    <mergeCell ref="O34:O35"/>
    <mergeCell ref="Q34:Q35"/>
    <mergeCell ref="R34:R35"/>
    <mergeCell ref="S34:S35"/>
    <mergeCell ref="AA32:AA33"/>
    <mergeCell ref="AB32:AB33"/>
    <mergeCell ref="AC32:AC33"/>
    <mergeCell ref="C34:C35"/>
    <mergeCell ref="E34:E35"/>
    <mergeCell ref="F34:F35"/>
    <mergeCell ref="H34:H35"/>
    <mergeCell ref="I34:I35"/>
    <mergeCell ref="J34:J35"/>
    <mergeCell ref="K34:K35"/>
    <mergeCell ref="S32:S33"/>
    <mergeCell ref="U32:U33"/>
    <mergeCell ref="V32:V33"/>
    <mergeCell ref="X32:X33"/>
    <mergeCell ref="Y32:Y33"/>
    <mergeCell ref="Z32:Z33"/>
    <mergeCell ref="K32:K33"/>
    <mergeCell ref="L32:L33"/>
    <mergeCell ref="N32:N33"/>
    <mergeCell ref="O32:O33"/>
    <mergeCell ref="Q32:Q33"/>
    <mergeCell ref="R32:R33"/>
    <mergeCell ref="C32:C33"/>
    <mergeCell ref="E32:E33"/>
    <mergeCell ref="F32:F33"/>
    <mergeCell ref="H32:H33"/>
    <mergeCell ref="I32:I33"/>
    <mergeCell ref="J32:J33"/>
    <mergeCell ref="AC114:AC115"/>
    <mergeCell ref="E116:E117"/>
    <mergeCell ref="F116:F117"/>
    <mergeCell ref="V114:V115"/>
    <mergeCell ref="X114:X115"/>
    <mergeCell ref="Y114:Y115"/>
    <mergeCell ref="Z114:Z115"/>
    <mergeCell ref="AA114:AA115"/>
    <mergeCell ref="R114:R115"/>
    <mergeCell ref="AB112:AB113"/>
    <mergeCell ref="AC112:AC113"/>
    <mergeCell ref="C114:C115"/>
    <mergeCell ref="E114:E115"/>
    <mergeCell ref="F114:F115"/>
    <mergeCell ref="H114:H115"/>
    <mergeCell ref="I114:I115"/>
    <mergeCell ref="J114:J115"/>
    <mergeCell ref="K114:K115"/>
    <mergeCell ref="L114:L115"/>
    <mergeCell ref="AA112:AA113"/>
    <mergeCell ref="U112:U113"/>
    <mergeCell ref="V112:V113"/>
    <mergeCell ref="X112:X113"/>
    <mergeCell ref="Y112:Y113"/>
    <mergeCell ref="I112:I113"/>
    <mergeCell ref="J112:J113"/>
    <mergeCell ref="K112:K113"/>
    <mergeCell ref="Z112:Z113"/>
    <mergeCell ref="L112:L113"/>
    <mergeCell ref="N114:N115"/>
    <mergeCell ref="O114:O115"/>
    <mergeCell ref="R112:R113"/>
    <mergeCell ref="S112:S113"/>
    <mergeCell ref="N112:N113"/>
    <mergeCell ref="O112:O113"/>
    <mergeCell ref="Q112:Q113"/>
    <mergeCell ref="X124:X125"/>
    <mergeCell ref="Y124:Y125"/>
    <mergeCell ref="Z124:Z125"/>
    <mergeCell ref="AA124:AA125"/>
    <mergeCell ref="AB124:AB125"/>
    <mergeCell ref="AC124:AC125"/>
    <mergeCell ref="O124:O125"/>
    <mergeCell ref="Q124:Q125"/>
    <mergeCell ref="R124:R125"/>
    <mergeCell ref="S124:S125"/>
    <mergeCell ref="U124:U125"/>
    <mergeCell ref="V124:V125"/>
    <mergeCell ref="AC110:AC111"/>
    <mergeCell ref="C124:C125"/>
    <mergeCell ref="H124:H125"/>
    <mergeCell ref="I124:I125"/>
    <mergeCell ref="J124:J125"/>
    <mergeCell ref="K124:K125"/>
    <mergeCell ref="L124:L125"/>
    <mergeCell ref="N124:N125"/>
    <mergeCell ref="Y110:Y111"/>
    <mergeCell ref="Z110:Z111"/>
    <mergeCell ref="Q110:Q111"/>
    <mergeCell ref="R110:R111"/>
    <mergeCell ref="AA110:AA111"/>
    <mergeCell ref="AB110:AB111"/>
    <mergeCell ref="S110:S111"/>
    <mergeCell ref="U110:U111"/>
    <mergeCell ref="V110:V111"/>
    <mergeCell ref="X110:X111"/>
    <mergeCell ref="I110:I111"/>
    <mergeCell ref="J110:J111"/>
    <mergeCell ref="K110:K111"/>
    <mergeCell ref="L110:L111"/>
    <mergeCell ref="N110:N111"/>
    <mergeCell ref="O110:O111"/>
    <mergeCell ref="F110:F111"/>
    <mergeCell ref="H110:H111"/>
    <mergeCell ref="Z96:Z97"/>
    <mergeCell ref="AA96:AA97"/>
    <mergeCell ref="O96:O97"/>
    <mergeCell ref="Q96:Q97"/>
    <mergeCell ref="R96:R97"/>
    <mergeCell ref="S96:S97"/>
    <mergeCell ref="R108:R109"/>
    <mergeCell ref="S108:S109"/>
    <mergeCell ref="AB96:AB97"/>
    <mergeCell ref="AC96:AC97"/>
    <mergeCell ref="U96:U97"/>
    <mergeCell ref="V96:V97"/>
    <mergeCell ref="X96:X97"/>
    <mergeCell ref="Y96:Y97"/>
    <mergeCell ref="AA88:AA89"/>
    <mergeCell ref="AB88:AB89"/>
    <mergeCell ref="AC88:AC89"/>
    <mergeCell ref="C96:C97"/>
    <mergeCell ref="E96:E97"/>
    <mergeCell ref="F96:F97"/>
    <mergeCell ref="H96:H97"/>
    <mergeCell ref="I96:I97"/>
    <mergeCell ref="J96:J97"/>
    <mergeCell ref="K96:K97"/>
    <mergeCell ref="S88:S89"/>
    <mergeCell ref="U88:U89"/>
    <mergeCell ref="V88:V89"/>
    <mergeCell ref="X88:X89"/>
    <mergeCell ref="Y88:Y89"/>
    <mergeCell ref="Z88:Z89"/>
    <mergeCell ref="K88:K89"/>
    <mergeCell ref="L88:L89"/>
    <mergeCell ref="N88:N89"/>
    <mergeCell ref="O88:O89"/>
    <mergeCell ref="Q88:Q89"/>
    <mergeCell ref="R88:R89"/>
    <mergeCell ref="C88:C89"/>
    <mergeCell ref="E88:E89"/>
    <mergeCell ref="F88:F89"/>
    <mergeCell ref="H88:H89"/>
    <mergeCell ref="I88:I89"/>
    <mergeCell ref="J88:J89"/>
    <mergeCell ref="L80:L81"/>
    <mergeCell ref="N80:N81"/>
    <mergeCell ref="O80:O81"/>
    <mergeCell ref="Q80:Q81"/>
    <mergeCell ref="R80:R81"/>
    <mergeCell ref="AA80:AA81"/>
    <mergeCell ref="AA30:AA31"/>
    <mergeCell ref="AB30:AB31"/>
    <mergeCell ref="AC30:AC31"/>
    <mergeCell ref="C80:C81"/>
    <mergeCell ref="E80:E81"/>
    <mergeCell ref="F80:F81"/>
    <mergeCell ref="H80:H81"/>
    <mergeCell ref="I80:I81"/>
    <mergeCell ref="J80:J81"/>
    <mergeCell ref="K80:K81"/>
    <mergeCell ref="S30:S31"/>
    <mergeCell ref="U30:U31"/>
    <mergeCell ref="V30:V31"/>
    <mergeCell ref="X30:X31"/>
    <mergeCell ref="Y30:Y31"/>
    <mergeCell ref="Z30:Z31"/>
    <mergeCell ref="K30:K31"/>
    <mergeCell ref="L30:L31"/>
    <mergeCell ref="N30:N31"/>
    <mergeCell ref="O30:O31"/>
    <mergeCell ref="Q30:Q31"/>
    <mergeCell ref="R30:R31"/>
    <mergeCell ref="C30:C31"/>
    <mergeCell ref="E30:E31"/>
    <mergeCell ref="F30:F31"/>
    <mergeCell ref="H30:H31"/>
    <mergeCell ref="I30:I31"/>
    <mergeCell ref="J30:J31"/>
    <mergeCell ref="X22:X23"/>
    <mergeCell ref="Y22:Y23"/>
    <mergeCell ref="Z22:Z23"/>
    <mergeCell ref="AA22:AA23"/>
    <mergeCell ref="AB22:AB23"/>
    <mergeCell ref="AC22:AC23"/>
    <mergeCell ref="O22:O23"/>
    <mergeCell ref="Q22:Q23"/>
    <mergeCell ref="R22:R23"/>
    <mergeCell ref="S22:S23"/>
    <mergeCell ref="U22:U23"/>
    <mergeCell ref="V22:V23"/>
    <mergeCell ref="AB108:AB109"/>
    <mergeCell ref="AC108:AC109"/>
    <mergeCell ref="X108:X109"/>
    <mergeCell ref="Y108:Y109"/>
    <mergeCell ref="Z108:Z109"/>
    <mergeCell ref="AA108:AA109"/>
    <mergeCell ref="V94:V95"/>
    <mergeCell ref="X94:X95"/>
    <mergeCell ref="U108:U109"/>
    <mergeCell ref="V108:V109"/>
    <mergeCell ref="L108:L109"/>
    <mergeCell ref="N108:N109"/>
    <mergeCell ref="O108:O109"/>
    <mergeCell ref="Q108:Q109"/>
    <mergeCell ref="L96:L97"/>
    <mergeCell ref="N96:N97"/>
    <mergeCell ref="S94:S95"/>
    <mergeCell ref="U94:U95"/>
    <mergeCell ref="AA94:AA95"/>
    <mergeCell ref="AB94:AB95"/>
    <mergeCell ref="AC94:AC95"/>
    <mergeCell ref="C108:C109"/>
    <mergeCell ref="H108:H109"/>
    <mergeCell ref="I108:I109"/>
    <mergeCell ref="J108:J109"/>
    <mergeCell ref="K108:K109"/>
    <mergeCell ref="K94:K95"/>
    <mergeCell ref="L94:L95"/>
    <mergeCell ref="N94:N95"/>
    <mergeCell ref="O94:O95"/>
    <mergeCell ref="Q94:Q95"/>
    <mergeCell ref="R94:R95"/>
    <mergeCell ref="C94:C95"/>
    <mergeCell ref="H94:H95"/>
    <mergeCell ref="Z86:Z87"/>
    <mergeCell ref="AA86:AA87"/>
    <mergeCell ref="O86:O87"/>
    <mergeCell ref="Q86:Q87"/>
    <mergeCell ref="R86:R87"/>
    <mergeCell ref="S86:S87"/>
    <mergeCell ref="I94:I95"/>
    <mergeCell ref="J94:J95"/>
    <mergeCell ref="N86:N87"/>
    <mergeCell ref="Y78:Y79"/>
    <mergeCell ref="Z78:Z79"/>
    <mergeCell ref="AC86:AC87"/>
    <mergeCell ref="U86:U87"/>
    <mergeCell ref="V86:V87"/>
    <mergeCell ref="X86:X87"/>
    <mergeCell ref="Y86:Y87"/>
    <mergeCell ref="AB80:AB81"/>
    <mergeCell ref="AC80:AC81"/>
    <mergeCell ref="C86:C87"/>
    <mergeCell ref="H86:H87"/>
    <mergeCell ref="I86:I87"/>
    <mergeCell ref="J86:J87"/>
    <mergeCell ref="K86:K87"/>
    <mergeCell ref="L86:L87"/>
    <mergeCell ref="N78:N79"/>
    <mergeCell ref="V28:V29"/>
    <mergeCell ref="X28:X29"/>
    <mergeCell ref="O78:O79"/>
    <mergeCell ref="Q78:Q79"/>
    <mergeCell ref="R78:R79"/>
    <mergeCell ref="S78:S79"/>
    <mergeCell ref="U78:U79"/>
    <mergeCell ref="V78:V79"/>
    <mergeCell ref="X78:X79"/>
    <mergeCell ref="C78:C79"/>
    <mergeCell ref="H78:H79"/>
    <mergeCell ref="I78:I79"/>
    <mergeCell ref="J78:J79"/>
    <mergeCell ref="K78:K79"/>
    <mergeCell ref="L78:L79"/>
    <mergeCell ref="C20:C21"/>
    <mergeCell ref="E20:E21"/>
    <mergeCell ref="L28:L29"/>
    <mergeCell ref="N28:N29"/>
    <mergeCell ref="C22:C23"/>
    <mergeCell ref="E22:E23"/>
    <mergeCell ref="F22:F23"/>
    <mergeCell ref="H22:H23"/>
    <mergeCell ref="L22:L23"/>
    <mergeCell ref="N22:N23"/>
    <mergeCell ref="K22:K23"/>
    <mergeCell ref="H28:H29"/>
    <mergeCell ref="Z20:Z21"/>
    <mergeCell ref="O28:O29"/>
    <mergeCell ref="Q28:Q29"/>
    <mergeCell ref="R28:R29"/>
    <mergeCell ref="K20:K21"/>
    <mergeCell ref="L20:L21"/>
    <mergeCell ref="K28:K29"/>
    <mergeCell ref="Y28:Y29"/>
    <mergeCell ref="S20:S21"/>
    <mergeCell ref="U20:U21"/>
    <mergeCell ref="V20:V21"/>
    <mergeCell ref="X20:X21"/>
    <mergeCell ref="AA20:AA21"/>
    <mergeCell ref="N20:N21"/>
    <mergeCell ref="O20:O21"/>
    <mergeCell ref="Q20:Q21"/>
    <mergeCell ref="R20:R21"/>
    <mergeCell ref="AC116:AC117"/>
    <mergeCell ref="V116:V117"/>
    <mergeCell ref="X116:X117"/>
    <mergeCell ref="Y116:Y117"/>
    <mergeCell ref="Z116:Z117"/>
    <mergeCell ref="AC20:AC21"/>
    <mergeCell ref="Z28:Z29"/>
    <mergeCell ref="AA28:AA29"/>
    <mergeCell ref="AA78:AA79"/>
    <mergeCell ref="AC78:AC79"/>
    <mergeCell ref="R116:R117"/>
    <mergeCell ref="S116:S117"/>
    <mergeCell ref="U116:U117"/>
    <mergeCell ref="S114:S115"/>
    <mergeCell ref="AA116:AA117"/>
    <mergeCell ref="AB116:AB117"/>
    <mergeCell ref="AB114:AB115"/>
    <mergeCell ref="C116:C117"/>
    <mergeCell ref="H116:H117"/>
    <mergeCell ref="I116:I117"/>
    <mergeCell ref="J116:J117"/>
    <mergeCell ref="U114:U115"/>
    <mergeCell ref="L116:L117"/>
    <mergeCell ref="N116:N117"/>
    <mergeCell ref="O116:O117"/>
    <mergeCell ref="Q116:Q117"/>
    <mergeCell ref="Q114:Q115"/>
    <mergeCell ref="K116:K117"/>
    <mergeCell ref="AA72:AA73"/>
    <mergeCell ref="AB72:AB73"/>
    <mergeCell ref="AC72:AC73"/>
    <mergeCell ref="V72:V73"/>
    <mergeCell ref="X72:X73"/>
    <mergeCell ref="Y72:Y73"/>
    <mergeCell ref="Z72:Z73"/>
    <mergeCell ref="Q72:Q73"/>
    <mergeCell ref="R72:R73"/>
    <mergeCell ref="F72:F73"/>
    <mergeCell ref="H72:H73"/>
    <mergeCell ref="I72:I73"/>
    <mergeCell ref="J72:J73"/>
    <mergeCell ref="K72:K73"/>
    <mergeCell ref="O72:O73"/>
    <mergeCell ref="X66:X67"/>
    <mergeCell ref="Y66:Y67"/>
    <mergeCell ref="Z66:Z67"/>
    <mergeCell ref="AA66:AA67"/>
    <mergeCell ref="AB66:AB67"/>
    <mergeCell ref="AC66:AC67"/>
    <mergeCell ref="O66:O67"/>
    <mergeCell ref="Q66:Q67"/>
    <mergeCell ref="R66:R67"/>
    <mergeCell ref="S66:S67"/>
    <mergeCell ref="U66:U67"/>
    <mergeCell ref="V66:V67"/>
    <mergeCell ref="X64:X65"/>
    <mergeCell ref="Y64:Y65"/>
    <mergeCell ref="AB64:AB65"/>
    <mergeCell ref="AC64:AC65"/>
    <mergeCell ref="C66:C67"/>
    <mergeCell ref="E66:E67"/>
    <mergeCell ref="F66:F67"/>
    <mergeCell ref="H66:H67"/>
    <mergeCell ref="I66:I67"/>
    <mergeCell ref="J66:J67"/>
    <mergeCell ref="O64:O65"/>
    <mergeCell ref="Q64:Q65"/>
    <mergeCell ref="R64:R65"/>
    <mergeCell ref="S64:S65"/>
    <mergeCell ref="U64:U65"/>
    <mergeCell ref="V64:V65"/>
    <mergeCell ref="R68:R69"/>
    <mergeCell ref="S68:S69"/>
    <mergeCell ref="C64:C65"/>
    <mergeCell ref="E64:E65"/>
    <mergeCell ref="F64:F65"/>
    <mergeCell ref="H64:H65"/>
    <mergeCell ref="I64:I65"/>
    <mergeCell ref="J64:J65"/>
    <mergeCell ref="K64:K65"/>
    <mergeCell ref="L64:L65"/>
    <mergeCell ref="Y94:Y95"/>
    <mergeCell ref="Z94:Z95"/>
    <mergeCell ref="AC68:AC69"/>
    <mergeCell ref="E70:E71"/>
    <mergeCell ref="F70:F71"/>
    <mergeCell ref="V68:V69"/>
    <mergeCell ref="X68:X69"/>
    <mergeCell ref="Y68:Y69"/>
    <mergeCell ref="Z68:Z69"/>
    <mergeCell ref="Q68:Q69"/>
    <mergeCell ref="S72:S73"/>
    <mergeCell ref="U72:U73"/>
    <mergeCell ref="AB78:AB79"/>
    <mergeCell ref="AB86:AB87"/>
    <mergeCell ref="S80:S81"/>
    <mergeCell ref="U80:U81"/>
    <mergeCell ref="V80:V81"/>
    <mergeCell ref="X80:X81"/>
    <mergeCell ref="Y80:Y81"/>
    <mergeCell ref="Z80:Z81"/>
    <mergeCell ref="U68:U69"/>
    <mergeCell ref="K68:K69"/>
    <mergeCell ref="C68:C69"/>
    <mergeCell ref="H68:H69"/>
    <mergeCell ref="I68:I69"/>
    <mergeCell ref="J68:J69"/>
    <mergeCell ref="E68:E69"/>
    <mergeCell ref="F68:F69"/>
    <mergeCell ref="N68:N69"/>
    <mergeCell ref="O68:O69"/>
    <mergeCell ref="AC102:AC103"/>
    <mergeCell ref="Y102:Y103"/>
    <mergeCell ref="Z102:Z103"/>
    <mergeCell ref="S102:S103"/>
    <mergeCell ref="U102:U103"/>
    <mergeCell ref="V102:V103"/>
    <mergeCell ref="X102:X103"/>
    <mergeCell ref="AB102:AB103"/>
    <mergeCell ref="AA102:AA103"/>
    <mergeCell ref="Q102:Q103"/>
    <mergeCell ref="R102:R103"/>
    <mergeCell ref="I102:I103"/>
    <mergeCell ref="J102:J103"/>
    <mergeCell ref="K102:K103"/>
    <mergeCell ref="L102:L103"/>
    <mergeCell ref="N102:N103"/>
    <mergeCell ref="O102:O103"/>
    <mergeCell ref="C102:C103"/>
    <mergeCell ref="H102:H103"/>
    <mergeCell ref="K8:K9"/>
    <mergeCell ref="L8:L9"/>
    <mergeCell ref="L68:L69"/>
    <mergeCell ref="C38:C39"/>
    <mergeCell ref="J38:J39"/>
    <mergeCell ref="K38:K39"/>
    <mergeCell ref="L38:L39"/>
    <mergeCell ref="E38:E39"/>
    <mergeCell ref="H20:H21"/>
    <mergeCell ref="C28:C29"/>
    <mergeCell ref="N64:N65"/>
    <mergeCell ref="N66:N67"/>
    <mergeCell ref="L72:L73"/>
    <mergeCell ref="N72:N73"/>
    <mergeCell ref="K66:K67"/>
    <mergeCell ref="L66:L67"/>
    <mergeCell ref="C72:C73"/>
    <mergeCell ref="E72:E73"/>
    <mergeCell ref="Q54:Q55"/>
    <mergeCell ref="Q44:Q45"/>
    <mergeCell ref="O44:O45"/>
    <mergeCell ref="N8:N9"/>
    <mergeCell ref="O8:O9"/>
    <mergeCell ref="C8:C9"/>
    <mergeCell ref="H8:H9"/>
    <mergeCell ref="I8:I9"/>
    <mergeCell ref="J8:J9"/>
    <mergeCell ref="F20:F21"/>
    <mergeCell ref="I42:I43"/>
    <mergeCell ref="J42:J43"/>
    <mergeCell ref="K36:K37"/>
    <mergeCell ref="O60:O61"/>
    <mergeCell ref="R54:R55"/>
    <mergeCell ref="R18:R19"/>
    <mergeCell ref="Q42:Q43"/>
    <mergeCell ref="O38:O39"/>
    <mergeCell ref="R38:R39"/>
    <mergeCell ref="O54:O55"/>
    <mergeCell ref="F38:F39"/>
    <mergeCell ref="H38:H39"/>
    <mergeCell ref="I38:I39"/>
    <mergeCell ref="N38:N39"/>
    <mergeCell ref="I40:I41"/>
    <mergeCell ref="J40:J41"/>
    <mergeCell ref="K58:K59"/>
    <mergeCell ref="I56:I57"/>
    <mergeCell ref="J56:J57"/>
    <mergeCell ref="K56:K57"/>
    <mergeCell ref="L44:L45"/>
    <mergeCell ref="N44:N45"/>
    <mergeCell ref="AA52:AA53"/>
    <mergeCell ref="Z48:Z49"/>
    <mergeCell ref="AA38:AA39"/>
    <mergeCell ref="AA42:AA43"/>
    <mergeCell ref="AA50:AA51"/>
    <mergeCell ref="AB48:AB49"/>
    <mergeCell ref="AB50:AB51"/>
    <mergeCell ref="AA48:AA49"/>
    <mergeCell ref="AB38:AB39"/>
    <mergeCell ref="AC48:AC49"/>
    <mergeCell ref="V46:V47"/>
    <mergeCell ref="Z52:Z53"/>
    <mergeCell ref="X52:X53"/>
    <mergeCell ref="V52:V53"/>
    <mergeCell ref="Y48:Y49"/>
    <mergeCell ref="V48:V49"/>
    <mergeCell ref="AC50:AC51"/>
    <mergeCell ref="X48:X49"/>
    <mergeCell ref="AB52:AB53"/>
    <mergeCell ref="X56:X57"/>
    <mergeCell ref="V56:V57"/>
    <mergeCell ref="U56:U57"/>
    <mergeCell ref="X54:X55"/>
    <mergeCell ref="V54:V55"/>
    <mergeCell ref="AA60:AA61"/>
    <mergeCell ref="F60:F61"/>
    <mergeCell ref="F58:F59"/>
    <mergeCell ref="C62:C63"/>
    <mergeCell ref="E62:E63"/>
    <mergeCell ref="C58:C59"/>
    <mergeCell ref="E58:E59"/>
    <mergeCell ref="C60:C61"/>
    <mergeCell ref="E60:E61"/>
    <mergeCell ref="L12:L13"/>
    <mergeCell ref="H58:H59"/>
    <mergeCell ref="H60:H61"/>
    <mergeCell ref="J10:J11"/>
    <mergeCell ref="K10:K11"/>
    <mergeCell ref="L10:L11"/>
    <mergeCell ref="K12:K13"/>
    <mergeCell ref="H52:H53"/>
    <mergeCell ref="L54:L55"/>
    <mergeCell ref="I58:I59"/>
    <mergeCell ref="I52:I53"/>
    <mergeCell ref="K52:K53"/>
    <mergeCell ref="L52:L53"/>
    <mergeCell ref="J48:J49"/>
    <mergeCell ref="K48:K49"/>
    <mergeCell ref="L48:L49"/>
    <mergeCell ref="L36:L37"/>
    <mergeCell ref="N12:N13"/>
    <mergeCell ref="Y38:Y39"/>
    <mergeCell ref="R16:R17"/>
    <mergeCell ref="Q18:Q19"/>
    <mergeCell ref="O12:O13"/>
    <mergeCell ref="U38:U39"/>
    <mergeCell ref="N36:N37"/>
    <mergeCell ref="Q16:Q17"/>
    <mergeCell ref="Y12:Y13"/>
    <mergeCell ref="V18:V19"/>
    <mergeCell ref="V14:V15"/>
    <mergeCell ref="R14:R15"/>
    <mergeCell ref="X10:X11"/>
    <mergeCell ref="V10:V11"/>
    <mergeCell ref="S10:S11"/>
    <mergeCell ref="U10:U11"/>
    <mergeCell ref="X16:X17"/>
    <mergeCell ref="S46:S47"/>
    <mergeCell ref="AC60:AC61"/>
    <mergeCell ref="U60:U61"/>
    <mergeCell ref="AB60:AB61"/>
    <mergeCell ref="Z60:Z61"/>
    <mergeCell ref="AC58:AC59"/>
    <mergeCell ref="Z58:Z59"/>
    <mergeCell ref="S58:S59"/>
    <mergeCell ref="S52:S53"/>
    <mergeCell ref="U52:U53"/>
    <mergeCell ref="Y58:Y59"/>
    <mergeCell ref="V58:V59"/>
    <mergeCell ref="AB58:AB59"/>
    <mergeCell ref="AA58:AA59"/>
    <mergeCell ref="Q60:Q61"/>
    <mergeCell ref="V60:V61"/>
    <mergeCell ref="S60:S61"/>
    <mergeCell ref="Y60:Y61"/>
    <mergeCell ref="R60:R61"/>
    <mergeCell ref="X60:X61"/>
    <mergeCell ref="X58:X59"/>
    <mergeCell ref="I60:I61"/>
    <mergeCell ref="J60:J61"/>
    <mergeCell ref="K60:K61"/>
    <mergeCell ref="L60:L61"/>
    <mergeCell ref="L58:L59"/>
    <mergeCell ref="R58:R59"/>
    <mergeCell ref="U58:U59"/>
    <mergeCell ref="Q58:Q59"/>
    <mergeCell ref="J58:J59"/>
    <mergeCell ref="E50:E51"/>
    <mergeCell ref="F50:F51"/>
    <mergeCell ref="H50:H51"/>
    <mergeCell ref="I50:I51"/>
    <mergeCell ref="O52:O53"/>
    <mergeCell ref="Q52:Q53"/>
    <mergeCell ref="J50:J51"/>
    <mergeCell ref="K50:K51"/>
    <mergeCell ref="O50:O51"/>
    <mergeCell ref="L50:L51"/>
    <mergeCell ref="R48:R49"/>
    <mergeCell ref="Q48:Q49"/>
    <mergeCell ref="R50:R51"/>
    <mergeCell ref="X50:X51"/>
    <mergeCell ref="Y50:Y51"/>
    <mergeCell ref="Z50:Z51"/>
    <mergeCell ref="Q50:Q51"/>
    <mergeCell ref="U50:U51"/>
    <mergeCell ref="S50:S51"/>
    <mergeCell ref="V50:V51"/>
    <mergeCell ref="AB56:AB57"/>
    <mergeCell ref="Z56:Z57"/>
    <mergeCell ref="AA56:AA57"/>
    <mergeCell ref="AA54:AA55"/>
    <mergeCell ref="S48:S49"/>
    <mergeCell ref="U48:U49"/>
    <mergeCell ref="S56:S57"/>
    <mergeCell ref="S54:S55"/>
    <mergeCell ref="Y52:Y53"/>
    <mergeCell ref="U54:U55"/>
    <mergeCell ref="C56:C57"/>
    <mergeCell ref="E56:E57"/>
    <mergeCell ref="F56:F57"/>
    <mergeCell ref="H56:H57"/>
    <mergeCell ref="AC54:AC55"/>
    <mergeCell ref="Y56:Y57"/>
    <mergeCell ref="Z54:Z55"/>
    <mergeCell ref="Y54:Y55"/>
    <mergeCell ref="AC56:AC57"/>
    <mergeCell ref="AB54:AB55"/>
    <mergeCell ref="AC52:AC53"/>
    <mergeCell ref="C54:C55"/>
    <mergeCell ref="E54:E55"/>
    <mergeCell ref="F54:F55"/>
    <mergeCell ref="H54:H55"/>
    <mergeCell ref="I54:I55"/>
    <mergeCell ref="J54:J55"/>
    <mergeCell ref="K54:K55"/>
    <mergeCell ref="J52:J53"/>
    <mergeCell ref="R52:R53"/>
    <mergeCell ref="O46:O47"/>
    <mergeCell ref="H48:H49"/>
    <mergeCell ref="I48:I49"/>
    <mergeCell ref="N48:N49"/>
    <mergeCell ref="H46:H47"/>
    <mergeCell ref="J46:J47"/>
    <mergeCell ref="K46:K47"/>
    <mergeCell ref="O48:O49"/>
    <mergeCell ref="I46:I47"/>
    <mergeCell ref="C52:C53"/>
    <mergeCell ref="C46:C47"/>
    <mergeCell ref="E46:E47"/>
    <mergeCell ref="F46:F47"/>
    <mergeCell ref="E52:E53"/>
    <mergeCell ref="F52:F53"/>
    <mergeCell ref="C48:C49"/>
    <mergeCell ref="E48:E49"/>
    <mergeCell ref="F48:F49"/>
    <mergeCell ref="C50:C51"/>
    <mergeCell ref="AC46:AC47"/>
    <mergeCell ref="AA44:AA45"/>
    <mergeCell ref="AB44:AB45"/>
    <mergeCell ref="AC44:AC45"/>
    <mergeCell ref="AA46:AA47"/>
    <mergeCell ref="AB46:AB47"/>
    <mergeCell ref="AC42:AC43"/>
    <mergeCell ref="R44:R45"/>
    <mergeCell ref="S44:S45"/>
    <mergeCell ref="R42:R43"/>
    <mergeCell ref="S42:S43"/>
    <mergeCell ref="U42:U43"/>
    <mergeCell ref="V42:V43"/>
    <mergeCell ref="C40:C41"/>
    <mergeCell ref="E40:E41"/>
    <mergeCell ref="F40:F41"/>
    <mergeCell ref="H40:H41"/>
    <mergeCell ref="C44:C45"/>
    <mergeCell ref="E44:E45"/>
    <mergeCell ref="C42:C43"/>
    <mergeCell ref="AB42:AB43"/>
    <mergeCell ref="AB40:AB41"/>
    <mergeCell ref="O40:O41"/>
    <mergeCell ref="X44:X45"/>
    <mergeCell ref="U40:U41"/>
    <mergeCell ref="V40:V41"/>
    <mergeCell ref="X40:X41"/>
    <mergeCell ref="S40:S41"/>
    <mergeCell ref="U44:U45"/>
    <mergeCell ref="V44:V45"/>
    <mergeCell ref="AC18:AC19"/>
    <mergeCell ref="AC40:AC41"/>
    <mergeCell ref="AA40:AA41"/>
    <mergeCell ref="Z40:Z41"/>
    <mergeCell ref="AA18:AA19"/>
    <mergeCell ref="AB18:AB19"/>
    <mergeCell ref="AC38:AC39"/>
    <mergeCell ref="AC28:AC29"/>
    <mergeCell ref="AB28:AB29"/>
    <mergeCell ref="AB20:AB21"/>
    <mergeCell ref="O18:O19"/>
    <mergeCell ref="I20:I21"/>
    <mergeCell ref="J20:J21"/>
    <mergeCell ref="I28:I29"/>
    <mergeCell ref="J28:J29"/>
    <mergeCell ref="I22:I23"/>
    <mergeCell ref="J22:J23"/>
    <mergeCell ref="K18:K19"/>
    <mergeCell ref="L18:L19"/>
    <mergeCell ref="N18:N19"/>
    <mergeCell ref="C18:C19"/>
    <mergeCell ref="E18:E19"/>
    <mergeCell ref="F18:F19"/>
    <mergeCell ref="H18:H19"/>
    <mergeCell ref="J18:J19"/>
    <mergeCell ref="I18:I19"/>
    <mergeCell ref="C16:C17"/>
    <mergeCell ref="E16:E17"/>
    <mergeCell ref="F16:F17"/>
    <mergeCell ref="H16:H17"/>
    <mergeCell ref="I16:I17"/>
    <mergeCell ref="O16:O17"/>
    <mergeCell ref="C12:C13"/>
    <mergeCell ref="E12:E13"/>
    <mergeCell ref="Q14:Q15"/>
    <mergeCell ref="R12:R13"/>
    <mergeCell ref="Q12:Q13"/>
    <mergeCell ref="C14:C15"/>
    <mergeCell ref="E14:E15"/>
    <mergeCell ref="L14:L15"/>
    <mergeCell ref="O14:O15"/>
    <mergeCell ref="I14:I15"/>
    <mergeCell ref="K16:K17"/>
    <mergeCell ref="AC14:AC15"/>
    <mergeCell ref="J16:J17"/>
    <mergeCell ref="J14:J15"/>
    <mergeCell ref="N14:N15"/>
    <mergeCell ref="L16:L17"/>
    <mergeCell ref="N16:N17"/>
    <mergeCell ref="AC16:AC17"/>
    <mergeCell ref="V16:V17"/>
    <mergeCell ref="X14:X15"/>
    <mergeCell ref="AC8:AC9"/>
    <mergeCell ref="Q10:Q11"/>
    <mergeCell ref="AC10:AC11"/>
    <mergeCell ref="AC12:AC13"/>
    <mergeCell ref="AA8:AA9"/>
    <mergeCell ref="AB8:AB9"/>
    <mergeCell ref="AA10:AA11"/>
    <mergeCell ref="AB10:AB11"/>
    <mergeCell ref="Z8:Z9"/>
    <mergeCell ref="Q8:Q9"/>
    <mergeCell ref="R8:R9"/>
    <mergeCell ref="C10:C11"/>
    <mergeCell ref="E10:E11"/>
    <mergeCell ref="F10:F11"/>
    <mergeCell ref="H10:H11"/>
    <mergeCell ref="N10:N11"/>
    <mergeCell ref="O10:O11"/>
    <mergeCell ref="R10:R11"/>
    <mergeCell ref="I10:I11"/>
    <mergeCell ref="F14:F15"/>
    <mergeCell ref="K14:K15"/>
    <mergeCell ref="F12:F13"/>
    <mergeCell ref="I12:I13"/>
    <mergeCell ref="J12:J13"/>
    <mergeCell ref="H12:H13"/>
    <mergeCell ref="H14:H15"/>
    <mergeCell ref="AA12:AA13"/>
    <mergeCell ref="AB12:AB13"/>
    <mergeCell ref="AA16:AA17"/>
    <mergeCell ref="AB16:AB17"/>
    <mergeCell ref="AA14:AA15"/>
    <mergeCell ref="AB14:AB15"/>
    <mergeCell ref="Z12:Z13"/>
    <mergeCell ref="Z14:Z15"/>
    <mergeCell ref="Y40:Y41"/>
    <mergeCell ref="Y16:Y17"/>
    <mergeCell ref="Z16:Z17"/>
    <mergeCell ref="Z18:Z19"/>
    <mergeCell ref="Y18:Y19"/>
    <mergeCell ref="Y14:Y15"/>
    <mergeCell ref="Z38:Z39"/>
    <mergeCell ref="Y20:Y21"/>
    <mergeCell ref="Y46:Y47"/>
    <mergeCell ref="Z46:Z47"/>
    <mergeCell ref="X18:X19"/>
    <mergeCell ref="Y8:Y9"/>
    <mergeCell ref="Y42:Y43"/>
    <mergeCell ref="Z42:Z43"/>
    <mergeCell ref="Y44:Y45"/>
    <mergeCell ref="X42:X43"/>
    <mergeCell ref="Z44:Z45"/>
    <mergeCell ref="Z10:Z11"/>
    <mergeCell ref="S18:S19"/>
    <mergeCell ref="U14:U15"/>
    <mergeCell ref="S14:S15"/>
    <mergeCell ref="V12:V13"/>
    <mergeCell ref="X12:X13"/>
    <mergeCell ref="S8:S9"/>
    <mergeCell ref="U8:U9"/>
    <mergeCell ref="V8:V9"/>
    <mergeCell ref="X8:X9"/>
    <mergeCell ref="U16:U17"/>
    <mergeCell ref="Q46:Q47"/>
    <mergeCell ref="R46:R47"/>
    <mergeCell ref="Q36:Q37"/>
    <mergeCell ref="R36:R37"/>
    <mergeCell ref="Q38:Q39"/>
    <mergeCell ref="Y10:Y11"/>
    <mergeCell ref="U12:U13"/>
    <mergeCell ref="U18:U19"/>
    <mergeCell ref="S16:S17"/>
    <mergeCell ref="S12:S13"/>
    <mergeCell ref="U46:U47"/>
    <mergeCell ref="X46:X47"/>
    <mergeCell ref="S28:S29"/>
    <mergeCell ref="U28:U29"/>
    <mergeCell ref="X38:X39"/>
    <mergeCell ref="V36:V37"/>
    <mergeCell ref="X36:X37"/>
    <mergeCell ref="S38:S39"/>
    <mergeCell ref="U36:U37"/>
    <mergeCell ref="V38:V39"/>
    <mergeCell ref="K44:K45"/>
    <mergeCell ref="F62:F63"/>
    <mergeCell ref="H62:H63"/>
    <mergeCell ref="I62:I63"/>
    <mergeCell ref="J62:J63"/>
    <mergeCell ref="K62:K63"/>
    <mergeCell ref="F44:F45"/>
    <mergeCell ref="H44:H45"/>
    <mergeCell ref="J44:J45"/>
    <mergeCell ref="I44:I45"/>
    <mergeCell ref="L46:L47"/>
    <mergeCell ref="N62:N63"/>
    <mergeCell ref="N46:N47"/>
    <mergeCell ref="N52:N53"/>
    <mergeCell ref="N58:N59"/>
    <mergeCell ref="N60:N61"/>
    <mergeCell ref="L56:L57"/>
    <mergeCell ref="N56:N57"/>
    <mergeCell ref="N50:N51"/>
    <mergeCell ref="O62:O63"/>
    <mergeCell ref="Q62:Q63"/>
    <mergeCell ref="R62:R63"/>
    <mergeCell ref="S62:S63"/>
    <mergeCell ref="L62:L63"/>
    <mergeCell ref="N54:N55"/>
    <mergeCell ref="R56:R57"/>
    <mergeCell ref="O56:O57"/>
    <mergeCell ref="Q56:Q57"/>
    <mergeCell ref="O58:O59"/>
    <mergeCell ref="U62:U63"/>
    <mergeCell ref="N42:N43"/>
    <mergeCell ref="K40:K41"/>
    <mergeCell ref="E42:E43"/>
    <mergeCell ref="F42:F43"/>
    <mergeCell ref="H42:H43"/>
    <mergeCell ref="L42:L43"/>
    <mergeCell ref="K42:K43"/>
    <mergeCell ref="O42:O43"/>
    <mergeCell ref="L40:L41"/>
    <mergeCell ref="N40:N41"/>
    <mergeCell ref="Q40:Q41"/>
    <mergeCell ref="R40:R41"/>
    <mergeCell ref="AC36:AC37"/>
    <mergeCell ref="Y36:Y37"/>
    <mergeCell ref="Z36:Z37"/>
    <mergeCell ref="AA36:AA37"/>
    <mergeCell ref="AB36:AB37"/>
    <mergeCell ref="S36:S37"/>
    <mergeCell ref="O36:O37"/>
    <mergeCell ref="C36:C37"/>
    <mergeCell ref="H36:H37"/>
    <mergeCell ref="I36:I37"/>
    <mergeCell ref="J36:J37"/>
    <mergeCell ref="E36:E37"/>
    <mergeCell ref="F36:F37"/>
    <mergeCell ref="AC62:AC63"/>
    <mergeCell ref="C70:C71"/>
    <mergeCell ref="H70:H71"/>
    <mergeCell ref="I70:I71"/>
    <mergeCell ref="J70:J71"/>
    <mergeCell ref="K70:K71"/>
    <mergeCell ref="L70:L71"/>
    <mergeCell ref="N70:N71"/>
    <mergeCell ref="V62:V63"/>
    <mergeCell ref="X62:X63"/>
    <mergeCell ref="V70:V71"/>
    <mergeCell ref="X70:X71"/>
    <mergeCell ref="AA62:AA63"/>
    <mergeCell ref="AB62:AB63"/>
    <mergeCell ref="Y62:Y63"/>
    <mergeCell ref="Z62:Z63"/>
    <mergeCell ref="AA68:AA69"/>
    <mergeCell ref="AB68:AB69"/>
    <mergeCell ref="Z64:Z65"/>
    <mergeCell ref="AA64:AA65"/>
    <mergeCell ref="O70:O71"/>
    <mergeCell ref="Q70:Q71"/>
    <mergeCell ref="AC70:AC71"/>
    <mergeCell ref="Y70:Y71"/>
    <mergeCell ref="Z70:Z71"/>
    <mergeCell ref="R70:R71"/>
    <mergeCell ref="AA70:AA71"/>
    <mergeCell ref="AB70:AB71"/>
    <mergeCell ref="S70:S71"/>
    <mergeCell ref="U70:U71"/>
  </mergeCells>
  <phoneticPr fontId="0" type="noConversion"/>
  <pageMargins left="0.5" right="0.5" top="0.5" bottom="0.5" header="0.5" footer="0.5"/>
  <pageSetup paperSize="5" scale="4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0482" r:id="rId4" name="Button 2">
              <controlPr defaultSize="0" print="0" autoFill="0" autoPict="0" macro="[0]!PLReport_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pageSetUpPr autoPageBreaks="0"/>
  </sheetPr>
  <dimension ref="A1:DV654"/>
  <sheetViews>
    <sheetView topLeftCell="AI1" zoomScale="80" workbookViewId="0">
      <selection activeCell="AT31" sqref="AT31"/>
    </sheetView>
  </sheetViews>
  <sheetFormatPr defaultRowHeight="13.2" x14ac:dyDescent="0.25"/>
  <cols>
    <col min="1" max="2" width="3.6640625" customWidth="1"/>
    <col min="3" max="3" width="17.6640625" customWidth="1"/>
    <col min="4" max="4" width="13.6640625" style="91" customWidth="1"/>
    <col min="5" max="5" width="3.6640625" style="62" customWidth="1"/>
    <col min="6" max="9" width="13.6640625" style="62" customWidth="1"/>
    <col min="10" max="24" width="13.6640625" customWidth="1"/>
    <col min="25" max="25" width="14.44140625" customWidth="1"/>
    <col min="26" max="54" width="13.6640625" customWidth="1"/>
    <col min="55" max="56" width="16.44140625" bestFit="1" customWidth="1"/>
    <col min="57" max="58" width="16.44140625" customWidth="1"/>
    <col min="59" max="60" width="13.6640625" customWidth="1"/>
    <col min="61" max="62" width="10.5546875" bestFit="1" customWidth="1"/>
    <col min="63" max="64" width="11.44140625" bestFit="1" customWidth="1"/>
    <col min="65" max="66" width="11.6640625" bestFit="1" customWidth="1"/>
    <col min="67" max="67" width="16.6640625" customWidth="1"/>
    <col min="68" max="68" width="17.109375" customWidth="1"/>
    <col min="69" max="69" width="13.109375" customWidth="1"/>
    <col min="70" max="70" width="11.44140625" customWidth="1"/>
    <col min="71" max="72" width="14.33203125" bestFit="1" customWidth="1"/>
    <col min="73" max="76" width="11.44140625" customWidth="1"/>
    <col min="77" max="77" width="16" style="62" customWidth="1"/>
    <col min="78" max="78" width="15.44140625" style="62" customWidth="1"/>
    <col min="79" max="79" width="14" customWidth="1"/>
    <col min="80" max="80" width="14.33203125" customWidth="1"/>
    <col min="81" max="82" width="15" style="62" bestFit="1" customWidth="1"/>
    <col min="83" max="84" width="10.5546875" style="62" bestFit="1" customWidth="1"/>
    <col min="85" max="85" width="12.88671875" style="62" customWidth="1"/>
    <col min="86" max="90" width="13" style="62" customWidth="1"/>
    <col min="91" max="100" width="13" customWidth="1"/>
    <col min="101" max="101" width="15" customWidth="1"/>
    <col min="102" max="102" width="15.6640625" customWidth="1"/>
    <col min="103" max="103" width="11.33203125" bestFit="1" customWidth="1"/>
    <col min="104" max="106" width="11.44140625" bestFit="1" customWidth="1"/>
    <col min="107" max="108" width="11.33203125" bestFit="1" customWidth="1"/>
    <col min="109" max="112" width="10.109375" style="62" bestFit="1" customWidth="1"/>
    <col min="113" max="113" width="13.6640625" style="62" bestFit="1" customWidth="1"/>
    <col min="114" max="114" width="10.109375" style="62" bestFit="1" customWidth="1"/>
    <col min="115" max="115" width="13.109375" bestFit="1" customWidth="1"/>
    <col min="116" max="116" width="11" bestFit="1" customWidth="1"/>
    <col min="117" max="117" width="11.33203125" bestFit="1" customWidth="1"/>
    <col min="118" max="118" width="12.44140625" customWidth="1"/>
    <col min="119" max="119" width="12.109375" customWidth="1"/>
    <col min="120" max="120" width="11.88671875" customWidth="1"/>
    <col min="121" max="122" width="11.33203125" bestFit="1" customWidth="1"/>
    <col min="123" max="124" width="10.109375" bestFit="1" customWidth="1"/>
    <col min="125" max="125" width="10.33203125" customWidth="1"/>
    <col min="126" max="126" width="11" customWidth="1"/>
  </cols>
  <sheetData>
    <row r="1" spans="1:126" x14ac:dyDescent="0.25">
      <c r="A1" s="79"/>
      <c r="BY1"/>
      <c r="BZ1"/>
      <c r="CC1"/>
      <c r="CD1"/>
      <c r="CE1"/>
      <c r="CF1"/>
      <c r="CG1"/>
      <c r="CH1"/>
      <c r="CI1"/>
      <c r="CJ1"/>
      <c r="CK1"/>
      <c r="CL1"/>
      <c r="DE1"/>
      <c r="DF1"/>
      <c r="DG1"/>
      <c r="DH1"/>
      <c r="DI1"/>
      <c r="DJ1"/>
    </row>
    <row r="2" spans="1:126" x14ac:dyDescent="0.25">
      <c r="BY2"/>
      <c r="BZ2"/>
      <c r="CC2"/>
      <c r="CD2"/>
      <c r="CE2"/>
      <c r="CF2"/>
      <c r="CG2"/>
      <c r="CH2"/>
      <c r="CI2"/>
      <c r="CJ2"/>
      <c r="CK2"/>
      <c r="CL2"/>
      <c r="DE2"/>
      <c r="DF2"/>
      <c r="DG2"/>
      <c r="DH2"/>
      <c r="DI2"/>
      <c r="DJ2"/>
    </row>
    <row r="3" spans="1:126" x14ac:dyDescent="0.25">
      <c r="B3" s="58" t="s">
        <v>49</v>
      </c>
      <c r="C3" s="59"/>
      <c r="D3" s="60"/>
      <c r="E3" s="61"/>
      <c r="G3" s="63" t="s">
        <v>50</v>
      </c>
      <c r="H3" s="61"/>
      <c r="I3" s="61"/>
      <c r="BY3"/>
      <c r="BZ3"/>
      <c r="CC3"/>
      <c r="CD3"/>
      <c r="CE3"/>
      <c r="CF3"/>
      <c r="CG3"/>
      <c r="CH3"/>
      <c r="CI3"/>
      <c r="CJ3"/>
      <c r="CK3"/>
      <c r="CL3"/>
      <c r="DE3"/>
      <c r="DF3"/>
      <c r="DG3"/>
      <c r="DH3"/>
      <c r="DI3"/>
      <c r="DJ3"/>
    </row>
    <row r="4" spans="1:126" x14ac:dyDescent="0.25">
      <c r="B4" s="92"/>
      <c r="C4" s="92"/>
      <c r="D4" s="93"/>
      <c r="E4" s="94"/>
      <c r="G4" s="94"/>
      <c r="H4" s="94"/>
      <c r="I4" s="94"/>
      <c r="BY4"/>
      <c r="BZ4"/>
      <c r="CC4"/>
      <c r="CD4"/>
      <c r="CE4"/>
      <c r="CF4"/>
      <c r="CG4"/>
      <c r="CH4"/>
      <c r="CI4"/>
      <c r="CJ4"/>
      <c r="CK4"/>
      <c r="CL4"/>
      <c r="DE4"/>
      <c r="DF4"/>
      <c r="DG4"/>
      <c r="DH4"/>
      <c r="DI4"/>
      <c r="DJ4"/>
    </row>
    <row r="5" spans="1:126" x14ac:dyDescent="0.25">
      <c r="B5" s="92"/>
      <c r="C5" s="92" t="s">
        <v>51</v>
      </c>
      <c r="D5" s="64" t="s">
        <v>52</v>
      </c>
      <c r="E5" s="94"/>
      <c r="G5" s="95" t="s">
        <v>53</v>
      </c>
      <c r="H5" s="65">
        <f>'Daily Operation'!D7</f>
        <v>37242</v>
      </c>
      <c r="I5" s="94"/>
      <c r="K5" s="66"/>
      <c r="BY5"/>
      <c r="BZ5"/>
      <c r="CC5"/>
      <c r="CD5"/>
      <c r="CE5"/>
      <c r="CF5"/>
      <c r="CG5"/>
      <c r="CH5"/>
      <c r="CI5"/>
      <c r="CJ5"/>
      <c r="CK5"/>
      <c r="CL5"/>
      <c r="DE5"/>
      <c r="DF5"/>
      <c r="DG5"/>
      <c r="DH5"/>
      <c r="DI5"/>
      <c r="DJ5"/>
    </row>
    <row r="6" spans="1:126" x14ac:dyDescent="0.25">
      <c r="B6" s="92"/>
      <c r="C6" s="92" t="s">
        <v>54</v>
      </c>
      <c r="D6" s="64" t="s">
        <v>55</v>
      </c>
      <c r="E6" s="94"/>
      <c r="G6" s="95" t="s">
        <v>25</v>
      </c>
      <c r="H6" s="497">
        <f>EOMONTH(FetchDate,-1)+1</f>
        <v>37226</v>
      </c>
      <c r="I6" s="94"/>
      <c r="K6" s="66"/>
      <c r="BY6"/>
      <c r="BZ6"/>
      <c r="CC6"/>
      <c r="CD6"/>
      <c r="CE6"/>
      <c r="CF6"/>
      <c r="CG6"/>
      <c r="CH6"/>
      <c r="CI6"/>
      <c r="CJ6"/>
      <c r="CK6"/>
      <c r="CL6"/>
      <c r="DE6"/>
      <c r="DF6"/>
      <c r="DG6"/>
      <c r="DH6"/>
      <c r="DI6"/>
      <c r="DJ6"/>
    </row>
    <row r="7" spans="1:126" x14ac:dyDescent="0.25">
      <c r="B7" s="92"/>
      <c r="C7" s="92" t="s">
        <v>56</v>
      </c>
      <c r="D7" s="64" t="s">
        <v>55</v>
      </c>
      <c r="E7" s="94"/>
      <c r="G7" s="95" t="s">
        <v>26</v>
      </c>
      <c r="H7" s="65">
        <f>Configuration!I3</f>
        <v>46022</v>
      </c>
      <c r="I7" s="94"/>
      <c r="BY7"/>
      <c r="BZ7"/>
      <c r="CC7"/>
      <c r="CD7"/>
      <c r="CE7"/>
      <c r="CF7"/>
      <c r="CG7"/>
      <c r="CH7"/>
      <c r="CI7"/>
      <c r="CJ7"/>
      <c r="CK7"/>
      <c r="CL7"/>
      <c r="DE7"/>
      <c r="DF7"/>
      <c r="DG7"/>
      <c r="DH7"/>
      <c r="DI7"/>
      <c r="DJ7"/>
    </row>
    <row r="8" spans="1:126" x14ac:dyDescent="0.25">
      <c r="B8" s="92"/>
      <c r="C8" s="92"/>
      <c r="D8" s="93"/>
      <c r="E8" s="94"/>
      <c r="G8" s="94"/>
      <c r="H8" s="94"/>
      <c r="I8" s="94"/>
      <c r="BY8"/>
      <c r="BZ8"/>
      <c r="CC8"/>
      <c r="CD8"/>
      <c r="CE8"/>
      <c r="CF8"/>
      <c r="CG8"/>
      <c r="CH8"/>
      <c r="CI8"/>
      <c r="CJ8"/>
      <c r="CK8"/>
      <c r="CL8"/>
      <c r="DE8"/>
      <c r="DF8"/>
      <c r="DG8"/>
      <c r="DH8"/>
      <c r="DI8"/>
      <c r="DJ8"/>
    </row>
    <row r="9" spans="1:126" x14ac:dyDescent="0.25">
      <c r="BY9"/>
      <c r="BZ9"/>
      <c r="CC9"/>
      <c r="CD9"/>
      <c r="CE9"/>
      <c r="CF9"/>
      <c r="CG9"/>
      <c r="CH9"/>
      <c r="CI9"/>
      <c r="CJ9"/>
      <c r="CK9"/>
      <c r="CL9"/>
      <c r="DE9"/>
      <c r="DF9"/>
      <c r="DG9"/>
      <c r="DH9"/>
      <c r="DI9"/>
      <c r="DJ9"/>
    </row>
    <row r="10" spans="1:126" x14ac:dyDescent="0.25">
      <c r="BY10"/>
      <c r="BZ10"/>
      <c r="CC10"/>
      <c r="CD10"/>
      <c r="CE10"/>
      <c r="CF10"/>
      <c r="CG10"/>
      <c r="CH10"/>
      <c r="CI10"/>
      <c r="CJ10"/>
      <c r="CK10"/>
      <c r="CL10"/>
      <c r="DE10"/>
      <c r="DF10"/>
      <c r="DG10"/>
      <c r="DH10"/>
      <c r="DI10"/>
      <c r="DJ10"/>
    </row>
    <row r="11" spans="1:126" s="70" customFormat="1" x14ac:dyDescent="0.25">
      <c r="A11" s="67"/>
      <c r="B11" s="67"/>
      <c r="C11" s="67"/>
      <c r="D11" s="96" t="s">
        <v>57</v>
      </c>
      <c r="E11" s="68"/>
      <c r="F11" s="68" t="s">
        <v>27</v>
      </c>
      <c r="G11" s="70" t="s">
        <v>27</v>
      </c>
      <c r="H11" s="68" t="s">
        <v>27</v>
      </c>
      <c r="I11" s="69" t="s">
        <v>27</v>
      </c>
      <c r="J11" s="69" t="s">
        <v>27</v>
      </c>
      <c r="K11" s="70" t="s">
        <v>27</v>
      </c>
      <c r="L11" s="70" t="s">
        <v>27</v>
      </c>
      <c r="M11" s="70" t="s">
        <v>27</v>
      </c>
      <c r="N11" s="70" t="s">
        <v>27</v>
      </c>
      <c r="O11" s="70" t="s">
        <v>27</v>
      </c>
      <c r="P11" s="70" t="s">
        <v>27</v>
      </c>
      <c r="Q11" s="70" t="s">
        <v>27</v>
      </c>
      <c r="R11" s="70" t="s">
        <v>27</v>
      </c>
      <c r="S11" s="70" t="s">
        <v>27</v>
      </c>
      <c r="T11" s="70" t="s">
        <v>27</v>
      </c>
      <c r="U11" s="70" t="s">
        <v>27</v>
      </c>
      <c r="V11" s="70" t="s">
        <v>27</v>
      </c>
      <c r="W11" s="68" t="s">
        <v>27</v>
      </c>
      <c r="X11" s="70" t="s">
        <v>27</v>
      </c>
      <c r="Y11" s="68" t="s">
        <v>27</v>
      </c>
      <c r="Z11" s="69" t="s">
        <v>27</v>
      </c>
      <c r="AA11" s="68" t="s">
        <v>27</v>
      </c>
      <c r="AB11" s="70" t="s">
        <v>27</v>
      </c>
      <c r="AC11" s="68" t="s">
        <v>27</v>
      </c>
      <c r="AD11" s="69" t="s">
        <v>27</v>
      </c>
      <c r="AE11" s="69" t="s">
        <v>27</v>
      </c>
      <c r="AF11" s="69" t="s">
        <v>27</v>
      </c>
      <c r="AG11" s="69" t="s">
        <v>27</v>
      </c>
      <c r="AH11" s="69" t="s">
        <v>27</v>
      </c>
      <c r="AI11" s="69" t="s">
        <v>27</v>
      </c>
      <c r="AJ11" s="69" t="s">
        <v>27</v>
      </c>
      <c r="AK11" s="69" t="s">
        <v>27</v>
      </c>
      <c r="AL11" s="69" t="s">
        <v>27</v>
      </c>
      <c r="AM11" s="69" t="s">
        <v>27</v>
      </c>
      <c r="AN11" s="70" t="s">
        <v>27</v>
      </c>
      <c r="AO11" s="70" t="s">
        <v>27</v>
      </c>
      <c r="AP11" s="70" t="s">
        <v>27</v>
      </c>
      <c r="AQ11" s="70" t="s">
        <v>27</v>
      </c>
      <c r="AR11" s="70" t="s">
        <v>27</v>
      </c>
      <c r="AS11" s="70" t="s">
        <v>27</v>
      </c>
      <c r="AT11" s="70" t="s">
        <v>27</v>
      </c>
      <c r="AU11" s="70" t="s">
        <v>27</v>
      </c>
      <c r="AV11" s="70" t="s">
        <v>27</v>
      </c>
      <c r="AW11" s="70" t="s">
        <v>27</v>
      </c>
      <c r="AX11" s="70" t="s">
        <v>27</v>
      </c>
      <c r="AY11" s="70" t="s">
        <v>27</v>
      </c>
      <c r="AZ11" s="70" t="s">
        <v>27</v>
      </c>
      <c r="BA11" s="68" t="s">
        <v>27</v>
      </c>
      <c r="BB11" s="70" t="s">
        <v>27</v>
      </c>
      <c r="BC11" s="68" t="s">
        <v>27</v>
      </c>
      <c r="BD11" s="70" t="s">
        <v>27</v>
      </c>
      <c r="BE11" s="70" t="s">
        <v>27</v>
      </c>
      <c r="BF11" s="70" t="s">
        <v>27</v>
      </c>
      <c r="BG11" s="68" t="s">
        <v>27</v>
      </c>
      <c r="BH11" s="69" t="s">
        <v>27</v>
      </c>
      <c r="BI11" s="69" t="s">
        <v>27</v>
      </c>
      <c r="BJ11" s="70" t="s">
        <v>27</v>
      </c>
      <c r="BK11" s="70" t="s">
        <v>27</v>
      </c>
      <c r="BL11" s="70" t="s">
        <v>27</v>
      </c>
      <c r="BM11" s="70" t="s">
        <v>27</v>
      </c>
      <c r="BN11" s="70" t="s">
        <v>27</v>
      </c>
      <c r="BO11" s="70" t="s">
        <v>27</v>
      </c>
      <c r="BP11" s="70" t="s">
        <v>27</v>
      </c>
      <c r="BQ11" s="70" t="s">
        <v>27</v>
      </c>
      <c r="BR11" s="70" t="s">
        <v>27</v>
      </c>
      <c r="BS11" s="70" t="s">
        <v>27</v>
      </c>
      <c r="BT11" s="70" t="s">
        <v>27</v>
      </c>
      <c r="BU11" s="70" t="s">
        <v>27</v>
      </c>
      <c r="BV11" s="70" t="s">
        <v>27</v>
      </c>
      <c r="BW11" s="70" t="s">
        <v>27</v>
      </c>
      <c r="BX11" s="70" t="s">
        <v>27</v>
      </c>
      <c r="BY11" s="70" t="s">
        <v>27</v>
      </c>
      <c r="BZ11" s="70" t="s">
        <v>27</v>
      </c>
      <c r="CA11" s="70" t="s">
        <v>27</v>
      </c>
      <c r="CB11" s="70" t="s">
        <v>27</v>
      </c>
      <c r="CC11" s="70" t="s">
        <v>27</v>
      </c>
      <c r="CD11" s="70" t="s">
        <v>27</v>
      </c>
      <c r="CE11" s="68" t="s">
        <v>27</v>
      </c>
      <c r="CF11" s="70" t="s">
        <v>27</v>
      </c>
      <c r="CG11" s="70" t="s">
        <v>27</v>
      </c>
      <c r="CH11" s="70" t="s">
        <v>27</v>
      </c>
      <c r="CI11" s="70" t="s">
        <v>27</v>
      </c>
      <c r="CJ11" s="70" t="s">
        <v>27</v>
      </c>
      <c r="CK11" s="70" t="s">
        <v>27</v>
      </c>
      <c r="CL11" s="70" t="s">
        <v>27</v>
      </c>
      <c r="CM11" s="70" t="s">
        <v>27</v>
      </c>
      <c r="CN11" s="70" t="s">
        <v>27</v>
      </c>
      <c r="CO11" s="70" t="s">
        <v>27</v>
      </c>
      <c r="CP11" s="70" t="s">
        <v>27</v>
      </c>
      <c r="CQ11" s="70" t="s">
        <v>27</v>
      </c>
      <c r="CR11" s="70" t="s">
        <v>27</v>
      </c>
      <c r="CS11" s="70" t="s">
        <v>27</v>
      </c>
      <c r="CT11" s="70" t="s">
        <v>27</v>
      </c>
      <c r="CU11" s="70" t="s">
        <v>27</v>
      </c>
      <c r="CV11" s="70" t="s">
        <v>27</v>
      </c>
      <c r="CW11" s="70" t="s">
        <v>27</v>
      </c>
      <c r="CX11" s="70" t="s">
        <v>27</v>
      </c>
      <c r="CY11" s="68" t="s">
        <v>27</v>
      </c>
      <c r="CZ11" s="70" t="s">
        <v>27</v>
      </c>
      <c r="DA11" s="70" t="s">
        <v>27</v>
      </c>
      <c r="DB11" s="70" t="s">
        <v>27</v>
      </c>
      <c r="DC11" s="70" t="s">
        <v>27</v>
      </c>
      <c r="DD11" s="70" t="s">
        <v>27</v>
      </c>
      <c r="DE11" s="70" t="s">
        <v>27</v>
      </c>
      <c r="DF11" s="70" t="s">
        <v>27</v>
      </c>
      <c r="DG11" s="70" t="s">
        <v>27</v>
      </c>
      <c r="DH11" s="70" t="s">
        <v>27</v>
      </c>
      <c r="DI11" s="70" t="s">
        <v>27</v>
      </c>
      <c r="DJ11" s="70" t="s">
        <v>27</v>
      </c>
      <c r="DK11" s="70" t="s">
        <v>27</v>
      </c>
      <c r="DL11" s="70" t="s">
        <v>27</v>
      </c>
      <c r="DM11" s="70" t="s">
        <v>27</v>
      </c>
      <c r="DN11" s="70" t="s">
        <v>27</v>
      </c>
      <c r="DO11" s="70" t="s">
        <v>27</v>
      </c>
      <c r="DP11" s="70" t="s">
        <v>27</v>
      </c>
      <c r="DQ11" s="70" t="s">
        <v>27</v>
      </c>
      <c r="DR11" s="70" t="s">
        <v>27</v>
      </c>
      <c r="DS11" s="70" t="s">
        <v>27</v>
      </c>
      <c r="DT11" s="70" t="s">
        <v>27</v>
      </c>
      <c r="DU11" s="70" t="s">
        <v>27</v>
      </c>
      <c r="DV11" s="70" t="s">
        <v>27</v>
      </c>
    </row>
    <row r="12" spans="1:126" s="74" customFormat="1" x14ac:dyDescent="0.25">
      <c r="A12" s="71"/>
      <c r="B12" s="71"/>
      <c r="C12" s="71"/>
      <c r="D12" s="97" t="s">
        <v>58</v>
      </c>
      <c r="E12" s="72"/>
      <c r="F12" s="73">
        <v>37239</v>
      </c>
      <c r="G12" s="73">
        <v>37239</v>
      </c>
      <c r="H12" s="73">
        <v>37239</v>
      </c>
      <c r="I12" s="73">
        <v>37239</v>
      </c>
      <c r="J12" s="73">
        <v>37239</v>
      </c>
      <c r="K12" s="73">
        <v>37239</v>
      </c>
      <c r="L12" s="73">
        <v>37239</v>
      </c>
      <c r="M12" s="73">
        <v>37239</v>
      </c>
      <c r="N12" s="73">
        <v>37239</v>
      </c>
      <c r="O12" s="73">
        <v>37239</v>
      </c>
      <c r="P12" s="73">
        <v>37239</v>
      </c>
      <c r="Q12" s="73">
        <v>37239</v>
      </c>
      <c r="R12" s="73">
        <v>37239</v>
      </c>
      <c r="S12" s="73">
        <v>37239</v>
      </c>
      <c r="T12" s="73">
        <v>37239</v>
      </c>
      <c r="U12" s="73">
        <v>37239</v>
      </c>
      <c r="V12" s="73">
        <v>37239</v>
      </c>
      <c r="W12" s="73">
        <v>37239</v>
      </c>
      <c r="X12" s="73">
        <v>37239</v>
      </c>
      <c r="Y12" s="73">
        <v>37239</v>
      </c>
      <c r="Z12" s="73">
        <v>37239</v>
      </c>
      <c r="AA12" s="73">
        <v>37239</v>
      </c>
      <c r="AB12" s="73">
        <v>37239</v>
      </c>
      <c r="AC12" s="73">
        <v>37239</v>
      </c>
      <c r="AD12" s="73">
        <v>37239</v>
      </c>
      <c r="AE12" s="73">
        <v>37239</v>
      </c>
      <c r="AF12" s="73">
        <v>37239</v>
      </c>
      <c r="AG12" s="73">
        <v>37239</v>
      </c>
      <c r="AH12" s="73">
        <v>37239</v>
      </c>
      <c r="AI12" s="73">
        <v>37239</v>
      </c>
      <c r="AJ12" s="73">
        <v>37239</v>
      </c>
      <c r="AK12" s="73">
        <v>37239</v>
      </c>
      <c r="AL12" s="73">
        <v>37239</v>
      </c>
      <c r="AM12" s="73">
        <v>37239</v>
      </c>
      <c r="AN12" s="73">
        <v>37239</v>
      </c>
      <c r="AO12" s="73">
        <v>37239</v>
      </c>
      <c r="AP12" s="73">
        <v>37239</v>
      </c>
      <c r="AQ12" s="73">
        <v>37239</v>
      </c>
      <c r="AR12" s="73">
        <v>37239</v>
      </c>
      <c r="AS12" s="73">
        <v>37239</v>
      </c>
      <c r="AT12" s="73">
        <v>37239</v>
      </c>
      <c r="AU12" s="73">
        <v>37239</v>
      </c>
      <c r="AV12" s="73">
        <v>37239</v>
      </c>
      <c r="AW12" s="73">
        <v>37239</v>
      </c>
      <c r="AX12" s="73">
        <v>37239</v>
      </c>
      <c r="AY12" s="73">
        <v>37239</v>
      </c>
      <c r="AZ12" s="73">
        <v>37239</v>
      </c>
      <c r="BA12" s="73">
        <v>37239</v>
      </c>
      <c r="BB12" s="73">
        <v>37239</v>
      </c>
      <c r="BC12" s="73">
        <v>37239</v>
      </c>
      <c r="BD12" s="73">
        <v>37239</v>
      </c>
      <c r="BE12" s="73">
        <v>37239</v>
      </c>
      <c r="BF12" s="73">
        <v>37239</v>
      </c>
      <c r="BG12" s="73">
        <v>37239</v>
      </c>
      <c r="BH12" s="73">
        <v>37239</v>
      </c>
      <c r="BI12" s="73">
        <v>37239</v>
      </c>
      <c r="BJ12" s="73">
        <v>37239</v>
      </c>
      <c r="BK12" s="73">
        <v>37239</v>
      </c>
      <c r="BL12" s="73">
        <v>37239</v>
      </c>
      <c r="BM12" s="73">
        <v>37239</v>
      </c>
      <c r="BN12" s="73">
        <v>37239</v>
      </c>
      <c r="BO12" s="73">
        <v>37239</v>
      </c>
      <c r="BP12" s="73">
        <v>37239</v>
      </c>
      <c r="BQ12" s="73">
        <v>37239</v>
      </c>
      <c r="BR12" s="73">
        <v>37239</v>
      </c>
      <c r="BS12" s="73">
        <v>37239</v>
      </c>
      <c r="BT12" s="73">
        <v>37239</v>
      </c>
      <c r="BU12" s="73">
        <v>37239</v>
      </c>
      <c r="BV12" s="73">
        <v>37239</v>
      </c>
      <c r="BW12" s="73">
        <v>37239</v>
      </c>
      <c r="BX12" s="73">
        <v>37239</v>
      </c>
      <c r="BY12" s="73">
        <v>37239</v>
      </c>
      <c r="BZ12" s="73">
        <v>37239</v>
      </c>
      <c r="CA12" s="73">
        <v>37239</v>
      </c>
      <c r="CB12" s="73">
        <v>37239</v>
      </c>
      <c r="CC12" s="73">
        <v>37239</v>
      </c>
      <c r="CD12" s="73">
        <v>37239</v>
      </c>
      <c r="CE12" s="73">
        <v>37239</v>
      </c>
      <c r="CF12" s="73">
        <v>37239</v>
      </c>
      <c r="CG12" s="73">
        <v>37239</v>
      </c>
      <c r="CH12" s="73">
        <v>37239</v>
      </c>
      <c r="CI12" s="73">
        <v>37239</v>
      </c>
      <c r="CJ12" s="73">
        <v>37239</v>
      </c>
      <c r="CK12" s="73">
        <v>37239</v>
      </c>
      <c r="CL12" s="73">
        <v>37239</v>
      </c>
      <c r="CM12" s="73">
        <v>37239</v>
      </c>
      <c r="CN12" s="73">
        <v>37239</v>
      </c>
      <c r="CO12" s="73">
        <v>37239</v>
      </c>
      <c r="CP12" s="73">
        <v>37239</v>
      </c>
      <c r="CQ12" s="73">
        <v>37239</v>
      </c>
      <c r="CR12" s="73">
        <v>37239</v>
      </c>
      <c r="CS12" s="73">
        <v>37239</v>
      </c>
      <c r="CT12" s="73">
        <v>37239</v>
      </c>
      <c r="CU12" s="73">
        <v>37239</v>
      </c>
      <c r="CV12" s="73">
        <v>37239</v>
      </c>
      <c r="CW12" s="73">
        <v>37239</v>
      </c>
      <c r="CX12" s="73">
        <v>37239</v>
      </c>
      <c r="CY12" s="73">
        <v>37239</v>
      </c>
      <c r="CZ12" s="73">
        <v>37239</v>
      </c>
      <c r="DA12" s="73">
        <v>37239</v>
      </c>
      <c r="DB12" s="73">
        <v>37239</v>
      </c>
      <c r="DC12" s="73">
        <v>37239</v>
      </c>
      <c r="DD12" s="74">
        <v>36831</v>
      </c>
      <c r="DE12" s="73">
        <v>37239</v>
      </c>
      <c r="DF12" s="73">
        <v>37239</v>
      </c>
      <c r="DG12" s="73">
        <v>37239</v>
      </c>
      <c r="DH12" s="73">
        <v>37239</v>
      </c>
      <c r="DI12" s="73">
        <v>37239</v>
      </c>
      <c r="DJ12" s="73">
        <v>37239</v>
      </c>
      <c r="DK12" s="74">
        <v>37239</v>
      </c>
      <c r="DL12" s="74">
        <v>37239</v>
      </c>
      <c r="DM12" s="74">
        <v>37239</v>
      </c>
      <c r="DN12" s="74">
        <v>37239</v>
      </c>
      <c r="DO12" s="74">
        <v>37239</v>
      </c>
      <c r="DP12" s="74">
        <v>37239</v>
      </c>
      <c r="DQ12" s="74">
        <v>37239</v>
      </c>
      <c r="DR12" s="74">
        <v>37239</v>
      </c>
      <c r="DS12" s="74">
        <v>37239</v>
      </c>
      <c r="DT12" s="74">
        <v>37239</v>
      </c>
      <c r="DU12" s="74">
        <v>37239</v>
      </c>
      <c r="DV12" s="74">
        <v>37239</v>
      </c>
    </row>
    <row r="13" spans="1:126" s="74" customFormat="1" x14ac:dyDescent="0.25">
      <c r="A13" s="71"/>
      <c r="B13" s="71"/>
      <c r="C13" s="71"/>
      <c r="D13" s="97" t="s">
        <v>59</v>
      </c>
      <c r="E13" s="72"/>
      <c r="F13" s="73">
        <v>37239</v>
      </c>
      <c r="G13" s="73">
        <v>37239</v>
      </c>
      <c r="H13" s="73">
        <v>37239</v>
      </c>
      <c r="I13" s="73">
        <v>37239</v>
      </c>
      <c r="J13" s="73">
        <v>37239</v>
      </c>
      <c r="K13" s="73">
        <v>37239</v>
      </c>
      <c r="L13" s="73">
        <v>37239</v>
      </c>
      <c r="M13" s="73">
        <v>37239</v>
      </c>
      <c r="N13" s="73">
        <v>37239</v>
      </c>
      <c r="O13" s="73">
        <v>37239</v>
      </c>
      <c r="P13" s="73">
        <v>37239</v>
      </c>
      <c r="Q13" s="73">
        <v>37239</v>
      </c>
      <c r="R13" s="73">
        <v>37239</v>
      </c>
      <c r="S13" s="73">
        <v>37239</v>
      </c>
      <c r="T13" s="73">
        <v>37239</v>
      </c>
      <c r="U13" s="73">
        <v>37239</v>
      </c>
      <c r="V13" s="73">
        <v>37239</v>
      </c>
      <c r="W13" s="73">
        <v>37239</v>
      </c>
      <c r="X13" s="73">
        <v>37239</v>
      </c>
      <c r="Y13" s="73">
        <v>37239</v>
      </c>
      <c r="Z13" s="73">
        <v>37239</v>
      </c>
      <c r="AA13" s="73">
        <v>37239</v>
      </c>
      <c r="AB13" s="73">
        <v>37239</v>
      </c>
      <c r="AC13" s="73">
        <v>37239</v>
      </c>
      <c r="AD13" s="73">
        <v>37239</v>
      </c>
      <c r="AE13" s="73">
        <v>37239</v>
      </c>
      <c r="AF13" s="73">
        <v>37239</v>
      </c>
      <c r="AG13" s="73">
        <v>37239</v>
      </c>
      <c r="AH13" s="73">
        <v>37239</v>
      </c>
      <c r="AI13" s="73">
        <v>37239</v>
      </c>
      <c r="AJ13" s="73">
        <v>37239</v>
      </c>
      <c r="AK13" s="73">
        <v>37239</v>
      </c>
      <c r="AL13" s="73">
        <v>37239</v>
      </c>
      <c r="AM13" s="73">
        <v>37239</v>
      </c>
      <c r="AN13" s="73">
        <v>37239</v>
      </c>
      <c r="AO13" s="73">
        <v>37239</v>
      </c>
      <c r="AP13" s="73">
        <v>37239</v>
      </c>
      <c r="AQ13" s="73">
        <v>37239</v>
      </c>
      <c r="AR13" s="73">
        <v>37239</v>
      </c>
      <c r="AS13" s="73">
        <v>37239</v>
      </c>
      <c r="AT13" s="73">
        <v>37239</v>
      </c>
      <c r="AU13" s="73">
        <v>37239</v>
      </c>
      <c r="AV13" s="73">
        <v>37239</v>
      </c>
      <c r="AW13" s="73">
        <v>37239</v>
      </c>
      <c r="AX13" s="73">
        <v>37239</v>
      </c>
      <c r="AY13" s="73">
        <v>37239</v>
      </c>
      <c r="AZ13" s="73">
        <v>37239</v>
      </c>
      <c r="BA13" s="73">
        <v>37239</v>
      </c>
      <c r="BB13" s="73">
        <v>37239</v>
      </c>
      <c r="BC13" s="73">
        <v>37239</v>
      </c>
      <c r="BD13" s="73">
        <v>37239</v>
      </c>
      <c r="BE13" s="73">
        <v>37239</v>
      </c>
      <c r="BF13" s="73">
        <v>37239</v>
      </c>
      <c r="BG13" s="73">
        <v>37239</v>
      </c>
      <c r="BH13" s="73">
        <v>37239</v>
      </c>
      <c r="BI13" s="73">
        <v>37239</v>
      </c>
      <c r="BJ13" s="73">
        <v>37239</v>
      </c>
      <c r="BK13" s="73">
        <v>37239</v>
      </c>
      <c r="BL13" s="73">
        <v>37239</v>
      </c>
      <c r="BM13" s="73">
        <v>37239</v>
      </c>
      <c r="BN13" s="73">
        <v>37239</v>
      </c>
      <c r="BO13" s="73">
        <v>37239</v>
      </c>
      <c r="BP13" s="73">
        <v>37239</v>
      </c>
      <c r="BQ13" s="73">
        <v>37239</v>
      </c>
      <c r="BR13" s="73">
        <v>37239</v>
      </c>
      <c r="BS13" s="73">
        <v>37239</v>
      </c>
      <c r="BT13" s="73">
        <v>37239</v>
      </c>
      <c r="BU13" s="73">
        <v>37239</v>
      </c>
      <c r="BV13" s="73">
        <v>37239</v>
      </c>
      <c r="BW13" s="73">
        <v>37239</v>
      </c>
      <c r="BX13" s="73">
        <v>37239</v>
      </c>
      <c r="BY13" s="73">
        <v>37239</v>
      </c>
      <c r="BZ13" s="73">
        <v>37239</v>
      </c>
      <c r="CA13" s="73">
        <v>37239</v>
      </c>
      <c r="CB13" s="73">
        <v>37239</v>
      </c>
      <c r="CC13" s="73">
        <v>37239</v>
      </c>
      <c r="CD13" s="73">
        <v>37239</v>
      </c>
      <c r="CE13" s="73">
        <v>37239</v>
      </c>
      <c r="CF13" s="73">
        <v>37239</v>
      </c>
      <c r="CG13" s="73">
        <v>37239</v>
      </c>
      <c r="CH13" s="73">
        <v>37239</v>
      </c>
      <c r="CI13" s="73">
        <v>37239</v>
      </c>
      <c r="CJ13" s="73">
        <v>37239</v>
      </c>
      <c r="CK13" s="73">
        <v>37239</v>
      </c>
      <c r="CL13" s="73">
        <v>37239</v>
      </c>
      <c r="CM13" s="73">
        <v>37239</v>
      </c>
      <c r="CN13" s="73">
        <v>37239</v>
      </c>
      <c r="CO13" s="73">
        <v>37239</v>
      </c>
      <c r="CP13" s="73">
        <v>37239</v>
      </c>
      <c r="CQ13" s="73">
        <v>37239</v>
      </c>
      <c r="CR13" s="73">
        <v>37239</v>
      </c>
      <c r="CS13" s="73">
        <v>37239</v>
      </c>
      <c r="CT13" s="73">
        <v>37239</v>
      </c>
      <c r="CU13" s="73">
        <v>37239</v>
      </c>
      <c r="CV13" s="73">
        <v>37239</v>
      </c>
      <c r="CW13" s="73">
        <v>37239</v>
      </c>
      <c r="CX13" s="73">
        <v>37239</v>
      </c>
      <c r="CY13" s="73">
        <v>37239</v>
      </c>
      <c r="CZ13" s="73">
        <v>37239</v>
      </c>
      <c r="DA13" s="73">
        <v>37239</v>
      </c>
      <c r="DB13" s="73">
        <v>37239</v>
      </c>
      <c r="DC13" s="73">
        <v>37239</v>
      </c>
      <c r="DD13" s="74">
        <v>36831</v>
      </c>
      <c r="DE13" s="73">
        <v>37239</v>
      </c>
      <c r="DF13" s="73">
        <v>37239</v>
      </c>
      <c r="DG13" s="73">
        <v>37239</v>
      </c>
      <c r="DH13" s="73">
        <v>37239</v>
      </c>
      <c r="DI13" s="73">
        <v>37239</v>
      </c>
      <c r="DJ13" s="73">
        <v>37239</v>
      </c>
      <c r="DK13" s="74">
        <v>37239</v>
      </c>
      <c r="DL13" s="74">
        <v>37239</v>
      </c>
      <c r="DM13" s="74">
        <v>37239</v>
      </c>
      <c r="DN13" s="74">
        <v>37239</v>
      </c>
      <c r="DO13" s="74">
        <v>37239</v>
      </c>
      <c r="DP13" s="74">
        <v>37239</v>
      </c>
      <c r="DQ13" s="74">
        <v>37239</v>
      </c>
      <c r="DR13" s="74">
        <v>37239</v>
      </c>
      <c r="DS13" s="74">
        <v>37239</v>
      </c>
      <c r="DT13" s="74">
        <v>37239</v>
      </c>
      <c r="DU13" s="74">
        <v>37239</v>
      </c>
      <c r="DV13" s="74">
        <v>37239</v>
      </c>
    </row>
    <row r="14" spans="1:126" s="78" customFormat="1" ht="39.6" x14ac:dyDescent="0.25">
      <c r="A14" s="75"/>
      <c r="B14" s="76"/>
      <c r="C14" s="76"/>
      <c r="D14" s="98" t="s">
        <v>60</v>
      </c>
      <c r="E14" s="77"/>
      <c r="F14" s="77" t="s">
        <v>40</v>
      </c>
      <c r="G14" s="78" t="s">
        <v>61</v>
      </c>
      <c r="H14" s="77" t="s">
        <v>40</v>
      </c>
      <c r="I14" s="77" t="s">
        <v>144</v>
      </c>
      <c r="J14" s="77" t="s">
        <v>482</v>
      </c>
      <c r="K14" s="77" t="s">
        <v>484</v>
      </c>
      <c r="L14" s="77" t="s">
        <v>486</v>
      </c>
      <c r="M14" s="77" t="s">
        <v>488</v>
      </c>
      <c r="N14" s="77" t="s">
        <v>490</v>
      </c>
      <c r="O14" s="77" t="s">
        <v>22</v>
      </c>
      <c r="P14" s="77" t="s">
        <v>493</v>
      </c>
      <c r="Q14" s="77" t="s">
        <v>495</v>
      </c>
      <c r="R14" s="77" t="s">
        <v>497</v>
      </c>
      <c r="S14" s="77" t="s">
        <v>517</v>
      </c>
      <c r="T14" s="77" t="s">
        <v>518</v>
      </c>
      <c r="U14" s="77" t="s">
        <v>771</v>
      </c>
      <c r="V14" s="77" t="s">
        <v>676</v>
      </c>
      <c r="W14" s="77" t="s">
        <v>62</v>
      </c>
      <c r="X14" s="78" t="s">
        <v>62</v>
      </c>
      <c r="Y14" s="77" t="s">
        <v>121</v>
      </c>
      <c r="Z14" s="77" t="s">
        <v>121</v>
      </c>
      <c r="AA14" s="77" t="s">
        <v>87</v>
      </c>
      <c r="AB14" s="77" t="s">
        <v>87</v>
      </c>
      <c r="AC14" s="77" t="s">
        <v>730</v>
      </c>
      <c r="AD14" s="77" t="s">
        <v>730</v>
      </c>
      <c r="AE14" s="77" t="s">
        <v>731</v>
      </c>
      <c r="AF14" s="77" t="s">
        <v>731</v>
      </c>
      <c r="AG14" s="77" t="s">
        <v>732</v>
      </c>
      <c r="AH14" s="77" t="s">
        <v>732</v>
      </c>
      <c r="AI14" s="77" t="s">
        <v>733</v>
      </c>
      <c r="AJ14" s="77" t="s">
        <v>733</v>
      </c>
      <c r="AK14" s="77" t="s">
        <v>752</v>
      </c>
      <c r="AL14" s="77" t="s">
        <v>752</v>
      </c>
      <c r="AM14" s="77" t="s">
        <v>89</v>
      </c>
      <c r="AN14" s="77" t="s">
        <v>89</v>
      </c>
      <c r="AO14" s="77" t="s">
        <v>88</v>
      </c>
      <c r="AP14" s="77" t="s">
        <v>88</v>
      </c>
      <c r="AQ14" s="77" t="s">
        <v>123</v>
      </c>
      <c r="AR14" s="77" t="s">
        <v>123</v>
      </c>
      <c r="AS14" s="77" t="s">
        <v>120</v>
      </c>
      <c r="AT14" s="77" t="s">
        <v>120</v>
      </c>
      <c r="AU14" s="77" t="s">
        <v>115</v>
      </c>
      <c r="AV14" s="77" t="s">
        <v>115</v>
      </c>
      <c r="AW14" s="77" t="s">
        <v>117</v>
      </c>
      <c r="AX14" s="77" t="s">
        <v>117</v>
      </c>
      <c r="AY14" s="77" t="s">
        <v>138</v>
      </c>
      <c r="AZ14" s="77" t="s">
        <v>138</v>
      </c>
      <c r="BA14" s="77" t="s">
        <v>90</v>
      </c>
      <c r="BB14" s="78" t="s">
        <v>90</v>
      </c>
      <c r="BC14" s="78" t="s">
        <v>111</v>
      </c>
      <c r="BD14" s="78" t="s">
        <v>111</v>
      </c>
      <c r="BE14" s="78" t="s">
        <v>751</v>
      </c>
      <c r="BF14" s="78" t="s">
        <v>751</v>
      </c>
      <c r="BG14" s="77" t="s">
        <v>519</v>
      </c>
      <c r="BH14" s="77" t="s">
        <v>519</v>
      </c>
      <c r="BI14" s="77" t="s">
        <v>126</v>
      </c>
      <c r="BJ14" s="77" t="s">
        <v>126</v>
      </c>
      <c r="BK14" s="77" t="s">
        <v>92</v>
      </c>
      <c r="BL14" s="77" t="s">
        <v>92</v>
      </c>
      <c r="BM14" s="77" t="s">
        <v>93</v>
      </c>
      <c r="BN14" s="77" t="s">
        <v>93</v>
      </c>
      <c r="BO14" s="77" t="s">
        <v>110</v>
      </c>
      <c r="BP14" s="77" t="s">
        <v>110</v>
      </c>
      <c r="BQ14" s="77" t="s">
        <v>125</v>
      </c>
      <c r="BR14" s="77" t="s">
        <v>125</v>
      </c>
      <c r="BS14" s="77" t="s">
        <v>111</v>
      </c>
      <c r="BT14" s="77" t="s">
        <v>111</v>
      </c>
      <c r="BU14" s="77" t="s">
        <v>777</v>
      </c>
      <c r="BV14" s="77" t="s">
        <v>777</v>
      </c>
      <c r="BW14" s="77" t="s">
        <v>686</v>
      </c>
      <c r="BX14" s="77" t="s">
        <v>686</v>
      </c>
      <c r="BY14" s="77" t="s">
        <v>20</v>
      </c>
      <c r="BZ14" s="77" t="s">
        <v>20</v>
      </c>
      <c r="CA14" s="77" t="s">
        <v>21</v>
      </c>
      <c r="CB14" s="77" t="s">
        <v>21</v>
      </c>
      <c r="CC14" s="77" t="s">
        <v>113</v>
      </c>
      <c r="CD14" s="77" t="s">
        <v>113</v>
      </c>
      <c r="CE14" s="77" t="s">
        <v>352</v>
      </c>
      <c r="CF14" s="78" t="s">
        <v>352</v>
      </c>
      <c r="CG14" s="77" t="s">
        <v>113</v>
      </c>
      <c r="CH14" s="77" t="s">
        <v>113</v>
      </c>
      <c r="CI14" s="77" t="s">
        <v>388</v>
      </c>
      <c r="CJ14" s="77" t="s">
        <v>388</v>
      </c>
      <c r="CK14" s="77" t="s">
        <v>713</v>
      </c>
      <c r="CL14" s="77" t="s">
        <v>713</v>
      </c>
      <c r="CM14" s="77" t="s">
        <v>94</v>
      </c>
      <c r="CN14" s="77" t="s">
        <v>94</v>
      </c>
      <c r="CO14" s="77" t="s">
        <v>99</v>
      </c>
      <c r="CP14" s="77" t="s">
        <v>99</v>
      </c>
      <c r="CQ14" s="77" t="s">
        <v>95</v>
      </c>
      <c r="CR14" s="77" t="s">
        <v>95</v>
      </c>
      <c r="CS14" s="77" t="s">
        <v>122</v>
      </c>
      <c r="CT14" s="77" t="s">
        <v>122</v>
      </c>
      <c r="CU14" s="77" t="s">
        <v>586</v>
      </c>
      <c r="CV14" s="77" t="s">
        <v>586</v>
      </c>
      <c r="CW14" s="77" t="s">
        <v>330</v>
      </c>
      <c r="CX14" s="77" t="s">
        <v>330</v>
      </c>
      <c r="CY14" s="77" t="s">
        <v>655</v>
      </c>
      <c r="CZ14" s="77" t="s">
        <v>655</v>
      </c>
      <c r="DA14" s="78" t="s">
        <v>656</v>
      </c>
      <c r="DB14" s="78" t="s">
        <v>656</v>
      </c>
      <c r="DC14" s="77" t="s">
        <v>658</v>
      </c>
      <c r="DD14" s="77" t="s">
        <v>658</v>
      </c>
      <c r="DE14" s="77" t="s">
        <v>346</v>
      </c>
      <c r="DF14" s="77" t="s">
        <v>346</v>
      </c>
      <c r="DG14" s="77" t="s">
        <v>348</v>
      </c>
      <c r="DH14" s="77" t="s">
        <v>348</v>
      </c>
      <c r="DI14" s="77" t="s">
        <v>350</v>
      </c>
      <c r="DJ14" s="77" t="s">
        <v>350</v>
      </c>
      <c r="DK14" s="78" t="s">
        <v>395</v>
      </c>
      <c r="DL14" s="78" t="s">
        <v>395</v>
      </c>
      <c r="DM14" s="78" t="s">
        <v>391</v>
      </c>
      <c r="DN14" s="78" t="s">
        <v>391</v>
      </c>
      <c r="DO14" s="78" t="s">
        <v>393</v>
      </c>
      <c r="DP14" s="78" t="s">
        <v>393</v>
      </c>
      <c r="DQ14" s="78" t="s">
        <v>397</v>
      </c>
      <c r="DR14" s="78" t="s">
        <v>397</v>
      </c>
      <c r="DS14" s="78" t="s">
        <v>399</v>
      </c>
      <c r="DT14" s="78" t="s">
        <v>399</v>
      </c>
      <c r="DU14" s="78" t="s">
        <v>833</v>
      </c>
      <c r="DV14" s="78" t="s">
        <v>833</v>
      </c>
    </row>
    <row r="15" spans="1:126" s="82" customFormat="1" x14ac:dyDescent="0.25">
      <c r="A15" s="79"/>
      <c r="B15" s="79"/>
      <c r="C15" s="79"/>
      <c r="D15" s="98" t="s">
        <v>63</v>
      </c>
      <c r="E15" s="80"/>
      <c r="F15" s="80" t="s">
        <v>64</v>
      </c>
      <c r="G15" s="82" t="s">
        <v>65</v>
      </c>
      <c r="H15" s="80" t="s">
        <v>328</v>
      </c>
      <c r="I15" s="81" t="s">
        <v>328</v>
      </c>
      <c r="J15" s="81" t="s">
        <v>328</v>
      </c>
      <c r="K15" s="81" t="s">
        <v>328</v>
      </c>
      <c r="L15" s="81" t="s">
        <v>328</v>
      </c>
      <c r="M15" s="81" t="s">
        <v>328</v>
      </c>
      <c r="N15" s="81" t="s">
        <v>328</v>
      </c>
      <c r="O15" s="81" t="s">
        <v>328</v>
      </c>
      <c r="P15" s="81" t="s">
        <v>328</v>
      </c>
      <c r="Q15" s="81" t="s">
        <v>328</v>
      </c>
      <c r="R15" s="81" t="s">
        <v>328</v>
      </c>
      <c r="S15" s="81" t="s">
        <v>328</v>
      </c>
      <c r="T15" s="81" t="s">
        <v>328</v>
      </c>
      <c r="U15" s="81" t="s">
        <v>328</v>
      </c>
      <c r="V15" s="81" t="s">
        <v>328</v>
      </c>
      <c r="W15" s="80" t="s">
        <v>64</v>
      </c>
      <c r="X15" s="82" t="s">
        <v>64</v>
      </c>
      <c r="Y15" s="80" t="s">
        <v>64</v>
      </c>
      <c r="Z15" s="81" t="s">
        <v>64</v>
      </c>
      <c r="AA15" s="80" t="s">
        <v>64</v>
      </c>
      <c r="AB15" s="82" t="s">
        <v>64</v>
      </c>
      <c r="AC15" s="80" t="s">
        <v>64</v>
      </c>
      <c r="AD15" s="81" t="s">
        <v>64</v>
      </c>
      <c r="AE15" s="80" t="s">
        <v>64</v>
      </c>
      <c r="AF15" s="81" t="s">
        <v>64</v>
      </c>
      <c r="AG15" s="80" t="s">
        <v>64</v>
      </c>
      <c r="AH15" s="81" t="s">
        <v>64</v>
      </c>
      <c r="AI15" s="80" t="s">
        <v>64</v>
      </c>
      <c r="AJ15" s="81" t="s">
        <v>64</v>
      </c>
      <c r="AK15" s="80" t="s">
        <v>64</v>
      </c>
      <c r="AL15" s="81" t="s">
        <v>64</v>
      </c>
      <c r="AM15" s="81" t="s">
        <v>64</v>
      </c>
      <c r="AN15" s="81" t="s">
        <v>64</v>
      </c>
      <c r="AO15" s="81" t="s">
        <v>64</v>
      </c>
      <c r="AP15" s="81" t="s">
        <v>64</v>
      </c>
      <c r="AQ15" s="81" t="s">
        <v>64</v>
      </c>
      <c r="AR15" s="81" t="s">
        <v>64</v>
      </c>
      <c r="AS15" s="81" t="s">
        <v>64</v>
      </c>
      <c r="AT15" s="81" t="s">
        <v>64</v>
      </c>
      <c r="AU15" s="81" t="s">
        <v>64</v>
      </c>
      <c r="AV15" s="81" t="s">
        <v>64</v>
      </c>
      <c r="AW15" s="81" t="s">
        <v>64</v>
      </c>
      <c r="AX15" s="81" t="s">
        <v>64</v>
      </c>
      <c r="AY15" s="81" t="s">
        <v>64</v>
      </c>
      <c r="AZ15" s="81" t="s">
        <v>64</v>
      </c>
      <c r="BA15" s="80" t="s">
        <v>64</v>
      </c>
      <c r="BB15" s="82" t="s">
        <v>64</v>
      </c>
      <c r="BC15" s="80" t="s">
        <v>64</v>
      </c>
      <c r="BD15" s="82" t="s">
        <v>64</v>
      </c>
      <c r="BE15" s="82" t="s">
        <v>64</v>
      </c>
      <c r="BF15" s="82" t="s">
        <v>64</v>
      </c>
      <c r="BG15" s="80" t="s">
        <v>64</v>
      </c>
      <c r="BH15" s="81" t="s">
        <v>64</v>
      </c>
      <c r="BI15" s="81" t="s">
        <v>64</v>
      </c>
      <c r="BJ15" s="81" t="s">
        <v>64</v>
      </c>
      <c r="BK15" s="81" t="s">
        <v>64</v>
      </c>
      <c r="BL15" s="81" t="s">
        <v>64</v>
      </c>
      <c r="BM15" s="81" t="s">
        <v>64</v>
      </c>
      <c r="BN15" s="81" t="s">
        <v>64</v>
      </c>
      <c r="BO15" s="81" t="s">
        <v>64</v>
      </c>
      <c r="BP15" s="81" t="s">
        <v>64</v>
      </c>
      <c r="BQ15" s="81" t="s">
        <v>64</v>
      </c>
      <c r="BR15" s="81" t="s">
        <v>64</v>
      </c>
      <c r="BS15" s="81" t="s">
        <v>64</v>
      </c>
      <c r="BT15" s="81" t="s">
        <v>64</v>
      </c>
      <c r="BU15" s="81" t="s">
        <v>64</v>
      </c>
      <c r="BV15" s="81" t="s">
        <v>64</v>
      </c>
      <c r="BW15" s="81" t="s">
        <v>64</v>
      </c>
      <c r="BX15" s="81" t="s">
        <v>64</v>
      </c>
      <c r="BY15" s="81" t="s">
        <v>64</v>
      </c>
      <c r="BZ15" s="81" t="s">
        <v>64</v>
      </c>
      <c r="CA15" s="81" t="s">
        <v>64</v>
      </c>
      <c r="CB15" s="81" t="s">
        <v>64</v>
      </c>
      <c r="CC15" s="81" t="s">
        <v>64</v>
      </c>
      <c r="CD15" s="81" t="s">
        <v>64</v>
      </c>
      <c r="CE15" s="80" t="s">
        <v>64</v>
      </c>
      <c r="CF15" s="82" t="s">
        <v>64</v>
      </c>
      <c r="CG15" s="81" t="s">
        <v>64</v>
      </c>
      <c r="CH15" s="81" t="s">
        <v>64</v>
      </c>
      <c r="CI15" s="81" t="s">
        <v>64</v>
      </c>
      <c r="CJ15" s="81" t="s">
        <v>64</v>
      </c>
      <c r="CK15" s="81" t="s">
        <v>64</v>
      </c>
      <c r="CL15" s="81" t="s">
        <v>64</v>
      </c>
      <c r="CM15" s="81" t="s">
        <v>64</v>
      </c>
      <c r="CN15" s="81" t="s">
        <v>64</v>
      </c>
      <c r="CO15" s="81" t="s">
        <v>64</v>
      </c>
      <c r="CP15" s="81" t="s">
        <v>64</v>
      </c>
      <c r="CQ15" s="81" t="s">
        <v>64</v>
      </c>
      <c r="CR15" s="81" t="s">
        <v>64</v>
      </c>
      <c r="CS15" s="81" t="s">
        <v>64</v>
      </c>
      <c r="CT15" s="81" t="s">
        <v>64</v>
      </c>
      <c r="CU15" s="81" t="s">
        <v>64</v>
      </c>
      <c r="CV15" s="81" t="s">
        <v>64</v>
      </c>
      <c r="CW15" s="81" t="s">
        <v>64</v>
      </c>
      <c r="CX15" s="81" t="s">
        <v>64</v>
      </c>
      <c r="CY15" s="80" t="s">
        <v>64</v>
      </c>
      <c r="CZ15" s="82" t="s">
        <v>64</v>
      </c>
      <c r="DA15" s="80" t="s">
        <v>64</v>
      </c>
      <c r="DB15" s="82" t="s">
        <v>64</v>
      </c>
      <c r="DC15" s="80" t="s">
        <v>64</v>
      </c>
      <c r="DD15" s="82" t="s">
        <v>64</v>
      </c>
      <c r="DE15" s="80" t="s">
        <v>64</v>
      </c>
      <c r="DF15" s="82" t="s">
        <v>64</v>
      </c>
      <c r="DG15" s="80" t="s">
        <v>64</v>
      </c>
      <c r="DH15" s="82" t="s">
        <v>64</v>
      </c>
      <c r="DI15" s="80" t="s">
        <v>64</v>
      </c>
      <c r="DJ15" s="82" t="s">
        <v>64</v>
      </c>
      <c r="DK15" s="82" t="s">
        <v>64</v>
      </c>
      <c r="DL15" s="82" t="s">
        <v>64</v>
      </c>
      <c r="DM15" s="82" t="s">
        <v>64</v>
      </c>
      <c r="DN15" s="82" t="s">
        <v>64</v>
      </c>
      <c r="DO15" s="82" t="s">
        <v>64</v>
      </c>
      <c r="DP15" s="82" t="s">
        <v>64</v>
      </c>
      <c r="DQ15" s="82" t="s">
        <v>64</v>
      </c>
      <c r="DR15" s="82" t="s">
        <v>64</v>
      </c>
      <c r="DS15" s="82" t="s">
        <v>64</v>
      </c>
      <c r="DT15" s="82" t="s">
        <v>64</v>
      </c>
      <c r="DU15" s="82" t="s">
        <v>64</v>
      </c>
      <c r="DV15" s="82" t="s">
        <v>64</v>
      </c>
    </row>
    <row r="16" spans="1:126" s="83" customFormat="1" x14ac:dyDescent="0.25">
      <c r="A16" s="79"/>
      <c r="B16" s="79"/>
      <c r="C16" s="79"/>
      <c r="D16" s="98" t="s">
        <v>66</v>
      </c>
      <c r="E16" s="80"/>
      <c r="F16" s="80" t="s">
        <v>67</v>
      </c>
      <c r="G16" s="83" t="s">
        <v>68</v>
      </c>
      <c r="H16" s="80" t="s">
        <v>67</v>
      </c>
      <c r="I16" s="80" t="s">
        <v>67</v>
      </c>
      <c r="J16" s="80" t="s">
        <v>67</v>
      </c>
      <c r="K16" s="80" t="s">
        <v>67</v>
      </c>
      <c r="L16" s="80" t="s">
        <v>67</v>
      </c>
      <c r="M16" s="80" t="s">
        <v>67</v>
      </c>
      <c r="N16" s="80" t="s">
        <v>67</v>
      </c>
      <c r="O16" s="80" t="s">
        <v>67</v>
      </c>
      <c r="P16" s="80" t="s">
        <v>67</v>
      </c>
      <c r="Q16" s="80" t="s">
        <v>67</v>
      </c>
      <c r="R16" s="80" t="s">
        <v>67</v>
      </c>
      <c r="S16" s="80" t="s">
        <v>67</v>
      </c>
      <c r="T16" s="80" t="s">
        <v>67</v>
      </c>
      <c r="U16" s="80" t="s">
        <v>67</v>
      </c>
      <c r="V16" s="80" t="s">
        <v>67</v>
      </c>
      <c r="W16" s="80" t="s">
        <v>69</v>
      </c>
      <c r="X16" s="83" t="s">
        <v>70</v>
      </c>
      <c r="Y16" s="80" t="s">
        <v>69</v>
      </c>
      <c r="Z16" s="80" t="s">
        <v>70</v>
      </c>
      <c r="AA16" s="80" t="s">
        <v>69</v>
      </c>
      <c r="AB16" s="83" t="s">
        <v>70</v>
      </c>
      <c r="AC16" s="80" t="s">
        <v>69</v>
      </c>
      <c r="AD16" s="80" t="s">
        <v>70</v>
      </c>
      <c r="AE16" s="80" t="s">
        <v>69</v>
      </c>
      <c r="AF16" s="80" t="s">
        <v>70</v>
      </c>
      <c r="AG16" s="80" t="s">
        <v>69</v>
      </c>
      <c r="AH16" s="80" t="s">
        <v>70</v>
      </c>
      <c r="AI16" s="80" t="s">
        <v>69</v>
      </c>
      <c r="AJ16" s="80" t="s">
        <v>70</v>
      </c>
      <c r="AK16" s="80" t="s">
        <v>69</v>
      </c>
      <c r="AL16" s="80" t="s">
        <v>70</v>
      </c>
      <c r="AM16" s="80" t="s">
        <v>69</v>
      </c>
      <c r="AN16" s="80" t="s">
        <v>70</v>
      </c>
      <c r="AO16" s="80" t="s">
        <v>69</v>
      </c>
      <c r="AP16" s="80" t="s">
        <v>70</v>
      </c>
      <c r="AQ16" s="80" t="s">
        <v>69</v>
      </c>
      <c r="AR16" s="80" t="s">
        <v>70</v>
      </c>
      <c r="AS16" s="80" t="s">
        <v>69</v>
      </c>
      <c r="AT16" s="80" t="s">
        <v>70</v>
      </c>
      <c r="AU16" s="80" t="s">
        <v>69</v>
      </c>
      <c r="AV16" s="80" t="s">
        <v>70</v>
      </c>
      <c r="AW16" s="80" t="s">
        <v>69</v>
      </c>
      <c r="AX16" s="80" t="s">
        <v>70</v>
      </c>
      <c r="AY16" s="80" t="s">
        <v>69</v>
      </c>
      <c r="AZ16" s="80" t="s">
        <v>70</v>
      </c>
      <c r="BA16" s="80" t="s">
        <v>69</v>
      </c>
      <c r="BB16" s="83" t="s">
        <v>70</v>
      </c>
      <c r="BC16" s="80" t="s">
        <v>69</v>
      </c>
      <c r="BD16" s="83" t="s">
        <v>70</v>
      </c>
      <c r="BE16" s="83" t="s">
        <v>69</v>
      </c>
      <c r="BF16" s="83" t="s">
        <v>70</v>
      </c>
      <c r="BG16" s="80" t="s">
        <v>69</v>
      </c>
      <c r="BH16" s="80" t="s">
        <v>70</v>
      </c>
      <c r="BI16" s="80" t="s">
        <v>69</v>
      </c>
      <c r="BJ16" s="80" t="s">
        <v>70</v>
      </c>
      <c r="BK16" s="80" t="s">
        <v>69</v>
      </c>
      <c r="BL16" s="80" t="s">
        <v>70</v>
      </c>
      <c r="BM16" s="80" t="s">
        <v>69</v>
      </c>
      <c r="BN16" s="80" t="s">
        <v>70</v>
      </c>
      <c r="BO16" s="80" t="s">
        <v>69</v>
      </c>
      <c r="BP16" s="80" t="s">
        <v>70</v>
      </c>
      <c r="BQ16" s="80" t="s">
        <v>69</v>
      </c>
      <c r="BR16" s="80" t="s">
        <v>70</v>
      </c>
      <c r="BS16" s="80" t="s">
        <v>69</v>
      </c>
      <c r="BT16" s="80" t="s">
        <v>70</v>
      </c>
      <c r="BU16" s="80" t="s">
        <v>69</v>
      </c>
      <c r="BV16" s="80" t="s">
        <v>70</v>
      </c>
      <c r="BW16" s="80" t="s">
        <v>69</v>
      </c>
      <c r="BX16" s="80" t="s">
        <v>70</v>
      </c>
      <c r="BY16" s="80" t="s">
        <v>69</v>
      </c>
      <c r="BZ16" s="80" t="s">
        <v>70</v>
      </c>
      <c r="CA16" s="80" t="s">
        <v>69</v>
      </c>
      <c r="CB16" s="80" t="s">
        <v>70</v>
      </c>
      <c r="CC16" s="80" t="s">
        <v>69</v>
      </c>
      <c r="CD16" s="80" t="s">
        <v>70</v>
      </c>
      <c r="CE16" s="80" t="s">
        <v>69</v>
      </c>
      <c r="CF16" s="83" t="s">
        <v>70</v>
      </c>
      <c r="CG16" s="80" t="s">
        <v>69</v>
      </c>
      <c r="CH16" s="80" t="s">
        <v>70</v>
      </c>
      <c r="CI16" s="80" t="s">
        <v>69</v>
      </c>
      <c r="CJ16" s="80" t="s">
        <v>70</v>
      </c>
      <c r="CK16" s="80" t="s">
        <v>69</v>
      </c>
      <c r="CL16" s="80" t="s">
        <v>70</v>
      </c>
      <c r="CM16" s="80" t="s">
        <v>69</v>
      </c>
      <c r="CN16" s="80" t="s">
        <v>70</v>
      </c>
      <c r="CO16" s="80" t="s">
        <v>69</v>
      </c>
      <c r="CP16" s="80" t="s">
        <v>70</v>
      </c>
      <c r="CQ16" s="80" t="s">
        <v>69</v>
      </c>
      <c r="CR16" s="80" t="s">
        <v>70</v>
      </c>
      <c r="CS16" s="80" t="s">
        <v>69</v>
      </c>
      <c r="CT16" s="80" t="s">
        <v>70</v>
      </c>
      <c r="CU16" s="80" t="s">
        <v>69</v>
      </c>
      <c r="CV16" s="80" t="s">
        <v>70</v>
      </c>
      <c r="CW16" s="80" t="s">
        <v>69</v>
      </c>
      <c r="CX16" s="80" t="s">
        <v>70</v>
      </c>
      <c r="CY16" s="80" t="s">
        <v>69</v>
      </c>
      <c r="CZ16" s="83" t="s">
        <v>70</v>
      </c>
      <c r="DA16" s="80" t="s">
        <v>69</v>
      </c>
      <c r="DB16" s="83" t="s">
        <v>70</v>
      </c>
      <c r="DC16" s="80" t="s">
        <v>69</v>
      </c>
      <c r="DD16" s="83" t="s">
        <v>70</v>
      </c>
      <c r="DE16" s="80" t="s">
        <v>69</v>
      </c>
      <c r="DF16" s="83" t="s">
        <v>70</v>
      </c>
      <c r="DG16" s="80" t="s">
        <v>69</v>
      </c>
      <c r="DH16" s="83" t="s">
        <v>70</v>
      </c>
      <c r="DI16" s="80" t="s">
        <v>69</v>
      </c>
      <c r="DJ16" s="83" t="s">
        <v>70</v>
      </c>
      <c r="DK16" s="83" t="s">
        <v>69</v>
      </c>
      <c r="DL16" s="83" t="s">
        <v>70</v>
      </c>
      <c r="DM16" s="83" t="s">
        <v>69</v>
      </c>
      <c r="DN16" s="83" t="s">
        <v>70</v>
      </c>
      <c r="DO16" s="83" t="s">
        <v>69</v>
      </c>
      <c r="DP16" s="83" t="s">
        <v>70</v>
      </c>
      <c r="DQ16" s="83" t="s">
        <v>69</v>
      </c>
      <c r="DR16" s="83" t="s">
        <v>70</v>
      </c>
      <c r="DS16" s="83" t="s">
        <v>69</v>
      </c>
      <c r="DT16" s="83" t="s">
        <v>70</v>
      </c>
      <c r="DU16" s="83" t="s">
        <v>69</v>
      </c>
      <c r="DV16" s="83" t="s">
        <v>70</v>
      </c>
    </row>
    <row r="17" spans="1:126" s="83" customFormat="1" ht="39.6" x14ac:dyDescent="0.25">
      <c r="A17" s="79"/>
      <c r="B17" s="79"/>
      <c r="C17" s="84"/>
      <c r="D17" s="98" t="s">
        <v>71</v>
      </c>
      <c r="E17" s="80"/>
      <c r="F17" s="80" t="s">
        <v>74</v>
      </c>
      <c r="G17" s="83" t="s">
        <v>78</v>
      </c>
      <c r="H17" s="80" t="s">
        <v>516</v>
      </c>
      <c r="I17" s="80" t="s">
        <v>144</v>
      </c>
      <c r="J17" s="80" t="s">
        <v>482</v>
      </c>
      <c r="K17" s="80" t="s">
        <v>484</v>
      </c>
      <c r="L17" s="80" t="s">
        <v>486</v>
      </c>
      <c r="M17" s="80" t="s">
        <v>488</v>
      </c>
      <c r="N17" s="80" t="s">
        <v>490</v>
      </c>
      <c r="O17" s="80" t="s">
        <v>22</v>
      </c>
      <c r="P17" s="80" t="s">
        <v>493</v>
      </c>
      <c r="Q17" s="80" t="s">
        <v>495</v>
      </c>
      <c r="R17" s="80" t="s">
        <v>497</v>
      </c>
      <c r="S17" s="80" t="s">
        <v>517</v>
      </c>
      <c r="T17" s="80" t="s">
        <v>518</v>
      </c>
      <c r="U17" s="80" t="s">
        <v>771</v>
      </c>
      <c r="V17" s="80" t="s">
        <v>676</v>
      </c>
      <c r="W17" s="80" t="s">
        <v>521</v>
      </c>
      <c r="X17" s="83" t="s">
        <v>522</v>
      </c>
      <c r="Y17" s="80" t="s">
        <v>266</v>
      </c>
      <c r="Z17" s="80" t="s">
        <v>267</v>
      </c>
      <c r="AA17" s="77" t="s">
        <v>717</v>
      </c>
      <c r="AB17" s="77" t="s">
        <v>719</v>
      </c>
      <c r="AC17" s="77" t="s">
        <v>716</v>
      </c>
      <c r="AD17" s="77" t="s">
        <v>718</v>
      </c>
      <c r="AE17" s="77" t="s">
        <v>724</v>
      </c>
      <c r="AF17" s="77" t="s">
        <v>725</v>
      </c>
      <c r="AG17" s="77" t="s">
        <v>722</v>
      </c>
      <c r="AH17" s="77" t="s">
        <v>723</v>
      </c>
      <c r="AI17" s="77" t="s">
        <v>727</v>
      </c>
      <c r="AJ17" s="77" t="s">
        <v>728</v>
      </c>
      <c r="AK17" s="77" t="s">
        <v>753</v>
      </c>
      <c r="AL17" s="77" t="s">
        <v>754</v>
      </c>
      <c r="AM17" s="80" t="s">
        <v>523</v>
      </c>
      <c r="AN17" s="80" t="s">
        <v>524</v>
      </c>
      <c r="AO17" s="80" t="s">
        <v>256</v>
      </c>
      <c r="AP17" s="80" t="s">
        <v>257</v>
      </c>
      <c r="AQ17" s="80" t="s">
        <v>262</v>
      </c>
      <c r="AR17" s="80" t="s">
        <v>263</v>
      </c>
      <c r="AS17" s="77" t="s">
        <v>688</v>
      </c>
      <c r="AT17" s="77" t="s">
        <v>689</v>
      </c>
      <c r="AU17" s="80" t="s">
        <v>264</v>
      </c>
      <c r="AV17" s="80" t="s">
        <v>265</v>
      </c>
      <c r="AW17" s="80" t="s">
        <v>525</v>
      </c>
      <c r="AX17" s="80" t="s">
        <v>526</v>
      </c>
      <c r="AY17" s="80" t="s">
        <v>527</v>
      </c>
      <c r="AZ17" s="80" t="s">
        <v>528</v>
      </c>
      <c r="BA17" s="80" t="s">
        <v>250</v>
      </c>
      <c r="BB17" s="83" t="s">
        <v>251</v>
      </c>
      <c r="BC17" s="78" t="s">
        <v>738</v>
      </c>
      <c r="BD17" s="78" t="s">
        <v>739</v>
      </c>
      <c r="BE17" s="78" t="s">
        <v>749</v>
      </c>
      <c r="BF17" s="78" t="s">
        <v>750</v>
      </c>
      <c r="BG17" s="80" t="s">
        <v>529</v>
      </c>
      <c r="BH17" s="80" t="s">
        <v>530</v>
      </c>
      <c r="BI17" s="80" t="s">
        <v>531</v>
      </c>
      <c r="BJ17" s="80" t="s">
        <v>532</v>
      </c>
      <c r="BK17" s="80" t="s">
        <v>252</v>
      </c>
      <c r="BL17" s="80" t="s">
        <v>268</v>
      </c>
      <c r="BM17" s="80" t="s">
        <v>533</v>
      </c>
      <c r="BN17" s="80" t="s">
        <v>534</v>
      </c>
      <c r="BO17" s="80" t="s">
        <v>552</v>
      </c>
      <c r="BP17" s="80" t="s">
        <v>553</v>
      </c>
      <c r="BQ17" s="80" t="s">
        <v>555</v>
      </c>
      <c r="BR17" s="80" t="s">
        <v>556</v>
      </c>
      <c r="BS17" s="77" t="s">
        <v>738</v>
      </c>
      <c r="BT17" s="77" t="s">
        <v>739</v>
      </c>
      <c r="BU17" s="77" t="s">
        <v>775</v>
      </c>
      <c r="BV17" s="77" t="s">
        <v>776</v>
      </c>
      <c r="BW17" s="77" t="s">
        <v>684</v>
      </c>
      <c r="BX17" s="77" t="s">
        <v>685</v>
      </c>
      <c r="BY17" s="80" t="s">
        <v>535</v>
      </c>
      <c r="BZ17" s="80" t="s">
        <v>536</v>
      </c>
      <c r="CA17" s="80" t="s">
        <v>537</v>
      </c>
      <c r="CB17" s="80" t="s">
        <v>538</v>
      </c>
      <c r="CC17" s="80" t="s">
        <v>539</v>
      </c>
      <c r="CD17" s="80" t="s">
        <v>540</v>
      </c>
      <c r="CE17" s="80" t="s">
        <v>541</v>
      </c>
      <c r="CF17" s="83" t="s">
        <v>542</v>
      </c>
      <c r="CG17" s="80" t="s">
        <v>539</v>
      </c>
      <c r="CH17" s="80" t="s">
        <v>540</v>
      </c>
      <c r="CI17" s="77" t="s">
        <v>709</v>
      </c>
      <c r="CJ17" s="77" t="s">
        <v>710</v>
      </c>
      <c r="CK17" s="77" t="s">
        <v>711</v>
      </c>
      <c r="CL17" s="77" t="s">
        <v>712</v>
      </c>
      <c r="CM17" s="77" t="s">
        <v>769</v>
      </c>
      <c r="CN17" s="77" t="s">
        <v>770</v>
      </c>
      <c r="CO17" s="77" t="s">
        <v>773</v>
      </c>
      <c r="CP17" s="77" t="s">
        <v>774</v>
      </c>
      <c r="CQ17" s="77" t="s">
        <v>599</v>
      </c>
      <c r="CR17" s="77" t="s">
        <v>601</v>
      </c>
      <c r="CS17" s="77" t="s">
        <v>600</v>
      </c>
      <c r="CT17" s="77" t="s">
        <v>602</v>
      </c>
      <c r="CU17" s="80" t="s">
        <v>587</v>
      </c>
      <c r="CV17" s="80" t="s">
        <v>588</v>
      </c>
      <c r="CW17" s="80" t="s">
        <v>827</v>
      </c>
      <c r="CX17" s="80" t="s">
        <v>828</v>
      </c>
      <c r="CY17" s="80" t="s">
        <v>651</v>
      </c>
      <c r="CZ17" s="83" t="s">
        <v>652</v>
      </c>
      <c r="DA17" s="80" t="s">
        <v>654</v>
      </c>
      <c r="DB17" s="83" t="s">
        <v>653</v>
      </c>
      <c r="DC17" s="77" t="s">
        <v>659</v>
      </c>
      <c r="DD17" s="77" t="s">
        <v>660</v>
      </c>
      <c r="DE17" s="77" t="s">
        <v>661</v>
      </c>
      <c r="DF17" s="77" t="s">
        <v>662</v>
      </c>
      <c r="DG17" s="77" t="s">
        <v>663</v>
      </c>
      <c r="DH17" s="77" t="s">
        <v>664</v>
      </c>
      <c r="DI17" s="77" t="s">
        <v>665</v>
      </c>
      <c r="DJ17" s="77" t="s">
        <v>666</v>
      </c>
      <c r="DK17" s="83" t="s">
        <v>810</v>
      </c>
      <c r="DL17" s="83" t="s">
        <v>811</v>
      </c>
      <c r="DM17" s="83" t="s">
        <v>814</v>
      </c>
      <c r="DN17" s="83" t="s">
        <v>815</v>
      </c>
      <c r="DO17" s="83" t="s">
        <v>817</v>
      </c>
      <c r="DP17" s="83" t="s">
        <v>818</v>
      </c>
      <c r="DQ17" s="83" t="s">
        <v>821</v>
      </c>
      <c r="DR17" s="83" t="s">
        <v>822</v>
      </c>
      <c r="DS17" s="83" t="s">
        <v>823</v>
      </c>
      <c r="DT17" s="83" t="s">
        <v>824</v>
      </c>
      <c r="DU17" s="83" t="s">
        <v>831</v>
      </c>
      <c r="DV17" s="83" t="s">
        <v>832</v>
      </c>
    </row>
    <row r="18" spans="1:126" s="85" customFormat="1" x14ac:dyDescent="0.25"/>
    <row r="19" spans="1:126" s="76" customFormat="1" x14ac:dyDescent="0.25">
      <c r="D19" s="86">
        <v>37226</v>
      </c>
      <c r="E19" s="75"/>
      <c r="F19" s="87">
        <v>2.3159999999999998</v>
      </c>
      <c r="G19" s="88">
        <v>1</v>
      </c>
      <c r="H19" s="87">
        <v>0.6</v>
      </c>
      <c r="I19" s="87">
        <v>0.99</v>
      </c>
      <c r="J19" s="87">
        <v>1.0149999999999999</v>
      </c>
      <c r="K19" s="87">
        <v>0.99</v>
      </c>
      <c r="L19" s="87">
        <v>0.99</v>
      </c>
      <c r="M19" s="87">
        <v>1.1399999999999999</v>
      </c>
      <c r="N19" s="87">
        <v>1.24</v>
      </c>
      <c r="O19" s="87">
        <v>1.04</v>
      </c>
      <c r="P19" s="87">
        <v>0.99</v>
      </c>
      <c r="Q19" s="87">
        <v>1.34</v>
      </c>
      <c r="R19" s="88">
        <v>0.99</v>
      </c>
      <c r="S19" s="88">
        <v>1.0900000000000001</v>
      </c>
      <c r="T19" s="87">
        <v>0.99</v>
      </c>
      <c r="U19" s="87">
        <v>1.915</v>
      </c>
      <c r="V19" s="87">
        <v>1.37</v>
      </c>
      <c r="W19" s="87">
        <v>2.4E-2</v>
      </c>
      <c r="X19" s="87">
        <v>0</v>
      </c>
      <c r="Y19" s="87">
        <v>9.5000000000000001E-2</v>
      </c>
      <c r="Z19" s="87">
        <v>0</v>
      </c>
      <c r="AA19" s="87">
        <v>0.315</v>
      </c>
      <c r="AB19" s="87">
        <v>0</v>
      </c>
      <c r="AC19" s="87">
        <v>0.3</v>
      </c>
      <c r="AD19" s="87">
        <v>0</v>
      </c>
      <c r="AE19" s="87">
        <v>0.34499999999999997</v>
      </c>
      <c r="AF19" s="87">
        <v>0</v>
      </c>
      <c r="AG19" s="87">
        <v>0.20499999999999999</v>
      </c>
      <c r="AH19" s="87">
        <v>0</v>
      </c>
      <c r="AI19" s="87">
        <v>0.104752</v>
      </c>
      <c r="AJ19" s="87">
        <v>0</v>
      </c>
      <c r="AK19" s="87">
        <v>9.5000000000000001E-2</v>
      </c>
      <c r="AL19" s="87">
        <v>0</v>
      </c>
      <c r="AM19" s="87">
        <v>-4.5999999999999999E-2</v>
      </c>
      <c r="AN19" s="87">
        <v>0</v>
      </c>
      <c r="AO19" s="87">
        <v>-0.20848900000000001</v>
      </c>
      <c r="AP19" s="87">
        <v>0.155</v>
      </c>
      <c r="AQ19" s="87">
        <v>-7.5999999999999998E-2</v>
      </c>
      <c r="AR19" s="87">
        <v>2.5000000000000001E-3</v>
      </c>
      <c r="AS19" s="87">
        <v>-8.5999999999999993E-2</v>
      </c>
      <c r="AT19" s="87">
        <v>-1.4999999999999999E-2</v>
      </c>
      <c r="AU19" s="87">
        <v>-6.6000000000000003E-2</v>
      </c>
      <c r="AV19" s="87">
        <v>-0.01</v>
      </c>
      <c r="AW19" s="87">
        <v>-8.5999999999999993E-2</v>
      </c>
      <c r="AX19" s="87">
        <v>0</v>
      </c>
      <c r="AY19" s="88">
        <v>0.184</v>
      </c>
      <c r="AZ19" s="88">
        <v>0</v>
      </c>
      <c r="BA19" s="88">
        <v>-0.22600000000000001</v>
      </c>
      <c r="BB19" s="87">
        <v>0.03</v>
      </c>
      <c r="BC19" s="87">
        <v>3.4000000000000002E-2</v>
      </c>
      <c r="BD19" s="87">
        <v>0.03</v>
      </c>
      <c r="BE19" s="87">
        <v>-4.5999999999999999E-2</v>
      </c>
      <c r="BF19" s="87">
        <v>0.05</v>
      </c>
      <c r="BG19" s="87">
        <v>5.3999999999999999E-2</v>
      </c>
      <c r="BH19" s="87">
        <v>-0.2</v>
      </c>
      <c r="BI19" s="87">
        <v>0.374</v>
      </c>
      <c r="BJ19" s="75">
        <v>0.02</v>
      </c>
      <c r="BK19" s="75">
        <v>-4.5999999999999999E-2</v>
      </c>
      <c r="BL19" s="75">
        <v>0.05</v>
      </c>
      <c r="BM19" s="75">
        <v>0.36399999999999999</v>
      </c>
      <c r="BN19" s="75">
        <v>0</v>
      </c>
      <c r="BO19" s="75">
        <v>-0.156</v>
      </c>
      <c r="BP19" s="75">
        <v>1.4999999999999999E-2</v>
      </c>
      <c r="BQ19" s="75">
        <v>0.40400000000000003</v>
      </c>
      <c r="BR19" s="75">
        <v>0.04</v>
      </c>
      <c r="BS19" s="75">
        <v>3.4000000000000002E-2</v>
      </c>
      <c r="BT19" s="75">
        <v>0.03</v>
      </c>
      <c r="BU19" s="75">
        <v>-4.5999999999999999E-2</v>
      </c>
      <c r="BV19" s="75">
        <v>0.05</v>
      </c>
      <c r="BW19" s="75">
        <v>-4.5999999999999999E-2</v>
      </c>
      <c r="BX19" s="75">
        <v>0.05</v>
      </c>
      <c r="BY19" s="75">
        <v>-3.5999999999999997E-2</v>
      </c>
      <c r="BZ19" s="75">
        <v>5.7500000000000002E-2</v>
      </c>
      <c r="CA19" s="75">
        <v>0.104</v>
      </c>
      <c r="CB19" s="75">
        <v>1.2500000000000001E-2</v>
      </c>
      <c r="CC19" s="75">
        <v>-3.5999999999999997E-2</v>
      </c>
      <c r="CD19" s="75">
        <v>2.5000000000000001E-3</v>
      </c>
      <c r="CE19" s="75">
        <v>-3.5999999999999997E-2</v>
      </c>
      <c r="CF19" s="75">
        <v>-5.0000000000000001E-3</v>
      </c>
      <c r="CG19" s="75">
        <v>-3.5999999999999997E-2</v>
      </c>
      <c r="CH19" s="75">
        <v>2.5000000000000001E-3</v>
      </c>
      <c r="CI19" s="75">
        <v>-0.156</v>
      </c>
      <c r="CJ19" s="75">
        <v>0</v>
      </c>
      <c r="CK19" s="75">
        <v>3.4000000000000002E-2</v>
      </c>
      <c r="CL19" s="75">
        <v>0</v>
      </c>
      <c r="CM19" s="75">
        <v>-0.106</v>
      </c>
      <c r="CN19" s="75">
        <v>0.01</v>
      </c>
      <c r="CO19" s="75">
        <v>-6.6000000000000003E-2</v>
      </c>
      <c r="CP19" s="75">
        <v>0.01</v>
      </c>
      <c r="CQ19" s="75">
        <v>-1.6E-2</v>
      </c>
      <c r="CR19" s="75">
        <v>1.2500000000000001E-2</v>
      </c>
      <c r="CS19" s="75">
        <v>0.80400000000000005</v>
      </c>
      <c r="CT19" s="75">
        <v>0.15</v>
      </c>
      <c r="CU19" s="75">
        <v>0.39</v>
      </c>
      <c r="CV19" s="75">
        <v>0</v>
      </c>
      <c r="CW19" s="75">
        <v>0.104</v>
      </c>
      <c r="CX19" s="75">
        <v>0.02</v>
      </c>
      <c r="CY19" s="75">
        <v>-0.36599999999999999</v>
      </c>
      <c r="CZ19" s="75">
        <v>0</v>
      </c>
      <c r="DA19" s="75">
        <v>-0.186</v>
      </c>
      <c r="DB19" s="75">
        <v>0</v>
      </c>
      <c r="DC19" s="75">
        <v>0.2</v>
      </c>
      <c r="DE19" s="75">
        <v>-0.13600000000000001</v>
      </c>
      <c r="DF19" s="75">
        <v>2.5000000000000001E-3</v>
      </c>
      <c r="DG19" s="75">
        <v>-3.5999999999999997E-2</v>
      </c>
      <c r="DH19" s="75">
        <v>-5.0000000000000001E-3</v>
      </c>
      <c r="DI19" s="75">
        <v>-4.5999999999999999E-2</v>
      </c>
      <c r="DJ19" s="75">
        <v>-5.0000000000000001E-3</v>
      </c>
      <c r="DK19" s="75">
        <v>-9.6000000000000002E-2</v>
      </c>
      <c r="DL19" s="75">
        <v>0</v>
      </c>
      <c r="DM19" s="75">
        <v>-8.5999999999999993E-2</v>
      </c>
      <c r="DN19" s="75">
        <v>2.5000000000000001E-3</v>
      </c>
      <c r="DO19" s="75">
        <v>-9.6000000000000002E-2</v>
      </c>
      <c r="DP19" s="75">
        <v>0</v>
      </c>
      <c r="DQ19" s="75">
        <v>-0.126</v>
      </c>
      <c r="DR19" s="75">
        <v>-2.5000000000000001E-3</v>
      </c>
      <c r="DS19" s="75">
        <v>0.59399999999999997</v>
      </c>
      <c r="DT19" s="75">
        <v>0.05</v>
      </c>
      <c r="DU19" s="75">
        <v>6.5000000000000002E-2</v>
      </c>
      <c r="DV19" s="75">
        <v>0</v>
      </c>
    </row>
    <row r="20" spans="1:126" x14ac:dyDescent="0.25">
      <c r="D20" s="86">
        <v>37257</v>
      </c>
      <c r="F20" s="89">
        <v>2.8460000000000001</v>
      </c>
      <c r="G20" s="90">
        <v>1.8765908157160699E-2</v>
      </c>
      <c r="H20" s="89">
        <v>0.87</v>
      </c>
      <c r="I20" s="89">
        <v>1.04</v>
      </c>
      <c r="J20" s="89">
        <v>1.0649999999999999</v>
      </c>
      <c r="K20" s="89">
        <v>1.04</v>
      </c>
      <c r="L20" s="87">
        <v>1.04</v>
      </c>
      <c r="M20" s="87">
        <v>1.19</v>
      </c>
      <c r="N20" s="89">
        <v>1.49</v>
      </c>
      <c r="O20" s="89">
        <v>1.0900000000000001</v>
      </c>
      <c r="P20" s="89">
        <v>1.04</v>
      </c>
      <c r="Q20" s="89">
        <v>1.39</v>
      </c>
      <c r="R20" s="90">
        <v>1.04</v>
      </c>
      <c r="S20" s="90">
        <v>1.1399999999999999</v>
      </c>
      <c r="T20" s="89">
        <v>1.04</v>
      </c>
      <c r="U20" s="89">
        <v>3.0150000000000001</v>
      </c>
      <c r="V20" s="89">
        <v>1.17</v>
      </c>
      <c r="W20" s="89">
        <v>-1.4999999999999999E-2</v>
      </c>
      <c r="X20" s="89">
        <v>1.4999999999999999E-2</v>
      </c>
      <c r="Y20" s="89">
        <v>0.12</v>
      </c>
      <c r="Z20" s="89">
        <v>0</v>
      </c>
      <c r="AA20" s="89">
        <v>0.31</v>
      </c>
      <c r="AB20" s="89">
        <v>0</v>
      </c>
      <c r="AC20" s="89">
        <v>0.29499999999999998</v>
      </c>
      <c r="AD20" s="89">
        <v>0</v>
      </c>
      <c r="AE20" s="89">
        <v>0.34</v>
      </c>
      <c r="AF20" s="89">
        <v>0</v>
      </c>
      <c r="AG20" s="89">
        <v>0.19</v>
      </c>
      <c r="AH20" s="89">
        <v>0</v>
      </c>
      <c r="AI20" s="89">
        <v>0.110192</v>
      </c>
      <c r="AJ20" s="89">
        <v>0</v>
      </c>
      <c r="AK20" s="89">
        <v>0.12</v>
      </c>
      <c r="AL20" s="89">
        <v>1.4999999999999999E-2</v>
      </c>
      <c r="AM20" s="89">
        <v>-0.09</v>
      </c>
      <c r="AN20" s="89">
        <v>0</v>
      </c>
      <c r="AO20" s="89">
        <v>-0.42</v>
      </c>
      <c r="AP20" s="89">
        <v>0.155</v>
      </c>
      <c r="AQ20" s="89">
        <v>-7.7499999999999999E-2</v>
      </c>
      <c r="AR20" s="89">
        <v>2.5000000000000001E-3</v>
      </c>
      <c r="AS20" s="89">
        <v>-0.14000000000000001</v>
      </c>
      <c r="AT20" s="89">
        <v>-5.0000000000000001E-3</v>
      </c>
      <c r="AU20" s="89">
        <v>-0.19600000000000001</v>
      </c>
      <c r="AV20" s="89">
        <v>-0.01</v>
      </c>
      <c r="AW20" s="89">
        <v>-8.5000000000000006E-2</v>
      </c>
      <c r="AX20" s="89">
        <v>0</v>
      </c>
      <c r="AY20" s="90">
        <v>0.13500000000000001</v>
      </c>
      <c r="AZ20" s="90">
        <v>0</v>
      </c>
      <c r="BA20" s="90">
        <v>-0.27</v>
      </c>
      <c r="BB20" s="89">
        <v>-0.01</v>
      </c>
      <c r="BC20" s="89">
        <v>-0.155</v>
      </c>
      <c r="BD20" s="89">
        <v>-2.75E-2</v>
      </c>
      <c r="BE20" s="89">
        <v>-1.4999999999999999E-2</v>
      </c>
      <c r="BF20" s="89">
        <v>-0.01</v>
      </c>
      <c r="BG20" s="89">
        <v>-0.12</v>
      </c>
      <c r="BH20" s="89">
        <v>-0.02</v>
      </c>
      <c r="BI20" s="89">
        <v>-1.4999999999999999E-2</v>
      </c>
      <c r="BJ20" s="62">
        <v>0.02</v>
      </c>
      <c r="BK20" s="62">
        <v>-1.4999999999999999E-2</v>
      </c>
      <c r="BL20" s="62">
        <v>-0.01</v>
      </c>
      <c r="BM20" s="62">
        <v>0.06</v>
      </c>
      <c r="BN20" s="62">
        <v>0</v>
      </c>
      <c r="BO20" s="62">
        <v>-0.31</v>
      </c>
      <c r="BP20" s="62">
        <v>1.4999999999999999E-2</v>
      </c>
      <c r="BQ20" s="62">
        <v>0.2</v>
      </c>
      <c r="BR20" s="62">
        <v>0.01</v>
      </c>
      <c r="BS20" s="62">
        <v>-0.155</v>
      </c>
      <c r="BT20" s="62">
        <v>-2.75E-2</v>
      </c>
      <c r="BU20" s="62">
        <v>0.13</v>
      </c>
      <c r="BV20" s="62">
        <v>0</v>
      </c>
      <c r="BW20" s="62">
        <v>1.35</v>
      </c>
      <c r="BX20" s="62">
        <v>-0.01</v>
      </c>
      <c r="BY20" s="62">
        <v>-2.5000000000000001E-2</v>
      </c>
      <c r="BZ20" s="62">
        <v>5.7500000000000002E-2</v>
      </c>
      <c r="CA20" s="62">
        <v>0.13250000000000001</v>
      </c>
      <c r="CB20" s="62">
        <v>5.0000000000000001E-3</v>
      </c>
      <c r="CC20" s="62">
        <v>-2.5000000000000001E-2</v>
      </c>
      <c r="CD20" s="62">
        <v>0</v>
      </c>
      <c r="CE20" s="62">
        <v>2.5000000000000001E-3</v>
      </c>
      <c r="CF20" s="62">
        <v>-5.0000000000000001E-3</v>
      </c>
      <c r="CG20" s="62">
        <v>-2.5000000000000001E-2</v>
      </c>
      <c r="CH20" s="62">
        <v>0</v>
      </c>
      <c r="CI20" s="62">
        <v>-0.125</v>
      </c>
      <c r="CJ20" s="62">
        <v>-0.01</v>
      </c>
      <c r="CK20" s="62">
        <v>6.7500000000000004E-2</v>
      </c>
      <c r="CL20" s="62">
        <v>-7.4999999999999997E-3</v>
      </c>
      <c r="CM20" s="62">
        <v>-0.08</v>
      </c>
      <c r="CN20" s="62">
        <v>7.4999999999999997E-3</v>
      </c>
      <c r="CO20" s="62">
        <v>-2.5000000000000001E-2</v>
      </c>
      <c r="CP20" s="62">
        <v>2.5000000000000001E-3</v>
      </c>
      <c r="CQ20" s="62">
        <v>1.4999999999999999E-2</v>
      </c>
      <c r="CR20" s="62">
        <v>5.0000000000000001E-3</v>
      </c>
      <c r="CS20" s="62">
        <v>1.95</v>
      </c>
      <c r="CT20" s="62">
        <v>0.43</v>
      </c>
      <c r="CU20" s="62">
        <v>0.06</v>
      </c>
      <c r="CV20" s="62">
        <v>0</v>
      </c>
      <c r="CW20" s="62">
        <v>0.20250000000000001</v>
      </c>
      <c r="CX20" s="62">
        <v>0.02</v>
      </c>
      <c r="CY20" s="62">
        <v>-0.54500000000000004</v>
      </c>
      <c r="CZ20" s="62">
        <v>0</v>
      </c>
      <c r="DA20" s="62">
        <v>-0.36499999999999999</v>
      </c>
      <c r="DB20" s="62">
        <v>0</v>
      </c>
      <c r="DC20" s="62">
        <v>0.35</v>
      </c>
      <c r="DE20" s="62">
        <v>-0.06</v>
      </c>
      <c r="DF20" s="62">
        <v>2.5000000000000001E-3</v>
      </c>
      <c r="DG20" s="62">
        <v>-0.01</v>
      </c>
      <c r="DH20" s="62">
        <v>-2.5000000000000001E-3</v>
      </c>
      <c r="DI20" s="62">
        <v>-3.5000000000000003E-2</v>
      </c>
      <c r="DJ20" s="62">
        <v>-2.5000000000000001E-3</v>
      </c>
      <c r="DK20" s="62">
        <v>-0.125</v>
      </c>
      <c r="DL20" s="62">
        <v>0</v>
      </c>
      <c r="DM20" s="62">
        <v>-6.7500000000000004E-2</v>
      </c>
      <c r="DN20" s="62">
        <v>-2.5000000000000001E-3</v>
      </c>
      <c r="DO20" s="62">
        <v>-0.09</v>
      </c>
      <c r="DP20" s="62">
        <v>0</v>
      </c>
      <c r="DQ20" s="62">
        <v>-0.14000000000000001</v>
      </c>
      <c r="DR20" s="62">
        <v>-7.4999999999999997E-3</v>
      </c>
      <c r="DS20" s="62">
        <v>0.88</v>
      </c>
      <c r="DT20" s="62">
        <v>0.12</v>
      </c>
      <c r="DU20" s="62">
        <v>0.06</v>
      </c>
      <c r="DV20" s="62">
        <v>0</v>
      </c>
    </row>
    <row r="21" spans="1:126" x14ac:dyDescent="0.25">
      <c r="D21" s="86">
        <v>37288</v>
      </c>
      <c r="F21" s="89">
        <v>2.9079999999999999</v>
      </c>
      <c r="G21" s="90">
        <v>1.9326187282006298E-2</v>
      </c>
      <c r="H21" s="89">
        <v>0.86499999999999999</v>
      </c>
      <c r="I21" s="89">
        <v>1.04</v>
      </c>
      <c r="J21" s="89">
        <v>1.0649999999999999</v>
      </c>
      <c r="K21" s="89">
        <v>1.04</v>
      </c>
      <c r="L21" s="87">
        <v>1.04</v>
      </c>
      <c r="M21" s="87">
        <v>1.19</v>
      </c>
      <c r="N21" s="89">
        <v>1.49</v>
      </c>
      <c r="O21" s="89">
        <v>1.0900000000000001</v>
      </c>
      <c r="P21" s="89">
        <v>1.04</v>
      </c>
      <c r="Q21" s="89">
        <v>1.39</v>
      </c>
      <c r="R21" s="90">
        <v>1.04</v>
      </c>
      <c r="S21" s="90">
        <v>1.1399999999999999</v>
      </c>
      <c r="T21" s="89">
        <v>1.04</v>
      </c>
      <c r="U21" s="89">
        <v>3.0150000000000001</v>
      </c>
      <c r="V21" s="89">
        <v>1.17</v>
      </c>
      <c r="W21" s="89">
        <v>-5.0000000000000001E-3</v>
      </c>
      <c r="X21" s="89">
        <v>1.4999999999999999E-2</v>
      </c>
      <c r="Y21" s="89">
        <v>9.5000000000000001E-2</v>
      </c>
      <c r="Z21" s="89">
        <v>0</v>
      </c>
      <c r="AA21" s="89">
        <v>0.255</v>
      </c>
      <c r="AB21" s="89">
        <v>0</v>
      </c>
      <c r="AC21" s="89">
        <v>0.24</v>
      </c>
      <c r="AD21" s="89">
        <v>0</v>
      </c>
      <c r="AE21" s="89">
        <v>0.28499999999999998</v>
      </c>
      <c r="AF21" s="89">
        <v>0</v>
      </c>
      <c r="AG21" s="89">
        <v>0.13500000000000001</v>
      </c>
      <c r="AH21" s="89">
        <v>0</v>
      </c>
      <c r="AI21" s="89">
        <v>0.12343999999999999</v>
      </c>
      <c r="AJ21" s="89">
        <v>0</v>
      </c>
      <c r="AK21" s="89">
        <v>9.5000000000000001E-2</v>
      </c>
      <c r="AL21" s="89">
        <v>1.4999999999999999E-2</v>
      </c>
      <c r="AM21" s="89">
        <v>-0.09</v>
      </c>
      <c r="AN21" s="89">
        <v>0</v>
      </c>
      <c r="AO21" s="89">
        <v>-0.42</v>
      </c>
      <c r="AP21" s="89">
        <v>0.155</v>
      </c>
      <c r="AQ21" s="89">
        <v>-7.7499999999999999E-2</v>
      </c>
      <c r="AR21" s="89">
        <v>2.5000000000000001E-3</v>
      </c>
      <c r="AS21" s="89">
        <v>-0.13500000000000001</v>
      </c>
      <c r="AT21" s="89">
        <v>-5.0000000000000001E-3</v>
      </c>
      <c r="AU21" s="89">
        <v>-9.5000000000000001E-2</v>
      </c>
      <c r="AV21" s="89">
        <v>-0.01</v>
      </c>
      <c r="AW21" s="89">
        <v>-8.5000000000000006E-2</v>
      </c>
      <c r="AX21" s="89">
        <v>0</v>
      </c>
      <c r="AY21" s="90">
        <v>0.13</v>
      </c>
      <c r="AZ21" s="90">
        <v>0</v>
      </c>
      <c r="BA21" s="90">
        <v>-0.3</v>
      </c>
      <c r="BB21" s="89">
        <v>-0.01</v>
      </c>
      <c r="BC21" s="89">
        <v>-0.185</v>
      </c>
      <c r="BD21" s="89">
        <v>-2.75E-2</v>
      </c>
      <c r="BE21" s="89">
        <v>-0.09</v>
      </c>
      <c r="BF21" s="89">
        <v>-0.01</v>
      </c>
      <c r="BG21" s="89">
        <v>-0.15</v>
      </c>
      <c r="BH21" s="89">
        <v>-0.02</v>
      </c>
      <c r="BI21" s="89">
        <v>-0.05</v>
      </c>
      <c r="BJ21" s="62">
        <v>0.02</v>
      </c>
      <c r="BK21" s="62">
        <v>-0.09</v>
      </c>
      <c r="BL21" s="62">
        <v>-0.01</v>
      </c>
      <c r="BM21" s="62">
        <v>-0.01</v>
      </c>
      <c r="BN21" s="62">
        <v>0</v>
      </c>
      <c r="BO21" s="62">
        <v>-0.34</v>
      </c>
      <c r="BP21" s="62">
        <v>1.4999999999999999E-2</v>
      </c>
      <c r="BQ21" s="62">
        <v>0.11</v>
      </c>
      <c r="BR21" s="62">
        <v>0.01</v>
      </c>
      <c r="BS21" s="62">
        <v>-0.185</v>
      </c>
      <c r="BT21" s="62">
        <v>-2.75E-2</v>
      </c>
      <c r="BU21" s="62">
        <v>0.04</v>
      </c>
      <c r="BV21" s="62">
        <v>0</v>
      </c>
      <c r="BW21" s="62">
        <v>-0.09</v>
      </c>
      <c r="BX21" s="62">
        <v>-0.01</v>
      </c>
      <c r="BY21" s="62">
        <v>-2.5000000000000001E-2</v>
      </c>
      <c r="BZ21" s="62">
        <v>5.7500000000000002E-2</v>
      </c>
      <c r="CA21" s="62">
        <v>0.13250000000000001</v>
      </c>
      <c r="CB21" s="62">
        <v>5.0000000000000001E-3</v>
      </c>
      <c r="CC21" s="62">
        <v>-2.5000000000000001E-2</v>
      </c>
      <c r="CD21" s="62">
        <v>0</v>
      </c>
      <c r="CE21" s="62">
        <v>2.5000000000000001E-3</v>
      </c>
      <c r="CF21" s="62">
        <v>-5.0000000000000001E-3</v>
      </c>
      <c r="CG21" s="62">
        <v>-2.5000000000000001E-2</v>
      </c>
      <c r="CH21" s="62">
        <v>0</v>
      </c>
      <c r="CI21" s="62">
        <v>-0.125</v>
      </c>
      <c r="CJ21" s="62">
        <v>-0.01</v>
      </c>
      <c r="CK21" s="62">
        <v>6.7500000000000004E-2</v>
      </c>
      <c r="CL21" s="62">
        <v>-7.4999999999999997E-3</v>
      </c>
      <c r="CM21" s="62">
        <v>-7.7499999999999999E-2</v>
      </c>
      <c r="CN21" s="62">
        <v>7.4999999999999997E-3</v>
      </c>
      <c r="CO21" s="62">
        <v>-2.5000000000000001E-2</v>
      </c>
      <c r="CP21" s="62">
        <v>2.5000000000000001E-3</v>
      </c>
      <c r="CQ21" s="62">
        <v>1.4999999999999999E-2</v>
      </c>
      <c r="CR21" s="62">
        <v>5.0000000000000001E-3</v>
      </c>
      <c r="CS21" s="62">
        <v>1.9</v>
      </c>
      <c r="CT21" s="62">
        <v>0.43</v>
      </c>
      <c r="CU21" s="62">
        <v>-0.01</v>
      </c>
      <c r="CV21" s="62">
        <v>0</v>
      </c>
      <c r="CW21" s="62">
        <v>0.2</v>
      </c>
      <c r="CX21" s="62">
        <v>0.02</v>
      </c>
      <c r="CY21" s="62">
        <v>-0.57499999999999996</v>
      </c>
      <c r="CZ21" s="62">
        <v>0</v>
      </c>
      <c r="DA21" s="62">
        <v>-0.39500000000000002</v>
      </c>
      <c r="DB21" s="62">
        <v>0</v>
      </c>
      <c r="DC21" s="62">
        <v>0.35</v>
      </c>
      <c r="DE21" s="62">
        <v>-0.06</v>
      </c>
      <c r="DF21" s="62">
        <v>2.5000000000000001E-3</v>
      </c>
      <c r="DG21" s="62">
        <v>-0.01</v>
      </c>
      <c r="DH21" s="62">
        <v>-2.5000000000000001E-3</v>
      </c>
      <c r="DI21" s="62">
        <v>-3.5000000000000003E-2</v>
      </c>
      <c r="DJ21" s="62">
        <v>-2.5000000000000001E-3</v>
      </c>
      <c r="DK21" s="62">
        <v>-0.125</v>
      </c>
      <c r="DL21" s="62">
        <v>0</v>
      </c>
      <c r="DM21" s="62">
        <v>-6.7500000000000004E-2</v>
      </c>
      <c r="DN21" s="62">
        <v>-2.5000000000000001E-3</v>
      </c>
      <c r="DO21" s="62">
        <v>-0.09</v>
      </c>
      <c r="DP21" s="62">
        <v>0</v>
      </c>
      <c r="DQ21" s="62">
        <v>-0.14000000000000001</v>
      </c>
      <c r="DR21" s="62">
        <v>-7.4999999999999997E-3</v>
      </c>
      <c r="DS21" s="62">
        <v>0.88</v>
      </c>
      <c r="DT21" s="62">
        <v>0.12</v>
      </c>
      <c r="DU21" s="62">
        <v>3.5000000000000003E-2</v>
      </c>
      <c r="DV21" s="62">
        <v>0</v>
      </c>
    </row>
    <row r="22" spans="1:126" x14ac:dyDescent="0.25">
      <c r="D22" s="86">
        <v>37316</v>
      </c>
      <c r="F22" s="89">
        <v>2.9020000000000001</v>
      </c>
      <c r="G22" s="90">
        <v>1.9273175363903501E-2</v>
      </c>
      <c r="H22" s="89">
        <v>0.79</v>
      </c>
      <c r="I22" s="89">
        <v>0.79</v>
      </c>
      <c r="J22" s="89">
        <v>0.81499999999999995</v>
      </c>
      <c r="K22" s="89">
        <v>0.79</v>
      </c>
      <c r="L22" s="87">
        <v>0.79</v>
      </c>
      <c r="M22" s="87">
        <v>0.89</v>
      </c>
      <c r="N22" s="89">
        <v>1.04</v>
      </c>
      <c r="O22" s="89">
        <v>0.79</v>
      </c>
      <c r="P22" s="89">
        <v>0.79</v>
      </c>
      <c r="Q22" s="89">
        <v>0.99</v>
      </c>
      <c r="R22" s="90">
        <v>0.79</v>
      </c>
      <c r="S22" s="90">
        <v>0.79</v>
      </c>
      <c r="T22" s="89">
        <v>0.79</v>
      </c>
      <c r="U22" s="89">
        <v>1.615</v>
      </c>
      <c r="V22" s="89">
        <v>0.92</v>
      </c>
      <c r="W22" s="89">
        <v>-5.0000000000000001E-3</v>
      </c>
      <c r="X22" s="89">
        <v>1.4999999999999999E-2</v>
      </c>
      <c r="Y22" s="89">
        <v>8.5000000000000006E-2</v>
      </c>
      <c r="Z22" s="89">
        <v>0</v>
      </c>
      <c r="AA22" s="89">
        <v>0.26</v>
      </c>
      <c r="AB22" s="89">
        <v>0</v>
      </c>
      <c r="AC22" s="89">
        <v>0.245</v>
      </c>
      <c r="AD22" s="89">
        <v>0</v>
      </c>
      <c r="AE22" s="89">
        <v>0.28999999999999998</v>
      </c>
      <c r="AF22" s="89">
        <v>0</v>
      </c>
      <c r="AG22" s="89">
        <v>0.14000000000000001</v>
      </c>
      <c r="AH22" s="89">
        <v>0</v>
      </c>
      <c r="AI22" s="89">
        <v>0.12328</v>
      </c>
      <c r="AJ22" s="89">
        <v>0</v>
      </c>
      <c r="AK22" s="89">
        <v>8.5000000000000006E-2</v>
      </c>
      <c r="AL22" s="89">
        <v>1.4999999999999999E-2</v>
      </c>
      <c r="AM22" s="89">
        <v>-0.09</v>
      </c>
      <c r="AN22" s="89">
        <v>0</v>
      </c>
      <c r="AO22" s="89">
        <v>-0.45</v>
      </c>
      <c r="AP22" s="89">
        <v>0.155</v>
      </c>
      <c r="AQ22" s="89">
        <v>-7.7499999999999999E-2</v>
      </c>
      <c r="AR22" s="89">
        <v>2.5000000000000001E-3</v>
      </c>
      <c r="AS22" s="89">
        <v>-0.13500000000000001</v>
      </c>
      <c r="AT22" s="89">
        <v>-5.0000000000000001E-3</v>
      </c>
      <c r="AU22" s="89">
        <v>-9.5000000000000001E-2</v>
      </c>
      <c r="AV22" s="89">
        <v>-0.01</v>
      </c>
      <c r="AW22" s="89">
        <v>-8.5000000000000006E-2</v>
      </c>
      <c r="AX22" s="89">
        <v>0</v>
      </c>
      <c r="AY22" s="90">
        <v>0.125</v>
      </c>
      <c r="AZ22" s="90">
        <v>0</v>
      </c>
      <c r="BA22" s="90">
        <v>-0.34</v>
      </c>
      <c r="BB22" s="89">
        <v>-0.01</v>
      </c>
      <c r="BC22" s="89">
        <v>-0.19</v>
      </c>
      <c r="BD22" s="89">
        <v>-2.75E-2</v>
      </c>
      <c r="BE22" s="89">
        <v>-0.01</v>
      </c>
      <c r="BF22" s="89">
        <v>-0.01</v>
      </c>
      <c r="BG22" s="89">
        <v>-0.155</v>
      </c>
      <c r="BH22" s="89">
        <v>-0.02</v>
      </c>
      <c r="BI22" s="89">
        <v>-0.1</v>
      </c>
      <c r="BJ22" s="62">
        <v>0.02</v>
      </c>
      <c r="BK22" s="62">
        <v>-0.01</v>
      </c>
      <c r="BL22" s="62">
        <v>-0.01</v>
      </c>
      <c r="BM22" s="62">
        <v>-0.17</v>
      </c>
      <c r="BN22" s="62">
        <v>0</v>
      </c>
      <c r="BO22" s="62">
        <v>-0.43</v>
      </c>
      <c r="BP22" s="62">
        <v>1.4999999999999999E-2</v>
      </c>
      <c r="BQ22" s="62">
        <v>0.09</v>
      </c>
      <c r="BR22" s="62">
        <v>0.01</v>
      </c>
      <c r="BS22" s="62">
        <v>-0.19</v>
      </c>
      <c r="BT22" s="62">
        <v>-2.75E-2</v>
      </c>
      <c r="BU22" s="62">
        <v>0.02</v>
      </c>
      <c r="BV22" s="62">
        <v>0</v>
      </c>
      <c r="BW22" s="62">
        <v>-0.01</v>
      </c>
      <c r="BX22" s="62">
        <v>-0.01</v>
      </c>
      <c r="BY22" s="62">
        <v>-2.5000000000000001E-2</v>
      </c>
      <c r="BZ22" s="62">
        <v>5.7500000000000002E-2</v>
      </c>
      <c r="CA22" s="62">
        <v>0.12</v>
      </c>
      <c r="CB22" s="62">
        <v>5.0000000000000001E-3</v>
      </c>
      <c r="CC22" s="62">
        <v>-2.5000000000000001E-2</v>
      </c>
      <c r="CD22" s="62">
        <v>0</v>
      </c>
      <c r="CE22" s="62">
        <v>2.5000000000000001E-3</v>
      </c>
      <c r="CF22" s="62">
        <v>-5.0000000000000001E-3</v>
      </c>
      <c r="CG22" s="62">
        <v>-2.5000000000000001E-2</v>
      </c>
      <c r="CH22" s="62">
        <v>0</v>
      </c>
      <c r="CI22" s="62">
        <v>-0.125</v>
      </c>
      <c r="CJ22" s="62">
        <v>-0.01</v>
      </c>
      <c r="CK22" s="62">
        <v>6.7500000000000004E-2</v>
      </c>
      <c r="CL22" s="62">
        <v>-7.4999999999999997E-3</v>
      </c>
      <c r="CM22" s="62">
        <v>-7.7499999999999999E-2</v>
      </c>
      <c r="CN22" s="62">
        <v>7.4999999999999997E-3</v>
      </c>
      <c r="CO22" s="62">
        <v>-2.5000000000000001E-2</v>
      </c>
      <c r="CP22" s="62">
        <v>2.5000000000000001E-3</v>
      </c>
      <c r="CQ22" s="62">
        <v>1.4999999999999999E-2</v>
      </c>
      <c r="CR22" s="62">
        <v>5.0000000000000001E-3</v>
      </c>
      <c r="CS22" s="62">
        <v>0.7</v>
      </c>
      <c r="CT22" s="62">
        <v>0.05</v>
      </c>
      <c r="CU22" s="62">
        <v>-0.17</v>
      </c>
      <c r="CV22" s="62">
        <v>0</v>
      </c>
      <c r="CW22" s="62">
        <v>0.17</v>
      </c>
      <c r="CX22" s="62">
        <v>0.02</v>
      </c>
      <c r="CY22" s="62">
        <v>-0.67500000000000004</v>
      </c>
      <c r="CZ22" s="62">
        <v>0</v>
      </c>
      <c r="DA22" s="62">
        <v>-0.495</v>
      </c>
      <c r="DB22" s="62">
        <v>0</v>
      </c>
      <c r="DC22" s="62">
        <v>0.4</v>
      </c>
      <c r="DE22" s="62">
        <v>-0.06</v>
      </c>
      <c r="DF22" s="62">
        <v>2.5000000000000001E-3</v>
      </c>
      <c r="DG22" s="62">
        <v>-0.01</v>
      </c>
      <c r="DH22" s="62">
        <v>-2.5000000000000001E-3</v>
      </c>
      <c r="DI22" s="62">
        <v>-3.5000000000000003E-2</v>
      </c>
      <c r="DJ22" s="62">
        <v>-2.5000000000000001E-3</v>
      </c>
      <c r="DK22" s="62">
        <v>-0.125</v>
      </c>
      <c r="DL22" s="62">
        <v>0</v>
      </c>
      <c r="DM22" s="62">
        <v>-6.7500000000000004E-2</v>
      </c>
      <c r="DN22" s="62">
        <v>-2.5000000000000001E-3</v>
      </c>
      <c r="DO22" s="62">
        <v>-0.09</v>
      </c>
      <c r="DP22" s="62">
        <v>0</v>
      </c>
      <c r="DQ22" s="62">
        <v>-0.14000000000000001</v>
      </c>
      <c r="DR22" s="62">
        <v>-7.4999999999999997E-3</v>
      </c>
      <c r="DS22" s="62">
        <v>0.6</v>
      </c>
      <c r="DT22" s="62">
        <v>0.08</v>
      </c>
      <c r="DU22" s="62">
        <v>3.5000000000000003E-2</v>
      </c>
      <c r="DV22" s="62">
        <v>0</v>
      </c>
    </row>
    <row r="23" spans="1:126" x14ac:dyDescent="0.25">
      <c r="D23" s="86">
        <v>37347</v>
      </c>
      <c r="F23" s="89">
        <v>2.8479999999999999</v>
      </c>
      <c r="G23" s="90">
        <v>1.9422640119623601E-2</v>
      </c>
      <c r="H23" s="89">
        <v>0.61</v>
      </c>
      <c r="I23" s="89">
        <v>0.53</v>
      </c>
      <c r="J23" s="89">
        <v>0.57999999999999996</v>
      </c>
      <c r="K23" s="89">
        <v>0.53</v>
      </c>
      <c r="L23" s="87">
        <v>0.57999999999999996</v>
      </c>
      <c r="M23" s="87">
        <v>0.57999999999999996</v>
      </c>
      <c r="N23" s="89">
        <v>0.57999999999999996</v>
      </c>
      <c r="O23" s="89">
        <v>0.57999999999999996</v>
      </c>
      <c r="P23" s="89">
        <v>0.57999999999999996</v>
      </c>
      <c r="Q23" s="89">
        <v>0.63</v>
      </c>
      <c r="R23" s="90">
        <v>0.53</v>
      </c>
      <c r="S23" s="90">
        <v>0.57999999999999996</v>
      </c>
      <c r="T23" s="89">
        <v>0.53</v>
      </c>
      <c r="U23" s="89">
        <v>0.57999999999999996</v>
      </c>
      <c r="V23" s="89">
        <v>0.83</v>
      </c>
      <c r="W23" s="89">
        <v>-0.09</v>
      </c>
      <c r="X23" s="89">
        <v>0</v>
      </c>
      <c r="Y23" s="89">
        <v>2.75E-2</v>
      </c>
      <c r="Z23" s="89">
        <v>-5.0000000000000001E-3</v>
      </c>
      <c r="AA23" s="89">
        <v>0.11749999999999999</v>
      </c>
      <c r="AB23" s="89">
        <v>0</v>
      </c>
      <c r="AC23" s="89">
        <v>9.2499999999999999E-2</v>
      </c>
      <c r="AD23" s="89">
        <v>0</v>
      </c>
      <c r="AE23" s="89">
        <v>0.13750000000000001</v>
      </c>
      <c r="AF23" s="89">
        <v>0</v>
      </c>
      <c r="AG23" s="89">
        <v>7.7499999999999999E-2</v>
      </c>
      <c r="AH23" s="89">
        <v>0</v>
      </c>
      <c r="AI23" s="89">
        <v>8.2500000000000004E-2</v>
      </c>
      <c r="AJ23" s="89">
        <v>0</v>
      </c>
      <c r="AK23" s="89">
        <v>2.75E-2</v>
      </c>
      <c r="AL23" s="89">
        <v>3.5000000000000003E-2</v>
      </c>
      <c r="AM23" s="89">
        <v>-8.2500000000000004E-2</v>
      </c>
      <c r="AN23" s="89">
        <v>7.0000000000000001E-3</v>
      </c>
      <c r="AO23" s="89">
        <v>-0.48499999999999999</v>
      </c>
      <c r="AP23" s="89">
        <v>0.155</v>
      </c>
      <c r="AQ23" s="89">
        <v>-6.5000000000000002E-2</v>
      </c>
      <c r="AR23" s="89">
        <v>0.01</v>
      </c>
      <c r="AS23" s="89">
        <v>-0.15</v>
      </c>
      <c r="AT23" s="89">
        <v>-1.4999999999999999E-2</v>
      </c>
      <c r="AU23" s="89">
        <v>-0.11</v>
      </c>
      <c r="AV23" s="89">
        <v>0.02</v>
      </c>
      <c r="AW23" s="89">
        <v>-8.7499999999999994E-2</v>
      </c>
      <c r="AX23" s="89">
        <v>5.0000000000000001E-3</v>
      </c>
      <c r="AY23" s="90">
        <v>8.7499999999999994E-2</v>
      </c>
      <c r="AZ23" s="90">
        <v>0</v>
      </c>
      <c r="BA23" s="90">
        <v>-0.36</v>
      </c>
      <c r="BB23" s="89">
        <v>0</v>
      </c>
      <c r="BC23" s="89">
        <v>-0.185</v>
      </c>
      <c r="BD23" s="89">
        <v>-0.01</v>
      </c>
      <c r="BE23" s="89">
        <v>-0.09</v>
      </c>
      <c r="BF23" s="89">
        <v>-0.01</v>
      </c>
      <c r="BG23" s="89">
        <v>-0.13500000000000001</v>
      </c>
      <c r="BH23" s="89">
        <v>0</v>
      </c>
      <c r="BI23" s="89">
        <v>-0.12</v>
      </c>
      <c r="BJ23" s="62">
        <v>0.02</v>
      </c>
      <c r="BK23" s="62">
        <v>-0.09</v>
      </c>
      <c r="BL23" s="62">
        <v>-0.01</v>
      </c>
      <c r="BM23" s="62">
        <v>-0.245</v>
      </c>
      <c r="BN23" s="62">
        <v>0</v>
      </c>
      <c r="BO23" s="62">
        <v>-0.53</v>
      </c>
      <c r="BP23" s="62">
        <v>0.02</v>
      </c>
      <c r="BQ23" s="62">
        <v>7.0000000000000007E-2</v>
      </c>
      <c r="BR23" s="62">
        <v>0.03</v>
      </c>
      <c r="BS23" s="62">
        <v>-0.185</v>
      </c>
      <c r="BT23" s="62">
        <v>-0.01</v>
      </c>
      <c r="BU23" s="62">
        <v>-0.13</v>
      </c>
      <c r="BV23" s="62">
        <v>0</v>
      </c>
      <c r="BW23" s="62">
        <v>-0.09</v>
      </c>
      <c r="BX23" s="62">
        <v>0</v>
      </c>
      <c r="BY23" s="62">
        <v>-2.5000000000000001E-2</v>
      </c>
      <c r="BZ23" s="62">
        <v>5.7500000000000002E-2</v>
      </c>
      <c r="CA23" s="62">
        <v>0.15</v>
      </c>
      <c r="CB23" s="62">
        <v>5.0000000000000001E-3</v>
      </c>
      <c r="CC23" s="62">
        <v>-2.5000000000000001E-2</v>
      </c>
      <c r="CD23" s="62">
        <v>2.5000000000000001E-3</v>
      </c>
      <c r="CE23" s="62">
        <v>2.5000000000000001E-3</v>
      </c>
      <c r="CF23" s="62">
        <v>-2.5000000000000001E-3</v>
      </c>
      <c r="CG23" s="62">
        <v>-2.5000000000000001E-2</v>
      </c>
      <c r="CH23" s="62">
        <v>2.5000000000000001E-3</v>
      </c>
      <c r="CI23" s="62">
        <v>-0.14249999999999999</v>
      </c>
      <c r="CJ23" s="62">
        <v>-5.0000000000000001E-3</v>
      </c>
      <c r="CK23" s="62">
        <v>7.2499999999999995E-2</v>
      </c>
      <c r="CL23" s="62">
        <v>-7.4999999999999997E-3</v>
      </c>
      <c r="CM23" s="62">
        <v>-7.7499999999999999E-2</v>
      </c>
      <c r="CN23" s="62">
        <v>7.4999999999999997E-3</v>
      </c>
      <c r="CO23" s="62">
        <v>-2.2499999999999999E-2</v>
      </c>
      <c r="CP23" s="62">
        <v>5.0000000000000001E-3</v>
      </c>
      <c r="CQ23" s="62">
        <v>1.7500000000000002E-2</v>
      </c>
      <c r="CR23" s="62">
        <v>7.4999999999999997E-3</v>
      </c>
      <c r="CS23" s="62">
        <v>0.41499999999999998</v>
      </c>
      <c r="CT23" s="62">
        <v>0.02</v>
      </c>
      <c r="CU23" s="62">
        <v>-0.245</v>
      </c>
      <c r="CV23" s="62">
        <v>0</v>
      </c>
      <c r="CW23" s="62">
        <v>0.19500000000000001</v>
      </c>
      <c r="CX23" s="62">
        <v>7.4999999999999997E-3</v>
      </c>
      <c r="CY23" s="62">
        <v>-0.82</v>
      </c>
      <c r="CZ23" s="62">
        <v>0</v>
      </c>
      <c r="DA23" s="62">
        <v>-0.64</v>
      </c>
      <c r="DB23" s="62">
        <v>0</v>
      </c>
      <c r="DC23" s="62">
        <v>0.6</v>
      </c>
      <c r="DE23" s="62">
        <v>-5.7500000000000002E-2</v>
      </c>
      <c r="DF23" s="62">
        <v>5.0000000000000001E-3</v>
      </c>
      <c r="DG23" s="62">
        <v>0.01</v>
      </c>
      <c r="DH23" s="62">
        <v>5.0000000000000001E-3</v>
      </c>
      <c r="DI23" s="62">
        <v>-2.5000000000000001E-2</v>
      </c>
      <c r="DJ23" s="62">
        <v>5.0000000000000001E-3</v>
      </c>
      <c r="DK23" s="62">
        <v>-0.14499999999999999</v>
      </c>
      <c r="DL23" s="62">
        <v>5.0000000000000001E-3</v>
      </c>
      <c r="DM23" s="62">
        <v>-6.5000000000000002E-2</v>
      </c>
      <c r="DN23" s="62">
        <v>-2.5000000000000001E-3</v>
      </c>
      <c r="DO23" s="62">
        <v>-8.2500000000000004E-2</v>
      </c>
      <c r="DP23" s="62">
        <v>2.5000000000000001E-3</v>
      </c>
      <c r="DQ23" s="62">
        <v>-0.16500000000000001</v>
      </c>
      <c r="DR23" s="62">
        <v>-7.4999999999999997E-3</v>
      </c>
      <c r="DS23" s="62">
        <v>0.34</v>
      </c>
      <c r="DT23" s="62">
        <v>5.0000000000000001E-3</v>
      </c>
      <c r="DU23" s="62">
        <v>-5.2499999999999998E-2</v>
      </c>
      <c r="DV23" s="62">
        <v>0</v>
      </c>
    </row>
    <row r="24" spans="1:126" x14ac:dyDescent="0.25">
      <c r="D24" s="86">
        <v>37377</v>
      </c>
      <c r="F24" s="89">
        <v>2.8959999999999999</v>
      </c>
      <c r="G24" s="90">
        <v>1.9712159578257001E-2</v>
      </c>
      <c r="H24" s="89">
        <v>0.57750000000000001</v>
      </c>
      <c r="I24" s="89">
        <v>0.57999999999999996</v>
      </c>
      <c r="J24" s="89">
        <v>0.63</v>
      </c>
      <c r="K24" s="89">
        <v>0.53</v>
      </c>
      <c r="L24" s="87">
        <v>0.53</v>
      </c>
      <c r="M24" s="87">
        <v>0.57999999999999996</v>
      </c>
      <c r="N24" s="89">
        <v>0.63</v>
      </c>
      <c r="O24" s="89">
        <v>0.57999999999999996</v>
      </c>
      <c r="P24" s="89">
        <v>0.53</v>
      </c>
      <c r="Q24" s="89">
        <v>0.57999999999999996</v>
      </c>
      <c r="R24" s="90">
        <v>0.57999999999999996</v>
      </c>
      <c r="S24" s="90">
        <v>0.63</v>
      </c>
      <c r="T24" s="89">
        <v>0.57999999999999996</v>
      </c>
      <c r="U24" s="89">
        <v>0.63</v>
      </c>
      <c r="V24" s="89">
        <v>0.78</v>
      </c>
      <c r="W24" s="89">
        <v>-0.09</v>
      </c>
      <c r="X24" s="89">
        <v>0</v>
      </c>
      <c r="Y24" s="89">
        <v>2.75E-2</v>
      </c>
      <c r="Z24" s="89">
        <v>-5.0000000000000001E-3</v>
      </c>
      <c r="AA24" s="89">
        <v>0.11749999999999999</v>
      </c>
      <c r="AB24" s="89">
        <v>0</v>
      </c>
      <c r="AC24" s="89">
        <v>9.2499999999999999E-2</v>
      </c>
      <c r="AD24" s="89">
        <v>0</v>
      </c>
      <c r="AE24" s="89">
        <v>0.13750000000000001</v>
      </c>
      <c r="AF24" s="89">
        <v>0</v>
      </c>
      <c r="AG24" s="89">
        <v>7.7499999999999999E-2</v>
      </c>
      <c r="AH24" s="89">
        <v>0</v>
      </c>
      <c r="AI24" s="89">
        <v>8.2500000000000004E-2</v>
      </c>
      <c r="AJ24" s="89">
        <v>0</v>
      </c>
      <c r="AK24" s="89">
        <v>2.75E-2</v>
      </c>
      <c r="AL24" s="89">
        <v>3.5000000000000003E-2</v>
      </c>
      <c r="AM24" s="89">
        <v>-8.2500000000000004E-2</v>
      </c>
      <c r="AN24" s="89">
        <v>7.0000000000000001E-3</v>
      </c>
      <c r="AO24" s="89">
        <v>-0.48499999999999999</v>
      </c>
      <c r="AP24" s="89">
        <v>0.155</v>
      </c>
      <c r="AQ24" s="89">
        <v>-6.5000000000000002E-2</v>
      </c>
      <c r="AR24" s="89">
        <v>0.01</v>
      </c>
      <c r="AS24" s="89">
        <v>-0.15</v>
      </c>
      <c r="AT24" s="89">
        <v>-1.4999999999999999E-2</v>
      </c>
      <c r="AU24" s="89">
        <v>-0.11</v>
      </c>
      <c r="AV24" s="89">
        <v>0.02</v>
      </c>
      <c r="AW24" s="89">
        <v>-8.7499999999999994E-2</v>
      </c>
      <c r="AX24" s="89">
        <v>5.0000000000000001E-3</v>
      </c>
      <c r="AY24" s="90">
        <v>8.7499999999999994E-2</v>
      </c>
      <c r="AZ24" s="90">
        <v>0</v>
      </c>
      <c r="BA24" s="90">
        <v>-0.36</v>
      </c>
      <c r="BB24" s="89">
        <v>0</v>
      </c>
      <c r="BC24" s="89">
        <v>-0.18</v>
      </c>
      <c r="BD24" s="89">
        <v>-0.01</v>
      </c>
      <c r="BE24" s="89">
        <v>-7.0000000000000007E-2</v>
      </c>
      <c r="BF24" s="89">
        <v>-0.01</v>
      </c>
      <c r="BG24" s="89">
        <v>-0.1275</v>
      </c>
      <c r="BH24" s="89">
        <v>0</v>
      </c>
      <c r="BI24" s="89">
        <v>-0.12</v>
      </c>
      <c r="BJ24" s="62">
        <v>0.02</v>
      </c>
      <c r="BK24" s="62">
        <v>-7.0000000000000007E-2</v>
      </c>
      <c r="BL24" s="62">
        <v>-0.01</v>
      </c>
      <c r="BM24" s="62">
        <v>-0.245</v>
      </c>
      <c r="BN24" s="62">
        <v>0</v>
      </c>
      <c r="BO24" s="62">
        <v>-0.53</v>
      </c>
      <c r="BP24" s="62">
        <v>0.02</v>
      </c>
      <c r="BQ24" s="62">
        <v>7.0000000000000007E-2</v>
      </c>
      <c r="BR24" s="62">
        <v>0.03</v>
      </c>
      <c r="BS24" s="62">
        <v>-0.18</v>
      </c>
      <c r="BT24" s="62">
        <v>-0.01</v>
      </c>
      <c r="BU24" s="62">
        <v>-0.13</v>
      </c>
      <c r="BV24" s="62">
        <v>0</v>
      </c>
      <c r="BW24" s="62">
        <v>-7.0000000000000007E-2</v>
      </c>
      <c r="BX24" s="62">
        <v>0</v>
      </c>
      <c r="BY24" s="62">
        <v>-2.5000000000000001E-2</v>
      </c>
      <c r="BZ24" s="62">
        <v>5.7500000000000002E-2</v>
      </c>
      <c r="CA24" s="62">
        <v>0.13</v>
      </c>
      <c r="CB24" s="62">
        <v>5.0000000000000001E-3</v>
      </c>
      <c r="CC24" s="62">
        <v>-2.5000000000000001E-2</v>
      </c>
      <c r="CD24" s="62">
        <v>2.5000000000000001E-3</v>
      </c>
      <c r="CE24" s="62">
        <v>2.5000000000000001E-3</v>
      </c>
      <c r="CF24" s="62">
        <v>-2.5000000000000001E-3</v>
      </c>
      <c r="CG24" s="62">
        <v>-2.5000000000000001E-2</v>
      </c>
      <c r="CH24" s="62">
        <v>2.5000000000000001E-3</v>
      </c>
      <c r="CI24" s="62">
        <v>-0.13500000000000001</v>
      </c>
      <c r="CJ24" s="62">
        <v>-5.0000000000000001E-3</v>
      </c>
      <c r="CK24" s="62">
        <v>7.2499999999999995E-2</v>
      </c>
      <c r="CL24" s="62">
        <v>-7.4999999999999997E-3</v>
      </c>
      <c r="CM24" s="62">
        <v>-7.7499999999999999E-2</v>
      </c>
      <c r="CN24" s="62">
        <v>7.4999999999999997E-3</v>
      </c>
      <c r="CO24" s="62">
        <v>-2.2499999999999999E-2</v>
      </c>
      <c r="CP24" s="62">
        <v>5.0000000000000001E-3</v>
      </c>
      <c r="CQ24" s="62">
        <v>1.7500000000000002E-2</v>
      </c>
      <c r="CR24" s="62">
        <v>7.4999999999999997E-3</v>
      </c>
      <c r="CS24" s="62">
        <v>0.38500000000000001</v>
      </c>
      <c r="CT24" s="62">
        <v>0.02</v>
      </c>
      <c r="CU24" s="62">
        <v>-0.245</v>
      </c>
      <c r="CV24" s="62">
        <v>0</v>
      </c>
      <c r="CW24" s="62">
        <v>0.13500000000000001</v>
      </c>
      <c r="CX24" s="62">
        <v>7.4999999999999997E-3</v>
      </c>
      <c r="CY24" s="62">
        <v>-0.82</v>
      </c>
      <c r="CZ24" s="62">
        <v>0</v>
      </c>
      <c r="DA24" s="62">
        <v>-0.64</v>
      </c>
      <c r="DB24" s="62">
        <v>0</v>
      </c>
      <c r="DC24" s="62">
        <v>0.75</v>
      </c>
      <c r="DE24" s="62">
        <v>-5.7500000000000002E-2</v>
      </c>
      <c r="DF24" s="62">
        <v>5.0000000000000001E-3</v>
      </c>
      <c r="DG24" s="62">
        <v>0.01</v>
      </c>
      <c r="DH24" s="62">
        <v>5.0000000000000001E-3</v>
      </c>
      <c r="DI24" s="62">
        <v>-2.5000000000000001E-2</v>
      </c>
      <c r="DJ24" s="62">
        <v>5.0000000000000001E-3</v>
      </c>
      <c r="DK24" s="62">
        <v>-0.1225</v>
      </c>
      <c r="DL24" s="62">
        <v>5.0000000000000001E-3</v>
      </c>
      <c r="DM24" s="62">
        <v>-6.5000000000000002E-2</v>
      </c>
      <c r="DN24" s="62">
        <v>-2.5000000000000001E-3</v>
      </c>
      <c r="DO24" s="62">
        <v>-8.2500000000000004E-2</v>
      </c>
      <c r="DP24" s="62">
        <v>2.5000000000000001E-3</v>
      </c>
      <c r="DQ24" s="62">
        <v>-0.14249999999999999</v>
      </c>
      <c r="DR24" s="62">
        <v>-7.4999999999999997E-3</v>
      </c>
      <c r="DS24" s="62">
        <v>0.3125</v>
      </c>
      <c r="DT24" s="62">
        <v>5.0000000000000001E-3</v>
      </c>
      <c r="DU24" s="62">
        <v>-5.2499999999999998E-2</v>
      </c>
      <c r="DV24" s="62">
        <v>0</v>
      </c>
    </row>
    <row r="25" spans="1:126" x14ac:dyDescent="0.25">
      <c r="B25" s="62"/>
      <c r="D25" s="86">
        <v>37408</v>
      </c>
      <c r="F25" s="89">
        <v>2.9460000000000002</v>
      </c>
      <c r="G25" s="90">
        <v>2.0011329715354399E-2</v>
      </c>
      <c r="H25" s="89">
        <v>0.54749999999999999</v>
      </c>
      <c r="I25" s="89">
        <v>0.57999999999999996</v>
      </c>
      <c r="J25" s="89">
        <v>0.63</v>
      </c>
      <c r="K25" s="89">
        <v>0.53</v>
      </c>
      <c r="L25" s="87">
        <v>0.63</v>
      </c>
      <c r="M25" s="87">
        <v>0.57999999999999996</v>
      </c>
      <c r="N25" s="89">
        <v>0.63</v>
      </c>
      <c r="O25" s="89">
        <v>0.63</v>
      </c>
      <c r="P25" s="89">
        <v>0.63</v>
      </c>
      <c r="Q25" s="89">
        <v>0.63</v>
      </c>
      <c r="R25" s="90">
        <v>0.57999999999999996</v>
      </c>
      <c r="S25" s="90">
        <v>0.63</v>
      </c>
      <c r="T25" s="89">
        <v>0.57999999999999996</v>
      </c>
      <c r="U25" s="89">
        <v>0.63</v>
      </c>
      <c r="V25" s="89">
        <v>0.88</v>
      </c>
      <c r="W25" s="89">
        <v>-0.09</v>
      </c>
      <c r="X25" s="89">
        <v>0</v>
      </c>
      <c r="Y25" s="89">
        <v>2.75E-2</v>
      </c>
      <c r="Z25" s="89">
        <v>-5.0000000000000001E-3</v>
      </c>
      <c r="AA25" s="89">
        <v>0.11749999999999999</v>
      </c>
      <c r="AB25" s="89">
        <v>0</v>
      </c>
      <c r="AC25" s="89">
        <v>9.2499999999999999E-2</v>
      </c>
      <c r="AD25" s="89">
        <v>0</v>
      </c>
      <c r="AE25" s="89">
        <v>0.13750000000000001</v>
      </c>
      <c r="AF25" s="89">
        <v>0</v>
      </c>
      <c r="AG25" s="89">
        <v>7.7499999999999999E-2</v>
      </c>
      <c r="AH25" s="89">
        <v>0</v>
      </c>
      <c r="AI25" s="89">
        <v>8.2500000000000004E-2</v>
      </c>
      <c r="AJ25" s="89">
        <v>0</v>
      </c>
      <c r="AK25" s="89">
        <v>2.75E-2</v>
      </c>
      <c r="AL25" s="89">
        <v>0.04</v>
      </c>
      <c r="AM25" s="89">
        <v>-8.2500000000000004E-2</v>
      </c>
      <c r="AN25" s="89">
        <v>7.0000000000000001E-3</v>
      </c>
      <c r="AO25" s="89">
        <v>-0.48499999999999999</v>
      </c>
      <c r="AP25" s="89">
        <v>0.155</v>
      </c>
      <c r="AQ25" s="89">
        <v>-6.5000000000000002E-2</v>
      </c>
      <c r="AR25" s="89">
        <v>0.01</v>
      </c>
      <c r="AS25" s="89">
        <v>-0.15</v>
      </c>
      <c r="AT25" s="89">
        <v>-1.4999999999999999E-2</v>
      </c>
      <c r="AU25" s="89">
        <v>-0.11</v>
      </c>
      <c r="AV25" s="89">
        <v>0.02</v>
      </c>
      <c r="AW25" s="89">
        <v>-8.7499999999999994E-2</v>
      </c>
      <c r="AX25" s="89">
        <v>5.0000000000000001E-3</v>
      </c>
      <c r="AY25" s="90">
        <v>8.7499999999999994E-2</v>
      </c>
      <c r="AZ25" s="90">
        <v>0</v>
      </c>
      <c r="BA25" s="90">
        <v>-0.36</v>
      </c>
      <c r="BB25" s="89">
        <v>0</v>
      </c>
      <c r="BC25" s="89">
        <v>-0.17499999999999999</v>
      </c>
      <c r="BD25" s="89">
        <v>-0.01</v>
      </c>
      <c r="BE25" s="89">
        <v>-0.05</v>
      </c>
      <c r="BF25" s="89">
        <v>-0.01</v>
      </c>
      <c r="BG25" s="89">
        <v>-0.1225</v>
      </c>
      <c r="BH25" s="89">
        <v>0</v>
      </c>
      <c r="BI25" s="89">
        <v>-0.12</v>
      </c>
      <c r="BJ25" s="62">
        <v>0.02</v>
      </c>
      <c r="BK25" s="62">
        <v>-0.05</v>
      </c>
      <c r="BL25" s="62">
        <v>-0.01</v>
      </c>
      <c r="BM25" s="62">
        <v>-0.245</v>
      </c>
      <c r="BN25" s="62">
        <v>0</v>
      </c>
      <c r="BO25" s="62">
        <v>-0.53</v>
      </c>
      <c r="BP25" s="62">
        <v>0.02</v>
      </c>
      <c r="BQ25" s="62">
        <v>7.0000000000000007E-2</v>
      </c>
      <c r="BR25" s="62">
        <v>0.03</v>
      </c>
      <c r="BS25" s="62">
        <v>-0.17499999999999999</v>
      </c>
      <c r="BT25" s="62">
        <v>-0.01</v>
      </c>
      <c r="BU25" s="62">
        <v>-0.13</v>
      </c>
      <c r="BV25" s="62">
        <v>0</v>
      </c>
      <c r="BW25" s="62">
        <v>0.2</v>
      </c>
      <c r="BX25" s="62">
        <v>0</v>
      </c>
      <c r="BY25" s="62">
        <v>-2.5000000000000001E-2</v>
      </c>
      <c r="BZ25" s="62">
        <v>5.7500000000000002E-2</v>
      </c>
      <c r="CA25" s="62">
        <v>0.15</v>
      </c>
      <c r="CB25" s="62">
        <v>5.0000000000000001E-3</v>
      </c>
      <c r="CC25" s="62">
        <v>-2.5000000000000001E-2</v>
      </c>
      <c r="CD25" s="62">
        <v>2.5000000000000001E-3</v>
      </c>
      <c r="CE25" s="62">
        <v>2.5000000000000001E-3</v>
      </c>
      <c r="CF25" s="62">
        <v>-2.5000000000000001E-3</v>
      </c>
      <c r="CG25" s="62">
        <v>-2.5000000000000001E-2</v>
      </c>
      <c r="CH25" s="62">
        <v>2.5000000000000001E-3</v>
      </c>
      <c r="CI25" s="62">
        <v>-9.2499999999999999E-2</v>
      </c>
      <c r="CJ25" s="62">
        <v>-5.0000000000000001E-3</v>
      </c>
      <c r="CK25" s="62">
        <v>7.2499999999999995E-2</v>
      </c>
      <c r="CL25" s="62">
        <v>-7.4999999999999997E-3</v>
      </c>
      <c r="CM25" s="62">
        <v>-7.7499999999999999E-2</v>
      </c>
      <c r="CN25" s="62">
        <v>7.4999999999999997E-3</v>
      </c>
      <c r="CO25" s="62">
        <v>-2.2499999999999999E-2</v>
      </c>
      <c r="CP25" s="62">
        <v>5.0000000000000001E-3</v>
      </c>
      <c r="CQ25" s="62">
        <v>1.7500000000000002E-2</v>
      </c>
      <c r="CR25" s="62">
        <v>7.4999999999999997E-3</v>
      </c>
      <c r="CS25" s="62">
        <v>0.37</v>
      </c>
      <c r="CT25" s="62">
        <v>3.5000000000000003E-2</v>
      </c>
      <c r="CU25" s="62">
        <v>-0.245</v>
      </c>
      <c r="CV25" s="62">
        <v>0</v>
      </c>
      <c r="CW25" s="62">
        <v>0.16500000000000001</v>
      </c>
      <c r="CX25" s="62">
        <v>7.4999999999999997E-3</v>
      </c>
      <c r="CY25" s="62">
        <v>-0.82</v>
      </c>
      <c r="CZ25" s="62">
        <v>0</v>
      </c>
      <c r="DA25" s="62">
        <v>-0.64</v>
      </c>
      <c r="DB25" s="62">
        <v>0</v>
      </c>
      <c r="DC25" s="62">
        <v>0.85</v>
      </c>
      <c r="DE25" s="62">
        <v>-5.5E-2</v>
      </c>
      <c r="DF25" s="62">
        <v>5.0000000000000001E-3</v>
      </c>
      <c r="DG25" s="62">
        <v>1.2500000000000001E-2</v>
      </c>
      <c r="DH25" s="62">
        <v>5.0000000000000001E-3</v>
      </c>
      <c r="DI25" s="62">
        <v>-2.2499999999999999E-2</v>
      </c>
      <c r="DJ25" s="62">
        <v>5.0000000000000001E-3</v>
      </c>
      <c r="DK25" s="62">
        <v>-7.0000000000000007E-2</v>
      </c>
      <c r="DL25" s="62">
        <v>5.0000000000000001E-3</v>
      </c>
      <c r="DM25" s="62">
        <v>-6.5000000000000002E-2</v>
      </c>
      <c r="DN25" s="62">
        <v>-2.5000000000000001E-3</v>
      </c>
      <c r="DO25" s="62">
        <v>-8.2500000000000004E-2</v>
      </c>
      <c r="DP25" s="62">
        <v>2.5000000000000001E-3</v>
      </c>
      <c r="DQ25" s="62">
        <v>-0.09</v>
      </c>
      <c r="DR25" s="62">
        <v>-7.4999999999999997E-3</v>
      </c>
      <c r="DS25" s="62">
        <v>0.31</v>
      </c>
      <c r="DT25" s="62">
        <v>5.0000000000000001E-3</v>
      </c>
      <c r="DU25" s="62">
        <v>-5.2499999999999998E-2</v>
      </c>
      <c r="DV25" s="62">
        <v>0</v>
      </c>
    </row>
    <row r="26" spans="1:126" x14ac:dyDescent="0.25">
      <c r="D26" s="86">
        <v>37438</v>
      </c>
      <c r="F26" s="89">
        <v>2.984</v>
      </c>
      <c r="G26" s="90">
        <v>2.0428629809483099E-2</v>
      </c>
      <c r="H26" s="89">
        <v>0.54249999999999998</v>
      </c>
      <c r="I26" s="89">
        <v>0.63</v>
      </c>
      <c r="J26" s="89">
        <v>0.63</v>
      </c>
      <c r="K26" s="89">
        <v>0.53</v>
      </c>
      <c r="L26" s="87">
        <v>0.63</v>
      </c>
      <c r="M26" s="87">
        <v>0.63</v>
      </c>
      <c r="N26" s="89">
        <v>0.63</v>
      </c>
      <c r="O26" s="89">
        <v>0.63</v>
      </c>
      <c r="P26" s="89">
        <v>0.63</v>
      </c>
      <c r="Q26" s="89">
        <v>0.63</v>
      </c>
      <c r="R26" s="90">
        <v>0.63</v>
      </c>
      <c r="S26" s="90">
        <v>0.68</v>
      </c>
      <c r="T26" s="89">
        <v>0.63</v>
      </c>
      <c r="U26" s="89">
        <v>0.63</v>
      </c>
      <c r="V26" s="89">
        <v>0.88</v>
      </c>
      <c r="W26" s="89">
        <v>-0.09</v>
      </c>
      <c r="X26" s="89">
        <v>0</v>
      </c>
      <c r="Y26" s="89">
        <v>2.75E-2</v>
      </c>
      <c r="Z26" s="89">
        <v>-5.0000000000000001E-3</v>
      </c>
      <c r="AA26" s="89">
        <v>0.11749999999999999</v>
      </c>
      <c r="AB26" s="89">
        <v>0</v>
      </c>
      <c r="AC26" s="89">
        <v>9.2499999999999999E-2</v>
      </c>
      <c r="AD26" s="89">
        <v>0</v>
      </c>
      <c r="AE26" s="89">
        <v>0.13750000000000001</v>
      </c>
      <c r="AF26" s="89">
        <v>0</v>
      </c>
      <c r="AG26" s="89">
        <v>7.7499999999999999E-2</v>
      </c>
      <c r="AH26" s="89">
        <v>0</v>
      </c>
      <c r="AI26" s="89">
        <v>8.2500000000000004E-2</v>
      </c>
      <c r="AJ26" s="89">
        <v>0</v>
      </c>
      <c r="AK26" s="89">
        <v>2.75E-2</v>
      </c>
      <c r="AL26" s="89">
        <v>0.04</v>
      </c>
      <c r="AM26" s="89">
        <v>-8.2500000000000004E-2</v>
      </c>
      <c r="AN26" s="89">
        <v>7.0000000000000001E-3</v>
      </c>
      <c r="AO26" s="89">
        <v>-0.48499999999999999</v>
      </c>
      <c r="AP26" s="89">
        <v>0.155</v>
      </c>
      <c r="AQ26" s="89">
        <v>-6.5000000000000002E-2</v>
      </c>
      <c r="AR26" s="89">
        <v>0.01</v>
      </c>
      <c r="AS26" s="89">
        <v>-0.15</v>
      </c>
      <c r="AT26" s="89">
        <v>-1.4999999999999999E-2</v>
      </c>
      <c r="AU26" s="89">
        <v>-0.11</v>
      </c>
      <c r="AV26" s="89">
        <v>0.02</v>
      </c>
      <c r="AW26" s="89">
        <v>-8.7499999999999994E-2</v>
      </c>
      <c r="AX26" s="89">
        <v>5.0000000000000001E-3</v>
      </c>
      <c r="AY26" s="90">
        <v>8.7499999999999994E-2</v>
      </c>
      <c r="AZ26" s="90">
        <v>0</v>
      </c>
      <c r="BA26" s="90">
        <v>-0.33</v>
      </c>
      <c r="BB26" s="89">
        <v>0</v>
      </c>
      <c r="BC26" s="89">
        <v>-0.13500000000000001</v>
      </c>
      <c r="BD26" s="89">
        <v>-0.01</v>
      </c>
      <c r="BE26" s="89">
        <v>0.115</v>
      </c>
      <c r="BF26" s="89">
        <v>-0.01</v>
      </c>
      <c r="BG26" s="89">
        <v>-8.5000000000000006E-2</v>
      </c>
      <c r="BH26" s="89">
        <v>0</v>
      </c>
      <c r="BI26" s="89">
        <v>-0.02</v>
      </c>
      <c r="BJ26" s="62">
        <v>0.02</v>
      </c>
      <c r="BK26" s="62">
        <v>0.115</v>
      </c>
      <c r="BL26" s="62">
        <v>-0.01</v>
      </c>
      <c r="BM26" s="62">
        <v>-0.36</v>
      </c>
      <c r="BN26" s="62">
        <v>0</v>
      </c>
      <c r="BO26" s="62">
        <v>-0.54</v>
      </c>
      <c r="BP26" s="62">
        <v>0.02</v>
      </c>
      <c r="BQ26" s="62">
        <v>0.28000000000000003</v>
      </c>
      <c r="BR26" s="62">
        <v>0.03</v>
      </c>
      <c r="BS26" s="62">
        <v>-0.13500000000000001</v>
      </c>
      <c r="BT26" s="62">
        <v>-0.01</v>
      </c>
      <c r="BU26" s="62">
        <v>0.08</v>
      </c>
      <c r="BV26" s="62">
        <v>0</v>
      </c>
      <c r="BW26" s="62">
        <v>0.115</v>
      </c>
      <c r="BX26" s="62">
        <v>0</v>
      </c>
      <c r="BY26" s="62">
        <v>-2.5000000000000001E-2</v>
      </c>
      <c r="BZ26" s="62">
        <v>5.7500000000000002E-2</v>
      </c>
      <c r="CA26" s="62">
        <v>0.16500000000000001</v>
      </c>
      <c r="CB26" s="62">
        <v>5.0000000000000001E-3</v>
      </c>
      <c r="CC26" s="62">
        <v>-2.5000000000000001E-2</v>
      </c>
      <c r="CD26" s="62">
        <v>2.5000000000000001E-3</v>
      </c>
      <c r="CE26" s="62">
        <v>2.5000000000000001E-3</v>
      </c>
      <c r="CF26" s="62">
        <v>-2.5000000000000001E-3</v>
      </c>
      <c r="CG26" s="62">
        <v>-2.5000000000000001E-2</v>
      </c>
      <c r="CH26" s="62">
        <v>2.5000000000000001E-3</v>
      </c>
      <c r="CI26" s="62">
        <v>-0.09</v>
      </c>
      <c r="CJ26" s="62">
        <v>-5.0000000000000001E-3</v>
      </c>
      <c r="CK26" s="62">
        <v>7.2499999999999995E-2</v>
      </c>
      <c r="CL26" s="62">
        <v>-7.4999999999999997E-3</v>
      </c>
      <c r="CM26" s="62">
        <v>-7.7499999999999999E-2</v>
      </c>
      <c r="CN26" s="62">
        <v>7.4999999999999997E-3</v>
      </c>
      <c r="CO26" s="62">
        <v>-2.2499999999999999E-2</v>
      </c>
      <c r="CP26" s="62">
        <v>5.0000000000000001E-3</v>
      </c>
      <c r="CQ26" s="62">
        <v>1.7500000000000002E-2</v>
      </c>
      <c r="CR26" s="62">
        <v>7.4999999999999997E-3</v>
      </c>
      <c r="CS26" s="62">
        <v>0.42499999999999999</v>
      </c>
      <c r="CT26" s="62">
        <v>3.5000000000000003E-2</v>
      </c>
      <c r="CU26" s="62">
        <v>-0.36</v>
      </c>
      <c r="CV26" s="62">
        <v>0</v>
      </c>
      <c r="CW26" s="62">
        <v>0.20499999999999999</v>
      </c>
      <c r="CX26" s="62">
        <v>7.4999999999999997E-3</v>
      </c>
      <c r="CY26" s="62">
        <v>-0.83</v>
      </c>
      <c r="CZ26" s="62">
        <v>0</v>
      </c>
      <c r="DA26" s="62">
        <v>-0.65</v>
      </c>
      <c r="DB26" s="62">
        <v>0</v>
      </c>
      <c r="DC26" s="62">
        <v>1.05</v>
      </c>
      <c r="DE26" s="62">
        <v>-5.5E-2</v>
      </c>
      <c r="DF26" s="62">
        <v>5.0000000000000001E-3</v>
      </c>
      <c r="DG26" s="62">
        <v>1.2500000000000001E-2</v>
      </c>
      <c r="DH26" s="62">
        <v>5.0000000000000001E-3</v>
      </c>
      <c r="DI26" s="62">
        <v>-2.2499999999999999E-2</v>
      </c>
      <c r="DJ26" s="62">
        <v>5.0000000000000001E-3</v>
      </c>
      <c r="DK26" s="62">
        <v>-0.08</v>
      </c>
      <c r="DL26" s="62">
        <v>5.0000000000000001E-3</v>
      </c>
      <c r="DM26" s="62">
        <v>-6.5000000000000002E-2</v>
      </c>
      <c r="DN26" s="62">
        <v>-2.5000000000000001E-3</v>
      </c>
      <c r="DO26" s="62">
        <v>-8.2500000000000004E-2</v>
      </c>
      <c r="DP26" s="62">
        <v>2.5000000000000001E-3</v>
      </c>
      <c r="DQ26" s="62">
        <v>-0.1</v>
      </c>
      <c r="DR26" s="62">
        <v>-7.4999999999999997E-3</v>
      </c>
      <c r="DS26" s="62">
        <v>0.33</v>
      </c>
      <c r="DT26" s="62">
        <v>5.0000000000000001E-3</v>
      </c>
      <c r="DU26" s="62">
        <v>-5.2499999999999998E-2</v>
      </c>
      <c r="DV26" s="62">
        <v>0</v>
      </c>
    </row>
    <row r="27" spans="1:126" x14ac:dyDescent="0.25">
      <c r="D27" s="86">
        <v>37469</v>
      </c>
      <c r="F27" s="89">
        <v>3.0259999999999998</v>
      </c>
      <c r="G27" s="90">
        <v>2.1065008234303999E-2</v>
      </c>
      <c r="H27" s="89">
        <v>0.54</v>
      </c>
      <c r="I27" s="89">
        <v>0.68</v>
      </c>
      <c r="J27" s="89">
        <v>0.68</v>
      </c>
      <c r="K27" s="89">
        <v>0.63</v>
      </c>
      <c r="L27" s="87">
        <v>0.73</v>
      </c>
      <c r="M27" s="87">
        <v>0.68</v>
      </c>
      <c r="N27" s="89">
        <v>0.73</v>
      </c>
      <c r="O27" s="89">
        <v>0.68</v>
      </c>
      <c r="P27" s="89">
        <v>0.73</v>
      </c>
      <c r="Q27" s="89">
        <v>0.57999999999999996</v>
      </c>
      <c r="R27" s="90">
        <v>0.68</v>
      </c>
      <c r="S27" s="90">
        <v>0.73</v>
      </c>
      <c r="T27" s="89">
        <v>0.68</v>
      </c>
      <c r="U27" s="89">
        <v>0.73</v>
      </c>
      <c r="V27" s="89">
        <v>0.98</v>
      </c>
      <c r="W27" s="89">
        <v>-0.09</v>
      </c>
      <c r="X27" s="89">
        <v>0</v>
      </c>
      <c r="Y27" s="89">
        <v>2.75E-2</v>
      </c>
      <c r="Z27" s="89">
        <v>-5.0000000000000001E-3</v>
      </c>
      <c r="AA27" s="89">
        <v>0.11749999999999999</v>
      </c>
      <c r="AB27" s="89">
        <v>0</v>
      </c>
      <c r="AC27" s="89">
        <v>9.2499999999999999E-2</v>
      </c>
      <c r="AD27" s="89">
        <v>0</v>
      </c>
      <c r="AE27" s="89">
        <v>0.13750000000000001</v>
      </c>
      <c r="AF27" s="89">
        <v>0</v>
      </c>
      <c r="AG27" s="89">
        <v>7.7499999999999999E-2</v>
      </c>
      <c r="AH27" s="89">
        <v>0</v>
      </c>
      <c r="AI27" s="89">
        <v>8.2500000000000004E-2</v>
      </c>
      <c r="AJ27" s="89">
        <v>0</v>
      </c>
      <c r="AK27" s="89">
        <v>2.75E-2</v>
      </c>
      <c r="AL27" s="89">
        <v>0.04</v>
      </c>
      <c r="AM27" s="89">
        <v>-8.2500000000000004E-2</v>
      </c>
      <c r="AN27" s="89">
        <v>7.0000000000000001E-3</v>
      </c>
      <c r="AO27" s="89">
        <v>-0.48499999999999999</v>
      </c>
      <c r="AP27" s="89">
        <v>0.155</v>
      </c>
      <c r="AQ27" s="89">
        <v>-6.5000000000000002E-2</v>
      </c>
      <c r="AR27" s="89">
        <v>0.01</v>
      </c>
      <c r="AS27" s="89">
        <v>-0.15</v>
      </c>
      <c r="AT27" s="89">
        <v>-1.4999999999999999E-2</v>
      </c>
      <c r="AU27" s="89">
        <v>-0.11</v>
      </c>
      <c r="AV27" s="89">
        <v>0.02</v>
      </c>
      <c r="AW27" s="89">
        <v>-8.7499999999999994E-2</v>
      </c>
      <c r="AX27" s="89">
        <v>5.0000000000000001E-3</v>
      </c>
      <c r="AY27" s="90">
        <v>8.7499999999999994E-2</v>
      </c>
      <c r="AZ27" s="90">
        <v>0</v>
      </c>
      <c r="BA27" s="90">
        <v>-0.33</v>
      </c>
      <c r="BB27" s="89">
        <v>0</v>
      </c>
      <c r="BC27" s="89">
        <v>-0.12</v>
      </c>
      <c r="BD27" s="89">
        <v>-0.01</v>
      </c>
      <c r="BE27" s="89">
        <v>0.125</v>
      </c>
      <c r="BF27" s="89">
        <v>-0.01</v>
      </c>
      <c r="BG27" s="89">
        <v>-7.0000000000000007E-2</v>
      </c>
      <c r="BH27" s="89">
        <v>0</v>
      </c>
      <c r="BI27" s="89">
        <v>0.01</v>
      </c>
      <c r="BJ27" s="62">
        <v>0.02</v>
      </c>
      <c r="BK27" s="62">
        <v>0.125</v>
      </c>
      <c r="BL27" s="62">
        <v>-0.01</v>
      </c>
      <c r="BM27" s="62">
        <v>-0.36</v>
      </c>
      <c r="BN27" s="62">
        <v>0</v>
      </c>
      <c r="BO27" s="62">
        <v>-0.54</v>
      </c>
      <c r="BP27" s="62">
        <v>0.02</v>
      </c>
      <c r="BQ27" s="62">
        <v>0.28000000000000003</v>
      </c>
      <c r="BR27" s="62">
        <v>0.03</v>
      </c>
      <c r="BS27" s="62">
        <v>-0.12</v>
      </c>
      <c r="BT27" s="62">
        <v>-0.01</v>
      </c>
      <c r="BU27" s="62">
        <v>0.08</v>
      </c>
      <c r="BV27" s="62">
        <v>0</v>
      </c>
      <c r="BW27" s="62">
        <v>0.125</v>
      </c>
      <c r="BX27" s="62">
        <v>0</v>
      </c>
      <c r="BY27" s="62">
        <v>-2.5000000000000001E-2</v>
      </c>
      <c r="BZ27" s="62">
        <v>5.7500000000000002E-2</v>
      </c>
      <c r="CA27" s="62">
        <v>0.16500000000000001</v>
      </c>
      <c r="CB27" s="62">
        <v>5.0000000000000001E-3</v>
      </c>
      <c r="CC27" s="62">
        <v>-2.5000000000000001E-2</v>
      </c>
      <c r="CD27" s="62">
        <v>2.5000000000000001E-3</v>
      </c>
      <c r="CE27" s="62">
        <v>2.5000000000000001E-3</v>
      </c>
      <c r="CF27" s="62">
        <v>-2.5000000000000001E-3</v>
      </c>
      <c r="CG27" s="62">
        <v>-2.5000000000000001E-2</v>
      </c>
      <c r="CH27" s="62">
        <v>2.5000000000000001E-3</v>
      </c>
      <c r="CI27" s="62">
        <v>-8.7499999999999994E-2</v>
      </c>
      <c r="CJ27" s="62">
        <v>-5.0000000000000001E-3</v>
      </c>
      <c r="CK27" s="62">
        <v>7.2499999999999995E-2</v>
      </c>
      <c r="CL27" s="62">
        <v>-7.4999999999999997E-3</v>
      </c>
      <c r="CM27" s="62">
        <v>-7.7499999999999999E-2</v>
      </c>
      <c r="CN27" s="62">
        <v>7.4999999999999997E-3</v>
      </c>
      <c r="CO27" s="62">
        <v>-2.2499999999999999E-2</v>
      </c>
      <c r="CP27" s="62">
        <v>5.0000000000000001E-3</v>
      </c>
      <c r="CQ27" s="62">
        <v>1.7500000000000002E-2</v>
      </c>
      <c r="CR27" s="62">
        <v>7.4999999999999997E-3</v>
      </c>
      <c r="CS27" s="62">
        <v>0.42499999999999999</v>
      </c>
      <c r="CT27" s="62">
        <v>0.01</v>
      </c>
      <c r="CU27" s="62">
        <v>-0.36</v>
      </c>
      <c r="CV27" s="62">
        <v>0</v>
      </c>
      <c r="CW27" s="62">
        <v>0.20499999999999999</v>
      </c>
      <c r="CX27" s="62">
        <v>7.4999999999999997E-3</v>
      </c>
      <c r="CY27" s="62">
        <v>-0.83</v>
      </c>
      <c r="CZ27" s="62">
        <v>0</v>
      </c>
      <c r="DA27" s="62">
        <v>-0.65</v>
      </c>
      <c r="DB27" s="62">
        <v>0</v>
      </c>
      <c r="DC27" s="62">
        <v>1.05</v>
      </c>
      <c r="DE27" s="62">
        <v>-5.5E-2</v>
      </c>
      <c r="DF27" s="62">
        <v>5.0000000000000001E-3</v>
      </c>
      <c r="DG27" s="62">
        <v>1.2500000000000001E-2</v>
      </c>
      <c r="DH27" s="62">
        <v>5.0000000000000001E-3</v>
      </c>
      <c r="DI27" s="62">
        <v>-2.2499999999999999E-2</v>
      </c>
      <c r="DJ27" s="62">
        <v>5.0000000000000001E-3</v>
      </c>
      <c r="DK27" s="62">
        <v>-7.4999999999999997E-2</v>
      </c>
      <c r="DL27" s="62">
        <v>5.0000000000000001E-3</v>
      </c>
      <c r="DM27" s="62">
        <v>-6.5000000000000002E-2</v>
      </c>
      <c r="DN27" s="62">
        <v>-2.5000000000000001E-3</v>
      </c>
      <c r="DO27" s="62">
        <v>-8.2500000000000004E-2</v>
      </c>
      <c r="DP27" s="62">
        <v>2.5000000000000001E-3</v>
      </c>
      <c r="DQ27" s="62">
        <v>-9.5000000000000001E-2</v>
      </c>
      <c r="DR27" s="62">
        <v>-7.4999999999999997E-3</v>
      </c>
      <c r="DS27" s="62">
        <v>0.33</v>
      </c>
      <c r="DT27" s="62">
        <v>-5.0000000000000001E-3</v>
      </c>
      <c r="DU27" s="62">
        <v>-5.2499999999999998E-2</v>
      </c>
      <c r="DV27" s="62">
        <v>0</v>
      </c>
    </row>
    <row r="28" spans="1:126" x14ac:dyDescent="0.25">
      <c r="D28" s="86">
        <v>37500</v>
      </c>
      <c r="F28" s="89">
        <v>3.0179999999999998</v>
      </c>
      <c r="G28" s="90">
        <v>2.1701386796276499E-2</v>
      </c>
      <c r="H28" s="89">
        <v>0.54</v>
      </c>
      <c r="I28" s="89">
        <v>0.68</v>
      </c>
      <c r="J28" s="89">
        <v>0.68</v>
      </c>
      <c r="K28" s="89">
        <v>0.68</v>
      </c>
      <c r="L28" s="87">
        <v>0.68</v>
      </c>
      <c r="M28" s="87">
        <v>0.68</v>
      </c>
      <c r="N28" s="89">
        <v>0.73</v>
      </c>
      <c r="O28" s="89">
        <v>0.73</v>
      </c>
      <c r="P28" s="89">
        <v>0.68</v>
      </c>
      <c r="Q28" s="89">
        <v>0.63</v>
      </c>
      <c r="R28" s="90">
        <v>0.68</v>
      </c>
      <c r="S28" s="90">
        <v>0.73</v>
      </c>
      <c r="T28" s="89">
        <v>0.68</v>
      </c>
      <c r="U28" s="89">
        <v>0.73</v>
      </c>
      <c r="V28" s="89">
        <v>0.93</v>
      </c>
      <c r="W28" s="89">
        <v>-0.09</v>
      </c>
      <c r="X28" s="89">
        <v>0</v>
      </c>
      <c r="Y28" s="89">
        <v>2.75E-2</v>
      </c>
      <c r="Z28" s="89">
        <v>-5.0000000000000001E-3</v>
      </c>
      <c r="AA28" s="89">
        <v>0.11749999999999999</v>
      </c>
      <c r="AB28" s="89">
        <v>0</v>
      </c>
      <c r="AC28" s="89">
        <v>9.2499999999999999E-2</v>
      </c>
      <c r="AD28" s="89">
        <v>0</v>
      </c>
      <c r="AE28" s="89">
        <v>0.13750000000000001</v>
      </c>
      <c r="AF28" s="89">
        <v>0</v>
      </c>
      <c r="AG28" s="89">
        <v>7.7499999999999999E-2</v>
      </c>
      <c r="AH28" s="89">
        <v>0</v>
      </c>
      <c r="AI28" s="89">
        <v>8.2500000000000004E-2</v>
      </c>
      <c r="AJ28" s="89">
        <v>0</v>
      </c>
      <c r="AK28" s="89">
        <v>2.75E-2</v>
      </c>
      <c r="AL28" s="89">
        <v>0.04</v>
      </c>
      <c r="AM28" s="89">
        <v>-8.2500000000000004E-2</v>
      </c>
      <c r="AN28" s="89">
        <v>7.0000000000000001E-3</v>
      </c>
      <c r="AO28" s="89">
        <v>-0.48499999999999999</v>
      </c>
      <c r="AP28" s="89">
        <v>0.155</v>
      </c>
      <c r="AQ28" s="89">
        <v>-6.5000000000000002E-2</v>
      </c>
      <c r="AR28" s="89">
        <v>0.01</v>
      </c>
      <c r="AS28" s="89">
        <v>-0.15</v>
      </c>
      <c r="AT28" s="89">
        <v>-1.4999999999999999E-2</v>
      </c>
      <c r="AU28" s="89">
        <v>-0.11</v>
      </c>
      <c r="AV28" s="89">
        <v>0.02</v>
      </c>
      <c r="AW28" s="89">
        <v>-8.7499999999999994E-2</v>
      </c>
      <c r="AX28" s="89">
        <v>5.0000000000000001E-3</v>
      </c>
      <c r="AY28" s="90">
        <v>8.7499999999999994E-2</v>
      </c>
      <c r="AZ28" s="90">
        <v>0</v>
      </c>
      <c r="BA28" s="90">
        <v>-0.33</v>
      </c>
      <c r="BB28" s="89">
        <v>0</v>
      </c>
      <c r="BC28" s="89">
        <v>-0.14000000000000001</v>
      </c>
      <c r="BD28" s="89">
        <v>-0.01</v>
      </c>
      <c r="BE28" s="89">
        <v>0.115</v>
      </c>
      <c r="BF28" s="89">
        <v>-0.01</v>
      </c>
      <c r="BG28" s="89">
        <v>-9.7500000000000003E-2</v>
      </c>
      <c r="BH28" s="89">
        <v>0</v>
      </c>
      <c r="BI28" s="89">
        <v>0.01</v>
      </c>
      <c r="BJ28" s="62">
        <v>0.02</v>
      </c>
      <c r="BK28" s="62">
        <v>0.115</v>
      </c>
      <c r="BL28" s="62">
        <v>-0.01</v>
      </c>
      <c r="BM28" s="62">
        <v>-0.36</v>
      </c>
      <c r="BN28" s="62">
        <v>0</v>
      </c>
      <c r="BO28" s="62">
        <v>-0.54</v>
      </c>
      <c r="BP28" s="62">
        <v>0</v>
      </c>
      <c r="BQ28" s="62">
        <v>0.28000000000000003</v>
      </c>
      <c r="BR28" s="62">
        <v>0.03</v>
      </c>
      <c r="BS28" s="62">
        <v>-0.14000000000000001</v>
      </c>
      <c r="BT28" s="62">
        <v>-0.01</v>
      </c>
      <c r="BU28" s="62">
        <v>0.08</v>
      </c>
      <c r="BV28" s="62">
        <v>0</v>
      </c>
      <c r="BW28" s="62">
        <v>0.115</v>
      </c>
      <c r="BX28" s="62">
        <v>0</v>
      </c>
      <c r="BY28" s="62">
        <v>-2.5000000000000001E-2</v>
      </c>
      <c r="BZ28" s="62">
        <v>5.7500000000000002E-2</v>
      </c>
      <c r="CA28" s="62">
        <v>0.13</v>
      </c>
      <c r="CB28" s="62">
        <v>5.0000000000000001E-3</v>
      </c>
      <c r="CC28" s="62">
        <v>-2.5000000000000001E-2</v>
      </c>
      <c r="CD28" s="62">
        <v>2.5000000000000001E-3</v>
      </c>
      <c r="CE28" s="62">
        <v>2.5000000000000001E-3</v>
      </c>
      <c r="CF28" s="62">
        <v>-2.5000000000000001E-3</v>
      </c>
      <c r="CG28" s="62">
        <v>-2.5000000000000001E-2</v>
      </c>
      <c r="CH28" s="62">
        <v>2.5000000000000001E-3</v>
      </c>
      <c r="CI28" s="62">
        <v>-9.2499999999999999E-2</v>
      </c>
      <c r="CJ28" s="62">
        <v>-5.0000000000000001E-3</v>
      </c>
      <c r="CK28" s="62">
        <v>7.2499999999999995E-2</v>
      </c>
      <c r="CL28" s="62">
        <v>-7.4999999999999997E-3</v>
      </c>
      <c r="CM28" s="62">
        <v>-7.7499999999999999E-2</v>
      </c>
      <c r="CN28" s="62">
        <v>7.4999999999999997E-3</v>
      </c>
      <c r="CO28" s="62">
        <v>-2.2499999999999999E-2</v>
      </c>
      <c r="CP28" s="62">
        <v>5.0000000000000001E-3</v>
      </c>
      <c r="CQ28" s="62">
        <v>1.7500000000000002E-2</v>
      </c>
      <c r="CR28" s="62">
        <v>7.4999999999999997E-3</v>
      </c>
      <c r="CS28" s="62">
        <v>0.34499999999999997</v>
      </c>
      <c r="CT28" s="62">
        <v>0.01</v>
      </c>
      <c r="CU28" s="62">
        <v>-0.36</v>
      </c>
      <c r="CV28" s="62">
        <v>0</v>
      </c>
      <c r="CW28" s="62">
        <v>0.14499999999999999</v>
      </c>
      <c r="CX28" s="62">
        <v>7.4999999999999997E-3</v>
      </c>
      <c r="CY28" s="62">
        <v>-0.83</v>
      </c>
      <c r="CZ28" s="62">
        <v>0</v>
      </c>
      <c r="DA28" s="62">
        <v>-0.65</v>
      </c>
      <c r="DB28" s="62">
        <v>0</v>
      </c>
      <c r="DC28" s="62">
        <v>0.75</v>
      </c>
      <c r="DE28" s="62">
        <v>-0.06</v>
      </c>
      <c r="DF28" s="62">
        <v>5.0000000000000001E-3</v>
      </c>
      <c r="DG28" s="62">
        <v>7.4999999999999997E-3</v>
      </c>
      <c r="DH28" s="62">
        <v>5.0000000000000001E-3</v>
      </c>
      <c r="DI28" s="62">
        <v>-2.75E-2</v>
      </c>
      <c r="DJ28" s="62">
        <v>5.0000000000000001E-3</v>
      </c>
      <c r="DK28" s="62">
        <v>-8.5000000000000006E-2</v>
      </c>
      <c r="DL28" s="62">
        <v>5.0000000000000001E-3</v>
      </c>
      <c r="DM28" s="62">
        <v>-6.5000000000000002E-2</v>
      </c>
      <c r="DN28" s="62">
        <v>-2.5000000000000001E-3</v>
      </c>
      <c r="DO28" s="62">
        <v>-8.2500000000000004E-2</v>
      </c>
      <c r="DP28" s="62">
        <v>2.5000000000000001E-3</v>
      </c>
      <c r="DQ28" s="62">
        <v>-0.105</v>
      </c>
      <c r="DR28" s="62">
        <v>-7.4999999999999997E-3</v>
      </c>
      <c r="DS28" s="62">
        <v>0.32</v>
      </c>
      <c r="DT28" s="62">
        <v>-5.0000000000000001E-3</v>
      </c>
      <c r="DU28" s="62">
        <v>-5.2499999999999998E-2</v>
      </c>
      <c r="DV28" s="62">
        <v>0</v>
      </c>
    </row>
    <row r="29" spans="1:126" x14ac:dyDescent="0.25">
      <c r="D29" s="86">
        <v>37530</v>
      </c>
      <c r="F29" s="89">
        <v>3.0310000000000001</v>
      </c>
      <c r="G29" s="90">
        <v>2.2410164045373999E-2</v>
      </c>
      <c r="H29" s="89">
        <v>0.54</v>
      </c>
      <c r="I29" s="89">
        <v>0.73</v>
      </c>
      <c r="J29" s="89">
        <v>0.73</v>
      </c>
      <c r="K29" s="89">
        <v>0.68</v>
      </c>
      <c r="L29" s="87">
        <v>0.73</v>
      </c>
      <c r="M29" s="87">
        <v>0.73</v>
      </c>
      <c r="N29" s="89">
        <v>0.78</v>
      </c>
      <c r="O29" s="89">
        <v>0.78</v>
      </c>
      <c r="P29" s="89">
        <v>0.73</v>
      </c>
      <c r="Q29" s="89">
        <v>0.63</v>
      </c>
      <c r="R29" s="90">
        <v>0.73</v>
      </c>
      <c r="S29" s="90">
        <v>0.78</v>
      </c>
      <c r="T29" s="89">
        <v>0.73</v>
      </c>
      <c r="U29" s="89">
        <v>0.78</v>
      </c>
      <c r="V29" s="89">
        <v>0.98</v>
      </c>
      <c r="W29" s="89">
        <v>-0.09</v>
      </c>
      <c r="X29" s="89">
        <v>0</v>
      </c>
      <c r="Y29" s="89">
        <v>2.75E-2</v>
      </c>
      <c r="Z29" s="89">
        <v>-5.0000000000000001E-3</v>
      </c>
      <c r="AA29" s="89">
        <v>0.11749999999999999</v>
      </c>
      <c r="AB29" s="89">
        <v>0</v>
      </c>
      <c r="AC29" s="89">
        <v>9.2499999999999999E-2</v>
      </c>
      <c r="AD29" s="89">
        <v>0</v>
      </c>
      <c r="AE29" s="89">
        <v>0.13750000000000001</v>
      </c>
      <c r="AF29" s="89">
        <v>0</v>
      </c>
      <c r="AG29" s="89">
        <v>7.7499999999999999E-2</v>
      </c>
      <c r="AH29" s="89">
        <v>0</v>
      </c>
      <c r="AI29" s="89">
        <v>8.2500000000000004E-2</v>
      </c>
      <c r="AJ29" s="89">
        <v>0</v>
      </c>
      <c r="AK29" s="89">
        <v>2.75E-2</v>
      </c>
      <c r="AL29" s="89">
        <v>0.04</v>
      </c>
      <c r="AM29" s="89">
        <v>-8.2500000000000004E-2</v>
      </c>
      <c r="AN29" s="89">
        <v>7.0000000000000001E-3</v>
      </c>
      <c r="AO29" s="89">
        <v>-0.48499999999999999</v>
      </c>
      <c r="AP29" s="89">
        <v>0.155</v>
      </c>
      <c r="AQ29" s="89">
        <v>-6.5000000000000002E-2</v>
      </c>
      <c r="AR29" s="89">
        <v>0.01</v>
      </c>
      <c r="AS29" s="89">
        <v>-0.15</v>
      </c>
      <c r="AT29" s="89">
        <v>-1.4999999999999999E-2</v>
      </c>
      <c r="AU29" s="89">
        <v>-0.11</v>
      </c>
      <c r="AV29" s="89">
        <v>0.02</v>
      </c>
      <c r="AW29" s="89">
        <v>-8.7499999999999994E-2</v>
      </c>
      <c r="AX29" s="89">
        <v>5.0000000000000001E-3</v>
      </c>
      <c r="AY29" s="90">
        <v>8.7499999999999994E-2</v>
      </c>
      <c r="AZ29" s="90">
        <v>0</v>
      </c>
      <c r="BA29" s="90">
        <v>-0.36</v>
      </c>
      <c r="BB29" s="89">
        <v>0</v>
      </c>
      <c r="BC29" s="89">
        <v>-0.185</v>
      </c>
      <c r="BD29" s="89">
        <v>-0.01</v>
      </c>
      <c r="BE29" s="89">
        <v>0.03</v>
      </c>
      <c r="BF29" s="89">
        <v>-0.01</v>
      </c>
      <c r="BG29" s="89">
        <v>-0.13250000000000001</v>
      </c>
      <c r="BH29" s="89">
        <v>0</v>
      </c>
      <c r="BI29" s="89">
        <v>3.5000000000000003E-2</v>
      </c>
      <c r="BJ29" s="62">
        <v>0.02</v>
      </c>
      <c r="BK29" s="62">
        <v>0.03</v>
      </c>
      <c r="BL29" s="62">
        <v>-0.01</v>
      </c>
      <c r="BM29" s="62">
        <v>-0.21</v>
      </c>
      <c r="BN29" s="62">
        <v>0</v>
      </c>
      <c r="BO29" s="62">
        <v>-0.57999999999999996</v>
      </c>
      <c r="BP29" s="62">
        <v>0.02</v>
      </c>
      <c r="BQ29" s="62">
        <v>0.16</v>
      </c>
      <c r="BR29" s="62">
        <v>0.03</v>
      </c>
      <c r="BS29" s="62">
        <v>-0.185</v>
      </c>
      <c r="BT29" s="62">
        <v>-0.01</v>
      </c>
      <c r="BU29" s="62">
        <v>-0.04</v>
      </c>
      <c r="BV29" s="62">
        <v>0</v>
      </c>
      <c r="BW29" s="62">
        <v>0.23</v>
      </c>
      <c r="BX29" s="62">
        <v>0</v>
      </c>
      <c r="BY29" s="62">
        <v>-2.5000000000000001E-2</v>
      </c>
      <c r="BZ29" s="62">
        <v>5.7500000000000002E-2</v>
      </c>
      <c r="CA29" s="62">
        <v>0.15</v>
      </c>
      <c r="CB29" s="62">
        <v>5.0000000000000001E-3</v>
      </c>
      <c r="CC29" s="62">
        <v>-2.5000000000000001E-2</v>
      </c>
      <c r="CD29" s="62">
        <v>2.5000000000000001E-3</v>
      </c>
      <c r="CE29" s="62">
        <v>2.5000000000000001E-3</v>
      </c>
      <c r="CF29" s="62">
        <v>0</v>
      </c>
      <c r="CG29" s="62">
        <v>-2.5000000000000001E-2</v>
      </c>
      <c r="CH29" s="62">
        <v>2.5000000000000001E-3</v>
      </c>
      <c r="CI29" s="62">
        <v>-9.5000000000000001E-2</v>
      </c>
      <c r="CJ29" s="62">
        <v>-5.0000000000000001E-3</v>
      </c>
      <c r="CK29" s="62">
        <v>7.2499999999999995E-2</v>
      </c>
      <c r="CL29" s="62">
        <v>-7.4999999999999997E-3</v>
      </c>
      <c r="CM29" s="62">
        <v>-7.7499999999999999E-2</v>
      </c>
      <c r="CN29" s="62">
        <v>7.4999999999999997E-3</v>
      </c>
      <c r="CO29" s="62">
        <v>-2.2499999999999999E-2</v>
      </c>
      <c r="CP29" s="62">
        <v>5.0000000000000001E-3</v>
      </c>
      <c r="CQ29" s="62">
        <v>1.7500000000000002E-2</v>
      </c>
      <c r="CR29" s="62">
        <v>7.4999999999999997E-3</v>
      </c>
      <c r="CS29" s="62">
        <v>0.36499999999999999</v>
      </c>
      <c r="CT29" s="62">
        <v>0.01</v>
      </c>
      <c r="CU29" s="62">
        <v>-0.21</v>
      </c>
      <c r="CV29" s="62">
        <v>0</v>
      </c>
      <c r="CW29" s="62">
        <v>0.17499999999999999</v>
      </c>
      <c r="CX29" s="62">
        <v>7.4999999999999997E-3</v>
      </c>
      <c r="CY29" s="62">
        <v>-0.87</v>
      </c>
      <c r="CZ29" s="62">
        <v>0</v>
      </c>
      <c r="DA29" s="62">
        <v>-0.69</v>
      </c>
      <c r="DB29" s="62">
        <v>0</v>
      </c>
      <c r="DC29" s="62">
        <v>0.45</v>
      </c>
      <c r="DE29" s="62">
        <v>-0.06</v>
      </c>
      <c r="DF29" s="62">
        <v>5.0000000000000001E-3</v>
      </c>
      <c r="DG29" s="62">
        <v>7.4999999999999997E-3</v>
      </c>
      <c r="DH29" s="62">
        <v>5.0000000000000001E-3</v>
      </c>
      <c r="DI29" s="62">
        <v>-2.75E-2</v>
      </c>
      <c r="DJ29" s="62">
        <v>5.0000000000000001E-3</v>
      </c>
      <c r="DK29" s="62">
        <v>-7.2499999999999995E-2</v>
      </c>
      <c r="DL29" s="62">
        <v>5.0000000000000001E-3</v>
      </c>
      <c r="DM29" s="62">
        <v>-6.5000000000000002E-2</v>
      </c>
      <c r="DN29" s="62">
        <v>-2.5000000000000001E-3</v>
      </c>
      <c r="DO29" s="62">
        <v>-8.2500000000000004E-2</v>
      </c>
      <c r="DP29" s="62">
        <v>2.5000000000000001E-3</v>
      </c>
      <c r="DQ29" s="62">
        <v>-9.2499999999999999E-2</v>
      </c>
      <c r="DR29" s="62">
        <v>-7.4999999999999997E-3</v>
      </c>
      <c r="DS29" s="62">
        <v>0.38</v>
      </c>
      <c r="DT29" s="62">
        <v>-5.0000000000000001E-3</v>
      </c>
      <c r="DU29" s="62">
        <v>-5.2499999999999998E-2</v>
      </c>
      <c r="DV29" s="62">
        <v>0</v>
      </c>
    </row>
    <row r="30" spans="1:126" x14ac:dyDescent="0.25">
      <c r="D30" s="86">
        <v>37561</v>
      </c>
      <c r="F30" s="89">
        <v>3.2109999999999999</v>
      </c>
      <c r="G30" s="90">
        <v>2.3274064967752799E-2</v>
      </c>
      <c r="H30" s="89">
        <v>0.54</v>
      </c>
      <c r="I30" s="89">
        <v>0.85</v>
      </c>
      <c r="J30" s="89">
        <v>0.9</v>
      </c>
      <c r="K30" s="89">
        <v>0.85</v>
      </c>
      <c r="L30" s="87">
        <v>0.85</v>
      </c>
      <c r="M30" s="87">
        <v>0.95</v>
      </c>
      <c r="N30" s="89">
        <v>1</v>
      </c>
      <c r="O30" s="89">
        <v>0.9</v>
      </c>
      <c r="P30" s="89">
        <v>0.85</v>
      </c>
      <c r="Q30" s="89">
        <v>1</v>
      </c>
      <c r="R30" s="90">
        <v>0.85</v>
      </c>
      <c r="S30" s="90">
        <v>0.85</v>
      </c>
      <c r="T30" s="89">
        <v>0.85</v>
      </c>
      <c r="U30" s="89">
        <v>1.8</v>
      </c>
      <c r="V30" s="89">
        <v>0.95</v>
      </c>
      <c r="W30" s="89">
        <v>0</v>
      </c>
      <c r="X30" s="89">
        <v>0.03</v>
      </c>
      <c r="Y30" s="89">
        <v>9.5000000000000001E-2</v>
      </c>
      <c r="Z30" s="89">
        <v>2.5000000000000001E-2</v>
      </c>
      <c r="AA30" s="89">
        <v>0.33500000000000002</v>
      </c>
      <c r="AB30" s="89">
        <v>0</v>
      </c>
      <c r="AC30" s="89">
        <v>0.32500000000000001</v>
      </c>
      <c r="AD30" s="89">
        <v>0</v>
      </c>
      <c r="AE30" s="89">
        <v>0.33500000000000002</v>
      </c>
      <c r="AF30" s="89">
        <v>0</v>
      </c>
      <c r="AG30" s="89">
        <v>0.17</v>
      </c>
      <c r="AH30" s="89">
        <v>0</v>
      </c>
      <c r="AI30" s="89">
        <v>0.13239999999999999</v>
      </c>
      <c r="AJ30" s="89">
        <v>0</v>
      </c>
      <c r="AK30" s="89">
        <v>9.5000000000000001E-2</v>
      </c>
      <c r="AL30" s="89">
        <v>0.04</v>
      </c>
      <c r="AM30" s="89">
        <v>-0.1</v>
      </c>
      <c r="AN30" s="89">
        <v>2E-3</v>
      </c>
      <c r="AO30" s="89">
        <v>-0.43</v>
      </c>
      <c r="AP30" s="89">
        <v>0.155</v>
      </c>
      <c r="AQ30" s="89">
        <v>-0.08</v>
      </c>
      <c r="AR30" s="89">
        <v>5.0000000000000001E-3</v>
      </c>
      <c r="AS30" s="89">
        <v>-0.15</v>
      </c>
      <c r="AT30" s="89">
        <v>-5.0000000000000001E-3</v>
      </c>
      <c r="AU30" s="89">
        <v>-0.11</v>
      </c>
      <c r="AV30" s="89">
        <v>-0.01</v>
      </c>
      <c r="AW30" s="89">
        <v>-8.7499999999999994E-2</v>
      </c>
      <c r="AX30" s="89">
        <v>2.5000000000000001E-3</v>
      </c>
      <c r="AY30" s="90">
        <v>0.17499999999999999</v>
      </c>
      <c r="AZ30" s="90">
        <v>0</v>
      </c>
      <c r="BA30" s="90">
        <v>-0.22</v>
      </c>
      <c r="BB30" s="89">
        <v>0</v>
      </c>
      <c r="BC30" s="89">
        <v>-0.155</v>
      </c>
      <c r="BD30" s="89">
        <v>0</v>
      </c>
      <c r="BE30" s="89">
        <v>0.03</v>
      </c>
      <c r="BF30" s="89">
        <v>0.02</v>
      </c>
      <c r="BG30" s="89">
        <v>-0.13</v>
      </c>
      <c r="BH30" s="89">
        <v>0</v>
      </c>
      <c r="BI30" s="89">
        <v>0.05</v>
      </c>
      <c r="BJ30" s="62">
        <v>0.04</v>
      </c>
      <c r="BK30" s="62">
        <v>0.03</v>
      </c>
      <c r="BL30" s="62">
        <v>0.02</v>
      </c>
      <c r="BM30" s="62">
        <v>0.06</v>
      </c>
      <c r="BN30" s="62">
        <v>0</v>
      </c>
      <c r="BO30" s="62">
        <v>-0.29499999999999998</v>
      </c>
      <c r="BP30" s="62">
        <v>2.75E-2</v>
      </c>
      <c r="BQ30" s="62">
        <v>0.22</v>
      </c>
      <c r="BR30" s="62">
        <v>0.04</v>
      </c>
      <c r="BS30" s="62">
        <v>-0.155</v>
      </c>
      <c r="BT30" s="62">
        <v>0</v>
      </c>
      <c r="BU30" s="62">
        <v>0.02</v>
      </c>
      <c r="BV30" s="62">
        <v>0.02</v>
      </c>
      <c r="BW30" s="62">
        <v>0.03</v>
      </c>
      <c r="BX30" s="62">
        <v>0</v>
      </c>
      <c r="BY30" s="62">
        <v>-2.5000000000000001E-2</v>
      </c>
      <c r="BZ30" s="62">
        <v>5.7500000000000002E-2</v>
      </c>
      <c r="CA30" s="62">
        <v>0.19500000000000001</v>
      </c>
      <c r="CB30" s="62">
        <v>5.0000000000000001E-3</v>
      </c>
      <c r="CC30" s="62">
        <v>-2.5000000000000001E-2</v>
      </c>
      <c r="CD30" s="62">
        <v>2.5000000000000001E-3</v>
      </c>
      <c r="CE30" s="62">
        <v>2.5000000000000001E-3</v>
      </c>
      <c r="CF30" s="62">
        <v>0</v>
      </c>
      <c r="CG30" s="62">
        <v>-2.5000000000000001E-2</v>
      </c>
      <c r="CH30" s="62">
        <v>2.5000000000000001E-3</v>
      </c>
      <c r="CI30" s="62">
        <v>-0.1</v>
      </c>
      <c r="CJ30" s="62">
        <v>-5.0000000000000001E-3</v>
      </c>
      <c r="CK30" s="62">
        <v>7.4999999999999997E-2</v>
      </c>
      <c r="CL30" s="62">
        <v>0</v>
      </c>
      <c r="CM30" s="62">
        <v>-7.2499999999999995E-2</v>
      </c>
      <c r="CN30" s="62">
        <v>0.01</v>
      </c>
      <c r="CO30" s="62">
        <v>-1.7500000000000002E-2</v>
      </c>
      <c r="CP30" s="62">
        <v>7.4999999999999997E-3</v>
      </c>
      <c r="CQ30" s="62">
        <v>2.2499999999999999E-2</v>
      </c>
      <c r="CR30" s="62">
        <v>0.01</v>
      </c>
      <c r="CS30" s="62">
        <v>0.6</v>
      </c>
      <c r="CT30" s="62">
        <v>5.5E-2</v>
      </c>
      <c r="CU30" s="62">
        <v>0.06</v>
      </c>
      <c r="CV30" s="62">
        <v>0</v>
      </c>
      <c r="CW30" s="62">
        <v>0.26</v>
      </c>
      <c r="CX30" s="62">
        <v>0.02</v>
      </c>
      <c r="CY30" s="62">
        <v>-0.52</v>
      </c>
      <c r="CZ30" s="62">
        <v>0</v>
      </c>
      <c r="DA30" s="62">
        <v>-0.34</v>
      </c>
      <c r="DB30" s="62">
        <v>0</v>
      </c>
      <c r="DC30" s="62">
        <v>0.45</v>
      </c>
      <c r="DE30" s="62">
        <v>-5.2499999999999998E-2</v>
      </c>
      <c r="DF30" s="62">
        <v>7.4999999999999997E-3</v>
      </c>
      <c r="DG30" s="62">
        <v>5.0000000000000001E-3</v>
      </c>
      <c r="DH30" s="62">
        <v>5.0000000000000001E-3</v>
      </c>
      <c r="DI30" s="62">
        <v>-2.5000000000000001E-2</v>
      </c>
      <c r="DJ30" s="62">
        <v>2.5000000000000001E-3</v>
      </c>
      <c r="DK30" s="62">
        <v>-0.09</v>
      </c>
      <c r="DL30" s="62">
        <v>2.5000000000000001E-3</v>
      </c>
      <c r="DM30" s="62">
        <v>-6.7500000000000004E-2</v>
      </c>
      <c r="DN30" s="62">
        <v>0</v>
      </c>
      <c r="DO30" s="62">
        <v>-8.7499999999999994E-2</v>
      </c>
      <c r="DP30" s="62">
        <v>2.5000000000000001E-3</v>
      </c>
      <c r="DQ30" s="62">
        <v>-0.11</v>
      </c>
      <c r="DR30" s="62">
        <v>-5.0000000000000001E-3</v>
      </c>
      <c r="DS30" s="62">
        <v>0.44500000000000001</v>
      </c>
      <c r="DT30" s="62">
        <v>0.05</v>
      </c>
      <c r="DU30" s="62">
        <v>0.04</v>
      </c>
      <c r="DV30" s="62">
        <v>0</v>
      </c>
    </row>
    <row r="31" spans="1:126" x14ac:dyDescent="0.25">
      <c r="D31" s="86">
        <v>37591</v>
      </c>
      <c r="F31" s="89">
        <v>3.371</v>
      </c>
      <c r="G31" s="90">
        <v>2.4110098358835999E-2</v>
      </c>
      <c r="H31" s="89">
        <v>0.54</v>
      </c>
      <c r="I31" s="89">
        <v>1.05</v>
      </c>
      <c r="J31" s="89">
        <v>1.1000000000000001</v>
      </c>
      <c r="K31" s="89">
        <v>1.05</v>
      </c>
      <c r="L31" s="87">
        <v>1.05</v>
      </c>
      <c r="M31" s="87">
        <v>1.2</v>
      </c>
      <c r="N31" s="89">
        <v>1.3</v>
      </c>
      <c r="O31" s="89">
        <v>1.1000000000000001</v>
      </c>
      <c r="P31" s="89">
        <v>1.05</v>
      </c>
      <c r="Q31" s="89">
        <v>1.4</v>
      </c>
      <c r="R31" s="90">
        <v>1.05</v>
      </c>
      <c r="S31" s="90">
        <v>1.1499999999999999</v>
      </c>
      <c r="T31" s="89">
        <v>1.05</v>
      </c>
      <c r="U31" s="89">
        <v>2.1</v>
      </c>
      <c r="V31" s="89">
        <v>1.1499999999999999</v>
      </c>
      <c r="W31" s="89">
        <v>5.0000000000000001E-3</v>
      </c>
      <c r="X31" s="89">
        <v>0.03</v>
      </c>
      <c r="Y31" s="89">
        <v>0.125</v>
      </c>
      <c r="Z31" s="89">
        <v>2.5000000000000001E-2</v>
      </c>
      <c r="AA31" s="89">
        <v>0.36499999999999999</v>
      </c>
      <c r="AB31" s="89">
        <v>0</v>
      </c>
      <c r="AC31" s="89">
        <v>0.35499999999999998</v>
      </c>
      <c r="AD31" s="89">
        <v>0</v>
      </c>
      <c r="AE31" s="89">
        <v>0.36499999999999999</v>
      </c>
      <c r="AF31" s="89">
        <v>0</v>
      </c>
      <c r="AG31" s="89">
        <v>0.2</v>
      </c>
      <c r="AH31" s="89">
        <v>0</v>
      </c>
      <c r="AI31" s="89">
        <v>0.16880000000000001</v>
      </c>
      <c r="AJ31" s="89">
        <v>0</v>
      </c>
      <c r="AK31" s="89">
        <v>0.125</v>
      </c>
      <c r="AL31" s="89">
        <v>0.04</v>
      </c>
      <c r="AM31" s="89">
        <v>-0.1</v>
      </c>
      <c r="AN31" s="89">
        <v>2E-3</v>
      </c>
      <c r="AO31" s="89">
        <v>-0.43</v>
      </c>
      <c r="AP31" s="89">
        <v>0.155</v>
      </c>
      <c r="AQ31" s="89">
        <v>-0.08</v>
      </c>
      <c r="AR31" s="89">
        <v>5.0000000000000001E-3</v>
      </c>
      <c r="AS31" s="89">
        <v>-0.1525</v>
      </c>
      <c r="AT31" s="89">
        <v>-5.0000000000000001E-3</v>
      </c>
      <c r="AU31" s="89">
        <v>-0.1125</v>
      </c>
      <c r="AV31" s="89">
        <v>-0.01</v>
      </c>
      <c r="AW31" s="89">
        <v>-8.7499999999999994E-2</v>
      </c>
      <c r="AX31" s="89">
        <v>2.5000000000000001E-3</v>
      </c>
      <c r="AY31" s="90">
        <v>0.20499999999999999</v>
      </c>
      <c r="AZ31" s="90">
        <v>0</v>
      </c>
      <c r="BA31" s="90">
        <v>-0.22</v>
      </c>
      <c r="BB31" s="89">
        <v>0</v>
      </c>
      <c r="BC31" s="89">
        <v>-0.1555</v>
      </c>
      <c r="BD31" s="89">
        <v>0</v>
      </c>
      <c r="BE31" s="89">
        <v>0.03</v>
      </c>
      <c r="BF31" s="89">
        <v>0.02</v>
      </c>
      <c r="BG31" s="89">
        <v>-0.13</v>
      </c>
      <c r="BH31" s="89">
        <v>0</v>
      </c>
      <c r="BI31" s="89">
        <v>7.0000000000000007E-2</v>
      </c>
      <c r="BJ31" s="62">
        <v>0.04</v>
      </c>
      <c r="BK31" s="62">
        <v>0.03</v>
      </c>
      <c r="BL31" s="62">
        <v>0.02</v>
      </c>
      <c r="BM31" s="62">
        <v>0.31</v>
      </c>
      <c r="BN31" s="62">
        <v>0</v>
      </c>
      <c r="BO31" s="62">
        <v>-0.29499999999999998</v>
      </c>
      <c r="BP31" s="62">
        <v>2.75E-2</v>
      </c>
      <c r="BQ31" s="62">
        <v>0.33</v>
      </c>
      <c r="BR31" s="62">
        <v>0.04</v>
      </c>
      <c r="BS31" s="62">
        <v>-0.1555</v>
      </c>
      <c r="BT31" s="62">
        <v>0</v>
      </c>
      <c r="BU31" s="62">
        <v>0.13</v>
      </c>
      <c r="BV31" s="62">
        <v>0.02</v>
      </c>
      <c r="BW31" s="62">
        <v>0.03</v>
      </c>
      <c r="BX31" s="62">
        <v>0</v>
      </c>
      <c r="BY31" s="62">
        <v>-2.5000000000000001E-2</v>
      </c>
      <c r="BZ31" s="62">
        <v>5.7500000000000002E-2</v>
      </c>
      <c r="CA31" s="62">
        <v>0.215</v>
      </c>
      <c r="CB31" s="62">
        <v>5.0000000000000001E-3</v>
      </c>
      <c r="CC31" s="62">
        <v>-2.5000000000000001E-2</v>
      </c>
      <c r="CD31" s="62">
        <v>2.5000000000000001E-3</v>
      </c>
      <c r="CE31" s="62">
        <v>2.5000000000000001E-3</v>
      </c>
      <c r="CF31" s="62">
        <v>0</v>
      </c>
      <c r="CG31" s="62">
        <v>-2.5000000000000001E-2</v>
      </c>
      <c r="CH31" s="62">
        <v>2.5000000000000001E-3</v>
      </c>
      <c r="CI31" s="62">
        <v>-0.1275</v>
      </c>
      <c r="CJ31" s="62">
        <v>-5.0000000000000001E-3</v>
      </c>
      <c r="CK31" s="62">
        <v>7.4999999999999997E-2</v>
      </c>
      <c r="CL31" s="62">
        <v>0</v>
      </c>
      <c r="CM31" s="62">
        <v>-7.2499999999999995E-2</v>
      </c>
      <c r="CN31" s="62">
        <v>0.01</v>
      </c>
      <c r="CO31" s="62">
        <v>-1.7500000000000002E-2</v>
      </c>
      <c r="CP31" s="62">
        <v>7.4999999999999997E-3</v>
      </c>
      <c r="CQ31" s="62">
        <v>2.2499999999999999E-2</v>
      </c>
      <c r="CR31" s="62">
        <v>0.01</v>
      </c>
      <c r="CS31" s="62">
        <v>0.94</v>
      </c>
      <c r="CT31" s="62">
        <v>0.25</v>
      </c>
      <c r="CU31" s="62">
        <v>0.31</v>
      </c>
      <c r="CV31" s="62">
        <v>0.03</v>
      </c>
      <c r="CW31" s="62">
        <v>0.33</v>
      </c>
      <c r="CX31" s="62">
        <v>0.02</v>
      </c>
      <c r="CY31" s="62">
        <v>-0.52</v>
      </c>
      <c r="CZ31" s="62">
        <v>0</v>
      </c>
      <c r="DA31" s="62">
        <v>-0.34</v>
      </c>
      <c r="DB31" s="62">
        <v>0</v>
      </c>
      <c r="DC31" s="62">
        <v>0.4</v>
      </c>
      <c r="DE31" s="62">
        <v>-5.2499999999999998E-2</v>
      </c>
      <c r="DF31" s="62">
        <v>7.4999999999999997E-3</v>
      </c>
      <c r="DG31" s="62">
        <v>5.0000000000000001E-3</v>
      </c>
      <c r="DH31" s="62">
        <v>5.0000000000000001E-3</v>
      </c>
      <c r="DI31" s="62">
        <v>-2.5000000000000001E-2</v>
      </c>
      <c r="DJ31" s="62">
        <v>2.5000000000000001E-3</v>
      </c>
      <c r="DK31" s="62">
        <v>-0.11749999999999999</v>
      </c>
      <c r="DL31" s="62">
        <v>2.5000000000000001E-3</v>
      </c>
      <c r="DM31" s="62">
        <v>-6.7500000000000004E-2</v>
      </c>
      <c r="DN31" s="62">
        <v>0</v>
      </c>
      <c r="DO31" s="62">
        <v>-8.7499999999999994E-2</v>
      </c>
      <c r="DP31" s="62">
        <v>2.5000000000000001E-3</v>
      </c>
      <c r="DQ31" s="62">
        <v>-0.13750000000000001</v>
      </c>
      <c r="DR31" s="62">
        <v>-5.0000000000000001E-3</v>
      </c>
      <c r="DS31" s="62">
        <v>0.78</v>
      </c>
      <c r="DT31" s="62">
        <v>0.05</v>
      </c>
      <c r="DU31" s="62">
        <v>7.0000000000000007E-2</v>
      </c>
      <c r="DV31" s="62">
        <v>0</v>
      </c>
    </row>
    <row r="32" spans="1:126" x14ac:dyDescent="0.25">
      <c r="D32" s="86">
        <v>37622</v>
      </c>
      <c r="F32" s="89">
        <v>3.4460000000000002</v>
      </c>
      <c r="G32" s="90">
        <v>2.50384261928196E-2</v>
      </c>
      <c r="H32" s="89">
        <v>0.53749999999999998</v>
      </c>
      <c r="I32" s="89">
        <v>1.08</v>
      </c>
      <c r="J32" s="89">
        <v>1.1299999999999999</v>
      </c>
      <c r="K32" s="89">
        <v>1.08</v>
      </c>
      <c r="L32" s="87">
        <v>1.08</v>
      </c>
      <c r="M32" s="87">
        <v>1.23</v>
      </c>
      <c r="N32" s="89">
        <v>1.53</v>
      </c>
      <c r="O32" s="89">
        <v>1.1299999999999999</v>
      </c>
      <c r="P32" s="89">
        <v>1.08</v>
      </c>
      <c r="Q32" s="89">
        <v>1.43</v>
      </c>
      <c r="R32" s="90">
        <v>1.08</v>
      </c>
      <c r="S32" s="90">
        <v>1.18</v>
      </c>
      <c r="T32" s="89">
        <v>1.08</v>
      </c>
      <c r="U32" s="89">
        <v>2.33</v>
      </c>
      <c r="V32" s="89">
        <v>1.18</v>
      </c>
      <c r="W32" s="89">
        <v>2.5000000000000001E-2</v>
      </c>
      <c r="X32" s="89">
        <v>0.03</v>
      </c>
      <c r="Y32" s="89">
        <v>0.14499999999999999</v>
      </c>
      <c r="Z32" s="89">
        <v>2.5000000000000001E-2</v>
      </c>
      <c r="AA32" s="89">
        <v>0.38500000000000001</v>
      </c>
      <c r="AB32" s="89">
        <v>0</v>
      </c>
      <c r="AC32" s="89">
        <v>0.375</v>
      </c>
      <c r="AD32" s="89">
        <v>0</v>
      </c>
      <c r="AE32" s="89">
        <v>0.38500000000000001</v>
      </c>
      <c r="AF32" s="89">
        <v>0</v>
      </c>
      <c r="AG32" s="89">
        <v>0.22</v>
      </c>
      <c r="AH32" s="89">
        <v>0</v>
      </c>
      <c r="AI32" s="89">
        <v>0.19167999999999999</v>
      </c>
      <c r="AJ32" s="89">
        <v>0</v>
      </c>
      <c r="AK32" s="89">
        <v>0.14499999999999999</v>
      </c>
      <c r="AL32" s="89">
        <v>0.04</v>
      </c>
      <c r="AM32" s="89">
        <v>-9.0999999999999998E-2</v>
      </c>
      <c r="AN32" s="89">
        <v>2E-3</v>
      </c>
      <c r="AO32" s="89">
        <v>-0.43</v>
      </c>
      <c r="AP32" s="89">
        <v>0.155</v>
      </c>
      <c r="AQ32" s="89">
        <v>-7.0999999999999994E-2</v>
      </c>
      <c r="AR32" s="89">
        <v>5.0000000000000001E-3</v>
      </c>
      <c r="AS32" s="89">
        <v>-0.155</v>
      </c>
      <c r="AT32" s="89">
        <v>-5.0000000000000001E-3</v>
      </c>
      <c r="AU32" s="89">
        <v>-0.115</v>
      </c>
      <c r="AV32" s="89">
        <v>-0.01</v>
      </c>
      <c r="AW32" s="89">
        <v>-8.7499999999999994E-2</v>
      </c>
      <c r="AX32" s="89">
        <v>2.5000000000000001E-3</v>
      </c>
      <c r="AY32" s="90">
        <v>0.22500000000000001</v>
      </c>
      <c r="AZ32" s="90">
        <v>0</v>
      </c>
      <c r="BA32" s="90">
        <v>-0.22</v>
      </c>
      <c r="BB32" s="89">
        <v>0</v>
      </c>
      <c r="BC32" s="89">
        <v>-0.14749999999999999</v>
      </c>
      <c r="BD32" s="89">
        <v>0</v>
      </c>
      <c r="BE32" s="89">
        <v>0.02</v>
      </c>
      <c r="BF32" s="89">
        <v>0.02</v>
      </c>
      <c r="BG32" s="89">
        <v>-0.1275</v>
      </c>
      <c r="BH32" s="89">
        <v>0</v>
      </c>
      <c r="BI32" s="89">
        <v>0.14499999999999999</v>
      </c>
      <c r="BJ32" s="62">
        <v>0.04</v>
      </c>
      <c r="BK32" s="62">
        <v>0.02</v>
      </c>
      <c r="BL32" s="62">
        <v>0.02</v>
      </c>
      <c r="BM32" s="62">
        <v>0.36</v>
      </c>
      <c r="BN32" s="62">
        <v>0</v>
      </c>
      <c r="BO32" s="62">
        <v>-0.27</v>
      </c>
      <c r="BP32" s="62">
        <v>2.75E-2</v>
      </c>
      <c r="BQ32" s="62">
        <v>0.38</v>
      </c>
      <c r="BR32" s="62">
        <v>0.04</v>
      </c>
      <c r="BS32" s="62">
        <v>-0.14749999999999999</v>
      </c>
      <c r="BT32" s="62">
        <v>0</v>
      </c>
      <c r="BU32" s="62">
        <v>0.18</v>
      </c>
      <c r="BV32" s="62">
        <v>0.02</v>
      </c>
      <c r="BW32" s="62">
        <v>0.02</v>
      </c>
      <c r="BX32" s="62">
        <v>0</v>
      </c>
      <c r="BY32" s="62">
        <v>-2.5000000000000001E-2</v>
      </c>
      <c r="BZ32" s="62">
        <v>5.7500000000000002E-2</v>
      </c>
      <c r="CA32" s="62">
        <v>0.23499999999999999</v>
      </c>
      <c r="CB32" s="62">
        <v>5.0000000000000001E-3</v>
      </c>
      <c r="CC32" s="62">
        <v>-2.5000000000000001E-2</v>
      </c>
      <c r="CD32" s="62">
        <v>2.5000000000000001E-3</v>
      </c>
      <c r="CE32" s="62">
        <v>2.5000000000000001E-3</v>
      </c>
      <c r="CF32" s="62">
        <v>0</v>
      </c>
      <c r="CG32" s="62">
        <v>-2.5000000000000001E-2</v>
      </c>
      <c r="CH32" s="62">
        <v>2.5000000000000001E-3</v>
      </c>
      <c r="CI32" s="62">
        <v>-0.125</v>
      </c>
      <c r="CJ32" s="62">
        <v>-5.0000000000000001E-3</v>
      </c>
      <c r="CK32" s="62">
        <v>7.4999999999999997E-2</v>
      </c>
      <c r="CL32" s="62">
        <v>0</v>
      </c>
      <c r="CM32" s="62">
        <v>-7.2499999999999995E-2</v>
      </c>
      <c r="CN32" s="62">
        <v>0.01</v>
      </c>
      <c r="CO32" s="62">
        <v>-1.7500000000000002E-2</v>
      </c>
      <c r="CP32" s="62">
        <v>7.4999999999999997E-3</v>
      </c>
      <c r="CQ32" s="62">
        <v>2.2499999999999999E-2</v>
      </c>
      <c r="CR32" s="62">
        <v>0.01</v>
      </c>
      <c r="CS32" s="62">
        <v>1.88</v>
      </c>
      <c r="CT32" s="62">
        <v>0.45</v>
      </c>
      <c r="CU32" s="62">
        <v>0.36</v>
      </c>
      <c r="CV32" s="62">
        <v>0</v>
      </c>
      <c r="CW32" s="62">
        <v>0.38</v>
      </c>
      <c r="CX32" s="62">
        <v>0.02</v>
      </c>
      <c r="CY32" s="62">
        <v>-0.495</v>
      </c>
      <c r="CZ32" s="62">
        <v>0</v>
      </c>
      <c r="DA32" s="62">
        <v>-0.315</v>
      </c>
      <c r="DB32" s="62">
        <v>0</v>
      </c>
      <c r="DC32" s="62">
        <v>0.35</v>
      </c>
      <c r="DE32" s="62">
        <v>-5.2499999999999998E-2</v>
      </c>
      <c r="DF32" s="62">
        <v>7.4999999999999997E-3</v>
      </c>
      <c r="DG32" s="62">
        <v>5.0000000000000001E-3</v>
      </c>
      <c r="DH32" s="62">
        <v>5.0000000000000001E-3</v>
      </c>
      <c r="DI32" s="62">
        <v>-2.5000000000000001E-2</v>
      </c>
      <c r="DJ32" s="62">
        <v>2.5000000000000001E-3</v>
      </c>
      <c r="DK32" s="62">
        <v>-0.13250000000000001</v>
      </c>
      <c r="DL32" s="62">
        <v>2.5000000000000001E-3</v>
      </c>
      <c r="DM32" s="62">
        <v>-6.7500000000000004E-2</v>
      </c>
      <c r="DN32" s="62">
        <v>0</v>
      </c>
      <c r="DO32" s="62">
        <v>-8.7499999999999994E-2</v>
      </c>
      <c r="DP32" s="62">
        <v>2.5000000000000001E-3</v>
      </c>
      <c r="DQ32" s="62">
        <v>-0.1525</v>
      </c>
      <c r="DR32" s="62">
        <v>-5.0000000000000001E-3</v>
      </c>
      <c r="DS32" s="62">
        <v>1.07</v>
      </c>
      <c r="DT32" s="62">
        <v>0.05</v>
      </c>
      <c r="DU32" s="62">
        <v>0.09</v>
      </c>
      <c r="DV32" s="62">
        <v>0</v>
      </c>
    </row>
    <row r="33" spans="4:126" x14ac:dyDescent="0.25">
      <c r="D33" s="86">
        <v>37653</v>
      </c>
      <c r="F33" s="89">
        <v>3.371</v>
      </c>
      <c r="G33" s="90">
        <v>2.6044986419747399E-2</v>
      </c>
      <c r="H33" s="89">
        <v>0.52749999999999997</v>
      </c>
      <c r="I33" s="89">
        <v>1.08</v>
      </c>
      <c r="J33" s="89">
        <v>1.1299999999999999</v>
      </c>
      <c r="K33" s="89">
        <v>1.08</v>
      </c>
      <c r="L33" s="87">
        <v>1.08</v>
      </c>
      <c r="M33" s="87">
        <v>1.23</v>
      </c>
      <c r="N33" s="89">
        <v>1.53</v>
      </c>
      <c r="O33" s="89">
        <v>1.1299999999999999</v>
      </c>
      <c r="P33" s="89">
        <v>1.08</v>
      </c>
      <c r="Q33" s="89">
        <v>1.43</v>
      </c>
      <c r="R33" s="90">
        <v>1.08</v>
      </c>
      <c r="S33" s="90">
        <v>1.18</v>
      </c>
      <c r="T33" s="89">
        <v>1.08</v>
      </c>
      <c r="U33" s="89">
        <v>2.33</v>
      </c>
      <c r="V33" s="89">
        <v>1.18</v>
      </c>
      <c r="W33" s="89">
        <v>0.02</v>
      </c>
      <c r="X33" s="89">
        <v>0.03</v>
      </c>
      <c r="Y33" s="89">
        <v>0.13500000000000001</v>
      </c>
      <c r="Z33" s="89">
        <v>2.5000000000000001E-2</v>
      </c>
      <c r="AA33" s="89">
        <v>0.375</v>
      </c>
      <c r="AB33" s="89">
        <v>0</v>
      </c>
      <c r="AC33" s="89">
        <v>0.36499999999999999</v>
      </c>
      <c r="AD33" s="89">
        <v>0</v>
      </c>
      <c r="AE33" s="89">
        <v>0.375</v>
      </c>
      <c r="AF33" s="89">
        <v>0</v>
      </c>
      <c r="AG33" s="89">
        <v>0.21</v>
      </c>
      <c r="AH33" s="89">
        <v>0</v>
      </c>
      <c r="AI33" s="89">
        <v>0.17912</v>
      </c>
      <c r="AJ33" s="89">
        <v>0</v>
      </c>
      <c r="AK33" s="89">
        <v>0.13500000000000001</v>
      </c>
      <c r="AL33" s="89">
        <v>0.04</v>
      </c>
      <c r="AM33" s="89">
        <v>-9.0999999999999998E-2</v>
      </c>
      <c r="AN33" s="89">
        <v>2E-3</v>
      </c>
      <c r="AO33" s="89">
        <v>-0.43</v>
      </c>
      <c r="AP33" s="89">
        <v>0.155</v>
      </c>
      <c r="AQ33" s="89">
        <v>-7.0999999999999994E-2</v>
      </c>
      <c r="AR33" s="89">
        <v>5.0000000000000001E-3</v>
      </c>
      <c r="AS33" s="89">
        <v>-0.14749999999999999</v>
      </c>
      <c r="AT33" s="89">
        <v>-5.0000000000000001E-3</v>
      </c>
      <c r="AU33" s="89">
        <v>-0.1075</v>
      </c>
      <c r="AV33" s="89">
        <v>-0.01</v>
      </c>
      <c r="AW33" s="89">
        <v>-8.7499999999999994E-2</v>
      </c>
      <c r="AX33" s="89">
        <v>2.5000000000000001E-3</v>
      </c>
      <c r="AY33" s="90">
        <v>0.215</v>
      </c>
      <c r="AZ33" s="90">
        <v>0</v>
      </c>
      <c r="BA33" s="90">
        <v>-0.22</v>
      </c>
      <c r="BB33" s="89">
        <v>0</v>
      </c>
      <c r="BC33" s="89">
        <v>-0.14749999999999999</v>
      </c>
      <c r="BD33" s="89">
        <v>0</v>
      </c>
      <c r="BE33" s="89">
        <v>0.02</v>
      </c>
      <c r="BF33" s="89">
        <v>0.02</v>
      </c>
      <c r="BG33" s="89">
        <v>-0.1275</v>
      </c>
      <c r="BH33" s="89">
        <v>0</v>
      </c>
      <c r="BI33" s="89">
        <v>0.125</v>
      </c>
      <c r="BJ33" s="62">
        <v>0.04</v>
      </c>
      <c r="BK33" s="62">
        <v>0.02</v>
      </c>
      <c r="BL33" s="62">
        <v>0.02</v>
      </c>
      <c r="BM33" s="62">
        <v>0.06</v>
      </c>
      <c r="BN33" s="62">
        <v>0</v>
      </c>
      <c r="BO33" s="62">
        <v>-0.26</v>
      </c>
      <c r="BP33" s="62">
        <v>2.75E-2</v>
      </c>
      <c r="BQ33" s="62">
        <v>0.37</v>
      </c>
      <c r="BR33" s="62">
        <v>0.04</v>
      </c>
      <c r="BS33" s="62">
        <v>-0.14749999999999999</v>
      </c>
      <c r="BT33" s="62">
        <v>0</v>
      </c>
      <c r="BU33" s="62">
        <v>0.17</v>
      </c>
      <c r="BV33" s="62">
        <v>0.02</v>
      </c>
      <c r="BW33" s="62">
        <v>0.02</v>
      </c>
      <c r="BX33" s="62">
        <v>0</v>
      </c>
      <c r="BY33" s="62">
        <v>-2.5000000000000001E-2</v>
      </c>
      <c r="BZ33" s="62">
        <v>5.7500000000000002E-2</v>
      </c>
      <c r="CA33" s="62">
        <v>0.23499999999999999</v>
      </c>
      <c r="CB33" s="62">
        <v>5.0000000000000001E-3</v>
      </c>
      <c r="CC33" s="62">
        <v>-2.5000000000000001E-2</v>
      </c>
      <c r="CD33" s="62">
        <v>2.5000000000000001E-3</v>
      </c>
      <c r="CE33" s="62">
        <v>2.5000000000000001E-3</v>
      </c>
      <c r="CF33" s="62">
        <v>0</v>
      </c>
      <c r="CG33" s="62">
        <v>-2.5000000000000001E-2</v>
      </c>
      <c r="CH33" s="62">
        <v>2.5000000000000001E-3</v>
      </c>
      <c r="CI33" s="62">
        <v>-0.125</v>
      </c>
      <c r="CJ33" s="62">
        <v>-5.0000000000000001E-3</v>
      </c>
      <c r="CK33" s="62">
        <v>7.4999999999999997E-2</v>
      </c>
      <c r="CL33" s="62">
        <v>0</v>
      </c>
      <c r="CM33" s="62">
        <v>-7.2499999999999995E-2</v>
      </c>
      <c r="CN33" s="62">
        <v>0.01</v>
      </c>
      <c r="CO33" s="62">
        <v>-1.7500000000000002E-2</v>
      </c>
      <c r="CP33" s="62">
        <v>7.4999999999999997E-3</v>
      </c>
      <c r="CQ33" s="62">
        <v>2.2499999999999999E-2</v>
      </c>
      <c r="CR33" s="62">
        <v>0.01</v>
      </c>
      <c r="CS33" s="62">
        <v>1.88</v>
      </c>
      <c r="CT33" s="62">
        <v>0.45</v>
      </c>
      <c r="CU33" s="62">
        <v>0.06</v>
      </c>
      <c r="CV33" s="62">
        <v>0</v>
      </c>
      <c r="CW33" s="62">
        <v>0.38</v>
      </c>
      <c r="CX33" s="62">
        <v>0.02</v>
      </c>
      <c r="CY33" s="62">
        <v>-0.48499999999999999</v>
      </c>
      <c r="CZ33" s="62">
        <v>0</v>
      </c>
      <c r="DA33" s="62">
        <v>-0.30499999999999999</v>
      </c>
      <c r="DB33" s="62">
        <v>0</v>
      </c>
      <c r="DC33" s="62">
        <v>0.35</v>
      </c>
      <c r="DE33" s="62">
        <v>-5.2499999999999998E-2</v>
      </c>
      <c r="DF33" s="62">
        <v>7.4999999999999997E-3</v>
      </c>
      <c r="DG33" s="62">
        <v>5.0000000000000001E-3</v>
      </c>
      <c r="DH33" s="62">
        <v>5.0000000000000001E-3</v>
      </c>
      <c r="DI33" s="62">
        <v>-2.5000000000000001E-2</v>
      </c>
      <c r="DJ33" s="62">
        <v>2.5000000000000001E-3</v>
      </c>
      <c r="DK33" s="62">
        <v>-0.1225</v>
      </c>
      <c r="DL33" s="62">
        <v>2.5000000000000001E-3</v>
      </c>
      <c r="DM33" s="62">
        <v>-6.7500000000000004E-2</v>
      </c>
      <c r="DN33" s="62">
        <v>0</v>
      </c>
      <c r="DO33" s="62">
        <v>-8.7499999999999994E-2</v>
      </c>
      <c r="DP33" s="62">
        <v>2.5000000000000001E-3</v>
      </c>
      <c r="DQ33" s="62">
        <v>-0.14249999999999999</v>
      </c>
      <c r="DR33" s="62">
        <v>-5.0000000000000001E-3</v>
      </c>
      <c r="DS33" s="62">
        <v>1.06</v>
      </c>
      <c r="DT33" s="62">
        <v>0.05</v>
      </c>
      <c r="DU33" s="62">
        <v>0.08</v>
      </c>
      <c r="DV33" s="62">
        <v>0</v>
      </c>
    </row>
    <row r="34" spans="4:126" x14ac:dyDescent="0.25">
      <c r="D34" s="86">
        <v>37681</v>
      </c>
      <c r="F34" s="89">
        <v>3.2810000000000001</v>
      </c>
      <c r="G34" s="90">
        <v>2.6954137886657601E-2</v>
      </c>
      <c r="H34" s="89">
        <v>0.48749999999999999</v>
      </c>
      <c r="I34" s="89">
        <v>0.83</v>
      </c>
      <c r="J34" s="89">
        <v>0.88</v>
      </c>
      <c r="K34" s="89">
        <v>0.83</v>
      </c>
      <c r="L34" s="87">
        <v>0.83</v>
      </c>
      <c r="M34" s="87">
        <v>0.93</v>
      </c>
      <c r="N34" s="89">
        <v>1.08</v>
      </c>
      <c r="O34" s="89">
        <v>0.83</v>
      </c>
      <c r="P34" s="89">
        <v>0.83</v>
      </c>
      <c r="Q34" s="89">
        <v>1.03</v>
      </c>
      <c r="R34" s="90">
        <v>0.83</v>
      </c>
      <c r="S34" s="90">
        <v>0.83</v>
      </c>
      <c r="T34" s="89">
        <v>0.83</v>
      </c>
      <c r="U34" s="89">
        <v>1.88</v>
      </c>
      <c r="V34" s="89">
        <v>0.93</v>
      </c>
      <c r="W34" s="89">
        <v>0</v>
      </c>
      <c r="X34" s="89">
        <v>0.03</v>
      </c>
      <c r="Y34" s="89">
        <v>0.13</v>
      </c>
      <c r="Z34" s="89">
        <v>2.5000000000000001E-2</v>
      </c>
      <c r="AA34" s="89">
        <v>0.37</v>
      </c>
      <c r="AB34" s="89">
        <v>0</v>
      </c>
      <c r="AC34" s="89">
        <v>0.36</v>
      </c>
      <c r="AD34" s="89">
        <v>0</v>
      </c>
      <c r="AE34" s="89">
        <v>0.37</v>
      </c>
      <c r="AF34" s="89">
        <v>0</v>
      </c>
      <c r="AG34" s="89">
        <v>0.20499999999999999</v>
      </c>
      <c r="AH34" s="89">
        <v>0</v>
      </c>
      <c r="AI34" s="89">
        <v>0.17076</v>
      </c>
      <c r="AJ34" s="89">
        <v>0</v>
      </c>
      <c r="AK34" s="89">
        <v>0.13</v>
      </c>
      <c r="AL34" s="89">
        <v>0.04</v>
      </c>
      <c r="AM34" s="89">
        <v>-9.2499999999999999E-2</v>
      </c>
      <c r="AN34" s="89">
        <v>2E-3</v>
      </c>
      <c r="AO34" s="89">
        <v>-0.43</v>
      </c>
      <c r="AP34" s="89">
        <v>0.155</v>
      </c>
      <c r="AQ34" s="89">
        <v>-7.2499999999999995E-2</v>
      </c>
      <c r="AR34" s="89">
        <v>5.0000000000000001E-3</v>
      </c>
      <c r="AS34" s="89">
        <v>-0.14499999999999999</v>
      </c>
      <c r="AT34" s="89">
        <v>-5.0000000000000001E-3</v>
      </c>
      <c r="AU34" s="89">
        <v>-0.105</v>
      </c>
      <c r="AV34" s="89">
        <v>-0.01</v>
      </c>
      <c r="AW34" s="89">
        <v>-8.7499999999999994E-2</v>
      </c>
      <c r="AX34" s="89">
        <v>2.5000000000000001E-3</v>
      </c>
      <c r="AY34" s="90">
        <v>0.21</v>
      </c>
      <c r="AZ34" s="90">
        <v>0</v>
      </c>
      <c r="BA34" s="90">
        <v>-0.22</v>
      </c>
      <c r="BB34" s="89">
        <v>0</v>
      </c>
      <c r="BC34" s="89">
        <v>-0.14749999999999999</v>
      </c>
      <c r="BD34" s="89">
        <v>0</v>
      </c>
      <c r="BE34" s="89">
        <v>0.02</v>
      </c>
      <c r="BF34" s="89">
        <v>0.02</v>
      </c>
      <c r="BG34" s="89">
        <v>-0.1275</v>
      </c>
      <c r="BH34" s="89">
        <v>0</v>
      </c>
      <c r="BI34" s="89">
        <v>4.4999999999999998E-2</v>
      </c>
      <c r="BJ34" s="62">
        <v>0.04</v>
      </c>
      <c r="BK34" s="62">
        <v>0.02</v>
      </c>
      <c r="BL34" s="62">
        <v>0.02</v>
      </c>
      <c r="BM34" s="62">
        <v>-0.24</v>
      </c>
      <c r="BN34" s="62">
        <v>0</v>
      </c>
      <c r="BO34" s="62">
        <v>-0.31</v>
      </c>
      <c r="BP34" s="62">
        <v>2.75E-2</v>
      </c>
      <c r="BQ34" s="62">
        <v>0.2</v>
      </c>
      <c r="BR34" s="62">
        <v>0.04</v>
      </c>
      <c r="BS34" s="62">
        <v>-0.14749999999999999</v>
      </c>
      <c r="BT34" s="62">
        <v>0</v>
      </c>
      <c r="BU34" s="62">
        <v>0</v>
      </c>
      <c r="BV34" s="62">
        <v>0.02</v>
      </c>
      <c r="BW34" s="62">
        <v>0.02</v>
      </c>
      <c r="BX34" s="62">
        <v>0</v>
      </c>
      <c r="BY34" s="62">
        <v>-2.5000000000000001E-2</v>
      </c>
      <c r="BZ34" s="62">
        <v>5.7500000000000002E-2</v>
      </c>
      <c r="CA34" s="62">
        <v>0.19500000000000001</v>
      </c>
      <c r="CB34" s="62">
        <v>5.0000000000000001E-3</v>
      </c>
      <c r="CC34" s="62">
        <v>-2.5000000000000001E-2</v>
      </c>
      <c r="CD34" s="62">
        <v>2.5000000000000001E-3</v>
      </c>
      <c r="CE34" s="62">
        <v>2.5000000000000001E-3</v>
      </c>
      <c r="CF34" s="62">
        <v>0</v>
      </c>
      <c r="CG34" s="62">
        <v>-2.5000000000000001E-2</v>
      </c>
      <c r="CH34" s="62">
        <v>2.5000000000000001E-3</v>
      </c>
      <c r="CI34" s="62">
        <v>-0.125</v>
      </c>
      <c r="CJ34" s="62">
        <v>-5.0000000000000001E-3</v>
      </c>
      <c r="CK34" s="62">
        <v>7.4999999999999997E-2</v>
      </c>
      <c r="CL34" s="62">
        <v>0</v>
      </c>
      <c r="CM34" s="62">
        <v>-7.2499999999999995E-2</v>
      </c>
      <c r="CN34" s="62">
        <v>0.01</v>
      </c>
      <c r="CO34" s="62">
        <v>-1.7500000000000002E-2</v>
      </c>
      <c r="CP34" s="62">
        <v>7.4999999999999997E-3</v>
      </c>
      <c r="CQ34" s="62">
        <v>2.2499999999999999E-2</v>
      </c>
      <c r="CR34" s="62">
        <v>0.01</v>
      </c>
      <c r="CS34" s="62">
        <v>0.65</v>
      </c>
      <c r="CT34" s="62">
        <v>0.1</v>
      </c>
      <c r="CU34" s="62">
        <v>-0.24</v>
      </c>
      <c r="CV34" s="62">
        <v>0</v>
      </c>
      <c r="CW34" s="62">
        <v>0.33</v>
      </c>
      <c r="CX34" s="62">
        <v>0.02</v>
      </c>
      <c r="CY34" s="62">
        <v>-0.53500000000000003</v>
      </c>
      <c r="CZ34" s="62">
        <v>0</v>
      </c>
      <c r="DA34" s="62">
        <v>-0.35499999999999998</v>
      </c>
      <c r="DB34" s="62">
        <v>0</v>
      </c>
      <c r="DC34" s="62">
        <v>0.4</v>
      </c>
      <c r="DE34" s="62">
        <v>-5.2499999999999998E-2</v>
      </c>
      <c r="DF34" s="62">
        <v>7.4999999999999997E-3</v>
      </c>
      <c r="DG34" s="62">
        <v>5.0000000000000001E-3</v>
      </c>
      <c r="DH34" s="62">
        <v>5.0000000000000001E-3</v>
      </c>
      <c r="DI34" s="62">
        <v>-2.5000000000000001E-2</v>
      </c>
      <c r="DJ34" s="62">
        <v>2.5000000000000001E-3</v>
      </c>
      <c r="DK34" s="62">
        <v>-0.1125</v>
      </c>
      <c r="DL34" s="62">
        <v>2.5000000000000001E-3</v>
      </c>
      <c r="DM34" s="62">
        <v>-6.7500000000000004E-2</v>
      </c>
      <c r="DN34" s="62">
        <v>0</v>
      </c>
      <c r="DO34" s="62">
        <v>-8.7499999999999994E-2</v>
      </c>
      <c r="DP34" s="62">
        <v>2.5000000000000001E-3</v>
      </c>
      <c r="DQ34" s="62">
        <v>-0.13250000000000001</v>
      </c>
      <c r="DR34" s="62">
        <v>-5.0000000000000001E-3</v>
      </c>
      <c r="DS34" s="62">
        <v>0.54500000000000004</v>
      </c>
      <c r="DT34" s="62">
        <v>0.05</v>
      </c>
      <c r="DU34" s="62">
        <v>7.4999999999999997E-2</v>
      </c>
      <c r="DV34" s="62">
        <v>0</v>
      </c>
    </row>
    <row r="35" spans="4:126" x14ac:dyDescent="0.25">
      <c r="D35" s="91">
        <v>37712</v>
      </c>
      <c r="F35" s="89">
        <v>3.1259999999999999</v>
      </c>
      <c r="G35" s="90">
        <v>2.79745964320606E-2</v>
      </c>
      <c r="H35" s="89">
        <v>0.38750000000000001</v>
      </c>
      <c r="I35" s="89">
        <v>0.43</v>
      </c>
      <c r="J35" s="89">
        <v>0.48</v>
      </c>
      <c r="K35" s="89">
        <v>0.43</v>
      </c>
      <c r="L35" s="87">
        <v>0.48</v>
      </c>
      <c r="M35" s="87">
        <v>0.48</v>
      </c>
      <c r="N35" s="89">
        <v>0.48</v>
      </c>
      <c r="O35" s="89">
        <v>0.48</v>
      </c>
      <c r="P35" s="89">
        <v>0.48</v>
      </c>
      <c r="Q35" s="89">
        <v>0.53</v>
      </c>
      <c r="R35" s="90">
        <v>0.43</v>
      </c>
      <c r="S35" s="90">
        <v>0.48</v>
      </c>
      <c r="T35" s="89">
        <v>0.43</v>
      </c>
      <c r="U35" s="89">
        <v>0.48</v>
      </c>
      <c r="V35" s="89">
        <v>0.57999999999999996</v>
      </c>
      <c r="W35" s="89">
        <v>-0.09</v>
      </c>
      <c r="X35" s="89">
        <v>0</v>
      </c>
      <c r="Y35" s="89">
        <v>3.5000000000000003E-2</v>
      </c>
      <c r="Z35" s="89">
        <v>5.0000000000000001E-3</v>
      </c>
      <c r="AA35" s="89">
        <v>0.16500000000000001</v>
      </c>
      <c r="AB35" s="89">
        <v>0</v>
      </c>
      <c r="AC35" s="89">
        <v>0.13</v>
      </c>
      <c r="AD35" s="89">
        <v>0</v>
      </c>
      <c r="AE35" s="89">
        <v>0.16500000000000001</v>
      </c>
      <c r="AF35" s="89">
        <v>0</v>
      </c>
      <c r="AG35" s="89">
        <v>0.12</v>
      </c>
      <c r="AH35" s="89">
        <v>0</v>
      </c>
      <c r="AI35" s="89">
        <v>0.13</v>
      </c>
      <c r="AJ35" s="89">
        <v>0</v>
      </c>
      <c r="AK35" s="89">
        <v>3.5000000000000003E-2</v>
      </c>
      <c r="AL35" s="89">
        <v>0.04</v>
      </c>
      <c r="AM35" s="89">
        <v>-7.7499999999999999E-2</v>
      </c>
      <c r="AN35" s="89">
        <v>8.9999999999999993E-3</v>
      </c>
      <c r="AO35" s="89">
        <v>-0.435</v>
      </c>
      <c r="AP35" s="89">
        <v>0.155</v>
      </c>
      <c r="AQ35" s="89">
        <v>-7.2499999999999995E-2</v>
      </c>
      <c r="AR35" s="89">
        <v>0</v>
      </c>
      <c r="AS35" s="89">
        <v>-0.15</v>
      </c>
      <c r="AT35" s="89">
        <v>-1.4999999999999999E-2</v>
      </c>
      <c r="AU35" s="89">
        <v>-0.11</v>
      </c>
      <c r="AV35" s="89">
        <v>0.02</v>
      </c>
      <c r="AW35" s="89">
        <v>-9.5000000000000001E-2</v>
      </c>
      <c r="AX35" s="89">
        <v>7.4999999999999997E-3</v>
      </c>
      <c r="AY35" s="90">
        <v>0.125</v>
      </c>
      <c r="AZ35" s="90">
        <v>0</v>
      </c>
      <c r="BA35" s="90">
        <v>-0.26</v>
      </c>
      <c r="BB35" s="89">
        <v>2.5000000000000001E-3</v>
      </c>
      <c r="BC35" s="89">
        <v>-0.105</v>
      </c>
      <c r="BD35" s="89">
        <v>5.0000000000000001E-3</v>
      </c>
      <c r="BE35" s="89">
        <v>0.14000000000000001</v>
      </c>
      <c r="BF35" s="89">
        <v>0.02</v>
      </c>
      <c r="BG35" s="89">
        <v>-8.2500000000000004E-2</v>
      </c>
      <c r="BH35" s="89">
        <v>0</v>
      </c>
      <c r="BI35" s="89">
        <v>0.08</v>
      </c>
      <c r="BJ35" s="62">
        <v>0.03</v>
      </c>
      <c r="BK35" s="62">
        <v>0.14000000000000001</v>
      </c>
      <c r="BL35" s="62">
        <v>0.02</v>
      </c>
      <c r="BM35" s="62">
        <v>-0.20499999999999999</v>
      </c>
      <c r="BN35" s="62">
        <v>0</v>
      </c>
      <c r="BO35" s="62">
        <v>-0.435</v>
      </c>
      <c r="BP35" s="62">
        <v>0.02</v>
      </c>
      <c r="BQ35" s="62">
        <v>0.4</v>
      </c>
      <c r="BR35" s="62">
        <v>0.02</v>
      </c>
      <c r="BS35" s="62">
        <v>-0.105</v>
      </c>
      <c r="BT35" s="62">
        <v>5.0000000000000001E-3</v>
      </c>
      <c r="BU35" s="62">
        <v>0.2</v>
      </c>
      <c r="BV35" s="62">
        <v>0.01</v>
      </c>
      <c r="BW35" s="62">
        <v>0.14000000000000001</v>
      </c>
      <c r="BX35" s="62">
        <v>0</v>
      </c>
      <c r="BY35" s="62">
        <v>-2.5000000000000001E-2</v>
      </c>
      <c r="BZ35" s="62">
        <v>5.7500000000000002E-2</v>
      </c>
      <c r="CA35" s="62">
        <v>0.14499999999999999</v>
      </c>
      <c r="CB35" s="62">
        <v>5.0000000000000001E-3</v>
      </c>
      <c r="CC35" s="62">
        <v>-2.5000000000000001E-2</v>
      </c>
      <c r="CD35" s="62">
        <v>2.5000000000000001E-3</v>
      </c>
      <c r="CE35" s="62">
        <v>2.5000000000000001E-3</v>
      </c>
      <c r="CF35" s="62">
        <v>0</v>
      </c>
      <c r="CG35" s="62">
        <v>-2.5000000000000001E-2</v>
      </c>
      <c r="CH35" s="62">
        <v>2.5000000000000001E-3</v>
      </c>
      <c r="CI35" s="62">
        <v>-0.14499999999999999</v>
      </c>
      <c r="CJ35" s="62">
        <v>0</v>
      </c>
      <c r="CK35" s="62">
        <v>7.7499999999999999E-2</v>
      </c>
      <c r="CL35" s="62">
        <v>0</v>
      </c>
      <c r="CM35" s="62">
        <v>-7.2499999999999995E-2</v>
      </c>
      <c r="CN35" s="62">
        <v>7.4999999999999997E-3</v>
      </c>
      <c r="CO35" s="62">
        <v>-1.7500000000000002E-2</v>
      </c>
      <c r="CP35" s="62">
        <v>5.0000000000000001E-3</v>
      </c>
      <c r="CQ35" s="62">
        <v>2.2499999999999999E-2</v>
      </c>
      <c r="CR35" s="62">
        <v>7.4999999999999997E-3</v>
      </c>
      <c r="CS35" s="62">
        <v>0.38</v>
      </c>
      <c r="CT35" s="62">
        <v>0.02</v>
      </c>
      <c r="CU35" s="62">
        <v>-0.20499999999999999</v>
      </c>
      <c r="CV35" s="62">
        <v>0</v>
      </c>
      <c r="CW35" s="62">
        <v>0.19500000000000001</v>
      </c>
      <c r="CX35" s="62">
        <v>7.4999999999999997E-3</v>
      </c>
      <c r="CY35" s="62">
        <v>-0.70499999999999996</v>
      </c>
      <c r="CZ35" s="62">
        <v>0</v>
      </c>
      <c r="DA35" s="62">
        <v>-0.52500000000000002</v>
      </c>
      <c r="DB35" s="62">
        <v>0</v>
      </c>
      <c r="DC35" s="62">
        <v>0.6</v>
      </c>
      <c r="DE35" s="62">
        <v>-5.5E-2</v>
      </c>
      <c r="DF35" s="62">
        <v>7.4999999999999997E-3</v>
      </c>
      <c r="DG35" s="62">
        <v>0.01</v>
      </c>
      <c r="DH35" s="62">
        <v>5.0000000000000001E-3</v>
      </c>
      <c r="DI35" s="62">
        <v>-2.2499999999999999E-2</v>
      </c>
      <c r="DJ35" s="62">
        <v>5.0000000000000001E-3</v>
      </c>
      <c r="DK35" s="62">
        <v>-0.13</v>
      </c>
      <c r="DL35" s="62">
        <v>5.0000000000000001E-3</v>
      </c>
      <c r="DM35" s="62">
        <v>-6.5000000000000002E-2</v>
      </c>
      <c r="DN35" s="62">
        <v>0</v>
      </c>
      <c r="DO35" s="62">
        <v>-8.7499999999999994E-2</v>
      </c>
      <c r="DP35" s="62">
        <v>0</v>
      </c>
      <c r="DQ35" s="62">
        <v>-0.16</v>
      </c>
      <c r="DR35" s="62">
        <v>-5.0000000000000001E-3</v>
      </c>
      <c r="DS35" s="62">
        <v>0.36</v>
      </c>
      <c r="DT35" s="62">
        <v>5.0000000000000001E-3</v>
      </c>
      <c r="DU35" s="62">
        <v>-4.4999999999999998E-2</v>
      </c>
      <c r="DV35" s="62">
        <v>0</v>
      </c>
    </row>
    <row r="36" spans="4:126" x14ac:dyDescent="0.25">
      <c r="D36" s="91">
        <v>37742</v>
      </c>
      <c r="F36" s="89">
        <v>3.1269999999999998</v>
      </c>
      <c r="G36" s="90">
        <v>2.8963180076380102E-2</v>
      </c>
      <c r="H36" s="89">
        <v>0.3725</v>
      </c>
      <c r="I36" s="89">
        <v>0.48</v>
      </c>
      <c r="J36" s="89">
        <v>0.53</v>
      </c>
      <c r="K36" s="89">
        <v>0.43</v>
      </c>
      <c r="L36" s="87">
        <v>0.43</v>
      </c>
      <c r="M36" s="87">
        <v>0.48</v>
      </c>
      <c r="N36" s="89">
        <v>0.53</v>
      </c>
      <c r="O36" s="89">
        <v>0.48</v>
      </c>
      <c r="P36" s="89">
        <v>0.43</v>
      </c>
      <c r="Q36" s="89">
        <v>0.48</v>
      </c>
      <c r="R36" s="90">
        <v>0.48</v>
      </c>
      <c r="S36" s="90">
        <v>0.53</v>
      </c>
      <c r="T36" s="89">
        <v>0.48</v>
      </c>
      <c r="U36" s="89">
        <v>0.53</v>
      </c>
      <c r="V36" s="89">
        <v>0.53</v>
      </c>
      <c r="W36" s="89">
        <v>-0.09</v>
      </c>
      <c r="X36" s="89">
        <v>0</v>
      </c>
      <c r="Y36" s="89">
        <v>3.5000000000000003E-2</v>
      </c>
      <c r="Z36" s="89">
        <v>5.0000000000000001E-3</v>
      </c>
      <c r="AA36" s="89">
        <v>0.16500000000000001</v>
      </c>
      <c r="AB36" s="89">
        <v>0</v>
      </c>
      <c r="AC36" s="89">
        <v>0.13</v>
      </c>
      <c r="AD36" s="89">
        <v>0</v>
      </c>
      <c r="AE36" s="89">
        <v>0.16500000000000001</v>
      </c>
      <c r="AF36" s="89">
        <v>0</v>
      </c>
      <c r="AG36" s="89">
        <v>0.12</v>
      </c>
      <c r="AH36" s="89">
        <v>0</v>
      </c>
      <c r="AI36" s="89">
        <v>0.13</v>
      </c>
      <c r="AJ36" s="89">
        <v>0</v>
      </c>
      <c r="AK36" s="89">
        <v>3.5000000000000003E-2</v>
      </c>
      <c r="AL36" s="89">
        <v>0.04</v>
      </c>
      <c r="AM36" s="89">
        <v>-7.7499999999999999E-2</v>
      </c>
      <c r="AN36" s="89">
        <v>8.9999999999999993E-3</v>
      </c>
      <c r="AO36" s="89">
        <v>-0.435</v>
      </c>
      <c r="AP36" s="89">
        <v>0.155</v>
      </c>
      <c r="AQ36" s="89">
        <v>-7.2499999999999995E-2</v>
      </c>
      <c r="AR36" s="89">
        <v>0</v>
      </c>
      <c r="AS36" s="89">
        <v>-0.15</v>
      </c>
      <c r="AT36" s="89">
        <v>-1.4999999999999999E-2</v>
      </c>
      <c r="AU36" s="89">
        <v>-0.11</v>
      </c>
      <c r="AV36" s="89">
        <v>0.02</v>
      </c>
      <c r="AW36" s="89">
        <v>-9.5000000000000001E-2</v>
      </c>
      <c r="AX36" s="89">
        <v>7.4999999999999997E-3</v>
      </c>
      <c r="AY36" s="90">
        <v>0.125</v>
      </c>
      <c r="AZ36" s="90">
        <v>0</v>
      </c>
      <c r="BA36" s="90">
        <v>-0.26</v>
      </c>
      <c r="BB36" s="89">
        <v>2.5000000000000001E-3</v>
      </c>
      <c r="BC36" s="89">
        <v>-0.105</v>
      </c>
      <c r="BD36" s="89">
        <v>5.0000000000000001E-3</v>
      </c>
      <c r="BE36" s="89">
        <v>0.14000000000000001</v>
      </c>
      <c r="BF36" s="89">
        <v>0.02</v>
      </c>
      <c r="BG36" s="89">
        <v>-8.2500000000000004E-2</v>
      </c>
      <c r="BH36" s="89">
        <v>0</v>
      </c>
      <c r="BI36" s="89">
        <v>0.08</v>
      </c>
      <c r="BJ36" s="62">
        <v>0.03</v>
      </c>
      <c r="BK36" s="62">
        <v>0.14000000000000001</v>
      </c>
      <c r="BL36" s="62">
        <v>0.02</v>
      </c>
      <c r="BM36" s="62">
        <v>-0.20499999999999999</v>
      </c>
      <c r="BN36" s="62">
        <v>0</v>
      </c>
      <c r="BO36" s="62">
        <v>-0.435</v>
      </c>
      <c r="BP36" s="62">
        <v>0.02</v>
      </c>
      <c r="BQ36" s="62">
        <v>0.4</v>
      </c>
      <c r="BR36" s="62">
        <v>0.02</v>
      </c>
      <c r="BS36" s="62">
        <v>-0.105</v>
      </c>
      <c r="BT36" s="62">
        <v>5.0000000000000001E-3</v>
      </c>
      <c r="BU36" s="62">
        <v>0.2</v>
      </c>
      <c r="BV36" s="62">
        <v>0.01</v>
      </c>
      <c r="BW36" s="62">
        <v>0.14000000000000001</v>
      </c>
      <c r="BX36" s="62">
        <v>0</v>
      </c>
      <c r="BY36" s="62">
        <v>-2.5000000000000001E-2</v>
      </c>
      <c r="BZ36" s="62">
        <v>5.7500000000000002E-2</v>
      </c>
      <c r="CA36" s="62">
        <v>0.125</v>
      </c>
      <c r="CB36" s="62">
        <v>5.0000000000000001E-3</v>
      </c>
      <c r="CC36" s="62">
        <v>-2.5000000000000001E-2</v>
      </c>
      <c r="CD36" s="62">
        <v>2.5000000000000001E-3</v>
      </c>
      <c r="CE36" s="62">
        <v>2.5000000000000001E-3</v>
      </c>
      <c r="CF36" s="62">
        <v>0</v>
      </c>
      <c r="CG36" s="62">
        <v>-2.5000000000000001E-2</v>
      </c>
      <c r="CH36" s="62">
        <v>2.5000000000000001E-3</v>
      </c>
      <c r="CI36" s="62">
        <v>-0.13250000000000001</v>
      </c>
      <c r="CJ36" s="62">
        <v>0</v>
      </c>
      <c r="CK36" s="62">
        <v>7.7499999999999999E-2</v>
      </c>
      <c r="CL36" s="62">
        <v>0</v>
      </c>
      <c r="CM36" s="62">
        <v>-7.2499999999999995E-2</v>
      </c>
      <c r="CN36" s="62">
        <v>7.4999999999999997E-3</v>
      </c>
      <c r="CO36" s="62">
        <v>-1.7500000000000002E-2</v>
      </c>
      <c r="CP36" s="62">
        <v>5.0000000000000001E-3</v>
      </c>
      <c r="CQ36" s="62">
        <v>2.2499999999999999E-2</v>
      </c>
      <c r="CR36" s="62">
        <v>7.4999999999999997E-3</v>
      </c>
      <c r="CS36" s="62">
        <v>0.33</v>
      </c>
      <c r="CT36" s="62">
        <v>0.02</v>
      </c>
      <c r="CU36" s="62">
        <v>-0.20499999999999999</v>
      </c>
      <c r="CV36" s="62">
        <v>0</v>
      </c>
      <c r="CW36" s="62">
        <v>0.13500000000000001</v>
      </c>
      <c r="CX36" s="62">
        <v>7.4999999999999997E-3</v>
      </c>
      <c r="CY36" s="62">
        <v>-0.70499999999999996</v>
      </c>
      <c r="CZ36" s="62">
        <v>0</v>
      </c>
      <c r="DA36" s="62">
        <v>-0.52500000000000002</v>
      </c>
      <c r="DB36" s="62">
        <v>0</v>
      </c>
      <c r="DC36" s="62">
        <v>0.75</v>
      </c>
      <c r="DE36" s="62">
        <v>-5.5E-2</v>
      </c>
      <c r="DF36" s="62">
        <v>7.4999999999999997E-3</v>
      </c>
      <c r="DG36" s="62">
        <v>0.01</v>
      </c>
      <c r="DH36" s="62">
        <v>5.0000000000000001E-3</v>
      </c>
      <c r="DI36" s="62">
        <v>-2.2499999999999999E-2</v>
      </c>
      <c r="DJ36" s="62">
        <v>5.0000000000000001E-3</v>
      </c>
      <c r="DK36" s="62">
        <v>-0.1075</v>
      </c>
      <c r="DL36" s="62">
        <v>5.0000000000000001E-3</v>
      </c>
      <c r="DM36" s="62">
        <v>-6.5000000000000002E-2</v>
      </c>
      <c r="DN36" s="62">
        <v>0</v>
      </c>
      <c r="DO36" s="62">
        <v>-8.7499999999999994E-2</v>
      </c>
      <c r="DP36" s="62">
        <v>0</v>
      </c>
      <c r="DQ36" s="62">
        <v>-0.13750000000000001</v>
      </c>
      <c r="DR36" s="62">
        <v>-5.0000000000000001E-3</v>
      </c>
      <c r="DS36" s="62">
        <v>0.32500000000000001</v>
      </c>
      <c r="DT36" s="62">
        <v>5.0000000000000001E-3</v>
      </c>
      <c r="DU36" s="62">
        <v>-4.4999999999999998E-2</v>
      </c>
      <c r="DV36" s="62">
        <v>0</v>
      </c>
    </row>
    <row r="37" spans="4:126" x14ac:dyDescent="0.25">
      <c r="D37" s="91">
        <v>37773</v>
      </c>
      <c r="F37" s="89">
        <v>3.1619999999999999</v>
      </c>
      <c r="G37" s="90">
        <v>2.99847168551968E-2</v>
      </c>
      <c r="H37" s="89">
        <v>0.3725</v>
      </c>
      <c r="I37" s="89">
        <v>0.48</v>
      </c>
      <c r="J37" s="89">
        <v>0.53</v>
      </c>
      <c r="K37" s="89">
        <v>0.43</v>
      </c>
      <c r="L37" s="87">
        <v>0.53</v>
      </c>
      <c r="M37" s="87">
        <v>0.48</v>
      </c>
      <c r="N37" s="89">
        <v>0.53</v>
      </c>
      <c r="O37" s="89">
        <v>0.53</v>
      </c>
      <c r="P37" s="89">
        <v>0.53</v>
      </c>
      <c r="Q37" s="89">
        <v>0.53</v>
      </c>
      <c r="R37" s="90">
        <v>0.48</v>
      </c>
      <c r="S37" s="90">
        <v>0.53</v>
      </c>
      <c r="T37" s="89">
        <v>0.48</v>
      </c>
      <c r="U37" s="89">
        <v>0.53</v>
      </c>
      <c r="V37" s="89">
        <v>0.63</v>
      </c>
      <c r="W37" s="89">
        <v>-0.09</v>
      </c>
      <c r="X37" s="89">
        <v>0</v>
      </c>
      <c r="Y37" s="89">
        <v>3.5000000000000003E-2</v>
      </c>
      <c r="Z37" s="89">
        <v>5.0000000000000001E-3</v>
      </c>
      <c r="AA37" s="89">
        <v>0.16500000000000001</v>
      </c>
      <c r="AB37" s="89">
        <v>0</v>
      </c>
      <c r="AC37" s="89">
        <v>0.13</v>
      </c>
      <c r="AD37" s="89">
        <v>0</v>
      </c>
      <c r="AE37" s="89">
        <v>0.16500000000000001</v>
      </c>
      <c r="AF37" s="89">
        <v>0</v>
      </c>
      <c r="AG37" s="89">
        <v>0.12</v>
      </c>
      <c r="AH37" s="89">
        <v>0</v>
      </c>
      <c r="AI37" s="89">
        <v>0.13</v>
      </c>
      <c r="AJ37" s="89">
        <v>0</v>
      </c>
      <c r="AK37" s="89">
        <v>3.5000000000000003E-2</v>
      </c>
      <c r="AL37" s="89">
        <v>0.04</v>
      </c>
      <c r="AM37" s="89">
        <v>-7.7499999999999999E-2</v>
      </c>
      <c r="AN37" s="89">
        <v>8.9999999999999993E-3</v>
      </c>
      <c r="AO37" s="89">
        <v>-0.435</v>
      </c>
      <c r="AP37" s="89">
        <v>0.155</v>
      </c>
      <c r="AQ37" s="89">
        <v>-7.2499999999999995E-2</v>
      </c>
      <c r="AR37" s="89">
        <v>0</v>
      </c>
      <c r="AS37" s="89">
        <v>-0.15</v>
      </c>
      <c r="AT37" s="89">
        <v>-1.4999999999999999E-2</v>
      </c>
      <c r="AU37" s="89">
        <v>-0.11</v>
      </c>
      <c r="AV37" s="89">
        <v>0.02</v>
      </c>
      <c r="AW37" s="89">
        <v>-9.5000000000000001E-2</v>
      </c>
      <c r="AX37" s="89">
        <v>7.4999999999999997E-3</v>
      </c>
      <c r="AY37" s="90">
        <v>0.125</v>
      </c>
      <c r="AZ37" s="90">
        <v>0</v>
      </c>
      <c r="BA37" s="90">
        <v>-0.26</v>
      </c>
      <c r="BB37" s="89">
        <v>2.5000000000000001E-3</v>
      </c>
      <c r="BC37" s="89">
        <v>-0.105</v>
      </c>
      <c r="BD37" s="89">
        <v>5.0000000000000001E-3</v>
      </c>
      <c r="BE37" s="89">
        <v>0.14000000000000001</v>
      </c>
      <c r="BF37" s="89">
        <v>0.02</v>
      </c>
      <c r="BG37" s="89">
        <v>-8.2500000000000004E-2</v>
      </c>
      <c r="BH37" s="89">
        <v>0</v>
      </c>
      <c r="BI37" s="89">
        <v>0.08</v>
      </c>
      <c r="BJ37" s="62">
        <v>0.03</v>
      </c>
      <c r="BK37" s="62">
        <v>0.14000000000000001</v>
      </c>
      <c r="BL37" s="62">
        <v>0.02</v>
      </c>
      <c r="BM37" s="62">
        <v>-0.20499999999999999</v>
      </c>
      <c r="BN37" s="62">
        <v>0</v>
      </c>
      <c r="BO37" s="62">
        <v>-0.435</v>
      </c>
      <c r="BP37" s="62">
        <v>0.02</v>
      </c>
      <c r="BQ37" s="62">
        <v>0.4</v>
      </c>
      <c r="BR37" s="62">
        <v>0.02</v>
      </c>
      <c r="BS37" s="62">
        <v>-0.105</v>
      </c>
      <c r="BT37" s="62">
        <v>5.0000000000000001E-3</v>
      </c>
      <c r="BU37" s="62">
        <v>0.2</v>
      </c>
      <c r="BV37" s="62">
        <v>0.01</v>
      </c>
      <c r="BW37" s="62">
        <v>0.14000000000000001</v>
      </c>
      <c r="BX37" s="62">
        <v>0</v>
      </c>
      <c r="BY37" s="62">
        <v>-2.5000000000000001E-2</v>
      </c>
      <c r="BZ37" s="62">
        <v>5.7500000000000002E-2</v>
      </c>
      <c r="CA37" s="62">
        <v>0.14499999999999999</v>
      </c>
      <c r="CB37" s="62">
        <v>5.0000000000000001E-3</v>
      </c>
      <c r="CC37" s="62">
        <v>-2.5000000000000001E-2</v>
      </c>
      <c r="CD37" s="62">
        <v>2.5000000000000001E-3</v>
      </c>
      <c r="CE37" s="62">
        <v>2.5000000000000001E-3</v>
      </c>
      <c r="CF37" s="62">
        <v>0</v>
      </c>
      <c r="CG37" s="62">
        <v>-2.5000000000000001E-2</v>
      </c>
      <c r="CH37" s="62">
        <v>2.5000000000000001E-3</v>
      </c>
      <c r="CI37" s="62">
        <v>-0.09</v>
      </c>
      <c r="CJ37" s="62">
        <v>0</v>
      </c>
      <c r="CK37" s="62">
        <v>7.7499999999999999E-2</v>
      </c>
      <c r="CL37" s="62">
        <v>0</v>
      </c>
      <c r="CM37" s="62">
        <v>-7.2499999999999995E-2</v>
      </c>
      <c r="CN37" s="62">
        <v>7.4999999999999997E-3</v>
      </c>
      <c r="CO37" s="62">
        <v>-1.7500000000000002E-2</v>
      </c>
      <c r="CP37" s="62">
        <v>5.0000000000000001E-3</v>
      </c>
      <c r="CQ37" s="62">
        <v>2.2499999999999999E-2</v>
      </c>
      <c r="CR37" s="62">
        <v>7.4999999999999997E-3</v>
      </c>
      <c r="CS37" s="62">
        <v>0.37</v>
      </c>
      <c r="CT37" s="62">
        <v>3.5000000000000003E-2</v>
      </c>
      <c r="CU37" s="62">
        <v>-0.20499999999999999</v>
      </c>
      <c r="CV37" s="62">
        <v>0</v>
      </c>
      <c r="CW37" s="62">
        <v>0.16500000000000001</v>
      </c>
      <c r="CX37" s="62">
        <v>7.4999999999999997E-3</v>
      </c>
      <c r="CY37" s="62">
        <v>-0.70499999999999996</v>
      </c>
      <c r="CZ37" s="62">
        <v>0</v>
      </c>
      <c r="DA37" s="62">
        <v>-0.52500000000000002</v>
      </c>
      <c r="DB37" s="62">
        <v>0</v>
      </c>
      <c r="DC37" s="62">
        <v>0.85</v>
      </c>
      <c r="DE37" s="62">
        <v>-5.2499999999999998E-2</v>
      </c>
      <c r="DF37" s="62">
        <v>7.4999999999999997E-3</v>
      </c>
      <c r="DG37" s="62">
        <v>1.2500000000000001E-2</v>
      </c>
      <c r="DH37" s="62">
        <v>5.0000000000000001E-3</v>
      </c>
      <c r="DI37" s="62">
        <v>-0.02</v>
      </c>
      <c r="DJ37" s="62">
        <v>5.0000000000000001E-3</v>
      </c>
      <c r="DK37" s="62">
        <v>-5.5E-2</v>
      </c>
      <c r="DL37" s="62">
        <v>5.0000000000000001E-3</v>
      </c>
      <c r="DM37" s="62">
        <v>-6.5000000000000002E-2</v>
      </c>
      <c r="DN37" s="62">
        <v>0</v>
      </c>
      <c r="DO37" s="62">
        <v>-8.7499999999999994E-2</v>
      </c>
      <c r="DP37" s="62">
        <v>0</v>
      </c>
      <c r="DQ37" s="62">
        <v>-8.5000000000000006E-2</v>
      </c>
      <c r="DR37" s="62">
        <v>-5.0000000000000001E-3</v>
      </c>
      <c r="DS37" s="62">
        <v>0.33500000000000002</v>
      </c>
      <c r="DT37" s="62">
        <v>5.0000000000000001E-3</v>
      </c>
      <c r="DU37" s="62">
        <v>-4.4999999999999998E-2</v>
      </c>
      <c r="DV37" s="62">
        <v>0</v>
      </c>
    </row>
    <row r="38" spans="4:126" x14ac:dyDescent="0.25">
      <c r="D38" s="91">
        <v>37803</v>
      </c>
      <c r="F38" s="89">
        <v>3.2040000000000002</v>
      </c>
      <c r="G38" s="90">
        <v>3.0965279300479799E-2</v>
      </c>
      <c r="H38" s="89">
        <v>0.3725</v>
      </c>
      <c r="I38" s="89">
        <v>0.53</v>
      </c>
      <c r="J38" s="89">
        <v>0.53</v>
      </c>
      <c r="K38" s="89">
        <v>0.43</v>
      </c>
      <c r="L38" s="87">
        <v>0.53</v>
      </c>
      <c r="M38" s="87">
        <v>0.53</v>
      </c>
      <c r="N38" s="89">
        <v>0.53</v>
      </c>
      <c r="O38" s="89">
        <v>0.53</v>
      </c>
      <c r="P38" s="89">
        <v>0.53</v>
      </c>
      <c r="Q38" s="89">
        <v>0.53</v>
      </c>
      <c r="R38" s="90">
        <v>0.53</v>
      </c>
      <c r="S38" s="90">
        <v>0.57999999999999996</v>
      </c>
      <c r="T38" s="89">
        <v>0.53</v>
      </c>
      <c r="U38" s="89">
        <v>0.53</v>
      </c>
      <c r="V38" s="89">
        <v>0.63</v>
      </c>
      <c r="W38" s="89">
        <v>-0.09</v>
      </c>
      <c r="X38" s="89">
        <v>0</v>
      </c>
      <c r="Y38" s="89">
        <v>3.5000000000000003E-2</v>
      </c>
      <c r="Z38" s="89">
        <v>5.0000000000000001E-3</v>
      </c>
      <c r="AA38" s="89">
        <v>0.16500000000000001</v>
      </c>
      <c r="AB38" s="89">
        <v>0</v>
      </c>
      <c r="AC38" s="89">
        <v>0.13</v>
      </c>
      <c r="AD38" s="89">
        <v>0</v>
      </c>
      <c r="AE38" s="89">
        <v>0.16500000000000001</v>
      </c>
      <c r="AF38" s="89">
        <v>0</v>
      </c>
      <c r="AG38" s="89">
        <v>0.12</v>
      </c>
      <c r="AH38" s="89">
        <v>0</v>
      </c>
      <c r="AI38" s="89">
        <v>0.13</v>
      </c>
      <c r="AJ38" s="89">
        <v>0</v>
      </c>
      <c r="AK38" s="89">
        <v>3.5000000000000003E-2</v>
      </c>
      <c r="AL38" s="89">
        <v>0.04</v>
      </c>
      <c r="AM38" s="89">
        <v>-7.7499999999999999E-2</v>
      </c>
      <c r="AN38" s="89">
        <v>8.9999999999999993E-3</v>
      </c>
      <c r="AO38" s="89">
        <v>-0.435</v>
      </c>
      <c r="AP38" s="89">
        <v>0.155</v>
      </c>
      <c r="AQ38" s="89">
        <v>-7.2499999999999995E-2</v>
      </c>
      <c r="AR38" s="89">
        <v>0</v>
      </c>
      <c r="AS38" s="89">
        <v>-0.15</v>
      </c>
      <c r="AT38" s="89">
        <v>-1.4999999999999999E-2</v>
      </c>
      <c r="AU38" s="89">
        <v>-0.11</v>
      </c>
      <c r="AV38" s="89">
        <v>0.02</v>
      </c>
      <c r="AW38" s="89">
        <v>-9.5000000000000001E-2</v>
      </c>
      <c r="AX38" s="89">
        <v>7.4999999999999997E-3</v>
      </c>
      <c r="AY38" s="90">
        <v>0.125</v>
      </c>
      <c r="AZ38" s="90">
        <v>0</v>
      </c>
      <c r="BA38" s="90">
        <v>-0.26</v>
      </c>
      <c r="BB38" s="89">
        <v>2.5000000000000001E-3</v>
      </c>
      <c r="BC38" s="89">
        <v>-0.105</v>
      </c>
      <c r="BD38" s="89">
        <v>5.0000000000000001E-3</v>
      </c>
      <c r="BE38" s="89">
        <v>0.14000000000000001</v>
      </c>
      <c r="BF38" s="89">
        <v>0.02</v>
      </c>
      <c r="BG38" s="89">
        <v>-8.2500000000000004E-2</v>
      </c>
      <c r="BH38" s="89">
        <v>0</v>
      </c>
      <c r="BI38" s="89">
        <v>0.08</v>
      </c>
      <c r="BJ38" s="62">
        <v>0.03</v>
      </c>
      <c r="BK38" s="62">
        <v>0.14000000000000001</v>
      </c>
      <c r="BL38" s="62">
        <v>0.02</v>
      </c>
      <c r="BM38" s="62">
        <v>-0.20499999999999999</v>
      </c>
      <c r="BN38" s="62">
        <v>0</v>
      </c>
      <c r="BO38" s="62">
        <v>-0.435</v>
      </c>
      <c r="BP38" s="62">
        <v>0.02</v>
      </c>
      <c r="BQ38" s="62">
        <v>0.4</v>
      </c>
      <c r="BR38" s="62">
        <v>0.02</v>
      </c>
      <c r="BS38" s="62">
        <v>-0.105</v>
      </c>
      <c r="BT38" s="62">
        <v>5.0000000000000001E-3</v>
      </c>
      <c r="BU38" s="62">
        <v>0.2</v>
      </c>
      <c r="BV38" s="62">
        <v>0.01</v>
      </c>
      <c r="BW38" s="62">
        <v>0.14000000000000001</v>
      </c>
      <c r="BX38" s="62">
        <v>0</v>
      </c>
      <c r="BY38" s="62">
        <v>-2.5000000000000001E-2</v>
      </c>
      <c r="BZ38" s="62">
        <v>5.7500000000000002E-2</v>
      </c>
      <c r="CA38" s="62">
        <v>0.15</v>
      </c>
      <c r="CB38" s="62">
        <v>5.0000000000000001E-3</v>
      </c>
      <c r="CC38" s="62">
        <v>-2.5000000000000001E-2</v>
      </c>
      <c r="CD38" s="62">
        <v>2.5000000000000001E-3</v>
      </c>
      <c r="CE38" s="62">
        <v>2.5000000000000001E-3</v>
      </c>
      <c r="CF38" s="62">
        <v>0</v>
      </c>
      <c r="CG38" s="62">
        <v>-2.5000000000000001E-2</v>
      </c>
      <c r="CH38" s="62">
        <v>2.5000000000000001E-3</v>
      </c>
      <c r="CI38" s="62">
        <v>-8.7499999999999994E-2</v>
      </c>
      <c r="CJ38" s="62">
        <v>0</v>
      </c>
      <c r="CK38" s="62">
        <v>7.7499999999999999E-2</v>
      </c>
      <c r="CL38" s="62">
        <v>0</v>
      </c>
      <c r="CM38" s="62">
        <v>-7.2499999999999995E-2</v>
      </c>
      <c r="CN38" s="62">
        <v>7.4999999999999997E-3</v>
      </c>
      <c r="CO38" s="62">
        <v>-1.7500000000000002E-2</v>
      </c>
      <c r="CP38" s="62">
        <v>5.0000000000000001E-3</v>
      </c>
      <c r="CQ38" s="62">
        <v>2.2499999999999999E-2</v>
      </c>
      <c r="CR38" s="62">
        <v>7.4999999999999997E-3</v>
      </c>
      <c r="CS38" s="62">
        <v>0.41</v>
      </c>
      <c r="CT38" s="62">
        <v>3.5000000000000003E-2</v>
      </c>
      <c r="CU38" s="62">
        <v>-0.20499999999999999</v>
      </c>
      <c r="CV38" s="62">
        <v>0</v>
      </c>
      <c r="CW38" s="62">
        <v>0.20499999999999999</v>
      </c>
      <c r="CX38" s="62">
        <v>7.4999999999999997E-3</v>
      </c>
      <c r="CY38" s="62">
        <v>-0.70499999999999996</v>
      </c>
      <c r="CZ38" s="62">
        <v>0</v>
      </c>
      <c r="DA38" s="62">
        <v>-0.52500000000000002</v>
      </c>
      <c r="DB38" s="62">
        <v>0</v>
      </c>
      <c r="DC38" s="62">
        <v>1.05</v>
      </c>
      <c r="DE38" s="62">
        <v>-5.2499999999999998E-2</v>
      </c>
      <c r="DF38" s="62">
        <v>7.4999999999999997E-3</v>
      </c>
      <c r="DG38" s="62">
        <v>1.2500000000000001E-2</v>
      </c>
      <c r="DH38" s="62">
        <v>5.0000000000000001E-3</v>
      </c>
      <c r="DI38" s="62">
        <v>-0.02</v>
      </c>
      <c r="DJ38" s="62">
        <v>5.0000000000000001E-3</v>
      </c>
      <c r="DK38" s="62">
        <v>-6.5000000000000002E-2</v>
      </c>
      <c r="DL38" s="62">
        <v>5.0000000000000001E-3</v>
      </c>
      <c r="DM38" s="62">
        <v>-6.5000000000000002E-2</v>
      </c>
      <c r="DN38" s="62">
        <v>0</v>
      </c>
      <c r="DO38" s="62">
        <v>-8.7499999999999994E-2</v>
      </c>
      <c r="DP38" s="62">
        <v>0</v>
      </c>
      <c r="DQ38" s="62">
        <v>-9.5000000000000001E-2</v>
      </c>
      <c r="DR38" s="62">
        <v>-5.0000000000000001E-3</v>
      </c>
      <c r="DS38" s="62">
        <v>0.35</v>
      </c>
      <c r="DT38" s="62">
        <v>5.0000000000000001E-3</v>
      </c>
      <c r="DU38" s="62">
        <v>-4.4999999999999998E-2</v>
      </c>
      <c r="DV38" s="62">
        <v>0</v>
      </c>
    </row>
    <row r="39" spans="4:126" x14ac:dyDescent="0.25">
      <c r="D39" s="91">
        <v>37834</v>
      </c>
      <c r="F39" s="89">
        <v>3.246</v>
      </c>
      <c r="G39" s="90">
        <v>3.1967083332272501E-2</v>
      </c>
      <c r="H39" s="89">
        <v>0.3725</v>
      </c>
      <c r="I39" s="89">
        <v>0.57999999999999996</v>
      </c>
      <c r="J39" s="89">
        <v>0.57999999999999996</v>
      </c>
      <c r="K39" s="89">
        <v>0.53</v>
      </c>
      <c r="L39" s="87">
        <v>0.63</v>
      </c>
      <c r="M39" s="87">
        <v>0.57999999999999996</v>
      </c>
      <c r="N39" s="89">
        <v>0.63</v>
      </c>
      <c r="O39" s="89">
        <v>0.57999999999999996</v>
      </c>
      <c r="P39" s="89">
        <v>0.63</v>
      </c>
      <c r="Q39" s="89">
        <v>0.48</v>
      </c>
      <c r="R39" s="90">
        <v>0.57999999999999996</v>
      </c>
      <c r="S39" s="90">
        <v>0.63</v>
      </c>
      <c r="T39" s="89">
        <v>0.57999999999999996</v>
      </c>
      <c r="U39" s="89">
        <v>0.63</v>
      </c>
      <c r="V39" s="89">
        <v>0.73</v>
      </c>
      <c r="W39" s="89">
        <v>-0.09</v>
      </c>
      <c r="X39" s="89">
        <v>0</v>
      </c>
      <c r="Y39" s="89">
        <v>3.5000000000000003E-2</v>
      </c>
      <c r="Z39" s="89">
        <v>5.0000000000000001E-3</v>
      </c>
      <c r="AA39" s="89">
        <v>0.16500000000000001</v>
      </c>
      <c r="AB39" s="89">
        <v>0</v>
      </c>
      <c r="AC39" s="89">
        <v>0.13</v>
      </c>
      <c r="AD39" s="89">
        <v>0</v>
      </c>
      <c r="AE39" s="89">
        <v>0.16500000000000001</v>
      </c>
      <c r="AF39" s="89">
        <v>0</v>
      </c>
      <c r="AG39" s="89">
        <v>0.12</v>
      </c>
      <c r="AH39" s="89">
        <v>0</v>
      </c>
      <c r="AI39" s="89">
        <v>0.13</v>
      </c>
      <c r="AJ39" s="89">
        <v>0</v>
      </c>
      <c r="AK39" s="89">
        <v>3.5000000000000003E-2</v>
      </c>
      <c r="AL39" s="89">
        <v>0.04</v>
      </c>
      <c r="AM39" s="89">
        <v>-7.7499999999999999E-2</v>
      </c>
      <c r="AN39" s="89">
        <v>8.9999999999999993E-3</v>
      </c>
      <c r="AO39" s="89">
        <v>-0.435</v>
      </c>
      <c r="AP39" s="89">
        <v>0.155</v>
      </c>
      <c r="AQ39" s="89">
        <v>-7.2499999999999995E-2</v>
      </c>
      <c r="AR39" s="89">
        <v>0</v>
      </c>
      <c r="AS39" s="89">
        <v>-0.15</v>
      </c>
      <c r="AT39" s="89">
        <v>-1.4999999999999999E-2</v>
      </c>
      <c r="AU39" s="89">
        <v>-0.11</v>
      </c>
      <c r="AV39" s="89">
        <v>0.02</v>
      </c>
      <c r="AW39" s="89">
        <v>-9.5000000000000001E-2</v>
      </c>
      <c r="AX39" s="89">
        <v>7.4999999999999997E-3</v>
      </c>
      <c r="AY39" s="90">
        <v>0.125</v>
      </c>
      <c r="AZ39" s="90">
        <v>0</v>
      </c>
      <c r="BA39" s="90">
        <v>-0.26</v>
      </c>
      <c r="BB39" s="89">
        <v>2.5000000000000001E-3</v>
      </c>
      <c r="BC39" s="89">
        <v>-0.105</v>
      </c>
      <c r="BD39" s="89">
        <v>5.0000000000000001E-3</v>
      </c>
      <c r="BE39" s="89">
        <v>0.14000000000000001</v>
      </c>
      <c r="BF39" s="89">
        <v>0.02</v>
      </c>
      <c r="BG39" s="89">
        <v>-8.2500000000000004E-2</v>
      </c>
      <c r="BH39" s="89">
        <v>0</v>
      </c>
      <c r="BI39" s="89">
        <v>0.08</v>
      </c>
      <c r="BJ39" s="62">
        <v>0.03</v>
      </c>
      <c r="BK39" s="62">
        <v>0.14000000000000001</v>
      </c>
      <c r="BL39" s="62">
        <v>0.02</v>
      </c>
      <c r="BM39" s="62">
        <v>-0.20499999999999999</v>
      </c>
      <c r="BN39" s="62">
        <v>0</v>
      </c>
      <c r="BO39" s="62">
        <v>-0.435</v>
      </c>
      <c r="BP39" s="62">
        <v>0.02</v>
      </c>
      <c r="BQ39" s="62">
        <v>0.4</v>
      </c>
      <c r="BR39" s="62">
        <v>0.02</v>
      </c>
      <c r="BS39" s="62">
        <v>-0.105</v>
      </c>
      <c r="BT39" s="62">
        <v>5.0000000000000001E-3</v>
      </c>
      <c r="BU39" s="62">
        <v>0.2</v>
      </c>
      <c r="BV39" s="62">
        <v>0.01</v>
      </c>
      <c r="BW39" s="62">
        <v>0.14000000000000001</v>
      </c>
      <c r="BX39" s="62">
        <v>0</v>
      </c>
      <c r="BY39" s="62">
        <v>-2.5000000000000001E-2</v>
      </c>
      <c r="BZ39" s="62">
        <v>5.7500000000000002E-2</v>
      </c>
      <c r="CA39" s="62">
        <v>0.15</v>
      </c>
      <c r="CB39" s="62">
        <v>5.0000000000000001E-3</v>
      </c>
      <c r="CC39" s="62">
        <v>-2.5000000000000001E-2</v>
      </c>
      <c r="CD39" s="62">
        <v>2.5000000000000001E-3</v>
      </c>
      <c r="CE39" s="62">
        <v>2.5000000000000001E-3</v>
      </c>
      <c r="CF39" s="62">
        <v>0</v>
      </c>
      <c r="CG39" s="62">
        <v>-2.5000000000000001E-2</v>
      </c>
      <c r="CH39" s="62">
        <v>2.5000000000000001E-3</v>
      </c>
      <c r="CI39" s="62">
        <v>-8.5000000000000006E-2</v>
      </c>
      <c r="CJ39" s="62">
        <v>0</v>
      </c>
      <c r="CK39" s="62">
        <v>7.7499999999999999E-2</v>
      </c>
      <c r="CL39" s="62">
        <v>0</v>
      </c>
      <c r="CM39" s="62">
        <v>-7.2499999999999995E-2</v>
      </c>
      <c r="CN39" s="62">
        <v>7.4999999999999997E-3</v>
      </c>
      <c r="CO39" s="62">
        <v>-1.7500000000000002E-2</v>
      </c>
      <c r="CP39" s="62">
        <v>5.0000000000000001E-3</v>
      </c>
      <c r="CQ39" s="62">
        <v>2.2499999999999999E-2</v>
      </c>
      <c r="CR39" s="62">
        <v>7.4999999999999997E-3</v>
      </c>
      <c r="CS39" s="62">
        <v>0.41</v>
      </c>
      <c r="CT39" s="62">
        <v>0.01</v>
      </c>
      <c r="CU39" s="62">
        <v>-0.20499999999999999</v>
      </c>
      <c r="CV39" s="62">
        <v>0</v>
      </c>
      <c r="CW39" s="62">
        <v>0.20499999999999999</v>
      </c>
      <c r="CX39" s="62">
        <v>7.4999999999999997E-3</v>
      </c>
      <c r="CY39" s="62">
        <v>-0.70499999999999996</v>
      </c>
      <c r="CZ39" s="62">
        <v>0</v>
      </c>
      <c r="DA39" s="62">
        <v>-0.52500000000000002</v>
      </c>
      <c r="DB39" s="62">
        <v>0</v>
      </c>
      <c r="DC39" s="62">
        <v>1.05</v>
      </c>
      <c r="DE39" s="62">
        <v>-5.2499999999999998E-2</v>
      </c>
      <c r="DF39" s="62">
        <v>7.4999999999999997E-3</v>
      </c>
      <c r="DG39" s="62">
        <v>1.2500000000000001E-2</v>
      </c>
      <c r="DH39" s="62">
        <v>5.0000000000000001E-3</v>
      </c>
      <c r="DI39" s="62">
        <v>-0.02</v>
      </c>
      <c r="DJ39" s="62">
        <v>5.0000000000000001E-3</v>
      </c>
      <c r="DK39" s="62">
        <v>-0.06</v>
      </c>
      <c r="DL39" s="62">
        <v>5.0000000000000001E-3</v>
      </c>
      <c r="DM39" s="62">
        <v>-6.5000000000000002E-2</v>
      </c>
      <c r="DN39" s="62">
        <v>0</v>
      </c>
      <c r="DO39" s="62">
        <v>-8.7499999999999994E-2</v>
      </c>
      <c r="DP39" s="62">
        <v>0</v>
      </c>
      <c r="DQ39" s="62">
        <v>-0.09</v>
      </c>
      <c r="DR39" s="62">
        <v>-5.0000000000000001E-3</v>
      </c>
      <c r="DS39" s="62">
        <v>0.35</v>
      </c>
      <c r="DT39" s="62">
        <v>-5.0000000000000001E-3</v>
      </c>
      <c r="DU39" s="62">
        <v>-4.4999999999999998E-2</v>
      </c>
      <c r="DV39" s="62">
        <v>0</v>
      </c>
    </row>
    <row r="40" spans="4:126" x14ac:dyDescent="0.25">
      <c r="D40" s="91">
        <v>37865</v>
      </c>
      <c r="F40" s="89">
        <v>3.2410000000000001</v>
      </c>
      <c r="G40" s="90">
        <v>3.2968887702129003E-2</v>
      </c>
      <c r="H40" s="89">
        <v>0.37</v>
      </c>
      <c r="I40" s="89">
        <v>0.57999999999999996</v>
      </c>
      <c r="J40" s="89">
        <v>0.57999999999999996</v>
      </c>
      <c r="K40" s="89">
        <v>0.57999999999999996</v>
      </c>
      <c r="L40" s="87">
        <v>0.57999999999999996</v>
      </c>
      <c r="M40" s="87">
        <v>0.57999999999999996</v>
      </c>
      <c r="N40" s="89">
        <v>0.63</v>
      </c>
      <c r="O40" s="89">
        <v>0.63</v>
      </c>
      <c r="P40" s="89">
        <v>0.57999999999999996</v>
      </c>
      <c r="Q40" s="89">
        <v>0.53</v>
      </c>
      <c r="R40" s="90">
        <v>0.57999999999999996</v>
      </c>
      <c r="S40" s="90">
        <v>0.63</v>
      </c>
      <c r="T40" s="89">
        <v>0.57999999999999996</v>
      </c>
      <c r="U40" s="89">
        <v>0.63</v>
      </c>
      <c r="V40" s="89">
        <v>0.68</v>
      </c>
      <c r="W40" s="89">
        <v>-0.09</v>
      </c>
      <c r="X40" s="89">
        <v>0</v>
      </c>
      <c r="Y40" s="89">
        <v>3.5000000000000003E-2</v>
      </c>
      <c r="Z40" s="89">
        <v>5.0000000000000001E-3</v>
      </c>
      <c r="AA40" s="89">
        <v>0.16500000000000001</v>
      </c>
      <c r="AB40" s="89">
        <v>0</v>
      </c>
      <c r="AC40" s="89">
        <v>0.13</v>
      </c>
      <c r="AD40" s="89">
        <v>0</v>
      </c>
      <c r="AE40" s="89">
        <v>0.16500000000000001</v>
      </c>
      <c r="AF40" s="89">
        <v>0</v>
      </c>
      <c r="AG40" s="89">
        <v>0.12</v>
      </c>
      <c r="AH40" s="89">
        <v>0</v>
      </c>
      <c r="AI40" s="89">
        <v>0.13</v>
      </c>
      <c r="AJ40" s="89">
        <v>0</v>
      </c>
      <c r="AK40" s="89">
        <v>3.5000000000000003E-2</v>
      </c>
      <c r="AL40" s="89">
        <v>0.04</v>
      </c>
      <c r="AM40" s="89">
        <v>-7.7499999999999999E-2</v>
      </c>
      <c r="AN40" s="89">
        <v>8.9999999999999993E-3</v>
      </c>
      <c r="AO40" s="89">
        <v>-0.435</v>
      </c>
      <c r="AP40" s="89">
        <v>0.155</v>
      </c>
      <c r="AQ40" s="89">
        <v>-7.2499999999999995E-2</v>
      </c>
      <c r="AR40" s="89">
        <v>0</v>
      </c>
      <c r="AS40" s="89">
        <v>-0.15</v>
      </c>
      <c r="AT40" s="89">
        <v>-1.4999999999999999E-2</v>
      </c>
      <c r="AU40" s="89">
        <v>-0.11</v>
      </c>
      <c r="AV40" s="89">
        <v>0.02</v>
      </c>
      <c r="AW40" s="89">
        <v>-9.5000000000000001E-2</v>
      </c>
      <c r="AX40" s="89">
        <v>7.4999999999999997E-3</v>
      </c>
      <c r="AY40" s="90">
        <v>0.125</v>
      </c>
      <c r="AZ40" s="90">
        <v>0</v>
      </c>
      <c r="BA40" s="90">
        <v>-0.26</v>
      </c>
      <c r="BB40" s="89">
        <v>2.5000000000000001E-3</v>
      </c>
      <c r="BC40" s="89">
        <v>-0.105</v>
      </c>
      <c r="BD40" s="89">
        <v>5.0000000000000001E-3</v>
      </c>
      <c r="BE40" s="89">
        <v>0.14000000000000001</v>
      </c>
      <c r="BF40" s="89">
        <v>0.02</v>
      </c>
      <c r="BG40" s="89">
        <v>-8.2500000000000004E-2</v>
      </c>
      <c r="BH40" s="89">
        <v>0</v>
      </c>
      <c r="BI40" s="89">
        <v>0.08</v>
      </c>
      <c r="BJ40" s="62">
        <v>0.03</v>
      </c>
      <c r="BK40" s="62">
        <v>0.14000000000000001</v>
      </c>
      <c r="BL40" s="62">
        <v>0.02</v>
      </c>
      <c r="BM40" s="62">
        <v>-0.20499999999999999</v>
      </c>
      <c r="BN40" s="62">
        <v>0</v>
      </c>
      <c r="BO40" s="62">
        <v>-0.435</v>
      </c>
      <c r="BP40" s="62">
        <v>0.02</v>
      </c>
      <c r="BQ40" s="62">
        <v>0.4</v>
      </c>
      <c r="BR40" s="62">
        <v>0.02</v>
      </c>
      <c r="BS40" s="62">
        <v>-0.105</v>
      </c>
      <c r="BT40" s="62">
        <v>5.0000000000000001E-3</v>
      </c>
      <c r="BU40" s="62">
        <v>0.2</v>
      </c>
      <c r="BV40" s="62">
        <v>0.01</v>
      </c>
      <c r="BW40" s="62">
        <v>0.14000000000000001</v>
      </c>
      <c r="BX40" s="62">
        <v>0</v>
      </c>
      <c r="BY40" s="62">
        <v>-2.5000000000000001E-2</v>
      </c>
      <c r="BZ40" s="62">
        <v>5.7500000000000002E-2</v>
      </c>
      <c r="CA40" s="62">
        <v>0.125</v>
      </c>
      <c r="CB40" s="62">
        <v>5.0000000000000001E-3</v>
      </c>
      <c r="CC40" s="62">
        <v>-2.5000000000000001E-2</v>
      </c>
      <c r="CD40" s="62">
        <v>2.5000000000000001E-3</v>
      </c>
      <c r="CE40" s="62">
        <v>2.5000000000000001E-3</v>
      </c>
      <c r="CF40" s="62">
        <v>0</v>
      </c>
      <c r="CG40" s="62">
        <v>-2.5000000000000001E-2</v>
      </c>
      <c r="CH40" s="62">
        <v>2.5000000000000001E-3</v>
      </c>
      <c r="CI40" s="62">
        <v>-0.09</v>
      </c>
      <c r="CJ40" s="62">
        <v>0</v>
      </c>
      <c r="CK40" s="62">
        <v>7.7499999999999999E-2</v>
      </c>
      <c r="CL40" s="62">
        <v>0</v>
      </c>
      <c r="CM40" s="62">
        <v>-7.2499999999999995E-2</v>
      </c>
      <c r="CN40" s="62">
        <v>7.4999999999999997E-3</v>
      </c>
      <c r="CO40" s="62">
        <v>-1.7500000000000002E-2</v>
      </c>
      <c r="CP40" s="62">
        <v>5.0000000000000001E-3</v>
      </c>
      <c r="CQ40" s="62">
        <v>2.2499999999999999E-2</v>
      </c>
      <c r="CR40" s="62">
        <v>7.4999999999999997E-3</v>
      </c>
      <c r="CS40" s="62">
        <v>0.36</v>
      </c>
      <c r="CT40" s="62">
        <v>0.01</v>
      </c>
      <c r="CU40" s="62">
        <v>-0.20499999999999999</v>
      </c>
      <c r="CV40" s="62">
        <v>0</v>
      </c>
      <c r="CW40" s="62">
        <v>0.14499999999999999</v>
      </c>
      <c r="CX40" s="62">
        <v>7.4999999999999997E-3</v>
      </c>
      <c r="CY40" s="62">
        <v>-0.70499999999999996</v>
      </c>
      <c r="CZ40" s="62">
        <v>0</v>
      </c>
      <c r="DA40" s="62">
        <v>-0.52500000000000002</v>
      </c>
      <c r="DB40" s="62">
        <v>0</v>
      </c>
      <c r="DC40" s="62">
        <v>0.75</v>
      </c>
      <c r="DE40" s="62">
        <v>-5.7500000000000002E-2</v>
      </c>
      <c r="DF40" s="62">
        <v>7.4999999999999997E-3</v>
      </c>
      <c r="DG40" s="62">
        <v>7.4999999999999997E-3</v>
      </c>
      <c r="DH40" s="62">
        <v>5.0000000000000001E-3</v>
      </c>
      <c r="DI40" s="62">
        <v>-2.5000000000000001E-2</v>
      </c>
      <c r="DJ40" s="62">
        <v>5.0000000000000001E-3</v>
      </c>
      <c r="DK40" s="62">
        <v>-7.0000000000000007E-2</v>
      </c>
      <c r="DL40" s="62">
        <v>5.0000000000000001E-3</v>
      </c>
      <c r="DM40" s="62">
        <v>-6.5000000000000002E-2</v>
      </c>
      <c r="DN40" s="62">
        <v>0</v>
      </c>
      <c r="DO40" s="62">
        <v>-8.7499999999999994E-2</v>
      </c>
      <c r="DP40" s="62">
        <v>0</v>
      </c>
      <c r="DQ40" s="62">
        <v>-0.1</v>
      </c>
      <c r="DR40" s="62">
        <v>-5.0000000000000001E-3</v>
      </c>
      <c r="DS40" s="62">
        <v>0.315</v>
      </c>
      <c r="DT40" s="62">
        <v>-5.0000000000000001E-3</v>
      </c>
      <c r="DU40" s="62">
        <v>-4.4999999999999998E-2</v>
      </c>
      <c r="DV40" s="62">
        <v>0</v>
      </c>
    </row>
    <row r="41" spans="4:126" x14ac:dyDescent="0.25">
      <c r="D41" s="91">
        <v>37895</v>
      </c>
      <c r="F41" s="89">
        <v>3.2669999999999999</v>
      </c>
      <c r="G41" s="90">
        <v>3.3906701822071103E-2</v>
      </c>
      <c r="H41" s="89">
        <v>0.3725</v>
      </c>
      <c r="I41" s="89">
        <v>0.63</v>
      </c>
      <c r="J41" s="89">
        <v>0.63</v>
      </c>
      <c r="K41" s="89">
        <v>0.57999999999999996</v>
      </c>
      <c r="L41" s="87">
        <v>0.63</v>
      </c>
      <c r="M41" s="87">
        <v>0.63</v>
      </c>
      <c r="N41" s="89">
        <v>0.68</v>
      </c>
      <c r="O41" s="89">
        <v>0.68</v>
      </c>
      <c r="P41" s="89">
        <v>0.63</v>
      </c>
      <c r="Q41" s="89">
        <v>0.53</v>
      </c>
      <c r="R41" s="90">
        <v>0.63</v>
      </c>
      <c r="S41" s="90">
        <v>0.68</v>
      </c>
      <c r="T41" s="89">
        <v>0.63</v>
      </c>
      <c r="U41" s="89">
        <v>0.68</v>
      </c>
      <c r="V41" s="89">
        <v>0.73</v>
      </c>
      <c r="W41" s="89">
        <v>-0.09</v>
      </c>
      <c r="X41" s="89">
        <v>0</v>
      </c>
      <c r="Y41" s="89">
        <v>3.5000000000000003E-2</v>
      </c>
      <c r="Z41" s="89">
        <v>5.0000000000000001E-3</v>
      </c>
      <c r="AA41" s="89">
        <v>0.16500000000000001</v>
      </c>
      <c r="AB41" s="89">
        <v>0</v>
      </c>
      <c r="AC41" s="89">
        <v>0.13</v>
      </c>
      <c r="AD41" s="89">
        <v>0</v>
      </c>
      <c r="AE41" s="89">
        <v>0.16500000000000001</v>
      </c>
      <c r="AF41" s="89">
        <v>0</v>
      </c>
      <c r="AG41" s="89">
        <v>0.12</v>
      </c>
      <c r="AH41" s="89">
        <v>0</v>
      </c>
      <c r="AI41" s="89">
        <v>0.13</v>
      </c>
      <c r="AJ41" s="89">
        <v>0</v>
      </c>
      <c r="AK41" s="89">
        <v>3.5000000000000003E-2</v>
      </c>
      <c r="AL41" s="89">
        <v>0.04</v>
      </c>
      <c r="AM41" s="89">
        <v>-7.7499999999999999E-2</v>
      </c>
      <c r="AN41" s="89">
        <v>8.9999999999999993E-3</v>
      </c>
      <c r="AO41" s="89">
        <v>-0.435</v>
      </c>
      <c r="AP41" s="89">
        <v>0.155</v>
      </c>
      <c r="AQ41" s="89">
        <v>-7.2499999999999995E-2</v>
      </c>
      <c r="AR41" s="89">
        <v>0</v>
      </c>
      <c r="AS41" s="89">
        <v>-0.15</v>
      </c>
      <c r="AT41" s="89">
        <v>-1.4999999999999999E-2</v>
      </c>
      <c r="AU41" s="89">
        <v>-0.11</v>
      </c>
      <c r="AV41" s="89">
        <v>0.02</v>
      </c>
      <c r="AW41" s="89">
        <v>-9.5000000000000001E-2</v>
      </c>
      <c r="AX41" s="89">
        <v>7.4999999999999997E-3</v>
      </c>
      <c r="AY41" s="90">
        <v>0.125</v>
      </c>
      <c r="AZ41" s="90">
        <v>0</v>
      </c>
      <c r="BA41" s="90">
        <v>-0.26</v>
      </c>
      <c r="BB41" s="89">
        <v>2.5000000000000001E-3</v>
      </c>
      <c r="BC41" s="89">
        <v>-0.105</v>
      </c>
      <c r="BD41" s="89">
        <v>5.0000000000000001E-3</v>
      </c>
      <c r="BE41" s="89">
        <v>0.14000000000000001</v>
      </c>
      <c r="BF41" s="89">
        <v>0.02</v>
      </c>
      <c r="BG41" s="89">
        <v>-8.2500000000000004E-2</v>
      </c>
      <c r="BH41" s="89">
        <v>0</v>
      </c>
      <c r="BI41" s="89">
        <v>0.08</v>
      </c>
      <c r="BJ41" s="62">
        <v>0.03</v>
      </c>
      <c r="BK41" s="62">
        <v>0.14000000000000001</v>
      </c>
      <c r="BL41" s="62">
        <v>0.02</v>
      </c>
      <c r="BM41" s="62">
        <v>-0.20499999999999999</v>
      </c>
      <c r="BN41" s="62">
        <v>0</v>
      </c>
      <c r="BO41" s="62">
        <v>-0.435</v>
      </c>
      <c r="BP41" s="62">
        <v>0.02</v>
      </c>
      <c r="BQ41" s="62">
        <v>0.4</v>
      </c>
      <c r="BR41" s="62">
        <v>0.02</v>
      </c>
      <c r="BS41" s="62">
        <v>-0.105</v>
      </c>
      <c r="BT41" s="62">
        <v>5.0000000000000001E-3</v>
      </c>
      <c r="BU41" s="62">
        <v>0.2</v>
      </c>
      <c r="BV41" s="62">
        <v>0.01</v>
      </c>
      <c r="BW41" s="62">
        <v>0.14000000000000001</v>
      </c>
      <c r="BX41" s="62">
        <v>0</v>
      </c>
      <c r="BY41" s="62">
        <v>-2.5000000000000001E-2</v>
      </c>
      <c r="BZ41" s="62">
        <v>5.7500000000000002E-2</v>
      </c>
      <c r="CA41" s="62">
        <v>0.14499999999999999</v>
      </c>
      <c r="CB41" s="62">
        <v>5.0000000000000001E-3</v>
      </c>
      <c r="CC41" s="62">
        <v>-2.5000000000000001E-2</v>
      </c>
      <c r="CD41" s="62">
        <v>2.5000000000000001E-3</v>
      </c>
      <c r="CE41" s="62">
        <v>2.5000000000000001E-3</v>
      </c>
      <c r="CF41" s="62">
        <v>0</v>
      </c>
      <c r="CG41" s="62">
        <v>-2.5000000000000001E-2</v>
      </c>
      <c r="CH41" s="62">
        <v>2.5000000000000001E-3</v>
      </c>
      <c r="CI41" s="62">
        <v>-9.2499999999999999E-2</v>
      </c>
      <c r="CJ41" s="62">
        <v>0</v>
      </c>
      <c r="CK41" s="62">
        <v>7.7499999999999999E-2</v>
      </c>
      <c r="CL41" s="62">
        <v>0</v>
      </c>
      <c r="CM41" s="62">
        <v>-7.2499999999999995E-2</v>
      </c>
      <c r="CN41" s="62">
        <v>7.4999999999999997E-3</v>
      </c>
      <c r="CO41" s="62">
        <v>-1.7500000000000002E-2</v>
      </c>
      <c r="CP41" s="62">
        <v>5.0000000000000001E-3</v>
      </c>
      <c r="CQ41" s="62">
        <v>2.2499999999999999E-2</v>
      </c>
      <c r="CR41" s="62">
        <v>7.4999999999999997E-3</v>
      </c>
      <c r="CS41" s="62">
        <v>0.4</v>
      </c>
      <c r="CT41" s="62">
        <v>0.01</v>
      </c>
      <c r="CU41" s="62">
        <v>-0.20499999999999999</v>
      </c>
      <c r="CV41" s="62">
        <v>0</v>
      </c>
      <c r="CW41" s="62">
        <v>0.17499999999999999</v>
      </c>
      <c r="CX41" s="62">
        <v>7.4999999999999997E-3</v>
      </c>
      <c r="CY41" s="62">
        <v>-0.70499999999999996</v>
      </c>
      <c r="CZ41" s="62">
        <v>0</v>
      </c>
      <c r="DA41" s="62">
        <v>-0.52500000000000002</v>
      </c>
      <c r="DB41" s="62">
        <v>0</v>
      </c>
      <c r="DC41" s="62">
        <v>0.45</v>
      </c>
      <c r="DE41" s="62">
        <v>-5.7500000000000002E-2</v>
      </c>
      <c r="DF41" s="62">
        <v>7.4999999999999997E-3</v>
      </c>
      <c r="DG41" s="62">
        <v>7.4999999999999997E-3</v>
      </c>
      <c r="DH41" s="62">
        <v>5.0000000000000001E-3</v>
      </c>
      <c r="DI41" s="62">
        <v>-2.5000000000000001E-2</v>
      </c>
      <c r="DJ41" s="62">
        <v>5.0000000000000001E-3</v>
      </c>
      <c r="DK41" s="62">
        <v>-5.7500000000000002E-2</v>
      </c>
      <c r="DL41" s="62">
        <v>5.0000000000000001E-3</v>
      </c>
      <c r="DM41" s="62">
        <v>-6.5000000000000002E-2</v>
      </c>
      <c r="DN41" s="62">
        <v>0</v>
      </c>
      <c r="DO41" s="62">
        <v>-8.7499999999999994E-2</v>
      </c>
      <c r="DP41" s="62">
        <v>0</v>
      </c>
      <c r="DQ41" s="62">
        <v>-8.7499999999999994E-2</v>
      </c>
      <c r="DR41" s="62">
        <v>-5.0000000000000001E-3</v>
      </c>
      <c r="DS41" s="62">
        <v>0.36</v>
      </c>
      <c r="DT41" s="62">
        <v>-5.0000000000000001E-3</v>
      </c>
      <c r="DU41" s="62">
        <v>-4.4999999999999998E-2</v>
      </c>
      <c r="DV41" s="62">
        <v>0</v>
      </c>
    </row>
    <row r="42" spans="4:126" x14ac:dyDescent="0.25">
      <c r="D42" s="91">
        <v>37926</v>
      </c>
      <c r="F42" s="89">
        <v>3.4020000000000001</v>
      </c>
      <c r="G42" s="90">
        <v>3.4836153967131397E-2</v>
      </c>
      <c r="H42" s="89">
        <v>0.37</v>
      </c>
      <c r="I42" s="89">
        <v>0.83</v>
      </c>
      <c r="J42" s="89">
        <v>0.88</v>
      </c>
      <c r="K42" s="89">
        <v>0.83</v>
      </c>
      <c r="L42" s="87">
        <v>0.83</v>
      </c>
      <c r="M42" s="87">
        <v>0.93</v>
      </c>
      <c r="N42" s="89">
        <v>0.98</v>
      </c>
      <c r="O42" s="89">
        <v>0.88</v>
      </c>
      <c r="P42" s="89">
        <v>0.83</v>
      </c>
      <c r="Q42" s="89">
        <v>0.98</v>
      </c>
      <c r="R42" s="90">
        <v>0.83</v>
      </c>
      <c r="S42" s="90">
        <v>0.83</v>
      </c>
      <c r="T42" s="89">
        <v>0.83</v>
      </c>
      <c r="U42" s="89">
        <v>0.98</v>
      </c>
      <c r="V42" s="89">
        <v>0.93</v>
      </c>
      <c r="W42" s="89">
        <v>0</v>
      </c>
      <c r="X42" s="89">
        <v>0.03</v>
      </c>
      <c r="Y42" s="89">
        <v>0.125</v>
      </c>
      <c r="Z42" s="89">
        <v>0.02</v>
      </c>
      <c r="AA42" s="89">
        <v>0.37</v>
      </c>
      <c r="AB42" s="89">
        <v>0</v>
      </c>
      <c r="AC42" s="89">
        <v>0.36</v>
      </c>
      <c r="AD42" s="89">
        <v>0</v>
      </c>
      <c r="AE42" s="89">
        <v>0.37</v>
      </c>
      <c r="AF42" s="89">
        <v>0</v>
      </c>
      <c r="AG42" s="89">
        <v>0.22</v>
      </c>
      <c r="AH42" s="89">
        <v>0</v>
      </c>
      <c r="AI42" s="89">
        <v>0.18976000000000001</v>
      </c>
      <c r="AJ42" s="89">
        <v>0</v>
      </c>
      <c r="AK42" s="89">
        <v>0.125</v>
      </c>
      <c r="AL42" s="89">
        <v>3.5000000000000003E-2</v>
      </c>
      <c r="AM42" s="89">
        <v>-9.2499999999999999E-2</v>
      </c>
      <c r="AN42" s="89">
        <v>4.0000000000000001E-3</v>
      </c>
      <c r="AO42" s="89">
        <v>-0.39500000000000002</v>
      </c>
      <c r="AP42" s="89">
        <v>0.155</v>
      </c>
      <c r="AQ42" s="89">
        <v>-7.2499999999999995E-2</v>
      </c>
      <c r="AR42" s="89">
        <v>5.0000000000000001E-3</v>
      </c>
      <c r="AS42" s="89">
        <v>-0.15</v>
      </c>
      <c r="AT42" s="89">
        <v>-5.0000000000000001E-3</v>
      </c>
      <c r="AU42" s="89">
        <v>-0.11</v>
      </c>
      <c r="AV42" s="89">
        <v>-0.01</v>
      </c>
      <c r="AW42" s="89">
        <v>-9.5000000000000001E-2</v>
      </c>
      <c r="AX42" s="89">
        <v>5.0000000000000001E-3</v>
      </c>
      <c r="AY42" s="90">
        <v>0.14499999999999999</v>
      </c>
      <c r="AZ42" s="90">
        <v>0</v>
      </c>
      <c r="BA42" s="90">
        <v>-0.18</v>
      </c>
      <c r="BB42" s="89">
        <v>5.0000000000000001E-3</v>
      </c>
      <c r="BC42" s="89">
        <v>-0.10249999999999999</v>
      </c>
      <c r="BD42" s="89">
        <v>5.0000000000000001E-3</v>
      </c>
      <c r="BE42" s="89">
        <v>0.17</v>
      </c>
      <c r="BF42" s="89">
        <v>0.03</v>
      </c>
      <c r="BG42" s="89">
        <v>-8.2500000000000004E-2</v>
      </c>
      <c r="BH42" s="89">
        <v>0</v>
      </c>
      <c r="BI42" s="89">
        <v>0.1</v>
      </c>
      <c r="BJ42" s="62">
        <v>0.04</v>
      </c>
      <c r="BK42" s="62">
        <v>0.17</v>
      </c>
      <c r="BL42" s="62">
        <v>0.03</v>
      </c>
      <c r="BM42" s="62">
        <v>0.15</v>
      </c>
      <c r="BN42" s="62">
        <v>0</v>
      </c>
      <c r="BO42" s="62">
        <v>-0.25</v>
      </c>
      <c r="BP42" s="62">
        <v>0.03</v>
      </c>
      <c r="BQ42" s="62">
        <v>0.46</v>
      </c>
      <c r="BR42" s="62">
        <v>0.03</v>
      </c>
      <c r="BS42" s="62">
        <v>-0.10249999999999999</v>
      </c>
      <c r="BT42" s="62">
        <v>5.0000000000000001E-3</v>
      </c>
      <c r="BU42" s="62">
        <v>0.26</v>
      </c>
      <c r="BV42" s="62">
        <v>0.01</v>
      </c>
      <c r="BW42" s="62">
        <v>0.17</v>
      </c>
      <c r="BX42" s="62">
        <v>0</v>
      </c>
      <c r="BY42" s="62">
        <v>-2.5000000000000001E-2</v>
      </c>
      <c r="BZ42" s="62">
        <v>5.7500000000000002E-2</v>
      </c>
      <c r="CA42" s="62">
        <v>0.19500000000000001</v>
      </c>
      <c r="CB42" s="62">
        <v>5.0000000000000001E-3</v>
      </c>
      <c r="CC42" s="62">
        <v>-2.5000000000000001E-2</v>
      </c>
      <c r="CD42" s="62">
        <v>2.5000000000000001E-3</v>
      </c>
      <c r="CE42" s="62">
        <v>2.5000000000000001E-3</v>
      </c>
      <c r="CF42" s="62">
        <v>0</v>
      </c>
      <c r="CG42" s="62">
        <v>-2.5000000000000001E-2</v>
      </c>
      <c r="CH42" s="62">
        <v>2.5000000000000001E-3</v>
      </c>
      <c r="CI42" s="62">
        <v>-9.7500000000000003E-2</v>
      </c>
      <c r="CJ42" s="62">
        <v>2.5000000000000001E-3</v>
      </c>
      <c r="CK42" s="62">
        <v>7.4999999999999997E-2</v>
      </c>
      <c r="CL42" s="62">
        <v>2.5000000000000001E-3</v>
      </c>
      <c r="CM42" s="62">
        <v>-6.7500000000000004E-2</v>
      </c>
      <c r="CN42" s="62">
        <v>0.01</v>
      </c>
      <c r="CO42" s="62">
        <v>-1.2500000000000001E-2</v>
      </c>
      <c r="CP42" s="62">
        <v>7.4999999999999997E-3</v>
      </c>
      <c r="CQ42" s="62">
        <v>2.75E-2</v>
      </c>
      <c r="CR42" s="62">
        <v>0.01</v>
      </c>
      <c r="CS42" s="62">
        <v>0.64</v>
      </c>
      <c r="CT42" s="62">
        <v>5.5E-2</v>
      </c>
      <c r="CU42" s="62">
        <v>0.15</v>
      </c>
      <c r="CV42" s="62">
        <v>0</v>
      </c>
      <c r="CW42" s="62">
        <v>0.25</v>
      </c>
      <c r="CX42" s="62">
        <v>0.02</v>
      </c>
      <c r="CY42" s="62">
        <v>-0.51</v>
      </c>
      <c r="CZ42" s="62">
        <v>0</v>
      </c>
      <c r="DA42" s="62">
        <v>-0.33</v>
      </c>
      <c r="DB42" s="62">
        <v>0</v>
      </c>
      <c r="DC42" s="62">
        <v>0.45</v>
      </c>
      <c r="DE42" s="62">
        <v>-0.05</v>
      </c>
      <c r="DF42" s="62">
        <v>7.4999999999999997E-3</v>
      </c>
      <c r="DG42" s="62">
        <v>5.0000000000000001E-3</v>
      </c>
      <c r="DH42" s="62">
        <v>7.4999999999999997E-3</v>
      </c>
      <c r="DI42" s="62">
        <v>-0.02</v>
      </c>
      <c r="DJ42" s="62">
        <v>2.5000000000000001E-3</v>
      </c>
      <c r="DK42" s="62">
        <v>-7.4999999999999997E-2</v>
      </c>
      <c r="DL42" s="62">
        <v>2.5000000000000001E-3</v>
      </c>
      <c r="DM42" s="62">
        <v>-6.7500000000000004E-2</v>
      </c>
      <c r="DN42" s="62">
        <v>2.5000000000000001E-3</v>
      </c>
      <c r="DO42" s="62">
        <v>-0.09</v>
      </c>
      <c r="DP42" s="62">
        <v>2.5000000000000001E-3</v>
      </c>
      <c r="DQ42" s="62">
        <v>-0.105</v>
      </c>
      <c r="DR42" s="62">
        <v>-5.0000000000000001E-3</v>
      </c>
      <c r="DS42" s="62">
        <v>0.46</v>
      </c>
      <c r="DT42" s="62">
        <v>0.05</v>
      </c>
      <c r="DU42" s="62">
        <v>6.5000000000000002E-2</v>
      </c>
      <c r="DV42" s="62">
        <v>0</v>
      </c>
    </row>
    <row r="43" spans="4:126" x14ac:dyDescent="0.25">
      <c r="D43" s="91">
        <v>37956</v>
      </c>
      <c r="F43" s="89">
        <v>3.5369999999999999</v>
      </c>
      <c r="G43" s="90">
        <v>3.5735624061610197E-2</v>
      </c>
      <c r="H43" s="89">
        <v>0.37</v>
      </c>
      <c r="I43" s="89">
        <v>1.03</v>
      </c>
      <c r="J43" s="89">
        <v>1.08</v>
      </c>
      <c r="K43" s="89">
        <v>1.03</v>
      </c>
      <c r="L43" s="87">
        <v>1.03</v>
      </c>
      <c r="M43" s="87">
        <v>1.18</v>
      </c>
      <c r="N43" s="89">
        <v>1.28</v>
      </c>
      <c r="O43" s="89">
        <v>1.08</v>
      </c>
      <c r="P43" s="89">
        <v>1.03</v>
      </c>
      <c r="Q43" s="89">
        <v>1.38</v>
      </c>
      <c r="R43" s="90">
        <v>1.03</v>
      </c>
      <c r="S43" s="90">
        <v>1.1299999999999999</v>
      </c>
      <c r="T43" s="89">
        <v>1.03</v>
      </c>
      <c r="U43" s="89">
        <v>1.28</v>
      </c>
      <c r="V43" s="89">
        <v>1.1299999999999999</v>
      </c>
      <c r="W43" s="89">
        <v>5.0000000000000001E-3</v>
      </c>
      <c r="X43" s="89">
        <v>0.03</v>
      </c>
      <c r="Y43" s="89">
        <v>0.125</v>
      </c>
      <c r="Z43" s="89">
        <v>0.02</v>
      </c>
      <c r="AA43" s="89">
        <v>0.37</v>
      </c>
      <c r="AB43" s="89">
        <v>0</v>
      </c>
      <c r="AC43" s="89">
        <v>0.36</v>
      </c>
      <c r="AD43" s="89">
        <v>0</v>
      </c>
      <c r="AE43" s="89">
        <v>0.37</v>
      </c>
      <c r="AF43" s="89">
        <v>0</v>
      </c>
      <c r="AG43" s="89">
        <v>0.22</v>
      </c>
      <c r="AH43" s="89">
        <v>0</v>
      </c>
      <c r="AI43" s="89">
        <v>0.19424</v>
      </c>
      <c r="AJ43" s="89">
        <v>0</v>
      </c>
      <c r="AK43" s="89">
        <v>0.125</v>
      </c>
      <c r="AL43" s="89">
        <v>3.5000000000000003E-2</v>
      </c>
      <c r="AM43" s="89">
        <v>-9.5000000000000001E-2</v>
      </c>
      <c r="AN43" s="89">
        <v>4.0000000000000001E-3</v>
      </c>
      <c r="AO43" s="89">
        <v>-0.39500000000000002</v>
      </c>
      <c r="AP43" s="89">
        <v>0.155</v>
      </c>
      <c r="AQ43" s="89">
        <v>-7.4999999999999997E-2</v>
      </c>
      <c r="AR43" s="89">
        <v>5.0000000000000001E-3</v>
      </c>
      <c r="AS43" s="89">
        <v>-0.1525</v>
      </c>
      <c r="AT43" s="89">
        <v>-5.0000000000000001E-3</v>
      </c>
      <c r="AU43" s="89">
        <v>-0.1125</v>
      </c>
      <c r="AV43" s="89">
        <v>-0.01</v>
      </c>
      <c r="AW43" s="89">
        <v>-9.5000000000000001E-2</v>
      </c>
      <c r="AX43" s="89">
        <v>5.0000000000000001E-3</v>
      </c>
      <c r="AY43" s="90">
        <v>0.14499999999999999</v>
      </c>
      <c r="AZ43" s="90">
        <v>0</v>
      </c>
      <c r="BA43" s="90">
        <v>-0.18</v>
      </c>
      <c r="BB43" s="89">
        <v>5.0000000000000001E-3</v>
      </c>
      <c r="BC43" s="89">
        <v>-0.10249999999999999</v>
      </c>
      <c r="BD43" s="89">
        <v>5.0000000000000001E-3</v>
      </c>
      <c r="BE43" s="89">
        <v>0.17</v>
      </c>
      <c r="BF43" s="89">
        <v>0.03</v>
      </c>
      <c r="BG43" s="89">
        <v>-8.2500000000000004E-2</v>
      </c>
      <c r="BH43" s="89">
        <v>0</v>
      </c>
      <c r="BI43" s="89">
        <v>0.1</v>
      </c>
      <c r="BJ43" s="62">
        <v>0.04</v>
      </c>
      <c r="BK43" s="62">
        <v>0.17</v>
      </c>
      <c r="BL43" s="62">
        <v>0.03</v>
      </c>
      <c r="BM43" s="62">
        <v>0.49</v>
      </c>
      <c r="BN43" s="62">
        <v>0</v>
      </c>
      <c r="BO43" s="62">
        <v>-0.25</v>
      </c>
      <c r="BP43" s="62">
        <v>0.03</v>
      </c>
      <c r="BQ43" s="62">
        <v>0.47</v>
      </c>
      <c r="BR43" s="62">
        <v>0.03</v>
      </c>
      <c r="BS43" s="62">
        <v>-0.10249999999999999</v>
      </c>
      <c r="BT43" s="62">
        <v>5.0000000000000001E-3</v>
      </c>
      <c r="BU43" s="62">
        <v>0.27</v>
      </c>
      <c r="BV43" s="62">
        <v>0.01</v>
      </c>
      <c r="BW43" s="62">
        <v>0.17</v>
      </c>
      <c r="BX43" s="62">
        <v>0</v>
      </c>
      <c r="BY43" s="62">
        <v>-2.5000000000000001E-2</v>
      </c>
      <c r="BZ43" s="62">
        <v>5.7500000000000002E-2</v>
      </c>
      <c r="CA43" s="62">
        <v>0.215</v>
      </c>
      <c r="CB43" s="62">
        <v>5.0000000000000001E-3</v>
      </c>
      <c r="CC43" s="62">
        <v>-2.5000000000000001E-2</v>
      </c>
      <c r="CD43" s="62">
        <v>2.5000000000000001E-3</v>
      </c>
      <c r="CE43" s="62">
        <v>2.5000000000000001E-3</v>
      </c>
      <c r="CF43" s="62">
        <v>0</v>
      </c>
      <c r="CG43" s="62">
        <v>-2.5000000000000001E-2</v>
      </c>
      <c r="CH43" s="62">
        <v>2.5000000000000001E-3</v>
      </c>
      <c r="CI43" s="62">
        <v>-0.125</v>
      </c>
      <c r="CJ43" s="62">
        <v>2.5000000000000001E-3</v>
      </c>
      <c r="CK43" s="62">
        <v>7.4999999999999997E-2</v>
      </c>
      <c r="CL43" s="62">
        <v>2.5000000000000001E-3</v>
      </c>
      <c r="CM43" s="62">
        <v>-6.7500000000000004E-2</v>
      </c>
      <c r="CN43" s="62">
        <v>0.01</v>
      </c>
      <c r="CO43" s="62">
        <v>-1.2500000000000001E-2</v>
      </c>
      <c r="CP43" s="62">
        <v>7.4999999999999997E-3</v>
      </c>
      <c r="CQ43" s="62">
        <v>2.75E-2</v>
      </c>
      <c r="CR43" s="62">
        <v>0.01</v>
      </c>
      <c r="CS43" s="62">
        <v>0.89</v>
      </c>
      <c r="CT43" s="62">
        <v>0.25</v>
      </c>
      <c r="CU43" s="62">
        <v>0.49</v>
      </c>
      <c r="CV43" s="62">
        <v>0</v>
      </c>
      <c r="CW43" s="62">
        <v>0.33</v>
      </c>
      <c r="CX43" s="62">
        <v>0.02</v>
      </c>
      <c r="CY43" s="62">
        <v>-0.51</v>
      </c>
      <c r="CZ43" s="62">
        <v>0</v>
      </c>
      <c r="DA43" s="62">
        <v>-0.33</v>
      </c>
      <c r="DB43" s="62">
        <v>0</v>
      </c>
      <c r="DC43" s="62">
        <v>0.4</v>
      </c>
      <c r="DE43" s="62">
        <v>-0.05</v>
      </c>
      <c r="DF43" s="62">
        <v>7.4999999999999997E-3</v>
      </c>
      <c r="DG43" s="62">
        <v>5.0000000000000001E-3</v>
      </c>
      <c r="DH43" s="62">
        <v>7.4999999999999997E-3</v>
      </c>
      <c r="DI43" s="62">
        <v>-0.02</v>
      </c>
      <c r="DJ43" s="62">
        <v>2.5000000000000001E-3</v>
      </c>
      <c r="DK43" s="62">
        <v>-0.10249999999999999</v>
      </c>
      <c r="DL43" s="62">
        <v>2.5000000000000001E-3</v>
      </c>
      <c r="DM43" s="62">
        <v>-6.7500000000000004E-2</v>
      </c>
      <c r="DN43" s="62">
        <v>2.5000000000000001E-3</v>
      </c>
      <c r="DO43" s="62">
        <v>-8.7499999999999994E-2</v>
      </c>
      <c r="DP43" s="62">
        <v>2.5000000000000001E-3</v>
      </c>
      <c r="DQ43" s="62">
        <v>-0.13250000000000001</v>
      </c>
      <c r="DR43" s="62">
        <v>-5.0000000000000001E-3</v>
      </c>
      <c r="DS43" s="62">
        <v>0.78</v>
      </c>
      <c r="DT43" s="62">
        <v>0.05</v>
      </c>
      <c r="DU43" s="62">
        <v>6.5000000000000002E-2</v>
      </c>
      <c r="DV43" s="62">
        <v>0</v>
      </c>
    </row>
    <row r="44" spans="4:126" x14ac:dyDescent="0.25">
      <c r="D44" s="91">
        <v>37987</v>
      </c>
      <c r="F44" s="89">
        <v>3.597</v>
      </c>
      <c r="G44" s="90">
        <v>3.6629399588957501E-2</v>
      </c>
      <c r="H44" s="89">
        <v>0.37</v>
      </c>
      <c r="I44" s="89">
        <v>1</v>
      </c>
      <c r="J44" s="89">
        <v>1.05</v>
      </c>
      <c r="K44" s="89">
        <v>1</v>
      </c>
      <c r="L44" s="87">
        <v>1</v>
      </c>
      <c r="M44" s="87">
        <v>1.1499999999999999</v>
      </c>
      <c r="N44" s="89">
        <v>1.45</v>
      </c>
      <c r="O44" s="89">
        <v>1.05</v>
      </c>
      <c r="P44" s="89">
        <v>1</v>
      </c>
      <c r="Q44" s="89">
        <v>1.35</v>
      </c>
      <c r="R44" s="90">
        <v>1</v>
      </c>
      <c r="S44" s="90">
        <v>1.1000000000000001</v>
      </c>
      <c r="T44" s="89">
        <v>1</v>
      </c>
      <c r="U44" s="89">
        <v>1.45</v>
      </c>
      <c r="V44" s="89">
        <v>1.1000000000000001</v>
      </c>
      <c r="W44" s="89">
        <v>2.5000000000000001E-2</v>
      </c>
      <c r="X44" s="89">
        <v>0.03</v>
      </c>
      <c r="Y44" s="89">
        <v>0.125</v>
      </c>
      <c r="Z44" s="89">
        <v>0.02</v>
      </c>
      <c r="AA44" s="89">
        <v>0.37</v>
      </c>
      <c r="AB44" s="89">
        <v>0</v>
      </c>
      <c r="AC44" s="89">
        <v>0.36</v>
      </c>
      <c r="AD44" s="89">
        <v>0</v>
      </c>
      <c r="AE44" s="89">
        <v>0.37</v>
      </c>
      <c r="AF44" s="89">
        <v>0</v>
      </c>
      <c r="AG44" s="89">
        <v>0.22</v>
      </c>
      <c r="AH44" s="89">
        <v>0</v>
      </c>
      <c r="AI44" s="89">
        <v>0.19775999999999999</v>
      </c>
      <c r="AJ44" s="89">
        <v>0</v>
      </c>
      <c r="AK44" s="89">
        <v>0.125</v>
      </c>
      <c r="AL44" s="89">
        <v>3.5000000000000003E-2</v>
      </c>
      <c r="AM44" s="89">
        <v>-9.5000000000000001E-2</v>
      </c>
      <c r="AN44" s="89">
        <v>4.0000000000000001E-3</v>
      </c>
      <c r="AO44" s="89">
        <v>-0.39500000000000002</v>
      </c>
      <c r="AP44" s="89">
        <v>0.155</v>
      </c>
      <c r="AQ44" s="89">
        <v>-7.4999999999999997E-2</v>
      </c>
      <c r="AR44" s="89">
        <v>5.0000000000000001E-3</v>
      </c>
      <c r="AS44" s="89">
        <v>-0.155</v>
      </c>
      <c r="AT44" s="89">
        <v>-5.0000000000000001E-3</v>
      </c>
      <c r="AU44" s="89">
        <v>-0.115</v>
      </c>
      <c r="AV44" s="89">
        <v>-0.01</v>
      </c>
      <c r="AW44" s="89">
        <v>-9.5000000000000001E-2</v>
      </c>
      <c r="AX44" s="89">
        <v>5.0000000000000001E-3</v>
      </c>
      <c r="AY44" s="90">
        <v>0.14499999999999999</v>
      </c>
      <c r="AZ44" s="90">
        <v>0</v>
      </c>
      <c r="BA44" s="90">
        <v>-0.18</v>
      </c>
      <c r="BB44" s="89">
        <v>5.0000000000000001E-3</v>
      </c>
      <c r="BC44" s="89">
        <v>-8.7499999999999994E-2</v>
      </c>
      <c r="BD44" s="89">
        <v>5.0000000000000001E-3</v>
      </c>
      <c r="BE44" s="89">
        <v>0.17</v>
      </c>
      <c r="BF44" s="89">
        <v>0.03</v>
      </c>
      <c r="BG44" s="89">
        <v>-7.0000000000000007E-2</v>
      </c>
      <c r="BH44" s="89">
        <v>0</v>
      </c>
      <c r="BI44" s="89">
        <v>0.1</v>
      </c>
      <c r="BJ44" s="62">
        <v>0.04</v>
      </c>
      <c r="BK44" s="62">
        <v>0.17</v>
      </c>
      <c r="BL44" s="62">
        <v>0.03</v>
      </c>
      <c r="BM44" s="62">
        <v>0.52</v>
      </c>
      <c r="BN44" s="62">
        <v>0</v>
      </c>
      <c r="BO44" s="62">
        <v>-0.25</v>
      </c>
      <c r="BP44" s="62">
        <v>0.03</v>
      </c>
      <c r="BQ44" s="62">
        <v>0.5</v>
      </c>
      <c r="BR44" s="62">
        <v>0.03</v>
      </c>
      <c r="BS44" s="62">
        <v>-8.7499999999999994E-2</v>
      </c>
      <c r="BT44" s="62">
        <v>5.0000000000000001E-3</v>
      </c>
      <c r="BU44" s="62">
        <v>0.3</v>
      </c>
      <c r="BV44" s="62">
        <v>0.01</v>
      </c>
      <c r="BW44" s="62">
        <v>0.17</v>
      </c>
      <c r="BX44" s="62">
        <v>0</v>
      </c>
      <c r="BY44" s="62">
        <v>-2.5000000000000001E-2</v>
      </c>
      <c r="BZ44" s="62">
        <v>5.7500000000000002E-2</v>
      </c>
      <c r="CA44" s="62">
        <v>0.23499999999999999</v>
      </c>
      <c r="CB44" s="62">
        <v>5.0000000000000001E-3</v>
      </c>
      <c r="CC44" s="62">
        <v>-2.5000000000000001E-2</v>
      </c>
      <c r="CD44" s="62">
        <v>2.5000000000000001E-3</v>
      </c>
      <c r="CE44" s="62">
        <v>2.5000000000000001E-3</v>
      </c>
      <c r="CF44" s="62">
        <v>0</v>
      </c>
      <c r="CG44" s="62">
        <v>-2.5000000000000001E-2</v>
      </c>
      <c r="CH44" s="62">
        <v>2.5000000000000001E-3</v>
      </c>
      <c r="CI44" s="62">
        <v>-0.1225</v>
      </c>
      <c r="CJ44" s="62">
        <v>2.5000000000000001E-3</v>
      </c>
      <c r="CK44" s="62">
        <v>7.4999999999999997E-2</v>
      </c>
      <c r="CL44" s="62">
        <v>2.5000000000000001E-3</v>
      </c>
      <c r="CM44" s="62">
        <v>-6.7500000000000004E-2</v>
      </c>
      <c r="CN44" s="62">
        <v>0.01</v>
      </c>
      <c r="CO44" s="62">
        <v>-1.2500000000000001E-2</v>
      </c>
      <c r="CP44" s="62">
        <v>7.4999999999999997E-3</v>
      </c>
      <c r="CQ44" s="62">
        <v>2.75E-2</v>
      </c>
      <c r="CR44" s="62">
        <v>0.01</v>
      </c>
      <c r="CS44" s="62">
        <v>1.52</v>
      </c>
      <c r="CT44" s="62">
        <v>0.45</v>
      </c>
      <c r="CU44" s="62">
        <v>0.52</v>
      </c>
      <c r="CV44" s="62">
        <v>0</v>
      </c>
      <c r="CW44" s="62">
        <v>0.38</v>
      </c>
      <c r="CX44" s="62">
        <v>0.02</v>
      </c>
      <c r="CY44" s="62">
        <v>-0.51</v>
      </c>
      <c r="CZ44" s="62">
        <v>0</v>
      </c>
      <c r="DA44" s="62">
        <v>-0.33</v>
      </c>
      <c r="DB44" s="62">
        <v>0</v>
      </c>
      <c r="DC44" s="62">
        <v>0.35</v>
      </c>
      <c r="DE44" s="62">
        <v>-0.05</v>
      </c>
      <c r="DF44" s="62">
        <v>7.4999999999999997E-3</v>
      </c>
      <c r="DG44" s="62">
        <v>5.0000000000000001E-3</v>
      </c>
      <c r="DH44" s="62">
        <v>7.4999999999999997E-3</v>
      </c>
      <c r="DI44" s="62">
        <v>-0.02</v>
      </c>
      <c r="DJ44" s="62">
        <v>2.5000000000000001E-3</v>
      </c>
      <c r="DK44" s="62">
        <v>-0.11749999999999999</v>
      </c>
      <c r="DL44" s="62">
        <v>2.5000000000000001E-3</v>
      </c>
      <c r="DM44" s="62">
        <v>-6.7500000000000004E-2</v>
      </c>
      <c r="DN44" s="62">
        <v>2.5000000000000001E-3</v>
      </c>
      <c r="DO44" s="62">
        <v>-0.09</v>
      </c>
      <c r="DP44" s="62">
        <v>2.5000000000000001E-3</v>
      </c>
      <c r="DQ44" s="62">
        <v>-0.14749999999999999</v>
      </c>
      <c r="DR44" s="62">
        <v>-5.0000000000000001E-3</v>
      </c>
      <c r="DS44" s="62">
        <v>1.04</v>
      </c>
      <c r="DT44" s="62">
        <v>0.05</v>
      </c>
      <c r="DU44" s="62">
        <v>6.5000000000000002E-2</v>
      </c>
      <c r="DV44" s="62">
        <v>0</v>
      </c>
    </row>
    <row r="45" spans="4:126" x14ac:dyDescent="0.25">
      <c r="D45" s="91">
        <v>38018</v>
      </c>
      <c r="F45" s="89">
        <v>3.512</v>
      </c>
      <c r="G45" s="90">
        <v>3.74851197051385E-2</v>
      </c>
      <c r="H45" s="89">
        <v>0.37</v>
      </c>
      <c r="I45" s="89">
        <v>1</v>
      </c>
      <c r="J45" s="89">
        <v>1.05</v>
      </c>
      <c r="K45" s="89">
        <v>1</v>
      </c>
      <c r="L45" s="87">
        <v>1</v>
      </c>
      <c r="M45" s="87">
        <v>1.1499999999999999</v>
      </c>
      <c r="N45" s="89">
        <v>1.45</v>
      </c>
      <c r="O45" s="89">
        <v>1.05</v>
      </c>
      <c r="P45" s="89">
        <v>1</v>
      </c>
      <c r="Q45" s="89">
        <v>1.35</v>
      </c>
      <c r="R45" s="90">
        <v>1</v>
      </c>
      <c r="S45" s="90">
        <v>1.1000000000000001</v>
      </c>
      <c r="T45" s="89">
        <v>1</v>
      </c>
      <c r="U45" s="89">
        <v>1.45</v>
      </c>
      <c r="V45" s="89">
        <v>1.1000000000000001</v>
      </c>
      <c r="W45" s="89">
        <v>0.02</v>
      </c>
      <c r="X45" s="89">
        <v>0.03</v>
      </c>
      <c r="Y45" s="89">
        <v>0.125</v>
      </c>
      <c r="Z45" s="89">
        <v>0.02</v>
      </c>
      <c r="AA45" s="89">
        <v>0.37</v>
      </c>
      <c r="AB45" s="89">
        <v>0</v>
      </c>
      <c r="AC45" s="89">
        <v>0.36</v>
      </c>
      <c r="AD45" s="89">
        <v>0</v>
      </c>
      <c r="AE45" s="89">
        <v>0.37</v>
      </c>
      <c r="AF45" s="89">
        <v>0</v>
      </c>
      <c r="AG45" s="89">
        <v>0.22</v>
      </c>
      <c r="AH45" s="89">
        <v>0</v>
      </c>
      <c r="AI45" s="89">
        <v>0.19356799999999999</v>
      </c>
      <c r="AJ45" s="89">
        <v>0</v>
      </c>
      <c r="AK45" s="89">
        <v>0.125</v>
      </c>
      <c r="AL45" s="89">
        <v>3.5000000000000003E-2</v>
      </c>
      <c r="AM45" s="89">
        <v>-9.5000000000000001E-2</v>
      </c>
      <c r="AN45" s="89">
        <v>4.0000000000000001E-3</v>
      </c>
      <c r="AO45" s="89">
        <v>-0.39500000000000002</v>
      </c>
      <c r="AP45" s="89">
        <v>0.155</v>
      </c>
      <c r="AQ45" s="89">
        <v>-7.4999999999999997E-2</v>
      </c>
      <c r="AR45" s="89">
        <v>5.0000000000000001E-3</v>
      </c>
      <c r="AS45" s="89">
        <v>-0.14749999999999999</v>
      </c>
      <c r="AT45" s="89">
        <v>-5.0000000000000001E-3</v>
      </c>
      <c r="AU45" s="89">
        <v>-0.1075</v>
      </c>
      <c r="AV45" s="89">
        <v>-0.01</v>
      </c>
      <c r="AW45" s="89">
        <v>-9.5000000000000001E-2</v>
      </c>
      <c r="AX45" s="89">
        <v>5.0000000000000001E-3</v>
      </c>
      <c r="AY45" s="90">
        <v>0.14499999999999999</v>
      </c>
      <c r="AZ45" s="90">
        <v>0</v>
      </c>
      <c r="BA45" s="90">
        <v>-0.18</v>
      </c>
      <c r="BB45" s="89">
        <v>5.0000000000000001E-3</v>
      </c>
      <c r="BC45" s="89">
        <v>-8.7499999999999994E-2</v>
      </c>
      <c r="BD45" s="89">
        <v>5.0000000000000001E-3</v>
      </c>
      <c r="BE45" s="89">
        <v>0.17</v>
      </c>
      <c r="BF45" s="89">
        <v>0.03</v>
      </c>
      <c r="BG45" s="89">
        <v>-7.0000000000000007E-2</v>
      </c>
      <c r="BH45" s="89">
        <v>0</v>
      </c>
      <c r="BI45" s="89">
        <v>0.1</v>
      </c>
      <c r="BJ45" s="62">
        <v>0.04</v>
      </c>
      <c r="BK45" s="62">
        <v>0.17</v>
      </c>
      <c r="BL45" s="62">
        <v>0.03</v>
      </c>
      <c r="BM45" s="62">
        <v>0.2</v>
      </c>
      <c r="BN45" s="62">
        <v>0</v>
      </c>
      <c r="BO45" s="62">
        <v>-0.25</v>
      </c>
      <c r="BP45" s="62">
        <v>0.03</v>
      </c>
      <c r="BQ45" s="62">
        <v>0.46</v>
      </c>
      <c r="BR45" s="62">
        <v>0.03</v>
      </c>
      <c r="BS45" s="62">
        <v>-8.7499999999999994E-2</v>
      </c>
      <c r="BT45" s="62">
        <v>5.0000000000000001E-3</v>
      </c>
      <c r="BU45" s="62">
        <v>0.26</v>
      </c>
      <c r="BV45" s="62">
        <v>0.01</v>
      </c>
      <c r="BW45" s="62">
        <v>0.17</v>
      </c>
      <c r="BX45" s="62">
        <v>0</v>
      </c>
      <c r="BY45" s="62">
        <v>-2.5000000000000001E-2</v>
      </c>
      <c r="BZ45" s="62">
        <v>5.7500000000000002E-2</v>
      </c>
      <c r="CA45" s="62">
        <v>0.23499999999999999</v>
      </c>
      <c r="CB45" s="62">
        <v>5.0000000000000001E-3</v>
      </c>
      <c r="CC45" s="62">
        <v>-2.5000000000000001E-2</v>
      </c>
      <c r="CD45" s="62">
        <v>2.5000000000000001E-3</v>
      </c>
      <c r="CE45" s="62">
        <v>2.5000000000000001E-3</v>
      </c>
      <c r="CF45" s="62">
        <v>0</v>
      </c>
      <c r="CG45" s="62">
        <v>-2.5000000000000001E-2</v>
      </c>
      <c r="CH45" s="62">
        <v>2.5000000000000001E-3</v>
      </c>
      <c r="CI45" s="62">
        <v>-0.1225</v>
      </c>
      <c r="CJ45" s="62">
        <v>2.5000000000000001E-3</v>
      </c>
      <c r="CK45" s="62">
        <v>7.4999999999999997E-2</v>
      </c>
      <c r="CL45" s="62">
        <v>2.5000000000000001E-3</v>
      </c>
      <c r="CM45" s="62">
        <v>-6.7500000000000004E-2</v>
      </c>
      <c r="CN45" s="62">
        <v>0.01</v>
      </c>
      <c r="CO45" s="62">
        <v>-1.2500000000000001E-2</v>
      </c>
      <c r="CP45" s="62">
        <v>7.4999999999999997E-3</v>
      </c>
      <c r="CQ45" s="62">
        <v>2.75E-2</v>
      </c>
      <c r="CR45" s="62">
        <v>0.01</v>
      </c>
      <c r="CS45" s="62">
        <v>1.52</v>
      </c>
      <c r="CT45" s="62">
        <v>0.45</v>
      </c>
      <c r="CU45" s="62">
        <v>0.2</v>
      </c>
      <c r="CV45" s="62">
        <v>0</v>
      </c>
      <c r="CW45" s="62">
        <v>0.38</v>
      </c>
      <c r="CX45" s="62">
        <v>0.02</v>
      </c>
      <c r="CY45" s="62">
        <v>-0.51</v>
      </c>
      <c r="CZ45" s="62">
        <v>0</v>
      </c>
      <c r="DA45" s="62">
        <v>-0.33</v>
      </c>
      <c r="DB45" s="62">
        <v>0</v>
      </c>
      <c r="DC45" s="62">
        <v>0.35</v>
      </c>
      <c r="DE45" s="62">
        <v>-0.05</v>
      </c>
      <c r="DF45" s="62">
        <v>7.4999999999999997E-3</v>
      </c>
      <c r="DG45" s="62">
        <v>5.0000000000000001E-3</v>
      </c>
      <c r="DH45" s="62">
        <v>7.4999999999999997E-3</v>
      </c>
      <c r="DI45" s="62">
        <v>-0.02</v>
      </c>
      <c r="DJ45" s="62">
        <v>2.5000000000000001E-3</v>
      </c>
      <c r="DK45" s="62">
        <v>-0.1075</v>
      </c>
      <c r="DL45" s="62">
        <v>2.5000000000000001E-3</v>
      </c>
      <c r="DM45" s="62">
        <v>-6.7500000000000004E-2</v>
      </c>
      <c r="DN45" s="62">
        <v>2.5000000000000001E-3</v>
      </c>
      <c r="DO45" s="62">
        <v>-0.09</v>
      </c>
      <c r="DP45" s="62">
        <v>2.5000000000000001E-3</v>
      </c>
      <c r="DQ45" s="62">
        <v>-0.13750000000000001</v>
      </c>
      <c r="DR45" s="62">
        <v>-5.0000000000000001E-3</v>
      </c>
      <c r="DS45" s="62">
        <v>1.04</v>
      </c>
      <c r="DT45" s="62">
        <v>0.05</v>
      </c>
      <c r="DU45" s="62">
        <v>6.5000000000000002E-2</v>
      </c>
      <c r="DV45" s="62">
        <v>0</v>
      </c>
    </row>
    <row r="46" spans="4:126" x14ac:dyDescent="0.25">
      <c r="D46" s="91">
        <v>38047</v>
      </c>
      <c r="F46" s="89">
        <v>3.3820000000000001</v>
      </c>
      <c r="G46" s="90">
        <v>3.8285632294587903E-2</v>
      </c>
      <c r="H46" s="89">
        <v>0.35499999999999998</v>
      </c>
      <c r="I46" s="89">
        <v>0.75</v>
      </c>
      <c r="J46" s="89">
        <v>0.8</v>
      </c>
      <c r="K46" s="89">
        <v>0.75</v>
      </c>
      <c r="L46" s="87">
        <v>0.75</v>
      </c>
      <c r="M46" s="87">
        <v>0.85</v>
      </c>
      <c r="N46" s="89">
        <v>1</v>
      </c>
      <c r="O46" s="89">
        <v>0.75</v>
      </c>
      <c r="P46" s="89">
        <v>0.75</v>
      </c>
      <c r="Q46" s="89">
        <v>0.95</v>
      </c>
      <c r="R46" s="90">
        <v>0.75</v>
      </c>
      <c r="S46" s="90">
        <v>0.75</v>
      </c>
      <c r="T46" s="89">
        <v>0.75</v>
      </c>
      <c r="U46" s="89">
        <v>1</v>
      </c>
      <c r="V46" s="89">
        <v>0.85</v>
      </c>
      <c r="W46" s="89">
        <v>0</v>
      </c>
      <c r="X46" s="89">
        <v>0.03</v>
      </c>
      <c r="Y46" s="89">
        <v>0.125</v>
      </c>
      <c r="Z46" s="89">
        <v>0.02</v>
      </c>
      <c r="AA46" s="89">
        <v>0.37</v>
      </c>
      <c r="AB46" s="89">
        <v>0</v>
      </c>
      <c r="AC46" s="89">
        <v>0.36</v>
      </c>
      <c r="AD46" s="89">
        <v>0</v>
      </c>
      <c r="AE46" s="89">
        <v>0.37</v>
      </c>
      <c r="AF46" s="89">
        <v>0</v>
      </c>
      <c r="AG46" s="89">
        <v>0.22</v>
      </c>
      <c r="AH46" s="89">
        <v>0</v>
      </c>
      <c r="AI46" s="89">
        <v>0.18940799999999999</v>
      </c>
      <c r="AJ46" s="89">
        <v>0</v>
      </c>
      <c r="AK46" s="89">
        <v>0.125</v>
      </c>
      <c r="AL46" s="89">
        <v>3.5000000000000003E-2</v>
      </c>
      <c r="AM46" s="89">
        <v>-9.5000000000000001E-2</v>
      </c>
      <c r="AN46" s="89">
        <v>4.0000000000000001E-3</v>
      </c>
      <c r="AO46" s="89">
        <v>-0.39500000000000002</v>
      </c>
      <c r="AP46" s="89">
        <v>0.155</v>
      </c>
      <c r="AQ46" s="89">
        <v>-7.4999999999999997E-2</v>
      </c>
      <c r="AR46" s="89">
        <v>5.0000000000000001E-3</v>
      </c>
      <c r="AS46" s="89">
        <v>-0.14499999999999999</v>
      </c>
      <c r="AT46" s="89">
        <v>-5.0000000000000001E-3</v>
      </c>
      <c r="AU46" s="89">
        <v>-0.105</v>
      </c>
      <c r="AV46" s="89">
        <v>-0.01</v>
      </c>
      <c r="AW46" s="89">
        <v>-9.5000000000000001E-2</v>
      </c>
      <c r="AX46" s="89">
        <v>5.0000000000000001E-3</v>
      </c>
      <c r="AY46" s="90">
        <v>0.14499999999999999</v>
      </c>
      <c r="AZ46" s="90">
        <v>0</v>
      </c>
      <c r="BA46" s="90">
        <v>-0.18</v>
      </c>
      <c r="BB46" s="89">
        <v>5.0000000000000001E-3</v>
      </c>
      <c r="BC46" s="89">
        <v>-8.7499999999999994E-2</v>
      </c>
      <c r="BD46" s="89">
        <v>5.0000000000000001E-3</v>
      </c>
      <c r="BE46" s="89">
        <v>0.17</v>
      </c>
      <c r="BF46" s="89">
        <v>0.03</v>
      </c>
      <c r="BG46" s="89">
        <v>-7.0000000000000007E-2</v>
      </c>
      <c r="BH46" s="89">
        <v>0</v>
      </c>
      <c r="BI46" s="89">
        <v>0.1</v>
      </c>
      <c r="BJ46" s="62">
        <v>0.04</v>
      </c>
      <c r="BK46" s="62">
        <v>0.17</v>
      </c>
      <c r="BL46" s="62">
        <v>0.03</v>
      </c>
      <c r="BM46" s="62">
        <v>-0.11</v>
      </c>
      <c r="BN46" s="62">
        <v>0</v>
      </c>
      <c r="BO46" s="62">
        <v>-0.25</v>
      </c>
      <c r="BP46" s="62">
        <v>0.03</v>
      </c>
      <c r="BQ46" s="62">
        <v>0.34</v>
      </c>
      <c r="BR46" s="62">
        <v>0.03</v>
      </c>
      <c r="BS46" s="62">
        <v>-8.7499999999999994E-2</v>
      </c>
      <c r="BT46" s="62">
        <v>5.0000000000000001E-3</v>
      </c>
      <c r="BU46" s="62">
        <v>0.14000000000000001</v>
      </c>
      <c r="BV46" s="62">
        <v>0.01</v>
      </c>
      <c r="BW46" s="62">
        <v>0.17</v>
      </c>
      <c r="BX46" s="62">
        <v>0</v>
      </c>
      <c r="BY46" s="62">
        <v>-2.5000000000000001E-2</v>
      </c>
      <c r="BZ46" s="62">
        <v>5.7500000000000002E-2</v>
      </c>
      <c r="CA46" s="62">
        <v>0.19500000000000001</v>
      </c>
      <c r="CB46" s="62">
        <v>5.0000000000000001E-3</v>
      </c>
      <c r="CC46" s="62">
        <v>-2.5000000000000001E-2</v>
      </c>
      <c r="CD46" s="62">
        <v>2.5000000000000001E-3</v>
      </c>
      <c r="CE46" s="62">
        <v>2.5000000000000001E-3</v>
      </c>
      <c r="CF46" s="62">
        <v>0</v>
      </c>
      <c r="CG46" s="62">
        <v>-2.5000000000000001E-2</v>
      </c>
      <c r="CH46" s="62">
        <v>2.5000000000000001E-3</v>
      </c>
      <c r="CI46" s="62">
        <v>-0.1225</v>
      </c>
      <c r="CJ46" s="62">
        <v>2.5000000000000001E-3</v>
      </c>
      <c r="CK46" s="62">
        <v>7.4999999999999997E-2</v>
      </c>
      <c r="CL46" s="62">
        <v>2.5000000000000001E-3</v>
      </c>
      <c r="CM46" s="62">
        <v>-6.7500000000000004E-2</v>
      </c>
      <c r="CN46" s="62">
        <v>0.01</v>
      </c>
      <c r="CO46" s="62">
        <v>-1.2500000000000001E-2</v>
      </c>
      <c r="CP46" s="62">
        <v>7.4999999999999997E-3</v>
      </c>
      <c r="CQ46" s="62">
        <v>2.75E-2</v>
      </c>
      <c r="CR46" s="62">
        <v>0.01</v>
      </c>
      <c r="CS46" s="62">
        <v>0.63</v>
      </c>
      <c r="CT46" s="62">
        <v>0.1</v>
      </c>
      <c r="CU46" s="62">
        <v>-0.11</v>
      </c>
      <c r="CV46" s="62">
        <v>0</v>
      </c>
      <c r="CW46" s="62">
        <v>0.33</v>
      </c>
      <c r="CX46" s="62">
        <v>0.02</v>
      </c>
      <c r="CY46" s="62">
        <v>-0.51</v>
      </c>
      <c r="CZ46" s="62">
        <v>0</v>
      </c>
      <c r="DA46" s="62">
        <v>-0.33</v>
      </c>
      <c r="DB46" s="62">
        <v>0</v>
      </c>
      <c r="DC46" s="62">
        <v>0.4</v>
      </c>
      <c r="DE46" s="62">
        <v>-0.05</v>
      </c>
      <c r="DF46" s="62">
        <v>7.4999999999999997E-3</v>
      </c>
      <c r="DG46" s="62">
        <v>5.0000000000000001E-3</v>
      </c>
      <c r="DH46" s="62">
        <v>7.4999999999999997E-3</v>
      </c>
      <c r="DI46" s="62">
        <v>-0.02</v>
      </c>
      <c r="DJ46" s="62">
        <v>2.5000000000000001E-3</v>
      </c>
      <c r="DK46" s="62">
        <v>-9.7500000000000003E-2</v>
      </c>
      <c r="DL46" s="62">
        <v>2.5000000000000001E-3</v>
      </c>
      <c r="DM46" s="62">
        <v>-6.7500000000000004E-2</v>
      </c>
      <c r="DN46" s="62">
        <v>2.5000000000000001E-3</v>
      </c>
      <c r="DO46" s="62">
        <v>-0.09</v>
      </c>
      <c r="DP46" s="62">
        <v>2.5000000000000001E-3</v>
      </c>
      <c r="DQ46" s="62">
        <v>-0.1275</v>
      </c>
      <c r="DR46" s="62">
        <v>-5.0000000000000001E-3</v>
      </c>
      <c r="DS46" s="62">
        <v>0.54</v>
      </c>
      <c r="DT46" s="62">
        <v>0.05</v>
      </c>
      <c r="DU46" s="62">
        <v>6.5000000000000002E-2</v>
      </c>
      <c r="DV46" s="62">
        <v>0</v>
      </c>
    </row>
    <row r="47" spans="4:126" x14ac:dyDescent="0.25">
      <c r="D47" s="91">
        <v>38078</v>
      </c>
      <c r="F47" s="89">
        <v>3.1970000000000001</v>
      </c>
      <c r="G47" s="90">
        <v>3.9084714616572501E-2</v>
      </c>
      <c r="H47" s="89">
        <v>0.33</v>
      </c>
      <c r="I47" s="89">
        <v>0.4</v>
      </c>
      <c r="J47" s="89">
        <v>0.45</v>
      </c>
      <c r="K47" s="89">
        <v>0.4</v>
      </c>
      <c r="L47" s="87">
        <v>0.45</v>
      </c>
      <c r="M47" s="87">
        <v>0.45</v>
      </c>
      <c r="N47" s="89">
        <v>0.45</v>
      </c>
      <c r="O47" s="89">
        <v>0.45</v>
      </c>
      <c r="P47" s="89">
        <v>0.45</v>
      </c>
      <c r="Q47" s="89">
        <v>0.5</v>
      </c>
      <c r="R47" s="90">
        <v>0.4</v>
      </c>
      <c r="S47" s="90">
        <v>0.45</v>
      </c>
      <c r="T47" s="89">
        <v>0.4</v>
      </c>
      <c r="U47" s="89">
        <v>0.45</v>
      </c>
      <c r="V47" s="89">
        <v>0.55000000000000004</v>
      </c>
      <c r="W47" s="89">
        <v>-0.09</v>
      </c>
      <c r="X47" s="89">
        <v>0</v>
      </c>
      <c r="Y47" s="89">
        <v>0.04</v>
      </c>
      <c r="Z47" s="89">
        <v>5.0000000000000001E-3</v>
      </c>
      <c r="AA47" s="89">
        <v>0.18</v>
      </c>
      <c r="AB47" s="89">
        <v>0</v>
      </c>
      <c r="AC47" s="89">
        <v>0.14499999999999999</v>
      </c>
      <c r="AD47" s="89">
        <v>0</v>
      </c>
      <c r="AE47" s="89">
        <v>0.18</v>
      </c>
      <c r="AF47" s="89">
        <v>0</v>
      </c>
      <c r="AG47" s="89">
        <v>0.13500000000000001</v>
      </c>
      <c r="AH47" s="89">
        <v>0</v>
      </c>
      <c r="AI47" s="89">
        <v>0.14499999999999999</v>
      </c>
      <c r="AJ47" s="89">
        <v>0</v>
      </c>
      <c r="AK47" s="89">
        <v>0.04</v>
      </c>
      <c r="AL47" s="89">
        <v>0.04</v>
      </c>
      <c r="AM47" s="89">
        <v>-7.0000000000000007E-2</v>
      </c>
      <c r="AN47" s="89">
        <v>1.0999999999999999E-2</v>
      </c>
      <c r="AO47" s="89">
        <v>-0.43</v>
      </c>
      <c r="AP47" s="89">
        <v>0.155</v>
      </c>
      <c r="AQ47" s="89">
        <v>-6.5000000000000002E-2</v>
      </c>
      <c r="AR47" s="89">
        <v>0</v>
      </c>
      <c r="AS47" s="89">
        <v>-0.15</v>
      </c>
      <c r="AT47" s="89">
        <v>-1.4999999999999999E-2</v>
      </c>
      <c r="AU47" s="89">
        <v>-0.11</v>
      </c>
      <c r="AV47" s="89">
        <v>0.02</v>
      </c>
      <c r="AW47" s="89">
        <v>-9.5000000000000001E-2</v>
      </c>
      <c r="AX47" s="89">
        <v>0.01</v>
      </c>
      <c r="AY47" s="90">
        <v>0.125</v>
      </c>
      <c r="AZ47" s="90">
        <v>0</v>
      </c>
      <c r="BA47" s="90">
        <v>-0.22</v>
      </c>
      <c r="BB47" s="89">
        <v>2.5000000000000001E-3</v>
      </c>
      <c r="BC47" s="89">
        <v>-8.7499999999999994E-2</v>
      </c>
      <c r="BD47" s="89">
        <v>5.0000000000000001E-3</v>
      </c>
      <c r="BE47" s="89">
        <v>0.21</v>
      </c>
      <c r="BF47" s="89">
        <v>0.03</v>
      </c>
      <c r="BG47" s="89">
        <v>-7.0000000000000007E-2</v>
      </c>
      <c r="BH47" s="89">
        <v>0</v>
      </c>
      <c r="BI47" s="89">
        <v>7.4999999999999997E-2</v>
      </c>
      <c r="BJ47" s="62">
        <v>0.03</v>
      </c>
      <c r="BK47" s="62">
        <v>0.21</v>
      </c>
      <c r="BL47" s="62">
        <v>0.03</v>
      </c>
      <c r="BM47" s="62">
        <v>-0.25</v>
      </c>
      <c r="BN47" s="62">
        <v>0</v>
      </c>
      <c r="BO47" s="62">
        <v>-0.42</v>
      </c>
      <c r="BP47" s="62">
        <v>0.02</v>
      </c>
      <c r="BQ47" s="62">
        <v>0.5</v>
      </c>
      <c r="BR47" s="62">
        <v>0.03</v>
      </c>
      <c r="BS47" s="62">
        <v>-8.7499999999999994E-2</v>
      </c>
      <c r="BT47" s="62">
        <v>5.0000000000000001E-3</v>
      </c>
      <c r="BU47" s="62">
        <v>0.3</v>
      </c>
      <c r="BV47" s="62">
        <v>0</v>
      </c>
      <c r="BW47" s="62">
        <v>0.21</v>
      </c>
      <c r="BX47" s="62">
        <v>0</v>
      </c>
      <c r="BY47" s="62">
        <v>-2.5000000000000001E-2</v>
      </c>
      <c r="BZ47" s="62">
        <v>5.7500000000000002E-2</v>
      </c>
      <c r="CA47" s="62">
        <v>0.14499999999999999</v>
      </c>
      <c r="CB47" s="62">
        <v>5.0000000000000001E-3</v>
      </c>
      <c r="CC47" s="62">
        <v>-2.5000000000000001E-2</v>
      </c>
      <c r="CD47" s="62">
        <v>2.5000000000000001E-3</v>
      </c>
      <c r="CE47" s="62">
        <v>2.5000000000000001E-3</v>
      </c>
      <c r="CF47" s="62">
        <v>0</v>
      </c>
      <c r="CG47" s="62">
        <v>-2.5000000000000001E-2</v>
      </c>
      <c r="CH47" s="62">
        <v>2.5000000000000001E-3</v>
      </c>
      <c r="CI47" s="62">
        <v>-0.14249999999999999</v>
      </c>
      <c r="CJ47" s="62">
        <v>2.5000000000000001E-3</v>
      </c>
      <c r="CK47" s="62">
        <v>7.7499999999999999E-2</v>
      </c>
      <c r="CL47" s="62">
        <v>2.5000000000000001E-3</v>
      </c>
      <c r="CM47" s="62">
        <v>-7.2499999999999995E-2</v>
      </c>
      <c r="CN47" s="62">
        <v>7.4999999999999997E-3</v>
      </c>
      <c r="CO47" s="62">
        <v>-1.7500000000000002E-2</v>
      </c>
      <c r="CP47" s="62">
        <v>5.0000000000000001E-3</v>
      </c>
      <c r="CQ47" s="62">
        <v>2.2499999999999999E-2</v>
      </c>
      <c r="CR47" s="62">
        <v>7.4999999999999997E-3</v>
      </c>
      <c r="CS47" s="62">
        <v>0.38</v>
      </c>
      <c r="CT47" s="62">
        <v>0.02</v>
      </c>
      <c r="CU47" s="62">
        <v>-0.25</v>
      </c>
      <c r="CV47" s="62">
        <v>0</v>
      </c>
      <c r="CW47" s="62">
        <v>0.19500000000000001</v>
      </c>
      <c r="CX47" s="62">
        <v>7.4999999999999997E-3</v>
      </c>
      <c r="CY47" s="62">
        <v>-0.69</v>
      </c>
      <c r="CZ47" s="62">
        <v>0</v>
      </c>
      <c r="DA47" s="62">
        <v>-0.51</v>
      </c>
      <c r="DB47" s="62">
        <v>0</v>
      </c>
      <c r="DC47" s="62">
        <v>0.6</v>
      </c>
      <c r="DE47" s="62">
        <v>-5.2499999999999998E-2</v>
      </c>
      <c r="DF47" s="62">
        <v>7.4999999999999997E-3</v>
      </c>
      <c r="DG47" s="62">
        <v>0.01</v>
      </c>
      <c r="DH47" s="62">
        <v>5.0000000000000001E-3</v>
      </c>
      <c r="DI47" s="62">
        <v>-0.02</v>
      </c>
      <c r="DJ47" s="62">
        <v>7.4999999999999997E-3</v>
      </c>
      <c r="DK47" s="62">
        <v>-0.1275</v>
      </c>
      <c r="DL47" s="62">
        <v>5.0000000000000001E-3</v>
      </c>
      <c r="DM47" s="62">
        <v>-6.5000000000000002E-2</v>
      </c>
      <c r="DN47" s="62">
        <v>2.5000000000000001E-3</v>
      </c>
      <c r="DO47" s="62">
        <v>-8.5000000000000006E-2</v>
      </c>
      <c r="DP47" s="62">
        <v>2.5000000000000001E-3</v>
      </c>
      <c r="DQ47" s="62">
        <v>-0.1575</v>
      </c>
      <c r="DR47" s="62">
        <v>-5.0000000000000001E-3</v>
      </c>
      <c r="DS47" s="62">
        <v>0.36</v>
      </c>
      <c r="DT47" s="62">
        <v>5.0000000000000001E-3</v>
      </c>
      <c r="DU47" s="62">
        <v>-0.04</v>
      </c>
      <c r="DV47" s="62">
        <v>0</v>
      </c>
    </row>
    <row r="48" spans="4:126" x14ac:dyDescent="0.25">
      <c r="D48" s="91">
        <v>38108</v>
      </c>
      <c r="F48" s="89">
        <v>3.1920000000000002</v>
      </c>
      <c r="G48" s="90">
        <v>3.9799554968306797E-2</v>
      </c>
      <c r="H48" s="89">
        <v>0.32500000000000001</v>
      </c>
      <c r="I48" s="89">
        <v>0.45</v>
      </c>
      <c r="J48" s="89">
        <v>0.5</v>
      </c>
      <c r="K48" s="89">
        <v>0.4</v>
      </c>
      <c r="L48" s="87">
        <v>0.4</v>
      </c>
      <c r="M48" s="87">
        <v>0.45</v>
      </c>
      <c r="N48" s="89">
        <v>0.5</v>
      </c>
      <c r="O48" s="89">
        <v>0.45</v>
      </c>
      <c r="P48" s="89">
        <v>0.4</v>
      </c>
      <c r="Q48" s="89">
        <v>0.45</v>
      </c>
      <c r="R48" s="90">
        <v>0.45</v>
      </c>
      <c r="S48" s="90">
        <v>0.5</v>
      </c>
      <c r="T48" s="89">
        <v>0.45</v>
      </c>
      <c r="U48" s="89">
        <v>0.5</v>
      </c>
      <c r="V48" s="89">
        <v>0.5</v>
      </c>
      <c r="W48" s="89">
        <v>-0.09</v>
      </c>
      <c r="X48" s="89">
        <v>0</v>
      </c>
      <c r="Y48" s="89">
        <v>0.04</v>
      </c>
      <c r="Z48" s="89">
        <v>5.0000000000000001E-3</v>
      </c>
      <c r="AA48" s="89">
        <v>0.18</v>
      </c>
      <c r="AB48" s="89">
        <v>0</v>
      </c>
      <c r="AC48" s="89">
        <v>0.14499999999999999</v>
      </c>
      <c r="AD48" s="89">
        <v>0</v>
      </c>
      <c r="AE48" s="89">
        <v>0.18</v>
      </c>
      <c r="AF48" s="89">
        <v>0</v>
      </c>
      <c r="AG48" s="89">
        <v>0.13500000000000001</v>
      </c>
      <c r="AH48" s="89">
        <v>0</v>
      </c>
      <c r="AI48" s="89">
        <v>0.14499999999999999</v>
      </c>
      <c r="AJ48" s="89">
        <v>0</v>
      </c>
      <c r="AK48" s="89">
        <v>0.04</v>
      </c>
      <c r="AL48" s="89">
        <v>0.04</v>
      </c>
      <c r="AM48" s="89">
        <v>-7.0000000000000007E-2</v>
      </c>
      <c r="AN48" s="89">
        <v>1.0999999999999999E-2</v>
      </c>
      <c r="AO48" s="89">
        <v>-0.43</v>
      </c>
      <c r="AP48" s="89">
        <v>0.155</v>
      </c>
      <c r="AQ48" s="89">
        <v>-6.5000000000000002E-2</v>
      </c>
      <c r="AR48" s="89">
        <v>0</v>
      </c>
      <c r="AS48" s="89">
        <v>-0.15</v>
      </c>
      <c r="AT48" s="89">
        <v>-1.4999999999999999E-2</v>
      </c>
      <c r="AU48" s="89">
        <v>-0.11</v>
      </c>
      <c r="AV48" s="89">
        <v>0.02</v>
      </c>
      <c r="AW48" s="89">
        <v>-9.5000000000000001E-2</v>
      </c>
      <c r="AX48" s="89">
        <v>0.01</v>
      </c>
      <c r="AY48" s="90">
        <v>0.125</v>
      </c>
      <c r="AZ48" s="90">
        <v>0</v>
      </c>
      <c r="BA48" s="90">
        <v>-0.22</v>
      </c>
      <c r="BB48" s="89">
        <v>2.5000000000000001E-3</v>
      </c>
      <c r="BC48" s="89">
        <v>-8.7499999999999994E-2</v>
      </c>
      <c r="BD48" s="89">
        <v>5.0000000000000001E-3</v>
      </c>
      <c r="BE48" s="89">
        <v>0.21</v>
      </c>
      <c r="BF48" s="89">
        <v>0.03</v>
      </c>
      <c r="BG48" s="89">
        <v>-7.0000000000000007E-2</v>
      </c>
      <c r="BH48" s="89">
        <v>0</v>
      </c>
      <c r="BI48" s="89">
        <v>7.4999999999999997E-2</v>
      </c>
      <c r="BJ48" s="62">
        <v>0.03</v>
      </c>
      <c r="BK48" s="62">
        <v>0.21</v>
      </c>
      <c r="BL48" s="62">
        <v>0.03</v>
      </c>
      <c r="BM48" s="62">
        <v>-0.25</v>
      </c>
      <c r="BN48" s="62">
        <v>0</v>
      </c>
      <c r="BO48" s="62">
        <v>-0.42</v>
      </c>
      <c r="BP48" s="62">
        <v>0.02</v>
      </c>
      <c r="BQ48" s="62">
        <v>0.5</v>
      </c>
      <c r="BR48" s="62">
        <v>0.03</v>
      </c>
      <c r="BS48" s="62">
        <v>-8.7499999999999994E-2</v>
      </c>
      <c r="BT48" s="62">
        <v>5.0000000000000001E-3</v>
      </c>
      <c r="BU48" s="62">
        <v>0.3</v>
      </c>
      <c r="BV48" s="62">
        <v>0</v>
      </c>
      <c r="BW48" s="62">
        <v>0.21</v>
      </c>
      <c r="BX48" s="62">
        <v>0</v>
      </c>
      <c r="BY48" s="62">
        <v>-2.5000000000000001E-2</v>
      </c>
      <c r="BZ48" s="62">
        <v>5.7500000000000002E-2</v>
      </c>
      <c r="CA48" s="62">
        <v>0.125</v>
      </c>
      <c r="CB48" s="62">
        <v>5.0000000000000001E-3</v>
      </c>
      <c r="CC48" s="62">
        <v>-2.5000000000000001E-2</v>
      </c>
      <c r="CD48" s="62">
        <v>2.5000000000000001E-3</v>
      </c>
      <c r="CE48" s="62">
        <v>2.5000000000000001E-3</v>
      </c>
      <c r="CF48" s="62">
        <v>0</v>
      </c>
      <c r="CG48" s="62">
        <v>-2.5000000000000001E-2</v>
      </c>
      <c r="CH48" s="62">
        <v>2.5000000000000001E-3</v>
      </c>
      <c r="CI48" s="62">
        <v>-0.13</v>
      </c>
      <c r="CJ48" s="62">
        <v>2.5000000000000001E-3</v>
      </c>
      <c r="CK48" s="62">
        <v>7.7499999999999999E-2</v>
      </c>
      <c r="CL48" s="62">
        <v>2.5000000000000001E-3</v>
      </c>
      <c r="CM48" s="62">
        <v>-7.2499999999999995E-2</v>
      </c>
      <c r="CN48" s="62">
        <v>7.4999999999999997E-3</v>
      </c>
      <c r="CO48" s="62">
        <v>-1.7500000000000002E-2</v>
      </c>
      <c r="CP48" s="62">
        <v>5.0000000000000001E-3</v>
      </c>
      <c r="CQ48" s="62">
        <v>2.2499999999999999E-2</v>
      </c>
      <c r="CR48" s="62">
        <v>7.4999999999999997E-3</v>
      </c>
      <c r="CS48" s="62">
        <v>0.33</v>
      </c>
      <c r="CT48" s="62">
        <v>0.02</v>
      </c>
      <c r="CU48" s="62">
        <v>-0.25</v>
      </c>
      <c r="CV48" s="62">
        <v>0</v>
      </c>
      <c r="CW48" s="62">
        <v>0.13500000000000001</v>
      </c>
      <c r="CX48" s="62">
        <v>7.4999999999999997E-3</v>
      </c>
      <c r="CY48" s="62">
        <v>-0.69</v>
      </c>
      <c r="CZ48" s="62">
        <v>0</v>
      </c>
      <c r="DA48" s="62">
        <v>-0.51</v>
      </c>
      <c r="DB48" s="62">
        <v>0</v>
      </c>
      <c r="DC48" s="62">
        <v>0.75</v>
      </c>
      <c r="DE48" s="62">
        <v>-5.2499999999999998E-2</v>
      </c>
      <c r="DF48" s="62">
        <v>7.4999999999999997E-3</v>
      </c>
      <c r="DG48" s="62">
        <v>0.01</v>
      </c>
      <c r="DH48" s="62">
        <v>5.0000000000000001E-3</v>
      </c>
      <c r="DI48" s="62">
        <v>-0.02</v>
      </c>
      <c r="DJ48" s="62">
        <v>7.4999999999999997E-3</v>
      </c>
      <c r="DK48" s="62">
        <v>-0.105</v>
      </c>
      <c r="DL48" s="62">
        <v>5.0000000000000001E-3</v>
      </c>
      <c r="DM48" s="62">
        <v>-6.5000000000000002E-2</v>
      </c>
      <c r="DN48" s="62">
        <v>2.5000000000000001E-3</v>
      </c>
      <c r="DO48" s="62">
        <v>-8.5000000000000006E-2</v>
      </c>
      <c r="DP48" s="62">
        <v>2.5000000000000001E-3</v>
      </c>
      <c r="DQ48" s="62">
        <v>-0.13500000000000001</v>
      </c>
      <c r="DR48" s="62">
        <v>-5.0000000000000001E-3</v>
      </c>
      <c r="DS48" s="62">
        <v>0.32500000000000001</v>
      </c>
      <c r="DT48" s="62">
        <v>5.0000000000000001E-3</v>
      </c>
      <c r="DU48" s="62">
        <v>-0.04</v>
      </c>
      <c r="DV48" s="62">
        <v>0</v>
      </c>
    </row>
    <row r="49" spans="4:126" x14ac:dyDescent="0.25">
      <c r="D49" s="91">
        <v>38139</v>
      </c>
      <c r="F49" s="89">
        <v>3.2269999999999999</v>
      </c>
      <c r="G49" s="90">
        <v>4.0538223511899799E-2</v>
      </c>
      <c r="H49" s="89">
        <v>0.32</v>
      </c>
      <c r="I49" s="89">
        <v>0.45</v>
      </c>
      <c r="J49" s="89">
        <v>0.5</v>
      </c>
      <c r="K49" s="89">
        <v>0.4</v>
      </c>
      <c r="L49" s="87">
        <v>0.5</v>
      </c>
      <c r="M49" s="87">
        <v>0.45</v>
      </c>
      <c r="N49" s="89">
        <v>0.5</v>
      </c>
      <c r="O49" s="89">
        <v>0.5</v>
      </c>
      <c r="P49" s="89">
        <v>0.5</v>
      </c>
      <c r="Q49" s="89">
        <v>0.5</v>
      </c>
      <c r="R49" s="90">
        <v>0.45</v>
      </c>
      <c r="S49" s="90">
        <v>0.5</v>
      </c>
      <c r="T49" s="89">
        <v>0.45</v>
      </c>
      <c r="U49" s="89">
        <v>0.5</v>
      </c>
      <c r="V49" s="89">
        <v>0.6</v>
      </c>
      <c r="W49" s="89">
        <v>-0.09</v>
      </c>
      <c r="X49" s="89">
        <v>0</v>
      </c>
      <c r="Y49" s="89">
        <v>0.04</v>
      </c>
      <c r="Z49" s="89">
        <v>5.0000000000000001E-3</v>
      </c>
      <c r="AA49" s="89">
        <v>0.18</v>
      </c>
      <c r="AB49" s="89">
        <v>0</v>
      </c>
      <c r="AC49" s="89">
        <v>0.14499999999999999</v>
      </c>
      <c r="AD49" s="89">
        <v>0</v>
      </c>
      <c r="AE49" s="89">
        <v>0.18</v>
      </c>
      <c r="AF49" s="89">
        <v>0</v>
      </c>
      <c r="AG49" s="89">
        <v>0.13500000000000001</v>
      </c>
      <c r="AH49" s="89">
        <v>0</v>
      </c>
      <c r="AI49" s="89">
        <v>0.14499999999999999</v>
      </c>
      <c r="AJ49" s="89">
        <v>0</v>
      </c>
      <c r="AK49" s="89">
        <v>0.04</v>
      </c>
      <c r="AL49" s="89">
        <v>0.04</v>
      </c>
      <c r="AM49" s="89">
        <v>-7.0000000000000007E-2</v>
      </c>
      <c r="AN49" s="89">
        <v>1.0999999999999999E-2</v>
      </c>
      <c r="AO49" s="89">
        <v>-0.43</v>
      </c>
      <c r="AP49" s="89">
        <v>0.155</v>
      </c>
      <c r="AQ49" s="89">
        <v>-6.5000000000000002E-2</v>
      </c>
      <c r="AR49" s="89">
        <v>0</v>
      </c>
      <c r="AS49" s="89">
        <v>-0.15</v>
      </c>
      <c r="AT49" s="89">
        <v>-1.4999999999999999E-2</v>
      </c>
      <c r="AU49" s="89">
        <v>-0.11</v>
      </c>
      <c r="AV49" s="89">
        <v>0.02</v>
      </c>
      <c r="AW49" s="89">
        <v>-9.5000000000000001E-2</v>
      </c>
      <c r="AX49" s="89">
        <v>0.01</v>
      </c>
      <c r="AY49" s="90">
        <v>0.125</v>
      </c>
      <c r="AZ49" s="90">
        <v>0</v>
      </c>
      <c r="BA49" s="90">
        <v>-0.22</v>
      </c>
      <c r="BB49" s="89">
        <v>2.5000000000000001E-3</v>
      </c>
      <c r="BC49" s="89">
        <v>-8.7499999999999994E-2</v>
      </c>
      <c r="BD49" s="89">
        <v>5.0000000000000001E-3</v>
      </c>
      <c r="BE49" s="89">
        <v>0.21</v>
      </c>
      <c r="BF49" s="89">
        <v>0.03</v>
      </c>
      <c r="BG49" s="89">
        <v>-7.0000000000000007E-2</v>
      </c>
      <c r="BH49" s="89">
        <v>0</v>
      </c>
      <c r="BI49" s="89">
        <v>7.4999999999999997E-2</v>
      </c>
      <c r="BJ49" s="62">
        <v>0.03</v>
      </c>
      <c r="BK49" s="62">
        <v>0.21</v>
      </c>
      <c r="BL49" s="62">
        <v>0.03</v>
      </c>
      <c r="BM49" s="62">
        <v>-0.25</v>
      </c>
      <c r="BN49" s="62">
        <v>0</v>
      </c>
      <c r="BO49" s="62">
        <v>-0.42</v>
      </c>
      <c r="BP49" s="62">
        <v>0.02</v>
      </c>
      <c r="BQ49" s="62">
        <v>0.5</v>
      </c>
      <c r="BR49" s="62">
        <v>0.03</v>
      </c>
      <c r="BS49" s="62">
        <v>-8.7499999999999994E-2</v>
      </c>
      <c r="BT49" s="62">
        <v>5.0000000000000001E-3</v>
      </c>
      <c r="BU49" s="62">
        <v>0.3</v>
      </c>
      <c r="BV49" s="62">
        <v>0</v>
      </c>
      <c r="BW49" s="62">
        <v>0.21</v>
      </c>
      <c r="BX49" s="62">
        <v>0</v>
      </c>
      <c r="BY49" s="62">
        <v>-2.5000000000000001E-2</v>
      </c>
      <c r="BZ49" s="62">
        <v>5.7500000000000002E-2</v>
      </c>
      <c r="CA49" s="62">
        <v>0.14499999999999999</v>
      </c>
      <c r="CB49" s="62">
        <v>5.0000000000000001E-3</v>
      </c>
      <c r="CC49" s="62">
        <v>-2.5000000000000001E-2</v>
      </c>
      <c r="CD49" s="62">
        <v>2.5000000000000001E-3</v>
      </c>
      <c r="CE49" s="62">
        <v>2.5000000000000001E-3</v>
      </c>
      <c r="CF49" s="62">
        <v>0</v>
      </c>
      <c r="CG49" s="62">
        <v>-2.5000000000000001E-2</v>
      </c>
      <c r="CH49" s="62">
        <v>2.5000000000000001E-3</v>
      </c>
      <c r="CI49" s="62">
        <v>-8.7499999999999994E-2</v>
      </c>
      <c r="CJ49" s="62">
        <v>2.5000000000000001E-3</v>
      </c>
      <c r="CK49" s="62">
        <v>7.7499999999999999E-2</v>
      </c>
      <c r="CL49" s="62">
        <v>2.5000000000000001E-3</v>
      </c>
      <c r="CM49" s="62">
        <v>-7.2499999999999995E-2</v>
      </c>
      <c r="CN49" s="62">
        <v>7.4999999999999997E-3</v>
      </c>
      <c r="CO49" s="62">
        <v>-1.7500000000000002E-2</v>
      </c>
      <c r="CP49" s="62">
        <v>5.0000000000000001E-3</v>
      </c>
      <c r="CQ49" s="62">
        <v>2.2499999999999999E-2</v>
      </c>
      <c r="CR49" s="62">
        <v>7.4999999999999997E-3</v>
      </c>
      <c r="CS49" s="62">
        <v>0.37</v>
      </c>
      <c r="CT49" s="62">
        <v>3.5000000000000003E-2</v>
      </c>
      <c r="CU49" s="62">
        <v>-0.25</v>
      </c>
      <c r="CV49" s="62">
        <v>0</v>
      </c>
      <c r="CW49" s="62">
        <v>0.16500000000000001</v>
      </c>
      <c r="CX49" s="62">
        <v>7.4999999999999997E-3</v>
      </c>
      <c r="CY49" s="62">
        <v>-0.69</v>
      </c>
      <c r="CZ49" s="62">
        <v>0</v>
      </c>
      <c r="DA49" s="62">
        <v>-0.51</v>
      </c>
      <c r="DB49" s="62">
        <v>0</v>
      </c>
      <c r="DC49" s="62">
        <v>0.85</v>
      </c>
      <c r="DE49" s="62">
        <v>-0.05</v>
      </c>
      <c r="DF49" s="62">
        <v>7.4999999999999997E-3</v>
      </c>
      <c r="DG49" s="62">
        <v>1.2500000000000001E-2</v>
      </c>
      <c r="DH49" s="62">
        <v>5.0000000000000001E-3</v>
      </c>
      <c r="DI49" s="62">
        <v>-1.7500000000000002E-2</v>
      </c>
      <c r="DJ49" s="62">
        <v>7.4999999999999997E-3</v>
      </c>
      <c r="DK49" s="62">
        <v>-5.2499999999999998E-2</v>
      </c>
      <c r="DL49" s="62">
        <v>5.0000000000000001E-3</v>
      </c>
      <c r="DM49" s="62">
        <v>-6.5000000000000002E-2</v>
      </c>
      <c r="DN49" s="62">
        <v>2.5000000000000001E-3</v>
      </c>
      <c r="DO49" s="62">
        <v>-8.5000000000000006E-2</v>
      </c>
      <c r="DP49" s="62">
        <v>2.5000000000000001E-3</v>
      </c>
      <c r="DQ49" s="62">
        <v>-8.2500000000000004E-2</v>
      </c>
      <c r="DR49" s="62">
        <v>-5.0000000000000001E-3</v>
      </c>
      <c r="DS49" s="62">
        <v>0.33500000000000002</v>
      </c>
      <c r="DT49" s="62">
        <v>5.0000000000000001E-3</v>
      </c>
      <c r="DU49" s="62">
        <v>-0.04</v>
      </c>
      <c r="DV49" s="62">
        <v>0</v>
      </c>
    </row>
    <row r="50" spans="4:126" x14ac:dyDescent="0.25">
      <c r="D50" s="91">
        <v>38169</v>
      </c>
      <c r="F50" s="89">
        <v>3.2669999999999999</v>
      </c>
      <c r="G50" s="90">
        <v>4.12152492802473E-2</v>
      </c>
      <c r="H50" s="89">
        <v>0.32</v>
      </c>
      <c r="I50" s="89">
        <v>0.5</v>
      </c>
      <c r="J50" s="89">
        <v>0.5</v>
      </c>
      <c r="K50" s="89">
        <v>0.4</v>
      </c>
      <c r="L50" s="87">
        <v>0.5</v>
      </c>
      <c r="M50" s="87">
        <v>0.5</v>
      </c>
      <c r="N50" s="89">
        <v>0.5</v>
      </c>
      <c r="O50" s="89">
        <v>0.5</v>
      </c>
      <c r="P50" s="89">
        <v>0.5</v>
      </c>
      <c r="Q50" s="89">
        <v>0.5</v>
      </c>
      <c r="R50" s="90">
        <v>0.5</v>
      </c>
      <c r="S50" s="90">
        <v>0.55000000000000004</v>
      </c>
      <c r="T50" s="89">
        <v>0.5</v>
      </c>
      <c r="U50" s="89">
        <v>0.5</v>
      </c>
      <c r="V50" s="89">
        <v>0.6</v>
      </c>
      <c r="W50" s="89">
        <v>-0.09</v>
      </c>
      <c r="X50" s="89">
        <v>0</v>
      </c>
      <c r="Y50" s="89">
        <v>0.04</v>
      </c>
      <c r="Z50" s="89">
        <v>5.0000000000000001E-3</v>
      </c>
      <c r="AA50" s="89">
        <v>0.18</v>
      </c>
      <c r="AB50" s="89">
        <v>0</v>
      </c>
      <c r="AC50" s="89">
        <v>0.14499999999999999</v>
      </c>
      <c r="AD50" s="89">
        <v>0</v>
      </c>
      <c r="AE50" s="89">
        <v>0.18</v>
      </c>
      <c r="AF50" s="89">
        <v>0</v>
      </c>
      <c r="AG50" s="89">
        <v>0.13500000000000001</v>
      </c>
      <c r="AH50" s="89">
        <v>0</v>
      </c>
      <c r="AI50" s="89">
        <v>0.14499999999999999</v>
      </c>
      <c r="AJ50" s="89">
        <v>0</v>
      </c>
      <c r="AK50" s="89">
        <v>0.04</v>
      </c>
      <c r="AL50" s="89">
        <v>0.04</v>
      </c>
      <c r="AM50" s="89">
        <v>-7.0000000000000007E-2</v>
      </c>
      <c r="AN50" s="89">
        <v>1.0999999999999999E-2</v>
      </c>
      <c r="AO50" s="89">
        <v>-0.43</v>
      </c>
      <c r="AP50" s="89">
        <v>0.155</v>
      </c>
      <c r="AQ50" s="89">
        <v>-6.5000000000000002E-2</v>
      </c>
      <c r="AR50" s="89">
        <v>0</v>
      </c>
      <c r="AS50" s="89">
        <v>-0.15</v>
      </c>
      <c r="AT50" s="89">
        <v>-1.4999999999999999E-2</v>
      </c>
      <c r="AU50" s="89">
        <v>-0.11</v>
      </c>
      <c r="AV50" s="89">
        <v>0.02</v>
      </c>
      <c r="AW50" s="89">
        <v>-9.5000000000000001E-2</v>
      </c>
      <c r="AX50" s="89">
        <v>0.01</v>
      </c>
      <c r="AY50" s="90">
        <v>0.125</v>
      </c>
      <c r="AZ50" s="90">
        <v>0</v>
      </c>
      <c r="BA50" s="90">
        <v>-0.22</v>
      </c>
      <c r="BB50" s="89">
        <v>2.5000000000000001E-3</v>
      </c>
      <c r="BC50" s="89">
        <v>-8.7499999999999994E-2</v>
      </c>
      <c r="BD50" s="89">
        <v>5.0000000000000001E-3</v>
      </c>
      <c r="BE50" s="89">
        <v>0.21</v>
      </c>
      <c r="BF50" s="89">
        <v>0.03</v>
      </c>
      <c r="BG50" s="89">
        <v>-7.0000000000000007E-2</v>
      </c>
      <c r="BH50" s="89">
        <v>0</v>
      </c>
      <c r="BI50" s="89">
        <v>7.4999999999999997E-2</v>
      </c>
      <c r="BJ50" s="62">
        <v>0.03</v>
      </c>
      <c r="BK50" s="62">
        <v>0.21</v>
      </c>
      <c r="BL50" s="62">
        <v>0.03</v>
      </c>
      <c r="BM50" s="62">
        <v>-0.25</v>
      </c>
      <c r="BN50" s="62">
        <v>0</v>
      </c>
      <c r="BO50" s="62">
        <v>-0.42</v>
      </c>
      <c r="BP50" s="62">
        <v>0.02</v>
      </c>
      <c r="BQ50" s="62">
        <v>0.5</v>
      </c>
      <c r="BR50" s="62">
        <v>0.03</v>
      </c>
      <c r="BS50" s="62">
        <v>-8.7499999999999994E-2</v>
      </c>
      <c r="BT50" s="62">
        <v>5.0000000000000001E-3</v>
      </c>
      <c r="BU50" s="62">
        <v>0.3</v>
      </c>
      <c r="BV50" s="62">
        <v>0</v>
      </c>
      <c r="BW50" s="62">
        <v>0.21</v>
      </c>
      <c r="BX50" s="62">
        <v>0</v>
      </c>
      <c r="BY50" s="62">
        <v>-2.5000000000000001E-2</v>
      </c>
      <c r="BZ50" s="62">
        <v>5.7500000000000002E-2</v>
      </c>
      <c r="CA50" s="62">
        <v>0.15</v>
      </c>
      <c r="CB50" s="62">
        <v>5.0000000000000001E-3</v>
      </c>
      <c r="CC50" s="62">
        <v>-2.5000000000000001E-2</v>
      </c>
      <c r="CD50" s="62">
        <v>2.5000000000000001E-3</v>
      </c>
      <c r="CE50" s="62">
        <v>2.5000000000000001E-3</v>
      </c>
      <c r="CF50" s="62">
        <v>0</v>
      </c>
      <c r="CG50" s="62">
        <v>-2.5000000000000001E-2</v>
      </c>
      <c r="CH50" s="62">
        <v>2.5000000000000001E-3</v>
      </c>
      <c r="CI50" s="62">
        <v>-8.5000000000000006E-2</v>
      </c>
      <c r="CJ50" s="62">
        <v>2.5000000000000001E-3</v>
      </c>
      <c r="CK50" s="62">
        <v>7.7499999999999999E-2</v>
      </c>
      <c r="CL50" s="62">
        <v>2.5000000000000001E-3</v>
      </c>
      <c r="CM50" s="62">
        <v>-7.2499999999999995E-2</v>
      </c>
      <c r="CN50" s="62">
        <v>7.4999999999999997E-3</v>
      </c>
      <c r="CO50" s="62">
        <v>-1.7500000000000002E-2</v>
      </c>
      <c r="CP50" s="62">
        <v>5.0000000000000001E-3</v>
      </c>
      <c r="CQ50" s="62">
        <v>2.2499999999999999E-2</v>
      </c>
      <c r="CR50" s="62">
        <v>7.4999999999999997E-3</v>
      </c>
      <c r="CS50" s="62">
        <v>0.41</v>
      </c>
      <c r="CT50" s="62">
        <v>3.5000000000000003E-2</v>
      </c>
      <c r="CU50" s="62">
        <v>-0.25</v>
      </c>
      <c r="CV50" s="62">
        <v>0</v>
      </c>
      <c r="CW50" s="62">
        <v>0.20499999999999999</v>
      </c>
      <c r="CX50" s="62">
        <v>7.4999999999999997E-3</v>
      </c>
      <c r="CY50" s="62">
        <v>-0.69</v>
      </c>
      <c r="CZ50" s="62">
        <v>0</v>
      </c>
      <c r="DA50" s="62">
        <v>-0.51</v>
      </c>
      <c r="DB50" s="62">
        <v>0</v>
      </c>
      <c r="DC50" s="62">
        <v>1.05</v>
      </c>
      <c r="DE50" s="62">
        <v>-0.05</v>
      </c>
      <c r="DF50" s="62">
        <v>7.4999999999999997E-3</v>
      </c>
      <c r="DG50" s="62">
        <v>1.2500000000000001E-2</v>
      </c>
      <c r="DH50" s="62">
        <v>5.0000000000000001E-3</v>
      </c>
      <c r="DI50" s="62">
        <v>-1.7500000000000002E-2</v>
      </c>
      <c r="DJ50" s="62">
        <v>7.4999999999999997E-3</v>
      </c>
      <c r="DK50" s="62">
        <v>-6.25E-2</v>
      </c>
      <c r="DL50" s="62">
        <v>5.0000000000000001E-3</v>
      </c>
      <c r="DM50" s="62">
        <v>-6.5000000000000002E-2</v>
      </c>
      <c r="DN50" s="62">
        <v>2.5000000000000001E-3</v>
      </c>
      <c r="DO50" s="62">
        <v>-8.5000000000000006E-2</v>
      </c>
      <c r="DP50" s="62">
        <v>2.5000000000000001E-3</v>
      </c>
      <c r="DQ50" s="62">
        <v>-9.2499999999999999E-2</v>
      </c>
      <c r="DR50" s="62">
        <v>-5.0000000000000001E-3</v>
      </c>
      <c r="DS50" s="62">
        <v>0.35</v>
      </c>
      <c r="DT50" s="62">
        <v>5.0000000000000001E-3</v>
      </c>
      <c r="DU50" s="62">
        <v>-0.04</v>
      </c>
      <c r="DV50" s="62">
        <v>0</v>
      </c>
    </row>
    <row r="51" spans="4:126" x14ac:dyDescent="0.25">
      <c r="D51" s="91">
        <v>38200</v>
      </c>
      <c r="F51" s="89">
        <v>3.3069999999999999</v>
      </c>
      <c r="G51" s="90">
        <v>4.1873365630825901E-2</v>
      </c>
      <c r="H51" s="89">
        <v>0.32</v>
      </c>
      <c r="I51" s="89">
        <v>0.55000000000000004</v>
      </c>
      <c r="J51" s="89">
        <v>0.55000000000000004</v>
      </c>
      <c r="K51" s="89">
        <v>0.5</v>
      </c>
      <c r="L51" s="87">
        <v>0.6</v>
      </c>
      <c r="M51" s="87">
        <v>0.55000000000000004</v>
      </c>
      <c r="N51" s="89">
        <v>0.6</v>
      </c>
      <c r="O51" s="89">
        <v>0.55000000000000004</v>
      </c>
      <c r="P51" s="89">
        <v>0.6</v>
      </c>
      <c r="Q51" s="89">
        <v>0.45</v>
      </c>
      <c r="R51" s="90">
        <v>0.55000000000000004</v>
      </c>
      <c r="S51" s="90">
        <v>0.6</v>
      </c>
      <c r="T51" s="89">
        <v>0.55000000000000004</v>
      </c>
      <c r="U51" s="89">
        <v>0.6</v>
      </c>
      <c r="V51" s="89">
        <v>0.7</v>
      </c>
      <c r="W51" s="89">
        <v>-0.09</v>
      </c>
      <c r="X51" s="89">
        <v>0</v>
      </c>
      <c r="Y51" s="89">
        <v>0.04</v>
      </c>
      <c r="Z51" s="89">
        <v>5.0000000000000001E-3</v>
      </c>
      <c r="AA51" s="89">
        <v>0.18</v>
      </c>
      <c r="AB51" s="89">
        <v>0</v>
      </c>
      <c r="AC51" s="89">
        <v>0.14499999999999999</v>
      </c>
      <c r="AD51" s="89">
        <v>0</v>
      </c>
      <c r="AE51" s="89">
        <v>0.18</v>
      </c>
      <c r="AF51" s="89">
        <v>0</v>
      </c>
      <c r="AG51" s="89">
        <v>0.13500000000000001</v>
      </c>
      <c r="AH51" s="89">
        <v>0</v>
      </c>
      <c r="AI51" s="89">
        <v>0.14499999999999999</v>
      </c>
      <c r="AJ51" s="89">
        <v>0</v>
      </c>
      <c r="AK51" s="89">
        <v>0.04</v>
      </c>
      <c r="AL51" s="89">
        <v>0.04</v>
      </c>
      <c r="AM51" s="89">
        <v>-7.0000000000000007E-2</v>
      </c>
      <c r="AN51" s="89">
        <v>1.0999999999999999E-2</v>
      </c>
      <c r="AO51" s="89">
        <v>-0.43</v>
      </c>
      <c r="AP51" s="89">
        <v>0.155</v>
      </c>
      <c r="AQ51" s="89">
        <v>-6.5000000000000002E-2</v>
      </c>
      <c r="AR51" s="89">
        <v>0</v>
      </c>
      <c r="AS51" s="89">
        <v>-0.15</v>
      </c>
      <c r="AT51" s="89">
        <v>-1.4999999999999999E-2</v>
      </c>
      <c r="AU51" s="89">
        <v>-0.11</v>
      </c>
      <c r="AV51" s="89">
        <v>0.02</v>
      </c>
      <c r="AW51" s="89">
        <v>-9.5000000000000001E-2</v>
      </c>
      <c r="AX51" s="89">
        <v>0.01</v>
      </c>
      <c r="AY51" s="90">
        <v>0.125</v>
      </c>
      <c r="AZ51" s="90">
        <v>0</v>
      </c>
      <c r="BA51" s="90">
        <v>-0.22</v>
      </c>
      <c r="BB51" s="89">
        <v>2.5000000000000001E-3</v>
      </c>
      <c r="BC51" s="89">
        <v>-8.7499999999999994E-2</v>
      </c>
      <c r="BD51" s="89">
        <v>5.0000000000000001E-3</v>
      </c>
      <c r="BE51" s="89">
        <v>0.21</v>
      </c>
      <c r="BF51" s="89">
        <v>0.03</v>
      </c>
      <c r="BG51" s="89">
        <v>-7.0000000000000007E-2</v>
      </c>
      <c r="BH51" s="89">
        <v>0</v>
      </c>
      <c r="BI51" s="89">
        <v>7.4999999999999997E-2</v>
      </c>
      <c r="BJ51" s="62">
        <v>0.03</v>
      </c>
      <c r="BK51" s="62">
        <v>0.21</v>
      </c>
      <c r="BL51" s="62">
        <v>0.03</v>
      </c>
      <c r="BM51" s="62">
        <v>-0.25</v>
      </c>
      <c r="BN51" s="62">
        <v>0</v>
      </c>
      <c r="BO51" s="62">
        <v>-0.42</v>
      </c>
      <c r="BP51" s="62">
        <v>0.02</v>
      </c>
      <c r="BQ51" s="62">
        <v>0.5</v>
      </c>
      <c r="BR51" s="62">
        <v>0.03</v>
      </c>
      <c r="BS51" s="62">
        <v>-8.7499999999999994E-2</v>
      </c>
      <c r="BT51" s="62">
        <v>5.0000000000000001E-3</v>
      </c>
      <c r="BU51" s="62">
        <v>0.3</v>
      </c>
      <c r="BV51" s="62">
        <v>0</v>
      </c>
      <c r="BW51" s="62">
        <v>0.21</v>
      </c>
      <c r="BX51" s="62">
        <v>0</v>
      </c>
      <c r="BY51" s="62">
        <v>-2.5000000000000001E-2</v>
      </c>
      <c r="BZ51" s="62">
        <v>5.7500000000000002E-2</v>
      </c>
      <c r="CA51" s="62">
        <v>0.15</v>
      </c>
      <c r="CB51" s="62">
        <v>5.0000000000000001E-3</v>
      </c>
      <c r="CC51" s="62">
        <v>-2.5000000000000001E-2</v>
      </c>
      <c r="CD51" s="62">
        <v>2.5000000000000001E-3</v>
      </c>
      <c r="CE51" s="62">
        <v>2.5000000000000001E-3</v>
      </c>
      <c r="CF51" s="62">
        <v>0</v>
      </c>
      <c r="CG51" s="62">
        <v>-2.5000000000000001E-2</v>
      </c>
      <c r="CH51" s="62">
        <v>2.5000000000000001E-3</v>
      </c>
      <c r="CI51" s="62">
        <v>-8.2500000000000004E-2</v>
      </c>
      <c r="CJ51" s="62">
        <v>2.5000000000000001E-3</v>
      </c>
      <c r="CK51" s="62">
        <v>7.7499999999999999E-2</v>
      </c>
      <c r="CL51" s="62">
        <v>2.5000000000000001E-3</v>
      </c>
      <c r="CM51" s="62">
        <v>-7.2499999999999995E-2</v>
      </c>
      <c r="CN51" s="62">
        <v>7.4999999999999997E-3</v>
      </c>
      <c r="CO51" s="62">
        <v>-1.7500000000000002E-2</v>
      </c>
      <c r="CP51" s="62">
        <v>5.0000000000000001E-3</v>
      </c>
      <c r="CQ51" s="62">
        <v>2.2499999999999999E-2</v>
      </c>
      <c r="CR51" s="62">
        <v>7.4999999999999997E-3</v>
      </c>
      <c r="CS51" s="62">
        <v>0.41</v>
      </c>
      <c r="CT51" s="62">
        <v>0.01</v>
      </c>
      <c r="CU51" s="62">
        <v>-0.25</v>
      </c>
      <c r="CV51" s="62">
        <v>0</v>
      </c>
      <c r="CW51" s="62">
        <v>0.20499999999999999</v>
      </c>
      <c r="CX51" s="62">
        <v>7.4999999999999997E-3</v>
      </c>
      <c r="CY51" s="62">
        <v>-0.69</v>
      </c>
      <c r="CZ51" s="62">
        <v>0</v>
      </c>
      <c r="DA51" s="62">
        <v>-0.51</v>
      </c>
      <c r="DB51" s="62">
        <v>0</v>
      </c>
      <c r="DC51" s="62">
        <v>1.05</v>
      </c>
      <c r="DE51" s="62">
        <v>-0.05</v>
      </c>
      <c r="DF51" s="62">
        <v>7.4999999999999997E-3</v>
      </c>
      <c r="DG51" s="62">
        <v>1.2500000000000001E-2</v>
      </c>
      <c r="DH51" s="62">
        <v>5.0000000000000001E-3</v>
      </c>
      <c r="DI51" s="62">
        <v>-1.7500000000000002E-2</v>
      </c>
      <c r="DJ51" s="62">
        <v>7.4999999999999997E-3</v>
      </c>
      <c r="DK51" s="62">
        <v>-5.7500000000000002E-2</v>
      </c>
      <c r="DL51" s="62">
        <v>5.0000000000000001E-3</v>
      </c>
      <c r="DM51" s="62">
        <v>-6.5000000000000002E-2</v>
      </c>
      <c r="DN51" s="62">
        <v>2.5000000000000001E-3</v>
      </c>
      <c r="DO51" s="62">
        <v>-8.5000000000000006E-2</v>
      </c>
      <c r="DP51" s="62">
        <v>2.5000000000000001E-3</v>
      </c>
      <c r="DQ51" s="62">
        <v>-8.7499999999999994E-2</v>
      </c>
      <c r="DR51" s="62">
        <v>-5.0000000000000001E-3</v>
      </c>
      <c r="DS51" s="62">
        <v>0.35</v>
      </c>
      <c r="DT51" s="62">
        <v>-5.0000000000000001E-3</v>
      </c>
      <c r="DU51" s="62">
        <v>-0.04</v>
      </c>
      <c r="DV51" s="62">
        <v>0</v>
      </c>
    </row>
    <row r="52" spans="4:126" x14ac:dyDescent="0.25">
      <c r="D52" s="91">
        <v>38231</v>
      </c>
      <c r="F52" s="89">
        <v>3.302</v>
      </c>
      <c r="G52" s="90">
        <v>4.2531482126591399E-2</v>
      </c>
      <c r="H52" s="89">
        <v>0.32</v>
      </c>
      <c r="I52" s="89">
        <v>0.55000000000000004</v>
      </c>
      <c r="J52" s="89">
        <v>0.55000000000000004</v>
      </c>
      <c r="K52" s="89">
        <v>0.55000000000000004</v>
      </c>
      <c r="L52" s="87">
        <v>0.55000000000000004</v>
      </c>
      <c r="M52" s="87">
        <v>0.55000000000000004</v>
      </c>
      <c r="N52" s="89">
        <v>0.6</v>
      </c>
      <c r="O52" s="89">
        <v>0.6</v>
      </c>
      <c r="P52" s="89">
        <v>0.55000000000000004</v>
      </c>
      <c r="Q52" s="89">
        <v>0.5</v>
      </c>
      <c r="R52" s="90">
        <v>0.55000000000000004</v>
      </c>
      <c r="S52" s="90">
        <v>0.6</v>
      </c>
      <c r="T52" s="89">
        <v>0.55000000000000004</v>
      </c>
      <c r="U52" s="89">
        <v>0.6</v>
      </c>
      <c r="V52" s="89">
        <v>0.65</v>
      </c>
      <c r="W52" s="89">
        <v>-0.09</v>
      </c>
      <c r="X52" s="89">
        <v>0</v>
      </c>
      <c r="Y52" s="89">
        <v>0.04</v>
      </c>
      <c r="Z52" s="89">
        <v>5.0000000000000001E-3</v>
      </c>
      <c r="AA52" s="89">
        <v>0.18</v>
      </c>
      <c r="AB52" s="89">
        <v>0</v>
      </c>
      <c r="AC52" s="89">
        <v>0.14499999999999999</v>
      </c>
      <c r="AD52" s="89">
        <v>0</v>
      </c>
      <c r="AE52" s="89">
        <v>0.18</v>
      </c>
      <c r="AF52" s="89">
        <v>0</v>
      </c>
      <c r="AG52" s="89">
        <v>0.13500000000000001</v>
      </c>
      <c r="AH52" s="89">
        <v>0</v>
      </c>
      <c r="AI52" s="89">
        <v>0.14499999999999999</v>
      </c>
      <c r="AJ52" s="89">
        <v>0</v>
      </c>
      <c r="AK52" s="89">
        <v>0.04</v>
      </c>
      <c r="AL52" s="89">
        <v>0.04</v>
      </c>
      <c r="AM52" s="89">
        <v>-7.0000000000000007E-2</v>
      </c>
      <c r="AN52" s="89">
        <v>1.0999999999999999E-2</v>
      </c>
      <c r="AO52" s="89">
        <v>-0.43</v>
      </c>
      <c r="AP52" s="89">
        <v>0.155</v>
      </c>
      <c r="AQ52" s="89">
        <v>-6.5000000000000002E-2</v>
      </c>
      <c r="AR52" s="89">
        <v>0</v>
      </c>
      <c r="AS52" s="89">
        <v>-0.15</v>
      </c>
      <c r="AT52" s="89">
        <v>-1.4999999999999999E-2</v>
      </c>
      <c r="AU52" s="89">
        <v>-0.11</v>
      </c>
      <c r="AV52" s="89">
        <v>0.02</v>
      </c>
      <c r="AW52" s="89">
        <v>-9.5000000000000001E-2</v>
      </c>
      <c r="AX52" s="89">
        <v>0.01</v>
      </c>
      <c r="AY52" s="90">
        <v>0.125</v>
      </c>
      <c r="AZ52" s="90">
        <v>0</v>
      </c>
      <c r="BA52" s="90">
        <v>-0.22</v>
      </c>
      <c r="BB52" s="89">
        <v>2.5000000000000001E-3</v>
      </c>
      <c r="BC52" s="89">
        <v>-8.7499999999999994E-2</v>
      </c>
      <c r="BD52" s="89">
        <v>5.0000000000000001E-3</v>
      </c>
      <c r="BE52" s="89">
        <v>0.21</v>
      </c>
      <c r="BF52" s="89">
        <v>0.03</v>
      </c>
      <c r="BG52" s="89">
        <v>-7.0000000000000007E-2</v>
      </c>
      <c r="BH52" s="89">
        <v>0</v>
      </c>
      <c r="BI52" s="89">
        <v>7.4999999999999997E-2</v>
      </c>
      <c r="BJ52" s="62">
        <v>0.03</v>
      </c>
      <c r="BK52" s="62">
        <v>0.21</v>
      </c>
      <c r="BL52" s="62">
        <v>0.03</v>
      </c>
      <c r="BM52" s="62">
        <v>-0.25</v>
      </c>
      <c r="BN52" s="62">
        <v>0</v>
      </c>
      <c r="BO52" s="62">
        <v>-0.42</v>
      </c>
      <c r="BP52" s="62">
        <v>0.02</v>
      </c>
      <c r="BQ52" s="62">
        <v>0.5</v>
      </c>
      <c r="BR52" s="62">
        <v>0.03</v>
      </c>
      <c r="BS52" s="62">
        <v>-8.7499999999999994E-2</v>
      </c>
      <c r="BT52" s="62">
        <v>5.0000000000000001E-3</v>
      </c>
      <c r="BU52" s="62">
        <v>0.3</v>
      </c>
      <c r="BV52" s="62">
        <v>0</v>
      </c>
      <c r="BW52" s="62">
        <v>0.21</v>
      </c>
      <c r="BX52" s="62">
        <v>0</v>
      </c>
      <c r="BY52" s="62">
        <v>-2.5000000000000001E-2</v>
      </c>
      <c r="BZ52" s="62">
        <v>5.7500000000000002E-2</v>
      </c>
      <c r="CA52" s="62">
        <v>0.125</v>
      </c>
      <c r="CB52" s="62">
        <v>5.0000000000000001E-3</v>
      </c>
      <c r="CC52" s="62">
        <v>-2.5000000000000001E-2</v>
      </c>
      <c r="CD52" s="62">
        <v>2.5000000000000001E-3</v>
      </c>
      <c r="CE52" s="62">
        <v>2.5000000000000001E-3</v>
      </c>
      <c r="CF52" s="62">
        <v>0</v>
      </c>
      <c r="CG52" s="62">
        <v>-2.5000000000000001E-2</v>
      </c>
      <c r="CH52" s="62">
        <v>2.5000000000000001E-3</v>
      </c>
      <c r="CI52" s="62">
        <v>-8.7499999999999994E-2</v>
      </c>
      <c r="CJ52" s="62">
        <v>2.5000000000000001E-3</v>
      </c>
      <c r="CK52" s="62">
        <v>7.7499999999999999E-2</v>
      </c>
      <c r="CL52" s="62">
        <v>2.5000000000000001E-3</v>
      </c>
      <c r="CM52" s="62">
        <v>-7.2499999999999995E-2</v>
      </c>
      <c r="CN52" s="62">
        <v>7.4999999999999997E-3</v>
      </c>
      <c r="CO52" s="62">
        <v>-1.7500000000000002E-2</v>
      </c>
      <c r="CP52" s="62">
        <v>5.0000000000000001E-3</v>
      </c>
      <c r="CQ52" s="62">
        <v>2.2499999999999999E-2</v>
      </c>
      <c r="CR52" s="62">
        <v>7.4999999999999997E-3</v>
      </c>
      <c r="CS52" s="62">
        <v>0.36</v>
      </c>
      <c r="CT52" s="62">
        <v>0.01</v>
      </c>
      <c r="CU52" s="62">
        <v>-0.25</v>
      </c>
      <c r="CV52" s="62">
        <v>0</v>
      </c>
      <c r="CW52" s="62">
        <v>0.14499999999999999</v>
      </c>
      <c r="CX52" s="62">
        <v>7.4999999999999997E-3</v>
      </c>
      <c r="CY52" s="62">
        <v>-0.69</v>
      </c>
      <c r="CZ52" s="62">
        <v>0</v>
      </c>
      <c r="DA52" s="62">
        <v>-0.51</v>
      </c>
      <c r="DB52" s="62">
        <v>0</v>
      </c>
      <c r="DC52" s="62">
        <v>0.75</v>
      </c>
      <c r="DE52" s="62">
        <v>-5.5E-2</v>
      </c>
      <c r="DF52" s="62">
        <v>7.4999999999999997E-3</v>
      </c>
      <c r="DG52" s="62">
        <v>7.4999999999999997E-3</v>
      </c>
      <c r="DH52" s="62">
        <v>5.0000000000000001E-3</v>
      </c>
      <c r="DI52" s="62">
        <v>-2.2499999999999999E-2</v>
      </c>
      <c r="DJ52" s="62">
        <v>7.4999999999999997E-3</v>
      </c>
      <c r="DK52" s="62">
        <v>-6.7500000000000004E-2</v>
      </c>
      <c r="DL52" s="62">
        <v>5.0000000000000001E-3</v>
      </c>
      <c r="DM52" s="62">
        <v>-6.5000000000000002E-2</v>
      </c>
      <c r="DN52" s="62">
        <v>2.5000000000000001E-3</v>
      </c>
      <c r="DO52" s="62">
        <v>-8.5000000000000006E-2</v>
      </c>
      <c r="DP52" s="62">
        <v>2.5000000000000001E-3</v>
      </c>
      <c r="DQ52" s="62">
        <v>-9.7500000000000003E-2</v>
      </c>
      <c r="DR52" s="62">
        <v>-5.0000000000000001E-3</v>
      </c>
      <c r="DS52" s="62">
        <v>0.315</v>
      </c>
      <c r="DT52" s="62">
        <v>-5.0000000000000001E-3</v>
      </c>
      <c r="DU52" s="62">
        <v>-0.04</v>
      </c>
      <c r="DV52" s="62">
        <v>0</v>
      </c>
    </row>
    <row r="53" spans="4:126" x14ac:dyDescent="0.25">
      <c r="D53" s="91">
        <v>38261</v>
      </c>
      <c r="F53" s="89">
        <v>3.327</v>
      </c>
      <c r="G53" s="90">
        <v>4.3133129078657198E-2</v>
      </c>
      <c r="H53" s="89">
        <v>0.32</v>
      </c>
      <c r="I53" s="89">
        <v>0.6</v>
      </c>
      <c r="J53" s="89">
        <v>0.6</v>
      </c>
      <c r="K53" s="89">
        <v>0.55000000000000004</v>
      </c>
      <c r="L53" s="87">
        <v>0.6</v>
      </c>
      <c r="M53" s="87">
        <v>0.6</v>
      </c>
      <c r="N53" s="89">
        <v>0.65</v>
      </c>
      <c r="O53" s="89">
        <v>0.65</v>
      </c>
      <c r="P53" s="89">
        <v>0.6</v>
      </c>
      <c r="Q53" s="89">
        <v>0.5</v>
      </c>
      <c r="R53" s="90">
        <v>0.6</v>
      </c>
      <c r="S53" s="90">
        <v>0.65</v>
      </c>
      <c r="T53" s="89">
        <v>0.6</v>
      </c>
      <c r="U53" s="89">
        <v>0.65</v>
      </c>
      <c r="V53" s="89">
        <v>0.7</v>
      </c>
      <c r="W53" s="89">
        <v>-0.09</v>
      </c>
      <c r="X53" s="89">
        <v>0</v>
      </c>
      <c r="Y53" s="89">
        <v>0.04</v>
      </c>
      <c r="Z53" s="89">
        <v>5.0000000000000001E-3</v>
      </c>
      <c r="AA53" s="89">
        <v>0.18</v>
      </c>
      <c r="AB53" s="89">
        <v>0</v>
      </c>
      <c r="AC53" s="89">
        <v>0.14499999999999999</v>
      </c>
      <c r="AD53" s="89">
        <v>0</v>
      </c>
      <c r="AE53" s="89">
        <v>0.18</v>
      </c>
      <c r="AF53" s="89">
        <v>0</v>
      </c>
      <c r="AG53" s="89">
        <v>0.13500000000000001</v>
      </c>
      <c r="AH53" s="89">
        <v>0</v>
      </c>
      <c r="AI53" s="89">
        <v>0.14499999999999999</v>
      </c>
      <c r="AJ53" s="89">
        <v>0</v>
      </c>
      <c r="AK53" s="89">
        <v>0.04</v>
      </c>
      <c r="AL53" s="89">
        <v>0.04</v>
      </c>
      <c r="AM53" s="89">
        <v>-7.0000000000000007E-2</v>
      </c>
      <c r="AN53" s="89">
        <v>1.0999999999999999E-2</v>
      </c>
      <c r="AO53" s="89">
        <v>-0.43</v>
      </c>
      <c r="AP53" s="89">
        <v>0.155</v>
      </c>
      <c r="AQ53" s="89">
        <v>-6.5000000000000002E-2</v>
      </c>
      <c r="AR53" s="89">
        <v>0</v>
      </c>
      <c r="AS53" s="89">
        <v>-0.15</v>
      </c>
      <c r="AT53" s="89">
        <v>-1.4999999999999999E-2</v>
      </c>
      <c r="AU53" s="89">
        <v>-0.11</v>
      </c>
      <c r="AV53" s="89">
        <v>0.02</v>
      </c>
      <c r="AW53" s="89">
        <v>-9.5000000000000001E-2</v>
      </c>
      <c r="AX53" s="89">
        <v>0.01</v>
      </c>
      <c r="AY53" s="90">
        <v>0.125</v>
      </c>
      <c r="AZ53" s="90">
        <v>0</v>
      </c>
      <c r="BA53" s="90">
        <v>-0.22</v>
      </c>
      <c r="BB53" s="89">
        <v>2.5000000000000001E-3</v>
      </c>
      <c r="BC53" s="89">
        <v>-8.7499999999999994E-2</v>
      </c>
      <c r="BD53" s="89">
        <v>5.0000000000000001E-3</v>
      </c>
      <c r="BE53" s="89">
        <v>0.21</v>
      </c>
      <c r="BF53" s="89">
        <v>0.03</v>
      </c>
      <c r="BG53" s="89">
        <v>-7.0000000000000007E-2</v>
      </c>
      <c r="BH53" s="89">
        <v>0</v>
      </c>
      <c r="BI53" s="89">
        <v>7.4999999999999997E-2</v>
      </c>
      <c r="BJ53" s="62">
        <v>0.03</v>
      </c>
      <c r="BK53" s="62">
        <v>0.21</v>
      </c>
      <c r="BL53" s="62">
        <v>0.03</v>
      </c>
      <c r="BM53" s="62">
        <v>-0.25</v>
      </c>
      <c r="BN53" s="62">
        <v>0</v>
      </c>
      <c r="BO53" s="62">
        <v>-0.42</v>
      </c>
      <c r="BP53" s="62">
        <v>0.02</v>
      </c>
      <c r="BQ53" s="62">
        <v>0.5</v>
      </c>
      <c r="BR53" s="62">
        <v>0.03</v>
      </c>
      <c r="BS53" s="62">
        <v>-8.7499999999999994E-2</v>
      </c>
      <c r="BT53" s="62">
        <v>5.0000000000000001E-3</v>
      </c>
      <c r="BU53" s="62">
        <v>0.3</v>
      </c>
      <c r="BV53" s="62">
        <v>0</v>
      </c>
      <c r="BW53" s="62">
        <v>0.21</v>
      </c>
      <c r="BX53" s="62">
        <v>0</v>
      </c>
      <c r="BY53" s="62">
        <v>-2.5000000000000001E-2</v>
      </c>
      <c r="BZ53" s="62">
        <v>5.7500000000000002E-2</v>
      </c>
      <c r="CA53" s="62">
        <v>0.14499999999999999</v>
      </c>
      <c r="CB53" s="62">
        <v>5.0000000000000001E-3</v>
      </c>
      <c r="CC53" s="62">
        <v>-2.5000000000000001E-2</v>
      </c>
      <c r="CD53" s="62">
        <v>2.5000000000000001E-3</v>
      </c>
      <c r="CE53" s="62">
        <v>2.5000000000000001E-3</v>
      </c>
      <c r="CF53" s="62">
        <v>0</v>
      </c>
      <c r="CG53" s="62">
        <v>-2.5000000000000001E-2</v>
      </c>
      <c r="CH53" s="62">
        <v>2.5000000000000001E-3</v>
      </c>
      <c r="CI53" s="62">
        <v>-0.09</v>
      </c>
      <c r="CJ53" s="62">
        <v>2.5000000000000001E-3</v>
      </c>
      <c r="CK53" s="62">
        <v>7.7499999999999999E-2</v>
      </c>
      <c r="CL53" s="62">
        <v>2.5000000000000001E-3</v>
      </c>
      <c r="CM53" s="62">
        <v>-7.2499999999999995E-2</v>
      </c>
      <c r="CN53" s="62">
        <v>7.4999999999999997E-3</v>
      </c>
      <c r="CO53" s="62">
        <v>-1.7500000000000002E-2</v>
      </c>
      <c r="CP53" s="62">
        <v>5.0000000000000001E-3</v>
      </c>
      <c r="CQ53" s="62">
        <v>2.2499999999999999E-2</v>
      </c>
      <c r="CR53" s="62">
        <v>7.4999999999999997E-3</v>
      </c>
      <c r="CS53" s="62">
        <v>0.4</v>
      </c>
      <c r="CT53" s="62">
        <v>0.01</v>
      </c>
      <c r="CU53" s="62">
        <v>-0.25</v>
      </c>
      <c r="CV53" s="62">
        <v>0</v>
      </c>
      <c r="CW53" s="62">
        <v>0.17499999999999999</v>
      </c>
      <c r="CX53" s="62">
        <v>7.4999999999999997E-3</v>
      </c>
      <c r="CY53" s="62">
        <v>-0.69</v>
      </c>
      <c r="CZ53" s="62">
        <v>0</v>
      </c>
      <c r="DA53" s="62">
        <v>-0.51</v>
      </c>
      <c r="DB53" s="62">
        <v>0</v>
      </c>
      <c r="DC53" s="62">
        <v>0.45</v>
      </c>
      <c r="DE53" s="62">
        <v>-5.5E-2</v>
      </c>
      <c r="DF53" s="62">
        <v>7.4999999999999997E-3</v>
      </c>
      <c r="DG53" s="62">
        <v>7.4999999999999997E-3</v>
      </c>
      <c r="DH53" s="62">
        <v>5.0000000000000001E-3</v>
      </c>
      <c r="DI53" s="62">
        <v>-2.2499999999999999E-2</v>
      </c>
      <c r="DJ53" s="62">
        <v>7.4999999999999997E-3</v>
      </c>
      <c r="DK53" s="62">
        <v>-5.5E-2</v>
      </c>
      <c r="DL53" s="62">
        <v>5.0000000000000001E-3</v>
      </c>
      <c r="DM53" s="62">
        <v>-6.5000000000000002E-2</v>
      </c>
      <c r="DN53" s="62">
        <v>2.5000000000000001E-3</v>
      </c>
      <c r="DO53" s="62">
        <v>-8.5000000000000006E-2</v>
      </c>
      <c r="DP53" s="62">
        <v>2.5000000000000001E-3</v>
      </c>
      <c r="DQ53" s="62">
        <v>-8.5000000000000006E-2</v>
      </c>
      <c r="DR53" s="62">
        <v>-5.0000000000000001E-3</v>
      </c>
      <c r="DS53" s="62">
        <v>0.36</v>
      </c>
      <c r="DT53" s="62">
        <v>-5.0000000000000001E-3</v>
      </c>
      <c r="DU53" s="62">
        <v>-0.04</v>
      </c>
      <c r="DV53" s="62">
        <v>0</v>
      </c>
    </row>
    <row r="54" spans="4:126" x14ac:dyDescent="0.25">
      <c r="D54" s="91">
        <v>38292</v>
      </c>
      <c r="F54" s="89">
        <v>3.4790000000000001</v>
      </c>
      <c r="G54" s="90">
        <v>4.37209690349563E-2</v>
      </c>
      <c r="H54" s="89">
        <v>0.32</v>
      </c>
      <c r="I54" s="89">
        <v>0.8</v>
      </c>
      <c r="J54" s="89">
        <v>0.85</v>
      </c>
      <c r="K54" s="89">
        <v>0.8</v>
      </c>
      <c r="L54" s="87">
        <v>0.8</v>
      </c>
      <c r="M54" s="87">
        <v>0.9</v>
      </c>
      <c r="N54" s="89">
        <v>0.95</v>
      </c>
      <c r="O54" s="89">
        <v>0.85</v>
      </c>
      <c r="P54" s="89">
        <v>0.8</v>
      </c>
      <c r="Q54" s="89">
        <v>0.95</v>
      </c>
      <c r="R54" s="90">
        <v>0.8</v>
      </c>
      <c r="S54" s="90">
        <v>0.8</v>
      </c>
      <c r="T54" s="89">
        <v>0.8</v>
      </c>
      <c r="U54" s="89">
        <v>0.95</v>
      </c>
      <c r="V54" s="89">
        <v>0.9</v>
      </c>
      <c r="W54" s="89">
        <v>0</v>
      </c>
      <c r="X54" s="89">
        <v>0.03</v>
      </c>
      <c r="Y54" s="89">
        <v>0.125</v>
      </c>
      <c r="Z54" s="89">
        <v>0.02</v>
      </c>
      <c r="AA54" s="89">
        <v>0.38</v>
      </c>
      <c r="AB54" s="89">
        <v>0</v>
      </c>
      <c r="AC54" s="89">
        <v>0.38</v>
      </c>
      <c r="AD54" s="89">
        <v>0</v>
      </c>
      <c r="AE54" s="89">
        <v>0.38</v>
      </c>
      <c r="AF54" s="89">
        <v>0</v>
      </c>
      <c r="AG54" s="89">
        <v>0.22</v>
      </c>
      <c r="AH54" s="89">
        <v>0</v>
      </c>
      <c r="AI54" s="89">
        <v>0.19251199999999999</v>
      </c>
      <c r="AJ54" s="89">
        <v>0</v>
      </c>
      <c r="AK54" s="89">
        <v>0.125</v>
      </c>
      <c r="AL54" s="89">
        <v>3.5000000000000003E-2</v>
      </c>
      <c r="AM54" s="89">
        <v>-7.2499999999999995E-2</v>
      </c>
      <c r="AN54" s="89">
        <v>6.0000000000000001E-3</v>
      </c>
      <c r="AO54" s="89">
        <v>-0.38500000000000001</v>
      </c>
      <c r="AP54" s="89">
        <v>0.155</v>
      </c>
      <c r="AQ54" s="89">
        <v>-5.2499999999999998E-2</v>
      </c>
      <c r="AR54" s="89">
        <v>5.0000000000000001E-3</v>
      </c>
      <c r="AS54" s="89">
        <v>-0.15</v>
      </c>
      <c r="AT54" s="89">
        <v>-5.0000000000000001E-3</v>
      </c>
      <c r="AU54" s="89">
        <v>-0.11</v>
      </c>
      <c r="AV54" s="89">
        <v>-0.01</v>
      </c>
      <c r="AW54" s="89">
        <v>-9.5000000000000001E-2</v>
      </c>
      <c r="AX54" s="89">
        <v>5.0000000000000001E-3</v>
      </c>
      <c r="AY54" s="90">
        <v>0.14499999999999999</v>
      </c>
      <c r="AZ54" s="90">
        <v>0</v>
      </c>
      <c r="BA54" s="90">
        <v>-0.13500000000000001</v>
      </c>
      <c r="BB54" s="89">
        <v>5.0000000000000001E-3</v>
      </c>
      <c r="BC54" s="89">
        <v>-8.5000000000000006E-2</v>
      </c>
      <c r="BD54" s="89">
        <v>5.0000000000000001E-3</v>
      </c>
      <c r="BE54" s="89">
        <v>0.2</v>
      </c>
      <c r="BF54" s="89">
        <v>0.03</v>
      </c>
      <c r="BG54" s="89">
        <v>-6.7500000000000004E-2</v>
      </c>
      <c r="BH54" s="89">
        <v>0</v>
      </c>
      <c r="BI54" s="89">
        <v>0.15</v>
      </c>
      <c r="BJ54" s="62">
        <v>0.04</v>
      </c>
      <c r="BK54" s="62">
        <v>0.2</v>
      </c>
      <c r="BL54" s="62">
        <v>0.03</v>
      </c>
      <c r="BM54" s="62">
        <v>0.29799999999999999</v>
      </c>
      <c r="BN54" s="62">
        <v>0</v>
      </c>
      <c r="BO54" s="62">
        <v>-0.27</v>
      </c>
      <c r="BP54" s="62">
        <v>3.5000000000000003E-2</v>
      </c>
      <c r="BQ54" s="62">
        <v>0.5</v>
      </c>
      <c r="BR54" s="62">
        <v>0.03</v>
      </c>
      <c r="BS54" s="62">
        <v>-8.5000000000000006E-2</v>
      </c>
      <c r="BT54" s="62">
        <v>5.0000000000000001E-3</v>
      </c>
      <c r="BU54" s="62">
        <v>0.3</v>
      </c>
      <c r="BV54" s="62">
        <v>0</v>
      </c>
      <c r="BW54" s="62">
        <v>0.2</v>
      </c>
      <c r="BX54" s="62">
        <v>0</v>
      </c>
      <c r="BY54" s="62">
        <v>-2.5000000000000001E-2</v>
      </c>
      <c r="BZ54" s="62">
        <v>5.7500000000000002E-2</v>
      </c>
      <c r="CA54" s="62">
        <v>0.19500000000000001</v>
      </c>
      <c r="CB54" s="62">
        <v>5.0000000000000001E-3</v>
      </c>
      <c r="CC54" s="62">
        <v>-2.5000000000000001E-2</v>
      </c>
      <c r="CD54" s="62">
        <v>3.7000000000000002E-3</v>
      </c>
      <c r="CE54" s="62">
        <v>2.5000000000000001E-3</v>
      </c>
      <c r="CF54" s="62">
        <v>0</v>
      </c>
      <c r="CG54" s="62">
        <v>-2.5000000000000001E-2</v>
      </c>
      <c r="CH54" s="62">
        <v>3.7000000000000002E-3</v>
      </c>
      <c r="CI54" s="62">
        <v>-9.5000000000000001E-2</v>
      </c>
      <c r="CJ54" s="62">
        <v>2.5000000000000001E-3</v>
      </c>
      <c r="CK54" s="62">
        <v>7.4999999999999997E-2</v>
      </c>
      <c r="CL54" s="62">
        <v>2.5000000000000001E-3</v>
      </c>
      <c r="CM54" s="62">
        <v>-6.7500000000000004E-2</v>
      </c>
      <c r="CN54" s="62">
        <v>0.01</v>
      </c>
      <c r="CO54" s="62">
        <v>-1.2500000000000001E-2</v>
      </c>
      <c r="CP54" s="62">
        <v>7.4999999999999997E-3</v>
      </c>
      <c r="CQ54" s="62">
        <v>2.75E-2</v>
      </c>
      <c r="CR54" s="62">
        <v>0.01</v>
      </c>
      <c r="CS54" s="62">
        <v>0.64500000000000002</v>
      </c>
      <c r="CT54" s="62">
        <v>5.5E-2</v>
      </c>
      <c r="CU54" s="62">
        <v>0.29799999999999999</v>
      </c>
      <c r="CV54" s="62">
        <v>0</v>
      </c>
      <c r="CW54" s="62">
        <v>0.21</v>
      </c>
      <c r="CX54" s="62">
        <v>0.02</v>
      </c>
      <c r="CY54" s="62">
        <v>-0.53</v>
      </c>
      <c r="CZ54" s="62">
        <v>0</v>
      </c>
      <c r="DA54" s="62">
        <v>-0.35</v>
      </c>
      <c r="DB54" s="62">
        <v>0</v>
      </c>
      <c r="DC54" s="62">
        <v>0.45</v>
      </c>
      <c r="DE54" s="62">
        <v>-4.7500000000000001E-2</v>
      </c>
      <c r="DF54" s="62">
        <v>7.4999999999999997E-3</v>
      </c>
      <c r="DG54" s="62">
        <v>5.0000000000000001E-3</v>
      </c>
      <c r="DH54" s="62">
        <v>7.4999999999999997E-3</v>
      </c>
      <c r="DI54" s="62">
        <v>-2.2499999999999999E-2</v>
      </c>
      <c r="DJ54" s="62">
        <v>2.5000000000000001E-3</v>
      </c>
      <c r="DK54" s="62">
        <v>-0.06</v>
      </c>
      <c r="DL54" s="62">
        <v>2.5000000000000001E-3</v>
      </c>
      <c r="DM54" s="62">
        <v>-6.7500000000000004E-2</v>
      </c>
      <c r="DN54" s="62">
        <v>2.5000000000000001E-3</v>
      </c>
      <c r="DO54" s="62">
        <v>-0.09</v>
      </c>
      <c r="DP54" s="62">
        <v>2.5000000000000001E-3</v>
      </c>
      <c r="DQ54" s="62">
        <v>-0.09</v>
      </c>
      <c r="DR54" s="62">
        <v>-5.0000000000000001E-3</v>
      </c>
      <c r="DS54" s="62">
        <v>0.46</v>
      </c>
      <c r="DT54" s="62">
        <v>0.05</v>
      </c>
      <c r="DU54" s="62">
        <v>0.06</v>
      </c>
      <c r="DV54" s="62">
        <v>0</v>
      </c>
    </row>
    <row r="55" spans="4:126" x14ac:dyDescent="0.25">
      <c r="D55" s="91">
        <v>38322</v>
      </c>
      <c r="F55" s="89">
        <v>3.6219999999999999</v>
      </c>
      <c r="G55" s="90">
        <v>4.4289846522210997E-2</v>
      </c>
      <c r="H55" s="89">
        <v>0.32</v>
      </c>
      <c r="I55" s="89">
        <v>1</v>
      </c>
      <c r="J55" s="89">
        <v>1.05</v>
      </c>
      <c r="K55" s="89">
        <v>1</v>
      </c>
      <c r="L55" s="87">
        <v>1</v>
      </c>
      <c r="M55" s="87">
        <v>1.1499999999999999</v>
      </c>
      <c r="N55" s="89">
        <v>1.25</v>
      </c>
      <c r="O55" s="89">
        <v>1.05</v>
      </c>
      <c r="P55" s="89">
        <v>1</v>
      </c>
      <c r="Q55" s="89">
        <v>1.35</v>
      </c>
      <c r="R55" s="90">
        <v>1</v>
      </c>
      <c r="S55" s="90">
        <v>1.1000000000000001</v>
      </c>
      <c r="T55" s="89">
        <v>1</v>
      </c>
      <c r="U55" s="89">
        <v>1.25</v>
      </c>
      <c r="V55" s="89">
        <v>1.1000000000000001</v>
      </c>
      <c r="W55" s="89">
        <v>5.0000000000000001E-3</v>
      </c>
      <c r="X55" s="89">
        <v>0.03</v>
      </c>
      <c r="Y55" s="89">
        <v>0.125</v>
      </c>
      <c r="Z55" s="89">
        <v>0.02</v>
      </c>
      <c r="AA55" s="89">
        <v>0.38</v>
      </c>
      <c r="AB55" s="89">
        <v>0</v>
      </c>
      <c r="AC55" s="89">
        <v>0.38</v>
      </c>
      <c r="AD55" s="89">
        <v>0</v>
      </c>
      <c r="AE55" s="89">
        <v>0.38</v>
      </c>
      <c r="AF55" s="89">
        <v>0</v>
      </c>
      <c r="AG55" s="89">
        <v>0.22</v>
      </c>
      <c r="AH55" s="89">
        <v>0</v>
      </c>
      <c r="AI55" s="89">
        <v>0.2016</v>
      </c>
      <c r="AJ55" s="89">
        <v>0</v>
      </c>
      <c r="AK55" s="89">
        <v>0.125</v>
      </c>
      <c r="AL55" s="89">
        <v>3.5000000000000003E-2</v>
      </c>
      <c r="AM55" s="89">
        <v>-7.2499999999999995E-2</v>
      </c>
      <c r="AN55" s="89">
        <v>6.0000000000000001E-3</v>
      </c>
      <c r="AO55" s="89">
        <v>-0.38500000000000001</v>
      </c>
      <c r="AP55" s="89">
        <v>0.155</v>
      </c>
      <c r="AQ55" s="89">
        <v>-5.2499999999999998E-2</v>
      </c>
      <c r="AR55" s="89">
        <v>5.0000000000000001E-3</v>
      </c>
      <c r="AS55" s="89">
        <v>-0.1525</v>
      </c>
      <c r="AT55" s="89">
        <v>-5.0000000000000001E-3</v>
      </c>
      <c r="AU55" s="89">
        <v>-0.1125</v>
      </c>
      <c r="AV55" s="89">
        <v>-0.01</v>
      </c>
      <c r="AW55" s="89">
        <v>-9.5000000000000001E-2</v>
      </c>
      <c r="AX55" s="89">
        <v>5.0000000000000001E-3</v>
      </c>
      <c r="AY55" s="90">
        <v>0.14499999999999999</v>
      </c>
      <c r="AZ55" s="90">
        <v>0</v>
      </c>
      <c r="BA55" s="90">
        <v>-0.13500000000000001</v>
      </c>
      <c r="BB55" s="89">
        <v>5.0000000000000001E-3</v>
      </c>
      <c r="BC55" s="89">
        <v>-8.5000000000000006E-2</v>
      </c>
      <c r="BD55" s="89">
        <v>5.0000000000000001E-3</v>
      </c>
      <c r="BE55" s="89">
        <v>0.2</v>
      </c>
      <c r="BF55" s="89">
        <v>0.03</v>
      </c>
      <c r="BG55" s="89">
        <v>-6.7500000000000004E-2</v>
      </c>
      <c r="BH55" s="89">
        <v>0</v>
      </c>
      <c r="BI55" s="89">
        <v>0.15</v>
      </c>
      <c r="BJ55" s="62">
        <v>0.04</v>
      </c>
      <c r="BK55" s="62">
        <v>0.2</v>
      </c>
      <c r="BL55" s="62">
        <v>0.03</v>
      </c>
      <c r="BM55" s="62">
        <v>0.35799999999999998</v>
      </c>
      <c r="BN55" s="62">
        <v>0</v>
      </c>
      <c r="BO55" s="62">
        <v>-0.27</v>
      </c>
      <c r="BP55" s="62">
        <v>3.5000000000000003E-2</v>
      </c>
      <c r="BQ55" s="62">
        <v>0.5</v>
      </c>
      <c r="BR55" s="62">
        <v>0.03</v>
      </c>
      <c r="BS55" s="62">
        <v>-8.5000000000000006E-2</v>
      </c>
      <c r="BT55" s="62">
        <v>5.0000000000000001E-3</v>
      </c>
      <c r="BU55" s="62">
        <v>0.3</v>
      </c>
      <c r="BV55" s="62">
        <v>0</v>
      </c>
      <c r="BW55" s="62">
        <v>0.2</v>
      </c>
      <c r="BX55" s="62">
        <v>0</v>
      </c>
      <c r="BY55" s="62">
        <v>-2.5000000000000001E-2</v>
      </c>
      <c r="BZ55" s="62">
        <v>5.7500000000000002E-2</v>
      </c>
      <c r="CA55" s="62">
        <v>0.215</v>
      </c>
      <c r="CB55" s="62">
        <v>5.0000000000000001E-3</v>
      </c>
      <c r="CC55" s="62">
        <v>-2.5000000000000001E-2</v>
      </c>
      <c r="CD55" s="62">
        <v>3.7000000000000002E-3</v>
      </c>
      <c r="CE55" s="62">
        <v>2.5000000000000001E-3</v>
      </c>
      <c r="CF55" s="62">
        <v>0</v>
      </c>
      <c r="CG55" s="62">
        <v>-2.5000000000000001E-2</v>
      </c>
      <c r="CH55" s="62">
        <v>3.7000000000000002E-3</v>
      </c>
      <c r="CI55" s="62">
        <v>-0.1225</v>
      </c>
      <c r="CJ55" s="62">
        <v>2.5000000000000001E-3</v>
      </c>
      <c r="CK55" s="62">
        <v>7.4999999999999997E-2</v>
      </c>
      <c r="CL55" s="62">
        <v>2.5000000000000001E-3</v>
      </c>
      <c r="CM55" s="62">
        <v>-6.7500000000000004E-2</v>
      </c>
      <c r="CN55" s="62">
        <v>0.01</v>
      </c>
      <c r="CO55" s="62">
        <v>-1.2500000000000001E-2</v>
      </c>
      <c r="CP55" s="62">
        <v>7.4999999999999997E-3</v>
      </c>
      <c r="CQ55" s="62">
        <v>2.75E-2</v>
      </c>
      <c r="CR55" s="62">
        <v>0.01</v>
      </c>
      <c r="CS55" s="62">
        <v>0.9</v>
      </c>
      <c r="CT55" s="62">
        <v>0.25</v>
      </c>
      <c r="CU55" s="62">
        <v>0.35799999999999998</v>
      </c>
      <c r="CV55" s="62">
        <v>0</v>
      </c>
      <c r="CW55" s="62">
        <v>0.28999999999999998</v>
      </c>
      <c r="CX55" s="62">
        <v>0.02</v>
      </c>
      <c r="CY55" s="62">
        <v>-0.53</v>
      </c>
      <c r="CZ55" s="62">
        <v>0</v>
      </c>
      <c r="DA55" s="62">
        <v>-0.35</v>
      </c>
      <c r="DB55" s="62">
        <v>0</v>
      </c>
      <c r="DC55" s="62">
        <v>0.4</v>
      </c>
      <c r="DE55" s="62">
        <v>-4.7500000000000001E-2</v>
      </c>
      <c r="DF55" s="62">
        <v>7.4999999999999997E-3</v>
      </c>
      <c r="DG55" s="62">
        <v>5.0000000000000001E-3</v>
      </c>
      <c r="DH55" s="62">
        <v>7.4999999999999997E-3</v>
      </c>
      <c r="DI55" s="62">
        <v>-2.2499999999999999E-2</v>
      </c>
      <c r="DJ55" s="62">
        <v>2.5000000000000001E-3</v>
      </c>
      <c r="DK55" s="62">
        <v>-8.7499999999999994E-2</v>
      </c>
      <c r="DL55" s="62">
        <v>2.5000000000000001E-3</v>
      </c>
      <c r="DM55" s="62">
        <v>-6.7500000000000004E-2</v>
      </c>
      <c r="DN55" s="62">
        <v>2.5000000000000001E-3</v>
      </c>
      <c r="DO55" s="62">
        <v>-8.7499999999999994E-2</v>
      </c>
      <c r="DP55" s="62">
        <v>2.5000000000000001E-3</v>
      </c>
      <c r="DQ55" s="62">
        <v>-0.11749999999999999</v>
      </c>
      <c r="DR55" s="62">
        <v>-5.0000000000000001E-3</v>
      </c>
      <c r="DS55" s="62">
        <v>0.77</v>
      </c>
      <c r="DT55" s="62">
        <v>0.05</v>
      </c>
      <c r="DU55" s="62">
        <v>0.06</v>
      </c>
      <c r="DV55" s="62">
        <v>0</v>
      </c>
    </row>
    <row r="56" spans="4:126" x14ac:dyDescent="0.25">
      <c r="D56" s="91">
        <v>38353</v>
      </c>
      <c r="F56" s="89">
        <v>3.6819999999999999</v>
      </c>
      <c r="G56" s="90">
        <v>4.4854887495736399E-2</v>
      </c>
      <c r="H56" s="89">
        <v>0.32</v>
      </c>
      <c r="I56" s="89">
        <v>1</v>
      </c>
      <c r="J56" s="89">
        <v>1.05</v>
      </c>
      <c r="K56" s="89">
        <v>1</v>
      </c>
      <c r="L56" s="87">
        <v>1</v>
      </c>
      <c r="M56" s="87">
        <v>1.1499999999999999</v>
      </c>
      <c r="N56" s="89">
        <v>1.45</v>
      </c>
      <c r="O56" s="89">
        <v>1.05</v>
      </c>
      <c r="P56" s="89">
        <v>1</v>
      </c>
      <c r="Q56" s="89">
        <v>1.35</v>
      </c>
      <c r="R56" s="90">
        <v>1</v>
      </c>
      <c r="S56" s="90">
        <v>1.1000000000000001</v>
      </c>
      <c r="T56" s="89">
        <v>1</v>
      </c>
      <c r="U56" s="89">
        <v>1.45</v>
      </c>
      <c r="V56" s="89">
        <v>1.1000000000000001</v>
      </c>
      <c r="W56" s="89">
        <v>2.5000000000000001E-2</v>
      </c>
      <c r="X56" s="89">
        <v>0.03</v>
      </c>
      <c r="Y56" s="89">
        <v>0.125</v>
      </c>
      <c r="Z56" s="89">
        <v>0.02</v>
      </c>
      <c r="AA56" s="89">
        <v>0.38</v>
      </c>
      <c r="AB56" s="89">
        <v>0</v>
      </c>
      <c r="AC56" s="89">
        <v>0.38</v>
      </c>
      <c r="AD56" s="89">
        <v>0</v>
      </c>
      <c r="AE56" s="89">
        <v>0.38</v>
      </c>
      <c r="AF56" s="89">
        <v>0</v>
      </c>
      <c r="AG56" s="89">
        <v>0.22</v>
      </c>
      <c r="AH56" s="89">
        <v>0</v>
      </c>
      <c r="AI56" s="89">
        <v>0.20304</v>
      </c>
      <c r="AJ56" s="89">
        <v>0</v>
      </c>
      <c r="AK56" s="89">
        <v>0.125</v>
      </c>
      <c r="AL56" s="89">
        <v>3.5000000000000003E-2</v>
      </c>
      <c r="AM56" s="89">
        <v>-7.2499999999999995E-2</v>
      </c>
      <c r="AN56" s="89">
        <v>6.0000000000000001E-3</v>
      </c>
      <c r="AO56" s="89">
        <v>-0.38500000000000001</v>
      </c>
      <c r="AP56" s="89">
        <v>0.155</v>
      </c>
      <c r="AQ56" s="89">
        <v>-5.2499999999999998E-2</v>
      </c>
      <c r="AR56" s="89">
        <v>5.0000000000000001E-3</v>
      </c>
      <c r="AS56" s="89">
        <v>-0.155</v>
      </c>
      <c r="AT56" s="89">
        <v>-5.0000000000000001E-3</v>
      </c>
      <c r="AU56" s="89">
        <v>-0.115</v>
      </c>
      <c r="AV56" s="89">
        <v>-0.01</v>
      </c>
      <c r="AW56" s="89">
        <v>-0.09</v>
      </c>
      <c r="AX56" s="89">
        <v>5.0000000000000001E-3</v>
      </c>
      <c r="AY56" s="90">
        <v>0.14499999999999999</v>
      </c>
      <c r="AZ56" s="90">
        <v>0</v>
      </c>
      <c r="BA56" s="90">
        <v>-0.13500000000000001</v>
      </c>
      <c r="BB56" s="89">
        <v>5.0000000000000001E-3</v>
      </c>
      <c r="BC56" s="89">
        <v>-8.5000000000000006E-2</v>
      </c>
      <c r="BD56" s="89">
        <v>5.0000000000000001E-3</v>
      </c>
      <c r="BE56" s="89">
        <v>0.2</v>
      </c>
      <c r="BF56" s="89">
        <v>0.03</v>
      </c>
      <c r="BG56" s="89">
        <v>-6.7500000000000004E-2</v>
      </c>
      <c r="BH56" s="89">
        <v>0</v>
      </c>
      <c r="BI56" s="89">
        <v>0.15</v>
      </c>
      <c r="BJ56" s="62">
        <v>0.04</v>
      </c>
      <c r="BK56" s="62">
        <v>0.2</v>
      </c>
      <c r="BL56" s="62">
        <v>0.03</v>
      </c>
      <c r="BM56" s="62">
        <v>0.42799999999999999</v>
      </c>
      <c r="BN56" s="62">
        <v>0</v>
      </c>
      <c r="BO56" s="62">
        <v>-0.27</v>
      </c>
      <c r="BP56" s="62">
        <v>3.5000000000000003E-2</v>
      </c>
      <c r="BQ56" s="62">
        <v>0.5</v>
      </c>
      <c r="BR56" s="62">
        <v>0.03</v>
      </c>
      <c r="BS56" s="62">
        <v>-8.5000000000000006E-2</v>
      </c>
      <c r="BT56" s="62">
        <v>5.0000000000000001E-3</v>
      </c>
      <c r="BU56" s="62">
        <v>0.3</v>
      </c>
      <c r="BV56" s="62">
        <v>0</v>
      </c>
      <c r="BW56" s="62">
        <v>0.2</v>
      </c>
      <c r="BX56" s="62">
        <v>0</v>
      </c>
      <c r="BY56" s="62">
        <v>-2.5000000000000001E-2</v>
      </c>
      <c r="BZ56" s="62">
        <v>5.7500000000000002E-2</v>
      </c>
      <c r="CA56" s="62">
        <v>0.23499999999999999</v>
      </c>
      <c r="CB56" s="62">
        <v>5.0000000000000001E-3</v>
      </c>
      <c r="CC56" s="62">
        <v>-2.5000000000000001E-2</v>
      </c>
      <c r="CD56" s="62">
        <v>3.7000000000000002E-3</v>
      </c>
      <c r="CE56" s="62">
        <v>2.5000000000000001E-3</v>
      </c>
      <c r="CF56" s="62">
        <v>0</v>
      </c>
      <c r="CG56" s="62">
        <v>-2.5000000000000001E-2</v>
      </c>
      <c r="CH56" s="62">
        <v>3.7000000000000002E-3</v>
      </c>
      <c r="CI56" s="62">
        <v>-0.1205</v>
      </c>
      <c r="CJ56" s="62">
        <v>2.5000000000000001E-3</v>
      </c>
      <c r="CK56" s="62">
        <v>7.4999999999999997E-2</v>
      </c>
      <c r="CL56" s="62">
        <v>2.5000000000000001E-3</v>
      </c>
      <c r="CM56" s="62">
        <v>-6.7500000000000004E-2</v>
      </c>
      <c r="CN56" s="62">
        <v>0.01</v>
      </c>
      <c r="CO56" s="62">
        <v>-1.2500000000000001E-2</v>
      </c>
      <c r="CP56" s="62">
        <v>7.4999999999999997E-3</v>
      </c>
      <c r="CQ56" s="62">
        <v>2.75E-2</v>
      </c>
      <c r="CR56" s="62">
        <v>0.01</v>
      </c>
      <c r="CS56" s="62">
        <v>1.5349999999999999</v>
      </c>
      <c r="CT56" s="62">
        <v>0.45</v>
      </c>
      <c r="CU56" s="62">
        <v>0.42799999999999999</v>
      </c>
      <c r="CV56" s="62">
        <v>0</v>
      </c>
      <c r="CW56" s="62">
        <v>0.34</v>
      </c>
      <c r="CX56" s="62">
        <v>0.02</v>
      </c>
      <c r="CY56" s="62">
        <v>-0.53</v>
      </c>
      <c r="CZ56" s="62">
        <v>0</v>
      </c>
      <c r="DA56" s="62">
        <v>-0.35</v>
      </c>
      <c r="DB56" s="62">
        <v>0</v>
      </c>
      <c r="DC56" s="62">
        <v>0.35</v>
      </c>
      <c r="DE56" s="62">
        <v>-4.7500000000000001E-2</v>
      </c>
      <c r="DF56" s="62">
        <v>7.4999999999999997E-3</v>
      </c>
      <c r="DG56" s="62">
        <v>5.0000000000000001E-3</v>
      </c>
      <c r="DH56" s="62">
        <v>7.4999999999999997E-3</v>
      </c>
      <c r="DI56" s="62">
        <v>-2.2499999999999999E-2</v>
      </c>
      <c r="DJ56" s="62">
        <v>2.5000000000000001E-3</v>
      </c>
      <c r="DK56" s="62">
        <v>-0.10249999999999999</v>
      </c>
      <c r="DL56" s="62">
        <v>2.5000000000000001E-3</v>
      </c>
      <c r="DM56" s="62">
        <v>-6.7500000000000004E-2</v>
      </c>
      <c r="DN56" s="62">
        <v>2.5000000000000001E-3</v>
      </c>
      <c r="DO56" s="62">
        <v>-8.7499999999999994E-2</v>
      </c>
      <c r="DP56" s="62">
        <v>2.5000000000000001E-3</v>
      </c>
      <c r="DQ56" s="62">
        <v>-0.13250000000000001</v>
      </c>
      <c r="DR56" s="62">
        <v>-5.0000000000000001E-3</v>
      </c>
      <c r="DS56" s="62">
        <v>1.04</v>
      </c>
      <c r="DT56" s="62">
        <v>0.05</v>
      </c>
      <c r="DU56" s="62">
        <v>0.06</v>
      </c>
      <c r="DV56" s="62">
        <v>0</v>
      </c>
    </row>
    <row r="57" spans="4:126" x14ac:dyDescent="0.25">
      <c r="D57" s="91">
        <v>38384</v>
      </c>
      <c r="F57" s="89">
        <v>3.597</v>
      </c>
      <c r="G57" s="90">
        <v>4.5401152752323697E-2</v>
      </c>
      <c r="H57" s="89">
        <v>0.3175</v>
      </c>
      <c r="I57" s="89">
        <v>1</v>
      </c>
      <c r="J57" s="89">
        <v>1.05</v>
      </c>
      <c r="K57" s="89">
        <v>1</v>
      </c>
      <c r="L57" s="87">
        <v>1</v>
      </c>
      <c r="M57" s="87">
        <v>1.1499999999999999</v>
      </c>
      <c r="N57" s="89">
        <v>1.45</v>
      </c>
      <c r="O57" s="89">
        <v>1.05</v>
      </c>
      <c r="P57" s="89">
        <v>1</v>
      </c>
      <c r="Q57" s="89">
        <v>1.35</v>
      </c>
      <c r="R57" s="90">
        <v>1</v>
      </c>
      <c r="S57" s="90">
        <v>1.1000000000000001</v>
      </c>
      <c r="T57" s="89">
        <v>1</v>
      </c>
      <c r="U57" s="89">
        <v>1.45</v>
      </c>
      <c r="V57" s="89">
        <v>1.1000000000000001</v>
      </c>
      <c r="W57" s="89">
        <v>0.02</v>
      </c>
      <c r="X57" s="89">
        <v>0.03</v>
      </c>
      <c r="Y57" s="89">
        <v>0.125</v>
      </c>
      <c r="Z57" s="89">
        <v>0.02</v>
      </c>
      <c r="AA57" s="89">
        <v>0.38</v>
      </c>
      <c r="AB57" s="89">
        <v>0</v>
      </c>
      <c r="AC57" s="89">
        <v>0.38</v>
      </c>
      <c r="AD57" s="89">
        <v>0</v>
      </c>
      <c r="AE57" s="89">
        <v>0.38</v>
      </c>
      <c r="AF57" s="89">
        <v>0</v>
      </c>
      <c r="AG57" s="89">
        <v>0.22</v>
      </c>
      <c r="AH57" s="89">
        <v>0</v>
      </c>
      <c r="AI57" s="89">
        <v>0.20047999999999999</v>
      </c>
      <c r="AJ57" s="89">
        <v>0</v>
      </c>
      <c r="AK57" s="89">
        <v>0.125</v>
      </c>
      <c r="AL57" s="89">
        <v>3.5000000000000003E-2</v>
      </c>
      <c r="AM57" s="89">
        <v>-7.2499999999999995E-2</v>
      </c>
      <c r="AN57" s="89">
        <v>6.0000000000000001E-3</v>
      </c>
      <c r="AO57" s="89">
        <v>-0.38500000000000001</v>
      </c>
      <c r="AP57" s="89">
        <v>0.155</v>
      </c>
      <c r="AQ57" s="89">
        <v>-5.2499999999999998E-2</v>
      </c>
      <c r="AR57" s="89">
        <v>5.0000000000000001E-3</v>
      </c>
      <c r="AS57" s="89">
        <v>-0.14749999999999999</v>
      </c>
      <c r="AT57" s="89">
        <v>-5.0000000000000001E-3</v>
      </c>
      <c r="AU57" s="89">
        <v>-0.1075</v>
      </c>
      <c r="AV57" s="89">
        <v>-0.01</v>
      </c>
      <c r="AW57" s="89">
        <v>-0.09</v>
      </c>
      <c r="AX57" s="89">
        <v>5.0000000000000001E-3</v>
      </c>
      <c r="AY57" s="90">
        <v>0.14499999999999999</v>
      </c>
      <c r="AZ57" s="90">
        <v>0</v>
      </c>
      <c r="BA57" s="90">
        <v>-0.13500000000000001</v>
      </c>
      <c r="BB57" s="89">
        <v>5.0000000000000001E-3</v>
      </c>
      <c r="BC57" s="89">
        <v>-8.5000000000000006E-2</v>
      </c>
      <c r="BD57" s="89">
        <v>5.0000000000000001E-3</v>
      </c>
      <c r="BE57" s="89">
        <v>0.2</v>
      </c>
      <c r="BF57" s="89">
        <v>0.03</v>
      </c>
      <c r="BG57" s="89">
        <v>-6.7500000000000004E-2</v>
      </c>
      <c r="BH57" s="89">
        <v>0</v>
      </c>
      <c r="BI57" s="89">
        <v>0.15</v>
      </c>
      <c r="BJ57" s="62">
        <v>0.04</v>
      </c>
      <c r="BK57" s="62">
        <v>0.2</v>
      </c>
      <c r="BL57" s="62">
        <v>0.03</v>
      </c>
      <c r="BM57" s="62">
        <v>0.29799999999999999</v>
      </c>
      <c r="BN57" s="62">
        <v>0</v>
      </c>
      <c r="BO57" s="62">
        <v>-0.27</v>
      </c>
      <c r="BP57" s="62">
        <v>3.5000000000000003E-2</v>
      </c>
      <c r="BQ57" s="62">
        <v>0.5</v>
      </c>
      <c r="BR57" s="62">
        <v>0.03</v>
      </c>
      <c r="BS57" s="62">
        <v>-8.5000000000000006E-2</v>
      </c>
      <c r="BT57" s="62">
        <v>5.0000000000000001E-3</v>
      </c>
      <c r="BU57" s="62">
        <v>0.3</v>
      </c>
      <c r="BV57" s="62">
        <v>0</v>
      </c>
      <c r="BW57" s="62">
        <v>0.2</v>
      </c>
      <c r="BX57" s="62">
        <v>0</v>
      </c>
      <c r="BY57" s="62">
        <v>-2.5000000000000001E-2</v>
      </c>
      <c r="BZ57" s="62">
        <v>5.7500000000000002E-2</v>
      </c>
      <c r="CA57" s="62">
        <v>0.23499999999999999</v>
      </c>
      <c r="CB57" s="62">
        <v>5.0000000000000001E-3</v>
      </c>
      <c r="CC57" s="62">
        <v>-2.5000000000000001E-2</v>
      </c>
      <c r="CD57" s="62">
        <v>3.7000000000000002E-3</v>
      </c>
      <c r="CE57" s="62">
        <v>2.5000000000000001E-3</v>
      </c>
      <c r="CF57" s="62">
        <v>0</v>
      </c>
      <c r="CG57" s="62">
        <v>-2.5000000000000001E-2</v>
      </c>
      <c r="CH57" s="62">
        <v>3.7000000000000002E-3</v>
      </c>
      <c r="CI57" s="62">
        <v>-0.1205</v>
      </c>
      <c r="CJ57" s="62">
        <v>2.5000000000000001E-3</v>
      </c>
      <c r="CK57" s="62">
        <v>7.4999999999999997E-2</v>
      </c>
      <c r="CL57" s="62">
        <v>2.5000000000000001E-3</v>
      </c>
      <c r="CM57" s="62">
        <v>-6.7500000000000004E-2</v>
      </c>
      <c r="CN57" s="62">
        <v>0.01</v>
      </c>
      <c r="CO57" s="62">
        <v>-1.2500000000000001E-2</v>
      </c>
      <c r="CP57" s="62">
        <v>7.4999999999999997E-3</v>
      </c>
      <c r="CQ57" s="62">
        <v>2.75E-2</v>
      </c>
      <c r="CR57" s="62">
        <v>0.01</v>
      </c>
      <c r="CS57" s="62">
        <v>1.5349999999999999</v>
      </c>
      <c r="CT57" s="62">
        <v>0.45</v>
      </c>
      <c r="CU57" s="62">
        <v>0.29799999999999999</v>
      </c>
      <c r="CV57" s="62">
        <v>0</v>
      </c>
      <c r="CW57" s="62">
        <v>0.34</v>
      </c>
      <c r="CX57" s="62">
        <v>0.02</v>
      </c>
      <c r="CY57" s="62">
        <v>-0.53</v>
      </c>
      <c r="CZ57" s="62">
        <v>0</v>
      </c>
      <c r="DA57" s="62">
        <v>-0.35</v>
      </c>
      <c r="DB57" s="62">
        <v>0</v>
      </c>
      <c r="DC57" s="62">
        <v>0.35</v>
      </c>
      <c r="DE57" s="62">
        <v>-4.7500000000000001E-2</v>
      </c>
      <c r="DF57" s="62">
        <v>7.4999999999999997E-3</v>
      </c>
      <c r="DG57" s="62">
        <v>5.0000000000000001E-3</v>
      </c>
      <c r="DH57" s="62">
        <v>7.4999999999999997E-3</v>
      </c>
      <c r="DI57" s="62">
        <v>-2.2499999999999999E-2</v>
      </c>
      <c r="DJ57" s="62">
        <v>2.5000000000000001E-3</v>
      </c>
      <c r="DK57" s="62">
        <v>-9.2499999999999999E-2</v>
      </c>
      <c r="DL57" s="62">
        <v>2.5000000000000001E-3</v>
      </c>
      <c r="DM57" s="62">
        <v>-6.7500000000000004E-2</v>
      </c>
      <c r="DN57" s="62">
        <v>2.5000000000000001E-3</v>
      </c>
      <c r="DO57" s="62">
        <v>-8.7499999999999994E-2</v>
      </c>
      <c r="DP57" s="62">
        <v>2.5000000000000001E-3</v>
      </c>
      <c r="DQ57" s="62">
        <v>-0.1225</v>
      </c>
      <c r="DR57" s="62">
        <v>-5.0000000000000001E-3</v>
      </c>
      <c r="DS57" s="62">
        <v>1.04</v>
      </c>
      <c r="DT57" s="62">
        <v>0.05</v>
      </c>
      <c r="DU57" s="62">
        <v>0.06</v>
      </c>
      <c r="DV57" s="62">
        <v>0</v>
      </c>
    </row>
    <row r="58" spans="4:126" x14ac:dyDescent="0.25">
      <c r="D58" s="91">
        <v>38412</v>
      </c>
      <c r="F58" s="89">
        <v>3.4670000000000001</v>
      </c>
      <c r="G58" s="90">
        <v>4.5894553715070799E-2</v>
      </c>
      <c r="H58" s="89">
        <v>0.3075</v>
      </c>
      <c r="I58" s="89">
        <v>0.75</v>
      </c>
      <c r="J58" s="89">
        <v>0.8</v>
      </c>
      <c r="K58" s="89">
        <v>0.75</v>
      </c>
      <c r="L58" s="87">
        <v>0.75</v>
      </c>
      <c r="M58" s="87">
        <v>0.85</v>
      </c>
      <c r="N58" s="89">
        <v>1</v>
      </c>
      <c r="O58" s="89">
        <v>0.75</v>
      </c>
      <c r="P58" s="89">
        <v>0.75</v>
      </c>
      <c r="Q58" s="89">
        <v>0.95</v>
      </c>
      <c r="R58" s="90">
        <v>0.75</v>
      </c>
      <c r="S58" s="90">
        <v>0.75</v>
      </c>
      <c r="T58" s="89">
        <v>0.75</v>
      </c>
      <c r="U58" s="89">
        <v>1</v>
      </c>
      <c r="V58" s="89">
        <v>0.85</v>
      </c>
      <c r="W58" s="89">
        <v>0</v>
      </c>
      <c r="X58" s="89">
        <v>0.03</v>
      </c>
      <c r="Y58" s="89">
        <v>0.125</v>
      </c>
      <c r="Z58" s="89">
        <v>0.02</v>
      </c>
      <c r="AA58" s="89">
        <v>0.38</v>
      </c>
      <c r="AB58" s="89">
        <v>0</v>
      </c>
      <c r="AC58" s="89">
        <v>0.38</v>
      </c>
      <c r="AD58" s="89">
        <v>0</v>
      </c>
      <c r="AE58" s="89">
        <v>0.38</v>
      </c>
      <c r="AF58" s="89">
        <v>0</v>
      </c>
      <c r="AG58" s="89">
        <v>0.22</v>
      </c>
      <c r="AH58" s="89">
        <v>0</v>
      </c>
      <c r="AI58" s="89">
        <v>0.19631999999999999</v>
      </c>
      <c r="AJ58" s="89">
        <v>0</v>
      </c>
      <c r="AK58" s="89">
        <v>0.125</v>
      </c>
      <c r="AL58" s="89">
        <v>3.5000000000000003E-2</v>
      </c>
      <c r="AM58" s="89">
        <v>-7.2499999999999995E-2</v>
      </c>
      <c r="AN58" s="89">
        <v>6.0000000000000001E-3</v>
      </c>
      <c r="AO58" s="89">
        <v>-0.38500000000000001</v>
      </c>
      <c r="AP58" s="89">
        <v>0.155</v>
      </c>
      <c r="AQ58" s="89">
        <v>-5.2499999999999998E-2</v>
      </c>
      <c r="AR58" s="89">
        <v>5.0000000000000001E-3</v>
      </c>
      <c r="AS58" s="89">
        <v>-0.14499999999999999</v>
      </c>
      <c r="AT58" s="89">
        <v>-5.0000000000000001E-3</v>
      </c>
      <c r="AU58" s="89">
        <v>-0.105</v>
      </c>
      <c r="AV58" s="89">
        <v>-0.01</v>
      </c>
      <c r="AW58" s="89">
        <v>-0.09</v>
      </c>
      <c r="AX58" s="89">
        <v>5.0000000000000001E-3</v>
      </c>
      <c r="AY58" s="90">
        <v>0.14499999999999999</v>
      </c>
      <c r="AZ58" s="90">
        <v>0</v>
      </c>
      <c r="BA58" s="90">
        <v>-0.13500000000000001</v>
      </c>
      <c r="BB58" s="89">
        <v>5.0000000000000001E-3</v>
      </c>
      <c r="BC58" s="89">
        <v>-8.5000000000000006E-2</v>
      </c>
      <c r="BD58" s="89">
        <v>5.0000000000000001E-3</v>
      </c>
      <c r="BE58" s="89">
        <v>0.2</v>
      </c>
      <c r="BF58" s="89">
        <v>0.03</v>
      </c>
      <c r="BG58" s="89">
        <v>-6.7500000000000004E-2</v>
      </c>
      <c r="BH58" s="89">
        <v>0</v>
      </c>
      <c r="BI58" s="89">
        <v>0.15</v>
      </c>
      <c r="BJ58" s="62">
        <v>0.04</v>
      </c>
      <c r="BK58" s="62">
        <v>0.2</v>
      </c>
      <c r="BL58" s="62">
        <v>0.03</v>
      </c>
      <c r="BM58" s="62">
        <v>0.11799999999999999</v>
      </c>
      <c r="BN58" s="62">
        <v>0</v>
      </c>
      <c r="BO58" s="62">
        <v>-0.27</v>
      </c>
      <c r="BP58" s="62">
        <v>3.5000000000000003E-2</v>
      </c>
      <c r="BQ58" s="62">
        <v>0.5</v>
      </c>
      <c r="BR58" s="62">
        <v>0.03</v>
      </c>
      <c r="BS58" s="62">
        <v>-8.5000000000000006E-2</v>
      </c>
      <c r="BT58" s="62">
        <v>5.0000000000000001E-3</v>
      </c>
      <c r="BU58" s="62">
        <v>0.3</v>
      </c>
      <c r="BV58" s="62">
        <v>0</v>
      </c>
      <c r="BW58" s="62">
        <v>0.2</v>
      </c>
      <c r="BX58" s="62">
        <v>0</v>
      </c>
      <c r="BY58" s="62">
        <v>-2.5000000000000001E-2</v>
      </c>
      <c r="BZ58" s="62">
        <v>5.7500000000000002E-2</v>
      </c>
      <c r="CA58" s="62">
        <v>0.19500000000000001</v>
      </c>
      <c r="CB58" s="62">
        <v>5.0000000000000001E-3</v>
      </c>
      <c r="CC58" s="62">
        <v>-2.5000000000000001E-2</v>
      </c>
      <c r="CD58" s="62">
        <v>3.7000000000000002E-3</v>
      </c>
      <c r="CE58" s="62">
        <v>2.5000000000000001E-3</v>
      </c>
      <c r="CF58" s="62">
        <v>0</v>
      </c>
      <c r="CG58" s="62">
        <v>-2.5000000000000001E-2</v>
      </c>
      <c r="CH58" s="62">
        <v>3.7000000000000002E-3</v>
      </c>
      <c r="CI58" s="62">
        <v>-0.1205</v>
      </c>
      <c r="CJ58" s="62">
        <v>2.5000000000000001E-3</v>
      </c>
      <c r="CK58" s="62">
        <v>7.4999999999999997E-2</v>
      </c>
      <c r="CL58" s="62">
        <v>2.5000000000000001E-3</v>
      </c>
      <c r="CM58" s="62">
        <v>-6.7500000000000004E-2</v>
      </c>
      <c r="CN58" s="62">
        <v>0.01</v>
      </c>
      <c r="CO58" s="62">
        <v>-1.2500000000000001E-2</v>
      </c>
      <c r="CP58" s="62">
        <v>7.4999999999999997E-3</v>
      </c>
      <c r="CQ58" s="62">
        <v>2.75E-2</v>
      </c>
      <c r="CR58" s="62">
        <v>0.01</v>
      </c>
      <c r="CS58" s="62">
        <v>0.63500000000000001</v>
      </c>
      <c r="CT58" s="62">
        <v>0.1</v>
      </c>
      <c r="CU58" s="62">
        <v>0.11799999999999999</v>
      </c>
      <c r="CV58" s="62">
        <v>0</v>
      </c>
      <c r="CW58" s="62">
        <v>0.28999999999999998</v>
      </c>
      <c r="CX58" s="62">
        <v>0.02</v>
      </c>
      <c r="CY58" s="62">
        <v>-0.53</v>
      </c>
      <c r="CZ58" s="62">
        <v>0</v>
      </c>
      <c r="DA58" s="62">
        <v>-0.35</v>
      </c>
      <c r="DB58" s="62">
        <v>0</v>
      </c>
      <c r="DC58" s="62">
        <v>0.4</v>
      </c>
      <c r="DE58" s="62">
        <v>-4.7500000000000001E-2</v>
      </c>
      <c r="DF58" s="62">
        <v>7.4999999999999997E-3</v>
      </c>
      <c r="DG58" s="62">
        <v>5.0000000000000001E-3</v>
      </c>
      <c r="DH58" s="62">
        <v>7.4999999999999997E-3</v>
      </c>
      <c r="DI58" s="62">
        <v>-2.2499999999999999E-2</v>
      </c>
      <c r="DJ58" s="62">
        <v>2.5000000000000001E-3</v>
      </c>
      <c r="DK58" s="62">
        <v>-8.2500000000000004E-2</v>
      </c>
      <c r="DL58" s="62">
        <v>2.5000000000000001E-3</v>
      </c>
      <c r="DM58" s="62">
        <v>-6.7500000000000004E-2</v>
      </c>
      <c r="DN58" s="62">
        <v>2.5000000000000001E-3</v>
      </c>
      <c r="DO58" s="62">
        <v>-8.7499999999999994E-2</v>
      </c>
      <c r="DP58" s="62">
        <v>2.5000000000000001E-3</v>
      </c>
      <c r="DQ58" s="62">
        <v>-0.1125</v>
      </c>
      <c r="DR58" s="62">
        <v>-5.0000000000000001E-3</v>
      </c>
      <c r="DS58" s="62">
        <v>0.54</v>
      </c>
      <c r="DT58" s="62">
        <v>0.05</v>
      </c>
      <c r="DU58" s="62">
        <v>0.06</v>
      </c>
      <c r="DV58" s="62">
        <v>0</v>
      </c>
    </row>
    <row r="59" spans="4:126" x14ac:dyDescent="0.25">
      <c r="D59" s="91">
        <v>38443</v>
      </c>
      <c r="F59" s="89">
        <v>3.282</v>
      </c>
      <c r="G59" s="90">
        <v>4.6401056415071598E-2</v>
      </c>
      <c r="H59" s="89">
        <v>0.29749999999999999</v>
      </c>
      <c r="I59" s="89">
        <v>0.4</v>
      </c>
      <c r="J59" s="89">
        <v>0.45</v>
      </c>
      <c r="K59" s="89">
        <v>0.4</v>
      </c>
      <c r="L59" s="87">
        <v>0.45</v>
      </c>
      <c r="M59" s="87">
        <v>0.45</v>
      </c>
      <c r="N59" s="89">
        <v>0.45</v>
      </c>
      <c r="O59" s="89">
        <v>0.45</v>
      </c>
      <c r="P59" s="89">
        <v>0.45</v>
      </c>
      <c r="Q59" s="89">
        <v>0.5</v>
      </c>
      <c r="R59" s="90">
        <v>0.4</v>
      </c>
      <c r="S59" s="90">
        <v>0.45</v>
      </c>
      <c r="T59" s="89">
        <v>0.4</v>
      </c>
      <c r="U59" s="89">
        <v>0.45</v>
      </c>
      <c r="V59" s="89">
        <v>0.55000000000000004</v>
      </c>
      <c r="W59" s="89">
        <v>-0.09</v>
      </c>
      <c r="X59" s="89">
        <v>0</v>
      </c>
      <c r="Y59" s="89">
        <v>0.04</v>
      </c>
      <c r="Z59" s="89">
        <v>5.0000000000000001E-3</v>
      </c>
      <c r="AA59" s="89">
        <v>0.17499999999999999</v>
      </c>
      <c r="AB59" s="89">
        <v>0</v>
      </c>
      <c r="AC59" s="89">
        <v>0.14499999999999999</v>
      </c>
      <c r="AD59" s="89">
        <v>0</v>
      </c>
      <c r="AE59" s="89">
        <v>0.17499999999999999</v>
      </c>
      <c r="AF59" s="89">
        <v>0</v>
      </c>
      <c r="AG59" s="89">
        <v>0.13</v>
      </c>
      <c r="AH59" s="89">
        <v>0</v>
      </c>
      <c r="AI59" s="89">
        <v>0.14000000000000001</v>
      </c>
      <c r="AJ59" s="89">
        <v>0</v>
      </c>
      <c r="AK59" s="89">
        <v>0.04</v>
      </c>
      <c r="AL59" s="89">
        <v>0.04</v>
      </c>
      <c r="AM59" s="89">
        <v>-6.7500000000000004E-2</v>
      </c>
      <c r="AN59" s="89">
        <v>1.2999999999999999E-2</v>
      </c>
      <c r="AO59" s="89">
        <v>-0.42</v>
      </c>
      <c r="AP59" s="89">
        <v>0.155</v>
      </c>
      <c r="AQ59" s="89">
        <v>-6.25E-2</v>
      </c>
      <c r="AR59" s="89">
        <v>0</v>
      </c>
      <c r="AS59" s="89">
        <v>-0.15</v>
      </c>
      <c r="AT59" s="89">
        <v>-1.4999999999999999E-2</v>
      </c>
      <c r="AU59" s="89">
        <v>-0.11</v>
      </c>
      <c r="AV59" s="89">
        <v>0.02</v>
      </c>
      <c r="AW59" s="89">
        <v>-0.09</v>
      </c>
      <c r="AX59" s="89">
        <v>0.01</v>
      </c>
      <c r="AY59" s="90">
        <v>0.115</v>
      </c>
      <c r="AZ59" s="90">
        <v>0</v>
      </c>
      <c r="BA59" s="90">
        <v>-0.2</v>
      </c>
      <c r="BB59" s="89">
        <v>2.5000000000000001E-3</v>
      </c>
      <c r="BC59" s="89">
        <v>-8.5000000000000006E-2</v>
      </c>
      <c r="BD59" s="89">
        <v>5.0000000000000001E-3</v>
      </c>
      <c r="BE59" s="89">
        <v>0.23</v>
      </c>
      <c r="BF59" s="89">
        <v>0.03</v>
      </c>
      <c r="BG59" s="89">
        <v>-6.7500000000000004E-2</v>
      </c>
      <c r="BH59" s="89">
        <v>0</v>
      </c>
      <c r="BI59" s="89">
        <v>0.06</v>
      </c>
      <c r="BJ59" s="62">
        <v>0.03</v>
      </c>
      <c r="BK59" s="62">
        <v>0.23</v>
      </c>
      <c r="BL59" s="62">
        <v>0.03</v>
      </c>
      <c r="BM59" s="62">
        <v>-0.2</v>
      </c>
      <c r="BN59" s="62">
        <v>0</v>
      </c>
      <c r="BO59" s="62">
        <v>-0.42</v>
      </c>
      <c r="BP59" s="62">
        <v>0.02</v>
      </c>
      <c r="BQ59" s="62">
        <v>0.5</v>
      </c>
      <c r="BR59" s="62">
        <v>0.03</v>
      </c>
      <c r="BS59" s="62">
        <v>-8.5000000000000006E-2</v>
      </c>
      <c r="BT59" s="62">
        <v>5.0000000000000001E-3</v>
      </c>
      <c r="BU59" s="62">
        <v>0.3</v>
      </c>
      <c r="BV59" s="62">
        <v>0</v>
      </c>
      <c r="BW59" s="62">
        <v>0.23</v>
      </c>
      <c r="BX59" s="62">
        <v>0</v>
      </c>
      <c r="BY59" s="62">
        <v>-2.5000000000000001E-2</v>
      </c>
      <c r="BZ59" s="62">
        <v>5.7500000000000002E-2</v>
      </c>
      <c r="CA59" s="62">
        <v>0.14499999999999999</v>
      </c>
      <c r="CB59" s="62">
        <v>5.0000000000000001E-3</v>
      </c>
      <c r="CC59" s="62">
        <v>-2.5000000000000001E-2</v>
      </c>
      <c r="CD59" s="62">
        <v>3.5000000000000001E-3</v>
      </c>
      <c r="CE59" s="62">
        <v>2.5000000000000001E-3</v>
      </c>
      <c r="CF59" s="62">
        <v>0</v>
      </c>
      <c r="CG59" s="62">
        <v>-2.5000000000000001E-2</v>
      </c>
      <c r="CH59" s="62">
        <v>3.5000000000000001E-3</v>
      </c>
      <c r="CI59" s="62">
        <v>-0.14050000000000001</v>
      </c>
      <c r="CJ59" s="62">
        <v>2.5000000000000001E-3</v>
      </c>
      <c r="CK59" s="62">
        <v>7.7499999999999999E-2</v>
      </c>
      <c r="CL59" s="62">
        <v>2.5000000000000001E-3</v>
      </c>
      <c r="CM59" s="62">
        <v>-7.2499999999999995E-2</v>
      </c>
      <c r="CN59" s="62">
        <v>7.4999999999999997E-3</v>
      </c>
      <c r="CO59" s="62">
        <v>-1.7500000000000002E-2</v>
      </c>
      <c r="CP59" s="62">
        <v>5.0000000000000001E-3</v>
      </c>
      <c r="CQ59" s="62">
        <v>2.2499999999999999E-2</v>
      </c>
      <c r="CR59" s="62">
        <v>7.4999999999999997E-3</v>
      </c>
      <c r="CS59" s="62">
        <v>0.38</v>
      </c>
      <c r="CT59" s="62">
        <v>0.02</v>
      </c>
      <c r="CU59" s="62">
        <v>-0.2</v>
      </c>
      <c r="CV59" s="62">
        <v>0</v>
      </c>
      <c r="CW59" s="62">
        <v>0.19500000000000001</v>
      </c>
      <c r="CX59" s="62">
        <v>7.4999999999999997E-3</v>
      </c>
      <c r="CY59" s="62">
        <v>-0.68</v>
      </c>
      <c r="CZ59" s="62">
        <v>0</v>
      </c>
      <c r="DA59" s="62">
        <v>-0.5</v>
      </c>
      <c r="DB59" s="62">
        <v>0</v>
      </c>
      <c r="DC59" s="62">
        <v>0.6</v>
      </c>
      <c r="DE59" s="62">
        <v>-5.2499999999999998E-2</v>
      </c>
      <c r="DF59" s="62">
        <v>7.4999999999999997E-3</v>
      </c>
      <c r="DG59" s="62">
        <v>0.01</v>
      </c>
      <c r="DH59" s="62">
        <v>7.4999999999999997E-3</v>
      </c>
      <c r="DI59" s="62">
        <v>-1.7500000000000002E-2</v>
      </c>
      <c r="DJ59" s="62">
        <v>7.4999999999999997E-3</v>
      </c>
      <c r="DK59" s="62">
        <v>-0.1255</v>
      </c>
      <c r="DL59" s="62">
        <v>5.0000000000000001E-3</v>
      </c>
      <c r="DM59" s="62">
        <v>-6.5000000000000002E-2</v>
      </c>
      <c r="DN59" s="62">
        <v>2.5000000000000001E-3</v>
      </c>
      <c r="DO59" s="62">
        <v>-8.5000000000000006E-2</v>
      </c>
      <c r="DP59" s="62">
        <v>2.5000000000000001E-3</v>
      </c>
      <c r="DQ59" s="62">
        <v>-0.1555</v>
      </c>
      <c r="DR59" s="62">
        <v>-5.0000000000000001E-3</v>
      </c>
      <c r="DS59" s="62">
        <v>0.36</v>
      </c>
      <c r="DT59" s="62">
        <v>5.0000000000000001E-3</v>
      </c>
      <c r="DU59" s="62">
        <v>-0.12</v>
      </c>
      <c r="DV59" s="62">
        <v>0</v>
      </c>
    </row>
    <row r="60" spans="4:126" x14ac:dyDescent="0.25">
      <c r="D60" s="91">
        <v>38473</v>
      </c>
      <c r="F60" s="89">
        <v>3.2770000000000001</v>
      </c>
      <c r="G60" s="90">
        <v>4.6856677050253197E-2</v>
      </c>
      <c r="H60" s="89">
        <v>0.28999999999999998</v>
      </c>
      <c r="I60" s="89">
        <v>0.45</v>
      </c>
      <c r="J60" s="89">
        <v>0.5</v>
      </c>
      <c r="K60" s="89">
        <v>0.4</v>
      </c>
      <c r="L60" s="87">
        <v>0.4</v>
      </c>
      <c r="M60" s="87">
        <v>0.45</v>
      </c>
      <c r="N60" s="89">
        <v>0.5</v>
      </c>
      <c r="O60" s="89">
        <v>0.45</v>
      </c>
      <c r="P60" s="89">
        <v>0.4</v>
      </c>
      <c r="Q60" s="89">
        <v>0.45</v>
      </c>
      <c r="R60" s="90">
        <v>0.45</v>
      </c>
      <c r="S60" s="90">
        <v>0.5</v>
      </c>
      <c r="T60" s="89">
        <v>0.45</v>
      </c>
      <c r="U60" s="89">
        <v>0.5</v>
      </c>
      <c r="V60" s="89">
        <v>0.5</v>
      </c>
      <c r="W60" s="89">
        <v>-0.09</v>
      </c>
      <c r="X60" s="89">
        <v>0</v>
      </c>
      <c r="Y60" s="89">
        <v>0.04</v>
      </c>
      <c r="Z60" s="89">
        <v>5.0000000000000001E-3</v>
      </c>
      <c r="AA60" s="89">
        <v>0.17499999999999999</v>
      </c>
      <c r="AB60" s="89">
        <v>0</v>
      </c>
      <c r="AC60" s="89">
        <v>0.14499999999999999</v>
      </c>
      <c r="AD60" s="89">
        <v>0</v>
      </c>
      <c r="AE60" s="89">
        <v>0.17499999999999999</v>
      </c>
      <c r="AF60" s="89">
        <v>0</v>
      </c>
      <c r="AG60" s="89">
        <v>0.13</v>
      </c>
      <c r="AH60" s="89">
        <v>0</v>
      </c>
      <c r="AI60" s="89">
        <v>0.14000000000000001</v>
      </c>
      <c r="AJ60" s="89">
        <v>0</v>
      </c>
      <c r="AK60" s="89">
        <v>0.04</v>
      </c>
      <c r="AL60" s="89">
        <v>0.04</v>
      </c>
      <c r="AM60" s="89">
        <v>-6.7500000000000004E-2</v>
      </c>
      <c r="AN60" s="89">
        <v>1.2999999999999999E-2</v>
      </c>
      <c r="AO60" s="89">
        <v>-0.42</v>
      </c>
      <c r="AP60" s="89">
        <v>0.155</v>
      </c>
      <c r="AQ60" s="89">
        <v>-6.25E-2</v>
      </c>
      <c r="AR60" s="89">
        <v>0</v>
      </c>
      <c r="AS60" s="89">
        <v>-0.15</v>
      </c>
      <c r="AT60" s="89">
        <v>-1.4999999999999999E-2</v>
      </c>
      <c r="AU60" s="89">
        <v>-0.11</v>
      </c>
      <c r="AV60" s="89">
        <v>0.02</v>
      </c>
      <c r="AW60" s="89">
        <v>-0.09</v>
      </c>
      <c r="AX60" s="89">
        <v>0.01</v>
      </c>
      <c r="AY60" s="90">
        <v>0.115</v>
      </c>
      <c r="AZ60" s="90">
        <v>0</v>
      </c>
      <c r="BA60" s="90">
        <v>-0.2</v>
      </c>
      <c r="BB60" s="89">
        <v>2.5000000000000001E-3</v>
      </c>
      <c r="BC60" s="89">
        <v>-8.5000000000000006E-2</v>
      </c>
      <c r="BD60" s="89">
        <v>5.0000000000000001E-3</v>
      </c>
      <c r="BE60" s="89">
        <v>0.23</v>
      </c>
      <c r="BF60" s="89">
        <v>0.03</v>
      </c>
      <c r="BG60" s="89">
        <v>-6.7500000000000004E-2</v>
      </c>
      <c r="BH60" s="89">
        <v>0</v>
      </c>
      <c r="BI60" s="89">
        <v>0.06</v>
      </c>
      <c r="BJ60" s="62">
        <v>0.03</v>
      </c>
      <c r="BK60" s="62">
        <v>0.23</v>
      </c>
      <c r="BL60" s="62">
        <v>0.03</v>
      </c>
      <c r="BM60" s="62">
        <v>-0.2</v>
      </c>
      <c r="BN60" s="62">
        <v>0</v>
      </c>
      <c r="BO60" s="62">
        <v>-0.42</v>
      </c>
      <c r="BP60" s="62">
        <v>0.02</v>
      </c>
      <c r="BQ60" s="62">
        <v>0.5</v>
      </c>
      <c r="BR60" s="62">
        <v>0.03</v>
      </c>
      <c r="BS60" s="62">
        <v>-8.5000000000000006E-2</v>
      </c>
      <c r="BT60" s="62">
        <v>5.0000000000000001E-3</v>
      </c>
      <c r="BU60" s="62">
        <v>0.3</v>
      </c>
      <c r="BV60" s="62">
        <v>0</v>
      </c>
      <c r="BW60" s="62">
        <v>0.23</v>
      </c>
      <c r="BX60" s="62">
        <v>0</v>
      </c>
      <c r="BY60" s="62">
        <v>-2.5000000000000001E-2</v>
      </c>
      <c r="BZ60" s="62">
        <v>5.7500000000000002E-2</v>
      </c>
      <c r="CA60" s="62">
        <v>0.125</v>
      </c>
      <c r="CB60" s="62">
        <v>5.0000000000000001E-3</v>
      </c>
      <c r="CC60" s="62">
        <v>-2.5000000000000001E-2</v>
      </c>
      <c r="CD60" s="62">
        <v>3.5000000000000001E-3</v>
      </c>
      <c r="CE60" s="62">
        <v>2.5000000000000001E-3</v>
      </c>
      <c r="CF60" s="62">
        <v>0</v>
      </c>
      <c r="CG60" s="62">
        <v>-2.5000000000000001E-2</v>
      </c>
      <c r="CH60" s="62">
        <v>3.5000000000000001E-3</v>
      </c>
      <c r="CI60" s="62">
        <v>-0.128</v>
      </c>
      <c r="CJ60" s="62">
        <v>2.5000000000000001E-3</v>
      </c>
      <c r="CK60" s="62">
        <v>7.7499999999999999E-2</v>
      </c>
      <c r="CL60" s="62">
        <v>2.5000000000000001E-3</v>
      </c>
      <c r="CM60" s="62">
        <v>-7.2499999999999995E-2</v>
      </c>
      <c r="CN60" s="62">
        <v>7.4999999999999997E-3</v>
      </c>
      <c r="CO60" s="62">
        <v>-1.7500000000000002E-2</v>
      </c>
      <c r="CP60" s="62">
        <v>5.0000000000000001E-3</v>
      </c>
      <c r="CQ60" s="62">
        <v>2.2499999999999999E-2</v>
      </c>
      <c r="CR60" s="62">
        <v>7.4999999999999997E-3</v>
      </c>
      <c r="CS60" s="62">
        <v>0.33</v>
      </c>
      <c r="CT60" s="62">
        <v>0.02</v>
      </c>
      <c r="CU60" s="62">
        <v>-0.2</v>
      </c>
      <c r="CV60" s="62">
        <v>0</v>
      </c>
      <c r="CW60" s="62">
        <v>0.13500000000000001</v>
      </c>
      <c r="CX60" s="62">
        <v>7.4999999999999997E-3</v>
      </c>
      <c r="CY60" s="62">
        <v>-0.68</v>
      </c>
      <c r="CZ60" s="62">
        <v>0</v>
      </c>
      <c r="DA60" s="62">
        <v>-0.5</v>
      </c>
      <c r="DB60" s="62">
        <v>0</v>
      </c>
      <c r="DC60" s="62">
        <v>0.75</v>
      </c>
      <c r="DE60" s="62">
        <v>-5.2499999999999998E-2</v>
      </c>
      <c r="DF60" s="62">
        <v>7.4999999999999997E-3</v>
      </c>
      <c r="DG60" s="62">
        <v>0.01</v>
      </c>
      <c r="DH60" s="62">
        <v>7.4999999999999997E-3</v>
      </c>
      <c r="DI60" s="62">
        <v>-1.7500000000000002E-2</v>
      </c>
      <c r="DJ60" s="62">
        <v>7.4999999999999997E-3</v>
      </c>
      <c r="DK60" s="62">
        <v>-0.10299999999999999</v>
      </c>
      <c r="DL60" s="62">
        <v>5.0000000000000001E-3</v>
      </c>
      <c r="DM60" s="62">
        <v>-6.5000000000000002E-2</v>
      </c>
      <c r="DN60" s="62">
        <v>2.5000000000000001E-3</v>
      </c>
      <c r="DO60" s="62">
        <v>-8.5000000000000006E-2</v>
      </c>
      <c r="DP60" s="62">
        <v>2.5000000000000001E-3</v>
      </c>
      <c r="DQ60" s="62">
        <v>-0.13300000000000001</v>
      </c>
      <c r="DR60" s="62">
        <v>-5.0000000000000001E-3</v>
      </c>
      <c r="DS60" s="62">
        <v>0.32500000000000001</v>
      </c>
      <c r="DT60" s="62">
        <v>5.0000000000000001E-3</v>
      </c>
      <c r="DU60" s="62">
        <v>-0.12</v>
      </c>
      <c r="DV60" s="62">
        <v>0</v>
      </c>
    </row>
    <row r="61" spans="4:126" x14ac:dyDescent="0.25">
      <c r="D61" s="91">
        <v>38504</v>
      </c>
      <c r="F61" s="89">
        <v>3.3119999999999998</v>
      </c>
      <c r="G61" s="90">
        <v>4.7327485112866399E-2</v>
      </c>
      <c r="H61" s="89">
        <v>0.28999999999999998</v>
      </c>
      <c r="I61" s="89">
        <v>0.45</v>
      </c>
      <c r="J61" s="89">
        <v>0.5</v>
      </c>
      <c r="K61" s="89">
        <v>0.4</v>
      </c>
      <c r="L61" s="87">
        <v>0.5</v>
      </c>
      <c r="M61" s="87">
        <v>0.45</v>
      </c>
      <c r="N61" s="89">
        <v>0.5</v>
      </c>
      <c r="O61" s="89">
        <v>0.5</v>
      </c>
      <c r="P61" s="89">
        <v>0.5</v>
      </c>
      <c r="Q61" s="89">
        <v>0.5</v>
      </c>
      <c r="R61" s="90">
        <v>0.45</v>
      </c>
      <c r="S61" s="90">
        <v>0.5</v>
      </c>
      <c r="T61" s="89">
        <v>0.45</v>
      </c>
      <c r="U61" s="89">
        <v>0.5</v>
      </c>
      <c r="V61" s="89">
        <v>0.6</v>
      </c>
      <c r="W61" s="89">
        <v>-0.09</v>
      </c>
      <c r="X61" s="89">
        <v>0</v>
      </c>
      <c r="Y61" s="89">
        <v>0.04</v>
      </c>
      <c r="Z61" s="89">
        <v>5.0000000000000001E-3</v>
      </c>
      <c r="AA61" s="89">
        <v>0.17499999999999999</v>
      </c>
      <c r="AB61" s="89">
        <v>0</v>
      </c>
      <c r="AC61" s="89">
        <v>0.14499999999999999</v>
      </c>
      <c r="AD61" s="89">
        <v>0</v>
      </c>
      <c r="AE61" s="89">
        <v>0.17499999999999999</v>
      </c>
      <c r="AF61" s="89">
        <v>0</v>
      </c>
      <c r="AG61" s="89">
        <v>0.13</v>
      </c>
      <c r="AH61" s="89">
        <v>0</v>
      </c>
      <c r="AI61" s="89">
        <v>0.14000000000000001</v>
      </c>
      <c r="AJ61" s="89">
        <v>0</v>
      </c>
      <c r="AK61" s="89">
        <v>0.04</v>
      </c>
      <c r="AL61" s="89">
        <v>0.04</v>
      </c>
      <c r="AM61" s="89">
        <v>-6.7500000000000004E-2</v>
      </c>
      <c r="AN61" s="89">
        <v>1.2999999999999999E-2</v>
      </c>
      <c r="AO61" s="89">
        <v>-0.42</v>
      </c>
      <c r="AP61" s="89">
        <v>0.155</v>
      </c>
      <c r="AQ61" s="89">
        <v>-6.25E-2</v>
      </c>
      <c r="AR61" s="89">
        <v>0</v>
      </c>
      <c r="AS61" s="89">
        <v>-0.15</v>
      </c>
      <c r="AT61" s="89">
        <v>-1.4999999999999999E-2</v>
      </c>
      <c r="AU61" s="89">
        <v>-0.11</v>
      </c>
      <c r="AV61" s="89">
        <v>0.02</v>
      </c>
      <c r="AW61" s="89">
        <v>-0.09</v>
      </c>
      <c r="AX61" s="89">
        <v>0.01</v>
      </c>
      <c r="AY61" s="90">
        <v>0.115</v>
      </c>
      <c r="AZ61" s="90">
        <v>0</v>
      </c>
      <c r="BA61" s="90">
        <v>-0.2</v>
      </c>
      <c r="BB61" s="89">
        <v>2.5000000000000001E-3</v>
      </c>
      <c r="BC61" s="89">
        <v>-8.5000000000000006E-2</v>
      </c>
      <c r="BD61" s="89">
        <v>5.0000000000000001E-3</v>
      </c>
      <c r="BE61" s="89">
        <v>0.23</v>
      </c>
      <c r="BF61" s="89">
        <v>0.03</v>
      </c>
      <c r="BG61" s="89">
        <v>-6.7500000000000004E-2</v>
      </c>
      <c r="BH61" s="89">
        <v>0</v>
      </c>
      <c r="BI61" s="89">
        <v>0.06</v>
      </c>
      <c r="BJ61" s="62">
        <v>0.03</v>
      </c>
      <c r="BK61" s="62">
        <v>0.23</v>
      </c>
      <c r="BL61" s="62">
        <v>0.03</v>
      </c>
      <c r="BM61" s="62">
        <v>-0.2</v>
      </c>
      <c r="BN61" s="62">
        <v>0</v>
      </c>
      <c r="BO61" s="62">
        <v>-0.42</v>
      </c>
      <c r="BP61" s="62">
        <v>0.02</v>
      </c>
      <c r="BQ61" s="62">
        <v>0.5</v>
      </c>
      <c r="BR61" s="62">
        <v>0.03</v>
      </c>
      <c r="BS61" s="62">
        <v>-8.5000000000000006E-2</v>
      </c>
      <c r="BT61" s="62">
        <v>5.0000000000000001E-3</v>
      </c>
      <c r="BU61" s="62">
        <v>0.3</v>
      </c>
      <c r="BV61" s="62">
        <v>0</v>
      </c>
      <c r="BW61" s="62">
        <v>0.23</v>
      </c>
      <c r="BX61" s="62">
        <v>0</v>
      </c>
      <c r="BY61" s="62">
        <v>-2.5000000000000001E-2</v>
      </c>
      <c r="BZ61" s="62">
        <v>5.7500000000000002E-2</v>
      </c>
      <c r="CA61" s="62">
        <v>0.14499999999999999</v>
      </c>
      <c r="CB61" s="62">
        <v>5.0000000000000001E-3</v>
      </c>
      <c r="CC61" s="62">
        <v>-2.5000000000000001E-2</v>
      </c>
      <c r="CD61" s="62">
        <v>3.5000000000000001E-3</v>
      </c>
      <c r="CE61" s="62">
        <v>2.5000000000000001E-3</v>
      </c>
      <c r="CF61" s="62">
        <v>0</v>
      </c>
      <c r="CG61" s="62">
        <v>-2.5000000000000001E-2</v>
      </c>
      <c r="CH61" s="62">
        <v>3.5000000000000001E-3</v>
      </c>
      <c r="CI61" s="62">
        <v>-8.5500000000000007E-2</v>
      </c>
      <c r="CJ61" s="62">
        <v>2.5000000000000001E-3</v>
      </c>
      <c r="CK61" s="62">
        <v>7.7499999999999999E-2</v>
      </c>
      <c r="CL61" s="62">
        <v>2.5000000000000001E-3</v>
      </c>
      <c r="CM61" s="62">
        <v>-7.2499999999999995E-2</v>
      </c>
      <c r="CN61" s="62">
        <v>7.4999999999999997E-3</v>
      </c>
      <c r="CO61" s="62">
        <v>-1.7500000000000002E-2</v>
      </c>
      <c r="CP61" s="62">
        <v>5.0000000000000001E-3</v>
      </c>
      <c r="CQ61" s="62">
        <v>2.2499999999999999E-2</v>
      </c>
      <c r="CR61" s="62">
        <v>7.4999999999999997E-3</v>
      </c>
      <c r="CS61" s="62">
        <v>0.37</v>
      </c>
      <c r="CT61" s="62">
        <v>3.5000000000000003E-2</v>
      </c>
      <c r="CU61" s="62">
        <v>-0.2</v>
      </c>
      <c r="CV61" s="62">
        <v>0</v>
      </c>
      <c r="CW61" s="62">
        <v>0.16500000000000001</v>
      </c>
      <c r="CX61" s="62">
        <v>7.4999999999999997E-3</v>
      </c>
      <c r="CY61" s="62">
        <v>-0.68</v>
      </c>
      <c r="CZ61" s="62">
        <v>0</v>
      </c>
      <c r="DA61" s="62">
        <v>-0.5</v>
      </c>
      <c r="DB61" s="62">
        <v>0</v>
      </c>
      <c r="DC61" s="62">
        <v>0.85</v>
      </c>
      <c r="DE61" s="62">
        <v>-0.05</v>
      </c>
      <c r="DF61" s="62">
        <v>7.4999999999999997E-3</v>
      </c>
      <c r="DG61" s="62">
        <v>1.2500000000000001E-2</v>
      </c>
      <c r="DH61" s="62">
        <v>7.4999999999999997E-3</v>
      </c>
      <c r="DI61" s="62">
        <v>-1.4999999999999999E-2</v>
      </c>
      <c r="DJ61" s="62">
        <v>7.4999999999999997E-3</v>
      </c>
      <c r="DK61" s="62">
        <v>-5.0500000000000003E-2</v>
      </c>
      <c r="DL61" s="62">
        <v>5.0000000000000001E-3</v>
      </c>
      <c r="DM61" s="62">
        <v>-6.5000000000000002E-2</v>
      </c>
      <c r="DN61" s="62">
        <v>2.5000000000000001E-3</v>
      </c>
      <c r="DO61" s="62">
        <v>-8.5000000000000006E-2</v>
      </c>
      <c r="DP61" s="62">
        <v>2.5000000000000001E-3</v>
      </c>
      <c r="DQ61" s="62">
        <v>-8.0500000000000002E-2</v>
      </c>
      <c r="DR61" s="62">
        <v>-5.0000000000000001E-3</v>
      </c>
      <c r="DS61" s="62">
        <v>0.33500000000000002</v>
      </c>
      <c r="DT61" s="62">
        <v>5.0000000000000001E-3</v>
      </c>
      <c r="DU61" s="62">
        <v>-0.12</v>
      </c>
      <c r="DV61" s="62">
        <v>0</v>
      </c>
    </row>
    <row r="62" spans="4:126" x14ac:dyDescent="0.25">
      <c r="D62" s="91">
        <v>38534</v>
      </c>
      <c r="F62" s="89">
        <v>3.3519999999999999</v>
      </c>
      <c r="G62" s="90">
        <v>4.7760481058800999E-2</v>
      </c>
      <c r="H62" s="89">
        <v>0.28499999999999998</v>
      </c>
      <c r="I62" s="89">
        <v>0.5</v>
      </c>
      <c r="J62" s="89">
        <v>0.5</v>
      </c>
      <c r="K62" s="89">
        <v>0.4</v>
      </c>
      <c r="L62" s="87">
        <v>0.5</v>
      </c>
      <c r="M62" s="87">
        <v>0.5</v>
      </c>
      <c r="N62" s="89">
        <v>0.5</v>
      </c>
      <c r="O62" s="89">
        <v>0.5</v>
      </c>
      <c r="P62" s="89">
        <v>0.5</v>
      </c>
      <c r="Q62" s="89">
        <v>0.5</v>
      </c>
      <c r="R62" s="90">
        <v>0.5</v>
      </c>
      <c r="S62" s="90">
        <v>0.55000000000000004</v>
      </c>
      <c r="T62" s="89">
        <v>0.5</v>
      </c>
      <c r="U62" s="89">
        <v>0.5</v>
      </c>
      <c r="V62" s="89">
        <v>0.6</v>
      </c>
      <c r="W62" s="89">
        <v>-0.09</v>
      </c>
      <c r="X62" s="89">
        <v>0</v>
      </c>
      <c r="Y62" s="89">
        <v>0.04</v>
      </c>
      <c r="Z62" s="89">
        <v>5.0000000000000001E-3</v>
      </c>
      <c r="AA62" s="89">
        <v>0.17499999999999999</v>
      </c>
      <c r="AB62" s="89">
        <v>0</v>
      </c>
      <c r="AC62" s="89">
        <v>0.14499999999999999</v>
      </c>
      <c r="AD62" s="89">
        <v>0</v>
      </c>
      <c r="AE62" s="89">
        <v>0.17499999999999999</v>
      </c>
      <c r="AF62" s="89">
        <v>0</v>
      </c>
      <c r="AG62" s="89">
        <v>0.13</v>
      </c>
      <c r="AH62" s="89">
        <v>0</v>
      </c>
      <c r="AI62" s="89">
        <v>0.14000000000000001</v>
      </c>
      <c r="AJ62" s="89">
        <v>0</v>
      </c>
      <c r="AK62" s="89">
        <v>0.04</v>
      </c>
      <c r="AL62" s="89">
        <v>0.04</v>
      </c>
      <c r="AM62" s="89">
        <v>-6.7500000000000004E-2</v>
      </c>
      <c r="AN62" s="89">
        <v>1.2999999999999999E-2</v>
      </c>
      <c r="AO62" s="89">
        <v>-0.42</v>
      </c>
      <c r="AP62" s="89">
        <v>0.155</v>
      </c>
      <c r="AQ62" s="89">
        <v>-6.25E-2</v>
      </c>
      <c r="AR62" s="89">
        <v>0</v>
      </c>
      <c r="AS62" s="89">
        <v>-0.15</v>
      </c>
      <c r="AT62" s="89">
        <v>-1.4999999999999999E-2</v>
      </c>
      <c r="AU62" s="89">
        <v>-0.11</v>
      </c>
      <c r="AV62" s="89">
        <v>0.02</v>
      </c>
      <c r="AW62" s="89">
        <v>-0.09</v>
      </c>
      <c r="AX62" s="89">
        <v>0.01</v>
      </c>
      <c r="AY62" s="90">
        <v>0.115</v>
      </c>
      <c r="AZ62" s="90">
        <v>0</v>
      </c>
      <c r="BA62" s="90">
        <v>-0.2</v>
      </c>
      <c r="BB62" s="89">
        <v>2.5000000000000001E-3</v>
      </c>
      <c r="BC62" s="89">
        <v>-8.5000000000000006E-2</v>
      </c>
      <c r="BD62" s="89">
        <v>5.0000000000000001E-3</v>
      </c>
      <c r="BE62" s="89">
        <v>0.23</v>
      </c>
      <c r="BF62" s="89">
        <v>0.03</v>
      </c>
      <c r="BG62" s="89">
        <v>-6.7500000000000004E-2</v>
      </c>
      <c r="BH62" s="89">
        <v>0</v>
      </c>
      <c r="BI62" s="89">
        <v>0.06</v>
      </c>
      <c r="BJ62" s="62">
        <v>0.03</v>
      </c>
      <c r="BK62" s="62">
        <v>0.23</v>
      </c>
      <c r="BL62" s="62">
        <v>0.03</v>
      </c>
      <c r="BM62" s="62">
        <v>-0.2</v>
      </c>
      <c r="BN62" s="62">
        <v>0</v>
      </c>
      <c r="BO62" s="62">
        <v>-0.42</v>
      </c>
      <c r="BP62" s="62">
        <v>0.02</v>
      </c>
      <c r="BQ62" s="62">
        <v>0.5</v>
      </c>
      <c r="BR62" s="62">
        <v>0.03</v>
      </c>
      <c r="BS62" s="62">
        <v>-8.5000000000000006E-2</v>
      </c>
      <c r="BT62" s="62">
        <v>5.0000000000000001E-3</v>
      </c>
      <c r="BU62" s="62">
        <v>0.3</v>
      </c>
      <c r="BV62" s="62">
        <v>0</v>
      </c>
      <c r="BW62" s="62">
        <v>0.23</v>
      </c>
      <c r="BX62" s="62">
        <v>0</v>
      </c>
      <c r="BY62" s="62">
        <v>-2.5000000000000001E-2</v>
      </c>
      <c r="BZ62" s="62">
        <v>5.7500000000000002E-2</v>
      </c>
      <c r="CA62" s="62">
        <v>0.15</v>
      </c>
      <c r="CB62" s="62">
        <v>5.0000000000000001E-3</v>
      </c>
      <c r="CC62" s="62">
        <v>-2.5000000000000001E-2</v>
      </c>
      <c r="CD62" s="62">
        <v>3.5000000000000001E-3</v>
      </c>
      <c r="CE62" s="62">
        <v>2.5000000000000001E-3</v>
      </c>
      <c r="CF62" s="62">
        <v>0</v>
      </c>
      <c r="CG62" s="62">
        <v>-2.5000000000000001E-2</v>
      </c>
      <c r="CH62" s="62">
        <v>3.5000000000000001E-3</v>
      </c>
      <c r="CI62" s="62">
        <v>-8.3000000000000004E-2</v>
      </c>
      <c r="CJ62" s="62">
        <v>2.5000000000000001E-3</v>
      </c>
      <c r="CK62" s="62">
        <v>7.7499999999999999E-2</v>
      </c>
      <c r="CL62" s="62">
        <v>2.5000000000000001E-3</v>
      </c>
      <c r="CM62" s="62">
        <v>-7.2499999999999995E-2</v>
      </c>
      <c r="CN62" s="62">
        <v>7.4999999999999997E-3</v>
      </c>
      <c r="CO62" s="62">
        <v>-1.7500000000000002E-2</v>
      </c>
      <c r="CP62" s="62">
        <v>5.0000000000000001E-3</v>
      </c>
      <c r="CQ62" s="62">
        <v>2.2499999999999999E-2</v>
      </c>
      <c r="CR62" s="62">
        <v>7.4999999999999997E-3</v>
      </c>
      <c r="CS62" s="62">
        <v>0.41</v>
      </c>
      <c r="CT62" s="62">
        <v>3.5000000000000003E-2</v>
      </c>
      <c r="CU62" s="62">
        <v>-0.2</v>
      </c>
      <c r="CV62" s="62">
        <v>0</v>
      </c>
      <c r="CW62" s="62">
        <v>0.20499999999999999</v>
      </c>
      <c r="CX62" s="62">
        <v>7.4999999999999997E-3</v>
      </c>
      <c r="CY62" s="62">
        <v>-0.68</v>
      </c>
      <c r="CZ62" s="62">
        <v>0</v>
      </c>
      <c r="DA62" s="62">
        <v>-0.5</v>
      </c>
      <c r="DB62" s="62">
        <v>0</v>
      </c>
      <c r="DC62" s="62">
        <v>1.05</v>
      </c>
      <c r="DE62" s="62">
        <v>-0.05</v>
      </c>
      <c r="DF62" s="62">
        <v>7.4999999999999997E-3</v>
      </c>
      <c r="DG62" s="62">
        <v>1.2500000000000001E-2</v>
      </c>
      <c r="DH62" s="62">
        <v>7.4999999999999997E-3</v>
      </c>
      <c r="DI62" s="62">
        <v>-1.4999999999999999E-2</v>
      </c>
      <c r="DJ62" s="62">
        <v>7.4999999999999997E-3</v>
      </c>
      <c r="DK62" s="62">
        <v>-6.0499999999999998E-2</v>
      </c>
      <c r="DL62" s="62">
        <v>5.0000000000000001E-3</v>
      </c>
      <c r="DM62" s="62">
        <v>-6.5000000000000002E-2</v>
      </c>
      <c r="DN62" s="62">
        <v>2.5000000000000001E-3</v>
      </c>
      <c r="DO62" s="62">
        <v>-8.5000000000000006E-2</v>
      </c>
      <c r="DP62" s="62">
        <v>2.5000000000000001E-3</v>
      </c>
      <c r="DQ62" s="62">
        <v>-9.0499999999999997E-2</v>
      </c>
      <c r="DR62" s="62">
        <v>-5.0000000000000001E-3</v>
      </c>
      <c r="DS62" s="62">
        <v>0.35</v>
      </c>
      <c r="DT62" s="62">
        <v>5.0000000000000001E-3</v>
      </c>
      <c r="DU62" s="62">
        <v>-0.12</v>
      </c>
      <c r="DV62" s="62">
        <v>0</v>
      </c>
    </row>
    <row r="63" spans="4:126" x14ac:dyDescent="0.25">
      <c r="D63" s="91">
        <v>38565</v>
      </c>
      <c r="F63" s="89">
        <v>3.3919999999999999</v>
      </c>
      <c r="G63" s="90">
        <v>4.81861434694211E-2</v>
      </c>
      <c r="H63" s="89">
        <v>0.28499999999999998</v>
      </c>
      <c r="I63" s="89">
        <v>0.55000000000000004</v>
      </c>
      <c r="J63" s="89">
        <v>0.55000000000000004</v>
      </c>
      <c r="K63" s="89">
        <v>0.5</v>
      </c>
      <c r="L63" s="87">
        <v>0.6</v>
      </c>
      <c r="M63" s="87">
        <v>0.55000000000000004</v>
      </c>
      <c r="N63" s="89">
        <v>0.6</v>
      </c>
      <c r="O63" s="89">
        <v>0.55000000000000004</v>
      </c>
      <c r="P63" s="89">
        <v>0.6</v>
      </c>
      <c r="Q63" s="89">
        <v>0.45</v>
      </c>
      <c r="R63" s="90">
        <v>0.55000000000000004</v>
      </c>
      <c r="S63" s="90">
        <v>0.6</v>
      </c>
      <c r="T63" s="89">
        <v>0.55000000000000004</v>
      </c>
      <c r="U63" s="89">
        <v>0.6</v>
      </c>
      <c r="V63" s="89">
        <v>0.7</v>
      </c>
      <c r="W63" s="89">
        <v>-0.09</v>
      </c>
      <c r="X63" s="89">
        <v>0</v>
      </c>
      <c r="Y63" s="89">
        <v>0.04</v>
      </c>
      <c r="Z63" s="89">
        <v>5.0000000000000001E-3</v>
      </c>
      <c r="AA63" s="89">
        <v>0.17499999999999999</v>
      </c>
      <c r="AB63" s="89">
        <v>0</v>
      </c>
      <c r="AC63" s="89">
        <v>0.14499999999999999</v>
      </c>
      <c r="AD63" s="89">
        <v>0</v>
      </c>
      <c r="AE63" s="89">
        <v>0.17499999999999999</v>
      </c>
      <c r="AF63" s="89">
        <v>0</v>
      </c>
      <c r="AG63" s="89">
        <v>0.13</v>
      </c>
      <c r="AH63" s="89">
        <v>0</v>
      </c>
      <c r="AI63" s="89">
        <v>0.14000000000000001</v>
      </c>
      <c r="AJ63" s="89">
        <v>0</v>
      </c>
      <c r="AK63" s="89">
        <v>0.04</v>
      </c>
      <c r="AL63" s="89">
        <v>0.04</v>
      </c>
      <c r="AM63" s="89">
        <v>-6.7500000000000004E-2</v>
      </c>
      <c r="AN63" s="89">
        <v>1.2999999999999999E-2</v>
      </c>
      <c r="AO63" s="89">
        <v>-0.42</v>
      </c>
      <c r="AP63" s="89">
        <v>0.155</v>
      </c>
      <c r="AQ63" s="89">
        <v>-6.25E-2</v>
      </c>
      <c r="AR63" s="89">
        <v>0</v>
      </c>
      <c r="AS63" s="89">
        <v>-0.15</v>
      </c>
      <c r="AT63" s="89">
        <v>-1.4999999999999999E-2</v>
      </c>
      <c r="AU63" s="89">
        <v>-0.11</v>
      </c>
      <c r="AV63" s="89">
        <v>0.02</v>
      </c>
      <c r="AW63" s="89">
        <v>-0.09</v>
      </c>
      <c r="AX63" s="89">
        <v>0.01</v>
      </c>
      <c r="AY63" s="90">
        <v>0.115</v>
      </c>
      <c r="AZ63" s="90">
        <v>0</v>
      </c>
      <c r="BA63" s="90">
        <v>-0.2</v>
      </c>
      <c r="BB63" s="89">
        <v>2.5000000000000001E-3</v>
      </c>
      <c r="BC63" s="89">
        <v>-8.5000000000000006E-2</v>
      </c>
      <c r="BD63" s="89">
        <v>5.0000000000000001E-3</v>
      </c>
      <c r="BE63" s="89">
        <v>0.23</v>
      </c>
      <c r="BF63" s="89">
        <v>0.03</v>
      </c>
      <c r="BG63" s="89">
        <v>-6.7500000000000004E-2</v>
      </c>
      <c r="BH63" s="89">
        <v>0</v>
      </c>
      <c r="BI63" s="89">
        <v>0.06</v>
      </c>
      <c r="BJ63" s="62">
        <v>0.03</v>
      </c>
      <c r="BK63" s="62">
        <v>0.23</v>
      </c>
      <c r="BL63" s="62">
        <v>0.03</v>
      </c>
      <c r="BM63" s="62">
        <v>-0.2</v>
      </c>
      <c r="BN63" s="62">
        <v>0</v>
      </c>
      <c r="BO63" s="62">
        <v>-0.42</v>
      </c>
      <c r="BP63" s="62">
        <v>0.02</v>
      </c>
      <c r="BQ63" s="62">
        <v>0.5</v>
      </c>
      <c r="BR63" s="62">
        <v>0.03</v>
      </c>
      <c r="BS63" s="62">
        <v>-8.5000000000000006E-2</v>
      </c>
      <c r="BT63" s="62">
        <v>5.0000000000000001E-3</v>
      </c>
      <c r="BU63" s="62">
        <v>0.3</v>
      </c>
      <c r="BV63" s="62">
        <v>0</v>
      </c>
      <c r="BW63" s="62">
        <v>0.23</v>
      </c>
      <c r="BX63" s="62">
        <v>0</v>
      </c>
      <c r="BY63" s="62">
        <v>-2.5000000000000001E-2</v>
      </c>
      <c r="BZ63" s="62">
        <v>5.7500000000000002E-2</v>
      </c>
      <c r="CA63" s="62">
        <v>0.15</v>
      </c>
      <c r="CB63" s="62">
        <v>5.0000000000000001E-3</v>
      </c>
      <c r="CC63" s="62">
        <v>-2.5000000000000001E-2</v>
      </c>
      <c r="CD63" s="62">
        <v>3.5000000000000001E-3</v>
      </c>
      <c r="CE63" s="62">
        <v>2.5000000000000001E-3</v>
      </c>
      <c r="CF63" s="62">
        <v>0</v>
      </c>
      <c r="CG63" s="62">
        <v>-2.5000000000000001E-2</v>
      </c>
      <c r="CH63" s="62">
        <v>3.5000000000000001E-3</v>
      </c>
      <c r="CI63" s="62">
        <v>-8.0500000000000002E-2</v>
      </c>
      <c r="CJ63" s="62">
        <v>2.5000000000000001E-3</v>
      </c>
      <c r="CK63" s="62">
        <v>7.7499999999999999E-2</v>
      </c>
      <c r="CL63" s="62">
        <v>2.5000000000000001E-3</v>
      </c>
      <c r="CM63" s="62">
        <v>-7.2499999999999995E-2</v>
      </c>
      <c r="CN63" s="62">
        <v>7.4999999999999997E-3</v>
      </c>
      <c r="CO63" s="62">
        <v>-1.7500000000000002E-2</v>
      </c>
      <c r="CP63" s="62">
        <v>5.0000000000000001E-3</v>
      </c>
      <c r="CQ63" s="62">
        <v>2.2499999999999999E-2</v>
      </c>
      <c r="CR63" s="62">
        <v>7.4999999999999997E-3</v>
      </c>
      <c r="CS63" s="62">
        <v>0.41</v>
      </c>
      <c r="CT63" s="62">
        <v>0.01</v>
      </c>
      <c r="CU63" s="62">
        <v>-0.2</v>
      </c>
      <c r="CV63" s="62">
        <v>0</v>
      </c>
      <c r="CW63" s="62">
        <v>0.20499999999999999</v>
      </c>
      <c r="CX63" s="62">
        <v>7.4999999999999997E-3</v>
      </c>
      <c r="CY63" s="62">
        <v>-0.68</v>
      </c>
      <c r="CZ63" s="62">
        <v>0</v>
      </c>
      <c r="DA63" s="62">
        <v>-0.5</v>
      </c>
      <c r="DB63" s="62">
        <v>0</v>
      </c>
      <c r="DC63" s="62">
        <v>1.05</v>
      </c>
      <c r="DE63" s="62">
        <v>-0.05</v>
      </c>
      <c r="DF63" s="62">
        <v>7.4999999999999997E-3</v>
      </c>
      <c r="DG63" s="62">
        <v>1.2500000000000001E-2</v>
      </c>
      <c r="DH63" s="62">
        <v>7.4999999999999997E-3</v>
      </c>
      <c r="DI63" s="62">
        <v>-1.4999999999999999E-2</v>
      </c>
      <c r="DJ63" s="62">
        <v>7.4999999999999997E-3</v>
      </c>
      <c r="DK63" s="62">
        <v>-5.5500000000000001E-2</v>
      </c>
      <c r="DL63" s="62">
        <v>5.0000000000000001E-3</v>
      </c>
      <c r="DM63" s="62">
        <v>-6.5000000000000002E-2</v>
      </c>
      <c r="DN63" s="62">
        <v>2.5000000000000001E-3</v>
      </c>
      <c r="DO63" s="62">
        <v>-8.5000000000000006E-2</v>
      </c>
      <c r="DP63" s="62">
        <v>2.5000000000000001E-3</v>
      </c>
      <c r="DQ63" s="62">
        <v>-8.5500000000000007E-2</v>
      </c>
      <c r="DR63" s="62">
        <v>-5.0000000000000001E-3</v>
      </c>
      <c r="DS63" s="62">
        <v>0.35</v>
      </c>
      <c r="DT63" s="62">
        <v>-5.0000000000000001E-3</v>
      </c>
      <c r="DU63" s="62">
        <v>-0.12</v>
      </c>
      <c r="DV63" s="62">
        <v>0</v>
      </c>
    </row>
    <row r="64" spans="4:126" x14ac:dyDescent="0.25">
      <c r="D64" s="91">
        <v>38596</v>
      </c>
      <c r="F64" s="89">
        <v>3.387</v>
      </c>
      <c r="G64" s="90">
        <v>4.8611805940590898E-2</v>
      </c>
      <c r="H64" s="89">
        <v>0.28499999999999998</v>
      </c>
      <c r="I64" s="89">
        <v>0.55000000000000004</v>
      </c>
      <c r="J64" s="89">
        <v>0.55000000000000004</v>
      </c>
      <c r="K64" s="89">
        <v>0.55000000000000004</v>
      </c>
      <c r="L64" s="87">
        <v>0.55000000000000004</v>
      </c>
      <c r="M64" s="87">
        <v>0.55000000000000004</v>
      </c>
      <c r="N64" s="89">
        <v>0.6</v>
      </c>
      <c r="O64" s="89">
        <v>0.6</v>
      </c>
      <c r="P64" s="89">
        <v>0.55000000000000004</v>
      </c>
      <c r="Q64" s="89">
        <v>0.5</v>
      </c>
      <c r="R64" s="90">
        <v>0.55000000000000004</v>
      </c>
      <c r="S64" s="90">
        <v>0.6</v>
      </c>
      <c r="T64" s="89">
        <v>0.55000000000000004</v>
      </c>
      <c r="U64" s="89">
        <v>0.6</v>
      </c>
      <c r="V64" s="89">
        <v>0.65</v>
      </c>
      <c r="W64" s="89">
        <v>-0.09</v>
      </c>
      <c r="X64" s="89">
        <v>0</v>
      </c>
      <c r="Y64" s="89">
        <v>0.04</v>
      </c>
      <c r="Z64" s="89">
        <v>5.0000000000000001E-3</v>
      </c>
      <c r="AA64" s="89">
        <v>0.17499999999999999</v>
      </c>
      <c r="AB64" s="89">
        <v>0</v>
      </c>
      <c r="AC64" s="89">
        <v>0.14499999999999999</v>
      </c>
      <c r="AD64" s="89">
        <v>0</v>
      </c>
      <c r="AE64" s="89">
        <v>0.17499999999999999</v>
      </c>
      <c r="AF64" s="89">
        <v>0</v>
      </c>
      <c r="AG64" s="89">
        <v>0.13</v>
      </c>
      <c r="AH64" s="89">
        <v>0</v>
      </c>
      <c r="AI64" s="89">
        <v>0.14000000000000001</v>
      </c>
      <c r="AJ64" s="89">
        <v>0</v>
      </c>
      <c r="AK64" s="89">
        <v>0.04</v>
      </c>
      <c r="AL64" s="89">
        <v>0.04</v>
      </c>
      <c r="AM64" s="89">
        <v>-6.7500000000000004E-2</v>
      </c>
      <c r="AN64" s="89">
        <v>1.2999999999999999E-2</v>
      </c>
      <c r="AO64" s="89">
        <v>-0.42</v>
      </c>
      <c r="AP64" s="89">
        <v>0.155</v>
      </c>
      <c r="AQ64" s="89">
        <v>-6.25E-2</v>
      </c>
      <c r="AR64" s="89">
        <v>0</v>
      </c>
      <c r="AS64" s="89">
        <v>-0.15</v>
      </c>
      <c r="AT64" s="89">
        <v>-1.4999999999999999E-2</v>
      </c>
      <c r="AU64" s="89">
        <v>-0.11</v>
      </c>
      <c r="AV64" s="89">
        <v>0.02</v>
      </c>
      <c r="AW64" s="89">
        <v>-0.09</v>
      </c>
      <c r="AX64" s="89">
        <v>0.01</v>
      </c>
      <c r="AY64" s="90">
        <v>0.115</v>
      </c>
      <c r="AZ64" s="90">
        <v>0</v>
      </c>
      <c r="BA64" s="90">
        <v>-0.2</v>
      </c>
      <c r="BB64" s="89">
        <v>2.5000000000000001E-3</v>
      </c>
      <c r="BC64" s="89">
        <v>-8.5000000000000006E-2</v>
      </c>
      <c r="BD64" s="89">
        <v>5.0000000000000001E-3</v>
      </c>
      <c r="BE64" s="89">
        <v>0.23</v>
      </c>
      <c r="BF64" s="89">
        <v>0.03</v>
      </c>
      <c r="BG64" s="89">
        <v>-6.7500000000000004E-2</v>
      </c>
      <c r="BH64" s="89">
        <v>0</v>
      </c>
      <c r="BI64" s="89">
        <v>0.06</v>
      </c>
      <c r="BJ64" s="62">
        <v>0.03</v>
      </c>
      <c r="BK64" s="62">
        <v>0.23</v>
      </c>
      <c r="BL64" s="62">
        <v>0.03</v>
      </c>
      <c r="BM64" s="62">
        <v>-0.2</v>
      </c>
      <c r="BN64" s="62">
        <v>0</v>
      </c>
      <c r="BO64" s="62">
        <v>-0.42</v>
      </c>
      <c r="BP64" s="62">
        <v>0.02</v>
      </c>
      <c r="BQ64" s="62">
        <v>0.5</v>
      </c>
      <c r="BR64" s="62">
        <v>0.03</v>
      </c>
      <c r="BS64" s="62">
        <v>-8.5000000000000006E-2</v>
      </c>
      <c r="BT64" s="62">
        <v>5.0000000000000001E-3</v>
      </c>
      <c r="BU64" s="62">
        <v>0.3</v>
      </c>
      <c r="BV64" s="62">
        <v>0</v>
      </c>
      <c r="BW64" s="62">
        <v>0.23</v>
      </c>
      <c r="BX64" s="62">
        <v>0</v>
      </c>
      <c r="BY64" s="62">
        <v>-2.5000000000000001E-2</v>
      </c>
      <c r="BZ64" s="62">
        <v>5.7500000000000002E-2</v>
      </c>
      <c r="CA64" s="62">
        <v>0.125</v>
      </c>
      <c r="CB64" s="62">
        <v>5.0000000000000001E-3</v>
      </c>
      <c r="CC64" s="62">
        <v>-2.5000000000000001E-2</v>
      </c>
      <c r="CD64" s="62">
        <v>3.5000000000000001E-3</v>
      </c>
      <c r="CE64" s="62">
        <v>2.5000000000000001E-3</v>
      </c>
      <c r="CF64" s="62">
        <v>0</v>
      </c>
      <c r="CG64" s="62">
        <v>-2.5000000000000001E-2</v>
      </c>
      <c r="CH64" s="62">
        <v>3.5000000000000001E-3</v>
      </c>
      <c r="CI64" s="62">
        <v>-8.5500000000000007E-2</v>
      </c>
      <c r="CJ64" s="62">
        <v>2.5000000000000001E-3</v>
      </c>
      <c r="CK64" s="62">
        <v>7.7499999999999999E-2</v>
      </c>
      <c r="CL64" s="62">
        <v>2.5000000000000001E-3</v>
      </c>
      <c r="CM64" s="62">
        <v>-7.2499999999999995E-2</v>
      </c>
      <c r="CN64" s="62">
        <v>7.4999999999999997E-3</v>
      </c>
      <c r="CO64" s="62">
        <v>-1.7500000000000002E-2</v>
      </c>
      <c r="CP64" s="62">
        <v>5.0000000000000001E-3</v>
      </c>
      <c r="CQ64" s="62">
        <v>2.2499999999999999E-2</v>
      </c>
      <c r="CR64" s="62">
        <v>7.4999999999999997E-3</v>
      </c>
      <c r="CS64" s="62">
        <v>0.36</v>
      </c>
      <c r="CT64" s="62">
        <v>0.01</v>
      </c>
      <c r="CU64" s="62">
        <v>-0.2</v>
      </c>
      <c r="CV64" s="62">
        <v>0</v>
      </c>
      <c r="CW64" s="62">
        <v>0.14499999999999999</v>
      </c>
      <c r="CX64" s="62">
        <v>7.4999999999999997E-3</v>
      </c>
      <c r="CY64" s="62">
        <v>-0.68</v>
      </c>
      <c r="CZ64" s="62">
        <v>0</v>
      </c>
      <c r="DA64" s="62">
        <v>-0.5</v>
      </c>
      <c r="DB64" s="62">
        <v>0</v>
      </c>
      <c r="DC64" s="62">
        <v>0.75</v>
      </c>
      <c r="DE64" s="62">
        <v>-5.5E-2</v>
      </c>
      <c r="DF64" s="62">
        <v>7.4999999999999997E-3</v>
      </c>
      <c r="DG64" s="62">
        <v>7.4999999999999997E-3</v>
      </c>
      <c r="DH64" s="62">
        <v>7.4999999999999997E-3</v>
      </c>
      <c r="DI64" s="62">
        <v>-0.02</v>
      </c>
      <c r="DJ64" s="62">
        <v>7.4999999999999997E-3</v>
      </c>
      <c r="DK64" s="62">
        <v>-6.5500000000000003E-2</v>
      </c>
      <c r="DL64" s="62">
        <v>5.0000000000000001E-3</v>
      </c>
      <c r="DM64" s="62">
        <v>-6.5000000000000002E-2</v>
      </c>
      <c r="DN64" s="62">
        <v>2.5000000000000001E-3</v>
      </c>
      <c r="DO64" s="62">
        <v>-8.5000000000000006E-2</v>
      </c>
      <c r="DP64" s="62">
        <v>2.5000000000000001E-3</v>
      </c>
      <c r="DQ64" s="62">
        <v>-9.5500000000000002E-2</v>
      </c>
      <c r="DR64" s="62">
        <v>-5.0000000000000001E-3</v>
      </c>
      <c r="DS64" s="62">
        <v>0.315</v>
      </c>
      <c r="DT64" s="62">
        <v>-5.0000000000000001E-3</v>
      </c>
      <c r="DU64" s="62">
        <v>-0.12</v>
      </c>
      <c r="DV64" s="62">
        <v>0</v>
      </c>
    </row>
    <row r="65" spans="4:126" x14ac:dyDescent="0.25">
      <c r="D65" s="91">
        <v>38626</v>
      </c>
      <c r="F65" s="89">
        <v>3.4119999999999999</v>
      </c>
      <c r="G65" s="90">
        <v>4.9009151354921801E-2</v>
      </c>
      <c r="H65" s="89">
        <v>0.28499999999999998</v>
      </c>
      <c r="I65" s="89">
        <v>0.6</v>
      </c>
      <c r="J65" s="89">
        <v>0.6</v>
      </c>
      <c r="K65" s="89">
        <v>0.55000000000000004</v>
      </c>
      <c r="L65" s="87">
        <v>0.6</v>
      </c>
      <c r="M65" s="87">
        <v>0.6</v>
      </c>
      <c r="N65" s="89">
        <v>0.65</v>
      </c>
      <c r="O65" s="89">
        <v>0.65</v>
      </c>
      <c r="P65" s="89">
        <v>0.6</v>
      </c>
      <c r="Q65" s="89">
        <v>0.5</v>
      </c>
      <c r="R65" s="90">
        <v>0.6</v>
      </c>
      <c r="S65" s="90">
        <v>0.65</v>
      </c>
      <c r="T65" s="89">
        <v>0.6</v>
      </c>
      <c r="U65" s="89">
        <v>0.65</v>
      </c>
      <c r="V65" s="89">
        <v>0.7</v>
      </c>
      <c r="W65" s="89">
        <v>-0.09</v>
      </c>
      <c r="X65" s="89">
        <v>0</v>
      </c>
      <c r="Y65" s="89">
        <v>0.04</v>
      </c>
      <c r="Z65" s="89">
        <v>5.0000000000000001E-3</v>
      </c>
      <c r="AA65" s="89">
        <v>0.17499999999999999</v>
      </c>
      <c r="AB65" s="89">
        <v>0</v>
      </c>
      <c r="AC65" s="89">
        <v>0.14499999999999999</v>
      </c>
      <c r="AD65" s="89">
        <v>0</v>
      </c>
      <c r="AE65" s="89">
        <v>0.17499999999999999</v>
      </c>
      <c r="AF65" s="89">
        <v>0</v>
      </c>
      <c r="AG65" s="89">
        <v>0.13</v>
      </c>
      <c r="AH65" s="89">
        <v>0</v>
      </c>
      <c r="AI65" s="89">
        <v>0.14000000000000001</v>
      </c>
      <c r="AJ65" s="89">
        <v>0</v>
      </c>
      <c r="AK65" s="89">
        <v>0.04</v>
      </c>
      <c r="AL65" s="89">
        <v>0.04</v>
      </c>
      <c r="AM65" s="89">
        <v>-6.7500000000000004E-2</v>
      </c>
      <c r="AN65" s="89">
        <v>1.2999999999999999E-2</v>
      </c>
      <c r="AO65" s="89">
        <v>-0.42</v>
      </c>
      <c r="AP65" s="89">
        <v>0.155</v>
      </c>
      <c r="AQ65" s="89">
        <v>-6.25E-2</v>
      </c>
      <c r="AR65" s="89">
        <v>0</v>
      </c>
      <c r="AS65" s="89">
        <v>-0.15</v>
      </c>
      <c r="AT65" s="89">
        <v>-1.4999999999999999E-2</v>
      </c>
      <c r="AU65" s="89">
        <v>-0.11</v>
      </c>
      <c r="AV65" s="89">
        <v>0.02</v>
      </c>
      <c r="AW65" s="89">
        <v>-0.09</v>
      </c>
      <c r="AX65" s="89">
        <v>0.01</v>
      </c>
      <c r="AY65" s="90">
        <v>0.115</v>
      </c>
      <c r="AZ65" s="90">
        <v>0</v>
      </c>
      <c r="BA65" s="90">
        <v>-0.2</v>
      </c>
      <c r="BB65" s="89">
        <v>2.5000000000000001E-3</v>
      </c>
      <c r="BC65" s="89">
        <v>-8.5000000000000006E-2</v>
      </c>
      <c r="BD65" s="89">
        <v>5.0000000000000001E-3</v>
      </c>
      <c r="BE65" s="89">
        <v>0.23</v>
      </c>
      <c r="BF65" s="89">
        <v>0.03</v>
      </c>
      <c r="BG65" s="89">
        <v>-6.7500000000000004E-2</v>
      </c>
      <c r="BH65" s="89">
        <v>0</v>
      </c>
      <c r="BI65" s="89">
        <v>0.06</v>
      </c>
      <c r="BJ65" s="62">
        <v>0.03</v>
      </c>
      <c r="BK65" s="62">
        <v>0.23</v>
      </c>
      <c r="BL65" s="62">
        <v>0.03</v>
      </c>
      <c r="BM65" s="62">
        <v>-0.2</v>
      </c>
      <c r="BN65" s="62">
        <v>0</v>
      </c>
      <c r="BO65" s="62">
        <v>-0.42</v>
      </c>
      <c r="BP65" s="62">
        <v>0.02</v>
      </c>
      <c r="BQ65" s="62">
        <v>0.5</v>
      </c>
      <c r="BR65" s="62">
        <v>0.03</v>
      </c>
      <c r="BS65" s="62">
        <v>-8.5000000000000006E-2</v>
      </c>
      <c r="BT65" s="62">
        <v>5.0000000000000001E-3</v>
      </c>
      <c r="BU65" s="62">
        <v>0.3</v>
      </c>
      <c r="BV65" s="62">
        <v>0</v>
      </c>
      <c r="BW65" s="62">
        <v>0.23</v>
      </c>
      <c r="BX65" s="62">
        <v>0</v>
      </c>
      <c r="BY65" s="62">
        <v>-2.5000000000000001E-2</v>
      </c>
      <c r="BZ65" s="62">
        <v>5.7500000000000002E-2</v>
      </c>
      <c r="CA65" s="62">
        <v>0.14499999999999999</v>
      </c>
      <c r="CB65" s="62">
        <v>5.0000000000000001E-3</v>
      </c>
      <c r="CC65" s="62">
        <v>-2.5000000000000001E-2</v>
      </c>
      <c r="CD65" s="62">
        <v>3.5000000000000001E-3</v>
      </c>
      <c r="CE65" s="62">
        <v>2.5000000000000001E-3</v>
      </c>
      <c r="CF65" s="62">
        <v>0</v>
      </c>
      <c r="CG65" s="62">
        <v>-2.5000000000000001E-2</v>
      </c>
      <c r="CH65" s="62">
        <v>3.5000000000000001E-3</v>
      </c>
      <c r="CI65" s="62">
        <v>-8.7999999999999995E-2</v>
      </c>
      <c r="CJ65" s="62">
        <v>2.5000000000000001E-3</v>
      </c>
      <c r="CK65" s="62">
        <v>7.7499999999999999E-2</v>
      </c>
      <c r="CL65" s="62">
        <v>2.5000000000000001E-3</v>
      </c>
      <c r="CM65" s="62">
        <v>-7.2499999999999995E-2</v>
      </c>
      <c r="CN65" s="62">
        <v>7.4999999999999997E-3</v>
      </c>
      <c r="CO65" s="62">
        <v>-1.7500000000000002E-2</v>
      </c>
      <c r="CP65" s="62">
        <v>5.0000000000000001E-3</v>
      </c>
      <c r="CQ65" s="62">
        <v>2.2499999999999999E-2</v>
      </c>
      <c r="CR65" s="62">
        <v>7.4999999999999997E-3</v>
      </c>
      <c r="CS65" s="62">
        <v>0.4</v>
      </c>
      <c r="CT65" s="62">
        <v>0.01</v>
      </c>
      <c r="CU65" s="62">
        <v>-0.2</v>
      </c>
      <c r="CV65" s="62">
        <v>0</v>
      </c>
      <c r="CW65" s="62">
        <v>0.17499999999999999</v>
      </c>
      <c r="CX65" s="62">
        <v>7.4999999999999997E-3</v>
      </c>
      <c r="CY65" s="62">
        <v>-0.68</v>
      </c>
      <c r="CZ65" s="62">
        <v>0</v>
      </c>
      <c r="DA65" s="62">
        <v>-0.5</v>
      </c>
      <c r="DB65" s="62">
        <v>0</v>
      </c>
      <c r="DC65" s="62">
        <v>0.45</v>
      </c>
      <c r="DE65" s="62">
        <v>-5.5E-2</v>
      </c>
      <c r="DF65" s="62">
        <v>7.4999999999999997E-3</v>
      </c>
      <c r="DG65" s="62">
        <v>7.4999999999999997E-3</v>
      </c>
      <c r="DH65" s="62">
        <v>7.4999999999999997E-3</v>
      </c>
      <c r="DI65" s="62">
        <v>-0.02</v>
      </c>
      <c r="DJ65" s="62">
        <v>7.4999999999999997E-3</v>
      </c>
      <c r="DK65" s="62">
        <v>-5.2999999999999999E-2</v>
      </c>
      <c r="DL65" s="62">
        <v>5.0000000000000001E-3</v>
      </c>
      <c r="DM65" s="62">
        <v>-6.5000000000000002E-2</v>
      </c>
      <c r="DN65" s="62">
        <v>2.5000000000000001E-3</v>
      </c>
      <c r="DO65" s="62">
        <v>-8.5000000000000006E-2</v>
      </c>
      <c r="DP65" s="62">
        <v>2.5000000000000001E-3</v>
      </c>
      <c r="DQ65" s="62">
        <v>-8.3000000000000004E-2</v>
      </c>
      <c r="DR65" s="62">
        <v>-5.0000000000000001E-3</v>
      </c>
      <c r="DS65" s="62">
        <v>0.36</v>
      </c>
      <c r="DT65" s="62">
        <v>-5.0000000000000001E-3</v>
      </c>
      <c r="DU65" s="62">
        <v>-0.12</v>
      </c>
      <c r="DV65" s="62">
        <v>0</v>
      </c>
    </row>
    <row r="66" spans="4:126" x14ac:dyDescent="0.25">
      <c r="D66" s="91">
        <v>38657</v>
      </c>
      <c r="F66" s="89">
        <v>3.5640000000000001</v>
      </c>
      <c r="G66" s="90">
        <v>4.9392017987160801E-2</v>
      </c>
      <c r="H66" s="89">
        <v>0.28499999999999998</v>
      </c>
      <c r="I66" s="89">
        <v>0.8</v>
      </c>
      <c r="J66" s="89">
        <v>0.85</v>
      </c>
      <c r="K66" s="89">
        <v>0.8</v>
      </c>
      <c r="L66" s="87">
        <v>0.8</v>
      </c>
      <c r="M66" s="87">
        <v>0.9</v>
      </c>
      <c r="N66" s="89">
        <v>0.95</v>
      </c>
      <c r="O66" s="89">
        <v>0.85</v>
      </c>
      <c r="P66" s="89">
        <v>0.8</v>
      </c>
      <c r="Q66" s="89">
        <v>0.95</v>
      </c>
      <c r="R66" s="90">
        <v>0.8</v>
      </c>
      <c r="S66" s="90">
        <v>0.8</v>
      </c>
      <c r="T66" s="89">
        <v>0.8</v>
      </c>
      <c r="U66" s="89">
        <v>0.95</v>
      </c>
      <c r="V66" s="89">
        <v>0.9</v>
      </c>
      <c r="W66" s="89">
        <v>0</v>
      </c>
      <c r="X66" s="89">
        <v>0.03</v>
      </c>
      <c r="Y66" s="89">
        <v>0.125</v>
      </c>
      <c r="Z66" s="89">
        <v>0.02</v>
      </c>
      <c r="AA66" s="89">
        <v>0.38</v>
      </c>
      <c r="AB66" s="89">
        <v>0</v>
      </c>
      <c r="AC66" s="89">
        <v>0.38</v>
      </c>
      <c r="AD66" s="89">
        <v>0</v>
      </c>
      <c r="AE66" s="89">
        <v>0.38</v>
      </c>
      <c r="AF66" s="89">
        <v>0</v>
      </c>
      <c r="AG66" s="89">
        <v>0.22</v>
      </c>
      <c r="AH66" s="89">
        <v>0</v>
      </c>
      <c r="AI66" s="89">
        <v>0.19903999999999999</v>
      </c>
      <c r="AJ66" s="89">
        <v>0</v>
      </c>
      <c r="AK66" s="89">
        <v>0.125</v>
      </c>
      <c r="AL66" s="89">
        <v>3.5000000000000003E-2</v>
      </c>
      <c r="AM66" s="89">
        <v>-0.08</v>
      </c>
      <c r="AN66" s="89">
        <v>8.0000000000000002E-3</v>
      </c>
      <c r="AO66" s="89">
        <v>-0.38500000000000001</v>
      </c>
      <c r="AP66" s="89">
        <v>0.155</v>
      </c>
      <c r="AQ66" s="89">
        <v>-0.06</v>
      </c>
      <c r="AR66" s="89">
        <v>5.0000000000000001E-3</v>
      </c>
      <c r="AS66" s="89">
        <v>-0.15</v>
      </c>
      <c r="AT66" s="89">
        <v>-5.0000000000000001E-3</v>
      </c>
      <c r="AU66" s="89">
        <v>-0.11</v>
      </c>
      <c r="AV66" s="89">
        <v>-0.01</v>
      </c>
      <c r="AW66" s="89">
        <v>-0.09</v>
      </c>
      <c r="AX66" s="89">
        <v>5.0000000000000001E-3</v>
      </c>
      <c r="AY66" s="90">
        <v>0.155</v>
      </c>
      <c r="AZ66" s="90">
        <v>0</v>
      </c>
      <c r="BA66" s="90">
        <v>-0.13</v>
      </c>
      <c r="BB66" s="89">
        <v>5.0000000000000001E-3</v>
      </c>
      <c r="BC66" s="89">
        <v>-8.5000000000000006E-2</v>
      </c>
      <c r="BD66" s="89">
        <v>5.0000000000000001E-3</v>
      </c>
      <c r="BE66" s="89">
        <v>0.24</v>
      </c>
      <c r="BF66" s="89">
        <v>3.2000000000000001E-2</v>
      </c>
      <c r="BG66" s="89">
        <v>-6.7500000000000004E-2</v>
      </c>
      <c r="BH66" s="89">
        <v>0</v>
      </c>
      <c r="BI66" s="89">
        <v>0.15</v>
      </c>
      <c r="BJ66" s="62">
        <v>0.03</v>
      </c>
      <c r="BK66" s="62">
        <v>0.24</v>
      </c>
      <c r="BL66" s="62">
        <v>3.2000000000000001E-2</v>
      </c>
      <c r="BM66" s="62">
        <v>0.29799999999999999</v>
      </c>
      <c r="BN66" s="62">
        <v>0</v>
      </c>
      <c r="BO66" s="62">
        <v>-0.26</v>
      </c>
      <c r="BP66" s="62">
        <v>3.5000000000000003E-2</v>
      </c>
      <c r="BQ66" s="62">
        <v>0.5</v>
      </c>
      <c r="BR66" s="62">
        <v>3.2000000000000001E-2</v>
      </c>
      <c r="BS66" s="62">
        <v>-8.5000000000000006E-2</v>
      </c>
      <c r="BT66" s="62">
        <v>5.0000000000000001E-3</v>
      </c>
      <c r="BU66" s="62">
        <v>0.3</v>
      </c>
      <c r="BV66" s="62">
        <v>0</v>
      </c>
      <c r="BW66" s="62">
        <v>0.24</v>
      </c>
      <c r="BX66" s="62">
        <v>0</v>
      </c>
      <c r="BY66" s="62">
        <v>-2.5000000000000001E-2</v>
      </c>
      <c r="BZ66" s="62">
        <v>5.7500000000000002E-2</v>
      </c>
      <c r="CA66" s="62">
        <v>0.19500000000000001</v>
      </c>
      <c r="CB66" s="62">
        <v>5.0000000000000001E-3</v>
      </c>
      <c r="CC66" s="62">
        <v>-2.5000000000000001E-2</v>
      </c>
      <c r="CD66" s="62">
        <v>3.7000000000000002E-3</v>
      </c>
      <c r="CE66" s="62">
        <v>2.5000000000000001E-3</v>
      </c>
      <c r="CF66" s="62">
        <v>0</v>
      </c>
      <c r="CG66" s="62">
        <v>-2.5000000000000001E-2</v>
      </c>
      <c r="CH66" s="62">
        <v>3.7000000000000002E-3</v>
      </c>
      <c r="CI66" s="62">
        <v>-9.2999999999999999E-2</v>
      </c>
      <c r="CJ66" s="62">
        <v>2.5000000000000001E-3</v>
      </c>
      <c r="CK66" s="62">
        <v>7.4999999999999997E-2</v>
      </c>
      <c r="CL66" s="62">
        <v>2.5000000000000001E-3</v>
      </c>
      <c r="CM66" s="62">
        <v>-6.6500000000000004E-2</v>
      </c>
      <c r="CN66" s="62">
        <v>0.01</v>
      </c>
      <c r="CO66" s="62">
        <v>-1.15E-2</v>
      </c>
      <c r="CP66" s="62">
        <v>7.4999999999999997E-3</v>
      </c>
      <c r="CQ66" s="62">
        <v>2.8500000000000001E-2</v>
      </c>
      <c r="CR66" s="62">
        <v>0.01</v>
      </c>
      <c r="CS66" s="62">
        <v>0.65</v>
      </c>
      <c r="CT66" s="62">
        <v>5.5E-2</v>
      </c>
      <c r="CU66" s="62">
        <v>0.29799999999999999</v>
      </c>
      <c r="CV66" s="62">
        <v>0</v>
      </c>
      <c r="CW66" s="62">
        <v>0.21</v>
      </c>
      <c r="CX66" s="62">
        <v>0.02</v>
      </c>
      <c r="CY66" s="62">
        <v>-0.52</v>
      </c>
      <c r="CZ66" s="62">
        <v>0</v>
      </c>
      <c r="DA66" s="62">
        <v>-0.34</v>
      </c>
      <c r="DB66" s="62">
        <v>0</v>
      </c>
      <c r="DC66" s="62">
        <v>0.45</v>
      </c>
      <c r="DE66" s="62">
        <v>-4.7500000000000001E-2</v>
      </c>
      <c r="DF66" s="62">
        <v>1.2500000000000001E-2</v>
      </c>
      <c r="DG66" s="62">
        <v>5.0000000000000001E-3</v>
      </c>
      <c r="DH66" s="62">
        <v>7.4999999999999997E-3</v>
      </c>
      <c r="DI66" s="62">
        <v>-1.7500000000000002E-2</v>
      </c>
      <c r="DJ66" s="62">
        <v>2.5000000000000001E-3</v>
      </c>
      <c r="DK66" s="62">
        <v>-5.8000000000000003E-2</v>
      </c>
      <c r="DL66" s="62">
        <v>2.5000000000000001E-3</v>
      </c>
      <c r="DM66" s="62">
        <v>-6.7500000000000004E-2</v>
      </c>
      <c r="DN66" s="62">
        <v>2.5000000000000001E-3</v>
      </c>
      <c r="DO66" s="62">
        <v>-8.7499999999999994E-2</v>
      </c>
      <c r="DP66" s="62">
        <v>2.5000000000000001E-3</v>
      </c>
      <c r="DQ66" s="62">
        <v>-8.7999999999999995E-2</v>
      </c>
      <c r="DR66" s="62">
        <v>-5.0000000000000001E-3</v>
      </c>
      <c r="DS66" s="62">
        <v>0.46</v>
      </c>
      <c r="DT66" s="62">
        <v>0.05</v>
      </c>
      <c r="DU66" s="62">
        <v>8.3474999999999994E-2</v>
      </c>
      <c r="DV66" s="62">
        <v>0</v>
      </c>
    </row>
    <row r="67" spans="4:126" x14ac:dyDescent="0.25">
      <c r="D67" s="91">
        <v>38687</v>
      </c>
      <c r="F67" s="89">
        <v>3.7069999999999999</v>
      </c>
      <c r="G67" s="90">
        <v>4.97625341294907E-2</v>
      </c>
      <c r="H67" s="89">
        <v>0.28499999999999998</v>
      </c>
      <c r="I67" s="89">
        <v>1</v>
      </c>
      <c r="J67" s="89">
        <v>1.05</v>
      </c>
      <c r="K67" s="89">
        <v>1</v>
      </c>
      <c r="L67" s="87">
        <v>1</v>
      </c>
      <c r="M67" s="87">
        <v>1.1499999999999999</v>
      </c>
      <c r="N67" s="89">
        <v>1.25</v>
      </c>
      <c r="O67" s="89">
        <v>1.05</v>
      </c>
      <c r="P67" s="89">
        <v>1</v>
      </c>
      <c r="Q67" s="89">
        <v>1.35</v>
      </c>
      <c r="R67" s="90">
        <v>1</v>
      </c>
      <c r="S67" s="90">
        <v>1.1000000000000001</v>
      </c>
      <c r="T67" s="89">
        <v>1</v>
      </c>
      <c r="U67" s="89">
        <v>1.25</v>
      </c>
      <c r="V67" s="89">
        <v>1.1000000000000001</v>
      </c>
      <c r="W67" s="89">
        <v>5.0000000000000001E-3</v>
      </c>
      <c r="X67" s="89">
        <v>0.03</v>
      </c>
      <c r="Y67" s="89">
        <v>0.125</v>
      </c>
      <c r="Z67" s="89">
        <v>0.02</v>
      </c>
      <c r="AA67" s="89">
        <v>0.38</v>
      </c>
      <c r="AB67" s="89">
        <v>0</v>
      </c>
      <c r="AC67" s="89">
        <v>0.38</v>
      </c>
      <c r="AD67" s="89">
        <v>0</v>
      </c>
      <c r="AE67" s="89">
        <v>0.38</v>
      </c>
      <c r="AF67" s="89">
        <v>0</v>
      </c>
      <c r="AG67" s="89">
        <v>0.22</v>
      </c>
      <c r="AH67" s="89">
        <v>0</v>
      </c>
      <c r="AI67" s="89">
        <v>0.20416000000000001</v>
      </c>
      <c r="AJ67" s="89">
        <v>0</v>
      </c>
      <c r="AK67" s="89">
        <v>0.125</v>
      </c>
      <c r="AL67" s="89">
        <v>3.5000000000000003E-2</v>
      </c>
      <c r="AM67" s="89">
        <v>-0.08</v>
      </c>
      <c r="AN67" s="89">
        <v>8.0000000000000002E-3</v>
      </c>
      <c r="AO67" s="89">
        <v>-0.38500000000000001</v>
      </c>
      <c r="AP67" s="89">
        <v>0.155</v>
      </c>
      <c r="AQ67" s="89">
        <v>-0.06</v>
      </c>
      <c r="AR67" s="89">
        <v>5.0000000000000001E-3</v>
      </c>
      <c r="AS67" s="89">
        <v>-0.1525</v>
      </c>
      <c r="AT67" s="89">
        <v>-5.0000000000000001E-3</v>
      </c>
      <c r="AU67" s="89">
        <v>-0.1125</v>
      </c>
      <c r="AV67" s="89">
        <v>-0.01</v>
      </c>
      <c r="AW67" s="89">
        <v>-0.09</v>
      </c>
      <c r="AX67" s="89">
        <v>5.0000000000000001E-3</v>
      </c>
      <c r="AY67" s="90">
        <v>0.155</v>
      </c>
      <c r="AZ67" s="90">
        <v>0</v>
      </c>
      <c r="BA67" s="90">
        <v>-0.13</v>
      </c>
      <c r="BB67" s="89">
        <v>5.0000000000000001E-3</v>
      </c>
      <c r="BC67" s="89">
        <v>-8.5000000000000006E-2</v>
      </c>
      <c r="BD67" s="89">
        <v>5.0000000000000001E-3</v>
      </c>
      <c r="BE67" s="89">
        <v>0.24</v>
      </c>
      <c r="BF67" s="89">
        <v>3.2000000000000001E-2</v>
      </c>
      <c r="BG67" s="89">
        <v>-6.7500000000000004E-2</v>
      </c>
      <c r="BH67" s="89">
        <v>0</v>
      </c>
      <c r="BI67" s="89">
        <v>0.15</v>
      </c>
      <c r="BJ67" s="62">
        <v>0.03</v>
      </c>
      <c r="BK67" s="62">
        <v>0.24</v>
      </c>
      <c r="BL67" s="62">
        <v>3.2000000000000001E-2</v>
      </c>
      <c r="BM67" s="62">
        <v>0.35799999999999998</v>
      </c>
      <c r="BN67" s="62">
        <v>0</v>
      </c>
      <c r="BO67" s="62">
        <v>-0.26</v>
      </c>
      <c r="BP67" s="62">
        <v>3.5000000000000003E-2</v>
      </c>
      <c r="BQ67" s="62">
        <v>0.5</v>
      </c>
      <c r="BR67" s="62">
        <v>3.2000000000000001E-2</v>
      </c>
      <c r="BS67" s="62">
        <v>-8.5000000000000006E-2</v>
      </c>
      <c r="BT67" s="62">
        <v>5.0000000000000001E-3</v>
      </c>
      <c r="BU67" s="62">
        <v>0.3</v>
      </c>
      <c r="BV67" s="62">
        <v>0</v>
      </c>
      <c r="BW67" s="62">
        <v>0.24</v>
      </c>
      <c r="BX67" s="62">
        <v>0</v>
      </c>
      <c r="BY67" s="62">
        <v>-2.5000000000000001E-2</v>
      </c>
      <c r="BZ67" s="62">
        <v>5.7500000000000002E-2</v>
      </c>
      <c r="CA67" s="62">
        <v>0.215</v>
      </c>
      <c r="CB67" s="62">
        <v>5.0000000000000001E-3</v>
      </c>
      <c r="CC67" s="62">
        <v>-2.5000000000000001E-2</v>
      </c>
      <c r="CD67" s="62">
        <v>3.7000000000000002E-3</v>
      </c>
      <c r="CE67" s="62">
        <v>2.5000000000000001E-3</v>
      </c>
      <c r="CF67" s="62">
        <v>0</v>
      </c>
      <c r="CG67" s="62">
        <v>-2.5000000000000001E-2</v>
      </c>
      <c r="CH67" s="62">
        <v>3.7000000000000002E-3</v>
      </c>
      <c r="CI67" s="62">
        <v>-0.1205</v>
      </c>
      <c r="CJ67" s="62">
        <v>2.5000000000000001E-3</v>
      </c>
      <c r="CK67" s="62">
        <v>7.4999999999999997E-2</v>
      </c>
      <c r="CL67" s="62">
        <v>2.5000000000000001E-3</v>
      </c>
      <c r="CM67" s="62">
        <v>-6.6500000000000004E-2</v>
      </c>
      <c r="CN67" s="62">
        <v>0.01</v>
      </c>
      <c r="CO67" s="62">
        <v>-1.15E-2</v>
      </c>
      <c r="CP67" s="62">
        <v>7.4999999999999997E-3</v>
      </c>
      <c r="CQ67" s="62">
        <v>2.8500000000000001E-2</v>
      </c>
      <c r="CR67" s="62">
        <v>0.01</v>
      </c>
      <c r="CS67" s="62">
        <v>0.98</v>
      </c>
      <c r="CT67" s="62">
        <v>0.25</v>
      </c>
      <c r="CU67" s="62">
        <v>0.35799999999999998</v>
      </c>
      <c r="CV67" s="62">
        <v>0</v>
      </c>
      <c r="CW67" s="62">
        <v>0.28999999999999998</v>
      </c>
      <c r="CX67" s="62">
        <v>0.02</v>
      </c>
      <c r="CY67" s="62">
        <v>-0.52</v>
      </c>
      <c r="CZ67" s="62">
        <v>0</v>
      </c>
      <c r="DA67" s="62">
        <v>-0.34</v>
      </c>
      <c r="DB67" s="62">
        <v>0</v>
      </c>
      <c r="DC67" s="62">
        <v>0.4</v>
      </c>
      <c r="DE67" s="62">
        <v>-4.7500000000000001E-2</v>
      </c>
      <c r="DF67" s="62">
        <v>1.2500000000000001E-2</v>
      </c>
      <c r="DG67" s="62">
        <v>5.0000000000000001E-3</v>
      </c>
      <c r="DH67" s="62">
        <v>7.4999999999999997E-3</v>
      </c>
      <c r="DI67" s="62">
        <v>-1.7500000000000002E-2</v>
      </c>
      <c r="DJ67" s="62">
        <v>2.5000000000000001E-3</v>
      </c>
      <c r="DK67" s="62">
        <v>-8.5500000000000007E-2</v>
      </c>
      <c r="DL67" s="62">
        <v>2.5000000000000001E-3</v>
      </c>
      <c r="DM67" s="62">
        <v>-6.7500000000000004E-2</v>
      </c>
      <c r="DN67" s="62">
        <v>2.5000000000000001E-3</v>
      </c>
      <c r="DO67" s="62">
        <v>-8.7499999999999994E-2</v>
      </c>
      <c r="DP67" s="62">
        <v>2.5000000000000001E-3</v>
      </c>
      <c r="DQ67" s="62">
        <v>-0.11550000000000001</v>
      </c>
      <c r="DR67" s="62">
        <v>-5.0000000000000001E-3</v>
      </c>
      <c r="DS67" s="62">
        <v>0.77</v>
      </c>
      <c r="DT67" s="62">
        <v>0.05</v>
      </c>
      <c r="DU67" s="62">
        <v>8.1714999999999996E-2</v>
      </c>
      <c r="DV67" s="62">
        <v>0</v>
      </c>
    </row>
    <row r="68" spans="4:126" x14ac:dyDescent="0.25">
      <c r="D68" s="91">
        <v>38718</v>
      </c>
      <c r="F68" s="89">
        <v>3.762</v>
      </c>
      <c r="G68" s="90">
        <v>5.0123867010087399E-2</v>
      </c>
      <c r="H68" s="89">
        <v>0.28499999999999998</v>
      </c>
      <c r="I68" s="89">
        <v>1</v>
      </c>
      <c r="J68" s="89">
        <v>1.05</v>
      </c>
      <c r="K68" s="89">
        <v>1</v>
      </c>
      <c r="L68" s="87">
        <v>1</v>
      </c>
      <c r="M68" s="87">
        <v>1.1499999999999999</v>
      </c>
      <c r="N68" s="89">
        <v>1.45</v>
      </c>
      <c r="O68" s="89">
        <v>1.05</v>
      </c>
      <c r="P68" s="89">
        <v>1</v>
      </c>
      <c r="Q68" s="89">
        <v>1.35</v>
      </c>
      <c r="R68" s="90">
        <v>1</v>
      </c>
      <c r="S68" s="90">
        <v>1.1000000000000001</v>
      </c>
      <c r="T68" s="89">
        <v>1</v>
      </c>
      <c r="U68" s="89">
        <v>1.45</v>
      </c>
      <c r="V68" s="89">
        <v>1.1000000000000001</v>
      </c>
      <c r="W68" s="89">
        <v>2.5000000000000001E-2</v>
      </c>
      <c r="X68" s="89">
        <v>0.03</v>
      </c>
      <c r="Y68" s="89">
        <v>0.125</v>
      </c>
      <c r="Z68" s="89">
        <v>0.02</v>
      </c>
      <c r="AA68" s="89">
        <v>0.38</v>
      </c>
      <c r="AB68" s="89">
        <v>0</v>
      </c>
      <c r="AC68" s="89">
        <v>0.38</v>
      </c>
      <c r="AD68" s="89">
        <v>0</v>
      </c>
      <c r="AE68" s="89">
        <v>0.38</v>
      </c>
      <c r="AF68" s="89">
        <v>0</v>
      </c>
      <c r="AG68" s="89">
        <v>0.22</v>
      </c>
      <c r="AH68" s="89">
        <v>0</v>
      </c>
      <c r="AI68" s="89">
        <v>0.20568</v>
      </c>
      <c r="AJ68" s="89">
        <v>0</v>
      </c>
      <c r="AK68" s="89">
        <v>0.125</v>
      </c>
      <c r="AL68" s="89">
        <v>3.5000000000000003E-2</v>
      </c>
      <c r="AM68" s="89">
        <v>-0.08</v>
      </c>
      <c r="AN68" s="89">
        <v>8.0000000000000002E-3</v>
      </c>
      <c r="AO68" s="89">
        <v>-0.38500000000000001</v>
      </c>
      <c r="AP68" s="89">
        <v>0.155</v>
      </c>
      <c r="AQ68" s="89">
        <v>-0.06</v>
      </c>
      <c r="AR68" s="89">
        <v>5.0000000000000001E-3</v>
      </c>
      <c r="AS68" s="89">
        <v>-0.155</v>
      </c>
      <c r="AT68" s="89">
        <v>-5.0000000000000001E-3</v>
      </c>
      <c r="AU68" s="89">
        <v>-0.115</v>
      </c>
      <c r="AV68" s="89">
        <v>-0.01</v>
      </c>
      <c r="AW68" s="89">
        <v>-7.0000000000000007E-2</v>
      </c>
      <c r="AX68" s="89">
        <v>5.0000000000000001E-3</v>
      </c>
      <c r="AY68" s="90">
        <v>0.155</v>
      </c>
      <c r="AZ68" s="90">
        <v>0</v>
      </c>
      <c r="BA68" s="90">
        <v>-0.13</v>
      </c>
      <c r="BB68" s="89">
        <v>5.0000000000000001E-3</v>
      </c>
      <c r="BC68" s="89">
        <v>-7.4999999999999997E-2</v>
      </c>
      <c r="BD68" s="89">
        <v>5.0000000000000001E-3</v>
      </c>
      <c r="BE68" s="89">
        <v>0.24</v>
      </c>
      <c r="BF68" s="89">
        <v>3.2000000000000001E-2</v>
      </c>
      <c r="BG68" s="89">
        <v>-6.5000000000000002E-2</v>
      </c>
      <c r="BH68" s="89">
        <v>0</v>
      </c>
      <c r="BI68" s="89">
        <v>0.15</v>
      </c>
      <c r="BJ68" s="62">
        <v>0.03</v>
      </c>
      <c r="BK68" s="62">
        <v>0.24</v>
      </c>
      <c r="BL68" s="62">
        <v>3.2000000000000001E-2</v>
      </c>
      <c r="BM68" s="62">
        <v>0.42799999999999999</v>
      </c>
      <c r="BN68" s="62">
        <v>0</v>
      </c>
      <c r="BO68" s="62">
        <v>-0.26</v>
      </c>
      <c r="BP68" s="62">
        <v>3.5000000000000003E-2</v>
      </c>
      <c r="BQ68" s="62">
        <v>0.5</v>
      </c>
      <c r="BR68" s="62">
        <v>3.2000000000000001E-2</v>
      </c>
      <c r="BS68" s="62">
        <v>-7.4999999999999997E-2</v>
      </c>
      <c r="BT68" s="62">
        <v>5.0000000000000001E-3</v>
      </c>
      <c r="BU68" s="62">
        <v>0.3</v>
      </c>
      <c r="BV68" s="62">
        <v>0</v>
      </c>
      <c r="BW68" s="62">
        <v>0.24</v>
      </c>
      <c r="BX68" s="62">
        <v>0</v>
      </c>
      <c r="BY68" s="62">
        <v>-2.3E-2</v>
      </c>
      <c r="BZ68" s="62">
        <v>5.7500000000000002E-2</v>
      </c>
      <c r="CA68" s="62">
        <v>0.23499999999999999</v>
      </c>
      <c r="CB68" s="62">
        <v>5.0000000000000001E-3</v>
      </c>
      <c r="CC68" s="62">
        <v>-2.3E-2</v>
      </c>
      <c r="CD68" s="62">
        <v>3.7000000000000002E-3</v>
      </c>
      <c r="CE68" s="62">
        <v>2.5000000000000001E-3</v>
      </c>
      <c r="CF68" s="62">
        <v>0</v>
      </c>
      <c r="CG68" s="62">
        <v>-2.3E-2</v>
      </c>
      <c r="CH68" s="62">
        <v>3.7000000000000002E-3</v>
      </c>
      <c r="CI68" s="62">
        <v>-0.11849999999999999</v>
      </c>
      <c r="CJ68" s="62">
        <v>2.5000000000000001E-3</v>
      </c>
      <c r="CK68" s="62">
        <v>7.4999999999999997E-2</v>
      </c>
      <c r="CL68" s="62">
        <v>2.5000000000000001E-3</v>
      </c>
      <c r="CM68" s="62">
        <v>-6.6500000000000004E-2</v>
      </c>
      <c r="CN68" s="62">
        <v>0.01</v>
      </c>
      <c r="CO68" s="62">
        <v>-1.15E-2</v>
      </c>
      <c r="CP68" s="62">
        <v>7.4999999999999997E-3</v>
      </c>
      <c r="CQ68" s="62">
        <v>2.8500000000000001E-2</v>
      </c>
      <c r="CR68" s="62">
        <v>0.01</v>
      </c>
      <c r="CS68" s="62">
        <v>1.6</v>
      </c>
      <c r="CT68" s="62">
        <v>0.45</v>
      </c>
      <c r="CU68" s="62">
        <v>0.42799999999999999</v>
      </c>
      <c r="CV68" s="62">
        <v>0</v>
      </c>
      <c r="CW68" s="62">
        <v>0.34</v>
      </c>
      <c r="CX68" s="62">
        <v>0.02</v>
      </c>
      <c r="CY68" s="62">
        <v>-0.52</v>
      </c>
      <c r="CZ68" s="62">
        <v>0</v>
      </c>
      <c r="DA68" s="62">
        <v>-0.34</v>
      </c>
      <c r="DB68" s="62">
        <v>0</v>
      </c>
      <c r="DC68" s="62">
        <v>0.35</v>
      </c>
      <c r="DE68" s="62">
        <v>-4.7500000000000001E-2</v>
      </c>
      <c r="DF68" s="62">
        <v>1.2500000000000001E-2</v>
      </c>
      <c r="DG68" s="62">
        <v>5.0000000000000001E-3</v>
      </c>
      <c r="DH68" s="62">
        <v>7.4999999999999997E-3</v>
      </c>
      <c r="DI68" s="62">
        <v>-1.7500000000000002E-2</v>
      </c>
      <c r="DJ68" s="62">
        <v>2.5000000000000001E-3</v>
      </c>
      <c r="DK68" s="62">
        <v>-0.10050000000000001</v>
      </c>
      <c r="DL68" s="62">
        <v>2.5000000000000001E-3</v>
      </c>
      <c r="DM68" s="62">
        <v>-6.7500000000000004E-2</v>
      </c>
      <c r="DN68" s="62">
        <v>2.5000000000000001E-3</v>
      </c>
      <c r="DO68" s="62">
        <v>-8.7499999999999994E-2</v>
      </c>
      <c r="DP68" s="62">
        <v>2.5000000000000001E-3</v>
      </c>
      <c r="DQ68" s="62">
        <v>-0.1305</v>
      </c>
      <c r="DR68" s="62">
        <v>-5.0000000000000001E-3</v>
      </c>
      <c r="DS68" s="62">
        <v>1.04</v>
      </c>
      <c r="DT68" s="62">
        <v>0.05</v>
      </c>
      <c r="DU68" s="62">
        <v>8.1192500000000001E-2</v>
      </c>
      <c r="DV68" s="62">
        <v>0</v>
      </c>
    </row>
    <row r="69" spans="4:126" x14ac:dyDescent="0.25">
      <c r="D69" s="91">
        <v>38749</v>
      </c>
      <c r="F69" s="89">
        <v>3.677</v>
      </c>
      <c r="G69" s="90">
        <v>5.0446047479093502E-2</v>
      </c>
      <c r="H69" s="89">
        <v>0.28000000000000003</v>
      </c>
      <c r="I69" s="89">
        <v>1</v>
      </c>
      <c r="J69" s="89">
        <v>1.05</v>
      </c>
      <c r="K69" s="89">
        <v>1</v>
      </c>
      <c r="L69" s="87">
        <v>1</v>
      </c>
      <c r="M69" s="87">
        <v>1.1499999999999999</v>
      </c>
      <c r="N69" s="89">
        <v>1.45</v>
      </c>
      <c r="O69" s="89">
        <v>1.05</v>
      </c>
      <c r="P69" s="89">
        <v>1</v>
      </c>
      <c r="Q69" s="89">
        <v>1.35</v>
      </c>
      <c r="R69" s="90">
        <v>1</v>
      </c>
      <c r="S69" s="90">
        <v>1.1000000000000001</v>
      </c>
      <c r="T69" s="89">
        <v>1</v>
      </c>
      <c r="U69" s="89">
        <v>1.45</v>
      </c>
      <c r="V69" s="89">
        <v>1.1000000000000001</v>
      </c>
      <c r="W69" s="89">
        <v>0.02</v>
      </c>
      <c r="X69" s="89">
        <v>0.03</v>
      </c>
      <c r="Y69" s="89">
        <v>0.125</v>
      </c>
      <c r="Z69" s="89">
        <v>0.02</v>
      </c>
      <c r="AA69" s="89">
        <v>0.38</v>
      </c>
      <c r="AB69" s="89">
        <v>0</v>
      </c>
      <c r="AC69" s="89">
        <v>0.38</v>
      </c>
      <c r="AD69" s="89">
        <v>0</v>
      </c>
      <c r="AE69" s="89">
        <v>0.38</v>
      </c>
      <c r="AF69" s="89">
        <v>0</v>
      </c>
      <c r="AG69" s="89">
        <v>0.22</v>
      </c>
      <c r="AH69" s="89">
        <v>0</v>
      </c>
      <c r="AI69" s="89">
        <v>0.20311999999999999</v>
      </c>
      <c r="AJ69" s="89">
        <v>0</v>
      </c>
      <c r="AK69" s="89">
        <v>0.125</v>
      </c>
      <c r="AL69" s="89">
        <v>3.5000000000000003E-2</v>
      </c>
      <c r="AM69" s="89">
        <v>-0.08</v>
      </c>
      <c r="AN69" s="89">
        <v>8.0000000000000002E-3</v>
      </c>
      <c r="AO69" s="89">
        <v>-0.38500000000000001</v>
      </c>
      <c r="AP69" s="89">
        <v>0.155</v>
      </c>
      <c r="AQ69" s="89">
        <v>-0.06</v>
      </c>
      <c r="AR69" s="89">
        <v>5.0000000000000001E-3</v>
      </c>
      <c r="AS69" s="89">
        <v>-0.14749999999999999</v>
      </c>
      <c r="AT69" s="89">
        <v>-5.0000000000000001E-3</v>
      </c>
      <c r="AU69" s="89">
        <v>-0.1075</v>
      </c>
      <c r="AV69" s="89">
        <v>-0.01</v>
      </c>
      <c r="AW69" s="89">
        <v>-7.0000000000000007E-2</v>
      </c>
      <c r="AX69" s="89">
        <v>5.0000000000000001E-3</v>
      </c>
      <c r="AY69" s="90">
        <v>0.155</v>
      </c>
      <c r="AZ69" s="90">
        <v>0</v>
      </c>
      <c r="BA69" s="90">
        <v>-0.13</v>
      </c>
      <c r="BB69" s="89">
        <v>5.0000000000000001E-3</v>
      </c>
      <c r="BC69" s="89">
        <v>-7.4999999999999997E-2</v>
      </c>
      <c r="BD69" s="89">
        <v>5.0000000000000001E-3</v>
      </c>
      <c r="BE69" s="89">
        <v>0.24</v>
      </c>
      <c r="BF69" s="89">
        <v>3.2000000000000001E-2</v>
      </c>
      <c r="BG69" s="89">
        <v>-6.5000000000000002E-2</v>
      </c>
      <c r="BH69" s="89">
        <v>0</v>
      </c>
      <c r="BI69" s="89">
        <v>0.15</v>
      </c>
      <c r="BJ69" s="62">
        <v>0.03</v>
      </c>
      <c r="BK69" s="62">
        <v>0.24</v>
      </c>
      <c r="BL69" s="62">
        <v>3.2000000000000001E-2</v>
      </c>
      <c r="BM69" s="62">
        <v>0.29799999999999999</v>
      </c>
      <c r="BN69" s="62">
        <v>0</v>
      </c>
      <c r="BO69" s="62">
        <v>-0.26</v>
      </c>
      <c r="BP69" s="62">
        <v>3.5000000000000003E-2</v>
      </c>
      <c r="BQ69" s="62">
        <v>0.5</v>
      </c>
      <c r="BR69" s="62">
        <v>3.2000000000000001E-2</v>
      </c>
      <c r="BS69" s="62">
        <v>-7.4999999999999997E-2</v>
      </c>
      <c r="BT69" s="62">
        <v>5.0000000000000001E-3</v>
      </c>
      <c r="BU69" s="62">
        <v>0.3</v>
      </c>
      <c r="BV69" s="62">
        <v>0</v>
      </c>
      <c r="BW69" s="62">
        <v>0.24</v>
      </c>
      <c r="BX69" s="62">
        <v>0</v>
      </c>
      <c r="BY69" s="62">
        <v>-2.3E-2</v>
      </c>
      <c r="BZ69" s="62">
        <v>5.7500000000000002E-2</v>
      </c>
      <c r="CA69" s="62">
        <v>0.23499999999999999</v>
      </c>
      <c r="CB69" s="62">
        <v>5.0000000000000001E-3</v>
      </c>
      <c r="CC69" s="62">
        <v>-2.3E-2</v>
      </c>
      <c r="CD69" s="62">
        <v>3.7000000000000002E-3</v>
      </c>
      <c r="CE69" s="62">
        <v>2.5000000000000001E-3</v>
      </c>
      <c r="CF69" s="62">
        <v>0</v>
      </c>
      <c r="CG69" s="62">
        <v>-2.3E-2</v>
      </c>
      <c r="CH69" s="62">
        <v>3.7000000000000002E-3</v>
      </c>
      <c r="CI69" s="62">
        <v>-0.11849999999999999</v>
      </c>
      <c r="CJ69" s="62">
        <v>2.5000000000000001E-3</v>
      </c>
      <c r="CK69" s="62">
        <v>7.4999999999999997E-2</v>
      </c>
      <c r="CL69" s="62">
        <v>2.5000000000000001E-3</v>
      </c>
      <c r="CM69" s="62">
        <v>-6.6500000000000004E-2</v>
      </c>
      <c r="CN69" s="62">
        <v>0.01</v>
      </c>
      <c r="CO69" s="62">
        <v>-1.15E-2</v>
      </c>
      <c r="CP69" s="62">
        <v>7.4999999999999997E-3</v>
      </c>
      <c r="CQ69" s="62">
        <v>2.8500000000000001E-2</v>
      </c>
      <c r="CR69" s="62">
        <v>0.01</v>
      </c>
      <c r="CS69" s="62">
        <v>1.6</v>
      </c>
      <c r="CT69" s="62">
        <v>0.45</v>
      </c>
      <c r="CU69" s="62">
        <v>0.29799999999999999</v>
      </c>
      <c r="CV69" s="62">
        <v>0</v>
      </c>
      <c r="CW69" s="62">
        <v>0.34</v>
      </c>
      <c r="CX69" s="62">
        <v>0.02</v>
      </c>
      <c r="CY69" s="62">
        <v>-0.52</v>
      </c>
      <c r="CZ69" s="62">
        <v>0</v>
      </c>
      <c r="DA69" s="62">
        <v>-0.34</v>
      </c>
      <c r="DB69" s="62">
        <v>0</v>
      </c>
      <c r="DC69" s="62">
        <v>0.35</v>
      </c>
      <c r="DE69" s="62">
        <v>-4.7500000000000001E-2</v>
      </c>
      <c r="DF69" s="62">
        <v>1.2500000000000001E-2</v>
      </c>
      <c r="DG69" s="62">
        <v>5.0000000000000001E-3</v>
      </c>
      <c r="DH69" s="62">
        <v>7.4999999999999997E-3</v>
      </c>
      <c r="DI69" s="62">
        <v>-1.7500000000000002E-2</v>
      </c>
      <c r="DJ69" s="62">
        <v>2.5000000000000001E-3</v>
      </c>
      <c r="DK69" s="62">
        <v>-9.0499999999999997E-2</v>
      </c>
      <c r="DL69" s="62">
        <v>2.5000000000000001E-3</v>
      </c>
      <c r="DM69" s="62">
        <v>-6.7500000000000004E-2</v>
      </c>
      <c r="DN69" s="62">
        <v>2.5000000000000001E-3</v>
      </c>
      <c r="DO69" s="62">
        <v>-8.7499999999999994E-2</v>
      </c>
      <c r="DP69" s="62">
        <v>2.5000000000000001E-3</v>
      </c>
      <c r="DQ69" s="62">
        <v>-0.1205</v>
      </c>
      <c r="DR69" s="62">
        <v>-5.0000000000000001E-3</v>
      </c>
      <c r="DS69" s="62">
        <v>1.04</v>
      </c>
      <c r="DT69" s="62">
        <v>0.05</v>
      </c>
      <c r="DU69" s="62">
        <v>8.2072500000000007E-2</v>
      </c>
      <c r="DV69" s="62">
        <v>0</v>
      </c>
    </row>
    <row r="70" spans="4:126" x14ac:dyDescent="0.25">
      <c r="D70" s="91">
        <v>38777</v>
      </c>
      <c r="F70" s="89">
        <v>3.5470000000000002</v>
      </c>
      <c r="G70" s="90">
        <v>5.0737049222817202E-2</v>
      </c>
      <c r="H70" s="89">
        <v>0.27</v>
      </c>
      <c r="I70" s="89">
        <v>0.75</v>
      </c>
      <c r="J70" s="89">
        <v>0.8</v>
      </c>
      <c r="K70" s="89">
        <v>0.75</v>
      </c>
      <c r="L70" s="87">
        <v>0.75</v>
      </c>
      <c r="M70" s="87">
        <v>0.85</v>
      </c>
      <c r="N70" s="89">
        <v>1</v>
      </c>
      <c r="O70" s="89">
        <v>0.75</v>
      </c>
      <c r="P70" s="89">
        <v>0.75</v>
      </c>
      <c r="Q70" s="89">
        <v>0.95</v>
      </c>
      <c r="R70" s="90">
        <v>0.75</v>
      </c>
      <c r="S70" s="90">
        <v>0.75</v>
      </c>
      <c r="T70" s="89">
        <v>0.75</v>
      </c>
      <c r="U70" s="89">
        <v>1</v>
      </c>
      <c r="V70" s="89">
        <v>0.85</v>
      </c>
      <c r="W70" s="89">
        <v>0</v>
      </c>
      <c r="X70" s="89">
        <v>0.03</v>
      </c>
      <c r="Y70" s="89">
        <v>0.125</v>
      </c>
      <c r="Z70" s="89">
        <v>0.02</v>
      </c>
      <c r="AA70" s="89">
        <v>0.38</v>
      </c>
      <c r="AB70" s="89">
        <v>0</v>
      </c>
      <c r="AC70" s="89">
        <v>0.38</v>
      </c>
      <c r="AD70" s="89">
        <v>0</v>
      </c>
      <c r="AE70" s="89">
        <v>0.38</v>
      </c>
      <c r="AF70" s="89">
        <v>0</v>
      </c>
      <c r="AG70" s="89">
        <v>0.22</v>
      </c>
      <c r="AH70" s="89">
        <v>0</v>
      </c>
      <c r="AI70" s="89">
        <v>0.19896</v>
      </c>
      <c r="AJ70" s="89">
        <v>0</v>
      </c>
      <c r="AK70" s="89">
        <v>0.125</v>
      </c>
      <c r="AL70" s="89">
        <v>3.5000000000000003E-2</v>
      </c>
      <c r="AM70" s="89">
        <v>-0.08</v>
      </c>
      <c r="AN70" s="89">
        <v>8.0000000000000002E-3</v>
      </c>
      <c r="AO70" s="89">
        <v>-0.38500000000000001</v>
      </c>
      <c r="AP70" s="89">
        <v>0.155</v>
      </c>
      <c r="AQ70" s="89">
        <v>-0.06</v>
      </c>
      <c r="AR70" s="89">
        <v>5.0000000000000001E-3</v>
      </c>
      <c r="AS70" s="89">
        <v>-0.14499999999999999</v>
      </c>
      <c r="AT70" s="89">
        <v>-5.0000000000000001E-3</v>
      </c>
      <c r="AU70" s="89">
        <v>-0.105</v>
      </c>
      <c r="AV70" s="89">
        <v>-0.01</v>
      </c>
      <c r="AW70" s="89">
        <v>-7.0000000000000007E-2</v>
      </c>
      <c r="AX70" s="89">
        <v>5.0000000000000001E-3</v>
      </c>
      <c r="AY70" s="90">
        <v>0.155</v>
      </c>
      <c r="AZ70" s="90">
        <v>0</v>
      </c>
      <c r="BA70" s="90">
        <v>-0.13</v>
      </c>
      <c r="BB70" s="89">
        <v>5.0000000000000001E-3</v>
      </c>
      <c r="BC70" s="89">
        <v>-7.4999999999999997E-2</v>
      </c>
      <c r="BD70" s="89">
        <v>5.0000000000000001E-3</v>
      </c>
      <c r="BE70" s="89">
        <v>0.24</v>
      </c>
      <c r="BF70" s="89">
        <v>3.2000000000000001E-2</v>
      </c>
      <c r="BG70" s="89">
        <v>-6.5000000000000002E-2</v>
      </c>
      <c r="BH70" s="89">
        <v>0</v>
      </c>
      <c r="BI70" s="89">
        <v>0.15</v>
      </c>
      <c r="BJ70" s="62">
        <v>0.03</v>
      </c>
      <c r="BK70" s="62">
        <v>0.24</v>
      </c>
      <c r="BL70" s="62">
        <v>3.2000000000000001E-2</v>
      </c>
      <c r="BM70" s="62">
        <v>0.11799999999999999</v>
      </c>
      <c r="BN70" s="62">
        <v>0</v>
      </c>
      <c r="BO70" s="62">
        <v>-0.26</v>
      </c>
      <c r="BP70" s="62">
        <v>3.5000000000000003E-2</v>
      </c>
      <c r="BQ70" s="62">
        <v>0.5</v>
      </c>
      <c r="BR70" s="62">
        <v>3.2000000000000001E-2</v>
      </c>
      <c r="BS70" s="62">
        <v>-7.4999999999999997E-2</v>
      </c>
      <c r="BT70" s="62">
        <v>5.0000000000000001E-3</v>
      </c>
      <c r="BU70" s="62">
        <v>0.3</v>
      </c>
      <c r="BV70" s="62">
        <v>0</v>
      </c>
      <c r="BW70" s="62">
        <v>0.24</v>
      </c>
      <c r="BX70" s="62">
        <v>0</v>
      </c>
      <c r="BY70" s="62">
        <v>-2.3E-2</v>
      </c>
      <c r="BZ70" s="62">
        <v>5.7500000000000002E-2</v>
      </c>
      <c r="CA70" s="62">
        <v>0.19500000000000001</v>
      </c>
      <c r="CB70" s="62">
        <v>5.0000000000000001E-3</v>
      </c>
      <c r="CC70" s="62">
        <v>-2.3E-2</v>
      </c>
      <c r="CD70" s="62">
        <v>3.7000000000000002E-3</v>
      </c>
      <c r="CE70" s="62">
        <v>2.5000000000000001E-3</v>
      </c>
      <c r="CF70" s="62">
        <v>0</v>
      </c>
      <c r="CG70" s="62">
        <v>-2.3E-2</v>
      </c>
      <c r="CH70" s="62">
        <v>3.7000000000000002E-3</v>
      </c>
      <c r="CI70" s="62">
        <v>-0.11849999999999999</v>
      </c>
      <c r="CJ70" s="62">
        <v>2.5000000000000001E-3</v>
      </c>
      <c r="CK70" s="62">
        <v>7.4999999999999997E-2</v>
      </c>
      <c r="CL70" s="62">
        <v>2.5000000000000001E-3</v>
      </c>
      <c r="CM70" s="62">
        <v>-6.6500000000000004E-2</v>
      </c>
      <c r="CN70" s="62">
        <v>0.01</v>
      </c>
      <c r="CO70" s="62">
        <v>-1.15E-2</v>
      </c>
      <c r="CP70" s="62">
        <v>7.4999999999999997E-3</v>
      </c>
      <c r="CQ70" s="62">
        <v>2.8500000000000001E-2</v>
      </c>
      <c r="CR70" s="62">
        <v>0.01</v>
      </c>
      <c r="CS70" s="62">
        <v>0.64</v>
      </c>
      <c r="CT70" s="62">
        <v>0.1</v>
      </c>
      <c r="CU70" s="62">
        <v>0.11799999999999999</v>
      </c>
      <c r="CV70" s="62">
        <v>0</v>
      </c>
      <c r="CW70" s="62">
        <v>0.28999999999999998</v>
      </c>
      <c r="CX70" s="62">
        <v>0.02</v>
      </c>
      <c r="CY70" s="62">
        <v>-0.52</v>
      </c>
      <c r="CZ70" s="62">
        <v>0</v>
      </c>
      <c r="DA70" s="62">
        <v>-0.34</v>
      </c>
      <c r="DB70" s="62">
        <v>0</v>
      </c>
      <c r="DC70" s="62">
        <v>0.4</v>
      </c>
      <c r="DE70" s="62">
        <v>-4.7500000000000001E-2</v>
      </c>
      <c r="DF70" s="62">
        <v>1.2500000000000001E-2</v>
      </c>
      <c r="DG70" s="62">
        <v>0.01</v>
      </c>
      <c r="DH70" s="62">
        <v>7.4999999999999997E-3</v>
      </c>
      <c r="DI70" s="62">
        <v>-1.2500000000000001E-2</v>
      </c>
      <c r="DJ70" s="62">
        <v>2.5000000000000001E-3</v>
      </c>
      <c r="DK70" s="62">
        <v>-8.0500000000000002E-2</v>
      </c>
      <c r="DL70" s="62">
        <v>2.5000000000000001E-3</v>
      </c>
      <c r="DM70" s="62">
        <v>-6.7500000000000004E-2</v>
      </c>
      <c r="DN70" s="62">
        <v>2.5000000000000001E-3</v>
      </c>
      <c r="DO70" s="62">
        <v>-8.7499999999999994E-2</v>
      </c>
      <c r="DP70" s="62">
        <v>2.5000000000000001E-3</v>
      </c>
      <c r="DQ70" s="62">
        <v>-0.1105</v>
      </c>
      <c r="DR70" s="62">
        <v>-5.0000000000000001E-3</v>
      </c>
      <c r="DS70" s="62">
        <v>0.54</v>
      </c>
      <c r="DT70" s="62">
        <v>0.05</v>
      </c>
      <c r="DU70" s="62">
        <v>8.3502499999999993E-2</v>
      </c>
      <c r="DV70" s="62">
        <v>0</v>
      </c>
    </row>
    <row r="71" spans="4:126" x14ac:dyDescent="0.25">
      <c r="D71" s="91">
        <v>38808</v>
      </c>
      <c r="F71" s="89">
        <v>3.3620000000000001</v>
      </c>
      <c r="G71" s="90">
        <v>5.10592297577648E-2</v>
      </c>
      <c r="H71" s="89">
        <v>0.25</v>
      </c>
      <c r="I71" s="89">
        <v>0.4</v>
      </c>
      <c r="J71" s="89">
        <v>0.45</v>
      </c>
      <c r="K71" s="89">
        <v>0.4</v>
      </c>
      <c r="L71" s="87">
        <v>0.45</v>
      </c>
      <c r="M71" s="87">
        <v>0.45</v>
      </c>
      <c r="N71" s="89">
        <v>0.45</v>
      </c>
      <c r="O71" s="89">
        <v>0.45</v>
      </c>
      <c r="P71" s="89">
        <v>0.45</v>
      </c>
      <c r="Q71" s="89">
        <v>0.5</v>
      </c>
      <c r="R71" s="90">
        <v>0.4</v>
      </c>
      <c r="S71" s="90">
        <v>0.45</v>
      </c>
      <c r="T71" s="89">
        <v>0.4</v>
      </c>
      <c r="U71" s="89">
        <v>0.45</v>
      </c>
      <c r="V71" s="89">
        <v>0.55000000000000004</v>
      </c>
      <c r="W71" s="89">
        <v>-0.09</v>
      </c>
      <c r="X71" s="89">
        <v>0</v>
      </c>
      <c r="Y71" s="89">
        <v>0.04</v>
      </c>
      <c r="Z71" s="89">
        <v>5.0000000000000001E-3</v>
      </c>
      <c r="AA71" s="89">
        <v>0.18</v>
      </c>
      <c r="AB71" s="89">
        <v>0</v>
      </c>
      <c r="AC71" s="89">
        <v>0.14499999999999999</v>
      </c>
      <c r="AD71" s="89">
        <v>0</v>
      </c>
      <c r="AE71" s="89">
        <v>0.18</v>
      </c>
      <c r="AF71" s="89">
        <v>0</v>
      </c>
      <c r="AG71" s="89">
        <v>0.13500000000000001</v>
      </c>
      <c r="AH71" s="89">
        <v>0</v>
      </c>
      <c r="AI71" s="89">
        <v>0.14499999999999999</v>
      </c>
      <c r="AJ71" s="89">
        <v>0</v>
      </c>
      <c r="AK71" s="89">
        <v>0.04</v>
      </c>
      <c r="AL71" s="89">
        <v>0.04</v>
      </c>
      <c r="AM71" s="89">
        <v>-6.25E-2</v>
      </c>
      <c r="AN71" s="89">
        <v>1.4999999999999999E-2</v>
      </c>
      <c r="AO71" s="89">
        <v>-0.42</v>
      </c>
      <c r="AP71" s="89">
        <v>0.155</v>
      </c>
      <c r="AQ71" s="89">
        <v>-5.7500000000000002E-2</v>
      </c>
      <c r="AR71" s="89">
        <v>0</v>
      </c>
      <c r="AS71" s="89">
        <v>-0.15</v>
      </c>
      <c r="AT71" s="89">
        <v>-1.4999999999999999E-2</v>
      </c>
      <c r="AU71" s="89">
        <v>-0.11</v>
      </c>
      <c r="AV71" s="89">
        <v>0.02</v>
      </c>
      <c r="AW71" s="89">
        <v>-6.7500000000000004E-2</v>
      </c>
      <c r="AX71" s="89">
        <v>0.01</v>
      </c>
      <c r="AY71" s="90">
        <v>0.125</v>
      </c>
      <c r="AZ71" s="90">
        <v>0</v>
      </c>
      <c r="BA71" s="90">
        <v>-0.19500000000000001</v>
      </c>
      <c r="BB71" s="89">
        <v>2.5000000000000001E-3</v>
      </c>
      <c r="BC71" s="89">
        <v>-7.4999999999999997E-2</v>
      </c>
      <c r="BD71" s="89">
        <v>5.0000000000000001E-3</v>
      </c>
      <c r="BE71" s="89">
        <v>0.26</v>
      </c>
      <c r="BF71" s="89">
        <v>3.2000000000000001E-2</v>
      </c>
      <c r="BG71" s="89">
        <v>-6.5000000000000002E-2</v>
      </c>
      <c r="BH71" s="89">
        <v>0</v>
      </c>
      <c r="BI71" s="89">
        <v>0.06</v>
      </c>
      <c r="BJ71" s="62">
        <v>0.03</v>
      </c>
      <c r="BK71" s="62">
        <v>0.26</v>
      </c>
      <c r="BL71" s="62">
        <v>3.2000000000000001E-2</v>
      </c>
      <c r="BM71" s="62">
        <v>-0.2</v>
      </c>
      <c r="BN71" s="62">
        <v>0</v>
      </c>
      <c r="BO71" s="62">
        <v>-0.39</v>
      </c>
      <c r="BP71" s="62">
        <v>0.02</v>
      </c>
      <c r="BQ71" s="62">
        <v>0.5</v>
      </c>
      <c r="BR71" s="62">
        <v>3.2000000000000001E-2</v>
      </c>
      <c r="BS71" s="62">
        <v>-7.4999999999999997E-2</v>
      </c>
      <c r="BT71" s="62">
        <v>5.0000000000000001E-3</v>
      </c>
      <c r="BU71" s="62">
        <v>0.3</v>
      </c>
      <c r="BV71" s="62">
        <v>0</v>
      </c>
      <c r="BW71" s="62">
        <v>0.26</v>
      </c>
      <c r="BX71" s="62">
        <v>0</v>
      </c>
      <c r="BY71" s="62">
        <v>-2.3E-2</v>
      </c>
      <c r="BZ71" s="62">
        <v>5.7500000000000002E-2</v>
      </c>
      <c r="CA71" s="62">
        <v>0.14499999999999999</v>
      </c>
      <c r="CB71" s="62">
        <v>5.0000000000000001E-3</v>
      </c>
      <c r="CC71" s="62">
        <v>-2.3E-2</v>
      </c>
      <c r="CD71" s="62">
        <v>3.5000000000000001E-3</v>
      </c>
      <c r="CE71" s="62">
        <v>2.5000000000000001E-3</v>
      </c>
      <c r="CF71" s="62">
        <v>0</v>
      </c>
      <c r="CG71" s="62">
        <v>-2.3E-2</v>
      </c>
      <c r="CH71" s="62">
        <v>3.5000000000000001E-3</v>
      </c>
      <c r="CI71" s="62">
        <v>-0.13850000000000001</v>
      </c>
      <c r="CJ71" s="62">
        <v>2.5000000000000001E-3</v>
      </c>
      <c r="CK71" s="62">
        <v>7.7499999999999999E-2</v>
      </c>
      <c r="CL71" s="62">
        <v>2.5000000000000001E-3</v>
      </c>
      <c r="CM71" s="62">
        <v>-7.1999999999999995E-2</v>
      </c>
      <c r="CN71" s="62">
        <v>7.4999999999999997E-3</v>
      </c>
      <c r="CO71" s="62">
        <v>-1.7000000000000001E-2</v>
      </c>
      <c r="CP71" s="62">
        <v>5.0000000000000001E-3</v>
      </c>
      <c r="CQ71" s="62">
        <v>2.3E-2</v>
      </c>
      <c r="CR71" s="62">
        <v>7.4999999999999997E-3</v>
      </c>
      <c r="CS71" s="62">
        <v>0.38</v>
      </c>
      <c r="CT71" s="62">
        <v>0.02</v>
      </c>
      <c r="CU71" s="62">
        <v>-0.2</v>
      </c>
      <c r="CV71" s="62">
        <v>0</v>
      </c>
      <c r="CW71" s="62">
        <v>0.19500000000000001</v>
      </c>
      <c r="CX71" s="62">
        <v>7.4999999999999997E-3</v>
      </c>
      <c r="CY71" s="62">
        <v>-0.65</v>
      </c>
      <c r="CZ71" s="62">
        <v>0</v>
      </c>
      <c r="DA71" s="62">
        <v>-0.47</v>
      </c>
      <c r="DB71" s="62">
        <v>0</v>
      </c>
      <c r="DC71" s="62">
        <v>0.6</v>
      </c>
      <c r="DE71" s="62">
        <v>-5.2499999999999998E-2</v>
      </c>
      <c r="DF71" s="62">
        <v>0.01</v>
      </c>
      <c r="DG71" s="62">
        <v>0.01</v>
      </c>
      <c r="DH71" s="62">
        <v>0.01</v>
      </c>
      <c r="DI71" s="62">
        <v>-1.2500000000000001E-2</v>
      </c>
      <c r="DJ71" s="62">
        <v>7.4999999999999997E-3</v>
      </c>
      <c r="DK71" s="62">
        <v>-0.1235</v>
      </c>
      <c r="DL71" s="62">
        <v>5.0000000000000001E-3</v>
      </c>
      <c r="DM71" s="62">
        <v>-6.5000000000000002E-2</v>
      </c>
      <c r="DN71" s="62">
        <v>2.5000000000000001E-3</v>
      </c>
      <c r="DO71" s="62">
        <v>-8.5000000000000006E-2</v>
      </c>
      <c r="DP71" s="62">
        <v>2.5000000000000001E-3</v>
      </c>
      <c r="DQ71" s="62">
        <v>-0.1535</v>
      </c>
      <c r="DR71" s="62">
        <v>-5.0000000000000001E-3</v>
      </c>
      <c r="DS71" s="62">
        <v>0.36</v>
      </c>
      <c r="DT71" s="62">
        <v>5.0000000000000001E-3</v>
      </c>
      <c r="DU71" s="62">
        <v>1.4725000000000001E-3</v>
      </c>
      <c r="DV71" s="62">
        <v>0</v>
      </c>
    </row>
    <row r="72" spans="4:126" x14ac:dyDescent="0.25">
      <c r="D72" s="91">
        <v>38838</v>
      </c>
      <c r="F72" s="89">
        <v>3.3570000000000002</v>
      </c>
      <c r="G72" s="90">
        <v>5.1371017405212001E-2</v>
      </c>
      <c r="H72" s="89">
        <v>0.245</v>
      </c>
      <c r="I72" s="89">
        <v>0.45</v>
      </c>
      <c r="J72" s="89">
        <v>0.5</v>
      </c>
      <c r="K72" s="89">
        <v>0.4</v>
      </c>
      <c r="L72" s="87">
        <v>0.4</v>
      </c>
      <c r="M72" s="87">
        <v>0.45</v>
      </c>
      <c r="N72" s="89">
        <v>0.5</v>
      </c>
      <c r="O72" s="89">
        <v>0.45</v>
      </c>
      <c r="P72" s="89">
        <v>0.4</v>
      </c>
      <c r="Q72" s="89">
        <v>0.45</v>
      </c>
      <c r="R72" s="90">
        <v>0.45</v>
      </c>
      <c r="S72" s="90">
        <v>0.5</v>
      </c>
      <c r="T72" s="89">
        <v>0.45</v>
      </c>
      <c r="U72" s="89">
        <v>0.5</v>
      </c>
      <c r="V72" s="89">
        <v>0.5</v>
      </c>
      <c r="W72" s="89">
        <v>-0.09</v>
      </c>
      <c r="X72" s="89">
        <v>0</v>
      </c>
      <c r="Y72" s="89">
        <v>0.04</v>
      </c>
      <c r="Z72" s="89">
        <v>5.0000000000000001E-3</v>
      </c>
      <c r="AA72" s="89">
        <v>0.18</v>
      </c>
      <c r="AB72" s="89">
        <v>0</v>
      </c>
      <c r="AC72" s="89">
        <v>0.14499999999999999</v>
      </c>
      <c r="AD72" s="89">
        <v>0</v>
      </c>
      <c r="AE72" s="89">
        <v>0.18</v>
      </c>
      <c r="AF72" s="89">
        <v>0</v>
      </c>
      <c r="AG72" s="89">
        <v>0.13500000000000001</v>
      </c>
      <c r="AH72" s="89">
        <v>0</v>
      </c>
      <c r="AI72" s="89">
        <v>0.14499999999999999</v>
      </c>
      <c r="AJ72" s="89">
        <v>0</v>
      </c>
      <c r="AK72" s="89">
        <v>0.04</v>
      </c>
      <c r="AL72" s="89">
        <v>0.04</v>
      </c>
      <c r="AM72" s="89">
        <v>-6.25E-2</v>
      </c>
      <c r="AN72" s="89">
        <v>1.4999999999999999E-2</v>
      </c>
      <c r="AO72" s="89">
        <v>-0.42</v>
      </c>
      <c r="AP72" s="89">
        <v>0.155</v>
      </c>
      <c r="AQ72" s="89">
        <v>-5.7500000000000002E-2</v>
      </c>
      <c r="AR72" s="89">
        <v>0</v>
      </c>
      <c r="AS72" s="89">
        <v>-0.15</v>
      </c>
      <c r="AT72" s="89">
        <v>-1.4999999999999999E-2</v>
      </c>
      <c r="AU72" s="89">
        <v>-0.11</v>
      </c>
      <c r="AV72" s="89">
        <v>0.02</v>
      </c>
      <c r="AW72" s="89">
        <v>-6.7500000000000004E-2</v>
      </c>
      <c r="AX72" s="89">
        <v>0.01</v>
      </c>
      <c r="AY72" s="90">
        <v>0.125</v>
      </c>
      <c r="AZ72" s="90">
        <v>0</v>
      </c>
      <c r="BA72" s="90">
        <v>-0.19500000000000001</v>
      </c>
      <c r="BB72" s="89">
        <v>2.5000000000000001E-3</v>
      </c>
      <c r="BC72" s="89">
        <v>-7.4999999999999997E-2</v>
      </c>
      <c r="BD72" s="89">
        <v>5.0000000000000001E-3</v>
      </c>
      <c r="BE72" s="89">
        <v>0.26</v>
      </c>
      <c r="BF72" s="89">
        <v>3.2000000000000001E-2</v>
      </c>
      <c r="BG72" s="89">
        <v>-6.5000000000000002E-2</v>
      </c>
      <c r="BH72" s="89">
        <v>0</v>
      </c>
      <c r="BI72" s="89">
        <v>0.06</v>
      </c>
      <c r="BJ72" s="62">
        <v>0.03</v>
      </c>
      <c r="BK72" s="62">
        <v>0.26</v>
      </c>
      <c r="BL72" s="62">
        <v>3.2000000000000001E-2</v>
      </c>
      <c r="BM72" s="62">
        <v>-0.2</v>
      </c>
      <c r="BN72" s="62">
        <v>0</v>
      </c>
      <c r="BO72" s="62">
        <v>-0.39</v>
      </c>
      <c r="BP72" s="62">
        <v>0.02</v>
      </c>
      <c r="BQ72" s="62">
        <v>0.5</v>
      </c>
      <c r="BR72" s="62">
        <v>3.2000000000000001E-2</v>
      </c>
      <c r="BS72" s="62">
        <v>-7.4999999999999997E-2</v>
      </c>
      <c r="BT72" s="62">
        <v>5.0000000000000001E-3</v>
      </c>
      <c r="BU72" s="62">
        <v>0.3</v>
      </c>
      <c r="BV72" s="62">
        <v>0</v>
      </c>
      <c r="BW72" s="62">
        <v>0.26</v>
      </c>
      <c r="BX72" s="62">
        <v>0</v>
      </c>
      <c r="BY72" s="62">
        <v>-2.3E-2</v>
      </c>
      <c r="BZ72" s="62">
        <v>5.7500000000000002E-2</v>
      </c>
      <c r="CA72" s="62">
        <v>0.125</v>
      </c>
      <c r="CB72" s="62">
        <v>5.0000000000000001E-3</v>
      </c>
      <c r="CC72" s="62">
        <v>-2.3E-2</v>
      </c>
      <c r="CD72" s="62">
        <v>3.5000000000000001E-3</v>
      </c>
      <c r="CE72" s="62">
        <v>2.5000000000000001E-3</v>
      </c>
      <c r="CF72" s="62">
        <v>0</v>
      </c>
      <c r="CG72" s="62">
        <v>-2.3E-2</v>
      </c>
      <c r="CH72" s="62">
        <v>3.5000000000000001E-3</v>
      </c>
      <c r="CI72" s="62">
        <v>-0.126</v>
      </c>
      <c r="CJ72" s="62">
        <v>2.5000000000000001E-3</v>
      </c>
      <c r="CK72" s="62">
        <v>7.7499999999999999E-2</v>
      </c>
      <c r="CL72" s="62">
        <v>2.5000000000000001E-3</v>
      </c>
      <c r="CM72" s="62">
        <v>-7.1999999999999995E-2</v>
      </c>
      <c r="CN72" s="62">
        <v>7.4999999999999997E-3</v>
      </c>
      <c r="CO72" s="62">
        <v>-1.7000000000000001E-2</v>
      </c>
      <c r="CP72" s="62">
        <v>5.0000000000000001E-3</v>
      </c>
      <c r="CQ72" s="62">
        <v>2.3E-2</v>
      </c>
      <c r="CR72" s="62">
        <v>7.4999999999999997E-3</v>
      </c>
      <c r="CS72" s="62">
        <v>0.33</v>
      </c>
      <c r="CT72" s="62">
        <v>0.02</v>
      </c>
      <c r="CU72" s="62">
        <v>-0.2</v>
      </c>
      <c r="CV72" s="62">
        <v>0</v>
      </c>
      <c r="CW72" s="62">
        <v>0.13500000000000001</v>
      </c>
      <c r="CX72" s="62">
        <v>7.4999999999999997E-3</v>
      </c>
      <c r="CY72" s="62">
        <v>-0.65</v>
      </c>
      <c r="CZ72" s="62">
        <v>0</v>
      </c>
      <c r="DA72" s="62">
        <v>-0.47</v>
      </c>
      <c r="DB72" s="62">
        <v>0</v>
      </c>
      <c r="DC72" s="62">
        <v>0.75</v>
      </c>
      <c r="DE72" s="62">
        <v>-5.2499999999999998E-2</v>
      </c>
      <c r="DF72" s="62">
        <v>0.01</v>
      </c>
      <c r="DG72" s="62">
        <v>1.2500000000000001E-2</v>
      </c>
      <c r="DH72" s="62">
        <v>0.01</v>
      </c>
      <c r="DI72" s="62">
        <v>-0.01</v>
      </c>
      <c r="DJ72" s="62">
        <v>7.4999999999999997E-3</v>
      </c>
      <c r="DK72" s="62">
        <v>-0.10100000000000001</v>
      </c>
      <c r="DL72" s="62">
        <v>5.0000000000000001E-3</v>
      </c>
      <c r="DM72" s="62">
        <v>-6.5000000000000002E-2</v>
      </c>
      <c r="DN72" s="62">
        <v>2.5000000000000001E-3</v>
      </c>
      <c r="DO72" s="62">
        <v>-8.5000000000000006E-2</v>
      </c>
      <c r="DP72" s="62">
        <v>2.5000000000000001E-3</v>
      </c>
      <c r="DQ72" s="62">
        <v>-0.13100000000000001</v>
      </c>
      <c r="DR72" s="62">
        <v>-5.0000000000000001E-3</v>
      </c>
      <c r="DS72" s="62">
        <v>0.32500000000000001</v>
      </c>
      <c r="DT72" s="62">
        <v>5.0000000000000001E-3</v>
      </c>
      <c r="DU72" s="62">
        <v>1.4945E-3</v>
      </c>
      <c r="DV72" s="62">
        <v>0</v>
      </c>
    </row>
    <row r="73" spans="4:126" x14ac:dyDescent="0.25">
      <c r="D73" s="91">
        <v>38869</v>
      </c>
      <c r="F73" s="89">
        <v>3.3919999999999999</v>
      </c>
      <c r="G73" s="90">
        <v>5.1693198008315698E-2</v>
      </c>
      <c r="H73" s="89">
        <v>0.2475</v>
      </c>
      <c r="I73" s="89">
        <v>0.45</v>
      </c>
      <c r="J73" s="89">
        <v>0.5</v>
      </c>
      <c r="K73" s="89">
        <v>0.4</v>
      </c>
      <c r="L73" s="87">
        <v>0.5</v>
      </c>
      <c r="M73" s="87">
        <v>0.45</v>
      </c>
      <c r="N73" s="89">
        <v>0.5</v>
      </c>
      <c r="O73" s="89">
        <v>0.5</v>
      </c>
      <c r="P73" s="89">
        <v>0.5</v>
      </c>
      <c r="Q73" s="89">
        <v>0.5</v>
      </c>
      <c r="R73" s="90">
        <v>0.45</v>
      </c>
      <c r="S73" s="90">
        <v>0.5</v>
      </c>
      <c r="T73" s="89">
        <v>0.45</v>
      </c>
      <c r="U73" s="89">
        <v>0.5</v>
      </c>
      <c r="V73" s="89">
        <v>0.6</v>
      </c>
      <c r="W73" s="89">
        <v>-0.09</v>
      </c>
      <c r="X73" s="89">
        <v>0</v>
      </c>
      <c r="Y73" s="89">
        <v>0.04</v>
      </c>
      <c r="Z73" s="89">
        <v>5.0000000000000001E-3</v>
      </c>
      <c r="AA73" s="89">
        <v>0.18</v>
      </c>
      <c r="AB73" s="89">
        <v>0</v>
      </c>
      <c r="AC73" s="89">
        <v>0.14499999999999999</v>
      </c>
      <c r="AD73" s="89">
        <v>0</v>
      </c>
      <c r="AE73" s="89">
        <v>0.18</v>
      </c>
      <c r="AF73" s="89">
        <v>0</v>
      </c>
      <c r="AG73" s="89">
        <v>0.13500000000000001</v>
      </c>
      <c r="AH73" s="89">
        <v>0</v>
      </c>
      <c r="AI73" s="89">
        <v>0.14499999999999999</v>
      </c>
      <c r="AJ73" s="89">
        <v>0</v>
      </c>
      <c r="AK73" s="89">
        <v>0.04</v>
      </c>
      <c r="AL73" s="89">
        <v>0.04</v>
      </c>
      <c r="AM73" s="89">
        <v>-6.25E-2</v>
      </c>
      <c r="AN73" s="89">
        <v>1.4999999999999999E-2</v>
      </c>
      <c r="AO73" s="89">
        <v>-0.42</v>
      </c>
      <c r="AP73" s="89">
        <v>0.155</v>
      </c>
      <c r="AQ73" s="89">
        <v>-5.7500000000000002E-2</v>
      </c>
      <c r="AR73" s="89">
        <v>0</v>
      </c>
      <c r="AS73" s="89">
        <v>-0.15</v>
      </c>
      <c r="AT73" s="89">
        <v>-1.4999999999999999E-2</v>
      </c>
      <c r="AU73" s="89">
        <v>-0.11</v>
      </c>
      <c r="AV73" s="89">
        <v>0.02</v>
      </c>
      <c r="AW73" s="89">
        <v>-6.7500000000000004E-2</v>
      </c>
      <c r="AX73" s="89">
        <v>0.01</v>
      </c>
      <c r="AY73" s="90">
        <v>0.125</v>
      </c>
      <c r="AZ73" s="90">
        <v>0</v>
      </c>
      <c r="BA73" s="90">
        <v>-0.19500000000000001</v>
      </c>
      <c r="BB73" s="89">
        <v>2.5000000000000001E-3</v>
      </c>
      <c r="BC73" s="89">
        <v>-7.4999999999999997E-2</v>
      </c>
      <c r="BD73" s="89">
        <v>5.0000000000000001E-3</v>
      </c>
      <c r="BE73" s="89">
        <v>0.26</v>
      </c>
      <c r="BF73" s="89">
        <v>3.2000000000000001E-2</v>
      </c>
      <c r="BG73" s="89">
        <v>-6.5000000000000002E-2</v>
      </c>
      <c r="BH73" s="89">
        <v>0</v>
      </c>
      <c r="BI73" s="89">
        <v>0.06</v>
      </c>
      <c r="BJ73" s="62">
        <v>0.03</v>
      </c>
      <c r="BK73" s="62">
        <v>0.26</v>
      </c>
      <c r="BL73" s="62">
        <v>3.2000000000000001E-2</v>
      </c>
      <c r="BM73" s="62">
        <v>-0.2</v>
      </c>
      <c r="BN73" s="62">
        <v>0</v>
      </c>
      <c r="BO73" s="62">
        <v>-0.39</v>
      </c>
      <c r="BP73" s="62">
        <v>0.02</v>
      </c>
      <c r="BQ73" s="62">
        <v>0.5</v>
      </c>
      <c r="BR73" s="62">
        <v>3.2000000000000001E-2</v>
      </c>
      <c r="BS73" s="62">
        <v>-7.4999999999999997E-2</v>
      </c>
      <c r="BT73" s="62">
        <v>5.0000000000000001E-3</v>
      </c>
      <c r="BU73" s="62">
        <v>0.3</v>
      </c>
      <c r="BV73" s="62">
        <v>0</v>
      </c>
      <c r="BW73" s="62">
        <v>0.26</v>
      </c>
      <c r="BX73" s="62">
        <v>0</v>
      </c>
      <c r="BY73" s="62">
        <v>-2.3E-2</v>
      </c>
      <c r="BZ73" s="62">
        <v>5.7500000000000002E-2</v>
      </c>
      <c r="CA73" s="62">
        <v>0.14499999999999999</v>
      </c>
      <c r="CB73" s="62">
        <v>5.0000000000000001E-3</v>
      </c>
      <c r="CC73" s="62">
        <v>-2.3E-2</v>
      </c>
      <c r="CD73" s="62">
        <v>3.5000000000000001E-3</v>
      </c>
      <c r="CE73" s="62">
        <v>2.5000000000000001E-3</v>
      </c>
      <c r="CF73" s="62">
        <v>0</v>
      </c>
      <c r="CG73" s="62">
        <v>-2.3E-2</v>
      </c>
      <c r="CH73" s="62">
        <v>3.5000000000000001E-3</v>
      </c>
      <c r="CI73" s="62">
        <v>-8.3500000000000005E-2</v>
      </c>
      <c r="CJ73" s="62">
        <v>2.5000000000000001E-3</v>
      </c>
      <c r="CK73" s="62">
        <v>7.7499999999999999E-2</v>
      </c>
      <c r="CL73" s="62">
        <v>2.5000000000000001E-3</v>
      </c>
      <c r="CM73" s="62">
        <v>-7.1999999999999995E-2</v>
      </c>
      <c r="CN73" s="62">
        <v>7.4999999999999997E-3</v>
      </c>
      <c r="CO73" s="62">
        <v>-1.7000000000000001E-2</v>
      </c>
      <c r="CP73" s="62">
        <v>5.0000000000000001E-3</v>
      </c>
      <c r="CQ73" s="62">
        <v>2.3E-2</v>
      </c>
      <c r="CR73" s="62">
        <v>7.4999999999999997E-3</v>
      </c>
      <c r="CS73" s="62">
        <v>0.37</v>
      </c>
      <c r="CT73" s="62">
        <v>3.5000000000000003E-2</v>
      </c>
      <c r="CU73" s="62">
        <v>-0.2</v>
      </c>
      <c r="CV73" s="62">
        <v>0</v>
      </c>
      <c r="CW73" s="62">
        <v>0.16500000000000001</v>
      </c>
      <c r="CX73" s="62">
        <v>7.4999999999999997E-3</v>
      </c>
      <c r="CY73" s="62">
        <v>-0.65</v>
      </c>
      <c r="CZ73" s="62">
        <v>0</v>
      </c>
      <c r="DA73" s="62">
        <v>-0.47</v>
      </c>
      <c r="DB73" s="62">
        <v>0</v>
      </c>
      <c r="DC73" s="62">
        <v>0.85</v>
      </c>
      <c r="DE73" s="62">
        <v>-0.05</v>
      </c>
      <c r="DF73" s="62">
        <v>0.01</v>
      </c>
      <c r="DG73" s="62">
        <v>1.2500000000000001E-2</v>
      </c>
      <c r="DH73" s="62">
        <v>0.01</v>
      </c>
      <c r="DI73" s="62">
        <v>-0.01</v>
      </c>
      <c r="DJ73" s="62">
        <v>7.4999999999999997E-3</v>
      </c>
      <c r="DK73" s="62">
        <v>-4.8500000000000001E-2</v>
      </c>
      <c r="DL73" s="62">
        <v>5.0000000000000001E-3</v>
      </c>
      <c r="DM73" s="62">
        <v>-6.5000000000000002E-2</v>
      </c>
      <c r="DN73" s="62">
        <v>2.5000000000000001E-3</v>
      </c>
      <c r="DO73" s="62">
        <v>-8.5000000000000006E-2</v>
      </c>
      <c r="DP73" s="62">
        <v>2.5000000000000001E-3</v>
      </c>
      <c r="DQ73" s="62">
        <v>-7.85E-2</v>
      </c>
      <c r="DR73" s="62">
        <v>-5.0000000000000001E-3</v>
      </c>
      <c r="DS73" s="62">
        <v>0.33500000000000002</v>
      </c>
      <c r="DT73" s="62">
        <v>5.0000000000000001E-3</v>
      </c>
      <c r="DU73" s="62">
        <v>1.0545000000000001E-3</v>
      </c>
      <c r="DV73" s="62">
        <v>0</v>
      </c>
    </row>
    <row r="74" spans="4:126" x14ac:dyDescent="0.25">
      <c r="D74" s="91">
        <v>38899</v>
      </c>
      <c r="F74" s="89">
        <v>3.4319999999999999</v>
      </c>
      <c r="G74" s="90">
        <v>5.2004985721710598E-2</v>
      </c>
      <c r="H74" s="89">
        <v>0.2475</v>
      </c>
      <c r="I74" s="89">
        <v>0.5</v>
      </c>
      <c r="J74" s="89">
        <v>0.5</v>
      </c>
      <c r="K74" s="89">
        <v>0.4</v>
      </c>
      <c r="L74" s="87">
        <v>0.5</v>
      </c>
      <c r="M74" s="87">
        <v>0.5</v>
      </c>
      <c r="N74" s="89">
        <v>0.5</v>
      </c>
      <c r="O74" s="89">
        <v>0.5</v>
      </c>
      <c r="P74" s="89">
        <v>0.5</v>
      </c>
      <c r="Q74" s="89">
        <v>0.5</v>
      </c>
      <c r="R74" s="90">
        <v>0.5</v>
      </c>
      <c r="S74" s="90">
        <v>0.55000000000000004</v>
      </c>
      <c r="T74" s="89">
        <v>0.5</v>
      </c>
      <c r="U74" s="89">
        <v>0.5</v>
      </c>
      <c r="V74" s="89">
        <v>0.6</v>
      </c>
      <c r="W74" s="89">
        <v>-0.09</v>
      </c>
      <c r="X74" s="89">
        <v>0</v>
      </c>
      <c r="Y74" s="89">
        <v>0.04</v>
      </c>
      <c r="Z74" s="89">
        <v>5.0000000000000001E-3</v>
      </c>
      <c r="AA74" s="89">
        <v>0.18</v>
      </c>
      <c r="AB74" s="89">
        <v>0</v>
      </c>
      <c r="AC74" s="89">
        <v>0.14499999999999999</v>
      </c>
      <c r="AD74" s="89">
        <v>0</v>
      </c>
      <c r="AE74" s="89">
        <v>0.18</v>
      </c>
      <c r="AF74" s="89">
        <v>0</v>
      </c>
      <c r="AG74" s="89">
        <v>0.13500000000000001</v>
      </c>
      <c r="AH74" s="89">
        <v>0</v>
      </c>
      <c r="AI74" s="89">
        <v>0.14499999999999999</v>
      </c>
      <c r="AJ74" s="89">
        <v>0</v>
      </c>
      <c r="AK74" s="89">
        <v>0.04</v>
      </c>
      <c r="AL74" s="89">
        <v>0.04</v>
      </c>
      <c r="AM74" s="89">
        <v>-6.25E-2</v>
      </c>
      <c r="AN74" s="89">
        <v>1.4999999999999999E-2</v>
      </c>
      <c r="AO74" s="89">
        <v>-0.42</v>
      </c>
      <c r="AP74" s="89">
        <v>0.155</v>
      </c>
      <c r="AQ74" s="89">
        <v>-5.7500000000000002E-2</v>
      </c>
      <c r="AR74" s="89">
        <v>0</v>
      </c>
      <c r="AS74" s="89">
        <v>-0.15</v>
      </c>
      <c r="AT74" s="89">
        <v>-1.4999999999999999E-2</v>
      </c>
      <c r="AU74" s="89">
        <v>-0.11</v>
      </c>
      <c r="AV74" s="89">
        <v>0.02</v>
      </c>
      <c r="AW74" s="89">
        <v>-6.7500000000000004E-2</v>
      </c>
      <c r="AX74" s="89">
        <v>0.01</v>
      </c>
      <c r="AY74" s="90">
        <v>0.125</v>
      </c>
      <c r="AZ74" s="90">
        <v>0</v>
      </c>
      <c r="BA74" s="90">
        <v>-0.19500000000000001</v>
      </c>
      <c r="BB74" s="89">
        <v>2.5000000000000001E-3</v>
      </c>
      <c r="BC74" s="89">
        <v>-7.4999999999999997E-2</v>
      </c>
      <c r="BD74" s="89">
        <v>5.0000000000000001E-3</v>
      </c>
      <c r="BE74" s="89">
        <v>0.26</v>
      </c>
      <c r="BF74" s="89">
        <v>3.2000000000000001E-2</v>
      </c>
      <c r="BG74" s="89">
        <v>-6.5000000000000002E-2</v>
      </c>
      <c r="BH74" s="89">
        <v>0</v>
      </c>
      <c r="BI74" s="89">
        <v>0.06</v>
      </c>
      <c r="BJ74" s="62">
        <v>0.03</v>
      </c>
      <c r="BK74" s="62">
        <v>0.26</v>
      </c>
      <c r="BL74" s="62">
        <v>3.2000000000000001E-2</v>
      </c>
      <c r="BM74" s="62">
        <v>-0.2</v>
      </c>
      <c r="BN74" s="62">
        <v>0</v>
      </c>
      <c r="BO74" s="62">
        <v>-0.39</v>
      </c>
      <c r="BP74" s="62">
        <v>0.02</v>
      </c>
      <c r="BQ74" s="62">
        <v>0.5</v>
      </c>
      <c r="BR74" s="62">
        <v>3.2000000000000001E-2</v>
      </c>
      <c r="BS74" s="62">
        <v>-7.4999999999999997E-2</v>
      </c>
      <c r="BT74" s="62">
        <v>5.0000000000000001E-3</v>
      </c>
      <c r="BU74" s="62">
        <v>0.3</v>
      </c>
      <c r="BV74" s="62">
        <v>0</v>
      </c>
      <c r="BW74" s="62">
        <v>0.26</v>
      </c>
      <c r="BX74" s="62">
        <v>0</v>
      </c>
      <c r="BY74" s="62">
        <v>-2.3E-2</v>
      </c>
      <c r="BZ74" s="62">
        <v>5.7500000000000002E-2</v>
      </c>
      <c r="CA74" s="62">
        <v>0.15</v>
      </c>
      <c r="CB74" s="62">
        <v>5.0000000000000001E-3</v>
      </c>
      <c r="CC74" s="62">
        <v>-2.3E-2</v>
      </c>
      <c r="CD74" s="62">
        <v>3.5000000000000001E-3</v>
      </c>
      <c r="CE74" s="62">
        <v>2.5000000000000001E-3</v>
      </c>
      <c r="CF74" s="62">
        <v>0</v>
      </c>
      <c r="CG74" s="62">
        <v>-2.3E-2</v>
      </c>
      <c r="CH74" s="62">
        <v>3.5000000000000001E-3</v>
      </c>
      <c r="CI74" s="62">
        <v>-8.1000000000000003E-2</v>
      </c>
      <c r="CJ74" s="62">
        <v>2.5000000000000001E-3</v>
      </c>
      <c r="CK74" s="62">
        <v>7.7499999999999999E-2</v>
      </c>
      <c r="CL74" s="62">
        <v>2.5000000000000001E-3</v>
      </c>
      <c r="CM74" s="62">
        <v>-7.1999999999999995E-2</v>
      </c>
      <c r="CN74" s="62">
        <v>7.4999999999999997E-3</v>
      </c>
      <c r="CO74" s="62">
        <v>-1.7000000000000001E-2</v>
      </c>
      <c r="CP74" s="62">
        <v>5.0000000000000001E-3</v>
      </c>
      <c r="CQ74" s="62">
        <v>2.3E-2</v>
      </c>
      <c r="CR74" s="62">
        <v>7.4999999999999997E-3</v>
      </c>
      <c r="CS74" s="62">
        <v>0.41</v>
      </c>
      <c r="CT74" s="62">
        <v>3.5000000000000003E-2</v>
      </c>
      <c r="CU74" s="62">
        <v>-0.2</v>
      </c>
      <c r="CV74" s="62">
        <v>0</v>
      </c>
      <c r="CW74" s="62">
        <v>0.20499999999999999</v>
      </c>
      <c r="CX74" s="62">
        <v>7.4999999999999997E-3</v>
      </c>
      <c r="CY74" s="62">
        <v>-0.65</v>
      </c>
      <c r="CZ74" s="62">
        <v>0</v>
      </c>
      <c r="DA74" s="62">
        <v>-0.47</v>
      </c>
      <c r="DB74" s="62">
        <v>0</v>
      </c>
      <c r="DC74" s="62">
        <v>1.05</v>
      </c>
      <c r="DE74" s="62">
        <v>-0.05</v>
      </c>
      <c r="DF74" s="62">
        <v>0.01</v>
      </c>
      <c r="DG74" s="62">
        <v>1.2500000000000001E-2</v>
      </c>
      <c r="DH74" s="62">
        <v>0.01</v>
      </c>
      <c r="DI74" s="62">
        <v>-0.01</v>
      </c>
      <c r="DJ74" s="62">
        <v>7.4999999999999997E-3</v>
      </c>
      <c r="DK74" s="62">
        <v>-5.8500000000000003E-2</v>
      </c>
      <c r="DL74" s="62">
        <v>5.0000000000000001E-3</v>
      </c>
      <c r="DM74" s="62">
        <v>-6.5000000000000002E-2</v>
      </c>
      <c r="DN74" s="62">
        <v>2.5000000000000001E-3</v>
      </c>
      <c r="DO74" s="62">
        <v>-8.5000000000000006E-2</v>
      </c>
      <c r="DP74" s="62">
        <v>2.5000000000000001E-3</v>
      </c>
      <c r="DQ74" s="62">
        <v>-8.8499999999999995E-2</v>
      </c>
      <c r="DR74" s="62">
        <v>-5.0000000000000001E-3</v>
      </c>
      <c r="DS74" s="62">
        <v>0.35</v>
      </c>
      <c r="DT74" s="62">
        <v>5.0000000000000001E-3</v>
      </c>
      <c r="DU74" s="62">
        <v>5.9250000000000296E-4</v>
      </c>
      <c r="DV74" s="62">
        <v>0</v>
      </c>
    </row>
    <row r="75" spans="4:126" x14ac:dyDescent="0.25">
      <c r="D75" s="91">
        <v>38930</v>
      </c>
      <c r="F75" s="89">
        <v>3.472</v>
      </c>
      <c r="G75" s="90">
        <v>5.2327166392949202E-2</v>
      </c>
      <c r="H75" s="89">
        <v>0.2475</v>
      </c>
      <c r="I75" s="89">
        <v>0.55000000000000004</v>
      </c>
      <c r="J75" s="89">
        <v>0.55000000000000004</v>
      </c>
      <c r="K75" s="89">
        <v>0.5</v>
      </c>
      <c r="L75" s="87">
        <v>0.6</v>
      </c>
      <c r="M75" s="87">
        <v>0.55000000000000004</v>
      </c>
      <c r="N75" s="89">
        <v>0.6</v>
      </c>
      <c r="O75" s="89">
        <v>0.55000000000000004</v>
      </c>
      <c r="P75" s="89">
        <v>0.6</v>
      </c>
      <c r="Q75" s="89">
        <v>0.45</v>
      </c>
      <c r="R75" s="90">
        <v>0.55000000000000004</v>
      </c>
      <c r="S75" s="90">
        <v>0.6</v>
      </c>
      <c r="T75" s="89">
        <v>0.55000000000000004</v>
      </c>
      <c r="U75" s="89">
        <v>0.6</v>
      </c>
      <c r="V75" s="89">
        <v>0.7</v>
      </c>
      <c r="W75" s="89">
        <v>-0.09</v>
      </c>
      <c r="X75" s="89">
        <v>0</v>
      </c>
      <c r="Y75" s="89">
        <v>0.04</v>
      </c>
      <c r="Z75" s="89">
        <v>5.0000000000000001E-3</v>
      </c>
      <c r="AA75" s="89">
        <v>0.18</v>
      </c>
      <c r="AB75" s="89">
        <v>0</v>
      </c>
      <c r="AC75" s="89">
        <v>0.14499999999999999</v>
      </c>
      <c r="AD75" s="89">
        <v>0</v>
      </c>
      <c r="AE75" s="89">
        <v>0.18</v>
      </c>
      <c r="AF75" s="89">
        <v>0</v>
      </c>
      <c r="AG75" s="89">
        <v>0.13500000000000001</v>
      </c>
      <c r="AH75" s="89">
        <v>0</v>
      </c>
      <c r="AI75" s="89">
        <v>0.14499999999999999</v>
      </c>
      <c r="AJ75" s="89">
        <v>0</v>
      </c>
      <c r="AK75" s="89">
        <v>0.04</v>
      </c>
      <c r="AL75" s="89">
        <v>0.04</v>
      </c>
      <c r="AM75" s="89">
        <v>-6.25E-2</v>
      </c>
      <c r="AN75" s="89">
        <v>1.4999999999999999E-2</v>
      </c>
      <c r="AO75" s="89">
        <v>-0.42</v>
      </c>
      <c r="AP75" s="89">
        <v>0.155</v>
      </c>
      <c r="AQ75" s="89">
        <v>-5.7500000000000002E-2</v>
      </c>
      <c r="AR75" s="89">
        <v>0</v>
      </c>
      <c r="AS75" s="89">
        <v>-0.15</v>
      </c>
      <c r="AT75" s="89">
        <v>-1.4999999999999999E-2</v>
      </c>
      <c r="AU75" s="89">
        <v>-0.11</v>
      </c>
      <c r="AV75" s="89">
        <v>0.02</v>
      </c>
      <c r="AW75" s="89">
        <v>-6.7500000000000004E-2</v>
      </c>
      <c r="AX75" s="89">
        <v>0.01</v>
      </c>
      <c r="AY75" s="90">
        <v>0.125</v>
      </c>
      <c r="AZ75" s="90">
        <v>0</v>
      </c>
      <c r="BA75" s="90">
        <v>-0.19500000000000001</v>
      </c>
      <c r="BB75" s="89">
        <v>2.5000000000000001E-3</v>
      </c>
      <c r="BC75" s="89">
        <v>-7.4999999999999997E-2</v>
      </c>
      <c r="BD75" s="89">
        <v>5.0000000000000001E-3</v>
      </c>
      <c r="BE75" s="89">
        <v>0.26</v>
      </c>
      <c r="BF75" s="89">
        <v>3.2000000000000001E-2</v>
      </c>
      <c r="BG75" s="89">
        <v>-6.5000000000000002E-2</v>
      </c>
      <c r="BH75" s="89">
        <v>0</v>
      </c>
      <c r="BI75" s="89">
        <v>0.06</v>
      </c>
      <c r="BJ75" s="62">
        <v>0.03</v>
      </c>
      <c r="BK75" s="62">
        <v>0.26</v>
      </c>
      <c r="BL75" s="62">
        <v>3.2000000000000001E-2</v>
      </c>
      <c r="BM75" s="62">
        <v>-0.2</v>
      </c>
      <c r="BN75" s="62">
        <v>0</v>
      </c>
      <c r="BO75" s="62">
        <v>-0.39</v>
      </c>
      <c r="BP75" s="62">
        <v>0.02</v>
      </c>
      <c r="BQ75" s="62">
        <v>0.5</v>
      </c>
      <c r="BR75" s="62">
        <v>3.2000000000000001E-2</v>
      </c>
      <c r="BS75" s="62">
        <v>-7.4999999999999997E-2</v>
      </c>
      <c r="BT75" s="62">
        <v>5.0000000000000001E-3</v>
      </c>
      <c r="BU75" s="62">
        <v>0.3</v>
      </c>
      <c r="BV75" s="62">
        <v>0</v>
      </c>
      <c r="BW75" s="62">
        <v>0.26</v>
      </c>
      <c r="BX75" s="62">
        <v>0</v>
      </c>
      <c r="BY75" s="62">
        <v>-2.3E-2</v>
      </c>
      <c r="BZ75" s="62">
        <v>5.7500000000000002E-2</v>
      </c>
      <c r="CA75" s="62">
        <v>0.15</v>
      </c>
      <c r="CB75" s="62">
        <v>5.0000000000000001E-3</v>
      </c>
      <c r="CC75" s="62">
        <v>-2.3E-2</v>
      </c>
      <c r="CD75" s="62">
        <v>3.5000000000000001E-3</v>
      </c>
      <c r="CE75" s="62">
        <v>2.5000000000000001E-3</v>
      </c>
      <c r="CF75" s="62">
        <v>0</v>
      </c>
      <c r="CG75" s="62">
        <v>-2.3E-2</v>
      </c>
      <c r="CH75" s="62">
        <v>3.5000000000000001E-3</v>
      </c>
      <c r="CI75" s="62">
        <v>-7.85E-2</v>
      </c>
      <c r="CJ75" s="62">
        <v>2.5000000000000001E-3</v>
      </c>
      <c r="CK75" s="62">
        <v>7.7499999999999999E-2</v>
      </c>
      <c r="CL75" s="62">
        <v>2.5000000000000001E-3</v>
      </c>
      <c r="CM75" s="62">
        <v>-7.1999999999999995E-2</v>
      </c>
      <c r="CN75" s="62">
        <v>7.4999999999999997E-3</v>
      </c>
      <c r="CO75" s="62">
        <v>-1.7000000000000001E-2</v>
      </c>
      <c r="CP75" s="62">
        <v>5.0000000000000001E-3</v>
      </c>
      <c r="CQ75" s="62">
        <v>2.3E-2</v>
      </c>
      <c r="CR75" s="62">
        <v>7.4999999999999997E-3</v>
      </c>
      <c r="CS75" s="62">
        <v>0.41</v>
      </c>
      <c r="CT75" s="62">
        <v>0.01</v>
      </c>
      <c r="CU75" s="62">
        <v>-0.2</v>
      </c>
      <c r="CV75" s="62">
        <v>0</v>
      </c>
      <c r="CW75" s="62">
        <v>0.20499999999999999</v>
      </c>
      <c r="CX75" s="62">
        <v>7.4999999999999997E-3</v>
      </c>
      <c r="CY75" s="62">
        <v>-0.65</v>
      </c>
      <c r="CZ75" s="62">
        <v>0</v>
      </c>
      <c r="DA75" s="62">
        <v>-0.47</v>
      </c>
      <c r="DB75" s="62">
        <v>0</v>
      </c>
      <c r="DC75" s="62">
        <v>1.05</v>
      </c>
      <c r="DE75" s="62">
        <v>-0.05</v>
      </c>
      <c r="DF75" s="62">
        <v>0.01</v>
      </c>
      <c r="DG75" s="62">
        <v>7.4999999999999997E-3</v>
      </c>
      <c r="DH75" s="62">
        <v>0.01</v>
      </c>
      <c r="DI75" s="62">
        <v>-1.4999999999999999E-2</v>
      </c>
      <c r="DJ75" s="62">
        <v>7.4999999999999997E-3</v>
      </c>
      <c r="DK75" s="62">
        <v>-5.3499999999999999E-2</v>
      </c>
      <c r="DL75" s="62">
        <v>5.0000000000000001E-3</v>
      </c>
      <c r="DM75" s="62">
        <v>-6.5000000000000002E-2</v>
      </c>
      <c r="DN75" s="62">
        <v>2.5000000000000001E-3</v>
      </c>
      <c r="DO75" s="62">
        <v>-8.5000000000000006E-2</v>
      </c>
      <c r="DP75" s="62">
        <v>2.5000000000000001E-3</v>
      </c>
      <c r="DQ75" s="62">
        <v>-8.3500000000000005E-2</v>
      </c>
      <c r="DR75" s="62">
        <v>-5.0000000000000001E-3</v>
      </c>
      <c r="DS75" s="62">
        <v>0.35</v>
      </c>
      <c r="DT75" s="62">
        <v>-5.0000000000000001E-3</v>
      </c>
      <c r="DU75" s="62">
        <v>1.3050000000000599E-4</v>
      </c>
      <c r="DV75" s="62">
        <v>0</v>
      </c>
    </row>
    <row r="76" spans="4:126" x14ac:dyDescent="0.25">
      <c r="D76" s="91">
        <v>38961</v>
      </c>
      <c r="F76" s="89">
        <v>3.4670000000000001</v>
      </c>
      <c r="G76" s="90">
        <v>5.2649347098806303E-2</v>
      </c>
      <c r="H76" s="89">
        <v>0.2475</v>
      </c>
      <c r="I76" s="89">
        <v>0.55000000000000004</v>
      </c>
      <c r="J76" s="89">
        <v>0.55000000000000004</v>
      </c>
      <c r="K76" s="89">
        <v>0.55000000000000004</v>
      </c>
      <c r="L76" s="87">
        <v>0.55000000000000004</v>
      </c>
      <c r="M76" s="87">
        <v>0.55000000000000004</v>
      </c>
      <c r="N76" s="89">
        <v>0.6</v>
      </c>
      <c r="O76" s="89">
        <v>0.6</v>
      </c>
      <c r="P76" s="89">
        <v>0.55000000000000004</v>
      </c>
      <c r="Q76" s="89">
        <v>0.5</v>
      </c>
      <c r="R76" s="90">
        <v>0.55000000000000004</v>
      </c>
      <c r="S76" s="90">
        <v>0.6</v>
      </c>
      <c r="T76" s="89">
        <v>0.55000000000000004</v>
      </c>
      <c r="U76" s="89">
        <v>0.6</v>
      </c>
      <c r="V76" s="89">
        <v>0.65</v>
      </c>
      <c r="W76" s="89">
        <v>-0.09</v>
      </c>
      <c r="X76" s="89">
        <v>0</v>
      </c>
      <c r="Y76" s="89">
        <v>0.04</v>
      </c>
      <c r="Z76" s="89">
        <v>5.0000000000000001E-3</v>
      </c>
      <c r="AA76" s="89">
        <v>0.18</v>
      </c>
      <c r="AB76" s="89">
        <v>0</v>
      </c>
      <c r="AC76" s="89">
        <v>0.14499999999999999</v>
      </c>
      <c r="AD76" s="89">
        <v>0</v>
      </c>
      <c r="AE76" s="89">
        <v>0.18</v>
      </c>
      <c r="AF76" s="89">
        <v>0</v>
      </c>
      <c r="AG76" s="89">
        <v>0.13500000000000001</v>
      </c>
      <c r="AH76" s="89">
        <v>0</v>
      </c>
      <c r="AI76" s="89">
        <v>0.14499999999999999</v>
      </c>
      <c r="AJ76" s="89">
        <v>0</v>
      </c>
      <c r="AK76" s="89">
        <v>0.04</v>
      </c>
      <c r="AL76" s="89">
        <v>0.04</v>
      </c>
      <c r="AM76" s="89">
        <v>-6.25E-2</v>
      </c>
      <c r="AN76" s="89">
        <v>1.4999999999999999E-2</v>
      </c>
      <c r="AO76" s="89">
        <v>-0.42</v>
      </c>
      <c r="AP76" s="89">
        <v>0.155</v>
      </c>
      <c r="AQ76" s="89">
        <v>-5.7500000000000002E-2</v>
      </c>
      <c r="AR76" s="89">
        <v>0</v>
      </c>
      <c r="AS76" s="89">
        <v>-0.15</v>
      </c>
      <c r="AT76" s="89">
        <v>-1.4999999999999999E-2</v>
      </c>
      <c r="AU76" s="89">
        <v>-0.11</v>
      </c>
      <c r="AV76" s="89">
        <v>0.02</v>
      </c>
      <c r="AW76" s="89">
        <v>-6.7500000000000004E-2</v>
      </c>
      <c r="AX76" s="89">
        <v>0.01</v>
      </c>
      <c r="AY76" s="90">
        <v>0.125</v>
      </c>
      <c r="AZ76" s="90">
        <v>0</v>
      </c>
      <c r="BA76" s="90">
        <v>-0.19500000000000001</v>
      </c>
      <c r="BB76" s="89">
        <v>2.5000000000000001E-3</v>
      </c>
      <c r="BC76" s="89">
        <v>-7.4999999999999997E-2</v>
      </c>
      <c r="BD76" s="89">
        <v>5.0000000000000001E-3</v>
      </c>
      <c r="BE76" s="89">
        <v>0.26</v>
      </c>
      <c r="BF76" s="89">
        <v>3.2000000000000001E-2</v>
      </c>
      <c r="BG76" s="89">
        <v>-6.5000000000000002E-2</v>
      </c>
      <c r="BH76" s="89">
        <v>0</v>
      </c>
      <c r="BI76" s="89">
        <v>0.06</v>
      </c>
      <c r="BJ76" s="62">
        <v>0.03</v>
      </c>
      <c r="BK76" s="62">
        <v>0.26</v>
      </c>
      <c r="BL76" s="62">
        <v>3.2000000000000001E-2</v>
      </c>
      <c r="BM76" s="62">
        <v>-0.2</v>
      </c>
      <c r="BN76" s="62">
        <v>0</v>
      </c>
      <c r="BO76" s="62">
        <v>-0.39</v>
      </c>
      <c r="BP76" s="62">
        <v>0.02</v>
      </c>
      <c r="BQ76" s="62">
        <v>0.5</v>
      </c>
      <c r="BR76" s="62">
        <v>3.2000000000000001E-2</v>
      </c>
      <c r="BS76" s="62">
        <v>-7.4999999999999997E-2</v>
      </c>
      <c r="BT76" s="62">
        <v>5.0000000000000001E-3</v>
      </c>
      <c r="BU76" s="62">
        <v>0.3</v>
      </c>
      <c r="BV76" s="62">
        <v>0</v>
      </c>
      <c r="BW76" s="62">
        <v>0.26</v>
      </c>
      <c r="BX76" s="62">
        <v>0</v>
      </c>
      <c r="BY76" s="62">
        <v>-2.3E-2</v>
      </c>
      <c r="BZ76" s="62">
        <v>5.7500000000000002E-2</v>
      </c>
      <c r="CA76" s="62">
        <v>0.125</v>
      </c>
      <c r="CB76" s="62">
        <v>5.0000000000000001E-3</v>
      </c>
      <c r="CC76" s="62">
        <v>-2.3E-2</v>
      </c>
      <c r="CD76" s="62">
        <v>3.5000000000000001E-3</v>
      </c>
      <c r="CE76" s="62">
        <v>2.5000000000000001E-3</v>
      </c>
      <c r="CF76" s="62">
        <v>0</v>
      </c>
      <c r="CG76" s="62">
        <v>-2.3E-2</v>
      </c>
      <c r="CH76" s="62">
        <v>3.5000000000000001E-3</v>
      </c>
      <c r="CI76" s="62">
        <v>-8.3500000000000005E-2</v>
      </c>
      <c r="CJ76" s="62">
        <v>2.5000000000000001E-3</v>
      </c>
      <c r="CK76" s="62">
        <v>7.7499999999999999E-2</v>
      </c>
      <c r="CL76" s="62">
        <v>2.5000000000000001E-3</v>
      </c>
      <c r="CM76" s="62">
        <v>-7.1999999999999995E-2</v>
      </c>
      <c r="CN76" s="62">
        <v>7.4999999999999997E-3</v>
      </c>
      <c r="CO76" s="62">
        <v>-1.7000000000000001E-2</v>
      </c>
      <c r="CP76" s="62">
        <v>5.0000000000000001E-3</v>
      </c>
      <c r="CQ76" s="62">
        <v>2.3E-2</v>
      </c>
      <c r="CR76" s="62">
        <v>7.4999999999999997E-3</v>
      </c>
      <c r="CS76" s="62">
        <v>0.36</v>
      </c>
      <c r="CT76" s="62">
        <v>0.01</v>
      </c>
      <c r="CU76" s="62">
        <v>-0.2</v>
      </c>
      <c r="CV76" s="62">
        <v>0</v>
      </c>
      <c r="CW76" s="62">
        <v>0.14499999999999999</v>
      </c>
      <c r="CX76" s="62">
        <v>7.4999999999999997E-3</v>
      </c>
      <c r="CY76" s="62">
        <v>-0.65</v>
      </c>
      <c r="CZ76" s="62">
        <v>0</v>
      </c>
      <c r="DA76" s="62">
        <v>-0.47</v>
      </c>
      <c r="DB76" s="62">
        <v>0</v>
      </c>
      <c r="DC76" s="62">
        <v>0.75</v>
      </c>
      <c r="DE76" s="62">
        <v>-5.5E-2</v>
      </c>
      <c r="DF76" s="62">
        <v>0.01</v>
      </c>
      <c r="DG76" s="62">
        <v>7.4999999999999997E-3</v>
      </c>
      <c r="DH76" s="62">
        <v>0.01</v>
      </c>
      <c r="DI76" s="62">
        <v>-1.4999999999999999E-2</v>
      </c>
      <c r="DJ76" s="62">
        <v>7.4999999999999997E-3</v>
      </c>
      <c r="DK76" s="62">
        <v>-6.3500000000000001E-2</v>
      </c>
      <c r="DL76" s="62">
        <v>5.0000000000000001E-3</v>
      </c>
      <c r="DM76" s="62">
        <v>-6.5000000000000002E-2</v>
      </c>
      <c r="DN76" s="62">
        <v>2.5000000000000001E-3</v>
      </c>
      <c r="DO76" s="62">
        <v>-8.5000000000000006E-2</v>
      </c>
      <c r="DP76" s="62">
        <v>2.5000000000000001E-3</v>
      </c>
      <c r="DQ76" s="62">
        <v>-9.35E-2</v>
      </c>
      <c r="DR76" s="62">
        <v>-5.0000000000000001E-3</v>
      </c>
      <c r="DS76" s="62">
        <v>0.315</v>
      </c>
      <c r="DT76" s="62">
        <v>-5.0000000000000001E-3</v>
      </c>
      <c r="DU76" s="62">
        <v>3.1750000000000501E-4</v>
      </c>
      <c r="DV76" s="62">
        <v>0</v>
      </c>
    </row>
    <row r="77" spans="4:126" x14ac:dyDescent="0.25">
      <c r="D77" s="91">
        <v>38991</v>
      </c>
      <c r="F77" s="89">
        <v>3.492</v>
      </c>
      <c r="G77" s="90">
        <v>5.2961134911624401E-2</v>
      </c>
      <c r="H77" s="89">
        <v>0.2475</v>
      </c>
      <c r="I77" s="89">
        <v>0.6</v>
      </c>
      <c r="J77" s="89">
        <v>0.6</v>
      </c>
      <c r="K77" s="89">
        <v>0.55000000000000004</v>
      </c>
      <c r="L77" s="87">
        <v>0.6</v>
      </c>
      <c r="M77" s="87">
        <v>0.6</v>
      </c>
      <c r="N77" s="89">
        <v>0.65</v>
      </c>
      <c r="O77" s="89">
        <v>0.65</v>
      </c>
      <c r="P77" s="89">
        <v>0.6</v>
      </c>
      <c r="Q77" s="89">
        <v>0.5</v>
      </c>
      <c r="R77" s="90">
        <v>0.6</v>
      </c>
      <c r="S77" s="90">
        <v>0.65</v>
      </c>
      <c r="T77" s="89">
        <v>0.6</v>
      </c>
      <c r="U77" s="89">
        <v>0.65</v>
      </c>
      <c r="V77" s="89">
        <v>0.7</v>
      </c>
      <c r="W77" s="89">
        <v>-0.09</v>
      </c>
      <c r="X77" s="89">
        <v>0</v>
      </c>
      <c r="Y77" s="89">
        <v>0.04</v>
      </c>
      <c r="Z77" s="89">
        <v>5.0000000000000001E-3</v>
      </c>
      <c r="AA77" s="89">
        <v>0.18</v>
      </c>
      <c r="AB77" s="89">
        <v>0</v>
      </c>
      <c r="AC77" s="89">
        <v>0.14499999999999999</v>
      </c>
      <c r="AD77" s="89">
        <v>0</v>
      </c>
      <c r="AE77" s="89">
        <v>0.18</v>
      </c>
      <c r="AF77" s="89">
        <v>0</v>
      </c>
      <c r="AG77" s="89">
        <v>0.13500000000000001</v>
      </c>
      <c r="AH77" s="89">
        <v>0</v>
      </c>
      <c r="AI77" s="89">
        <v>0.14499999999999999</v>
      </c>
      <c r="AJ77" s="89">
        <v>0</v>
      </c>
      <c r="AK77" s="89">
        <v>0.04</v>
      </c>
      <c r="AL77" s="89">
        <v>0.04</v>
      </c>
      <c r="AM77" s="89">
        <v>-6.25E-2</v>
      </c>
      <c r="AN77" s="89">
        <v>1.4999999999999999E-2</v>
      </c>
      <c r="AO77" s="89">
        <v>-0.42</v>
      </c>
      <c r="AP77" s="89">
        <v>0.155</v>
      </c>
      <c r="AQ77" s="89">
        <v>-5.7500000000000002E-2</v>
      </c>
      <c r="AR77" s="89">
        <v>0</v>
      </c>
      <c r="AS77" s="89">
        <v>-0.15</v>
      </c>
      <c r="AT77" s="89">
        <v>-1.4999999999999999E-2</v>
      </c>
      <c r="AU77" s="89">
        <v>-0.11</v>
      </c>
      <c r="AV77" s="89">
        <v>0.02</v>
      </c>
      <c r="AW77" s="89">
        <v>-6.7500000000000004E-2</v>
      </c>
      <c r="AX77" s="89">
        <v>0.01</v>
      </c>
      <c r="AY77" s="90">
        <v>0.125</v>
      </c>
      <c r="AZ77" s="90">
        <v>0</v>
      </c>
      <c r="BA77" s="90">
        <v>-0.19500000000000001</v>
      </c>
      <c r="BB77" s="89">
        <v>2.5000000000000001E-3</v>
      </c>
      <c r="BC77" s="89">
        <v>-7.4999999999999997E-2</v>
      </c>
      <c r="BD77" s="89">
        <v>5.0000000000000001E-3</v>
      </c>
      <c r="BE77" s="89">
        <v>0.26</v>
      </c>
      <c r="BF77" s="89">
        <v>3.2000000000000001E-2</v>
      </c>
      <c r="BG77" s="89">
        <v>-6.5000000000000002E-2</v>
      </c>
      <c r="BH77" s="89">
        <v>0</v>
      </c>
      <c r="BI77" s="89">
        <v>0.06</v>
      </c>
      <c r="BJ77" s="62">
        <v>0.03</v>
      </c>
      <c r="BK77" s="62">
        <v>0.26</v>
      </c>
      <c r="BL77" s="62">
        <v>3.2000000000000001E-2</v>
      </c>
      <c r="BM77" s="62">
        <v>-0.2</v>
      </c>
      <c r="BN77" s="62">
        <v>0</v>
      </c>
      <c r="BO77" s="62">
        <v>-0.39</v>
      </c>
      <c r="BP77" s="62">
        <v>0.02</v>
      </c>
      <c r="BQ77" s="62">
        <v>0.5</v>
      </c>
      <c r="BR77" s="62">
        <v>3.2000000000000001E-2</v>
      </c>
      <c r="BS77" s="62">
        <v>-7.4999999999999997E-2</v>
      </c>
      <c r="BT77" s="62">
        <v>5.0000000000000001E-3</v>
      </c>
      <c r="BU77" s="62">
        <v>0.3</v>
      </c>
      <c r="BV77" s="62">
        <v>0</v>
      </c>
      <c r="BW77" s="62">
        <v>0.26</v>
      </c>
      <c r="BX77" s="62">
        <v>0</v>
      </c>
      <c r="BY77" s="62">
        <v>-2.3E-2</v>
      </c>
      <c r="BZ77" s="62">
        <v>5.7500000000000002E-2</v>
      </c>
      <c r="CA77" s="62">
        <v>0.14499999999999999</v>
      </c>
      <c r="CB77" s="62">
        <v>5.0000000000000001E-3</v>
      </c>
      <c r="CC77" s="62">
        <v>-2.3E-2</v>
      </c>
      <c r="CD77" s="62">
        <v>3.5000000000000001E-3</v>
      </c>
      <c r="CE77" s="62">
        <v>2.5000000000000001E-3</v>
      </c>
      <c r="CF77" s="62">
        <v>0</v>
      </c>
      <c r="CG77" s="62">
        <v>-2.3E-2</v>
      </c>
      <c r="CH77" s="62">
        <v>3.5000000000000001E-3</v>
      </c>
      <c r="CI77" s="62">
        <v>-8.5999999999999993E-2</v>
      </c>
      <c r="CJ77" s="62">
        <v>2.5000000000000001E-3</v>
      </c>
      <c r="CK77" s="62">
        <v>7.7499999999999999E-2</v>
      </c>
      <c r="CL77" s="62">
        <v>2.5000000000000001E-3</v>
      </c>
      <c r="CM77" s="62">
        <v>-7.1999999999999995E-2</v>
      </c>
      <c r="CN77" s="62">
        <v>7.4999999999999997E-3</v>
      </c>
      <c r="CO77" s="62">
        <v>-1.7000000000000001E-2</v>
      </c>
      <c r="CP77" s="62">
        <v>5.0000000000000001E-3</v>
      </c>
      <c r="CQ77" s="62">
        <v>2.3E-2</v>
      </c>
      <c r="CR77" s="62">
        <v>7.4999999999999997E-3</v>
      </c>
      <c r="CS77" s="62">
        <v>0.4</v>
      </c>
      <c r="CT77" s="62">
        <v>0.01</v>
      </c>
      <c r="CU77" s="62">
        <v>-0.2</v>
      </c>
      <c r="CV77" s="62">
        <v>0</v>
      </c>
      <c r="CW77" s="62">
        <v>0.17499999999999999</v>
      </c>
      <c r="CX77" s="62">
        <v>7.4999999999999997E-3</v>
      </c>
      <c r="CY77" s="62">
        <v>-0.65</v>
      </c>
      <c r="CZ77" s="62">
        <v>0</v>
      </c>
      <c r="DA77" s="62">
        <v>-0.47</v>
      </c>
      <c r="DB77" s="62">
        <v>0</v>
      </c>
      <c r="DC77" s="62">
        <v>0.45</v>
      </c>
      <c r="DE77" s="62">
        <v>-5.5E-2</v>
      </c>
      <c r="DF77" s="62">
        <v>0.01</v>
      </c>
      <c r="DG77" s="62">
        <v>5.0000000000000001E-3</v>
      </c>
      <c r="DH77" s="62">
        <v>0.01</v>
      </c>
      <c r="DI77" s="62">
        <v>-1.7500000000000002E-2</v>
      </c>
      <c r="DJ77" s="62">
        <v>7.4999999999999997E-3</v>
      </c>
      <c r="DK77" s="62">
        <v>-5.0999999999999997E-2</v>
      </c>
      <c r="DL77" s="62">
        <v>5.0000000000000001E-3</v>
      </c>
      <c r="DM77" s="62">
        <v>-6.5000000000000002E-2</v>
      </c>
      <c r="DN77" s="62">
        <v>2.5000000000000001E-3</v>
      </c>
      <c r="DO77" s="62">
        <v>-8.5000000000000006E-2</v>
      </c>
      <c r="DP77" s="62">
        <v>2.5000000000000001E-3</v>
      </c>
      <c r="DQ77" s="62">
        <v>-8.1000000000000003E-2</v>
      </c>
      <c r="DR77" s="62">
        <v>-5.0000000000000001E-3</v>
      </c>
      <c r="DS77" s="62">
        <v>0.36</v>
      </c>
      <c r="DT77" s="62">
        <v>-5.0000000000000001E-3</v>
      </c>
      <c r="DU77" s="62">
        <v>1.7450000000000801E-4</v>
      </c>
      <c r="DV77" s="62">
        <v>0</v>
      </c>
    </row>
    <row r="78" spans="4:126" x14ac:dyDescent="0.25">
      <c r="D78" s="91">
        <v>39022</v>
      </c>
      <c r="F78" s="89">
        <v>3.6440000000000001</v>
      </c>
      <c r="G78" s="90">
        <v>5.3283315685584802E-2</v>
      </c>
      <c r="H78" s="89">
        <v>0.2475</v>
      </c>
      <c r="I78" s="89">
        <v>0.8</v>
      </c>
      <c r="J78" s="89">
        <v>0.85</v>
      </c>
      <c r="K78" s="89">
        <v>0.8</v>
      </c>
      <c r="L78" s="87">
        <v>0.8</v>
      </c>
      <c r="M78" s="87">
        <v>0.9</v>
      </c>
      <c r="N78" s="89">
        <v>0.95</v>
      </c>
      <c r="O78" s="89">
        <v>0.85</v>
      </c>
      <c r="P78" s="89">
        <v>0.8</v>
      </c>
      <c r="Q78" s="89">
        <v>0.95</v>
      </c>
      <c r="R78" s="90">
        <v>0.8</v>
      </c>
      <c r="S78" s="90">
        <v>0.8</v>
      </c>
      <c r="T78" s="89">
        <v>0.8</v>
      </c>
      <c r="U78" s="89">
        <v>0.95</v>
      </c>
      <c r="V78" s="89">
        <v>0.9</v>
      </c>
      <c r="W78" s="89">
        <v>0</v>
      </c>
      <c r="X78" s="89">
        <v>0.03</v>
      </c>
      <c r="Y78" s="89">
        <v>0.13</v>
      </c>
      <c r="Z78" s="89">
        <v>0.02</v>
      </c>
      <c r="AA78" s="89">
        <v>0.38500000000000001</v>
      </c>
      <c r="AB78" s="89">
        <v>0</v>
      </c>
      <c r="AC78" s="89">
        <v>0.38500000000000001</v>
      </c>
      <c r="AD78" s="89">
        <v>0</v>
      </c>
      <c r="AE78" s="89">
        <v>0.38500000000000001</v>
      </c>
      <c r="AF78" s="89">
        <v>0</v>
      </c>
      <c r="AG78" s="89">
        <v>0.22500000000000001</v>
      </c>
      <c r="AH78" s="89">
        <v>0</v>
      </c>
      <c r="AI78" s="89">
        <v>0.20684</v>
      </c>
      <c r="AJ78" s="89">
        <v>0</v>
      </c>
      <c r="AK78" s="89">
        <v>0.13</v>
      </c>
      <c r="AL78" s="89">
        <v>3.5000000000000003E-2</v>
      </c>
      <c r="AM78" s="89">
        <v>-7.7499999999999999E-2</v>
      </c>
      <c r="AN78" s="89">
        <v>0.01</v>
      </c>
      <c r="AO78" s="89">
        <v>-0.4</v>
      </c>
      <c r="AP78" s="89">
        <v>0.155</v>
      </c>
      <c r="AQ78" s="89">
        <v>-5.7500000000000002E-2</v>
      </c>
      <c r="AR78" s="89">
        <v>5.0000000000000001E-3</v>
      </c>
      <c r="AS78" s="89">
        <v>-0.15</v>
      </c>
      <c r="AT78" s="89">
        <v>-5.0000000000000001E-3</v>
      </c>
      <c r="AU78" s="89">
        <v>-0.11</v>
      </c>
      <c r="AV78" s="89">
        <v>-0.01</v>
      </c>
      <c r="AW78" s="89">
        <v>-6.7500000000000004E-2</v>
      </c>
      <c r="AX78" s="89">
        <v>5.0000000000000001E-3</v>
      </c>
      <c r="AY78" s="90">
        <v>0.155</v>
      </c>
      <c r="AZ78" s="90">
        <v>0</v>
      </c>
      <c r="BA78" s="90">
        <v>-0.13</v>
      </c>
      <c r="BB78" s="89">
        <v>5.0000000000000001E-3</v>
      </c>
      <c r="BC78" s="89">
        <v>-7.4999999999999997E-2</v>
      </c>
      <c r="BD78" s="89">
        <v>5.0000000000000001E-3</v>
      </c>
      <c r="BE78" s="89">
        <v>0.24</v>
      </c>
      <c r="BF78" s="89">
        <v>3.4000000000000002E-2</v>
      </c>
      <c r="BG78" s="89">
        <v>-6.5000000000000002E-2</v>
      </c>
      <c r="BH78" s="89">
        <v>0</v>
      </c>
      <c r="BI78" s="89">
        <v>0.15</v>
      </c>
      <c r="BJ78" s="62">
        <v>0.03</v>
      </c>
      <c r="BK78" s="62">
        <v>0.24</v>
      </c>
      <c r="BL78" s="62">
        <v>3.4000000000000002E-2</v>
      </c>
      <c r="BM78" s="62">
        <v>0.29799999999999999</v>
      </c>
      <c r="BN78" s="62">
        <v>0</v>
      </c>
      <c r="BO78" s="62">
        <v>-0.26</v>
      </c>
      <c r="BP78" s="62">
        <v>3.5000000000000003E-2</v>
      </c>
      <c r="BQ78" s="62">
        <v>0.5</v>
      </c>
      <c r="BR78" s="62">
        <v>3.4000000000000002E-2</v>
      </c>
      <c r="BS78" s="62">
        <v>-7.4999999999999997E-2</v>
      </c>
      <c r="BT78" s="62">
        <v>5.0000000000000001E-3</v>
      </c>
      <c r="BU78" s="62">
        <v>0.3</v>
      </c>
      <c r="BV78" s="62">
        <v>0</v>
      </c>
      <c r="BW78" s="62">
        <v>0.24</v>
      </c>
      <c r="BX78" s="62">
        <v>0</v>
      </c>
      <c r="BY78" s="62">
        <v>-2.3E-2</v>
      </c>
      <c r="BZ78" s="62">
        <v>5.7500000000000002E-2</v>
      </c>
      <c r="CA78" s="62">
        <v>0.19500000000000001</v>
      </c>
      <c r="CB78" s="62">
        <v>5.0000000000000001E-3</v>
      </c>
      <c r="CC78" s="62">
        <v>-2.3E-2</v>
      </c>
      <c r="CD78" s="62">
        <v>3.7000000000000002E-3</v>
      </c>
      <c r="CE78" s="62">
        <v>2.5000000000000001E-3</v>
      </c>
      <c r="CF78" s="62">
        <v>0</v>
      </c>
      <c r="CG78" s="62">
        <v>-2.3E-2</v>
      </c>
      <c r="CH78" s="62">
        <v>3.7000000000000002E-3</v>
      </c>
      <c r="CI78" s="62">
        <v>-9.0999999999999998E-2</v>
      </c>
      <c r="CJ78" s="62">
        <v>2.5000000000000001E-3</v>
      </c>
      <c r="CK78" s="62">
        <v>7.4999999999999997E-2</v>
      </c>
      <c r="CL78" s="62">
        <v>2.5000000000000001E-3</v>
      </c>
      <c r="CM78" s="62">
        <v>-6.6000000000000003E-2</v>
      </c>
      <c r="CN78" s="62">
        <v>0.01</v>
      </c>
      <c r="CO78" s="62">
        <v>-1.0999999999999999E-2</v>
      </c>
      <c r="CP78" s="62">
        <v>7.4999999999999997E-3</v>
      </c>
      <c r="CQ78" s="62">
        <v>2.9000000000000001E-2</v>
      </c>
      <c r="CR78" s="62">
        <v>1.2500000000000001E-2</v>
      </c>
      <c r="CS78" s="62">
        <v>0.65</v>
      </c>
      <c r="CT78" s="62">
        <v>5.5E-2</v>
      </c>
      <c r="CU78" s="62">
        <v>0.29799999999999999</v>
      </c>
      <c r="CV78" s="62">
        <v>0</v>
      </c>
      <c r="CW78" s="62">
        <v>0.21</v>
      </c>
      <c r="CX78" s="62">
        <v>0.02</v>
      </c>
      <c r="CY78" s="62">
        <v>-0.52</v>
      </c>
      <c r="CZ78" s="62">
        <v>0</v>
      </c>
      <c r="DA78" s="62">
        <v>-0.34</v>
      </c>
      <c r="DB78" s="62">
        <v>0</v>
      </c>
      <c r="DC78" s="62">
        <v>0.45</v>
      </c>
      <c r="DE78" s="62">
        <v>-4.4999999999999998E-2</v>
      </c>
      <c r="DF78" s="62">
        <v>1.2500000000000001E-2</v>
      </c>
      <c r="DG78" s="62">
        <v>6.0000000000000001E-3</v>
      </c>
      <c r="DH78" s="62">
        <v>7.4999999999999997E-3</v>
      </c>
      <c r="DI78" s="62">
        <v>-1.4E-2</v>
      </c>
      <c r="DJ78" s="62">
        <v>2.5000000000000001E-3</v>
      </c>
      <c r="DK78" s="62">
        <v>-5.6000000000000001E-2</v>
      </c>
      <c r="DL78" s="62">
        <v>2.5000000000000001E-3</v>
      </c>
      <c r="DM78" s="62">
        <v>-6.7500000000000004E-2</v>
      </c>
      <c r="DN78" s="62">
        <v>2.5000000000000001E-3</v>
      </c>
      <c r="DO78" s="62">
        <v>-8.7499999999999994E-2</v>
      </c>
      <c r="DP78" s="62">
        <v>2.5000000000000001E-3</v>
      </c>
      <c r="DQ78" s="62">
        <v>-8.5999999999999993E-2</v>
      </c>
      <c r="DR78" s="62">
        <v>-5.0000000000000001E-3</v>
      </c>
      <c r="DS78" s="62">
        <v>0.46</v>
      </c>
      <c r="DT78" s="62">
        <v>0.05</v>
      </c>
      <c r="DU78" s="62">
        <v>8.7512499999999993E-2</v>
      </c>
      <c r="DV78" s="62">
        <v>0</v>
      </c>
    </row>
    <row r="79" spans="4:126" x14ac:dyDescent="0.25">
      <c r="D79" s="91">
        <v>39052</v>
      </c>
      <c r="F79" s="89">
        <v>3.7869999999999999</v>
      </c>
      <c r="G79" s="90">
        <v>5.3595103564298502E-2</v>
      </c>
      <c r="H79" s="89">
        <v>0.2475</v>
      </c>
      <c r="I79" s="89">
        <v>1</v>
      </c>
      <c r="J79" s="89">
        <v>1.05</v>
      </c>
      <c r="K79" s="89">
        <v>1</v>
      </c>
      <c r="L79" s="87">
        <v>1</v>
      </c>
      <c r="M79" s="87">
        <v>1.1499999999999999</v>
      </c>
      <c r="N79" s="89">
        <v>1.25</v>
      </c>
      <c r="O79" s="89">
        <v>1.05</v>
      </c>
      <c r="P79" s="89">
        <v>1</v>
      </c>
      <c r="Q79" s="89">
        <v>1.35</v>
      </c>
      <c r="R79" s="90">
        <v>1</v>
      </c>
      <c r="S79" s="90">
        <v>1.1000000000000001</v>
      </c>
      <c r="T79" s="89">
        <v>1</v>
      </c>
      <c r="U79" s="89">
        <v>1.25</v>
      </c>
      <c r="V79" s="89">
        <v>1.1000000000000001</v>
      </c>
      <c r="W79" s="89">
        <v>5.0000000000000001E-3</v>
      </c>
      <c r="X79" s="89">
        <v>0.03</v>
      </c>
      <c r="Y79" s="89">
        <v>0.13</v>
      </c>
      <c r="Z79" s="89">
        <v>0.02</v>
      </c>
      <c r="AA79" s="89">
        <v>0.38500000000000001</v>
      </c>
      <c r="AB79" s="89">
        <v>0</v>
      </c>
      <c r="AC79" s="89">
        <v>0.38500000000000001</v>
      </c>
      <c r="AD79" s="89">
        <v>0</v>
      </c>
      <c r="AE79" s="89">
        <v>0.38500000000000001</v>
      </c>
      <c r="AF79" s="89">
        <v>0</v>
      </c>
      <c r="AG79" s="89">
        <v>0.22500000000000001</v>
      </c>
      <c r="AH79" s="89">
        <v>0</v>
      </c>
      <c r="AI79" s="89">
        <v>0.21196000000000001</v>
      </c>
      <c r="AJ79" s="89">
        <v>0</v>
      </c>
      <c r="AK79" s="89">
        <v>0.13</v>
      </c>
      <c r="AL79" s="89">
        <v>3.5000000000000003E-2</v>
      </c>
      <c r="AM79" s="89">
        <v>-7.7499999999999999E-2</v>
      </c>
      <c r="AN79" s="89">
        <v>0.01</v>
      </c>
      <c r="AO79" s="89">
        <v>-0.4</v>
      </c>
      <c r="AP79" s="89">
        <v>0.155</v>
      </c>
      <c r="AQ79" s="89">
        <v>-5.7500000000000002E-2</v>
      </c>
      <c r="AR79" s="89">
        <v>5.0000000000000001E-3</v>
      </c>
      <c r="AS79" s="89">
        <v>-0.1525</v>
      </c>
      <c r="AT79" s="89">
        <v>-5.0000000000000001E-3</v>
      </c>
      <c r="AU79" s="89">
        <v>-0.1125</v>
      </c>
      <c r="AV79" s="89">
        <v>-0.01</v>
      </c>
      <c r="AW79" s="89">
        <v>-6.7500000000000004E-2</v>
      </c>
      <c r="AX79" s="89">
        <v>5.0000000000000001E-3</v>
      </c>
      <c r="AY79" s="90">
        <v>0.155</v>
      </c>
      <c r="AZ79" s="90">
        <v>0</v>
      </c>
      <c r="BA79" s="90">
        <v>-0.13</v>
      </c>
      <c r="BB79" s="89">
        <v>5.0000000000000001E-3</v>
      </c>
      <c r="BC79" s="89">
        <v>-7.4999999999999997E-2</v>
      </c>
      <c r="BD79" s="89">
        <v>5.0000000000000001E-3</v>
      </c>
      <c r="BE79" s="89">
        <v>0.24</v>
      </c>
      <c r="BF79" s="89">
        <v>3.4000000000000002E-2</v>
      </c>
      <c r="BG79" s="89">
        <v>-6.5000000000000002E-2</v>
      </c>
      <c r="BH79" s="89">
        <v>0</v>
      </c>
      <c r="BI79" s="89">
        <v>0.15</v>
      </c>
      <c r="BJ79" s="62">
        <v>0.03</v>
      </c>
      <c r="BK79" s="62">
        <v>0.24</v>
      </c>
      <c r="BL79" s="62">
        <v>3.4000000000000002E-2</v>
      </c>
      <c r="BM79" s="62">
        <v>0.35799999999999998</v>
      </c>
      <c r="BN79" s="62">
        <v>0</v>
      </c>
      <c r="BO79" s="62">
        <v>-0.26</v>
      </c>
      <c r="BP79" s="62">
        <v>3.5000000000000003E-2</v>
      </c>
      <c r="BQ79" s="62">
        <v>0.5</v>
      </c>
      <c r="BR79" s="62">
        <v>3.4000000000000002E-2</v>
      </c>
      <c r="BS79" s="62">
        <v>-7.4999999999999997E-2</v>
      </c>
      <c r="BT79" s="62">
        <v>5.0000000000000001E-3</v>
      </c>
      <c r="BU79" s="62">
        <v>0.3</v>
      </c>
      <c r="BV79" s="62">
        <v>0</v>
      </c>
      <c r="BW79" s="62">
        <v>0.24</v>
      </c>
      <c r="BX79" s="62">
        <v>0</v>
      </c>
      <c r="BY79" s="62">
        <v>-2.3E-2</v>
      </c>
      <c r="BZ79" s="62">
        <v>5.7500000000000002E-2</v>
      </c>
      <c r="CA79" s="62">
        <v>0.215</v>
      </c>
      <c r="CB79" s="62">
        <v>5.0000000000000001E-3</v>
      </c>
      <c r="CC79" s="62">
        <v>-2.3E-2</v>
      </c>
      <c r="CD79" s="62">
        <v>3.7000000000000002E-3</v>
      </c>
      <c r="CE79" s="62">
        <v>2.5000000000000001E-3</v>
      </c>
      <c r="CF79" s="62">
        <v>0</v>
      </c>
      <c r="CG79" s="62">
        <v>-2.3E-2</v>
      </c>
      <c r="CH79" s="62">
        <v>3.7000000000000002E-3</v>
      </c>
      <c r="CI79" s="62">
        <v>-0.11849999999999999</v>
      </c>
      <c r="CJ79" s="62">
        <v>2.5000000000000001E-3</v>
      </c>
      <c r="CK79" s="62">
        <v>7.4999999999999997E-2</v>
      </c>
      <c r="CL79" s="62">
        <v>2.5000000000000001E-3</v>
      </c>
      <c r="CM79" s="62">
        <v>-6.6000000000000003E-2</v>
      </c>
      <c r="CN79" s="62">
        <v>0.01</v>
      </c>
      <c r="CO79" s="62">
        <v>-1.0999999999999999E-2</v>
      </c>
      <c r="CP79" s="62">
        <v>7.4999999999999997E-3</v>
      </c>
      <c r="CQ79" s="62">
        <v>2.9000000000000001E-2</v>
      </c>
      <c r="CR79" s="62">
        <v>1.2500000000000001E-2</v>
      </c>
      <c r="CS79" s="62">
        <v>0.98</v>
      </c>
      <c r="CT79" s="62">
        <v>0.25</v>
      </c>
      <c r="CU79" s="62">
        <v>0.35799999999999998</v>
      </c>
      <c r="CV79" s="62">
        <v>0</v>
      </c>
      <c r="CW79" s="62">
        <v>0.28999999999999998</v>
      </c>
      <c r="CX79" s="62">
        <v>0.02</v>
      </c>
      <c r="CY79" s="62">
        <v>-0.52</v>
      </c>
      <c r="CZ79" s="62">
        <v>0</v>
      </c>
      <c r="DA79" s="62">
        <v>-0.34</v>
      </c>
      <c r="DB79" s="62">
        <v>0</v>
      </c>
      <c r="DC79" s="62">
        <v>0.4</v>
      </c>
      <c r="DE79" s="62">
        <v>-4.4999999999999998E-2</v>
      </c>
      <c r="DF79" s="62">
        <v>1.2500000000000001E-2</v>
      </c>
      <c r="DG79" s="62">
        <v>6.0000000000000001E-3</v>
      </c>
      <c r="DH79" s="62">
        <v>7.4999999999999997E-3</v>
      </c>
      <c r="DI79" s="62">
        <v>-1.4E-2</v>
      </c>
      <c r="DJ79" s="62">
        <v>2.5000000000000001E-3</v>
      </c>
      <c r="DK79" s="62">
        <v>-8.3500000000000005E-2</v>
      </c>
      <c r="DL79" s="62">
        <v>2.5000000000000001E-3</v>
      </c>
      <c r="DM79" s="62">
        <v>-6.5500000000000003E-2</v>
      </c>
      <c r="DN79" s="62">
        <v>2.5000000000000001E-3</v>
      </c>
      <c r="DO79" s="62">
        <v>-8.5500000000000007E-2</v>
      </c>
      <c r="DP79" s="62">
        <v>2.5000000000000001E-3</v>
      </c>
      <c r="DQ79" s="62">
        <v>-0.1135</v>
      </c>
      <c r="DR79" s="62">
        <v>-5.0000000000000001E-3</v>
      </c>
      <c r="DS79" s="62">
        <v>0.77</v>
      </c>
      <c r="DT79" s="62">
        <v>0.05</v>
      </c>
      <c r="DU79" s="62">
        <v>8.5752499999999995E-2</v>
      </c>
      <c r="DV79" s="62">
        <v>0</v>
      </c>
    </row>
    <row r="80" spans="4:126" x14ac:dyDescent="0.25">
      <c r="D80" s="91">
        <v>39083</v>
      </c>
      <c r="F80" s="89">
        <v>3.8395000000000001</v>
      </c>
      <c r="G80" s="90">
        <v>5.38548873933569E-2</v>
      </c>
      <c r="H80" s="89">
        <v>0.2475</v>
      </c>
      <c r="I80" s="89">
        <v>1</v>
      </c>
      <c r="J80" s="89">
        <v>1.05</v>
      </c>
      <c r="K80" s="89">
        <v>1</v>
      </c>
      <c r="L80" s="87">
        <v>1</v>
      </c>
      <c r="M80" s="87">
        <v>1.1499999999999999</v>
      </c>
      <c r="N80" s="89">
        <v>1.45</v>
      </c>
      <c r="O80" s="89">
        <v>1.05</v>
      </c>
      <c r="P80" s="89">
        <v>1</v>
      </c>
      <c r="Q80" s="89">
        <v>1.35</v>
      </c>
      <c r="R80" s="90">
        <v>1</v>
      </c>
      <c r="S80" s="90">
        <v>1.1000000000000001</v>
      </c>
      <c r="T80" s="89">
        <v>1</v>
      </c>
      <c r="U80" s="89">
        <v>1.45</v>
      </c>
      <c r="V80" s="89">
        <v>1.1000000000000001</v>
      </c>
      <c r="W80" s="89">
        <v>2.5000000000000001E-2</v>
      </c>
      <c r="X80" s="89">
        <v>0.03</v>
      </c>
      <c r="Y80" s="89">
        <v>0.13</v>
      </c>
      <c r="Z80" s="89">
        <v>0.02</v>
      </c>
      <c r="AA80" s="89">
        <v>0.38500000000000001</v>
      </c>
      <c r="AB80" s="89">
        <v>0</v>
      </c>
      <c r="AC80" s="89">
        <v>0.38500000000000001</v>
      </c>
      <c r="AD80" s="89">
        <v>0</v>
      </c>
      <c r="AE80" s="89">
        <v>0.38500000000000001</v>
      </c>
      <c r="AF80" s="89">
        <v>0</v>
      </c>
      <c r="AG80" s="89">
        <v>0.22500000000000001</v>
      </c>
      <c r="AH80" s="89">
        <v>0</v>
      </c>
      <c r="AI80" s="89">
        <v>0.21356</v>
      </c>
      <c r="AJ80" s="89">
        <v>0</v>
      </c>
      <c r="AK80" s="89">
        <v>0.13</v>
      </c>
      <c r="AL80" s="89">
        <v>3.5000000000000003E-2</v>
      </c>
      <c r="AM80" s="89">
        <v>-7.7499999999999999E-2</v>
      </c>
      <c r="AN80" s="89">
        <v>0.01</v>
      </c>
      <c r="AO80" s="89">
        <v>-0.4</v>
      </c>
      <c r="AP80" s="89">
        <v>0.155</v>
      </c>
      <c r="AQ80" s="89">
        <v>-5.7500000000000002E-2</v>
      </c>
      <c r="AR80" s="89">
        <v>5.0000000000000001E-3</v>
      </c>
      <c r="AS80" s="89">
        <v>-0.155</v>
      </c>
      <c r="AT80" s="89">
        <v>-5.0000000000000001E-3</v>
      </c>
      <c r="AU80" s="89">
        <v>-0.115</v>
      </c>
      <c r="AV80" s="89">
        <v>-0.01</v>
      </c>
      <c r="AW80" s="89">
        <v>-6.7500000000000004E-2</v>
      </c>
      <c r="AX80" s="89">
        <v>5.0000000000000001E-3</v>
      </c>
      <c r="AY80" s="90">
        <v>0.155</v>
      </c>
      <c r="AZ80" s="90">
        <v>0</v>
      </c>
      <c r="BA80" s="90">
        <v>-0.13</v>
      </c>
      <c r="BB80" s="89">
        <v>5.0000000000000001E-3</v>
      </c>
      <c r="BC80" s="89">
        <v>-7.0000000000000007E-2</v>
      </c>
      <c r="BD80" s="89">
        <v>5.0000000000000001E-3</v>
      </c>
      <c r="BE80" s="89">
        <v>0.24</v>
      </c>
      <c r="BF80" s="89">
        <v>3.4000000000000002E-2</v>
      </c>
      <c r="BG80" s="89">
        <v>-0.06</v>
      </c>
      <c r="BH80" s="89">
        <v>0</v>
      </c>
      <c r="BI80" s="89">
        <v>0.15</v>
      </c>
      <c r="BJ80" s="62">
        <v>0.03</v>
      </c>
      <c r="BK80" s="62">
        <v>0.24</v>
      </c>
      <c r="BL80" s="62">
        <v>3.4000000000000002E-2</v>
      </c>
      <c r="BM80" s="62">
        <v>0.42799999999999999</v>
      </c>
      <c r="BN80" s="62">
        <v>0</v>
      </c>
      <c r="BO80" s="62">
        <v>-0.26</v>
      </c>
      <c r="BP80" s="62">
        <v>3.5000000000000003E-2</v>
      </c>
      <c r="BQ80" s="62">
        <v>0.5</v>
      </c>
      <c r="BR80" s="62">
        <v>3.4000000000000002E-2</v>
      </c>
      <c r="BS80" s="62">
        <v>-7.0000000000000007E-2</v>
      </c>
      <c r="BT80" s="62">
        <v>5.0000000000000001E-3</v>
      </c>
      <c r="BU80" s="62">
        <v>0.3</v>
      </c>
      <c r="BV80" s="62">
        <v>0</v>
      </c>
      <c r="BW80" s="62">
        <v>0.24</v>
      </c>
      <c r="BX80" s="62">
        <v>0</v>
      </c>
      <c r="BY80" s="62">
        <v>-2.1000000000000001E-2</v>
      </c>
      <c r="BZ80" s="62">
        <v>5.7500000000000002E-2</v>
      </c>
      <c r="CA80" s="62">
        <v>0.23499999999999999</v>
      </c>
      <c r="CB80" s="62">
        <v>5.0000000000000001E-3</v>
      </c>
      <c r="CC80" s="62">
        <v>-2.1000000000000001E-2</v>
      </c>
      <c r="CD80" s="62">
        <v>3.7000000000000002E-3</v>
      </c>
      <c r="CE80" s="62">
        <v>2.5000000000000001E-3</v>
      </c>
      <c r="CF80" s="62">
        <v>2.5000000000000001E-3</v>
      </c>
      <c r="CG80" s="62">
        <v>-2.1000000000000001E-2</v>
      </c>
      <c r="CH80" s="62">
        <v>3.7000000000000002E-3</v>
      </c>
      <c r="CI80" s="62">
        <v>-0.11650000000000001</v>
      </c>
      <c r="CJ80" s="62">
        <v>2.5000000000000001E-3</v>
      </c>
      <c r="CK80" s="62">
        <v>7.4999999999999997E-2</v>
      </c>
      <c r="CL80" s="62">
        <v>2.5000000000000001E-3</v>
      </c>
      <c r="CM80" s="62">
        <v>-6.6000000000000003E-2</v>
      </c>
      <c r="CN80" s="62">
        <v>0.01</v>
      </c>
      <c r="CO80" s="62">
        <v>-1.0999999999999999E-2</v>
      </c>
      <c r="CP80" s="62">
        <v>7.4999999999999997E-3</v>
      </c>
      <c r="CQ80" s="62">
        <v>2.9000000000000001E-2</v>
      </c>
      <c r="CR80" s="62">
        <v>1.2500000000000001E-2</v>
      </c>
      <c r="CS80" s="62">
        <v>1.6</v>
      </c>
      <c r="CT80" s="62">
        <v>0.45</v>
      </c>
      <c r="CU80" s="62">
        <v>0.42799999999999999</v>
      </c>
      <c r="CV80" s="62">
        <v>0</v>
      </c>
      <c r="CW80" s="62">
        <v>0.34</v>
      </c>
      <c r="CX80" s="62">
        <v>0.02</v>
      </c>
      <c r="CY80" s="62">
        <v>-0.52</v>
      </c>
      <c r="CZ80" s="62">
        <v>0</v>
      </c>
      <c r="DA80" s="62">
        <v>-0.34</v>
      </c>
      <c r="DB80" s="62">
        <v>0</v>
      </c>
      <c r="DC80" s="62">
        <v>0.35</v>
      </c>
      <c r="DE80" s="62">
        <v>-4.4999999999999998E-2</v>
      </c>
      <c r="DF80" s="62">
        <v>1.2500000000000001E-2</v>
      </c>
      <c r="DG80" s="62">
        <v>6.0000000000000001E-3</v>
      </c>
      <c r="DH80" s="62">
        <v>7.4999999999999997E-3</v>
      </c>
      <c r="DI80" s="62">
        <v>-1.4E-2</v>
      </c>
      <c r="DJ80" s="62">
        <v>2.5000000000000001E-3</v>
      </c>
      <c r="DK80" s="62">
        <v>-9.8500000000000004E-2</v>
      </c>
      <c r="DL80" s="62">
        <v>2.5000000000000001E-3</v>
      </c>
      <c r="DM80" s="62">
        <v>-6.5500000000000003E-2</v>
      </c>
      <c r="DN80" s="62">
        <v>2.5000000000000001E-3</v>
      </c>
      <c r="DO80" s="62">
        <v>-8.7999999999999995E-2</v>
      </c>
      <c r="DP80" s="62">
        <v>2.5000000000000001E-3</v>
      </c>
      <c r="DQ80" s="62">
        <v>-0.1285</v>
      </c>
      <c r="DR80" s="62">
        <v>-5.0000000000000001E-3</v>
      </c>
      <c r="DS80" s="62">
        <v>1.04</v>
      </c>
      <c r="DT80" s="62">
        <v>0.05</v>
      </c>
      <c r="DU80" s="62">
        <v>8.52025E-2</v>
      </c>
      <c r="DV80" s="62">
        <v>0</v>
      </c>
    </row>
    <row r="81" spans="4:126" x14ac:dyDescent="0.25">
      <c r="D81" s="91">
        <v>39114</v>
      </c>
      <c r="F81" s="89">
        <v>3.7545000000000002</v>
      </c>
      <c r="G81" s="90">
        <v>5.4038903438607302E-2</v>
      </c>
      <c r="H81" s="89">
        <v>0.24249999999999999</v>
      </c>
      <c r="I81" s="89">
        <v>1</v>
      </c>
      <c r="J81" s="89">
        <v>1.05</v>
      </c>
      <c r="K81" s="89">
        <v>1</v>
      </c>
      <c r="L81" s="87">
        <v>1</v>
      </c>
      <c r="M81" s="87">
        <v>1.1499999999999999</v>
      </c>
      <c r="N81" s="89">
        <v>1.45</v>
      </c>
      <c r="O81" s="89">
        <v>1.05</v>
      </c>
      <c r="P81" s="89">
        <v>1</v>
      </c>
      <c r="Q81" s="89">
        <v>1.35</v>
      </c>
      <c r="R81" s="90">
        <v>1</v>
      </c>
      <c r="S81" s="90">
        <v>1.1000000000000001</v>
      </c>
      <c r="T81" s="89">
        <v>1</v>
      </c>
      <c r="U81" s="89">
        <v>1.45</v>
      </c>
      <c r="V81" s="89">
        <v>1.1000000000000001</v>
      </c>
      <c r="W81" s="89">
        <v>0.02</v>
      </c>
      <c r="X81" s="89">
        <v>0.03</v>
      </c>
      <c r="Y81" s="89">
        <v>0.13</v>
      </c>
      <c r="Z81" s="89">
        <v>0.02</v>
      </c>
      <c r="AA81" s="89">
        <v>0.38500000000000001</v>
      </c>
      <c r="AB81" s="89">
        <v>0</v>
      </c>
      <c r="AC81" s="89">
        <v>0.38500000000000001</v>
      </c>
      <c r="AD81" s="89">
        <v>0</v>
      </c>
      <c r="AE81" s="89">
        <v>0.38500000000000001</v>
      </c>
      <c r="AF81" s="89">
        <v>0</v>
      </c>
      <c r="AG81" s="89">
        <v>0.22500000000000001</v>
      </c>
      <c r="AH81" s="89">
        <v>0</v>
      </c>
      <c r="AI81" s="89">
        <v>0.21099999999999999</v>
      </c>
      <c r="AJ81" s="89">
        <v>0</v>
      </c>
      <c r="AK81" s="89">
        <v>0.13</v>
      </c>
      <c r="AL81" s="89">
        <v>3.5000000000000003E-2</v>
      </c>
      <c r="AM81" s="89">
        <v>-7.7499999999999999E-2</v>
      </c>
      <c r="AN81" s="89">
        <v>0.01</v>
      </c>
      <c r="AO81" s="89">
        <v>-0.4</v>
      </c>
      <c r="AP81" s="89">
        <v>0.155</v>
      </c>
      <c r="AQ81" s="89">
        <v>-5.7500000000000002E-2</v>
      </c>
      <c r="AR81" s="89">
        <v>5.0000000000000001E-3</v>
      </c>
      <c r="AS81" s="89">
        <v>-0.14749999999999999</v>
      </c>
      <c r="AT81" s="89">
        <v>-5.0000000000000001E-3</v>
      </c>
      <c r="AU81" s="89">
        <v>-0.1075</v>
      </c>
      <c r="AV81" s="89">
        <v>-0.01</v>
      </c>
      <c r="AW81" s="89">
        <v>-6.7500000000000004E-2</v>
      </c>
      <c r="AX81" s="89">
        <v>5.0000000000000001E-3</v>
      </c>
      <c r="AY81" s="90">
        <v>0.155</v>
      </c>
      <c r="AZ81" s="90">
        <v>0</v>
      </c>
      <c r="BA81" s="90">
        <v>-0.13</v>
      </c>
      <c r="BB81" s="89">
        <v>5.0000000000000001E-3</v>
      </c>
      <c r="BC81" s="89">
        <v>-7.0000000000000007E-2</v>
      </c>
      <c r="BD81" s="89">
        <v>5.0000000000000001E-3</v>
      </c>
      <c r="BE81" s="89">
        <v>0.24</v>
      </c>
      <c r="BF81" s="89">
        <v>3.4000000000000002E-2</v>
      </c>
      <c r="BG81" s="89">
        <v>-0.06</v>
      </c>
      <c r="BH81" s="89">
        <v>0</v>
      </c>
      <c r="BI81" s="89">
        <v>0.15</v>
      </c>
      <c r="BJ81" s="62">
        <v>0.03</v>
      </c>
      <c r="BK81" s="62">
        <v>0.24</v>
      </c>
      <c r="BL81" s="62">
        <v>3.4000000000000002E-2</v>
      </c>
      <c r="BM81" s="62">
        <v>0.29799999999999999</v>
      </c>
      <c r="BN81" s="62">
        <v>0</v>
      </c>
      <c r="BO81" s="62">
        <v>-0.26</v>
      </c>
      <c r="BP81" s="62">
        <v>3.5000000000000003E-2</v>
      </c>
      <c r="BQ81" s="62">
        <v>0.5</v>
      </c>
      <c r="BR81" s="62">
        <v>3.4000000000000002E-2</v>
      </c>
      <c r="BS81" s="62">
        <v>-7.0000000000000007E-2</v>
      </c>
      <c r="BT81" s="62">
        <v>5.0000000000000001E-3</v>
      </c>
      <c r="BU81" s="62">
        <v>0.3</v>
      </c>
      <c r="BV81" s="62">
        <v>0</v>
      </c>
      <c r="BW81" s="62">
        <v>0.24</v>
      </c>
      <c r="BX81" s="62">
        <v>0</v>
      </c>
      <c r="BY81" s="62">
        <v>-2.1000000000000001E-2</v>
      </c>
      <c r="BZ81" s="62">
        <v>5.7500000000000002E-2</v>
      </c>
      <c r="CA81" s="62">
        <v>0.23499999999999999</v>
      </c>
      <c r="CB81" s="62">
        <v>5.0000000000000001E-3</v>
      </c>
      <c r="CC81" s="62">
        <v>-2.1000000000000001E-2</v>
      </c>
      <c r="CD81" s="62">
        <v>3.7000000000000002E-3</v>
      </c>
      <c r="CE81" s="62">
        <v>2.5000000000000001E-3</v>
      </c>
      <c r="CF81" s="62">
        <v>2.5000000000000001E-3</v>
      </c>
      <c r="CG81" s="62">
        <v>-2.1000000000000001E-2</v>
      </c>
      <c r="CH81" s="62">
        <v>3.7000000000000002E-3</v>
      </c>
      <c r="CI81" s="62">
        <v>-0.11650000000000001</v>
      </c>
      <c r="CJ81" s="62">
        <v>2.5000000000000001E-3</v>
      </c>
      <c r="CK81" s="62">
        <v>7.4999999999999997E-2</v>
      </c>
      <c r="CL81" s="62">
        <v>2.5000000000000001E-3</v>
      </c>
      <c r="CM81" s="62">
        <v>-6.6000000000000003E-2</v>
      </c>
      <c r="CN81" s="62">
        <v>0.01</v>
      </c>
      <c r="CO81" s="62">
        <v>-1.0999999999999999E-2</v>
      </c>
      <c r="CP81" s="62">
        <v>7.4999999999999997E-3</v>
      </c>
      <c r="CQ81" s="62">
        <v>2.9000000000000001E-2</v>
      </c>
      <c r="CR81" s="62">
        <v>1.2500000000000001E-2</v>
      </c>
      <c r="CS81" s="62">
        <v>1.6</v>
      </c>
      <c r="CT81" s="62">
        <v>0.45</v>
      </c>
      <c r="CU81" s="62">
        <v>0.29799999999999999</v>
      </c>
      <c r="CV81" s="62">
        <v>0</v>
      </c>
      <c r="CW81" s="62">
        <v>0.34</v>
      </c>
      <c r="CX81" s="62">
        <v>0.02</v>
      </c>
      <c r="CY81" s="62">
        <v>-0.52</v>
      </c>
      <c r="CZ81" s="62">
        <v>0</v>
      </c>
      <c r="DA81" s="62">
        <v>-0.34</v>
      </c>
      <c r="DB81" s="62">
        <v>0</v>
      </c>
      <c r="DC81" s="62">
        <v>0.35</v>
      </c>
      <c r="DE81" s="62">
        <v>-4.4999999999999998E-2</v>
      </c>
      <c r="DF81" s="62">
        <v>1.2500000000000001E-2</v>
      </c>
      <c r="DG81" s="62">
        <v>6.0000000000000001E-3</v>
      </c>
      <c r="DH81" s="62">
        <v>7.4999999999999997E-3</v>
      </c>
      <c r="DI81" s="62">
        <v>-1.4E-2</v>
      </c>
      <c r="DJ81" s="62">
        <v>2.5000000000000001E-3</v>
      </c>
      <c r="DK81" s="62">
        <v>-8.8499999999999995E-2</v>
      </c>
      <c r="DL81" s="62">
        <v>2.5000000000000001E-3</v>
      </c>
      <c r="DM81" s="62">
        <v>-6.5500000000000003E-2</v>
      </c>
      <c r="DN81" s="62">
        <v>2.5000000000000001E-3</v>
      </c>
      <c r="DO81" s="62">
        <v>-8.7999999999999995E-2</v>
      </c>
      <c r="DP81" s="62">
        <v>2.5000000000000001E-3</v>
      </c>
      <c r="DQ81" s="62">
        <v>-0.11849999999999999</v>
      </c>
      <c r="DR81" s="62">
        <v>-5.0000000000000001E-3</v>
      </c>
      <c r="DS81" s="62">
        <v>1.04</v>
      </c>
      <c r="DT81" s="62">
        <v>0.05</v>
      </c>
      <c r="DU81" s="62">
        <v>8.6082500000000006E-2</v>
      </c>
      <c r="DV81" s="62">
        <v>0</v>
      </c>
    </row>
    <row r="82" spans="4:126" x14ac:dyDescent="0.25">
      <c r="D82" s="91">
        <v>39142</v>
      </c>
      <c r="F82" s="89">
        <v>3.6244999999999998</v>
      </c>
      <c r="G82" s="90">
        <v>5.4205111489177997E-2</v>
      </c>
      <c r="H82" s="89">
        <v>0.24</v>
      </c>
      <c r="I82" s="89">
        <v>0.75</v>
      </c>
      <c r="J82" s="89">
        <v>0.8</v>
      </c>
      <c r="K82" s="89">
        <v>0.75</v>
      </c>
      <c r="L82" s="87">
        <v>0.75</v>
      </c>
      <c r="M82" s="87">
        <v>0.85</v>
      </c>
      <c r="N82" s="89">
        <v>1</v>
      </c>
      <c r="O82" s="89">
        <v>0.75</v>
      </c>
      <c r="P82" s="89">
        <v>0.75</v>
      </c>
      <c r="Q82" s="89">
        <v>0.95</v>
      </c>
      <c r="R82" s="90">
        <v>0.75</v>
      </c>
      <c r="S82" s="90">
        <v>0.75</v>
      </c>
      <c r="T82" s="89">
        <v>0.75</v>
      </c>
      <c r="U82" s="89">
        <v>1</v>
      </c>
      <c r="V82" s="89">
        <v>0.85</v>
      </c>
      <c r="W82" s="89">
        <v>0</v>
      </c>
      <c r="X82" s="89">
        <v>0.03</v>
      </c>
      <c r="Y82" s="89">
        <v>0.13</v>
      </c>
      <c r="Z82" s="89">
        <v>0.02</v>
      </c>
      <c r="AA82" s="89">
        <v>0.38500000000000001</v>
      </c>
      <c r="AB82" s="89">
        <v>0</v>
      </c>
      <c r="AC82" s="89">
        <v>0.38500000000000001</v>
      </c>
      <c r="AD82" s="89">
        <v>0</v>
      </c>
      <c r="AE82" s="89">
        <v>0.38500000000000001</v>
      </c>
      <c r="AF82" s="89">
        <v>0</v>
      </c>
      <c r="AG82" s="89">
        <v>0.22500000000000001</v>
      </c>
      <c r="AH82" s="89">
        <v>0</v>
      </c>
      <c r="AI82" s="89">
        <v>0.20684</v>
      </c>
      <c r="AJ82" s="89">
        <v>0</v>
      </c>
      <c r="AK82" s="89">
        <v>0.13</v>
      </c>
      <c r="AL82" s="89">
        <v>3.5000000000000003E-2</v>
      </c>
      <c r="AM82" s="89">
        <v>-7.7499999999999999E-2</v>
      </c>
      <c r="AN82" s="89">
        <v>0.01</v>
      </c>
      <c r="AO82" s="89">
        <v>-0.4</v>
      </c>
      <c r="AP82" s="89">
        <v>0.155</v>
      </c>
      <c r="AQ82" s="89">
        <v>-5.7500000000000002E-2</v>
      </c>
      <c r="AR82" s="89">
        <v>5.0000000000000001E-3</v>
      </c>
      <c r="AS82" s="89">
        <v>-0.14499999999999999</v>
      </c>
      <c r="AT82" s="89">
        <v>-5.0000000000000001E-3</v>
      </c>
      <c r="AU82" s="89">
        <v>-0.105</v>
      </c>
      <c r="AV82" s="89">
        <v>-0.01</v>
      </c>
      <c r="AW82" s="89">
        <v>-6.7500000000000004E-2</v>
      </c>
      <c r="AX82" s="89">
        <v>5.0000000000000001E-3</v>
      </c>
      <c r="AY82" s="90">
        <v>0.155</v>
      </c>
      <c r="AZ82" s="90">
        <v>0</v>
      </c>
      <c r="BA82" s="90">
        <v>-0.13</v>
      </c>
      <c r="BB82" s="89">
        <v>5.0000000000000001E-3</v>
      </c>
      <c r="BC82" s="89">
        <v>-7.0000000000000007E-2</v>
      </c>
      <c r="BD82" s="89">
        <v>5.0000000000000001E-3</v>
      </c>
      <c r="BE82" s="89">
        <v>0.24</v>
      </c>
      <c r="BF82" s="89">
        <v>3.4000000000000002E-2</v>
      </c>
      <c r="BG82" s="89">
        <v>-0.06</v>
      </c>
      <c r="BH82" s="89">
        <v>0</v>
      </c>
      <c r="BI82" s="89">
        <v>0.15</v>
      </c>
      <c r="BJ82" s="62">
        <v>0.03</v>
      </c>
      <c r="BK82" s="62">
        <v>0.24</v>
      </c>
      <c r="BL82" s="62">
        <v>3.4000000000000002E-2</v>
      </c>
      <c r="BM82" s="62">
        <v>0.11799999999999999</v>
      </c>
      <c r="BN82" s="62">
        <v>0</v>
      </c>
      <c r="BO82" s="62">
        <v>-0.26</v>
      </c>
      <c r="BP82" s="62">
        <v>3.5000000000000003E-2</v>
      </c>
      <c r="BQ82" s="62">
        <v>0.5</v>
      </c>
      <c r="BR82" s="62">
        <v>3.4000000000000002E-2</v>
      </c>
      <c r="BS82" s="62">
        <v>-7.0000000000000007E-2</v>
      </c>
      <c r="BT82" s="62">
        <v>5.0000000000000001E-3</v>
      </c>
      <c r="BU82" s="62">
        <v>0.3</v>
      </c>
      <c r="BV82" s="62">
        <v>0</v>
      </c>
      <c r="BW82" s="62">
        <v>0.24</v>
      </c>
      <c r="BX82" s="62">
        <v>0</v>
      </c>
      <c r="BY82" s="62">
        <v>-2.1000000000000001E-2</v>
      </c>
      <c r="BZ82" s="62">
        <v>5.7500000000000002E-2</v>
      </c>
      <c r="CA82" s="62">
        <v>0.19500000000000001</v>
      </c>
      <c r="CB82" s="62">
        <v>5.0000000000000001E-3</v>
      </c>
      <c r="CC82" s="62">
        <v>-2.1000000000000001E-2</v>
      </c>
      <c r="CD82" s="62">
        <v>3.7000000000000002E-3</v>
      </c>
      <c r="CE82" s="62">
        <v>2.5000000000000001E-3</v>
      </c>
      <c r="CF82" s="62">
        <v>2.5000000000000001E-3</v>
      </c>
      <c r="CG82" s="62">
        <v>-2.1000000000000001E-2</v>
      </c>
      <c r="CH82" s="62">
        <v>3.7000000000000002E-3</v>
      </c>
      <c r="CI82" s="62">
        <v>-0.11650000000000001</v>
      </c>
      <c r="CJ82" s="62">
        <v>2.5000000000000001E-3</v>
      </c>
      <c r="CK82" s="62">
        <v>7.4999999999999997E-2</v>
      </c>
      <c r="CL82" s="62">
        <v>2.5000000000000001E-3</v>
      </c>
      <c r="CM82" s="62">
        <v>-6.6000000000000003E-2</v>
      </c>
      <c r="CN82" s="62">
        <v>0.01</v>
      </c>
      <c r="CO82" s="62">
        <v>-1.0999999999999999E-2</v>
      </c>
      <c r="CP82" s="62">
        <v>7.4999999999999997E-3</v>
      </c>
      <c r="CQ82" s="62">
        <v>2.9000000000000001E-2</v>
      </c>
      <c r="CR82" s="62">
        <v>1.2500000000000001E-2</v>
      </c>
      <c r="CS82" s="62">
        <v>0.64</v>
      </c>
      <c r="CT82" s="62">
        <v>0.1</v>
      </c>
      <c r="CU82" s="62">
        <v>0.11799999999999999</v>
      </c>
      <c r="CV82" s="62">
        <v>0</v>
      </c>
      <c r="CW82" s="62">
        <v>0.28999999999999998</v>
      </c>
      <c r="CX82" s="62">
        <v>0.02</v>
      </c>
      <c r="CY82" s="62">
        <v>-0.52</v>
      </c>
      <c r="CZ82" s="62">
        <v>0</v>
      </c>
      <c r="DA82" s="62">
        <v>-0.34</v>
      </c>
      <c r="DB82" s="62">
        <v>0</v>
      </c>
      <c r="DC82" s="62">
        <v>0.4</v>
      </c>
      <c r="DE82" s="62">
        <v>-4.4999999999999998E-2</v>
      </c>
      <c r="DF82" s="62">
        <v>1.2500000000000001E-2</v>
      </c>
      <c r="DG82" s="62">
        <v>1.0999999999999999E-2</v>
      </c>
      <c r="DH82" s="62">
        <v>7.4999999999999997E-3</v>
      </c>
      <c r="DI82" s="62">
        <v>-8.9999999999999993E-3</v>
      </c>
      <c r="DJ82" s="62">
        <v>2.5000000000000001E-3</v>
      </c>
      <c r="DK82" s="62">
        <v>-7.85E-2</v>
      </c>
      <c r="DL82" s="62">
        <v>2.5000000000000001E-3</v>
      </c>
      <c r="DM82" s="62">
        <v>-6.5500000000000003E-2</v>
      </c>
      <c r="DN82" s="62">
        <v>2.5000000000000001E-3</v>
      </c>
      <c r="DO82" s="62">
        <v>-8.7999999999999995E-2</v>
      </c>
      <c r="DP82" s="62">
        <v>2.5000000000000001E-3</v>
      </c>
      <c r="DQ82" s="62">
        <v>-0.1085</v>
      </c>
      <c r="DR82" s="62">
        <v>-5.0000000000000001E-3</v>
      </c>
      <c r="DS82" s="62">
        <v>0.54</v>
      </c>
      <c r="DT82" s="62">
        <v>0.05</v>
      </c>
      <c r="DU82" s="62">
        <v>8.7512499999999993E-2</v>
      </c>
      <c r="DV82" s="62">
        <v>0</v>
      </c>
    </row>
    <row r="83" spans="4:126" x14ac:dyDescent="0.25">
      <c r="D83" s="91">
        <v>39173</v>
      </c>
      <c r="F83" s="89">
        <v>3.4394999999999998</v>
      </c>
      <c r="G83" s="90">
        <v>5.4389127555903201E-2</v>
      </c>
      <c r="H83" s="89">
        <v>0.24</v>
      </c>
      <c r="I83" s="89">
        <v>0.4</v>
      </c>
      <c r="J83" s="89">
        <v>0.45</v>
      </c>
      <c r="K83" s="89">
        <v>0.4</v>
      </c>
      <c r="L83" s="87">
        <v>0.45</v>
      </c>
      <c r="M83" s="87">
        <v>0.45</v>
      </c>
      <c r="N83" s="89">
        <v>0.45</v>
      </c>
      <c r="O83" s="89">
        <v>0.45</v>
      </c>
      <c r="P83" s="89">
        <v>0.45</v>
      </c>
      <c r="Q83" s="89">
        <v>0.5</v>
      </c>
      <c r="R83" s="90">
        <v>0.4</v>
      </c>
      <c r="S83" s="90">
        <v>0.45</v>
      </c>
      <c r="T83" s="89">
        <v>0.4</v>
      </c>
      <c r="U83" s="89">
        <v>0.45</v>
      </c>
      <c r="V83" s="89">
        <v>0.55000000000000004</v>
      </c>
      <c r="W83" s="89">
        <v>-0.09</v>
      </c>
      <c r="X83" s="89">
        <v>0</v>
      </c>
      <c r="Y83" s="89">
        <v>0.04</v>
      </c>
      <c r="Z83" s="89">
        <v>5.0000000000000001E-3</v>
      </c>
      <c r="AA83" s="89">
        <v>0.19</v>
      </c>
      <c r="AB83" s="89">
        <v>0</v>
      </c>
      <c r="AC83" s="89">
        <v>0.155</v>
      </c>
      <c r="AD83" s="89">
        <v>0</v>
      </c>
      <c r="AE83" s="89">
        <v>0.19</v>
      </c>
      <c r="AF83" s="89">
        <v>0</v>
      </c>
      <c r="AG83" s="89">
        <v>0.14499999999999999</v>
      </c>
      <c r="AH83" s="89">
        <v>0</v>
      </c>
      <c r="AI83" s="89">
        <v>0.155</v>
      </c>
      <c r="AJ83" s="89">
        <v>0</v>
      </c>
      <c r="AK83" s="89">
        <v>0.04</v>
      </c>
      <c r="AL83" s="89">
        <v>0.04</v>
      </c>
      <c r="AM83" s="89">
        <v>-0.06</v>
      </c>
      <c r="AN83" s="89">
        <v>1.7000000000000001E-2</v>
      </c>
      <c r="AO83" s="89">
        <v>-0.435</v>
      </c>
      <c r="AP83" s="89">
        <v>0.155</v>
      </c>
      <c r="AQ83" s="89">
        <v>-5.5E-2</v>
      </c>
      <c r="AR83" s="89">
        <v>0</v>
      </c>
      <c r="AS83" s="89">
        <v>-0.15</v>
      </c>
      <c r="AT83" s="89">
        <v>-1.4999999999999999E-2</v>
      </c>
      <c r="AU83" s="89">
        <v>-0.11</v>
      </c>
      <c r="AV83" s="89">
        <v>0.02</v>
      </c>
      <c r="AW83" s="89">
        <v>-6.5000000000000002E-2</v>
      </c>
      <c r="AX83" s="89">
        <v>0.01</v>
      </c>
      <c r="AY83" s="90">
        <v>0.125</v>
      </c>
      <c r="AZ83" s="90">
        <v>0</v>
      </c>
      <c r="BA83" s="90">
        <v>-0.19500000000000001</v>
      </c>
      <c r="BB83" s="89">
        <v>2.5000000000000001E-3</v>
      </c>
      <c r="BC83" s="89">
        <v>-7.0000000000000007E-2</v>
      </c>
      <c r="BD83" s="89">
        <v>5.0000000000000001E-3</v>
      </c>
      <c r="BE83" s="89">
        <v>0.26</v>
      </c>
      <c r="BF83" s="89">
        <v>3.4000000000000002E-2</v>
      </c>
      <c r="BG83" s="89">
        <v>-0.06</v>
      </c>
      <c r="BH83" s="89">
        <v>0</v>
      </c>
      <c r="BI83" s="89">
        <v>0.06</v>
      </c>
      <c r="BJ83" s="62">
        <v>0.03</v>
      </c>
      <c r="BK83" s="62">
        <v>0.26</v>
      </c>
      <c r="BL83" s="62">
        <v>3.4000000000000002E-2</v>
      </c>
      <c r="BM83" s="62">
        <v>-0.2</v>
      </c>
      <c r="BN83" s="62">
        <v>0</v>
      </c>
      <c r="BO83" s="62">
        <v>-0.39</v>
      </c>
      <c r="BP83" s="62">
        <v>0.02</v>
      </c>
      <c r="BQ83" s="62">
        <v>0.5</v>
      </c>
      <c r="BR83" s="62">
        <v>3.4000000000000002E-2</v>
      </c>
      <c r="BS83" s="62">
        <v>-7.0000000000000007E-2</v>
      </c>
      <c r="BT83" s="62">
        <v>5.0000000000000001E-3</v>
      </c>
      <c r="BU83" s="62">
        <v>0.3</v>
      </c>
      <c r="BV83" s="62">
        <v>0</v>
      </c>
      <c r="BW83" s="62">
        <v>0.26</v>
      </c>
      <c r="BX83" s="62">
        <v>0</v>
      </c>
      <c r="BY83" s="62">
        <v>-2.1000000000000001E-2</v>
      </c>
      <c r="BZ83" s="62">
        <v>5.7500000000000002E-2</v>
      </c>
      <c r="CA83" s="62">
        <v>0.14499999999999999</v>
      </c>
      <c r="CB83" s="62">
        <v>5.0000000000000001E-3</v>
      </c>
      <c r="CC83" s="62">
        <v>-2.1000000000000001E-2</v>
      </c>
      <c r="CD83" s="62">
        <v>3.5000000000000001E-3</v>
      </c>
      <c r="CE83" s="62">
        <v>2.5000000000000001E-3</v>
      </c>
      <c r="CF83" s="62">
        <v>2.5000000000000001E-3</v>
      </c>
      <c r="CG83" s="62">
        <v>-2.1000000000000001E-2</v>
      </c>
      <c r="CH83" s="62">
        <v>3.5000000000000001E-3</v>
      </c>
      <c r="CI83" s="62">
        <v>-0.13650000000000001</v>
      </c>
      <c r="CJ83" s="62">
        <v>2.5000000000000001E-3</v>
      </c>
      <c r="CK83" s="62">
        <v>7.7499999999999999E-2</v>
      </c>
      <c r="CL83" s="62">
        <v>2.5000000000000001E-3</v>
      </c>
      <c r="CM83" s="62">
        <v>-7.1999999999999995E-2</v>
      </c>
      <c r="CN83" s="62">
        <v>7.4999999999999997E-3</v>
      </c>
      <c r="CO83" s="62">
        <v>-1.7000000000000001E-2</v>
      </c>
      <c r="CP83" s="62">
        <v>5.0000000000000001E-3</v>
      </c>
      <c r="CQ83" s="62">
        <v>2.3E-2</v>
      </c>
      <c r="CR83" s="62">
        <v>7.4999999999999997E-3</v>
      </c>
      <c r="CS83" s="62">
        <v>0.38</v>
      </c>
      <c r="CT83" s="62">
        <v>0.02</v>
      </c>
      <c r="CU83" s="62">
        <v>-0.2</v>
      </c>
      <c r="CV83" s="62">
        <v>0</v>
      </c>
      <c r="CW83" s="62">
        <v>0.19500000000000001</v>
      </c>
      <c r="CX83" s="62">
        <v>7.4999999999999997E-3</v>
      </c>
      <c r="CY83" s="62">
        <v>-0.65</v>
      </c>
      <c r="CZ83" s="62">
        <v>0</v>
      </c>
      <c r="DA83" s="62">
        <v>-0.47</v>
      </c>
      <c r="DB83" s="62">
        <v>0</v>
      </c>
      <c r="DC83" s="62">
        <v>0.6</v>
      </c>
      <c r="DE83" s="62">
        <v>-5.2499999999999998E-2</v>
      </c>
      <c r="DF83" s="62">
        <v>0.01</v>
      </c>
      <c r="DG83" s="62">
        <v>1.0999999999999999E-2</v>
      </c>
      <c r="DH83" s="62">
        <v>0.01</v>
      </c>
      <c r="DI83" s="62">
        <v>-8.9999999999999993E-3</v>
      </c>
      <c r="DJ83" s="62">
        <v>7.4999999999999997E-3</v>
      </c>
      <c r="DK83" s="62">
        <v>-0.1215</v>
      </c>
      <c r="DL83" s="62">
        <v>5.0000000000000001E-3</v>
      </c>
      <c r="DM83" s="62">
        <v>-6.3E-2</v>
      </c>
      <c r="DN83" s="62">
        <v>2.5000000000000001E-3</v>
      </c>
      <c r="DO83" s="62">
        <v>-8.5500000000000007E-2</v>
      </c>
      <c r="DP83" s="62">
        <v>2.5000000000000001E-3</v>
      </c>
      <c r="DQ83" s="62">
        <v>-0.1515</v>
      </c>
      <c r="DR83" s="62">
        <v>-5.0000000000000001E-3</v>
      </c>
      <c r="DS83" s="62">
        <v>0.36</v>
      </c>
      <c r="DT83" s="62">
        <v>5.0000000000000001E-3</v>
      </c>
      <c r="DU83" s="62">
        <v>5.3750000000000304E-4</v>
      </c>
      <c r="DV83" s="62">
        <v>0</v>
      </c>
    </row>
    <row r="84" spans="4:126" x14ac:dyDescent="0.25">
      <c r="D84" s="91">
        <v>39203</v>
      </c>
      <c r="F84" s="89">
        <v>3.4344999999999999</v>
      </c>
      <c r="G84" s="90">
        <v>5.4567207631218001E-2</v>
      </c>
      <c r="H84" s="89">
        <v>0.24</v>
      </c>
      <c r="I84" s="89">
        <v>0.45</v>
      </c>
      <c r="J84" s="89">
        <v>0.5</v>
      </c>
      <c r="K84" s="89">
        <v>0.4</v>
      </c>
      <c r="L84" s="87">
        <v>0.4</v>
      </c>
      <c r="M84" s="87">
        <v>0.45</v>
      </c>
      <c r="N84" s="89">
        <v>0.5</v>
      </c>
      <c r="O84" s="89">
        <v>0.45</v>
      </c>
      <c r="P84" s="89">
        <v>0.4</v>
      </c>
      <c r="Q84" s="89">
        <v>0.45</v>
      </c>
      <c r="R84" s="90">
        <v>0.45</v>
      </c>
      <c r="S84" s="90">
        <v>0.5</v>
      </c>
      <c r="T84" s="89">
        <v>0.45</v>
      </c>
      <c r="U84" s="89">
        <v>0.5</v>
      </c>
      <c r="V84" s="89">
        <v>0.5</v>
      </c>
      <c r="W84" s="89">
        <v>-0.09</v>
      </c>
      <c r="X84" s="89">
        <v>0</v>
      </c>
      <c r="Y84" s="89">
        <v>0.04</v>
      </c>
      <c r="Z84" s="89">
        <v>5.0000000000000001E-3</v>
      </c>
      <c r="AA84" s="89">
        <v>0.19</v>
      </c>
      <c r="AB84" s="89">
        <v>0</v>
      </c>
      <c r="AC84" s="89">
        <v>0.155</v>
      </c>
      <c r="AD84" s="89">
        <v>0</v>
      </c>
      <c r="AE84" s="89">
        <v>0.19</v>
      </c>
      <c r="AF84" s="89">
        <v>0</v>
      </c>
      <c r="AG84" s="89">
        <v>0.14499999999999999</v>
      </c>
      <c r="AH84" s="89">
        <v>0</v>
      </c>
      <c r="AI84" s="89">
        <v>0.155</v>
      </c>
      <c r="AJ84" s="89">
        <v>0</v>
      </c>
      <c r="AK84" s="89">
        <v>0.04</v>
      </c>
      <c r="AL84" s="89">
        <v>0.04</v>
      </c>
      <c r="AM84" s="89">
        <v>-0.06</v>
      </c>
      <c r="AN84" s="89">
        <v>1.7000000000000001E-2</v>
      </c>
      <c r="AO84" s="89">
        <v>-0.435</v>
      </c>
      <c r="AP84" s="89">
        <v>0.155</v>
      </c>
      <c r="AQ84" s="89">
        <v>-5.5E-2</v>
      </c>
      <c r="AR84" s="89">
        <v>0</v>
      </c>
      <c r="AS84" s="89">
        <v>-0.15</v>
      </c>
      <c r="AT84" s="89">
        <v>-1.4999999999999999E-2</v>
      </c>
      <c r="AU84" s="89">
        <v>-0.11</v>
      </c>
      <c r="AV84" s="89">
        <v>0.02</v>
      </c>
      <c r="AW84" s="89">
        <v>-6.5000000000000002E-2</v>
      </c>
      <c r="AX84" s="89">
        <v>0.01</v>
      </c>
      <c r="AY84" s="90">
        <v>0.125</v>
      </c>
      <c r="AZ84" s="90">
        <v>0</v>
      </c>
      <c r="BA84" s="90">
        <v>-0.19500000000000001</v>
      </c>
      <c r="BB84" s="89">
        <v>2.5000000000000001E-3</v>
      </c>
      <c r="BC84" s="89">
        <v>-7.0000000000000007E-2</v>
      </c>
      <c r="BD84" s="89">
        <v>5.0000000000000001E-3</v>
      </c>
      <c r="BE84" s="89">
        <v>0.26</v>
      </c>
      <c r="BF84" s="89">
        <v>3.4000000000000002E-2</v>
      </c>
      <c r="BG84" s="89">
        <v>-0.06</v>
      </c>
      <c r="BH84" s="89">
        <v>0</v>
      </c>
      <c r="BI84" s="89">
        <v>0.06</v>
      </c>
      <c r="BJ84" s="62">
        <v>0.03</v>
      </c>
      <c r="BK84" s="62">
        <v>0.26</v>
      </c>
      <c r="BL84" s="62">
        <v>3.4000000000000002E-2</v>
      </c>
      <c r="BM84" s="62">
        <v>-0.2</v>
      </c>
      <c r="BN84" s="62">
        <v>0</v>
      </c>
      <c r="BO84" s="62">
        <v>-0.39</v>
      </c>
      <c r="BP84" s="62">
        <v>0.02</v>
      </c>
      <c r="BQ84" s="62">
        <v>0.5</v>
      </c>
      <c r="BR84" s="62">
        <v>3.4000000000000002E-2</v>
      </c>
      <c r="BS84" s="62">
        <v>-7.0000000000000007E-2</v>
      </c>
      <c r="BT84" s="62">
        <v>5.0000000000000001E-3</v>
      </c>
      <c r="BU84" s="62">
        <v>0.3</v>
      </c>
      <c r="BV84" s="62">
        <v>0</v>
      </c>
      <c r="BW84" s="62">
        <v>0.26</v>
      </c>
      <c r="BX84" s="62">
        <v>0</v>
      </c>
      <c r="BY84" s="62">
        <v>-2.1000000000000001E-2</v>
      </c>
      <c r="BZ84" s="62">
        <v>5.7500000000000002E-2</v>
      </c>
      <c r="CA84" s="62">
        <v>0.125</v>
      </c>
      <c r="CB84" s="62">
        <v>5.0000000000000001E-3</v>
      </c>
      <c r="CC84" s="62">
        <v>-2.1000000000000001E-2</v>
      </c>
      <c r="CD84" s="62">
        <v>3.5000000000000001E-3</v>
      </c>
      <c r="CE84" s="62">
        <v>2.5000000000000001E-3</v>
      </c>
      <c r="CF84" s="62">
        <v>2.5000000000000001E-3</v>
      </c>
      <c r="CG84" s="62">
        <v>-2.1000000000000001E-2</v>
      </c>
      <c r="CH84" s="62">
        <v>3.5000000000000001E-3</v>
      </c>
      <c r="CI84" s="62">
        <v>-0.124</v>
      </c>
      <c r="CJ84" s="62">
        <v>2.5000000000000001E-3</v>
      </c>
      <c r="CK84" s="62">
        <v>7.7499999999999999E-2</v>
      </c>
      <c r="CL84" s="62">
        <v>2.5000000000000001E-3</v>
      </c>
      <c r="CM84" s="62">
        <v>-7.1999999999999995E-2</v>
      </c>
      <c r="CN84" s="62">
        <v>7.4999999999999997E-3</v>
      </c>
      <c r="CO84" s="62">
        <v>-1.7000000000000001E-2</v>
      </c>
      <c r="CP84" s="62">
        <v>5.0000000000000001E-3</v>
      </c>
      <c r="CQ84" s="62">
        <v>2.3E-2</v>
      </c>
      <c r="CR84" s="62">
        <v>7.4999999999999997E-3</v>
      </c>
      <c r="CS84" s="62">
        <v>0.33</v>
      </c>
      <c r="CT84" s="62">
        <v>0.02</v>
      </c>
      <c r="CU84" s="62">
        <v>-0.2</v>
      </c>
      <c r="CV84" s="62">
        <v>0</v>
      </c>
      <c r="CW84" s="62">
        <v>0.13500000000000001</v>
      </c>
      <c r="CX84" s="62">
        <v>7.4999999999999997E-3</v>
      </c>
      <c r="CY84" s="62">
        <v>-0.65</v>
      </c>
      <c r="CZ84" s="62">
        <v>0</v>
      </c>
      <c r="DA84" s="62">
        <v>-0.47</v>
      </c>
      <c r="DB84" s="62">
        <v>0</v>
      </c>
      <c r="DC84" s="62">
        <v>0.75</v>
      </c>
      <c r="DE84" s="62">
        <v>-5.2499999999999998E-2</v>
      </c>
      <c r="DF84" s="62">
        <v>0.01</v>
      </c>
      <c r="DG84" s="62">
        <v>1.35E-2</v>
      </c>
      <c r="DH84" s="62">
        <v>0.01</v>
      </c>
      <c r="DI84" s="62">
        <v>-6.4999999999999997E-3</v>
      </c>
      <c r="DJ84" s="62">
        <v>7.4999999999999997E-3</v>
      </c>
      <c r="DK84" s="62">
        <v>-9.9000000000000005E-2</v>
      </c>
      <c r="DL84" s="62">
        <v>5.0000000000000001E-3</v>
      </c>
      <c r="DM84" s="62">
        <v>-6.3E-2</v>
      </c>
      <c r="DN84" s="62">
        <v>2.5000000000000001E-3</v>
      </c>
      <c r="DO84" s="62">
        <v>-8.5500000000000007E-2</v>
      </c>
      <c r="DP84" s="62">
        <v>2.5000000000000001E-3</v>
      </c>
      <c r="DQ84" s="62">
        <v>-0.129</v>
      </c>
      <c r="DR84" s="62">
        <v>-5.0000000000000001E-3</v>
      </c>
      <c r="DS84" s="62">
        <v>0.32500000000000001</v>
      </c>
      <c r="DT84" s="62">
        <v>5.0000000000000001E-3</v>
      </c>
      <c r="DU84" s="62">
        <v>5.59500000000004E-4</v>
      </c>
      <c r="DV84" s="62">
        <v>0</v>
      </c>
    </row>
    <row r="85" spans="4:126" x14ac:dyDescent="0.25">
      <c r="D85" s="91">
        <v>39234</v>
      </c>
      <c r="F85" s="89">
        <v>3.4695</v>
      </c>
      <c r="G85" s="90">
        <v>5.4751223720142399E-2</v>
      </c>
      <c r="H85" s="89">
        <v>0.24</v>
      </c>
      <c r="I85" s="89">
        <v>0.45</v>
      </c>
      <c r="J85" s="89">
        <v>0.5</v>
      </c>
      <c r="K85" s="89">
        <v>0.4</v>
      </c>
      <c r="L85" s="87">
        <v>0.5</v>
      </c>
      <c r="M85" s="87">
        <v>0.45</v>
      </c>
      <c r="N85" s="89">
        <v>0.5</v>
      </c>
      <c r="O85" s="89">
        <v>0.5</v>
      </c>
      <c r="P85" s="89">
        <v>0.5</v>
      </c>
      <c r="Q85" s="89">
        <v>0.5</v>
      </c>
      <c r="R85" s="90">
        <v>0.45</v>
      </c>
      <c r="S85" s="90">
        <v>0.5</v>
      </c>
      <c r="T85" s="89">
        <v>0.45</v>
      </c>
      <c r="U85" s="89">
        <v>0.5</v>
      </c>
      <c r="V85" s="89">
        <v>0.6</v>
      </c>
      <c r="W85" s="89">
        <v>-0.09</v>
      </c>
      <c r="X85" s="89">
        <v>0</v>
      </c>
      <c r="Y85" s="89">
        <v>0.04</v>
      </c>
      <c r="Z85" s="89">
        <v>5.0000000000000001E-3</v>
      </c>
      <c r="AA85" s="89">
        <v>0.19</v>
      </c>
      <c r="AB85" s="89">
        <v>0</v>
      </c>
      <c r="AC85" s="89">
        <v>0.155</v>
      </c>
      <c r="AD85" s="89">
        <v>0</v>
      </c>
      <c r="AE85" s="89">
        <v>0.19</v>
      </c>
      <c r="AF85" s="89">
        <v>0</v>
      </c>
      <c r="AG85" s="89">
        <v>0.14499999999999999</v>
      </c>
      <c r="AH85" s="89">
        <v>0</v>
      </c>
      <c r="AI85" s="89">
        <v>0.155</v>
      </c>
      <c r="AJ85" s="89">
        <v>0</v>
      </c>
      <c r="AK85" s="89">
        <v>0.04</v>
      </c>
      <c r="AL85" s="89">
        <v>0.04</v>
      </c>
      <c r="AM85" s="89">
        <v>-0.06</v>
      </c>
      <c r="AN85" s="89">
        <v>1.7000000000000001E-2</v>
      </c>
      <c r="AO85" s="89">
        <v>-0.435</v>
      </c>
      <c r="AP85" s="89">
        <v>0.155</v>
      </c>
      <c r="AQ85" s="89">
        <v>-5.5E-2</v>
      </c>
      <c r="AR85" s="89">
        <v>0</v>
      </c>
      <c r="AS85" s="89">
        <v>-0.15</v>
      </c>
      <c r="AT85" s="89">
        <v>-1.4999999999999999E-2</v>
      </c>
      <c r="AU85" s="89">
        <v>-0.11</v>
      </c>
      <c r="AV85" s="89">
        <v>0.02</v>
      </c>
      <c r="AW85" s="89">
        <v>-6.5000000000000002E-2</v>
      </c>
      <c r="AX85" s="89">
        <v>0.01</v>
      </c>
      <c r="AY85" s="90">
        <v>0.125</v>
      </c>
      <c r="AZ85" s="90">
        <v>0</v>
      </c>
      <c r="BA85" s="90">
        <v>-0.19500000000000001</v>
      </c>
      <c r="BB85" s="89">
        <v>2.5000000000000001E-3</v>
      </c>
      <c r="BC85" s="89">
        <v>-7.0000000000000007E-2</v>
      </c>
      <c r="BD85" s="89">
        <v>5.0000000000000001E-3</v>
      </c>
      <c r="BE85" s="89">
        <v>0.26</v>
      </c>
      <c r="BF85" s="89">
        <v>3.4000000000000002E-2</v>
      </c>
      <c r="BG85" s="89">
        <v>-0.06</v>
      </c>
      <c r="BH85" s="89">
        <v>0</v>
      </c>
      <c r="BI85" s="89">
        <v>0.06</v>
      </c>
      <c r="BJ85" s="62">
        <v>0.03</v>
      </c>
      <c r="BK85" s="62">
        <v>0.26</v>
      </c>
      <c r="BL85" s="62">
        <v>3.4000000000000002E-2</v>
      </c>
      <c r="BM85" s="62">
        <v>-0.2</v>
      </c>
      <c r="BN85" s="62">
        <v>0</v>
      </c>
      <c r="BO85" s="62">
        <v>-0.39</v>
      </c>
      <c r="BP85" s="62">
        <v>0.02</v>
      </c>
      <c r="BQ85" s="62">
        <v>0.5</v>
      </c>
      <c r="BR85" s="62">
        <v>3.4000000000000002E-2</v>
      </c>
      <c r="BS85" s="62">
        <v>-7.0000000000000007E-2</v>
      </c>
      <c r="BT85" s="62">
        <v>5.0000000000000001E-3</v>
      </c>
      <c r="BU85" s="62">
        <v>0.3</v>
      </c>
      <c r="BV85" s="62">
        <v>0</v>
      </c>
      <c r="BW85" s="62">
        <v>0.26</v>
      </c>
      <c r="BX85" s="62">
        <v>0</v>
      </c>
      <c r="BY85" s="62">
        <v>-2.1000000000000001E-2</v>
      </c>
      <c r="BZ85" s="62">
        <v>5.7500000000000002E-2</v>
      </c>
      <c r="CA85" s="62">
        <v>0.14499999999999999</v>
      </c>
      <c r="CB85" s="62">
        <v>5.0000000000000001E-3</v>
      </c>
      <c r="CC85" s="62">
        <v>-2.1000000000000001E-2</v>
      </c>
      <c r="CD85" s="62">
        <v>3.5000000000000001E-3</v>
      </c>
      <c r="CE85" s="62">
        <v>2.5000000000000001E-3</v>
      </c>
      <c r="CF85" s="62">
        <v>2.5000000000000001E-3</v>
      </c>
      <c r="CG85" s="62">
        <v>-2.1000000000000001E-2</v>
      </c>
      <c r="CH85" s="62">
        <v>3.5000000000000001E-3</v>
      </c>
      <c r="CI85" s="62">
        <v>-8.1500000000000003E-2</v>
      </c>
      <c r="CJ85" s="62">
        <v>2.5000000000000001E-3</v>
      </c>
      <c r="CK85" s="62">
        <v>7.7499999999999999E-2</v>
      </c>
      <c r="CL85" s="62">
        <v>2.5000000000000001E-3</v>
      </c>
      <c r="CM85" s="62">
        <v>-7.1999999999999995E-2</v>
      </c>
      <c r="CN85" s="62">
        <v>7.4999999999999997E-3</v>
      </c>
      <c r="CO85" s="62">
        <v>-1.7000000000000001E-2</v>
      </c>
      <c r="CP85" s="62">
        <v>5.0000000000000001E-3</v>
      </c>
      <c r="CQ85" s="62">
        <v>2.3E-2</v>
      </c>
      <c r="CR85" s="62">
        <v>7.4999999999999997E-3</v>
      </c>
      <c r="CS85" s="62">
        <v>0.37</v>
      </c>
      <c r="CT85" s="62">
        <v>3.5000000000000003E-2</v>
      </c>
      <c r="CU85" s="62">
        <v>-0.2</v>
      </c>
      <c r="CV85" s="62">
        <v>0</v>
      </c>
      <c r="CW85" s="62">
        <v>0.16500000000000001</v>
      </c>
      <c r="CX85" s="62">
        <v>7.4999999999999997E-3</v>
      </c>
      <c r="CY85" s="62">
        <v>-0.65</v>
      </c>
      <c r="CZ85" s="62">
        <v>0</v>
      </c>
      <c r="DA85" s="62">
        <v>-0.47</v>
      </c>
      <c r="DB85" s="62">
        <v>0</v>
      </c>
      <c r="DC85" s="62">
        <v>0.85</v>
      </c>
      <c r="DE85" s="62">
        <v>-0.05</v>
      </c>
      <c r="DF85" s="62">
        <v>0.01</v>
      </c>
      <c r="DG85" s="62">
        <v>1.35E-2</v>
      </c>
      <c r="DH85" s="62">
        <v>0.01</v>
      </c>
      <c r="DI85" s="62">
        <v>-6.4999999999999997E-3</v>
      </c>
      <c r="DJ85" s="62">
        <v>7.4999999999999997E-3</v>
      </c>
      <c r="DK85" s="62">
        <v>-4.65E-2</v>
      </c>
      <c r="DL85" s="62">
        <v>5.0000000000000001E-3</v>
      </c>
      <c r="DM85" s="62">
        <v>-6.3E-2</v>
      </c>
      <c r="DN85" s="62">
        <v>2.5000000000000001E-3</v>
      </c>
      <c r="DO85" s="62">
        <v>-8.5500000000000007E-2</v>
      </c>
      <c r="DP85" s="62">
        <v>2.5000000000000001E-3</v>
      </c>
      <c r="DQ85" s="62">
        <v>-7.6499999999999999E-2</v>
      </c>
      <c r="DR85" s="62">
        <v>-5.0000000000000001E-3</v>
      </c>
      <c r="DS85" s="62">
        <v>0.33500000000000002</v>
      </c>
      <c r="DT85" s="62">
        <v>5.0000000000000001E-3</v>
      </c>
      <c r="DU85" s="62">
        <v>1.19500000000002E-4</v>
      </c>
      <c r="DV85" s="62">
        <v>0</v>
      </c>
    </row>
    <row r="86" spans="4:126" x14ac:dyDescent="0.25">
      <c r="D86" s="91">
        <v>39264</v>
      </c>
      <c r="F86" s="89">
        <v>3.5095000000000001</v>
      </c>
      <c r="G86" s="90">
        <v>5.4929303816937801E-2</v>
      </c>
      <c r="H86" s="89">
        <v>0.24</v>
      </c>
      <c r="I86" s="89">
        <v>0.5</v>
      </c>
      <c r="J86" s="89">
        <v>0.5</v>
      </c>
      <c r="K86" s="89">
        <v>0.4</v>
      </c>
      <c r="L86" s="87">
        <v>0.5</v>
      </c>
      <c r="M86" s="87">
        <v>0.5</v>
      </c>
      <c r="N86" s="89">
        <v>0.5</v>
      </c>
      <c r="O86" s="89">
        <v>0.5</v>
      </c>
      <c r="P86" s="89">
        <v>0.5</v>
      </c>
      <c r="Q86" s="89">
        <v>0.5</v>
      </c>
      <c r="R86" s="90">
        <v>0.5</v>
      </c>
      <c r="S86" s="90">
        <v>0.55000000000000004</v>
      </c>
      <c r="T86" s="89">
        <v>0.5</v>
      </c>
      <c r="U86" s="89">
        <v>0.5</v>
      </c>
      <c r="V86" s="89">
        <v>0.6</v>
      </c>
      <c r="W86" s="89">
        <v>-0.09</v>
      </c>
      <c r="X86" s="89">
        <v>0</v>
      </c>
      <c r="Y86" s="89">
        <v>0.04</v>
      </c>
      <c r="Z86" s="89">
        <v>5.0000000000000001E-3</v>
      </c>
      <c r="AA86" s="89">
        <v>0.19</v>
      </c>
      <c r="AB86" s="89">
        <v>0</v>
      </c>
      <c r="AC86" s="89">
        <v>0.155</v>
      </c>
      <c r="AD86" s="89">
        <v>0</v>
      </c>
      <c r="AE86" s="89">
        <v>0.19</v>
      </c>
      <c r="AF86" s="89">
        <v>0</v>
      </c>
      <c r="AG86" s="89">
        <v>0.14499999999999999</v>
      </c>
      <c r="AH86" s="89">
        <v>0</v>
      </c>
      <c r="AI86" s="89">
        <v>0.155</v>
      </c>
      <c r="AJ86" s="89">
        <v>0</v>
      </c>
      <c r="AK86" s="89">
        <v>0.04</v>
      </c>
      <c r="AL86" s="89">
        <v>0.04</v>
      </c>
      <c r="AM86" s="89">
        <v>-0.06</v>
      </c>
      <c r="AN86" s="89">
        <v>1.7000000000000001E-2</v>
      </c>
      <c r="AO86" s="89">
        <v>-0.435</v>
      </c>
      <c r="AP86" s="89">
        <v>0.155</v>
      </c>
      <c r="AQ86" s="89">
        <v>-5.5E-2</v>
      </c>
      <c r="AR86" s="89">
        <v>0</v>
      </c>
      <c r="AS86" s="89">
        <v>-0.15</v>
      </c>
      <c r="AT86" s="89">
        <v>-1.4999999999999999E-2</v>
      </c>
      <c r="AU86" s="89">
        <v>-0.11</v>
      </c>
      <c r="AV86" s="89">
        <v>0.02</v>
      </c>
      <c r="AW86" s="89">
        <v>-6.5000000000000002E-2</v>
      </c>
      <c r="AX86" s="89">
        <v>0.01</v>
      </c>
      <c r="AY86" s="90">
        <v>0.125</v>
      </c>
      <c r="AZ86" s="90">
        <v>0</v>
      </c>
      <c r="BA86" s="90">
        <v>-0.19500000000000001</v>
      </c>
      <c r="BB86" s="89">
        <v>2.5000000000000001E-3</v>
      </c>
      <c r="BC86" s="89">
        <v>-7.0000000000000007E-2</v>
      </c>
      <c r="BD86" s="89">
        <v>5.0000000000000001E-3</v>
      </c>
      <c r="BE86" s="89">
        <v>0.26</v>
      </c>
      <c r="BF86" s="89">
        <v>3.4000000000000002E-2</v>
      </c>
      <c r="BG86" s="89">
        <v>-0.06</v>
      </c>
      <c r="BH86" s="89">
        <v>0</v>
      </c>
      <c r="BI86" s="89">
        <v>0.06</v>
      </c>
      <c r="BJ86" s="62">
        <v>0.03</v>
      </c>
      <c r="BK86" s="62">
        <v>0.26</v>
      </c>
      <c r="BL86" s="62">
        <v>3.4000000000000002E-2</v>
      </c>
      <c r="BM86" s="62">
        <v>-0.2</v>
      </c>
      <c r="BN86" s="62">
        <v>0</v>
      </c>
      <c r="BO86" s="62">
        <v>-0.39</v>
      </c>
      <c r="BP86" s="62">
        <v>0.02</v>
      </c>
      <c r="BQ86" s="62">
        <v>0.5</v>
      </c>
      <c r="BR86" s="62">
        <v>3.4000000000000002E-2</v>
      </c>
      <c r="BS86" s="62">
        <v>-7.0000000000000007E-2</v>
      </c>
      <c r="BT86" s="62">
        <v>5.0000000000000001E-3</v>
      </c>
      <c r="BU86" s="62">
        <v>0.3</v>
      </c>
      <c r="BV86" s="62">
        <v>0</v>
      </c>
      <c r="BW86" s="62">
        <v>0.26</v>
      </c>
      <c r="BX86" s="62">
        <v>0</v>
      </c>
      <c r="BY86" s="62">
        <v>-2.1000000000000001E-2</v>
      </c>
      <c r="BZ86" s="62">
        <v>5.7500000000000002E-2</v>
      </c>
      <c r="CA86" s="62">
        <v>0.15</v>
      </c>
      <c r="CB86" s="62">
        <v>5.0000000000000001E-3</v>
      </c>
      <c r="CC86" s="62">
        <v>-2.1000000000000001E-2</v>
      </c>
      <c r="CD86" s="62">
        <v>3.5000000000000001E-3</v>
      </c>
      <c r="CE86" s="62">
        <v>2.5000000000000001E-3</v>
      </c>
      <c r="CF86" s="62">
        <v>2.5000000000000001E-3</v>
      </c>
      <c r="CG86" s="62">
        <v>-2.1000000000000001E-2</v>
      </c>
      <c r="CH86" s="62">
        <v>3.5000000000000001E-3</v>
      </c>
      <c r="CI86" s="62">
        <v>-7.9000000000000001E-2</v>
      </c>
      <c r="CJ86" s="62">
        <v>2.5000000000000001E-3</v>
      </c>
      <c r="CK86" s="62">
        <v>7.7499999999999999E-2</v>
      </c>
      <c r="CL86" s="62">
        <v>2.5000000000000001E-3</v>
      </c>
      <c r="CM86" s="62">
        <v>-7.1999999999999995E-2</v>
      </c>
      <c r="CN86" s="62">
        <v>7.4999999999999997E-3</v>
      </c>
      <c r="CO86" s="62">
        <v>-1.7000000000000001E-2</v>
      </c>
      <c r="CP86" s="62">
        <v>5.0000000000000001E-3</v>
      </c>
      <c r="CQ86" s="62">
        <v>2.3E-2</v>
      </c>
      <c r="CR86" s="62">
        <v>7.4999999999999997E-3</v>
      </c>
      <c r="CS86" s="62">
        <v>0.41</v>
      </c>
      <c r="CT86" s="62">
        <v>3.5000000000000003E-2</v>
      </c>
      <c r="CU86" s="62">
        <v>-0.2</v>
      </c>
      <c r="CV86" s="62">
        <v>0</v>
      </c>
      <c r="CW86" s="62">
        <v>0.20499999999999999</v>
      </c>
      <c r="CX86" s="62">
        <v>7.4999999999999997E-3</v>
      </c>
      <c r="CY86" s="62">
        <v>-0.65</v>
      </c>
      <c r="CZ86" s="62">
        <v>0</v>
      </c>
      <c r="DA86" s="62">
        <v>-0.47</v>
      </c>
      <c r="DB86" s="62">
        <v>0</v>
      </c>
      <c r="DC86" s="62">
        <v>1.05</v>
      </c>
      <c r="DE86" s="62">
        <v>-0.05</v>
      </c>
      <c r="DF86" s="62">
        <v>0.01</v>
      </c>
      <c r="DG86" s="62">
        <v>1.35E-2</v>
      </c>
      <c r="DH86" s="62">
        <v>0.01</v>
      </c>
      <c r="DI86" s="62">
        <v>-6.4999999999999997E-3</v>
      </c>
      <c r="DJ86" s="62">
        <v>7.4999999999999997E-3</v>
      </c>
      <c r="DK86" s="62">
        <v>-5.6500000000000002E-2</v>
      </c>
      <c r="DL86" s="62">
        <v>5.0000000000000001E-3</v>
      </c>
      <c r="DM86" s="62">
        <v>-6.3E-2</v>
      </c>
      <c r="DN86" s="62">
        <v>2.5000000000000001E-3</v>
      </c>
      <c r="DO86" s="62">
        <v>-8.5500000000000007E-2</v>
      </c>
      <c r="DP86" s="62">
        <v>2.5000000000000001E-3</v>
      </c>
      <c r="DQ86" s="62">
        <v>-8.6499999999999994E-2</v>
      </c>
      <c r="DR86" s="62">
        <v>-5.0000000000000001E-3</v>
      </c>
      <c r="DS86" s="62">
        <v>0.35</v>
      </c>
      <c r="DT86" s="62">
        <v>5.0000000000000001E-3</v>
      </c>
      <c r="DU86" s="62">
        <v>3.4249999999999602E-4</v>
      </c>
      <c r="DV86" s="62">
        <v>0</v>
      </c>
    </row>
    <row r="87" spans="4:126" x14ac:dyDescent="0.25">
      <c r="D87" s="91">
        <v>39295</v>
      </c>
      <c r="F87" s="89">
        <v>3.5495000000000001</v>
      </c>
      <c r="G87" s="90">
        <v>5.5113319928056501E-2</v>
      </c>
      <c r="H87" s="89">
        <v>0.24</v>
      </c>
      <c r="I87" s="89">
        <v>0.55000000000000004</v>
      </c>
      <c r="J87" s="89">
        <v>0.55000000000000004</v>
      </c>
      <c r="K87" s="89">
        <v>0.5</v>
      </c>
      <c r="L87" s="87">
        <v>0.6</v>
      </c>
      <c r="M87" s="87">
        <v>0.55000000000000004</v>
      </c>
      <c r="N87" s="89">
        <v>0.6</v>
      </c>
      <c r="O87" s="89">
        <v>0.55000000000000004</v>
      </c>
      <c r="P87" s="89">
        <v>0.6</v>
      </c>
      <c r="Q87" s="89">
        <v>0.45</v>
      </c>
      <c r="R87" s="90">
        <v>0.55000000000000004</v>
      </c>
      <c r="S87" s="90">
        <v>0.6</v>
      </c>
      <c r="T87" s="89">
        <v>0.55000000000000004</v>
      </c>
      <c r="U87" s="89">
        <v>0.6</v>
      </c>
      <c r="V87" s="89">
        <v>0.7</v>
      </c>
      <c r="W87" s="89">
        <v>-0.09</v>
      </c>
      <c r="X87" s="89">
        <v>0</v>
      </c>
      <c r="Y87" s="89">
        <v>0.04</v>
      </c>
      <c r="Z87" s="89">
        <v>5.0000000000000001E-3</v>
      </c>
      <c r="AA87" s="89">
        <v>0.19</v>
      </c>
      <c r="AB87" s="89">
        <v>0</v>
      </c>
      <c r="AC87" s="89">
        <v>0.155</v>
      </c>
      <c r="AD87" s="89">
        <v>0</v>
      </c>
      <c r="AE87" s="89">
        <v>0.19</v>
      </c>
      <c r="AF87" s="89">
        <v>0</v>
      </c>
      <c r="AG87" s="89">
        <v>0.14499999999999999</v>
      </c>
      <c r="AH87" s="89">
        <v>0</v>
      </c>
      <c r="AI87" s="89">
        <v>0.155</v>
      </c>
      <c r="AJ87" s="89">
        <v>0</v>
      </c>
      <c r="AK87" s="89">
        <v>0.04</v>
      </c>
      <c r="AL87" s="89">
        <v>0.04</v>
      </c>
      <c r="AM87" s="89">
        <v>-0.06</v>
      </c>
      <c r="AN87" s="89">
        <v>1.7000000000000001E-2</v>
      </c>
      <c r="AO87" s="89">
        <v>-0.435</v>
      </c>
      <c r="AP87" s="89">
        <v>0.155</v>
      </c>
      <c r="AQ87" s="89">
        <v>-5.5E-2</v>
      </c>
      <c r="AR87" s="89">
        <v>0</v>
      </c>
      <c r="AS87" s="89">
        <v>-0.15</v>
      </c>
      <c r="AT87" s="89">
        <v>-1.4999999999999999E-2</v>
      </c>
      <c r="AU87" s="89">
        <v>-0.11</v>
      </c>
      <c r="AV87" s="89">
        <v>0.02</v>
      </c>
      <c r="AW87" s="89">
        <v>-6.5000000000000002E-2</v>
      </c>
      <c r="AX87" s="89">
        <v>0.01</v>
      </c>
      <c r="AY87" s="90">
        <v>0.125</v>
      </c>
      <c r="AZ87" s="90">
        <v>0</v>
      </c>
      <c r="BA87" s="90">
        <v>-0.19500000000000001</v>
      </c>
      <c r="BB87" s="89">
        <v>2.5000000000000001E-3</v>
      </c>
      <c r="BC87" s="89">
        <v>-7.0000000000000007E-2</v>
      </c>
      <c r="BD87" s="89">
        <v>5.0000000000000001E-3</v>
      </c>
      <c r="BE87" s="89">
        <v>0.26</v>
      </c>
      <c r="BF87" s="89">
        <v>3.4000000000000002E-2</v>
      </c>
      <c r="BG87" s="89">
        <v>-0.06</v>
      </c>
      <c r="BH87" s="89">
        <v>0</v>
      </c>
      <c r="BI87" s="89">
        <v>0.06</v>
      </c>
      <c r="BJ87" s="62">
        <v>0.03</v>
      </c>
      <c r="BK87" s="62">
        <v>0.26</v>
      </c>
      <c r="BL87" s="62">
        <v>3.4000000000000002E-2</v>
      </c>
      <c r="BM87" s="62">
        <v>-0.2</v>
      </c>
      <c r="BN87" s="62">
        <v>0</v>
      </c>
      <c r="BO87" s="62">
        <v>-0.39</v>
      </c>
      <c r="BP87" s="62">
        <v>0.02</v>
      </c>
      <c r="BQ87" s="62">
        <v>0.5</v>
      </c>
      <c r="BR87" s="62">
        <v>3.4000000000000002E-2</v>
      </c>
      <c r="BS87" s="62">
        <v>-7.0000000000000007E-2</v>
      </c>
      <c r="BT87" s="62">
        <v>5.0000000000000001E-3</v>
      </c>
      <c r="BU87" s="62">
        <v>0.3</v>
      </c>
      <c r="BV87" s="62">
        <v>0</v>
      </c>
      <c r="BW87" s="62">
        <v>0.26</v>
      </c>
      <c r="BX87" s="62">
        <v>0</v>
      </c>
      <c r="BY87" s="62">
        <v>-2.1000000000000001E-2</v>
      </c>
      <c r="BZ87" s="62">
        <v>5.7500000000000002E-2</v>
      </c>
      <c r="CA87" s="62">
        <v>0.15</v>
      </c>
      <c r="CB87" s="62">
        <v>5.0000000000000001E-3</v>
      </c>
      <c r="CC87" s="62">
        <v>-2.1000000000000001E-2</v>
      </c>
      <c r="CD87" s="62">
        <v>3.5000000000000001E-3</v>
      </c>
      <c r="CE87" s="62">
        <v>2.5000000000000001E-3</v>
      </c>
      <c r="CF87" s="62">
        <v>2.5000000000000001E-3</v>
      </c>
      <c r="CG87" s="62">
        <v>-2.1000000000000001E-2</v>
      </c>
      <c r="CH87" s="62">
        <v>3.5000000000000001E-3</v>
      </c>
      <c r="CI87" s="62">
        <v>-7.6499999999999999E-2</v>
      </c>
      <c r="CJ87" s="62">
        <v>2.5000000000000001E-3</v>
      </c>
      <c r="CK87" s="62">
        <v>7.7499999999999999E-2</v>
      </c>
      <c r="CL87" s="62">
        <v>2.5000000000000001E-3</v>
      </c>
      <c r="CM87" s="62">
        <v>-7.1999999999999995E-2</v>
      </c>
      <c r="CN87" s="62">
        <v>7.4999999999999997E-3</v>
      </c>
      <c r="CO87" s="62">
        <v>-1.7000000000000001E-2</v>
      </c>
      <c r="CP87" s="62">
        <v>5.0000000000000001E-3</v>
      </c>
      <c r="CQ87" s="62">
        <v>2.3E-2</v>
      </c>
      <c r="CR87" s="62">
        <v>7.4999999999999997E-3</v>
      </c>
      <c r="CS87" s="62">
        <v>0.41</v>
      </c>
      <c r="CT87" s="62">
        <v>0.01</v>
      </c>
      <c r="CU87" s="62">
        <v>-0.2</v>
      </c>
      <c r="CV87" s="62">
        <v>0</v>
      </c>
      <c r="CW87" s="62">
        <v>0.20499999999999999</v>
      </c>
      <c r="CX87" s="62">
        <v>7.4999999999999997E-3</v>
      </c>
      <c r="CY87" s="62">
        <v>-0.65</v>
      </c>
      <c r="CZ87" s="62">
        <v>0</v>
      </c>
      <c r="DA87" s="62">
        <v>-0.47</v>
      </c>
      <c r="DB87" s="62">
        <v>0</v>
      </c>
      <c r="DC87" s="62">
        <v>1.05</v>
      </c>
      <c r="DE87" s="62">
        <v>-0.05</v>
      </c>
      <c r="DF87" s="62">
        <v>0.01</v>
      </c>
      <c r="DG87" s="62">
        <v>8.5000000000000006E-3</v>
      </c>
      <c r="DH87" s="62">
        <v>0.01</v>
      </c>
      <c r="DI87" s="62">
        <v>-1.15E-2</v>
      </c>
      <c r="DJ87" s="62">
        <v>7.4999999999999997E-3</v>
      </c>
      <c r="DK87" s="62">
        <v>-5.1499999999999997E-2</v>
      </c>
      <c r="DL87" s="62">
        <v>5.0000000000000001E-3</v>
      </c>
      <c r="DM87" s="62">
        <v>-6.3E-2</v>
      </c>
      <c r="DN87" s="62">
        <v>2.5000000000000001E-3</v>
      </c>
      <c r="DO87" s="62">
        <v>-8.5500000000000007E-2</v>
      </c>
      <c r="DP87" s="62">
        <v>2.5000000000000001E-3</v>
      </c>
      <c r="DQ87" s="62">
        <v>-8.1500000000000003E-2</v>
      </c>
      <c r="DR87" s="62">
        <v>-5.0000000000000001E-3</v>
      </c>
      <c r="DS87" s="62">
        <v>0.35</v>
      </c>
      <c r="DT87" s="62">
        <v>-5.0000000000000001E-3</v>
      </c>
      <c r="DU87" s="62">
        <v>-8.0449999999999999E-4</v>
      </c>
      <c r="DV87" s="62">
        <v>0</v>
      </c>
    </row>
    <row r="88" spans="4:126" x14ac:dyDescent="0.25">
      <c r="D88" s="91">
        <v>39326</v>
      </c>
      <c r="F88" s="89">
        <v>3.5445000000000002</v>
      </c>
      <c r="G88" s="90">
        <v>5.5297336050453602E-2</v>
      </c>
      <c r="H88" s="89">
        <v>0.24</v>
      </c>
      <c r="I88" s="89">
        <v>0.55000000000000004</v>
      </c>
      <c r="J88" s="89">
        <v>0.55000000000000004</v>
      </c>
      <c r="K88" s="89">
        <v>0.55000000000000004</v>
      </c>
      <c r="L88" s="87">
        <v>0.55000000000000004</v>
      </c>
      <c r="M88" s="87">
        <v>0.55000000000000004</v>
      </c>
      <c r="N88" s="89">
        <v>0.6</v>
      </c>
      <c r="O88" s="89">
        <v>0.6</v>
      </c>
      <c r="P88" s="89">
        <v>0.55000000000000004</v>
      </c>
      <c r="Q88" s="89">
        <v>0.5</v>
      </c>
      <c r="R88" s="90">
        <v>0.55000000000000004</v>
      </c>
      <c r="S88" s="90">
        <v>0.6</v>
      </c>
      <c r="T88" s="89">
        <v>0.55000000000000004</v>
      </c>
      <c r="U88" s="89">
        <v>0.6</v>
      </c>
      <c r="V88" s="89">
        <v>0.65</v>
      </c>
      <c r="W88" s="89">
        <v>-0.09</v>
      </c>
      <c r="X88" s="89">
        <v>0</v>
      </c>
      <c r="Y88" s="89">
        <v>0.04</v>
      </c>
      <c r="Z88" s="89">
        <v>5.0000000000000001E-3</v>
      </c>
      <c r="AA88" s="89">
        <v>0.19</v>
      </c>
      <c r="AB88" s="89">
        <v>0</v>
      </c>
      <c r="AC88" s="89">
        <v>0.155</v>
      </c>
      <c r="AD88" s="89">
        <v>0</v>
      </c>
      <c r="AE88" s="89">
        <v>0.19</v>
      </c>
      <c r="AF88" s="89">
        <v>0</v>
      </c>
      <c r="AG88" s="89">
        <v>0.14499999999999999</v>
      </c>
      <c r="AH88" s="89">
        <v>0</v>
      </c>
      <c r="AI88" s="89">
        <v>0.155</v>
      </c>
      <c r="AJ88" s="89">
        <v>0</v>
      </c>
      <c r="AK88" s="89">
        <v>0.04</v>
      </c>
      <c r="AL88" s="89">
        <v>0.04</v>
      </c>
      <c r="AM88" s="89">
        <v>-0.06</v>
      </c>
      <c r="AN88" s="89">
        <v>1.7000000000000001E-2</v>
      </c>
      <c r="AO88" s="89">
        <v>-0.435</v>
      </c>
      <c r="AP88" s="89">
        <v>0.155</v>
      </c>
      <c r="AQ88" s="89">
        <v>-5.5E-2</v>
      </c>
      <c r="AR88" s="89">
        <v>0</v>
      </c>
      <c r="AS88" s="89">
        <v>-0.15</v>
      </c>
      <c r="AT88" s="89">
        <v>-1.4999999999999999E-2</v>
      </c>
      <c r="AU88" s="89">
        <v>-0.11</v>
      </c>
      <c r="AV88" s="89">
        <v>0.02</v>
      </c>
      <c r="AW88" s="89">
        <v>-6.5000000000000002E-2</v>
      </c>
      <c r="AX88" s="89">
        <v>0.01</v>
      </c>
      <c r="AY88" s="90">
        <v>0.125</v>
      </c>
      <c r="AZ88" s="90">
        <v>0</v>
      </c>
      <c r="BA88" s="90">
        <v>-0.19500000000000001</v>
      </c>
      <c r="BB88" s="89">
        <v>2.5000000000000001E-3</v>
      </c>
      <c r="BC88" s="89">
        <v>-7.0000000000000007E-2</v>
      </c>
      <c r="BD88" s="89">
        <v>5.0000000000000001E-3</v>
      </c>
      <c r="BE88" s="89">
        <v>0.26</v>
      </c>
      <c r="BF88" s="89">
        <v>3.4000000000000002E-2</v>
      </c>
      <c r="BG88" s="89">
        <v>-0.06</v>
      </c>
      <c r="BH88" s="89">
        <v>0</v>
      </c>
      <c r="BI88" s="89">
        <v>0.06</v>
      </c>
      <c r="BJ88" s="62">
        <v>0.03</v>
      </c>
      <c r="BK88" s="62">
        <v>0.26</v>
      </c>
      <c r="BL88" s="62">
        <v>3.4000000000000002E-2</v>
      </c>
      <c r="BM88" s="62">
        <v>-0.2</v>
      </c>
      <c r="BN88" s="62">
        <v>0</v>
      </c>
      <c r="BO88" s="62">
        <v>-0.39</v>
      </c>
      <c r="BP88" s="62">
        <v>0.02</v>
      </c>
      <c r="BQ88" s="62">
        <v>0.5</v>
      </c>
      <c r="BR88" s="62">
        <v>3.4000000000000002E-2</v>
      </c>
      <c r="BS88" s="62">
        <v>-7.0000000000000007E-2</v>
      </c>
      <c r="BT88" s="62">
        <v>5.0000000000000001E-3</v>
      </c>
      <c r="BU88" s="62">
        <v>0.3</v>
      </c>
      <c r="BV88" s="62">
        <v>0</v>
      </c>
      <c r="BW88" s="62">
        <v>0.26</v>
      </c>
      <c r="BX88" s="62">
        <v>0</v>
      </c>
      <c r="BY88" s="62">
        <v>-2.1000000000000001E-2</v>
      </c>
      <c r="BZ88" s="62">
        <v>5.7500000000000002E-2</v>
      </c>
      <c r="CA88" s="62">
        <v>0.125</v>
      </c>
      <c r="CB88" s="62">
        <v>5.0000000000000001E-3</v>
      </c>
      <c r="CC88" s="62">
        <v>-2.1000000000000001E-2</v>
      </c>
      <c r="CD88" s="62">
        <v>3.5000000000000001E-3</v>
      </c>
      <c r="CE88" s="62">
        <v>2.5000000000000001E-3</v>
      </c>
      <c r="CF88" s="62">
        <v>2.5000000000000001E-3</v>
      </c>
      <c r="CG88" s="62">
        <v>-2.1000000000000001E-2</v>
      </c>
      <c r="CH88" s="62">
        <v>3.5000000000000001E-3</v>
      </c>
      <c r="CI88" s="62">
        <v>-8.1500000000000003E-2</v>
      </c>
      <c r="CJ88" s="62">
        <v>2.5000000000000001E-3</v>
      </c>
      <c r="CK88" s="62">
        <v>7.7499999999999999E-2</v>
      </c>
      <c r="CL88" s="62">
        <v>2.5000000000000001E-3</v>
      </c>
      <c r="CM88" s="62">
        <v>-7.1999999999999995E-2</v>
      </c>
      <c r="CN88" s="62">
        <v>7.4999999999999997E-3</v>
      </c>
      <c r="CO88" s="62">
        <v>-1.7000000000000001E-2</v>
      </c>
      <c r="CP88" s="62">
        <v>5.0000000000000001E-3</v>
      </c>
      <c r="CQ88" s="62">
        <v>2.3E-2</v>
      </c>
      <c r="CR88" s="62">
        <v>7.4999999999999997E-3</v>
      </c>
      <c r="CS88" s="62">
        <v>0.36</v>
      </c>
      <c r="CT88" s="62">
        <v>0.01</v>
      </c>
      <c r="CU88" s="62">
        <v>-0.2</v>
      </c>
      <c r="CV88" s="62">
        <v>0</v>
      </c>
      <c r="CW88" s="62">
        <v>0.14499999999999999</v>
      </c>
      <c r="CX88" s="62">
        <v>7.4999999999999997E-3</v>
      </c>
      <c r="CY88" s="62">
        <v>-0.65</v>
      </c>
      <c r="CZ88" s="62">
        <v>0</v>
      </c>
      <c r="DA88" s="62">
        <v>-0.47</v>
      </c>
      <c r="DB88" s="62">
        <v>0</v>
      </c>
      <c r="DC88" s="62">
        <v>0.75</v>
      </c>
      <c r="DE88" s="62">
        <v>-5.5E-2</v>
      </c>
      <c r="DF88" s="62">
        <v>0.01</v>
      </c>
      <c r="DG88" s="62">
        <v>8.5000000000000006E-3</v>
      </c>
      <c r="DH88" s="62">
        <v>0.01</v>
      </c>
      <c r="DI88" s="62">
        <v>-1.15E-2</v>
      </c>
      <c r="DJ88" s="62">
        <v>7.4999999999999997E-3</v>
      </c>
      <c r="DK88" s="62">
        <v>-6.1499999999999999E-2</v>
      </c>
      <c r="DL88" s="62">
        <v>5.0000000000000001E-3</v>
      </c>
      <c r="DM88" s="62">
        <v>-6.3E-2</v>
      </c>
      <c r="DN88" s="62">
        <v>2.5000000000000001E-3</v>
      </c>
      <c r="DO88" s="62">
        <v>-8.5500000000000007E-2</v>
      </c>
      <c r="DP88" s="62">
        <v>2.5000000000000001E-3</v>
      </c>
      <c r="DQ88" s="62">
        <v>-9.1499999999999998E-2</v>
      </c>
      <c r="DR88" s="62">
        <v>-5.0000000000000001E-3</v>
      </c>
      <c r="DS88" s="62">
        <v>0.315</v>
      </c>
      <c r="DT88" s="62">
        <v>-5.0000000000000001E-3</v>
      </c>
      <c r="DU88" s="62">
        <v>6.1749999999999295E-4</v>
      </c>
      <c r="DV88" s="62">
        <v>0</v>
      </c>
    </row>
    <row r="89" spans="4:126" x14ac:dyDescent="0.25">
      <c r="D89" s="91">
        <v>39356</v>
      </c>
      <c r="F89" s="89">
        <v>3.5695000000000001</v>
      </c>
      <c r="G89" s="90">
        <v>5.5475416179639102E-2</v>
      </c>
      <c r="H89" s="89">
        <v>0.24</v>
      </c>
      <c r="I89" s="89">
        <v>0.6</v>
      </c>
      <c r="J89" s="89">
        <v>0.6</v>
      </c>
      <c r="K89" s="89">
        <v>0.55000000000000004</v>
      </c>
      <c r="L89" s="87">
        <v>0.6</v>
      </c>
      <c r="M89" s="87">
        <v>0.6</v>
      </c>
      <c r="N89" s="89">
        <v>0.65</v>
      </c>
      <c r="O89" s="89">
        <v>0.65</v>
      </c>
      <c r="P89" s="89">
        <v>0.6</v>
      </c>
      <c r="Q89" s="89">
        <v>0.5</v>
      </c>
      <c r="R89" s="90">
        <v>0.6</v>
      </c>
      <c r="S89" s="90">
        <v>0.65</v>
      </c>
      <c r="T89" s="89">
        <v>0.6</v>
      </c>
      <c r="U89" s="89">
        <v>0.65</v>
      </c>
      <c r="V89" s="89">
        <v>0.7</v>
      </c>
      <c r="W89" s="89">
        <v>-0.09</v>
      </c>
      <c r="X89" s="89">
        <v>0</v>
      </c>
      <c r="Y89" s="89">
        <v>0.04</v>
      </c>
      <c r="Z89" s="89">
        <v>5.0000000000000001E-3</v>
      </c>
      <c r="AA89" s="89">
        <v>0.19</v>
      </c>
      <c r="AB89" s="89">
        <v>0</v>
      </c>
      <c r="AC89" s="89">
        <v>0.155</v>
      </c>
      <c r="AD89" s="89">
        <v>0</v>
      </c>
      <c r="AE89" s="89">
        <v>0.19</v>
      </c>
      <c r="AF89" s="89">
        <v>0</v>
      </c>
      <c r="AG89" s="89">
        <v>0.14499999999999999</v>
      </c>
      <c r="AH89" s="89">
        <v>0</v>
      </c>
      <c r="AI89" s="89">
        <v>0.155</v>
      </c>
      <c r="AJ89" s="89">
        <v>0</v>
      </c>
      <c r="AK89" s="89">
        <v>0.04</v>
      </c>
      <c r="AL89" s="89">
        <v>0.04</v>
      </c>
      <c r="AM89" s="89">
        <v>-0.06</v>
      </c>
      <c r="AN89" s="89">
        <v>1.7000000000000001E-2</v>
      </c>
      <c r="AO89" s="89">
        <v>-0.435</v>
      </c>
      <c r="AP89" s="89">
        <v>0.155</v>
      </c>
      <c r="AQ89" s="89">
        <v>-5.5E-2</v>
      </c>
      <c r="AR89" s="89">
        <v>0</v>
      </c>
      <c r="AS89" s="89">
        <v>-0.15</v>
      </c>
      <c r="AT89" s="89">
        <v>-1.4999999999999999E-2</v>
      </c>
      <c r="AU89" s="89">
        <v>-0.11</v>
      </c>
      <c r="AV89" s="89">
        <v>0.02</v>
      </c>
      <c r="AW89" s="89">
        <v>-6.5000000000000002E-2</v>
      </c>
      <c r="AX89" s="89">
        <v>0.01</v>
      </c>
      <c r="AY89" s="90">
        <v>0.125</v>
      </c>
      <c r="AZ89" s="90">
        <v>0</v>
      </c>
      <c r="BA89" s="90">
        <v>-0.19500000000000001</v>
      </c>
      <c r="BB89" s="89">
        <v>2.5000000000000001E-3</v>
      </c>
      <c r="BC89" s="89">
        <v>-7.0000000000000007E-2</v>
      </c>
      <c r="BD89" s="89">
        <v>5.0000000000000001E-3</v>
      </c>
      <c r="BE89" s="89">
        <v>0.26</v>
      </c>
      <c r="BF89" s="89">
        <v>3.4000000000000002E-2</v>
      </c>
      <c r="BG89" s="89">
        <v>-0.06</v>
      </c>
      <c r="BH89" s="89">
        <v>0</v>
      </c>
      <c r="BI89" s="89">
        <v>0.06</v>
      </c>
      <c r="BJ89" s="62">
        <v>0.03</v>
      </c>
      <c r="BK89" s="62">
        <v>0.26</v>
      </c>
      <c r="BL89" s="62">
        <v>3.4000000000000002E-2</v>
      </c>
      <c r="BM89" s="62">
        <v>-0.2</v>
      </c>
      <c r="BN89" s="62">
        <v>0</v>
      </c>
      <c r="BO89" s="62">
        <v>-0.39</v>
      </c>
      <c r="BP89" s="62">
        <v>0.02</v>
      </c>
      <c r="BQ89" s="62">
        <v>0.5</v>
      </c>
      <c r="BR89" s="62">
        <v>3.4000000000000002E-2</v>
      </c>
      <c r="BS89" s="62">
        <v>-7.0000000000000007E-2</v>
      </c>
      <c r="BT89" s="62">
        <v>5.0000000000000001E-3</v>
      </c>
      <c r="BU89" s="62">
        <v>0.3</v>
      </c>
      <c r="BV89" s="62">
        <v>0</v>
      </c>
      <c r="BW89" s="62">
        <v>0.26</v>
      </c>
      <c r="BX89" s="62">
        <v>0</v>
      </c>
      <c r="BY89" s="62">
        <v>-2.1000000000000001E-2</v>
      </c>
      <c r="BZ89" s="62">
        <v>5.7500000000000002E-2</v>
      </c>
      <c r="CA89" s="62">
        <v>0.14499999999999999</v>
      </c>
      <c r="CB89" s="62">
        <v>5.0000000000000001E-3</v>
      </c>
      <c r="CC89" s="62">
        <v>-2.1000000000000001E-2</v>
      </c>
      <c r="CD89" s="62">
        <v>3.5000000000000001E-3</v>
      </c>
      <c r="CE89" s="62">
        <v>2.5000000000000001E-3</v>
      </c>
      <c r="CF89" s="62">
        <v>2.5000000000000001E-3</v>
      </c>
      <c r="CG89" s="62">
        <v>-2.1000000000000001E-2</v>
      </c>
      <c r="CH89" s="62">
        <v>3.5000000000000001E-3</v>
      </c>
      <c r="CI89" s="62">
        <v>-8.4000000000000005E-2</v>
      </c>
      <c r="CJ89" s="62">
        <v>2.5000000000000001E-3</v>
      </c>
      <c r="CK89" s="62">
        <v>7.7499999999999999E-2</v>
      </c>
      <c r="CL89" s="62">
        <v>2.5000000000000001E-3</v>
      </c>
      <c r="CM89" s="62">
        <v>-7.1999999999999995E-2</v>
      </c>
      <c r="CN89" s="62">
        <v>7.4999999999999997E-3</v>
      </c>
      <c r="CO89" s="62">
        <v>-1.7000000000000001E-2</v>
      </c>
      <c r="CP89" s="62">
        <v>5.0000000000000001E-3</v>
      </c>
      <c r="CQ89" s="62">
        <v>2.3E-2</v>
      </c>
      <c r="CR89" s="62">
        <v>7.4999999999999997E-3</v>
      </c>
      <c r="CS89" s="62">
        <v>0.4</v>
      </c>
      <c r="CT89" s="62">
        <v>0.01</v>
      </c>
      <c r="CU89" s="62">
        <v>-0.2</v>
      </c>
      <c r="CV89" s="62">
        <v>0</v>
      </c>
      <c r="CW89" s="62">
        <v>0.17499999999999999</v>
      </c>
      <c r="CX89" s="62">
        <v>7.4999999999999997E-3</v>
      </c>
      <c r="CY89" s="62">
        <v>-0.65</v>
      </c>
      <c r="CZ89" s="62">
        <v>0</v>
      </c>
      <c r="DA89" s="62">
        <v>-0.47</v>
      </c>
      <c r="DB89" s="62">
        <v>0</v>
      </c>
      <c r="DC89" s="62">
        <v>0.45</v>
      </c>
      <c r="DE89" s="62">
        <v>-5.5E-2</v>
      </c>
      <c r="DF89" s="62">
        <v>0.01</v>
      </c>
      <c r="DG89" s="62">
        <v>6.0000000000000001E-3</v>
      </c>
      <c r="DH89" s="62">
        <v>0.01</v>
      </c>
      <c r="DI89" s="62">
        <v>-1.4E-2</v>
      </c>
      <c r="DJ89" s="62">
        <v>7.4999999999999997E-3</v>
      </c>
      <c r="DK89" s="62">
        <v>-4.9000000000000002E-2</v>
      </c>
      <c r="DL89" s="62">
        <v>5.0000000000000001E-3</v>
      </c>
      <c r="DM89" s="62">
        <v>-6.3E-2</v>
      </c>
      <c r="DN89" s="62">
        <v>2.5000000000000001E-3</v>
      </c>
      <c r="DO89" s="62">
        <v>-8.5500000000000007E-2</v>
      </c>
      <c r="DP89" s="62">
        <v>2.5000000000000001E-3</v>
      </c>
      <c r="DQ89" s="62">
        <v>-7.9000000000000001E-2</v>
      </c>
      <c r="DR89" s="62">
        <v>-5.0000000000000001E-3</v>
      </c>
      <c r="DS89" s="62">
        <v>0.36</v>
      </c>
      <c r="DT89" s="62">
        <v>-5.0000000000000001E-3</v>
      </c>
      <c r="DU89" s="62">
        <v>7.6049999999999696E-4</v>
      </c>
      <c r="DV89" s="62">
        <v>0</v>
      </c>
    </row>
    <row r="90" spans="4:126" x14ac:dyDescent="0.25">
      <c r="D90" s="91">
        <v>39387</v>
      </c>
      <c r="F90" s="89">
        <v>3.7214999999999998</v>
      </c>
      <c r="G90" s="90">
        <v>5.5659432324225197E-2</v>
      </c>
      <c r="H90" s="89">
        <v>0.24</v>
      </c>
      <c r="I90" s="89">
        <v>0.8</v>
      </c>
      <c r="J90" s="89">
        <v>0.85</v>
      </c>
      <c r="K90" s="89">
        <v>0.8</v>
      </c>
      <c r="L90" s="87">
        <v>0.8</v>
      </c>
      <c r="M90" s="87">
        <v>0.9</v>
      </c>
      <c r="N90" s="89">
        <v>0.95</v>
      </c>
      <c r="O90" s="89">
        <v>0.85</v>
      </c>
      <c r="P90" s="89">
        <v>0.8</v>
      </c>
      <c r="Q90" s="89">
        <v>0.95</v>
      </c>
      <c r="R90" s="90">
        <v>0.8</v>
      </c>
      <c r="S90" s="90">
        <v>0.8</v>
      </c>
      <c r="T90" s="89">
        <v>0.8</v>
      </c>
      <c r="U90" s="89">
        <v>0.95</v>
      </c>
      <c r="V90" s="89">
        <v>0.9</v>
      </c>
      <c r="W90" s="89">
        <v>0</v>
      </c>
      <c r="X90" s="89">
        <v>0.03</v>
      </c>
      <c r="Y90" s="89">
        <v>0.13</v>
      </c>
      <c r="Z90" s="89">
        <v>0.02</v>
      </c>
      <c r="AA90" s="89">
        <v>0.35499999999999998</v>
      </c>
      <c r="AB90" s="89">
        <v>0</v>
      </c>
      <c r="AC90" s="89">
        <v>0.35499999999999998</v>
      </c>
      <c r="AD90" s="89">
        <v>0</v>
      </c>
      <c r="AE90" s="89">
        <v>0.35499999999999998</v>
      </c>
      <c r="AF90" s="89">
        <v>0</v>
      </c>
      <c r="AG90" s="89">
        <v>0.19500000000000001</v>
      </c>
      <c r="AH90" s="89">
        <v>0</v>
      </c>
      <c r="AI90" s="89">
        <v>0.17860000000000001</v>
      </c>
      <c r="AJ90" s="89">
        <v>0</v>
      </c>
      <c r="AK90" s="89">
        <v>0.13</v>
      </c>
      <c r="AL90" s="89">
        <v>3.5000000000000003E-2</v>
      </c>
      <c r="AM90" s="89">
        <v>-7.4999999999999997E-2</v>
      </c>
      <c r="AN90" s="89">
        <v>1.2E-2</v>
      </c>
      <c r="AO90" s="89">
        <v>-0.4</v>
      </c>
      <c r="AP90" s="89">
        <v>0.155</v>
      </c>
      <c r="AQ90" s="89">
        <v>-5.5E-2</v>
      </c>
      <c r="AR90" s="89">
        <v>5.0000000000000001E-3</v>
      </c>
      <c r="AS90" s="89">
        <v>-0.15</v>
      </c>
      <c r="AT90" s="89">
        <v>-5.0000000000000001E-3</v>
      </c>
      <c r="AU90" s="89">
        <v>-0.11</v>
      </c>
      <c r="AV90" s="89">
        <v>-0.01</v>
      </c>
      <c r="AW90" s="89">
        <v>-6.5000000000000002E-2</v>
      </c>
      <c r="AX90" s="89">
        <v>5.0000000000000001E-3</v>
      </c>
      <c r="AY90" s="90">
        <v>0.155</v>
      </c>
      <c r="AZ90" s="90">
        <v>0</v>
      </c>
      <c r="BA90" s="90">
        <v>-0.13</v>
      </c>
      <c r="BB90" s="89">
        <v>5.0000000000000001E-3</v>
      </c>
      <c r="BC90" s="89">
        <v>-7.0000000000000007E-2</v>
      </c>
      <c r="BD90" s="89">
        <v>5.0000000000000001E-3</v>
      </c>
      <c r="BE90" s="89">
        <v>0.24</v>
      </c>
      <c r="BF90" s="89">
        <v>3.5999999999999997E-2</v>
      </c>
      <c r="BG90" s="89">
        <v>-0.06</v>
      </c>
      <c r="BH90" s="89">
        <v>0</v>
      </c>
      <c r="BI90" s="89">
        <v>0.15</v>
      </c>
      <c r="BJ90" s="62">
        <v>0.03</v>
      </c>
      <c r="BK90" s="62">
        <v>0.24</v>
      </c>
      <c r="BL90" s="62">
        <v>3.5999999999999997E-2</v>
      </c>
      <c r="BM90" s="62">
        <v>0.29799999999999999</v>
      </c>
      <c r="BN90" s="62">
        <v>0</v>
      </c>
      <c r="BO90" s="62">
        <v>-0.26</v>
      </c>
      <c r="BP90" s="62">
        <v>0</v>
      </c>
      <c r="BQ90" s="62">
        <v>0.5</v>
      </c>
      <c r="BR90" s="62">
        <v>3.5999999999999997E-2</v>
      </c>
      <c r="BS90" s="62">
        <v>-7.0000000000000007E-2</v>
      </c>
      <c r="BT90" s="62">
        <v>5.0000000000000001E-3</v>
      </c>
      <c r="BU90" s="62">
        <v>0.3</v>
      </c>
      <c r="BV90" s="62">
        <v>0</v>
      </c>
      <c r="BW90" s="62">
        <v>0.24</v>
      </c>
      <c r="BX90" s="62">
        <v>0</v>
      </c>
      <c r="BY90" s="62">
        <v>-2.1000000000000001E-2</v>
      </c>
      <c r="BZ90" s="62">
        <v>5.7500000000000002E-2</v>
      </c>
      <c r="CA90" s="62">
        <v>0.19500000000000001</v>
      </c>
      <c r="CB90" s="62">
        <v>5.0000000000000001E-3</v>
      </c>
      <c r="CC90" s="62">
        <v>-2.1000000000000001E-2</v>
      </c>
      <c r="CD90" s="62">
        <v>3.7000000000000002E-3</v>
      </c>
      <c r="CE90" s="62">
        <v>2.5000000000000001E-3</v>
      </c>
      <c r="CF90" s="62">
        <v>2.5000000000000001E-3</v>
      </c>
      <c r="CG90" s="62">
        <v>-2.1000000000000001E-2</v>
      </c>
      <c r="CH90" s="62">
        <v>3.7000000000000002E-3</v>
      </c>
      <c r="CI90" s="62">
        <v>-8.8999999999999996E-2</v>
      </c>
      <c r="CJ90" s="62">
        <v>2.5000000000000001E-3</v>
      </c>
      <c r="CK90" s="62">
        <v>7.4999999999999997E-2</v>
      </c>
      <c r="CL90" s="62">
        <v>2.5000000000000001E-3</v>
      </c>
      <c r="CM90" s="62">
        <v>-6.5000000000000002E-2</v>
      </c>
      <c r="CN90" s="62">
        <v>0.01</v>
      </c>
      <c r="CO90" s="62">
        <v>-0.01</v>
      </c>
      <c r="CP90" s="62">
        <v>7.4999999999999997E-3</v>
      </c>
      <c r="CQ90" s="62">
        <v>0.03</v>
      </c>
      <c r="CR90" s="62">
        <v>1.2500000000000001E-2</v>
      </c>
      <c r="CS90" s="62">
        <v>0.65</v>
      </c>
      <c r="CT90" s="62">
        <v>5.5E-2</v>
      </c>
      <c r="CU90" s="62">
        <v>0.29799999999999999</v>
      </c>
      <c r="CV90" s="62">
        <v>0</v>
      </c>
      <c r="CW90" s="62">
        <v>0.21</v>
      </c>
      <c r="CX90" s="62">
        <v>0.02</v>
      </c>
      <c r="CY90" s="62">
        <v>-0.52</v>
      </c>
      <c r="CZ90" s="62">
        <v>0</v>
      </c>
      <c r="DA90" s="62">
        <v>-0.34</v>
      </c>
      <c r="DB90" s="62">
        <v>0</v>
      </c>
      <c r="DC90" s="62">
        <v>0.45</v>
      </c>
      <c r="DE90" s="62">
        <v>-4.4999999999999998E-2</v>
      </c>
      <c r="DF90" s="62">
        <v>1.2500000000000001E-2</v>
      </c>
      <c r="DG90" s="62">
        <v>7.0000000000000001E-3</v>
      </c>
      <c r="DH90" s="62">
        <v>7.4999999999999997E-3</v>
      </c>
      <c r="DI90" s="62">
        <v>-1.2999999999999999E-2</v>
      </c>
      <c r="DJ90" s="62">
        <v>2.5000000000000001E-3</v>
      </c>
      <c r="DK90" s="62">
        <v>-5.3999999999999999E-2</v>
      </c>
      <c r="DL90" s="62">
        <v>2.5000000000000001E-3</v>
      </c>
      <c r="DM90" s="62">
        <v>-6.5500000000000003E-2</v>
      </c>
      <c r="DN90" s="62">
        <v>2.5000000000000001E-3</v>
      </c>
      <c r="DO90" s="62">
        <v>-8.7999999999999995E-2</v>
      </c>
      <c r="DP90" s="62">
        <v>2.5000000000000001E-3</v>
      </c>
      <c r="DQ90" s="62">
        <v>-8.4000000000000005E-2</v>
      </c>
      <c r="DR90" s="62">
        <v>-5.0000000000000001E-3</v>
      </c>
      <c r="DS90" s="62">
        <v>0.46</v>
      </c>
      <c r="DT90" s="62">
        <v>0.05</v>
      </c>
      <c r="DU90" s="62">
        <v>8.6577500000000002E-2</v>
      </c>
      <c r="DV90" s="62">
        <v>0</v>
      </c>
    </row>
    <row r="91" spans="4:126" x14ac:dyDescent="0.25">
      <c r="D91" s="91">
        <v>39417</v>
      </c>
      <c r="F91" s="89">
        <v>3.8645</v>
      </c>
      <c r="G91" s="90">
        <v>5.5837512474881598E-2</v>
      </c>
      <c r="H91" s="89">
        <v>0.24</v>
      </c>
      <c r="I91" s="89">
        <v>1</v>
      </c>
      <c r="J91" s="89">
        <v>1.05</v>
      </c>
      <c r="K91" s="89">
        <v>1</v>
      </c>
      <c r="L91" s="87">
        <v>1</v>
      </c>
      <c r="M91" s="87">
        <v>1.1499999999999999</v>
      </c>
      <c r="N91" s="89">
        <v>1.25</v>
      </c>
      <c r="O91" s="89">
        <v>1.05</v>
      </c>
      <c r="P91" s="89">
        <v>1</v>
      </c>
      <c r="Q91" s="89">
        <v>1.35</v>
      </c>
      <c r="R91" s="90">
        <v>1</v>
      </c>
      <c r="S91" s="90">
        <v>1.1000000000000001</v>
      </c>
      <c r="T91" s="89">
        <v>1</v>
      </c>
      <c r="U91" s="89">
        <v>1.25</v>
      </c>
      <c r="V91" s="89">
        <v>1.1000000000000001</v>
      </c>
      <c r="W91" s="89">
        <v>5.0000000000000001E-3</v>
      </c>
      <c r="X91" s="89">
        <v>0.03</v>
      </c>
      <c r="Y91" s="89">
        <v>0.13</v>
      </c>
      <c r="Z91" s="89">
        <v>0.02</v>
      </c>
      <c r="AA91" s="89">
        <v>0.35499999999999998</v>
      </c>
      <c r="AB91" s="89">
        <v>0</v>
      </c>
      <c r="AC91" s="89">
        <v>0.35499999999999998</v>
      </c>
      <c r="AD91" s="89">
        <v>0</v>
      </c>
      <c r="AE91" s="89">
        <v>0.35499999999999998</v>
      </c>
      <c r="AF91" s="89">
        <v>0</v>
      </c>
      <c r="AG91" s="89">
        <v>0.19500000000000001</v>
      </c>
      <c r="AH91" s="89">
        <v>0</v>
      </c>
      <c r="AI91" s="89">
        <v>0.18371999999999999</v>
      </c>
      <c r="AJ91" s="89">
        <v>0</v>
      </c>
      <c r="AK91" s="89">
        <v>0.13</v>
      </c>
      <c r="AL91" s="89">
        <v>3.5000000000000003E-2</v>
      </c>
      <c r="AM91" s="89">
        <v>-7.4999999999999997E-2</v>
      </c>
      <c r="AN91" s="89">
        <v>1.2E-2</v>
      </c>
      <c r="AO91" s="89">
        <v>-0.4</v>
      </c>
      <c r="AP91" s="89">
        <v>0.155</v>
      </c>
      <c r="AQ91" s="89">
        <v>-5.5E-2</v>
      </c>
      <c r="AR91" s="89">
        <v>5.0000000000000001E-3</v>
      </c>
      <c r="AS91" s="89">
        <v>-0.1525</v>
      </c>
      <c r="AT91" s="89">
        <v>-5.0000000000000001E-3</v>
      </c>
      <c r="AU91" s="89">
        <v>-0.1125</v>
      </c>
      <c r="AV91" s="89">
        <v>-0.01</v>
      </c>
      <c r="AW91" s="89">
        <v>-6.5000000000000002E-2</v>
      </c>
      <c r="AX91" s="89">
        <v>5.0000000000000001E-3</v>
      </c>
      <c r="AY91" s="90">
        <v>0.155</v>
      </c>
      <c r="AZ91" s="90">
        <v>0</v>
      </c>
      <c r="BA91" s="90">
        <v>-0.13</v>
      </c>
      <c r="BB91" s="89">
        <v>5.0000000000000001E-3</v>
      </c>
      <c r="BC91" s="89">
        <v>-7.0000000000000007E-2</v>
      </c>
      <c r="BD91" s="89">
        <v>5.0000000000000001E-3</v>
      </c>
      <c r="BE91" s="89">
        <v>0.24</v>
      </c>
      <c r="BF91" s="89">
        <v>3.5999999999999997E-2</v>
      </c>
      <c r="BG91" s="89">
        <v>-0.06</v>
      </c>
      <c r="BH91" s="89">
        <v>0</v>
      </c>
      <c r="BI91" s="89">
        <v>0.15</v>
      </c>
      <c r="BJ91" s="62">
        <v>0.03</v>
      </c>
      <c r="BK91" s="62">
        <v>0.24</v>
      </c>
      <c r="BL91" s="62">
        <v>3.5999999999999997E-2</v>
      </c>
      <c r="BM91" s="62">
        <v>0.35799999999999998</v>
      </c>
      <c r="BN91" s="62">
        <v>0</v>
      </c>
      <c r="BO91" s="62">
        <v>-0.26</v>
      </c>
      <c r="BP91" s="62">
        <v>0</v>
      </c>
      <c r="BQ91" s="62">
        <v>0.5</v>
      </c>
      <c r="BR91" s="62">
        <v>3.5999999999999997E-2</v>
      </c>
      <c r="BS91" s="62">
        <v>-7.0000000000000007E-2</v>
      </c>
      <c r="BT91" s="62">
        <v>5.0000000000000001E-3</v>
      </c>
      <c r="BU91" s="62">
        <v>0.3</v>
      </c>
      <c r="BV91" s="62">
        <v>0</v>
      </c>
      <c r="BW91" s="62">
        <v>0.24</v>
      </c>
      <c r="BX91" s="62">
        <v>0</v>
      </c>
      <c r="BY91" s="62">
        <v>-2.1000000000000001E-2</v>
      </c>
      <c r="BZ91" s="62">
        <v>5.7500000000000002E-2</v>
      </c>
      <c r="CA91" s="62">
        <v>0.215</v>
      </c>
      <c r="CB91" s="62">
        <v>5.0000000000000001E-3</v>
      </c>
      <c r="CC91" s="62">
        <v>-2.1000000000000001E-2</v>
      </c>
      <c r="CD91" s="62">
        <v>3.7000000000000002E-3</v>
      </c>
      <c r="CE91" s="62">
        <v>2.5000000000000001E-3</v>
      </c>
      <c r="CF91" s="62">
        <v>2.5000000000000001E-3</v>
      </c>
      <c r="CG91" s="62">
        <v>-2.1000000000000001E-2</v>
      </c>
      <c r="CH91" s="62">
        <v>3.7000000000000002E-3</v>
      </c>
      <c r="CI91" s="62">
        <v>-0.11650000000000001</v>
      </c>
      <c r="CJ91" s="62">
        <v>2.5000000000000001E-3</v>
      </c>
      <c r="CK91" s="62">
        <v>7.4999999999999997E-2</v>
      </c>
      <c r="CL91" s="62">
        <v>2.5000000000000001E-3</v>
      </c>
      <c r="CM91" s="62">
        <v>-6.5000000000000002E-2</v>
      </c>
      <c r="CN91" s="62">
        <v>0.01</v>
      </c>
      <c r="CO91" s="62">
        <v>-0.01</v>
      </c>
      <c r="CP91" s="62">
        <v>7.4999999999999997E-3</v>
      </c>
      <c r="CQ91" s="62">
        <v>0.03</v>
      </c>
      <c r="CR91" s="62">
        <v>1.2500000000000001E-2</v>
      </c>
      <c r="CS91" s="62">
        <v>0.98</v>
      </c>
      <c r="CT91" s="62">
        <v>0.25</v>
      </c>
      <c r="CU91" s="62">
        <v>0.35799999999999998</v>
      </c>
      <c r="CV91" s="62">
        <v>0</v>
      </c>
      <c r="CW91" s="62">
        <v>0.28999999999999998</v>
      </c>
      <c r="CX91" s="62">
        <v>0.02</v>
      </c>
      <c r="CY91" s="62">
        <v>-0.52</v>
      </c>
      <c r="CZ91" s="62">
        <v>0</v>
      </c>
      <c r="DA91" s="62">
        <v>-0.34</v>
      </c>
      <c r="DB91" s="62">
        <v>0</v>
      </c>
      <c r="DC91" s="62">
        <v>0.4</v>
      </c>
      <c r="DE91" s="62">
        <v>-4.4999999999999998E-2</v>
      </c>
      <c r="DF91" s="62">
        <v>1.2500000000000001E-2</v>
      </c>
      <c r="DG91" s="62">
        <v>7.0000000000000001E-3</v>
      </c>
      <c r="DH91" s="62">
        <v>7.4999999999999997E-3</v>
      </c>
      <c r="DI91" s="62">
        <v>-1.2999999999999999E-2</v>
      </c>
      <c r="DJ91" s="62">
        <v>2.5000000000000001E-3</v>
      </c>
      <c r="DK91" s="62">
        <v>-8.1500000000000003E-2</v>
      </c>
      <c r="DL91" s="62">
        <v>2.5000000000000001E-3</v>
      </c>
      <c r="DM91" s="62">
        <v>-6.3500000000000001E-2</v>
      </c>
      <c r="DN91" s="62">
        <v>2.5000000000000001E-3</v>
      </c>
      <c r="DO91" s="62">
        <v>-8.5999999999999993E-2</v>
      </c>
      <c r="DP91" s="62">
        <v>2.5000000000000001E-3</v>
      </c>
      <c r="DQ91" s="62">
        <v>-0.1115</v>
      </c>
      <c r="DR91" s="62">
        <v>-5.0000000000000001E-3</v>
      </c>
      <c r="DS91" s="62">
        <v>0.77</v>
      </c>
      <c r="DT91" s="62">
        <v>0.05</v>
      </c>
      <c r="DU91" s="62">
        <v>8.4817500000000004E-2</v>
      </c>
      <c r="DV91" s="62">
        <v>0</v>
      </c>
    </row>
    <row r="92" spans="4:126" x14ac:dyDescent="0.25">
      <c r="D92" s="91">
        <v>39448</v>
      </c>
      <c r="F92" s="89">
        <v>3.9144999999999999</v>
      </c>
      <c r="G92" s="90">
        <v>5.60215286416526E-2</v>
      </c>
      <c r="H92" s="89">
        <v>0.24</v>
      </c>
      <c r="I92" s="89">
        <v>1</v>
      </c>
      <c r="J92" s="89">
        <v>1.05</v>
      </c>
      <c r="K92" s="89">
        <v>1</v>
      </c>
      <c r="L92" s="87">
        <v>1</v>
      </c>
      <c r="M92" s="87">
        <v>1.1499999999999999</v>
      </c>
      <c r="N92" s="89">
        <v>1.45</v>
      </c>
      <c r="O92" s="89">
        <v>1.05</v>
      </c>
      <c r="P92" s="89">
        <v>1</v>
      </c>
      <c r="Q92" s="89">
        <v>1.35</v>
      </c>
      <c r="R92" s="90">
        <v>1</v>
      </c>
      <c r="S92" s="90">
        <v>1.1000000000000001</v>
      </c>
      <c r="T92" s="89">
        <v>1</v>
      </c>
      <c r="U92" s="89">
        <v>1.45</v>
      </c>
      <c r="V92" s="89">
        <v>1.1000000000000001</v>
      </c>
      <c r="W92" s="89">
        <v>2.5000000000000001E-2</v>
      </c>
      <c r="X92" s="89">
        <v>0.03</v>
      </c>
      <c r="Y92" s="89">
        <v>0.13</v>
      </c>
      <c r="Z92" s="89">
        <v>0.02</v>
      </c>
      <c r="AA92" s="89">
        <v>0.35499999999999998</v>
      </c>
      <c r="AB92" s="89">
        <v>0</v>
      </c>
      <c r="AC92" s="89">
        <v>0.35499999999999998</v>
      </c>
      <c r="AD92" s="89">
        <v>0</v>
      </c>
      <c r="AE92" s="89">
        <v>0.35499999999999998</v>
      </c>
      <c r="AF92" s="89">
        <v>0</v>
      </c>
      <c r="AG92" s="89">
        <v>0.19500000000000001</v>
      </c>
      <c r="AH92" s="89">
        <v>0</v>
      </c>
      <c r="AI92" s="89">
        <v>0.18540000000000001</v>
      </c>
      <c r="AJ92" s="89">
        <v>0</v>
      </c>
      <c r="AK92" s="89">
        <v>0.13</v>
      </c>
      <c r="AL92" s="89">
        <v>3.5000000000000003E-2</v>
      </c>
      <c r="AM92" s="89">
        <v>-7.4999999999999997E-2</v>
      </c>
      <c r="AN92" s="89">
        <v>1.2E-2</v>
      </c>
      <c r="AO92" s="89">
        <v>-0.4</v>
      </c>
      <c r="AP92" s="89">
        <v>0.155</v>
      </c>
      <c r="AQ92" s="89">
        <v>-5.5E-2</v>
      </c>
      <c r="AR92" s="89">
        <v>5.0000000000000001E-3</v>
      </c>
      <c r="AS92" s="89">
        <v>-0.155</v>
      </c>
      <c r="AT92" s="89">
        <v>-5.0000000000000001E-3</v>
      </c>
      <c r="AU92" s="89">
        <v>-0.115</v>
      </c>
      <c r="AV92" s="89">
        <v>-0.01</v>
      </c>
      <c r="AW92" s="89">
        <v>-6.5000000000000002E-2</v>
      </c>
      <c r="AX92" s="89">
        <v>5.0000000000000001E-3</v>
      </c>
      <c r="AY92" s="90">
        <v>0.155</v>
      </c>
      <c r="AZ92" s="90">
        <v>0</v>
      </c>
      <c r="BA92" s="90">
        <v>-0.13</v>
      </c>
      <c r="BB92" s="89">
        <v>5.0000000000000001E-3</v>
      </c>
      <c r="BC92" s="89">
        <v>-7.0000000000000007E-2</v>
      </c>
      <c r="BD92" s="89">
        <v>5.0000000000000001E-3</v>
      </c>
      <c r="BE92" s="89">
        <v>0.24</v>
      </c>
      <c r="BF92" s="89">
        <v>3.5999999999999997E-2</v>
      </c>
      <c r="BG92" s="89">
        <v>-0.06</v>
      </c>
      <c r="BH92" s="89">
        <v>0</v>
      </c>
      <c r="BI92" s="89">
        <v>0.15</v>
      </c>
      <c r="BJ92" s="62">
        <v>0.03</v>
      </c>
      <c r="BK92" s="62">
        <v>0.24</v>
      </c>
      <c r="BL92" s="62">
        <v>3.5999999999999997E-2</v>
      </c>
      <c r="BM92" s="62">
        <v>0.42799999999999999</v>
      </c>
      <c r="BN92" s="62">
        <v>0</v>
      </c>
      <c r="BO92" s="62">
        <v>-0.26</v>
      </c>
      <c r="BP92" s="62">
        <v>0</v>
      </c>
      <c r="BQ92" s="62">
        <v>0.5</v>
      </c>
      <c r="BR92" s="62">
        <v>3.5999999999999997E-2</v>
      </c>
      <c r="BS92" s="62">
        <v>-7.0000000000000007E-2</v>
      </c>
      <c r="BT92" s="62">
        <v>5.0000000000000001E-3</v>
      </c>
      <c r="BU92" s="62">
        <v>0.3</v>
      </c>
      <c r="BV92" s="62">
        <v>0</v>
      </c>
      <c r="BW92" s="62">
        <v>0</v>
      </c>
      <c r="BX92" s="62">
        <v>0</v>
      </c>
      <c r="BY92" s="62">
        <v>-1.9E-2</v>
      </c>
      <c r="BZ92" s="62">
        <v>5.7500000000000002E-2</v>
      </c>
      <c r="CA92" s="62">
        <v>0.23499999999999999</v>
      </c>
      <c r="CB92" s="62">
        <v>5.0000000000000001E-3</v>
      </c>
      <c r="CC92" s="62">
        <v>-1.9E-2</v>
      </c>
      <c r="CD92" s="62">
        <v>3.7000000000000002E-3</v>
      </c>
      <c r="CE92" s="62">
        <v>2.5000000000000001E-3</v>
      </c>
      <c r="CF92" s="62">
        <v>2.5000000000000001E-3</v>
      </c>
      <c r="CG92" s="62">
        <v>-1.9E-2</v>
      </c>
      <c r="CH92" s="62">
        <v>3.7000000000000002E-3</v>
      </c>
      <c r="CI92" s="62">
        <v>-0.1145</v>
      </c>
      <c r="CJ92" s="62">
        <v>2.5000000000000001E-3</v>
      </c>
      <c r="CK92" s="62">
        <v>7.4999999999999997E-2</v>
      </c>
      <c r="CL92" s="62">
        <v>2.5000000000000001E-3</v>
      </c>
      <c r="CM92" s="62">
        <v>-6.5000000000000002E-2</v>
      </c>
      <c r="CN92" s="62">
        <v>0.01</v>
      </c>
      <c r="CO92" s="62">
        <v>-0.01</v>
      </c>
      <c r="CP92" s="62">
        <v>7.4999999999999997E-3</v>
      </c>
      <c r="CQ92" s="62">
        <v>0.03</v>
      </c>
      <c r="CR92" s="62">
        <v>1.2500000000000001E-2</v>
      </c>
      <c r="CS92" s="62">
        <v>1.6</v>
      </c>
      <c r="CT92" s="62">
        <v>0.45</v>
      </c>
      <c r="CU92" s="62">
        <v>0.42799999999999999</v>
      </c>
      <c r="CV92" s="62">
        <v>0</v>
      </c>
      <c r="CW92" s="62">
        <v>0.34</v>
      </c>
      <c r="CX92" s="62">
        <v>0.02</v>
      </c>
      <c r="CY92" s="62">
        <v>-0.52</v>
      </c>
      <c r="CZ92" s="62">
        <v>0</v>
      </c>
      <c r="DA92" s="62">
        <v>-0.34</v>
      </c>
      <c r="DB92" s="62">
        <v>0</v>
      </c>
      <c r="DC92" s="62">
        <v>0.35</v>
      </c>
      <c r="DE92" s="62">
        <v>-4.4999999999999998E-2</v>
      </c>
      <c r="DF92" s="62">
        <v>1.2500000000000001E-2</v>
      </c>
      <c r="DG92" s="62">
        <v>7.0000000000000001E-3</v>
      </c>
      <c r="DH92" s="62">
        <v>7.4999999999999997E-3</v>
      </c>
      <c r="DI92" s="62">
        <v>-1.2999999999999999E-2</v>
      </c>
      <c r="DJ92" s="62">
        <v>2.5000000000000001E-3</v>
      </c>
      <c r="DK92" s="62">
        <v>-9.6500000000000002E-2</v>
      </c>
      <c r="DL92" s="62">
        <v>2.5000000000000001E-3</v>
      </c>
      <c r="DM92" s="62">
        <v>-6.3500000000000001E-2</v>
      </c>
      <c r="DN92" s="62">
        <v>2.5000000000000001E-3</v>
      </c>
      <c r="DO92" s="62">
        <v>-8.5999999999999993E-2</v>
      </c>
      <c r="DP92" s="62">
        <v>2.5000000000000001E-3</v>
      </c>
      <c r="DQ92" s="62">
        <v>-0.1265</v>
      </c>
      <c r="DR92" s="62">
        <v>-5.0000000000000001E-3</v>
      </c>
      <c r="DS92" s="62">
        <v>1.04</v>
      </c>
      <c r="DT92" s="62">
        <v>0.05</v>
      </c>
      <c r="DU92" s="62">
        <v>8.4239999999999995E-2</v>
      </c>
      <c r="DV92" s="62">
        <v>0</v>
      </c>
    </row>
    <row r="93" spans="4:126" x14ac:dyDescent="0.25">
      <c r="D93" s="91">
        <v>39479</v>
      </c>
      <c r="F93" s="89">
        <v>3.8294999999999999</v>
      </c>
      <c r="G93" s="90">
        <v>5.62055448196963E-2</v>
      </c>
      <c r="H93" s="89">
        <v>0.24</v>
      </c>
      <c r="I93" s="89">
        <v>1</v>
      </c>
      <c r="J93" s="89">
        <v>1.05</v>
      </c>
      <c r="K93" s="89">
        <v>1</v>
      </c>
      <c r="L93" s="87">
        <v>1</v>
      </c>
      <c r="M93" s="87">
        <v>1.1499999999999999</v>
      </c>
      <c r="N93" s="89">
        <v>1.45</v>
      </c>
      <c r="O93" s="89">
        <v>1.05</v>
      </c>
      <c r="P93" s="89">
        <v>1</v>
      </c>
      <c r="Q93" s="89">
        <v>1.35</v>
      </c>
      <c r="R93" s="90">
        <v>1</v>
      </c>
      <c r="S93" s="90">
        <v>1.1000000000000001</v>
      </c>
      <c r="T93" s="89">
        <v>1</v>
      </c>
      <c r="U93" s="89">
        <v>1.45</v>
      </c>
      <c r="V93" s="89">
        <v>1.1000000000000001</v>
      </c>
      <c r="W93" s="89">
        <v>0.02</v>
      </c>
      <c r="X93" s="89">
        <v>0.03</v>
      </c>
      <c r="Y93" s="89">
        <v>0.13</v>
      </c>
      <c r="Z93" s="89">
        <v>0.02</v>
      </c>
      <c r="AA93" s="89">
        <v>0.35499999999999998</v>
      </c>
      <c r="AB93" s="89">
        <v>0</v>
      </c>
      <c r="AC93" s="89">
        <v>0.35499999999999998</v>
      </c>
      <c r="AD93" s="89">
        <v>0</v>
      </c>
      <c r="AE93" s="89">
        <v>0.35499999999999998</v>
      </c>
      <c r="AF93" s="89">
        <v>0</v>
      </c>
      <c r="AG93" s="89">
        <v>0.19500000000000001</v>
      </c>
      <c r="AH93" s="89">
        <v>0</v>
      </c>
      <c r="AI93" s="89">
        <v>0.18284</v>
      </c>
      <c r="AJ93" s="89">
        <v>0</v>
      </c>
      <c r="AK93" s="89">
        <v>0.13</v>
      </c>
      <c r="AL93" s="89">
        <v>3.5000000000000003E-2</v>
      </c>
      <c r="AM93" s="89">
        <v>-7.4999999999999997E-2</v>
      </c>
      <c r="AN93" s="89">
        <v>1.2E-2</v>
      </c>
      <c r="AO93" s="89">
        <v>-0.4</v>
      </c>
      <c r="AP93" s="89">
        <v>0.155</v>
      </c>
      <c r="AQ93" s="89">
        <v>-5.5E-2</v>
      </c>
      <c r="AR93" s="89">
        <v>5.0000000000000001E-3</v>
      </c>
      <c r="AS93" s="89">
        <v>-0.14749999999999999</v>
      </c>
      <c r="AT93" s="89">
        <v>-5.0000000000000001E-3</v>
      </c>
      <c r="AU93" s="89">
        <v>-0.1075</v>
      </c>
      <c r="AV93" s="89">
        <v>-0.01</v>
      </c>
      <c r="AW93" s="89">
        <v>-6.5000000000000002E-2</v>
      </c>
      <c r="AX93" s="89">
        <v>5.0000000000000001E-3</v>
      </c>
      <c r="AY93" s="90">
        <v>0.155</v>
      </c>
      <c r="AZ93" s="90">
        <v>0</v>
      </c>
      <c r="BA93" s="90">
        <v>-0.13</v>
      </c>
      <c r="BB93" s="89">
        <v>5.0000000000000001E-3</v>
      </c>
      <c r="BC93" s="89">
        <v>-7.0000000000000007E-2</v>
      </c>
      <c r="BD93" s="89">
        <v>5.0000000000000001E-3</v>
      </c>
      <c r="BE93" s="89">
        <v>0.24</v>
      </c>
      <c r="BF93" s="89">
        <v>3.5999999999999997E-2</v>
      </c>
      <c r="BG93" s="89">
        <v>-0.06</v>
      </c>
      <c r="BH93" s="89">
        <v>0</v>
      </c>
      <c r="BI93" s="89">
        <v>0.15</v>
      </c>
      <c r="BJ93" s="62">
        <v>0.03</v>
      </c>
      <c r="BK93" s="62">
        <v>0.24</v>
      </c>
      <c r="BL93" s="62">
        <v>3.5999999999999997E-2</v>
      </c>
      <c r="BM93" s="62">
        <v>0.29799999999999999</v>
      </c>
      <c r="BN93" s="62">
        <v>0</v>
      </c>
      <c r="BO93" s="62">
        <v>-0.26</v>
      </c>
      <c r="BP93" s="62">
        <v>0</v>
      </c>
      <c r="BQ93" s="62">
        <v>0.5</v>
      </c>
      <c r="BR93" s="62">
        <v>3.5999999999999997E-2</v>
      </c>
      <c r="BS93" s="62">
        <v>-7.0000000000000007E-2</v>
      </c>
      <c r="BT93" s="62">
        <v>5.0000000000000001E-3</v>
      </c>
      <c r="BU93" s="62">
        <v>0.3</v>
      </c>
      <c r="BV93" s="62">
        <v>0</v>
      </c>
      <c r="BW93" s="62">
        <v>0</v>
      </c>
      <c r="BX93" s="62">
        <v>0</v>
      </c>
      <c r="BY93" s="62">
        <v>-1.9E-2</v>
      </c>
      <c r="BZ93" s="62">
        <v>5.7500000000000002E-2</v>
      </c>
      <c r="CA93" s="62">
        <v>0.23499999999999999</v>
      </c>
      <c r="CB93" s="62">
        <v>5.0000000000000001E-3</v>
      </c>
      <c r="CC93" s="62">
        <v>-1.9E-2</v>
      </c>
      <c r="CD93" s="62">
        <v>3.7000000000000002E-3</v>
      </c>
      <c r="CE93" s="62">
        <v>2.5000000000000001E-3</v>
      </c>
      <c r="CF93" s="62">
        <v>2.5000000000000001E-3</v>
      </c>
      <c r="CG93" s="62">
        <v>-1.9E-2</v>
      </c>
      <c r="CH93" s="62">
        <v>3.7000000000000002E-3</v>
      </c>
      <c r="CI93" s="62">
        <v>-0.1145</v>
      </c>
      <c r="CJ93" s="62">
        <v>2.5000000000000001E-3</v>
      </c>
      <c r="CK93" s="62">
        <v>7.4999999999999997E-2</v>
      </c>
      <c r="CL93" s="62">
        <v>2.5000000000000001E-3</v>
      </c>
      <c r="CM93" s="62">
        <v>-6.5000000000000002E-2</v>
      </c>
      <c r="CN93" s="62">
        <v>0.01</v>
      </c>
      <c r="CO93" s="62">
        <v>-0.01</v>
      </c>
      <c r="CP93" s="62">
        <v>7.4999999999999997E-3</v>
      </c>
      <c r="CQ93" s="62">
        <v>0.03</v>
      </c>
      <c r="CR93" s="62">
        <v>1.2500000000000001E-2</v>
      </c>
      <c r="CS93" s="62">
        <v>1.6</v>
      </c>
      <c r="CT93" s="62">
        <v>0.45</v>
      </c>
      <c r="CU93" s="62">
        <v>0.29799999999999999</v>
      </c>
      <c r="CV93" s="62">
        <v>0</v>
      </c>
      <c r="CW93" s="62">
        <v>0.34</v>
      </c>
      <c r="CX93" s="62">
        <v>0.02</v>
      </c>
      <c r="CY93" s="62">
        <v>-0.52</v>
      </c>
      <c r="CZ93" s="62">
        <v>0</v>
      </c>
      <c r="DA93" s="62">
        <v>-0.34</v>
      </c>
      <c r="DB93" s="62">
        <v>0</v>
      </c>
      <c r="DC93" s="62">
        <v>0.35</v>
      </c>
      <c r="DE93" s="62">
        <v>-4.4999999999999998E-2</v>
      </c>
      <c r="DF93" s="62">
        <v>1.2500000000000001E-2</v>
      </c>
      <c r="DG93" s="62">
        <v>7.0000000000000001E-3</v>
      </c>
      <c r="DH93" s="62">
        <v>7.4999999999999997E-3</v>
      </c>
      <c r="DI93" s="62">
        <v>-1.2999999999999999E-2</v>
      </c>
      <c r="DJ93" s="62">
        <v>2.5000000000000001E-3</v>
      </c>
      <c r="DK93" s="62">
        <v>-8.6499999999999994E-2</v>
      </c>
      <c r="DL93" s="62">
        <v>2.5000000000000001E-3</v>
      </c>
      <c r="DM93" s="62">
        <v>-6.3500000000000001E-2</v>
      </c>
      <c r="DN93" s="62">
        <v>2.5000000000000001E-3</v>
      </c>
      <c r="DO93" s="62">
        <v>-8.5999999999999993E-2</v>
      </c>
      <c r="DP93" s="62">
        <v>2.5000000000000001E-3</v>
      </c>
      <c r="DQ93" s="62">
        <v>-0.11650000000000001</v>
      </c>
      <c r="DR93" s="62">
        <v>-5.0000000000000001E-3</v>
      </c>
      <c r="DS93" s="62">
        <v>1.04</v>
      </c>
      <c r="DT93" s="62">
        <v>0.05</v>
      </c>
      <c r="DU93" s="62">
        <v>8.5120000000000001E-2</v>
      </c>
      <c r="DV93" s="62">
        <v>0</v>
      </c>
    </row>
    <row r="94" spans="4:126" x14ac:dyDescent="0.25">
      <c r="D94" s="91">
        <v>39508</v>
      </c>
      <c r="F94" s="89">
        <v>3.6995</v>
      </c>
      <c r="G94" s="90">
        <v>5.6377688996458002E-2</v>
      </c>
      <c r="H94" s="89">
        <v>0.23499999999999999</v>
      </c>
      <c r="I94" s="89">
        <v>0.75</v>
      </c>
      <c r="J94" s="89">
        <v>0.8</v>
      </c>
      <c r="K94" s="89">
        <v>0.75</v>
      </c>
      <c r="L94" s="87">
        <v>0.75</v>
      </c>
      <c r="M94" s="87">
        <v>0.85</v>
      </c>
      <c r="N94" s="89">
        <v>1</v>
      </c>
      <c r="O94" s="89">
        <v>0.75</v>
      </c>
      <c r="P94" s="89">
        <v>0.75</v>
      </c>
      <c r="Q94" s="89">
        <v>0.95</v>
      </c>
      <c r="R94" s="90">
        <v>0.75</v>
      </c>
      <c r="S94" s="90">
        <v>0.75</v>
      </c>
      <c r="T94" s="89">
        <v>0.75</v>
      </c>
      <c r="U94" s="89">
        <v>1</v>
      </c>
      <c r="V94" s="89">
        <v>0.85</v>
      </c>
      <c r="W94" s="89">
        <v>0</v>
      </c>
      <c r="X94" s="89">
        <v>0.03</v>
      </c>
      <c r="Y94" s="89">
        <v>0.13</v>
      </c>
      <c r="Z94" s="89">
        <v>0.02</v>
      </c>
      <c r="AA94" s="89">
        <v>0.35499999999999998</v>
      </c>
      <c r="AB94" s="89">
        <v>0</v>
      </c>
      <c r="AC94" s="89">
        <v>0.35499999999999998</v>
      </c>
      <c r="AD94" s="89">
        <v>0</v>
      </c>
      <c r="AE94" s="89">
        <v>0.35499999999999998</v>
      </c>
      <c r="AF94" s="89">
        <v>0</v>
      </c>
      <c r="AG94" s="89">
        <v>0.19500000000000001</v>
      </c>
      <c r="AH94" s="89">
        <v>0</v>
      </c>
      <c r="AI94" s="89">
        <v>0.17868000000000001</v>
      </c>
      <c r="AJ94" s="89">
        <v>0</v>
      </c>
      <c r="AK94" s="89">
        <v>0.13</v>
      </c>
      <c r="AL94" s="89">
        <v>3.5000000000000003E-2</v>
      </c>
      <c r="AM94" s="89">
        <v>-7.4999999999999997E-2</v>
      </c>
      <c r="AN94" s="89">
        <v>1.2E-2</v>
      </c>
      <c r="AO94" s="89">
        <v>-0.4</v>
      </c>
      <c r="AP94" s="89">
        <v>0.155</v>
      </c>
      <c r="AQ94" s="89">
        <v>-5.5E-2</v>
      </c>
      <c r="AR94" s="89">
        <v>5.0000000000000001E-3</v>
      </c>
      <c r="AS94" s="89">
        <v>-0.14499999999999999</v>
      </c>
      <c r="AT94" s="89">
        <v>-5.0000000000000001E-3</v>
      </c>
      <c r="AU94" s="89">
        <v>-0.105</v>
      </c>
      <c r="AV94" s="89">
        <v>-0.01</v>
      </c>
      <c r="AW94" s="89">
        <v>-6.5000000000000002E-2</v>
      </c>
      <c r="AX94" s="89">
        <v>5.0000000000000001E-3</v>
      </c>
      <c r="AY94" s="90">
        <v>0.155</v>
      </c>
      <c r="AZ94" s="90">
        <v>0</v>
      </c>
      <c r="BA94" s="90">
        <v>-0.13</v>
      </c>
      <c r="BB94" s="89">
        <v>5.0000000000000001E-3</v>
      </c>
      <c r="BC94" s="89">
        <v>-7.0000000000000007E-2</v>
      </c>
      <c r="BD94" s="89">
        <v>5.0000000000000001E-3</v>
      </c>
      <c r="BE94" s="89">
        <v>0.24</v>
      </c>
      <c r="BF94" s="89">
        <v>3.5999999999999997E-2</v>
      </c>
      <c r="BG94" s="89">
        <v>-0.06</v>
      </c>
      <c r="BH94" s="89">
        <v>0</v>
      </c>
      <c r="BI94" s="89">
        <v>0.15</v>
      </c>
      <c r="BJ94" s="62">
        <v>0.03</v>
      </c>
      <c r="BK94" s="62">
        <v>0.24</v>
      </c>
      <c r="BL94" s="62">
        <v>3.5999999999999997E-2</v>
      </c>
      <c r="BM94" s="62">
        <v>0.11799999999999999</v>
      </c>
      <c r="BN94" s="62">
        <v>0</v>
      </c>
      <c r="BO94" s="62">
        <v>-0.26</v>
      </c>
      <c r="BP94" s="62">
        <v>0</v>
      </c>
      <c r="BQ94" s="62">
        <v>0.5</v>
      </c>
      <c r="BR94" s="62">
        <v>3.5999999999999997E-2</v>
      </c>
      <c r="BS94" s="62">
        <v>-7.0000000000000007E-2</v>
      </c>
      <c r="BT94" s="62">
        <v>5.0000000000000001E-3</v>
      </c>
      <c r="BU94" s="62">
        <v>0.3</v>
      </c>
      <c r="BV94" s="62">
        <v>0</v>
      </c>
      <c r="BW94" s="62">
        <v>0</v>
      </c>
      <c r="BX94" s="62">
        <v>0</v>
      </c>
      <c r="BY94" s="62">
        <v>-1.9E-2</v>
      </c>
      <c r="BZ94" s="62">
        <v>5.7500000000000002E-2</v>
      </c>
      <c r="CA94" s="62">
        <v>0.19500000000000001</v>
      </c>
      <c r="CB94" s="62">
        <v>5.0000000000000001E-3</v>
      </c>
      <c r="CC94" s="62">
        <v>-1.9E-2</v>
      </c>
      <c r="CD94" s="62">
        <v>3.7000000000000002E-3</v>
      </c>
      <c r="CE94" s="62">
        <v>2.5000000000000001E-3</v>
      </c>
      <c r="CF94" s="62">
        <v>2.5000000000000001E-3</v>
      </c>
      <c r="CG94" s="62">
        <v>-1.9E-2</v>
      </c>
      <c r="CH94" s="62">
        <v>3.7000000000000002E-3</v>
      </c>
      <c r="CI94" s="62">
        <v>-0.1145</v>
      </c>
      <c r="CJ94" s="62">
        <v>2.5000000000000001E-3</v>
      </c>
      <c r="CK94" s="62">
        <v>7.4999999999999997E-2</v>
      </c>
      <c r="CL94" s="62">
        <v>2.5000000000000001E-3</v>
      </c>
      <c r="CM94" s="62">
        <v>-6.5000000000000002E-2</v>
      </c>
      <c r="CN94" s="62">
        <v>0.01</v>
      </c>
      <c r="CO94" s="62">
        <v>-0.01</v>
      </c>
      <c r="CP94" s="62">
        <v>7.4999999999999997E-3</v>
      </c>
      <c r="CQ94" s="62">
        <v>0.03</v>
      </c>
      <c r="CR94" s="62">
        <v>1.2500000000000001E-2</v>
      </c>
      <c r="CS94" s="62">
        <v>0.64</v>
      </c>
      <c r="CT94" s="62">
        <v>0.1</v>
      </c>
      <c r="CU94" s="62">
        <v>0.11799999999999999</v>
      </c>
      <c r="CV94" s="62">
        <v>0</v>
      </c>
      <c r="CW94" s="62">
        <v>0.28999999999999998</v>
      </c>
      <c r="CX94" s="62">
        <v>0.02</v>
      </c>
      <c r="CY94" s="62">
        <v>-0.52</v>
      </c>
      <c r="CZ94" s="62">
        <v>0</v>
      </c>
      <c r="DA94" s="62">
        <v>-0.34</v>
      </c>
      <c r="DB94" s="62">
        <v>0</v>
      </c>
      <c r="DC94" s="62">
        <v>0.4</v>
      </c>
      <c r="DE94" s="62">
        <v>-4.4999999999999998E-2</v>
      </c>
      <c r="DF94" s="62">
        <v>1.2500000000000001E-2</v>
      </c>
      <c r="DG94" s="62">
        <v>1.2E-2</v>
      </c>
      <c r="DH94" s="62">
        <v>7.4999999999999997E-3</v>
      </c>
      <c r="DI94" s="62">
        <v>-8.0000000000000002E-3</v>
      </c>
      <c r="DJ94" s="62">
        <v>2.5000000000000001E-3</v>
      </c>
      <c r="DK94" s="62">
        <v>-7.6499999999999999E-2</v>
      </c>
      <c r="DL94" s="62">
        <v>2.5000000000000001E-3</v>
      </c>
      <c r="DM94" s="62">
        <v>-6.3500000000000001E-2</v>
      </c>
      <c r="DN94" s="62">
        <v>2.5000000000000001E-3</v>
      </c>
      <c r="DO94" s="62">
        <v>-8.5999999999999993E-2</v>
      </c>
      <c r="DP94" s="62">
        <v>2.5000000000000001E-3</v>
      </c>
      <c r="DQ94" s="62">
        <v>-0.1065</v>
      </c>
      <c r="DR94" s="62">
        <v>-5.0000000000000001E-3</v>
      </c>
      <c r="DS94" s="62">
        <v>0.54</v>
      </c>
      <c r="DT94" s="62">
        <v>0.05</v>
      </c>
      <c r="DU94" s="62">
        <v>8.6550000000000002E-2</v>
      </c>
      <c r="DV94" s="62">
        <v>0</v>
      </c>
    </row>
    <row r="95" spans="4:126" x14ac:dyDescent="0.25">
      <c r="D95" s="91">
        <v>39539</v>
      </c>
      <c r="F95" s="89">
        <v>3.5145</v>
      </c>
      <c r="G95" s="90">
        <v>5.6561705196317202E-2</v>
      </c>
      <c r="H95" s="89">
        <v>0.23</v>
      </c>
      <c r="I95" s="89">
        <v>0.4</v>
      </c>
      <c r="J95" s="89">
        <v>0.45</v>
      </c>
      <c r="K95" s="89">
        <v>0.4</v>
      </c>
      <c r="L95" s="87">
        <v>0.45</v>
      </c>
      <c r="M95" s="87">
        <v>0.45</v>
      </c>
      <c r="N95" s="89">
        <v>0.45</v>
      </c>
      <c r="O95" s="89">
        <v>0.45</v>
      </c>
      <c r="P95" s="89">
        <v>0.45</v>
      </c>
      <c r="Q95" s="89">
        <v>0.5</v>
      </c>
      <c r="R95" s="90">
        <v>0.4</v>
      </c>
      <c r="S95" s="90">
        <v>0.45</v>
      </c>
      <c r="T95" s="89">
        <v>0.4</v>
      </c>
      <c r="U95" s="89">
        <v>0.45</v>
      </c>
      <c r="V95" s="89">
        <v>0.55000000000000004</v>
      </c>
      <c r="W95" s="89">
        <v>-0.09</v>
      </c>
      <c r="X95" s="89">
        <v>0</v>
      </c>
      <c r="Y95" s="89">
        <v>0.04</v>
      </c>
      <c r="Z95" s="89">
        <v>5.0000000000000001E-3</v>
      </c>
      <c r="AA95" s="89">
        <v>0.19</v>
      </c>
      <c r="AB95" s="89">
        <v>0</v>
      </c>
      <c r="AC95" s="89">
        <v>0.155</v>
      </c>
      <c r="AD95" s="89">
        <v>0</v>
      </c>
      <c r="AE95" s="89">
        <v>0.19</v>
      </c>
      <c r="AF95" s="89">
        <v>0</v>
      </c>
      <c r="AG95" s="89">
        <v>0.14499999999999999</v>
      </c>
      <c r="AH95" s="89">
        <v>0</v>
      </c>
      <c r="AI95" s="89">
        <v>0.155</v>
      </c>
      <c r="AJ95" s="89">
        <v>0</v>
      </c>
      <c r="AK95" s="89">
        <v>0.04</v>
      </c>
      <c r="AL95" s="89">
        <v>0.04</v>
      </c>
      <c r="AM95" s="89">
        <v>-5.7500000000000002E-2</v>
      </c>
      <c r="AN95" s="89">
        <v>1.9E-2</v>
      </c>
      <c r="AO95" s="89">
        <v>-0.44500000000000001</v>
      </c>
      <c r="AP95" s="89">
        <v>0.155</v>
      </c>
      <c r="AQ95" s="89">
        <v>-5.2499999999999998E-2</v>
      </c>
      <c r="AR95" s="89">
        <v>0</v>
      </c>
      <c r="AS95" s="89">
        <v>-0.15</v>
      </c>
      <c r="AT95" s="89">
        <v>-1.4999999999999999E-2</v>
      </c>
      <c r="AU95" s="89">
        <v>-0.11</v>
      </c>
      <c r="AV95" s="89">
        <v>0.02</v>
      </c>
      <c r="AW95" s="89">
        <v>-6.25E-2</v>
      </c>
      <c r="AX95" s="89">
        <v>0.01</v>
      </c>
      <c r="AY95" s="90">
        <v>0.125</v>
      </c>
      <c r="AZ95" s="90">
        <v>0</v>
      </c>
      <c r="BA95" s="90">
        <v>-0.19500000000000001</v>
      </c>
      <c r="BB95" s="89">
        <v>2.5000000000000001E-3</v>
      </c>
      <c r="BC95" s="89">
        <v>-7.0000000000000007E-2</v>
      </c>
      <c r="BD95" s="89">
        <v>5.0000000000000001E-3</v>
      </c>
      <c r="BE95" s="89">
        <v>0.26</v>
      </c>
      <c r="BF95" s="89">
        <v>3.5999999999999997E-2</v>
      </c>
      <c r="BG95" s="89">
        <v>-0.06</v>
      </c>
      <c r="BH95" s="89">
        <v>0</v>
      </c>
      <c r="BI95" s="89">
        <v>0.06</v>
      </c>
      <c r="BJ95" s="62">
        <v>0.03</v>
      </c>
      <c r="BK95" s="62">
        <v>0.26</v>
      </c>
      <c r="BL95" s="62">
        <v>3.5999999999999997E-2</v>
      </c>
      <c r="BM95" s="62">
        <v>-0.2</v>
      </c>
      <c r="BN95" s="62">
        <v>0</v>
      </c>
      <c r="BO95" s="62">
        <v>-0.39</v>
      </c>
      <c r="BP95" s="62">
        <v>0</v>
      </c>
      <c r="BQ95" s="62">
        <v>0.5</v>
      </c>
      <c r="BR95" s="62">
        <v>3.5999999999999997E-2</v>
      </c>
      <c r="BS95" s="62">
        <v>-7.0000000000000007E-2</v>
      </c>
      <c r="BT95" s="62">
        <v>5.0000000000000001E-3</v>
      </c>
      <c r="BU95" s="62">
        <v>0.3</v>
      </c>
      <c r="BV95" s="62">
        <v>0</v>
      </c>
      <c r="BW95" s="62">
        <v>0</v>
      </c>
      <c r="BX95" s="62">
        <v>0</v>
      </c>
      <c r="BY95" s="62">
        <v>-1.9E-2</v>
      </c>
      <c r="BZ95" s="62">
        <v>5.7500000000000002E-2</v>
      </c>
      <c r="CA95" s="62">
        <v>0.14499999999999999</v>
      </c>
      <c r="CB95" s="62">
        <v>5.0000000000000001E-3</v>
      </c>
      <c r="CC95" s="62">
        <v>-1.9E-2</v>
      </c>
      <c r="CD95" s="62">
        <v>3.5000000000000001E-3</v>
      </c>
      <c r="CE95" s="62">
        <v>2.5000000000000001E-3</v>
      </c>
      <c r="CF95" s="62">
        <v>2.5000000000000001E-3</v>
      </c>
      <c r="CG95" s="62">
        <v>-1.9E-2</v>
      </c>
      <c r="CH95" s="62">
        <v>3.5000000000000001E-3</v>
      </c>
      <c r="CI95" s="62">
        <v>-0.13450000000000001</v>
      </c>
      <c r="CJ95" s="62">
        <v>2.5000000000000001E-3</v>
      </c>
      <c r="CK95" s="62">
        <v>7.7499999999999999E-2</v>
      </c>
      <c r="CL95" s="62">
        <v>2.5000000000000001E-3</v>
      </c>
      <c r="CM95" s="62">
        <v>-7.1999999999999995E-2</v>
      </c>
      <c r="CN95" s="62">
        <v>7.4999999999999997E-3</v>
      </c>
      <c r="CO95" s="62">
        <v>-1.7000000000000001E-2</v>
      </c>
      <c r="CP95" s="62">
        <v>5.0000000000000001E-3</v>
      </c>
      <c r="CQ95" s="62">
        <v>2.3E-2</v>
      </c>
      <c r="CR95" s="62">
        <v>7.4999999999999997E-3</v>
      </c>
      <c r="CS95" s="62">
        <v>0.38</v>
      </c>
      <c r="CT95" s="62">
        <v>0.02</v>
      </c>
      <c r="CU95" s="62">
        <v>-0.2</v>
      </c>
      <c r="CV95" s="62">
        <v>0</v>
      </c>
      <c r="CW95" s="62">
        <v>0.19500000000000001</v>
      </c>
      <c r="CX95" s="62">
        <v>7.4999999999999997E-3</v>
      </c>
      <c r="CY95" s="62">
        <v>-0.65</v>
      </c>
      <c r="CZ95" s="62">
        <v>0</v>
      </c>
      <c r="DA95" s="62">
        <v>-0.47</v>
      </c>
      <c r="DB95" s="62">
        <v>0</v>
      </c>
      <c r="DC95" s="62">
        <v>0.6</v>
      </c>
      <c r="DE95" s="62">
        <v>-5.2499999999999998E-2</v>
      </c>
      <c r="DF95" s="62">
        <v>0.01</v>
      </c>
      <c r="DG95" s="62">
        <v>1.2E-2</v>
      </c>
      <c r="DH95" s="62">
        <v>0.01</v>
      </c>
      <c r="DI95" s="62">
        <v>-5.4999999999999997E-3</v>
      </c>
      <c r="DJ95" s="62">
        <v>7.4999999999999997E-3</v>
      </c>
      <c r="DK95" s="62">
        <v>-0.1195</v>
      </c>
      <c r="DL95" s="62">
        <v>5.0000000000000001E-3</v>
      </c>
      <c r="DM95" s="62">
        <v>-6.0999999999999999E-2</v>
      </c>
      <c r="DN95" s="62">
        <v>2.5000000000000001E-3</v>
      </c>
      <c r="DO95" s="62">
        <v>-8.3500000000000005E-2</v>
      </c>
      <c r="DP95" s="62">
        <v>2.5000000000000001E-3</v>
      </c>
      <c r="DQ95" s="62">
        <v>-0.14949999999999999</v>
      </c>
      <c r="DR95" s="62">
        <v>-5.0000000000000001E-3</v>
      </c>
      <c r="DS95" s="62">
        <v>0.36</v>
      </c>
      <c r="DT95" s="62">
        <v>5.0000000000000001E-3</v>
      </c>
      <c r="DU95" s="62">
        <v>4.2499999999999499E-4</v>
      </c>
      <c r="DV95" s="62">
        <v>0</v>
      </c>
    </row>
    <row r="96" spans="4:126" x14ac:dyDescent="0.25">
      <c r="D96" s="91">
        <v>39569</v>
      </c>
      <c r="F96" s="89">
        <v>3.5095000000000001</v>
      </c>
      <c r="G96" s="90">
        <v>5.6739785400459201E-2</v>
      </c>
      <c r="H96" s="89">
        <v>0.23</v>
      </c>
      <c r="I96" s="89">
        <v>0.45</v>
      </c>
      <c r="J96" s="89">
        <v>0.5</v>
      </c>
      <c r="K96" s="89">
        <v>0.4</v>
      </c>
      <c r="L96" s="87">
        <v>0.4</v>
      </c>
      <c r="M96" s="87">
        <v>0.45</v>
      </c>
      <c r="N96" s="89">
        <v>0.5</v>
      </c>
      <c r="O96" s="89">
        <v>0.45</v>
      </c>
      <c r="P96" s="89">
        <v>0.4</v>
      </c>
      <c r="Q96" s="89">
        <v>0.45</v>
      </c>
      <c r="R96" s="90">
        <v>0.45</v>
      </c>
      <c r="S96" s="90">
        <v>0.5</v>
      </c>
      <c r="T96" s="89">
        <v>0.45</v>
      </c>
      <c r="U96" s="89">
        <v>0.5</v>
      </c>
      <c r="V96" s="89">
        <v>0.5</v>
      </c>
      <c r="W96" s="89">
        <v>-0.09</v>
      </c>
      <c r="X96" s="89">
        <v>0</v>
      </c>
      <c r="Y96" s="89">
        <v>0.04</v>
      </c>
      <c r="Z96" s="89">
        <v>5.0000000000000001E-3</v>
      </c>
      <c r="AA96" s="89">
        <v>0.19</v>
      </c>
      <c r="AB96" s="89">
        <v>0</v>
      </c>
      <c r="AC96" s="89">
        <v>0.155</v>
      </c>
      <c r="AD96" s="89">
        <v>0</v>
      </c>
      <c r="AE96" s="89">
        <v>0.19</v>
      </c>
      <c r="AF96" s="89">
        <v>0</v>
      </c>
      <c r="AG96" s="89">
        <v>0.14499999999999999</v>
      </c>
      <c r="AH96" s="89">
        <v>0</v>
      </c>
      <c r="AI96" s="89">
        <v>0.155</v>
      </c>
      <c r="AJ96" s="89">
        <v>0</v>
      </c>
      <c r="AK96" s="89">
        <v>0.04</v>
      </c>
      <c r="AL96" s="89">
        <v>0.04</v>
      </c>
      <c r="AM96" s="89">
        <v>-5.7500000000000002E-2</v>
      </c>
      <c r="AN96" s="89">
        <v>1.9E-2</v>
      </c>
      <c r="AO96" s="89">
        <v>-0.44500000000000001</v>
      </c>
      <c r="AP96" s="89">
        <v>0.155</v>
      </c>
      <c r="AQ96" s="89">
        <v>-5.2499999999999998E-2</v>
      </c>
      <c r="AR96" s="89">
        <v>0</v>
      </c>
      <c r="AS96" s="89">
        <v>-0.15</v>
      </c>
      <c r="AT96" s="89">
        <v>-1.4999999999999999E-2</v>
      </c>
      <c r="AU96" s="89">
        <v>-0.11</v>
      </c>
      <c r="AV96" s="89">
        <v>0.02</v>
      </c>
      <c r="AW96" s="89">
        <v>-6.25E-2</v>
      </c>
      <c r="AX96" s="89">
        <v>0.01</v>
      </c>
      <c r="AY96" s="90">
        <v>0.125</v>
      </c>
      <c r="AZ96" s="90">
        <v>0</v>
      </c>
      <c r="BA96" s="90">
        <v>-0.19500000000000001</v>
      </c>
      <c r="BB96" s="89">
        <v>2.5000000000000001E-3</v>
      </c>
      <c r="BC96" s="89">
        <v>-7.0000000000000007E-2</v>
      </c>
      <c r="BD96" s="89">
        <v>5.0000000000000001E-3</v>
      </c>
      <c r="BE96" s="89">
        <v>0.26</v>
      </c>
      <c r="BF96" s="89">
        <v>3.5999999999999997E-2</v>
      </c>
      <c r="BG96" s="89">
        <v>-0.06</v>
      </c>
      <c r="BH96" s="89">
        <v>0</v>
      </c>
      <c r="BI96" s="89">
        <v>0.06</v>
      </c>
      <c r="BJ96" s="62">
        <v>0.03</v>
      </c>
      <c r="BK96" s="62">
        <v>0.26</v>
      </c>
      <c r="BL96" s="62">
        <v>3.5999999999999997E-2</v>
      </c>
      <c r="BM96" s="62">
        <v>-0.2</v>
      </c>
      <c r="BN96" s="62">
        <v>0</v>
      </c>
      <c r="BO96" s="62">
        <v>-0.39</v>
      </c>
      <c r="BP96" s="62">
        <v>0</v>
      </c>
      <c r="BQ96" s="62">
        <v>0.5</v>
      </c>
      <c r="BR96" s="62">
        <v>3.5999999999999997E-2</v>
      </c>
      <c r="BS96" s="62">
        <v>-7.0000000000000007E-2</v>
      </c>
      <c r="BT96" s="62">
        <v>5.0000000000000001E-3</v>
      </c>
      <c r="BU96" s="62">
        <v>0.3</v>
      </c>
      <c r="BV96" s="62">
        <v>0</v>
      </c>
      <c r="BW96" s="62">
        <v>0</v>
      </c>
      <c r="BX96" s="62">
        <v>0</v>
      </c>
      <c r="BY96" s="62">
        <v>-1.9E-2</v>
      </c>
      <c r="BZ96" s="62">
        <v>5.7500000000000002E-2</v>
      </c>
      <c r="CA96" s="62">
        <v>0.125</v>
      </c>
      <c r="CB96" s="62">
        <v>5.0000000000000001E-3</v>
      </c>
      <c r="CC96" s="62">
        <v>-1.9E-2</v>
      </c>
      <c r="CD96" s="62">
        <v>3.5000000000000001E-3</v>
      </c>
      <c r="CE96" s="62">
        <v>2.5000000000000001E-3</v>
      </c>
      <c r="CF96" s="62">
        <v>2.5000000000000001E-3</v>
      </c>
      <c r="CG96" s="62">
        <v>-1.9E-2</v>
      </c>
      <c r="CH96" s="62">
        <v>3.5000000000000001E-3</v>
      </c>
      <c r="CI96" s="62">
        <v>-0.122</v>
      </c>
      <c r="CJ96" s="62">
        <v>2.5000000000000001E-3</v>
      </c>
      <c r="CK96" s="62">
        <v>7.7499999999999999E-2</v>
      </c>
      <c r="CL96" s="62">
        <v>2.5000000000000001E-3</v>
      </c>
      <c r="CM96" s="62">
        <v>-7.1999999999999995E-2</v>
      </c>
      <c r="CN96" s="62">
        <v>7.4999999999999997E-3</v>
      </c>
      <c r="CO96" s="62">
        <v>-1.7000000000000001E-2</v>
      </c>
      <c r="CP96" s="62">
        <v>5.0000000000000001E-3</v>
      </c>
      <c r="CQ96" s="62">
        <v>2.3E-2</v>
      </c>
      <c r="CR96" s="62">
        <v>7.4999999999999997E-3</v>
      </c>
      <c r="CS96" s="62">
        <v>0.33</v>
      </c>
      <c r="CT96" s="62">
        <v>0.02</v>
      </c>
      <c r="CU96" s="62">
        <v>-0.2</v>
      </c>
      <c r="CV96" s="62">
        <v>0</v>
      </c>
      <c r="CW96" s="62">
        <v>0.13500000000000001</v>
      </c>
      <c r="CX96" s="62">
        <v>7.4999999999999997E-3</v>
      </c>
      <c r="CY96" s="62">
        <v>-0.65</v>
      </c>
      <c r="CZ96" s="62">
        <v>0</v>
      </c>
      <c r="DA96" s="62">
        <v>-0.47</v>
      </c>
      <c r="DB96" s="62">
        <v>0</v>
      </c>
      <c r="DC96" s="62">
        <v>0.75</v>
      </c>
      <c r="DE96" s="62">
        <v>-5.2499999999999998E-2</v>
      </c>
      <c r="DF96" s="62">
        <v>0.01</v>
      </c>
      <c r="DG96" s="62">
        <v>1.4500000000000001E-2</v>
      </c>
      <c r="DH96" s="62">
        <v>0.01</v>
      </c>
      <c r="DI96" s="62">
        <v>-3.0000000000000001E-3</v>
      </c>
      <c r="DJ96" s="62">
        <v>7.4999999999999997E-3</v>
      </c>
      <c r="DK96" s="62">
        <v>-9.7000000000000003E-2</v>
      </c>
      <c r="DL96" s="62">
        <v>5.0000000000000001E-3</v>
      </c>
      <c r="DM96" s="62">
        <v>-6.0999999999999999E-2</v>
      </c>
      <c r="DN96" s="62">
        <v>2.5000000000000001E-3</v>
      </c>
      <c r="DO96" s="62">
        <v>-8.3500000000000005E-2</v>
      </c>
      <c r="DP96" s="62">
        <v>2.5000000000000001E-3</v>
      </c>
      <c r="DQ96" s="62">
        <v>-0.127</v>
      </c>
      <c r="DR96" s="62">
        <v>-5.0000000000000001E-3</v>
      </c>
      <c r="DS96" s="62">
        <v>0.32500000000000001</v>
      </c>
      <c r="DT96" s="62">
        <v>5.0000000000000001E-3</v>
      </c>
      <c r="DU96" s="62">
        <v>4.0300000000000101E-4</v>
      </c>
      <c r="DV96" s="62">
        <v>0</v>
      </c>
    </row>
    <row r="97" spans="4:126" x14ac:dyDescent="0.25">
      <c r="D97" s="91">
        <v>39600</v>
      </c>
      <c r="F97" s="89">
        <v>3.5445000000000002</v>
      </c>
      <c r="G97" s="90">
        <v>5.6923801622493997E-2</v>
      </c>
      <c r="H97" s="89">
        <v>0.23</v>
      </c>
      <c r="I97" s="89">
        <v>0.45</v>
      </c>
      <c r="J97" s="89">
        <v>0.5</v>
      </c>
      <c r="K97" s="89">
        <v>0.4</v>
      </c>
      <c r="L97" s="87">
        <v>0.5</v>
      </c>
      <c r="M97" s="87">
        <v>0.45</v>
      </c>
      <c r="N97" s="89">
        <v>0.5</v>
      </c>
      <c r="O97" s="89">
        <v>0.5</v>
      </c>
      <c r="P97" s="89">
        <v>0.5</v>
      </c>
      <c r="Q97" s="89">
        <v>0.5</v>
      </c>
      <c r="R97" s="90">
        <v>0.45</v>
      </c>
      <c r="S97" s="90">
        <v>0.5</v>
      </c>
      <c r="T97" s="89">
        <v>0.45</v>
      </c>
      <c r="U97" s="89">
        <v>0.5</v>
      </c>
      <c r="V97" s="89">
        <v>0.6</v>
      </c>
      <c r="W97" s="89">
        <v>-0.09</v>
      </c>
      <c r="X97" s="89">
        <v>0</v>
      </c>
      <c r="Y97" s="89">
        <v>0.04</v>
      </c>
      <c r="Z97" s="89">
        <v>5.0000000000000001E-3</v>
      </c>
      <c r="AA97" s="89">
        <v>0.19</v>
      </c>
      <c r="AB97" s="89">
        <v>0</v>
      </c>
      <c r="AC97" s="89">
        <v>0.155</v>
      </c>
      <c r="AD97" s="89">
        <v>0</v>
      </c>
      <c r="AE97" s="89">
        <v>0.19</v>
      </c>
      <c r="AF97" s="89">
        <v>0</v>
      </c>
      <c r="AG97" s="89">
        <v>0.14499999999999999</v>
      </c>
      <c r="AH97" s="89">
        <v>0</v>
      </c>
      <c r="AI97" s="89">
        <v>0.155</v>
      </c>
      <c r="AJ97" s="89">
        <v>0</v>
      </c>
      <c r="AK97" s="89">
        <v>0.04</v>
      </c>
      <c r="AL97" s="89">
        <v>0.04</v>
      </c>
      <c r="AM97" s="89">
        <v>-5.7500000000000002E-2</v>
      </c>
      <c r="AN97" s="89">
        <v>1.9E-2</v>
      </c>
      <c r="AO97" s="89">
        <v>-0.44500000000000001</v>
      </c>
      <c r="AP97" s="89">
        <v>0.155</v>
      </c>
      <c r="AQ97" s="89">
        <v>-5.2499999999999998E-2</v>
      </c>
      <c r="AR97" s="89">
        <v>0</v>
      </c>
      <c r="AS97" s="89">
        <v>-0.15</v>
      </c>
      <c r="AT97" s="89">
        <v>-1.4999999999999999E-2</v>
      </c>
      <c r="AU97" s="89">
        <v>-0.11</v>
      </c>
      <c r="AV97" s="89">
        <v>0.02</v>
      </c>
      <c r="AW97" s="89">
        <v>-6.25E-2</v>
      </c>
      <c r="AX97" s="89">
        <v>0.01</v>
      </c>
      <c r="AY97" s="90">
        <v>0.125</v>
      </c>
      <c r="AZ97" s="90">
        <v>0</v>
      </c>
      <c r="BA97" s="90">
        <v>-0.19500000000000001</v>
      </c>
      <c r="BB97" s="89">
        <v>2.5000000000000001E-3</v>
      </c>
      <c r="BC97" s="89">
        <v>-7.0000000000000007E-2</v>
      </c>
      <c r="BD97" s="89">
        <v>5.0000000000000001E-3</v>
      </c>
      <c r="BE97" s="89">
        <v>0.26</v>
      </c>
      <c r="BF97" s="89">
        <v>3.5999999999999997E-2</v>
      </c>
      <c r="BG97" s="89">
        <v>-0.06</v>
      </c>
      <c r="BH97" s="89">
        <v>0</v>
      </c>
      <c r="BI97" s="89">
        <v>0.06</v>
      </c>
      <c r="BJ97" s="62">
        <v>0.03</v>
      </c>
      <c r="BK97" s="62">
        <v>0.26</v>
      </c>
      <c r="BL97" s="62">
        <v>3.5999999999999997E-2</v>
      </c>
      <c r="BM97" s="62">
        <v>-0.2</v>
      </c>
      <c r="BN97" s="62">
        <v>0</v>
      </c>
      <c r="BO97" s="62">
        <v>-0.39</v>
      </c>
      <c r="BP97" s="62">
        <v>0</v>
      </c>
      <c r="BQ97" s="62">
        <v>0.5</v>
      </c>
      <c r="BR97" s="62">
        <v>3.5999999999999997E-2</v>
      </c>
      <c r="BS97" s="62">
        <v>-7.0000000000000007E-2</v>
      </c>
      <c r="BT97" s="62">
        <v>5.0000000000000001E-3</v>
      </c>
      <c r="BU97" s="62">
        <v>0.3</v>
      </c>
      <c r="BV97" s="62">
        <v>0</v>
      </c>
      <c r="BW97" s="62">
        <v>0</v>
      </c>
      <c r="BX97" s="62">
        <v>0</v>
      </c>
      <c r="BY97" s="62">
        <v>-1.9E-2</v>
      </c>
      <c r="BZ97" s="62">
        <v>5.7500000000000002E-2</v>
      </c>
      <c r="CA97" s="62">
        <v>0.14499999999999999</v>
      </c>
      <c r="CB97" s="62">
        <v>5.0000000000000001E-3</v>
      </c>
      <c r="CC97" s="62">
        <v>-1.9E-2</v>
      </c>
      <c r="CD97" s="62">
        <v>3.5000000000000001E-3</v>
      </c>
      <c r="CE97" s="62">
        <v>2.5000000000000001E-3</v>
      </c>
      <c r="CF97" s="62">
        <v>2.5000000000000001E-3</v>
      </c>
      <c r="CG97" s="62">
        <v>-1.9E-2</v>
      </c>
      <c r="CH97" s="62">
        <v>3.5000000000000001E-3</v>
      </c>
      <c r="CI97" s="62">
        <v>-7.9500000000000001E-2</v>
      </c>
      <c r="CJ97" s="62">
        <v>2.5000000000000001E-3</v>
      </c>
      <c r="CK97" s="62">
        <v>7.7499999999999999E-2</v>
      </c>
      <c r="CL97" s="62">
        <v>2.5000000000000001E-3</v>
      </c>
      <c r="CM97" s="62">
        <v>-7.1999999999999995E-2</v>
      </c>
      <c r="CN97" s="62">
        <v>7.4999999999999997E-3</v>
      </c>
      <c r="CO97" s="62">
        <v>-1.7000000000000001E-2</v>
      </c>
      <c r="CP97" s="62">
        <v>5.0000000000000001E-3</v>
      </c>
      <c r="CQ97" s="62">
        <v>2.3E-2</v>
      </c>
      <c r="CR97" s="62">
        <v>7.4999999999999997E-3</v>
      </c>
      <c r="CS97" s="62">
        <v>0.37</v>
      </c>
      <c r="CT97" s="62">
        <v>3.5000000000000003E-2</v>
      </c>
      <c r="CU97" s="62">
        <v>-0.2</v>
      </c>
      <c r="CV97" s="62">
        <v>0</v>
      </c>
      <c r="CW97" s="62">
        <v>0.16500000000000001</v>
      </c>
      <c r="CX97" s="62">
        <v>7.4999999999999997E-3</v>
      </c>
      <c r="CY97" s="62">
        <v>-0.65</v>
      </c>
      <c r="CZ97" s="62">
        <v>0</v>
      </c>
      <c r="DA97" s="62">
        <v>-0.47</v>
      </c>
      <c r="DB97" s="62">
        <v>0</v>
      </c>
      <c r="DC97" s="62">
        <v>0.85</v>
      </c>
      <c r="DE97" s="62">
        <v>-0.05</v>
      </c>
      <c r="DF97" s="62">
        <v>0.01</v>
      </c>
      <c r="DG97" s="62">
        <v>1.4500000000000001E-2</v>
      </c>
      <c r="DH97" s="62">
        <v>0.01</v>
      </c>
      <c r="DI97" s="62">
        <v>-3.0000000000000001E-3</v>
      </c>
      <c r="DJ97" s="62">
        <v>7.4999999999999997E-3</v>
      </c>
      <c r="DK97" s="62">
        <v>-4.4499999999999998E-2</v>
      </c>
      <c r="DL97" s="62">
        <v>5.0000000000000001E-3</v>
      </c>
      <c r="DM97" s="62">
        <v>-6.0999999999999999E-2</v>
      </c>
      <c r="DN97" s="62">
        <v>2.5000000000000001E-3</v>
      </c>
      <c r="DO97" s="62">
        <v>-8.3500000000000005E-2</v>
      </c>
      <c r="DP97" s="62">
        <v>2.5000000000000001E-3</v>
      </c>
      <c r="DQ97" s="62">
        <v>-7.4499999999999997E-2</v>
      </c>
      <c r="DR97" s="62">
        <v>-5.0000000000000001E-3</v>
      </c>
      <c r="DS97" s="62">
        <v>0.33500000000000002</v>
      </c>
      <c r="DT97" s="62">
        <v>5.0000000000000001E-3</v>
      </c>
      <c r="DU97" s="62">
        <v>8.4299999999999696E-4</v>
      </c>
      <c r="DV97" s="62">
        <v>0</v>
      </c>
    </row>
    <row r="98" spans="4:126" x14ac:dyDescent="0.25">
      <c r="D98" s="91">
        <v>39630</v>
      </c>
      <c r="F98" s="89">
        <v>3.5844999999999998</v>
      </c>
      <c r="G98" s="90">
        <v>5.7101881848094803E-2</v>
      </c>
      <c r="H98" s="89">
        <v>0.23</v>
      </c>
      <c r="I98" s="89">
        <v>0.5</v>
      </c>
      <c r="J98" s="89">
        <v>0.5</v>
      </c>
      <c r="K98" s="89">
        <v>0.4</v>
      </c>
      <c r="L98" s="87">
        <v>0.5</v>
      </c>
      <c r="M98" s="87">
        <v>0.5</v>
      </c>
      <c r="N98" s="89">
        <v>0.5</v>
      </c>
      <c r="O98" s="89">
        <v>0.5</v>
      </c>
      <c r="P98" s="89">
        <v>0.5</v>
      </c>
      <c r="Q98" s="89">
        <v>0.5</v>
      </c>
      <c r="R98" s="90">
        <v>0.5</v>
      </c>
      <c r="S98" s="90">
        <v>0.55000000000000004</v>
      </c>
      <c r="T98" s="89">
        <v>0.5</v>
      </c>
      <c r="U98" s="89">
        <v>0.5</v>
      </c>
      <c r="V98" s="89">
        <v>0.6</v>
      </c>
      <c r="W98" s="89">
        <v>-0.09</v>
      </c>
      <c r="X98" s="89">
        <v>0</v>
      </c>
      <c r="Y98" s="89">
        <v>0.04</v>
      </c>
      <c r="Z98" s="89">
        <v>5.0000000000000001E-3</v>
      </c>
      <c r="AA98" s="89">
        <v>0.19</v>
      </c>
      <c r="AB98" s="89">
        <v>0</v>
      </c>
      <c r="AC98" s="89">
        <v>0.155</v>
      </c>
      <c r="AD98" s="89">
        <v>0</v>
      </c>
      <c r="AE98" s="89">
        <v>0.19</v>
      </c>
      <c r="AF98" s="89">
        <v>0</v>
      </c>
      <c r="AG98" s="89">
        <v>0.14499999999999999</v>
      </c>
      <c r="AH98" s="89">
        <v>0</v>
      </c>
      <c r="AI98" s="89">
        <v>0.155</v>
      </c>
      <c r="AJ98" s="89">
        <v>0</v>
      </c>
      <c r="AK98" s="89">
        <v>0.04</v>
      </c>
      <c r="AL98" s="89">
        <v>0.04</v>
      </c>
      <c r="AM98" s="89">
        <v>-5.7500000000000002E-2</v>
      </c>
      <c r="AN98" s="89">
        <v>1.9E-2</v>
      </c>
      <c r="AO98" s="89">
        <v>-0.44500000000000001</v>
      </c>
      <c r="AP98" s="89">
        <v>0.155</v>
      </c>
      <c r="AQ98" s="89">
        <v>-5.2499999999999998E-2</v>
      </c>
      <c r="AR98" s="89">
        <v>0</v>
      </c>
      <c r="AS98" s="89">
        <v>-0.15</v>
      </c>
      <c r="AT98" s="89">
        <v>-1.4999999999999999E-2</v>
      </c>
      <c r="AU98" s="89">
        <v>-0.11</v>
      </c>
      <c r="AV98" s="89">
        <v>0.02</v>
      </c>
      <c r="AW98" s="89">
        <v>-6.25E-2</v>
      </c>
      <c r="AX98" s="89">
        <v>0.01</v>
      </c>
      <c r="AY98" s="90">
        <v>0.125</v>
      </c>
      <c r="AZ98" s="90">
        <v>0</v>
      </c>
      <c r="BA98" s="90">
        <v>-0.19500000000000001</v>
      </c>
      <c r="BB98" s="89">
        <v>2.5000000000000001E-3</v>
      </c>
      <c r="BC98" s="89">
        <v>-7.0000000000000007E-2</v>
      </c>
      <c r="BD98" s="89">
        <v>5.0000000000000001E-3</v>
      </c>
      <c r="BE98" s="89">
        <v>0.26</v>
      </c>
      <c r="BF98" s="89">
        <v>3.5999999999999997E-2</v>
      </c>
      <c r="BG98" s="89">
        <v>-0.06</v>
      </c>
      <c r="BH98" s="89">
        <v>0</v>
      </c>
      <c r="BI98" s="89">
        <v>0.06</v>
      </c>
      <c r="BJ98" s="62">
        <v>0.03</v>
      </c>
      <c r="BK98" s="62">
        <v>0.26</v>
      </c>
      <c r="BL98" s="62">
        <v>3.5999999999999997E-2</v>
      </c>
      <c r="BM98" s="62">
        <v>-0.2</v>
      </c>
      <c r="BN98" s="62">
        <v>0</v>
      </c>
      <c r="BO98" s="62">
        <v>-0.39</v>
      </c>
      <c r="BP98" s="62">
        <v>0</v>
      </c>
      <c r="BQ98" s="62">
        <v>0.5</v>
      </c>
      <c r="BR98" s="62">
        <v>3.5999999999999997E-2</v>
      </c>
      <c r="BS98" s="62">
        <v>-7.0000000000000007E-2</v>
      </c>
      <c r="BT98" s="62">
        <v>5.0000000000000001E-3</v>
      </c>
      <c r="BU98" s="62">
        <v>0.3</v>
      </c>
      <c r="BV98" s="62">
        <v>0</v>
      </c>
      <c r="BW98" s="62">
        <v>0</v>
      </c>
      <c r="BX98" s="62">
        <v>0</v>
      </c>
      <c r="BY98" s="62">
        <v>-1.9E-2</v>
      </c>
      <c r="BZ98" s="62">
        <v>5.7500000000000002E-2</v>
      </c>
      <c r="CA98" s="62">
        <v>0.15</v>
      </c>
      <c r="CB98" s="62">
        <v>5.0000000000000001E-3</v>
      </c>
      <c r="CC98" s="62">
        <v>-1.9E-2</v>
      </c>
      <c r="CD98" s="62">
        <v>3.5000000000000001E-3</v>
      </c>
      <c r="CE98" s="62">
        <v>2.5000000000000001E-3</v>
      </c>
      <c r="CF98" s="62">
        <v>2.5000000000000001E-3</v>
      </c>
      <c r="CG98" s="62">
        <v>-1.9E-2</v>
      </c>
      <c r="CH98" s="62">
        <v>3.5000000000000001E-3</v>
      </c>
      <c r="CI98" s="62">
        <v>-7.6999999999999999E-2</v>
      </c>
      <c r="CJ98" s="62">
        <v>2.5000000000000001E-3</v>
      </c>
      <c r="CK98" s="62">
        <v>7.7499999999999999E-2</v>
      </c>
      <c r="CL98" s="62">
        <v>2.5000000000000001E-3</v>
      </c>
      <c r="CM98" s="62">
        <v>-7.1999999999999995E-2</v>
      </c>
      <c r="CN98" s="62">
        <v>7.4999999999999997E-3</v>
      </c>
      <c r="CO98" s="62">
        <v>-1.7000000000000001E-2</v>
      </c>
      <c r="CP98" s="62">
        <v>5.0000000000000001E-3</v>
      </c>
      <c r="CQ98" s="62">
        <v>2.3E-2</v>
      </c>
      <c r="CR98" s="62">
        <v>7.4999999999999997E-3</v>
      </c>
      <c r="CS98" s="62">
        <v>0.41</v>
      </c>
      <c r="CT98" s="62">
        <v>3.5000000000000003E-2</v>
      </c>
      <c r="CU98" s="62">
        <v>-0.2</v>
      </c>
      <c r="CV98" s="62">
        <v>0</v>
      </c>
      <c r="CW98" s="62">
        <v>0.20499999999999999</v>
      </c>
      <c r="CX98" s="62">
        <v>7.4999999999999997E-3</v>
      </c>
      <c r="CY98" s="62">
        <v>-0.65</v>
      </c>
      <c r="CZ98" s="62">
        <v>0</v>
      </c>
      <c r="DA98" s="62">
        <v>-0.47</v>
      </c>
      <c r="DB98" s="62">
        <v>0</v>
      </c>
      <c r="DC98" s="62">
        <v>1.05</v>
      </c>
      <c r="DE98" s="62">
        <v>-0.05</v>
      </c>
      <c r="DF98" s="62">
        <v>0.01</v>
      </c>
      <c r="DG98" s="62">
        <v>1.4500000000000001E-2</v>
      </c>
      <c r="DH98" s="62">
        <v>0.01</v>
      </c>
      <c r="DI98" s="62">
        <v>-3.0000000000000001E-3</v>
      </c>
      <c r="DJ98" s="62">
        <v>7.4999999999999997E-3</v>
      </c>
      <c r="DK98" s="62">
        <v>-5.45E-2</v>
      </c>
      <c r="DL98" s="62">
        <v>5.0000000000000001E-3</v>
      </c>
      <c r="DM98" s="62">
        <v>-6.0999999999999999E-2</v>
      </c>
      <c r="DN98" s="62">
        <v>2.5000000000000001E-3</v>
      </c>
      <c r="DO98" s="62">
        <v>-8.3500000000000005E-2</v>
      </c>
      <c r="DP98" s="62">
        <v>2.5000000000000001E-3</v>
      </c>
      <c r="DQ98" s="62">
        <v>-8.4500000000000006E-2</v>
      </c>
      <c r="DR98" s="62">
        <v>-5.0000000000000001E-3</v>
      </c>
      <c r="DS98" s="62">
        <v>0.35</v>
      </c>
      <c r="DT98" s="62">
        <v>5.0000000000000001E-3</v>
      </c>
      <c r="DU98" s="62">
        <v>-1.304999E-3</v>
      </c>
      <c r="DV98" s="62">
        <v>0</v>
      </c>
    </row>
    <row r="99" spans="4:126" x14ac:dyDescent="0.25">
      <c r="D99" s="91">
        <v>39661</v>
      </c>
      <c r="F99" s="89">
        <v>3.6244999999999998</v>
      </c>
      <c r="G99" s="90">
        <v>5.7285898092300801E-2</v>
      </c>
      <c r="H99" s="89">
        <v>0.23</v>
      </c>
      <c r="I99" s="89">
        <v>0.55000000000000004</v>
      </c>
      <c r="J99" s="89">
        <v>0.55000000000000004</v>
      </c>
      <c r="K99" s="89">
        <v>0.5</v>
      </c>
      <c r="L99" s="87">
        <v>0.6</v>
      </c>
      <c r="M99" s="87">
        <v>0.55000000000000004</v>
      </c>
      <c r="N99" s="89">
        <v>0.6</v>
      </c>
      <c r="O99" s="89">
        <v>0.55000000000000004</v>
      </c>
      <c r="P99" s="89">
        <v>0.6</v>
      </c>
      <c r="Q99" s="89">
        <v>0.45</v>
      </c>
      <c r="R99" s="90">
        <v>0.55000000000000004</v>
      </c>
      <c r="S99" s="90">
        <v>0.6</v>
      </c>
      <c r="T99" s="89">
        <v>0.55000000000000004</v>
      </c>
      <c r="U99" s="89">
        <v>0.6</v>
      </c>
      <c r="V99" s="89">
        <v>0.7</v>
      </c>
      <c r="W99" s="89">
        <v>-0.09</v>
      </c>
      <c r="X99" s="89">
        <v>0</v>
      </c>
      <c r="Y99" s="89">
        <v>0.04</v>
      </c>
      <c r="Z99" s="89">
        <v>5.0000000000000001E-3</v>
      </c>
      <c r="AA99" s="89">
        <v>0.19</v>
      </c>
      <c r="AB99" s="89">
        <v>0</v>
      </c>
      <c r="AC99" s="89">
        <v>0.155</v>
      </c>
      <c r="AD99" s="89">
        <v>0</v>
      </c>
      <c r="AE99" s="89">
        <v>0.19</v>
      </c>
      <c r="AF99" s="89">
        <v>0</v>
      </c>
      <c r="AG99" s="89">
        <v>0.14499999999999999</v>
      </c>
      <c r="AH99" s="89">
        <v>0</v>
      </c>
      <c r="AI99" s="89">
        <v>0.155</v>
      </c>
      <c r="AJ99" s="89">
        <v>0</v>
      </c>
      <c r="AK99" s="89">
        <v>0.04</v>
      </c>
      <c r="AL99" s="89">
        <v>0.04</v>
      </c>
      <c r="AM99" s="89">
        <v>-5.7500000000000002E-2</v>
      </c>
      <c r="AN99" s="89">
        <v>1.9E-2</v>
      </c>
      <c r="AO99" s="89">
        <v>-0.44500000000000001</v>
      </c>
      <c r="AP99" s="89">
        <v>0.155</v>
      </c>
      <c r="AQ99" s="89">
        <v>-5.2499999999999998E-2</v>
      </c>
      <c r="AR99" s="89">
        <v>0</v>
      </c>
      <c r="AS99" s="89">
        <v>-0.15</v>
      </c>
      <c r="AT99" s="89">
        <v>-1.4999999999999999E-2</v>
      </c>
      <c r="AU99" s="89">
        <v>-0.11</v>
      </c>
      <c r="AV99" s="89">
        <v>0.02</v>
      </c>
      <c r="AW99" s="89">
        <v>-6.25E-2</v>
      </c>
      <c r="AX99" s="89">
        <v>0.01</v>
      </c>
      <c r="AY99" s="90">
        <v>0.125</v>
      </c>
      <c r="AZ99" s="90">
        <v>0</v>
      </c>
      <c r="BA99" s="90">
        <v>-0.19500000000000001</v>
      </c>
      <c r="BB99" s="89">
        <v>2.5000000000000001E-3</v>
      </c>
      <c r="BC99" s="89">
        <v>-7.0000000000000007E-2</v>
      </c>
      <c r="BD99" s="89">
        <v>5.0000000000000001E-3</v>
      </c>
      <c r="BE99" s="89">
        <v>0.26</v>
      </c>
      <c r="BF99" s="89">
        <v>3.5999999999999997E-2</v>
      </c>
      <c r="BG99" s="89">
        <v>-0.06</v>
      </c>
      <c r="BH99" s="89">
        <v>0</v>
      </c>
      <c r="BI99" s="89">
        <v>0.06</v>
      </c>
      <c r="BJ99" s="62">
        <v>0.03</v>
      </c>
      <c r="BK99" s="62">
        <v>0.26</v>
      </c>
      <c r="BL99" s="62">
        <v>3.5999999999999997E-2</v>
      </c>
      <c r="BM99" s="62">
        <v>-0.2</v>
      </c>
      <c r="BN99" s="62">
        <v>0</v>
      </c>
      <c r="BO99" s="62">
        <v>-0.39</v>
      </c>
      <c r="BP99" s="62">
        <v>0</v>
      </c>
      <c r="BQ99" s="62">
        <v>0.5</v>
      </c>
      <c r="BR99" s="62">
        <v>3.5999999999999997E-2</v>
      </c>
      <c r="BS99" s="62">
        <v>-7.0000000000000007E-2</v>
      </c>
      <c r="BT99" s="62">
        <v>5.0000000000000001E-3</v>
      </c>
      <c r="BU99" s="62">
        <v>0.3</v>
      </c>
      <c r="BV99" s="62">
        <v>0</v>
      </c>
      <c r="BW99" s="62">
        <v>0</v>
      </c>
      <c r="BX99" s="62">
        <v>0</v>
      </c>
      <c r="BY99" s="62">
        <v>-1.9E-2</v>
      </c>
      <c r="BZ99" s="62">
        <v>5.7500000000000002E-2</v>
      </c>
      <c r="CA99" s="62">
        <v>0.15</v>
      </c>
      <c r="CB99" s="62">
        <v>5.0000000000000001E-3</v>
      </c>
      <c r="CC99" s="62">
        <v>-1.9E-2</v>
      </c>
      <c r="CD99" s="62">
        <v>3.5000000000000001E-3</v>
      </c>
      <c r="CE99" s="62">
        <v>2.5000000000000001E-3</v>
      </c>
      <c r="CF99" s="62">
        <v>2.5000000000000001E-3</v>
      </c>
      <c r="CG99" s="62">
        <v>-1.9E-2</v>
      </c>
      <c r="CH99" s="62">
        <v>3.5000000000000001E-3</v>
      </c>
      <c r="CI99" s="62">
        <v>-7.4499999999999997E-2</v>
      </c>
      <c r="CJ99" s="62">
        <v>2.5000000000000001E-3</v>
      </c>
      <c r="CK99" s="62">
        <v>7.7499999999999999E-2</v>
      </c>
      <c r="CL99" s="62">
        <v>2.5000000000000001E-3</v>
      </c>
      <c r="CM99" s="62">
        <v>-7.1999999999999995E-2</v>
      </c>
      <c r="CN99" s="62">
        <v>7.4999999999999997E-3</v>
      </c>
      <c r="CO99" s="62">
        <v>-1.7000000000000001E-2</v>
      </c>
      <c r="CP99" s="62">
        <v>5.0000000000000001E-3</v>
      </c>
      <c r="CQ99" s="62">
        <v>2.3E-2</v>
      </c>
      <c r="CR99" s="62">
        <v>7.4999999999999997E-3</v>
      </c>
      <c r="CS99" s="62">
        <v>0.41</v>
      </c>
      <c r="CT99" s="62">
        <v>0.01</v>
      </c>
      <c r="CU99" s="62">
        <v>-0.2</v>
      </c>
      <c r="CV99" s="62">
        <v>0</v>
      </c>
      <c r="CW99" s="62">
        <v>0.20499999999999999</v>
      </c>
      <c r="CX99" s="62">
        <v>7.4999999999999997E-3</v>
      </c>
      <c r="CY99" s="62">
        <v>-0.65</v>
      </c>
      <c r="CZ99" s="62">
        <v>0</v>
      </c>
      <c r="DA99" s="62">
        <v>-0.47</v>
      </c>
      <c r="DB99" s="62">
        <v>0</v>
      </c>
      <c r="DC99" s="62">
        <v>1.05</v>
      </c>
      <c r="DE99" s="62">
        <v>-0.05</v>
      </c>
      <c r="DF99" s="62">
        <v>0.01</v>
      </c>
      <c r="DG99" s="62">
        <v>9.4999999999999998E-3</v>
      </c>
      <c r="DH99" s="62">
        <v>0.01</v>
      </c>
      <c r="DI99" s="62">
        <v>-8.0000000000000002E-3</v>
      </c>
      <c r="DJ99" s="62">
        <v>7.4999999999999997E-3</v>
      </c>
      <c r="DK99" s="62">
        <v>-4.9500000000000002E-2</v>
      </c>
      <c r="DL99" s="62">
        <v>5.0000000000000001E-3</v>
      </c>
      <c r="DM99" s="62">
        <v>-6.0999999999999999E-2</v>
      </c>
      <c r="DN99" s="62">
        <v>2.5000000000000001E-3</v>
      </c>
      <c r="DO99" s="62">
        <v>-8.3500000000000005E-2</v>
      </c>
      <c r="DP99" s="62">
        <v>2.5000000000000001E-3</v>
      </c>
      <c r="DQ99" s="62">
        <v>-7.9500000000000001E-2</v>
      </c>
      <c r="DR99" s="62">
        <v>-5.0000000000000001E-3</v>
      </c>
      <c r="DS99" s="62">
        <v>0.35</v>
      </c>
      <c r="DT99" s="62">
        <v>-5.0000000000000001E-3</v>
      </c>
      <c r="DU99" s="62">
        <v>-1.7669999999999999E-3</v>
      </c>
      <c r="DV99" s="62">
        <v>0</v>
      </c>
    </row>
    <row r="100" spans="4:126" x14ac:dyDescent="0.25">
      <c r="D100" s="91">
        <v>39692</v>
      </c>
      <c r="F100" s="89">
        <v>3.6194999999999999</v>
      </c>
      <c r="G100" s="90">
        <v>5.7469914347772398E-2</v>
      </c>
      <c r="H100" s="89">
        <v>0.23</v>
      </c>
      <c r="I100" s="89">
        <v>0.55000000000000004</v>
      </c>
      <c r="J100" s="89">
        <v>0.55000000000000004</v>
      </c>
      <c r="K100" s="89">
        <v>0.55000000000000004</v>
      </c>
      <c r="L100" s="87">
        <v>0.55000000000000004</v>
      </c>
      <c r="M100" s="87">
        <v>0.55000000000000004</v>
      </c>
      <c r="N100" s="89">
        <v>0.6</v>
      </c>
      <c r="O100" s="89">
        <v>0.6</v>
      </c>
      <c r="P100" s="89">
        <v>0.55000000000000004</v>
      </c>
      <c r="Q100" s="89">
        <v>0.5</v>
      </c>
      <c r="R100" s="90">
        <v>0.55000000000000004</v>
      </c>
      <c r="S100" s="90">
        <v>0.6</v>
      </c>
      <c r="T100" s="89">
        <v>0.55000000000000004</v>
      </c>
      <c r="U100" s="89">
        <v>0.6</v>
      </c>
      <c r="V100" s="89">
        <v>0.65</v>
      </c>
      <c r="W100" s="89">
        <v>-0.09</v>
      </c>
      <c r="X100" s="89">
        <v>0</v>
      </c>
      <c r="Y100" s="89">
        <v>0.04</v>
      </c>
      <c r="Z100" s="89">
        <v>5.0000000000000001E-3</v>
      </c>
      <c r="AA100" s="89">
        <v>0.19</v>
      </c>
      <c r="AB100" s="89">
        <v>0</v>
      </c>
      <c r="AC100" s="89">
        <v>0.155</v>
      </c>
      <c r="AD100" s="89">
        <v>0</v>
      </c>
      <c r="AE100" s="89">
        <v>0.19</v>
      </c>
      <c r="AF100" s="89">
        <v>0</v>
      </c>
      <c r="AG100" s="89">
        <v>0.14499999999999999</v>
      </c>
      <c r="AH100" s="89">
        <v>0</v>
      </c>
      <c r="AI100" s="89">
        <v>0.155</v>
      </c>
      <c r="AJ100" s="89">
        <v>0</v>
      </c>
      <c r="AK100" s="89">
        <v>0.04</v>
      </c>
      <c r="AL100" s="89">
        <v>0.04</v>
      </c>
      <c r="AM100" s="89">
        <v>-5.7500000000000002E-2</v>
      </c>
      <c r="AN100" s="89">
        <v>1.9E-2</v>
      </c>
      <c r="AO100" s="89">
        <v>-0.44500000000000001</v>
      </c>
      <c r="AP100" s="89">
        <v>0.155</v>
      </c>
      <c r="AQ100" s="89">
        <v>-5.2499999999999998E-2</v>
      </c>
      <c r="AR100" s="89">
        <v>0</v>
      </c>
      <c r="AS100" s="89">
        <v>-0.15</v>
      </c>
      <c r="AT100" s="89">
        <v>-1.4999999999999999E-2</v>
      </c>
      <c r="AU100" s="89">
        <v>-0.11</v>
      </c>
      <c r="AV100" s="89">
        <v>0.02</v>
      </c>
      <c r="AW100" s="89">
        <v>-6.25E-2</v>
      </c>
      <c r="AX100" s="89">
        <v>0.01</v>
      </c>
      <c r="AY100" s="90">
        <v>0.125</v>
      </c>
      <c r="AZ100" s="90">
        <v>0</v>
      </c>
      <c r="BA100" s="90">
        <v>-0.19500000000000001</v>
      </c>
      <c r="BB100" s="89">
        <v>2.5000000000000001E-3</v>
      </c>
      <c r="BC100" s="89">
        <v>-7.0000000000000007E-2</v>
      </c>
      <c r="BD100" s="89">
        <v>5.0000000000000001E-3</v>
      </c>
      <c r="BE100" s="89">
        <v>0.26</v>
      </c>
      <c r="BF100" s="89">
        <v>3.5999999999999997E-2</v>
      </c>
      <c r="BG100" s="89">
        <v>-0.06</v>
      </c>
      <c r="BH100" s="89">
        <v>0</v>
      </c>
      <c r="BI100" s="89">
        <v>0.06</v>
      </c>
      <c r="BJ100" s="62">
        <v>0.03</v>
      </c>
      <c r="BK100" s="62">
        <v>0.26</v>
      </c>
      <c r="BL100" s="62">
        <v>3.5999999999999997E-2</v>
      </c>
      <c r="BM100" s="62">
        <v>-0.2</v>
      </c>
      <c r="BN100" s="62">
        <v>0</v>
      </c>
      <c r="BO100" s="62">
        <v>-0.39</v>
      </c>
      <c r="BP100" s="62">
        <v>0</v>
      </c>
      <c r="BQ100" s="62">
        <v>0.5</v>
      </c>
      <c r="BR100" s="62">
        <v>3.5999999999999997E-2</v>
      </c>
      <c r="BS100" s="62">
        <v>-7.0000000000000007E-2</v>
      </c>
      <c r="BT100" s="62">
        <v>5.0000000000000001E-3</v>
      </c>
      <c r="BU100" s="62">
        <v>0.3</v>
      </c>
      <c r="BV100" s="62">
        <v>0</v>
      </c>
      <c r="BW100" s="62">
        <v>0</v>
      </c>
      <c r="BX100" s="62">
        <v>0</v>
      </c>
      <c r="BY100" s="62">
        <v>-1.9E-2</v>
      </c>
      <c r="BZ100" s="62">
        <v>5.7500000000000002E-2</v>
      </c>
      <c r="CA100" s="62">
        <v>0.125</v>
      </c>
      <c r="CB100" s="62">
        <v>5.0000000000000001E-3</v>
      </c>
      <c r="CC100" s="62">
        <v>-1.9E-2</v>
      </c>
      <c r="CD100" s="62">
        <v>3.5000000000000001E-3</v>
      </c>
      <c r="CE100" s="62">
        <v>2.5000000000000001E-3</v>
      </c>
      <c r="CF100" s="62">
        <v>2.5000000000000001E-3</v>
      </c>
      <c r="CG100" s="62">
        <v>-1.9E-2</v>
      </c>
      <c r="CH100" s="62">
        <v>3.5000000000000001E-3</v>
      </c>
      <c r="CI100" s="62">
        <v>-7.9500000000000001E-2</v>
      </c>
      <c r="CJ100" s="62">
        <v>2.5000000000000001E-3</v>
      </c>
      <c r="CK100" s="62">
        <v>7.7499999999999999E-2</v>
      </c>
      <c r="CL100" s="62">
        <v>2.5000000000000001E-3</v>
      </c>
      <c r="CM100" s="62">
        <v>-7.1999999999999995E-2</v>
      </c>
      <c r="CN100" s="62">
        <v>7.4999999999999997E-3</v>
      </c>
      <c r="CO100" s="62">
        <v>-1.7000000000000001E-2</v>
      </c>
      <c r="CP100" s="62">
        <v>5.0000000000000001E-3</v>
      </c>
      <c r="CQ100" s="62">
        <v>2.3E-2</v>
      </c>
      <c r="CR100" s="62">
        <v>7.4999999999999997E-3</v>
      </c>
      <c r="CS100" s="62">
        <v>0.36</v>
      </c>
      <c r="CT100" s="62">
        <v>0.01</v>
      </c>
      <c r="CU100" s="62">
        <v>-0.2</v>
      </c>
      <c r="CV100" s="62">
        <v>0</v>
      </c>
      <c r="CW100" s="62">
        <v>0.14499999999999999</v>
      </c>
      <c r="CX100" s="62">
        <v>7.4999999999999997E-3</v>
      </c>
      <c r="CY100" s="62">
        <v>-0.65</v>
      </c>
      <c r="CZ100" s="62">
        <v>0</v>
      </c>
      <c r="DA100" s="62">
        <v>-0.47</v>
      </c>
      <c r="DB100" s="62">
        <v>0</v>
      </c>
      <c r="DC100" s="62">
        <v>0.75</v>
      </c>
      <c r="DE100" s="62">
        <v>-5.5E-2</v>
      </c>
      <c r="DF100" s="62">
        <v>0.01</v>
      </c>
      <c r="DG100" s="62">
        <v>9.4999999999999998E-3</v>
      </c>
      <c r="DH100" s="62">
        <v>0.01</v>
      </c>
      <c r="DI100" s="62">
        <v>-8.0000000000000002E-3</v>
      </c>
      <c r="DJ100" s="62">
        <v>7.4999999999999997E-3</v>
      </c>
      <c r="DK100" s="62">
        <v>-5.9499999999999997E-2</v>
      </c>
      <c r="DL100" s="62">
        <v>5.0000000000000001E-3</v>
      </c>
      <c r="DM100" s="62">
        <v>-6.0999999999999999E-2</v>
      </c>
      <c r="DN100" s="62">
        <v>2.5000000000000001E-3</v>
      </c>
      <c r="DO100" s="62">
        <v>-8.3500000000000005E-2</v>
      </c>
      <c r="DP100" s="62">
        <v>2.5000000000000001E-3</v>
      </c>
      <c r="DQ100" s="62">
        <v>-8.9499999999999996E-2</v>
      </c>
      <c r="DR100" s="62">
        <v>-5.0000000000000001E-3</v>
      </c>
      <c r="DS100" s="62">
        <v>0.315</v>
      </c>
      <c r="DT100" s="62">
        <v>-5.0000000000000001E-3</v>
      </c>
      <c r="DU100" s="62">
        <v>-1.58E-3</v>
      </c>
      <c r="DV100" s="62">
        <v>0</v>
      </c>
    </row>
    <row r="101" spans="4:126" x14ac:dyDescent="0.25">
      <c r="D101" s="91">
        <v>39722</v>
      </c>
      <c r="F101" s="89">
        <v>3.6444999999999999</v>
      </c>
      <c r="G101" s="90">
        <v>5.76479946057291E-2</v>
      </c>
      <c r="H101" s="89">
        <v>0.23</v>
      </c>
      <c r="I101" s="89">
        <v>0.6</v>
      </c>
      <c r="J101" s="89">
        <v>0.6</v>
      </c>
      <c r="K101" s="89">
        <v>0.55000000000000004</v>
      </c>
      <c r="L101" s="87">
        <v>0.6</v>
      </c>
      <c r="M101" s="87">
        <v>0.6</v>
      </c>
      <c r="N101" s="89">
        <v>0.65</v>
      </c>
      <c r="O101" s="89">
        <v>0.65</v>
      </c>
      <c r="P101" s="89">
        <v>0.6</v>
      </c>
      <c r="Q101" s="89">
        <v>0.5</v>
      </c>
      <c r="R101" s="90">
        <v>0.6</v>
      </c>
      <c r="S101" s="90">
        <v>0.65</v>
      </c>
      <c r="T101" s="89">
        <v>0.6</v>
      </c>
      <c r="U101" s="89">
        <v>0.65</v>
      </c>
      <c r="V101" s="89">
        <v>0.7</v>
      </c>
      <c r="W101" s="89">
        <v>-0.09</v>
      </c>
      <c r="X101" s="89">
        <v>0</v>
      </c>
      <c r="Y101" s="89">
        <v>0.04</v>
      </c>
      <c r="Z101" s="89">
        <v>5.0000000000000001E-3</v>
      </c>
      <c r="AA101" s="89">
        <v>0.19</v>
      </c>
      <c r="AB101" s="89">
        <v>0</v>
      </c>
      <c r="AC101" s="89">
        <v>0.155</v>
      </c>
      <c r="AD101" s="89">
        <v>0</v>
      </c>
      <c r="AE101" s="89">
        <v>0.19</v>
      </c>
      <c r="AF101" s="89">
        <v>0</v>
      </c>
      <c r="AG101" s="89">
        <v>0.14499999999999999</v>
      </c>
      <c r="AH101" s="89">
        <v>0</v>
      </c>
      <c r="AI101" s="89">
        <v>0.155</v>
      </c>
      <c r="AJ101" s="89">
        <v>0</v>
      </c>
      <c r="AK101" s="89">
        <v>0.04</v>
      </c>
      <c r="AL101" s="89">
        <v>0.04</v>
      </c>
      <c r="AM101" s="89">
        <v>-5.7500000000000002E-2</v>
      </c>
      <c r="AN101" s="89">
        <v>1.9E-2</v>
      </c>
      <c r="AO101" s="89">
        <v>-0.44500000000000001</v>
      </c>
      <c r="AP101" s="89">
        <v>0.155</v>
      </c>
      <c r="AQ101" s="89">
        <v>-5.2499999999999998E-2</v>
      </c>
      <c r="AR101" s="89">
        <v>0</v>
      </c>
      <c r="AS101" s="89">
        <v>-0.15</v>
      </c>
      <c r="AT101" s="89">
        <v>-1.4999999999999999E-2</v>
      </c>
      <c r="AU101" s="89">
        <v>-0.11</v>
      </c>
      <c r="AV101" s="89">
        <v>0.02</v>
      </c>
      <c r="AW101" s="89">
        <v>-6.25E-2</v>
      </c>
      <c r="AX101" s="89">
        <v>0.01</v>
      </c>
      <c r="AY101" s="90">
        <v>0.125</v>
      </c>
      <c r="AZ101" s="90">
        <v>0</v>
      </c>
      <c r="BA101" s="90">
        <v>-0.19500000000000001</v>
      </c>
      <c r="BB101" s="89">
        <v>2.5000000000000001E-3</v>
      </c>
      <c r="BC101" s="89">
        <v>-7.0000000000000007E-2</v>
      </c>
      <c r="BD101" s="89">
        <v>5.0000000000000001E-3</v>
      </c>
      <c r="BE101" s="89">
        <v>0.26</v>
      </c>
      <c r="BF101" s="89">
        <v>3.5999999999999997E-2</v>
      </c>
      <c r="BG101" s="89">
        <v>-0.06</v>
      </c>
      <c r="BH101" s="89">
        <v>0</v>
      </c>
      <c r="BI101" s="89">
        <v>0.06</v>
      </c>
      <c r="BJ101" s="62">
        <v>0.03</v>
      </c>
      <c r="BK101" s="62">
        <v>0.26</v>
      </c>
      <c r="BL101" s="62">
        <v>3.5999999999999997E-2</v>
      </c>
      <c r="BM101" s="62">
        <v>-0.2</v>
      </c>
      <c r="BN101" s="62">
        <v>0</v>
      </c>
      <c r="BO101" s="62">
        <v>-0.39</v>
      </c>
      <c r="BP101" s="62">
        <v>0</v>
      </c>
      <c r="BQ101" s="62">
        <v>0.5</v>
      </c>
      <c r="BR101" s="62">
        <v>3.5999999999999997E-2</v>
      </c>
      <c r="BS101" s="62">
        <v>-7.0000000000000007E-2</v>
      </c>
      <c r="BT101" s="62">
        <v>5.0000000000000001E-3</v>
      </c>
      <c r="BU101" s="62">
        <v>0.3</v>
      </c>
      <c r="BV101" s="62">
        <v>0</v>
      </c>
      <c r="BW101" s="62">
        <v>0</v>
      </c>
      <c r="BX101" s="62">
        <v>0</v>
      </c>
      <c r="BY101" s="62">
        <v>-1.9E-2</v>
      </c>
      <c r="BZ101" s="62">
        <v>5.7500000000000002E-2</v>
      </c>
      <c r="CA101" s="62">
        <v>0.14499999999999999</v>
      </c>
      <c r="CB101" s="62">
        <v>5.0000000000000001E-3</v>
      </c>
      <c r="CC101" s="62">
        <v>-1.9E-2</v>
      </c>
      <c r="CD101" s="62">
        <v>3.5000000000000001E-3</v>
      </c>
      <c r="CE101" s="62">
        <v>2.5000000000000001E-3</v>
      </c>
      <c r="CF101" s="62">
        <v>2.5000000000000001E-3</v>
      </c>
      <c r="CG101" s="62">
        <v>-1.9E-2</v>
      </c>
      <c r="CH101" s="62">
        <v>3.5000000000000001E-3</v>
      </c>
      <c r="CI101" s="62">
        <v>-8.2000000000000003E-2</v>
      </c>
      <c r="CJ101" s="62">
        <v>2.5000000000000001E-3</v>
      </c>
      <c r="CK101" s="62">
        <v>7.7499999999999999E-2</v>
      </c>
      <c r="CL101" s="62">
        <v>2.5000000000000001E-3</v>
      </c>
      <c r="CM101" s="62">
        <v>-7.1999999999999995E-2</v>
      </c>
      <c r="CN101" s="62">
        <v>7.4999999999999997E-3</v>
      </c>
      <c r="CO101" s="62">
        <v>-1.7000000000000001E-2</v>
      </c>
      <c r="CP101" s="62">
        <v>5.0000000000000001E-3</v>
      </c>
      <c r="CQ101" s="62">
        <v>2.3E-2</v>
      </c>
      <c r="CR101" s="62">
        <v>7.4999999999999997E-3</v>
      </c>
      <c r="CS101" s="62">
        <v>0.4</v>
      </c>
      <c r="CT101" s="62">
        <v>0.01</v>
      </c>
      <c r="CU101" s="62">
        <v>-0.2</v>
      </c>
      <c r="CV101" s="62">
        <v>0</v>
      </c>
      <c r="CW101" s="62">
        <v>0.17499999999999999</v>
      </c>
      <c r="CX101" s="62">
        <v>7.4999999999999997E-3</v>
      </c>
      <c r="CY101" s="62">
        <v>-0.65</v>
      </c>
      <c r="CZ101" s="62">
        <v>0</v>
      </c>
      <c r="DA101" s="62">
        <v>-0.47</v>
      </c>
      <c r="DB101" s="62">
        <v>0</v>
      </c>
      <c r="DC101" s="62">
        <v>0.45</v>
      </c>
      <c r="DE101" s="62">
        <v>-5.5E-2</v>
      </c>
      <c r="DF101" s="62">
        <v>0.01</v>
      </c>
      <c r="DG101" s="62">
        <v>7.0000000000000001E-3</v>
      </c>
      <c r="DH101" s="62">
        <v>0.01</v>
      </c>
      <c r="DI101" s="62">
        <v>-1.0500000000000001E-2</v>
      </c>
      <c r="DJ101" s="62">
        <v>7.4999999999999997E-3</v>
      </c>
      <c r="DK101" s="62">
        <v>-4.7E-2</v>
      </c>
      <c r="DL101" s="62">
        <v>5.0000000000000001E-3</v>
      </c>
      <c r="DM101" s="62">
        <v>-6.0999999999999999E-2</v>
      </c>
      <c r="DN101" s="62">
        <v>2.5000000000000001E-3</v>
      </c>
      <c r="DO101" s="62">
        <v>-8.3500000000000005E-2</v>
      </c>
      <c r="DP101" s="62">
        <v>2.5000000000000001E-3</v>
      </c>
      <c r="DQ101" s="62">
        <v>-7.6999999999999999E-2</v>
      </c>
      <c r="DR101" s="62">
        <v>-5.0000000000000001E-3</v>
      </c>
      <c r="DS101" s="62">
        <v>0.36</v>
      </c>
      <c r="DT101" s="62">
        <v>-5.0000000000000001E-3</v>
      </c>
      <c r="DU101" s="62">
        <v>-1.7229999999999999E-3</v>
      </c>
      <c r="DV101" s="62">
        <v>0</v>
      </c>
    </row>
    <row r="102" spans="4:126" x14ac:dyDescent="0.25">
      <c r="D102" s="91">
        <v>39753</v>
      </c>
      <c r="F102" s="89">
        <v>3.7965</v>
      </c>
      <c r="G102" s="90">
        <v>5.7832010883366501E-2</v>
      </c>
      <c r="H102" s="89">
        <v>0.23</v>
      </c>
      <c r="I102" s="89">
        <v>0.8</v>
      </c>
      <c r="J102" s="89">
        <v>0.85</v>
      </c>
      <c r="K102" s="89">
        <v>0.8</v>
      </c>
      <c r="L102" s="87">
        <v>0.8</v>
      </c>
      <c r="M102" s="87">
        <v>0.9</v>
      </c>
      <c r="N102" s="89">
        <v>0.95</v>
      </c>
      <c r="O102" s="89">
        <v>0.85</v>
      </c>
      <c r="P102" s="89">
        <v>0.8</v>
      </c>
      <c r="Q102" s="89">
        <v>0.95</v>
      </c>
      <c r="R102" s="90">
        <v>0.8</v>
      </c>
      <c r="S102" s="90">
        <v>0.8</v>
      </c>
      <c r="T102" s="89">
        <v>0.8</v>
      </c>
      <c r="U102" s="89">
        <v>0.95</v>
      </c>
      <c r="V102" s="89">
        <v>0.9</v>
      </c>
      <c r="W102" s="89">
        <v>0</v>
      </c>
      <c r="X102" s="89">
        <v>0.03</v>
      </c>
      <c r="Y102" s="89">
        <v>0.13</v>
      </c>
      <c r="Z102" s="89">
        <v>0.02</v>
      </c>
      <c r="AA102" s="89">
        <v>0.28000000000000003</v>
      </c>
      <c r="AB102" s="89">
        <v>0</v>
      </c>
      <c r="AC102" s="89">
        <v>0.35</v>
      </c>
      <c r="AD102" s="89">
        <v>0</v>
      </c>
      <c r="AE102" s="89">
        <v>0.28000000000000003</v>
      </c>
      <c r="AF102" s="89">
        <v>0</v>
      </c>
      <c r="AG102" s="89">
        <v>0.17</v>
      </c>
      <c r="AH102" s="89">
        <v>0</v>
      </c>
      <c r="AI102" s="89">
        <v>0.14527999999999999</v>
      </c>
      <c r="AJ102" s="89">
        <v>0</v>
      </c>
      <c r="AK102" s="89">
        <v>0.13</v>
      </c>
      <c r="AL102" s="89">
        <v>3.5000000000000003E-2</v>
      </c>
      <c r="AM102" s="89">
        <v>-7.2499999999999995E-2</v>
      </c>
      <c r="AN102" s="89">
        <v>1.4E-2</v>
      </c>
      <c r="AO102" s="89">
        <v>-0.4</v>
      </c>
      <c r="AP102" s="89">
        <v>0.155</v>
      </c>
      <c r="AQ102" s="89">
        <v>-5.2499999999999998E-2</v>
      </c>
      <c r="AR102" s="89">
        <v>5.0000000000000001E-3</v>
      </c>
      <c r="AS102" s="89">
        <v>-0.15</v>
      </c>
      <c r="AT102" s="89">
        <v>-5.0000000000000001E-3</v>
      </c>
      <c r="AU102" s="89">
        <v>-0.11</v>
      </c>
      <c r="AV102" s="89">
        <v>-0.01</v>
      </c>
      <c r="AW102" s="89">
        <v>-5.2499999999999998E-2</v>
      </c>
      <c r="AX102" s="89">
        <v>2.1999999999999999E-2</v>
      </c>
      <c r="AY102" s="90">
        <v>0.155</v>
      </c>
      <c r="AZ102" s="90">
        <v>0</v>
      </c>
      <c r="BA102" s="90">
        <v>-0.13</v>
      </c>
      <c r="BB102" s="89">
        <v>5.0000000000000001E-3</v>
      </c>
      <c r="BC102" s="89">
        <v>-7.0000000000000007E-2</v>
      </c>
      <c r="BD102" s="89">
        <v>5.0000000000000001E-3</v>
      </c>
      <c r="BE102" s="89">
        <v>0.24</v>
      </c>
      <c r="BF102" s="89">
        <v>3.7999999999999999E-2</v>
      </c>
      <c r="BG102" s="89">
        <v>-0.06</v>
      </c>
      <c r="BH102" s="89">
        <v>0</v>
      </c>
      <c r="BI102" s="89">
        <v>0</v>
      </c>
      <c r="BJ102" s="62">
        <v>0.03</v>
      </c>
      <c r="BK102" s="62">
        <v>0.24</v>
      </c>
      <c r="BL102" s="62">
        <v>3.7999999999999999E-2</v>
      </c>
      <c r="BM102" s="62">
        <v>0.29799999999999999</v>
      </c>
      <c r="BN102" s="62">
        <v>0</v>
      </c>
      <c r="BO102" s="62">
        <v>-0.26</v>
      </c>
      <c r="BP102" s="62">
        <v>0</v>
      </c>
      <c r="BQ102" s="62">
        <v>0.5</v>
      </c>
      <c r="BR102" s="62">
        <v>3.7999999999999999E-2</v>
      </c>
      <c r="BS102" s="62">
        <v>-7.0000000000000007E-2</v>
      </c>
      <c r="BT102" s="62">
        <v>5.0000000000000001E-3</v>
      </c>
      <c r="BU102" s="62">
        <v>0.3</v>
      </c>
      <c r="BV102" s="62">
        <v>0</v>
      </c>
      <c r="BW102" s="62">
        <v>0</v>
      </c>
      <c r="BX102" s="62">
        <v>0</v>
      </c>
      <c r="BY102" s="62">
        <v>-1.9E-2</v>
      </c>
      <c r="BZ102" s="62">
        <v>5.7500000000000002E-2</v>
      </c>
      <c r="CA102" s="62">
        <v>0.19500000000000001</v>
      </c>
      <c r="CB102" s="62">
        <v>5.0000000000000001E-3</v>
      </c>
      <c r="CC102" s="62">
        <v>-1.9E-2</v>
      </c>
      <c r="CD102" s="62">
        <v>3.7000000000000002E-3</v>
      </c>
      <c r="CE102" s="62">
        <v>2.5000000000000001E-3</v>
      </c>
      <c r="CF102" s="62">
        <v>2.5000000000000001E-3</v>
      </c>
      <c r="CG102" s="62">
        <v>-1.9E-2</v>
      </c>
      <c r="CH102" s="62">
        <v>3.7000000000000002E-3</v>
      </c>
      <c r="CI102" s="62">
        <v>-8.6999999999999994E-2</v>
      </c>
      <c r="CJ102" s="62">
        <v>2.5000000000000001E-3</v>
      </c>
      <c r="CK102" s="62">
        <v>7.4999999999999997E-2</v>
      </c>
      <c r="CL102" s="62">
        <v>2.5000000000000001E-3</v>
      </c>
      <c r="CM102" s="62">
        <v>-6.4000000000000001E-2</v>
      </c>
      <c r="CN102" s="62">
        <v>0.01</v>
      </c>
      <c r="CO102" s="62">
        <v>-8.9999989999999998E-3</v>
      </c>
      <c r="CP102" s="62">
        <v>7.4999999999999997E-3</v>
      </c>
      <c r="CQ102" s="62">
        <v>3.1E-2</v>
      </c>
      <c r="CR102" s="62">
        <v>1.2500000000000001E-2</v>
      </c>
      <c r="CS102" s="62">
        <v>0.65</v>
      </c>
      <c r="CT102" s="62">
        <v>5.5E-2</v>
      </c>
      <c r="CU102" s="62">
        <v>0.29799999999999999</v>
      </c>
      <c r="CV102" s="62">
        <v>0</v>
      </c>
      <c r="CW102" s="62">
        <v>0.21</v>
      </c>
      <c r="CX102" s="62">
        <v>0.02</v>
      </c>
      <c r="CY102" s="62">
        <v>-0.52</v>
      </c>
      <c r="CZ102" s="62">
        <v>0</v>
      </c>
      <c r="DA102" s="62">
        <v>-0.34</v>
      </c>
      <c r="DB102" s="62">
        <v>0</v>
      </c>
      <c r="DC102" s="62">
        <v>0.45</v>
      </c>
      <c r="DE102" s="62">
        <v>-4.4999999999999998E-2</v>
      </c>
      <c r="DF102" s="62">
        <v>1.2500000000000001E-2</v>
      </c>
      <c r="DG102" s="62">
        <v>8.0000000000000002E-3</v>
      </c>
      <c r="DH102" s="62">
        <v>7.4999999999999997E-3</v>
      </c>
      <c r="DI102" s="62">
        <v>-1.2E-2</v>
      </c>
      <c r="DJ102" s="62">
        <v>2.5000000000000001E-3</v>
      </c>
      <c r="DK102" s="62">
        <v>-5.1999999999999998E-2</v>
      </c>
      <c r="DL102" s="62">
        <v>2.5000000000000001E-3</v>
      </c>
      <c r="DM102" s="62">
        <v>-6.3500000000000001E-2</v>
      </c>
      <c r="DN102" s="62">
        <v>2.5000000000000001E-3</v>
      </c>
      <c r="DO102" s="62">
        <v>-8.5999999999999993E-2</v>
      </c>
      <c r="DP102" s="62">
        <v>2.5000000000000001E-3</v>
      </c>
      <c r="DQ102" s="62">
        <v>-8.2000000000000003E-2</v>
      </c>
      <c r="DR102" s="62">
        <v>-5.0000000000000001E-3</v>
      </c>
      <c r="DS102" s="62">
        <v>0.46</v>
      </c>
      <c r="DT102" s="62">
        <v>0.05</v>
      </c>
      <c r="DU102" s="62">
        <v>0</v>
      </c>
      <c r="DV102" s="62">
        <v>0</v>
      </c>
    </row>
    <row r="103" spans="4:126" x14ac:dyDescent="0.25">
      <c r="D103" s="91">
        <v>39783</v>
      </c>
      <c r="F103" s="89">
        <v>3.9394999999999998</v>
      </c>
      <c r="G103" s="90">
        <v>5.80100911627719E-2</v>
      </c>
      <c r="H103" s="89">
        <v>0.23</v>
      </c>
      <c r="I103" s="89">
        <v>1</v>
      </c>
      <c r="J103" s="89">
        <v>1.05</v>
      </c>
      <c r="K103" s="89">
        <v>1</v>
      </c>
      <c r="L103" s="87">
        <v>1</v>
      </c>
      <c r="M103" s="87">
        <v>1.1499999999999999</v>
      </c>
      <c r="N103" s="89">
        <v>1.25</v>
      </c>
      <c r="O103" s="89">
        <v>1.05</v>
      </c>
      <c r="P103" s="89">
        <v>1</v>
      </c>
      <c r="Q103" s="89">
        <v>1.35</v>
      </c>
      <c r="R103" s="90">
        <v>1</v>
      </c>
      <c r="S103" s="90">
        <v>1.1000000000000001</v>
      </c>
      <c r="T103" s="89">
        <v>1</v>
      </c>
      <c r="U103" s="89">
        <v>1.25</v>
      </c>
      <c r="V103" s="89">
        <v>1.1000000000000001</v>
      </c>
      <c r="W103" s="89">
        <v>5.0000000000000001E-3</v>
      </c>
      <c r="X103" s="89">
        <v>0.03</v>
      </c>
      <c r="Y103" s="89">
        <v>0.13</v>
      </c>
      <c r="Z103" s="89">
        <v>0.02</v>
      </c>
      <c r="AA103" s="89">
        <v>0.28000000000000003</v>
      </c>
      <c r="AB103" s="89">
        <v>0</v>
      </c>
      <c r="AC103" s="89">
        <v>0.35</v>
      </c>
      <c r="AD103" s="89">
        <v>0</v>
      </c>
      <c r="AE103" s="89">
        <v>0.28000000000000003</v>
      </c>
      <c r="AF103" s="89">
        <v>0</v>
      </c>
      <c r="AG103" s="89">
        <v>0.17</v>
      </c>
      <c r="AH103" s="89">
        <v>0</v>
      </c>
      <c r="AI103" s="89">
        <v>0.15040000000000001</v>
      </c>
      <c r="AJ103" s="89">
        <v>0</v>
      </c>
      <c r="AK103" s="89">
        <v>0.13</v>
      </c>
      <c r="AL103" s="89">
        <v>3.5000000000000003E-2</v>
      </c>
      <c r="AM103" s="89">
        <v>-7.2499999999999995E-2</v>
      </c>
      <c r="AN103" s="89">
        <v>1.4E-2</v>
      </c>
      <c r="AO103" s="89">
        <v>-0.4</v>
      </c>
      <c r="AP103" s="89">
        <v>0.155</v>
      </c>
      <c r="AQ103" s="89">
        <v>-5.2499999999999998E-2</v>
      </c>
      <c r="AR103" s="89">
        <v>5.0000000000000001E-3</v>
      </c>
      <c r="AS103" s="89">
        <v>-0.1525</v>
      </c>
      <c r="AT103" s="89">
        <v>-5.0000000000000001E-3</v>
      </c>
      <c r="AU103" s="89">
        <v>-0.1125</v>
      </c>
      <c r="AV103" s="89">
        <v>-0.01</v>
      </c>
      <c r="AW103" s="89">
        <v>-5.2499999999999998E-2</v>
      </c>
      <c r="AX103" s="89">
        <v>2.1999999999999999E-2</v>
      </c>
      <c r="AY103" s="90">
        <v>0.155</v>
      </c>
      <c r="AZ103" s="90">
        <v>0</v>
      </c>
      <c r="BA103" s="90">
        <v>-0.13</v>
      </c>
      <c r="BB103" s="89">
        <v>5.0000000000000001E-3</v>
      </c>
      <c r="BC103" s="89">
        <v>-7.0000000000000007E-2</v>
      </c>
      <c r="BD103" s="89">
        <v>5.0000000000000001E-3</v>
      </c>
      <c r="BE103" s="89">
        <v>0.24</v>
      </c>
      <c r="BF103" s="89">
        <v>3.7999999999999999E-2</v>
      </c>
      <c r="BG103" s="89">
        <v>-0.06</v>
      </c>
      <c r="BH103" s="89">
        <v>0</v>
      </c>
      <c r="BI103" s="89">
        <v>0</v>
      </c>
      <c r="BJ103" s="62">
        <v>0.03</v>
      </c>
      <c r="BK103" s="62">
        <v>0.24</v>
      </c>
      <c r="BL103" s="62">
        <v>3.7999999999999999E-2</v>
      </c>
      <c r="BM103" s="62">
        <v>0.35799999999999998</v>
      </c>
      <c r="BN103" s="62">
        <v>0</v>
      </c>
      <c r="BO103" s="62">
        <v>-0.26</v>
      </c>
      <c r="BP103" s="62">
        <v>0</v>
      </c>
      <c r="BQ103" s="62">
        <v>0.5</v>
      </c>
      <c r="BR103" s="62">
        <v>3.7999999999999999E-2</v>
      </c>
      <c r="BS103" s="62">
        <v>-7.0000000000000007E-2</v>
      </c>
      <c r="BT103" s="62">
        <v>5.0000000000000001E-3</v>
      </c>
      <c r="BU103" s="62">
        <v>0.3</v>
      </c>
      <c r="BV103" s="62">
        <v>0</v>
      </c>
      <c r="BW103" s="62">
        <v>0</v>
      </c>
      <c r="BX103" s="62">
        <v>0</v>
      </c>
      <c r="BY103" s="62">
        <v>-1.9E-2</v>
      </c>
      <c r="BZ103" s="62">
        <v>5.7500000000000002E-2</v>
      </c>
      <c r="CA103" s="62">
        <v>0.215</v>
      </c>
      <c r="CB103" s="62">
        <v>5.0000000000000001E-3</v>
      </c>
      <c r="CC103" s="62">
        <v>-1.9E-2</v>
      </c>
      <c r="CD103" s="62">
        <v>3.7000000000000002E-3</v>
      </c>
      <c r="CE103" s="62">
        <v>2.5000000000000001E-3</v>
      </c>
      <c r="CF103" s="62">
        <v>2.5000000000000001E-3</v>
      </c>
      <c r="CG103" s="62">
        <v>-1.9E-2</v>
      </c>
      <c r="CH103" s="62">
        <v>3.7000000000000002E-3</v>
      </c>
      <c r="CI103" s="62">
        <v>-0.1145</v>
      </c>
      <c r="CJ103" s="62">
        <v>2.5000000000000001E-3</v>
      </c>
      <c r="CK103" s="62">
        <v>7.4999999999999997E-2</v>
      </c>
      <c r="CL103" s="62">
        <v>2.5000000000000001E-3</v>
      </c>
      <c r="CM103" s="62">
        <v>-6.4000000000000001E-2</v>
      </c>
      <c r="CN103" s="62">
        <v>0.01</v>
      </c>
      <c r="CO103" s="62">
        <v>-8.9999989999999998E-3</v>
      </c>
      <c r="CP103" s="62">
        <v>7.4999999999999997E-3</v>
      </c>
      <c r="CQ103" s="62">
        <v>3.1E-2</v>
      </c>
      <c r="CR103" s="62">
        <v>1.2500000000000001E-2</v>
      </c>
      <c r="CS103" s="62">
        <v>0.98</v>
      </c>
      <c r="CT103" s="62">
        <v>0.25</v>
      </c>
      <c r="CU103" s="62">
        <v>0.35799999999999998</v>
      </c>
      <c r="CV103" s="62">
        <v>0</v>
      </c>
      <c r="CW103" s="62">
        <v>0.28999999999999998</v>
      </c>
      <c r="CX103" s="62">
        <v>0.02</v>
      </c>
      <c r="CY103" s="62">
        <v>-0.52</v>
      </c>
      <c r="CZ103" s="62">
        <v>0</v>
      </c>
      <c r="DA103" s="62">
        <v>-0.34</v>
      </c>
      <c r="DB103" s="62">
        <v>0</v>
      </c>
      <c r="DC103" s="62">
        <v>0.4</v>
      </c>
      <c r="DE103" s="62">
        <v>-4.4999999999999998E-2</v>
      </c>
      <c r="DF103" s="62">
        <v>1.2500000000000001E-2</v>
      </c>
      <c r="DG103" s="62">
        <v>8.0000000000000002E-3</v>
      </c>
      <c r="DH103" s="62">
        <v>7.4999999999999997E-3</v>
      </c>
      <c r="DI103" s="62">
        <v>-1.2E-2</v>
      </c>
      <c r="DJ103" s="62">
        <v>2.5000000000000001E-3</v>
      </c>
      <c r="DK103" s="62">
        <v>-7.9500000000000001E-2</v>
      </c>
      <c r="DL103" s="62">
        <v>2.5000000000000001E-3</v>
      </c>
      <c r="DM103" s="62">
        <v>-6.1499999999999999E-2</v>
      </c>
      <c r="DN103" s="62">
        <v>2.5000000000000001E-3</v>
      </c>
      <c r="DO103" s="62">
        <v>-8.4000000000000005E-2</v>
      </c>
      <c r="DP103" s="62">
        <v>2.5000000000000001E-3</v>
      </c>
      <c r="DQ103" s="62">
        <v>-0.1095</v>
      </c>
      <c r="DR103" s="62">
        <v>-5.0000000000000001E-3</v>
      </c>
      <c r="DS103" s="62">
        <v>0.77</v>
      </c>
      <c r="DT103" s="62">
        <v>0.05</v>
      </c>
      <c r="DU103" s="62">
        <v>0</v>
      </c>
      <c r="DV103" s="62">
        <v>0</v>
      </c>
    </row>
    <row r="104" spans="4:126" x14ac:dyDescent="0.25">
      <c r="D104" s="91">
        <v>39814</v>
      </c>
      <c r="F104" s="89">
        <v>3.992</v>
      </c>
      <c r="G104" s="90">
        <v>5.8160280129314401E-2</v>
      </c>
      <c r="H104" s="89">
        <v>0.23</v>
      </c>
      <c r="I104" s="89">
        <v>1</v>
      </c>
      <c r="J104" s="89">
        <v>1.05</v>
      </c>
      <c r="K104" s="89">
        <v>1</v>
      </c>
      <c r="L104" s="87">
        <v>1</v>
      </c>
      <c r="M104" s="87">
        <v>1.1499999999999999</v>
      </c>
      <c r="N104" s="89">
        <v>1.45</v>
      </c>
      <c r="O104" s="89">
        <v>1.05</v>
      </c>
      <c r="P104" s="89">
        <v>1</v>
      </c>
      <c r="Q104" s="89">
        <v>1.35</v>
      </c>
      <c r="R104" s="90">
        <v>1</v>
      </c>
      <c r="S104" s="90">
        <v>1.1000000000000001</v>
      </c>
      <c r="T104" s="89">
        <v>1</v>
      </c>
      <c r="U104" s="89">
        <v>1.45</v>
      </c>
      <c r="V104" s="89">
        <v>1.1000000000000001</v>
      </c>
      <c r="W104" s="89">
        <v>2.5000000000000001E-2</v>
      </c>
      <c r="X104" s="89">
        <v>0.03</v>
      </c>
      <c r="Y104" s="89">
        <v>0.13</v>
      </c>
      <c r="Z104" s="89">
        <v>0.02</v>
      </c>
      <c r="AA104" s="89">
        <v>0.28000000000000003</v>
      </c>
      <c r="AB104" s="89">
        <v>0</v>
      </c>
      <c r="AC104" s="89">
        <v>0.35</v>
      </c>
      <c r="AD104" s="89">
        <v>0</v>
      </c>
      <c r="AE104" s="89">
        <v>0.28000000000000003</v>
      </c>
      <c r="AF104" s="89">
        <v>0</v>
      </c>
      <c r="AG104" s="89">
        <v>0.17</v>
      </c>
      <c r="AH104" s="89">
        <v>0</v>
      </c>
      <c r="AI104" s="89">
        <v>0.15215999999999999</v>
      </c>
      <c r="AJ104" s="89">
        <v>0</v>
      </c>
      <c r="AK104" s="89">
        <v>0.13</v>
      </c>
      <c r="AL104" s="89">
        <v>3.5000000000000003E-2</v>
      </c>
      <c r="AM104" s="89">
        <v>-7.2499999999999995E-2</v>
      </c>
      <c r="AN104" s="89">
        <v>1.4E-2</v>
      </c>
      <c r="AO104" s="89">
        <v>-0.4</v>
      </c>
      <c r="AP104" s="89">
        <v>0.155</v>
      </c>
      <c r="AQ104" s="89">
        <v>-5.2499999999999998E-2</v>
      </c>
      <c r="AR104" s="89">
        <v>5.0000000000000001E-3</v>
      </c>
      <c r="AS104" s="89">
        <v>-0.155</v>
      </c>
      <c r="AT104" s="89">
        <v>-5.0000000000000001E-3</v>
      </c>
      <c r="AU104" s="89">
        <v>-0.115</v>
      </c>
      <c r="AV104" s="89">
        <v>-0.01</v>
      </c>
      <c r="AW104" s="89">
        <v>-5.2499999999999998E-2</v>
      </c>
      <c r="AX104" s="89">
        <v>2.1999999999999999E-2</v>
      </c>
      <c r="AY104" s="90">
        <v>0.155</v>
      </c>
      <c r="AZ104" s="90">
        <v>0</v>
      </c>
      <c r="BA104" s="90">
        <v>-0.13</v>
      </c>
      <c r="BB104" s="89">
        <v>5.0000000000000001E-3</v>
      </c>
      <c r="BC104" s="89">
        <v>-7.0000000000000007E-2</v>
      </c>
      <c r="BD104" s="89">
        <v>5.0000000000000001E-3</v>
      </c>
      <c r="BE104" s="89">
        <v>0.24</v>
      </c>
      <c r="BF104" s="89">
        <v>3.7999999999999999E-2</v>
      </c>
      <c r="BG104" s="89">
        <v>-0.06</v>
      </c>
      <c r="BH104" s="89">
        <v>0</v>
      </c>
      <c r="BI104" s="89">
        <v>0</v>
      </c>
      <c r="BJ104" s="62">
        <v>0.03</v>
      </c>
      <c r="BK104" s="62">
        <v>0.24</v>
      </c>
      <c r="BL104" s="62">
        <v>3.7999999999999999E-2</v>
      </c>
      <c r="BM104" s="62">
        <v>0.42799999999999999</v>
      </c>
      <c r="BN104" s="62">
        <v>0</v>
      </c>
      <c r="BO104" s="62">
        <v>-0.26</v>
      </c>
      <c r="BP104" s="62">
        <v>0</v>
      </c>
      <c r="BQ104" s="62">
        <v>0.5</v>
      </c>
      <c r="BR104" s="62">
        <v>3.7999999999999999E-2</v>
      </c>
      <c r="BS104" s="62">
        <v>-7.0000000000000007E-2</v>
      </c>
      <c r="BT104" s="62">
        <v>5.0000000000000001E-3</v>
      </c>
      <c r="BU104" s="62">
        <v>0.3</v>
      </c>
      <c r="BV104" s="62">
        <v>0</v>
      </c>
      <c r="BW104" s="62">
        <v>0</v>
      </c>
      <c r="BX104" s="62">
        <v>0</v>
      </c>
      <c r="BY104" s="62">
        <v>-1.7000000000000001E-2</v>
      </c>
      <c r="BZ104" s="62">
        <v>5.7500000000000002E-2</v>
      </c>
      <c r="CA104" s="62">
        <v>0.23499999999999999</v>
      </c>
      <c r="CB104" s="62">
        <v>5.0000000000000001E-3</v>
      </c>
      <c r="CC104" s="62">
        <v>-1.7000000000000001E-2</v>
      </c>
      <c r="CD104" s="62">
        <v>3.7000000000000002E-3</v>
      </c>
      <c r="CE104" s="62">
        <v>2.5000000000000001E-3</v>
      </c>
      <c r="CF104" s="62">
        <v>2.5000000000000001E-3</v>
      </c>
      <c r="CG104" s="62">
        <v>-1.7000000000000001E-2</v>
      </c>
      <c r="CH104" s="62">
        <v>3.7000000000000002E-3</v>
      </c>
      <c r="CI104" s="62">
        <v>-0.1125</v>
      </c>
      <c r="CJ104" s="62">
        <v>2.5000000000000001E-3</v>
      </c>
      <c r="CK104" s="62">
        <v>7.4999999999999997E-2</v>
      </c>
      <c r="CL104" s="62">
        <v>2.5000000000000001E-3</v>
      </c>
      <c r="CM104" s="62">
        <v>-6.4000000000000001E-2</v>
      </c>
      <c r="CN104" s="62">
        <v>0.01</v>
      </c>
      <c r="CO104" s="62">
        <v>-8.9999989999999998E-3</v>
      </c>
      <c r="CP104" s="62">
        <v>7.4999999999999997E-3</v>
      </c>
      <c r="CQ104" s="62">
        <v>3.1E-2</v>
      </c>
      <c r="CR104" s="62">
        <v>1.2500000000000001E-2</v>
      </c>
      <c r="CS104" s="62">
        <v>1.6</v>
      </c>
      <c r="CT104" s="62">
        <v>0.45</v>
      </c>
      <c r="CU104" s="62">
        <v>0.42799999999999999</v>
      </c>
      <c r="CV104" s="62">
        <v>0</v>
      </c>
      <c r="CW104" s="62">
        <v>0.34</v>
      </c>
      <c r="CX104" s="62">
        <v>0.02</v>
      </c>
      <c r="CY104" s="62">
        <v>-0.52</v>
      </c>
      <c r="CZ104" s="62">
        <v>0</v>
      </c>
      <c r="DA104" s="62">
        <v>-0.34</v>
      </c>
      <c r="DB104" s="62">
        <v>0</v>
      </c>
      <c r="DC104" s="62">
        <v>0.35</v>
      </c>
      <c r="DE104" s="62">
        <v>-4.4999999999999998E-2</v>
      </c>
      <c r="DF104" s="62">
        <v>1.2500000000000001E-2</v>
      </c>
      <c r="DG104" s="62">
        <v>8.0000000000000002E-3</v>
      </c>
      <c r="DH104" s="62">
        <v>7.4999999999999997E-3</v>
      </c>
      <c r="DI104" s="62">
        <v>-1.2E-2</v>
      </c>
      <c r="DJ104" s="62">
        <v>2.5000000000000001E-3</v>
      </c>
      <c r="DK104" s="62">
        <v>-9.4500000000000001E-2</v>
      </c>
      <c r="DL104" s="62">
        <v>2.5000000000000001E-3</v>
      </c>
      <c r="DM104" s="62">
        <v>-6.1499999999999999E-2</v>
      </c>
      <c r="DN104" s="62">
        <v>2.5000000000000001E-3</v>
      </c>
      <c r="DO104" s="62">
        <v>-8.4000000000000005E-2</v>
      </c>
      <c r="DP104" s="62">
        <v>2.5000000000000001E-3</v>
      </c>
      <c r="DQ104" s="62">
        <v>-0.1245</v>
      </c>
      <c r="DR104" s="62">
        <v>-5.0000000000000001E-3</v>
      </c>
      <c r="DS104" s="62">
        <v>1.04</v>
      </c>
      <c r="DT104" s="62">
        <v>0.05</v>
      </c>
      <c r="DU104" s="62">
        <v>0</v>
      </c>
      <c r="DV104" s="62">
        <v>0</v>
      </c>
    </row>
    <row r="105" spans="4:126" x14ac:dyDescent="0.25">
      <c r="D105" s="91">
        <v>39845</v>
      </c>
      <c r="F105" s="89">
        <v>3.907</v>
      </c>
      <c r="G105" s="90">
        <v>5.82693930542924E-2</v>
      </c>
      <c r="H105" s="89">
        <v>0.22750000000000001</v>
      </c>
      <c r="I105" s="89">
        <v>1</v>
      </c>
      <c r="J105" s="89">
        <v>1.05</v>
      </c>
      <c r="K105" s="89">
        <v>1</v>
      </c>
      <c r="L105" s="87">
        <v>1</v>
      </c>
      <c r="M105" s="87">
        <v>1.1499999999999999</v>
      </c>
      <c r="N105" s="89">
        <v>1.45</v>
      </c>
      <c r="O105" s="89">
        <v>1.05</v>
      </c>
      <c r="P105" s="89">
        <v>1</v>
      </c>
      <c r="Q105" s="89">
        <v>1.35</v>
      </c>
      <c r="R105" s="90">
        <v>1</v>
      </c>
      <c r="S105" s="90">
        <v>1.1000000000000001</v>
      </c>
      <c r="T105" s="89">
        <v>1</v>
      </c>
      <c r="U105" s="89">
        <v>1.45</v>
      </c>
      <c r="V105" s="89">
        <v>1.1000000000000001</v>
      </c>
      <c r="W105" s="89">
        <v>0.02</v>
      </c>
      <c r="X105" s="89">
        <v>0.03</v>
      </c>
      <c r="Y105" s="89">
        <v>0.13</v>
      </c>
      <c r="Z105" s="89">
        <v>0.02</v>
      </c>
      <c r="AA105" s="89">
        <v>0.28000000000000003</v>
      </c>
      <c r="AB105" s="89">
        <v>0</v>
      </c>
      <c r="AC105" s="89">
        <v>0.35</v>
      </c>
      <c r="AD105" s="89">
        <v>0</v>
      </c>
      <c r="AE105" s="89">
        <v>0.28000000000000003</v>
      </c>
      <c r="AF105" s="89">
        <v>0</v>
      </c>
      <c r="AG105" s="89">
        <v>0.17</v>
      </c>
      <c r="AH105" s="89">
        <v>0</v>
      </c>
      <c r="AI105" s="89">
        <v>0.14960000000000001</v>
      </c>
      <c r="AJ105" s="89">
        <v>0</v>
      </c>
      <c r="AK105" s="89">
        <v>0.13</v>
      </c>
      <c r="AL105" s="89">
        <v>3.5000000000000003E-2</v>
      </c>
      <c r="AM105" s="89">
        <v>-7.2499999999999995E-2</v>
      </c>
      <c r="AN105" s="89">
        <v>1.4E-2</v>
      </c>
      <c r="AO105" s="89">
        <v>-0.4</v>
      </c>
      <c r="AP105" s="89">
        <v>0.155</v>
      </c>
      <c r="AQ105" s="89">
        <v>-5.2499999999999998E-2</v>
      </c>
      <c r="AR105" s="89">
        <v>5.0000000000000001E-3</v>
      </c>
      <c r="AS105" s="89">
        <v>-0.14749999999999999</v>
      </c>
      <c r="AT105" s="89">
        <v>-5.0000000000000001E-3</v>
      </c>
      <c r="AU105" s="89">
        <v>-0.1075</v>
      </c>
      <c r="AV105" s="89">
        <v>-0.01</v>
      </c>
      <c r="AW105" s="89">
        <v>-5.2499999999999998E-2</v>
      </c>
      <c r="AX105" s="89">
        <v>2.1999999999999999E-2</v>
      </c>
      <c r="AY105" s="90">
        <v>0.155</v>
      </c>
      <c r="AZ105" s="90">
        <v>0</v>
      </c>
      <c r="BA105" s="90">
        <v>-0.13</v>
      </c>
      <c r="BB105" s="89">
        <v>5.0000000000000001E-3</v>
      </c>
      <c r="BC105" s="89">
        <v>-7.0000000000000007E-2</v>
      </c>
      <c r="BD105" s="89">
        <v>5.0000000000000001E-3</v>
      </c>
      <c r="BE105" s="89">
        <v>0.24</v>
      </c>
      <c r="BF105" s="89">
        <v>3.7999999999999999E-2</v>
      </c>
      <c r="BG105" s="89">
        <v>-0.06</v>
      </c>
      <c r="BH105" s="89">
        <v>0</v>
      </c>
      <c r="BI105" s="89">
        <v>0</v>
      </c>
      <c r="BJ105" s="62">
        <v>0.03</v>
      </c>
      <c r="BK105" s="62">
        <v>0.24</v>
      </c>
      <c r="BL105" s="62">
        <v>3.7999999999999999E-2</v>
      </c>
      <c r="BM105" s="62">
        <v>0.29799999999999999</v>
      </c>
      <c r="BN105" s="62">
        <v>0</v>
      </c>
      <c r="BO105" s="62">
        <v>-0.26</v>
      </c>
      <c r="BP105" s="62">
        <v>0</v>
      </c>
      <c r="BQ105" s="62">
        <v>0.5</v>
      </c>
      <c r="BR105" s="62">
        <v>3.7999999999999999E-2</v>
      </c>
      <c r="BS105" s="62">
        <v>-7.0000000000000007E-2</v>
      </c>
      <c r="BT105" s="62">
        <v>5.0000000000000001E-3</v>
      </c>
      <c r="BU105" s="62">
        <v>0.3</v>
      </c>
      <c r="BV105" s="62">
        <v>0</v>
      </c>
      <c r="BW105" s="62">
        <v>0</v>
      </c>
      <c r="BX105" s="62">
        <v>0</v>
      </c>
      <c r="BY105" s="62">
        <v>-1.7000000000000001E-2</v>
      </c>
      <c r="BZ105" s="62">
        <v>5.7500000000000002E-2</v>
      </c>
      <c r="CA105" s="62">
        <v>0.23499999999999999</v>
      </c>
      <c r="CB105" s="62">
        <v>5.0000000000000001E-3</v>
      </c>
      <c r="CC105" s="62">
        <v>-1.7000000000000001E-2</v>
      </c>
      <c r="CD105" s="62">
        <v>3.7000000000000002E-3</v>
      </c>
      <c r="CE105" s="62">
        <v>2.5000000000000001E-3</v>
      </c>
      <c r="CF105" s="62">
        <v>2.5000000000000001E-3</v>
      </c>
      <c r="CG105" s="62">
        <v>-1.7000000000000001E-2</v>
      </c>
      <c r="CH105" s="62">
        <v>3.7000000000000002E-3</v>
      </c>
      <c r="CI105" s="62">
        <v>-0.1125</v>
      </c>
      <c r="CJ105" s="62">
        <v>2.5000000000000001E-3</v>
      </c>
      <c r="CK105" s="62">
        <v>7.4999999999999997E-2</v>
      </c>
      <c r="CL105" s="62">
        <v>2.5000000000000001E-3</v>
      </c>
      <c r="CM105" s="62">
        <v>-6.4000000000000001E-2</v>
      </c>
      <c r="CN105" s="62">
        <v>0.01</v>
      </c>
      <c r="CO105" s="62">
        <v>-8.9999989999999998E-3</v>
      </c>
      <c r="CP105" s="62">
        <v>7.4999999999999997E-3</v>
      </c>
      <c r="CQ105" s="62">
        <v>3.1E-2</v>
      </c>
      <c r="CR105" s="62">
        <v>1.2500000000000001E-2</v>
      </c>
      <c r="CS105" s="62">
        <v>1.6</v>
      </c>
      <c r="CT105" s="62">
        <v>0.45</v>
      </c>
      <c r="CU105" s="62">
        <v>0.29799999999999999</v>
      </c>
      <c r="CV105" s="62">
        <v>0</v>
      </c>
      <c r="CW105" s="62">
        <v>0.34</v>
      </c>
      <c r="CX105" s="62">
        <v>0.02</v>
      </c>
      <c r="CY105" s="62">
        <v>-0.52</v>
      </c>
      <c r="CZ105" s="62">
        <v>0</v>
      </c>
      <c r="DA105" s="62">
        <v>-0.34</v>
      </c>
      <c r="DB105" s="62">
        <v>0</v>
      </c>
      <c r="DC105" s="62">
        <v>0.35</v>
      </c>
      <c r="DE105" s="62">
        <v>-4.4999999999999998E-2</v>
      </c>
      <c r="DF105" s="62">
        <v>1.2500000000000001E-2</v>
      </c>
      <c r="DG105" s="62">
        <v>8.0000000000000002E-3</v>
      </c>
      <c r="DH105" s="62">
        <v>7.4999999999999997E-3</v>
      </c>
      <c r="DI105" s="62">
        <v>-1.2E-2</v>
      </c>
      <c r="DJ105" s="62">
        <v>2.5000000000000001E-3</v>
      </c>
      <c r="DK105" s="62">
        <v>-8.4500000000000006E-2</v>
      </c>
      <c r="DL105" s="62">
        <v>2.5000000000000001E-3</v>
      </c>
      <c r="DM105" s="62">
        <v>-6.1499999999999999E-2</v>
      </c>
      <c r="DN105" s="62">
        <v>2.5000000000000001E-3</v>
      </c>
      <c r="DO105" s="62">
        <v>-8.4000000000000005E-2</v>
      </c>
      <c r="DP105" s="62">
        <v>2.5000000000000001E-3</v>
      </c>
      <c r="DQ105" s="62">
        <v>-0.1145</v>
      </c>
      <c r="DR105" s="62">
        <v>-5.0000000000000001E-3</v>
      </c>
      <c r="DS105" s="62">
        <v>1.04</v>
      </c>
      <c r="DT105" s="62">
        <v>0.05</v>
      </c>
      <c r="DU105" s="62">
        <v>0</v>
      </c>
      <c r="DV105" s="62">
        <v>0</v>
      </c>
    </row>
    <row r="106" spans="4:126" x14ac:dyDescent="0.25">
      <c r="D106" s="91">
        <v>39873</v>
      </c>
      <c r="F106" s="89">
        <v>3.7770000000000001</v>
      </c>
      <c r="G106" s="90">
        <v>5.8367946667353003E-2</v>
      </c>
      <c r="H106" s="89">
        <v>0.22</v>
      </c>
      <c r="I106" s="89">
        <v>0.75</v>
      </c>
      <c r="J106" s="89">
        <v>0.8</v>
      </c>
      <c r="K106" s="89">
        <v>0.75</v>
      </c>
      <c r="L106" s="87">
        <v>0.75</v>
      </c>
      <c r="M106" s="87">
        <v>0.85</v>
      </c>
      <c r="N106" s="89">
        <v>1</v>
      </c>
      <c r="O106" s="89">
        <v>0.75</v>
      </c>
      <c r="P106" s="89">
        <v>0.75</v>
      </c>
      <c r="Q106" s="89">
        <v>0.95</v>
      </c>
      <c r="R106" s="90">
        <v>0.75</v>
      </c>
      <c r="S106" s="90">
        <v>0.75</v>
      </c>
      <c r="T106" s="89">
        <v>0.75</v>
      </c>
      <c r="U106" s="89">
        <v>1</v>
      </c>
      <c r="V106" s="89">
        <v>0.85</v>
      </c>
      <c r="W106" s="89">
        <v>0</v>
      </c>
      <c r="X106" s="89">
        <v>0.03</v>
      </c>
      <c r="Y106" s="89">
        <v>0.13</v>
      </c>
      <c r="Z106" s="89">
        <v>0.02</v>
      </c>
      <c r="AA106" s="89">
        <v>0.28000000000000003</v>
      </c>
      <c r="AB106" s="89">
        <v>0</v>
      </c>
      <c r="AC106" s="89">
        <v>0.35</v>
      </c>
      <c r="AD106" s="89">
        <v>0</v>
      </c>
      <c r="AE106" s="89">
        <v>0.28000000000000003</v>
      </c>
      <c r="AF106" s="89">
        <v>0</v>
      </c>
      <c r="AG106" s="89">
        <v>0.17</v>
      </c>
      <c r="AH106" s="89">
        <v>0</v>
      </c>
      <c r="AI106" s="89">
        <v>0.14544000000000001</v>
      </c>
      <c r="AJ106" s="89">
        <v>0</v>
      </c>
      <c r="AK106" s="89">
        <v>0.13</v>
      </c>
      <c r="AL106" s="89">
        <v>3.5000000000000003E-2</v>
      </c>
      <c r="AM106" s="89">
        <v>-7.2499999999999995E-2</v>
      </c>
      <c r="AN106" s="89">
        <v>1.4E-2</v>
      </c>
      <c r="AO106" s="89">
        <v>-0.4</v>
      </c>
      <c r="AP106" s="89">
        <v>0.155</v>
      </c>
      <c r="AQ106" s="89">
        <v>-5.2499999999999998E-2</v>
      </c>
      <c r="AR106" s="89">
        <v>5.0000000000000001E-3</v>
      </c>
      <c r="AS106" s="89">
        <v>-0.14499999999999999</v>
      </c>
      <c r="AT106" s="89">
        <v>-5.0000000000000001E-3</v>
      </c>
      <c r="AU106" s="89">
        <v>-0.105</v>
      </c>
      <c r="AV106" s="89">
        <v>-0.01</v>
      </c>
      <c r="AW106" s="89">
        <v>-5.2499999999999998E-2</v>
      </c>
      <c r="AX106" s="89">
        <v>2.1999999999999999E-2</v>
      </c>
      <c r="AY106" s="90">
        <v>0.155</v>
      </c>
      <c r="AZ106" s="90">
        <v>0</v>
      </c>
      <c r="BA106" s="90">
        <v>-0.13</v>
      </c>
      <c r="BB106" s="89">
        <v>5.0000000000000001E-3</v>
      </c>
      <c r="BC106" s="89">
        <v>-7.0000000000000007E-2</v>
      </c>
      <c r="BD106" s="89">
        <v>5.0000000000000001E-3</v>
      </c>
      <c r="BE106" s="89">
        <v>0.24</v>
      </c>
      <c r="BF106" s="89">
        <v>3.7999999999999999E-2</v>
      </c>
      <c r="BG106" s="89">
        <v>-0.06</v>
      </c>
      <c r="BH106" s="89">
        <v>0</v>
      </c>
      <c r="BI106" s="89">
        <v>0</v>
      </c>
      <c r="BJ106" s="62">
        <v>0.03</v>
      </c>
      <c r="BK106" s="62">
        <v>0.24</v>
      </c>
      <c r="BL106" s="62">
        <v>3.7999999999999999E-2</v>
      </c>
      <c r="BM106" s="62">
        <v>0.11799999999999999</v>
      </c>
      <c r="BN106" s="62">
        <v>0</v>
      </c>
      <c r="BO106" s="62">
        <v>-0.26</v>
      </c>
      <c r="BP106" s="62">
        <v>0</v>
      </c>
      <c r="BQ106" s="62">
        <v>0.5</v>
      </c>
      <c r="BR106" s="62">
        <v>3.7999999999999999E-2</v>
      </c>
      <c r="BS106" s="62">
        <v>-7.0000000000000007E-2</v>
      </c>
      <c r="BT106" s="62">
        <v>5.0000000000000001E-3</v>
      </c>
      <c r="BU106" s="62">
        <v>0.3</v>
      </c>
      <c r="BV106" s="62">
        <v>0</v>
      </c>
      <c r="BW106" s="62">
        <v>0</v>
      </c>
      <c r="BX106" s="62">
        <v>0</v>
      </c>
      <c r="BY106" s="62">
        <v>-1.7000000000000001E-2</v>
      </c>
      <c r="BZ106" s="62">
        <v>5.7500000000000002E-2</v>
      </c>
      <c r="CA106" s="62">
        <v>0.19500000000000001</v>
      </c>
      <c r="CB106" s="62">
        <v>5.0000000000000001E-3</v>
      </c>
      <c r="CC106" s="62">
        <v>-1.7000000000000001E-2</v>
      </c>
      <c r="CD106" s="62">
        <v>3.7000000000000002E-3</v>
      </c>
      <c r="CE106" s="62">
        <v>2.5000000000000001E-3</v>
      </c>
      <c r="CF106" s="62">
        <v>2.5000000000000001E-3</v>
      </c>
      <c r="CG106" s="62">
        <v>-1.7000000000000001E-2</v>
      </c>
      <c r="CH106" s="62">
        <v>3.7000000000000002E-3</v>
      </c>
      <c r="CI106" s="62">
        <v>-0.1125</v>
      </c>
      <c r="CJ106" s="62">
        <v>2.5000000000000001E-3</v>
      </c>
      <c r="CK106" s="62">
        <v>7.4999999999999997E-2</v>
      </c>
      <c r="CL106" s="62">
        <v>2.5000000000000001E-3</v>
      </c>
      <c r="CM106" s="62">
        <v>-6.4000000000000001E-2</v>
      </c>
      <c r="CN106" s="62">
        <v>0.01</v>
      </c>
      <c r="CO106" s="62">
        <v>-8.9999989999999998E-3</v>
      </c>
      <c r="CP106" s="62">
        <v>7.4999999999999997E-3</v>
      </c>
      <c r="CQ106" s="62">
        <v>3.1E-2</v>
      </c>
      <c r="CR106" s="62">
        <v>1.2500000000000001E-2</v>
      </c>
      <c r="CS106" s="62">
        <v>0.64</v>
      </c>
      <c r="CT106" s="62">
        <v>0.1</v>
      </c>
      <c r="CU106" s="62">
        <v>0.11799999999999999</v>
      </c>
      <c r="CV106" s="62">
        <v>0</v>
      </c>
      <c r="CW106" s="62">
        <v>0.28999999999999998</v>
      </c>
      <c r="CX106" s="62">
        <v>0.02</v>
      </c>
      <c r="CY106" s="62">
        <v>-0.52</v>
      </c>
      <c r="CZ106" s="62">
        <v>0</v>
      </c>
      <c r="DA106" s="62">
        <v>-0.34</v>
      </c>
      <c r="DB106" s="62">
        <v>0</v>
      </c>
      <c r="DC106" s="62">
        <v>0.4</v>
      </c>
      <c r="DE106" s="62">
        <v>-4.4999999999999998E-2</v>
      </c>
      <c r="DF106" s="62">
        <v>1.2500000000000001E-2</v>
      </c>
      <c r="DG106" s="62">
        <v>1.2999999999999999E-2</v>
      </c>
      <c r="DH106" s="62">
        <v>7.4999999999999997E-3</v>
      </c>
      <c r="DI106" s="62">
        <v>-7.0000000000000001E-3</v>
      </c>
      <c r="DJ106" s="62">
        <v>2.5000000000000001E-3</v>
      </c>
      <c r="DK106" s="62">
        <v>-7.4499999999999997E-2</v>
      </c>
      <c r="DL106" s="62">
        <v>2.5000000000000001E-3</v>
      </c>
      <c r="DM106" s="62">
        <v>-6.1499999999999999E-2</v>
      </c>
      <c r="DN106" s="62">
        <v>2.5000000000000001E-3</v>
      </c>
      <c r="DO106" s="62">
        <v>-8.4000000000000005E-2</v>
      </c>
      <c r="DP106" s="62">
        <v>2.5000000000000001E-3</v>
      </c>
      <c r="DQ106" s="62">
        <v>-0.1045</v>
      </c>
      <c r="DR106" s="62">
        <v>-5.0000000000000001E-3</v>
      </c>
      <c r="DS106" s="62">
        <v>0.54</v>
      </c>
      <c r="DT106" s="62">
        <v>0.05</v>
      </c>
      <c r="DU106" s="62">
        <v>0</v>
      </c>
      <c r="DV106" s="62">
        <v>0</v>
      </c>
    </row>
    <row r="107" spans="4:126" x14ac:dyDescent="0.25">
      <c r="D107" s="91">
        <v>39904</v>
      </c>
      <c r="F107" s="89">
        <v>3.5920000000000001</v>
      </c>
      <c r="G107" s="90">
        <v>5.84770595998663E-2</v>
      </c>
      <c r="H107" s="89">
        <v>0.20250000000000001</v>
      </c>
      <c r="I107" s="89">
        <v>0.4</v>
      </c>
      <c r="J107" s="89">
        <v>0.45</v>
      </c>
      <c r="K107" s="89">
        <v>0.4</v>
      </c>
      <c r="L107" s="87">
        <v>0.45</v>
      </c>
      <c r="M107" s="87">
        <v>0.45</v>
      </c>
      <c r="N107" s="89">
        <v>0.45</v>
      </c>
      <c r="O107" s="89">
        <v>0.45</v>
      </c>
      <c r="P107" s="89">
        <v>0.45</v>
      </c>
      <c r="Q107" s="89">
        <v>0.5</v>
      </c>
      <c r="R107" s="90">
        <v>0.4</v>
      </c>
      <c r="S107" s="90">
        <v>0.45</v>
      </c>
      <c r="T107" s="89">
        <v>0.4</v>
      </c>
      <c r="U107" s="89">
        <v>0.45</v>
      </c>
      <c r="V107" s="89">
        <v>0.55000000000000004</v>
      </c>
      <c r="W107" s="89">
        <v>-0.09</v>
      </c>
      <c r="X107" s="89">
        <v>0</v>
      </c>
      <c r="Y107" s="89">
        <v>0.04</v>
      </c>
      <c r="Z107" s="89">
        <v>5.0000000000000001E-3</v>
      </c>
      <c r="AA107" s="89">
        <v>0.17499999999999999</v>
      </c>
      <c r="AB107" s="89">
        <v>0</v>
      </c>
      <c r="AC107" s="89">
        <v>0.14000000000000001</v>
      </c>
      <c r="AD107" s="89">
        <v>0</v>
      </c>
      <c r="AE107" s="89">
        <v>0.17499999999999999</v>
      </c>
      <c r="AF107" s="89">
        <v>0</v>
      </c>
      <c r="AG107" s="89">
        <v>0.14000000000000001</v>
      </c>
      <c r="AH107" s="89">
        <v>0</v>
      </c>
      <c r="AI107" s="89">
        <v>0.14000000000000001</v>
      </c>
      <c r="AJ107" s="89">
        <v>0</v>
      </c>
      <c r="AK107" s="89">
        <v>0.04</v>
      </c>
      <c r="AL107" s="89">
        <v>0.04</v>
      </c>
      <c r="AM107" s="89">
        <v>-5.5E-2</v>
      </c>
      <c r="AN107" s="89">
        <v>2.1000000000000001E-2</v>
      </c>
      <c r="AO107" s="89">
        <v>-0.5</v>
      </c>
      <c r="AP107" s="89">
        <v>0.155</v>
      </c>
      <c r="AQ107" s="89">
        <v>-0.05</v>
      </c>
      <c r="AR107" s="89">
        <v>0</v>
      </c>
      <c r="AS107" s="89">
        <v>-0.15</v>
      </c>
      <c r="AT107" s="89">
        <v>-1.4999999999999999E-2</v>
      </c>
      <c r="AU107" s="89">
        <v>-0.11</v>
      </c>
      <c r="AV107" s="89">
        <v>0.02</v>
      </c>
      <c r="AW107" s="89">
        <v>-0.05</v>
      </c>
      <c r="AX107" s="89">
        <v>1.4E-2</v>
      </c>
      <c r="AY107" s="90">
        <v>0.125</v>
      </c>
      <c r="AZ107" s="90">
        <v>0</v>
      </c>
      <c r="BA107" s="90">
        <v>-0.19500000000000001</v>
      </c>
      <c r="BB107" s="89">
        <v>2.5000000000000001E-3</v>
      </c>
      <c r="BC107" s="89">
        <v>-7.0000000000000007E-2</v>
      </c>
      <c r="BD107" s="89">
        <v>5.0000000000000001E-3</v>
      </c>
      <c r="BE107" s="89">
        <v>0.26</v>
      </c>
      <c r="BF107" s="89">
        <v>3.7999999999999999E-2</v>
      </c>
      <c r="BG107" s="89">
        <v>-0.06</v>
      </c>
      <c r="BH107" s="89">
        <v>0</v>
      </c>
      <c r="BI107" s="89">
        <v>0</v>
      </c>
      <c r="BJ107" s="62">
        <v>0.03</v>
      </c>
      <c r="BK107" s="62">
        <v>0.26</v>
      </c>
      <c r="BL107" s="62">
        <v>3.7999999999999999E-2</v>
      </c>
      <c r="BM107" s="62">
        <v>-0.2</v>
      </c>
      <c r="BN107" s="62">
        <v>0</v>
      </c>
      <c r="BO107" s="62">
        <v>-0.39</v>
      </c>
      <c r="BP107" s="62">
        <v>0</v>
      </c>
      <c r="BQ107" s="62">
        <v>0.5</v>
      </c>
      <c r="BR107" s="62">
        <v>3.7999999999999999E-2</v>
      </c>
      <c r="BS107" s="62">
        <v>-7.0000000000000007E-2</v>
      </c>
      <c r="BT107" s="62">
        <v>5.0000000000000001E-3</v>
      </c>
      <c r="BU107" s="62">
        <v>0.3</v>
      </c>
      <c r="BV107" s="62">
        <v>0</v>
      </c>
      <c r="BW107" s="62">
        <v>0</v>
      </c>
      <c r="BX107" s="62">
        <v>0</v>
      </c>
      <c r="BY107" s="62">
        <v>-1.7000000000000001E-2</v>
      </c>
      <c r="BZ107" s="62">
        <v>5.7500000000000002E-2</v>
      </c>
      <c r="CA107" s="62">
        <v>0.14499999999999999</v>
      </c>
      <c r="CB107" s="62">
        <v>5.0000000000000001E-3</v>
      </c>
      <c r="CC107" s="62">
        <v>-1.7000000000000001E-2</v>
      </c>
      <c r="CD107" s="62">
        <v>3.5000000000000001E-3</v>
      </c>
      <c r="CE107" s="62">
        <v>2.5000000000000001E-3</v>
      </c>
      <c r="CF107" s="62">
        <v>2.5000000000000001E-3</v>
      </c>
      <c r="CG107" s="62">
        <v>-1.7000000000000001E-2</v>
      </c>
      <c r="CH107" s="62">
        <v>3.5000000000000001E-3</v>
      </c>
      <c r="CI107" s="62">
        <v>-0.13250000000000001</v>
      </c>
      <c r="CJ107" s="62">
        <v>2.5000000000000001E-3</v>
      </c>
      <c r="CK107" s="62">
        <v>7.7499999999999999E-2</v>
      </c>
      <c r="CL107" s="62">
        <v>2.5000000000000001E-3</v>
      </c>
      <c r="CM107" s="62">
        <v>-7.1999999999999995E-2</v>
      </c>
      <c r="CN107" s="62">
        <v>7.4999999999999997E-3</v>
      </c>
      <c r="CO107" s="62">
        <v>-1.7000000000000001E-2</v>
      </c>
      <c r="CP107" s="62">
        <v>5.0000000000000001E-3</v>
      </c>
      <c r="CQ107" s="62">
        <v>2.3E-2</v>
      </c>
      <c r="CR107" s="62">
        <v>7.4999999999999997E-3</v>
      </c>
      <c r="CS107" s="62">
        <v>0.38</v>
      </c>
      <c r="CT107" s="62">
        <v>0.02</v>
      </c>
      <c r="CU107" s="62">
        <v>-0.2</v>
      </c>
      <c r="CV107" s="62">
        <v>0</v>
      </c>
      <c r="CW107" s="62">
        <v>0.19500000000000001</v>
      </c>
      <c r="CX107" s="62">
        <v>7.4999999999999997E-3</v>
      </c>
      <c r="CY107" s="62">
        <v>-0.65</v>
      </c>
      <c r="CZ107" s="62">
        <v>0</v>
      </c>
      <c r="DA107" s="62">
        <v>-0.47</v>
      </c>
      <c r="DB107" s="62">
        <v>0</v>
      </c>
      <c r="DC107" s="62">
        <v>0.6</v>
      </c>
      <c r="DE107" s="62">
        <v>-5.2499999999999998E-2</v>
      </c>
      <c r="DF107" s="62">
        <v>0.01</v>
      </c>
      <c r="DG107" s="62">
        <v>1.2999999999999999E-2</v>
      </c>
      <c r="DH107" s="62">
        <v>0.01</v>
      </c>
      <c r="DI107" s="62">
        <v>-7.0000000000000001E-3</v>
      </c>
      <c r="DJ107" s="62">
        <v>7.4999999999999997E-3</v>
      </c>
      <c r="DK107" s="62">
        <v>-0.11749999999999999</v>
      </c>
      <c r="DL107" s="62">
        <v>5.0000000000000001E-3</v>
      </c>
      <c r="DM107" s="62">
        <v>-5.8999999999999997E-2</v>
      </c>
      <c r="DN107" s="62">
        <v>2.5000000000000001E-3</v>
      </c>
      <c r="DO107" s="62">
        <v>-8.1500000000000003E-2</v>
      </c>
      <c r="DP107" s="62">
        <v>2.5000000000000001E-3</v>
      </c>
      <c r="DQ107" s="62">
        <v>-0.14749999999999999</v>
      </c>
      <c r="DR107" s="62">
        <v>-5.0000000000000001E-3</v>
      </c>
      <c r="DS107" s="62">
        <v>0.36</v>
      </c>
      <c r="DT107" s="62">
        <v>5.0000000000000001E-3</v>
      </c>
      <c r="DU107" s="62">
        <v>0</v>
      </c>
      <c r="DV107" s="62">
        <v>0</v>
      </c>
    </row>
    <row r="108" spans="4:126" x14ac:dyDescent="0.25">
      <c r="D108" s="91">
        <v>39934</v>
      </c>
      <c r="F108" s="89">
        <v>3.5870000000000002</v>
      </c>
      <c r="G108" s="90">
        <v>5.8582652764132402E-2</v>
      </c>
      <c r="H108" s="89">
        <v>0.20250000000000001</v>
      </c>
      <c r="I108" s="89">
        <v>0.45</v>
      </c>
      <c r="J108" s="89">
        <v>0.5</v>
      </c>
      <c r="K108" s="89">
        <v>0.4</v>
      </c>
      <c r="L108" s="87">
        <v>0.4</v>
      </c>
      <c r="M108" s="87">
        <v>0.45</v>
      </c>
      <c r="N108" s="89">
        <v>0.5</v>
      </c>
      <c r="O108" s="89">
        <v>0.45</v>
      </c>
      <c r="P108" s="89">
        <v>0.4</v>
      </c>
      <c r="Q108" s="89">
        <v>0.45</v>
      </c>
      <c r="R108" s="90">
        <v>0.45</v>
      </c>
      <c r="S108" s="90">
        <v>0.5</v>
      </c>
      <c r="T108" s="89">
        <v>0.45</v>
      </c>
      <c r="U108" s="89">
        <v>0.5</v>
      </c>
      <c r="V108" s="89">
        <v>0.5</v>
      </c>
      <c r="W108" s="89">
        <v>-0.09</v>
      </c>
      <c r="X108" s="89">
        <v>0</v>
      </c>
      <c r="Y108" s="89">
        <v>0.04</v>
      </c>
      <c r="Z108" s="89">
        <v>5.0000000000000001E-3</v>
      </c>
      <c r="AA108" s="89">
        <v>0.17499999999999999</v>
      </c>
      <c r="AB108" s="89">
        <v>0</v>
      </c>
      <c r="AC108" s="89">
        <v>0.14000000000000001</v>
      </c>
      <c r="AD108" s="89">
        <v>0</v>
      </c>
      <c r="AE108" s="89">
        <v>0.17499999999999999</v>
      </c>
      <c r="AF108" s="89">
        <v>0</v>
      </c>
      <c r="AG108" s="89">
        <v>0.14000000000000001</v>
      </c>
      <c r="AH108" s="89">
        <v>0</v>
      </c>
      <c r="AI108" s="89">
        <v>0.14000000000000001</v>
      </c>
      <c r="AJ108" s="89">
        <v>0</v>
      </c>
      <c r="AK108" s="89">
        <v>0.04</v>
      </c>
      <c r="AL108" s="89">
        <v>0.04</v>
      </c>
      <c r="AM108" s="89">
        <v>-5.5E-2</v>
      </c>
      <c r="AN108" s="89">
        <v>2.1000000000000001E-2</v>
      </c>
      <c r="AO108" s="89">
        <v>-0.5</v>
      </c>
      <c r="AP108" s="89">
        <v>0.155</v>
      </c>
      <c r="AQ108" s="89">
        <v>-0.05</v>
      </c>
      <c r="AR108" s="89">
        <v>0</v>
      </c>
      <c r="AS108" s="89">
        <v>-0.15</v>
      </c>
      <c r="AT108" s="89">
        <v>-1.4999999999999999E-2</v>
      </c>
      <c r="AU108" s="89">
        <v>-0.11</v>
      </c>
      <c r="AV108" s="89">
        <v>0.02</v>
      </c>
      <c r="AW108" s="89">
        <v>-0.05</v>
      </c>
      <c r="AX108" s="89">
        <v>1.4E-2</v>
      </c>
      <c r="AY108" s="90">
        <v>0.125</v>
      </c>
      <c r="AZ108" s="90">
        <v>0</v>
      </c>
      <c r="BA108" s="90">
        <v>-0.19500000000000001</v>
      </c>
      <c r="BB108" s="89">
        <v>2.5000000000000001E-3</v>
      </c>
      <c r="BC108" s="89">
        <v>-7.0000000000000007E-2</v>
      </c>
      <c r="BD108" s="89">
        <v>5.0000000000000001E-3</v>
      </c>
      <c r="BE108" s="89">
        <v>0.26</v>
      </c>
      <c r="BF108" s="89">
        <v>3.7999999999999999E-2</v>
      </c>
      <c r="BG108" s="89">
        <v>-0.06</v>
      </c>
      <c r="BH108" s="89">
        <v>0</v>
      </c>
      <c r="BI108" s="89">
        <v>0</v>
      </c>
      <c r="BJ108" s="62">
        <v>0.03</v>
      </c>
      <c r="BK108" s="62">
        <v>0.26</v>
      </c>
      <c r="BL108" s="62">
        <v>3.7999999999999999E-2</v>
      </c>
      <c r="BM108" s="62">
        <v>-0.2</v>
      </c>
      <c r="BN108" s="62">
        <v>0</v>
      </c>
      <c r="BO108" s="62">
        <v>-0.39</v>
      </c>
      <c r="BP108" s="62">
        <v>0</v>
      </c>
      <c r="BQ108" s="62">
        <v>0.5</v>
      </c>
      <c r="BR108" s="62">
        <v>3.7999999999999999E-2</v>
      </c>
      <c r="BS108" s="62">
        <v>-7.0000000000000007E-2</v>
      </c>
      <c r="BT108" s="62">
        <v>5.0000000000000001E-3</v>
      </c>
      <c r="BU108" s="62">
        <v>0.3</v>
      </c>
      <c r="BV108" s="62">
        <v>0</v>
      </c>
      <c r="BW108" s="62">
        <v>0</v>
      </c>
      <c r="BX108" s="62">
        <v>0</v>
      </c>
      <c r="BY108" s="62">
        <v>-1.7000000000000001E-2</v>
      </c>
      <c r="BZ108" s="62">
        <v>5.7500000000000002E-2</v>
      </c>
      <c r="CA108" s="62">
        <v>0.125</v>
      </c>
      <c r="CB108" s="62">
        <v>5.0000000000000001E-3</v>
      </c>
      <c r="CC108" s="62">
        <v>-1.7000000000000001E-2</v>
      </c>
      <c r="CD108" s="62">
        <v>3.5000000000000001E-3</v>
      </c>
      <c r="CE108" s="62">
        <v>2.5000000000000001E-3</v>
      </c>
      <c r="CF108" s="62">
        <v>2.5000000000000001E-3</v>
      </c>
      <c r="CG108" s="62">
        <v>-1.7000000000000001E-2</v>
      </c>
      <c r="CH108" s="62">
        <v>3.5000000000000001E-3</v>
      </c>
      <c r="CI108" s="62">
        <v>-0.12</v>
      </c>
      <c r="CJ108" s="62">
        <v>2.5000000000000001E-3</v>
      </c>
      <c r="CK108" s="62">
        <v>7.7499999999999999E-2</v>
      </c>
      <c r="CL108" s="62">
        <v>2.5000000000000001E-3</v>
      </c>
      <c r="CM108" s="62">
        <v>-7.1999999999999995E-2</v>
      </c>
      <c r="CN108" s="62">
        <v>7.4999999999999997E-3</v>
      </c>
      <c r="CO108" s="62">
        <v>-1.7000000000000001E-2</v>
      </c>
      <c r="CP108" s="62">
        <v>5.0000000000000001E-3</v>
      </c>
      <c r="CQ108" s="62">
        <v>2.3E-2</v>
      </c>
      <c r="CR108" s="62">
        <v>7.4999999999999997E-3</v>
      </c>
      <c r="CS108" s="62">
        <v>0.33</v>
      </c>
      <c r="CT108" s="62">
        <v>0.02</v>
      </c>
      <c r="CU108" s="62">
        <v>-0.2</v>
      </c>
      <c r="CV108" s="62">
        <v>0</v>
      </c>
      <c r="CW108" s="62">
        <v>0.13500000000000001</v>
      </c>
      <c r="CX108" s="62">
        <v>7.4999999999999997E-3</v>
      </c>
      <c r="CY108" s="62">
        <v>-0.65</v>
      </c>
      <c r="CZ108" s="62">
        <v>0</v>
      </c>
      <c r="DA108" s="62">
        <v>-0.47</v>
      </c>
      <c r="DB108" s="62">
        <v>0</v>
      </c>
      <c r="DC108" s="62">
        <v>0.75</v>
      </c>
      <c r="DE108" s="62">
        <v>-5.2499999999999998E-2</v>
      </c>
      <c r="DF108" s="62">
        <v>0.01</v>
      </c>
      <c r="DG108" s="62">
        <v>1.55E-2</v>
      </c>
      <c r="DH108" s="62">
        <v>0.01</v>
      </c>
      <c r="DI108" s="62">
        <v>-4.4999999999999997E-3</v>
      </c>
      <c r="DJ108" s="62">
        <v>7.4999999999999997E-3</v>
      </c>
      <c r="DK108" s="62">
        <v>-9.5000000000000001E-2</v>
      </c>
      <c r="DL108" s="62">
        <v>5.0000000000000001E-3</v>
      </c>
      <c r="DM108" s="62">
        <v>-5.8999999999999997E-2</v>
      </c>
      <c r="DN108" s="62">
        <v>2.5000000000000001E-3</v>
      </c>
      <c r="DO108" s="62">
        <v>-8.1500000000000003E-2</v>
      </c>
      <c r="DP108" s="62">
        <v>2.5000000000000001E-3</v>
      </c>
      <c r="DQ108" s="62">
        <v>-0.125</v>
      </c>
      <c r="DR108" s="62">
        <v>-5.0000000000000001E-3</v>
      </c>
      <c r="DS108" s="62">
        <v>0.32500000000000001</v>
      </c>
      <c r="DT108" s="62">
        <v>5.0000000000000001E-3</v>
      </c>
      <c r="DU108" s="62">
        <v>0</v>
      </c>
      <c r="DV108" s="62">
        <v>0</v>
      </c>
    </row>
    <row r="109" spans="4:126" x14ac:dyDescent="0.25">
      <c r="D109" s="91">
        <v>39965</v>
      </c>
      <c r="F109" s="89">
        <v>3.6219999999999999</v>
      </c>
      <c r="G109" s="90">
        <v>5.8691765704435503E-2</v>
      </c>
      <c r="H109" s="89">
        <v>0.20250000000000001</v>
      </c>
      <c r="I109" s="89">
        <v>0.45</v>
      </c>
      <c r="J109" s="89">
        <v>0.5</v>
      </c>
      <c r="K109" s="89">
        <v>0.4</v>
      </c>
      <c r="L109" s="87">
        <v>0.5</v>
      </c>
      <c r="M109" s="87">
        <v>0.45</v>
      </c>
      <c r="N109" s="89">
        <v>0.5</v>
      </c>
      <c r="O109" s="89">
        <v>0.5</v>
      </c>
      <c r="P109" s="89">
        <v>0.5</v>
      </c>
      <c r="Q109" s="89">
        <v>0.5</v>
      </c>
      <c r="R109" s="90">
        <v>0.45</v>
      </c>
      <c r="S109" s="90">
        <v>0.5</v>
      </c>
      <c r="T109" s="89">
        <v>0.45</v>
      </c>
      <c r="U109" s="89">
        <v>0.5</v>
      </c>
      <c r="V109" s="89">
        <v>0.6</v>
      </c>
      <c r="W109" s="89">
        <v>-0.09</v>
      </c>
      <c r="X109" s="89">
        <v>0</v>
      </c>
      <c r="Y109" s="89">
        <v>0.04</v>
      </c>
      <c r="Z109" s="89">
        <v>5.0000000000000001E-3</v>
      </c>
      <c r="AA109" s="89">
        <v>0.17499999999999999</v>
      </c>
      <c r="AB109" s="89">
        <v>0</v>
      </c>
      <c r="AC109" s="89">
        <v>0.14000000000000001</v>
      </c>
      <c r="AD109" s="89">
        <v>0</v>
      </c>
      <c r="AE109" s="89">
        <v>0.17499999999999999</v>
      </c>
      <c r="AF109" s="89">
        <v>0</v>
      </c>
      <c r="AG109" s="89">
        <v>0.14000000000000001</v>
      </c>
      <c r="AH109" s="89">
        <v>0</v>
      </c>
      <c r="AI109" s="89">
        <v>0.14000000000000001</v>
      </c>
      <c r="AJ109" s="89">
        <v>0</v>
      </c>
      <c r="AK109" s="89">
        <v>0.04</v>
      </c>
      <c r="AL109" s="89">
        <v>0.04</v>
      </c>
      <c r="AM109" s="89">
        <v>-5.5E-2</v>
      </c>
      <c r="AN109" s="89">
        <v>2.1000000000000001E-2</v>
      </c>
      <c r="AO109" s="89">
        <v>-0.5</v>
      </c>
      <c r="AP109" s="89">
        <v>0.155</v>
      </c>
      <c r="AQ109" s="89">
        <v>-0.05</v>
      </c>
      <c r="AR109" s="89">
        <v>0</v>
      </c>
      <c r="AS109" s="89">
        <v>-0.15</v>
      </c>
      <c r="AT109" s="89">
        <v>-1.4999999999999999E-2</v>
      </c>
      <c r="AU109" s="89">
        <v>-0.11</v>
      </c>
      <c r="AV109" s="89">
        <v>0.02</v>
      </c>
      <c r="AW109" s="89">
        <v>-0.05</v>
      </c>
      <c r="AX109" s="89">
        <v>1.4E-2</v>
      </c>
      <c r="AY109" s="90">
        <v>0.125</v>
      </c>
      <c r="AZ109" s="90">
        <v>0</v>
      </c>
      <c r="BA109" s="90">
        <v>-0.19500000000000001</v>
      </c>
      <c r="BB109" s="89">
        <v>2.5000000000000001E-3</v>
      </c>
      <c r="BC109" s="89">
        <v>-7.0000000000000007E-2</v>
      </c>
      <c r="BD109" s="89">
        <v>5.0000000000000001E-3</v>
      </c>
      <c r="BE109" s="89">
        <v>0.26</v>
      </c>
      <c r="BF109" s="89">
        <v>3.7999999999999999E-2</v>
      </c>
      <c r="BG109" s="89">
        <v>-0.06</v>
      </c>
      <c r="BH109" s="89">
        <v>0</v>
      </c>
      <c r="BI109" s="89">
        <v>0</v>
      </c>
      <c r="BJ109" s="62">
        <v>0.03</v>
      </c>
      <c r="BK109" s="62">
        <v>0.26</v>
      </c>
      <c r="BL109" s="62">
        <v>3.7999999999999999E-2</v>
      </c>
      <c r="BM109" s="62">
        <v>-0.2</v>
      </c>
      <c r="BN109" s="62">
        <v>0</v>
      </c>
      <c r="BO109" s="62">
        <v>-0.39</v>
      </c>
      <c r="BP109" s="62">
        <v>0</v>
      </c>
      <c r="BQ109" s="62">
        <v>0.5</v>
      </c>
      <c r="BR109" s="62">
        <v>3.7999999999999999E-2</v>
      </c>
      <c r="BS109" s="62">
        <v>-7.0000000000000007E-2</v>
      </c>
      <c r="BT109" s="62">
        <v>5.0000000000000001E-3</v>
      </c>
      <c r="BU109" s="62">
        <v>0.3</v>
      </c>
      <c r="BV109" s="62">
        <v>0</v>
      </c>
      <c r="BW109" s="62">
        <v>0</v>
      </c>
      <c r="BX109" s="62">
        <v>0</v>
      </c>
      <c r="BY109" s="62">
        <v>-1.7000000000000001E-2</v>
      </c>
      <c r="BZ109" s="62">
        <v>5.7500000000000002E-2</v>
      </c>
      <c r="CA109" s="62">
        <v>0.14499999999999999</v>
      </c>
      <c r="CB109" s="62">
        <v>5.0000000000000001E-3</v>
      </c>
      <c r="CC109" s="62">
        <v>-1.7000000000000001E-2</v>
      </c>
      <c r="CD109" s="62">
        <v>3.5000000000000001E-3</v>
      </c>
      <c r="CE109" s="62">
        <v>2.5000000000000001E-3</v>
      </c>
      <c r="CF109" s="62">
        <v>2.5000000000000001E-3</v>
      </c>
      <c r="CG109" s="62">
        <v>-1.7000000000000001E-2</v>
      </c>
      <c r="CH109" s="62">
        <v>3.5000000000000001E-3</v>
      </c>
      <c r="CI109" s="62">
        <v>-7.7499999999999999E-2</v>
      </c>
      <c r="CJ109" s="62">
        <v>2.5000000000000001E-3</v>
      </c>
      <c r="CK109" s="62">
        <v>7.7499999999999999E-2</v>
      </c>
      <c r="CL109" s="62">
        <v>2.5000000000000001E-3</v>
      </c>
      <c r="CM109" s="62">
        <v>-7.1999999999999995E-2</v>
      </c>
      <c r="CN109" s="62">
        <v>7.4999999999999997E-3</v>
      </c>
      <c r="CO109" s="62">
        <v>-1.7000000000000001E-2</v>
      </c>
      <c r="CP109" s="62">
        <v>5.0000000000000001E-3</v>
      </c>
      <c r="CQ109" s="62">
        <v>2.3E-2</v>
      </c>
      <c r="CR109" s="62">
        <v>7.4999999999999997E-3</v>
      </c>
      <c r="CS109" s="62">
        <v>0.37</v>
      </c>
      <c r="CT109" s="62">
        <v>3.5000000000000003E-2</v>
      </c>
      <c r="CU109" s="62">
        <v>-0.2</v>
      </c>
      <c r="CV109" s="62">
        <v>0</v>
      </c>
      <c r="CW109" s="62">
        <v>0.16500000000000001</v>
      </c>
      <c r="CX109" s="62">
        <v>7.4999999999999997E-3</v>
      </c>
      <c r="CY109" s="62">
        <v>-0.65</v>
      </c>
      <c r="CZ109" s="62">
        <v>0</v>
      </c>
      <c r="DA109" s="62">
        <v>-0.47</v>
      </c>
      <c r="DB109" s="62">
        <v>0</v>
      </c>
      <c r="DC109" s="62">
        <v>0.85</v>
      </c>
      <c r="DE109" s="62">
        <v>-0.05</v>
      </c>
      <c r="DF109" s="62">
        <v>0.01</v>
      </c>
      <c r="DG109" s="62">
        <v>1.55E-2</v>
      </c>
      <c r="DH109" s="62">
        <v>0.01</v>
      </c>
      <c r="DI109" s="62">
        <v>-4.4999999999999997E-3</v>
      </c>
      <c r="DJ109" s="62">
        <v>7.4999999999999997E-3</v>
      </c>
      <c r="DK109" s="62">
        <v>-4.2500000000000003E-2</v>
      </c>
      <c r="DL109" s="62">
        <v>5.0000000000000001E-3</v>
      </c>
      <c r="DM109" s="62">
        <v>-5.8999999999999997E-2</v>
      </c>
      <c r="DN109" s="62">
        <v>2.5000000000000001E-3</v>
      </c>
      <c r="DO109" s="62">
        <v>-8.1500000000000003E-2</v>
      </c>
      <c r="DP109" s="62">
        <v>2.5000000000000001E-3</v>
      </c>
      <c r="DQ109" s="62">
        <v>-7.2499999999999995E-2</v>
      </c>
      <c r="DR109" s="62">
        <v>-5.0000000000000001E-3</v>
      </c>
      <c r="DS109" s="62">
        <v>0.33500000000000002</v>
      </c>
      <c r="DT109" s="62">
        <v>5.0000000000000001E-3</v>
      </c>
      <c r="DU109" s="62">
        <v>0</v>
      </c>
      <c r="DV109" s="62">
        <v>0</v>
      </c>
    </row>
    <row r="110" spans="4:126" x14ac:dyDescent="0.25">
      <c r="D110" s="91">
        <v>39995</v>
      </c>
      <c r="F110" s="89">
        <v>3.6619999999999999</v>
      </c>
      <c r="G110" s="90">
        <v>5.87973588762392E-2</v>
      </c>
      <c r="H110" s="89">
        <v>0.20250000000000001</v>
      </c>
      <c r="I110" s="89">
        <v>0.5</v>
      </c>
      <c r="J110" s="89">
        <v>0.5</v>
      </c>
      <c r="K110" s="89">
        <v>0.4</v>
      </c>
      <c r="L110" s="87">
        <v>0.5</v>
      </c>
      <c r="M110" s="87">
        <v>0.5</v>
      </c>
      <c r="N110" s="89">
        <v>0.5</v>
      </c>
      <c r="O110" s="89">
        <v>0.5</v>
      </c>
      <c r="P110" s="89">
        <v>0.5</v>
      </c>
      <c r="Q110" s="89">
        <v>0.5</v>
      </c>
      <c r="R110" s="90">
        <v>0.5</v>
      </c>
      <c r="S110" s="90">
        <v>0.55000000000000004</v>
      </c>
      <c r="T110" s="89">
        <v>0.5</v>
      </c>
      <c r="U110" s="89">
        <v>0.5</v>
      </c>
      <c r="V110" s="89">
        <v>0.6</v>
      </c>
      <c r="W110" s="89">
        <v>-0.09</v>
      </c>
      <c r="X110" s="89">
        <v>0</v>
      </c>
      <c r="Y110" s="89">
        <v>0.04</v>
      </c>
      <c r="Z110" s="89">
        <v>5.0000000000000001E-3</v>
      </c>
      <c r="AA110" s="89">
        <v>0.17499999999999999</v>
      </c>
      <c r="AB110" s="89">
        <v>0</v>
      </c>
      <c r="AC110" s="89">
        <v>0.14000000000000001</v>
      </c>
      <c r="AD110" s="89">
        <v>0</v>
      </c>
      <c r="AE110" s="89">
        <v>0.17499999999999999</v>
      </c>
      <c r="AF110" s="89">
        <v>0</v>
      </c>
      <c r="AG110" s="89">
        <v>0.14000000000000001</v>
      </c>
      <c r="AH110" s="89">
        <v>0</v>
      </c>
      <c r="AI110" s="89">
        <v>0.14000000000000001</v>
      </c>
      <c r="AJ110" s="89">
        <v>0</v>
      </c>
      <c r="AK110" s="89">
        <v>0.04</v>
      </c>
      <c r="AL110" s="89">
        <v>0.04</v>
      </c>
      <c r="AM110" s="89">
        <v>-5.5E-2</v>
      </c>
      <c r="AN110" s="89">
        <v>2.1000000000000001E-2</v>
      </c>
      <c r="AO110" s="89">
        <v>-0.5</v>
      </c>
      <c r="AP110" s="89">
        <v>0.155</v>
      </c>
      <c r="AQ110" s="89">
        <v>-0.05</v>
      </c>
      <c r="AR110" s="89">
        <v>0</v>
      </c>
      <c r="AS110" s="89">
        <v>-0.15</v>
      </c>
      <c r="AT110" s="89">
        <v>-1.4999999999999999E-2</v>
      </c>
      <c r="AU110" s="89">
        <v>-0.11</v>
      </c>
      <c r="AV110" s="89">
        <v>0.02</v>
      </c>
      <c r="AW110" s="89">
        <v>-0.05</v>
      </c>
      <c r="AX110" s="89">
        <v>1.2E-2</v>
      </c>
      <c r="AY110" s="90">
        <v>0.125</v>
      </c>
      <c r="AZ110" s="90">
        <v>0</v>
      </c>
      <c r="BA110" s="90">
        <v>-0.19500000000000001</v>
      </c>
      <c r="BB110" s="89">
        <v>2.5000000000000001E-3</v>
      </c>
      <c r="BC110" s="89">
        <v>-7.0000000000000007E-2</v>
      </c>
      <c r="BD110" s="89">
        <v>5.0000000000000001E-3</v>
      </c>
      <c r="BE110" s="89">
        <v>0.26</v>
      </c>
      <c r="BF110" s="89">
        <v>3.7999999999999999E-2</v>
      </c>
      <c r="BG110" s="89">
        <v>-0.06</v>
      </c>
      <c r="BH110" s="89">
        <v>0</v>
      </c>
      <c r="BI110" s="89">
        <v>0</v>
      </c>
      <c r="BJ110" s="62">
        <v>0.03</v>
      </c>
      <c r="BK110" s="62">
        <v>0.26</v>
      </c>
      <c r="BL110" s="62">
        <v>3.7999999999999999E-2</v>
      </c>
      <c r="BM110" s="62">
        <v>-0.2</v>
      </c>
      <c r="BN110" s="62">
        <v>0</v>
      </c>
      <c r="BO110" s="62">
        <v>-0.39</v>
      </c>
      <c r="BP110" s="62">
        <v>0</v>
      </c>
      <c r="BQ110" s="62">
        <v>0.5</v>
      </c>
      <c r="BR110" s="62">
        <v>3.7999999999999999E-2</v>
      </c>
      <c r="BS110" s="62">
        <v>-7.0000000000000007E-2</v>
      </c>
      <c r="BT110" s="62">
        <v>5.0000000000000001E-3</v>
      </c>
      <c r="BU110" s="62">
        <v>0.3</v>
      </c>
      <c r="BV110" s="62">
        <v>0</v>
      </c>
      <c r="BW110" s="62">
        <v>0</v>
      </c>
      <c r="BX110" s="62">
        <v>0</v>
      </c>
      <c r="BY110" s="62">
        <v>-1.7000000000000001E-2</v>
      </c>
      <c r="BZ110" s="62">
        <v>5.7500000000000002E-2</v>
      </c>
      <c r="CA110" s="62">
        <v>0.15</v>
      </c>
      <c r="CB110" s="62">
        <v>5.0000000000000001E-3</v>
      </c>
      <c r="CC110" s="62">
        <v>-1.7000000000000001E-2</v>
      </c>
      <c r="CD110" s="62">
        <v>3.5000000000000001E-3</v>
      </c>
      <c r="CE110" s="62">
        <v>2.5000000000000001E-3</v>
      </c>
      <c r="CF110" s="62">
        <v>2.5000000000000001E-3</v>
      </c>
      <c r="CG110" s="62">
        <v>-1.7000000000000001E-2</v>
      </c>
      <c r="CH110" s="62">
        <v>3.5000000000000001E-3</v>
      </c>
      <c r="CI110" s="62">
        <v>-7.4999999999999997E-2</v>
      </c>
      <c r="CJ110" s="62">
        <v>2.5000000000000001E-3</v>
      </c>
      <c r="CK110" s="62">
        <v>7.7499999999999999E-2</v>
      </c>
      <c r="CL110" s="62">
        <v>2.5000000000000001E-3</v>
      </c>
      <c r="CM110" s="62">
        <v>-7.1999999999999995E-2</v>
      </c>
      <c r="CN110" s="62">
        <v>7.4999999999999997E-3</v>
      </c>
      <c r="CO110" s="62">
        <v>-1.7000000000000001E-2</v>
      </c>
      <c r="CP110" s="62">
        <v>5.0000000000000001E-3</v>
      </c>
      <c r="CQ110" s="62">
        <v>2.3E-2</v>
      </c>
      <c r="CR110" s="62">
        <v>7.4999999999999997E-3</v>
      </c>
      <c r="CS110" s="62">
        <v>0.41</v>
      </c>
      <c r="CT110" s="62">
        <v>3.5000000000000003E-2</v>
      </c>
      <c r="CU110" s="62">
        <v>-0.2</v>
      </c>
      <c r="CV110" s="62">
        <v>0</v>
      </c>
      <c r="CW110" s="62">
        <v>0.20499999999999999</v>
      </c>
      <c r="CX110" s="62">
        <v>7.4999999999999997E-3</v>
      </c>
      <c r="CY110" s="62">
        <v>-0.65</v>
      </c>
      <c r="CZ110" s="62">
        <v>0</v>
      </c>
      <c r="DA110" s="62">
        <v>-0.47</v>
      </c>
      <c r="DB110" s="62">
        <v>0</v>
      </c>
      <c r="DC110" s="62">
        <v>1.05</v>
      </c>
      <c r="DE110" s="62">
        <v>-0.05</v>
      </c>
      <c r="DF110" s="62">
        <v>0.01</v>
      </c>
      <c r="DG110" s="62">
        <v>1.55E-2</v>
      </c>
      <c r="DH110" s="62">
        <v>0.01</v>
      </c>
      <c r="DI110" s="62">
        <v>-4.4999999999999997E-3</v>
      </c>
      <c r="DJ110" s="62">
        <v>7.4999999999999997E-3</v>
      </c>
      <c r="DK110" s="62">
        <v>-5.2499999999999998E-2</v>
      </c>
      <c r="DL110" s="62">
        <v>5.0000000000000001E-3</v>
      </c>
      <c r="DM110" s="62">
        <v>-5.8999999999999997E-2</v>
      </c>
      <c r="DN110" s="62">
        <v>2.5000000000000001E-3</v>
      </c>
      <c r="DO110" s="62">
        <v>-8.1500000000000003E-2</v>
      </c>
      <c r="DP110" s="62">
        <v>2.5000000000000001E-3</v>
      </c>
      <c r="DQ110" s="62">
        <v>-8.2500000000000004E-2</v>
      </c>
      <c r="DR110" s="62">
        <v>-5.0000000000000001E-3</v>
      </c>
      <c r="DS110" s="62">
        <v>0.35</v>
      </c>
      <c r="DT110" s="62">
        <v>5.0000000000000001E-3</v>
      </c>
      <c r="DU110" s="62">
        <v>0</v>
      </c>
      <c r="DV110" s="62">
        <v>0</v>
      </c>
    </row>
    <row r="111" spans="4:126" x14ac:dyDescent="0.25">
      <c r="D111" s="91">
        <v>40026</v>
      </c>
      <c r="F111" s="89">
        <v>3.702</v>
      </c>
      <c r="G111" s="90">
        <v>5.8906471824330599E-2</v>
      </c>
      <c r="H111" s="89">
        <v>0.20250000000000001</v>
      </c>
      <c r="I111" s="89">
        <v>0.55000000000000004</v>
      </c>
      <c r="J111" s="89">
        <v>0.55000000000000004</v>
      </c>
      <c r="K111" s="89">
        <v>0.5</v>
      </c>
      <c r="L111" s="87">
        <v>0.6</v>
      </c>
      <c r="M111" s="87">
        <v>0.55000000000000004</v>
      </c>
      <c r="N111" s="89">
        <v>0.6</v>
      </c>
      <c r="O111" s="89">
        <v>0.55000000000000004</v>
      </c>
      <c r="P111" s="89">
        <v>0.6</v>
      </c>
      <c r="Q111" s="89">
        <v>0.45</v>
      </c>
      <c r="R111" s="90">
        <v>0.55000000000000004</v>
      </c>
      <c r="S111" s="90">
        <v>0.6</v>
      </c>
      <c r="T111" s="89">
        <v>0.55000000000000004</v>
      </c>
      <c r="U111" s="89">
        <v>0.6</v>
      </c>
      <c r="V111" s="89">
        <v>0.7</v>
      </c>
      <c r="W111" s="89">
        <v>-0.09</v>
      </c>
      <c r="X111" s="89">
        <v>0</v>
      </c>
      <c r="Y111" s="89">
        <v>0.04</v>
      </c>
      <c r="Z111" s="89">
        <v>5.0000000000000001E-3</v>
      </c>
      <c r="AA111" s="89">
        <v>0.17499999999999999</v>
      </c>
      <c r="AB111" s="89">
        <v>0</v>
      </c>
      <c r="AC111" s="89">
        <v>0.14000000000000001</v>
      </c>
      <c r="AD111" s="89">
        <v>0</v>
      </c>
      <c r="AE111" s="89">
        <v>0.17499999999999999</v>
      </c>
      <c r="AF111" s="89">
        <v>0</v>
      </c>
      <c r="AG111" s="89">
        <v>0.14000000000000001</v>
      </c>
      <c r="AH111" s="89">
        <v>0</v>
      </c>
      <c r="AI111" s="89">
        <v>0.14000000000000001</v>
      </c>
      <c r="AJ111" s="89">
        <v>0</v>
      </c>
      <c r="AK111" s="89">
        <v>0.04</v>
      </c>
      <c r="AL111" s="89">
        <v>0.04</v>
      </c>
      <c r="AM111" s="89">
        <v>-5.5E-2</v>
      </c>
      <c r="AN111" s="89">
        <v>2.1000000000000001E-2</v>
      </c>
      <c r="AO111" s="89">
        <v>-0.5</v>
      </c>
      <c r="AP111" s="89">
        <v>0.155</v>
      </c>
      <c r="AQ111" s="89">
        <v>-0.05</v>
      </c>
      <c r="AR111" s="89">
        <v>0</v>
      </c>
      <c r="AS111" s="89">
        <v>-0.15</v>
      </c>
      <c r="AT111" s="89">
        <v>-1.4999999999999999E-2</v>
      </c>
      <c r="AU111" s="89">
        <v>-0.11</v>
      </c>
      <c r="AV111" s="89">
        <v>0.02</v>
      </c>
      <c r="AW111" s="89">
        <v>-0.05</v>
      </c>
      <c r="AX111" s="89">
        <v>1.2E-2</v>
      </c>
      <c r="AY111" s="90">
        <v>0.125</v>
      </c>
      <c r="AZ111" s="90">
        <v>0</v>
      </c>
      <c r="BA111" s="90">
        <v>-0.19500000000000001</v>
      </c>
      <c r="BB111" s="89">
        <v>2.5000000000000001E-3</v>
      </c>
      <c r="BC111" s="89">
        <v>-7.0000000000000007E-2</v>
      </c>
      <c r="BD111" s="89">
        <v>5.0000000000000001E-3</v>
      </c>
      <c r="BE111" s="89">
        <v>0.26</v>
      </c>
      <c r="BF111" s="89">
        <v>3.7999999999999999E-2</v>
      </c>
      <c r="BG111" s="89">
        <v>-0.06</v>
      </c>
      <c r="BH111" s="89">
        <v>0</v>
      </c>
      <c r="BI111" s="89">
        <v>0</v>
      </c>
      <c r="BJ111" s="62">
        <v>0.03</v>
      </c>
      <c r="BK111" s="62">
        <v>0.26</v>
      </c>
      <c r="BL111" s="62">
        <v>3.7999999999999999E-2</v>
      </c>
      <c r="BM111" s="62">
        <v>-0.2</v>
      </c>
      <c r="BN111" s="62">
        <v>0</v>
      </c>
      <c r="BO111" s="62">
        <v>-0.39</v>
      </c>
      <c r="BP111" s="62">
        <v>0</v>
      </c>
      <c r="BQ111" s="62">
        <v>0.5</v>
      </c>
      <c r="BR111" s="62">
        <v>3.7999999999999999E-2</v>
      </c>
      <c r="BS111" s="62">
        <v>-7.0000000000000007E-2</v>
      </c>
      <c r="BT111" s="62">
        <v>5.0000000000000001E-3</v>
      </c>
      <c r="BU111" s="62">
        <v>0.3</v>
      </c>
      <c r="BV111" s="62">
        <v>0</v>
      </c>
      <c r="BW111" s="62">
        <v>0</v>
      </c>
      <c r="BX111" s="62">
        <v>0</v>
      </c>
      <c r="BY111" s="62">
        <v>-1.7000000000000001E-2</v>
      </c>
      <c r="BZ111" s="62">
        <v>5.7500000000000002E-2</v>
      </c>
      <c r="CA111" s="62">
        <v>0.15</v>
      </c>
      <c r="CB111" s="62">
        <v>5.0000000000000001E-3</v>
      </c>
      <c r="CC111" s="62">
        <v>-1.7000000000000001E-2</v>
      </c>
      <c r="CD111" s="62">
        <v>3.5000000000000001E-3</v>
      </c>
      <c r="CE111" s="62">
        <v>2.5000000000000001E-3</v>
      </c>
      <c r="CF111" s="62">
        <v>2.5000000000000001E-3</v>
      </c>
      <c r="CG111" s="62">
        <v>-1.7000000000000001E-2</v>
      </c>
      <c r="CH111" s="62">
        <v>3.5000000000000001E-3</v>
      </c>
      <c r="CI111" s="62">
        <v>-7.2499999999999995E-2</v>
      </c>
      <c r="CJ111" s="62">
        <v>2.5000000000000001E-3</v>
      </c>
      <c r="CK111" s="62">
        <v>7.7499999999999999E-2</v>
      </c>
      <c r="CL111" s="62">
        <v>2.5000000000000001E-3</v>
      </c>
      <c r="CM111" s="62">
        <v>-7.1999999999999995E-2</v>
      </c>
      <c r="CN111" s="62">
        <v>7.4999999999999997E-3</v>
      </c>
      <c r="CO111" s="62">
        <v>-1.7000000000000001E-2</v>
      </c>
      <c r="CP111" s="62">
        <v>5.0000000000000001E-3</v>
      </c>
      <c r="CQ111" s="62">
        <v>2.3E-2</v>
      </c>
      <c r="CR111" s="62">
        <v>7.4999999999999997E-3</v>
      </c>
      <c r="CS111" s="62">
        <v>0.41</v>
      </c>
      <c r="CT111" s="62">
        <v>0.01</v>
      </c>
      <c r="CU111" s="62">
        <v>-0.2</v>
      </c>
      <c r="CV111" s="62">
        <v>0</v>
      </c>
      <c r="CW111" s="62">
        <v>0.20499999999999999</v>
      </c>
      <c r="CX111" s="62">
        <v>7.4999999999999997E-3</v>
      </c>
      <c r="CY111" s="62">
        <v>-0.65</v>
      </c>
      <c r="CZ111" s="62">
        <v>0</v>
      </c>
      <c r="DA111" s="62">
        <v>-0.47</v>
      </c>
      <c r="DB111" s="62">
        <v>0</v>
      </c>
      <c r="DC111" s="62">
        <v>1.05</v>
      </c>
      <c r="DE111" s="62">
        <v>-0.05</v>
      </c>
      <c r="DF111" s="62">
        <v>0.01</v>
      </c>
      <c r="DG111" s="62">
        <v>1.0500000000000001E-2</v>
      </c>
      <c r="DH111" s="62">
        <v>0.01</v>
      </c>
      <c r="DI111" s="62">
        <v>-9.4999999999999998E-3</v>
      </c>
      <c r="DJ111" s="62">
        <v>7.4999999999999997E-3</v>
      </c>
      <c r="DK111" s="62">
        <v>-4.7500000000000001E-2</v>
      </c>
      <c r="DL111" s="62">
        <v>5.0000000000000001E-3</v>
      </c>
      <c r="DM111" s="62">
        <v>-5.8999999999999997E-2</v>
      </c>
      <c r="DN111" s="62">
        <v>2.5000000000000001E-3</v>
      </c>
      <c r="DO111" s="62">
        <v>-8.1500000000000003E-2</v>
      </c>
      <c r="DP111" s="62">
        <v>2.5000000000000001E-3</v>
      </c>
      <c r="DQ111" s="62">
        <v>-7.7499999999999999E-2</v>
      </c>
      <c r="DR111" s="62">
        <v>-5.0000000000000001E-3</v>
      </c>
      <c r="DS111" s="62">
        <v>0.35</v>
      </c>
      <c r="DT111" s="62">
        <v>-5.0000000000000001E-3</v>
      </c>
      <c r="DU111" s="62">
        <v>0</v>
      </c>
      <c r="DV111" s="62">
        <v>0</v>
      </c>
    </row>
    <row r="112" spans="4:126" x14ac:dyDescent="0.25">
      <c r="D112" s="91">
        <v>40057</v>
      </c>
      <c r="F112" s="89">
        <v>3.6970000000000001</v>
      </c>
      <c r="G112" s="90">
        <v>5.9015584776379797E-2</v>
      </c>
      <c r="H112" s="89">
        <v>0.20250000000000001</v>
      </c>
      <c r="I112" s="89">
        <v>0.55000000000000004</v>
      </c>
      <c r="J112" s="89">
        <v>0.55000000000000004</v>
      </c>
      <c r="K112" s="89">
        <v>0.55000000000000004</v>
      </c>
      <c r="L112" s="87">
        <v>0.55000000000000004</v>
      </c>
      <c r="M112" s="87">
        <v>0.55000000000000004</v>
      </c>
      <c r="N112" s="89">
        <v>0.6</v>
      </c>
      <c r="O112" s="89">
        <v>0.6</v>
      </c>
      <c r="P112" s="89">
        <v>0.55000000000000004</v>
      </c>
      <c r="Q112" s="89">
        <v>0.5</v>
      </c>
      <c r="R112" s="90">
        <v>0.55000000000000004</v>
      </c>
      <c r="S112" s="90">
        <v>0.6</v>
      </c>
      <c r="T112" s="89">
        <v>0.55000000000000004</v>
      </c>
      <c r="U112" s="89">
        <v>0.6</v>
      </c>
      <c r="V112" s="89">
        <v>0.65</v>
      </c>
      <c r="W112" s="89">
        <v>-0.09</v>
      </c>
      <c r="X112" s="89">
        <v>0</v>
      </c>
      <c r="Y112" s="89">
        <v>0.04</v>
      </c>
      <c r="Z112" s="89">
        <v>5.0000000000000001E-3</v>
      </c>
      <c r="AA112" s="89">
        <v>0.17499999999999999</v>
      </c>
      <c r="AB112" s="89">
        <v>0</v>
      </c>
      <c r="AC112" s="89">
        <v>0.14000000000000001</v>
      </c>
      <c r="AD112" s="89">
        <v>0</v>
      </c>
      <c r="AE112" s="89">
        <v>0.17499999999999999</v>
      </c>
      <c r="AF112" s="89">
        <v>0</v>
      </c>
      <c r="AG112" s="89">
        <v>0.14000000000000001</v>
      </c>
      <c r="AH112" s="89">
        <v>0</v>
      </c>
      <c r="AI112" s="89">
        <v>0.14000000000000001</v>
      </c>
      <c r="AJ112" s="89">
        <v>0</v>
      </c>
      <c r="AK112" s="89">
        <v>0.04</v>
      </c>
      <c r="AL112" s="89">
        <v>0.04</v>
      </c>
      <c r="AM112" s="89">
        <v>-5.5E-2</v>
      </c>
      <c r="AN112" s="89">
        <v>2.1000000000000001E-2</v>
      </c>
      <c r="AO112" s="89">
        <v>-0.5</v>
      </c>
      <c r="AP112" s="89">
        <v>0.155</v>
      </c>
      <c r="AQ112" s="89">
        <v>-0.05</v>
      </c>
      <c r="AR112" s="89">
        <v>0</v>
      </c>
      <c r="AS112" s="89">
        <v>-0.15</v>
      </c>
      <c r="AT112" s="89">
        <v>-1.4999999999999999E-2</v>
      </c>
      <c r="AU112" s="89">
        <v>-0.11</v>
      </c>
      <c r="AV112" s="89">
        <v>0.02</v>
      </c>
      <c r="AW112" s="89">
        <v>-0.05</v>
      </c>
      <c r="AX112" s="89">
        <v>1.2E-2</v>
      </c>
      <c r="AY112" s="90">
        <v>0.125</v>
      </c>
      <c r="AZ112" s="90">
        <v>0</v>
      </c>
      <c r="BA112" s="90">
        <v>-0.19500000000000001</v>
      </c>
      <c r="BB112" s="89">
        <v>2.5000000000000001E-3</v>
      </c>
      <c r="BC112" s="89">
        <v>-7.0000000000000007E-2</v>
      </c>
      <c r="BD112" s="89">
        <v>5.0000000000000001E-3</v>
      </c>
      <c r="BE112" s="89">
        <v>0.26</v>
      </c>
      <c r="BF112" s="89">
        <v>3.7999999999999999E-2</v>
      </c>
      <c r="BG112" s="89">
        <v>-0.06</v>
      </c>
      <c r="BH112" s="89">
        <v>0</v>
      </c>
      <c r="BI112" s="89">
        <v>0</v>
      </c>
      <c r="BJ112" s="62">
        <v>0.03</v>
      </c>
      <c r="BK112" s="62">
        <v>0.26</v>
      </c>
      <c r="BL112" s="62">
        <v>3.7999999999999999E-2</v>
      </c>
      <c r="BM112" s="62">
        <v>-0.2</v>
      </c>
      <c r="BN112" s="62">
        <v>0</v>
      </c>
      <c r="BO112" s="62">
        <v>-0.39</v>
      </c>
      <c r="BP112" s="62">
        <v>0</v>
      </c>
      <c r="BQ112" s="62">
        <v>0.5</v>
      </c>
      <c r="BR112" s="62">
        <v>3.7999999999999999E-2</v>
      </c>
      <c r="BS112" s="62">
        <v>-7.0000000000000007E-2</v>
      </c>
      <c r="BT112" s="62">
        <v>5.0000000000000001E-3</v>
      </c>
      <c r="BU112" s="62">
        <v>0.3</v>
      </c>
      <c r="BV112" s="62">
        <v>0</v>
      </c>
      <c r="BW112" s="62">
        <v>0</v>
      </c>
      <c r="BX112" s="62">
        <v>0</v>
      </c>
      <c r="BY112" s="62">
        <v>-1.7000000000000001E-2</v>
      </c>
      <c r="BZ112" s="62">
        <v>5.7500000000000002E-2</v>
      </c>
      <c r="CA112" s="62">
        <v>0.125</v>
      </c>
      <c r="CB112" s="62">
        <v>5.0000000000000001E-3</v>
      </c>
      <c r="CC112" s="62">
        <v>-1.7000000000000001E-2</v>
      </c>
      <c r="CD112" s="62">
        <v>3.5000000000000001E-3</v>
      </c>
      <c r="CE112" s="62">
        <v>2.5000000000000001E-3</v>
      </c>
      <c r="CF112" s="62">
        <v>2.5000000000000001E-3</v>
      </c>
      <c r="CG112" s="62">
        <v>-1.7000000000000001E-2</v>
      </c>
      <c r="CH112" s="62">
        <v>3.5000000000000001E-3</v>
      </c>
      <c r="CI112" s="62">
        <v>-7.7499999999999999E-2</v>
      </c>
      <c r="CJ112" s="62">
        <v>2.5000000000000001E-3</v>
      </c>
      <c r="CK112" s="62">
        <v>7.7499999999999999E-2</v>
      </c>
      <c r="CL112" s="62">
        <v>2.5000000000000001E-3</v>
      </c>
      <c r="CM112" s="62">
        <v>-7.1999999999999995E-2</v>
      </c>
      <c r="CN112" s="62">
        <v>7.4999999999999997E-3</v>
      </c>
      <c r="CO112" s="62">
        <v>-1.7000000000000001E-2</v>
      </c>
      <c r="CP112" s="62">
        <v>5.0000000000000001E-3</v>
      </c>
      <c r="CQ112" s="62">
        <v>2.3E-2</v>
      </c>
      <c r="CR112" s="62">
        <v>7.4999999999999997E-3</v>
      </c>
      <c r="CS112" s="62">
        <v>0.36</v>
      </c>
      <c r="CT112" s="62">
        <v>0.01</v>
      </c>
      <c r="CU112" s="62">
        <v>-0.2</v>
      </c>
      <c r="CV112" s="62">
        <v>0</v>
      </c>
      <c r="CW112" s="62">
        <v>0.14499999999999999</v>
      </c>
      <c r="CX112" s="62">
        <v>7.4999999999999997E-3</v>
      </c>
      <c r="CY112" s="62">
        <v>-0.65</v>
      </c>
      <c r="CZ112" s="62">
        <v>0</v>
      </c>
      <c r="DA112" s="62">
        <v>-0.47</v>
      </c>
      <c r="DB112" s="62">
        <v>0</v>
      </c>
      <c r="DC112" s="62">
        <v>0.75</v>
      </c>
      <c r="DE112" s="62">
        <v>-5.5E-2</v>
      </c>
      <c r="DF112" s="62">
        <v>0.01</v>
      </c>
      <c r="DG112" s="62">
        <v>1.0500000000000001E-2</v>
      </c>
      <c r="DH112" s="62">
        <v>0.01</v>
      </c>
      <c r="DI112" s="62">
        <v>-9.4999999999999998E-3</v>
      </c>
      <c r="DJ112" s="62">
        <v>7.4999999999999997E-3</v>
      </c>
      <c r="DK112" s="62">
        <v>-5.7500000000000002E-2</v>
      </c>
      <c r="DL112" s="62">
        <v>5.0000000000000001E-3</v>
      </c>
      <c r="DM112" s="62">
        <v>-5.8999999999999997E-2</v>
      </c>
      <c r="DN112" s="62">
        <v>2.5000000000000001E-3</v>
      </c>
      <c r="DO112" s="62">
        <v>-8.1500000000000003E-2</v>
      </c>
      <c r="DP112" s="62">
        <v>2.5000000000000001E-3</v>
      </c>
      <c r="DQ112" s="62">
        <v>-8.7499999999999994E-2</v>
      </c>
      <c r="DR112" s="62">
        <v>-5.0000000000000001E-3</v>
      </c>
      <c r="DS112" s="62">
        <v>0.315</v>
      </c>
      <c r="DT112" s="62">
        <v>-5.0000000000000001E-3</v>
      </c>
      <c r="DU112" s="62">
        <v>0</v>
      </c>
      <c r="DV112" s="62">
        <v>0</v>
      </c>
    </row>
    <row r="113" spans="4:126" x14ac:dyDescent="0.25">
      <c r="D113" s="91">
        <v>40087</v>
      </c>
      <c r="F113" s="89">
        <v>3.722</v>
      </c>
      <c r="G113" s="90">
        <v>5.9121177959550797E-2</v>
      </c>
      <c r="H113" s="89">
        <v>0.20250000000000001</v>
      </c>
      <c r="I113" s="89">
        <v>0.6</v>
      </c>
      <c r="J113" s="89">
        <v>0.6</v>
      </c>
      <c r="K113" s="89">
        <v>0.55000000000000004</v>
      </c>
      <c r="L113" s="87">
        <v>0.6</v>
      </c>
      <c r="M113" s="87">
        <v>0.6</v>
      </c>
      <c r="N113" s="89">
        <v>0.65</v>
      </c>
      <c r="O113" s="89">
        <v>0.65</v>
      </c>
      <c r="P113" s="89">
        <v>0.6</v>
      </c>
      <c r="Q113" s="89">
        <v>0.5</v>
      </c>
      <c r="R113" s="90">
        <v>0.6</v>
      </c>
      <c r="S113" s="90">
        <v>0.65</v>
      </c>
      <c r="T113" s="89">
        <v>0.6</v>
      </c>
      <c r="U113" s="89">
        <v>0.65</v>
      </c>
      <c r="V113" s="89">
        <v>0.7</v>
      </c>
      <c r="W113" s="89">
        <v>-0.09</v>
      </c>
      <c r="X113" s="89">
        <v>0</v>
      </c>
      <c r="Y113" s="89">
        <v>0.04</v>
      </c>
      <c r="Z113" s="89">
        <v>5.0000000000000001E-3</v>
      </c>
      <c r="AA113" s="89">
        <v>0.17499999999999999</v>
      </c>
      <c r="AB113" s="89">
        <v>0</v>
      </c>
      <c r="AC113" s="89">
        <v>0.14000000000000001</v>
      </c>
      <c r="AD113" s="89">
        <v>0</v>
      </c>
      <c r="AE113" s="89">
        <v>0.17499999999999999</v>
      </c>
      <c r="AF113" s="89">
        <v>0</v>
      </c>
      <c r="AG113" s="89">
        <v>0.14000000000000001</v>
      </c>
      <c r="AH113" s="89">
        <v>0</v>
      </c>
      <c r="AI113" s="89">
        <v>0.14000000000000001</v>
      </c>
      <c r="AJ113" s="89">
        <v>0</v>
      </c>
      <c r="AK113" s="89">
        <v>0.04</v>
      </c>
      <c r="AL113" s="89">
        <v>0.04</v>
      </c>
      <c r="AM113" s="89">
        <v>-5.5E-2</v>
      </c>
      <c r="AN113" s="89">
        <v>2.1000000000000001E-2</v>
      </c>
      <c r="AO113" s="89">
        <v>-0.5</v>
      </c>
      <c r="AP113" s="89">
        <v>0.155</v>
      </c>
      <c r="AQ113" s="89">
        <v>-0.05</v>
      </c>
      <c r="AR113" s="89">
        <v>0</v>
      </c>
      <c r="AS113" s="89">
        <v>-0.15</v>
      </c>
      <c r="AT113" s="89">
        <v>-1.4999999999999999E-2</v>
      </c>
      <c r="AU113" s="89">
        <v>-0.11</v>
      </c>
      <c r="AV113" s="89">
        <v>0.02</v>
      </c>
      <c r="AW113" s="89">
        <v>-0.05</v>
      </c>
      <c r="AX113" s="89">
        <v>1.2E-2</v>
      </c>
      <c r="AY113" s="90">
        <v>0.125</v>
      </c>
      <c r="AZ113" s="90">
        <v>0</v>
      </c>
      <c r="BA113" s="90">
        <v>-0.19500000000000001</v>
      </c>
      <c r="BB113" s="89">
        <v>2.5000000000000001E-3</v>
      </c>
      <c r="BC113" s="89">
        <v>-7.0000000000000007E-2</v>
      </c>
      <c r="BD113" s="89">
        <v>5.0000000000000001E-3</v>
      </c>
      <c r="BE113" s="89">
        <v>0.26</v>
      </c>
      <c r="BF113" s="89">
        <v>3.7999999999999999E-2</v>
      </c>
      <c r="BG113" s="89">
        <v>-0.06</v>
      </c>
      <c r="BH113" s="89">
        <v>0</v>
      </c>
      <c r="BI113" s="89">
        <v>0</v>
      </c>
      <c r="BJ113" s="62">
        <v>0.03</v>
      </c>
      <c r="BK113" s="62">
        <v>0.26</v>
      </c>
      <c r="BL113" s="62">
        <v>3.7999999999999999E-2</v>
      </c>
      <c r="BM113" s="62">
        <v>-0.2</v>
      </c>
      <c r="BN113" s="62">
        <v>0</v>
      </c>
      <c r="BO113" s="62">
        <v>-0.39</v>
      </c>
      <c r="BP113" s="62">
        <v>0</v>
      </c>
      <c r="BQ113" s="62">
        <v>0.5</v>
      </c>
      <c r="BR113" s="62">
        <v>3.7999999999999999E-2</v>
      </c>
      <c r="BS113" s="62">
        <v>-7.0000000000000007E-2</v>
      </c>
      <c r="BT113" s="62">
        <v>5.0000000000000001E-3</v>
      </c>
      <c r="BU113" s="62">
        <v>0.3</v>
      </c>
      <c r="BV113" s="62">
        <v>0</v>
      </c>
      <c r="BW113" s="62">
        <v>0</v>
      </c>
      <c r="BX113" s="62">
        <v>0</v>
      </c>
      <c r="BY113" s="62">
        <v>-1.7000000000000001E-2</v>
      </c>
      <c r="BZ113" s="62">
        <v>5.7500000000000002E-2</v>
      </c>
      <c r="CA113" s="62">
        <v>0.14499999999999999</v>
      </c>
      <c r="CB113" s="62">
        <v>5.0000000000000001E-3</v>
      </c>
      <c r="CC113" s="62">
        <v>-1.7000000000000001E-2</v>
      </c>
      <c r="CD113" s="62">
        <v>3.5000000000000001E-3</v>
      </c>
      <c r="CE113" s="62">
        <v>2.5000000000000001E-3</v>
      </c>
      <c r="CF113" s="62">
        <v>2.5000000000000001E-3</v>
      </c>
      <c r="CG113" s="62">
        <v>-1.7000000000000001E-2</v>
      </c>
      <c r="CH113" s="62">
        <v>3.5000000000000001E-3</v>
      </c>
      <c r="CI113" s="62">
        <v>-0.08</v>
      </c>
      <c r="CJ113" s="62">
        <v>2.5000000000000001E-3</v>
      </c>
      <c r="CK113" s="62">
        <v>7.7499999999999999E-2</v>
      </c>
      <c r="CL113" s="62">
        <v>2.5000000000000001E-3</v>
      </c>
      <c r="CM113" s="62">
        <v>-7.1999999999999995E-2</v>
      </c>
      <c r="CN113" s="62">
        <v>7.4999999999999997E-3</v>
      </c>
      <c r="CO113" s="62">
        <v>-1.7000000000000001E-2</v>
      </c>
      <c r="CP113" s="62">
        <v>5.0000000000000001E-3</v>
      </c>
      <c r="CQ113" s="62">
        <v>2.3E-2</v>
      </c>
      <c r="CR113" s="62">
        <v>7.4999999999999997E-3</v>
      </c>
      <c r="CS113" s="62">
        <v>0.4</v>
      </c>
      <c r="CT113" s="62">
        <v>0.01</v>
      </c>
      <c r="CU113" s="62">
        <v>-0.2</v>
      </c>
      <c r="CV113" s="62">
        <v>0</v>
      </c>
      <c r="CW113" s="62">
        <v>0.17499999999999999</v>
      </c>
      <c r="CX113" s="62">
        <v>7.4999999999999997E-3</v>
      </c>
      <c r="CY113" s="62">
        <v>-0.65</v>
      </c>
      <c r="CZ113" s="62">
        <v>0</v>
      </c>
      <c r="DA113" s="62">
        <v>-0.47</v>
      </c>
      <c r="DB113" s="62">
        <v>0</v>
      </c>
      <c r="DC113" s="62">
        <v>0.45</v>
      </c>
      <c r="DE113" s="62">
        <v>-5.5E-2</v>
      </c>
      <c r="DF113" s="62">
        <v>0.01</v>
      </c>
      <c r="DG113" s="62">
        <v>8.0000000000000002E-3</v>
      </c>
      <c r="DH113" s="62">
        <v>0.01</v>
      </c>
      <c r="DI113" s="62">
        <v>-1.2E-2</v>
      </c>
      <c r="DJ113" s="62">
        <v>7.4999999999999997E-3</v>
      </c>
      <c r="DK113" s="62">
        <v>-4.4999999999999998E-2</v>
      </c>
      <c r="DL113" s="62">
        <v>5.0000000000000001E-3</v>
      </c>
      <c r="DM113" s="62">
        <v>-5.8999999999999997E-2</v>
      </c>
      <c r="DN113" s="62">
        <v>2.5000000000000001E-3</v>
      </c>
      <c r="DO113" s="62">
        <v>-8.1500000000000003E-2</v>
      </c>
      <c r="DP113" s="62">
        <v>2.5000000000000001E-3</v>
      </c>
      <c r="DQ113" s="62">
        <v>-7.4999999999999997E-2</v>
      </c>
      <c r="DR113" s="62">
        <v>-5.0000000000000001E-3</v>
      </c>
      <c r="DS113" s="62">
        <v>0.36</v>
      </c>
      <c r="DT113" s="62">
        <v>-5.0000000000000001E-3</v>
      </c>
      <c r="DU113" s="62">
        <v>0</v>
      </c>
      <c r="DV113" s="62">
        <v>0</v>
      </c>
    </row>
    <row r="114" spans="4:126" x14ac:dyDescent="0.25">
      <c r="D114" s="91">
        <v>40118</v>
      </c>
      <c r="F114" s="89">
        <v>3.8740000000000001</v>
      </c>
      <c r="G114" s="90">
        <v>5.9230290919387599E-2</v>
      </c>
      <c r="H114" s="89">
        <v>0.20250000000000001</v>
      </c>
      <c r="I114" s="89">
        <v>0.8</v>
      </c>
      <c r="J114" s="89">
        <v>0.85</v>
      </c>
      <c r="K114" s="89">
        <v>0.8</v>
      </c>
      <c r="L114" s="87">
        <v>0.8</v>
      </c>
      <c r="M114" s="87">
        <v>0.9</v>
      </c>
      <c r="N114" s="89">
        <v>0.95</v>
      </c>
      <c r="O114" s="89">
        <v>0.85</v>
      </c>
      <c r="P114" s="89">
        <v>0.8</v>
      </c>
      <c r="Q114" s="89">
        <v>0.95</v>
      </c>
      <c r="R114" s="90">
        <v>0.8</v>
      </c>
      <c r="S114" s="90">
        <v>0.8</v>
      </c>
      <c r="T114" s="89">
        <v>0.8</v>
      </c>
      <c r="U114" s="89">
        <v>0.95</v>
      </c>
      <c r="V114" s="89">
        <v>0.9</v>
      </c>
      <c r="W114" s="89">
        <v>0</v>
      </c>
      <c r="X114" s="89">
        <v>0.03</v>
      </c>
      <c r="Y114" s="89">
        <v>0.13</v>
      </c>
      <c r="Z114" s="89">
        <v>0.02</v>
      </c>
      <c r="AA114" s="89">
        <v>0.28999999999999998</v>
      </c>
      <c r="AB114" s="89">
        <v>0</v>
      </c>
      <c r="AC114" s="89">
        <v>0.34499999999999997</v>
      </c>
      <c r="AD114" s="89">
        <v>0</v>
      </c>
      <c r="AE114" s="89">
        <v>0.28999999999999998</v>
      </c>
      <c r="AF114" s="89">
        <v>0</v>
      </c>
      <c r="AG114" s="89">
        <v>0.17</v>
      </c>
      <c r="AH114" s="89">
        <v>0</v>
      </c>
      <c r="AI114" s="89">
        <v>0.14815999999999999</v>
      </c>
      <c r="AJ114" s="89">
        <v>0</v>
      </c>
      <c r="AK114" s="89">
        <v>0.13</v>
      </c>
      <c r="AL114" s="89">
        <v>3.5000000000000003E-2</v>
      </c>
      <c r="AM114" s="89">
        <v>-6.9500000000000006E-2</v>
      </c>
      <c r="AN114" s="89">
        <v>1.6E-2</v>
      </c>
      <c r="AO114" s="89">
        <v>-0.43</v>
      </c>
      <c r="AP114" s="89">
        <v>0.155</v>
      </c>
      <c r="AQ114" s="89">
        <v>-4.9500000000000002E-2</v>
      </c>
      <c r="AR114" s="89">
        <v>5.0000000000000001E-3</v>
      </c>
      <c r="AS114" s="89">
        <v>-0.15</v>
      </c>
      <c r="AT114" s="89">
        <v>-5.0000000000000001E-3</v>
      </c>
      <c r="AU114" s="89">
        <v>-0.11</v>
      </c>
      <c r="AV114" s="89">
        <v>-0.01</v>
      </c>
      <c r="AW114" s="89">
        <v>-4.9500000000000002E-2</v>
      </c>
      <c r="AX114" s="89">
        <v>2.1999999999999999E-2</v>
      </c>
      <c r="AY114" s="90">
        <v>0.155</v>
      </c>
      <c r="AZ114" s="90">
        <v>0</v>
      </c>
      <c r="BA114" s="90">
        <v>-0.13</v>
      </c>
      <c r="BB114" s="89">
        <v>5.0000000000000001E-3</v>
      </c>
      <c r="BC114" s="89">
        <v>-7.0000000000000007E-2</v>
      </c>
      <c r="BD114" s="89">
        <v>5.0000000000000001E-3</v>
      </c>
      <c r="BE114" s="89">
        <v>0.24</v>
      </c>
      <c r="BF114" s="89">
        <v>0.04</v>
      </c>
      <c r="BG114" s="89">
        <v>-0.06</v>
      </c>
      <c r="BH114" s="89">
        <v>0</v>
      </c>
      <c r="BI114" s="89">
        <v>0</v>
      </c>
      <c r="BJ114" s="62">
        <v>0.03</v>
      </c>
      <c r="BK114" s="62">
        <v>0.24</v>
      </c>
      <c r="BL114" s="62">
        <v>0.04</v>
      </c>
      <c r="BM114" s="62">
        <v>0.29799999999999999</v>
      </c>
      <c r="BN114" s="62">
        <v>0</v>
      </c>
      <c r="BO114" s="62">
        <v>-0.26</v>
      </c>
      <c r="BP114" s="62">
        <v>0</v>
      </c>
      <c r="BQ114" s="62">
        <v>0.5</v>
      </c>
      <c r="BR114" s="62">
        <v>0.04</v>
      </c>
      <c r="BS114" s="62">
        <v>-7.0000000000000007E-2</v>
      </c>
      <c r="BT114" s="62">
        <v>5.0000000000000001E-3</v>
      </c>
      <c r="BU114" s="62">
        <v>0.3</v>
      </c>
      <c r="BV114" s="62">
        <v>0</v>
      </c>
      <c r="BW114" s="62">
        <v>0</v>
      </c>
      <c r="BX114" s="62">
        <v>0</v>
      </c>
      <c r="BY114" s="62">
        <v>-1.7000000000000001E-2</v>
      </c>
      <c r="BZ114" s="62">
        <v>5.7500000000000002E-2</v>
      </c>
      <c r="CA114" s="62">
        <v>0.19500000000000001</v>
      </c>
      <c r="CB114" s="62">
        <v>5.0000000000000001E-3</v>
      </c>
      <c r="CC114" s="62">
        <v>-1.7000000000000001E-2</v>
      </c>
      <c r="CD114" s="62">
        <v>3.7000000000000002E-3</v>
      </c>
      <c r="CE114" s="62">
        <v>2.5000000000000001E-3</v>
      </c>
      <c r="CF114" s="62">
        <v>2.5000000000000001E-3</v>
      </c>
      <c r="CG114" s="62">
        <v>-1.7000000000000001E-2</v>
      </c>
      <c r="CH114" s="62">
        <v>3.7000000000000002E-3</v>
      </c>
      <c r="CI114" s="62">
        <v>-8.5000000000000006E-2</v>
      </c>
      <c r="CJ114" s="62">
        <v>2.5000000000000001E-3</v>
      </c>
      <c r="CK114" s="62">
        <v>7.4999999999999997E-2</v>
      </c>
      <c r="CL114" s="62">
        <v>2.5000000000000001E-3</v>
      </c>
      <c r="CM114" s="62">
        <v>-6.4000000000000001E-2</v>
      </c>
      <c r="CN114" s="62">
        <v>0.01</v>
      </c>
      <c r="CO114" s="62">
        <v>-8.9999989999999998E-3</v>
      </c>
      <c r="CP114" s="62">
        <v>7.4999999999999997E-3</v>
      </c>
      <c r="CQ114" s="62">
        <v>3.1E-2</v>
      </c>
      <c r="CR114" s="62">
        <v>1.2500000000000001E-2</v>
      </c>
      <c r="CS114" s="62">
        <v>0.65</v>
      </c>
      <c r="CT114" s="62">
        <v>5.5E-2</v>
      </c>
      <c r="CU114" s="62">
        <v>0.29799999999999999</v>
      </c>
      <c r="CV114" s="62">
        <v>0</v>
      </c>
      <c r="CW114" s="62">
        <v>0.21</v>
      </c>
      <c r="CX114" s="62">
        <v>0.02</v>
      </c>
      <c r="CY114" s="62">
        <v>-0.52</v>
      </c>
      <c r="CZ114" s="62">
        <v>0</v>
      </c>
      <c r="DA114" s="62">
        <v>-0.34</v>
      </c>
      <c r="DB114" s="62">
        <v>0</v>
      </c>
      <c r="DC114" s="62">
        <v>0.45</v>
      </c>
      <c r="DE114" s="62">
        <v>-4.3499999999999997E-2</v>
      </c>
      <c r="DF114" s="62">
        <v>1.2500000000000001E-2</v>
      </c>
      <c r="DG114" s="62">
        <v>8.9999999999999993E-3</v>
      </c>
      <c r="DH114" s="62">
        <v>7.4999999999999997E-3</v>
      </c>
      <c r="DI114" s="62">
        <v>-8.5000000000000006E-3</v>
      </c>
      <c r="DJ114" s="62">
        <v>2.5000000000000001E-3</v>
      </c>
      <c r="DK114" s="62">
        <v>-0.05</v>
      </c>
      <c r="DL114" s="62">
        <v>2.5000000000000001E-3</v>
      </c>
      <c r="DM114" s="62">
        <v>-6.1499999999999999E-2</v>
      </c>
      <c r="DN114" s="62">
        <v>2.5000000000000001E-3</v>
      </c>
      <c r="DO114" s="62">
        <v>-8.4000000000000005E-2</v>
      </c>
      <c r="DP114" s="62">
        <v>2.5000000000000001E-3</v>
      </c>
      <c r="DQ114" s="62">
        <v>-0.08</v>
      </c>
      <c r="DR114" s="62">
        <v>-5.0000000000000001E-3</v>
      </c>
      <c r="DS114" s="62">
        <v>0.46</v>
      </c>
      <c r="DT114" s="62">
        <v>0.05</v>
      </c>
      <c r="DU114" s="62">
        <v>0</v>
      </c>
      <c r="DV114" s="62">
        <v>0</v>
      </c>
    </row>
    <row r="115" spans="4:126" x14ac:dyDescent="0.25">
      <c r="D115" s="91">
        <v>40148</v>
      </c>
      <c r="F115" s="89">
        <v>4.0170000000000003</v>
      </c>
      <c r="G115" s="90">
        <v>5.93358841100948E-2</v>
      </c>
      <c r="H115" s="89">
        <v>0.20250000000000001</v>
      </c>
      <c r="I115" s="89">
        <v>1</v>
      </c>
      <c r="J115" s="89">
        <v>1.05</v>
      </c>
      <c r="K115" s="89">
        <v>1</v>
      </c>
      <c r="L115" s="87">
        <v>1</v>
      </c>
      <c r="M115" s="87">
        <v>1.1499999999999999</v>
      </c>
      <c r="N115" s="89">
        <v>1.25</v>
      </c>
      <c r="O115" s="89">
        <v>1.05</v>
      </c>
      <c r="P115" s="89">
        <v>1</v>
      </c>
      <c r="Q115" s="89">
        <v>1.35</v>
      </c>
      <c r="R115" s="90">
        <v>1</v>
      </c>
      <c r="S115" s="90">
        <v>1.1000000000000001</v>
      </c>
      <c r="T115" s="89">
        <v>1</v>
      </c>
      <c r="U115" s="89">
        <v>1.25</v>
      </c>
      <c r="V115" s="89">
        <v>1.1000000000000001</v>
      </c>
      <c r="W115" s="89">
        <v>5.0000000000000001E-3</v>
      </c>
      <c r="X115" s="89">
        <v>0.03</v>
      </c>
      <c r="Y115" s="89">
        <v>0.13</v>
      </c>
      <c r="Z115" s="89">
        <v>0.02</v>
      </c>
      <c r="AA115" s="89">
        <v>0.28999999999999998</v>
      </c>
      <c r="AB115" s="89">
        <v>0</v>
      </c>
      <c r="AC115" s="89">
        <v>0.34499999999999997</v>
      </c>
      <c r="AD115" s="89">
        <v>0</v>
      </c>
      <c r="AE115" s="89">
        <v>0.28999999999999998</v>
      </c>
      <c r="AF115" s="89">
        <v>0</v>
      </c>
      <c r="AG115" s="89">
        <v>0.17</v>
      </c>
      <c r="AH115" s="89">
        <v>0</v>
      </c>
      <c r="AI115" s="89">
        <v>0.15328</v>
      </c>
      <c r="AJ115" s="89">
        <v>0</v>
      </c>
      <c r="AK115" s="89">
        <v>0.13</v>
      </c>
      <c r="AL115" s="89">
        <v>3.5000000000000003E-2</v>
      </c>
      <c r="AM115" s="89">
        <v>-6.9500000000000006E-2</v>
      </c>
      <c r="AN115" s="89">
        <v>1.6E-2</v>
      </c>
      <c r="AO115" s="89">
        <v>-0.43</v>
      </c>
      <c r="AP115" s="89">
        <v>0.155</v>
      </c>
      <c r="AQ115" s="89">
        <v>-4.9500000000000002E-2</v>
      </c>
      <c r="AR115" s="89">
        <v>5.0000000000000001E-3</v>
      </c>
      <c r="AS115" s="89">
        <v>-0.1525</v>
      </c>
      <c r="AT115" s="89">
        <v>-5.0000000000000001E-3</v>
      </c>
      <c r="AU115" s="89">
        <v>-0.1125</v>
      </c>
      <c r="AV115" s="89">
        <v>-0.01</v>
      </c>
      <c r="AW115" s="89">
        <v>-4.9500000000000002E-2</v>
      </c>
      <c r="AX115" s="89">
        <v>2.1999999999999999E-2</v>
      </c>
      <c r="AY115" s="90">
        <v>0.155</v>
      </c>
      <c r="AZ115" s="90">
        <v>0</v>
      </c>
      <c r="BA115" s="90">
        <v>-0.13</v>
      </c>
      <c r="BB115" s="89">
        <v>5.0000000000000001E-3</v>
      </c>
      <c r="BC115" s="89">
        <v>-7.0000000000000007E-2</v>
      </c>
      <c r="BD115" s="89">
        <v>5.0000000000000001E-3</v>
      </c>
      <c r="BE115" s="89">
        <v>0.24</v>
      </c>
      <c r="BF115" s="89">
        <v>0.04</v>
      </c>
      <c r="BG115" s="89">
        <v>-0.06</v>
      </c>
      <c r="BH115" s="89">
        <v>0</v>
      </c>
      <c r="BI115" s="89">
        <v>0</v>
      </c>
      <c r="BJ115" s="62">
        <v>0.03</v>
      </c>
      <c r="BK115" s="62">
        <v>0.24</v>
      </c>
      <c r="BL115" s="62">
        <v>0.04</v>
      </c>
      <c r="BM115" s="62">
        <v>0.35799999999999998</v>
      </c>
      <c r="BN115" s="62">
        <v>0</v>
      </c>
      <c r="BO115" s="62">
        <v>-0.26</v>
      </c>
      <c r="BP115" s="62">
        <v>0</v>
      </c>
      <c r="BQ115" s="62">
        <v>0.5</v>
      </c>
      <c r="BR115" s="62">
        <v>0.04</v>
      </c>
      <c r="BS115" s="62">
        <v>-7.0000000000000007E-2</v>
      </c>
      <c r="BT115" s="62">
        <v>5.0000000000000001E-3</v>
      </c>
      <c r="BU115" s="62">
        <v>0.3</v>
      </c>
      <c r="BV115" s="62">
        <v>0</v>
      </c>
      <c r="BW115" s="62">
        <v>0</v>
      </c>
      <c r="BX115" s="62">
        <v>0</v>
      </c>
      <c r="BY115" s="62">
        <v>-1.7000000000000001E-2</v>
      </c>
      <c r="BZ115" s="62">
        <v>5.7500000000000002E-2</v>
      </c>
      <c r="CA115" s="62">
        <v>0.215</v>
      </c>
      <c r="CB115" s="62">
        <v>5.0000000000000001E-3</v>
      </c>
      <c r="CC115" s="62">
        <v>-1.7000000000000001E-2</v>
      </c>
      <c r="CD115" s="62">
        <v>3.7000000000000002E-3</v>
      </c>
      <c r="CE115" s="62">
        <v>2.5000000000000001E-3</v>
      </c>
      <c r="CF115" s="62">
        <v>2.5000000000000001E-3</v>
      </c>
      <c r="CG115" s="62">
        <v>-1.7000000000000001E-2</v>
      </c>
      <c r="CH115" s="62">
        <v>3.7000000000000002E-3</v>
      </c>
      <c r="CI115" s="62">
        <v>-0.1125</v>
      </c>
      <c r="CJ115" s="62">
        <v>2.5000000000000001E-3</v>
      </c>
      <c r="CK115" s="62">
        <v>7.4999999999999997E-2</v>
      </c>
      <c r="CL115" s="62">
        <v>2.5000000000000001E-3</v>
      </c>
      <c r="CM115" s="62">
        <v>-6.4000000000000001E-2</v>
      </c>
      <c r="CN115" s="62">
        <v>0.01</v>
      </c>
      <c r="CO115" s="62">
        <v>-8.9999989999999998E-3</v>
      </c>
      <c r="CP115" s="62">
        <v>7.4999999999999997E-3</v>
      </c>
      <c r="CQ115" s="62">
        <v>3.1E-2</v>
      </c>
      <c r="CR115" s="62">
        <v>1.2500000000000001E-2</v>
      </c>
      <c r="CS115" s="62">
        <v>0.98</v>
      </c>
      <c r="CT115" s="62">
        <v>0.25</v>
      </c>
      <c r="CU115" s="62">
        <v>0.35799999999999998</v>
      </c>
      <c r="CV115" s="62">
        <v>0</v>
      </c>
      <c r="CW115" s="62">
        <v>0.28999999999999998</v>
      </c>
      <c r="CX115" s="62">
        <v>0.02</v>
      </c>
      <c r="CY115" s="62">
        <v>-0.52</v>
      </c>
      <c r="CZ115" s="62">
        <v>0</v>
      </c>
      <c r="DA115" s="62">
        <v>-0.34</v>
      </c>
      <c r="DB115" s="62">
        <v>0</v>
      </c>
      <c r="DC115" s="62">
        <v>0.4</v>
      </c>
      <c r="DE115" s="62">
        <v>-4.3499999999999997E-2</v>
      </c>
      <c r="DF115" s="62">
        <v>1.2500000000000001E-2</v>
      </c>
      <c r="DG115" s="62">
        <v>8.9999999999999993E-3</v>
      </c>
      <c r="DH115" s="62">
        <v>7.4999999999999997E-3</v>
      </c>
      <c r="DI115" s="62">
        <v>-8.5000000000000006E-3</v>
      </c>
      <c r="DJ115" s="62">
        <v>2.5000000000000001E-3</v>
      </c>
      <c r="DK115" s="62">
        <v>-7.7499999999999999E-2</v>
      </c>
      <c r="DL115" s="62">
        <v>2.5000000000000001E-3</v>
      </c>
      <c r="DM115" s="62">
        <v>-5.9499999999999997E-2</v>
      </c>
      <c r="DN115" s="62">
        <v>2.5000000000000001E-3</v>
      </c>
      <c r="DO115" s="62">
        <v>-8.2000000000000003E-2</v>
      </c>
      <c r="DP115" s="62">
        <v>2.5000000000000001E-3</v>
      </c>
      <c r="DQ115" s="62">
        <v>-0.1075</v>
      </c>
      <c r="DR115" s="62">
        <v>-5.0000000000000001E-3</v>
      </c>
      <c r="DS115" s="62">
        <v>0.77</v>
      </c>
      <c r="DT115" s="62">
        <v>0.05</v>
      </c>
      <c r="DU115" s="62">
        <v>0</v>
      </c>
      <c r="DV115" s="62">
        <v>0</v>
      </c>
    </row>
    <row r="116" spans="4:126" x14ac:dyDescent="0.25">
      <c r="D116" s="91">
        <v>40179</v>
      </c>
      <c r="F116" s="89">
        <v>4.0720000000000001</v>
      </c>
      <c r="G116" s="90">
        <v>5.9444997077718699E-2</v>
      </c>
      <c r="H116" s="89">
        <v>0.20250000000000001</v>
      </c>
      <c r="I116" s="89">
        <v>1</v>
      </c>
      <c r="J116" s="89">
        <v>1.05</v>
      </c>
      <c r="K116" s="89">
        <v>1</v>
      </c>
      <c r="L116" s="87">
        <v>1</v>
      </c>
      <c r="M116" s="87">
        <v>1.1499999999999999</v>
      </c>
      <c r="N116" s="89">
        <v>1.45</v>
      </c>
      <c r="O116" s="89">
        <v>1.05</v>
      </c>
      <c r="P116" s="89">
        <v>1</v>
      </c>
      <c r="Q116" s="89">
        <v>1.35</v>
      </c>
      <c r="R116" s="90">
        <v>1</v>
      </c>
      <c r="S116" s="90">
        <v>1.1000000000000001</v>
      </c>
      <c r="T116" s="89">
        <v>1</v>
      </c>
      <c r="U116" s="89">
        <v>1.45</v>
      </c>
      <c r="V116" s="89">
        <v>1.1000000000000001</v>
      </c>
      <c r="W116" s="89">
        <v>2.5000000000000001E-2</v>
      </c>
      <c r="X116" s="89">
        <v>0.03</v>
      </c>
      <c r="Y116" s="89">
        <v>0.13</v>
      </c>
      <c r="Z116" s="89">
        <v>0.02</v>
      </c>
      <c r="AA116" s="89">
        <v>0.28999999999999998</v>
      </c>
      <c r="AB116" s="89">
        <v>0</v>
      </c>
      <c r="AC116" s="89">
        <v>0.34499999999999997</v>
      </c>
      <c r="AD116" s="89">
        <v>0</v>
      </c>
      <c r="AE116" s="89">
        <v>0.28999999999999998</v>
      </c>
      <c r="AF116" s="89">
        <v>0</v>
      </c>
      <c r="AG116" s="89">
        <v>0.17</v>
      </c>
      <c r="AH116" s="89">
        <v>0</v>
      </c>
      <c r="AI116" s="89">
        <v>0.15512000000000001</v>
      </c>
      <c r="AJ116" s="89">
        <v>0</v>
      </c>
      <c r="AK116" s="89">
        <v>0.13</v>
      </c>
      <c r="AL116" s="89">
        <v>3.5000000000000003E-2</v>
      </c>
      <c r="AM116" s="89">
        <v>-6.9500000000000006E-2</v>
      </c>
      <c r="AN116" s="89">
        <v>1.6E-2</v>
      </c>
      <c r="AO116" s="89">
        <v>-0.43</v>
      </c>
      <c r="AP116" s="89">
        <v>0.155</v>
      </c>
      <c r="AQ116" s="89">
        <v>-4.9500000000000002E-2</v>
      </c>
      <c r="AR116" s="89">
        <v>5.0000000000000001E-3</v>
      </c>
      <c r="AS116" s="89">
        <v>-0.155</v>
      </c>
      <c r="AT116" s="89">
        <v>-5.0000000000000001E-3</v>
      </c>
      <c r="AU116" s="89">
        <v>-0.115</v>
      </c>
      <c r="AV116" s="89">
        <v>-0.01</v>
      </c>
      <c r="AW116" s="89">
        <v>-4.9500000000000002E-2</v>
      </c>
      <c r="AX116" s="89">
        <v>2.1999999999999999E-2</v>
      </c>
      <c r="AY116" s="90">
        <v>0.155</v>
      </c>
      <c r="AZ116" s="90">
        <v>0</v>
      </c>
      <c r="BA116" s="90">
        <v>-0.13</v>
      </c>
      <c r="BB116" s="89">
        <v>5.0000000000000001E-3</v>
      </c>
      <c r="BC116" s="89">
        <v>-7.0000000000000007E-2</v>
      </c>
      <c r="BD116" s="89">
        <v>5.0000000000000001E-3</v>
      </c>
      <c r="BE116" s="89">
        <v>0.24</v>
      </c>
      <c r="BF116" s="89">
        <v>0.04</v>
      </c>
      <c r="BG116" s="89">
        <v>-0.06</v>
      </c>
      <c r="BH116" s="89">
        <v>0</v>
      </c>
      <c r="BI116" s="89">
        <v>0</v>
      </c>
      <c r="BJ116" s="62">
        <v>0.03</v>
      </c>
      <c r="BK116" s="62">
        <v>0.24</v>
      </c>
      <c r="BL116" s="62">
        <v>0.04</v>
      </c>
      <c r="BM116" s="62">
        <v>0.42799999999999999</v>
      </c>
      <c r="BN116" s="62">
        <v>0</v>
      </c>
      <c r="BO116" s="62">
        <v>-0.26</v>
      </c>
      <c r="BP116" s="62">
        <v>0</v>
      </c>
      <c r="BQ116" s="62">
        <v>0.5</v>
      </c>
      <c r="BR116" s="62">
        <v>0.04</v>
      </c>
      <c r="BS116" s="62">
        <v>-7.0000000000000007E-2</v>
      </c>
      <c r="BT116" s="62">
        <v>5.0000000000000001E-3</v>
      </c>
      <c r="BU116" s="62">
        <v>0.3</v>
      </c>
      <c r="BV116" s="62">
        <v>0</v>
      </c>
      <c r="BW116" s="62">
        <v>0</v>
      </c>
      <c r="BX116" s="62">
        <v>0</v>
      </c>
      <c r="BY116" s="62">
        <v>-1.4999999999999999E-2</v>
      </c>
      <c r="BZ116" s="62">
        <v>5.7500000000000002E-2</v>
      </c>
      <c r="CA116" s="62">
        <v>0.23499999999999999</v>
      </c>
      <c r="CB116" s="62">
        <v>5.0000000000000001E-3</v>
      </c>
      <c r="CC116" s="62">
        <v>-1.4999999999999999E-2</v>
      </c>
      <c r="CD116" s="62">
        <v>3.7000000000000002E-3</v>
      </c>
      <c r="CE116" s="62">
        <v>2.5000000000000001E-3</v>
      </c>
      <c r="CF116" s="62">
        <v>2.5000000000000001E-3</v>
      </c>
      <c r="CG116" s="62">
        <v>-1.4999999999999999E-2</v>
      </c>
      <c r="CH116" s="62">
        <v>3.7000000000000002E-3</v>
      </c>
      <c r="CI116" s="62">
        <v>-0.1105</v>
      </c>
      <c r="CJ116" s="62">
        <v>2.5000000000000001E-3</v>
      </c>
      <c r="CK116" s="62">
        <v>7.4999999999999997E-2</v>
      </c>
      <c r="CL116" s="62">
        <v>2.5000000000000001E-3</v>
      </c>
      <c r="CM116" s="62">
        <v>-6.4000000000000001E-2</v>
      </c>
      <c r="CN116" s="62">
        <v>0.01</v>
      </c>
      <c r="CO116" s="62">
        <v>-8.9999989999999998E-3</v>
      </c>
      <c r="CP116" s="62">
        <v>7.4999999999999997E-3</v>
      </c>
      <c r="CQ116" s="62">
        <v>3.1E-2</v>
      </c>
      <c r="CR116" s="62">
        <v>1.2500000000000001E-2</v>
      </c>
      <c r="CS116" s="62">
        <v>1.6</v>
      </c>
      <c r="CT116" s="62">
        <v>0.45</v>
      </c>
      <c r="CU116" s="62">
        <v>0.42799999999999999</v>
      </c>
      <c r="CV116" s="62">
        <v>0</v>
      </c>
      <c r="CW116" s="62">
        <v>0.34</v>
      </c>
      <c r="CX116" s="62">
        <v>0.02</v>
      </c>
      <c r="CY116" s="62">
        <v>-0.52</v>
      </c>
      <c r="CZ116" s="62">
        <v>0</v>
      </c>
      <c r="DA116" s="62">
        <v>-0.34</v>
      </c>
      <c r="DB116" s="62">
        <v>0</v>
      </c>
      <c r="DC116" s="62">
        <v>0.35</v>
      </c>
      <c r="DE116" s="62">
        <v>-4.3499999999999997E-2</v>
      </c>
      <c r="DF116" s="62">
        <v>1.2500000000000001E-2</v>
      </c>
      <c r="DG116" s="62">
        <v>8.9999999999999993E-3</v>
      </c>
      <c r="DH116" s="62">
        <v>7.4999999999999997E-3</v>
      </c>
      <c r="DI116" s="62">
        <v>-8.5000000000000006E-3</v>
      </c>
      <c r="DJ116" s="62">
        <v>2.5000000000000001E-3</v>
      </c>
      <c r="DK116" s="62">
        <v>-9.2499999999999999E-2</v>
      </c>
      <c r="DL116" s="62">
        <v>2.5000000000000001E-3</v>
      </c>
      <c r="DM116" s="62">
        <v>-5.9499999999999997E-2</v>
      </c>
      <c r="DN116" s="62">
        <v>2.5000000000000001E-3</v>
      </c>
      <c r="DO116" s="62">
        <v>-8.2000000000000003E-2</v>
      </c>
      <c r="DP116" s="62">
        <v>2.5000000000000001E-3</v>
      </c>
      <c r="DQ116" s="62">
        <v>-0.1225</v>
      </c>
      <c r="DR116" s="62">
        <v>-5.0000000000000001E-3</v>
      </c>
      <c r="DS116" s="62">
        <v>1.04</v>
      </c>
      <c r="DT116" s="62">
        <v>0.05</v>
      </c>
      <c r="DU116" s="62">
        <v>0</v>
      </c>
      <c r="DV116" s="62">
        <v>0</v>
      </c>
    </row>
    <row r="117" spans="4:126" x14ac:dyDescent="0.25">
      <c r="D117" s="91">
        <v>40210</v>
      </c>
      <c r="F117" s="89">
        <v>3.9870000000000001</v>
      </c>
      <c r="G117" s="90">
        <v>5.9554110049299301E-2</v>
      </c>
      <c r="H117" s="89">
        <v>0.2</v>
      </c>
      <c r="I117" s="89">
        <v>1</v>
      </c>
      <c r="J117" s="89">
        <v>1.05</v>
      </c>
      <c r="K117" s="89">
        <v>1</v>
      </c>
      <c r="L117" s="87">
        <v>1</v>
      </c>
      <c r="M117" s="87">
        <v>1.1499999999999999</v>
      </c>
      <c r="N117" s="89">
        <v>1.45</v>
      </c>
      <c r="O117" s="89">
        <v>1.05</v>
      </c>
      <c r="P117" s="89">
        <v>1</v>
      </c>
      <c r="Q117" s="89">
        <v>1.35</v>
      </c>
      <c r="R117" s="90">
        <v>1</v>
      </c>
      <c r="S117" s="90">
        <v>1.1000000000000001</v>
      </c>
      <c r="T117" s="89">
        <v>1</v>
      </c>
      <c r="U117" s="89">
        <v>1.45</v>
      </c>
      <c r="V117" s="89">
        <v>1.1000000000000001</v>
      </c>
      <c r="W117" s="89">
        <v>0.02</v>
      </c>
      <c r="X117" s="89">
        <v>0.03</v>
      </c>
      <c r="Y117" s="89">
        <v>0.13</v>
      </c>
      <c r="Z117" s="89">
        <v>0.02</v>
      </c>
      <c r="AA117" s="89">
        <v>0.28999999999999998</v>
      </c>
      <c r="AB117" s="89">
        <v>0</v>
      </c>
      <c r="AC117" s="89">
        <v>0.34499999999999997</v>
      </c>
      <c r="AD117" s="89">
        <v>0</v>
      </c>
      <c r="AE117" s="89">
        <v>0.28999999999999998</v>
      </c>
      <c r="AF117" s="89">
        <v>0</v>
      </c>
      <c r="AG117" s="89">
        <v>0.17</v>
      </c>
      <c r="AH117" s="89">
        <v>0</v>
      </c>
      <c r="AI117" s="89">
        <v>0.15256</v>
      </c>
      <c r="AJ117" s="89">
        <v>0</v>
      </c>
      <c r="AK117" s="89">
        <v>0.13</v>
      </c>
      <c r="AL117" s="89">
        <v>3.5000000000000003E-2</v>
      </c>
      <c r="AM117" s="89">
        <v>-6.9500000000000006E-2</v>
      </c>
      <c r="AN117" s="89">
        <v>1.6E-2</v>
      </c>
      <c r="AO117" s="89">
        <v>-0.43</v>
      </c>
      <c r="AP117" s="89">
        <v>0.155</v>
      </c>
      <c r="AQ117" s="89">
        <v>-4.9500000000000002E-2</v>
      </c>
      <c r="AR117" s="89">
        <v>5.0000000000000001E-3</v>
      </c>
      <c r="AS117" s="89">
        <v>-0.14749999999999999</v>
      </c>
      <c r="AT117" s="89">
        <v>-5.0000000000000001E-3</v>
      </c>
      <c r="AU117" s="89">
        <v>-0.1075</v>
      </c>
      <c r="AV117" s="89">
        <v>-0.01</v>
      </c>
      <c r="AW117" s="89">
        <v>-4.9500000000000002E-2</v>
      </c>
      <c r="AX117" s="89">
        <v>2.1999999999999999E-2</v>
      </c>
      <c r="AY117" s="90">
        <v>0.155</v>
      </c>
      <c r="AZ117" s="90">
        <v>0</v>
      </c>
      <c r="BA117" s="90">
        <v>-0.13</v>
      </c>
      <c r="BB117" s="89">
        <v>5.0000000000000001E-3</v>
      </c>
      <c r="BC117" s="89">
        <v>-7.0000000000000007E-2</v>
      </c>
      <c r="BD117" s="89">
        <v>5.0000000000000001E-3</v>
      </c>
      <c r="BE117" s="89">
        <v>0.24</v>
      </c>
      <c r="BF117" s="89">
        <v>0.04</v>
      </c>
      <c r="BG117" s="89">
        <v>-0.06</v>
      </c>
      <c r="BH117" s="89">
        <v>0</v>
      </c>
      <c r="BI117" s="89">
        <v>0</v>
      </c>
      <c r="BJ117" s="62">
        <v>0.03</v>
      </c>
      <c r="BK117" s="62">
        <v>0.24</v>
      </c>
      <c r="BL117" s="62">
        <v>0.04</v>
      </c>
      <c r="BM117" s="62">
        <v>0.29799999999999999</v>
      </c>
      <c r="BN117" s="62">
        <v>0</v>
      </c>
      <c r="BO117" s="62">
        <v>-0.26</v>
      </c>
      <c r="BP117" s="62">
        <v>0</v>
      </c>
      <c r="BQ117" s="62">
        <v>0.5</v>
      </c>
      <c r="BR117" s="62">
        <v>0.04</v>
      </c>
      <c r="BS117" s="62">
        <v>-7.0000000000000007E-2</v>
      </c>
      <c r="BT117" s="62">
        <v>5.0000000000000001E-3</v>
      </c>
      <c r="BU117" s="62">
        <v>0.3</v>
      </c>
      <c r="BV117" s="62">
        <v>0</v>
      </c>
      <c r="BW117" s="62">
        <v>0</v>
      </c>
      <c r="BX117" s="62">
        <v>0</v>
      </c>
      <c r="BY117" s="62">
        <v>-1.4999999999999999E-2</v>
      </c>
      <c r="BZ117" s="62">
        <v>5.7500000000000002E-2</v>
      </c>
      <c r="CA117" s="62">
        <v>0.23499999999999999</v>
      </c>
      <c r="CB117" s="62">
        <v>5.0000000000000001E-3</v>
      </c>
      <c r="CC117" s="62">
        <v>-1.4999999999999999E-2</v>
      </c>
      <c r="CD117" s="62">
        <v>3.7000000000000002E-3</v>
      </c>
      <c r="CE117" s="62">
        <v>2.5000000000000001E-3</v>
      </c>
      <c r="CF117" s="62">
        <v>2.5000000000000001E-3</v>
      </c>
      <c r="CG117" s="62">
        <v>-1.4999999999999999E-2</v>
      </c>
      <c r="CH117" s="62">
        <v>3.7000000000000002E-3</v>
      </c>
      <c r="CI117" s="62">
        <v>-0.1105</v>
      </c>
      <c r="CJ117" s="62">
        <v>2.5000000000000001E-3</v>
      </c>
      <c r="CK117" s="62">
        <v>7.4999999999999997E-2</v>
      </c>
      <c r="CL117" s="62">
        <v>2.5000000000000001E-3</v>
      </c>
      <c r="CM117" s="62">
        <v>-6.4000000000000001E-2</v>
      </c>
      <c r="CN117" s="62">
        <v>0.01</v>
      </c>
      <c r="CO117" s="62">
        <v>-8.9999989999999998E-3</v>
      </c>
      <c r="CP117" s="62">
        <v>7.4999999999999997E-3</v>
      </c>
      <c r="CQ117" s="62">
        <v>3.1E-2</v>
      </c>
      <c r="CR117" s="62">
        <v>1.2500000000000001E-2</v>
      </c>
      <c r="CS117" s="62">
        <v>1.6</v>
      </c>
      <c r="CT117" s="62">
        <v>0.45</v>
      </c>
      <c r="CU117" s="62">
        <v>0.29799999999999999</v>
      </c>
      <c r="CV117" s="62">
        <v>0</v>
      </c>
      <c r="CW117" s="62">
        <v>0.34</v>
      </c>
      <c r="CX117" s="62">
        <v>0.02</v>
      </c>
      <c r="CY117" s="62">
        <v>-0.52</v>
      </c>
      <c r="CZ117" s="62">
        <v>0</v>
      </c>
      <c r="DA117" s="62">
        <v>-0.34</v>
      </c>
      <c r="DB117" s="62">
        <v>0</v>
      </c>
      <c r="DC117" s="62">
        <v>0.35</v>
      </c>
      <c r="DE117" s="62">
        <v>-4.3499999999999997E-2</v>
      </c>
      <c r="DF117" s="62">
        <v>1.2500000000000001E-2</v>
      </c>
      <c r="DG117" s="62">
        <v>8.9999999999999993E-3</v>
      </c>
      <c r="DH117" s="62">
        <v>7.4999999999999997E-3</v>
      </c>
      <c r="DI117" s="62">
        <v>-8.5000000000000006E-3</v>
      </c>
      <c r="DJ117" s="62">
        <v>2.5000000000000001E-3</v>
      </c>
      <c r="DK117" s="62">
        <v>-8.2500000000000004E-2</v>
      </c>
      <c r="DL117" s="62">
        <v>2.5000000000000001E-3</v>
      </c>
      <c r="DM117" s="62">
        <v>-5.9499999999999997E-2</v>
      </c>
      <c r="DN117" s="62">
        <v>2.5000000000000001E-3</v>
      </c>
      <c r="DO117" s="62">
        <v>-8.2000000000000003E-2</v>
      </c>
      <c r="DP117" s="62">
        <v>2.5000000000000001E-3</v>
      </c>
      <c r="DQ117" s="62">
        <v>-0.1125</v>
      </c>
      <c r="DR117" s="62">
        <v>-5.0000000000000001E-3</v>
      </c>
      <c r="DS117" s="62">
        <v>1.04</v>
      </c>
      <c r="DT117" s="62">
        <v>0.05</v>
      </c>
      <c r="DU117" s="62">
        <v>0</v>
      </c>
      <c r="DV117" s="62">
        <v>0</v>
      </c>
    </row>
    <row r="118" spans="4:126" x14ac:dyDescent="0.25">
      <c r="D118" s="91">
        <v>40238</v>
      </c>
      <c r="F118" s="89">
        <v>3.8570000000000002</v>
      </c>
      <c r="G118" s="90">
        <v>5.9652663704449903E-2</v>
      </c>
      <c r="H118" s="89">
        <v>0.19500000000000001</v>
      </c>
      <c r="I118" s="89">
        <v>0.75</v>
      </c>
      <c r="J118" s="89">
        <v>0.8</v>
      </c>
      <c r="K118" s="89">
        <v>0.75</v>
      </c>
      <c r="L118" s="87">
        <v>0.75</v>
      </c>
      <c r="M118" s="87">
        <v>0.85</v>
      </c>
      <c r="N118" s="89">
        <v>1</v>
      </c>
      <c r="O118" s="89">
        <v>0.75</v>
      </c>
      <c r="P118" s="89">
        <v>0.75</v>
      </c>
      <c r="Q118" s="89">
        <v>0.95</v>
      </c>
      <c r="R118" s="90">
        <v>0.75</v>
      </c>
      <c r="S118" s="90">
        <v>0.75</v>
      </c>
      <c r="T118" s="89">
        <v>0.75</v>
      </c>
      <c r="U118" s="89">
        <v>1</v>
      </c>
      <c r="V118" s="89">
        <v>0.85</v>
      </c>
      <c r="W118" s="89">
        <v>0</v>
      </c>
      <c r="X118" s="89">
        <v>0.03</v>
      </c>
      <c r="Y118" s="89">
        <v>0.13</v>
      </c>
      <c r="Z118" s="89">
        <v>0.02</v>
      </c>
      <c r="AA118" s="89">
        <v>0.28999999999999998</v>
      </c>
      <c r="AB118" s="89">
        <v>0</v>
      </c>
      <c r="AC118" s="89">
        <v>0.34499999999999997</v>
      </c>
      <c r="AD118" s="89">
        <v>0</v>
      </c>
      <c r="AE118" s="89">
        <v>0.28999999999999998</v>
      </c>
      <c r="AF118" s="89">
        <v>0</v>
      </c>
      <c r="AG118" s="89">
        <v>0.17</v>
      </c>
      <c r="AH118" s="89">
        <v>0</v>
      </c>
      <c r="AI118" s="89">
        <v>0.1484</v>
      </c>
      <c r="AJ118" s="89">
        <v>0</v>
      </c>
      <c r="AK118" s="89">
        <v>0.13</v>
      </c>
      <c r="AL118" s="89">
        <v>3.5000000000000003E-2</v>
      </c>
      <c r="AM118" s="89">
        <v>-6.9500000000000006E-2</v>
      </c>
      <c r="AN118" s="89">
        <v>1.6E-2</v>
      </c>
      <c r="AO118" s="89">
        <v>-0.43</v>
      </c>
      <c r="AP118" s="89">
        <v>0.155</v>
      </c>
      <c r="AQ118" s="89">
        <v>-4.9500000000000002E-2</v>
      </c>
      <c r="AR118" s="89">
        <v>5.0000000000000001E-3</v>
      </c>
      <c r="AS118" s="89">
        <v>-0.14499999999999999</v>
      </c>
      <c r="AT118" s="89">
        <v>-5.0000000000000001E-3</v>
      </c>
      <c r="AU118" s="89">
        <v>-0.105</v>
      </c>
      <c r="AV118" s="89">
        <v>-0.01</v>
      </c>
      <c r="AW118" s="89">
        <v>-4.9500000000000002E-2</v>
      </c>
      <c r="AX118" s="89">
        <v>2.1999999999999999E-2</v>
      </c>
      <c r="AY118" s="90">
        <v>0.155</v>
      </c>
      <c r="AZ118" s="90">
        <v>0</v>
      </c>
      <c r="BA118" s="90">
        <v>-0.13</v>
      </c>
      <c r="BB118" s="89">
        <v>5.0000000000000001E-3</v>
      </c>
      <c r="BC118" s="89">
        <v>-7.0000000000000007E-2</v>
      </c>
      <c r="BD118" s="89">
        <v>5.0000000000000001E-3</v>
      </c>
      <c r="BE118" s="89">
        <v>0.24</v>
      </c>
      <c r="BF118" s="89">
        <v>0.04</v>
      </c>
      <c r="BG118" s="89">
        <v>-0.06</v>
      </c>
      <c r="BH118" s="89">
        <v>0</v>
      </c>
      <c r="BI118" s="89">
        <v>0</v>
      </c>
      <c r="BJ118" s="62">
        <v>0.03</v>
      </c>
      <c r="BK118" s="62">
        <v>0.24</v>
      </c>
      <c r="BL118" s="62">
        <v>0.04</v>
      </c>
      <c r="BM118" s="62">
        <v>0.11799999999999999</v>
      </c>
      <c r="BN118" s="62">
        <v>0</v>
      </c>
      <c r="BO118" s="62">
        <v>-0.26</v>
      </c>
      <c r="BP118" s="62">
        <v>0</v>
      </c>
      <c r="BQ118" s="62">
        <v>0.5</v>
      </c>
      <c r="BR118" s="62">
        <v>0.04</v>
      </c>
      <c r="BS118" s="62">
        <v>-7.0000000000000007E-2</v>
      </c>
      <c r="BT118" s="62">
        <v>5.0000000000000001E-3</v>
      </c>
      <c r="BU118" s="62">
        <v>0.3</v>
      </c>
      <c r="BV118" s="62">
        <v>0</v>
      </c>
      <c r="BW118" s="62">
        <v>0</v>
      </c>
      <c r="BX118" s="62">
        <v>0</v>
      </c>
      <c r="BY118" s="62">
        <v>-1.4999999999999999E-2</v>
      </c>
      <c r="BZ118" s="62">
        <v>5.7500000000000002E-2</v>
      </c>
      <c r="CA118" s="62">
        <v>0.19500000000000001</v>
      </c>
      <c r="CB118" s="62">
        <v>5.0000000000000001E-3</v>
      </c>
      <c r="CC118" s="62">
        <v>-1.4999999999999999E-2</v>
      </c>
      <c r="CD118" s="62">
        <v>3.7000000000000002E-3</v>
      </c>
      <c r="CE118" s="62">
        <v>2.5000000000000001E-3</v>
      </c>
      <c r="CF118" s="62">
        <v>2.5000000000000001E-3</v>
      </c>
      <c r="CG118" s="62">
        <v>-1.4999999999999999E-2</v>
      </c>
      <c r="CH118" s="62">
        <v>3.7000000000000002E-3</v>
      </c>
      <c r="CI118" s="62">
        <v>-0.1105</v>
      </c>
      <c r="CJ118" s="62">
        <v>2.5000000000000001E-3</v>
      </c>
      <c r="CK118" s="62">
        <v>7.4999999999999997E-2</v>
      </c>
      <c r="CL118" s="62">
        <v>2.5000000000000001E-3</v>
      </c>
      <c r="CM118" s="62">
        <v>-6.4000000000000001E-2</v>
      </c>
      <c r="CN118" s="62">
        <v>0.01</v>
      </c>
      <c r="CO118" s="62">
        <v>-8.9999989999999998E-3</v>
      </c>
      <c r="CP118" s="62">
        <v>7.4999999999999997E-3</v>
      </c>
      <c r="CQ118" s="62">
        <v>3.1E-2</v>
      </c>
      <c r="CR118" s="62">
        <v>1.2500000000000001E-2</v>
      </c>
      <c r="CS118" s="62">
        <v>0.64</v>
      </c>
      <c r="CT118" s="62">
        <v>0.1</v>
      </c>
      <c r="CU118" s="62">
        <v>0.11799999999999999</v>
      </c>
      <c r="CV118" s="62">
        <v>0</v>
      </c>
      <c r="CW118" s="62">
        <v>0.28999999999999998</v>
      </c>
      <c r="CX118" s="62">
        <v>0.02</v>
      </c>
      <c r="CY118" s="62">
        <v>-0.52</v>
      </c>
      <c r="CZ118" s="62">
        <v>0</v>
      </c>
      <c r="DA118" s="62">
        <v>-0.34</v>
      </c>
      <c r="DB118" s="62">
        <v>0</v>
      </c>
      <c r="DC118" s="62">
        <v>0.4</v>
      </c>
      <c r="DE118" s="62">
        <v>-4.3499999999999997E-2</v>
      </c>
      <c r="DF118" s="62">
        <v>1.2500000000000001E-2</v>
      </c>
      <c r="DG118" s="62">
        <v>1.4E-2</v>
      </c>
      <c r="DH118" s="62">
        <v>7.4999999999999997E-3</v>
      </c>
      <c r="DI118" s="62">
        <v>-3.5000000000000001E-3</v>
      </c>
      <c r="DJ118" s="62">
        <v>2.5000000000000001E-3</v>
      </c>
      <c r="DK118" s="62">
        <v>-7.2499999999999995E-2</v>
      </c>
      <c r="DL118" s="62">
        <v>2.5000000000000001E-3</v>
      </c>
      <c r="DM118" s="62">
        <v>-5.9499999999999997E-2</v>
      </c>
      <c r="DN118" s="62">
        <v>2.5000000000000001E-3</v>
      </c>
      <c r="DO118" s="62">
        <v>-8.2000000000000003E-2</v>
      </c>
      <c r="DP118" s="62">
        <v>2.5000000000000001E-3</v>
      </c>
      <c r="DQ118" s="62">
        <v>-0.10249999999999999</v>
      </c>
      <c r="DR118" s="62">
        <v>-5.0000000000000001E-3</v>
      </c>
      <c r="DS118" s="62">
        <v>0.54</v>
      </c>
      <c r="DT118" s="62">
        <v>0.05</v>
      </c>
      <c r="DU118" s="62">
        <v>0</v>
      </c>
      <c r="DV118" s="62">
        <v>0</v>
      </c>
    </row>
    <row r="119" spans="4:126" x14ac:dyDescent="0.25">
      <c r="D119" s="91">
        <v>40269</v>
      </c>
      <c r="F119" s="89">
        <v>3.6720000000000002</v>
      </c>
      <c r="G119" s="90">
        <v>5.9761776683561002E-2</v>
      </c>
      <c r="H119" s="89">
        <v>0.19</v>
      </c>
      <c r="I119" s="89">
        <v>0.4</v>
      </c>
      <c r="J119" s="89">
        <v>0.45</v>
      </c>
      <c r="K119" s="89">
        <v>0.4</v>
      </c>
      <c r="L119" s="87">
        <v>0.45</v>
      </c>
      <c r="M119" s="87">
        <v>0.45</v>
      </c>
      <c r="N119" s="89">
        <v>0.45</v>
      </c>
      <c r="O119" s="89">
        <v>0.45</v>
      </c>
      <c r="P119" s="89">
        <v>0.45</v>
      </c>
      <c r="Q119" s="89">
        <v>0.5</v>
      </c>
      <c r="R119" s="90">
        <v>0.4</v>
      </c>
      <c r="S119" s="90">
        <v>0.45</v>
      </c>
      <c r="T119" s="89">
        <v>0.4</v>
      </c>
      <c r="U119" s="89">
        <v>0.45</v>
      </c>
      <c r="V119" s="89">
        <v>0.55000000000000004</v>
      </c>
      <c r="W119" s="89">
        <v>-0.09</v>
      </c>
      <c r="X119" s="89">
        <v>0</v>
      </c>
      <c r="Y119" s="89">
        <v>0.04</v>
      </c>
      <c r="Z119" s="89">
        <v>5.0000000000000001E-3</v>
      </c>
      <c r="AA119" s="89">
        <v>0.17499999999999999</v>
      </c>
      <c r="AB119" s="89">
        <v>0</v>
      </c>
      <c r="AC119" s="89">
        <v>0.14000000000000001</v>
      </c>
      <c r="AD119" s="89">
        <v>0</v>
      </c>
      <c r="AE119" s="89">
        <v>0.17499999999999999</v>
      </c>
      <c r="AF119" s="89">
        <v>0</v>
      </c>
      <c r="AG119" s="89">
        <v>0.14000000000000001</v>
      </c>
      <c r="AH119" s="89">
        <v>0</v>
      </c>
      <c r="AI119" s="89">
        <v>0.14000000000000001</v>
      </c>
      <c r="AJ119" s="89">
        <v>0</v>
      </c>
      <c r="AK119" s="89">
        <v>0.04</v>
      </c>
      <c r="AL119" s="89">
        <v>0.04</v>
      </c>
      <c r="AM119" s="89">
        <v>-5.1999999999999998E-2</v>
      </c>
      <c r="AN119" s="89">
        <v>2.3E-2</v>
      </c>
      <c r="AO119" s="89">
        <v>-0.55000000000000004</v>
      </c>
      <c r="AP119" s="89">
        <v>0.155</v>
      </c>
      <c r="AQ119" s="89">
        <v>-4.7E-2</v>
      </c>
      <c r="AR119" s="89">
        <v>0</v>
      </c>
      <c r="AS119" s="89">
        <v>-0.15</v>
      </c>
      <c r="AT119" s="89">
        <v>-1.4999999999999999E-2</v>
      </c>
      <c r="AU119" s="89">
        <v>-0.11</v>
      </c>
      <c r="AV119" s="89">
        <v>0.02</v>
      </c>
      <c r="AW119" s="89">
        <v>-4.7E-2</v>
      </c>
      <c r="AX119" s="89">
        <v>1.4E-2</v>
      </c>
      <c r="AY119" s="90">
        <v>0.125</v>
      </c>
      <c r="AZ119" s="90">
        <v>0</v>
      </c>
      <c r="BA119" s="90">
        <v>-0.19500000000000001</v>
      </c>
      <c r="BB119" s="89">
        <v>2.5000000000000001E-3</v>
      </c>
      <c r="BC119" s="89">
        <v>-7.0000000000000007E-2</v>
      </c>
      <c r="BD119" s="89">
        <v>5.0000000000000001E-3</v>
      </c>
      <c r="BE119" s="89">
        <v>0.26</v>
      </c>
      <c r="BF119" s="89">
        <v>0.04</v>
      </c>
      <c r="BG119" s="89">
        <v>-0.06</v>
      </c>
      <c r="BH119" s="89">
        <v>0</v>
      </c>
      <c r="BI119" s="89">
        <v>0</v>
      </c>
      <c r="BJ119" s="62">
        <v>0.03</v>
      </c>
      <c r="BK119" s="62">
        <v>0.26</v>
      </c>
      <c r="BL119" s="62">
        <v>0.04</v>
      </c>
      <c r="BM119" s="62">
        <v>-0.2</v>
      </c>
      <c r="BN119" s="62">
        <v>0</v>
      </c>
      <c r="BO119" s="62">
        <v>-0.37</v>
      </c>
      <c r="BP119" s="62">
        <v>0</v>
      </c>
      <c r="BQ119" s="62">
        <v>0.5</v>
      </c>
      <c r="BR119" s="62">
        <v>0.04</v>
      </c>
      <c r="BS119" s="62">
        <v>-7.0000000000000007E-2</v>
      </c>
      <c r="BT119" s="62">
        <v>5.0000000000000001E-3</v>
      </c>
      <c r="BU119" s="62">
        <v>0.3</v>
      </c>
      <c r="BV119" s="62">
        <v>0</v>
      </c>
      <c r="BW119" s="62">
        <v>0</v>
      </c>
      <c r="BX119" s="62">
        <v>0</v>
      </c>
      <c r="BY119" s="62">
        <v>-1.4999999999999999E-2</v>
      </c>
      <c r="BZ119" s="62">
        <v>5.7500000000000002E-2</v>
      </c>
      <c r="CA119" s="62">
        <v>0.14499999999999999</v>
      </c>
      <c r="CB119" s="62">
        <v>5.0000000000000001E-3</v>
      </c>
      <c r="CC119" s="62">
        <v>-1.4999999999999999E-2</v>
      </c>
      <c r="CD119" s="62">
        <v>3.5000000000000001E-3</v>
      </c>
      <c r="CE119" s="62">
        <v>2.5000000000000001E-3</v>
      </c>
      <c r="CF119" s="62">
        <v>2.5000000000000001E-3</v>
      </c>
      <c r="CG119" s="62">
        <v>-1.4999999999999999E-2</v>
      </c>
      <c r="CH119" s="62">
        <v>3.5000000000000001E-3</v>
      </c>
      <c r="CI119" s="62">
        <v>-0.1305</v>
      </c>
      <c r="CJ119" s="62">
        <v>2.5000000000000001E-3</v>
      </c>
      <c r="CK119" s="62">
        <v>7.7499999999999999E-2</v>
      </c>
      <c r="CL119" s="62">
        <v>2.5000000000000001E-3</v>
      </c>
      <c r="CM119" s="62">
        <v>-7.1999999999999995E-2</v>
      </c>
      <c r="CN119" s="62">
        <v>7.4999999999999997E-3</v>
      </c>
      <c r="CO119" s="62">
        <v>-1.7000000000000001E-2</v>
      </c>
      <c r="CP119" s="62">
        <v>5.0000000000000001E-3</v>
      </c>
      <c r="CQ119" s="62">
        <v>2.3E-2</v>
      </c>
      <c r="CR119" s="62">
        <v>7.4999999999999997E-3</v>
      </c>
      <c r="CS119" s="62">
        <v>0.38</v>
      </c>
      <c r="CT119" s="62">
        <v>0.02</v>
      </c>
      <c r="CU119" s="62">
        <v>-0.2</v>
      </c>
      <c r="CV119" s="62">
        <v>0</v>
      </c>
      <c r="CW119" s="62">
        <v>0.19500000000000001</v>
      </c>
      <c r="CX119" s="62">
        <v>7.4999999999999997E-3</v>
      </c>
      <c r="CY119" s="62">
        <v>-0.63</v>
      </c>
      <c r="CZ119" s="62">
        <v>0</v>
      </c>
      <c r="DA119" s="62">
        <v>-0.45</v>
      </c>
      <c r="DB119" s="62">
        <v>0</v>
      </c>
      <c r="DC119" s="62">
        <v>0.6</v>
      </c>
      <c r="DE119" s="62">
        <v>-5.0999999999999997E-2</v>
      </c>
      <c r="DF119" s="62">
        <v>0.01</v>
      </c>
      <c r="DG119" s="62">
        <v>1.4E-2</v>
      </c>
      <c r="DH119" s="62">
        <v>0.01</v>
      </c>
      <c r="DI119" s="62">
        <v>-3.5000000000000001E-3</v>
      </c>
      <c r="DJ119" s="62">
        <v>7.4999999999999997E-3</v>
      </c>
      <c r="DK119" s="62">
        <v>-0.11550000000000001</v>
      </c>
      <c r="DL119" s="62">
        <v>5.0000000000000001E-3</v>
      </c>
      <c r="DM119" s="62">
        <v>-5.7000000000000002E-2</v>
      </c>
      <c r="DN119" s="62">
        <v>2.5000000000000001E-3</v>
      </c>
      <c r="DO119" s="62">
        <v>-7.9500000000000001E-2</v>
      </c>
      <c r="DP119" s="62">
        <v>2.5000000000000001E-3</v>
      </c>
      <c r="DQ119" s="62">
        <v>-0.14549999999999999</v>
      </c>
      <c r="DR119" s="62">
        <v>-5.0000000000000001E-3</v>
      </c>
      <c r="DS119" s="62">
        <v>0.36</v>
      </c>
      <c r="DT119" s="62">
        <v>5.0000000000000001E-3</v>
      </c>
      <c r="DU119" s="62">
        <v>0</v>
      </c>
      <c r="DV119" s="62">
        <v>0</v>
      </c>
    </row>
    <row r="120" spans="4:126" x14ac:dyDescent="0.25">
      <c r="D120" s="91">
        <v>40299</v>
      </c>
      <c r="F120" s="89">
        <v>3.6669999999999998</v>
      </c>
      <c r="G120" s="90">
        <v>5.9867369892918597E-2</v>
      </c>
      <c r="H120" s="89">
        <v>0.185</v>
      </c>
      <c r="I120" s="89">
        <v>0.45</v>
      </c>
      <c r="J120" s="89">
        <v>0.5</v>
      </c>
      <c r="K120" s="89">
        <v>0.4</v>
      </c>
      <c r="L120" s="87">
        <v>0.4</v>
      </c>
      <c r="M120" s="87">
        <v>0.45</v>
      </c>
      <c r="N120" s="89">
        <v>0.5</v>
      </c>
      <c r="O120" s="89">
        <v>0.45</v>
      </c>
      <c r="P120" s="89">
        <v>0.4</v>
      </c>
      <c r="Q120" s="89">
        <v>0.45</v>
      </c>
      <c r="R120" s="90">
        <v>0.45</v>
      </c>
      <c r="S120" s="90">
        <v>0.5</v>
      </c>
      <c r="T120" s="89">
        <v>0.45</v>
      </c>
      <c r="U120" s="89">
        <v>0.5</v>
      </c>
      <c r="V120" s="89">
        <v>0.5</v>
      </c>
      <c r="W120" s="89">
        <v>-0.09</v>
      </c>
      <c r="X120" s="89">
        <v>0</v>
      </c>
      <c r="Y120" s="89">
        <v>0.04</v>
      </c>
      <c r="Z120" s="89">
        <v>5.0000000000000001E-3</v>
      </c>
      <c r="AA120" s="89">
        <v>0.17499999999999999</v>
      </c>
      <c r="AB120" s="89">
        <v>0</v>
      </c>
      <c r="AC120" s="89">
        <v>0.14000000000000001</v>
      </c>
      <c r="AD120" s="89">
        <v>0</v>
      </c>
      <c r="AE120" s="89">
        <v>0.17499999999999999</v>
      </c>
      <c r="AF120" s="89">
        <v>0</v>
      </c>
      <c r="AG120" s="89">
        <v>0.14000000000000001</v>
      </c>
      <c r="AH120" s="89">
        <v>0</v>
      </c>
      <c r="AI120" s="89">
        <v>0.14000000000000001</v>
      </c>
      <c r="AJ120" s="89">
        <v>0</v>
      </c>
      <c r="AK120" s="89">
        <v>0.04</v>
      </c>
      <c r="AL120" s="89">
        <v>0.04</v>
      </c>
      <c r="AM120" s="89">
        <v>-5.1999999999999998E-2</v>
      </c>
      <c r="AN120" s="89">
        <v>2.3E-2</v>
      </c>
      <c r="AO120" s="89">
        <v>-0.55000000000000004</v>
      </c>
      <c r="AP120" s="89">
        <v>0.155</v>
      </c>
      <c r="AQ120" s="89">
        <v>-4.7E-2</v>
      </c>
      <c r="AR120" s="89">
        <v>0</v>
      </c>
      <c r="AS120" s="89">
        <v>-0.15</v>
      </c>
      <c r="AT120" s="89">
        <v>-1.4999999999999999E-2</v>
      </c>
      <c r="AU120" s="89">
        <v>-0.11</v>
      </c>
      <c r="AV120" s="89">
        <v>0.02</v>
      </c>
      <c r="AW120" s="89">
        <v>-4.7E-2</v>
      </c>
      <c r="AX120" s="89">
        <v>1.4E-2</v>
      </c>
      <c r="AY120" s="90">
        <v>0.125</v>
      </c>
      <c r="AZ120" s="90">
        <v>0</v>
      </c>
      <c r="BA120" s="90">
        <v>-0.19500000000000001</v>
      </c>
      <c r="BB120" s="89">
        <v>2.5000000000000001E-3</v>
      </c>
      <c r="BC120" s="89">
        <v>-7.0000000000000007E-2</v>
      </c>
      <c r="BD120" s="89">
        <v>5.0000000000000001E-3</v>
      </c>
      <c r="BE120" s="89">
        <v>0.26</v>
      </c>
      <c r="BF120" s="89">
        <v>0.04</v>
      </c>
      <c r="BG120" s="89">
        <v>-0.06</v>
      </c>
      <c r="BH120" s="89">
        <v>0</v>
      </c>
      <c r="BI120" s="89">
        <v>0</v>
      </c>
      <c r="BJ120" s="62">
        <v>0.03</v>
      </c>
      <c r="BK120" s="62">
        <v>0.26</v>
      </c>
      <c r="BL120" s="62">
        <v>0.04</v>
      </c>
      <c r="BM120" s="62">
        <v>-0.2</v>
      </c>
      <c r="BN120" s="62">
        <v>0</v>
      </c>
      <c r="BO120" s="62">
        <v>-0.37</v>
      </c>
      <c r="BP120" s="62">
        <v>0</v>
      </c>
      <c r="BQ120" s="62">
        <v>0.5</v>
      </c>
      <c r="BR120" s="62">
        <v>0.04</v>
      </c>
      <c r="BS120" s="62">
        <v>-7.0000000000000007E-2</v>
      </c>
      <c r="BT120" s="62">
        <v>5.0000000000000001E-3</v>
      </c>
      <c r="BU120" s="62">
        <v>0.3</v>
      </c>
      <c r="BV120" s="62">
        <v>0</v>
      </c>
      <c r="BW120" s="62">
        <v>0</v>
      </c>
      <c r="BX120" s="62">
        <v>0</v>
      </c>
      <c r="BY120" s="62">
        <v>-1.4999999999999999E-2</v>
      </c>
      <c r="BZ120" s="62">
        <v>5.7500000000000002E-2</v>
      </c>
      <c r="CA120" s="62">
        <v>0.125</v>
      </c>
      <c r="CB120" s="62">
        <v>5.0000000000000001E-3</v>
      </c>
      <c r="CC120" s="62">
        <v>-1.4999999999999999E-2</v>
      </c>
      <c r="CD120" s="62">
        <v>3.5000000000000001E-3</v>
      </c>
      <c r="CE120" s="62">
        <v>2.5000000000000001E-3</v>
      </c>
      <c r="CF120" s="62">
        <v>2.5000000000000001E-3</v>
      </c>
      <c r="CG120" s="62">
        <v>-1.4999999999999999E-2</v>
      </c>
      <c r="CH120" s="62">
        <v>3.5000000000000001E-3</v>
      </c>
      <c r="CI120" s="62">
        <v>-0.11799999999999999</v>
      </c>
      <c r="CJ120" s="62">
        <v>2.5000000000000001E-3</v>
      </c>
      <c r="CK120" s="62">
        <v>7.7499999999999999E-2</v>
      </c>
      <c r="CL120" s="62">
        <v>2.5000000000000001E-3</v>
      </c>
      <c r="CM120" s="62">
        <v>-7.1999999999999995E-2</v>
      </c>
      <c r="CN120" s="62">
        <v>7.4999999999999997E-3</v>
      </c>
      <c r="CO120" s="62">
        <v>-1.7000000000000001E-2</v>
      </c>
      <c r="CP120" s="62">
        <v>5.0000000000000001E-3</v>
      </c>
      <c r="CQ120" s="62">
        <v>2.3E-2</v>
      </c>
      <c r="CR120" s="62">
        <v>7.4999999999999997E-3</v>
      </c>
      <c r="CS120" s="62">
        <v>0.33</v>
      </c>
      <c r="CT120" s="62">
        <v>0.02</v>
      </c>
      <c r="CU120" s="62">
        <v>-0.2</v>
      </c>
      <c r="CV120" s="62">
        <v>0</v>
      </c>
      <c r="CW120" s="62">
        <v>0.13500000000000001</v>
      </c>
      <c r="CX120" s="62">
        <v>7.4999999999999997E-3</v>
      </c>
      <c r="CY120" s="62">
        <v>-0.63</v>
      </c>
      <c r="CZ120" s="62">
        <v>0</v>
      </c>
      <c r="DA120" s="62">
        <v>-0.45</v>
      </c>
      <c r="DB120" s="62">
        <v>0</v>
      </c>
      <c r="DC120" s="62">
        <v>0.75</v>
      </c>
      <c r="DE120" s="62">
        <v>-5.0999999999999997E-2</v>
      </c>
      <c r="DF120" s="62">
        <v>0.01</v>
      </c>
      <c r="DG120" s="62">
        <v>1.6500000000000001E-2</v>
      </c>
      <c r="DH120" s="62">
        <v>0.01</v>
      </c>
      <c r="DI120" s="62">
        <v>1E-3</v>
      </c>
      <c r="DJ120" s="62">
        <v>7.4999999999999997E-3</v>
      </c>
      <c r="DK120" s="62">
        <v>-9.2999999999999999E-2</v>
      </c>
      <c r="DL120" s="62">
        <v>5.0000000000000001E-3</v>
      </c>
      <c r="DM120" s="62">
        <v>-5.7000000000000002E-2</v>
      </c>
      <c r="DN120" s="62">
        <v>2.5000000000000001E-3</v>
      </c>
      <c r="DO120" s="62">
        <v>-7.9500000000000001E-2</v>
      </c>
      <c r="DP120" s="62">
        <v>2.5000000000000001E-3</v>
      </c>
      <c r="DQ120" s="62">
        <v>-0.123</v>
      </c>
      <c r="DR120" s="62">
        <v>-5.0000000000000001E-3</v>
      </c>
      <c r="DS120" s="62">
        <v>0.32500000000000001</v>
      </c>
      <c r="DT120" s="62">
        <v>5.0000000000000001E-3</v>
      </c>
      <c r="DU120" s="62">
        <v>0</v>
      </c>
      <c r="DV120" s="62">
        <v>0</v>
      </c>
    </row>
    <row r="121" spans="4:126" x14ac:dyDescent="0.25">
      <c r="D121" s="91">
        <v>40330</v>
      </c>
      <c r="F121" s="89">
        <v>3.702</v>
      </c>
      <c r="G121" s="90">
        <v>5.9976482879814198E-2</v>
      </c>
      <c r="H121" s="89">
        <v>0.185</v>
      </c>
      <c r="I121" s="89">
        <v>0.45</v>
      </c>
      <c r="J121" s="89">
        <v>0.5</v>
      </c>
      <c r="K121" s="89">
        <v>0.4</v>
      </c>
      <c r="L121" s="87">
        <v>0.5</v>
      </c>
      <c r="M121" s="87">
        <v>0.45</v>
      </c>
      <c r="N121" s="89">
        <v>0.5</v>
      </c>
      <c r="O121" s="89">
        <v>0.5</v>
      </c>
      <c r="P121" s="89">
        <v>0.5</v>
      </c>
      <c r="Q121" s="89">
        <v>0.5</v>
      </c>
      <c r="R121" s="90">
        <v>0.45</v>
      </c>
      <c r="S121" s="90">
        <v>0.5</v>
      </c>
      <c r="T121" s="89">
        <v>0.45</v>
      </c>
      <c r="U121" s="89">
        <v>0.5</v>
      </c>
      <c r="V121" s="89">
        <v>0.6</v>
      </c>
      <c r="W121" s="89">
        <v>-0.09</v>
      </c>
      <c r="X121" s="89">
        <v>0</v>
      </c>
      <c r="Y121" s="89">
        <v>0.04</v>
      </c>
      <c r="Z121" s="89">
        <v>5.0000000000000001E-3</v>
      </c>
      <c r="AA121" s="89">
        <v>0.17499999999999999</v>
      </c>
      <c r="AB121" s="89">
        <v>0</v>
      </c>
      <c r="AC121" s="89">
        <v>0.14000000000000001</v>
      </c>
      <c r="AD121" s="89">
        <v>0</v>
      </c>
      <c r="AE121" s="89">
        <v>0.17499999999999999</v>
      </c>
      <c r="AF121" s="89">
        <v>0</v>
      </c>
      <c r="AG121" s="89">
        <v>0.14000000000000001</v>
      </c>
      <c r="AH121" s="89">
        <v>0</v>
      </c>
      <c r="AI121" s="89">
        <v>0.14000000000000001</v>
      </c>
      <c r="AJ121" s="89">
        <v>0</v>
      </c>
      <c r="AK121" s="89">
        <v>0.04</v>
      </c>
      <c r="AL121" s="89">
        <v>0.04</v>
      </c>
      <c r="AM121" s="89">
        <v>-5.1999999999999998E-2</v>
      </c>
      <c r="AN121" s="89">
        <v>2.3E-2</v>
      </c>
      <c r="AO121" s="89">
        <v>-0.55000000000000004</v>
      </c>
      <c r="AP121" s="89">
        <v>0.155</v>
      </c>
      <c r="AQ121" s="89">
        <v>-4.7E-2</v>
      </c>
      <c r="AR121" s="89">
        <v>0</v>
      </c>
      <c r="AS121" s="89">
        <v>-0.15</v>
      </c>
      <c r="AT121" s="89">
        <v>-1.4999999999999999E-2</v>
      </c>
      <c r="AU121" s="89">
        <v>-0.11</v>
      </c>
      <c r="AV121" s="89">
        <v>0.02</v>
      </c>
      <c r="AW121" s="89">
        <v>-4.7E-2</v>
      </c>
      <c r="AX121" s="89">
        <v>1.4E-2</v>
      </c>
      <c r="AY121" s="90">
        <v>0.125</v>
      </c>
      <c r="AZ121" s="90">
        <v>0</v>
      </c>
      <c r="BA121" s="90">
        <v>-0.19500000000000001</v>
      </c>
      <c r="BB121" s="89">
        <v>2.5000000000000001E-3</v>
      </c>
      <c r="BC121" s="89">
        <v>-7.0000000000000007E-2</v>
      </c>
      <c r="BD121" s="89">
        <v>5.0000000000000001E-3</v>
      </c>
      <c r="BE121" s="89">
        <v>0.26</v>
      </c>
      <c r="BF121" s="89">
        <v>0.04</v>
      </c>
      <c r="BG121" s="89">
        <v>-0.06</v>
      </c>
      <c r="BH121" s="89">
        <v>0</v>
      </c>
      <c r="BI121" s="89">
        <v>0</v>
      </c>
      <c r="BJ121" s="62">
        <v>0.03</v>
      </c>
      <c r="BK121" s="62">
        <v>0.26</v>
      </c>
      <c r="BL121" s="62">
        <v>0.04</v>
      </c>
      <c r="BM121" s="62">
        <v>-0.2</v>
      </c>
      <c r="BN121" s="62">
        <v>0</v>
      </c>
      <c r="BO121" s="62">
        <v>-0.37</v>
      </c>
      <c r="BP121" s="62">
        <v>0</v>
      </c>
      <c r="BQ121" s="62">
        <v>0.5</v>
      </c>
      <c r="BR121" s="62">
        <v>0.04</v>
      </c>
      <c r="BS121" s="62">
        <v>-7.0000000000000007E-2</v>
      </c>
      <c r="BT121" s="62">
        <v>5.0000000000000001E-3</v>
      </c>
      <c r="BU121" s="62">
        <v>0.3</v>
      </c>
      <c r="BV121" s="62">
        <v>0</v>
      </c>
      <c r="BW121" s="62">
        <v>0</v>
      </c>
      <c r="BX121" s="62">
        <v>0</v>
      </c>
      <c r="BY121" s="62">
        <v>-1.4999999999999999E-2</v>
      </c>
      <c r="BZ121" s="62">
        <v>5.7500000000000002E-2</v>
      </c>
      <c r="CA121" s="62">
        <v>0.14499999999999999</v>
      </c>
      <c r="CB121" s="62">
        <v>5.0000000000000001E-3</v>
      </c>
      <c r="CC121" s="62">
        <v>-1.4999999999999999E-2</v>
      </c>
      <c r="CD121" s="62">
        <v>3.5000000000000001E-3</v>
      </c>
      <c r="CE121" s="62">
        <v>2.5000000000000001E-3</v>
      </c>
      <c r="CF121" s="62">
        <v>2.5000000000000001E-3</v>
      </c>
      <c r="CG121" s="62">
        <v>-1.4999999999999999E-2</v>
      </c>
      <c r="CH121" s="62">
        <v>3.5000000000000001E-3</v>
      </c>
      <c r="CI121" s="62">
        <v>-7.5499999999999998E-2</v>
      </c>
      <c r="CJ121" s="62">
        <v>2.5000000000000001E-3</v>
      </c>
      <c r="CK121" s="62">
        <v>7.7499999999999999E-2</v>
      </c>
      <c r="CL121" s="62">
        <v>2.5000000000000001E-3</v>
      </c>
      <c r="CM121" s="62">
        <v>-7.1999999999999995E-2</v>
      </c>
      <c r="CN121" s="62">
        <v>7.4999999999999997E-3</v>
      </c>
      <c r="CO121" s="62">
        <v>-1.7000000000000001E-2</v>
      </c>
      <c r="CP121" s="62">
        <v>5.0000000000000001E-3</v>
      </c>
      <c r="CQ121" s="62">
        <v>2.3E-2</v>
      </c>
      <c r="CR121" s="62">
        <v>7.4999999999999997E-3</v>
      </c>
      <c r="CS121" s="62">
        <v>0.37</v>
      </c>
      <c r="CT121" s="62">
        <v>3.5000000000000003E-2</v>
      </c>
      <c r="CU121" s="62">
        <v>-0.2</v>
      </c>
      <c r="CV121" s="62">
        <v>0</v>
      </c>
      <c r="CW121" s="62">
        <v>0.16500000000000001</v>
      </c>
      <c r="CX121" s="62">
        <v>7.4999999999999997E-3</v>
      </c>
      <c r="CY121" s="62">
        <v>-0.63</v>
      </c>
      <c r="CZ121" s="62">
        <v>0</v>
      </c>
      <c r="DA121" s="62">
        <v>-0.45</v>
      </c>
      <c r="DB121" s="62">
        <v>0</v>
      </c>
      <c r="DC121" s="62">
        <v>0.85</v>
      </c>
      <c r="DE121" s="62">
        <v>-4.8500000000000001E-2</v>
      </c>
      <c r="DF121" s="62">
        <v>0.01</v>
      </c>
      <c r="DG121" s="62">
        <v>1.6500000000000001E-2</v>
      </c>
      <c r="DH121" s="62">
        <v>0.01</v>
      </c>
      <c r="DI121" s="62">
        <v>9.9999999999999699E-4</v>
      </c>
      <c r="DJ121" s="62">
        <v>7.4999999999999997E-3</v>
      </c>
      <c r="DK121" s="62">
        <v>-4.0500000000000001E-2</v>
      </c>
      <c r="DL121" s="62">
        <v>5.0000000000000001E-3</v>
      </c>
      <c r="DM121" s="62">
        <v>-5.7000000000000002E-2</v>
      </c>
      <c r="DN121" s="62">
        <v>2.5000000000000001E-3</v>
      </c>
      <c r="DO121" s="62">
        <v>-7.9500000000000001E-2</v>
      </c>
      <c r="DP121" s="62">
        <v>2.5000000000000001E-3</v>
      </c>
      <c r="DQ121" s="62">
        <v>-7.0499999999999993E-2</v>
      </c>
      <c r="DR121" s="62">
        <v>-5.0000000000000001E-3</v>
      </c>
      <c r="DS121" s="62">
        <v>0.33500000000000002</v>
      </c>
      <c r="DT121" s="62">
        <v>5.0000000000000001E-3</v>
      </c>
      <c r="DU121" s="62">
        <v>0</v>
      </c>
      <c r="DV121" s="62">
        <v>0</v>
      </c>
    </row>
    <row r="122" spans="4:126" x14ac:dyDescent="0.25">
      <c r="D122" s="91">
        <v>40360</v>
      </c>
      <c r="F122" s="89">
        <v>3.742</v>
      </c>
      <c r="G122" s="90">
        <v>6.0082076096705801E-2</v>
      </c>
      <c r="H122" s="89">
        <v>0.185</v>
      </c>
      <c r="I122" s="89">
        <v>0.5</v>
      </c>
      <c r="J122" s="89">
        <v>0.5</v>
      </c>
      <c r="K122" s="89">
        <v>0.4</v>
      </c>
      <c r="L122" s="87">
        <v>0.5</v>
      </c>
      <c r="M122" s="87">
        <v>0.5</v>
      </c>
      <c r="N122" s="89">
        <v>0.5</v>
      </c>
      <c r="O122" s="89">
        <v>0.5</v>
      </c>
      <c r="P122" s="89">
        <v>0.5</v>
      </c>
      <c r="Q122" s="89">
        <v>0.5</v>
      </c>
      <c r="R122" s="90">
        <v>0.5</v>
      </c>
      <c r="S122" s="90">
        <v>0.55000000000000004</v>
      </c>
      <c r="T122" s="89">
        <v>0.5</v>
      </c>
      <c r="U122" s="89">
        <v>0.5</v>
      </c>
      <c r="V122" s="89">
        <v>0.6</v>
      </c>
      <c r="W122" s="89">
        <v>-0.09</v>
      </c>
      <c r="X122" s="89">
        <v>0</v>
      </c>
      <c r="Y122" s="89">
        <v>0.04</v>
      </c>
      <c r="Z122" s="89">
        <v>5.0000000000000001E-3</v>
      </c>
      <c r="AA122" s="89">
        <v>0.17499999999999999</v>
      </c>
      <c r="AB122" s="89">
        <v>0</v>
      </c>
      <c r="AC122" s="89">
        <v>0.14000000000000001</v>
      </c>
      <c r="AD122" s="89">
        <v>0</v>
      </c>
      <c r="AE122" s="89">
        <v>0.17499999999999999</v>
      </c>
      <c r="AF122" s="89">
        <v>0</v>
      </c>
      <c r="AG122" s="89">
        <v>0.14000000000000001</v>
      </c>
      <c r="AH122" s="89">
        <v>0</v>
      </c>
      <c r="AI122" s="89">
        <v>0.14000000000000001</v>
      </c>
      <c r="AJ122" s="89">
        <v>0</v>
      </c>
      <c r="AK122" s="89">
        <v>0.04</v>
      </c>
      <c r="AL122" s="89">
        <v>0.04</v>
      </c>
      <c r="AM122" s="89">
        <v>-5.1999999999999998E-2</v>
      </c>
      <c r="AN122" s="89">
        <v>2.3E-2</v>
      </c>
      <c r="AO122" s="89">
        <v>-0.55000000000000004</v>
      </c>
      <c r="AP122" s="89">
        <v>0.155</v>
      </c>
      <c r="AQ122" s="89">
        <v>-4.7E-2</v>
      </c>
      <c r="AR122" s="89">
        <v>0</v>
      </c>
      <c r="AS122" s="89">
        <v>-0.15</v>
      </c>
      <c r="AT122" s="89">
        <v>-1.4999999999999999E-2</v>
      </c>
      <c r="AU122" s="89">
        <v>-0.11</v>
      </c>
      <c r="AV122" s="89">
        <v>0.02</v>
      </c>
      <c r="AW122" s="89">
        <v>-4.7E-2</v>
      </c>
      <c r="AX122" s="89">
        <v>1.2E-2</v>
      </c>
      <c r="AY122" s="90">
        <v>0.125</v>
      </c>
      <c r="AZ122" s="90">
        <v>0</v>
      </c>
      <c r="BA122" s="90">
        <v>-0.19500000000000001</v>
      </c>
      <c r="BB122" s="89">
        <v>2.5000000000000001E-3</v>
      </c>
      <c r="BC122" s="89">
        <v>-7.0000000000000007E-2</v>
      </c>
      <c r="BD122" s="89">
        <v>5.0000000000000001E-3</v>
      </c>
      <c r="BE122" s="89">
        <v>0.26</v>
      </c>
      <c r="BF122" s="89">
        <v>0.04</v>
      </c>
      <c r="BG122" s="89">
        <v>-0.06</v>
      </c>
      <c r="BH122" s="89">
        <v>0</v>
      </c>
      <c r="BI122" s="89">
        <v>0</v>
      </c>
      <c r="BJ122" s="62">
        <v>0.03</v>
      </c>
      <c r="BK122" s="62">
        <v>0.26</v>
      </c>
      <c r="BL122" s="62">
        <v>0.04</v>
      </c>
      <c r="BM122" s="62">
        <v>-0.2</v>
      </c>
      <c r="BN122" s="62">
        <v>0</v>
      </c>
      <c r="BO122" s="62">
        <v>-0.37</v>
      </c>
      <c r="BP122" s="62">
        <v>0</v>
      </c>
      <c r="BQ122" s="62">
        <v>0.5</v>
      </c>
      <c r="BR122" s="62">
        <v>0.04</v>
      </c>
      <c r="BS122" s="62">
        <v>-7.0000000000000007E-2</v>
      </c>
      <c r="BT122" s="62">
        <v>5.0000000000000001E-3</v>
      </c>
      <c r="BU122" s="62">
        <v>0.3</v>
      </c>
      <c r="BV122" s="62">
        <v>0</v>
      </c>
      <c r="BW122" s="62">
        <v>0</v>
      </c>
      <c r="BX122" s="62">
        <v>0</v>
      </c>
      <c r="BY122" s="62">
        <v>-1.4999999999999999E-2</v>
      </c>
      <c r="BZ122" s="62">
        <v>5.7500000000000002E-2</v>
      </c>
      <c r="CA122" s="62">
        <v>0.15</v>
      </c>
      <c r="CB122" s="62">
        <v>5.0000000000000001E-3</v>
      </c>
      <c r="CC122" s="62">
        <v>-1.4999999999999999E-2</v>
      </c>
      <c r="CD122" s="62">
        <v>3.5000000000000001E-3</v>
      </c>
      <c r="CE122" s="62">
        <v>2.5000000000000001E-3</v>
      </c>
      <c r="CF122" s="62">
        <v>2.5000000000000001E-3</v>
      </c>
      <c r="CG122" s="62">
        <v>-1.4999999999999999E-2</v>
      </c>
      <c r="CH122" s="62">
        <v>3.5000000000000001E-3</v>
      </c>
      <c r="CI122" s="62">
        <v>-7.2999999999999995E-2</v>
      </c>
      <c r="CJ122" s="62">
        <v>2.5000000000000001E-3</v>
      </c>
      <c r="CK122" s="62">
        <v>7.7499999999999999E-2</v>
      </c>
      <c r="CL122" s="62">
        <v>2.5000000000000001E-3</v>
      </c>
      <c r="CM122" s="62">
        <v>-7.1999999999999995E-2</v>
      </c>
      <c r="CN122" s="62">
        <v>7.4999999999999997E-3</v>
      </c>
      <c r="CO122" s="62">
        <v>-1.7000000000000001E-2</v>
      </c>
      <c r="CP122" s="62">
        <v>5.0000000000000001E-3</v>
      </c>
      <c r="CQ122" s="62">
        <v>2.3E-2</v>
      </c>
      <c r="CR122" s="62">
        <v>7.4999999999999997E-3</v>
      </c>
      <c r="CS122" s="62">
        <v>0.41</v>
      </c>
      <c r="CT122" s="62">
        <v>3.5000000000000003E-2</v>
      </c>
      <c r="CU122" s="62">
        <v>-0.2</v>
      </c>
      <c r="CV122" s="62">
        <v>0</v>
      </c>
      <c r="CW122" s="62">
        <v>0.20499999999999999</v>
      </c>
      <c r="CX122" s="62">
        <v>7.4999999999999997E-3</v>
      </c>
      <c r="CY122" s="62">
        <v>-0.63</v>
      </c>
      <c r="CZ122" s="62">
        <v>0</v>
      </c>
      <c r="DA122" s="62">
        <v>-0.45</v>
      </c>
      <c r="DB122" s="62">
        <v>0</v>
      </c>
      <c r="DC122" s="62">
        <v>1.05</v>
      </c>
      <c r="DE122" s="62">
        <v>-4.8500000000000001E-2</v>
      </c>
      <c r="DF122" s="62">
        <v>0.01</v>
      </c>
      <c r="DG122" s="62">
        <v>1.6500000000000001E-2</v>
      </c>
      <c r="DH122" s="62">
        <v>0.01</v>
      </c>
      <c r="DI122" s="62">
        <v>9.9999999999999699E-4</v>
      </c>
      <c r="DJ122" s="62">
        <v>7.4999999999999997E-3</v>
      </c>
      <c r="DK122" s="62">
        <v>-5.0500000000000003E-2</v>
      </c>
      <c r="DL122" s="62">
        <v>5.0000000000000001E-3</v>
      </c>
      <c r="DM122" s="62">
        <v>-5.7000000000000002E-2</v>
      </c>
      <c r="DN122" s="62">
        <v>2.5000000000000001E-3</v>
      </c>
      <c r="DO122" s="62">
        <v>-7.9500000000000001E-2</v>
      </c>
      <c r="DP122" s="62">
        <v>2.5000000000000001E-3</v>
      </c>
      <c r="DQ122" s="62">
        <v>-8.0500000000000002E-2</v>
      </c>
      <c r="DR122" s="62">
        <v>-5.0000000000000001E-3</v>
      </c>
      <c r="DS122" s="62">
        <v>0.35</v>
      </c>
      <c r="DT122" s="62">
        <v>5.0000000000000001E-3</v>
      </c>
      <c r="DU122" s="62">
        <v>0</v>
      </c>
      <c r="DV122" s="62">
        <v>0</v>
      </c>
    </row>
    <row r="123" spans="4:126" x14ac:dyDescent="0.25">
      <c r="D123" s="91">
        <v>40391</v>
      </c>
      <c r="F123" s="89">
        <v>3.782</v>
      </c>
      <c r="G123" s="90">
        <v>6.0191189091385301E-2</v>
      </c>
      <c r="H123" s="89">
        <v>0.185</v>
      </c>
      <c r="I123" s="89">
        <v>0.55000000000000004</v>
      </c>
      <c r="J123" s="89">
        <v>0.55000000000000004</v>
      </c>
      <c r="K123" s="89">
        <v>0.5</v>
      </c>
      <c r="L123" s="87">
        <v>0.6</v>
      </c>
      <c r="M123" s="87">
        <v>0.55000000000000004</v>
      </c>
      <c r="N123" s="89">
        <v>0.6</v>
      </c>
      <c r="O123" s="89">
        <v>0.55000000000000004</v>
      </c>
      <c r="P123" s="89">
        <v>0.6</v>
      </c>
      <c r="Q123" s="89">
        <v>0.45</v>
      </c>
      <c r="R123" s="90">
        <v>0.55000000000000004</v>
      </c>
      <c r="S123" s="90">
        <v>0.6</v>
      </c>
      <c r="T123" s="89">
        <v>0.55000000000000004</v>
      </c>
      <c r="U123" s="89">
        <v>0.6</v>
      </c>
      <c r="V123" s="89">
        <v>0.7</v>
      </c>
      <c r="W123" s="89">
        <v>-0.09</v>
      </c>
      <c r="X123" s="89">
        <v>0</v>
      </c>
      <c r="Y123" s="89">
        <v>0.04</v>
      </c>
      <c r="Z123" s="89">
        <v>5.0000000000000001E-3</v>
      </c>
      <c r="AA123" s="89">
        <v>0.17499999999999999</v>
      </c>
      <c r="AB123" s="89">
        <v>0</v>
      </c>
      <c r="AC123" s="89">
        <v>0.14000000000000001</v>
      </c>
      <c r="AD123" s="89">
        <v>0</v>
      </c>
      <c r="AE123" s="89">
        <v>0.17499999999999999</v>
      </c>
      <c r="AF123" s="89">
        <v>0</v>
      </c>
      <c r="AG123" s="89">
        <v>0.14000000000000001</v>
      </c>
      <c r="AH123" s="89">
        <v>0</v>
      </c>
      <c r="AI123" s="89">
        <v>0.14000000000000001</v>
      </c>
      <c r="AJ123" s="89">
        <v>0</v>
      </c>
      <c r="AK123" s="89">
        <v>0.04</v>
      </c>
      <c r="AL123" s="89">
        <v>0.04</v>
      </c>
      <c r="AM123" s="89">
        <v>-5.1999999999999998E-2</v>
      </c>
      <c r="AN123" s="89">
        <v>2.3E-2</v>
      </c>
      <c r="AO123" s="89">
        <v>-0.55000000000000004</v>
      </c>
      <c r="AP123" s="89">
        <v>0.155</v>
      </c>
      <c r="AQ123" s="89">
        <v>-4.7E-2</v>
      </c>
      <c r="AR123" s="89">
        <v>0</v>
      </c>
      <c r="AS123" s="89">
        <v>-0.15</v>
      </c>
      <c r="AT123" s="89">
        <v>-1.4999999999999999E-2</v>
      </c>
      <c r="AU123" s="89">
        <v>-0.11</v>
      </c>
      <c r="AV123" s="89">
        <v>0.02</v>
      </c>
      <c r="AW123" s="89">
        <v>-4.7E-2</v>
      </c>
      <c r="AX123" s="89">
        <v>1.2E-2</v>
      </c>
      <c r="AY123" s="90">
        <v>0.125</v>
      </c>
      <c r="AZ123" s="90">
        <v>0</v>
      </c>
      <c r="BA123" s="90">
        <v>-0.19500000000000001</v>
      </c>
      <c r="BB123" s="89">
        <v>2.5000000000000001E-3</v>
      </c>
      <c r="BC123" s="89">
        <v>-7.0000000000000007E-2</v>
      </c>
      <c r="BD123" s="89">
        <v>5.0000000000000001E-3</v>
      </c>
      <c r="BE123" s="89">
        <v>0.26</v>
      </c>
      <c r="BF123" s="89">
        <v>0.04</v>
      </c>
      <c r="BG123" s="89">
        <v>-0.06</v>
      </c>
      <c r="BH123" s="89">
        <v>0</v>
      </c>
      <c r="BI123" s="89">
        <v>0</v>
      </c>
      <c r="BJ123" s="62">
        <v>0.03</v>
      </c>
      <c r="BK123" s="62">
        <v>0.26</v>
      </c>
      <c r="BL123" s="62">
        <v>0.04</v>
      </c>
      <c r="BM123" s="62">
        <v>-0.2</v>
      </c>
      <c r="BN123" s="62">
        <v>0</v>
      </c>
      <c r="BO123" s="62">
        <v>-0.37</v>
      </c>
      <c r="BP123" s="62">
        <v>0</v>
      </c>
      <c r="BQ123" s="62">
        <v>0.5</v>
      </c>
      <c r="BR123" s="62">
        <v>0.04</v>
      </c>
      <c r="BS123" s="62">
        <v>-7.0000000000000007E-2</v>
      </c>
      <c r="BT123" s="62">
        <v>5.0000000000000001E-3</v>
      </c>
      <c r="BU123" s="62">
        <v>0.3</v>
      </c>
      <c r="BV123" s="62">
        <v>0</v>
      </c>
      <c r="BW123" s="62">
        <v>0</v>
      </c>
      <c r="BX123" s="62">
        <v>0</v>
      </c>
      <c r="BY123" s="62">
        <v>-1.4999999999999999E-2</v>
      </c>
      <c r="BZ123" s="62">
        <v>5.7500000000000002E-2</v>
      </c>
      <c r="CA123" s="62">
        <v>0.15</v>
      </c>
      <c r="CB123" s="62">
        <v>5.0000000000000001E-3</v>
      </c>
      <c r="CC123" s="62">
        <v>-1.4999999999999999E-2</v>
      </c>
      <c r="CD123" s="62">
        <v>3.5000000000000001E-3</v>
      </c>
      <c r="CE123" s="62">
        <v>2.5000000000000001E-3</v>
      </c>
      <c r="CF123" s="62">
        <v>2.5000000000000001E-3</v>
      </c>
      <c r="CG123" s="62">
        <v>-1.4999999999999999E-2</v>
      </c>
      <c r="CH123" s="62">
        <v>3.5000000000000001E-3</v>
      </c>
      <c r="CI123" s="62">
        <v>-7.0499999999999993E-2</v>
      </c>
      <c r="CJ123" s="62">
        <v>2.5000000000000001E-3</v>
      </c>
      <c r="CK123" s="62">
        <v>7.7499999999999999E-2</v>
      </c>
      <c r="CL123" s="62">
        <v>2.5000000000000001E-3</v>
      </c>
      <c r="CM123" s="62">
        <v>-7.1999999999999995E-2</v>
      </c>
      <c r="CN123" s="62">
        <v>7.4999999999999997E-3</v>
      </c>
      <c r="CO123" s="62">
        <v>-1.7000000000000001E-2</v>
      </c>
      <c r="CP123" s="62">
        <v>5.0000000000000001E-3</v>
      </c>
      <c r="CQ123" s="62">
        <v>2.3E-2</v>
      </c>
      <c r="CR123" s="62">
        <v>7.4999999999999997E-3</v>
      </c>
      <c r="CS123" s="62">
        <v>0.41</v>
      </c>
      <c r="CT123" s="62">
        <v>0.01</v>
      </c>
      <c r="CU123" s="62">
        <v>-0.2</v>
      </c>
      <c r="CV123" s="62">
        <v>0</v>
      </c>
      <c r="CW123" s="62">
        <v>0.20499999999999999</v>
      </c>
      <c r="CX123" s="62">
        <v>7.4999999999999997E-3</v>
      </c>
      <c r="CY123" s="62">
        <v>-0.63</v>
      </c>
      <c r="CZ123" s="62">
        <v>0</v>
      </c>
      <c r="DA123" s="62">
        <v>-0.45</v>
      </c>
      <c r="DB123" s="62">
        <v>0</v>
      </c>
      <c r="DC123" s="62">
        <v>1.05</v>
      </c>
      <c r="DE123" s="62">
        <v>-4.8500000000000001E-2</v>
      </c>
      <c r="DF123" s="62">
        <v>0.01</v>
      </c>
      <c r="DG123" s="62">
        <v>1.15E-2</v>
      </c>
      <c r="DH123" s="62">
        <v>0.01</v>
      </c>
      <c r="DI123" s="62">
        <v>-6.0000000000000001E-3</v>
      </c>
      <c r="DJ123" s="62">
        <v>7.4999999999999997E-3</v>
      </c>
      <c r="DK123" s="62">
        <v>-4.5499999999999999E-2</v>
      </c>
      <c r="DL123" s="62">
        <v>5.0000000000000001E-3</v>
      </c>
      <c r="DM123" s="62">
        <v>-5.7000000000000002E-2</v>
      </c>
      <c r="DN123" s="62">
        <v>2.5000000000000001E-3</v>
      </c>
      <c r="DO123" s="62">
        <v>-7.9500000000000001E-2</v>
      </c>
      <c r="DP123" s="62">
        <v>2.5000000000000001E-3</v>
      </c>
      <c r="DQ123" s="62">
        <v>-7.5499999999999998E-2</v>
      </c>
      <c r="DR123" s="62">
        <v>-5.0000000000000001E-3</v>
      </c>
      <c r="DS123" s="62">
        <v>0.35</v>
      </c>
      <c r="DT123" s="62">
        <v>-5.0000000000000001E-3</v>
      </c>
      <c r="DU123" s="62">
        <v>0</v>
      </c>
      <c r="DV123" s="62">
        <v>0</v>
      </c>
    </row>
    <row r="124" spans="4:126" x14ac:dyDescent="0.25">
      <c r="D124" s="91">
        <v>40422</v>
      </c>
      <c r="F124" s="89">
        <v>3.7770000000000001</v>
      </c>
      <c r="G124" s="90">
        <v>6.0300302090020401E-2</v>
      </c>
      <c r="H124" s="89">
        <v>0.185</v>
      </c>
      <c r="I124" s="89">
        <v>0.55000000000000004</v>
      </c>
      <c r="J124" s="89">
        <v>0.55000000000000004</v>
      </c>
      <c r="K124" s="89">
        <v>0.55000000000000004</v>
      </c>
      <c r="L124" s="87">
        <v>0.55000000000000004</v>
      </c>
      <c r="M124" s="87">
        <v>0.55000000000000004</v>
      </c>
      <c r="N124" s="89">
        <v>0.6</v>
      </c>
      <c r="O124" s="89">
        <v>0.6</v>
      </c>
      <c r="P124" s="89">
        <v>0.55000000000000004</v>
      </c>
      <c r="Q124" s="89">
        <v>0.5</v>
      </c>
      <c r="R124" s="90">
        <v>0.55000000000000004</v>
      </c>
      <c r="S124" s="90">
        <v>0.6</v>
      </c>
      <c r="T124" s="89">
        <v>0.55000000000000004</v>
      </c>
      <c r="U124" s="89">
        <v>0.6</v>
      </c>
      <c r="V124" s="89">
        <v>0.65</v>
      </c>
      <c r="W124" s="89">
        <v>-0.09</v>
      </c>
      <c r="X124" s="89">
        <v>0</v>
      </c>
      <c r="Y124" s="89">
        <v>0.04</v>
      </c>
      <c r="Z124" s="89">
        <v>5.0000000000000001E-3</v>
      </c>
      <c r="AA124" s="89">
        <v>0.17499999999999999</v>
      </c>
      <c r="AB124" s="89">
        <v>0</v>
      </c>
      <c r="AC124" s="89">
        <v>0.14000000000000001</v>
      </c>
      <c r="AD124" s="89">
        <v>0</v>
      </c>
      <c r="AE124" s="89">
        <v>0.17499999999999999</v>
      </c>
      <c r="AF124" s="89">
        <v>0</v>
      </c>
      <c r="AG124" s="89">
        <v>0.14000000000000001</v>
      </c>
      <c r="AH124" s="89">
        <v>0</v>
      </c>
      <c r="AI124" s="89">
        <v>0.14000000000000001</v>
      </c>
      <c r="AJ124" s="89">
        <v>0</v>
      </c>
      <c r="AK124" s="89">
        <v>0.04</v>
      </c>
      <c r="AL124" s="89">
        <v>0.04</v>
      </c>
      <c r="AM124" s="89">
        <v>-5.1999999999999998E-2</v>
      </c>
      <c r="AN124" s="89">
        <v>2.3E-2</v>
      </c>
      <c r="AO124" s="89">
        <v>-0.55000000000000004</v>
      </c>
      <c r="AP124" s="89">
        <v>0.155</v>
      </c>
      <c r="AQ124" s="89">
        <v>-4.7E-2</v>
      </c>
      <c r="AR124" s="89">
        <v>0</v>
      </c>
      <c r="AS124" s="89">
        <v>-0.15</v>
      </c>
      <c r="AT124" s="89">
        <v>-1.4999999999999999E-2</v>
      </c>
      <c r="AU124" s="89">
        <v>-0.11</v>
      </c>
      <c r="AV124" s="89">
        <v>0.02</v>
      </c>
      <c r="AW124" s="89">
        <v>-4.7E-2</v>
      </c>
      <c r="AX124" s="89">
        <v>1.2E-2</v>
      </c>
      <c r="AY124" s="90">
        <v>0.125</v>
      </c>
      <c r="AZ124" s="90">
        <v>0</v>
      </c>
      <c r="BA124" s="90">
        <v>-0.19500000000000001</v>
      </c>
      <c r="BB124" s="89">
        <v>2.5000000000000001E-3</v>
      </c>
      <c r="BC124" s="89">
        <v>-7.0000000000000007E-2</v>
      </c>
      <c r="BD124" s="89">
        <v>5.0000000000000001E-3</v>
      </c>
      <c r="BE124" s="89">
        <v>0.26</v>
      </c>
      <c r="BF124" s="89">
        <v>0.04</v>
      </c>
      <c r="BG124" s="89">
        <v>-0.06</v>
      </c>
      <c r="BH124" s="89">
        <v>0</v>
      </c>
      <c r="BI124" s="89">
        <v>0</v>
      </c>
      <c r="BJ124" s="62">
        <v>0.03</v>
      </c>
      <c r="BK124" s="62">
        <v>0.26</v>
      </c>
      <c r="BL124" s="62">
        <v>0.04</v>
      </c>
      <c r="BM124" s="62">
        <v>-0.2</v>
      </c>
      <c r="BN124" s="62">
        <v>0</v>
      </c>
      <c r="BO124" s="62">
        <v>-0.37</v>
      </c>
      <c r="BP124" s="62">
        <v>0</v>
      </c>
      <c r="BQ124" s="62">
        <v>0.5</v>
      </c>
      <c r="BR124" s="62">
        <v>0.04</v>
      </c>
      <c r="BS124" s="62">
        <v>-7.0000000000000007E-2</v>
      </c>
      <c r="BT124" s="62">
        <v>5.0000000000000001E-3</v>
      </c>
      <c r="BU124" s="62">
        <v>0.3</v>
      </c>
      <c r="BV124" s="62">
        <v>0</v>
      </c>
      <c r="BW124" s="62">
        <v>0</v>
      </c>
      <c r="BX124" s="62">
        <v>0</v>
      </c>
      <c r="BY124" s="62">
        <v>-1.4999999999999999E-2</v>
      </c>
      <c r="BZ124" s="62">
        <v>5.7500000000000002E-2</v>
      </c>
      <c r="CA124" s="62">
        <v>0.125</v>
      </c>
      <c r="CB124" s="62">
        <v>5.0000000000000001E-3</v>
      </c>
      <c r="CC124" s="62">
        <v>-1.4999999999999999E-2</v>
      </c>
      <c r="CD124" s="62">
        <v>3.5000000000000001E-3</v>
      </c>
      <c r="CE124" s="62">
        <v>2.5000000000000001E-3</v>
      </c>
      <c r="CF124" s="62">
        <v>2.5000000000000001E-3</v>
      </c>
      <c r="CG124" s="62">
        <v>-1.4999999999999999E-2</v>
      </c>
      <c r="CH124" s="62">
        <v>3.5000000000000001E-3</v>
      </c>
      <c r="CI124" s="62">
        <v>-7.5499999999999998E-2</v>
      </c>
      <c r="CJ124" s="62">
        <v>2.5000000000000001E-3</v>
      </c>
      <c r="CK124" s="62">
        <v>7.7499999999999999E-2</v>
      </c>
      <c r="CL124" s="62">
        <v>2.5000000000000001E-3</v>
      </c>
      <c r="CM124" s="62">
        <v>-7.1999999999999995E-2</v>
      </c>
      <c r="CN124" s="62">
        <v>7.4999999999999997E-3</v>
      </c>
      <c r="CO124" s="62">
        <v>-1.7000000000000001E-2</v>
      </c>
      <c r="CP124" s="62">
        <v>5.0000000000000001E-3</v>
      </c>
      <c r="CQ124" s="62">
        <v>2.3E-2</v>
      </c>
      <c r="CR124" s="62">
        <v>7.4999999999999997E-3</v>
      </c>
      <c r="CS124" s="62">
        <v>0.36</v>
      </c>
      <c r="CT124" s="62">
        <v>0.01</v>
      </c>
      <c r="CU124" s="62">
        <v>-0.2</v>
      </c>
      <c r="CV124" s="62">
        <v>0</v>
      </c>
      <c r="CW124" s="62">
        <v>0.14499999999999999</v>
      </c>
      <c r="CX124" s="62">
        <v>7.4999999999999997E-3</v>
      </c>
      <c r="CY124" s="62">
        <v>-0.63</v>
      </c>
      <c r="CZ124" s="62">
        <v>0</v>
      </c>
      <c r="DA124" s="62">
        <v>-0.45</v>
      </c>
      <c r="DB124" s="62">
        <v>0</v>
      </c>
      <c r="DC124" s="62">
        <v>0.75</v>
      </c>
      <c r="DE124" s="62">
        <v>-5.3499999999999999E-2</v>
      </c>
      <c r="DF124" s="62">
        <v>0.01</v>
      </c>
      <c r="DG124" s="62">
        <v>1.15E-2</v>
      </c>
      <c r="DH124" s="62">
        <v>0.01</v>
      </c>
      <c r="DI124" s="62">
        <v>-6.0000000000000001E-3</v>
      </c>
      <c r="DJ124" s="62">
        <v>7.4999999999999997E-3</v>
      </c>
      <c r="DK124" s="62">
        <v>-5.5500000000000001E-2</v>
      </c>
      <c r="DL124" s="62">
        <v>5.0000000000000001E-3</v>
      </c>
      <c r="DM124" s="62">
        <v>-5.7000000000000002E-2</v>
      </c>
      <c r="DN124" s="62">
        <v>2.5000000000000001E-3</v>
      </c>
      <c r="DO124" s="62">
        <v>-7.9500000000000001E-2</v>
      </c>
      <c r="DP124" s="62">
        <v>2.5000000000000001E-3</v>
      </c>
      <c r="DQ124" s="62">
        <v>-8.5500000000000007E-2</v>
      </c>
      <c r="DR124" s="62">
        <v>-5.0000000000000001E-3</v>
      </c>
      <c r="DS124" s="62">
        <v>0.315</v>
      </c>
      <c r="DT124" s="62">
        <v>-5.0000000000000001E-3</v>
      </c>
      <c r="DU124" s="62">
        <v>0</v>
      </c>
      <c r="DV124" s="62">
        <v>0</v>
      </c>
    </row>
    <row r="125" spans="4:126" x14ac:dyDescent="0.25">
      <c r="D125" s="91">
        <v>40452</v>
      </c>
      <c r="F125" s="89">
        <v>3.802</v>
      </c>
      <c r="G125" s="90">
        <v>6.0405895318271299E-2</v>
      </c>
      <c r="H125" s="89">
        <v>0.185</v>
      </c>
      <c r="I125" s="89">
        <v>0.6</v>
      </c>
      <c r="J125" s="89">
        <v>0.6</v>
      </c>
      <c r="K125" s="89">
        <v>0.55000000000000004</v>
      </c>
      <c r="L125" s="87">
        <v>0.6</v>
      </c>
      <c r="M125" s="87">
        <v>0.6</v>
      </c>
      <c r="N125" s="89">
        <v>0.65</v>
      </c>
      <c r="O125" s="89">
        <v>0.65</v>
      </c>
      <c r="P125" s="89">
        <v>0.6</v>
      </c>
      <c r="Q125" s="89">
        <v>0.5</v>
      </c>
      <c r="R125" s="90">
        <v>0.6</v>
      </c>
      <c r="S125" s="90">
        <v>0.65</v>
      </c>
      <c r="T125" s="89">
        <v>0.6</v>
      </c>
      <c r="U125" s="89">
        <v>0.65</v>
      </c>
      <c r="V125" s="89">
        <v>0.7</v>
      </c>
      <c r="W125" s="89">
        <v>-0.09</v>
      </c>
      <c r="X125" s="89">
        <v>0</v>
      </c>
      <c r="Y125" s="89">
        <v>0.04</v>
      </c>
      <c r="Z125" s="89">
        <v>5.0000000000000001E-3</v>
      </c>
      <c r="AA125" s="89">
        <v>0.17499999999999999</v>
      </c>
      <c r="AB125" s="89">
        <v>0</v>
      </c>
      <c r="AC125" s="89">
        <v>0.14000000000000001</v>
      </c>
      <c r="AD125" s="89">
        <v>0</v>
      </c>
      <c r="AE125" s="89">
        <v>0.17499999999999999</v>
      </c>
      <c r="AF125" s="89">
        <v>0</v>
      </c>
      <c r="AG125" s="89">
        <v>0.14000000000000001</v>
      </c>
      <c r="AH125" s="89">
        <v>0</v>
      </c>
      <c r="AI125" s="89">
        <v>0.14000000000000001</v>
      </c>
      <c r="AJ125" s="89">
        <v>0</v>
      </c>
      <c r="AK125" s="89">
        <v>0.04</v>
      </c>
      <c r="AL125" s="89">
        <v>0.04</v>
      </c>
      <c r="AM125" s="89">
        <v>-5.1999999999999998E-2</v>
      </c>
      <c r="AN125" s="89">
        <v>2.3E-2</v>
      </c>
      <c r="AO125" s="89">
        <v>-0.55000000000000004</v>
      </c>
      <c r="AP125" s="89">
        <v>0.155</v>
      </c>
      <c r="AQ125" s="89">
        <v>-4.7E-2</v>
      </c>
      <c r="AR125" s="89">
        <v>0</v>
      </c>
      <c r="AS125" s="89">
        <v>-0.15</v>
      </c>
      <c r="AT125" s="89">
        <v>-1.4999999999999999E-2</v>
      </c>
      <c r="AU125" s="89">
        <v>-0.11</v>
      </c>
      <c r="AV125" s="89">
        <v>0.02</v>
      </c>
      <c r="AW125" s="89">
        <v>-4.7E-2</v>
      </c>
      <c r="AX125" s="89">
        <v>1.2E-2</v>
      </c>
      <c r="AY125" s="90">
        <v>0.125</v>
      </c>
      <c r="AZ125" s="90">
        <v>0</v>
      </c>
      <c r="BA125" s="90">
        <v>-0.19500000000000001</v>
      </c>
      <c r="BB125" s="89">
        <v>2.5000000000000001E-3</v>
      </c>
      <c r="BC125" s="89">
        <v>-7.0000000000000007E-2</v>
      </c>
      <c r="BD125" s="89">
        <v>5.0000000000000001E-3</v>
      </c>
      <c r="BE125" s="89">
        <v>0.26</v>
      </c>
      <c r="BF125" s="89">
        <v>0.04</v>
      </c>
      <c r="BG125" s="89">
        <v>-0.06</v>
      </c>
      <c r="BH125" s="89">
        <v>0</v>
      </c>
      <c r="BI125" s="89">
        <v>0</v>
      </c>
      <c r="BJ125" s="62">
        <v>0.03</v>
      </c>
      <c r="BK125" s="62">
        <v>0.26</v>
      </c>
      <c r="BL125" s="62">
        <v>0.04</v>
      </c>
      <c r="BM125" s="62">
        <v>-0.2</v>
      </c>
      <c r="BN125" s="62">
        <v>0</v>
      </c>
      <c r="BO125" s="62">
        <v>-0.37</v>
      </c>
      <c r="BP125" s="62">
        <v>0</v>
      </c>
      <c r="BQ125" s="62">
        <v>0.5</v>
      </c>
      <c r="BR125" s="62">
        <v>0.04</v>
      </c>
      <c r="BS125" s="62">
        <v>-7.0000000000000007E-2</v>
      </c>
      <c r="BT125" s="62">
        <v>5.0000000000000001E-3</v>
      </c>
      <c r="BU125" s="62">
        <v>0.3</v>
      </c>
      <c r="BV125" s="62">
        <v>0</v>
      </c>
      <c r="BW125" s="62">
        <v>0</v>
      </c>
      <c r="BX125" s="62">
        <v>0</v>
      </c>
      <c r="BY125" s="62">
        <v>-1.4999999999999999E-2</v>
      </c>
      <c r="BZ125" s="62">
        <v>5.7500000000000002E-2</v>
      </c>
      <c r="CA125" s="62">
        <v>0.14499999999999999</v>
      </c>
      <c r="CB125" s="62">
        <v>5.0000000000000001E-3</v>
      </c>
      <c r="CC125" s="62">
        <v>-1.4999999999999999E-2</v>
      </c>
      <c r="CD125" s="62">
        <v>3.5000000000000001E-3</v>
      </c>
      <c r="CE125" s="62">
        <v>2.5000000000000001E-3</v>
      </c>
      <c r="CF125" s="62">
        <v>2.5000000000000001E-3</v>
      </c>
      <c r="CG125" s="62">
        <v>-1.4999999999999999E-2</v>
      </c>
      <c r="CH125" s="62">
        <v>3.5000000000000001E-3</v>
      </c>
      <c r="CI125" s="62">
        <v>-7.8E-2</v>
      </c>
      <c r="CJ125" s="62">
        <v>2.5000000000000001E-3</v>
      </c>
      <c r="CK125" s="62">
        <v>7.7499999999999999E-2</v>
      </c>
      <c r="CL125" s="62">
        <v>2.5000000000000001E-3</v>
      </c>
      <c r="CM125" s="62">
        <v>-7.1999999999999995E-2</v>
      </c>
      <c r="CN125" s="62">
        <v>7.4999999999999997E-3</v>
      </c>
      <c r="CO125" s="62">
        <v>-1.7000000000000001E-2</v>
      </c>
      <c r="CP125" s="62">
        <v>5.0000000000000001E-3</v>
      </c>
      <c r="CQ125" s="62">
        <v>2.3E-2</v>
      </c>
      <c r="CR125" s="62">
        <v>7.4999999999999997E-3</v>
      </c>
      <c r="CS125" s="62">
        <v>0.4</v>
      </c>
      <c r="CT125" s="62">
        <v>0.01</v>
      </c>
      <c r="CU125" s="62">
        <v>-0.2</v>
      </c>
      <c r="CV125" s="62">
        <v>0</v>
      </c>
      <c r="CW125" s="62">
        <v>0.17499999999999999</v>
      </c>
      <c r="CX125" s="62">
        <v>7.4999999999999997E-3</v>
      </c>
      <c r="CY125" s="62">
        <v>-0.63</v>
      </c>
      <c r="CZ125" s="62">
        <v>0</v>
      </c>
      <c r="DA125" s="62">
        <v>-0.45</v>
      </c>
      <c r="DB125" s="62">
        <v>0</v>
      </c>
      <c r="DC125" s="62">
        <v>0.45</v>
      </c>
      <c r="DE125" s="62">
        <v>-5.3499999999999999E-2</v>
      </c>
      <c r="DF125" s="62">
        <v>0.01</v>
      </c>
      <c r="DG125" s="62">
        <v>8.9999999999999993E-3</v>
      </c>
      <c r="DH125" s="62">
        <v>0.01</v>
      </c>
      <c r="DI125" s="62">
        <v>-8.5000000000000006E-3</v>
      </c>
      <c r="DJ125" s="62">
        <v>7.4999999999999997E-3</v>
      </c>
      <c r="DK125" s="62">
        <v>-4.2999999999999997E-2</v>
      </c>
      <c r="DL125" s="62">
        <v>5.0000000000000001E-3</v>
      </c>
      <c r="DM125" s="62">
        <v>-5.7000000000000002E-2</v>
      </c>
      <c r="DN125" s="62">
        <v>2.5000000000000001E-3</v>
      </c>
      <c r="DO125" s="62">
        <v>-7.9500000000000001E-2</v>
      </c>
      <c r="DP125" s="62">
        <v>2.5000000000000001E-3</v>
      </c>
      <c r="DQ125" s="62">
        <v>-7.2999999999999995E-2</v>
      </c>
      <c r="DR125" s="62">
        <v>-5.0000000000000001E-3</v>
      </c>
      <c r="DS125" s="62">
        <v>0.36</v>
      </c>
      <c r="DT125" s="62">
        <v>-5.0000000000000001E-3</v>
      </c>
      <c r="DU125" s="62">
        <v>0</v>
      </c>
      <c r="DV125" s="62">
        <v>0</v>
      </c>
    </row>
    <row r="126" spans="4:126" x14ac:dyDescent="0.25">
      <c r="D126" s="91">
        <v>40483</v>
      </c>
      <c r="F126" s="89">
        <v>3.9540000000000002</v>
      </c>
      <c r="G126" s="90">
        <v>6.0515008324689E-2</v>
      </c>
      <c r="H126" s="89">
        <v>0.185</v>
      </c>
      <c r="I126" s="89">
        <v>0.8</v>
      </c>
      <c r="J126" s="89">
        <v>0.85</v>
      </c>
      <c r="K126" s="89">
        <v>0.8</v>
      </c>
      <c r="L126" s="87">
        <v>0.8</v>
      </c>
      <c r="M126" s="87">
        <v>0.9</v>
      </c>
      <c r="N126" s="89">
        <v>0.95</v>
      </c>
      <c r="O126" s="89">
        <v>0.85</v>
      </c>
      <c r="P126" s="89">
        <v>0.8</v>
      </c>
      <c r="Q126" s="89">
        <v>0.95</v>
      </c>
      <c r="R126" s="90">
        <v>0.8</v>
      </c>
      <c r="S126" s="90">
        <v>0.8</v>
      </c>
      <c r="T126" s="89">
        <v>0.8</v>
      </c>
      <c r="U126" s="89">
        <v>0.95</v>
      </c>
      <c r="V126" s="89">
        <v>0.9</v>
      </c>
      <c r="W126" s="89">
        <v>0</v>
      </c>
      <c r="X126" s="89">
        <v>0.03</v>
      </c>
      <c r="Y126" s="89">
        <v>0.13</v>
      </c>
      <c r="Z126" s="89">
        <v>0.02</v>
      </c>
      <c r="AA126" s="89">
        <v>0.28999999999999998</v>
      </c>
      <c r="AB126" s="89">
        <v>0</v>
      </c>
      <c r="AC126" s="89">
        <v>0.34</v>
      </c>
      <c r="AD126" s="89">
        <v>0</v>
      </c>
      <c r="AE126" s="89">
        <v>0.28999999999999998</v>
      </c>
      <c r="AF126" s="89">
        <v>0</v>
      </c>
      <c r="AG126" s="89">
        <v>0.17</v>
      </c>
      <c r="AH126" s="89">
        <v>0</v>
      </c>
      <c r="AI126" s="89">
        <v>0.15112</v>
      </c>
      <c r="AJ126" s="89">
        <v>0</v>
      </c>
      <c r="AK126" s="89">
        <v>0.13</v>
      </c>
      <c r="AL126" s="89">
        <v>3.5000000000000003E-2</v>
      </c>
      <c r="AM126" s="89">
        <v>-6.6500000000000004E-2</v>
      </c>
      <c r="AN126" s="89">
        <v>1.7999999999999999E-2</v>
      </c>
      <c r="AO126" s="89">
        <v>-0.51</v>
      </c>
      <c r="AP126" s="89">
        <v>0.155</v>
      </c>
      <c r="AQ126" s="89">
        <v>-4.65E-2</v>
      </c>
      <c r="AR126" s="89">
        <v>5.0000000000000001E-3</v>
      </c>
      <c r="AS126" s="89">
        <v>-0.15</v>
      </c>
      <c r="AT126" s="89">
        <v>-5.0000000000000001E-3</v>
      </c>
      <c r="AU126" s="89">
        <v>-0.11</v>
      </c>
      <c r="AV126" s="89">
        <v>-0.01</v>
      </c>
      <c r="AW126" s="89">
        <v>-4.65E-2</v>
      </c>
      <c r="AX126" s="89">
        <v>2.1999999999999999E-2</v>
      </c>
      <c r="AY126" s="90">
        <v>0.155</v>
      </c>
      <c r="AZ126" s="90">
        <v>0</v>
      </c>
      <c r="BA126" s="90">
        <v>-0.13</v>
      </c>
      <c r="BB126" s="89">
        <v>5.0000000000000001E-3</v>
      </c>
      <c r="BC126" s="89">
        <v>-7.0000000000000007E-2</v>
      </c>
      <c r="BD126" s="89">
        <v>5.0000000000000001E-3</v>
      </c>
      <c r="BE126" s="89">
        <v>0.35</v>
      </c>
      <c r="BF126" s="89">
        <v>4.2000000000000003E-2</v>
      </c>
      <c r="BG126" s="89">
        <v>-0.06</v>
      </c>
      <c r="BH126" s="89">
        <v>0</v>
      </c>
      <c r="BI126" s="89">
        <v>0</v>
      </c>
      <c r="BJ126" s="62">
        <v>0.03</v>
      </c>
      <c r="BK126" s="62">
        <v>0.35</v>
      </c>
      <c r="BL126" s="62">
        <v>4.2000000000000003E-2</v>
      </c>
      <c r="BM126" s="62">
        <v>0.29799999999999999</v>
      </c>
      <c r="BN126" s="62">
        <v>0</v>
      </c>
      <c r="BO126" s="62">
        <v>-0.26</v>
      </c>
      <c r="BP126" s="62">
        <v>0</v>
      </c>
      <c r="BQ126" s="62">
        <v>0.5</v>
      </c>
      <c r="BR126" s="62">
        <v>4.2000000000000003E-2</v>
      </c>
      <c r="BS126" s="62">
        <v>-7.0000000000000007E-2</v>
      </c>
      <c r="BT126" s="62">
        <v>5.0000000000000001E-3</v>
      </c>
      <c r="BU126" s="62">
        <v>0.3</v>
      </c>
      <c r="BV126" s="62">
        <v>0</v>
      </c>
      <c r="BW126" s="62">
        <v>0</v>
      </c>
      <c r="BX126" s="62">
        <v>0</v>
      </c>
      <c r="BY126" s="62">
        <v>-1.4999999999999999E-2</v>
      </c>
      <c r="BZ126" s="62">
        <v>5.7500000000000002E-2</v>
      </c>
      <c r="CA126" s="62">
        <v>0.19500000000000001</v>
      </c>
      <c r="CB126" s="62">
        <v>5.0000000000000001E-3</v>
      </c>
      <c r="CC126" s="62">
        <v>-1.4999999999999999E-2</v>
      </c>
      <c r="CD126" s="62">
        <v>3.7000000000000002E-3</v>
      </c>
      <c r="CE126" s="62">
        <v>2.5000000000000001E-3</v>
      </c>
      <c r="CF126" s="62">
        <v>2.5000000000000001E-3</v>
      </c>
      <c r="CG126" s="62">
        <v>-1.4999999999999999E-2</v>
      </c>
      <c r="CH126" s="62">
        <v>3.7000000000000002E-3</v>
      </c>
      <c r="CI126" s="62">
        <v>-8.3000000000000004E-2</v>
      </c>
      <c r="CJ126" s="62">
        <v>2.5000000000000001E-3</v>
      </c>
      <c r="CK126" s="62">
        <v>7.4999999999999997E-2</v>
      </c>
      <c r="CL126" s="62">
        <v>2.5000000000000001E-3</v>
      </c>
      <c r="CM126" s="62">
        <v>-6.4000000000000001E-2</v>
      </c>
      <c r="CN126" s="62">
        <v>0.01</v>
      </c>
      <c r="CO126" s="62">
        <v>-8.9999989999999998E-3</v>
      </c>
      <c r="CP126" s="62">
        <v>7.4999999999999997E-3</v>
      </c>
      <c r="CQ126" s="62">
        <v>3.1E-2</v>
      </c>
      <c r="CR126" s="62">
        <v>1.2500000000000001E-2</v>
      </c>
      <c r="CS126" s="62">
        <v>0.65</v>
      </c>
      <c r="CT126" s="62">
        <v>5.5E-2</v>
      </c>
      <c r="CU126" s="62">
        <v>0.29799999999999999</v>
      </c>
      <c r="CV126" s="62">
        <v>0</v>
      </c>
      <c r="CW126" s="62">
        <v>0.21</v>
      </c>
      <c r="CX126" s="62">
        <v>0.02</v>
      </c>
      <c r="CY126" s="62">
        <v>-0.52</v>
      </c>
      <c r="CZ126" s="62">
        <v>0</v>
      </c>
      <c r="DA126" s="62">
        <v>-0.34</v>
      </c>
      <c r="DB126" s="62">
        <v>0</v>
      </c>
      <c r="DC126" s="62">
        <v>0.45</v>
      </c>
      <c r="DE126" s="62">
        <v>-4.2000000000000003E-2</v>
      </c>
      <c r="DF126" s="62">
        <v>1.2500000000000001E-2</v>
      </c>
      <c r="DG126" s="62">
        <v>0.01</v>
      </c>
      <c r="DH126" s="62">
        <v>7.4999999999999997E-3</v>
      </c>
      <c r="DI126" s="62">
        <v>-7.4999999999999997E-3</v>
      </c>
      <c r="DJ126" s="62">
        <v>2.5000000000000001E-3</v>
      </c>
      <c r="DK126" s="62">
        <v>-4.8000000000000001E-2</v>
      </c>
      <c r="DL126" s="62">
        <v>2.5000000000000001E-3</v>
      </c>
      <c r="DM126" s="62">
        <v>-5.9499999999999997E-2</v>
      </c>
      <c r="DN126" s="62">
        <v>2.5000000000000001E-3</v>
      </c>
      <c r="DO126" s="62">
        <v>-8.2000000000000003E-2</v>
      </c>
      <c r="DP126" s="62">
        <v>2.5000000000000001E-3</v>
      </c>
      <c r="DQ126" s="62">
        <v>-7.8E-2</v>
      </c>
      <c r="DR126" s="62">
        <v>-5.0000000000000001E-3</v>
      </c>
      <c r="DS126" s="62">
        <v>0.46</v>
      </c>
      <c r="DT126" s="62">
        <v>0.05</v>
      </c>
      <c r="DU126" s="62">
        <v>0</v>
      </c>
      <c r="DV126" s="62">
        <v>0</v>
      </c>
    </row>
    <row r="127" spans="4:126" x14ac:dyDescent="0.25">
      <c r="D127" s="91">
        <v>40513</v>
      </c>
      <c r="F127" s="89">
        <v>4.0970000000000004</v>
      </c>
      <c r="G127" s="90">
        <v>6.0620601560471297E-2</v>
      </c>
      <c r="H127" s="89">
        <v>0.185</v>
      </c>
      <c r="I127" s="89">
        <v>1</v>
      </c>
      <c r="J127" s="89">
        <v>1.05</v>
      </c>
      <c r="K127" s="89">
        <v>1</v>
      </c>
      <c r="L127" s="87">
        <v>1</v>
      </c>
      <c r="M127" s="87">
        <v>1.1499999999999999</v>
      </c>
      <c r="N127" s="89">
        <v>1.25</v>
      </c>
      <c r="O127" s="89">
        <v>1.05</v>
      </c>
      <c r="P127" s="89">
        <v>1</v>
      </c>
      <c r="Q127" s="89">
        <v>1.35</v>
      </c>
      <c r="R127" s="90">
        <v>1</v>
      </c>
      <c r="S127" s="90">
        <v>1.1000000000000001</v>
      </c>
      <c r="T127" s="89">
        <v>1</v>
      </c>
      <c r="U127" s="89">
        <v>1.25</v>
      </c>
      <c r="V127" s="89">
        <v>1.1000000000000001</v>
      </c>
      <c r="W127" s="89">
        <v>5.0000000000000001E-3</v>
      </c>
      <c r="X127" s="89">
        <v>0.03</v>
      </c>
      <c r="Y127" s="89">
        <v>0.13</v>
      </c>
      <c r="Z127" s="89">
        <v>0.02</v>
      </c>
      <c r="AA127" s="89">
        <v>0.28999999999999998</v>
      </c>
      <c r="AB127" s="89">
        <v>0</v>
      </c>
      <c r="AC127" s="89">
        <v>0.34</v>
      </c>
      <c r="AD127" s="89">
        <v>0</v>
      </c>
      <c r="AE127" s="89">
        <v>0.28999999999999998</v>
      </c>
      <c r="AF127" s="89">
        <v>0</v>
      </c>
      <c r="AG127" s="89">
        <v>0.17</v>
      </c>
      <c r="AH127" s="89">
        <v>0</v>
      </c>
      <c r="AI127" s="89">
        <v>0.15623999999999999</v>
      </c>
      <c r="AJ127" s="89">
        <v>0</v>
      </c>
      <c r="AK127" s="89">
        <v>0.13</v>
      </c>
      <c r="AL127" s="89">
        <v>3.5000000000000003E-2</v>
      </c>
      <c r="AM127" s="89">
        <v>-6.6500000000000004E-2</v>
      </c>
      <c r="AN127" s="89">
        <v>1.7999999999999999E-2</v>
      </c>
      <c r="AO127" s="89">
        <v>-0.51</v>
      </c>
      <c r="AP127" s="89">
        <v>0.155</v>
      </c>
      <c r="AQ127" s="89">
        <v>-4.65E-2</v>
      </c>
      <c r="AR127" s="89">
        <v>5.0000000000000001E-3</v>
      </c>
      <c r="AS127" s="89">
        <v>-0.1525</v>
      </c>
      <c r="AT127" s="89">
        <v>-5.0000000000000001E-3</v>
      </c>
      <c r="AU127" s="89">
        <v>-0.1125</v>
      </c>
      <c r="AV127" s="89">
        <v>-0.01</v>
      </c>
      <c r="AW127" s="89">
        <v>-4.65E-2</v>
      </c>
      <c r="AX127" s="89">
        <v>2.1999999999999999E-2</v>
      </c>
      <c r="AY127" s="90">
        <v>0.155</v>
      </c>
      <c r="AZ127" s="90">
        <v>0</v>
      </c>
      <c r="BA127" s="90">
        <v>-0.13</v>
      </c>
      <c r="BB127" s="89">
        <v>5.0000000000000001E-3</v>
      </c>
      <c r="BC127" s="89">
        <v>-7.0000000000000007E-2</v>
      </c>
      <c r="BD127" s="89">
        <v>5.0000000000000001E-3</v>
      </c>
      <c r="BE127" s="89">
        <v>0.35</v>
      </c>
      <c r="BF127" s="89">
        <v>4.2000000000000003E-2</v>
      </c>
      <c r="BG127" s="89">
        <v>-0.06</v>
      </c>
      <c r="BH127" s="89">
        <v>0</v>
      </c>
      <c r="BI127" s="89">
        <v>0</v>
      </c>
      <c r="BJ127" s="62">
        <v>0.03</v>
      </c>
      <c r="BK127" s="62">
        <v>0.35</v>
      </c>
      <c r="BL127" s="62">
        <v>4.2000000000000003E-2</v>
      </c>
      <c r="BM127" s="62">
        <v>0.35799999999999998</v>
      </c>
      <c r="BN127" s="62">
        <v>0</v>
      </c>
      <c r="BO127" s="62">
        <v>-0.26</v>
      </c>
      <c r="BP127" s="62">
        <v>0</v>
      </c>
      <c r="BQ127" s="62">
        <v>0.5</v>
      </c>
      <c r="BR127" s="62">
        <v>4.2000000000000003E-2</v>
      </c>
      <c r="BS127" s="62">
        <v>-7.0000000000000007E-2</v>
      </c>
      <c r="BT127" s="62">
        <v>5.0000000000000001E-3</v>
      </c>
      <c r="BU127" s="62">
        <v>0.3</v>
      </c>
      <c r="BV127" s="62">
        <v>0</v>
      </c>
      <c r="BW127" s="62">
        <v>0</v>
      </c>
      <c r="BX127" s="62">
        <v>0</v>
      </c>
      <c r="BY127" s="62">
        <v>-1.4999999999999999E-2</v>
      </c>
      <c r="BZ127" s="62">
        <v>5.7500000000000002E-2</v>
      </c>
      <c r="CA127" s="62">
        <v>0.215</v>
      </c>
      <c r="CB127" s="62">
        <v>5.0000000000000001E-3</v>
      </c>
      <c r="CC127" s="62">
        <v>-1.4999999999999999E-2</v>
      </c>
      <c r="CD127" s="62">
        <v>3.7000000000000002E-3</v>
      </c>
      <c r="CE127" s="62">
        <v>2.5000000000000001E-3</v>
      </c>
      <c r="CF127" s="62">
        <v>2.5000000000000001E-3</v>
      </c>
      <c r="CG127" s="62">
        <v>-1.4999999999999999E-2</v>
      </c>
      <c r="CH127" s="62">
        <v>3.7000000000000002E-3</v>
      </c>
      <c r="CI127" s="62">
        <v>-0.1105</v>
      </c>
      <c r="CJ127" s="62">
        <v>2.5000000000000001E-3</v>
      </c>
      <c r="CK127" s="62">
        <v>7.4999999999999997E-2</v>
      </c>
      <c r="CL127" s="62">
        <v>2.5000000000000001E-3</v>
      </c>
      <c r="CM127" s="62">
        <v>-6.4000000000000001E-2</v>
      </c>
      <c r="CN127" s="62">
        <v>0.01</v>
      </c>
      <c r="CO127" s="62">
        <v>-8.9999989999999998E-3</v>
      </c>
      <c r="CP127" s="62">
        <v>7.4999999999999997E-3</v>
      </c>
      <c r="CQ127" s="62">
        <v>3.1E-2</v>
      </c>
      <c r="CR127" s="62">
        <v>1.2500000000000001E-2</v>
      </c>
      <c r="CS127" s="62">
        <v>0.98</v>
      </c>
      <c r="CT127" s="62">
        <v>0.25</v>
      </c>
      <c r="CU127" s="62">
        <v>0.35799999999999998</v>
      </c>
      <c r="CV127" s="62">
        <v>0</v>
      </c>
      <c r="CW127" s="62">
        <v>0.28999999999999998</v>
      </c>
      <c r="CX127" s="62">
        <v>0.02</v>
      </c>
      <c r="CY127" s="62">
        <v>-0.52</v>
      </c>
      <c r="CZ127" s="62">
        <v>0</v>
      </c>
      <c r="DA127" s="62">
        <v>-0.34</v>
      </c>
      <c r="DB127" s="62">
        <v>0</v>
      </c>
      <c r="DC127" s="62">
        <v>0.4</v>
      </c>
      <c r="DE127" s="62">
        <v>-4.2000000000000003E-2</v>
      </c>
      <c r="DF127" s="62">
        <v>1.2500000000000001E-2</v>
      </c>
      <c r="DG127" s="62">
        <v>0.01</v>
      </c>
      <c r="DH127" s="62">
        <v>7.4999999999999997E-3</v>
      </c>
      <c r="DI127" s="62">
        <v>-7.4999999999999997E-3</v>
      </c>
      <c r="DJ127" s="62">
        <v>2.5000000000000001E-3</v>
      </c>
      <c r="DK127" s="62">
        <v>-7.5499999999999998E-2</v>
      </c>
      <c r="DL127" s="62">
        <v>2.5000000000000001E-3</v>
      </c>
      <c r="DM127" s="62">
        <v>-5.7500000000000002E-2</v>
      </c>
      <c r="DN127" s="62">
        <v>2.5000000000000001E-3</v>
      </c>
      <c r="DO127" s="62">
        <v>-0.08</v>
      </c>
      <c r="DP127" s="62">
        <v>2.5000000000000001E-3</v>
      </c>
      <c r="DQ127" s="62">
        <v>-0.1055</v>
      </c>
      <c r="DR127" s="62">
        <v>-5.0000000000000001E-3</v>
      </c>
      <c r="DS127" s="62">
        <v>0.77</v>
      </c>
      <c r="DT127" s="62">
        <v>0.05</v>
      </c>
      <c r="DU127" s="62">
        <v>0</v>
      </c>
      <c r="DV127" s="62">
        <v>0</v>
      </c>
    </row>
    <row r="128" spans="4:126" x14ac:dyDescent="0.25">
      <c r="D128" s="91">
        <v>40544</v>
      </c>
      <c r="F128" s="89">
        <v>4.1544999999999996</v>
      </c>
      <c r="G128" s="90">
        <v>6.0729714574670801E-2</v>
      </c>
      <c r="H128" s="89">
        <v>0.185</v>
      </c>
      <c r="I128" s="89">
        <v>1</v>
      </c>
      <c r="J128" s="89">
        <v>1.05</v>
      </c>
      <c r="K128" s="89">
        <v>1</v>
      </c>
      <c r="L128" s="87">
        <v>1</v>
      </c>
      <c r="M128" s="87">
        <v>1.1499999999999999</v>
      </c>
      <c r="N128" s="89">
        <v>1.45</v>
      </c>
      <c r="O128" s="89">
        <v>1.05</v>
      </c>
      <c r="P128" s="89">
        <v>1</v>
      </c>
      <c r="Q128" s="89">
        <v>1.35</v>
      </c>
      <c r="R128" s="90">
        <v>1</v>
      </c>
      <c r="S128" s="90">
        <v>1.1000000000000001</v>
      </c>
      <c r="T128" s="89">
        <v>1</v>
      </c>
      <c r="U128" s="89">
        <v>1.45</v>
      </c>
      <c r="V128" s="89">
        <v>1.1000000000000001</v>
      </c>
      <c r="W128" s="89">
        <v>2.5000000000000001E-2</v>
      </c>
      <c r="X128" s="89">
        <v>0.03</v>
      </c>
      <c r="Y128" s="89">
        <v>0.13</v>
      </c>
      <c r="Z128" s="89">
        <v>0.02</v>
      </c>
      <c r="AA128" s="89">
        <v>0.28999999999999998</v>
      </c>
      <c r="AB128" s="89">
        <v>0</v>
      </c>
      <c r="AC128" s="89">
        <v>0.34</v>
      </c>
      <c r="AD128" s="89">
        <v>0</v>
      </c>
      <c r="AE128" s="89">
        <v>0.28999999999999998</v>
      </c>
      <c r="AF128" s="89">
        <v>0</v>
      </c>
      <c r="AG128" s="89">
        <v>0.17</v>
      </c>
      <c r="AH128" s="89">
        <v>0</v>
      </c>
      <c r="AI128" s="89">
        <v>0.15816</v>
      </c>
      <c r="AJ128" s="89">
        <v>0</v>
      </c>
      <c r="AK128" s="89">
        <v>0.13</v>
      </c>
      <c r="AL128" s="89">
        <v>3.5000000000000003E-2</v>
      </c>
      <c r="AM128" s="89">
        <v>-6.6500000000000004E-2</v>
      </c>
      <c r="AN128" s="89">
        <v>1.7999999999999999E-2</v>
      </c>
      <c r="AO128" s="89">
        <v>-0.51</v>
      </c>
      <c r="AP128" s="89">
        <v>0.155</v>
      </c>
      <c r="AQ128" s="89">
        <v>-4.65E-2</v>
      </c>
      <c r="AR128" s="89">
        <v>5.0000000000000001E-3</v>
      </c>
      <c r="AS128" s="89">
        <v>-0.155</v>
      </c>
      <c r="AT128" s="89">
        <v>-5.0000000000000001E-3</v>
      </c>
      <c r="AU128" s="89">
        <v>-0.115</v>
      </c>
      <c r="AV128" s="89">
        <v>-0.01</v>
      </c>
      <c r="AW128" s="89">
        <v>-4.65E-2</v>
      </c>
      <c r="AX128" s="89">
        <v>2.1999999999999999E-2</v>
      </c>
      <c r="AY128" s="90">
        <v>0.155</v>
      </c>
      <c r="AZ128" s="90">
        <v>0</v>
      </c>
      <c r="BA128" s="90">
        <v>-0.13</v>
      </c>
      <c r="BB128" s="89">
        <v>5.0000000000000001E-3</v>
      </c>
      <c r="BC128" s="89">
        <v>-7.0000000000000007E-2</v>
      </c>
      <c r="BD128" s="89">
        <v>5.0000000000000001E-3</v>
      </c>
      <c r="BE128" s="89">
        <v>0.35</v>
      </c>
      <c r="BF128" s="89">
        <v>4.2000000000000003E-2</v>
      </c>
      <c r="BG128" s="89">
        <v>-0.06</v>
      </c>
      <c r="BH128" s="89">
        <v>0</v>
      </c>
      <c r="BI128" s="89">
        <v>0</v>
      </c>
      <c r="BJ128" s="62">
        <v>0.03</v>
      </c>
      <c r="BK128" s="62">
        <v>0.35</v>
      </c>
      <c r="BL128" s="62">
        <v>4.2000000000000003E-2</v>
      </c>
      <c r="BM128" s="62">
        <v>0.42799999999999999</v>
      </c>
      <c r="BN128" s="62">
        <v>0</v>
      </c>
      <c r="BO128" s="62">
        <v>-0.26</v>
      </c>
      <c r="BP128" s="62">
        <v>0</v>
      </c>
      <c r="BQ128" s="62">
        <v>0.5</v>
      </c>
      <c r="BR128" s="62">
        <v>4.2000000000000003E-2</v>
      </c>
      <c r="BS128" s="62">
        <v>-7.0000000000000007E-2</v>
      </c>
      <c r="BT128" s="62">
        <v>5.0000000000000001E-3</v>
      </c>
      <c r="BU128" s="62">
        <v>0.3</v>
      </c>
      <c r="BV128" s="62">
        <v>0</v>
      </c>
      <c r="BW128" s="62">
        <v>0</v>
      </c>
      <c r="BX128" s="62">
        <v>0</v>
      </c>
      <c r="BY128" s="62">
        <v>-1.2999999999999999E-2</v>
      </c>
      <c r="BZ128" s="62">
        <v>5.7500000000000002E-2</v>
      </c>
      <c r="CA128" s="62">
        <v>0.23499999999999999</v>
      </c>
      <c r="CB128" s="62">
        <v>5.0000000000000001E-3</v>
      </c>
      <c r="CC128" s="62">
        <v>-1.2999999999999999E-2</v>
      </c>
      <c r="CD128" s="62">
        <v>3.7000000000000002E-3</v>
      </c>
      <c r="CE128" s="62">
        <v>2.5000000000000001E-3</v>
      </c>
      <c r="CF128" s="62">
        <v>2.5000000000000001E-3</v>
      </c>
      <c r="CG128" s="62">
        <v>-1.2999999999999999E-2</v>
      </c>
      <c r="CH128" s="62">
        <v>3.7000000000000002E-3</v>
      </c>
      <c r="CI128" s="62">
        <v>-0.1085</v>
      </c>
      <c r="CJ128" s="62">
        <v>2.5000000000000001E-3</v>
      </c>
      <c r="CK128" s="62">
        <v>7.4999999999999997E-2</v>
      </c>
      <c r="CL128" s="62">
        <v>2.5000000000000001E-3</v>
      </c>
      <c r="CM128" s="62">
        <v>-6.4000000000000001E-2</v>
      </c>
      <c r="CN128" s="62">
        <v>0.01</v>
      </c>
      <c r="CO128" s="62">
        <v>-8.9999989999999998E-3</v>
      </c>
      <c r="CP128" s="62">
        <v>7.4999999999999997E-3</v>
      </c>
      <c r="CQ128" s="62">
        <v>3.1E-2</v>
      </c>
      <c r="CR128" s="62">
        <v>1.2500000000000001E-2</v>
      </c>
      <c r="CS128" s="62">
        <v>1.6</v>
      </c>
      <c r="CT128" s="62">
        <v>0.45</v>
      </c>
      <c r="CU128" s="62">
        <v>0.42799999999999999</v>
      </c>
      <c r="CV128" s="62">
        <v>0</v>
      </c>
      <c r="CW128" s="62">
        <v>0.34</v>
      </c>
      <c r="CX128" s="62">
        <v>0.02</v>
      </c>
      <c r="CY128" s="62">
        <v>-0.52</v>
      </c>
      <c r="CZ128" s="62">
        <v>0</v>
      </c>
      <c r="DA128" s="62">
        <v>-0.34</v>
      </c>
      <c r="DB128" s="62">
        <v>0</v>
      </c>
      <c r="DC128" s="62">
        <v>0.35</v>
      </c>
      <c r="DE128" s="62">
        <v>-4.2000000000000003E-2</v>
      </c>
      <c r="DF128" s="62">
        <v>1.2500000000000001E-2</v>
      </c>
      <c r="DG128" s="62">
        <v>0.01</v>
      </c>
      <c r="DH128" s="62">
        <v>7.4999999999999997E-3</v>
      </c>
      <c r="DI128" s="62">
        <v>-7.4999999999999997E-3</v>
      </c>
      <c r="DJ128" s="62">
        <v>2.5000000000000001E-3</v>
      </c>
      <c r="DK128" s="62">
        <v>-9.0499999999999997E-2</v>
      </c>
      <c r="DL128" s="62">
        <v>2.5000000000000001E-3</v>
      </c>
      <c r="DM128" s="62">
        <v>-5.7500000000000002E-2</v>
      </c>
      <c r="DN128" s="62">
        <v>2.5000000000000001E-3</v>
      </c>
      <c r="DO128" s="62">
        <v>-0.08</v>
      </c>
      <c r="DP128" s="62">
        <v>2.5000000000000001E-3</v>
      </c>
      <c r="DQ128" s="62">
        <v>-0.1205</v>
      </c>
      <c r="DR128" s="62">
        <v>-5.0000000000000001E-3</v>
      </c>
      <c r="DS128" s="62">
        <v>1.04</v>
      </c>
      <c r="DT128" s="62">
        <v>0.05</v>
      </c>
      <c r="DU128" s="62">
        <v>0</v>
      </c>
      <c r="DV128" s="62">
        <v>0</v>
      </c>
    </row>
    <row r="129" spans="4:126" x14ac:dyDescent="0.25">
      <c r="D129" s="91">
        <v>40575</v>
      </c>
      <c r="F129" s="89">
        <v>4.0694999999999997</v>
      </c>
      <c r="G129" s="90">
        <v>6.0838827592824399E-2</v>
      </c>
      <c r="H129" s="89">
        <v>0.185</v>
      </c>
      <c r="I129" s="89">
        <v>1</v>
      </c>
      <c r="J129" s="89">
        <v>1.05</v>
      </c>
      <c r="K129" s="89">
        <v>1</v>
      </c>
      <c r="L129" s="87">
        <v>1</v>
      </c>
      <c r="M129" s="87">
        <v>1.1499999999999999</v>
      </c>
      <c r="N129" s="89">
        <v>1.45</v>
      </c>
      <c r="O129" s="89">
        <v>1.05</v>
      </c>
      <c r="P129" s="89">
        <v>1</v>
      </c>
      <c r="Q129" s="89">
        <v>1.35</v>
      </c>
      <c r="R129" s="90">
        <v>1</v>
      </c>
      <c r="S129" s="90">
        <v>1.1000000000000001</v>
      </c>
      <c r="T129" s="89">
        <v>1</v>
      </c>
      <c r="U129" s="89">
        <v>1.45</v>
      </c>
      <c r="V129" s="89">
        <v>1.1000000000000001</v>
      </c>
      <c r="W129" s="89">
        <v>0.02</v>
      </c>
      <c r="X129" s="89">
        <v>0.03</v>
      </c>
      <c r="Y129" s="89">
        <v>0.13</v>
      </c>
      <c r="Z129" s="89">
        <v>0.02</v>
      </c>
      <c r="AA129" s="89">
        <v>0.28999999999999998</v>
      </c>
      <c r="AB129" s="89">
        <v>0</v>
      </c>
      <c r="AC129" s="89">
        <v>0.34</v>
      </c>
      <c r="AD129" s="89">
        <v>0</v>
      </c>
      <c r="AE129" s="89">
        <v>0.28999999999999998</v>
      </c>
      <c r="AF129" s="89">
        <v>0</v>
      </c>
      <c r="AG129" s="89">
        <v>0.17</v>
      </c>
      <c r="AH129" s="89">
        <v>0</v>
      </c>
      <c r="AI129" s="89">
        <v>0.15559999999999999</v>
      </c>
      <c r="AJ129" s="89">
        <v>0</v>
      </c>
      <c r="AK129" s="89">
        <v>0.13</v>
      </c>
      <c r="AL129" s="89">
        <v>3.5000000000000003E-2</v>
      </c>
      <c r="AM129" s="89">
        <v>-6.6500000000000004E-2</v>
      </c>
      <c r="AN129" s="89">
        <v>1.7999999999999999E-2</v>
      </c>
      <c r="AO129" s="89">
        <v>-0.51</v>
      </c>
      <c r="AP129" s="89">
        <v>0.155</v>
      </c>
      <c r="AQ129" s="89">
        <v>-4.65E-2</v>
      </c>
      <c r="AR129" s="89">
        <v>5.0000000000000001E-3</v>
      </c>
      <c r="AS129" s="89">
        <v>-0.14749999999999999</v>
      </c>
      <c r="AT129" s="89">
        <v>-5.0000000000000001E-3</v>
      </c>
      <c r="AU129" s="89">
        <v>-0.1075</v>
      </c>
      <c r="AV129" s="89">
        <v>-0.01</v>
      </c>
      <c r="AW129" s="89">
        <v>-4.65E-2</v>
      </c>
      <c r="AX129" s="89">
        <v>2.1999999999999999E-2</v>
      </c>
      <c r="AY129" s="90">
        <v>0.155</v>
      </c>
      <c r="AZ129" s="90">
        <v>0</v>
      </c>
      <c r="BA129" s="90">
        <v>-0.13</v>
      </c>
      <c r="BB129" s="89">
        <v>5.0000000000000001E-3</v>
      </c>
      <c r="BC129" s="89">
        <v>-7.0000000000000007E-2</v>
      </c>
      <c r="BD129" s="89">
        <v>5.0000000000000001E-3</v>
      </c>
      <c r="BE129" s="89">
        <v>0.35</v>
      </c>
      <c r="BF129" s="89">
        <v>4.2000000000000003E-2</v>
      </c>
      <c r="BG129" s="89">
        <v>-0.06</v>
      </c>
      <c r="BH129" s="89">
        <v>0</v>
      </c>
      <c r="BI129" s="89">
        <v>0</v>
      </c>
      <c r="BJ129" s="62">
        <v>0.03</v>
      </c>
      <c r="BK129" s="62">
        <v>0.35</v>
      </c>
      <c r="BL129" s="62">
        <v>4.2000000000000003E-2</v>
      </c>
      <c r="BM129" s="62">
        <v>0.29799999999999999</v>
      </c>
      <c r="BN129" s="62">
        <v>0</v>
      </c>
      <c r="BO129" s="62">
        <v>-0.26</v>
      </c>
      <c r="BP129" s="62">
        <v>0</v>
      </c>
      <c r="BQ129" s="62">
        <v>0.5</v>
      </c>
      <c r="BR129" s="62">
        <v>4.2000000000000003E-2</v>
      </c>
      <c r="BS129" s="62">
        <v>-7.0000000000000007E-2</v>
      </c>
      <c r="BT129" s="62">
        <v>5.0000000000000001E-3</v>
      </c>
      <c r="BU129" s="62">
        <v>0.3</v>
      </c>
      <c r="BV129" s="62">
        <v>0</v>
      </c>
      <c r="BW129" s="62">
        <v>0</v>
      </c>
      <c r="BX129" s="62">
        <v>0</v>
      </c>
      <c r="BY129" s="62">
        <v>-1.2999999999999999E-2</v>
      </c>
      <c r="BZ129" s="62">
        <v>5.7500000000000002E-2</v>
      </c>
      <c r="CA129" s="62">
        <v>0.23499999999999999</v>
      </c>
      <c r="CB129" s="62">
        <v>5.0000000000000001E-3</v>
      </c>
      <c r="CC129" s="62">
        <v>-1.2999999999999999E-2</v>
      </c>
      <c r="CD129" s="62">
        <v>3.7000000000000002E-3</v>
      </c>
      <c r="CE129" s="62">
        <v>2.5000000000000001E-3</v>
      </c>
      <c r="CF129" s="62">
        <v>2.5000000000000001E-3</v>
      </c>
      <c r="CG129" s="62">
        <v>-1.2999999999999999E-2</v>
      </c>
      <c r="CH129" s="62">
        <v>3.7000000000000002E-3</v>
      </c>
      <c r="CI129" s="62">
        <v>-0.1085</v>
      </c>
      <c r="CJ129" s="62">
        <v>2.5000000000000001E-3</v>
      </c>
      <c r="CK129" s="62">
        <v>7.4999999999999997E-2</v>
      </c>
      <c r="CL129" s="62">
        <v>2.5000000000000001E-3</v>
      </c>
      <c r="CM129" s="62">
        <v>-6.4000000000000001E-2</v>
      </c>
      <c r="CN129" s="62">
        <v>0.01</v>
      </c>
      <c r="CO129" s="62">
        <v>-8.9999989999999998E-3</v>
      </c>
      <c r="CP129" s="62">
        <v>7.4999999999999997E-3</v>
      </c>
      <c r="CQ129" s="62">
        <v>3.1E-2</v>
      </c>
      <c r="CR129" s="62">
        <v>1.2500000000000001E-2</v>
      </c>
      <c r="CS129" s="62">
        <v>1.6</v>
      </c>
      <c r="CT129" s="62">
        <v>0.45</v>
      </c>
      <c r="CU129" s="62">
        <v>0.29799999999999999</v>
      </c>
      <c r="CV129" s="62">
        <v>0</v>
      </c>
      <c r="CW129" s="62">
        <v>0.34</v>
      </c>
      <c r="CX129" s="62">
        <v>0.02</v>
      </c>
      <c r="CY129" s="62">
        <v>-0.52</v>
      </c>
      <c r="CZ129" s="62">
        <v>0</v>
      </c>
      <c r="DA129" s="62">
        <v>-0.34</v>
      </c>
      <c r="DB129" s="62">
        <v>0</v>
      </c>
      <c r="DC129" s="62">
        <v>0.35</v>
      </c>
      <c r="DE129" s="62">
        <v>-4.2000000000000003E-2</v>
      </c>
      <c r="DF129" s="62">
        <v>1.2500000000000001E-2</v>
      </c>
      <c r="DG129" s="62">
        <v>0.01</v>
      </c>
      <c r="DH129" s="62">
        <v>7.4999999999999997E-3</v>
      </c>
      <c r="DI129" s="62">
        <v>-7.4999999999999997E-3</v>
      </c>
      <c r="DJ129" s="62">
        <v>2.5000000000000001E-3</v>
      </c>
      <c r="DK129" s="62">
        <v>-8.0500000000000002E-2</v>
      </c>
      <c r="DL129" s="62">
        <v>2.5000000000000001E-3</v>
      </c>
      <c r="DM129" s="62">
        <v>-5.7500000000000002E-2</v>
      </c>
      <c r="DN129" s="62">
        <v>2.5000000000000001E-3</v>
      </c>
      <c r="DO129" s="62">
        <v>-0.08</v>
      </c>
      <c r="DP129" s="62">
        <v>2.5000000000000001E-3</v>
      </c>
      <c r="DQ129" s="62">
        <v>-0.1105</v>
      </c>
      <c r="DR129" s="62">
        <v>-5.0000000000000001E-3</v>
      </c>
      <c r="DS129" s="62">
        <v>1.04</v>
      </c>
      <c r="DT129" s="62">
        <v>0.05</v>
      </c>
      <c r="DU129" s="62">
        <v>0</v>
      </c>
      <c r="DV129" s="62">
        <v>0</v>
      </c>
    </row>
    <row r="130" spans="4:126" x14ac:dyDescent="0.25">
      <c r="D130" s="91">
        <v>40603</v>
      </c>
      <c r="F130" s="89">
        <v>3.9394999999999998</v>
      </c>
      <c r="G130" s="90">
        <v>6.0937381290039602E-2</v>
      </c>
      <c r="H130" s="89">
        <v>0.18</v>
      </c>
      <c r="I130" s="89">
        <v>0.75</v>
      </c>
      <c r="J130" s="89">
        <v>0.8</v>
      </c>
      <c r="K130" s="89">
        <v>0.75</v>
      </c>
      <c r="L130" s="87">
        <v>0.75</v>
      </c>
      <c r="M130" s="87">
        <v>0.85</v>
      </c>
      <c r="N130" s="89">
        <v>1</v>
      </c>
      <c r="O130" s="89">
        <v>0.75</v>
      </c>
      <c r="P130" s="89">
        <v>0.75</v>
      </c>
      <c r="Q130" s="89">
        <v>0.95</v>
      </c>
      <c r="R130" s="90">
        <v>0.75</v>
      </c>
      <c r="S130" s="90">
        <v>0.75</v>
      </c>
      <c r="T130" s="89">
        <v>0.75</v>
      </c>
      <c r="U130" s="89">
        <v>1</v>
      </c>
      <c r="V130" s="89">
        <v>0.85</v>
      </c>
      <c r="W130" s="89">
        <v>0</v>
      </c>
      <c r="X130" s="89">
        <v>0.03</v>
      </c>
      <c r="Y130" s="89">
        <v>0.13</v>
      </c>
      <c r="Z130" s="89">
        <v>0.02</v>
      </c>
      <c r="AA130" s="89">
        <v>0.28999999999999998</v>
      </c>
      <c r="AB130" s="89">
        <v>0</v>
      </c>
      <c r="AC130" s="89">
        <v>0.34</v>
      </c>
      <c r="AD130" s="89">
        <v>0</v>
      </c>
      <c r="AE130" s="89">
        <v>0.28999999999999998</v>
      </c>
      <c r="AF130" s="89">
        <v>0</v>
      </c>
      <c r="AG130" s="89">
        <v>0.17</v>
      </c>
      <c r="AH130" s="89">
        <v>0</v>
      </c>
      <c r="AI130" s="89">
        <v>0.15143999999999999</v>
      </c>
      <c r="AJ130" s="89">
        <v>0</v>
      </c>
      <c r="AK130" s="89">
        <v>0.13</v>
      </c>
      <c r="AL130" s="89">
        <v>3.5000000000000003E-2</v>
      </c>
      <c r="AM130" s="89">
        <v>-6.6500000000000004E-2</v>
      </c>
      <c r="AN130" s="89">
        <v>1.7999999999999999E-2</v>
      </c>
      <c r="AO130" s="89">
        <v>-0.51</v>
      </c>
      <c r="AP130" s="89">
        <v>0.155</v>
      </c>
      <c r="AQ130" s="89">
        <v>-4.65E-2</v>
      </c>
      <c r="AR130" s="89">
        <v>5.0000000000000001E-3</v>
      </c>
      <c r="AS130" s="89">
        <v>-0.14499999999999999</v>
      </c>
      <c r="AT130" s="89">
        <v>-5.0000000000000001E-3</v>
      </c>
      <c r="AU130" s="89">
        <v>-0.105</v>
      </c>
      <c r="AV130" s="89">
        <v>-0.01</v>
      </c>
      <c r="AW130" s="89">
        <v>-4.65E-2</v>
      </c>
      <c r="AX130" s="89">
        <v>2.1999999999999999E-2</v>
      </c>
      <c r="AY130" s="90">
        <v>0.155</v>
      </c>
      <c r="AZ130" s="90">
        <v>0</v>
      </c>
      <c r="BA130" s="90">
        <v>-0.13</v>
      </c>
      <c r="BB130" s="89">
        <v>5.0000000000000001E-3</v>
      </c>
      <c r="BC130" s="89">
        <v>-7.0000000000000007E-2</v>
      </c>
      <c r="BD130" s="89">
        <v>5.0000000000000001E-3</v>
      </c>
      <c r="BE130" s="89">
        <v>0.35</v>
      </c>
      <c r="BF130" s="89">
        <v>4.2000000000000003E-2</v>
      </c>
      <c r="BG130" s="89">
        <v>-0.06</v>
      </c>
      <c r="BH130" s="89">
        <v>0</v>
      </c>
      <c r="BI130" s="89">
        <v>0</v>
      </c>
      <c r="BJ130" s="62">
        <v>0.03</v>
      </c>
      <c r="BK130" s="62">
        <v>0.35</v>
      </c>
      <c r="BL130" s="62">
        <v>4.2000000000000003E-2</v>
      </c>
      <c r="BM130" s="62">
        <v>0.11799999999999999</v>
      </c>
      <c r="BN130" s="62">
        <v>0</v>
      </c>
      <c r="BO130" s="62">
        <v>-0.26</v>
      </c>
      <c r="BP130" s="62">
        <v>0</v>
      </c>
      <c r="BQ130" s="62">
        <v>0.5</v>
      </c>
      <c r="BR130" s="62">
        <v>4.2000000000000003E-2</v>
      </c>
      <c r="BS130" s="62">
        <v>-7.0000000000000007E-2</v>
      </c>
      <c r="BT130" s="62">
        <v>5.0000000000000001E-3</v>
      </c>
      <c r="BU130" s="62">
        <v>0.3</v>
      </c>
      <c r="BV130" s="62">
        <v>0</v>
      </c>
      <c r="BW130" s="62">
        <v>0</v>
      </c>
      <c r="BX130" s="62">
        <v>0</v>
      </c>
      <c r="BY130" s="62">
        <v>-1.2999999999999999E-2</v>
      </c>
      <c r="BZ130" s="62">
        <v>5.7500000000000002E-2</v>
      </c>
      <c r="CA130" s="62">
        <v>0.19500000000000001</v>
      </c>
      <c r="CB130" s="62">
        <v>5.0000000000000001E-3</v>
      </c>
      <c r="CC130" s="62">
        <v>-1.2999999999999999E-2</v>
      </c>
      <c r="CD130" s="62">
        <v>3.7000000000000002E-3</v>
      </c>
      <c r="CE130" s="62">
        <v>2.5000000000000001E-3</v>
      </c>
      <c r="CF130" s="62">
        <v>2.5000000000000001E-3</v>
      </c>
      <c r="CG130" s="62">
        <v>-1.2999999999999999E-2</v>
      </c>
      <c r="CH130" s="62">
        <v>3.7000000000000002E-3</v>
      </c>
      <c r="CI130" s="62">
        <v>-0.1085</v>
      </c>
      <c r="CJ130" s="62">
        <v>2.5000000000000001E-3</v>
      </c>
      <c r="CK130" s="62">
        <v>7.4999999999999997E-2</v>
      </c>
      <c r="CL130" s="62">
        <v>2.5000000000000001E-3</v>
      </c>
      <c r="CM130" s="62">
        <v>-6.4000000000000001E-2</v>
      </c>
      <c r="CN130" s="62">
        <v>0.01</v>
      </c>
      <c r="CO130" s="62">
        <v>-8.9999989999999998E-3</v>
      </c>
      <c r="CP130" s="62">
        <v>7.4999999999999997E-3</v>
      </c>
      <c r="CQ130" s="62">
        <v>3.1E-2</v>
      </c>
      <c r="CR130" s="62">
        <v>1.2500000000000001E-2</v>
      </c>
      <c r="CS130" s="62">
        <v>0.64</v>
      </c>
      <c r="CT130" s="62">
        <v>0.1</v>
      </c>
      <c r="CU130" s="62">
        <v>0.11799999999999999</v>
      </c>
      <c r="CV130" s="62">
        <v>0</v>
      </c>
      <c r="CW130" s="62">
        <v>0.28999999999999998</v>
      </c>
      <c r="CX130" s="62">
        <v>0.02</v>
      </c>
      <c r="CY130" s="62">
        <v>-0.52</v>
      </c>
      <c r="CZ130" s="62">
        <v>0</v>
      </c>
      <c r="DA130" s="62">
        <v>-0.34</v>
      </c>
      <c r="DB130" s="62">
        <v>0</v>
      </c>
      <c r="DC130" s="62">
        <v>0.4</v>
      </c>
      <c r="DE130" s="62">
        <v>-4.2000000000000003E-2</v>
      </c>
      <c r="DF130" s="62">
        <v>1.2500000000000001E-2</v>
      </c>
      <c r="DG130" s="62">
        <v>1.4999999999999999E-2</v>
      </c>
      <c r="DH130" s="62">
        <v>7.4999999999999997E-3</v>
      </c>
      <c r="DI130" s="62">
        <v>-2.5000000000000001E-3</v>
      </c>
      <c r="DJ130" s="62">
        <v>2.5000000000000001E-3</v>
      </c>
      <c r="DK130" s="62">
        <v>-7.0499999999999993E-2</v>
      </c>
      <c r="DL130" s="62">
        <v>2.5000000000000001E-3</v>
      </c>
      <c r="DM130" s="62">
        <v>-5.7500000000000002E-2</v>
      </c>
      <c r="DN130" s="62">
        <v>2.5000000000000001E-3</v>
      </c>
      <c r="DO130" s="62">
        <v>-0.08</v>
      </c>
      <c r="DP130" s="62">
        <v>2.5000000000000001E-3</v>
      </c>
      <c r="DQ130" s="62">
        <v>-0.10050000000000001</v>
      </c>
      <c r="DR130" s="62">
        <v>-5.0000000000000001E-3</v>
      </c>
      <c r="DS130" s="62">
        <v>0.54</v>
      </c>
      <c r="DT130" s="62">
        <v>0.05</v>
      </c>
      <c r="DU130" s="62">
        <v>0</v>
      </c>
      <c r="DV130" s="62">
        <v>0</v>
      </c>
    </row>
    <row r="131" spans="4:126" x14ac:dyDescent="0.25">
      <c r="D131" s="91">
        <v>40634</v>
      </c>
      <c r="F131" s="89">
        <v>3.7545000000000002</v>
      </c>
      <c r="G131" s="90">
        <v>6.1046494315718701E-2</v>
      </c>
      <c r="H131" s="89">
        <v>0.18</v>
      </c>
      <c r="I131" s="89">
        <v>0.4</v>
      </c>
      <c r="J131" s="89">
        <v>0.45</v>
      </c>
      <c r="K131" s="89">
        <v>0.4</v>
      </c>
      <c r="L131" s="87">
        <v>0.45</v>
      </c>
      <c r="M131" s="87">
        <v>0.45</v>
      </c>
      <c r="N131" s="89">
        <v>0.45</v>
      </c>
      <c r="O131" s="89">
        <v>0.45</v>
      </c>
      <c r="P131" s="89">
        <v>0.45</v>
      </c>
      <c r="Q131" s="89">
        <v>0.5</v>
      </c>
      <c r="R131" s="90">
        <v>0.4</v>
      </c>
      <c r="S131" s="90">
        <v>0.45</v>
      </c>
      <c r="T131" s="89">
        <v>0.4</v>
      </c>
      <c r="U131" s="89">
        <v>0.45</v>
      </c>
      <c r="V131" s="89">
        <v>0.55000000000000004</v>
      </c>
      <c r="W131" s="89">
        <v>-0.09</v>
      </c>
      <c r="X131" s="89">
        <v>0</v>
      </c>
      <c r="Y131" s="89">
        <v>0.04</v>
      </c>
      <c r="Z131" s="89">
        <v>5.0000000000000001E-3</v>
      </c>
      <c r="AA131" s="89">
        <v>0.17499999999999999</v>
      </c>
      <c r="AB131" s="89">
        <v>0</v>
      </c>
      <c r="AC131" s="89">
        <v>0.14000000000000001</v>
      </c>
      <c r="AD131" s="89">
        <v>0</v>
      </c>
      <c r="AE131" s="89">
        <v>0.17499999999999999</v>
      </c>
      <c r="AF131" s="89">
        <v>0</v>
      </c>
      <c r="AG131" s="89">
        <v>0.14000000000000001</v>
      </c>
      <c r="AH131" s="89">
        <v>0</v>
      </c>
      <c r="AI131" s="89">
        <v>0.14000000000000001</v>
      </c>
      <c r="AJ131" s="89">
        <v>0</v>
      </c>
      <c r="AK131" s="89">
        <v>0.04</v>
      </c>
      <c r="AL131" s="89">
        <v>0.04</v>
      </c>
      <c r="AM131" s="89">
        <v>-4.9000000000000002E-2</v>
      </c>
      <c r="AN131" s="89">
        <v>2.5000000000000001E-2</v>
      </c>
      <c r="AO131" s="89">
        <v>-0.56000000000000005</v>
      </c>
      <c r="AP131" s="89">
        <v>0.155</v>
      </c>
      <c r="AQ131" s="89">
        <v>-4.3999999999999997E-2</v>
      </c>
      <c r="AR131" s="89">
        <v>0</v>
      </c>
      <c r="AS131" s="89">
        <v>-0.15</v>
      </c>
      <c r="AT131" s="89">
        <v>-1.4999999999999999E-2</v>
      </c>
      <c r="AU131" s="89">
        <v>-0.11</v>
      </c>
      <c r="AV131" s="89">
        <v>0.02</v>
      </c>
      <c r="AW131" s="89">
        <v>-4.3999999999999997E-2</v>
      </c>
      <c r="AX131" s="89">
        <v>1.4E-2</v>
      </c>
      <c r="AY131" s="90">
        <v>0.125</v>
      </c>
      <c r="AZ131" s="90">
        <v>0</v>
      </c>
      <c r="BA131" s="90">
        <v>-0.19500000000000001</v>
      </c>
      <c r="BB131" s="89">
        <v>2.5000000000000001E-3</v>
      </c>
      <c r="BC131" s="89">
        <v>-7.0000000000000007E-2</v>
      </c>
      <c r="BD131" s="89">
        <v>5.0000000000000001E-3</v>
      </c>
      <c r="BE131" s="89">
        <v>0.43</v>
      </c>
      <c r="BF131" s="89">
        <v>4.2000000000000003E-2</v>
      </c>
      <c r="BG131" s="89">
        <v>-0.06</v>
      </c>
      <c r="BH131" s="89">
        <v>0</v>
      </c>
      <c r="BI131" s="89">
        <v>0</v>
      </c>
      <c r="BJ131" s="62">
        <v>0.03</v>
      </c>
      <c r="BK131" s="62">
        <v>0.43</v>
      </c>
      <c r="BL131" s="62">
        <v>4.2000000000000003E-2</v>
      </c>
      <c r="BM131" s="62">
        <v>-0.2</v>
      </c>
      <c r="BN131" s="62">
        <v>0</v>
      </c>
      <c r="BO131" s="62">
        <v>-0.37</v>
      </c>
      <c r="BP131" s="62">
        <v>0</v>
      </c>
      <c r="BQ131" s="62">
        <v>0.5</v>
      </c>
      <c r="BR131" s="62">
        <v>4.2000000000000003E-2</v>
      </c>
      <c r="BS131" s="62">
        <v>-7.0000000000000007E-2</v>
      </c>
      <c r="BT131" s="62">
        <v>5.0000000000000001E-3</v>
      </c>
      <c r="BU131" s="62">
        <v>0.3</v>
      </c>
      <c r="BV131" s="62">
        <v>0</v>
      </c>
      <c r="BW131" s="62">
        <v>0</v>
      </c>
      <c r="BX131" s="62">
        <v>0</v>
      </c>
      <c r="BY131" s="62">
        <v>-1.2999999999999999E-2</v>
      </c>
      <c r="BZ131" s="62">
        <v>5.7500000000000002E-2</v>
      </c>
      <c r="CA131" s="62">
        <v>0.14499999999999999</v>
      </c>
      <c r="CB131" s="62">
        <v>5.0000000000000001E-3</v>
      </c>
      <c r="CC131" s="62">
        <v>-1.2999999999999999E-2</v>
      </c>
      <c r="CD131" s="62">
        <v>3.5000000000000001E-3</v>
      </c>
      <c r="CE131" s="62">
        <v>2.5000000000000001E-3</v>
      </c>
      <c r="CF131" s="62">
        <v>2.5000000000000001E-3</v>
      </c>
      <c r="CG131" s="62">
        <v>-1.2999999999999999E-2</v>
      </c>
      <c r="CH131" s="62">
        <v>3.5000000000000001E-3</v>
      </c>
      <c r="CI131" s="62">
        <v>-0.1285</v>
      </c>
      <c r="CJ131" s="62">
        <v>2.5000000000000001E-3</v>
      </c>
      <c r="CK131" s="62">
        <v>7.7499999999999999E-2</v>
      </c>
      <c r="CL131" s="62">
        <v>2.5000000000000001E-3</v>
      </c>
      <c r="CM131" s="62">
        <v>-7.1999999999999995E-2</v>
      </c>
      <c r="CN131" s="62">
        <v>7.4999999999999997E-3</v>
      </c>
      <c r="CO131" s="62">
        <v>-1.7000000000000001E-2</v>
      </c>
      <c r="CP131" s="62">
        <v>5.0000000000000001E-3</v>
      </c>
      <c r="CQ131" s="62">
        <v>2.3E-2</v>
      </c>
      <c r="CR131" s="62">
        <v>7.4999999999999997E-3</v>
      </c>
      <c r="CS131" s="62">
        <v>0.38</v>
      </c>
      <c r="CT131" s="62">
        <v>0.02</v>
      </c>
      <c r="CU131" s="62">
        <v>-0.2</v>
      </c>
      <c r="CV131" s="62">
        <v>0</v>
      </c>
      <c r="CW131" s="62">
        <v>0.19500000000000001</v>
      </c>
      <c r="CX131" s="62">
        <v>7.4999999999999997E-3</v>
      </c>
      <c r="CY131" s="62">
        <v>-0.63</v>
      </c>
      <c r="CZ131" s="62">
        <v>0</v>
      </c>
      <c r="DA131" s="62">
        <v>-0.45</v>
      </c>
      <c r="DB131" s="62">
        <v>0</v>
      </c>
      <c r="DC131" s="62">
        <v>0.6</v>
      </c>
      <c r="DE131" s="62">
        <v>-4.9500000000000002E-2</v>
      </c>
      <c r="DF131" s="62">
        <v>0.01</v>
      </c>
      <c r="DG131" s="62">
        <v>1.4999999999999999E-2</v>
      </c>
      <c r="DH131" s="62">
        <v>0.01</v>
      </c>
      <c r="DI131" s="62">
        <v>-2.5000000000000001E-3</v>
      </c>
      <c r="DJ131" s="62">
        <v>7.4999999999999997E-3</v>
      </c>
      <c r="DK131" s="62">
        <v>-0.1135</v>
      </c>
      <c r="DL131" s="62">
        <v>5.0000000000000001E-3</v>
      </c>
      <c r="DM131" s="62">
        <v>-5.5E-2</v>
      </c>
      <c r="DN131" s="62">
        <v>2.5000000000000001E-3</v>
      </c>
      <c r="DO131" s="62">
        <v>-7.7499999999999999E-2</v>
      </c>
      <c r="DP131" s="62">
        <v>2.5000000000000001E-3</v>
      </c>
      <c r="DQ131" s="62">
        <v>-0.14349999999999999</v>
      </c>
      <c r="DR131" s="62">
        <v>-5.0000000000000001E-3</v>
      </c>
      <c r="DS131" s="62">
        <v>0.36</v>
      </c>
      <c r="DT131" s="62">
        <v>5.0000000000000001E-3</v>
      </c>
      <c r="DU131" s="62">
        <v>0</v>
      </c>
      <c r="DV131" s="62">
        <v>0</v>
      </c>
    </row>
    <row r="132" spans="4:126" x14ac:dyDescent="0.25">
      <c r="D132" s="91">
        <v>40664</v>
      </c>
      <c r="F132" s="89">
        <v>3.7494999999999998</v>
      </c>
      <c r="G132" s="90">
        <v>6.1152087570141199E-2</v>
      </c>
      <c r="H132" s="89">
        <v>0.18</v>
      </c>
      <c r="I132" s="89">
        <v>0.45</v>
      </c>
      <c r="J132" s="89">
        <v>0.5</v>
      </c>
      <c r="K132" s="89">
        <v>0.4</v>
      </c>
      <c r="L132" s="87">
        <v>0.4</v>
      </c>
      <c r="M132" s="87">
        <v>0.45</v>
      </c>
      <c r="N132" s="89">
        <v>0.5</v>
      </c>
      <c r="O132" s="89">
        <v>0.45</v>
      </c>
      <c r="P132" s="89">
        <v>0.4</v>
      </c>
      <c r="Q132" s="89">
        <v>0.45</v>
      </c>
      <c r="R132" s="90">
        <v>0.45</v>
      </c>
      <c r="S132" s="90">
        <v>0.5</v>
      </c>
      <c r="T132" s="89">
        <v>0.45</v>
      </c>
      <c r="U132" s="89">
        <v>0.5</v>
      </c>
      <c r="V132" s="89">
        <v>0.5</v>
      </c>
      <c r="W132" s="89">
        <v>-0.09</v>
      </c>
      <c r="X132" s="89">
        <v>0</v>
      </c>
      <c r="Y132" s="89">
        <v>0.04</v>
      </c>
      <c r="Z132" s="89">
        <v>5.0000000000000001E-3</v>
      </c>
      <c r="AA132" s="89">
        <v>0.17499999999999999</v>
      </c>
      <c r="AB132" s="89">
        <v>0</v>
      </c>
      <c r="AC132" s="89">
        <v>0.14000000000000001</v>
      </c>
      <c r="AD132" s="89">
        <v>0</v>
      </c>
      <c r="AE132" s="89">
        <v>0.17499999999999999</v>
      </c>
      <c r="AF132" s="89">
        <v>0</v>
      </c>
      <c r="AG132" s="89">
        <v>0.14000000000000001</v>
      </c>
      <c r="AH132" s="89">
        <v>0</v>
      </c>
      <c r="AI132" s="89">
        <v>0.14000000000000001</v>
      </c>
      <c r="AJ132" s="89">
        <v>0</v>
      </c>
      <c r="AK132" s="89">
        <v>0.04</v>
      </c>
      <c r="AL132" s="89">
        <v>0.04</v>
      </c>
      <c r="AM132" s="89">
        <v>-4.9000000000000002E-2</v>
      </c>
      <c r="AN132" s="89">
        <v>2.5000000000000001E-2</v>
      </c>
      <c r="AO132" s="89">
        <v>-0.56000000000000005</v>
      </c>
      <c r="AP132" s="89">
        <v>0.155</v>
      </c>
      <c r="AQ132" s="89">
        <v>-4.3999999999999997E-2</v>
      </c>
      <c r="AR132" s="89">
        <v>0</v>
      </c>
      <c r="AS132" s="89">
        <v>-0.15</v>
      </c>
      <c r="AT132" s="89">
        <v>-1.4999999999999999E-2</v>
      </c>
      <c r="AU132" s="89">
        <v>-0.11</v>
      </c>
      <c r="AV132" s="89">
        <v>0.02</v>
      </c>
      <c r="AW132" s="89">
        <v>-4.3999999999999997E-2</v>
      </c>
      <c r="AX132" s="89">
        <v>1.4E-2</v>
      </c>
      <c r="AY132" s="90">
        <v>0.125</v>
      </c>
      <c r="AZ132" s="90">
        <v>0</v>
      </c>
      <c r="BA132" s="90">
        <v>-0.19500000000000001</v>
      </c>
      <c r="BB132" s="89">
        <v>2.5000000000000001E-3</v>
      </c>
      <c r="BC132" s="89">
        <v>-7.0000000000000007E-2</v>
      </c>
      <c r="BD132" s="89">
        <v>5.0000000000000001E-3</v>
      </c>
      <c r="BE132" s="89">
        <v>0.43</v>
      </c>
      <c r="BF132" s="89">
        <v>0</v>
      </c>
      <c r="BG132" s="89">
        <v>-0.06</v>
      </c>
      <c r="BH132" s="89">
        <v>0</v>
      </c>
      <c r="BI132" s="89">
        <v>0</v>
      </c>
      <c r="BJ132" s="62">
        <v>0.03</v>
      </c>
      <c r="BK132" s="62">
        <v>0.43</v>
      </c>
      <c r="BL132" s="62">
        <v>0</v>
      </c>
      <c r="BM132" s="62">
        <v>-0.05</v>
      </c>
      <c r="BN132" s="62">
        <v>0</v>
      </c>
      <c r="BO132" s="62">
        <v>-0.37</v>
      </c>
      <c r="BP132" s="62">
        <v>0</v>
      </c>
      <c r="BQ132" s="62">
        <v>0.5</v>
      </c>
      <c r="BR132" s="62">
        <v>0</v>
      </c>
      <c r="BS132" s="62">
        <v>-7.0000000000000007E-2</v>
      </c>
      <c r="BT132" s="62">
        <v>5.0000000000000001E-3</v>
      </c>
      <c r="BU132" s="62">
        <v>0.3</v>
      </c>
      <c r="BV132" s="62">
        <v>0</v>
      </c>
      <c r="BW132" s="62">
        <v>0</v>
      </c>
      <c r="BX132" s="62">
        <v>0</v>
      </c>
      <c r="BY132" s="62">
        <v>-1.2999999999999999E-2</v>
      </c>
      <c r="BZ132" s="62">
        <v>5.7500000000000002E-2</v>
      </c>
      <c r="CA132" s="62">
        <v>0.125</v>
      </c>
      <c r="CB132" s="62">
        <v>5.0000000000000001E-3</v>
      </c>
      <c r="CC132" s="62">
        <v>-1.2999999999999999E-2</v>
      </c>
      <c r="CD132" s="62">
        <v>3.5000000000000001E-3</v>
      </c>
      <c r="CE132" s="62">
        <v>2.5000000000000001E-3</v>
      </c>
      <c r="CF132" s="62">
        <v>2.5000000000000001E-3</v>
      </c>
      <c r="CG132" s="62">
        <v>-1.2999999999999999E-2</v>
      </c>
      <c r="CH132" s="62">
        <v>3.5000000000000001E-3</v>
      </c>
      <c r="CI132" s="62">
        <v>-0.11600000000000001</v>
      </c>
      <c r="CJ132" s="62">
        <v>2.5000000000000001E-3</v>
      </c>
      <c r="CK132" s="62">
        <v>7.7499999999999999E-2</v>
      </c>
      <c r="CL132" s="62">
        <v>2.5000000000000001E-3</v>
      </c>
      <c r="CM132" s="62">
        <v>-7.1999999999999995E-2</v>
      </c>
      <c r="CN132" s="62">
        <v>7.4999999999999997E-3</v>
      </c>
      <c r="CO132" s="62">
        <v>-1.7000000000000001E-2</v>
      </c>
      <c r="CP132" s="62">
        <v>5.0000000000000001E-3</v>
      </c>
      <c r="CQ132" s="62">
        <v>2.3E-2</v>
      </c>
      <c r="CR132" s="62">
        <v>7.4999999999999997E-3</v>
      </c>
      <c r="CS132" s="62">
        <v>0.33</v>
      </c>
      <c r="CT132" s="62">
        <v>0.02</v>
      </c>
      <c r="CU132" s="62">
        <v>-0.05</v>
      </c>
      <c r="CV132" s="62">
        <v>0</v>
      </c>
      <c r="CW132" s="62">
        <v>0.13500000000000001</v>
      </c>
      <c r="CX132" s="62">
        <v>7.4999999999999997E-3</v>
      </c>
      <c r="CY132" s="62">
        <v>-0.63</v>
      </c>
      <c r="CZ132" s="62">
        <v>0</v>
      </c>
      <c r="DA132" s="62">
        <v>-0.45</v>
      </c>
      <c r="DB132" s="62">
        <v>0</v>
      </c>
      <c r="DC132" s="62">
        <v>0.75</v>
      </c>
      <c r="DE132" s="62">
        <v>-4.9500000000000002E-2</v>
      </c>
      <c r="DF132" s="62">
        <v>0.01</v>
      </c>
      <c r="DG132" s="62">
        <v>1.7500000000000002E-2</v>
      </c>
      <c r="DH132" s="62">
        <v>0.01</v>
      </c>
      <c r="DI132" s="62">
        <v>0</v>
      </c>
      <c r="DJ132" s="62">
        <v>7.4999999999999997E-3</v>
      </c>
      <c r="DK132" s="62">
        <v>-9.0999999999999998E-2</v>
      </c>
      <c r="DL132" s="62">
        <v>5.0000000000000001E-3</v>
      </c>
      <c r="DM132" s="62">
        <v>-5.5E-2</v>
      </c>
      <c r="DN132" s="62">
        <v>2.5000000000000001E-3</v>
      </c>
      <c r="DO132" s="62">
        <v>-7.7499999999999999E-2</v>
      </c>
      <c r="DP132" s="62">
        <v>2.5000000000000001E-3</v>
      </c>
      <c r="DQ132" s="62">
        <v>-0.121</v>
      </c>
      <c r="DR132" s="62">
        <v>-5.0000000000000001E-3</v>
      </c>
      <c r="DS132" s="62">
        <v>0.32500000000000001</v>
      </c>
      <c r="DT132" s="62">
        <v>5.0000000000000001E-3</v>
      </c>
      <c r="DU132" s="62">
        <v>0</v>
      </c>
      <c r="DV132" s="62">
        <v>0</v>
      </c>
    </row>
    <row r="133" spans="4:126" x14ac:dyDescent="0.25">
      <c r="D133" s="91">
        <v>40695</v>
      </c>
      <c r="F133" s="89">
        <v>3.7845</v>
      </c>
      <c r="G133" s="90">
        <v>6.1261200603600401E-2</v>
      </c>
      <c r="H133" s="89">
        <v>0.18</v>
      </c>
      <c r="I133" s="89">
        <v>0.45</v>
      </c>
      <c r="J133" s="89">
        <v>0.5</v>
      </c>
      <c r="K133" s="89">
        <v>0.4</v>
      </c>
      <c r="L133" s="87">
        <v>0.5</v>
      </c>
      <c r="M133" s="87">
        <v>0.45</v>
      </c>
      <c r="N133" s="89">
        <v>0.5</v>
      </c>
      <c r="O133" s="89">
        <v>0.5</v>
      </c>
      <c r="P133" s="89">
        <v>0.5</v>
      </c>
      <c r="Q133" s="89">
        <v>0.5</v>
      </c>
      <c r="R133" s="90">
        <v>0.45</v>
      </c>
      <c r="S133" s="90">
        <v>0.5</v>
      </c>
      <c r="T133" s="89">
        <v>0.45</v>
      </c>
      <c r="U133" s="89">
        <v>0.5</v>
      </c>
      <c r="V133" s="89">
        <v>0.6</v>
      </c>
      <c r="W133" s="89">
        <v>-0.09</v>
      </c>
      <c r="X133" s="89">
        <v>0</v>
      </c>
      <c r="Y133" s="89">
        <v>0.04</v>
      </c>
      <c r="Z133" s="89">
        <v>5.0000000000000001E-3</v>
      </c>
      <c r="AA133" s="89">
        <v>0.17499999999999999</v>
      </c>
      <c r="AB133" s="89">
        <v>0</v>
      </c>
      <c r="AC133" s="89">
        <v>0.14000000000000001</v>
      </c>
      <c r="AD133" s="89">
        <v>0</v>
      </c>
      <c r="AE133" s="89">
        <v>0.17499999999999999</v>
      </c>
      <c r="AF133" s="89">
        <v>0</v>
      </c>
      <c r="AG133" s="89">
        <v>0.14000000000000001</v>
      </c>
      <c r="AH133" s="89">
        <v>0</v>
      </c>
      <c r="AI133" s="89">
        <v>0.14000000000000001</v>
      </c>
      <c r="AJ133" s="89">
        <v>0</v>
      </c>
      <c r="AK133" s="89">
        <v>0.04</v>
      </c>
      <c r="AL133" s="89">
        <v>0.04</v>
      </c>
      <c r="AM133" s="89">
        <v>-4.9000000000000002E-2</v>
      </c>
      <c r="AN133" s="89">
        <v>2.5000000000000001E-2</v>
      </c>
      <c r="AO133" s="89">
        <v>-0.56000000000000005</v>
      </c>
      <c r="AP133" s="89">
        <v>0.155</v>
      </c>
      <c r="AQ133" s="89">
        <v>-4.3999999999999997E-2</v>
      </c>
      <c r="AR133" s="89">
        <v>0</v>
      </c>
      <c r="AS133" s="89">
        <v>-0.15</v>
      </c>
      <c r="AT133" s="89">
        <v>-1.4999999999999999E-2</v>
      </c>
      <c r="AU133" s="89">
        <v>-0.11</v>
      </c>
      <c r="AV133" s="89">
        <v>0.02</v>
      </c>
      <c r="AW133" s="89">
        <v>-4.3999999999999997E-2</v>
      </c>
      <c r="AX133" s="89">
        <v>1.4E-2</v>
      </c>
      <c r="AY133" s="90">
        <v>0.125</v>
      </c>
      <c r="AZ133" s="90">
        <v>0</v>
      </c>
      <c r="BA133" s="90">
        <v>-0.19500000000000001</v>
      </c>
      <c r="BB133" s="89">
        <v>2.5000000000000001E-3</v>
      </c>
      <c r="BC133" s="89">
        <v>-7.0000000000000007E-2</v>
      </c>
      <c r="BD133" s="89">
        <v>5.0000000000000001E-3</v>
      </c>
      <c r="BE133" s="89">
        <v>0.43</v>
      </c>
      <c r="BF133" s="89">
        <v>0</v>
      </c>
      <c r="BG133" s="89">
        <v>-0.06</v>
      </c>
      <c r="BH133" s="89">
        <v>0</v>
      </c>
      <c r="BI133" s="89">
        <v>0</v>
      </c>
      <c r="BJ133" s="62">
        <v>0.03</v>
      </c>
      <c r="BK133" s="62">
        <v>0.43</v>
      </c>
      <c r="BL133" s="62">
        <v>0</v>
      </c>
      <c r="BM133" s="62">
        <v>-0.05</v>
      </c>
      <c r="BN133" s="62">
        <v>0</v>
      </c>
      <c r="BO133" s="62">
        <v>-0.37</v>
      </c>
      <c r="BP133" s="62">
        <v>0</v>
      </c>
      <c r="BQ133" s="62">
        <v>0.5</v>
      </c>
      <c r="BR133" s="62">
        <v>0</v>
      </c>
      <c r="BS133" s="62">
        <v>-7.0000000000000007E-2</v>
      </c>
      <c r="BT133" s="62">
        <v>5.0000000000000001E-3</v>
      </c>
      <c r="BU133" s="62">
        <v>0.3</v>
      </c>
      <c r="BV133" s="62">
        <v>0</v>
      </c>
      <c r="BW133" s="62">
        <v>0</v>
      </c>
      <c r="BX133" s="62">
        <v>0</v>
      </c>
      <c r="BY133" s="62">
        <v>-1.2999999999999999E-2</v>
      </c>
      <c r="BZ133" s="62">
        <v>5.7500000000000002E-2</v>
      </c>
      <c r="CA133" s="62">
        <v>0.14499999999999999</v>
      </c>
      <c r="CB133" s="62">
        <v>5.0000000000000001E-3</v>
      </c>
      <c r="CC133" s="62">
        <v>-1.2999999999999999E-2</v>
      </c>
      <c r="CD133" s="62">
        <v>3.5000000000000001E-3</v>
      </c>
      <c r="CE133" s="62">
        <v>2.5000000000000001E-3</v>
      </c>
      <c r="CF133" s="62">
        <v>2.5000000000000001E-3</v>
      </c>
      <c r="CG133" s="62">
        <v>-1.2999999999999999E-2</v>
      </c>
      <c r="CH133" s="62">
        <v>3.5000000000000001E-3</v>
      </c>
      <c r="CI133" s="62">
        <v>-7.3499999999999996E-2</v>
      </c>
      <c r="CJ133" s="62">
        <v>2.5000000000000001E-3</v>
      </c>
      <c r="CK133" s="62">
        <v>7.7499999999999999E-2</v>
      </c>
      <c r="CL133" s="62">
        <v>2.5000000000000001E-3</v>
      </c>
      <c r="CM133" s="62">
        <v>-7.1999999999999995E-2</v>
      </c>
      <c r="CN133" s="62">
        <v>7.4999999999999997E-3</v>
      </c>
      <c r="CO133" s="62">
        <v>-1.7000000000000001E-2</v>
      </c>
      <c r="CP133" s="62">
        <v>5.0000000000000001E-3</v>
      </c>
      <c r="CQ133" s="62">
        <v>2.3E-2</v>
      </c>
      <c r="CR133" s="62">
        <v>7.4999999999999997E-3</v>
      </c>
      <c r="CS133" s="62">
        <v>0.37</v>
      </c>
      <c r="CT133" s="62">
        <v>3.5000000000000003E-2</v>
      </c>
      <c r="CU133" s="62">
        <v>-0.05</v>
      </c>
      <c r="CV133" s="62">
        <v>0</v>
      </c>
      <c r="CW133" s="62">
        <v>0.16500000000000001</v>
      </c>
      <c r="CX133" s="62">
        <v>7.4999999999999997E-3</v>
      </c>
      <c r="CY133" s="62">
        <v>-0.63</v>
      </c>
      <c r="CZ133" s="62">
        <v>0</v>
      </c>
      <c r="DA133" s="62">
        <v>-0.45</v>
      </c>
      <c r="DB133" s="62">
        <v>0</v>
      </c>
      <c r="DC133" s="62">
        <v>0.85</v>
      </c>
      <c r="DE133" s="62">
        <v>-4.7E-2</v>
      </c>
      <c r="DF133" s="62">
        <v>0.01</v>
      </c>
      <c r="DG133" s="62">
        <v>1.7500000000000002E-2</v>
      </c>
      <c r="DH133" s="62">
        <v>0.01</v>
      </c>
      <c r="DI133" s="62">
        <v>0</v>
      </c>
      <c r="DJ133" s="62">
        <v>7.4999999999999997E-3</v>
      </c>
      <c r="DK133" s="62">
        <v>-3.85E-2</v>
      </c>
      <c r="DL133" s="62">
        <v>5.0000000000000001E-3</v>
      </c>
      <c r="DM133" s="62">
        <v>-5.5E-2</v>
      </c>
      <c r="DN133" s="62">
        <v>2.5000000000000001E-3</v>
      </c>
      <c r="DO133" s="62">
        <v>-7.7499999999999999E-2</v>
      </c>
      <c r="DP133" s="62">
        <v>2.5000000000000001E-3</v>
      </c>
      <c r="DQ133" s="62">
        <v>-6.8500000000000005E-2</v>
      </c>
      <c r="DR133" s="62">
        <v>-5.0000000000000001E-3</v>
      </c>
      <c r="DS133" s="62">
        <v>0.33500000000000002</v>
      </c>
      <c r="DT133" s="62">
        <v>5.0000000000000001E-3</v>
      </c>
      <c r="DU133" s="62">
        <v>0</v>
      </c>
      <c r="DV133" s="62">
        <v>0</v>
      </c>
    </row>
    <row r="134" spans="4:126" x14ac:dyDescent="0.25">
      <c r="D134" s="91">
        <v>40725</v>
      </c>
      <c r="F134" s="89">
        <v>3.8245</v>
      </c>
      <c r="G134" s="90">
        <v>6.1366793865550703E-2</v>
      </c>
      <c r="H134" s="89">
        <v>0.18</v>
      </c>
      <c r="I134" s="89">
        <v>0.5</v>
      </c>
      <c r="J134" s="89">
        <v>0.5</v>
      </c>
      <c r="K134" s="89">
        <v>0.4</v>
      </c>
      <c r="L134" s="87">
        <v>0.5</v>
      </c>
      <c r="M134" s="87">
        <v>0.5</v>
      </c>
      <c r="N134" s="89">
        <v>0.5</v>
      </c>
      <c r="O134" s="89">
        <v>0.5</v>
      </c>
      <c r="P134" s="89">
        <v>0.5</v>
      </c>
      <c r="Q134" s="89">
        <v>0.5</v>
      </c>
      <c r="R134" s="90">
        <v>0.5</v>
      </c>
      <c r="S134" s="90">
        <v>0.55000000000000004</v>
      </c>
      <c r="T134" s="89">
        <v>0.5</v>
      </c>
      <c r="U134" s="89">
        <v>0.5</v>
      </c>
      <c r="V134" s="89">
        <v>0.6</v>
      </c>
      <c r="W134" s="89">
        <v>-0.09</v>
      </c>
      <c r="X134" s="89">
        <v>0</v>
      </c>
      <c r="Y134" s="89">
        <v>0.04</v>
      </c>
      <c r="Z134" s="89">
        <v>5.0000000000000001E-3</v>
      </c>
      <c r="AA134" s="89">
        <v>0.17499999999999999</v>
      </c>
      <c r="AB134" s="89">
        <v>0</v>
      </c>
      <c r="AC134" s="89">
        <v>0.14000000000000001</v>
      </c>
      <c r="AD134" s="89">
        <v>0</v>
      </c>
      <c r="AE134" s="89">
        <v>0.17499999999999999</v>
      </c>
      <c r="AF134" s="89">
        <v>0</v>
      </c>
      <c r="AG134" s="89">
        <v>0.14000000000000001</v>
      </c>
      <c r="AH134" s="89">
        <v>0</v>
      </c>
      <c r="AI134" s="89">
        <v>0.14000000000000001</v>
      </c>
      <c r="AJ134" s="89">
        <v>0</v>
      </c>
      <c r="AK134" s="89">
        <v>0.04</v>
      </c>
      <c r="AL134" s="89">
        <v>0.04</v>
      </c>
      <c r="AM134" s="89">
        <v>-4.9000000000000002E-2</v>
      </c>
      <c r="AN134" s="89">
        <v>2.5000000000000001E-2</v>
      </c>
      <c r="AO134" s="89">
        <v>-0.56000000000000005</v>
      </c>
      <c r="AP134" s="89">
        <v>0.155</v>
      </c>
      <c r="AQ134" s="89">
        <v>-4.3999999999999997E-2</v>
      </c>
      <c r="AR134" s="89">
        <v>0</v>
      </c>
      <c r="AS134" s="89">
        <v>-0.15</v>
      </c>
      <c r="AT134" s="89">
        <v>-1.4999999999999999E-2</v>
      </c>
      <c r="AU134" s="89">
        <v>-0.11</v>
      </c>
      <c r="AV134" s="89">
        <v>0.02</v>
      </c>
      <c r="AW134" s="89">
        <v>-4.3999999999999997E-2</v>
      </c>
      <c r="AX134" s="89">
        <v>1.2E-2</v>
      </c>
      <c r="AY134" s="90">
        <v>0.125</v>
      </c>
      <c r="AZ134" s="90">
        <v>0</v>
      </c>
      <c r="BA134" s="90">
        <v>-0.19500000000000001</v>
      </c>
      <c r="BB134" s="89">
        <v>2.5000000000000001E-3</v>
      </c>
      <c r="BC134" s="89">
        <v>-7.0000000000000007E-2</v>
      </c>
      <c r="BD134" s="89">
        <v>5.0000000000000001E-3</v>
      </c>
      <c r="BE134" s="89">
        <v>0.43</v>
      </c>
      <c r="BF134" s="89">
        <v>0</v>
      </c>
      <c r="BG134" s="89">
        <v>-0.06</v>
      </c>
      <c r="BH134" s="89">
        <v>0</v>
      </c>
      <c r="BI134" s="89">
        <v>0</v>
      </c>
      <c r="BJ134" s="62">
        <v>0.03</v>
      </c>
      <c r="BK134" s="62">
        <v>0.43</v>
      </c>
      <c r="BL134" s="62">
        <v>0</v>
      </c>
      <c r="BM134" s="62">
        <v>-0.05</v>
      </c>
      <c r="BN134" s="62">
        <v>0</v>
      </c>
      <c r="BO134" s="62">
        <v>-0.37</v>
      </c>
      <c r="BP134" s="62">
        <v>0</v>
      </c>
      <c r="BQ134" s="62">
        <v>0.5</v>
      </c>
      <c r="BR134" s="62">
        <v>0</v>
      </c>
      <c r="BS134" s="62">
        <v>-7.0000000000000007E-2</v>
      </c>
      <c r="BT134" s="62">
        <v>5.0000000000000001E-3</v>
      </c>
      <c r="BU134" s="62">
        <v>0.3</v>
      </c>
      <c r="BV134" s="62">
        <v>0</v>
      </c>
      <c r="BW134" s="62">
        <v>0</v>
      </c>
      <c r="BX134" s="62">
        <v>0</v>
      </c>
      <c r="BY134" s="62">
        <v>-1.2999999999999999E-2</v>
      </c>
      <c r="BZ134" s="62">
        <v>5.7500000000000002E-2</v>
      </c>
      <c r="CA134" s="62">
        <v>0.15</v>
      </c>
      <c r="CB134" s="62">
        <v>5.0000000000000001E-3</v>
      </c>
      <c r="CC134" s="62">
        <v>-1.2999999999999999E-2</v>
      </c>
      <c r="CD134" s="62">
        <v>3.5000000000000001E-3</v>
      </c>
      <c r="CE134" s="62">
        <v>2.5000000000000001E-3</v>
      </c>
      <c r="CF134" s="62">
        <v>2.5000000000000001E-3</v>
      </c>
      <c r="CG134" s="62">
        <v>-1.2999999999999999E-2</v>
      </c>
      <c r="CH134" s="62">
        <v>3.5000000000000001E-3</v>
      </c>
      <c r="CI134" s="62">
        <v>-7.0999999999999994E-2</v>
      </c>
      <c r="CJ134" s="62">
        <v>2.5000000000000001E-3</v>
      </c>
      <c r="CK134" s="62">
        <v>7.7499999999999999E-2</v>
      </c>
      <c r="CL134" s="62">
        <v>2.5000000000000001E-3</v>
      </c>
      <c r="CM134" s="62">
        <v>-7.1999999999999995E-2</v>
      </c>
      <c r="CN134" s="62">
        <v>7.4999999999999997E-3</v>
      </c>
      <c r="CO134" s="62">
        <v>-1.7000000000000001E-2</v>
      </c>
      <c r="CP134" s="62">
        <v>5.0000000000000001E-3</v>
      </c>
      <c r="CQ134" s="62">
        <v>2.3E-2</v>
      </c>
      <c r="CR134" s="62">
        <v>7.4999999999999997E-3</v>
      </c>
      <c r="CS134" s="62">
        <v>0.41</v>
      </c>
      <c r="CT134" s="62">
        <v>3.5000000000000003E-2</v>
      </c>
      <c r="CU134" s="62">
        <v>-0.05</v>
      </c>
      <c r="CV134" s="62">
        <v>0</v>
      </c>
      <c r="CW134" s="62">
        <v>0.20499999999999999</v>
      </c>
      <c r="CX134" s="62">
        <v>7.4999999999999997E-3</v>
      </c>
      <c r="CY134" s="62">
        <v>-0.63</v>
      </c>
      <c r="CZ134" s="62">
        <v>0</v>
      </c>
      <c r="DA134" s="62">
        <v>-0.45</v>
      </c>
      <c r="DB134" s="62">
        <v>0</v>
      </c>
      <c r="DC134" s="62">
        <v>1.05</v>
      </c>
      <c r="DE134" s="62">
        <v>-4.7E-2</v>
      </c>
      <c r="DF134" s="62">
        <v>0.01</v>
      </c>
      <c r="DG134" s="62">
        <v>1.7500000000000002E-2</v>
      </c>
      <c r="DH134" s="62">
        <v>0.01</v>
      </c>
      <c r="DI134" s="62">
        <v>0</v>
      </c>
      <c r="DJ134" s="62">
        <v>7.4999999999999997E-3</v>
      </c>
      <c r="DK134" s="62">
        <v>-4.8500000000000001E-2</v>
      </c>
      <c r="DL134" s="62">
        <v>5.0000000000000001E-3</v>
      </c>
      <c r="DM134" s="62">
        <v>-5.5E-2</v>
      </c>
      <c r="DN134" s="62">
        <v>2.5000000000000001E-3</v>
      </c>
      <c r="DO134" s="62">
        <v>-7.7499999999999999E-2</v>
      </c>
      <c r="DP134" s="62">
        <v>2.5000000000000001E-3</v>
      </c>
      <c r="DQ134" s="62">
        <v>-7.85E-2</v>
      </c>
      <c r="DR134" s="62">
        <v>-5.0000000000000001E-3</v>
      </c>
      <c r="DS134" s="62">
        <v>0.35</v>
      </c>
      <c r="DT134" s="62">
        <v>5.0000000000000001E-3</v>
      </c>
      <c r="DU134" s="62">
        <v>0</v>
      </c>
      <c r="DV134" s="62">
        <v>0</v>
      </c>
    </row>
    <row r="135" spans="4:126" x14ac:dyDescent="0.25">
      <c r="D135" s="91">
        <v>40756</v>
      </c>
      <c r="F135" s="89">
        <v>3.8645</v>
      </c>
      <c r="G135" s="90">
        <v>6.1475906906789397E-2</v>
      </c>
      <c r="H135" s="89">
        <v>0.18</v>
      </c>
      <c r="I135" s="89">
        <v>0.55000000000000004</v>
      </c>
      <c r="J135" s="89">
        <v>0.55000000000000004</v>
      </c>
      <c r="K135" s="89">
        <v>0.5</v>
      </c>
      <c r="L135" s="87">
        <v>0.6</v>
      </c>
      <c r="M135" s="87">
        <v>0.55000000000000004</v>
      </c>
      <c r="N135" s="89">
        <v>0.6</v>
      </c>
      <c r="O135" s="89">
        <v>0.55000000000000004</v>
      </c>
      <c r="P135" s="89">
        <v>0.6</v>
      </c>
      <c r="Q135" s="89">
        <v>0.45</v>
      </c>
      <c r="R135" s="90">
        <v>0.55000000000000004</v>
      </c>
      <c r="S135" s="90">
        <v>0.6</v>
      </c>
      <c r="T135" s="89">
        <v>0.55000000000000004</v>
      </c>
      <c r="U135" s="89">
        <v>0.6</v>
      </c>
      <c r="V135" s="89">
        <v>0.7</v>
      </c>
      <c r="W135" s="89">
        <v>-0.09</v>
      </c>
      <c r="X135" s="89">
        <v>0</v>
      </c>
      <c r="Y135" s="89">
        <v>0.04</v>
      </c>
      <c r="Z135" s="89">
        <v>5.0000000000000001E-3</v>
      </c>
      <c r="AA135" s="89">
        <v>0.17499999999999999</v>
      </c>
      <c r="AB135" s="89">
        <v>0</v>
      </c>
      <c r="AC135" s="89">
        <v>0.14000000000000001</v>
      </c>
      <c r="AD135" s="89">
        <v>0</v>
      </c>
      <c r="AE135" s="89">
        <v>0.17499999999999999</v>
      </c>
      <c r="AF135" s="89">
        <v>0</v>
      </c>
      <c r="AG135" s="89">
        <v>0.14000000000000001</v>
      </c>
      <c r="AH135" s="89">
        <v>0</v>
      </c>
      <c r="AI135" s="89">
        <v>0.14000000000000001</v>
      </c>
      <c r="AJ135" s="89">
        <v>0</v>
      </c>
      <c r="AK135" s="89">
        <v>0.04</v>
      </c>
      <c r="AL135" s="89">
        <v>0.04</v>
      </c>
      <c r="AM135" s="89">
        <v>-4.9000000000000002E-2</v>
      </c>
      <c r="AN135" s="89">
        <v>2.5000000000000001E-2</v>
      </c>
      <c r="AO135" s="89">
        <v>-0.56000000000000005</v>
      </c>
      <c r="AP135" s="89">
        <v>0.155</v>
      </c>
      <c r="AQ135" s="89">
        <v>-4.3999999999999997E-2</v>
      </c>
      <c r="AR135" s="89">
        <v>0</v>
      </c>
      <c r="AS135" s="89">
        <v>-0.15</v>
      </c>
      <c r="AT135" s="89">
        <v>-1.4999999999999999E-2</v>
      </c>
      <c r="AU135" s="89">
        <v>-0.11</v>
      </c>
      <c r="AV135" s="89">
        <v>0.02</v>
      </c>
      <c r="AW135" s="89">
        <v>-4.3999999999999997E-2</v>
      </c>
      <c r="AX135" s="89">
        <v>1.2E-2</v>
      </c>
      <c r="AY135" s="90">
        <v>0.125</v>
      </c>
      <c r="AZ135" s="90">
        <v>0</v>
      </c>
      <c r="BA135" s="90">
        <v>-0.19500000000000001</v>
      </c>
      <c r="BB135" s="89">
        <v>2.5000000000000001E-3</v>
      </c>
      <c r="BC135" s="89">
        <v>-7.0000000000000007E-2</v>
      </c>
      <c r="BD135" s="89">
        <v>5.0000000000000001E-3</v>
      </c>
      <c r="BE135" s="89">
        <v>0.43</v>
      </c>
      <c r="BF135" s="89">
        <v>0</v>
      </c>
      <c r="BG135" s="89">
        <v>-0.06</v>
      </c>
      <c r="BH135" s="89">
        <v>0</v>
      </c>
      <c r="BI135" s="89">
        <v>0</v>
      </c>
      <c r="BJ135" s="62">
        <v>0.03</v>
      </c>
      <c r="BK135" s="62">
        <v>0.43</v>
      </c>
      <c r="BL135" s="62">
        <v>0</v>
      </c>
      <c r="BM135" s="62">
        <v>-0.05</v>
      </c>
      <c r="BN135" s="62">
        <v>0</v>
      </c>
      <c r="BO135" s="62">
        <v>-0.37</v>
      </c>
      <c r="BP135" s="62">
        <v>0</v>
      </c>
      <c r="BQ135" s="62">
        <v>0.5</v>
      </c>
      <c r="BR135" s="62">
        <v>0</v>
      </c>
      <c r="BS135" s="62">
        <v>-7.0000000000000007E-2</v>
      </c>
      <c r="BT135" s="62">
        <v>5.0000000000000001E-3</v>
      </c>
      <c r="BU135" s="62">
        <v>0.3</v>
      </c>
      <c r="BV135" s="62">
        <v>0</v>
      </c>
      <c r="BW135" s="62">
        <v>0</v>
      </c>
      <c r="BX135" s="62">
        <v>0</v>
      </c>
      <c r="BY135" s="62">
        <v>-1.2999999999999999E-2</v>
      </c>
      <c r="BZ135" s="62">
        <v>5.7500000000000002E-2</v>
      </c>
      <c r="CA135" s="62">
        <v>0.15</v>
      </c>
      <c r="CB135" s="62">
        <v>5.0000000000000001E-3</v>
      </c>
      <c r="CC135" s="62">
        <v>-1.2999999999999999E-2</v>
      </c>
      <c r="CD135" s="62">
        <v>3.5000000000000001E-3</v>
      </c>
      <c r="CE135" s="62">
        <v>2.5000000000000001E-3</v>
      </c>
      <c r="CF135" s="62">
        <v>2.5000000000000001E-3</v>
      </c>
      <c r="CG135" s="62">
        <v>-1.2999999999999999E-2</v>
      </c>
      <c r="CH135" s="62">
        <v>3.5000000000000001E-3</v>
      </c>
      <c r="CI135" s="62">
        <v>-6.8500000000000005E-2</v>
      </c>
      <c r="CJ135" s="62">
        <v>2.5000000000000001E-3</v>
      </c>
      <c r="CK135" s="62">
        <v>7.7499999999999999E-2</v>
      </c>
      <c r="CL135" s="62">
        <v>2.5000000000000001E-3</v>
      </c>
      <c r="CM135" s="62">
        <v>-7.1999999999999995E-2</v>
      </c>
      <c r="CN135" s="62">
        <v>7.4999999999999997E-3</v>
      </c>
      <c r="CO135" s="62">
        <v>-1.7000000000000001E-2</v>
      </c>
      <c r="CP135" s="62">
        <v>5.0000000000000001E-3</v>
      </c>
      <c r="CQ135" s="62">
        <v>2.3E-2</v>
      </c>
      <c r="CR135" s="62">
        <v>7.4999999999999997E-3</v>
      </c>
      <c r="CS135" s="62">
        <v>0.41</v>
      </c>
      <c r="CT135" s="62">
        <v>0.01</v>
      </c>
      <c r="CU135" s="62">
        <v>-0.05</v>
      </c>
      <c r="CV135" s="62">
        <v>0</v>
      </c>
      <c r="CW135" s="62">
        <v>0.20499999999999999</v>
      </c>
      <c r="CX135" s="62">
        <v>7.4999999999999997E-3</v>
      </c>
      <c r="CY135" s="62">
        <v>-0.63</v>
      </c>
      <c r="CZ135" s="62">
        <v>0</v>
      </c>
      <c r="DA135" s="62">
        <v>-0.45</v>
      </c>
      <c r="DB135" s="62">
        <v>0</v>
      </c>
      <c r="DC135" s="62">
        <v>1.05</v>
      </c>
      <c r="DE135" s="62">
        <v>-4.7E-2</v>
      </c>
      <c r="DF135" s="62">
        <v>0.01</v>
      </c>
      <c r="DG135" s="62">
        <v>1.2500000000000001E-2</v>
      </c>
      <c r="DH135" s="62">
        <v>0.01</v>
      </c>
      <c r="DI135" s="62">
        <v>-5.0000000000000001E-3</v>
      </c>
      <c r="DJ135" s="62">
        <v>7.4999999999999997E-3</v>
      </c>
      <c r="DK135" s="62">
        <v>-4.3499999999999997E-2</v>
      </c>
      <c r="DL135" s="62">
        <v>5.0000000000000001E-3</v>
      </c>
      <c r="DM135" s="62">
        <v>-5.5E-2</v>
      </c>
      <c r="DN135" s="62">
        <v>2.5000000000000001E-3</v>
      </c>
      <c r="DO135" s="62">
        <v>-7.7499999999999999E-2</v>
      </c>
      <c r="DP135" s="62">
        <v>2.5000000000000001E-3</v>
      </c>
      <c r="DQ135" s="62">
        <v>-7.3499999999999996E-2</v>
      </c>
      <c r="DR135" s="62">
        <v>-5.0000000000000001E-3</v>
      </c>
      <c r="DS135" s="62">
        <v>0.35</v>
      </c>
      <c r="DT135" s="62">
        <v>-5.0000000000000001E-3</v>
      </c>
      <c r="DU135" s="62">
        <v>0</v>
      </c>
      <c r="DV135" s="62">
        <v>0</v>
      </c>
    </row>
    <row r="136" spans="4:126" x14ac:dyDescent="0.25">
      <c r="D136" s="91">
        <v>40787</v>
      </c>
      <c r="F136" s="89">
        <v>3.8595000000000002</v>
      </c>
      <c r="G136" s="90">
        <v>6.1585019951980499E-2</v>
      </c>
      <c r="H136" s="89">
        <v>0.18</v>
      </c>
      <c r="I136" s="89">
        <v>0.55000000000000004</v>
      </c>
      <c r="J136" s="89">
        <v>0.55000000000000004</v>
      </c>
      <c r="K136" s="89">
        <v>0.55000000000000004</v>
      </c>
      <c r="L136" s="87">
        <v>0.55000000000000004</v>
      </c>
      <c r="M136" s="87">
        <v>0.55000000000000004</v>
      </c>
      <c r="N136" s="89">
        <v>0.6</v>
      </c>
      <c r="O136" s="89">
        <v>0.6</v>
      </c>
      <c r="P136" s="89">
        <v>0.55000000000000004</v>
      </c>
      <c r="Q136" s="89">
        <v>0.5</v>
      </c>
      <c r="R136" s="90">
        <v>0.55000000000000004</v>
      </c>
      <c r="S136" s="90">
        <v>0.6</v>
      </c>
      <c r="T136" s="89">
        <v>0.55000000000000004</v>
      </c>
      <c r="U136" s="89">
        <v>0.6</v>
      </c>
      <c r="V136" s="89">
        <v>0.65</v>
      </c>
      <c r="W136" s="89">
        <v>-0.09</v>
      </c>
      <c r="X136" s="89">
        <v>0</v>
      </c>
      <c r="Y136" s="89">
        <v>0.04</v>
      </c>
      <c r="Z136" s="89">
        <v>5.0000000000000001E-3</v>
      </c>
      <c r="AA136" s="89">
        <v>0.17499999999999999</v>
      </c>
      <c r="AB136" s="89">
        <v>0</v>
      </c>
      <c r="AC136" s="89">
        <v>0.14000000000000001</v>
      </c>
      <c r="AD136" s="89">
        <v>0</v>
      </c>
      <c r="AE136" s="89">
        <v>0.17499999999999999</v>
      </c>
      <c r="AF136" s="89">
        <v>0</v>
      </c>
      <c r="AG136" s="89">
        <v>0.14000000000000001</v>
      </c>
      <c r="AH136" s="89">
        <v>0</v>
      </c>
      <c r="AI136" s="89">
        <v>0.14000000000000001</v>
      </c>
      <c r="AJ136" s="89">
        <v>0</v>
      </c>
      <c r="AK136" s="89">
        <v>0.04</v>
      </c>
      <c r="AL136" s="89">
        <v>0.04</v>
      </c>
      <c r="AM136" s="89">
        <v>-4.9000000000000002E-2</v>
      </c>
      <c r="AN136" s="89">
        <v>2.5000000000000001E-2</v>
      </c>
      <c r="AO136" s="89">
        <v>-0.56000000000000005</v>
      </c>
      <c r="AP136" s="89">
        <v>0.155</v>
      </c>
      <c r="AQ136" s="89">
        <v>-4.3999999999999997E-2</v>
      </c>
      <c r="AR136" s="89">
        <v>0</v>
      </c>
      <c r="AS136" s="89">
        <v>-0.15</v>
      </c>
      <c r="AT136" s="89">
        <v>-1.4999999999999999E-2</v>
      </c>
      <c r="AU136" s="89">
        <v>-0.11</v>
      </c>
      <c r="AV136" s="89">
        <v>0.02</v>
      </c>
      <c r="AW136" s="89">
        <v>-4.3999999999999997E-2</v>
      </c>
      <c r="AX136" s="89">
        <v>1.2E-2</v>
      </c>
      <c r="AY136" s="90">
        <v>0.125</v>
      </c>
      <c r="AZ136" s="90">
        <v>0</v>
      </c>
      <c r="BA136" s="90">
        <v>-0.19500000000000001</v>
      </c>
      <c r="BB136" s="89">
        <v>2.5000000000000001E-3</v>
      </c>
      <c r="BC136" s="89">
        <v>-7.0000000000000007E-2</v>
      </c>
      <c r="BD136" s="89">
        <v>5.0000000000000001E-3</v>
      </c>
      <c r="BE136" s="89">
        <v>0.43</v>
      </c>
      <c r="BF136" s="89">
        <v>0</v>
      </c>
      <c r="BG136" s="89">
        <v>-0.06</v>
      </c>
      <c r="BH136" s="89">
        <v>0</v>
      </c>
      <c r="BI136" s="89">
        <v>0</v>
      </c>
      <c r="BJ136" s="62">
        <v>0.03</v>
      </c>
      <c r="BK136" s="62">
        <v>0.43</v>
      </c>
      <c r="BL136" s="62">
        <v>0</v>
      </c>
      <c r="BM136" s="62">
        <v>-0.05</v>
      </c>
      <c r="BN136" s="62">
        <v>0</v>
      </c>
      <c r="BO136" s="62">
        <v>-0.37</v>
      </c>
      <c r="BP136" s="62">
        <v>0</v>
      </c>
      <c r="BQ136" s="62">
        <v>0.5</v>
      </c>
      <c r="BR136" s="62">
        <v>0</v>
      </c>
      <c r="BS136" s="62">
        <v>-7.0000000000000007E-2</v>
      </c>
      <c r="BT136" s="62">
        <v>5.0000000000000001E-3</v>
      </c>
      <c r="BU136" s="62">
        <v>0.3</v>
      </c>
      <c r="BV136" s="62">
        <v>0</v>
      </c>
      <c r="BW136" s="62">
        <v>0</v>
      </c>
      <c r="BX136" s="62">
        <v>0</v>
      </c>
      <c r="BY136" s="62">
        <v>-1.2999999999999999E-2</v>
      </c>
      <c r="BZ136" s="62">
        <v>5.7500000000000002E-2</v>
      </c>
      <c r="CA136" s="62">
        <v>0.125</v>
      </c>
      <c r="CB136" s="62">
        <v>5.0000000000000001E-3</v>
      </c>
      <c r="CC136" s="62">
        <v>-1.2999999999999999E-2</v>
      </c>
      <c r="CD136" s="62">
        <v>3.5000000000000001E-3</v>
      </c>
      <c r="CE136" s="62">
        <v>2.5000000000000001E-3</v>
      </c>
      <c r="CF136" s="62">
        <v>2.5000000000000001E-3</v>
      </c>
      <c r="CG136" s="62">
        <v>-1.2999999999999999E-2</v>
      </c>
      <c r="CH136" s="62">
        <v>3.5000000000000001E-3</v>
      </c>
      <c r="CI136" s="62">
        <v>-7.3499999999999996E-2</v>
      </c>
      <c r="CJ136" s="62">
        <v>2.5000000000000001E-3</v>
      </c>
      <c r="CK136" s="62">
        <v>7.7499999999999999E-2</v>
      </c>
      <c r="CL136" s="62">
        <v>2.5000000000000001E-3</v>
      </c>
      <c r="CM136" s="62">
        <v>-7.1999999999999995E-2</v>
      </c>
      <c r="CN136" s="62">
        <v>7.4999999999999997E-3</v>
      </c>
      <c r="CO136" s="62">
        <v>-1.7000000000000001E-2</v>
      </c>
      <c r="CP136" s="62">
        <v>5.0000000000000001E-3</v>
      </c>
      <c r="CQ136" s="62">
        <v>2.3E-2</v>
      </c>
      <c r="CR136" s="62">
        <v>7.4999999999999997E-3</v>
      </c>
      <c r="CS136" s="62">
        <v>0.36</v>
      </c>
      <c r="CT136" s="62">
        <v>0.01</v>
      </c>
      <c r="CU136" s="62">
        <v>-0.05</v>
      </c>
      <c r="CV136" s="62">
        <v>0</v>
      </c>
      <c r="CW136" s="62">
        <v>0.14499999999999999</v>
      </c>
      <c r="CX136" s="62">
        <v>7.4999999999999997E-3</v>
      </c>
      <c r="CY136" s="62">
        <v>-0.63</v>
      </c>
      <c r="CZ136" s="62">
        <v>0</v>
      </c>
      <c r="DA136" s="62">
        <v>-0.45</v>
      </c>
      <c r="DB136" s="62">
        <v>0</v>
      </c>
      <c r="DC136" s="62">
        <v>0.75</v>
      </c>
      <c r="DE136" s="62">
        <v>-5.1999999999999998E-2</v>
      </c>
      <c r="DF136" s="62">
        <v>0.01</v>
      </c>
      <c r="DG136" s="62">
        <v>1.2500000000000001E-2</v>
      </c>
      <c r="DH136" s="62">
        <v>0.01</v>
      </c>
      <c r="DI136" s="62">
        <v>-5.0000000000000001E-3</v>
      </c>
      <c r="DJ136" s="62">
        <v>7.4999999999999997E-3</v>
      </c>
      <c r="DK136" s="62">
        <v>-5.3499999999999999E-2</v>
      </c>
      <c r="DL136" s="62">
        <v>5.0000000000000001E-3</v>
      </c>
      <c r="DM136" s="62">
        <v>-5.5E-2</v>
      </c>
      <c r="DN136" s="62">
        <v>2.5000000000000001E-3</v>
      </c>
      <c r="DO136" s="62">
        <v>-7.7499999999999999E-2</v>
      </c>
      <c r="DP136" s="62">
        <v>2.5000000000000001E-3</v>
      </c>
      <c r="DQ136" s="62">
        <v>-8.3500000000000005E-2</v>
      </c>
      <c r="DR136" s="62">
        <v>-5.0000000000000001E-3</v>
      </c>
      <c r="DS136" s="62">
        <v>0.315</v>
      </c>
      <c r="DT136" s="62">
        <v>-5.0000000000000001E-3</v>
      </c>
      <c r="DU136" s="62">
        <v>0</v>
      </c>
      <c r="DV136" s="62">
        <v>0</v>
      </c>
    </row>
    <row r="137" spans="4:126" x14ac:dyDescent="0.25">
      <c r="D137" s="91">
        <v>40817</v>
      </c>
      <c r="F137" s="89">
        <v>3.8845000000000001</v>
      </c>
      <c r="G137" s="90">
        <v>6.1690613225283901E-2</v>
      </c>
      <c r="H137" s="89">
        <v>0.18</v>
      </c>
      <c r="I137" s="89">
        <v>0.6</v>
      </c>
      <c r="J137" s="89">
        <v>0.6</v>
      </c>
      <c r="K137" s="89">
        <v>0.55000000000000004</v>
      </c>
      <c r="L137" s="87">
        <v>0.6</v>
      </c>
      <c r="M137" s="87">
        <v>0.6</v>
      </c>
      <c r="N137" s="89">
        <v>0.65</v>
      </c>
      <c r="O137" s="89">
        <v>0.65</v>
      </c>
      <c r="P137" s="89">
        <v>0.6</v>
      </c>
      <c r="Q137" s="89">
        <v>0.5</v>
      </c>
      <c r="R137" s="90">
        <v>0.6</v>
      </c>
      <c r="S137" s="90">
        <v>0.65</v>
      </c>
      <c r="T137" s="89">
        <v>0.6</v>
      </c>
      <c r="U137" s="89">
        <v>0.65</v>
      </c>
      <c r="V137" s="89">
        <v>0.7</v>
      </c>
      <c r="W137" s="89">
        <v>-0.09</v>
      </c>
      <c r="X137" s="89">
        <v>0</v>
      </c>
      <c r="Y137" s="89">
        <v>0.04</v>
      </c>
      <c r="Z137" s="89">
        <v>5.0000000000000001E-3</v>
      </c>
      <c r="AA137" s="89">
        <v>0.17499999999999999</v>
      </c>
      <c r="AB137" s="89">
        <v>0</v>
      </c>
      <c r="AC137" s="89">
        <v>0.14000000000000001</v>
      </c>
      <c r="AD137" s="89">
        <v>0</v>
      </c>
      <c r="AE137" s="89">
        <v>0.17499999999999999</v>
      </c>
      <c r="AF137" s="89">
        <v>0</v>
      </c>
      <c r="AG137" s="89">
        <v>0.14000000000000001</v>
      </c>
      <c r="AH137" s="89">
        <v>0</v>
      </c>
      <c r="AI137" s="89">
        <v>0.14000000000000001</v>
      </c>
      <c r="AJ137" s="89">
        <v>0</v>
      </c>
      <c r="AK137" s="89">
        <v>0.04</v>
      </c>
      <c r="AL137" s="89">
        <v>0.04</v>
      </c>
      <c r="AM137" s="89">
        <v>-4.9000000000000002E-2</v>
      </c>
      <c r="AN137" s="89">
        <v>2.5000000000000001E-2</v>
      </c>
      <c r="AO137" s="89">
        <v>-0.56000000000000005</v>
      </c>
      <c r="AP137" s="89">
        <v>0.155</v>
      </c>
      <c r="AQ137" s="89">
        <v>-4.3999999999999997E-2</v>
      </c>
      <c r="AR137" s="89">
        <v>0</v>
      </c>
      <c r="AS137" s="89">
        <v>-0.15</v>
      </c>
      <c r="AT137" s="89">
        <v>-1.4999999999999999E-2</v>
      </c>
      <c r="AU137" s="89">
        <v>-0.11</v>
      </c>
      <c r="AV137" s="89">
        <v>0.02</v>
      </c>
      <c r="AW137" s="89">
        <v>-4.3999999999999997E-2</v>
      </c>
      <c r="AX137" s="89">
        <v>1.2E-2</v>
      </c>
      <c r="AY137" s="90">
        <v>0.125</v>
      </c>
      <c r="AZ137" s="90">
        <v>0</v>
      </c>
      <c r="BA137" s="90">
        <v>-0.19500000000000001</v>
      </c>
      <c r="BB137" s="89">
        <v>2.5000000000000001E-3</v>
      </c>
      <c r="BC137" s="89">
        <v>-7.0000000000000007E-2</v>
      </c>
      <c r="BD137" s="89">
        <v>5.0000000000000001E-3</v>
      </c>
      <c r="BE137" s="89">
        <v>0.43</v>
      </c>
      <c r="BF137" s="89">
        <v>0</v>
      </c>
      <c r="BG137" s="89">
        <v>-0.06</v>
      </c>
      <c r="BH137" s="89">
        <v>0</v>
      </c>
      <c r="BI137" s="89">
        <v>0</v>
      </c>
      <c r="BJ137" s="62">
        <v>0.03</v>
      </c>
      <c r="BK137" s="62">
        <v>0.43</v>
      </c>
      <c r="BL137" s="62">
        <v>0</v>
      </c>
      <c r="BM137" s="62">
        <v>-0.05</v>
      </c>
      <c r="BN137" s="62">
        <v>0</v>
      </c>
      <c r="BO137" s="62">
        <v>-0.37</v>
      </c>
      <c r="BP137" s="62">
        <v>0</v>
      </c>
      <c r="BQ137" s="62">
        <v>0.5</v>
      </c>
      <c r="BR137" s="62">
        <v>0</v>
      </c>
      <c r="BS137" s="62">
        <v>-7.0000000000000007E-2</v>
      </c>
      <c r="BT137" s="62">
        <v>5.0000000000000001E-3</v>
      </c>
      <c r="BU137" s="62">
        <v>0.3</v>
      </c>
      <c r="BV137" s="62">
        <v>0</v>
      </c>
      <c r="BW137" s="62">
        <v>0</v>
      </c>
      <c r="BX137" s="62">
        <v>0</v>
      </c>
      <c r="BY137" s="62">
        <v>-1.2999999999999999E-2</v>
      </c>
      <c r="BZ137" s="62">
        <v>5.7500000000000002E-2</v>
      </c>
      <c r="CA137" s="62">
        <v>0.14499999999999999</v>
      </c>
      <c r="CB137" s="62">
        <v>5.0000000000000001E-3</v>
      </c>
      <c r="CC137" s="62">
        <v>-1.2999999999999999E-2</v>
      </c>
      <c r="CD137" s="62">
        <v>3.5000000000000001E-3</v>
      </c>
      <c r="CE137" s="62">
        <v>2.5000000000000001E-3</v>
      </c>
      <c r="CF137" s="62">
        <v>2.5000000000000001E-3</v>
      </c>
      <c r="CG137" s="62">
        <v>-1.2999999999999999E-2</v>
      </c>
      <c r="CH137" s="62">
        <v>3.5000000000000001E-3</v>
      </c>
      <c r="CI137" s="62">
        <v>-7.5999999999999998E-2</v>
      </c>
      <c r="CJ137" s="62">
        <v>2.5000000000000001E-3</v>
      </c>
      <c r="CK137" s="62">
        <v>7.7499999999999999E-2</v>
      </c>
      <c r="CL137" s="62">
        <v>2.5000000000000001E-3</v>
      </c>
      <c r="CM137" s="62">
        <v>-7.1999999999999995E-2</v>
      </c>
      <c r="CN137" s="62">
        <v>7.4999999999999997E-3</v>
      </c>
      <c r="CO137" s="62">
        <v>-1.7000000000000001E-2</v>
      </c>
      <c r="CP137" s="62">
        <v>5.0000000000000001E-3</v>
      </c>
      <c r="CQ137" s="62">
        <v>2.3E-2</v>
      </c>
      <c r="CR137" s="62">
        <v>7.4999999999999997E-3</v>
      </c>
      <c r="CS137" s="62">
        <v>0.4</v>
      </c>
      <c r="CT137" s="62">
        <v>0.01</v>
      </c>
      <c r="CU137" s="62">
        <v>-0.05</v>
      </c>
      <c r="CV137" s="62">
        <v>0</v>
      </c>
      <c r="CW137" s="62">
        <v>0.17499999999999999</v>
      </c>
      <c r="CX137" s="62">
        <v>7.4999999999999997E-3</v>
      </c>
      <c r="CY137" s="62">
        <v>-0.63</v>
      </c>
      <c r="CZ137" s="62">
        <v>0</v>
      </c>
      <c r="DA137" s="62">
        <v>-0.45</v>
      </c>
      <c r="DB137" s="62">
        <v>0</v>
      </c>
      <c r="DC137" s="62">
        <v>0.45</v>
      </c>
      <c r="DE137" s="62">
        <v>-5.1999999999999998E-2</v>
      </c>
      <c r="DF137" s="62">
        <v>0.01</v>
      </c>
      <c r="DG137" s="62">
        <v>0.01</v>
      </c>
      <c r="DH137" s="62">
        <v>0.01</v>
      </c>
      <c r="DI137" s="62">
        <v>-7.4999999999999997E-3</v>
      </c>
      <c r="DJ137" s="62">
        <v>7.4999999999999997E-3</v>
      </c>
      <c r="DK137" s="62">
        <v>-4.1000000000000002E-2</v>
      </c>
      <c r="DL137" s="62">
        <v>5.0000000000000001E-3</v>
      </c>
      <c r="DM137" s="62">
        <v>-5.5E-2</v>
      </c>
      <c r="DN137" s="62">
        <v>2.5000000000000001E-3</v>
      </c>
      <c r="DO137" s="62">
        <v>-7.7499999999999999E-2</v>
      </c>
      <c r="DP137" s="62">
        <v>2.5000000000000001E-3</v>
      </c>
      <c r="DQ137" s="62">
        <v>-7.0999999999999994E-2</v>
      </c>
      <c r="DR137" s="62">
        <v>-5.0000000000000001E-3</v>
      </c>
      <c r="DS137" s="62">
        <v>0.36</v>
      </c>
      <c r="DT137" s="62">
        <v>-5.0000000000000001E-3</v>
      </c>
      <c r="DU137" s="62">
        <v>0</v>
      </c>
      <c r="DV137" s="62">
        <v>0</v>
      </c>
    </row>
    <row r="138" spans="4:126" x14ac:dyDescent="0.25">
      <c r="D138" s="91">
        <v>40848</v>
      </c>
      <c r="F138" s="89">
        <v>4.0365000000000002</v>
      </c>
      <c r="G138" s="90">
        <v>6.1799726278253198E-2</v>
      </c>
      <c r="H138" s="89">
        <v>0.18</v>
      </c>
      <c r="I138" s="89">
        <v>0.8</v>
      </c>
      <c r="J138" s="89">
        <v>0.85</v>
      </c>
      <c r="K138" s="89">
        <v>0.8</v>
      </c>
      <c r="L138" s="87">
        <v>0.8</v>
      </c>
      <c r="M138" s="87">
        <v>0.9</v>
      </c>
      <c r="N138" s="89">
        <v>0.95</v>
      </c>
      <c r="O138" s="89">
        <v>0.85</v>
      </c>
      <c r="P138" s="89">
        <v>0.8</v>
      </c>
      <c r="Q138" s="89">
        <v>0.95</v>
      </c>
      <c r="R138" s="90">
        <v>0.8</v>
      </c>
      <c r="S138" s="90">
        <v>0.8</v>
      </c>
      <c r="T138" s="89">
        <v>0.8</v>
      </c>
      <c r="U138" s="89">
        <v>0.95</v>
      </c>
      <c r="V138" s="89">
        <v>0.9</v>
      </c>
      <c r="W138" s="89">
        <v>0</v>
      </c>
      <c r="X138" s="89">
        <v>0.03</v>
      </c>
      <c r="Y138" s="89">
        <v>0.13</v>
      </c>
      <c r="Z138" s="89">
        <v>0.02</v>
      </c>
      <c r="AA138" s="89">
        <v>0.28999999999999998</v>
      </c>
      <c r="AB138" s="89">
        <v>0</v>
      </c>
      <c r="AC138" s="89">
        <v>0.33500000000000002</v>
      </c>
      <c r="AD138" s="89">
        <v>0</v>
      </c>
      <c r="AE138" s="89">
        <v>0.28999999999999998</v>
      </c>
      <c r="AF138" s="89">
        <v>0</v>
      </c>
      <c r="AG138" s="89">
        <v>0.17</v>
      </c>
      <c r="AH138" s="89">
        <v>0</v>
      </c>
      <c r="AI138" s="89">
        <v>0.15415999999999999</v>
      </c>
      <c r="AJ138" s="89">
        <v>0</v>
      </c>
      <c r="AK138" s="89">
        <v>0.13</v>
      </c>
      <c r="AL138" s="89">
        <v>3.5000000000000003E-2</v>
      </c>
      <c r="AM138" s="89">
        <v>-6.3500000000000001E-2</v>
      </c>
      <c r="AN138" s="89">
        <v>0.02</v>
      </c>
      <c r="AO138" s="89">
        <v>-0.5</v>
      </c>
      <c r="AP138" s="89">
        <v>0.155</v>
      </c>
      <c r="AQ138" s="89">
        <v>-4.3499999999999997E-2</v>
      </c>
      <c r="AR138" s="89">
        <v>5.0000000000000001E-3</v>
      </c>
      <c r="AS138" s="89">
        <v>-0.15</v>
      </c>
      <c r="AT138" s="89">
        <v>-5.0000000000000001E-3</v>
      </c>
      <c r="AU138" s="89">
        <v>-0.11</v>
      </c>
      <c r="AV138" s="89">
        <v>-0.01</v>
      </c>
      <c r="AW138" s="89">
        <v>-4.3499999999999997E-2</v>
      </c>
      <c r="AX138" s="89">
        <v>2.1999999999999999E-2</v>
      </c>
      <c r="AY138" s="90">
        <v>0.155</v>
      </c>
      <c r="AZ138" s="90">
        <v>0</v>
      </c>
      <c r="BA138" s="90">
        <v>-0.13</v>
      </c>
      <c r="BB138" s="89">
        <v>5.0000000000000001E-3</v>
      </c>
      <c r="BC138" s="89">
        <v>-7.0000000000000007E-2</v>
      </c>
      <c r="BD138" s="89">
        <v>5.0000000000000001E-3</v>
      </c>
      <c r="BE138" s="89">
        <v>0.35</v>
      </c>
      <c r="BF138" s="89">
        <v>0</v>
      </c>
      <c r="BG138" s="89">
        <v>-0.06</v>
      </c>
      <c r="BH138" s="89">
        <v>0</v>
      </c>
      <c r="BI138" s="89">
        <v>0</v>
      </c>
      <c r="BJ138" s="62">
        <v>0.03</v>
      </c>
      <c r="BK138" s="62">
        <v>0.35</v>
      </c>
      <c r="BL138" s="62">
        <v>0</v>
      </c>
      <c r="BM138" s="62">
        <v>0.29799999999999999</v>
      </c>
      <c r="BN138" s="62">
        <v>0</v>
      </c>
      <c r="BO138" s="62">
        <v>-0.26</v>
      </c>
      <c r="BP138" s="62">
        <v>0</v>
      </c>
      <c r="BQ138" s="62">
        <v>0.5</v>
      </c>
      <c r="BR138" s="62">
        <v>0</v>
      </c>
      <c r="BS138" s="62">
        <v>-7.0000000000000007E-2</v>
      </c>
      <c r="BT138" s="62">
        <v>5.0000000000000001E-3</v>
      </c>
      <c r="BU138" s="62">
        <v>0.3</v>
      </c>
      <c r="BV138" s="62">
        <v>0</v>
      </c>
      <c r="BW138" s="62">
        <v>0</v>
      </c>
      <c r="BX138" s="62">
        <v>0</v>
      </c>
      <c r="BY138" s="62">
        <v>-1.2999999999999999E-2</v>
      </c>
      <c r="BZ138" s="62">
        <v>5.7500000000000002E-2</v>
      </c>
      <c r="CA138" s="62">
        <v>0.19500000000000001</v>
      </c>
      <c r="CB138" s="62">
        <v>5.0000000000000001E-3</v>
      </c>
      <c r="CC138" s="62">
        <v>-1.2999999999999999E-2</v>
      </c>
      <c r="CD138" s="62">
        <v>3.7000000000000002E-3</v>
      </c>
      <c r="CE138" s="62">
        <v>2.5000000000000001E-3</v>
      </c>
      <c r="CF138" s="62">
        <v>2.5000000000000001E-3</v>
      </c>
      <c r="CG138" s="62">
        <v>-1.2999999999999999E-2</v>
      </c>
      <c r="CH138" s="62">
        <v>3.7000000000000002E-3</v>
      </c>
      <c r="CI138" s="62">
        <v>-8.1000000000000003E-2</v>
      </c>
      <c r="CJ138" s="62">
        <v>2.5000000000000001E-3</v>
      </c>
      <c r="CK138" s="62">
        <v>7.4999999999999997E-2</v>
      </c>
      <c r="CL138" s="62">
        <v>2.5000000000000001E-3</v>
      </c>
      <c r="CM138" s="62">
        <v>-6.4000000000000001E-2</v>
      </c>
      <c r="CN138" s="62">
        <v>0.01</v>
      </c>
      <c r="CO138" s="62">
        <v>-8.9999989999999998E-3</v>
      </c>
      <c r="CP138" s="62">
        <v>7.4999999999999997E-3</v>
      </c>
      <c r="CQ138" s="62">
        <v>3.1E-2</v>
      </c>
      <c r="CR138" s="62">
        <v>1.2500000000000001E-2</v>
      </c>
      <c r="CS138" s="62">
        <v>0.65</v>
      </c>
      <c r="CT138" s="62">
        <v>5.5E-2</v>
      </c>
      <c r="CU138" s="62">
        <v>0.29799999999999999</v>
      </c>
      <c r="CV138" s="62">
        <v>0</v>
      </c>
      <c r="CW138" s="62">
        <v>0.21</v>
      </c>
      <c r="CX138" s="62">
        <v>0.02</v>
      </c>
      <c r="CY138" s="62">
        <v>-0.52</v>
      </c>
      <c r="CZ138" s="62">
        <v>0</v>
      </c>
      <c r="DA138" s="62">
        <v>-0.34</v>
      </c>
      <c r="DB138" s="62">
        <v>0</v>
      </c>
      <c r="DC138" s="62">
        <v>0.45</v>
      </c>
      <c r="DE138" s="62">
        <v>-4.0500000000000001E-2</v>
      </c>
      <c r="DF138" s="62">
        <v>1.2500000000000001E-2</v>
      </c>
      <c r="DG138" s="62">
        <v>1.0999999999999999E-2</v>
      </c>
      <c r="DH138" s="62">
        <v>7.4999999999999997E-3</v>
      </c>
      <c r="DI138" s="62">
        <v>-6.4999999999999997E-3</v>
      </c>
      <c r="DJ138" s="62">
        <v>2.5000000000000001E-3</v>
      </c>
      <c r="DK138" s="62">
        <v>-4.5999999999999999E-2</v>
      </c>
      <c r="DL138" s="62">
        <v>2.5000000000000001E-3</v>
      </c>
      <c r="DM138" s="62">
        <v>-5.7500000000000002E-2</v>
      </c>
      <c r="DN138" s="62">
        <v>2.5000000000000001E-3</v>
      </c>
      <c r="DO138" s="62">
        <v>-0.08</v>
      </c>
      <c r="DP138" s="62">
        <v>2.5000000000000001E-3</v>
      </c>
      <c r="DQ138" s="62">
        <v>-7.5999999999999998E-2</v>
      </c>
      <c r="DR138" s="62">
        <v>-5.0000000000000001E-3</v>
      </c>
      <c r="DS138" s="62">
        <v>0.46</v>
      </c>
      <c r="DT138" s="62">
        <v>0.05</v>
      </c>
      <c r="DU138" s="62">
        <v>0</v>
      </c>
      <c r="DV138" s="62">
        <v>0</v>
      </c>
    </row>
    <row r="139" spans="4:126" x14ac:dyDescent="0.25">
      <c r="D139" s="91">
        <v>40878</v>
      </c>
      <c r="F139" s="89">
        <v>4.1795</v>
      </c>
      <c r="G139" s="90">
        <v>6.1905319559083502E-2</v>
      </c>
      <c r="H139" s="89">
        <v>0.18</v>
      </c>
      <c r="I139" s="89">
        <v>1</v>
      </c>
      <c r="J139" s="89">
        <v>1.05</v>
      </c>
      <c r="K139" s="89">
        <v>1</v>
      </c>
      <c r="L139" s="87">
        <v>1</v>
      </c>
      <c r="M139" s="87">
        <v>1.1499999999999999</v>
      </c>
      <c r="N139" s="89">
        <v>1.25</v>
      </c>
      <c r="O139" s="89">
        <v>1.05</v>
      </c>
      <c r="P139" s="89">
        <v>1</v>
      </c>
      <c r="Q139" s="89">
        <v>1.35</v>
      </c>
      <c r="R139" s="90">
        <v>1</v>
      </c>
      <c r="S139" s="90">
        <v>1.1000000000000001</v>
      </c>
      <c r="T139" s="89">
        <v>1</v>
      </c>
      <c r="U139" s="89">
        <v>1.25</v>
      </c>
      <c r="V139" s="89">
        <v>1.1000000000000001</v>
      </c>
      <c r="W139" s="89">
        <v>5.0000000000000001E-3</v>
      </c>
      <c r="X139" s="89">
        <v>0.03</v>
      </c>
      <c r="Y139" s="89">
        <v>0.13</v>
      </c>
      <c r="Z139" s="89">
        <v>0.02</v>
      </c>
      <c r="AA139" s="89">
        <v>0.28999999999999998</v>
      </c>
      <c r="AB139" s="89">
        <v>0</v>
      </c>
      <c r="AC139" s="89">
        <v>0.33500000000000002</v>
      </c>
      <c r="AD139" s="89">
        <v>0</v>
      </c>
      <c r="AE139" s="89">
        <v>0.28999999999999998</v>
      </c>
      <c r="AF139" s="89">
        <v>0</v>
      </c>
      <c r="AG139" s="89">
        <v>0.17</v>
      </c>
      <c r="AH139" s="89">
        <v>0</v>
      </c>
      <c r="AI139" s="89">
        <v>0.15928</v>
      </c>
      <c r="AJ139" s="89">
        <v>0</v>
      </c>
      <c r="AK139" s="89">
        <v>0.13</v>
      </c>
      <c r="AL139" s="89">
        <v>3.5000000000000003E-2</v>
      </c>
      <c r="AM139" s="89">
        <v>-6.3500000000000001E-2</v>
      </c>
      <c r="AN139" s="89">
        <v>0.02</v>
      </c>
      <c r="AO139" s="89">
        <v>-0.5</v>
      </c>
      <c r="AP139" s="89">
        <v>0.155</v>
      </c>
      <c r="AQ139" s="89">
        <v>-4.3499999999999997E-2</v>
      </c>
      <c r="AR139" s="89">
        <v>5.0000000000000001E-3</v>
      </c>
      <c r="AS139" s="89">
        <v>-0.1525</v>
      </c>
      <c r="AT139" s="89">
        <v>-5.0000000000000001E-3</v>
      </c>
      <c r="AU139" s="89">
        <v>-0.1125</v>
      </c>
      <c r="AV139" s="89">
        <v>-0.01</v>
      </c>
      <c r="AW139" s="89">
        <v>-4.3499999999999997E-2</v>
      </c>
      <c r="AX139" s="89">
        <v>2.1999999999999999E-2</v>
      </c>
      <c r="AY139" s="90">
        <v>0.155</v>
      </c>
      <c r="AZ139" s="90">
        <v>0</v>
      </c>
      <c r="BA139" s="90">
        <v>-0.13</v>
      </c>
      <c r="BB139" s="89">
        <v>5.0000000000000001E-3</v>
      </c>
      <c r="BC139" s="89">
        <v>-7.0000000000000007E-2</v>
      </c>
      <c r="BD139" s="89">
        <v>5.0000000000000001E-3</v>
      </c>
      <c r="BE139" s="89">
        <v>0.35</v>
      </c>
      <c r="BF139" s="89">
        <v>0</v>
      </c>
      <c r="BG139" s="89">
        <v>-0.06</v>
      </c>
      <c r="BH139" s="89">
        <v>0</v>
      </c>
      <c r="BI139" s="89">
        <v>0</v>
      </c>
      <c r="BJ139" s="62">
        <v>0.03</v>
      </c>
      <c r="BK139" s="62">
        <v>0.35</v>
      </c>
      <c r="BL139" s="62">
        <v>0</v>
      </c>
      <c r="BM139" s="62">
        <v>0.35799999999999998</v>
      </c>
      <c r="BN139" s="62">
        <v>0</v>
      </c>
      <c r="BO139" s="62">
        <v>-0.26</v>
      </c>
      <c r="BP139" s="62">
        <v>0</v>
      </c>
      <c r="BQ139" s="62">
        <v>0.5</v>
      </c>
      <c r="BR139" s="62">
        <v>0</v>
      </c>
      <c r="BS139" s="62">
        <v>-7.0000000000000007E-2</v>
      </c>
      <c r="BT139" s="62">
        <v>5.0000000000000001E-3</v>
      </c>
      <c r="BU139" s="62">
        <v>0.3</v>
      </c>
      <c r="BV139" s="62">
        <v>0</v>
      </c>
      <c r="BW139" s="62">
        <v>0</v>
      </c>
      <c r="BX139" s="62">
        <v>0</v>
      </c>
      <c r="BY139" s="62">
        <v>-1.2999999999999999E-2</v>
      </c>
      <c r="BZ139" s="62">
        <v>5.7500000000000002E-2</v>
      </c>
      <c r="CA139" s="62">
        <v>0.215</v>
      </c>
      <c r="CB139" s="62">
        <v>5.0000000000000001E-3</v>
      </c>
      <c r="CC139" s="62">
        <v>-1.2999999999999999E-2</v>
      </c>
      <c r="CD139" s="62">
        <v>3.7000000000000002E-3</v>
      </c>
      <c r="CE139" s="62">
        <v>2.5000000000000001E-3</v>
      </c>
      <c r="CF139" s="62">
        <v>2.5000000000000001E-3</v>
      </c>
      <c r="CG139" s="62">
        <v>-1.2999999999999999E-2</v>
      </c>
      <c r="CH139" s="62">
        <v>3.7000000000000002E-3</v>
      </c>
      <c r="CI139" s="62">
        <v>-0.1085</v>
      </c>
      <c r="CJ139" s="62">
        <v>2.5000000000000001E-3</v>
      </c>
      <c r="CK139" s="62">
        <v>7.4999999999999997E-2</v>
      </c>
      <c r="CL139" s="62">
        <v>2.5000000000000001E-3</v>
      </c>
      <c r="CM139" s="62">
        <v>-6.4000000000000001E-2</v>
      </c>
      <c r="CN139" s="62">
        <v>0.01</v>
      </c>
      <c r="CO139" s="62">
        <v>-8.9999989999999998E-3</v>
      </c>
      <c r="CP139" s="62">
        <v>7.4999999999999997E-3</v>
      </c>
      <c r="CQ139" s="62">
        <v>3.1E-2</v>
      </c>
      <c r="CR139" s="62">
        <v>1.2500000000000001E-2</v>
      </c>
      <c r="CS139" s="62">
        <v>0.98</v>
      </c>
      <c r="CT139" s="62">
        <v>0.25</v>
      </c>
      <c r="CU139" s="62">
        <v>0.35799999999999998</v>
      </c>
      <c r="CV139" s="62">
        <v>0</v>
      </c>
      <c r="CW139" s="62">
        <v>0.28999999999999998</v>
      </c>
      <c r="CX139" s="62">
        <v>0.02</v>
      </c>
      <c r="CY139" s="62">
        <v>-0.52</v>
      </c>
      <c r="CZ139" s="62">
        <v>0</v>
      </c>
      <c r="DA139" s="62">
        <v>-0.34</v>
      </c>
      <c r="DB139" s="62">
        <v>0</v>
      </c>
      <c r="DC139" s="62">
        <v>0.4</v>
      </c>
      <c r="DE139" s="62">
        <v>-4.0500000000000001E-2</v>
      </c>
      <c r="DF139" s="62">
        <v>1.2500000000000001E-2</v>
      </c>
      <c r="DG139" s="62">
        <v>1.0999999999999999E-2</v>
      </c>
      <c r="DH139" s="62">
        <v>7.4999999999999997E-3</v>
      </c>
      <c r="DI139" s="62">
        <v>-6.4999999999999997E-3</v>
      </c>
      <c r="DJ139" s="62">
        <v>2.5000000000000001E-3</v>
      </c>
      <c r="DK139" s="62">
        <v>-7.3499999999999996E-2</v>
      </c>
      <c r="DL139" s="62">
        <v>2.5000000000000001E-3</v>
      </c>
      <c r="DM139" s="62">
        <v>-5.5500000000000001E-2</v>
      </c>
      <c r="DN139" s="62">
        <v>2.5000000000000001E-3</v>
      </c>
      <c r="DO139" s="62">
        <v>-7.8E-2</v>
      </c>
      <c r="DP139" s="62">
        <v>2.5000000000000001E-3</v>
      </c>
      <c r="DQ139" s="62">
        <v>-0.10349999999999999</v>
      </c>
      <c r="DR139" s="62">
        <v>-5.0000000000000001E-3</v>
      </c>
      <c r="DS139" s="62">
        <v>0.77</v>
      </c>
      <c r="DT139" s="62">
        <v>0.05</v>
      </c>
      <c r="DU139" s="62">
        <v>0</v>
      </c>
      <c r="DV139" s="62">
        <v>0</v>
      </c>
    </row>
    <row r="140" spans="4:126" x14ac:dyDescent="0.25">
      <c r="D140" s="91">
        <v>40909</v>
      </c>
      <c r="F140" s="89">
        <v>4.2394999999999996</v>
      </c>
      <c r="G140" s="90">
        <v>6.19856778870891E-2</v>
      </c>
      <c r="H140" s="89">
        <v>0.18</v>
      </c>
      <c r="I140" s="89">
        <v>1</v>
      </c>
      <c r="J140" s="89">
        <v>1.05</v>
      </c>
      <c r="K140" s="89">
        <v>1</v>
      </c>
      <c r="L140" s="87">
        <v>1</v>
      </c>
      <c r="M140" s="87">
        <v>1.1499999999999999</v>
      </c>
      <c r="N140" s="89">
        <v>1.45</v>
      </c>
      <c r="O140" s="89">
        <v>1.05</v>
      </c>
      <c r="P140" s="89">
        <v>1</v>
      </c>
      <c r="Q140" s="89">
        <v>1.35</v>
      </c>
      <c r="R140" s="90">
        <v>1</v>
      </c>
      <c r="S140" s="90">
        <v>1.1000000000000001</v>
      </c>
      <c r="T140" s="89">
        <v>1</v>
      </c>
      <c r="U140" s="89">
        <v>1.45</v>
      </c>
      <c r="V140" s="89">
        <v>1.1000000000000001</v>
      </c>
      <c r="W140" s="89">
        <v>2.5000000000000001E-2</v>
      </c>
      <c r="X140" s="89">
        <v>0.03</v>
      </c>
      <c r="Y140" s="89">
        <v>0.13</v>
      </c>
      <c r="Z140" s="89">
        <v>0.02</v>
      </c>
      <c r="AA140" s="89">
        <v>0.28999999999999998</v>
      </c>
      <c r="AB140" s="89">
        <v>0</v>
      </c>
      <c r="AC140" s="89">
        <v>0.33500000000000002</v>
      </c>
      <c r="AD140" s="89">
        <v>0</v>
      </c>
      <c r="AE140" s="89">
        <v>0.28999999999999998</v>
      </c>
      <c r="AF140" s="89">
        <v>0</v>
      </c>
      <c r="AG140" s="89">
        <v>0.17</v>
      </c>
      <c r="AH140" s="89">
        <v>0</v>
      </c>
      <c r="AI140" s="89">
        <v>0.16128000000000001</v>
      </c>
      <c r="AJ140" s="89">
        <v>0</v>
      </c>
      <c r="AK140" s="89">
        <v>0.13</v>
      </c>
      <c r="AL140" s="89">
        <v>3.5000000000000003E-2</v>
      </c>
      <c r="AM140" s="89">
        <v>-6.3500000000000001E-2</v>
      </c>
      <c r="AN140" s="89">
        <v>0.02</v>
      </c>
      <c r="AO140" s="89">
        <v>-0.5</v>
      </c>
      <c r="AP140" s="89">
        <v>0.155</v>
      </c>
      <c r="AQ140" s="89">
        <v>-4.3499999999999997E-2</v>
      </c>
      <c r="AR140" s="89">
        <v>5.0000000000000001E-3</v>
      </c>
      <c r="AS140" s="89">
        <v>-0.155</v>
      </c>
      <c r="AT140" s="89">
        <v>-5.0000000000000001E-3</v>
      </c>
      <c r="AU140" s="89">
        <v>-0.115</v>
      </c>
      <c r="AV140" s="89">
        <v>-0.01</v>
      </c>
      <c r="AW140" s="89">
        <v>-4.3499999999999997E-2</v>
      </c>
      <c r="AX140" s="89">
        <v>2.1999999999999999E-2</v>
      </c>
      <c r="AY140" s="90">
        <v>0.155</v>
      </c>
      <c r="AZ140" s="90">
        <v>0</v>
      </c>
      <c r="BA140" s="90">
        <v>-0.13</v>
      </c>
      <c r="BB140" s="89">
        <v>5.0000000000000001E-3</v>
      </c>
      <c r="BC140" s="89">
        <v>-7.0000000000000007E-2</v>
      </c>
      <c r="BD140" s="89">
        <v>5.0000000000000001E-3</v>
      </c>
      <c r="BE140" s="89">
        <v>0.35</v>
      </c>
      <c r="BF140" s="89">
        <v>0</v>
      </c>
      <c r="BG140" s="89">
        <v>-0.06</v>
      </c>
      <c r="BH140" s="89">
        <v>0</v>
      </c>
      <c r="BI140" s="89">
        <v>0</v>
      </c>
      <c r="BJ140" s="62">
        <v>0.03</v>
      </c>
      <c r="BK140" s="62">
        <v>0.35</v>
      </c>
      <c r="BL140" s="62">
        <v>0</v>
      </c>
      <c r="BM140" s="62">
        <v>0.42799999999999999</v>
      </c>
      <c r="BN140" s="62">
        <v>0</v>
      </c>
      <c r="BO140" s="62">
        <v>-0.26</v>
      </c>
      <c r="BP140" s="62">
        <v>0</v>
      </c>
      <c r="BQ140" s="62">
        <v>0.5</v>
      </c>
      <c r="BR140" s="62">
        <v>0</v>
      </c>
      <c r="BS140" s="62">
        <v>-7.0000000000000007E-2</v>
      </c>
      <c r="BT140" s="62">
        <v>5.0000000000000001E-3</v>
      </c>
      <c r="BU140" s="62">
        <v>0.3</v>
      </c>
      <c r="BV140" s="62">
        <v>0</v>
      </c>
      <c r="BW140" s="62">
        <v>0</v>
      </c>
      <c r="BX140" s="62">
        <v>0</v>
      </c>
      <c r="BY140" s="62">
        <v>-1.0999999999999999E-2</v>
      </c>
      <c r="BZ140" s="62">
        <v>5.7500000000000002E-2</v>
      </c>
      <c r="CA140" s="62">
        <v>0.23499999999999999</v>
      </c>
      <c r="CB140" s="62">
        <v>5.0000000000000001E-3</v>
      </c>
      <c r="CC140" s="62">
        <v>-1.0999999999999999E-2</v>
      </c>
      <c r="CD140" s="62">
        <v>3.7000000000000002E-3</v>
      </c>
      <c r="CE140" s="62">
        <v>2.5000000000000001E-3</v>
      </c>
      <c r="CF140" s="62">
        <v>2.5000000000000001E-3</v>
      </c>
      <c r="CG140" s="62">
        <v>-1.0999999999999999E-2</v>
      </c>
      <c r="CH140" s="62">
        <v>3.7000000000000002E-3</v>
      </c>
      <c r="CI140" s="62">
        <v>-0.1065</v>
      </c>
      <c r="CJ140" s="62">
        <v>2.5000000000000001E-3</v>
      </c>
      <c r="CK140" s="62">
        <v>7.4999999999999997E-2</v>
      </c>
      <c r="CL140" s="62">
        <v>2.5000000000000001E-3</v>
      </c>
      <c r="CM140" s="62">
        <v>-6.4000000000000001E-2</v>
      </c>
      <c r="CN140" s="62">
        <v>0.01</v>
      </c>
      <c r="CO140" s="62">
        <v>-8.9999989999999998E-3</v>
      </c>
      <c r="CP140" s="62">
        <v>7.4999999999999997E-3</v>
      </c>
      <c r="CQ140" s="62">
        <v>3.1E-2</v>
      </c>
      <c r="CR140" s="62">
        <v>1.2500000000000001E-2</v>
      </c>
      <c r="CS140" s="62">
        <v>1.6</v>
      </c>
      <c r="CT140" s="62">
        <v>0.45</v>
      </c>
      <c r="CU140" s="62">
        <v>0.42799999999999999</v>
      </c>
      <c r="CV140" s="62">
        <v>0</v>
      </c>
      <c r="CW140" s="62">
        <v>0.34</v>
      </c>
      <c r="CX140" s="62">
        <v>0.02</v>
      </c>
      <c r="CY140" s="62">
        <v>-0.52</v>
      </c>
      <c r="CZ140" s="62">
        <v>0</v>
      </c>
      <c r="DA140" s="62">
        <v>-0.34</v>
      </c>
      <c r="DB140" s="62">
        <v>0</v>
      </c>
      <c r="DC140" s="62">
        <v>0.35</v>
      </c>
      <c r="DE140" s="62">
        <v>-4.0500000000000001E-2</v>
      </c>
      <c r="DF140" s="62">
        <v>1.2500000000000001E-2</v>
      </c>
      <c r="DG140" s="62">
        <v>1.0999999999999999E-2</v>
      </c>
      <c r="DH140" s="62">
        <v>7.4999999999999997E-3</v>
      </c>
      <c r="DI140" s="62">
        <v>-6.4999999999999997E-3</v>
      </c>
      <c r="DJ140" s="62">
        <v>2.5000000000000001E-3</v>
      </c>
      <c r="DK140" s="62">
        <v>-8.8499999999999995E-2</v>
      </c>
      <c r="DL140" s="62">
        <v>2.5000000000000001E-3</v>
      </c>
      <c r="DM140" s="62">
        <v>-5.5500000000000001E-2</v>
      </c>
      <c r="DN140" s="62">
        <v>2.5000000000000001E-3</v>
      </c>
      <c r="DO140" s="62">
        <v>-7.8E-2</v>
      </c>
      <c r="DP140" s="62">
        <v>2.5000000000000001E-3</v>
      </c>
      <c r="DQ140" s="62">
        <v>-0.11849999999999999</v>
      </c>
      <c r="DR140" s="62">
        <v>-5.0000000000000001E-3</v>
      </c>
      <c r="DS140" s="62">
        <v>1.04</v>
      </c>
      <c r="DT140" s="62">
        <v>0.05</v>
      </c>
      <c r="DU140" s="62">
        <v>0</v>
      </c>
      <c r="DV140" s="62">
        <v>0</v>
      </c>
    </row>
    <row r="141" spans="4:126" x14ac:dyDescent="0.25">
      <c r="D141" s="91">
        <v>40940</v>
      </c>
      <c r="F141" s="89">
        <v>4.1544999999999996</v>
      </c>
      <c r="G141" s="90">
        <v>6.2026221971296397E-2</v>
      </c>
      <c r="H141" s="89">
        <v>0.17499999999999999</v>
      </c>
      <c r="I141" s="89">
        <v>1</v>
      </c>
      <c r="J141" s="89">
        <v>1.05</v>
      </c>
      <c r="K141" s="89">
        <v>1</v>
      </c>
      <c r="L141" s="87">
        <v>1</v>
      </c>
      <c r="M141" s="87">
        <v>1.1499999999999999</v>
      </c>
      <c r="N141" s="89">
        <v>1.45</v>
      </c>
      <c r="O141" s="89">
        <v>1.05</v>
      </c>
      <c r="P141" s="89">
        <v>1</v>
      </c>
      <c r="Q141" s="89">
        <v>1.35</v>
      </c>
      <c r="R141" s="90">
        <v>1</v>
      </c>
      <c r="S141" s="90">
        <v>1.1000000000000001</v>
      </c>
      <c r="T141" s="89">
        <v>1</v>
      </c>
      <c r="U141" s="89">
        <v>1.45</v>
      </c>
      <c r="V141" s="89">
        <v>1.1000000000000001</v>
      </c>
      <c r="W141" s="89">
        <v>0.02</v>
      </c>
      <c r="X141" s="89">
        <v>0.03</v>
      </c>
      <c r="Y141" s="89">
        <v>0.13</v>
      </c>
      <c r="Z141" s="89">
        <v>0.02</v>
      </c>
      <c r="AA141" s="89">
        <v>0.28999999999999998</v>
      </c>
      <c r="AB141" s="89">
        <v>0</v>
      </c>
      <c r="AC141" s="89">
        <v>0.33500000000000002</v>
      </c>
      <c r="AD141" s="89">
        <v>0</v>
      </c>
      <c r="AE141" s="89">
        <v>0.28999999999999998</v>
      </c>
      <c r="AF141" s="89">
        <v>0</v>
      </c>
      <c r="AG141" s="89">
        <v>0.17</v>
      </c>
      <c r="AH141" s="89">
        <v>0</v>
      </c>
      <c r="AI141" s="89">
        <v>0.15872</v>
      </c>
      <c r="AJ141" s="89">
        <v>0</v>
      </c>
      <c r="AK141" s="89">
        <v>0.13</v>
      </c>
      <c r="AL141" s="89">
        <v>3.5000000000000003E-2</v>
      </c>
      <c r="AM141" s="89">
        <v>-6.3500000000000001E-2</v>
      </c>
      <c r="AN141" s="89">
        <v>0.02</v>
      </c>
      <c r="AO141" s="89">
        <v>-0.5</v>
      </c>
      <c r="AP141" s="89">
        <v>0.155</v>
      </c>
      <c r="AQ141" s="89">
        <v>-4.3499999999999997E-2</v>
      </c>
      <c r="AR141" s="89">
        <v>5.0000000000000001E-3</v>
      </c>
      <c r="AS141" s="89">
        <v>-0.14749999999999999</v>
      </c>
      <c r="AT141" s="89">
        <v>-5.0000000000000001E-3</v>
      </c>
      <c r="AU141" s="89">
        <v>-0.1075</v>
      </c>
      <c r="AV141" s="89">
        <v>-0.01</v>
      </c>
      <c r="AW141" s="89">
        <v>-4.3499999999999997E-2</v>
      </c>
      <c r="AX141" s="89">
        <v>2.1999999999999999E-2</v>
      </c>
      <c r="AY141" s="90">
        <v>0.155</v>
      </c>
      <c r="AZ141" s="90">
        <v>0</v>
      </c>
      <c r="BA141" s="90">
        <v>-0.13</v>
      </c>
      <c r="BB141" s="89">
        <v>5.0000000000000001E-3</v>
      </c>
      <c r="BC141" s="89">
        <v>-7.0000000000000007E-2</v>
      </c>
      <c r="BD141" s="89">
        <v>5.0000000000000001E-3</v>
      </c>
      <c r="BE141" s="89">
        <v>0.35</v>
      </c>
      <c r="BF141" s="89">
        <v>0</v>
      </c>
      <c r="BG141" s="89">
        <v>-0.06</v>
      </c>
      <c r="BH141" s="89">
        <v>0</v>
      </c>
      <c r="BI141" s="89">
        <v>0</v>
      </c>
      <c r="BJ141" s="62">
        <v>0.03</v>
      </c>
      <c r="BK141" s="62">
        <v>0.35</v>
      </c>
      <c r="BL141" s="62">
        <v>0</v>
      </c>
      <c r="BM141" s="62">
        <v>0.29799999999999999</v>
      </c>
      <c r="BN141" s="62">
        <v>0</v>
      </c>
      <c r="BO141" s="62">
        <v>-0.26</v>
      </c>
      <c r="BP141" s="62">
        <v>0</v>
      </c>
      <c r="BQ141" s="62">
        <v>0.5</v>
      </c>
      <c r="BR141" s="62">
        <v>0</v>
      </c>
      <c r="BS141" s="62">
        <v>-7.0000000000000007E-2</v>
      </c>
      <c r="BT141" s="62">
        <v>5.0000000000000001E-3</v>
      </c>
      <c r="BU141" s="62">
        <v>0.3</v>
      </c>
      <c r="BV141" s="62">
        <v>0</v>
      </c>
      <c r="BW141" s="62">
        <v>0</v>
      </c>
      <c r="BX141" s="62">
        <v>0</v>
      </c>
      <c r="BY141" s="62">
        <v>-1.0999999999999999E-2</v>
      </c>
      <c r="BZ141" s="62">
        <v>5.7500000000000002E-2</v>
      </c>
      <c r="CA141" s="62">
        <v>0.23499999999999999</v>
      </c>
      <c r="CB141" s="62">
        <v>5.0000000000000001E-3</v>
      </c>
      <c r="CC141" s="62">
        <v>-1.0999999999999999E-2</v>
      </c>
      <c r="CD141" s="62">
        <v>3.7000000000000002E-3</v>
      </c>
      <c r="CE141" s="62">
        <v>2.5000000000000001E-3</v>
      </c>
      <c r="CF141" s="62">
        <v>2.5000000000000001E-3</v>
      </c>
      <c r="CG141" s="62">
        <v>-1.0999999999999999E-2</v>
      </c>
      <c r="CH141" s="62">
        <v>3.7000000000000002E-3</v>
      </c>
      <c r="CI141" s="62">
        <v>-0.1065</v>
      </c>
      <c r="CJ141" s="62">
        <v>2.5000000000000001E-3</v>
      </c>
      <c r="CK141" s="62">
        <v>7.4999999999999997E-2</v>
      </c>
      <c r="CL141" s="62">
        <v>2.5000000000000001E-3</v>
      </c>
      <c r="CM141" s="62">
        <v>-6.4000000000000001E-2</v>
      </c>
      <c r="CN141" s="62">
        <v>0.01</v>
      </c>
      <c r="CO141" s="62">
        <v>-8.9999989999999998E-3</v>
      </c>
      <c r="CP141" s="62">
        <v>7.4999999999999997E-3</v>
      </c>
      <c r="CQ141" s="62">
        <v>3.1E-2</v>
      </c>
      <c r="CR141" s="62">
        <v>1.2500000000000001E-2</v>
      </c>
      <c r="CS141" s="62">
        <v>1.6</v>
      </c>
      <c r="CT141" s="62">
        <v>0.45</v>
      </c>
      <c r="CU141" s="62">
        <v>0.29799999999999999</v>
      </c>
      <c r="CV141" s="62">
        <v>0</v>
      </c>
      <c r="CW141" s="62">
        <v>0.34</v>
      </c>
      <c r="CX141" s="62">
        <v>0.02</v>
      </c>
      <c r="CY141" s="62">
        <v>-0.52</v>
      </c>
      <c r="CZ141" s="62">
        <v>0</v>
      </c>
      <c r="DA141" s="62">
        <v>-0.34</v>
      </c>
      <c r="DB141" s="62">
        <v>0</v>
      </c>
      <c r="DC141" s="62">
        <v>0.35</v>
      </c>
      <c r="DE141" s="62">
        <v>-4.0500000000000001E-2</v>
      </c>
      <c r="DF141" s="62">
        <v>1.2500000000000001E-2</v>
      </c>
      <c r="DG141" s="62">
        <v>1.0999999999999999E-2</v>
      </c>
      <c r="DH141" s="62">
        <v>7.4999999999999997E-3</v>
      </c>
      <c r="DI141" s="62">
        <v>-6.4999999999999997E-3</v>
      </c>
      <c r="DJ141" s="62">
        <v>2.5000000000000001E-3</v>
      </c>
      <c r="DK141" s="62">
        <v>-7.85E-2</v>
      </c>
      <c r="DL141" s="62">
        <v>2.5000000000000001E-3</v>
      </c>
      <c r="DM141" s="62">
        <v>-5.5500000000000001E-2</v>
      </c>
      <c r="DN141" s="62">
        <v>2.5000000000000001E-3</v>
      </c>
      <c r="DO141" s="62">
        <v>-7.8E-2</v>
      </c>
      <c r="DP141" s="62">
        <v>2.5000000000000001E-3</v>
      </c>
      <c r="DQ141" s="62">
        <v>-0.1085</v>
      </c>
      <c r="DR141" s="62">
        <v>-5.0000000000000001E-3</v>
      </c>
      <c r="DS141" s="62">
        <v>1.04</v>
      </c>
      <c r="DT141" s="62">
        <v>0.05</v>
      </c>
      <c r="DU141" s="62">
        <v>0</v>
      </c>
      <c r="DV141" s="62">
        <v>0</v>
      </c>
    </row>
    <row r="142" spans="4:126" x14ac:dyDescent="0.25">
      <c r="D142" s="91">
        <v>40969</v>
      </c>
      <c r="F142" s="89">
        <v>4.0244999999999997</v>
      </c>
      <c r="G142" s="90">
        <v>6.2064150308629398E-2</v>
      </c>
      <c r="H142" s="89">
        <v>0.17</v>
      </c>
      <c r="I142" s="89">
        <v>0.75</v>
      </c>
      <c r="J142" s="89">
        <v>0.8</v>
      </c>
      <c r="K142" s="89">
        <v>0.75</v>
      </c>
      <c r="L142" s="87">
        <v>0.75</v>
      </c>
      <c r="M142" s="87">
        <v>0.85</v>
      </c>
      <c r="N142" s="89">
        <v>1</v>
      </c>
      <c r="O142" s="89">
        <v>0.75</v>
      </c>
      <c r="P142" s="89">
        <v>0.75</v>
      </c>
      <c r="Q142" s="89">
        <v>0.95</v>
      </c>
      <c r="R142" s="90">
        <v>0.75</v>
      </c>
      <c r="S142" s="90">
        <v>0.75</v>
      </c>
      <c r="T142" s="89">
        <v>0.75</v>
      </c>
      <c r="U142" s="89">
        <v>1</v>
      </c>
      <c r="V142" s="89">
        <v>0.85</v>
      </c>
      <c r="W142" s="89">
        <v>0</v>
      </c>
      <c r="X142" s="89">
        <v>0.03</v>
      </c>
      <c r="Y142" s="89">
        <v>0.13</v>
      </c>
      <c r="Z142" s="89">
        <v>0.02</v>
      </c>
      <c r="AA142" s="89">
        <v>0.28999999999999998</v>
      </c>
      <c r="AB142" s="89">
        <v>0</v>
      </c>
      <c r="AC142" s="89">
        <v>0.33500000000000002</v>
      </c>
      <c r="AD142" s="89">
        <v>0</v>
      </c>
      <c r="AE142" s="89">
        <v>0.28999999999999998</v>
      </c>
      <c r="AF142" s="89">
        <v>0</v>
      </c>
      <c r="AG142" s="89">
        <v>0.17</v>
      </c>
      <c r="AH142" s="89">
        <v>0</v>
      </c>
      <c r="AI142" s="89">
        <v>0.15456</v>
      </c>
      <c r="AJ142" s="89">
        <v>0</v>
      </c>
      <c r="AK142" s="89">
        <v>0.13</v>
      </c>
      <c r="AL142" s="89">
        <v>3.5000000000000003E-2</v>
      </c>
      <c r="AM142" s="89">
        <v>-6.3500000000000001E-2</v>
      </c>
      <c r="AN142" s="89">
        <v>0.02</v>
      </c>
      <c r="AO142" s="89">
        <v>-0.5</v>
      </c>
      <c r="AP142" s="89">
        <v>0.155</v>
      </c>
      <c r="AQ142" s="89">
        <v>-4.3499999999999997E-2</v>
      </c>
      <c r="AR142" s="89">
        <v>5.0000000000000001E-3</v>
      </c>
      <c r="AS142" s="89">
        <v>-0.14499999999999999</v>
      </c>
      <c r="AT142" s="89">
        <v>-5.0000000000000001E-3</v>
      </c>
      <c r="AU142" s="89">
        <v>-0.105</v>
      </c>
      <c r="AV142" s="89">
        <v>-0.01</v>
      </c>
      <c r="AW142" s="89">
        <v>-4.3499999999999997E-2</v>
      </c>
      <c r="AX142" s="89">
        <v>2.1999999999999999E-2</v>
      </c>
      <c r="AY142" s="90">
        <v>0.155</v>
      </c>
      <c r="AZ142" s="90">
        <v>0</v>
      </c>
      <c r="BA142" s="90">
        <v>-0.13</v>
      </c>
      <c r="BB142" s="89">
        <v>5.0000000000000001E-3</v>
      </c>
      <c r="BC142" s="89">
        <v>-7.0000000000000007E-2</v>
      </c>
      <c r="BD142" s="89">
        <v>5.0000000000000001E-3</v>
      </c>
      <c r="BE142" s="89">
        <v>0.35</v>
      </c>
      <c r="BF142" s="89">
        <v>0</v>
      </c>
      <c r="BG142" s="89">
        <v>-0.06</v>
      </c>
      <c r="BH142" s="89">
        <v>0</v>
      </c>
      <c r="BI142" s="89">
        <v>0</v>
      </c>
      <c r="BJ142" s="62">
        <v>0.03</v>
      </c>
      <c r="BK142" s="62">
        <v>0.35</v>
      </c>
      <c r="BL142" s="62">
        <v>0</v>
      </c>
      <c r="BM142" s="62">
        <v>0.11799999999999999</v>
      </c>
      <c r="BN142" s="62">
        <v>0</v>
      </c>
      <c r="BO142" s="62">
        <v>-0.26</v>
      </c>
      <c r="BP142" s="62">
        <v>0</v>
      </c>
      <c r="BQ142" s="62">
        <v>0.5</v>
      </c>
      <c r="BR142" s="62">
        <v>0</v>
      </c>
      <c r="BS142" s="62">
        <v>-7.0000000000000007E-2</v>
      </c>
      <c r="BT142" s="62">
        <v>5.0000000000000001E-3</v>
      </c>
      <c r="BU142" s="62">
        <v>0.3</v>
      </c>
      <c r="BV142" s="62">
        <v>0</v>
      </c>
      <c r="BW142" s="62">
        <v>0</v>
      </c>
      <c r="BX142" s="62">
        <v>0</v>
      </c>
      <c r="BY142" s="62">
        <v>-1.0999999999999999E-2</v>
      </c>
      <c r="BZ142" s="62">
        <v>5.7500000000000002E-2</v>
      </c>
      <c r="CA142" s="62">
        <v>0.19500000000000001</v>
      </c>
      <c r="CB142" s="62">
        <v>5.0000000000000001E-3</v>
      </c>
      <c r="CC142" s="62">
        <v>-1.0999999999999999E-2</v>
      </c>
      <c r="CD142" s="62">
        <v>3.7000000000000002E-3</v>
      </c>
      <c r="CE142" s="62">
        <v>2.5000000000000001E-3</v>
      </c>
      <c r="CF142" s="62">
        <v>2.5000000000000001E-3</v>
      </c>
      <c r="CG142" s="62">
        <v>-1.0999999999999999E-2</v>
      </c>
      <c r="CH142" s="62">
        <v>3.7000000000000002E-3</v>
      </c>
      <c r="CI142" s="62">
        <v>-0.1065</v>
      </c>
      <c r="CJ142" s="62">
        <v>2.5000000000000001E-3</v>
      </c>
      <c r="CK142" s="62">
        <v>7.4999999999999997E-2</v>
      </c>
      <c r="CL142" s="62">
        <v>2.5000000000000001E-3</v>
      </c>
      <c r="CM142" s="62">
        <v>-6.4000000000000001E-2</v>
      </c>
      <c r="CN142" s="62">
        <v>0.01</v>
      </c>
      <c r="CO142" s="62">
        <v>-8.9999989999999998E-3</v>
      </c>
      <c r="CP142" s="62">
        <v>7.4999999999999997E-3</v>
      </c>
      <c r="CQ142" s="62">
        <v>3.1E-2</v>
      </c>
      <c r="CR142" s="62">
        <v>1.2500000000000001E-2</v>
      </c>
      <c r="CS142" s="62">
        <v>0.64</v>
      </c>
      <c r="CT142" s="62">
        <v>0.1</v>
      </c>
      <c r="CU142" s="62">
        <v>0.11799999999999999</v>
      </c>
      <c r="CV142" s="62">
        <v>0</v>
      </c>
      <c r="CW142" s="62">
        <v>0.28999999999999998</v>
      </c>
      <c r="CX142" s="62">
        <v>0.02</v>
      </c>
      <c r="CY142" s="62">
        <v>-0.52</v>
      </c>
      <c r="CZ142" s="62">
        <v>0</v>
      </c>
      <c r="DA142" s="62">
        <v>-0.34</v>
      </c>
      <c r="DB142" s="62">
        <v>0</v>
      </c>
      <c r="DC142" s="62">
        <v>0.4</v>
      </c>
      <c r="DE142" s="62">
        <v>-4.0500000000000001E-2</v>
      </c>
      <c r="DF142" s="62">
        <v>1.2500000000000001E-2</v>
      </c>
      <c r="DG142" s="62">
        <v>1.6E-2</v>
      </c>
      <c r="DH142" s="62">
        <v>7.4999999999999997E-3</v>
      </c>
      <c r="DI142" s="62">
        <v>-1.5E-3</v>
      </c>
      <c r="DJ142" s="62">
        <v>2.5000000000000001E-3</v>
      </c>
      <c r="DK142" s="62">
        <v>-6.8500000000000005E-2</v>
      </c>
      <c r="DL142" s="62">
        <v>2.5000000000000001E-3</v>
      </c>
      <c r="DM142" s="62">
        <v>-5.5500000000000001E-2</v>
      </c>
      <c r="DN142" s="62">
        <v>2.5000000000000001E-3</v>
      </c>
      <c r="DO142" s="62">
        <v>-7.8E-2</v>
      </c>
      <c r="DP142" s="62">
        <v>2.5000000000000001E-3</v>
      </c>
      <c r="DQ142" s="62">
        <v>-9.8500000000000004E-2</v>
      </c>
      <c r="DR142" s="62">
        <v>-5.0000000000000001E-3</v>
      </c>
      <c r="DS142" s="62">
        <v>0.54</v>
      </c>
      <c r="DT142" s="62">
        <v>0.05</v>
      </c>
      <c r="DU142" s="62">
        <v>0</v>
      </c>
      <c r="DV142" s="62">
        <v>0</v>
      </c>
    </row>
    <row r="143" spans="4:126" x14ac:dyDescent="0.25">
      <c r="D143" s="91">
        <v>41000</v>
      </c>
      <c r="F143" s="89">
        <v>3.8395000000000001</v>
      </c>
      <c r="G143" s="90">
        <v>6.2104694393893198E-2</v>
      </c>
      <c r="H143" s="89">
        <v>0.17</v>
      </c>
      <c r="I143" s="89">
        <v>0.4</v>
      </c>
      <c r="J143" s="89">
        <v>0.45</v>
      </c>
      <c r="K143" s="89">
        <v>0.4</v>
      </c>
      <c r="L143" s="87">
        <v>0.45</v>
      </c>
      <c r="M143" s="87">
        <v>0.45</v>
      </c>
      <c r="N143" s="89">
        <v>0.45</v>
      </c>
      <c r="O143" s="89">
        <v>0.45</v>
      </c>
      <c r="P143" s="89">
        <v>0.45</v>
      </c>
      <c r="Q143" s="89">
        <v>0.5</v>
      </c>
      <c r="R143" s="90">
        <v>0.4</v>
      </c>
      <c r="S143" s="90">
        <v>0.45</v>
      </c>
      <c r="T143" s="89">
        <v>0.4</v>
      </c>
      <c r="U143" s="89">
        <v>0.45</v>
      </c>
      <c r="V143" s="89">
        <v>0.55000000000000004</v>
      </c>
      <c r="W143" s="89">
        <v>-0.09</v>
      </c>
      <c r="X143" s="89">
        <v>0</v>
      </c>
      <c r="Y143" s="89">
        <v>0.04</v>
      </c>
      <c r="Z143" s="89">
        <v>5.0000000000000001E-3</v>
      </c>
      <c r="AA143" s="89">
        <v>0.17499999999999999</v>
      </c>
      <c r="AB143" s="89">
        <v>0</v>
      </c>
      <c r="AC143" s="89">
        <v>0.14000000000000001</v>
      </c>
      <c r="AD143" s="89">
        <v>0</v>
      </c>
      <c r="AE143" s="89">
        <v>0.17499999999999999</v>
      </c>
      <c r="AF143" s="89">
        <v>0</v>
      </c>
      <c r="AG143" s="89">
        <v>0.14000000000000001</v>
      </c>
      <c r="AH143" s="89">
        <v>0</v>
      </c>
      <c r="AI143" s="89">
        <v>0.14000000000000001</v>
      </c>
      <c r="AJ143" s="89">
        <v>0</v>
      </c>
      <c r="AK143" s="89">
        <v>0.04</v>
      </c>
      <c r="AL143" s="89">
        <v>0.04</v>
      </c>
      <c r="AM143" s="89">
        <v>-4.5999999999999999E-2</v>
      </c>
      <c r="AN143" s="89">
        <v>2.7E-2</v>
      </c>
      <c r="AO143" s="89">
        <v>-0.61299999999999999</v>
      </c>
      <c r="AP143" s="89">
        <v>0.155</v>
      </c>
      <c r="AQ143" s="89">
        <v>-4.1000000000000002E-2</v>
      </c>
      <c r="AR143" s="89">
        <v>0</v>
      </c>
      <c r="AS143" s="89">
        <v>-0.15</v>
      </c>
      <c r="AT143" s="89">
        <v>-1.4999999999999999E-2</v>
      </c>
      <c r="AU143" s="89">
        <v>-0.11</v>
      </c>
      <c r="AV143" s="89">
        <v>0.02</v>
      </c>
      <c r="AW143" s="89">
        <v>-4.1000000000000002E-2</v>
      </c>
      <c r="AX143" s="89">
        <v>1.4E-2</v>
      </c>
      <c r="AY143" s="90">
        <v>0.125</v>
      </c>
      <c r="AZ143" s="90">
        <v>0</v>
      </c>
      <c r="BA143" s="90">
        <v>-0.19500000000000001</v>
      </c>
      <c r="BB143" s="89">
        <v>2.5000000000000001E-3</v>
      </c>
      <c r="BC143" s="89">
        <v>-7.0000000000000007E-2</v>
      </c>
      <c r="BD143" s="89">
        <v>5.0000000000000001E-3</v>
      </c>
      <c r="BE143" s="89">
        <v>0.43</v>
      </c>
      <c r="BF143" s="89">
        <v>0</v>
      </c>
      <c r="BG143" s="89">
        <v>-0.06</v>
      </c>
      <c r="BH143" s="89">
        <v>0</v>
      </c>
      <c r="BI143" s="89">
        <v>0</v>
      </c>
      <c r="BJ143" s="62">
        <v>0.03</v>
      </c>
      <c r="BK143" s="62">
        <v>0.43</v>
      </c>
      <c r="BL143" s="62">
        <v>0</v>
      </c>
      <c r="BM143" s="62">
        <v>-0.2</v>
      </c>
      <c r="BN143" s="62">
        <v>0</v>
      </c>
      <c r="BO143" s="62">
        <v>-0.37</v>
      </c>
      <c r="BP143" s="62">
        <v>0</v>
      </c>
      <c r="BQ143" s="62">
        <v>0.5</v>
      </c>
      <c r="BR143" s="62">
        <v>0</v>
      </c>
      <c r="BS143" s="62">
        <v>-7.0000000000000007E-2</v>
      </c>
      <c r="BT143" s="62">
        <v>5.0000000000000001E-3</v>
      </c>
      <c r="BU143" s="62">
        <v>0.3</v>
      </c>
      <c r="BV143" s="62">
        <v>0</v>
      </c>
      <c r="BW143" s="62">
        <v>0</v>
      </c>
      <c r="BX143" s="62">
        <v>0</v>
      </c>
      <c r="BY143" s="62">
        <v>-1.0999999999999999E-2</v>
      </c>
      <c r="BZ143" s="62">
        <v>5.7500000000000002E-2</v>
      </c>
      <c r="CA143" s="62">
        <v>0.14499999999999999</v>
      </c>
      <c r="CB143" s="62">
        <v>5.0000000000000001E-3</v>
      </c>
      <c r="CC143" s="62">
        <v>-1.0999999999999999E-2</v>
      </c>
      <c r="CD143" s="62">
        <v>3.5000000000000001E-3</v>
      </c>
      <c r="CE143" s="62">
        <v>2.5000000000000001E-3</v>
      </c>
      <c r="CF143" s="62">
        <v>2.5000000000000001E-3</v>
      </c>
      <c r="CG143" s="62">
        <v>-1.0999999999999999E-2</v>
      </c>
      <c r="CH143" s="62">
        <v>3.5000000000000001E-3</v>
      </c>
      <c r="CI143" s="62">
        <v>-0.1265</v>
      </c>
      <c r="CJ143" s="62">
        <v>2.5000000000000001E-3</v>
      </c>
      <c r="CK143" s="62">
        <v>7.7499999999999999E-2</v>
      </c>
      <c r="CL143" s="62">
        <v>2.5000000000000001E-3</v>
      </c>
      <c r="CM143" s="62">
        <v>-7.1999999999999995E-2</v>
      </c>
      <c r="CN143" s="62">
        <v>7.4999999999999997E-3</v>
      </c>
      <c r="CO143" s="62">
        <v>-1.7000000000000001E-2</v>
      </c>
      <c r="CP143" s="62">
        <v>5.0000000000000001E-3</v>
      </c>
      <c r="CQ143" s="62">
        <v>2.3E-2</v>
      </c>
      <c r="CR143" s="62">
        <v>7.4999999999999997E-3</v>
      </c>
      <c r="CS143" s="62">
        <v>0.38</v>
      </c>
      <c r="CT143" s="62">
        <v>0.02</v>
      </c>
      <c r="CU143" s="62">
        <v>-0.2</v>
      </c>
      <c r="CV143" s="62">
        <v>0</v>
      </c>
      <c r="CW143" s="62">
        <v>0.19500000000000001</v>
      </c>
      <c r="CX143" s="62">
        <v>7.4999999999999997E-3</v>
      </c>
      <c r="CY143" s="62">
        <v>-0.63</v>
      </c>
      <c r="CZ143" s="62">
        <v>0</v>
      </c>
      <c r="DA143" s="62">
        <v>-0.45</v>
      </c>
      <c r="DB143" s="62">
        <v>0</v>
      </c>
      <c r="DC143" s="62">
        <v>0.6</v>
      </c>
      <c r="DE143" s="62">
        <v>-4.8000000000000001E-2</v>
      </c>
      <c r="DF143" s="62">
        <v>0.01</v>
      </c>
      <c r="DG143" s="62">
        <v>1.6E-2</v>
      </c>
      <c r="DH143" s="62">
        <v>0.01</v>
      </c>
      <c r="DI143" s="62">
        <v>-1.5E-3</v>
      </c>
      <c r="DJ143" s="62">
        <v>7.4999999999999997E-3</v>
      </c>
      <c r="DK143" s="62">
        <v>-0.1115</v>
      </c>
      <c r="DL143" s="62">
        <v>5.0000000000000001E-3</v>
      </c>
      <c r="DM143" s="62">
        <v>-5.2999999999999999E-2</v>
      </c>
      <c r="DN143" s="62">
        <v>2.5000000000000001E-3</v>
      </c>
      <c r="DO143" s="62">
        <v>-7.5499999999999998E-2</v>
      </c>
      <c r="DP143" s="62">
        <v>2.5000000000000001E-3</v>
      </c>
      <c r="DQ143" s="62">
        <v>-0.14149999999999999</v>
      </c>
      <c r="DR143" s="62">
        <v>-5.0000000000000001E-3</v>
      </c>
      <c r="DS143" s="62">
        <v>0.36</v>
      </c>
      <c r="DT143" s="62">
        <v>5.0000000000000001E-3</v>
      </c>
      <c r="DU143" s="62">
        <v>0</v>
      </c>
      <c r="DV143" s="62">
        <v>0</v>
      </c>
    </row>
    <row r="144" spans="4:126" x14ac:dyDescent="0.25">
      <c r="D144" s="91">
        <v>41030</v>
      </c>
      <c r="F144" s="89">
        <v>3.8344999999999998</v>
      </c>
      <c r="G144" s="90">
        <v>6.2143930605958402E-2</v>
      </c>
      <c r="H144" s="89">
        <v>0.17</v>
      </c>
      <c r="I144" s="89">
        <v>0.45</v>
      </c>
      <c r="J144" s="89">
        <v>0.5</v>
      </c>
      <c r="K144" s="89">
        <v>0.4</v>
      </c>
      <c r="L144" s="87">
        <v>0.4</v>
      </c>
      <c r="M144" s="87">
        <v>0.45</v>
      </c>
      <c r="N144" s="89">
        <v>0.5</v>
      </c>
      <c r="O144" s="89">
        <v>0.45</v>
      </c>
      <c r="P144" s="89">
        <v>0.4</v>
      </c>
      <c r="Q144" s="89">
        <v>0.45</v>
      </c>
      <c r="R144" s="90">
        <v>0.45</v>
      </c>
      <c r="S144" s="90">
        <v>0.5</v>
      </c>
      <c r="T144" s="89">
        <v>0.45</v>
      </c>
      <c r="U144" s="89">
        <v>0.5</v>
      </c>
      <c r="V144" s="89">
        <v>0.5</v>
      </c>
      <c r="W144" s="89">
        <v>-0.09</v>
      </c>
      <c r="X144" s="89">
        <v>0</v>
      </c>
      <c r="Y144" s="89">
        <v>0.04</v>
      </c>
      <c r="Z144" s="89">
        <v>5.0000000000000001E-3</v>
      </c>
      <c r="AA144" s="89">
        <v>0.17499999999999999</v>
      </c>
      <c r="AB144" s="89">
        <v>0</v>
      </c>
      <c r="AC144" s="89">
        <v>0.14000000000000001</v>
      </c>
      <c r="AD144" s="89">
        <v>0</v>
      </c>
      <c r="AE144" s="89">
        <v>0.17499999999999999</v>
      </c>
      <c r="AF144" s="89">
        <v>0</v>
      </c>
      <c r="AG144" s="89">
        <v>0.14000000000000001</v>
      </c>
      <c r="AH144" s="89">
        <v>0</v>
      </c>
      <c r="AI144" s="89">
        <v>0.14000000000000001</v>
      </c>
      <c r="AJ144" s="89">
        <v>0</v>
      </c>
      <c r="AK144" s="89">
        <v>0.04</v>
      </c>
      <c r="AL144" s="89">
        <v>0.04</v>
      </c>
      <c r="AM144" s="89">
        <v>-4.5999999999999999E-2</v>
      </c>
      <c r="AN144" s="89">
        <v>2.7E-2</v>
      </c>
      <c r="AO144" s="89">
        <v>-0.61299999999999999</v>
      </c>
      <c r="AP144" s="89">
        <v>0.155</v>
      </c>
      <c r="AQ144" s="89">
        <v>-4.1000000000000002E-2</v>
      </c>
      <c r="AR144" s="89">
        <v>0</v>
      </c>
      <c r="AS144" s="89">
        <v>-0.15</v>
      </c>
      <c r="AT144" s="89">
        <v>-1.4999999999999999E-2</v>
      </c>
      <c r="AU144" s="89">
        <v>-0.11</v>
      </c>
      <c r="AV144" s="89">
        <v>0.02</v>
      </c>
      <c r="AW144" s="89">
        <v>-4.1000000000000002E-2</v>
      </c>
      <c r="AX144" s="89">
        <v>1.4E-2</v>
      </c>
      <c r="AY144" s="90">
        <v>0.125</v>
      </c>
      <c r="AZ144" s="90">
        <v>0</v>
      </c>
      <c r="BA144" s="90">
        <v>-0.19500000000000001</v>
      </c>
      <c r="BB144" s="89">
        <v>2.5000000000000001E-3</v>
      </c>
      <c r="BC144" s="89">
        <v>-7.0000000000000007E-2</v>
      </c>
      <c r="BD144" s="89">
        <v>5.0000000000000001E-3</v>
      </c>
      <c r="BE144" s="89">
        <v>0.43</v>
      </c>
      <c r="BF144" s="89">
        <v>0</v>
      </c>
      <c r="BG144" s="89">
        <v>-0.06</v>
      </c>
      <c r="BH144" s="89">
        <v>0</v>
      </c>
      <c r="BI144" s="89">
        <v>0</v>
      </c>
      <c r="BJ144" s="62">
        <v>0.03</v>
      </c>
      <c r="BK144" s="62">
        <v>0.43</v>
      </c>
      <c r="BL144" s="62">
        <v>0</v>
      </c>
      <c r="BM144" s="62">
        <v>-0.05</v>
      </c>
      <c r="BN144" s="62">
        <v>0</v>
      </c>
      <c r="BO144" s="62">
        <v>-0.37</v>
      </c>
      <c r="BP144" s="62">
        <v>0</v>
      </c>
      <c r="BQ144" s="62">
        <v>0.5</v>
      </c>
      <c r="BR144" s="62">
        <v>0</v>
      </c>
      <c r="BS144" s="62">
        <v>-7.0000000000000007E-2</v>
      </c>
      <c r="BT144" s="62">
        <v>5.0000000000000001E-3</v>
      </c>
      <c r="BU144" s="62">
        <v>0.3</v>
      </c>
      <c r="BV144" s="62">
        <v>0</v>
      </c>
      <c r="BW144" s="62">
        <v>0</v>
      </c>
      <c r="BX144" s="62">
        <v>0</v>
      </c>
      <c r="BY144" s="62">
        <v>-1.0999999999999999E-2</v>
      </c>
      <c r="BZ144" s="62">
        <v>5.7500000000000002E-2</v>
      </c>
      <c r="CA144" s="62">
        <v>0.125</v>
      </c>
      <c r="CB144" s="62">
        <v>5.0000000000000001E-3</v>
      </c>
      <c r="CC144" s="62">
        <v>-1.0999999999999999E-2</v>
      </c>
      <c r="CD144" s="62">
        <v>3.5000000000000001E-3</v>
      </c>
      <c r="CE144" s="62">
        <v>2.5000000000000001E-3</v>
      </c>
      <c r="CF144" s="62">
        <v>2.5000000000000001E-3</v>
      </c>
      <c r="CG144" s="62">
        <v>-1.0999999999999999E-2</v>
      </c>
      <c r="CH144" s="62">
        <v>3.5000000000000001E-3</v>
      </c>
      <c r="CI144" s="62">
        <v>-0.114</v>
      </c>
      <c r="CJ144" s="62">
        <v>2.5000000000000001E-3</v>
      </c>
      <c r="CK144" s="62">
        <v>7.7499999999999999E-2</v>
      </c>
      <c r="CL144" s="62">
        <v>2.5000000000000001E-3</v>
      </c>
      <c r="CM144" s="62">
        <v>-7.1999999999999995E-2</v>
      </c>
      <c r="CN144" s="62">
        <v>7.4999999999999997E-3</v>
      </c>
      <c r="CO144" s="62">
        <v>-1.7000000000000001E-2</v>
      </c>
      <c r="CP144" s="62">
        <v>5.0000000000000001E-3</v>
      </c>
      <c r="CQ144" s="62">
        <v>2.3E-2</v>
      </c>
      <c r="CR144" s="62">
        <v>7.4999999999999997E-3</v>
      </c>
      <c r="CS144" s="62">
        <v>0.33</v>
      </c>
      <c r="CT144" s="62">
        <v>0.02</v>
      </c>
      <c r="CU144" s="62">
        <v>-0.05</v>
      </c>
      <c r="CV144" s="62">
        <v>0</v>
      </c>
      <c r="CW144" s="62">
        <v>0.13500000000000001</v>
      </c>
      <c r="CX144" s="62">
        <v>7.4999999999999997E-3</v>
      </c>
      <c r="CY144" s="62">
        <v>-0.63</v>
      </c>
      <c r="CZ144" s="62">
        <v>0</v>
      </c>
      <c r="DA144" s="62">
        <v>-0.45</v>
      </c>
      <c r="DB144" s="62">
        <v>0</v>
      </c>
      <c r="DC144" s="62">
        <v>0.75</v>
      </c>
      <c r="DE144" s="62">
        <v>-4.8000000000000001E-2</v>
      </c>
      <c r="DF144" s="62">
        <v>0.01</v>
      </c>
      <c r="DG144" s="62">
        <v>1.8499999999999999E-2</v>
      </c>
      <c r="DH144" s="62">
        <v>0.01</v>
      </c>
      <c r="DI144" s="62">
        <v>1E-3</v>
      </c>
      <c r="DJ144" s="62">
        <v>7.4999999999999997E-3</v>
      </c>
      <c r="DK144" s="62">
        <v>-8.8999999999999996E-2</v>
      </c>
      <c r="DL144" s="62">
        <v>5.0000000000000001E-3</v>
      </c>
      <c r="DM144" s="62">
        <v>-5.2999999999999999E-2</v>
      </c>
      <c r="DN144" s="62">
        <v>2.5000000000000001E-3</v>
      </c>
      <c r="DO144" s="62">
        <v>-7.5499999999999998E-2</v>
      </c>
      <c r="DP144" s="62">
        <v>2.5000000000000001E-3</v>
      </c>
      <c r="DQ144" s="62">
        <v>-0.11899999999999999</v>
      </c>
      <c r="DR144" s="62">
        <v>-5.0000000000000001E-3</v>
      </c>
      <c r="DS144" s="62">
        <v>0.32500000000000001</v>
      </c>
      <c r="DT144" s="62">
        <v>5.0000000000000001E-3</v>
      </c>
      <c r="DU144" s="62">
        <v>0</v>
      </c>
      <c r="DV144" s="62">
        <v>0</v>
      </c>
    </row>
    <row r="145" spans="4:126" x14ac:dyDescent="0.25">
      <c r="D145" s="91">
        <v>41061</v>
      </c>
      <c r="F145" s="89">
        <v>3.8694999999999999</v>
      </c>
      <c r="G145" s="90">
        <v>6.2184474692295502E-2</v>
      </c>
      <c r="H145" s="89">
        <v>0.17</v>
      </c>
      <c r="I145" s="89">
        <v>0.45</v>
      </c>
      <c r="J145" s="89">
        <v>0.5</v>
      </c>
      <c r="K145" s="89">
        <v>0.4</v>
      </c>
      <c r="L145" s="87">
        <v>0.5</v>
      </c>
      <c r="M145" s="87">
        <v>0.45</v>
      </c>
      <c r="N145" s="89">
        <v>0.5</v>
      </c>
      <c r="O145" s="89">
        <v>0.5</v>
      </c>
      <c r="P145" s="89">
        <v>0.5</v>
      </c>
      <c r="Q145" s="89">
        <v>0.5</v>
      </c>
      <c r="R145" s="90">
        <v>0.45</v>
      </c>
      <c r="S145" s="90">
        <v>0.5</v>
      </c>
      <c r="T145" s="89">
        <v>0.45</v>
      </c>
      <c r="U145" s="89">
        <v>0.5</v>
      </c>
      <c r="V145" s="89">
        <v>0.6</v>
      </c>
      <c r="W145" s="89">
        <v>-0.09</v>
      </c>
      <c r="X145" s="89">
        <v>0</v>
      </c>
      <c r="Y145" s="89">
        <v>0.04</v>
      </c>
      <c r="Z145" s="89">
        <v>5.0000000000000001E-3</v>
      </c>
      <c r="AA145" s="89">
        <v>0.17499999999999999</v>
      </c>
      <c r="AB145" s="89">
        <v>0</v>
      </c>
      <c r="AC145" s="89">
        <v>0.14000000000000001</v>
      </c>
      <c r="AD145" s="89">
        <v>0</v>
      </c>
      <c r="AE145" s="89">
        <v>0.17499999999999999</v>
      </c>
      <c r="AF145" s="89">
        <v>0</v>
      </c>
      <c r="AG145" s="89">
        <v>0.14000000000000001</v>
      </c>
      <c r="AH145" s="89">
        <v>0</v>
      </c>
      <c r="AI145" s="89">
        <v>0.14000000000000001</v>
      </c>
      <c r="AJ145" s="89">
        <v>0</v>
      </c>
      <c r="AK145" s="89">
        <v>0.04</v>
      </c>
      <c r="AL145" s="89">
        <v>0.04</v>
      </c>
      <c r="AM145" s="89">
        <v>-4.5999999999999999E-2</v>
      </c>
      <c r="AN145" s="89">
        <v>2.7E-2</v>
      </c>
      <c r="AO145" s="89">
        <v>-0.61299999999999999</v>
      </c>
      <c r="AP145" s="89">
        <v>0.155</v>
      </c>
      <c r="AQ145" s="89">
        <v>-4.1000000000000002E-2</v>
      </c>
      <c r="AR145" s="89">
        <v>0</v>
      </c>
      <c r="AS145" s="89">
        <v>-0.15</v>
      </c>
      <c r="AT145" s="89">
        <v>-1.4999999999999999E-2</v>
      </c>
      <c r="AU145" s="89">
        <v>-0.11</v>
      </c>
      <c r="AV145" s="89">
        <v>0.02</v>
      </c>
      <c r="AW145" s="89">
        <v>-4.1000000000000002E-2</v>
      </c>
      <c r="AX145" s="89">
        <v>1.4E-2</v>
      </c>
      <c r="AY145" s="90">
        <v>0.125</v>
      </c>
      <c r="AZ145" s="90">
        <v>0</v>
      </c>
      <c r="BA145" s="90">
        <v>-0.19500000000000001</v>
      </c>
      <c r="BB145" s="89">
        <v>2.5000000000000001E-3</v>
      </c>
      <c r="BC145" s="89">
        <v>-7.0000000000000007E-2</v>
      </c>
      <c r="BD145" s="89">
        <v>5.0000000000000001E-3</v>
      </c>
      <c r="BE145" s="89">
        <v>0.43</v>
      </c>
      <c r="BF145" s="89">
        <v>0</v>
      </c>
      <c r="BG145" s="89">
        <v>-0.06</v>
      </c>
      <c r="BH145" s="89">
        <v>0</v>
      </c>
      <c r="BI145" s="89">
        <v>0</v>
      </c>
      <c r="BJ145" s="62">
        <v>0.03</v>
      </c>
      <c r="BK145" s="62">
        <v>0.43</v>
      </c>
      <c r="BL145" s="62">
        <v>0</v>
      </c>
      <c r="BM145" s="62">
        <v>-0.05</v>
      </c>
      <c r="BN145" s="62">
        <v>0</v>
      </c>
      <c r="BO145" s="62">
        <v>-0.37</v>
      </c>
      <c r="BP145" s="62">
        <v>0</v>
      </c>
      <c r="BQ145" s="62">
        <v>0.5</v>
      </c>
      <c r="BR145" s="62">
        <v>0</v>
      </c>
      <c r="BS145" s="62">
        <v>-7.0000000000000007E-2</v>
      </c>
      <c r="BT145" s="62">
        <v>5.0000000000000001E-3</v>
      </c>
      <c r="BU145" s="62">
        <v>0.3</v>
      </c>
      <c r="BV145" s="62">
        <v>0</v>
      </c>
      <c r="BW145" s="62">
        <v>0</v>
      </c>
      <c r="BX145" s="62">
        <v>0</v>
      </c>
      <c r="BY145" s="62">
        <v>-1.0999999999999999E-2</v>
      </c>
      <c r="BZ145" s="62">
        <v>5.7500000000000002E-2</v>
      </c>
      <c r="CA145" s="62">
        <v>0.14499999999999999</v>
      </c>
      <c r="CB145" s="62">
        <v>5.0000000000000001E-3</v>
      </c>
      <c r="CC145" s="62">
        <v>-1.0999999999999999E-2</v>
      </c>
      <c r="CD145" s="62">
        <v>3.5000000000000001E-3</v>
      </c>
      <c r="CE145" s="62">
        <v>2.5000000000000001E-3</v>
      </c>
      <c r="CF145" s="62">
        <v>2.5000000000000001E-3</v>
      </c>
      <c r="CG145" s="62">
        <v>-1.0999999999999999E-2</v>
      </c>
      <c r="CH145" s="62">
        <v>3.5000000000000001E-3</v>
      </c>
      <c r="CI145" s="62">
        <v>-7.1499999999999994E-2</v>
      </c>
      <c r="CJ145" s="62">
        <v>2.5000000000000001E-3</v>
      </c>
      <c r="CK145" s="62">
        <v>7.7499999999999999E-2</v>
      </c>
      <c r="CL145" s="62">
        <v>2.5000000000000001E-3</v>
      </c>
      <c r="CM145" s="62">
        <v>-7.1999999999999995E-2</v>
      </c>
      <c r="CN145" s="62">
        <v>7.4999999999999997E-3</v>
      </c>
      <c r="CO145" s="62">
        <v>-1.7000000000000001E-2</v>
      </c>
      <c r="CP145" s="62">
        <v>5.0000000000000001E-3</v>
      </c>
      <c r="CQ145" s="62">
        <v>2.3E-2</v>
      </c>
      <c r="CR145" s="62">
        <v>7.4999999999999997E-3</v>
      </c>
      <c r="CS145" s="62">
        <v>0.37</v>
      </c>
      <c r="CT145" s="62">
        <v>3.5000000000000003E-2</v>
      </c>
      <c r="CU145" s="62">
        <v>-0.05</v>
      </c>
      <c r="CV145" s="62">
        <v>0</v>
      </c>
      <c r="CW145" s="62">
        <v>0.16500000000000001</v>
      </c>
      <c r="CX145" s="62">
        <v>7.4999999999999997E-3</v>
      </c>
      <c r="CY145" s="62">
        <v>-0.63</v>
      </c>
      <c r="CZ145" s="62">
        <v>0</v>
      </c>
      <c r="DA145" s="62">
        <v>-0.45</v>
      </c>
      <c r="DB145" s="62">
        <v>0</v>
      </c>
      <c r="DC145" s="62">
        <v>0.85</v>
      </c>
      <c r="DE145" s="62">
        <v>-4.5499999999999999E-2</v>
      </c>
      <c r="DF145" s="62">
        <v>0.01</v>
      </c>
      <c r="DG145" s="62">
        <v>1.8499999999999999E-2</v>
      </c>
      <c r="DH145" s="62">
        <v>0.01</v>
      </c>
      <c r="DI145" s="62">
        <v>1E-3</v>
      </c>
      <c r="DJ145" s="62">
        <v>7.4999999999999997E-3</v>
      </c>
      <c r="DK145" s="62">
        <v>-3.6499999999999998E-2</v>
      </c>
      <c r="DL145" s="62">
        <v>5.0000000000000001E-3</v>
      </c>
      <c r="DM145" s="62">
        <v>-5.2999999999999999E-2</v>
      </c>
      <c r="DN145" s="62">
        <v>2.5000000000000001E-3</v>
      </c>
      <c r="DO145" s="62">
        <v>-7.5499999999999998E-2</v>
      </c>
      <c r="DP145" s="62">
        <v>2.5000000000000001E-3</v>
      </c>
      <c r="DQ145" s="62">
        <v>-6.6500000000000004E-2</v>
      </c>
      <c r="DR145" s="62">
        <v>-5.0000000000000001E-3</v>
      </c>
      <c r="DS145" s="62">
        <v>0.33500000000000002</v>
      </c>
      <c r="DT145" s="62">
        <v>5.0000000000000001E-3</v>
      </c>
      <c r="DU145" s="62">
        <v>0</v>
      </c>
      <c r="DV145" s="62">
        <v>0</v>
      </c>
    </row>
    <row r="146" spans="4:126" x14ac:dyDescent="0.25">
      <c r="D146" s="91">
        <v>41091</v>
      </c>
      <c r="F146" s="89">
        <v>3.9095</v>
      </c>
      <c r="G146" s="90">
        <v>6.2223710905399403E-2</v>
      </c>
      <c r="H146" s="89">
        <v>0.17</v>
      </c>
      <c r="I146" s="89">
        <v>0.5</v>
      </c>
      <c r="J146" s="89">
        <v>0.5</v>
      </c>
      <c r="K146" s="89">
        <v>0.4</v>
      </c>
      <c r="L146" s="87">
        <v>0.5</v>
      </c>
      <c r="M146" s="87">
        <v>0.5</v>
      </c>
      <c r="N146" s="89">
        <v>0.5</v>
      </c>
      <c r="O146" s="89">
        <v>0.5</v>
      </c>
      <c r="P146" s="89">
        <v>0.5</v>
      </c>
      <c r="Q146" s="89">
        <v>0.5</v>
      </c>
      <c r="R146" s="90">
        <v>0.5</v>
      </c>
      <c r="S146" s="90">
        <v>0.55000000000000004</v>
      </c>
      <c r="T146" s="89">
        <v>0.5</v>
      </c>
      <c r="U146" s="89">
        <v>0.5</v>
      </c>
      <c r="V146" s="89">
        <v>0.6</v>
      </c>
      <c r="W146" s="89">
        <v>-0.09</v>
      </c>
      <c r="X146" s="89">
        <v>0</v>
      </c>
      <c r="Y146" s="89">
        <v>0.04</v>
      </c>
      <c r="Z146" s="89">
        <v>5.0000000000000001E-3</v>
      </c>
      <c r="AA146" s="89">
        <v>0.17499999999999999</v>
      </c>
      <c r="AB146" s="89">
        <v>0</v>
      </c>
      <c r="AC146" s="89">
        <v>0.14000000000000001</v>
      </c>
      <c r="AD146" s="89">
        <v>0</v>
      </c>
      <c r="AE146" s="89">
        <v>0.17499999999999999</v>
      </c>
      <c r="AF146" s="89">
        <v>0</v>
      </c>
      <c r="AG146" s="89">
        <v>0.14000000000000001</v>
      </c>
      <c r="AH146" s="89">
        <v>0</v>
      </c>
      <c r="AI146" s="89">
        <v>0.14000000000000001</v>
      </c>
      <c r="AJ146" s="89">
        <v>0</v>
      </c>
      <c r="AK146" s="89">
        <v>0.04</v>
      </c>
      <c r="AL146" s="89">
        <v>0.04</v>
      </c>
      <c r="AM146" s="89">
        <v>-4.5999999999999999E-2</v>
      </c>
      <c r="AN146" s="89">
        <v>2.7E-2</v>
      </c>
      <c r="AO146" s="89">
        <v>-0.61299999999999999</v>
      </c>
      <c r="AP146" s="89">
        <v>0.155</v>
      </c>
      <c r="AQ146" s="89">
        <v>-4.1000000000000002E-2</v>
      </c>
      <c r="AR146" s="89">
        <v>0</v>
      </c>
      <c r="AS146" s="89">
        <v>-0.15</v>
      </c>
      <c r="AT146" s="89">
        <v>-1.4999999999999999E-2</v>
      </c>
      <c r="AU146" s="89">
        <v>-0.11</v>
      </c>
      <c r="AV146" s="89">
        <v>0.02</v>
      </c>
      <c r="AW146" s="89">
        <v>-4.1000000000000002E-2</v>
      </c>
      <c r="AX146" s="89">
        <v>1.2E-2</v>
      </c>
      <c r="AY146" s="90">
        <v>0.125</v>
      </c>
      <c r="AZ146" s="90">
        <v>0</v>
      </c>
      <c r="BA146" s="90">
        <v>-0.19500000000000001</v>
      </c>
      <c r="BB146" s="89">
        <v>2.5000000000000001E-3</v>
      </c>
      <c r="BC146" s="89">
        <v>-7.0000000000000007E-2</v>
      </c>
      <c r="BD146" s="89">
        <v>5.0000000000000001E-3</v>
      </c>
      <c r="BE146" s="89">
        <v>0.43</v>
      </c>
      <c r="BF146" s="89">
        <v>0</v>
      </c>
      <c r="BG146" s="89">
        <v>-0.06</v>
      </c>
      <c r="BH146" s="89">
        <v>0</v>
      </c>
      <c r="BI146" s="89">
        <v>0</v>
      </c>
      <c r="BJ146" s="62">
        <v>0.03</v>
      </c>
      <c r="BK146" s="62">
        <v>0.43</v>
      </c>
      <c r="BL146" s="62">
        <v>0</v>
      </c>
      <c r="BM146" s="62">
        <v>-0.05</v>
      </c>
      <c r="BN146" s="62">
        <v>0</v>
      </c>
      <c r="BO146" s="62">
        <v>-0.37</v>
      </c>
      <c r="BP146" s="62">
        <v>0</v>
      </c>
      <c r="BQ146" s="62">
        <v>0.5</v>
      </c>
      <c r="BR146" s="62">
        <v>0</v>
      </c>
      <c r="BS146" s="62">
        <v>-7.0000000000000007E-2</v>
      </c>
      <c r="BT146" s="62">
        <v>5.0000000000000001E-3</v>
      </c>
      <c r="BU146" s="62">
        <v>0.3</v>
      </c>
      <c r="BV146" s="62">
        <v>0</v>
      </c>
      <c r="BW146" s="62">
        <v>0</v>
      </c>
      <c r="BX146" s="62">
        <v>0</v>
      </c>
      <c r="BY146" s="62">
        <v>-1.0999999999999999E-2</v>
      </c>
      <c r="BZ146" s="62">
        <v>5.7500000000000002E-2</v>
      </c>
      <c r="CA146" s="62">
        <v>0.15</v>
      </c>
      <c r="CB146" s="62">
        <v>5.0000000000000001E-3</v>
      </c>
      <c r="CC146" s="62">
        <v>-1.0999999999999999E-2</v>
      </c>
      <c r="CD146" s="62">
        <v>3.5000000000000001E-3</v>
      </c>
      <c r="CE146" s="62">
        <v>2.5000000000000001E-3</v>
      </c>
      <c r="CF146" s="62">
        <v>2.5000000000000001E-3</v>
      </c>
      <c r="CG146" s="62">
        <v>-1.0999999999999999E-2</v>
      </c>
      <c r="CH146" s="62">
        <v>3.5000000000000001E-3</v>
      </c>
      <c r="CI146" s="62">
        <v>-6.9000000000000006E-2</v>
      </c>
      <c r="CJ146" s="62">
        <v>2.5000000000000001E-3</v>
      </c>
      <c r="CK146" s="62">
        <v>7.7499999999999999E-2</v>
      </c>
      <c r="CL146" s="62">
        <v>2.5000000000000001E-3</v>
      </c>
      <c r="CM146" s="62">
        <v>-7.1999999999999995E-2</v>
      </c>
      <c r="CN146" s="62">
        <v>7.4999999999999997E-3</v>
      </c>
      <c r="CO146" s="62">
        <v>-1.7000000000000001E-2</v>
      </c>
      <c r="CP146" s="62">
        <v>5.0000000000000001E-3</v>
      </c>
      <c r="CQ146" s="62">
        <v>2.3E-2</v>
      </c>
      <c r="CR146" s="62">
        <v>7.4999999999999997E-3</v>
      </c>
      <c r="CS146" s="62">
        <v>0.41</v>
      </c>
      <c r="CT146" s="62">
        <v>3.5000000000000003E-2</v>
      </c>
      <c r="CU146" s="62">
        <v>-0.05</v>
      </c>
      <c r="CV146" s="62">
        <v>0</v>
      </c>
      <c r="CW146" s="62">
        <v>0.20499999999999999</v>
      </c>
      <c r="CX146" s="62">
        <v>7.4999999999999997E-3</v>
      </c>
      <c r="CY146" s="62">
        <v>-0.63</v>
      </c>
      <c r="CZ146" s="62">
        <v>0</v>
      </c>
      <c r="DA146" s="62">
        <v>-0.45</v>
      </c>
      <c r="DB146" s="62">
        <v>0</v>
      </c>
      <c r="DC146" s="62">
        <v>1.05</v>
      </c>
      <c r="DE146" s="62">
        <v>-4.5499999999999999E-2</v>
      </c>
      <c r="DF146" s="62">
        <v>0.01</v>
      </c>
      <c r="DG146" s="62">
        <v>1.8499999999999999E-2</v>
      </c>
      <c r="DH146" s="62">
        <v>0.01</v>
      </c>
      <c r="DI146" s="62">
        <v>1E-3</v>
      </c>
      <c r="DJ146" s="62">
        <v>7.4999999999999997E-3</v>
      </c>
      <c r="DK146" s="62">
        <v>-4.65E-2</v>
      </c>
      <c r="DL146" s="62">
        <v>5.0000000000000001E-3</v>
      </c>
      <c r="DM146" s="62">
        <v>-5.2999999999999999E-2</v>
      </c>
      <c r="DN146" s="62">
        <v>2.5000000000000001E-3</v>
      </c>
      <c r="DO146" s="62">
        <v>-7.5499999999999998E-2</v>
      </c>
      <c r="DP146" s="62">
        <v>2.5000000000000001E-3</v>
      </c>
      <c r="DQ146" s="62">
        <v>-7.6499999999999999E-2</v>
      </c>
      <c r="DR146" s="62">
        <v>-5.0000000000000001E-3</v>
      </c>
      <c r="DS146" s="62">
        <v>0.35</v>
      </c>
      <c r="DT146" s="62">
        <v>5.0000000000000001E-3</v>
      </c>
      <c r="DU146" s="62">
        <v>0</v>
      </c>
      <c r="DV146" s="62">
        <v>0</v>
      </c>
    </row>
    <row r="147" spans="4:126" x14ac:dyDescent="0.25">
      <c r="D147" s="91">
        <v>41122</v>
      </c>
      <c r="F147" s="89">
        <v>3.9495</v>
      </c>
      <c r="G147" s="90">
        <v>6.2264254992810297E-2</v>
      </c>
      <c r="H147" s="89">
        <v>0.17</v>
      </c>
      <c r="I147" s="89">
        <v>0.55000000000000004</v>
      </c>
      <c r="J147" s="89">
        <v>0.55000000000000004</v>
      </c>
      <c r="K147" s="89">
        <v>0.5</v>
      </c>
      <c r="L147" s="87">
        <v>0.6</v>
      </c>
      <c r="M147" s="87">
        <v>0.55000000000000004</v>
      </c>
      <c r="N147" s="89">
        <v>0.6</v>
      </c>
      <c r="O147" s="89">
        <v>0.55000000000000004</v>
      </c>
      <c r="P147" s="89">
        <v>0.6</v>
      </c>
      <c r="Q147" s="89">
        <v>0.45</v>
      </c>
      <c r="R147" s="90">
        <v>0.55000000000000004</v>
      </c>
      <c r="S147" s="90">
        <v>0.6</v>
      </c>
      <c r="T147" s="89">
        <v>0.55000000000000004</v>
      </c>
      <c r="U147" s="89">
        <v>0.6</v>
      </c>
      <c r="V147" s="89">
        <v>0.7</v>
      </c>
      <c r="W147" s="89">
        <v>-0.09</v>
      </c>
      <c r="X147" s="89">
        <v>0</v>
      </c>
      <c r="Y147" s="89">
        <v>0.04</v>
      </c>
      <c r="Z147" s="89">
        <v>5.0000000000000001E-3</v>
      </c>
      <c r="AA147" s="89">
        <v>0.17499999999999999</v>
      </c>
      <c r="AB147" s="89">
        <v>0</v>
      </c>
      <c r="AC147" s="89">
        <v>0.14000000000000001</v>
      </c>
      <c r="AD147" s="89">
        <v>0</v>
      </c>
      <c r="AE147" s="89">
        <v>0.17499999999999999</v>
      </c>
      <c r="AF147" s="89">
        <v>0</v>
      </c>
      <c r="AG147" s="89">
        <v>0.14000000000000001</v>
      </c>
      <c r="AH147" s="89">
        <v>0</v>
      </c>
      <c r="AI147" s="89">
        <v>0.14000000000000001</v>
      </c>
      <c r="AJ147" s="89">
        <v>0</v>
      </c>
      <c r="AK147" s="89">
        <v>0.04</v>
      </c>
      <c r="AL147" s="89">
        <v>0.04</v>
      </c>
      <c r="AM147" s="89">
        <v>-4.5999999999999999E-2</v>
      </c>
      <c r="AN147" s="89">
        <v>2.7E-2</v>
      </c>
      <c r="AO147" s="89">
        <v>-0.61299999999999999</v>
      </c>
      <c r="AP147" s="89">
        <v>0.155</v>
      </c>
      <c r="AQ147" s="89">
        <v>-4.1000000000000002E-2</v>
      </c>
      <c r="AR147" s="89">
        <v>0</v>
      </c>
      <c r="AS147" s="89">
        <v>-0.15</v>
      </c>
      <c r="AT147" s="89">
        <v>-1.4999999999999999E-2</v>
      </c>
      <c r="AU147" s="89">
        <v>-0.11</v>
      </c>
      <c r="AV147" s="89">
        <v>0.02</v>
      </c>
      <c r="AW147" s="89">
        <v>-4.1000000000000002E-2</v>
      </c>
      <c r="AX147" s="89">
        <v>1.2E-2</v>
      </c>
      <c r="AY147" s="90">
        <v>0.125</v>
      </c>
      <c r="AZ147" s="90">
        <v>0</v>
      </c>
      <c r="BA147" s="90">
        <v>-0.19500000000000001</v>
      </c>
      <c r="BB147" s="89">
        <v>2.5000000000000001E-3</v>
      </c>
      <c r="BC147" s="89">
        <v>-7.0000000000000007E-2</v>
      </c>
      <c r="BD147" s="89">
        <v>5.0000000000000001E-3</v>
      </c>
      <c r="BE147" s="89">
        <v>0.43</v>
      </c>
      <c r="BF147" s="89">
        <v>0</v>
      </c>
      <c r="BG147" s="89">
        <v>-0.06</v>
      </c>
      <c r="BH147" s="89">
        <v>0</v>
      </c>
      <c r="BI147" s="89">
        <v>0</v>
      </c>
      <c r="BJ147" s="62">
        <v>0.03</v>
      </c>
      <c r="BK147" s="62">
        <v>0.43</v>
      </c>
      <c r="BL147" s="62">
        <v>0</v>
      </c>
      <c r="BM147" s="62">
        <v>-0.05</v>
      </c>
      <c r="BN147" s="62">
        <v>0</v>
      </c>
      <c r="BO147" s="62">
        <v>-0.37</v>
      </c>
      <c r="BP147" s="62">
        <v>0</v>
      </c>
      <c r="BQ147" s="62">
        <v>0.5</v>
      </c>
      <c r="BR147" s="62">
        <v>0</v>
      </c>
      <c r="BS147" s="62">
        <v>-7.0000000000000007E-2</v>
      </c>
      <c r="BT147" s="62">
        <v>5.0000000000000001E-3</v>
      </c>
      <c r="BU147" s="62">
        <v>0.3</v>
      </c>
      <c r="BV147" s="62">
        <v>0</v>
      </c>
      <c r="BW147" s="62">
        <v>0</v>
      </c>
      <c r="BX147" s="62">
        <v>0</v>
      </c>
      <c r="BY147" s="62">
        <v>-1.0999999999999999E-2</v>
      </c>
      <c r="BZ147" s="62">
        <v>5.7500000000000002E-2</v>
      </c>
      <c r="CA147" s="62">
        <v>0.15</v>
      </c>
      <c r="CB147" s="62">
        <v>5.0000000000000001E-3</v>
      </c>
      <c r="CC147" s="62">
        <v>-1.0999999999999999E-2</v>
      </c>
      <c r="CD147" s="62">
        <v>3.5000000000000001E-3</v>
      </c>
      <c r="CE147" s="62">
        <v>2.5000000000000001E-3</v>
      </c>
      <c r="CF147" s="62">
        <v>2.5000000000000001E-3</v>
      </c>
      <c r="CG147" s="62">
        <v>-1.0999999999999999E-2</v>
      </c>
      <c r="CH147" s="62">
        <v>3.5000000000000001E-3</v>
      </c>
      <c r="CI147" s="62">
        <v>-6.6500000000000004E-2</v>
      </c>
      <c r="CJ147" s="62">
        <v>2.5000000000000001E-3</v>
      </c>
      <c r="CK147" s="62">
        <v>7.7499999999999999E-2</v>
      </c>
      <c r="CL147" s="62">
        <v>2.5000000000000001E-3</v>
      </c>
      <c r="CM147" s="62">
        <v>-7.1999999999999995E-2</v>
      </c>
      <c r="CN147" s="62">
        <v>7.4999999999999997E-3</v>
      </c>
      <c r="CO147" s="62">
        <v>-1.7000000000000001E-2</v>
      </c>
      <c r="CP147" s="62">
        <v>5.0000000000000001E-3</v>
      </c>
      <c r="CQ147" s="62">
        <v>2.3E-2</v>
      </c>
      <c r="CR147" s="62">
        <v>7.4999999999999997E-3</v>
      </c>
      <c r="CS147" s="62">
        <v>0.41</v>
      </c>
      <c r="CT147" s="62">
        <v>0.01</v>
      </c>
      <c r="CU147" s="62">
        <v>-0.05</v>
      </c>
      <c r="CV147" s="62">
        <v>0</v>
      </c>
      <c r="CW147" s="62">
        <v>0.20499999999999999</v>
      </c>
      <c r="CX147" s="62">
        <v>7.4999999999999997E-3</v>
      </c>
      <c r="CY147" s="62">
        <v>-0.63</v>
      </c>
      <c r="CZ147" s="62">
        <v>0</v>
      </c>
      <c r="DA147" s="62">
        <v>-0.45</v>
      </c>
      <c r="DB147" s="62">
        <v>0</v>
      </c>
      <c r="DC147" s="62">
        <v>1.05</v>
      </c>
      <c r="DE147" s="62">
        <v>-4.5499999999999999E-2</v>
      </c>
      <c r="DF147" s="62">
        <v>0.01</v>
      </c>
      <c r="DG147" s="62">
        <v>1.35E-2</v>
      </c>
      <c r="DH147" s="62">
        <v>0.01</v>
      </c>
      <c r="DI147" s="62">
        <v>-4.0000000000000001E-3</v>
      </c>
      <c r="DJ147" s="62">
        <v>7.4999999999999997E-3</v>
      </c>
      <c r="DK147" s="62">
        <v>-4.1500000000000002E-2</v>
      </c>
      <c r="DL147" s="62">
        <v>5.0000000000000001E-3</v>
      </c>
      <c r="DM147" s="62">
        <v>-5.2999999999999999E-2</v>
      </c>
      <c r="DN147" s="62">
        <v>2.5000000000000001E-3</v>
      </c>
      <c r="DO147" s="62">
        <v>-7.5499999999999998E-2</v>
      </c>
      <c r="DP147" s="62">
        <v>2.5000000000000001E-3</v>
      </c>
      <c r="DQ147" s="62">
        <v>-7.1499999999999994E-2</v>
      </c>
      <c r="DR147" s="62">
        <v>-5.0000000000000001E-3</v>
      </c>
      <c r="DS147" s="62">
        <v>0.35</v>
      </c>
      <c r="DT147" s="62">
        <v>-5.0000000000000001E-3</v>
      </c>
      <c r="DU147" s="62">
        <v>0</v>
      </c>
      <c r="DV147" s="62">
        <v>0</v>
      </c>
    </row>
    <row r="148" spans="4:126" x14ac:dyDescent="0.25">
      <c r="D148" s="91">
        <v>41153</v>
      </c>
      <c r="F148" s="89">
        <v>3.9445000000000001</v>
      </c>
      <c r="G148" s="90">
        <v>6.2304799080766603E-2</v>
      </c>
      <c r="H148" s="89">
        <v>0.17</v>
      </c>
      <c r="I148" s="89">
        <v>0.55000000000000004</v>
      </c>
      <c r="J148" s="89">
        <v>0.55000000000000004</v>
      </c>
      <c r="K148" s="89">
        <v>0.55000000000000004</v>
      </c>
      <c r="L148" s="87">
        <v>0.55000000000000004</v>
      </c>
      <c r="M148" s="87">
        <v>0.55000000000000004</v>
      </c>
      <c r="N148" s="89">
        <v>0.6</v>
      </c>
      <c r="O148" s="89">
        <v>0.6</v>
      </c>
      <c r="P148" s="89">
        <v>0.55000000000000004</v>
      </c>
      <c r="Q148" s="89">
        <v>0.5</v>
      </c>
      <c r="R148" s="90">
        <v>0.55000000000000004</v>
      </c>
      <c r="S148" s="90">
        <v>0.6</v>
      </c>
      <c r="T148" s="89">
        <v>0.55000000000000004</v>
      </c>
      <c r="U148" s="89">
        <v>0.6</v>
      </c>
      <c r="V148" s="89">
        <v>0.65</v>
      </c>
      <c r="W148" s="89">
        <v>-0.09</v>
      </c>
      <c r="X148" s="89">
        <v>0</v>
      </c>
      <c r="Y148" s="89">
        <v>0.04</v>
      </c>
      <c r="Z148" s="89">
        <v>5.0000000000000001E-3</v>
      </c>
      <c r="AA148" s="89">
        <v>0.17499999999999999</v>
      </c>
      <c r="AB148" s="89">
        <v>0</v>
      </c>
      <c r="AC148" s="89">
        <v>0.14000000000000001</v>
      </c>
      <c r="AD148" s="89">
        <v>0</v>
      </c>
      <c r="AE148" s="89">
        <v>0.17499999999999999</v>
      </c>
      <c r="AF148" s="89">
        <v>0</v>
      </c>
      <c r="AG148" s="89">
        <v>0.14000000000000001</v>
      </c>
      <c r="AH148" s="89">
        <v>0</v>
      </c>
      <c r="AI148" s="89">
        <v>0.14000000000000001</v>
      </c>
      <c r="AJ148" s="89">
        <v>0</v>
      </c>
      <c r="AK148" s="89">
        <v>0.04</v>
      </c>
      <c r="AL148" s="89">
        <v>0.04</v>
      </c>
      <c r="AM148" s="89">
        <v>-4.5999999999999999E-2</v>
      </c>
      <c r="AN148" s="89">
        <v>2.7E-2</v>
      </c>
      <c r="AO148" s="89">
        <v>-0.61299999999999999</v>
      </c>
      <c r="AP148" s="89">
        <v>0.155</v>
      </c>
      <c r="AQ148" s="89">
        <v>-4.1000000000000002E-2</v>
      </c>
      <c r="AR148" s="89">
        <v>0</v>
      </c>
      <c r="AS148" s="89">
        <v>-0.15</v>
      </c>
      <c r="AT148" s="89">
        <v>-1.4999999999999999E-2</v>
      </c>
      <c r="AU148" s="89">
        <v>-0.11</v>
      </c>
      <c r="AV148" s="89">
        <v>0.02</v>
      </c>
      <c r="AW148" s="89">
        <v>-4.1000000000000002E-2</v>
      </c>
      <c r="AX148" s="89">
        <v>1.2E-2</v>
      </c>
      <c r="AY148" s="90">
        <v>0.125</v>
      </c>
      <c r="AZ148" s="90">
        <v>0</v>
      </c>
      <c r="BA148" s="90">
        <v>-0.19500000000000001</v>
      </c>
      <c r="BB148" s="89">
        <v>2.5000000000000001E-3</v>
      </c>
      <c r="BC148" s="89">
        <v>-7.0000000000000007E-2</v>
      </c>
      <c r="BD148" s="89">
        <v>5.0000000000000001E-3</v>
      </c>
      <c r="BE148" s="89">
        <v>0.43</v>
      </c>
      <c r="BF148" s="89">
        <v>0</v>
      </c>
      <c r="BG148" s="89">
        <v>-0.06</v>
      </c>
      <c r="BH148" s="89">
        <v>0</v>
      </c>
      <c r="BI148" s="89">
        <v>0</v>
      </c>
      <c r="BJ148" s="62">
        <v>0.03</v>
      </c>
      <c r="BK148" s="62">
        <v>0.43</v>
      </c>
      <c r="BL148" s="62">
        <v>0</v>
      </c>
      <c r="BM148" s="62">
        <v>-0.05</v>
      </c>
      <c r="BN148" s="62">
        <v>0</v>
      </c>
      <c r="BO148" s="62">
        <v>-0.37</v>
      </c>
      <c r="BP148" s="62">
        <v>0</v>
      </c>
      <c r="BQ148" s="62">
        <v>0.5</v>
      </c>
      <c r="BR148" s="62">
        <v>0</v>
      </c>
      <c r="BS148" s="62">
        <v>-7.0000000000000007E-2</v>
      </c>
      <c r="BT148" s="62">
        <v>5.0000000000000001E-3</v>
      </c>
      <c r="BU148" s="62">
        <v>0.3</v>
      </c>
      <c r="BV148" s="62">
        <v>0</v>
      </c>
      <c r="BW148" s="62">
        <v>0</v>
      </c>
      <c r="BX148" s="62">
        <v>0</v>
      </c>
      <c r="BY148" s="62">
        <v>-1.0999999999999999E-2</v>
      </c>
      <c r="BZ148" s="62">
        <v>5.7500000000000002E-2</v>
      </c>
      <c r="CA148" s="62">
        <v>0.125</v>
      </c>
      <c r="CB148" s="62">
        <v>5.0000000000000001E-3</v>
      </c>
      <c r="CC148" s="62">
        <v>-1.0999999999999999E-2</v>
      </c>
      <c r="CD148" s="62">
        <v>3.5000000000000001E-3</v>
      </c>
      <c r="CE148" s="62">
        <v>2.5000000000000001E-3</v>
      </c>
      <c r="CF148" s="62">
        <v>2.5000000000000001E-3</v>
      </c>
      <c r="CG148" s="62">
        <v>-1.0999999999999999E-2</v>
      </c>
      <c r="CH148" s="62">
        <v>3.5000000000000001E-3</v>
      </c>
      <c r="CI148" s="62">
        <v>-7.1499999999999994E-2</v>
      </c>
      <c r="CJ148" s="62">
        <v>2.5000000000000001E-3</v>
      </c>
      <c r="CK148" s="62">
        <v>7.7499999999999999E-2</v>
      </c>
      <c r="CL148" s="62">
        <v>2.5000000000000001E-3</v>
      </c>
      <c r="CM148" s="62">
        <v>-7.1999999999999995E-2</v>
      </c>
      <c r="CN148" s="62">
        <v>7.4999999999999997E-3</v>
      </c>
      <c r="CO148" s="62">
        <v>-1.7000000000000001E-2</v>
      </c>
      <c r="CP148" s="62">
        <v>5.0000000000000001E-3</v>
      </c>
      <c r="CQ148" s="62">
        <v>2.3E-2</v>
      </c>
      <c r="CR148" s="62">
        <v>7.4999999999999997E-3</v>
      </c>
      <c r="CS148" s="62">
        <v>0.36</v>
      </c>
      <c r="CT148" s="62">
        <v>0.01</v>
      </c>
      <c r="CU148" s="62">
        <v>-0.05</v>
      </c>
      <c r="CV148" s="62">
        <v>0</v>
      </c>
      <c r="CW148" s="62">
        <v>0.14499999999999999</v>
      </c>
      <c r="CX148" s="62">
        <v>7.4999999999999997E-3</v>
      </c>
      <c r="CY148" s="62">
        <v>-0.63</v>
      </c>
      <c r="CZ148" s="62">
        <v>0</v>
      </c>
      <c r="DA148" s="62">
        <v>-0.45</v>
      </c>
      <c r="DB148" s="62">
        <v>0</v>
      </c>
      <c r="DC148" s="62">
        <v>0.75</v>
      </c>
      <c r="DE148" s="62">
        <v>-5.0500000000000003E-2</v>
      </c>
      <c r="DF148" s="62">
        <v>0.01</v>
      </c>
      <c r="DG148" s="62">
        <v>1.35E-2</v>
      </c>
      <c r="DH148" s="62">
        <v>0.01</v>
      </c>
      <c r="DI148" s="62">
        <v>-4.0000000000000001E-3</v>
      </c>
      <c r="DJ148" s="62">
        <v>7.4999999999999997E-3</v>
      </c>
      <c r="DK148" s="62">
        <v>-5.1499999999999997E-2</v>
      </c>
      <c r="DL148" s="62">
        <v>5.0000000000000001E-3</v>
      </c>
      <c r="DM148" s="62">
        <v>-5.2999999999999999E-2</v>
      </c>
      <c r="DN148" s="62">
        <v>2.5000000000000001E-3</v>
      </c>
      <c r="DO148" s="62">
        <v>-7.5499999999999998E-2</v>
      </c>
      <c r="DP148" s="62">
        <v>2.5000000000000001E-3</v>
      </c>
      <c r="DQ148" s="62">
        <v>-8.1500000000000003E-2</v>
      </c>
      <c r="DR148" s="62">
        <v>-5.0000000000000001E-3</v>
      </c>
      <c r="DS148" s="62">
        <v>0.315</v>
      </c>
      <c r="DT148" s="62">
        <v>-5.0000000000000001E-3</v>
      </c>
      <c r="DU148" s="62">
        <v>0</v>
      </c>
      <c r="DV148" s="62">
        <v>0</v>
      </c>
    </row>
    <row r="149" spans="4:126" x14ac:dyDescent="0.25">
      <c r="D149" s="91">
        <v>41183</v>
      </c>
      <c r="F149" s="89">
        <v>3.9695</v>
      </c>
      <c r="G149" s="90">
        <v>6.2344035295437202E-2</v>
      </c>
      <c r="H149" s="89">
        <v>0.17</v>
      </c>
      <c r="I149" s="89">
        <v>0.6</v>
      </c>
      <c r="J149" s="89">
        <v>0.6</v>
      </c>
      <c r="K149" s="89">
        <v>0.55000000000000004</v>
      </c>
      <c r="L149" s="87">
        <v>0.6</v>
      </c>
      <c r="M149" s="87">
        <v>0.6</v>
      </c>
      <c r="N149" s="89">
        <v>0.65</v>
      </c>
      <c r="O149" s="89">
        <v>0.65</v>
      </c>
      <c r="P149" s="89">
        <v>0.6</v>
      </c>
      <c r="Q149" s="89">
        <v>0.5</v>
      </c>
      <c r="R149" s="90">
        <v>0.6</v>
      </c>
      <c r="S149" s="90">
        <v>0.65</v>
      </c>
      <c r="T149" s="89">
        <v>0.6</v>
      </c>
      <c r="U149" s="89">
        <v>0.65</v>
      </c>
      <c r="V149" s="89">
        <v>0.7</v>
      </c>
      <c r="W149" s="89">
        <v>-0.09</v>
      </c>
      <c r="X149" s="89">
        <v>0</v>
      </c>
      <c r="Y149" s="89">
        <v>0.04</v>
      </c>
      <c r="Z149" s="89">
        <v>5.0000000000000001E-3</v>
      </c>
      <c r="AA149" s="89">
        <v>0.17499999999999999</v>
      </c>
      <c r="AB149" s="89">
        <v>0</v>
      </c>
      <c r="AC149" s="89">
        <v>0.14000000000000001</v>
      </c>
      <c r="AD149" s="89">
        <v>0</v>
      </c>
      <c r="AE149" s="89">
        <v>0.17499999999999999</v>
      </c>
      <c r="AF149" s="89">
        <v>0</v>
      </c>
      <c r="AG149" s="89">
        <v>0.14000000000000001</v>
      </c>
      <c r="AH149" s="89">
        <v>0</v>
      </c>
      <c r="AI149" s="89">
        <v>0.14000000000000001</v>
      </c>
      <c r="AJ149" s="89">
        <v>0</v>
      </c>
      <c r="AK149" s="89">
        <v>0.04</v>
      </c>
      <c r="AL149" s="89">
        <v>0.04</v>
      </c>
      <c r="AM149" s="89">
        <v>-4.5999999999999999E-2</v>
      </c>
      <c r="AN149" s="89">
        <v>2.7E-2</v>
      </c>
      <c r="AO149" s="89">
        <v>-0.61299999999999999</v>
      </c>
      <c r="AP149" s="89">
        <v>0.155</v>
      </c>
      <c r="AQ149" s="89">
        <v>-4.1000000000000002E-2</v>
      </c>
      <c r="AR149" s="89">
        <v>0</v>
      </c>
      <c r="AS149" s="89">
        <v>-0.15</v>
      </c>
      <c r="AT149" s="89">
        <v>-1.4999999999999999E-2</v>
      </c>
      <c r="AU149" s="89">
        <v>-0.11</v>
      </c>
      <c r="AV149" s="89">
        <v>0.02</v>
      </c>
      <c r="AW149" s="89">
        <v>-4.1000000000000002E-2</v>
      </c>
      <c r="AX149" s="89">
        <v>1.2E-2</v>
      </c>
      <c r="AY149" s="90">
        <v>0.125</v>
      </c>
      <c r="AZ149" s="90">
        <v>0</v>
      </c>
      <c r="BA149" s="90">
        <v>-0.19500000000000001</v>
      </c>
      <c r="BB149" s="89">
        <v>2.5000000000000001E-3</v>
      </c>
      <c r="BC149" s="89">
        <v>-7.0000000000000007E-2</v>
      </c>
      <c r="BD149" s="89">
        <v>5.0000000000000001E-3</v>
      </c>
      <c r="BE149" s="89">
        <v>0.43</v>
      </c>
      <c r="BF149" s="89">
        <v>0</v>
      </c>
      <c r="BG149" s="89">
        <v>-0.06</v>
      </c>
      <c r="BH149" s="89">
        <v>0</v>
      </c>
      <c r="BI149" s="89">
        <v>0</v>
      </c>
      <c r="BJ149" s="62">
        <v>0.03</v>
      </c>
      <c r="BK149" s="62">
        <v>0.43</v>
      </c>
      <c r="BL149" s="62">
        <v>0</v>
      </c>
      <c r="BM149" s="62">
        <v>-0.05</v>
      </c>
      <c r="BN149" s="62">
        <v>0</v>
      </c>
      <c r="BO149" s="62">
        <v>-0.37</v>
      </c>
      <c r="BP149" s="62">
        <v>0</v>
      </c>
      <c r="BQ149" s="62">
        <v>0.5</v>
      </c>
      <c r="BR149" s="62">
        <v>0</v>
      </c>
      <c r="BS149" s="62">
        <v>-7.0000000000000007E-2</v>
      </c>
      <c r="BT149" s="62">
        <v>5.0000000000000001E-3</v>
      </c>
      <c r="BU149" s="62">
        <v>0.3</v>
      </c>
      <c r="BV149" s="62">
        <v>0</v>
      </c>
      <c r="BW149" s="62">
        <v>0</v>
      </c>
      <c r="BX149" s="62">
        <v>0</v>
      </c>
      <c r="BY149" s="62">
        <v>-1.0999999999999999E-2</v>
      </c>
      <c r="BZ149" s="62">
        <v>5.7500000000000002E-2</v>
      </c>
      <c r="CA149" s="62">
        <v>0.14499999999999999</v>
      </c>
      <c r="CB149" s="62">
        <v>5.0000000000000001E-3</v>
      </c>
      <c r="CC149" s="62">
        <v>-1.0999999999999999E-2</v>
      </c>
      <c r="CD149" s="62">
        <v>3.5000000000000001E-3</v>
      </c>
      <c r="CE149" s="62">
        <v>2.5000000000000001E-3</v>
      </c>
      <c r="CF149" s="62">
        <v>2.5000000000000001E-3</v>
      </c>
      <c r="CG149" s="62">
        <v>-1.0999999999999999E-2</v>
      </c>
      <c r="CH149" s="62">
        <v>3.5000000000000001E-3</v>
      </c>
      <c r="CI149" s="62">
        <v>-7.3999999999999996E-2</v>
      </c>
      <c r="CJ149" s="62">
        <v>2.5000000000000001E-3</v>
      </c>
      <c r="CK149" s="62">
        <v>7.7499999999999999E-2</v>
      </c>
      <c r="CL149" s="62">
        <v>2.5000000000000001E-3</v>
      </c>
      <c r="CM149" s="62">
        <v>-7.1999999999999995E-2</v>
      </c>
      <c r="CN149" s="62">
        <v>7.4999999999999997E-3</v>
      </c>
      <c r="CO149" s="62">
        <v>-1.7000000000000001E-2</v>
      </c>
      <c r="CP149" s="62">
        <v>5.0000000000000001E-3</v>
      </c>
      <c r="CQ149" s="62">
        <v>2.3E-2</v>
      </c>
      <c r="CR149" s="62">
        <v>7.4999999999999997E-3</v>
      </c>
      <c r="CS149" s="62">
        <v>0.4</v>
      </c>
      <c r="CT149" s="62">
        <v>0.01</v>
      </c>
      <c r="CU149" s="62">
        <v>-0.05</v>
      </c>
      <c r="CV149" s="62">
        <v>0</v>
      </c>
      <c r="CW149" s="62">
        <v>0.17499999999999999</v>
      </c>
      <c r="CX149" s="62">
        <v>7.4999999999999997E-3</v>
      </c>
      <c r="CY149" s="62">
        <v>-0.63</v>
      </c>
      <c r="CZ149" s="62">
        <v>0</v>
      </c>
      <c r="DA149" s="62">
        <v>-0.45</v>
      </c>
      <c r="DB149" s="62">
        <v>0</v>
      </c>
      <c r="DC149" s="62">
        <v>0.45</v>
      </c>
      <c r="DE149" s="62">
        <v>-5.0500000000000003E-2</v>
      </c>
      <c r="DF149" s="62">
        <v>0.01</v>
      </c>
      <c r="DG149" s="62">
        <v>1.0999999999999999E-2</v>
      </c>
      <c r="DH149" s="62">
        <v>0.01</v>
      </c>
      <c r="DI149" s="62">
        <v>-6.4999999999999997E-3</v>
      </c>
      <c r="DJ149" s="62">
        <v>7.4999999999999997E-3</v>
      </c>
      <c r="DK149" s="62">
        <v>-3.9E-2</v>
      </c>
      <c r="DL149" s="62">
        <v>5.0000000000000001E-3</v>
      </c>
      <c r="DM149" s="62">
        <v>-5.2999999999999999E-2</v>
      </c>
      <c r="DN149" s="62">
        <v>2.5000000000000001E-3</v>
      </c>
      <c r="DO149" s="62">
        <v>-7.5499999999999998E-2</v>
      </c>
      <c r="DP149" s="62">
        <v>2.5000000000000001E-3</v>
      </c>
      <c r="DQ149" s="62">
        <v>-6.9000000000000006E-2</v>
      </c>
      <c r="DR149" s="62">
        <v>-5.0000000000000001E-3</v>
      </c>
      <c r="DS149" s="62">
        <v>0.36</v>
      </c>
      <c r="DT149" s="62">
        <v>-5.0000000000000001E-3</v>
      </c>
      <c r="DU149" s="62">
        <v>0</v>
      </c>
      <c r="DV149" s="62">
        <v>0</v>
      </c>
    </row>
    <row r="150" spans="4:126" x14ac:dyDescent="0.25">
      <c r="D150" s="91">
        <v>41214</v>
      </c>
      <c r="F150" s="89">
        <v>4.1215000000000002</v>
      </c>
      <c r="G150" s="90">
        <v>6.2384579384467301E-2</v>
      </c>
      <c r="H150" s="89">
        <v>0.17</v>
      </c>
      <c r="I150" s="89">
        <v>0.8</v>
      </c>
      <c r="J150" s="89">
        <v>0.85</v>
      </c>
      <c r="K150" s="89">
        <v>0.8</v>
      </c>
      <c r="L150" s="87">
        <v>0.8</v>
      </c>
      <c r="M150" s="87">
        <v>0.9</v>
      </c>
      <c r="N150" s="89">
        <v>0.95</v>
      </c>
      <c r="O150" s="89">
        <v>0.85</v>
      </c>
      <c r="P150" s="89">
        <v>0.8</v>
      </c>
      <c r="Q150" s="89">
        <v>0.95</v>
      </c>
      <c r="R150" s="90">
        <v>0.8</v>
      </c>
      <c r="S150" s="90">
        <v>0.8</v>
      </c>
      <c r="T150" s="89">
        <v>0.8</v>
      </c>
      <c r="U150" s="89">
        <v>0.95</v>
      </c>
      <c r="V150" s="89">
        <v>0.9</v>
      </c>
      <c r="W150" s="89">
        <v>0</v>
      </c>
      <c r="X150" s="89">
        <v>0.03</v>
      </c>
      <c r="Y150" s="89">
        <v>0.13</v>
      </c>
      <c r="Z150" s="89">
        <v>0.02</v>
      </c>
      <c r="AA150" s="89">
        <v>0.28999999999999998</v>
      </c>
      <c r="AB150" s="89">
        <v>0</v>
      </c>
      <c r="AC150" s="89">
        <v>0.33</v>
      </c>
      <c r="AD150" s="89">
        <v>0</v>
      </c>
      <c r="AE150" s="89">
        <v>0.28999999999999998</v>
      </c>
      <c r="AF150" s="89">
        <v>0</v>
      </c>
      <c r="AG150" s="89">
        <v>0.17</v>
      </c>
      <c r="AH150" s="89">
        <v>0</v>
      </c>
      <c r="AI150" s="89">
        <v>0.15728</v>
      </c>
      <c r="AJ150" s="89">
        <v>0</v>
      </c>
      <c r="AK150" s="89">
        <v>0.13</v>
      </c>
      <c r="AL150" s="89">
        <v>3.5000000000000003E-2</v>
      </c>
      <c r="AM150" s="89">
        <v>-6.0499999999999998E-2</v>
      </c>
      <c r="AN150" s="89">
        <v>2.1999999999999999E-2</v>
      </c>
      <c r="AO150" s="89">
        <v>-0.55300000000000005</v>
      </c>
      <c r="AP150" s="89">
        <v>0.155</v>
      </c>
      <c r="AQ150" s="89">
        <v>-4.0500000000000001E-2</v>
      </c>
      <c r="AR150" s="89">
        <v>5.0000000000000001E-3</v>
      </c>
      <c r="AS150" s="89">
        <v>-0.15</v>
      </c>
      <c r="AT150" s="89">
        <v>-5.0000000000000001E-3</v>
      </c>
      <c r="AU150" s="89">
        <v>-0.11</v>
      </c>
      <c r="AV150" s="89">
        <v>-0.01</v>
      </c>
      <c r="AW150" s="89">
        <v>-4.0500000000000001E-2</v>
      </c>
      <c r="AX150" s="89">
        <v>2.1999999999999999E-2</v>
      </c>
      <c r="AY150" s="90">
        <v>0.155</v>
      </c>
      <c r="AZ150" s="90">
        <v>0</v>
      </c>
      <c r="BA150" s="90">
        <v>-0.13</v>
      </c>
      <c r="BB150" s="89">
        <v>5.0000000000000001E-3</v>
      </c>
      <c r="BC150" s="89">
        <v>-7.0000000000000007E-2</v>
      </c>
      <c r="BD150" s="89">
        <v>5.0000000000000001E-3</v>
      </c>
      <c r="BE150" s="89">
        <v>0.35</v>
      </c>
      <c r="BF150" s="89">
        <v>0</v>
      </c>
      <c r="BG150" s="89">
        <v>-0.06</v>
      </c>
      <c r="BH150" s="89">
        <v>0</v>
      </c>
      <c r="BI150" s="89">
        <v>0</v>
      </c>
      <c r="BJ150" s="62">
        <v>0.03</v>
      </c>
      <c r="BK150" s="62">
        <v>0.35</v>
      </c>
      <c r="BL150" s="62">
        <v>0</v>
      </c>
      <c r="BM150" s="62">
        <v>0.29799999999999999</v>
      </c>
      <c r="BN150" s="62">
        <v>0</v>
      </c>
      <c r="BO150" s="62">
        <v>-0.26</v>
      </c>
      <c r="BP150" s="62">
        <v>0</v>
      </c>
      <c r="BQ150" s="62">
        <v>0.5</v>
      </c>
      <c r="BR150" s="62">
        <v>0</v>
      </c>
      <c r="BS150" s="62">
        <v>-7.0000000000000007E-2</v>
      </c>
      <c r="BT150" s="62">
        <v>5.0000000000000001E-3</v>
      </c>
      <c r="BU150" s="62">
        <v>0.3</v>
      </c>
      <c r="BV150" s="62">
        <v>0</v>
      </c>
      <c r="BW150" s="62">
        <v>0</v>
      </c>
      <c r="BX150" s="62">
        <v>0</v>
      </c>
      <c r="BY150" s="62">
        <v>-1.0999999999999999E-2</v>
      </c>
      <c r="BZ150" s="62">
        <v>5.7500000000000002E-2</v>
      </c>
      <c r="CA150" s="62">
        <v>0.19500000000000001</v>
      </c>
      <c r="CB150" s="62">
        <v>5.0000000000000001E-3</v>
      </c>
      <c r="CC150" s="62">
        <v>-1.0999999999999999E-2</v>
      </c>
      <c r="CD150" s="62">
        <v>3.7000000000000002E-3</v>
      </c>
      <c r="CE150" s="62">
        <v>2.5000000000000001E-3</v>
      </c>
      <c r="CF150" s="62">
        <v>2.5000000000000001E-3</v>
      </c>
      <c r="CG150" s="62">
        <v>-1.0999999999999999E-2</v>
      </c>
      <c r="CH150" s="62">
        <v>3.7000000000000002E-3</v>
      </c>
      <c r="CI150" s="62">
        <v>-7.9000000000000001E-2</v>
      </c>
      <c r="CJ150" s="62">
        <v>2.5000000000000001E-3</v>
      </c>
      <c r="CK150" s="62">
        <v>7.4999999999999997E-2</v>
      </c>
      <c r="CL150" s="62">
        <v>2.5000000000000001E-3</v>
      </c>
      <c r="CM150" s="62">
        <v>-6.4000000000000001E-2</v>
      </c>
      <c r="CN150" s="62">
        <v>0.01</v>
      </c>
      <c r="CO150" s="62">
        <v>-8.9999989999999998E-3</v>
      </c>
      <c r="CP150" s="62">
        <v>7.4999999999999997E-3</v>
      </c>
      <c r="CQ150" s="62">
        <v>3.1E-2</v>
      </c>
      <c r="CR150" s="62">
        <v>1.2500000000000001E-2</v>
      </c>
      <c r="CS150" s="62">
        <v>0.65</v>
      </c>
      <c r="CT150" s="62">
        <v>5.5E-2</v>
      </c>
      <c r="CU150" s="62">
        <v>0.29799999999999999</v>
      </c>
      <c r="CV150" s="62">
        <v>0</v>
      </c>
      <c r="CW150" s="62">
        <v>0.21</v>
      </c>
      <c r="CX150" s="62">
        <v>0.02</v>
      </c>
      <c r="CY150" s="62">
        <v>-0.52</v>
      </c>
      <c r="CZ150" s="62">
        <v>0</v>
      </c>
      <c r="DA150" s="62">
        <v>-0.34</v>
      </c>
      <c r="DB150" s="62">
        <v>0</v>
      </c>
      <c r="DC150" s="62">
        <v>0.45</v>
      </c>
      <c r="DE150" s="62">
        <v>-3.9E-2</v>
      </c>
      <c r="DF150" s="62">
        <v>1.2500000000000001E-2</v>
      </c>
      <c r="DG150" s="62">
        <v>1.2E-2</v>
      </c>
      <c r="DH150" s="62">
        <v>7.4999999999999997E-3</v>
      </c>
      <c r="DI150" s="62">
        <v>-5.4999999999999997E-3</v>
      </c>
      <c r="DJ150" s="62">
        <v>2.5000000000000001E-3</v>
      </c>
      <c r="DK150" s="62">
        <v>-4.3999999999999997E-2</v>
      </c>
      <c r="DL150" s="62">
        <v>2.5000000000000001E-3</v>
      </c>
      <c r="DM150" s="62">
        <v>-5.5500000000000001E-2</v>
      </c>
      <c r="DN150" s="62">
        <v>2.5000000000000001E-3</v>
      </c>
      <c r="DO150" s="62">
        <v>-7.8E-2</v>
      </c>
      <c r="DP150" s="62">
        <v>2.5000000000000001E-3</v>
      </c>
      <c r="DQ150" s="62">
        <v>-7.3999999999999996E-2</v>
      </c>
      <c r="DR150" s="62">
        <v>-5.0000000000000001E-3</v>
      </c>
      <c r="DS150" s="62">
        <v>0.46</v>
      </c>
      <c r="DT150" s="62">
        <v>0.05</v>
      </c>
      <c r="DU150" s="62">
        <v>0</v>
      </c>
      <c r="DV150" s="62">
        <v>0</v>
      </c>
    </row>
    <row r="151" spans="4:126" x14ac:dyDescent="0.25">
      <c r="D151" s="91">
        <v>41244</v>
      </c>
      <c r="F151" s="89">
        <v>4.2645</v>
      </c>
      <c r="G151" s="90">
        <v>6.2423815600177103E-2</v>
      </c>
      <c r="H151" s="89">
        <v>0.17</v>
      </c>
      <c r="I151" s="89">
        <v>1</v>
      </c>
      <c r="J151" s="89">
        <v>1.05</v>
      </c>
      <c r="K151" s="89">
        <v>1</v>
      </c>
      <c r="L151" s="87">
        <v>1</v>
      </c>
      <c r="M151" s="87">
        <v>1.1499999999999999</v>
      </c>
      <c r="N151" s="89">
        <v>1.25</v>
      </c>
      <c r="O151" s="89">
        <v>1.05</v>
      </c>
      <c r="P151" s="89">
        <v>1</v>
      </c>
      <c r="Q151" s="89">
        <v>1.35</v>
      </c>
      <c r="R151" s="90">
        <v>1</v>
      </c>
      <c r="S151" s="90">
        <v>1.1000000000000001</v>
      </c>
      <c r="T151" s="89">
        <v>1</v>
      </c>
      <c r="U151" s="89">
        <v>1.25</v>
      </c>
      <c r="V151" s="89">
        <v>1.1000000000000001</v>
      </c>
      <c r="W151" s="89">
        <v>5.0000000000000001E-3</v>
      </c>
      <c r="X151" s="89">
        <v>0.03</v>
      </c>
      <c r="Y151" s="89">
        <v>0.13</v>
      </c>
      <c r="Z151" s="89">
        <v>0.02</v>
      </c>
      <c r="AA151" s="89">
        <v>0.28999999999999998</v>
      </c>
      <c r="AB151" s="89">
        <v>0</v>
      </c>
      <c r="AC151" s="89">
        <v>0.33</v>
      </c>
      <c r="AD151" s="89">
        <v>0</v>
      </c>
      <c r="AE151" s="89">
        <v>0.28999999999999998</v>
      </c>
      <c r="AF151" s="89">
        <v>0</v>
      </c>
      <c r="AG151" s="89">
        <v>0.17</v>
      </c>
      <c r="AH151" s="89">
        <v>0</v>
      </c>
      <c r="AI151" s="89">
        <v>0.16239999999999999</v>
      </c>
      <c r="AJ151" s="89">
        <v>0</v>
      </c>
      <c r="AK151" s="89">
        <v>0.13</v>
      </c>
      <c r="AL151" s="89">
        <v>3.5000000000000003E-2</v>
      </c>
      <c r="AM151" s="89">
        <v>-6.0499999999999998E-2</v>
      </c>
      <c r="AN151" s="89">
        <v>2.1999999999999999E-2</v>
      </c>
      <c r="AO151" s="89">
        <v>-0.55300000000000005</v>
      </c>
      <c r="AP151" s="89">
        <v>0.155</v>
      </c>
      <c r="AQ151" s="89">
        <v>-4.0500000000000001E-2</v>
      </c>
      <c r="AR151" s="89">
        <v>5.0000000000000001E-3</v>
      </c>
      <c r="AS151" s="89">
        <v>-0.1525</v>
      </c>
      <c r="AT151" s="89">
        <v>-5.0000000000000001E-3</v>
      </c>
      <c r="AU151" s="89">
        <v>-0.1125</v>
      </c>
      <c r="AV151" s="89">
        <v>-0.01</v>
      </c>
      <c r="AW151" s="89">
        <v>-4.0500000000000001E-2</v>
      </c>
      <c r="AX151" s="89">
        <v>2.1999999999999999E-2</v>
      </c>
      <c r="AY151" s="90">
        <v>0.155</v>
      </c>
      <c r="AZ151" s="90">
        <v>0</v>
      </c>
      <c r="BA151" s="90">
        <v>-0.13</v>
      </c>
      <c r="BB151" s="89">
        <v>5.0000000000000001E-3</v>
      </c>
      <c r="BC151" s="89">
        <v>-7.0000000000000007E-2</v>
      </c>
      <c r="BD151" s="89">
        <v>5.0000000000000001E-3</v>
      </c>
      <c r="BE151" s="89">
        <v>0.35</v>
      </c>
      <c r="BF151" s="89">
        <v>0</v>
      </c>
      <c r="BG151" s="89">
        <v>-0.06</v>
      </c>
      <c r="BH151" s="89">
        <v>0</v>
      </c>
      <c r="BI151" s="89">
        <v>0</v>
      </c>
      <c r="BJ151" s="62">
        <v>0.03</v>
      </c>
      <c r="BK151" s="62">
        <v>0.35</v>
      </c>
      <c r="BL151" s="62">
        <v>0</v>
      </c>
      <c r="BM151" s="62">
        <v>0.35799999999999998</v>
      </c>
      <c r="BN151" s="62">
        <v>0</v>
      </c>
      <c r="BO151" s="62">
        <v>-0.26</v>
      </c>
      <c r="BP151" s="62">
        <v>0</v>
      </c>
      <c r="BQ151" s="62">
        <v>0.5</v>
      </c>
      <c r="BR151" s="62">
        <v>0</v>
      </c>
      <c r="BS151" s="62">
        <v>-7.0000000000000007E-2</v>
      </c>
      <c r="BT151" s="62">
        <v>5.0000000000000001E-3</v>
      </c>
      <c r="BU151" s="62">
        <v>0.3</v>
      </c>
      <c r="BV151" s="62">
        <v>0</v>
      </c>
      <c r="BW151" s="62">
        <v>0</v>
      </c>
      <c r="BX151" s="62">
        <v>0</v>
      </c>
      <c r="BY151" s="62">
        <v>-1.0999999999999999E-2</v>
      </c>
      <c r="BZ151" s="62">
        <v>5.7500000000000002E-2</v>
      </c>
      <c r="CA151" s="62">
        <v>0.215</v>
      </c>
      <c r="CB151" s="62">
        <v>5.0000000000000001E-3</v>
      </c>
      <c r="CC151" s="62">
        <v>-1.0999999999999999E-2</v>
      </c>
      <c r="CD151" s="62">
        <v>3.7000000000000002E-3</v>
      </c>
      <c r="CE151" s="62">
        <v>2.5000000000000001E-3</v>
      </c>
      <c r="CF151" s="62">
        <v>2.5000000000000001E-3</v>
      </c>
      <c r="CG151" s="62">
        <v>-1.0999999999999999E-2</v>
      </c>
      <c r="CH151" s="62">
        <v>3.7000000000000002E-3</v>
      </c>
      <c r="CI151" s="62">
        <v>-0.1065</v>
      </c>
      <c r="CJ151" s="62">
        <v>2.5000000000000001E-3</v>
      </c>
      <c r="CK151" s="62">
        <v>7.4999999999999997E-2</v>
      </c>
      <c r="CL151" s="62">
        <v>2.5000000000000001E-3</v>
      </c>
      <c r="CM151" s="62">
        <v>-6.4000000000000001E-2</v>
      </c>
      <c r="CN151" s="62">
        <v>0.01</v>
      </c>
      <c r="CO151" s="62">
        <v>-8.9999989999999998E-3</v>
      </c>
      <c r="CP151" s="62">
        <v>7.4999999999999997E-3</v>
      </c>
      <c r="CQ151" s="62">
        <v>3.1E-2</v>
      </c>
      <c r="CR151" s="62">
        <v>1.2500000000000001E-2</v>
      </c>
      <c r="CS151" s="62">
        <v>0.98</v>
      </c>
      <c r="CT151" s="62">
        <v>0.25</v>
      </c>
      <c r="CU151" s="62">
        <v>0.35799999999999998</v>
      </c>
      <c r="CV151" s="62">
        <v>0</v>
      </c>
      <c r="CW151" s="62">
        <v>0.28999999999999998</v>
      </c>
      <c r="CX151" s="62">
        <v>0.02</v>
      </c>
      <c r="CY151" s="62">
        <v>-0.52</v>
      </c>
      <c r="CZ151" s="62">
        <v>0</v>
      </c>
      <c r="DA151" s="62">
        <v>-0.34</v>
      </c>
      <c r="DB151" s="62">
        <v>0</v>
      </c>
      <c r="DC151" s="62">
        <v>0.4</v>
      </c>
      <c r="DE151" s="62">
        <v>-3.9E-2</v>
      </c>
      <c r="DF151" s="62">
        <v>1.2500000000000001E-2</v>
      </c>
      <c r="DG151" s="62">
        <v>1.2E-2</v>
      </c>
      <c r="DH151" s="62">
        <v>7.4999999999999997E-3</v>
      </c>
      <c r="DI151" s="62">
        <v>-5.4999999999999997E-3</v>
      </c>
      <c r="DJ151" s="62">
        <v>2.5000000000000001E-3</v>
      </c>
      <c r="DK151" s="62">
        <v>-7.1499999999999994E-2</v>
      </c>
      <c r="DL151" s="62">
        <v>2.5000000000000001E-3</v>
      </c>
      <c r="DM151" s="62">
        <v>-5.3499999999999999E-2</v>
      </c>
      <c r="DN151" s="62">
        <v>2.5000000000000001E-3</v>
      </c>
      <c r="DO151" s="62">
        <v>-7.5999999999999998E-2</v>
      </c>
      <c r="DP151" s="62">
        <v>2.5000000000000001E-3</v>
      </c>
      <c r="DQ151" s="62">
        <v>-0.10150000000000001</v>
      </c>
      <c r="DR151" s="62">
        <v>-5.0000000000000001E-3</v>
      </c>
      <c r="DS151" s="62">
        <v>0.77</v>
      </c>
      <c r="DT151" s="62">
        <v>0.05</v>
      </c>
      <c r="DU151" s="62">
        <v>0</v>
      </c>
      <c r="DV151" s="62">
        <v>0</v>
      </c>
    </row>
    <row r="152" spans="4:126" x14ac:dyDescent="0.25">
      <c r="D152" s="91">
        <v>41275</v>
      </c>
      <c r="F152" s="89">
        <v>4.3244999999999996</v>
      </c>
      <c r="G152" s="90">
        <v>6.2464359690280503E-2</v>
      </c>
      <c r="H152" s="89">
        <v>0.17</v>
      </c>
      <c r="I152" s="89">
        <v>1</v>
      </c>
      <c r="J152" s="89">
        <v>1.05</v>
      </c>
      <c r="K152" s="89">
        <v>1</v>
      </c>
      <c r="L152" s="87">
        <v>1</v>
      </c>
      <c r="M152" s="87">
        <v>1.1499999999999999</v>
      </c>
      <c r="N152" s="89">
        <v>1.45</v>
      </c>
      <c r="O152" s="89">
        <v>1.05</v>
      </c>
      <c r="P152" s="89">
        <v>1</v>
      </c>
      <c r="Q152" s="89">
        <v>1.35</v>
      </c>
      <c r="R152" s="90">
        <v>1</v>
      </c>
      <c r="S152" s="90">
        <v>1.1000000000000001</v>
      </c>
      <c r="T152" s="89">
        <v>1</v>
      </c>
      <c r="U152" s="89">
        <v>1.45</v>
      </c>
      <c r="V152" s="89">
        <v>1.1000000000000001</v>
      </c>
      <c r="W152" s="89">
        <v>2.5000000000000001E-2</v>
      </c>
      <c r="X152" s="89">
        <v>0.03</v>
      </c>
      <c r="Y152" s="89">
        <v>0.13</v>
      </c>
      <c r="Z152" s="89">
        <v>0.02</v>
      </c>
      <c r="AA152" s="89">
        <v>0.28999999999999998</v>
      </c>
      <c r="AB152" s="89">
        <v>0</v>
      </c>
      <c r="AC152" s="89">
        <v>0.33</v>
      </c>
      <c r="AD152" s="89">
        <v>0</v>
      </c>
      <c r="AE152" s="89">
        <v>0.28999999999999998</v>
      </c>
      <c r="AF152" s="89">
        <v>0</v>
      </c>
      <c r="AG152" s="89">
        <v>0.17</v>
      </c>
      <c r="AH152" s="89">
        <v>0</v>
      </c>
      <c r="AI152" s="89">
        <v>0.16439999999999999</v>
      </c>
      <c r="AJ152" s="89">
        <v>0</v>
      </c>
      <c r="AK152" s="89">
        <v>0.13</v>
      </c>
      <c r="AL152" s="89">
        <v>3.5000000000000003E-2</v>
      </c>
      <c r="AM152" s="89">
        <v>-6.0499999999999998E-2</v>
      </c>
      <c r="AN152" s="89">
        <v>2.1999999999999999E-2</v>
      </c>
      <c r="AO152" s="89">
        <v>-0.55300000000000005</v>
      </c>
      <c r="AP152" s="89">
        <v>0.155</v>
      </c>
      <c r="AQ152" s="89">
        <v>-4.0500000000000001E-2</v>
      </c>
      <c r="AR152" s="89">
        <v>5.0000000000000001E-3</v>
      </c>
      <c r="AS152" s="89">
        <v>-0.155</v>
      </c>
      <c r="AT152" s="89">
        <v>-5.0000000000000001E-3</v>
      </c>
      <c r="AU152" s="89">
        <v>-0.115</v>
      </c>
      <c r="AV152" s="89">
        <v>-0.01</v>
      </c>
      <c r="AW152" s="89">
        <v>-4.0500000000000001E-2</v>
      </c>
      <c r="AX152" s="89">
        <v>2.1999999999999999E-2</v>
      </c>
      <c r="AY152" s="90">
        <v>0.155</v>
      </c>
      <c r="AZ152" s="90">
        <v>0</v>
      </c>
      <c r="BA152" s="90">
        <v>-0.13</v>
      </c>
      <c r="BB152" s="89">
        <v>5.0000000000000001E-3</v>
      </c>
      <c r="BC152" s="89">
        <v>-7.0000000000000007E-2</v>
      </c>
      <c r="BD152" s="89">
        <v>5.0000000000000001E-3</v>
      </c>
      <c r="BE152" s="89">
        <v>0.35</v>
      </c>
      <c r="BF152" s="89">
        <v>0</v>
      </c>
      <c r="BG152" s="89">
        <v>-0.06</v>
      </c>
      <c r="BH152" s="89">
        <v>0</v>
      </c>
      <c r="BI152" s="89">
        <v>0</v>
      </c>
      <c r="BJ152" s="62">
        <v>0.03</v>
      </c>
      <c r="BK152" s="62">
        <v>0.35</v>
      </c>
      <c r="BL152" s="62">
        <v>0</v>
      </c>
      <c r="BM152" s="62">
        <v>0.42799999999999999</v>
      </c>
      <c r="BN152" s="62">
        <v>0</v>
      </c>
      <c r="BO152" s="62">
        <v>-0.26</v>
      </c>
      <c r="BP152" s="62">
        <v>0</v>
      </c>
      <c r="BQ152" s="62">
        <v>0.5</v>
      </c>
      <c r="BR152" s="62">
        <v>0</v>
      </c>
      <c r="BS152" s="62">
        <v>-7.0000000000000007E-2</v>
      </c>
      <c r="BT152" s="62">
        <v>5.0000000000000001E-3</v>
      </c>
      <c r="BU152" s="62">
        <v>0.3</v>
      </c>
      <c r="BV152" s="62">
        <v>0</v>
      </c>
      <c r="BW152" s="62">
        <v>0</v>
      </c>
      <c r="BX152" s="62">
        <v>0</v>
      </c>
      <c r="BY152" s="62">
        <v>-8.9999989999999998E-3</v>
      </c>
      <c r="BZ152" s="62">
        <v>5.7500000000000002E-2</v>
      </c>
      <c r="CA152" s="62">
        <v>0.23499999999999999</v>
      </c>
      <c r="CB152" s="62">
        <v>5.0000000000000001E-3</v>
      </c>
      <c r="CC152" s="62">
        <v>-8.9999989999999998E-3</v>
      </c>
      <c r="CD152" s="62">
        <v>3.7000000000000002E-3</v>
      </c>
      <c r="CE152" s="62">
        <v>2.5000000000000001E-3</v>
      </c>
      <c r="CF152" s="62">
        <v>2.5000000000000001E-3</v>
      </c>
      <c r="CG152" s="62">
        <v>-8.9999989999999998E-3</v>
      </c>
      <c r="CH152" s="62">
        <v>3.7000000000000002E-3</v>
      </c>
      <c r="CI152" s="62">
        <v>-0.1045</v>
      </c>
      <c r="CJ152" s="62">
        <v>2.5000000000000001E-3</v>
      </c>
      <c r="CK152" s="62">
        <v>7.4999999999999997E-2</v>
      </c>
      <c r="CL152" s="62">
        <v>2.5000000000000001E-3</v>
      </c>
      <c r="CM152" s="62">
        <v>-6.4000000000000001E-2</v>
      </c>
      <c r="CN152" s="62">
        <v>0.01</v>
      </c>
      <c r="CO152" s="62">
        <v>-8.9999989999999998E-3</v>
      </c>
      <c r="CP152" s="62">
        <v>7.4999999999999997E-3</v>
      </c>
      <c r="CQ152" s="62">
        <v>3.1E-2</v>
      </c>
      <c r="CR152" s="62">
        <v>1.2500000000000001E-2</v>
      </c>
      <c r="CS152" s="62">
        <v>1.6</v>
      </c>
      <c r="CT152" s="62">
        <v>0.45</v>
      </c>
      <c r="CU152" s="62">
        <v>0.42799999999999999</v>
      </c>
      <c r="CV152" s="62">
        <v>0</v>
      </c>
      <c r="CW152" s="62">
        <v>0.34</v>
      </c>
      <c r="CX152" s="62">
        <v>0.02</v>
      </c>
      <c r="CY152" s="62">
        <v>-0.52</v>
      </c>
      <c r="CZ152" s="62">
        <v>0</v>
      </c>
      <c r="DA152" s="62">
        <v>-0.34</v>
      </c>
      <c r="DB152" s="62">
        <v>0</v>
      </c>
      <c r="DC152" s="62">
        <v>0.35</v>
      </c>
      <c r="DE152" s="62">
        <v>-3.9E-2</v>
      </c>
      <c r="DF152" s="62">
        <v>1.2500000000000001E-2</v>
      </c>
      <c r="DG152" s="62">
        <v>1.2E-2</v>
      </c>
      <c r="DH152" s="62">
        <v>7.4999999999999997E-3</v>
      </c>
      <c r="DI152" s="62">
        <v>-3.0000000000000001E-3</v>
      </c>
      <c r="DJ152" s="62">
        <v>2.5000000000000001E-3</v>
      </c>
      <c r="DK152" s="62">
        <v>-8.6499999999999994E-2</v>
      </c>
      <c r="DL152" s="62">
        <v>2.5000000000000001E-3</v>
      </c>
      <c r="DM152" s="62">
        <v>-5.3499999999999999E-2</v>
      </c>
      <c r="DN152" s="62">
        <v>2.5000000000000001E-3</v>
      </c>
      <c r="DO152" s="62">
        <v>-7.5999999999999998E-2</v>
      </c>
      <c r="DP152" s="62">
        <v>2.5000000000000001E-3</v>
      </c>
      <c r="DQ152" s="62">
        <v>-0.11650000000000001</v>
      </c>
      <c r="DR152" s="62">
        <v>-5.0000000000000001E-3</v>
      </c>
      <c r="DS152" s="62">
        <v>1.04</v>
      </c>
      <c r="DT152" s="62">
        <v>0.05</v>
      </c>
      <c r="DU152" s="62">
        <v>0</v>
      </c>
      <c r="DV152" s="62">
        <v>0</v>
      </c>
    </row>
    <row r="153" spans="4:126" x14ac:dyDescent="0.25">
      <c r="D153" s="91">
        <v>41306</v>
      </c>
      <c r="F153" s="89">
        <v>4.2394999999999996</v>
      </c>
      <c r="G153" s="90">
        <v>6.2504903780929294E-2</v>
      </c>
      <c r="H153" s="89">
        <v>0.17</v>
      </c>
      <c r="I153" s="89">
        <v>1</v>
      </c>
      <c r="J153" s="89">
        <v>1.05</v>
      </c>
      <c r="K153" s="89">
        <v>1</v>
      </c>
      <c r="L153" s="87">
        <v>1</v>
      </c>
      <c r="M153" s="87">
        <v>1.1499999999999999</v>
      </c>
      <c r="N153" s="89">
        <v>1.45</v>
      </c>
      <c r="O153" s="89">
        <v>1.05</v>
      </c>
      <c r="P153" s="89">
        <v>1</v>
      </c>
      <c r="Q153" s="89">
        <v>1.35</v>
      </c>
      <c r="R153" s="90">
        <v>1</v>
      </c>
      <c r="S153" s="90">
        <v>1.1000000000000001</v>
      </c>
      <c r="T153" s="89">
        <v>1</v>
      </c>
      <c r="U153" s="89">
        <v>1.45</v>
      </c>
      <c r="V153" s="89">
        <v>1.1000000000000001</v>
      </c>
      <c r="W153" s="89">
        <v>0.02</v>
      </c>
      <c r="X153" s="89">
        <v>0.03</v>
      </c>
      <c r="Y153" s="89">
        <v>0.13</v>
      </c>
      <c r="Z153" s="89">
        <v>0.02</v>
      </c>
      <c r="AA153" s="89">
        <v>0.28999999999999998</v>
      </c>
      <c r="AB153" s="89">
        <v>0</v>
      </c>
      <c r="AC153" s="89">
        <v>0.33</v>
      </c>
      <c r="AD153" s="89">
        <v>0</v>
      </c>
      <c r="AE153" s="89">
        <v>0.28999999999999998</v>
      </c>
      <c r="AF153" s="89">
        <v>0</v>
      </c>
      <c r="AG153" s="89">
        <v>0.17</v>
      </c>
      <c r="AH153" s="89">
        <v>0</v>
      </c>
      <c r="AI153" s="89">
        <v>0.16184000000000001</v>
      </c>
      <c r="AJ153" s="89">
        <v>0</v>
      </c>
      <c r="AK153" s="89">
        <v>0.13</v>
      </c>
      <c r="AL153" s="89">
        <v>3.5000000000000003E-2</v>
      </c>
      <c r="AM153" s="89">
        <v>-6.0499999999999998E-2</v>
      </c>
      <c r="AN153" s="89">
        <v>2.1999999999999999E-2</v>
      </c>
      <c r="AO153" s="89">
        <v>-0.55300000000000005</v>
      </c>
      <c r="AP153" s="89">
        <v>0.155</v>
      </c>
      <c r="AQ153" s="89">
        <v>-4.0500000000000001E-2</v>
      </c>
      <c r="AR153" s="89">
        <v>5.0000000000000001E-3</v>
      </c>
      <c r="AS153" s="89">
        <v>-0.14749999999999999</v>
      </c>
      <c r="AT153" s="89">
        <v>-5.0000000000000001E-3</v>
      </c>
      <c r="AU153" s="89">
        <v>-0.1075</v>
      </c>
      <c r="AV153" s="89">
        <v>-0.01</v>
      </c>
      <c r="AW153" s="89">
        <v>-4.0500000000000001E-2</v>
      </c>
      <c r="AX153" s="89">
        <v>2.1999999999999999E-2</v>
      </c>
      <c r="AY153" s="90">
        <v>0.155</v>
      </c>
      <c r="AZ153" s="90">
        <v>0</v>
      </c>
      <c r="BA153" s="90">
        <v>-0.13</v>
      </c>
      <c r="BB153" s="89">
        <v>5.0000000000000001E-3</v>
      </c>
      <c r="BC153" s="89">
        <v>-7.0000000000000007E-2</v>
      </c>
      <c r="BD153" s="89">
        <v>5.0000000000000001E-3</v>
      </c>
      <c r="BE153" s="89">
        <v>0.35</v>
      </c>
      <c r="BF153" s="89">
        <v>0</v>
      </c>
      <c r="BG153" s="89">
        <v>-0.06</v>
      </c>
      <c r="BH153" s="89">
        <v>0</v>
      </c>
      <c r="BI153" s="89">
        <v>0</v>
      </c>
      <c r="BJ153" s="62">
        <v>0.03</v>
      </c>
      <c r="BK153" s="62">
        <v>0.35</v>
      </c>
      <c r="BL153" s="62">
        <v>0</v>
      </c>
      <c r="BM153" s="62">
        <v>0.29799999999999999</v>
      </c>
      <c r="BN153" s="62">
        <v>0</v>
      </c>
      <c r="BO153" s="62">
        <v>-0.26</v>
      </c>
      <c r="BP153" s="62">
        <v>0</v>
      </c>
      <c r="BQ153" s="62">
        <v>0.5</v>
      </c>
      <c r="BR153" s="62">
        <v>0</v>
      </c>
      <c r="BS153" s="62">
        <v>-7.0000000000000007E-2</v>
      </c>
      <c r="BT153" s="62">
        <v>5.0000000000000001E-3</v>
      </c>
      <c r="BU153" s="62">
        <v>0.3</v>
      </c>
      <c r="BV153" s="62">
        <v>0</v>
      </c>
      <c r="BW153" s="62">
        <v>0</v>
      </c>
      <c r="BX153" s="62">
        <v>0</v>
      </c>
      <c r="BY153" s="62">
        <v>-8.9999989999999998E-3</v>
      </c>
      <c r="BZ153" s="62">
        <v>5.7500000000000002E-2</v>
      </c>
      <c r="CA153" s="62">
        <v>0.23499999999999999</v>
      </c>
      <c r="CB153" s="62">
        <v>5.0000000000000001E-3</v>
      </c>
      <c r="CC153" s="62">
        <v>-8.9999989999999998E-3</v>
      </c>
      <c r="CD153" s="62">
        <v>3.7000000000000002E-3</v>
      </c>
      <c r="CE153" s="62">
        <v>2.5000000000000001E-3</v>
      </c>
      <c r="CF153" s="62">
        <v>2.5000000000000001E-3</v>
      </c>
      <c r="CG153" s="62">
        <v>-8.9999989999999998E-3</v>
      </c>
      <c r="CH153" s="62">
        <v>3.7000000000000002E-3</v>
      </c>
      <c r="CI153" s="62">
        <v>-0.1045</v>
      </c>
      <c r="CJ153" s="62">
        <v>2.5000000000000001E-3</v>
      </c>
      <c r="CK153" s="62">
        <v>7.4999999999999997E-2</v>
      </c>
      <c r="CL153" s="62">
        <v>2.5000000000000001E-3</v>
      </c>
      <c r="CM153" s="62">
        <v>-6.4000000000000001E-2</v>
      </c>
      <c r="CN153" s="62">
        <v>0.01</v>
      </c>
      <c r="CO153" s="62">
        <v>-8.9999989999999998E-3</v>
      </c>
      <c r="CP153" s="62">
        <v>7.4999999999999997E-3</v>
      </c>
      <c r="CQ153" s="62">
        <v>3.1E-2</v>
      </c>
      <c r="CR153" s="62">
        <v>1.2500000000000001E-2</v>
      </c>
      <c r="CS153" s="62">
        <v>1.6</v>
      </c>
      <c r="CT153" s="62">
        <v>0.45</v>
      </c>
      <c r="CU153" s="62">
        <v>0.29799999999999999</v>
      </c>
      <c r="CV153" s="62">
        <v>0</v>
      </c>
      <c r="CW153" s="62">
        <v>0.34</v>
      </c>
      <c r="CX153" s="62">
        <v>0.02</v>
      </c>
      <c r="CY153" s="62">
        <v>-0.52</v>
      </c>
      <c r="CZ153" s="62">
        <v>0</v>
      </c>
      <c r="DA153" s="62">
        <v>-0.34</v>
      </c>
      <c r="DB153" s="62">
        <v>0</v>
      </c>
      <c r="DC153" s="62">
        <v>0.35</v>
      </c>
      <c r="DE153" s="62">
        <v>-3.9E-2</v>
      </c>
      <c r="DF153" s="62">
        <v>1.2500000000000001E-2</v>
      </c>
      <c r="DG153" s="62">
        <v>1.2E-2</v>
      </c>
      <c r="DH153" s="62">
        <v>7.4999999999999997E-3</v>
      </c>
      <c r="DI153" s="62">
        <v>-3.0000000000000001E-3</v>
      </c>
      <c r="DJ153" s="62">
        <v>2.5000000000000001E-3</v>
      </c>
      <c r="DK153" s="62">
        <v>-7.6499999999999999E-2</v>
      </c>
      <c r="DL153" s="62">
        <v>2.5000000000000001E-3</v>
      </c>
      <c r="DM153" s="62">
        <v>-5.3499999999999999E-2</v>
      </c>
      <c r="DN153" s="62">
        <v>2.5000000000000001E-3</v>
      </c>
      <c r="DO153" s="62">
        <v>-7.5999999999999998E-2</v>
      </c>
      <c r="DP153" s="62">
        <v>2.5000000000000001E-3</v>
      </c>
      <c r="DQ153" s="62">
        <v>-0.1065</v>
      </c>
      <c r="DR153" s="62">
        <v>-5.0000000000000001E-3</v>
      </c>
      <c r="DS153" s="62">
        <v>1.04</v>
      </c>
      <c r="DT153" s="62">
        <v>0.05</v>
      </c>
      <c r="DU153" s="62">
        <v>0</v>
      </c>
      <c r="DV153" s="62">
        <v>0</v>
      </c>
    </row>
    <row r="154" spans="4:126" x14ac:dyDescent="0.25">
      <c r="D154" s="91">
        <v>41334</v>
      </c>
      <c r="F154" s="89">
        <v>4.1094999999999997</v>
      </c>
      <c r="G154" s="90">
        <v>6.2541524250371502E-2</v>
      </c>
      <c r="H154" s="89">
        <v>0.17</v>
      </c>
      <c r="I154" s="89">
        <v>0.75</v>
      </c>
      <c r="J154" s="89">
        <v>0.8</v>
      </c>
      <c r="K154" s="89">
        <v>0.75</v>
      </c>
      <c r="L154" s="87">
        <v>0.75</v>
      </c>
      <c r="M154" s="87">
        <v>0.85</v>
      </c>
      <c r="N154" s="89">
        <v>1</v>
      </c>
      <c r="O154" s="89">
        <v>0.75</v>
      </c>
      <c r="P154" s="89">
        <v>0.75</v>
      </c>
      <c r="Q154" s="89">
        <v>0.95</v>
      </c>
      <c r="R154" s="90">
        <v>0.75</v>
      </c>
      <c r="S154" s="90">
        <v>0.75</v>
      </c>
      <c r="T154" s="89">
        <v>0.75</v>
      </c>
      <c r="U154" s="89">
        <v>1</v>
      </c>
      <c r="V154" s="89">
        <v>0.85</v>
      </c>
      <c r="W154" s="89">
        <v>0</v>
      </c>
      <c r="X154" s="89">
        <v>0.03</v>
      </c>
      <c r="Y154" s="89">
        <v>0.13</v>
      </c>
      <c r="Z154" s="89">
        <v>0.02</v>
      </c>
      <c r="AA154" s="89">
        <v>0.28999999999999998</v>
      </c>
      <c r="AB154" s="89">
        <v>0</v>
      </c>
      <c r="AC154" s="89">
        <v>0.33</v>
      </c>
      <c r="AD154" s="89">
        <v>0</v>
      </c>
      <c r="AE154" s="89">
        <v>0.28999999999999998</v>
      </c>
      <c r="AF154" s="89">
        <v>0</v>
      </c>
      <c r="AG154" s="89">
        <v>0.17</v>
      </c>
      <c r="AH154" s="89">
        <v>0</v>
      </c>
      <c r="AI154" s="89">
        <v>0.15767999999999999</v>
      </c>
      <c r="AJ154" s="89">
        <v>0</v>
      </c>
      <c r="AK154" s="89">
        <v>0.13</v>
      </c>
      <c r="AL154" s="89">
        <v>3.5000000000000003E-2</v>
      </c>
      <c r="AM154" s="89">
        <v>-6.0499999999999998E-2</v>
      </c>
      <c r="AN154" s="89">
        <v>2.1999999999999999E-2</v>
      </c>
      <c r="AO154" s="89">
        <v>-0.55300000000000005</v>
      </c>
      <c r="AP154" s="89">
        <v>0.155</v>
      </c>
      <c r="AQ154" s="89">
        <v>-4.0500000000000001E-2</v>
      </c>
      <c r="AR154" s="89">
        <v>5.0000000000000001E-3</v>
      </c>
      <c r="AS154" s="89">
        <v>-0.14499999999999999</v>
      </c>
      <c r="AT154" s="89">
        <v>-5.0000000000000001E-3</v>
      </c>
      <c r="AU154" s="89">
        <v>-0.105</v>
      </c>
      <c r="AV154" s="89">
        <v>-0.01</v>
      </c>
      <c r="AW154" s="89">
        <v>-4.0500000000000001E-2</v>
      </c>
      <c r="AX154" s="89">
        <v>2.1999999999999999E-2</v>
      </c>
      <c r="AY154" s="90">
        <v>0.155</v>
      </c>
      <c r="AZ154" s="90">
        <v>0</v>
      </c>
      <c r="BA154" s="90">
        <v>-0.13</v>
      </c>
      <c r="BB154" s="89">
        <v>5.0000000000000001E-3</v>
      </c>
      <c r="BC154" s="89">
        <v>-7.0000000000000007E-2</v>
      </c>
      <c r="BD154" s="89">
        <v>5.0000000000000001E-3</v>
      </c>
      <c r="BE154" s="89">
        <v>0.35</v>
      </c>
      <c r="BF154" s="89">
        <v>0</v>
      </c>
      <c r="BG154" s="89">
        <v>-0.06</v>
      </c>
      <c r="BH154" s="89">
        <v>0</v>
      </c>
      <c r="BI154" s="89">
        <v>0</v>
      </c>
      <c r="BJ154" s="62">
        <v>0.03</v>
      </c>
      <c r="BK154" s="62">
        <v>0.35</v>
      </c>
      <c r="BL154" s="62">
        <v>0</v>
      </c>
      <c r="BM154" s="62">
        <v>0.11799999999999999</v>
      </c>
      <c r="BN154" s="62">
        <v>0</v>
      </c>
      <c r="BO154" s="62">
        <v>-0.26</v>
      </c>
      <c r="BP154" s="62">
        <v>0</v>
      </c>
      <c r="BQ154" s="62">
        <v>0.5</v>
      </c>
      <c r="BR154" s="62">
        <v>0</v>
      </c>
      <c r="BS154" s="62">
        <v>-7.0000000000000007E-2</v>
      </c>
      <c r="BT154" s="62">
        <v>5.0000000000000001E-3</v>
      </c>
      <c r="BU154" s="62">
        <v>0.3</v>
      </c>
      <c r="BV154" s="62">
        <v>0</v>
      </c>
      <c r="BW154" s="62">
        <v>0</v>
      </c>
      <c r="BX154" s="62">
        <v>0</v>
      </c>
      <c r="BY154" s="62">
        <v>-8.9999989999999998E-3</v>
      </c>
      <c r="BZ154" s="62">
        <v>5.7500000000000002E-2</v>
      </c>
      <c r="CA154" s="62">
        <v>0.19500000000000001</v>
      </c>
      <c r="CB154" s="62">
        <v>5.0000000000000001E-3</v>
      </c>
      <c r="CC154" s="62">
        <v>-8.9999989999999998E-3</v>
      </c>
      <c r="CD154" s="62">
        <v>3.7000000000000002E-3</v>
      </c>
      <c r="CE154" s="62">
        <v>2.5000000000000001E-3</v>
      </c>
      <c r="CF154" s="62">
        <v>2.5000000000000001E-3</v>
      </c>
      <c r="CG154" s="62">
        <v>-8.9999989999999998E-3</v>
      </c>
      <c r="CH154" s="62">
        <v>3.7000000000000002E-3</v>
      </c>
      <c r="CI154" s="62">
        <v>-0.1045</v>
      </c>
      <c r="CJ154" s="62">
        <v>2.5000000000000001E-3</v>
      </c>
      <c r="CK154" s="62">
        <v>7.4999999999999997E-2</v>
      </c>
      <c r="CL154" s="62">
        <v>2.5000000000000001E-3</v>
      </c>
      <c r="CM154" s="62">
        <v>-6.4000000000000001E-2</v>
      </c>
      <c r="CN154" s="62">
        <v>0.01</v>
      </c>
      <c r="CO154" s="62">
        <v>-8.9999989999999998E-3</v>
      </c>
      <c r="CP154" s="62">
        <v>7.4999999999999997E-3</v>
      </c>
      <c r="CQ154" s="62">
        <v>3.1E-2</v>
      </c>
      <c r="CR154" s="62">
        <v>1.2500000000000001E-2</v>
      </c>
      <c r="CS154" s="62">
        <v>0.64</v>
      </c>
      <c r="CT154" s="62">
        <v>0.1</v>
      </c>
      <c r="CU154" s="62">
        <v>0.11799999999999999</v>
      </c>
      <c r="CV154" s="62">
        <v>0</v>
      </c>
      <c r="CW154" s="62">
        <v>0.28999999999999998</v>
      </c>
      <c r="CX154" s="62">
        <v>0.02</v>
      </c>
      <c r="CY154" s="62">
        <v>-0.52</v>
      </c>
      <c r="CZ154" s="62">
        <v>0</v>
      </c>
      <c r="DA154" s="62">
        <v>-0.34</v>
      </c>
      <c r="DB154" s="62">
        <v>0</v>
      </c>
      <c r="DC154" s="62">
        <v>0.4</v>
      </c>
      <c r="DE154" s="62">
        <v>-3.9E-2</v>
      </c>
      <c r="DF154" s="62">
        <v>1.2500000000000001E-2</v>
      </c>
      <c r="DG154" s="62">
        <v>1.7000000000000001E-2</v>
      </c>
      <c r="DH154" s="62">
        <v>7.4999999999999997E-3</v>
      </c>
      <c r="DI154" s="62">
        <v>2E-3</v>
      </c>
      <c r="DJ154" s="62">
        <v>2.5000000000000001E-3</v>
      </c>
      <c r="DK154" s="62">
        <v>-6.6500000000000004E-2</v>
      </c>
      <c r="DL154" s="62">
        <v>2.5000000000000001E-3</v>
      </c>
      <c r="DM154" s="62">
        <v>-5.3499999999999999E-2</v>
      </c>
      <c r="DN154" s="62">
        <v>2.5000000000000001E-3</v>
      </c>
      <c r="DO154" s="62">
        <v>-7.5999999999999998E-2</v>
      </c>
      <c r="DP154" s="62">
        <v>2.5000000000000001E-3</v>
      </c>
      <c r="DQ154" s="62">
        <v>-9.6500000000000002E-2</v>
      </c>
      <c r="DR154" s="62">
        <v>-5.0000000000000001E-3</v>
      </c>
      <c r="DS154" s="62">
        <v>0.54</v>
      </c>
      <c r="DT154" s="62">
        <v>0.05</v>
      </c>
      <c r="DU154" s="62">
        <v>0</v>
      </c>
      <c r="DV154" s="62">
        <v>0</v>
      </c>
    </row>
    <row r="155" spans="4:126" x14ac:dyDescent="0.25">
      <c r="D155" s="91">
        <v>41365</v>
      </c>
      <c r="F155" s="89">
        <v>3.9245000000000001</v>
      </c>
      <c r="G155" s="90">
        <v>6.2582068342058594E-2</v>
      </c>
      <c r="H155" s="89">
        <v>0.17</v>
      </c>
      <c r="I155" s="89">
        <v>0.4</v>
      </c>
      <c r="J155" s="89">
        <v>0.45</v>
      </c>
      <c r="K155" s="89">
        <v>0.4</v>
      </c>
      <c r="L155" s="87">
        <v>0.45</v>
      </c>
      <c r="M155" s="87">
        <v>0.45</v>
      </c>
      <c r="N155" s="89">
        <v>0.45</v>
      </c>
      <c r="O155" s="89">
        <v>0.45</v>
      </c>
      <c r="P155" s="89">
        <v>0.45</v>
      </c>
      <c r="Q155" s="89">
        <v>0.5</v>
      </c>
      <c r="R155" s="90">
        <v>0.4</v>
      </c>
      <c r="S155" s="90">
        <v>0.45</v>
      </c>
      <c r="T155" s="89">
        <v>0.4</v>
      </c>
      <c r="U155" s="89">
        <v>0.45</v>
      </c>
      <c r="V155" s="89">
        <v>0.55000000000000004</v>
      </c>
      <c r="W155" s="89">
        <v>-0.09</v>
      </c>
      <c r="X155" s="89">
        <v>0</v>
      </c>
      <c r="Y155" s="89">
        <v>0.04</v>
      </c>
      <c r="Z155" s="89">
        <v>5.0000000000000001E-3</v>
      </c>
      <c r="AA155" s="89">
        <v>0.17499999999999999</v>
      </c>
      <c r="AB155" s="89">
        <v>0</v>
      </c>
      <c r="AC155" s="89">
        <v>0.14000000000000001</v>
      </c>
      <c r="AD155" s="89">
        <v>0</v>
      </c>
      <c r="AE155" s="89">
        <v>0.17499999999999999</v>
      </c>
      <c r="AF155" s="89">
        <v>0</v>
      </c>
      <c r="AG155" s="89">
        <v>0.14000000000000001</v>
      </c>
      <c r="AH155" s="89">
        <v>0</v>
      </c>
      <c r="AI155" s="89">
        <v>0.14000000000000001</v>
      </c>
      <c r="AJ155" s="89">
        <v>0</v>
      </c>
      <c r="AK155" s="89">
        <v>0.04</v>
      </c>
      <c r="AL155" s="89">
        <v>0.04</v>
      </c>
      <c r="AM155" s="89">
        <v>-4.2999999999999997E-2</v>
      </c>
      <c r="AN155" s="89">
        <v>2.9000000000000001E-2</v>
      </c>
      <c r="AO155" s="89">
        <v>-0.65300000000000002</v>
      </c>
      <c r="AP155" s="89">
        <v>0.155</v>
      </c>
      <c r="AQ155" s="89">
        <v>-3.7999999999999999E-2</v>
      </c>
      <c r="AR155" s="89">
        <v>0</v>
      </c>
      <c r="AS155" s="89">
        <v>-0.15</v>
      </c>
      <c r="AT155" s="89">
        <v>-1.4999999999999999E-2</v>
      </c>
      <c r="AU155" s="89">
        <v>-0.11</v>
      </c>
      <c r="AV155" s="89">
        <v>0.02</v>
      </c>
      <c r="AW155" s="89">
        <v>-3.7999999999999999E-2</v>
      </c>
      <c r="AX155" s="89">
        <v>1.4E-2</v>
      </c>
      <c r="AY155" s="90">
        <v>0.125</v>
      </c>
      <c r="AZ155" s="90">
        <v>0</v>
      </c>
      <c r="BA155" s="90">
        <v>-0.19500000000000001</v>
      </c>
      <c r="BB155" s="89">
        <v>2.5000000000000001E-3</v>
      </c>
      <c r="BC155" s="89">
        <v>-7.0000000000000007E-2</v>
      </c>
      <c r="BD155" s="89">
        <v>5.0000000000000001E-3</v>
      </c>
      <c r="BE155" s="89">
        <v>0.43</v>
      </c>
      <c r="BF155" s="89">
        <v>0</v>
      </c>
      <c r="BG155" s="89">
        <v>-0.06</v>
      </c>
      <c r="BH155" s="89">
        <v>0</v>
      </c>
      <c r="BI155" s="89">
        <v>0</v>
      </c>
      <c r="BJ155" s="62">
        <v>0.03</v>
      </c>
      <c r="BK155" s="62">
        <v>0.43</v>
      </c>
      <c r="BL155" s="62">
        <v>0</v>
      </c>
      <c r="BM155" s="62">
        <v>-0.2</v>
      </c>
      <c r="BN155" s="62">
        <v>0</v>
      </c>
      <c r="BO155" s="62">
        <v>-0.37</v>
      </c>
      <c r="BP155" s="62">
        <v>0</v>
      </c>
      <c r="BQ155" s="62">
        <v>0.5</v>
      </c>
      <c r="BR155" s="62">
        <v>0</v>
      </c>
      <c r="BS155" s="62">
        <v>-7.0000000000000007E-2</v>
      </c>
      <c r="BT155" s="62">
        <v>5.0000000000000001E-3</v>
      </c>
      <c r="BU155" s="62">
        <v>0.3</v>
      </c>
      <c r="BV155" s="62">
        <v>0</v>
      </c>
      <c r="BW155" s="62">
        <v>0</v>
      </c>
      <c r="BX155" s="62">
        <v>0</v>
      </c>
      <c r="BY155" s="62">
        <v>-8.9999989999999998E-3</v>
      </c>
      <c r="BZ155" s="62">
        <v>5.7500000000000002E-2</v>
      </c>
      <c r="CA155" s="62">
        <v>0.14499999999999999</v>
      </c>
      <c r="CB155" s="62">
        <v>5.0000000000000001E-3</v>
      </c>
      <c r="CC155" s="62">
        <v>-8.9999989999999998E-3</v>
      </c>
      <c r="CD155" s="62">
        <v>3.5000000000000001E-3</v>
      </c>
      <c r="CE155" s="62">
        <v>2.5000000000000001E-3</v>
      </c>
      <c r="CF155" s="62">
        <v>2.5000000000000001E-3</v>
      </c>
      <c r="CG155" s="62">
        <v>-8.9999989999999998E-3</v>
      </c>
      <c r="CH155" s="62">
        <v>3.5000000000000001E-3</v>
      </c>
      <c r="CI155" s="62">
        <v>-0.1245</v>
      </c>
      <c r="CJ155" s="62">
        <v>2.5000000000000001E-3</v>
      </c>
      <c r="CK155" s="62">
        <v>7.7499999999999999E-2</v>
      </c>
      <c r="CL155" s="62">
        <v>2.5000000000000001E-3</v>
      </c>
      <c r="CM155" s="62">
        <v>-7.1999999999999995E-2</v>
      </c>
      <c r="CN155" s="62">
        <v>7.4999999999999997E-3</v>
      </c>
      <c r="CO155" s="62">
        <v>-1.7000000000000001E-2</v>
      </c>
      <c r="CP155" s="62">
        <v>5.0000000000000001E-3</v>
      </c>
      <c r="CQ155" s="62">
        <v>2.3E-2</v>
      </c>
      <c r="CR155" s="62">
        <v>7.4999999999999997E-3</v>
      </c>
      <c r="CS155" s="62">
        <v>0.38</v>
      </c>
      <c r="CT155" s="62">
        <v>0.02</v>
      </c>
      <c r="CU155" s="62">
        <v>-0.2</v>
      </c>
      <c r="CV155" s="62">
        <v>0</v>
      </c>
      <c r="CW155" s="62">
        <v>0.19500000000000001</v>
      </c>
      <c r="CX155" s="62">
        <v>7.4999999999999997E-3</v>
      </c>
      <c r="CY155" s="62">
        <v>-0.63</v>
      </c>
      <c r="CZ155" s="62">
        <v>0</v>
      </c>
      <c r="DA155" s="62">
        <v>-0.45</v>
      </c>
      <c r="DB155" s="62">
        <v>0</v>
      </c>
      <c r="DC155" s="62">
        <v>0.6</v>
      </c>
      <c r="DE155" s="62">
        <v>-4.65E-2</v>
      </c>
      <c r="DF155" s="62">
        <v>0.01</v>
      </c>
      <c r="DG155" s="62">
        <v>1.7000000000000001E-2</v>
      </c>
      <c r="DH155" s="62">
        <v>0.01</v>
      </c>
      <c r="DI155" s="62">
        <v>2E-3</v>
      </c>
      <c r="DJ155" s="62">
        <v>7.4999999999999997E-3</v>
      </c>
      <c r="DK155" s="62">
        <v>-0.1095</v>
      </c>
      <c r="DL155" s="62">
        <v>5.0000000000000001E-3</v>
      </c>
      <c r="DM155" s="62">
        <v>-5.0999999999999997E-2</v>
      </c>
      <c r="DN155" s="62">
        <v>2.5000000000000001E-3</v>
      </c>
      <c r="DO155" s="62">
        <v>-7.3499999999999996E-2</v>
      </c>
      <c r="DP155" s="62">
        <v>2.5000000000000001E-3</v>
      </c>
      <c r="DQ155" s="62">
        <v>-0.13950000000000001</v>
      </c>
      <c r="DR155" s="62">
        <v>-5.0000000000000001E-3</v>
      </c>
      <c r="DS155" s="62">
        <v>0.36</v>
      </c>
      <c r="DT155" s="62">
        <v>5.0000000000000001E-3</v>
      </c>
      <c r="DU155" s="62">
        <v>0</v>
      </c>
      <c r="DV155" s="62">
        <v>0</v>
      </c>
    </row>
    <row r="156" spans="4:126" x14ac:dyDescent="0.25">
      <c r="D156" s="91">
        <v>41395</v>
      </c>
      <c r="F156" s="89">
        <v>3.9195000000000002</v>
      </c>
      <c r="G156" s="90">
        <v>6.2621304560339597E-2</v>
      </c>
      <c r="H156" s="89">
        <v>0.17</v>
      </c>
      <c r="I156" s="89">
        <v>0.45</v>
      </c>
      <c r="J156" s="89">
        <v>0.5</v>
      </c>
      <c r="K156" s="89">
        <v>0.4</v>
      </c>
      <c r="L156" s="87">
        <v>0.4</v>
      </c>
      <c r="M156" s="87">
        <v>0.45</v>
      </c>
      <c r="N156" s="89">
        <v>0.5</v>
      </c>
      <c r="O156" s="89">
        <v>0.45</v>
      </c>
      <c r="P156" s="89">
        <v>0.4</v>
      </c>
      <c r="Q156" s="89">
        <v>0.45</v>
      </c>
      <c r="R156" s="90">
        <v>0.45</v>
      </c>
      <c r="S156" s="90">
        <v>0.5</v>
      </c>
      <c r="T156" s="89">
        <v>0.45</v>
      </c>
      <c r="U156" s="89">
        <v>0.5</v>
      </c>
      <c r="V156" s="89">
        <v>0.5</v>
      </c>
      <c r="W156" s="89">
        <v>-0.09</v>
      </c>
      <c r="X156" s="89">
        <v>0</v>
      </c>
      <c r="Y156" s="89">
        <v>0.04</v>
      </c>
      <c r="Z156" s="89">
        <v>5.0000000000000001E-3</v>
      </c>
      <c r="AA156" s="89">
        <v>0.17499999999999999</v>
      </c>
      <c r="AB156" s="89">
        <v>0</v>
      </c>
      <c r="AC156" s="89">
        <v>0.14000000000000001</v>
      </c>
      <c r="AD156" s="89">
        <v>0</v>
      </c>
      <c r="AE156" s="89">
        <v>0.17499999999999999</v>
      </c>
      <c r="AF156" s="89">
        <v>0</v>
      </c>
      <c r="AG156" s="89">
        <v>0.14000000000000001</v>
      </c>
      <c r="AH156" s="89">
        <v>0</v>
      </c>
      <c r="AI156" s="89">
        <v>0.14000000000000001</v>
      </c>
      <c r="AJ156" s="89">
        <v>0</v>
      </c>
      <c r="AK156" s="89">
        <v>0.04</v>
      </c>
      <c r="AL156" s="89">
        <v>0.04</v>
      </c>
      <c r="AM156" s="89">
        <v>-4.2999999999999997E-2</v>
      </c>
      <c r="AN156" s="89">
        <v>2.9000000000000001E-2</v>
      </c>
      <c r="AO156" s="89">
        <v>-0.65300000000000002</v>
      </c>
      <c r="AP156" s="89">
        <v>0.155</v>
      </c>
      <c r="AQ156" s="89">
        <v>-3.7999999999999999E-2</v>
      </c>
      <c r="AR156" s="89">
        <v>0</v>
      </c>
      <c r="AS156" s="89">
        <v>-0.15</v>
      </c>
      <c r="AT156" s="89">
        <v>-1.4999999999999999E-2</v>
      </c>
      <c r="AU156" s="89">
        <v>-0.11</v>
      </c>
      <c r="AV156" s="89">
        <v>0.02</v>
      </c>
      <c r="AW156" s="89">
        <v>-3.7999999999999999E-2</v>
      </c>
      <c r="AX156" s="89">
        <v>1.4E-2</v>
      </c>
      <c r="AY156" s="90">
        <v>0.125</v>
      </c>
      <c r="AZ156" s="90">
        <v>0</v>
      </c>
      <c r="BA156" s="90">
        <v>-0.19500000000000001</v>
      </c>
      <c r="BB156" s="89">
        <v>2.5000000000000001E-3</v>
      </c>
      <c r="BC156" s="89">
        <v>-7.0000000000000007E-2</v>
      </c>
      <c r="BD156" s="89">
        <v>5.0000000000000001E-3</v>
      </c>
      <c r="BE156" s="89">
        <v>0.43</v>
      </c>
      <c r="BF156" s="89">
        <v>0</v>
      </c>
      <c r="BG156" s="89">
        <v>-0.06</v>
      </c>
      <c r="BH156" s="89">
        <v>0</v>
      </c>
      <c r="BI156" s="89">
        <v>0</v>
      </c>
      <c r="BJ156" s="62">
        <v>0.03</v>
      </c>
      <c r="BK156" s="62">
        <v>0.43</v>
      </c>
      <c r="BL156" s="62">
        <v>0</v>
      </c>
      <c r="BM156" s="62">
        <v>-0.05</v>
      </c>
      <c r="BN156" s="62">
        <v>0</v>
      </c>
      <c r="BO156" s="62">
        <v>-0.37</v>
      </c>
      <c r="BP156" s="62">
        <v>0</v>
      </c>
      <c r="BQ156" s="62">
        <v>0.5</v>
      </c>
      <c r="BR156" s="62">
        <v>0</v>
      </c>
      <c r="BS156" s="62">
        <v>-7.0000000000000007E-2</v>
      </c>
      <c r="BT156" s="62">
        <v>5.0000000000000001E-3</v>
      </c>
      <c r="BU156" s="62">
        <v>0.3</v>
      </c>
      <c r="BV156" s="62">
        <v>0</v>
      </c>
      <c r="BW156" s="62">
        <v>0</v>
      </c>
      <c r="BX156" s="62">
        <v>0</v>
      </c>
      <c r="BY156" s="62">
        <v>-8.9999989999999998E-3</v>
      </c>
      <c r="BZ156" s="62">
        <v>5.7500000000000002E-2</v>
      </c>
      <c r="CA156" s="62">
        <v>0.125</v>
      </c>
      <c r="CB156" s="62">
        <v>5.0000000000000001E-3</v>
      </c>
      <c r="CC156" s="62">
        <v>-8.9999989999999998E-3</v>
      </c>
      <c r="CD156" s="62">
        <v>3.5000000000000001E-3</v>
      </c>
      <c r="CE156" s="62">
        <v>2.5000000000000001E-3</v>
      </c>
      <c r="CF156" s="62">
        <v>2.5000000000000001E-3</v>
      </c>
      <c r="CG156" s="62">
        <v>-8.9999989999999998E-3</v>
      </c>
      <c r="CH156" s="62">
        <v>3.5000000000000001E-3</v>
      </c>
      <c r="CI156" s="62">
        <v>-0.112</v>
      </c>
      <c r="CJ156" s="62">
        <v>2.5000000000000001E-3</v>
      </c>
      <c r="CK156" s="62">
        <v>7.7499999999999999E-2</v>
      </c>
      <c r="CL156" s="62">
        <v>2.5000000000000001E-3</v>
      </c>
      <c r="CM156" s="62">
        <v>-7.1999999999999995E-2</v>
      </c>
      <c r="CN156" s="62">
        <v>7.4999999999999997E-3</v>
      </c>
      <c r="CO156" s="62">
        <v>-1.7000000000000001E-2</v>
      </c>
      <c r="CP156" s="62">
        <v>5.0000000000000001E-3</v>
      </c>
      <c r="CQ156" s="62">
        <v>2.3E-2</v>
      </c>
      <c r="CR156" s="62">
        <v>7.4999999999999997E-3</v>
      </c>
      <c r="CS156" s="62">
        <v>0.33</v>
      </c>
      <c r="CT156" s="62">
        <v>0.02</v>
      </c>
      <c r="CU156" s="62">
        <v>-0.05</v>
      </c>
      <c r="CV156" s="62">
        <v>0</v>
      </c>
      <c r="CW156" s="62">
        <v>0.13500000000000001</v>
      </c>
      <c r="CX156" s="62">
        <v>7.4999999999999997E-3</v>
      </c>
      <c r="CY156" s="62">
        <v>-0.63</v>
      </c>
      <c r="CZ156" s="62">
        <v>0</v>
      </c>
      <c r="DA156" s="62">
        <v>-0.45</v>
      </c>
      <c r="DB156" s="62">
        <v>0</v>
      </c>
      <c r="DC156" s="62">
        <v>0.75</v>
      </c>
      <c r="DE156" s="62">
        <v>-4.65E-2</v>
      </c>
      <c r="DF156" s="62">
        <v>0.01</v>
      </c>
      <c r="DG156" s="62">
        <v>1.95E-2</v>
      </c>
      <c r="DH156" s="62">
        <v>0.01</v>
      </c>
      <c r="DI156" s="62">
        <v>4.4999999999999997E-3</v>
      </c>
      <c r="DJ156" s="62">
        <v>7.4999999999999997E-3</v>
      </c>
      <c r="DK156" s="62">
        <v>-8.6999999999999994E-2</v>
      </c>
      <c r="DL156" s="62">
        <v>5.0000000000000001E-3</v>
      </c>
      <c r="DM156" s="62">
        <v>-5.0999999999999997E-2</v>
      </c>
      <c r="DN156" s="62">
        <v>2.5000000000000001E-3</v>
      </c>
      <c r="DO156" s="62">
        <v>-7.3499999999999996E-2</v>
      </c>
      <c r="DP156" s="62">
        <v>2.5000000000000001E-3</v>
      </c>
      <c r="DQ156" s="62">
        <v>-0.11700000000000001</v>
      </c>
      <c r="DR156" s="62">
        <v>-5.0000000000000001E-3</v>
      </c>
      <c r="DS156" s="62">
        <v>0.32500000000000001</v>
      </c>
      <c r="DT156" s="62">
        <v>5.0000000000000001E-3</v>
      </c>
      <c r="DU156" s="62">
        <v>0</v>
      </c>
      <c r="DV156" s="62">
        <v>0</v>
      </c>
    </row>
    <row r="157" spans="4:126" x14ac:dyDescent="0.25">
      <c r="D157" s="91">
        <v>41426</v>
      </c>
      <c r="F157" s="89">
        <v>3.9544999999999999</v>
      </c>
      <c r="G157" s="90">
        <v>6.2661848653100094E-2</v>
      </c>
      <c r="H157" s="89">
        <v>0.17</v>
      </c>
      <c r="I157" s="89">
        <v>0.45</v>
      </c>
      <c r="J157" s="89">
        <v>0.5</v>
      </c>
      <c r="K157" s="89">
        <v>0.4</v>
      </c>
      <c r="L157" s="87">
        <v>0.5</v>
      </c>
      <c r="M157" s="87">
        <v>0.45</v>
      </c>
      <c r="N157" s="89">
        <v>0.5</v>
      </c>
      <c r="O157" s="89">
        <v>0.5</v>
      </c>
      <c r="P157" s="89">
        <v>0.5</v>
      </c>
      <c r="Q157" s="89">
        <v>0.5</v>
      </c>
      <c r="R157" s="90">
        <v>0.45</v>
      </c>
      <c r="S157" s="90">
        <v>0.5</v>
      </c>
      <c r="T157" s="89">
        <v>0.45</v>
      </c>
      <c r="U157" s="89">
        <v>0.5</v>
      </c>
      <c r="V157" s="89">
        <v>0.6</v>
      </c>
      <c r="W157" s="89">
        <v>-0.09</v>
      </c>
      <c r="X157" s="89">
        <v>0</v>
      </c>
      <c r="Y157" s="89">
        <v>0.04</v>
      </c>
      <c r="Z157" s="89">
        <v>5.0000000000000001E-3</v>
      </c>
      <c r="AA157" s="89">
        <v>0.17499999999999999</v>
      </c>
      <c r="AB157" s="89">
        <v>0</v>
      </c>
      <c r="AC157" s="89">
        <v>0.14000000000000001</v>
      </c>
      <c r="AD157" s="89">
        <v>0</v>
      </c>
      <c r="AE157" s="89">
        <v>0.17499999999999999</v>
      </c>
      <c r="AF157" s="89">
        <v>0</v>
      </c>
      <c r="AG157" s="89">
        <v>0.14000000000000001</v>
      </c>
      <c r="AH157" s="89">
        <v>0</v>
      </c>
      <c r="AI157" s="89">
        <v>0.14000000000000001</v>
      </c>
      <c r="AJ157" s="89">
        <v>0</v>
      </c>
      <c r="AK157" s="89">
        <v>0.04</v>
      </c>
      <c r="AL157" s="89">
        <v>0.04</v>
      </c>
      <c r="AM157" s="89">
        <v>-4.2999999999999997E-2</v>
      </c>
      <c r="AN157" s="89">
        <v>2.9000000000000001E-2</v>
      </c>
      <c r="AO157" s="89">
        <v>-0.65300000000000002</v>
      </c>
      <c r="AP157" s="89">
        <v>0.155</v>
      </c>
      <c r="AQ157" s="89">
        <v>-3.7999999999999999E-2</v>
      </c>
      <c r="AR157" s="89">
        <v>0</v>
      </c>
      <c r="AS157" s="89">
        <v>-0.15</v>
      </c>
      <c r="AT157" s="89">
        <v>-1.4999999999999999E-2</v>
      </c>
      <c r="AU157" s="89">
        <v>-0.11</v>
      </c>
      <c r="AV157" s="89">
        <v>0.02</v>
      </c>
      <c r="AW157" s="89">
        <v>-3.7999999999999999E-2</v>
      </c>
      <c r="AX157" s="89">
        <v>1.4E-2</v>
      </c>
      <c r="AY157" s="90">
        <v>0.125</v>
      </c>
      <c r="AZ157" s="90">
        <v>0</v>
      </c>
      <c r="BA157" s="90">
        <v>-0.19500000000000001</v>
      </c>
      <c r="BB157" s="89">
        <v>2.5000000000000001E-3</v>
      </c>
      <c r="BC157" s="89">
        <v>-7.0000000000000007E-2</v>
      </c>
      <c r="BD157" s="89">
        <v>5.0000000000000001E-3</v>
      </c>
      <c r="BE157" s="89">
        <v>0.43</v>
      </c>
      <c r="BF157" s="89">
        <v>0</v>
      </c>
      <c r="BG157" s="89">
        <v>-0.06</v>
      </c>
      <c r="BH157" s="89">
        <v>0</v>
      </c>
      <c r="BI157" s="89">
        <v>0</v>
      </c>
      <c r="BJ157" s="62">
        <v>0.03</v>
      </c>
      <c r="BK157" s="62">
        <v>0.43</v>
      </c>
      <c r="BL157" s="62">
        <v>0</v>
      </c>
      <c r="BM157" s="62">
        <v>-0.05</v>
      </c>
      <c r="BN157" s="62">
        <v>0</v>
      </c>
      <c r="BO157" s="62">
        <v>-0.37</v>
      </c>
      <c r="BP157" s="62">
        <v>0</v>
      </c>
      <c r="BQ157" s="62">
        <v>0.5</v>
      </c>
      <c r="BR157" s="62">
        <v>0</v>
      </c>
      <c r="BS157" s="62">
        <v>-7.0000000000000007E-2</v>
      </c>
      <c r="BT157" s="62">
        <v>5.0000000000000001E-3</v>
      </c>
      <c r="BU157" s="62">
        <v>0.3</v>
      </c>
      <c r="BV157" s="62">
        <v>0</v>
      </c>
      <c r="BW157" s="62">
        <v>0</v>
      </c>
      <c r="BX157" s="62">
        <v>0</v>
      </c>
      <c r="BY157" s="62">
        <v>-8.9999989999999998E-3</v>
      </c>
      <c r="BZ157" s="62">
        <v>5.7500000000000002E-2</v>
      </c>
      <c r="CA157" s="62">
        <v>0.14499999999999999</v>
      </c>
      <c r="CB157" s="62">
        <v>5.0000000000000001E-3</v>
      </c>
      <c r="CC157" s="62">
        <v>-8.9999989999999998E-3</v>
      </c>
      <c r="CD157" s="62">
        <v>3.5000000000000001E-3</v>
      </c>
      <c r="CE157" s="62">
        <v>2.5000000000000001E-3</v>
      </c>
      <c r="CF157" s="62">
        <v>2.5000000000000001E-3</v>
      </c>
      <c r="CG157" s="62">
        <v>-8.9999989999999998E-3</v>
      </c>
      <c r="CH157" s="62">
        <v>3.5000000000000001E-3</v>
      </c>
      <c r="CI157" s="62">
        <v>-6.9500000000000006E-2</v>
      </c>
      <c r="CJ157" s="62">
        <v>2.5000000000000001E-3</v>
      </c>
      <c r="CK157" s="62">
        <v>7.7499999999999999E-2</v>
      </c>
      <c r="CL157" s="62">
        <v>2.5000000000000001E-3</v>
      </c>
      <c r="CM157" s="62">
        <v>-7.1999999999999995E-2</v>
      </c>
      <c r="CN157" s="62">
        <v>7.4999999999999997E-3</v>
      </c>
      <c r="CO157" s="62">
        <v>-1.7000000000000001E-2</v>
      </c>
      <c r="CP157" s="62">
        <v>5.0000000000000001E-3</v>
      </c>
      <c r="CQ157" s="62">
        <v>2.3E-2</v>
      </c>
      <c r="CR157" s="62">
        <v>7.4999999999999997E-3</v>
      </c>
      <c r="CS157" s="62">
        <v>0.37</v>
      </c>
      <c r="CT157" s="62">
        <v>3.5000000000000003E-2</v>
      </c>
      <c r="CU157" s="62">
        <v>-0.05</v>
      </c>
      <c r="CV157" s="62">
        <v>0</v>
      </c>
      <c r="CW157" s="62">
        <v>0.16500000000000001</v>
      </c>
      <c r="CX157" s="62">
        <v>7.4999999999999997E-3</v>
      </c>
      <c r="CY157" s="62">
        <v>-0.63</v>
      </c>
      <c r="CZ157" s="62">
        <v>0</v>
      </c>
      <c r="DA157" s="62">
        <v>-0.45</v>
      </c>
      <c r="DB157" s="62">
        <v>0</v>
      </c>
      <c r="DC157" s="62">
        <v>0.85</v>
      </c>
      <c r="DE157" s="62">
        <v>-4.3999999999999997E-2</v>
      </c>
      <c r="DF157" s="62">
        <v>0.01</v>
      </c>
      <c r="DG157" s="62">
        <v>1.95E-2</v>
      </c>
      <c r="DH157" s="62">
        <v>0.01</v>
      </c>
      <c r="DI157" s="62">
        <v>5.4999999999999997E-3</v>
      </c>
      <c r="DJ157" s="62">
        <v>7.4999999999999997E-3</v>
      </c>
      <c r="DK157" s="62">
        <v>-3.4500000000000003E-2</v>
      </c>
      <c r="DL157" s="62">
        <v>5.0000000000000001E-3</v>
      </c>
      <c r="DM157" s="62">
        <v>-5.0999999999999997E-2</v>
      </c>
      <c r="DN157" s="62">
        <v>2.5000000000000001E-3</v>
      </c>
      <c r="DO157" s="62">
        <v>-7.3499999999999996E-2</v>
      </c>
      <c r="DP157" s="62">
        <v>2.5000000000000001E-3</v>
      </c>
      <c r="DQ157" s="62">
        <v>-6.4500000000000002E-2</v>
      </c>
      <c r="DR157" s="62">
        <v>-5.0000000000000001E-3</v>
      </c>
      <c r="DS157" s="62">
        <v>0.33500000000000002</v>
      </c>
      <c r="DT157" s="62">
        <v>5.0000000000000001E-3</v>
      </c>
      <c r="DU157" s="62">
        <v>0</v>
      </c>
      <c r="DV157" s="62">
        <v>0</v>
      </c>
    </row>
    <row r="158" spans="4:126" x14ac:dyDescent="0.25">
      <c r="D158" s="91">
        <v>41456</v>
      </c>
      <c r="F158" s="89">
        <v>3.9944999999999999</v>
      </c>
      <c r="G158" s="90">
        <v>6.2701084872420307E-2</v>
      </c>
      <c r="H158" s="89">
        <v>0.17</v>
      </c>
      <c r="I158" s="89">
        <v>0.5</v>
      </c>
      <c r="J158" s="89">
        <v>0.5</v>
      </c>
      <c r="K158" s="89">
        <v>0.4</v>
      </c>
      <c r="L158" s="87">
        <v>0.5</v>
      </c>
      <c r="M158" s="87">
        <v>0.5</v>
      </c>
      <c r="N158" s="89">
        <v>0.5</v>
      </c>
      <c r="O158" s="89">
        <v>0.5</v>
      </c>
      <c r="P158" s="89">
        <v>0.5</v>
      </c>
      <c r="Q158" s="89">
        <v>0.5</v>
      </c>
      <c r="R158" s="90">
        <v>0.5</v>
      </c>
      <c r="S158" s="90">
        <v>0.55000000000000004</v>
      </c>
      <c r="T158" s="89">
        <v>0.5</v>
      </c>
      <c r="U158" s="89">
        <v>0.5</v>
      </c>
      <c r="V158" s="89">
        <v>0.6</v>
      </c>
      <c r="W158" s="89">
        <v>-0.09</v>
      </c>
      <c r="X158" s="89">
        <v>0</v>
      </c>
      <c r="Y158" s="89">
        <v>0.04</v>
      </c>
      <c r="Z158" s="89">
        <v>5.0000000000000001E-3</v>
      </c>
      <c r="AA158" s="89">
        <v>0.17499999999999999</v>
      </c>
      <c r="AB158" s="89">
        <v>0</v>
      </c>
      <c r="AC158" s="89">
        <v>0.14000000000000001</v>
      </c>
      <c r="AD158" s="89">
        <v>0</v>
      </c>
      <c r="AE158" s="89">
        <v>0.17499999999999999</v>
      </c>
      <c r="AF158" s="89">
        <v>0</v>
      </c>
      <c r="AG158" s="89">
        <v>0.14000000000000001</v>
      </c>
      <c r="AH158" s="89">
        <v>0</v>
      </c>
      <c r="AI158" s="89">
        <v>0.14000000000000001</v>
      </c>
      <c r="AJ158" s="89">
        <v>0</v>
      </c>
      <c r="AK158" s="89">
        <v>0.04</v>
      </c>
      <c r="AL158" s="89">
        <v>0.04</v>
      </c>
      <c r="AM158" s="89">
        <v>-4.2999999999999997E-2</v>
      </c>
      <c r="AN158" s="89">
        <v>2.9000000000000001E-2</v>
      </c>
      <c r="AO158" s="89">
        <v>-0.65300000000000002</v>
      </c>
      <c r="AP158" s="89">
        <v>0.155</v>
      </c>
      <c r="AQ158" s="89">
        <v>-3.7999999999999999E-2</v>
      </c>
      <c r="AR158" s="89">
        <v>0</v>
      </c>
      <c r="AS158" s="89">
        <v>-0.15</v>
      </c>
      <c r="AT158" s="89">
        <v>-1.4999999999999999E-2</v>
      </c>
      <c r="AU158" s="89">
        <v>-0.11</v>
      </c>
      <c r="AV158" s="89">
        <v>0.02</v>
      </c>
      <c r="AW158" s="89">
        <v>-3.7999999999999999E-2</v>
      </c>
      <c r="AX158" s="89">
        <v>1.2E-2</v>
      </c>
      <c r="AY158" s="90">
        <v>0.125</v>
      </c>
      <c r="AZ158" s="90">
        <v>0</v>
      </c>
      <c r="BA158" s="90">
        <v>-0.19500000000000001</v>
      </c>
      <c r="BB158" s="89">
        <v>2.5000000000000001E-3</v>
      </c>
      <c r="BC158" s="89">
        <v>-7.0000000000000007E-2</v>
      </c>
      <c r="BD158" s="89">
        <v>5.0000000000000001E-3</v>
      </c>
      <c r="BE158" s="89">
        <v>0.43</v>
      </c>
      <c r="BF158" s="89">
        <v>0</v>
      </c>
      <c r="BG158" s="89">
        <v>-0.06</v>
      </c>
      <c r="BH158" s="89">
        <v>0</v>
      </c>
      <c r="BI158" s="89">
        <v>0</v>
      </c>
      <c r="BJ158" s="62">
        <v>0.03</v>
      </c>
      <c r="BK158" s="62">
        <v>0.43</v>
      </c>
      <c r="BL158" s="62">
        <v>0</v>
      </c>
      <c r="BM158" s="62">
        <v>-0.05</v>
      </c>
      <c r="BN158" s="62">
        <v>0</v>
      </c>
      <c r="BO158" s="62">
        <v>-0.37</v>
      </c>
      <c r="BP158" s="62">
        <v>0</v>
      </c>
      <c r="BQ158" s="62">
        <v>0.5</v>
      </c>
      <c r="BR158" s="62">
        <v>0</v>
      </c>
      <c r="BS158" s="62">
        <v>-7.0000000000000007E-2</v>
      </c>
      <c r="BT158" s="62">
        <v>5.0000000000000001E-3</v>
      </c>
      <c r="BU158" s="62">
        <v>0.3</v>
      </c>
      <c r="BV158" s="62">
        <v>0</v>
      </c>
      <c r="BW158" s="62">
        <v>0</v>
      </c>
      <c r="BX158" s="62">
        <v>0</v>
      </c>
      <c r="BY158" s="62">
        <v>-8.9999989999999998E-3</v>
      </c>
      <c r="BZ158" s="62">
        <v>5.7500000000000002E-2</v>
      </c>
      <c r="CA158" s="62">
        <v>0.15</v>
      </c>
      <c r="CB158" s="62">
        <v>5.0000000000000001E-3</v>
      </c>
      <c r="CC158" s="62">
        <v>-8.9999989999999998E-3</v>
      </c>
      <c r="CD158" s="62">
        <v>3.5000000000000001E-3</v>
      </c>
      <c r="CE158" s="62">
        <v>2.5000000000000001E-3</v>
      </c>
      <c r="CF158" s="62">
        <v>2.5000000000000001E-3</v>
      </c>
      <c r="CG158" s="62">
        <v>-8.9999989999999998E-3</v>
      </c>
      <c r="CH158" s="62">
        <v>3.5000000000000001E-3</v>
      </c>
      <c r="CI158" s="62">
        <v>-6.7000000000000004E-2</v>
      </c>
      <c r="CJ158" s="62">
        <v>2.5000000000000001E-3</v>
      </c>
      <c r="CK158" s="62">
        <v>7.7499999999999999E-2</v>
      </c>
      <c r="CL158" s="62">
        <v>2.5000000000000001E-3</v>
      </c>
      <c r="CM158" s="62">
        <v>-7.1999999999999995E-2</v>
      </c>
      <c r="CN158" s="62">
        <v>7.4999999999999997E-3</v>
      </c>
      <c r="CO158" s="62">
        <v>-1.7000000000000001E-2</v>
      </c>
      <c r="CP158" s="62">
        <v>5.0000000000000001E-3</v>
      </c>
      <c r="CQ158" s="62">
        <v>2.3E-2</v>
      </c>
      <c r="CR158" s="62">
        <v>7.4999999999999997E-3</v>
      </c>
      <c r="CS158" s="62">
        <v>0.41</v>
      </c>
      <c r="CT158" s="62">
        <v>3.5000000000000003E-2</v>
      </c>
      <c r="CU158" s="62">
        <v>-0.05</v>
      </c>
      <c r="CV158" s="62">
        <v>0</v>
      </c>
      <c r="CW158" s="62">
        <v>0.20499999999999999</v>
      </c>
      <c r="CX158" s="62">
        <v>7.4999999999999997E-3</v>
      </c>
      <c r="CY158" s="62">
        <v>-0.63</v>
      </c>
      <c r="CZ158" s="62">
        <v>0</v>
      </c>
      <c r="DA158" s="62">
        <v>-0.45</v>
      </c>
      <c r="DB158" s="62">
        <v>0</v>
      </c>
      <c r="DC158" s="62">
        <v>1.05</v>
      </c>
      <c r="DE158" s="62">
        <v>-4.3999999999999997E-2</v>
      </c>
      <c r="DF158" s="62">
        <v>0.01</v>
      </c>
      <c r="DG158" s="62">
        <v>1.95E-2</v>
      </c>
      <c r="DH158" s="62">
        <v>0.01</v>
      </c>
      <c r="DI158" s="62">
        <v>5.4999999999999997E-3</v>
      </c>
      <c r="DJ158" s="62">
        <v>7.4999999999999997E-3</v>
      </c>
      <c r="DK158" s="62">
        <v>-4.4499999999999998E-2</v>
      </c>
      <c r="DL158" s="62">
        <v>5.0000000000000001E-3</v>
      </c>
      <c r="DM158" s="62">
        <v>-5.0999999999999997E-2</v>
      </c>
      <c r="DN158" s="62">
        <v>2.5000000000000001E-3</v>
      </c>
      <c r="DO158" s="62">
        <v>-7.3499999999999996E-2</v>
      </c>
      <c r="DP158" s="62">
        <v>2.5000000000000001E-3</v>
      </c>
      <c r="DQ158" s="62">
        <v>-7.4499999999999997E-2</v>
      </c>
      <c r="DR158" s="62">
        <v>-5.0000000000000001E-3</v>
      </c>
      <c r="DS158" s="62">
        <v>0.35</v>
      </c>
      <c r="DT158" s="62">
        <v>5.0000000000000001E-3</v>
      </c>
      <c r="DU158" s="62">
        <v>0</v>
      </c>
      <c r="DV158" s="62">
        <v>0</v>
      </c>
    </row>
    <row r="159" spans="4:126" x14ac:dyDescent="0.25">
      <c r="D159" s="91">
        <v>41487</v>
      </c>
      <c r="F159" s="89">
        <v>4.0345000000000004</v>
      </c>
      <c r="G159" s="90">
        <v>6.2741628966254098E-2</v>
      </c>
      <c r="H159" s="89">
        <v>0.17</v>
      </c>
      <c r="I159" s="89">
        <v>0.55000000000000004</v>
      </c>
      <c r="J159" s="89">
        <v>0.55000000000000004</v>
      </c>
      <c r="K159" s="89">
        <v>0.5</v>
      </c>
      <c r="L159" s="87">
        <v>0.6</v>
      </c>
      <c r="M159" s="87">
        <v>0.55000000000000004</v>
      </c>
      <c r="N159" s="89">
        <v>0.6</v>
      </c>
      <c r="O159" s="89">
        <v>0.55000000000000004</v>
      </c>
      <c r="P159" s="89">
        <v>0.6</v>
      </c>
      <c r="Q159" s="89">
        <v>0.45</v>
      </c>
      <c r="R159" s="90">
        <v>0.55000000000000004</v>
      </c>
      <c r="S159" s="90">
        <v>0.6</v>
      </c>
      <c r="T159" s="89">
        <v>0.55000000000000004</v>
      </c>
      <c r="U159" s="89">
        <v>0.6</v>
      </c>
      <c r="V159" s="89">
        <v>0.7</v>
      </c>
      <c r="W159" s="89">
        <v>-0.09</v>
      </c>
      <c r="X159" s="89">
        <v>0</v>
      </c>
      <c r="Y159" s="89">
        <v>0.04</v>
      </c>
      <c r="Z159" s="89">
        <v>5.0000000000000001E-3</v>
      </c>
      <c r="AA159" s="89">
        <v>0.17499999999999999</v>
      </c>
      <c r="AB159" s="89">
        <v>0</v>
      </c>
      <c r="AC159" s="89">
        <v>0.14000000000000001</v>
      </c>
      <c r="AD159" s="89">
        <v>0</v>
      </c>
      <c r="AE159" s="89">
        <v>0.17499999999999999</v>
      </c>
      <c r="AF159" s="89">
        <v>0</v>
      </c>
      <c r="AG159" s="89">
        <v>0.14000000000000001</v>
      </c>
      <c r="AH159" s="89">
        <v>0</v>
      </c>
      <c r="AI159" s="89">
        <v>0.14000000000000001</v>
      </c>
      <c r="AJ159" s="89">
        <v>0</v>
      </c>
      <c r="AK159" s="89">
        <v>0.04</v>
      </c>
      <c r="AL159" s="89">
        <v>0.04</v>
      </c>
      <c r="AM159" s="89">
        <v>-4.2999999999999997E-2</v>
      </c>
      <c r="AN159" s="89">
        <v>2.9000000000000001E-2</v>
      </c>
      <c r="AO159" s="89">
        <v>-0.65300000000000002</v>
      </c>
      <c r="AP159" s="89">
        <v>0.155</v>
      </c>
      <c r="AQ159" s="89">
        <v>-3.7999999999999999E-2</v>
      </c>
      <c r="AR159" s="89">
        <v>0</v>
      </c>
      <c r="AS159" s="89">
        <v>-0.15</v>
      </c>
      <c r="AT159" s="89">
        <v>-1.4999999999999999E-2</v>
      </c>
      <c r="AU159" s="89">
        <v>-0.11</v>
      </c>
      <c r="AV159" s="89">
        <v>0.02</v>
      </c>
      <c r="AW159" s="89">
        <v>-3.7999999999999999E-2</v>
      </c>
      <c r="AX159" s="89">
        <v>1.2E-2</v>
      </c>
      <c r="AY159" s="90">
        <v>0.125</v>
      </c>
      <c r="AZ159" s="90">
        <v>0</v>
      </c>
      <c r="BA159" s="90">
        <v>-0.19500000000000001</v>
      </c>
      <c r="BB159" s="89">
        <v>2.5000000000000001E-3</v>
      </c>
      <c r="BC159" s="89">
        <v>-7.0000000000000007E-2</v>
      </c>
      <c r="BD159" s="89">
        <v>5.0000000000000001E-3</v>
      </c>
      <c r="BE159" s="89">
        <v>0.43</v>
      </c>
      <c r="BF159" s="89">
        <v>0</v>
      </c>
      <c r="BG159" s="89">
        <v>-0.06</v>
      </c>
      <c r="BH159" s="89">
        <v>0</v>
      </c>
      <c r="BI159" s="89">
        <v>0</v>
      </c>
      <c r="BJ159" s="62">
        <v>0.03</v>
      </c>
      <c r="BK159" s="62">
        <v>0.43</v>
      </c>
      <c r="BL159" s="62">
        <v>0</v>
      </c>
      <c r="BM159" s="62">
        <v>-0.05</v>
      </c>
      <c r="BN159" s="62">
        <v>0</v>
      </c>
      <c r="BO159" s="62">
        <v>-0.37</v>
      </c>
      <c r="BP159" s="62">
        <v>0</v>
      </c>
      <c r="BQ159" s="62">
        <v>0.5</v>
      </c>
      <c r="BR159" s="62">
        <v>0</v>
      </c>
      <c r="BS159" s="62">
        <v>-7.0000000000000007E-2</v>
      </c>
      <c r="BT159" s="62">
        <v>5.0000000000000001E-3</v>
      </c>
      <c r="BU159" s="62">
        <v>0.3</v>
      </c>
      <c r="BV159" s="62">
        <v>0</v>
      </c>
      <c r="BW159" s="62">
        <v>0</v>
      </c>
      <c r="BX159" s="62">
        <v>0</v>
      </c>
      <c r="BY159" s="62">
        <v>-8.9999989999999998E-3</v>
      </c>
      <c r="BZ159" s="62">
        <v>5.7500000000000002E-2</v>
      </c>
      <c r="CA159" s="62">
        <v>0.15</v>
      </c>
      <c r="CB159" s="62">
        <v>5.0000000000000001E-3</v>
      </c>
      <c r="CC159" s="62">
        <v>-8.9999989999999998E-3</v>
      </c>
      <c r="CD159" s="62">
        <v>3.5000000000000001E-3</v>
      </c>
      <c r="CE159" s="62">
        <v>2.5000000000000001E-3</v>
      </c>
      <c r="CF159" s="62">
        <v>2.5000000000000001E-3</v>
      </c>
      <c r="CG159" s="62">
        <v>-8.9999989999999998E-3</v>
      </c>
      <c r="CH159" s="62">
        <v>3.5000000000000001E-3</v>
      </c>
      <c r="CI159" s="62">
        <v>-6.4500000000000002E-2</v>
      </c>
      <c r="CJ159" s="62">
        <v>2.5000000000000001E-3</v>
      </c>
      <c r="CK159" s="62">
        <v>7.7499999999999999E-2</v>
      </c>
      <c r="CL159" s="62">
        <v>2.5000000000000001E-3</v>
      </c>
      <c r="CM159" s="62">
        <v>-7.1999999999999995E-2</v>
      </c>
      <c r="CN159" s="62">
        <v>7.4999999999999997E-3</v>
      </c>
      <c r="CO159" s="62">
        <v>-1.7000000000000001E-2</v>
      </c>
      <c r="CP159" s="62">
        <v>5.0000000000000001E-3</v>
      </c>
      <c r="CQ159" s="62">
        <v>2.3E-2</v>
      </c>
      <c r="CR159" s="62">
        <v>7.4999999999999997E-3</v>
      </c>
      <c r="CS159" s="62">
        <v>0.41</v>
      </c>
      <c r="CT159" s="62">
        <v>0.01</v>
      </c>
      <c r="CU159" s="62">
        <v>-0.05</v>
      </c>
      <c r="CV159" s="62">
        <v>0</v>
      </c>
      <c r="CW159" s="62">
        <v>0.20499999999999999</v>
      </c>
      <c r="CX159" s="62">
        <v>7.4999999999999997E-3</v>
      </c>
      <c r="CY159" s="62">
        <v>-0.63</v>
      </c>
      <c r="CZ159" s="62">
        <v>0</v>
      </c>
      <c r="DA159" s="62">
        <v>-0.45</v>
      </c>
      <c r="DB159" s="62">
        <v>0</v>
      </c>
      <c r="DC159" s="62">
        <v>1.05</v>
      </c>
      <c r="DE159" s="62">
        <v>-4.3999999999999997E-2</v>
      </c>
      <c r="DF159" s="62">
        <v>0.01</v>
      </c>
      <c r="DG159" s="62">
        <v>1.4500000000000001E-2</v>
      </c>
      <c r="DH159" s="62">
        <v>0.01</v>
      </c>
      <c r="DI159" s="62">
        <v>5.0000000000000597E-4</v>
      </c>
      <c r="DJ159" s="62">
        <v>7.4999999999999997E-3</v>
      </c>
      <c r="DK159" s="62">
        <v>-3.95E-2</v>
      </c>
      <c r="DL159" s="62">
        <v>5.0000000000000001E-3</v>
      </c>
      <c r="DM159" s="62">
        <v>-5.0999999999999997E-2</v>
      </c>
      <c r="DN159" s="62">
        <v>2.5000000000000001E-3</v>
      </c>
      <c r="DO159" s="62">
        <v>-7.3499999999999996E-2</v>
      </c>
      <c r="DP159" s="62">
        <v>2.5000000000000001E-3</v>
      </c>
      <c r="DQ159" s="62">
        <v>-6.9500000000000006E-2</v>
      </c>
      <c r="DR159" s="62">
        <v>-5.0000000000000001E-3</v>
      </c>
      <c r="DS159" s="62">
        <v>0.35</v>
      </c>
      <c r="DT159" s="62">
        <v>-5.0000000000000001E-3</v>
      </c>
      <c r="DU159" s="62">
        <v>0</v>
      </c>
      <c r="DV159" s="62">
        <v>0</v>
      </c>
    </row>
    <row r="160" spans="4:126" x14ac:dyDescent="0.25">
      <c r="D160" s="91">
        <v>41518</v>
      </c>
      <c r="F160" s="89">
        <v>4.0294999999999996</v>
      </c>
      <c r="G160" s="90">
        <v>6.2782173060633301E-2</v>
      </c>
      <c r="H160" s="89">
        <v>0.17</v>
      </c>
      <c r="I160" s="89">
        <v>0.55000000000000004</v>
      </c>
      <c r="J160" s="89">
        <v>0.55000000000000004</v>
      </c>
      <c r="K160" s="89">
        <v>0.55000000000000004</v>
      </c>
      <c r="L160" s="87">
        <v>0.55000000000000004</v>
      </c>
      <c r="M160" s="87">
        <v>0.55000000000000004</v>
      </c>
      <c r="N160" s="89">
        <v>0.6</v>
      </c>
      <c r="O160" s="89">
        <v>0.6</v>
      </c>
      <c r="P160" s="89">
        <v>0.55000000000000004</v>
      </c>
      <c r="Q160" s="89">
        <v>0.5</v>
      </c>
      <c r="R160" s="90">
        <v>0.55000000000000004</v>
      </c>
      <c r="S160" s="90">
        <v>0.6</v>
      </c>
      <c r="T160" s="89">
        <v>0.55000000000000004</v>
      </c>
      <c r="U160" s="89">
        <v>0.6</v>
      </c>
      <c r="V160" s="89">
        <v>0.65</v>
      </c>
      <c r="W160" s="89">
        <v>-0.09</v>
      </c>
      <c r="X160" s="89">
        <v>0</v>
      </c>
      <c r="Y160" s="89">
        <v>0.04</v>
      </c>
      <c r="Z160" s="89">
        <v>5.0000000000000001E-3</v>
      </c>
      <c r="AA160" s="89">
        <v>0.17499999999999999</v>
      </c>
      <c r="AB160" s="89">
        <v>0</v>
      </c>
      <c r="AC160" s="89">
        <v>0.14000000000000001</v>
      </c>
      <c r="AD160" s="89">
        <v>0</v>
      </c>
      <c r="AE160" s="89">
        <v>0.17499999999999999</v>
      </c>
      <c r="AF160" s="89">
        <v>0</v>
      </c>
      <c r="AG160" s="89">
        <v>0.14000000000000001</v>
      </c>
      <c r="AH160" s="89">
        <v>0</v>
      </c>
      <c r="AI160" s="89">
        <v>0.14000000000000001</v>
      </c>
      <c r="AJ160" s="89">
        <v>0</v>
      </c>
      <c r="AK160" s="89">
        <v>0.04</v>
      </c>
      <c r="AL160" s="89">
        <v>0.04</v>
      </c>
      <c r="AM160" s="89">
        <v>-4.2999999999999997E-2</v>
      </c>
      <c r="AN160" s="89">
        <v>2.9000000000000001E-2</v>
      </c>
      <c r="AO160" s="89">
        <v>-0.65300000000000002</v>
      </c>
      <c r="AP160" s="89">
        <v>0.155</v>
      </c>
      <c r="AQ160" s="89">
        <v>-3.7999999999999999E-2</v>
      </c>
      <c r="AR160" s="89">
        <v>0</v>
      </c>
      <c r="AS160" s="89">
        <v>-0.15</v>
      </c>
      <c r="AT160" s="89">
        <v>-1.4999999999999999E-2</v>
      </c>
      <c r="AU160" s="89">
        <v>-0.11</v>
      </c>
      <c r="AV160" s="89">
        <v>0.02</v>
      </c>
      <c r="AW160" s="89">
        <v>-3.7999999999999999E-2</v>
      </c>
      <c r="AX160" s="89">
        <v>1.2E-2</v>
      </c>
      <c r="AY160" s="90">
        <v>0.125</v>
      </c>
      <c r="AZ160" s="90">
        <v>0</v>
      </c>
      <c r="BA160" s="90">
        <v>-0.19500000000000001</v>
      </c>
      <c r="BB160" s="89">
        <v>2.5000000000000001E-3</v>
      </c>
      <c r="BC160" s="89">
        <v>-7.0000000000000007E-2</v>
      </c>
      <c r="BD160" s="89">
        <v>5.0000000000000001E-3</v>
      </c>
      <c r="BE160" s="89">
        <v>0.43</v>
      </c>
      <c r="BF160" s="89">
        <v>0</v>
      </c>
      <c r="BG160" s="89">
        <v>-0.06</v>
      </c>
      <c r="BH160" s="89">
        <v>0</v>
      </c>
      <c r="BI160" s="89">
        <v>0</v>
      </c>
      <c r="BJ160" s="62">
        <v>0.03</v>
      </c>
      <c r="BK160" s="62">
        <v>0.43</v>
      </c>
      <c r="BL160" s="62">
        <v>0</v>
      </c>
      <c r="BM160" s="62">
        <v>-0.05</v>
      </c>
      <c r="BN160" s="62">
        <v>0</v>
      </c>
      <c r="BO160" s="62">
        <v>-0.37</v>
      </c>
      <c r="BP160" s="62">
        <v>0</v>
      </c>
      <c r="BQ160" s="62">
        <v>0.5</v>
      </c>
      <c r="BR160" s="62">
        <v>0</v>
      </c>
      <c r="BS160" s="62">
        <v>-7.0000000000000007E-2</v>
      </c>
      <c r="BT160" s="62">
        <v>5.0000000000000001E-3</v>
      </c>
      <c r="BU160" s="62">
        <v>0.3</v>
      </c>
      <c r="BV160" s="62">
        <v>0</v>
      </c>
      <c r="BW160" s="62">
        <v>0</v>
      </c>
      <c r="BX160" s="62">
        <v>0</v>
      </c>
      <c r="BY160" s="62">
        <v>-8.9999989999999998E-3</v>
      </c>
      <c r="BZ160" s="62">
        <v>5.7500000000000002E-2</v>
      </c>
      <c r="CA160" s="62">
        <v>0.125</v>
      </c>
      <c r="CB160" s="62">
        <v>5.0000000000000001E-3</v>
      </c>
      <c r="CC160" s="62">
        <v>-8.9999989999999998E-3</v>
      </c>
      <c r="CD160" s="62">
        <v>3.5000000000000001E-3</v>
      </c>
      <c r="CE160" s="62">
        <v>2.5000000000000001E-3</v>
      </c>
      <c r="CF160" s="62">
        <v>2.5000000000000001E-3</v>
      </c>
      <c r="CG160" s="62">
        <v>-8.9999989999999998E-3</v>
      </c>
      <c r="CH160" s="62">
        <v>3.5000000000000001E-3</v>
      </c>
      <c r="CI160" s="62">
        <v>-6.9500000000000006E-2</v>
      </c>
      <c r="CJ160" s="62">
        <v>2.5000000000000001E-3</v>
      </c>
      <c r="CK160" s="62">
        <v>7.7499999999999999E-2</v>
      </c>
      <c r="CL160" s="62">
        <v>2.5000000000000001E-3</v>
      </c>
      <c r="CM160" s="62">
        <v>-7.1999999999999995E-2</v>
      </c>
      <c r="CN160" s="62">
        <v>7.4999999999999997E-3</v>
      </c>
      <c r="CO160" s="62">
        <v>-1.7000000000000001E-2</v>
      </c>
      <c r="CP160" s="62">
        <v>5.0000000000000001E-3</v>
      </c>
      <c r="CQ160" s="62">
        <v>2.3E-2</v>
      </c>
      <c r="CR160" s="62">
        <v>7.4999999999999997E-3</v>
      </c>
      <c r="CS160" s="62">
        <v>0.36</v>
      </c>
      <c r="CT160" s="62">
        <v>0.01</v>
      </c>
      <c r="CU160" s="62">
        <v>-0.05</v>
      </c>
      <c r="CV160" s="62">
        <v>0</v>
      </c>
      <c r="CW160" s="62">
        <v>0.14499999999999999</v>
      </c>
      <c r="CX160" s="62">
        <v>7.4999999999999997E-3</v>
      </c>
      <c r="CY160" s="62">
        <v>-0.63</v>
      </c>
      <c r="CZ160" s="62">
        <v>0</v>
      </c>
      <c r="DA160" s="62">
        <v>-0.45</v>
      </c>
      <c r="DB160" s="62">
        <v>0</v>
      </c>
      <c r="DC160" s="62">
        <v>0.75</v>
      </c>
      <c r="DE160" s="62">
        <v>-4.9000000000000002E-2</v>
      </c>
      <c r="DF160" s="62">
        <v>0.01</v>
      </c>
      <c r="DG160" s="62">
        <v>1.4500000000000001E-2</v>
      </c>
      <c r="DH160" s="62">
        <v>0.01</v>
      </c>
      <c r="DI160" s="62">
        <v>5.0000000000000597E-4</v>
      </c>
      <c r="DJ160" s="62">
        <v>7.4999999999999997E-3</v>
      </c>
      <c r="DK160" s="62">
        <v>-4.9500000000000002E-2</v>
      </c>
      <c r="DL160" s="62">
        <v>5.0000000000000001E-3</v>
      </c>
      <c r="DM160" s="62">
        <v>-5.0999999999999997E-2</v>
      </c>
      <c r="DN160" s="62">
        <v>2.5000000000000001E-3</v>
      </c>
      <c r="DO160" s="62">
        <v>-7.3499999999999996E-2</v>
      </c>
      <c r="DP160" s="62">
        <v>2.5000000000000001E-3</v>
      </c>
      <c r="DQ160" s="62">
        <v>-7.9500000000000001E-2</v>
      </c>
      <c r="DR160" s="62">
        <v>-5.0000000000000001E-3</v>
      </c>
      <c r="DS160" s="62">
        <v>0.315</v>
      </c>
      <c r="DT160" s="62">
        <v>-5.0000000000000001E-3</v>
      </c>
      <c r="DU160" s="62">
        <v>0</v>
      </c>
      <c r="DV160" s="62">
        <v>0</v>
      </c>
    </row>
    <row r="161" spans="4:126" x14ac:dyDescent="0.25">
      <c r="D161" s="91">
        <v>41548</v>
      </c>
      <c r="F161" s="89">
        <v>4.0545</v>
      </c>
      <c r="G161" s="90">
        <v>6.2821409281520205E-2</v>
      </c>
      <c r="H161" s="89">
        <v>0.17</v>
      </c>
      <c r="I161" s="89">
        <v>0.6</v>
      </c>
      <c r="J161" s="89">
        <v>0.6</v>
      </c>
      <c r="K161" s="89">
        <v>0.55000000000000004</v>
      </c>
      <c r="L161" s="87">
        <v>0.6</v>
      </c>
      <c r="M161" s="87">
        <v>0.6</v>
      </c>
      <c r="N161" s="89">
        <v>0.65</v>
      </c>
      <c r="O161" s="89">
        <v>0.65</v>
      </c>
      <c r="P161" s="89">
        <v>0.6</v>
      </c>
      <c r="Q161" s="89">
        <v>0.5</v>
      </c>
      <c r="R161" s="90">
        <v>0.6</v>
      </c>
      <c r="S161" s="90">
        <v>0.65</v>
      </c>
      <c r="T161" s="89">
        <v>0.6</v>
      </c>
      <c r="U161" s="89">
        <v>0.65</v>
      </c>
      <c r="V161" s="89">
        <v>0.7</v>
      </c>
      <c r="W161" s="89">
        <v>-0.09</v>
      </c>
      <c r="X161" s="89">
        <v>0</v>
      </c>
      <c r="Y161" s="89">
        <v>0.04</v>
      </c>
      <c r="Z161" s="89">
        <v>5.0000000000000001E-3</v>
      </c>
      <c r="AA161" s="89">
        <v>0.17499999999999999</v>
      </c>
      <c r="AB161" s="89">
        <v>0</v>
      </c>
      <c r="AC161" s="89">
        <v>0.14000000000000001</v>
      </c>
      <c r="AD161" s="89">
        <v>0</v>
      </c>
      <c r="AE161" s="89">
        <v>0.17499999999999999</v>
      </c>
      <c r="AF161" s="89">
        <v>0</v>
      </c>
      <c r="AG161" s="89">
        <v>0.14000000000000001</v>
      </c>
      <c r="AH161" s="89">
        <v>0</v>
      </c>
      <c r="AI161" s="89">
        <v>0.14000000000000001</v>
      </c>
      <c r="AJ161" s="89">
        <v>0</v>
      </c>
      <c r="AK161" s="89">
        <v>0.04</v>
      </c>
      <c r="AL161" s="89">
        <v>0.04</v>
      </c>
      <c r="AM161" s="89">
        <v>-4.2999999999999997E-2</v>
      </c>
      <c r="AN161" s="89">
        <v>2.9000000000000001E-2</v>
      </c>
      <c r="AO161" s="89">
        <v>-0.65300000000000002</v>
      </c>
      <c r="AP161" s="89">
        <v>0.155</v>
      </c>
      <c r="AQ161" s="89">
        <v>-3.7999999999999999E-2</v>
      </c>
      <c r="AR161" s="89">
        <v>0</v>
      </c>
      <c r="AS161" s="89">
        <v>-0.15</v>
      </c>
      <c r="AT161" s="89">
        <v>-1.4999999999999999E-2</v>
      </c>
      <c r="AU161" s="89">
        <v>-0.11</v>
      </c>
      <c r="AV161" s="89">
        <v>0.02</v>
      </c>
      <c r="AW161" s="89">
        <v>-3.7999999999999999E-2</v>
      </c>
      <c r="AX161" s="89">
        <v>1.2E-2</v>
      </c>
      <c r="AY161" s="90">
        <v>0.125</v>
      </c>
      <c r="AZ161" s="90">
        <v>0</v>
      </c>
      <c r="BA161" s="90">
        <v>-0.19500000000000001</v>
      </c>
      <c r="BB161" s="89">
        <v>2.5000000000000001E-3</v>
      </c>
      <c r="BC161" s="89">
        <v>-7.0000000000000007E-2</v>
      </c>
      <c r="BD161" s="89">
        <v>5.0000000000000001E-3</v>
      </c>
      <c r="BE161" s="89">
        <v>0.43</v>
      </c>
      <c r="BF161" s="89">
        <v>0</v>
      </c>
      <c r="BG161" s="89">
        <v>-0.06</v>
      </c>
      <c r="BH161" s="89">
        <v>0</v>
      </c>
      <c r="BI161" s="89">
        <v>0</v>
      </c>
      <c r="BJ161" s="62">
        <v>0.03</v>
      </c>
      <c r="BK161" s="62">
        <v>0.43</v>
      </c>
      <c r="BL161" s="62">
        <v>0</v>
      </c>
      <c r="BM161" s="62">
        <v>-0.05</v>
      </c>
      <c r="BN161" s="62">
        <v>0</v>
      </c>
      <c r="BO161" s="62">
        <v>-0.37</v>
      </c>
      <c r="BP161" s="62">
        <v>0</v>
      </c>
      <c r="BQ161" s="62">
        <v>0.5</v>
      </c>
      <c r="BR161" s="62">
        <v>0</v>
      </c>
      <c r="BS161" s="62">
        <v>-7.0000000000000007E-2</v>
      </c>
      <c r="BT161" s="62">
        <v>5.0000000000000001E-3</v>
      </c>
      <c r="BU161" s="62">
        <v>0.3</v>
      </c>
      <c r="BV161" s="62">
        <v>0</v>
      </c>
      <c r="BW161" s="62">
        <v>0</v>
      </c>
      <c r="BX161" s="62">
        <v>0</v>
      </c>
      <c r="BY161" s="62">
        <v>-8.9999989999999998E-3</v>
      </c>
      <c r="BZ161" s="62">
        <v>5.7500000000000002E-2</v>
      </c>
      <c r="CA161" s="62">
        <v>0.14499999999999999</v>
      </c>
      <c r="CB161" s="62">
        <v>5.0000000000000001E-3</v>
      </c>
      <c r="CC161" s="62">
        <v>-8.9999989999999998E-3</v>
      </c>
      <c r="CD161" s="62">
        <v>3.5000000000000001E-3</v>
      </c>
      <c r="CE161" s="62">
        <v>2.5000000000000001E-3</v>
      </c>
      <c r="CF161" s="62">
        <v>2.5000000000000001E-3</v>
      </c>
      <c r="CG161" s="62">
        <v>-8.9999989999999998E-3</v>
      </c>
      <c r="CH161" s="62">
        <v>3.5000000000000001E-3</v>
      </c>
      <c r="CI161" s="62">
        <v>-7.1999999999999995E-2</v>
      </c>
      <c r="CJ161" s="62">
        <v>2.5000000000000001E-3</v>
      </c>
      <c r="CK161" s="62">
        <v>7.7499999999999999E-2</v>
      </c>
      <c r="CL161" s="62">
        <v>2.5000000000000001E-3</v>
      </c>
      <c r="CM161" s="62">
        <v>-7.1999999999999995E-2</v>
      </c>
      <c r="CN161" s="62">
        <v>7.4999999999999997E-3</v>
      </c>
      <c r="CO161" s="62">
        <v>-1.7000000000000001E-2</v>
      </c>
      <c r="CP161" s="62">
        <v>5.0000000000000001E-3</v>
      </c>
      <c r="CQ161" s="62">
        <v>2.3E-2</v>
      </c>
      <c r="CR161" s="62">
        <v>7.4999999999999997E-3</v>
      </c>
      <c r="CS161" s="62">
        <v>0.4</v>
      </c>
      <c r="CT161" s="62">
        <v>0.01</v>
      </c>
      <c r="CU161" s="62">
        <v>-0.05</v>
      </c>
      <c r="CV161" s="62">
        <v>0</v>
      </c>
      <c r="CW161" s="62">
        <v>0.17499999999999999</v>
      </c>
      <c r="CX161" s="62">
        <v>7.4999999999999997E-3</v>
      </c>
      <c r="CY161" s="62">
        <v>-0.63</v>
      </c>
      <c r="CZ161" s="62">
        <v>0</v>
      </c>
      <c r="DA161" s="62">
        <v>-0.45</v>
      </c>
      <c r="DB161" s="62">
        <v>0</v>
      </c>
      <c r="DC161" s="62">
        <v>0.45</v>
      </c>
      <c r="DE161" s="62">
        <v>-4.9000000000000002E-2</v>
      </c>
      <c r="DF161" s="62">
        <v>0.01</v>
      </c>
      <c r="DG161" s="62">
        <v>1.2E-2</v>
      </c>
      <c r="DH161" s="62">
        <v>0.01</v>
      </c>
      <c r="DI161" s="62">
        <v>-3.0000000000000001E-3</v>
      </c>
      <c r="DJ161" s="62">
        <v>7.4999999999999997E-3</v>
      </c>
      <c r="DK161" s="62">
        <v>-3.6999999999999998E-2</v>
      </c>
      <c r="DL161" s="62">
        <v>5.0000000000000001E-3</v>
      </c>
      <c r="DM161" s="62">
        <v>-5.0999999999999997E-2</v>
      </c>
      <c r="DN161" s="62">
        <v>2.5000000000000001E-3</v>
      </c>
      <c r="DO161" s="62">
        <v>-7.3499999999999996E-2</v>
      </c>
      <c r="DP161" s="62">
        <v>2.5000000000000001E-3</v>
      </c>
      <c r="DQ161" s="62">
        <v>-6.7000000000000004E-2</v>
      </c>
      <c r="DR161" s="62">
        <v>-5.0000000000000001E-3</v>
      </c>
      <c r="DS161" s="62">
        <v>0.36</v>
      </c>
      <c r="DT161" s="62">
        <v>-5.0000000000000001E-3</v>
      </c>
      <c r="DU161" s="62">
        <v>0</v>
      </c>
      <c r="DV161" s="62">
        <v>0</v>
      </c>
    </row>
    <row r="162" spans="4:126" x14ac:dyDescent="0.25">
      <c r="D162" s="91">
        <v>41579</v>
      </c>
      <c r="F162" s="89">
        <v>4.2065000000000001</v>
      </c>
      <c r="G162" s="90">
        <v>6.2861953376972798E-2</v>
      </c>
      <c r="H162" s="89">
        <v>0.17</v>
      </c>
      <c r="I162" s="89">
        <v>0.8</v>
      </c>
      <c r="J162" s="89">
        <v>0.85</v>
      </c>
      <c r="K162" s="89">
        <v>0.8</v>
      </c>
      <c r="L162" s="87">
        <v>0.8</v>
      </c>
      <c r="M162" s="87">
        <v>0.9</v>
      </c>
      <c r="N162" s="89">
        <v>0.95</v>
      </c>
      <c r="O162" s="89">
        <v>0.85</v>
      </c>
      <c r="P162" s="89">
        <v>0.8</v>
      </c>
      <c r="Q162" s="89">
        <v>0.95</v>
      </c>
      <c r="R162" s="90">
        <v>0.8</v>
      </c>
      <c r="S162" s="90">
        <v>0.8</v>
      </c>
      <c r="T162" s="89">
        <v>0.8</v>
      </c>
      <c r="U162" s="89">
        <v>0.95</v>
      </c>
      <c r="V162" s="89">
        <v>0.9</v>
      </c>
      <c r="W162" s="89">
        <v>0</v>
      </c>
      <c r="X162" s="89">
        <v>0.03</v>
      </c>
      <c r="Y162" s="89">
        <v>0.13</v>
      </c>
      <c r="Z162" s="89">
        <v>0.02</v>
      </c>
      <c r="AA162" s="89">
        <v>0.28999999999999998</v>
      </c>
      <c r="AB162" s="89">
        <v>0</v>
      </c>
      <c r="AC162" s="89">
        <v>0.32500000000000001</v>
      </c>
      <c r="AD162" s="89">
        <v>0</v>
      </c>
      <c r="AE162" s="89">
        <v>0.28999999999999998</v>
      </c>
      <c r="AF162" s="89">
        <v>0</v>
      </c>
      <c r="AG162" s="89">
        <v>0.17</v>
      </c>
      <c r="AH162" s="89">
        <v>0</v>
      </c>
      <c r="AI162" s="89">
        <v>0.16039999999999999</v>
      </c>
      <c r="AJ162" s="89">
        <v>0</v>
      </c>
      <c r="AK162" s="89">
        <v>0.13</v>
      </c>
      <c r="AL162" s="89">
        <v>3.5000000000000003E-2</v>
      </c>
      <c r="AM162" s="89">
        <v>-5.7500000000000002E-2</v>
      </c>
      <c r="AN162" s="89">
        <v>2.4E-2</v>
      </c>
      <c r="AO162" s="89">
        <v>-0.59299999999999997</v>
      </c>
      <c r="AP162" s="89">
        <v>0.155</v>
      </c>
      <c r="AQ162" s="89">
        <v>-3.7499999999999999E-2</v>
      </c>
      <c r="AR162" s="89">
        <v>5.0000000000000001E-3</v>
      </c>
      <c r="AS162" s="89">
        <v>-0.15</v>
      </c>
      <c r="AT162" s="89">
        <v>-5.0000000000000001E-3</v>
      </c>
      <c r="AU162" s="89">
        <v>-0.11</v>
      </c>
      <c r="AV162" s="89">
        <v>-0.01</v>
      </c>
      <c r="AW162" s="89">
        <v>-3.7499999999999999E-2</v>
      </c>
      <c r="AX162" s="89">
        <v>2.1999999999999999E-2</v>
      </c>
      <c r="AY162" s="90">
        <v>0.155</v>
      </c>
      <c r="AZ162" s="90">
        <v>0</v>
      </c>
      <c r="BA162" s="90">
        <v>-0.13</v>
      </c>
      <c r="BB162" s="89">
        <v>5.0000000000000001E-3</v>
      </c>
      <c r="BC162" s="89">
        <v>-7.0000000000000007E-2</v>
      </c>
      <c r="BD162" s="89">
        <v>5.0000000000000001E-3</v>
      </c>
      <c r="BE162" s="89">
        <v>0.35</v>
      </c>
      <c r="BF162" s="89">
        <v>0</v>
      </c>
      <c r="BG162" s="89">
        <v>-0.06</v>
      </c>
      <c r="BH162" s="89">
        <v>0</v>
      </c>
      <c r="BI162" s="89">
        <v>0</v>
      </c>
      <c r="BJ162" s="62">
        <v>0.03</v>
      </c>
      <c r="BK162" s="62">
        <v>0.35</v>
      </c>
      <c r="BL162" s="62">
        <v>0</v>
      </c>
      <c r="BM162" s="62">
        <v>0.29799999999999999</v>
      </c>
      <c r="BN162" s="62">
        <v>0</v>
      </c>
      <c r="BO162" s="62">
        <v>-0.26</v>
      </c>
      <c r="BP162" s="62">
        <v>0</v>
      </c>
      <c r="BQ162" s="62">
        <v>0.5</v>
      </c>
      <c r="BR162" s="62">
        <v>0</v>
      </c>
      <c r="BS162" s="62">
        <v>-7.0000000000000007E-2</v>
      </c>
      <c r="BT162" s="62">
        <v>5.0000000000000001E-3</v>
      </c>
      <c r="BU162" s="62">
        <v>0.3</v>
      </c>
      <c r="BV162" s="62">
        <v>0</v>
      </c>
      <c r="BW162" s="62">
        <v>0</v>
      </c>
      <c r="BX162" s="62">
        <v>0</v>
      </c>
      <c r="BY162" s="62">
        <v>-8.9999989999999998E-3</v>
      </c>
      <c r="BZ162" s="62">
        <v>5.7500000000000002E-2</v>
      </c>
      <c r="CA162" s="62">
        <v>0.19500000000000001</v>
      </c>
      <c r="CB162" s="62">
        <v>5.0000000000000001E-3</v>
      </c>
      <c r="CC162" s="62">
        <v>-8.9999989999999998E-3</v>
      </c>
      <c r="CD162" s="62">
        <v>3.7000000000000002E-3</v>
      </c>
      <c r="CE162" s="62">
        <v>2.5000000000000001E-3</v>
      </c>
      <c r="CF162" s="62">
        <v>2.5000000000000001E-3</v>
      </c>
      <c r="CG162" s="62">
        <v>-8.9999989999999998E-3</v>
      </c>
      <c r="CH162" s="62">
        <v>3.7000000000000002E-3</v>
      </c>
      <c r="CI162" s="62">
        <v>-7.6999999999999999E-2</v>
      </c>
      <c r="CJ162" s="62">
        <v>2.5000000000000001E-3</v>
      </c>
      <c r="CK162" s="62">
        <v>7.4999999999999997E-2</v>
      </c>
      <c r="CL162" s="62">
        <v>2.5000000000000001E-3</v>
      </c>
      <c r="CM162" s="62">
        <v>-6.4000000000000001E-2</v>
      </c>
      <c r="CN162" s="62">
        <v>0.01</v>
      </c>
      <c r="CO162" s="62">
        <v>-8.9999989999999998E-3</v>
      </c>
      <c r="CP162" s="62">
        <v>7.4999999999999997E-3</v>
      </c>
      <c r="CQ162" s="62">
        <v>3.1E-2</v>
      </c>
      <c r="CR162" s="62">
        <v>1.2500000000000001E-2</v>
      </c>
      <c r="CS162" s="62">
        <v>0.65</v>
      </c>
      <c r="CT162" s="62">
        <v>5.5E-2</v>
      </c>
      <c r="CU162" s="62">
        <v>0.29799999999999999</v>
      </c>
      <c r="CV162" s="62">
        <v>0</v>
      </c>
      <c r="CW162" s="62">
        <v>0.21</v>
      </c>
      <c r="CX162" s="62">
        <v>0.02</v>
      </c>
      <c r="CY162" s="62">
        <v>-0.52</v>
      </c>
      <c r="CZ162" s="62">
        <v>0</v>
      </c>
      <c r="DA162" s="62">
        <v>-0.34</v>
      </c>
      <c r="DB162" s="62">
        <v>0</v>
      </c>
      <c r="DC162" s="62">
        <v>0.45</v>
      </c>
      <c r="DE162" s="62">
        <v>-3.7499999999999999E-2</v>
      </c>
      <c r="DF162" s="62">
        <v>1.2500000000000001E-2</v>
      </c>
      <c r="DG162" s="62">
        <v>1.2999999999999999E-2</v>
      </c>
      <c r="DH162" s="62">
        <v>7.4999999999999997E-3</v>
      </c>
      <c r="DI162" s="62">
        <v>0</v>
      </c>
      <c r="DJ162" s="62">
        <v>2.5000000000000001E-3</v>
      </c>
      <c r="DK162" s="62">
        <v>-4.2000000000000003E-2</v>
      </c>
      <c r="DL162" s="62">
        <v>2.5000000000000001E-3</v>
      </c>
      <c r="DM162" s="62">
        <v>-5.3499999999999999E-2</v>
      </c>
      <c r="DN162" s="62">
        <v>2.5000000000000001E-3</v>
      </c>
      <c r="DO162" s="62">
        <v>-7.5999999999999998E-2</v>
      </c>
      <c r="DP162" s="62">
        <v>2.5000000000000001E-3</v>
      </c>
      <c r="DQ162" s="62">
        <v>-7.1999999999999995E-2</v>
      </c>
      <c r="DR162" s="62">
        <v>-5.0000000000000001E-3</v>
      </c>
      <c r="DS162" s="62">
        <v>0.46</v>
      </c>
      <c r="DT162" s="62">
        <v>0.05</v>
      </c>
      <c r="DU162" s="62">
        <v>0</v>
      </c>
      <c r="DV162" s="62">
        <v>0</v>
      </c>
    </row>
    <row r="163" spans="4:126" x14ac:dyDescent="0.25">
      <c r="D163" s="91">
        <v>41609</v>
      </c>
      <c r="F163" s="89">
        <v>4.3494999999999999</v>
      </c>
      <c r="G163" s="90">
        <v>6.2901189598897594E-2</v>
      </c>
      <c r="H163" s="89">
        <v>0.17</v>
      </c>
      <c r="I163" s="89">
        <v>1</v>
      </c>
      <c r="J163" s="89">
        <v>1.05</v>
      </c>
      <c r="K163" s="89">
        <v>1</v>
      </c>
      <c r="L163" s="87">
        <v>1</v>
      </c>
      <c r="M163" s="87">
        <v>1.1499999999999999</v>
      </c>
      <c r="N163" s="89">
        <v>1.25</v>
      </c>
      <c r="O163" s="89">
        <v>1.05</v>
      </c>
      <c r="P163" s="89">
        <v>1</v>
      </c>
      <c r="Q163" s="89">
        <v>1.35</v>
      </c>
      <c r="R163" s="90">
        <v>1</v>
      </c>
      <c r="S163" s="90">
        <v>1.1000000000000001</v>
      </c>
      <c r="T163" s="89">
        <v>1</v>
      </c>
      <c r="U163" s="89">
        <v>1.25</v>
      </c>
      <c r="V163" s="89">
        <v>1.1000000000000001</v>
      </c>
      <c r="W163" s="89">
        <v>5.0000000000000001E-3</v>
      </c>
      <c r="X163" s="89">
        <v>0.03</v>
      </c>
      <c r="Y163" s="89">
        <v>0.13</v>
      </c>
      <c r="Z163" s="89">
        <v>0.02</v>
      </c>
      <c r="AA163" s="89">
        <v>0.28999999999999998</v>
      </c>
      <c r="AB163" s="89">
        <v>0</v>
      </c>
      <c r="AC163" s="89">
        <v>0.32500000000000001</v>
      </c>
      <c r="AD163" s="89">
        <v>0</v>
      </c>
      <c r="AE163" s="89">
        <v>0.28999999999999998</v>
      </c>
      <c r="AF163" s="89">
        <v>0</v>
      </c>
      <c r="AG163" s="89">
        <v>0.17</v>
      </c>
      <c r="AH163" s="89">
        <v>0</v>
      </c>
      <c r="AI163" s="89">
        <v>0.16552</v>
      </c>
      <c r="AJ163" s="89">
        <v>0</v>
      </c>
      <c r="AK163" s="89">
        <v>0.13</v>
      </c>
      <c r="AL163" s="89">
        <v>3.5000000000000003E-2</v>
      </c>
      <c r="AM163" s="89">
        <v>-5.7500000000000002E-2</v>
      </c>
      <c r="AN163" s="89">
        <v>2.4E-2</v>
      </c>
      <c r="AO163" s="89">
        <v>-0.59299999999999997</v>
      </c>
      <c r="AP163" s="89">
        <v>0.155</v>
      </c>
      <c r="AQ163" s="89">
        <v>-3.7499999999999999E-2</v>
      </c>
      <c r="AR163" s="89">
        <v>5.0000000000000001E-3</v>
      </c>
      <c r="AS163" s="89">
        <v>-0.1525</v>
      </c>
      <c r="AT163" s="89">
        <v>-5.0000000000000001E-3</v>
      </c>
      <c r="AU163" s="89">
        <v>-0.1125</v>
      </c>
      <c r="AV163" s="89">
        <v>-0.01</v>
      </c>
      <c r="AW163" s="89">
        <v>-3.7499999999999999E-2</v>
      </c>
      <c r="AX163" s="89">
        <v>2.1999999999999999E-2</v>
      </c>
      <c r="AY163" s="90">
        <v>0.155</v>
      </c>
      <c r="AZ163" s="90">
        <v>0</v>
      </c>
      <c r="BA163" s="90">
        <v>-0.13</v>
      </c>
      <c r="BB163" s="89">
        <v>5.0000000000000001E-3</v>
      </c>
      <c r="BC163" s="89">
        <v>-7.0000000000000007E-2</v>
      </c>
      <c r="BD163" s="89">
        <v>5.0000000000000001E-3</v>
      </c>
      <c r="BE163" s="89">
        <v>0.35</v>
      </c>
      <c r="BF163" s="89">
        <v>0</v>
      </c>
      <c r="BG163" s="89">
        <v>-0.06</v>
      </c>
      <c r="BH163" s="89">
        <v>0</v>
      </c>
      <c r="BI163" s="89">
        <v>0</v>
      </c>
      <c r="BJ163" s="62">
        <v>0.03</v>
      </c>
      <c r="BK163" s="62">
        <v>0.35</v>
      </c>
      <c r="BL163" s="62">
        <v>0</v>
      </c>
      <c r="BM163" s="62">
        <v>0.35799999999999998</v>
      </c>
      <c r="BN163" s="62">
        <v>0</v>
      </c>
      <c r="BO163" s="62">
        <v>-0.26</v>
      </c>
      <c r="BP163" s="62">
        <v>0</v>
      </c>
      <c r="BQ163" s="62">
        <v>0.5</v>
      </c>
      <c r="BR163" s="62">
        <v>0</v>
      </c>
      <c r="BS163" s="62">
        <v>-7.0000000000000007E-2</v>
      </c>
      <c r="BT163" s="62">
        <v>5.0000000000000001E-3</v>
      </c>
      <c r="BU163" s="62">
        <v>0.3</v>
      </c>
      <c r="BV163" s="62">
        <v>0</v>
      </c>
      <c r="BW163" s="62">
        <v>0</v>
      </c>
      <c r="BX163" s="62">
        <v>0</v>
      </c>
      <c r="BY163" s="62">
        <v>-8.9999989999999998E-3</v>
      </c>
      <c r="BZ163" s="62">
        <v>5.7500000000000002E-2</v>
      </c>
      <c r="CA163" s="62">
        <v>0.215</v>
      </c>
      <c r="CB163" s="62">
        <v>5.0000000000000001E-3</v>
      </c>
      <c r="CC163" s="62">
        <v>-8.9999989999999998E-3</v>
      </c>
      <c r="CD163" s="62">
        <v>3.7000000000000002E-3</v>
      </c>
      <c r="CE163" s="62">
        <v>2.5000000000000001E-3</v>
      </c>
      <c r="CF163" s="62">
        <v>2.5000000000000001E-3</v>
      </c>
      <c r="CG163" s="62">
        <v>-8.9999989999999998E-3</v>
      </c>
      <c r="CH163" s="62">
        <v>3.7000000000000002E-3</v>
      </c>
      <c r="CI163" s="62">
        <v>-0.1045</v>
      </c>
      <c r="CJ163" s="62">
        <v>2.5000000000000001E-3</v>
      </c>
      <c r="CK163" s="62">
        <v>7.4999999999999997E-2</v>
      </c>
      <c r="CL163" s="62">
        <v>2.5000000000000001E-3</v>
      </c>
      <c r="CM163" s="62">
        <v>-6.4000000000000001E-2</v>
      </c>
      <c r="CN163" s="62">
        <v>0.01</v>
      </c>
      <c r="CO163" s="62">
        <v>-8.9999989999999998E-3</v>
      </c>
      <c r="CP163" s="62">
        <v>7.4999999999999997E-3</v>
      </c>
      <c r="CQ163" s="62">
        <v>3.1E-2</v>
      </c>
      <c r="CR163" s="62">
        <v>1.2500000000000001E-2</v>
      </c>
      <c r="CS163" s="62">
        <v>0.98</v>
      </c>
      <c r="CT163" s="62">
        <v>0.25</v>
      </c>
      <c r="CU163" s="62">
        <v>0.35799999999999998</v>
      </c>
      <c r="CV163" s="62">
        <v>0</v>
      </c>
      <c r="CW163" s="62">
        <v>0.28999999999999998</v>
      </c>
      <c r="CX163" s="62">
        <v>0.02</v>
      </c>
      <c r="CY163" s="62">
        <v>-0.52</v>
      </c>
      <c r="CZ163" s="62">
        <v>0</v>
      </c>
      <c r="DA163" s="62">
        <v>-0.34</v>
      </c>
      <c r="DB163" s="62">
        <v>0</v>
      </c>
      <c r="DC163" s="62">
        <v>0.4</v>
      </c>
      <c r="DE163" s="62">
        <v>-3.7499999999999999E-2</v>
      </c>
      <c r="DF163" s="62">
        <v>1.2500000000000001E-2</v>
      </c>
      <c r="DG163" s="62">
        <v>1.2999999999999999E-2</v>
      </c>
      <c r="DH163" s="62">
        <v>7.4999999999999997E-3</v>
      </c>
      <c r="DI163" s="62">
        <v>0</v>
      </c>
      <c r="DJ163" s="62">
        <v>2.5000000000000001E-3</v>
      </c>
      <c r="DK163" s="62">
        <v>-6.9500000000000006E-2</v>
      </c>
      <c r="DL163" s="62">
        <v>2.5000000000000001E-3</v>
      </c>
      <c r="DM163" s="62">
        <v>-5.1499999999999997E-2</v>
      </c>
      <c r="DN163" s="62">
        <v>2.5000000000000001E-3</v>
      </c>
      <c r="DO163" s="62">
        <v>-7.3999999999999996E-2</v>
      </c>
      <c r="DP163" s="62">
        <v>2.5000000000000001E-3</v>
      </c>
      <c r="DQ163" s="62">
        <v>-9.9500000000000005E-2</v>
      </c>
      <c r="DR163" s="62">
        <v>-5.0000000000000001E-3</v>
      </c>
      <c r="DS163" s="62">
        <v>0.77</v>
      </c>
      <c r="DT163" s="62">
        <v>0.05</v>
      </c>
      <c r="DU163" s="62">
        <v>0</v>
      </c>
      <c r="DV163" s="62">
        <v>0</v>
      </c>
    </row>
    <row r="164" spans="4:126" x14ac:dyDescent="0.25">
      <c r="D164" s="91">
        <v>41640</v>
      </c>
      <c r="F164" s="89">
        <v>4.4095000000000004</v>
      </c>
      <c r="G164" s="90">
        <v>6.2941733695423399E-2</v>
      </c>
      <c r="H164" s="89">
        <v>0.17</v>
      </c>
      <c r="I164" s="89">
        <v>1</v>
      </c>
      <c r="J164" s="89">
        <v>1.05</v>
      </c>
      <c r="K164" s="89">
        <v>1</v>
      </c>
      <c r="L164" s="87">
        <v>1</v>
      </c>
      <c r="M164" s="87">
        <v>1.1499999999999999</v>
      </c>
      <c r="N164" s="89">
        <v>1.45</v>
      </c>
      <c r="O164" s="89">
        <v>1.05</v>
      </c>
      <c r="P164" s="89">
        <v>1</v>
      </c>
      <c r="Q164" s="89">
        <v>1.35</v>
      </c>
      <c r="R164" s="90">
        <v>1</v>
      </c>
      <c r="S164" s="90">
        <v>1.1000000000000001</v>
      </c>
      <c r="T164" s="89">
        <v>1</v>
      </c>
      <c r="U164" s="89">
        <v>1.45</v>
      </c>
      <c r="V164" s="89">
        <v>1.1000000000000001</v>
      </c>
      <c r="W164" s="89">
        <v>2.5000000000000001E-2</v>
      </c>
      <c r="X164" s="89">
        <v>0.03</v>
      </c>
      <c r="Y164" s="89">
        <v>0.13</v>
      </c>
      <c r="Z164" s="89">
        <v>0.02</v>
      </c>
      <c r="AA164" s="89">
        <v>0.28999999999999998</v>
      </c>
      <c r="AB164" s="89">
        <v>0</v>
      </c>
      <c r="AC164" s="89">
        <v>0.32500000000000001</v>
      </c>
      <c r="AD164" s="89">
        <v>0</v>
      </c>
      <c r="AE164" s="89">
        <v>0.28999999999999998</v>
      </c>
      <c r="AF164" s="89">
        <v>0</v>
      </c>
      <c r="AG164" s="89">
        <v>0.17</v>
      </c>
      <c r="AH164" s="89">
        <v>0</v>
      </c>
      <c r="AI164" s="89">
        <v>0.16752</v>
      </c>
      <c r="AJ164" s="89">
        <v>0</v>
      </c>
      <c r="AK164" s="89">
        <v>0.13</v>
      </c>
      <c r="AL164" s="89">
        <v>3.5000000000000003E-2</v>
      </c>
      <c r="AM164" s="89">
        <v>-5.7500000000000002E-2</v>
      </c>
      <c r="AN164" s="89">
        <v>2.4E-2</v>
      </c>
      <c r="AO164" s="89">
        <v>-0.59299999999999997</v>
      </c>
      <c r="AP164" s="89">
        <v>0.155</v>
      </c>
      <c r="AQ164" s="89">
        <v>-3.7499999999999999E-2</v>
      </c>
      <c r="AR164" s="89">
        <v>5.0000000000000001E-3</v>
      </c>
      <c r="AS164" s="89">
        <v>-0.155</v>
      </c>
      <c r="AT164" s="89">
        <v>-5.0000000000000001E-3</v>
      </c>
      <c r="AU164" s="89">
        <v>-0.115</v>
      </c>
      <c r="AV164" s="89">
        <v>-0.01</v>
      </c>
      <c r="AW164" s="89">
        <v>-3.7499999999999999E-2</v>
      </c>
      <c r="AX164" s="89">
        <v>2.1999999999999999E-2</v>
      </c>
      <c r="AY164" s="90">
        <v>0.155</v>
      </c>
      <c r="AZ164" s="90">
        <v>0</v>
      </c>
      <c r="BA164" s="90">
        <v>-0.13</v>
      </c>
      <c r="BB164" s="89">
        <v>5.0000000000000001E-3</v>
      </c>
      <c r="BC164" s="89">
        <v>-7.0000000000000007E-2</v>
      </c>
      <c r="BD164" s="89">
        <v>5.0000000000000001E-3</v>
      </c>
      <c r="BE164" s="89">
        <v>0.35</v>
      </c>
      <c r="BF164" s="89">
        <v>0</v>
      </c>
      <c r="BG164" s="89">
        <v>-0.06</v>
      </c>
      <c r="BH164" s="89">
        <v>0</v>
      </c>
      <c r="BI164" s="89">
        <v>0</v>
      </c>
      <c r="BJ164" s="62">
        <v>0.03</v>
      </c>
      <c r="BK164" s="62">
        <v>0.35</v>
      </c>
      <c r="BL164" s="62">
        <v>0</v>
      </c>
      <c r="BM164" s="62">
        <v>0.42799999999999999</v>
      </c>
      <c r="BN164" s="62">
        <v>0</v>
      </c>
      <c r="BO164" s="62">
        <v>-0.26</v>
      </c>
      <c r="BP164" s="62">
        <v>0</v>
      </c>
      <c r="BQ164" s="62">
        <v>0.5</v>
      </c>
      <c r="BR164" s="62">
        <v>0</v>
      </c>
      <c r="BS164" s="62">
        <v>-7.0000000000000007E-2</v>
      </c>
      <c r="BT164" s="62">
        <v>5.0000000000000001E-3</v>
      </c>
      <c r="BU164" s="62">
        <v>0.3</v>
      </c>
      <c r="BV164" s="62">
        <v>0</v>
      </c>
      <c r="BW164" s="62">
        <v>0</v>
      </c>
      <c r="BX164" s="62">
        <v>0</v>
      </c>
      <c r="BY164" s="62">
        <v>-6.9999989999999998E-3</v>
      </c>
      <c r="BZ164" s="62">
        <v>5.7500000000000002E-2</v>
      </c>
      <c r="CA164" s="62">
        <v>0.23499999999999999</v>
      </c>
      <c r="CB164" s="62">
        <v>5.0000000000000001E-3</v>
      </c>
      <c r="CC164" s="62">
        <v>-6.9999989999999998E-3</v>
      </c>
      <c r="CD164" s="62">
        <v>3.7000000000000002E-3</v>
      </c>
      <c r="CE164" s="62">
        <v>2.5000000000000001E-3</v>
      </c>
      <c r="CF164" s="62">
        <v>2.5000000000000001E-3</v>
      </c>
      <c r="CG164" s="62">
        <v>-6.9999989999999998E-3</v>
      </c>
      <c r="CH164" s="62">
        <v>3.7000000000000002E-3</v>
      </c>
      <c r="CI164" s="62">
        <v>-0.10249999999999999</v>
      </c>
      <c r="CJ164" s="62">
        <v>2.5000000000000001E-3</v>
      </c>
      <c r="CK164" s="62">
        <v>7.4999999999999997E-2</v>
      </c>
      <c r="CL164" s="62">
        <v>2.5000000000000001E-3</v>
      </c>
      <c r="CM164" s="62">
        <v>-6.4000000000000001E-2</v>
      </c>
      <c r="CN164" s="62">
        <v>0.01</v>
      </c>
      <c r="CO164" s="62">
        <v>-8.9999989999999998E-3</v>
      </c>
      <c r="CP164" s="62">
        <v>7.4999999999999997E-3</v>
      </c>
      <c r="CQ164" s="62">
        <v>3.1E-2</v>
      </c>
      <c r="CR164" s="62">
        <v>1.2500000000000001E-2</v>
      </c>
      <c r="CS164" s="62">
        <v>1.6</v>
      </c>
      <c r="CT164" s="62">
        <v>0.45</v>
      </c>
      <c r="CU164" s="62">
        <v>0.42799999999999999</v>
      </c>
      <c r="CV164" s="62">
        <v>0</v>
      </c>
      <c r="CW164" s="62">
        <v>0.34</v>
      </c>
      <c r="CX164" s="62">
        <v>0.02</v>
      </c>
      <c r="CY164" s="62">
        <v>-0.52</v>
      </c>
      <c r="CZ164" s="62">
        <v>0</v>
      </c>
      <c r="DA164" s="62">
        <v>-0.34</v>
      </c>
      <c r="DB164" s="62">
        <v>0</v>
      </c>
      <c r="DC164" s="62">
        <v>0.35</v>
      </c>
      <c r="DE164" s="62">
        <v>-3.7499999999999999E-2</v>
      </c>
      <c r="DF164" s="62">
        <v>1.2500000000000001E-2</v>
      </c>
      <c r="DG164" s="62">
        <v>1.2999999999999999E-2</v>
      </c>
      <c r="DH164" s="62">
        <v>7.4999999999999997E-3</v>
      </c>
      <c r="DI164" s="62">
        <v>0</v>
      </c>
      <c r="DJ164" s="62">
        <v>2.5000000000000001E-3</v>
      </c>
      <c r="DK164" s="62">
        <v>-8.4500000000000006E-2</v>
      </c>
      <c r="DL164" s="62">
        <v>2.5000000000000001E-3</v>
      </c>
      <c r="DM164" s="62">
        <v>-5.1499999999999997E-2</v>
      </c>
      <c r="DN164" s="62">
        <v>2.5000000000000001E-3</v>
      </c>
      <c r="DO164" s="62">
        <v>-7.3999999999999996E-2</v>
      </c>
      <c r="DP164" s="62">
        <v>2.5000000000000001E-3</v>
      </c>
      <c r="DQ164" s="62">
        <v>-0.1145</v>
      </c>
      <c r="DR164" s="62">
        <v>-5.0000000000000001E-3</v>
      </c>
      <c r="DS164" s="62">
        <v>1.04</v>
      </c>
      <c r="DT164" s="62">
        <v>0.05</v>
      </c>
      <c r="DU164" s="62">
        <v>0</v>
      </c>
      <c r="DV164" s="62">
        <v>0</v>
      </c>
    </row>
    <row r="165" spans="4:126" x14ac:dyDescent="0.25">
      <c r="D165" s="91">
        <v>41671</v>
      </c>
      <c r="F165" s="89">
        <v>4.3244999999999996</v>
      </c>
      <c r="G165" s="90">
        <v>6.2982277792494698E-2</v>
      </c>
      <c r="H165" s="89">
        <v>0.17</v>
      </c>
      <c r="I165" s="89">
        <v>1</v>
      </c>
      <c r="J165" s="89">
        <v>1.05</v>
      </c>
      <c r="K165" s="89">
        <v>1</v>
      </c>
      <c r="L165" s="87">
        <v>1</v>
      </c>
      <c r="M165" s="87">
        <v>1.1499999999999999</v>
      </c>
      <c r="N165" s="89">
        <v>1.45</v>
      </c>
      <c r="O165" s="89">
        <v>1.05</v>
      </c>
      <c r="P165" s="89">
        <v>1</v>
      </c>
      <c r="Q165" s="89">
        <v>1.35</v>
      </c>
      <c r="R165" s="90">
        <v>1</v>
      </c>
      <c r="S165" s="90">
        <v>1.1000000000000001</v>
      </c>
      <c r="T165" s="89">
        <v>1</v>
      </c>
      <c r="U165" s="89">
        <v>1.45</v>
      </c>
      <c r="V165" s="89">
        <v>1.1000000000000001</v>
      </c>
      <c r="W165" s="89">
        <v>0.02</v>
      </c>
      <c r="X165" s="89">
        <v>0.03</v>
      </c>
      <c r="Y165" s="89">
        <v>0.13</v>
      </c>
      <c r="Z165" s="89">
        <v>0.02</v>
      </c>
      <c r="AA165" s="89">
        <v>0.28999999999999998</v>
      </c>
      <c r="AB165" s="89">
        <v>0</v>
      </c>
      <c r="AC165" s="89">
        <v>0.32500000000000001</v>
      </c>
      <c r="AD165" s="89">
        <v>0</v>
      </c>
      <c r="AE165" s="89">
        <v>0.28999999999999998</v>
      </c>
      <c r="AF165" s="89">
        <v>0</v>
      </c>
      <c r="AG165" s="89">
        <v>0.17</v>
      </c>
      <c r="AH165" s="89">
        <v>0</v>
      </c>
      <c r="AI165" s="89">
        <v>0.16496</v>
      </c>
      <c r="AJ165" s="89">
        <v>0</v>
      </c>
      <c r="AK165" s="89">
        <v>0.13</v>
      </c>
      <c r="AL165" s="89">
        <v>3.5000000000000003E-2</v>
      </c>
      <c r="AM165" s="89">
        <v>-5.7500000000000002E-2</v>
      </c>
      <c r="AN165" s="89">
        <v>2.4E-2</v>
      </c>
      <c r="AO165" s="89">
        <v>-0.59299999999999997</v>
      </c>
      <c r="AP165" s="89">
        <v>0.155</v>
      </c>
      <c r="AQ165" s="89">
        <v>-3.7499999999999999E-2</v>
      </c>
      <c r="AR165" s="89">
        <v>5.0000000000000001E-3</v>
      </c>
      <c r="AS165" s="89">
        <v>-0.14749999999999999</v>
      </c>
      <c r="AT165" s="89">
        <v>-5.0000000000000001E-3</v>
      </c>
      <c r="AU165" s="89">
        <v>-0.1075</v>
      </c>
      <c r="AV165" s="89">
        <v>-0.01</v>
      </c>
      <c r="AW165" s="89">
        <v>-3.7499999999999999E-2</v>
      </c>
      <c r="AX165" s="89">
        <v>2.1999999999999999E-2</v>
      </c>
      <c r="AY165" s="90">
        <v>0.155</v>
      </c>
      <c r="AZ165" s="90">
        <v>0</v>
      </c>
      <c r="BA165" s="90">
        <v>-0.13</v>
      </c>
      <c r="BB165" s="89">
        <v>5.0000000000000001E-3</v>
      </c>
      <c r="BC165" s="89">
        <v>-7.0000000000000007E-2</v>
      </c>
      <c r="BD165" s="89">
        <v>5.0000000000000001E-3</v>
      </c>
      <c r="BE165" s="89">
        <v>0.35</v>
      </c>
      <c r="BF165" s="89">
        <v>0</v>
      </c>
      <c r="BG165" s="89">
        <v>-0.06</v>
      </c>
      <c r="BH165" s="89">
        <v>0</v>
      </c>
      <c r="BI165" s="89">
        <v>0</v>
      </c>
      <c r="BJ165" s="62">
        <v>0.03</v>
      </c>
      <c r="BK165" s="62">
        <v>0.35</v>
      </c>
      <c r="BL165" s="62">
        <v>0</v>
      </c>
      <c r="BM165" s="62">
        <v>0.29799999999999999</v>
      </c>
      <c r="BN165" s="62">
        <v>0</v>
      </c>
      <c r="BO165" s="62">
        <v>-0.26</v>
      </c>
      <c r="BP165" s="62">
        <v>0</v>
      </c>
      <c r="BQ165" s="62">
        <v>0.5</v>
      </c>
      <c r="BR165" s="62">
        <v>0</v>
      </c>
      <c r="BS165" s="62">
        <v>-7.0000000000000007E-2</v>
      </c>
      <c r="BT165" s="62">
        <v>5.0000000000000001E-3</v>
      </c>
      <c r="BU165" s="62">
        <v>0.3</v>
      </c>
      <c r="BV165" s="62">
        <v>0</v>
      </c>
      <c r="BW165" s="62">
        <v>0</v>
      </c>
      <c r="BX165" s="62">
        <v>0</v>
      </c>
      <c r="BY165" s="62">
        <v>-6.9999989999999998E-3</v>
      </c>
      <c r="BZ165" s="62">
        <v>5.7500000000000002E-2</v>
      </c>
      <c r="CA165" s="62">
        <v>0.23499999999999999</v>
      </c>
      <c r="CB165" s="62">
        <v>5.0000000000000001E-3</v>
      </c>
      <c r="CC165" s="62">
        <v>-6.9999989999999998E-3</v>
      </c>
      <c r="CD165" s="62">
        <v>3.7000000000000002E-3</v>
      </c>
      <c r="CE165" s="62">
        <v>2.5000000000000001E-3</v>
      </c>
      <c r="CF165" s="62">
        <v>2.5000000000000001E-3</v>
      </c>
      <c r="CG165" s="62">
        <v>-6.9999989999999998E-3</v>
      </c>
      <c r="CH165" s="62">
        <v>3.7000000000000002E-3</v>
      </c>
      <c r="CI165" s="62">
        <v>-0.10249999999999999</v>
      </c>
      <c r="CJ165" s="62">
        <v>2.5000000000000001E-3</v>
      </c>
      <c r="CK165" s="62">
        <v>7.4999999999999997E-2</v>
      </c>
      <c r="CL165" s="62">
        <v>2.5000000000000001E-3</v>
      </c>
      <c r="CM165" s="62">
        <v>-6.4000000000000001E-2</v>
      </c>
      <c r="CN165" s="62">
        <v>0.01</v>
      </c>
      <c r="CO165" s="62">
        <v>-8.9999989999999998E-3</v>
      </c>
      <c r="CP165" s="62">
        <v>7.4999999999999997E-3</v>
      </c>
      <c r="CQ165" s="62">
        <v>3.1E-2</v>
      </c>
      <c r="CR165" s="62">
        <v>1.2500000000000001E-2</v>
      </c>
      <c r="CS165" s="62">
        <v>1.6</v>
      </c>
      <c r="CT165" s="62">
        <v>0.45</v>
      </c>
      <c r="CU165" s="62">
        <v>0.29799999999999999</v>
      </c>
      <c r="CV165" s="62">
        <v>0</v>
      </c>
      <c r="CW165" s="62">
        <v>0.34</v>
      </c>
      <c r="CX165" s="62">
        <v>0.02</v>
      </c>
      <c r="CY165" s="62">
        <v>-0.52</v>
      </c>
      <c r="CZ165" s="62">
        <v>0</v>
      </c>
      <c r="DA165" s="62">
        <v>-0.34</v>
      </c>
      <c r="DB165" s="62">
        <v>0</v>
      </c>
      <c r="DC165" s="62">
        <v>0.35</v>
      </c>
      <c r="DE165" s="62">
        <v>-3.7499999999999999E-2</v>
      </c>
      <c r="DF165" s="62">
        <v>1.2500000000000001E-2</v>
      </c>
      <c r="DG165" s="62">
        <v>1.2999999999999999E-2</v>
      </c>
      <c r="DH165" s="62">
        <v>7.4999999999999997E-3</v>
      </c>
      <c r="DI165" s="62">
        <v>0</v>
      </c>
      <c r="DJ165" s="62">
        <v>2.5000000000000001E-3</v>
      </c>
      <c r="DK165" s="62">
        <v>-7.4499999999999997E-2</v>
      </c>
      <c r="DL165" s="62">
        <v>2.5000000000000001E-3</v>
      </c>
      <c r="DM165" s="62">
        <v>-5.1499999999999997E-2</v>
      </c>
      <c r="DN165" s="62">
        <v>2.5000000000000001E-3</v>
      </c>
      <c r="DO165" s="62">
        <v>-7.3999999999999996E-2</v>
      </c>
      <c r="DP165" s="62">
        <v>2.5000000000000001E-3</v>
      </c>
      <c r="DQ165" s="62">
        <v>-0.1045</v>
      </c>
      <c r="DR165" s="62">
        <v>-5.0000000000000001E-3</v>
      </c>
      <c r="DS165" s="62">
        <v>1.04</v>
      </c>
      <c r="DT165" s="62">
        <v>0.05</v>
      </c>
      <c r="DU165" s="62">
        <v>0</v>
      </c>
      <c r="DV165" s="62">
        <v>0</v>
      </c>
    </row>
    <row r="166" spans="4:126" x14ac:dyDescent="0.25">
      <c r="D166" s="91">
        <v>41699</v>
      </c>
      <c r="F166" s="89">
        <v>4.1944999999999997</v>
      </c>
      <c r="G166" s="90">
        <v>6.3018898267737503E-2</v>
      </c>
      <c r="H166" s="89">
        <v>0.17</v>
      </c>
      <c r="I166" s="89">
        <v>0.75</v>
      </c>
      <c r="J166" s="89">
        <v>0.8</v>
      </c>
      <c r="K166" s="89">
        <v>0.75</v>
      </c>
      <c r="L166" s="87">
        <v>0.75</v>
      </c>
      <c r="M166" s="87">
        <v>0.85</v>
      </c>
      <c r="N166" s="89">
        <v>1</v>
      </c>
      <c r="O166" s="89">
        <v>0.75</v>
      </c>
      <c r="P166" s="89">
        <v>0.75</v>
      </c>
      <c r="Q166" s="89">
        <v>0.95</v>
      </c>
      <c r="R166" s="90">
        <v>0.75</v>
      </c>
      <c r="S166" s="90">
        <v>0.75</v>
      </c>
      <c r="T166" s="89">
        <v>0.75</v>
      </c>
      <c r="U166" s="89">
        <v>1</v>
      </c>
      <c r="V166" s="89">
        <v>0.85</v>
      </c>
      <c r="W166" s="89">
        <v>0</v>
      </c>
      <c r="X166" s="89">
        <v>0.03</v>
      </c>
      <c r="Y166" s="89">
        <v>0.13</v>
      </c>
      <c r="Z166" s="89">
        <v>0.02</v>
      </c>
      <c r="AA166" s="89">
        <v>0.28999999999999998</v>
      </c>
      <c r="AB166" s="89">
        <v>0</v>
      </c>
      <c r="AC166" s="89">
        <v>0.32500000000000001</v>
      </c>
      <c r="AD166" s="89">
        <v>0</v>
      </c>
      <c r="AE166" s="89">
        <v>0.28999999999999998</v>
      </c>
      <c r="AF166" s="89">
        <v>0</v>
      </c>
      <c r="AG166" s="89">
        <v>0.17</v>
      </c>
      <c r="AH166" s="89">
        <v>0</v>
      </c>
      <c r="AI166" s="89">
        <v>0.1608</v>
      </c>
      <c r="AJ166" s="89">
        <v>0</v>
      </c>
      <c r="AK166" s="89">
        <v>0.13</v>
      </c>
      <c r="AL166" s="89">
        <v>3.5000000000000003E-2</v>
      </c>
      <c r="AM166" s="89">
        <v>-5.7500000000000002E-2</v>
      </c>
      <c r="AN166" s="89">
        <v>2.4E-2</v>
      </c>
      <c r="AO166" s="89">
        <v>-0.59299999999999997</v>
      </c>
      <c r="AP166" s="89">
        <v>0.155</v>
      </c>
      <c r="AQ166" s="89">
        <v>-3.7499999999999999E-2</v>
      </c>
      <c r="AR166" s="89">
        <v>5.0000000000000001E-3</v>
      </c>
      <c r="AS166" s="89">
        <v>-0.14499999999999999</v>
      </c>
      <c r="AT166" s="89">
        <v>-5.0000000000000001E-3</v>
      </c>
      <c r="AU166" s="89">
        <v>-0.105</v>
      </c>
      <c r="AV166" s="89">
        <v>-0.01</v>
      </c>
      <c r="AW166" s="89">
        <v>-3.7499999999999999E-2</v>
      </c>
      <c r="AX166" s="89">
        <v>2.1999999999999999E-2</v>
      </c>
      <c r="AY166" s="90">
        <v>0.155</v>
      </c>
      <c r="AZ166" s="90">
        <v>0</v>
      </c>
      <c r="BA166" s="90">
        <v>-0.13</v>
      </c>
      <c r="BB166" s="89">
        <v>5.0000000000000001E-3</v>
      </c>
      <c r="BC166" s="89">
        <v>-7.0000000000000007E-2</v>
      </c>
      <c r="BD166" s="89">
        <v>5.0000000000000001E-3</v>
      </c>
      <c r="BE166" s="89">
        <v>0.35</v>
      </c>
      <c r="BF166" s="89">
        <v>0</v>
      </c>
      <c r="BG166" s="89">
        <v>-0.06</v>
      </c>
      <c r="BH166" s="89">
        <v>0</v>
      </c>
      <c r="BI166" s="89">
        <v>0</v>
      </c>
      <c r="BJ166" s="62">
        <v>0.03</v>
      </c>
      <c r="BK166" s="62">
        <v>0.35</v>
      </c>
      <c r="BL166" s="62">
        <v>0</v>
      </c>
      <c r="BM166" s="62">
        <v>0.11799999999999999</v>
      </c>
      <c r="BN166" s="62">
        <v>0</v>
      </c>
      <c r="BO166" s="62">
        <v>-0.26</v>
      </c>
      <c r="BP166" s="62">
        <v>0</v>
      </c>
      <c r="BQ166" s="62">
        <v>0.5</v>
      </c>
      <c r="BR166" s="62">
        <v>0</v>
      </c>
      <c r="BS166" s="62">
        <v>-7.0000000000000007E-2</v>
      </c>
      <c r="BT166" s="62">
        <v>5.0000000000000001E-3</v>
      </c>
      <c r="BU166" s="62">
        <v>0.3</v>
      </c>
      <c r="BV166" s="62">
        <v>0</v>
      </c>
      <c r="BW166" s="62">
        <v>0</v>
      </c>
      <c r="BX166" s="62">
        <v>0</v>
      </c>
      <c r="BY166" s="62">
        <v>-6.9999989999999998E-3</v>
      </c>
      <c r="BZ166" s="62">
        <v>5.7500000000000002E-2</v>
      </c>
      <c r="CA166" s="62">
        <v>0.19500000000000001</v>
      </c>
      <c r="CB166" s="62">
        <v>5.0000000000000001E-3</v>
      </c>
      <c r="CC166" s="62">
        <v>-6.9999989999999998E-3</v>
      </c>
      <c r="CD166" s="62">
        <v>3.7000000000000002E-3</v>
      </c>
      <c r="CE166" s="62">
        <v>2.5000000000000001E-3</v>
      </c>
      <c r="CF166" s="62">
        <v>2.5000000000000001E-3</v>
      </c>
      <c r="CG166" s="62">
        <v>-6.9999989999999998E-3</v>
      </c>
      <c r="CH166" s="62">
        <v>3.7000000000000002E-3</v>
      </c>
      <c r="CI166" s="62">
        <v>-0.10249999999999999</v>
      </c>
      <c r="CJ166" s="62">
        <v>2.5000000000000001E-3</v>
      </c>
      <c r="CK166" s="62">
        <v>7.4999999999999997E-2</v>
      </c>
      <c r="CL166" s="62">
        <v>2.5000000000000001E-3</v>
      </c>
      <c r="CM166" s="62">
        <v>-6.4000000000000001E-2</v>
      </c>
      <c r="CN166" s="62">
        <v>0.01</v>
      </c>
      <c r="CO166" s="62">
        <v>-8.9999989999999998E-3</v>
      </c>
      <c r="CP166" s="62">
        <v>7.4999999999999997E-3</v>
      </c>
      <c r="CQ166" s="62">
        <v>3.1E-2</v>
      </c>
      <c r="CR166" s="62">
        <v>1.2500000000000001E-2</v>
      </c>
      <c r="CS166" s="62">
        <v>0.64</v>
      </c>
      <c r="CT166" s="62">
        <v>0.1</v>
      </c>
      <c r="CU166" s="62">
        <v>0.11799999999999999</v>
      </c>
      <c r="CV166" s="62">
        <v>0</v>
      </c>
      <c r="CW166" s="62">
        <v>0.28999999999999998</v>
      </c>
      <c r="CX166" s="62">
        <v>0.02</v>
      </c>
      <c r="CY166" s="62">
        <v>-0.52</v>
      </c>
      <c r="CZ166" s="62">
        <v>0</v>
      </c>
      <c r="DA166" s="62">
        <v>-0.34</v>
      </c>
      <c r="DB166" s="62">
        <v>0</v>
      </c>
      <c r="DC166" s="62">
        <v>0.4</v>
      </c>
      <c r="DE166" s="62">
        <v>-3.7499999999999999E-2</v>
      </c>
      <c r="DF166" s="62">
        <v>1.2500000000000001E-2</v>
      </c>
      <c r="DG166" s="62">
        <v>1.7999999999999999E-2</v>
      </c>
      <c r="DH166" s="62">
        <v>7.4999999999999997E-3</v>
      </c>
      <c r="DI166" s="62">
        <v>3.0000000000000001E-3</v>
      </c>
      <c r="DJ166" s="62">
        <v>2.5000000000000001E-3</v>
      </c>
      <c r="DK166" s="62">
        <v>-6.4500000000000002E-2</v>
      </c>
      <c r="DL166" s="62">
        <v>2.5000000000000001E-3</v>
      </c>
      <c r="DM166" s="62">
        <v>-5.1499999999999997E-2</v>
      </c>
      <c r="DN166" s="62">
        <v>2.5000000000000001E-3</v>
      </c>
      <c r="DO166" s="62">
        <v>-7.3999999999999996E-2</v>
      </c>
      <c r="DP166" s="62">
        <v>2.5000000000000001E-3</v>
      </c>
      <c r="DQ166" s="62">
        <v>-9.4500000000000001E-2</v>
      </c>
      <c r="DR166" s="62">
        <v>-5.0000000000000001E-3</v>
      </c>
      <c r="DS166" s="62">
        <v>0.54</v>
      </c>
      <c r="DT166" s="62">
        <v>0.05</v>
      </c>
      <c r="DU166" s="62">
        <v>0</v>
      </c>
      <c r="DV166" s="62">
        <v>0</v>
      </c>
    </row>
    <row r="167" spans="4:126" x14ac:dyDescent="0.25">
      <c r="D167" s="91">
        <v>41730</v>
      </c>
      <c r="F167" s="89">
        <v>4.0095000000000001</v>
      </c>
      <c r="G167" s="90">
        <v>6.3059442365846999E-2</v>
      </c>
      <c r="H167" s="89">
        <v>0.17</v>
      </c>
      <c r="I167" s="89">
        <v>0.4</v>
      </c>
      <c r="J167" s="89">
        <v>0.45</v>
      </c>
      <c r="K167" s="89">
        <v>0.4</v>
      </c>
      <c r="L167" s="87">
        <v>0.45</v>
      </c>
      <c r="M167" s="87">
        <v>0.45</v>
      </c>
      <c r="N167" s="89">
        <v>0.45</v>
      </c>
      <c r="O167" s="89">
        <v>0.45</v>
      </c>
      <c r="P167" s="89">
        <v>0.45</v>
      </c>
      <c r="Q167" s="89">
        <v>0.5</v>
      </c>
      <c r="R167" s="90">
        <v>0.4</v>
      </c>
      <c r="S167" s="90">
        <v>0.45</v>
      </c>
      <c r="T167" s="89">
        <v>0.4</v>
      </c>
      <c r="U167" s="89">
        <v>0.45</v>
      </c>
      <c r="V167" s="89">
        <v>0.55000000000000004</v>
      </c>
      <c r="W167" s="89">
        <v>-0.09</v>
      </c>
      <c r="X167" s="89">
        <v>0</v>
      </c>
      <c r="Y167" s="89">
        <v>0.04</v>
      </c>
      <c r="Z167" s="89">
        <v>5.0000000000000001E-3</v>
      </c>
      <c r="AA167" s="89">
        <v>0.17499999999999999</v>
      </c>
      <c r="AB167" s="89">
        <v>0</v>
      </c>
      <c r="AC167" s="89">
        <v>0.14000000000000001</v>
      </c>
      <c r="AD167" s="89">
        <v>0</v>
      </c>
      <c r="AE167" s="89">
        <v>0.17499999999999999</v>
      </c>
      <c r="AF167" s="89">
        <v>0</v>
      </c>
      <c r="AG167" s="89">
        <v>0.14000000000000001</v>
      </c>
      <c r="AH167" s="89">
        <v>0</v>
      </c>
      <c r="AI167" s="89">
        <v>0.14000000000000001</v>
      </c>
      <c r="AJ167" s="89">
        <v>0</v>
      </c>
      <c r="AK167" s="89">
        <v>0.04</v>
      </c>
      <c r="AL167" s="89">
        <v>0.04</v>
      </c>
      <c r="AM167" s="89">
        <v>-4.0500000000000001E-2</v>
      </c>
      <c r="AN167" s="89">
        <v>3.1E-2</v>
      </c>
      <c r="AO167" s="89">
        <v>-0.69299999999999995</v>
      </c>
      <c r="AP167" s="89">
        <v>0.155</v>
      </c>
      <c r="AQ167" s="89">
        <v>-0.03</v>
      </c>
      <c r="AR167" s="89">
        <v>0</v>
      </c>
      <c r="AS167" s="89">
        <v>-0.15</v>
      </c>
      <c r="AT167" s="89">
        <v>-1.4999999999999999E-2</v>
      </c>
      <c r="AU167" s="89">
        <v>-0.11</v>
      </c>
      <c r="AV167" s="89">
        <v>0.02</v>
      </c>
      <c r="AW167" s="89">
        <v>-3.5000000000000003E-2</v>
      </c>
      <c r="AX167" s="89">
        <v>1.4E-2</v>
      </c>
      <c r="AY167" s="90">
        <v>0.125</v>
      </c>
      <c r="AZ167" s="90">
        <v>0</v>
      </c>
      <c r="BA167" s="90">
        <v>-0.19500000000000001</v>
      </c>
      <c r="BB167" s="89">
        <v>2.5000000000000001E-3</v>
      </c>
      <c r="BC167" s="89">
        <v>-7.0000000000000007E-2</v>
      </c>
      <c r="BD167" s="89">
        <v>5.0000000000000001E-3</v>
      </c>
      <c r="BE167" s="89">
        <v>0.43</v>
      </c>
      <c r="BF167" s="89">
        <v>0</v>
      </c>
      <c r="BG167" s="89">
        <v>-0.06</v>
      </c>
      <c r="BH167" s="89">
        <v>0</v>
      </c>
      <c r="BI167" s="89">
        <v>0</v>
      </c>
      <c r="BJ167" s="62">
        <v>0.03</v>
      </c>
      <c r="BK167" s="62">
        <v>0.43</v>
      </c>
      <c r="BL167" s="62">
        <v>0</v>
      </c>
      <c r="BM167" s="62">
        <v>-0.2</v>
      </c>
      <c r="BN167" s="62">
        <v>0</v>
      </c>
      <c r="BO167" s="62">
        <v>-0.37</v>
      </c>
      <c r="BP167" s="62">
        <v>0</v>
      </c>
      <c r="BQ167" s="62">
        <v>0.5</v>
      </c>
      <c r="BR167" s="62">
        <v>0</v>
      </c>
      <c r="BS167" s="62">
        <v>-7.0000000000000007E-2</v>
      </c>
      <c r="BT167" s="62">
        <v>5.0000000000000001E-3</v>
      </c>
      <c r="BU167" s="62">
        <v>0.3</v>
      </c>
      <c r="BV167" s="62">
        <v>0</v>
      </c>
      <c r="BW167" s="62">
        <v>0</v>
      </c>
      <c r="BX167" s="62">
        <v>0</v>
      </c>
      <c r="BY167" s="62">
        <v>-6.9999989999999998E-3</v>
      </c>
      <c r="BZ167" s="62">
        <v>5.7500000000000002E-2</v>
      </c>
      <c r="CA167" s="62">
        <v>0.14499999999999999</v>
      </c>
      <c r="CB167" s="62">
        <v>5.0000000000000001E-3</v>
      </c>
      <c r="CC167" s="62">
        <v>-6.9999989999999998E-3</v>
      </c>
      <c r="CD167" s="62">
        <v>3.5000000000000001E-3</v>
      </c>
      <c r="CE167" s="62">
        <v>2.5000000000000001E-3</v>
      </c>
      <c r="CF167" s="62">
        <v>2.5000000000000001E-3</v>
      </c>
      <c r="CG167" s="62">
        <v>-6.9999989999999998E-3</v>
      </c>
      <c r="CH167" s="62">
        <v>3.5000000000000001E-3</v>
      </c>
      <c r="CI167" s="62">
        <v>-0.1225</v>
      </c>
      <c r="CJ167" s="62">
        <v>2.5000000000000001E-3</v>
      </c>
      <c r="CK167" s="62">
        <v>7.7499999999999999E-2</v>
      </c>
      <c r="CL167" s="62">
        <v>2.5000000000000001E-3</v>
      </c>
      <c r="CM167" s="62">
        <v>-7.1999999999999995E-2</v>
      </c>
      <c r="CN167" s="62">
        <v>7.4999999999999997E-3</v>
      </c>
      <c r="CO167" s="62">
        <v>-1.7000000000000001E-2</v>
      </c>
      <c r="CP167" s="62">
        <v>5.0000000000000001E-3</v>
      </c>
      <c r="CQ167" s="62">
        <v>2.3E-2</v>
      </c>
      <c r="CR167" s="62">
        <v>7.4999999999999997E-3</v>
      </c>
      <c r="CS167" s="62">
        <v>0.38</v>
      </c>
      <c r="CT167" s="62">
        <v>0.02</v>
      </c>
      <c r="CU167" s="62">
        <v>-0.2</v>
      </c>
      <c r="CV167" s="62">
        <v>0</v>
      </c>
      <c r="CW167" s="62">
        <v>0.19500000000000001</v>
      </c>
      <c r="CX167" s="62">
        <v>7.4999999999999997E-3</v>
      </c>
      <c r="CY167" s="62">
        <v>-0.63</v>
      </c>
      <c r="CZ167" s="62">
        <v>0</v>
      </c>
      <c r="DA167" s="62">
        <v>-0.45</v>
      </c>
      <c r="DB167" s="62">
        <v>0</v>
      </c>
      <c r="DC167" s="62">
        <v>0.6</v>
      </c>
      <c r="DE167" s="62">
        <v>-4.4999999999999998E-2</v>
      </c>
      <c r="DF167" s="62">
        <v>0.01</v>
      </c>
      <c r="DG167" s="62">
        <v>1.7999999999999999E-2</v>
      </c>
      <c r="DH167" s="62">
        <v>0.01</v>
      </c>
      <c r="DI167" s="62">
        <v>3.0000000000000001E-3</v>
      </c>
      <c r="DJ167" s="62">
        <v>7.4999999999999997E-3</v>
      </c>
      <c r="DK167" s="62">
        <v>-0.1075</v>
      </c>
      <c r="DL167" s="62">
        <v>5.0000000000000001E-3</v>
      </c>
      <c r="DM167" s="62">
        <v>-4.9000000000000002E-2</v>
      </c>
      <c r="DN167" s="62">
        <v>2.5000000000000001E-3</v>
      </c>
      <c r="DO167" s="62">
        <v>-7.1499999999999994E-2</v>
      </c>
      <c r="DP167" s="62">
        <v>2.5000000000000001E-3</v>
      </c>
      <c r="DQ167" s="62">
        <v>-0.13750000000000001</v>
      </c>
      <c r="DR167" s="62">
        <v>-5.0000000000000001E-3</v>
      </c>
      <c r="DS167" s="62">
        <v>0.36</v>
      </c>
      <c r="DT167" s="62">
        <v>5.0000000000000001E-3</v>
      </c>
      <c r="DU167" s="62">
        <v>0</v>
      </c>
      <c r="DV167" s="62">
        <v>0</v>
      </c>
    </row>
    <row r="168" spans="4:126" x14ac:dyDescent="0.25">
      <c r="D168" s="91">
        <v>41760</v>
      </c>
      <c r="F168" s="89">
        <v>4.0045000000000002</v>
      </c>
      <c r="G168" s="90">
        <v>6.3098678590343099E-2</v>
      </c>
      <c r="H168" s="89">
        <v>0.17</v>
      </c>
      <c r="I168" s="89">
        <v>0.45</v>
      </c>
      <c r="J168" s="89">
        <v>0.5</v>
      </c>
      <c r="K168" s="89">
        <v>0.4</v>
      </c>
      <c r="L168" s="87">
        <v>0.4</v>
      </c>
      <c r="M168" s="87">
        <v>0.45</v>
      </c>
      <c r="N168" s="89">
        <v>0.5</v>
      </c>
      <c r="O168" s="89">
        <v>0.45</v>
      </c>
      <c r="P168" s="89">
        <v>0.4</v>
      </c>
      <c r="Q168" s="89">
        <v>0.45</v>
      </c>
      <c r="R168" s="90">
        <v>0.45</v>
      </c>
      <c r="S168" s="90">
        <v>0.5</v>
      </c>
      <c r="T168" s="89">
        <v>0.45</v>
      </c>
      <c r="U168" s="89">
        <v>0.5</v>
      </c>
      <c r="V168" s="89">
        <v>0.5</v>
      </c>
      <c r="W168" s="89">
        <v>-0.09</v>
      </c>
      <c r="X168" s="89">
        <v>0</v>
      </c>
      <c r="Y168" s="89">
        <v>0.04</v>
      </c>
      <c r="Z168" s="89">
        <v>5.0000000000000001E-3</v>
      </c>
      <c r="AA168" s="89">
        <v>0.17499999999999999</v>
      </c>
      <c r="AB168" s="89">
        <v>0</v>
      </c>
      <c r="AC168" s="89">
        <v>0.14000000000000001</v>
      </c>
      <c r="AD168" s="89">
        <v>0</v>
      </c>
      <c r="AE168" s="89">
        <v>0.17499999999999999</v>
      </c>
      <c r="AF168" s="89">
        <v>0</v>
      </c>
      <c r="AG168" s="89">
        <v>0.14000000000000001</v>
      </c>
      <c r="AH168" s="89">
        <v>0</v>
      </c>
      <c r="AI168" s="89">
        <v>0.14000000000000001</v>
      </c>
      <c r="AJ168" s="89">
        <v>0</v>
      </c>
      <c r="AK168" s="89">
        <v>0.04</v>
      </c>
      <c r="AL168" s="89">
        <v>0.04</v>
      </c>
      <c r="AM168" s="89">
        <v>-4.0500000000000001E-2</v>
      </c>
      <c r="AN168" s="89">
        <v>3.1E-2</v>
      </c>
      <c r="AO168" s="89">
        <v>-0.69299999999999995</v>
      </c>
      <c r="AP168" s="89">
        <v>0.155</v>
      </c>
      <c r="AQ168" s="89">
        <v>-0.03</v>
      </c>
      <c r="AR168" s="89">
        <v>0</v>
      </c>
      <c r="AS168" s="89">
        <v>-0.15</v>
      </c>
      <c r="AT168" s="89">
        <v>-1.4999999999999999E-2</v>
      </c>
      <c r="AU168" s="89">
        <v>-0.11</v>
      </c>
      <c r="AV168" s="89">
        <v>0.02</v>
      </c>
      <c r="AW168" s="89">
        <v>-3.5000000000000003E-2</v>
      </c>
      <c r="AX168" s="89">
        <v>1.4E-2</v>
      </c>
      <c r="AY168" s="90">
        <v>0.125</v>
      </c>
      <c r="AZ168" s="90">
        <v>0</v>
      </c>
      <c r="BA168" s="90">
        <v>-0.19500000000000001</v>
      </c>
      <c r="BB168" s="89">
        <v>2.5000000000000001E-3</v>
      </c>
      <c r="BC168" s="89">
        <v>-7.0000000000000007E-2</v>
      </c>
      <c r="BD168" s="89">
        <v>5.0000000000000001E-3</v>
      </c>
      <c r="BE168" s="89">
        <v>0.43</v>
      </c>
      <c r="BF168" s="89">
        <v>0</v>
      </c>
      <c r="BG168" s="89">
        <v>-0.06</v>
      </c>
      <c r="BH168" s="89">
        <v>0</v>
      </c>
      <c r="BI168" s="89">
        <v>0</v>
      </c>
      <c r="BJ168" s="62">
        <v>0.03</v>
      </c>
      <c r="BK168" s="62">
        <v>0.43</v>
      </c>
      <c r="BL168" s="62">
        <v>0</v>
      </c>
      <c r="BM168" s="62">
        <v>-0.05</v>
      </c>
      <c r="BN168" s="62">
        <v>0</v>
      </c>
      <c r="BO168" s="62">
        <v>-0.37</v>
      </c>
      <c r="BP168" s="62">
        <v>0</v>
      </c>
      <c r="BQ168" s="62">
        <v>0.5</v>
      </c>
      <c r="BR168" s="62">
        <v>0</v>
      </c>
      <c r="BS168" s="62">
        <v>-7.0000000000000007E-2</v>
      </c>
      <c r="BT168" s="62">
        <v>5.0000000000000001E-3</v>
      </c>
      <c r="BU168" s="62">
        <v>0.3</v>
      </c>
      <c r="BV168" s="62">
        <v>0</v>
      </c>
      <c r="BW168" s="62">
        <v>0</v>
      </c>
      <c r="BX168" s="62">
        <v>0</v>
      </c>
      <c r="BY168" s="62">
        <v>-6.9999989999999998E-3</v>
      </c>
      <c r="BZ168" s="62">
        <v>5.7500000000000002E-2</v>
      </c>
      <c r="CA168" s="62">
        <v>0.125</v>
      </c>
      <c r="CB168" s="62">
        <v>5.0000000000000001E-3</v>
      </c>
      <c r="CC168" s="62">
        <v>-6.9999989999999998E-3</v>
      </c>
      <c r="CD168" s="62">
        <v>3.5000000000000001E-3</v>
      </c>
      <c r="CE168" s="62">
        <v>2.5000000000000001E-3</v>
      </c>
      <c r="CF168" s="62">
        <v>2.5000000000000001E-3</v>
      </c>
      <c r="CG168" s="62">
        <v>-6.9999989999999998E-3</v>
      </c>
      <c r="CH168" s="62">
        <v>3.5000000000000001E-3</v>
      </c>
      <c r="CI168" s="62">
        <v>-0.11</v>
      </c>
      <c r="CJ168" s="62">
        <v>2.5000000000000001E-3</v>
      </c>
      <c r="CK168" s="62">
        <v>7.7499999999999999E-2</v>
      </c>
      <c r="CL168" s="62">
        <v>2.5000000000000001E-3</v>
      </c>
      <c r="CM168" s="62">
        <v>-7.1999999999999995E-2</v>
      </c>
      <c r="CN168" s="62">
        <v>7.4999999999999997E-3</v>
      </c>
      <c r="CO168" s="62">
        <v>-1.7000000000000001E-2</v>
      </c>
      <c r="CP168" s="62">
        <v>5.0000000000000001E-3</v>
      </c>
      <c r="CQ168" s="62">
        <v>2.3E-2</v>
      </c>
      <c r="CR168" s="62">
        <v>7.4999999999999997E-3</v>
      </c>
      <c r="CS168" s="62">
        <v>0.33</v>
      </c>
      <c r="CT168" s="62">
        <v>0.02</v>
      </c>
      <c r="CU168" s="62">
        <v>-0.05</v>
      </c>
      <c r="CV168" s="62">
        <v>0</v>
      </c>
      <c r="CW168" s="62">
        <v>0.13500000000000001</v>
      </c>
      <c r="CX168" s="62">
        <v>7.4999999999999997E-3</v>
      </c>
      <c r="CY168" s="62">
        <v>-0.63</v>
      </c>
      <c r="CZ168" s="62">
        <v>0</v>
      </c>
      <c r="DA168" s="62">
        <v>-0.45</v>
      </c>
      <c r="DB168" s="62">
        <v>0</v>
      </c>
      <c r="DC168" s="62">
        <v>0.75</v>
      </c>
      <c r="DE168" s="62">
        <v>-4.4999999999999998E-2</v>
      </c>
      <c r="DF168" s="62">
        <v>0.01</v>
      </c>
      <c r="DG168" s="62">
        <v>2.0500000000000001E-2</v>
      </c>
      <c r="DH168" s="62">
        <v>0.01</v>
      </c>
      <c r="DI168" s="62">
        <v>5.4999999999999997E-3</v>
      </c>
      <c r="DJ168" s="62">
        <v>7.4999999999999997E-3</v>
      </c>
      <c r="DK168" s="62">
        <v>-8.5000000000000006E-2</v>
      </c>
      <c r="DL168" s="62">
        <v>5.0000000000000001E-3</v>
      </c>
      <c r="DM168" s="62">
        <v>-4.9000000000000002E-2</v>
      </c>
      <c r="DN168" s="62">
        <v>2.5000000000000001E-3</v>
      </c>
      <c r="DO168" s="62">
        <v>-7.1499999999999994E-2</v>
      </c>
      <c r="DP168" s="62">
        <v>2.5000000000000001E-3</v>
      </c>
      <c r="DQ168" s="62">
        <v>-0.115</v>
      </c>
      <c r="DR168" s="62">
        <v>-5.0000000000000001E-3</v>
      </c>
      <c r="DS168" s="62">
        <v>0.32500000000000001</v>
      </c>
      <c r="DT168" s="62">
        <v>5.0000000000000001E-3</v>
      </c>
      <c r="DU168" s="62">
        <v>0</v>
      </c>
      <c r="DV168" s="62">
        <v>0</v>
      </c>
    </row>
    <row r="169" spans="4:126" x14ac:dyDescent="0.25">
      <c r="D169" s="91">
        <v>41791</v>
      </c>
      <c r="F169" s="89">
        <v>4.0395000000000003</v>
      </c>
      <c r="G169" s="90">
        <v>6.3139222689525501E-2</v>
      </c>
      <c r="H169" s="89">
        <v>0.17</v>
      </c>
      <c r="I169" s="89">
        <v>0.45</v>
      </c>
      <c r="J169" s="89">
        <v>0.5</v>
      </c>
      <c r="K169" s="89">
        <v>0.4</v>
      </c>
      <c r="L169" s="87">
        <v>0.5</v>
      </c>
      <c r="M169" s="87">
        <v>0.45</v>
      </c>
      <c r="N169" s="89">
        <v>0.5</v>
      </c>
      <c r="O169" s="89">
        <v>0.5</v>
      </c>
      <c r="P169" s="89">
        <v>0.5</v>
      </c>
      <c r="Q169" s="89">
        <v>0.5</v>
      </c>
      <c r="R169" s="90">
        <v>0.45</v>
      </c>
      <c r="S169" s="90">
        <v>0.5</v>
      </c>
      <c r="T169" s="89">
        <v>0.45</v>
      </c>
      <c r="U169" s="89">
        <v>0.5</v>
      </c>
      <c r="V169" s="89">
        <v>0.6</v>
      </c>
      <c r="W169" s="89">
        <v>-0.09</v>
      </c>
      <c r="X169" s="89">
        <v>0</v>
      </c>
      <c r="Y169" s="89">
        <v>0.04</v>
      </c>
      <c r="Z169" s="89">
        <v>5.0000000000000001E-3</v>
      </c>
      <c r="AA169" s="89">
        <v>0.17499999999999999</v>
      </c>
      <c r="AB169" s="89">
        <v>0</v>
      </c>
      <c r="AC169" s="89">
        <v>0.14000000000000001</v>
      </c>
      <c r="AD169" s="89">
        <v>0</v>
      </c>
      <c r="AE169" s="89">
        <v>0.17499999999999999</v>
      </c>
      <c r="AF169" s="89">
        <v>0</v>
      </c>
      <c r="AG169" s="89">
        <v>0.14000000000000001</v>
      </c>
      <c r="AH169" s="89">
        <v>0</v>
      </c>
      <c r="AI169" s="89">
        <v>0.14000000000000001</v>
      </c>
      <c r="AJ169" s="89">
        <v>0</v>
      </c>
      <c r="AK169" s="89">
        <v>0.04</v>
      </c>
      <c r="AL169" s="89">
        <v>0.04</v>
      </c>
      <c r="AM169" s="89">
        <v>-4.0500000000000001E-2</v>
      </c>
      <c r="AN169" s="89">
        <v>3.1E-2</v>
      </c>
      <c r="AO169" s="89">
        <v>-0.69299999999999995</v>
      </c>
      <c r="AP169" s="89">
        <v>0.155</v>
      </c>
      <c r="AQ169" s="89">
        <v>-0.03</v>
      </c>
      <c r="AR169" s="89">
        <v>0</v>
      </c>
      <c r="AS169" s="89">
        <v>-0.15</v>
      </c>
      <c r="AT169" s="89">
        <v>-1.4999999999999999E-2</v>
      </c>
      <c r="AU169" s="89">
        <v>-0.11</v>
      </c>
      <c r="AV169" s="89">
        <v>0.02</v>
      </c>
      <c r="AW169" s="89">
        <v>-3.5000000000000003E-2</v>
      </c>
      <c r="AX169" s="89">
        <v>1.4E-2</v>
      </c>
      <c r="AY169" s="90">
        <v>0.125</v>
      </c>
      <c r="AZ169" s="90">
        <v>0</v>
      </c>
      <c r="BA169" s="90">
        <v>-0.19500000000000001</v>
      </c>
      <c r="BB169" s="89">
        <v>2.5000000000000001E-3</v>
      </c>
      <c r="BC169" s="89">
        <v>-7.0000000000000007E-2</v>
      </c>
      <c r="BD169" s="89">
        <v>5.0000000000000001E-3</v>
      </c>
      <c r="BE169" s="89">
        <v>0.43</v>
      </c>
      <c r="BF169" s="89">
        <v>0</v>
      </c>
      <c r="BG169" s="89">
        <v>-0.06</v>
      </c>
      <c r="BH169" s="89">
        <v>0</v>
      </c>
      <c r="BI169" s="89">
        <v>0</v>
      </c>
      <c r="BJ169" s="62">
        <v>0.03</v>
      </c>
      <c r="BK169" s="62">
        <v>0.43</v>
      </c>
      <c r="BL169" s="62">
        <v>0</v>
      </c>
      <c r="BM169" s="62">
        <v>-0.05</v>
      </c>
      <c r="BN169" s="62">
        <v>0</v>
      </c>
      <c r="BO169" s="62">
        <v>-0.37</v>
      </c>
      <c r="BP169" s="62">
        <v>0</v>
      </c>
      <c r="BQ169" s="62">
        <v>0.5</v>
      </c>
      <c r="BR169" s="62">
        <v>0</v>
      </c>
      <c r="BS169" s="62">
        <v>-7.0000000000000007E-2</v>
      </c>
      <c r="BT169" s="62">
        <v>5.0000000000000001E-3</v>
      </c>
      <c r="BU169" s="62">
        <v>0.3</v>
      </c>
      <c r="BV169" s="62">
        <v>0</v>
      </c>
      <c r="BW169" s="62">
        <v>0</v>
      </c>
      <c r="BX169" s="62">
        <v>0</v>
      </c>
      <c r="BY169" s="62">
        <v>-6.9999989999999998E-3</v>
      </c>
      <c r="BZ169" s="62">
        <v>5.7500000000000002E-2</v>
      </c>
      <c r="CA169" s="62">
        <v>0.14499999999999999</v>
      </c>
      <c r="CB169" s="62">
        <v>5.0000000000000001E-3</v>
      </c>
      <c r="CC169" s="62">
        <v>-6.9999989999999998E-3</v>
      </c>
      <c r="CD169" s="62">
        <v>3.5000000000000001E-3</v>
      </c>
      <c r="CE169" s="62">
        <v>2.5000000000000001E-3</v>
      </c>
      <c r="CF169" s="62">
        <v>2.5000000000000001E-3</v>
      </c>
      <c r="CG169" s="62">
        <v>-6.9999989999999998E-3</v>
      </c>
      <c r="CH169" s="62">
        <v>3.5000000000000001E-3</v>
      </c>
      <c r="CI169" s="62">
        <v>-6.7500000000000004E-2</v>
      </c>
      <c r="CJ169" s="62">
        <v>2.5000000000000001E-3</v>
      </c>
      <c r="CK169" s="62">
        <v>7.7499999999999999E-2</v>
      </c>
      <c r="CL169" s="62">
        <v>2.5000000000000001E-3</v>
      </c>
      <c r="CM169" s="62">
        <v>-7.1999999999999995E-2</v>
      </c>
      <c r="CN169" s="62">
        <v>7.4999999999999997E-3</v>
      </c>
      <c r="CO169" s="62">
        <v>-1.7000000000000001E-2</v>
      </c>
      <c r="CP169" s="62">
        <v>5.0000000000000001E-3</v>
      </c>
      <c r="CQ169" s="62">
        <v>2.3E-2</v>
      </c>
      <c r="CR169" s="62">
        <v>7.4999999999999997E-3</v>
      </c>
      <c r="CS169" s="62">
        <v>0.37</v>
      </c>
      <c r="CT169" s="62">
        <v>3.5000000000000003E-2</v>
      </c>
      <c r="CU169" s="62">
        <v>-0.05</v>
      </c>
      <c r="CV169" s="62">
        <v>0</v>
      </c>
      <c r="CW169" s="62">
        <v>0.16500000000000001</v>
      </c>
      <c r="CX169" s="62">
        <v>7.4999999999999997E-3</v>
      </c>
      <c r="CY169" s="62">
        <v>-0.63</v>
      </c>
      <c r="CZ169" s="62">
        <v>0</v>
      </c>
      <c r="DA169" s="62">
        <v>-0.45</v>
      </c>
      <c r="DB169" s="62">
        <v>0</v>
      </c>
      <c r="DC169" s="62">
        <v>0.85</v>
      </c>
      <c r="DE169" s="62">
        <v>-4.2500000000000003E-2</v>
      </c>
      <c r="DF169" s="62">
        <v>0.01</v>
      </c>
      <c r="DG169" s="62">
        <v>2.0500000000000001E-2</v>
      </c>
      <c r="DH169" s="62">
        <v>0.01</v>
      </c>
      <c r="DI169" s="62">
        <v>5.4999999999999997E-3</v>
      </c>
      <c r="DJ169" s="62">
        <v>7.4999999999999997E-3</v>
      </c>
      <c r="DK169" s="62">
        <v>-3.2500000000000001E-2</v>
      </c>
      <c r="DL169" s="62">
        <v>5.0000000000000001E-3</v>
      </c>
      <c r="DM169" s="62">
        <v>-4.9000000000000002E-2</v>
      </c>
      <c r="DN169" s="62">
        <v>2.5000000000000001E-3</v>
      </c>
      <c r="DO169" s="62">
        <v>-7.1499999999999994E-2</v>
      </c>
      <c r="DP169" s="62">
        <v>2.5000000000000001E-3</v>
      </c>
      <c r="DQ169" s="62">
        <v>-6.25E-2</v>
      </c>
      <c r="DR169" s="62">
        <v>-5.0000000000000001E-3</v>
      </c>
      <c r="DS169" s="62">
        <v>0.33500000000000002</v>
      </c>
      <c r="DT169" s="62">
        <v>5.0000000000000001E-3</v>
      </c>
      <c r="DU169" s="62">
        <v>0</v>
      </c>
      <c r="DV169" s="62">
        <v>0</v>
      </c>
    </row>
    <row r="170" spans="4:126" x14ac:dyDescent="0.25">
      <c r="D170" s="91">
        <v>41821</v>
      </c>
      <c r="F170" s="89">
        <v>4.0795000000000003</v>
      </c>
      <c r="G170" s="90">
        <v>6.3178458915059896E-2</v>
      </c>
      <c r="H170" s="89">
        <v>0.17</v>
      </c>
      <c r="I170" s="89">
        <v>0.5</v>
      </c>
      <c r="J170" s="89">
        <v>0.5</v>
      </c>
      <c r="K170" s="89">
        <v>0.4</v>
      </c>
      <c r="L170" s="87">
        <v>0.5</v>
      </c>
      <c r="M170" s="87">
        <v>0.5</v>
      </c>
      <c r="N170" s="89">
        <v>0.5</v>
      </c>
      <c r="O170" s="89">
        <v>0.5</v>
      </c>
      <c r="P170" s="89">
        <v>0.5</v>
      </c>
      <c r="Q170" s="89">
        <v>0.5</v>
      </c>
      <c r="R170" s="90">
        <v>0.5</v>
      </c>
      <c r="S170" s="90">
        <v>0.55000000000000004</v>
      </c>
      <c r="T170" s="89">
        <v>0.5</v>
      </c>
      <c r="U170" s="89">
        <v>0.5</v>
      </c>
      <c r="V170" s="89">
        <v>0.6</v>
      </c>
      <c r="W170" s="89">
        <v>-0.09</v>
      </c>
      <c r="X170" s="89">
        <v>0</v>
      </c>
      <c r="Y170" s="89">
        <v>0.04</v>
      </c>
      <c r="Z170" s="89">
        <v>5.0000000000000001E-3</v>
      </c>
      <c r="AA170" s="89">
        <v>0.17499999999999999</v>
      </c>
      <c r="AB170" s="89">
        <v>0</v>
      </c>
      <c r="AC170" s="89">
        <v>0.14000000000000001</v>
      </c>
      <c r="AD170" s="89">
        <v>0</v>
      </c>
      <c r="AE170" s="89">
        <v>0.17499999999999999</v>
      </c>
      <c r="AF170" s="89">
        <v>0</v>
      </c>
      <c r="AG170" s="89">
        <v>0.14000000000000001</v>
      </c>
      <c r="AH170" s="89">
        <v>0</v>
      </c>
      <c r="AI170" s="89">
        <v>0.14000000000000001</v>
      </c>
      <c r="AJ170" s="89">
        <v>0</v>
      </c>
      <c r="AK170" s="89">
        <v>0.04</v>
      </c>
      <c r="AL170" s="89">
        <v>0.04</v>
      </c>
      <c r="AM170" s="89">
        <v>-4.0500000000000001E-2</v>
      </c>
      <c r="AN170" s="89">
        <v>3.1E-2</v>
      </c>
      <c r="AO170" s="89">
        <v>-0.69299999999999995</v>
      </c>
      <c r="AP170" s="89">
        <v>0.155</v>
      </c>
      <c r="AQ170" s="89">
        <v>-0.03</v>
      </c>
      <c r="AR170" s="89">
        <v>0</v>
      </c>
      <c r="AS170" s="89">
        <v>-0.15</v>
      </c>
      <c r="AT170" s="89">
        <v>-1.4999999999999999E-2</v>
      </c>
      <c r="AU170" s="89">
        <v>-0.11</v>
      </c>
      <c r="AV170" s="89">
        <v>0.02</v>
      </c>
      <c r="AW170" s="89">
        <v>-3.5000000000000003E-2</v>
      </c>
      <c r="AX170" s="89">
        <v>1.2E-2</v>
      </c>
      <c r="AY170" s="90">
        <v>0.125</v>
      </c>
      <c r="AZ170" s="90">
        <v>0</v>
      </c>
      <c r="BA170" s="90">
        <v>-0.19500000000000001</v>
      </c>
      <c r="BB170" s="89">
        <v>2.5000000000000001E-3</v>
      </c>
      <c r="BC170" s="89">
        <v>-7.0000000000000007E-2</v>
      </c>
      <c r="BD170" s="89">
        <v>5.0000000000000001E-3</v>
      </c>
      <c r="BE170" s="89">
        <v>0.43</v>
      </c>
      <c r="BF170" s="89">
        <v>0</v>
      </c>
      <c r="BG170" s="89">
        <v>-0.06</v>
      </c>
      <c r="BH170" s="89">
        <v>0</v>
      </c>
      <c r="BI170" s="89">
        <v>0</v>
      </c>
      <c r="BJ170" s="62">
        <v>0.03</v>
      </c>
      <c r="BK170" s="62">
        <v>0.43</v>
      </c>
      <c r="BL170" s="62">
        <v>0</v>
      </c>
      <c r="BM170" s="62">
        <v>-0.05</v>
      </c>
      <c r="BN170" s="62">
        <v>0</v>
      </c>
      <c r="BO170" s="62">
        <v>-0.37</v>
      </c>
      <c r="BP170" s="62">
        <v>0</v>
      </c>
      <c r="BQ170" s="62">
        <v>0.5</v>
      </c>
      <c r="BR170" s="62">
        <v>0</v>
      </c>
      <c r="BS170" s="62">
        <v>-7.0000000000000007E-2</v>
      </c>
      <c r="BT170" s="62">
        <v>5.0000000000000001E-3</v>
      </c>
      <c r="BU170" s="62">
        <v>0.3</v>
      </c>
      <c r="BV170" s="62">
        <v>0</v>
      </c>
      <c r="BW170" s="62">
        <v>0</v>
      </c>
      <c r="BX170" s="62">
        <v>0</v>
      </c>
      <c r="BY170" s="62">
        <v>-6.9999989999999998E-3</v>
      </c>
      <c r="BZ170" s="62">
        <v>5.7500000000000002E-2</v>
      </c>
      <c r="CA170" s="62">
        <v>0.15</v>
      </c>
      <c r="CB170" s="62">
        <v>5.0000000000000001E-3</v>
      </c>
      <c r="CC170" s="62">
        <v>-6.9999989999999998E-3</v>
      </c>
      <c r="CD170" s="62">
        <v>3.5000000000000001E-3</v>
      </c>
      <c r="CE170" s="62">
        <v>2.5000000000000001E-3</v>
      </c>
      <c r="CF170" s="62">
        <v>2.5000000000000001E-3</v>
      </c>
      <c r="CG170" s="62">
        <v>-6.9999989999999998E-3</v>
      </c>
      <c r="CH170" s="62">
        <v>3.5000000000000001E-3</v>
      </c>
      <c r="CI170" s="62">
        <v>-6.5000000000000002E-2</v>
      </c>
      <c r="CJ170" s="62">
        <v>2.5000000000000001E-3</v>
      </c>
      <c r="CK170" s="62">
        <v>7.7499999999999999E-2</v>
      </c>
      <c r="CL170" s="62">
        <v>2.5000000000000001E-3</v>
      </c>
      <c r="CM170" s="62">
        <v>-7.1999999999999995E-2</v>
      </c>
      <c r="CN170" s="62">
        <v>7.4999999999999997E-3</v>
      </c>
      <c r="CO170" s="62">
        <v>-1.7000000000000001E-2</v>
      </c>
      <c r="CP170" s="62">
        <v>5.0000000000000001E-3</v>
      </c>
      <c r="CQ170" s="62">
        <v>2.3E-2</v>
      </c>
      <c r="CR170" s="62">
        <v>7.4999999999999997E-3</v>
      </c>
      <c r="CS170" s="62">
        <v>0.41</v>
      </c>
      <c r="CT170" s="62">
        <v>3.5000000000000003E-2</v>
      </c>
      <c r="CU170" s="62">
        <v>-0.05</v>
      </c>
      <c r="CV170" s="62">
        <v>0</v>
      </c>
      <c r="CW170" s="62">
        <v>0.20499999999999999</v>
      </c>
      <c r="CX170" s="62">
        <v>7.4999999999999997E-3</v>
      </c>
      <c r="CY170" s="62">
        <v>-0.63</v>
      </c>
      <c r="CZ170" s="62">
        <v>0</v>
      </c>
      <c r="DA170" s="62">
        <v>-0.45</v>
      </c>
      <c r="DB170" s="62">
        <v>0</v>
      </c>
      <c r="DC170" s="62">
        <v>1.05</v>
      </c>
      <c r="DE170" s="62">
        <v>-4.2500000000000003E-2</v>
      </c>
      <c r="DF170" s="62">
        <v>0.01</v>
      </c>
      <c r="DG170" s="62">
        <v>2.0500000000000001E-2</v>
      </c>
      <c r="DH170" s="62">
        <v>0.01</v>
      </c>
      <c r="DI170" s="62">
        <v>5.4999999999999997E-3</v>
      </c>
      <c r="DJ170" s="62">
        <v>7.4999999999999997E-3</v>
      </c>
      <c r="DK170" s="62">
        <v>-4.2500000000000003E-2</v>
      </c>
      <c r="DL170" s="62">
        <v>5.0000000000000001E-3</v>
      </c>
      <c r="DM170" s="62">
        <v>-4.9000000000000002E-2</v>
      </c>
      <c r="DN170" s="62">
        <v>2.5000000000000001E-3</v>
      </c>
      <c r="DO170" s="62">
        <v>-7.1499999999999994E-2</v>
      </c>
      <c r="DP170" s="62">
        <v>2.5000000000000001E-3</v>
      </c>
      <c r="DQ170" s="62">
        <v>-7.2499999999999995E-2</v>
      </c>
      <c r="DR170" s="62">
        <v>-5.0000000000000001E-3</v>
      </c>
      <c r="DS170" s="62">
        <v>0.35</v>
      </c>
      <c r="DT170" s="62">
        <v>5.0000000000000001E-3</v>
      </c>
      <c r="DU170" s="62">
        <v>0</v>
      </c>
      <c r="DV170" s="62">
        <v>0</v>
      </c>
    </row>
    <row r="171" spans="4:126" x14ac:dyDescent="0.25">
      <c r="D171" s="91">
        <v>41852</v>
      </c>
      <c r="F171" s="89">
        <v>4.1195000000000004</v>
      </c>
      <c r="G171" s="90">
        <v>6.3219003015315203E-2</v>
      </c>
      <c r="H171" s="89">
        <v>0.17</v>
      </c>
      <c r="I171" s="89">
        <v>0.55000000000000004</v>
      </c>
      <c r="J171" s="89">
        <v>0.55000000000000004</v>
      </c>
      <c r="K171" s="89">
        <v>0.5</v>
      </c>
      <c r="L171" s="87">
        <v>0.6</v>
      </c>
      <c r="M171" s="87">
        <v>0.55000000000000004</v>
      </c>
      <c r="N171" s="89">
        <v>0.6</v>
      </c>
      <c r="O171" s="89">
        <v>0.55000000000000004</v>
      </c>
      <c r="P171" s="89">
        <v>0.6</v>
      </c>
      <c r="Q171" s="89">
        <v>0.45</v>
      </c>
      <c r="R171" s="90">
        <v>0.55000000000000004</v>
      </c>
      <c r="S171" s="90">
        <v>0.6</v>
      </c>
      <c r="T171" s="89">
        <v>0.55000000000000004</v>
      </c>
      <c r="U171" s="89">
        <v>0.6</v>
      </c>
      <c r="V171" s="89">
        <v>0.7</v>
      </c>
      <c r="W171" s="89">
        <v>-0.09</v>
      </c>
      <c r="X171" s="89">
        <v>0</v>
      </c>
      <c r="Y171" s="89">
        <v>0.04</v>
      </c>
      <c r="Z171" s="89">
        <v>5.0000000000000001E-3</v>
      </c>
      <c r="AA171" s="89">
        <v>0.17499999999999999</v>
      </c>
      <c r="AB171" s="89">
        <v>0</v>
      </c>
      <c r="AC171" s="89">
        <v>0.14000000000000001</v>
      </c>
      <c r="AD171" s="89">
        <v>0</v>
      </c>
      <c r="AE171" s="89">
        <v>0.17499999999999999</v>
      </c>
      <c r="AF171" s="89">
        <v>0</v>
      </c>
      <c r="AG171" s="89">
        <v>0.14000000000000001</v>
      </c>
      <c r="AH171" s="89">
        <v>0</v>
      </c>
      <c r="AI171" s="89">
        <v>0.14000000000000001</v>
      </c>
      <c r="AJ171" s="89">
        <v>0</v>
      </c>
      <c r="AK171" s="89">
        <v>0.04</v>
      </c>
      <c r="AL171" s="89">
        <v>0.04</v>
      </c>
      <c r="AM171" s="89">
        <v>-4.0500000000000001E-2</v>
      </c>
      <c r="AN171" s="89">
        <v>3.1E-2</v>
      </c>
      <c r="AO171" s="89">
        <v>-0.69299999999999995</v>
      </c>
      <c r="AP171" s="89">
        <v>0.155</v>
      </c>
      <c r="AQ171" s="89">
        <v>-0.03</v>
      </c>
      <c r="AR171" s="89">
        <v>0</v>
      </c>
      <c r="AS171" s="89">
        <v>-0.15</v>
      </c>
      <c r="AT171" s="89">
        <v>-1.4999999999999999E-2</v>
      </c>
      <c r="AU171" s="89">
        <v>-0.11</v>
      </c>
      <c r="AV171" s="89">
        <v>0.02</v>
      </c>
      <c r="AW171" s="89">
        <v>-3.5000000000000003E-2</v>
      </c>
      <c r="AX171" s="89">
        <v>1.2E-2</v>
      </c>
      <c r="AY171" s="90">
        <v>0.125</v>
      </c>
      <c r="AZ171" s="90">
        <v>0</v>
      </c>
      <c r="BA171" s="90">
        <v>-0.19500000000000001</v>
      </c>
      <c r="BB171" s="89">
        <v>2.5000000000000001E-3</v>
      </c>
      <c r="BC171" s="89">
        <v>-7.0000000000000007E-2</v>
      </c>
      <c r="BD171" s="89">
        <v>5.0000000000000001E-3</v>
      </c>
      <c r="BE171" s="89">
        <v>0.43</v>
      </c>
      <c r="BF171" s="89">
        <v>0</v>
      </c>
      <c r="BG171" s="89">
        <v>-0.06</v>
      </c>
      <c r="BH171" s="89">
        <v>0</v>
      </c>
      <c r="BI171" s="89">
        <v>0</v>
      </c>
      <c r="BJ171" s="62">
        <v>0.03</v>
      </c>
      <c r="BK171" s="62">
        <v>0.43</v>
      </c>
      <c r="BL171" s="62">
        <v>0</v>
      </c>
      <c r="BM171" s="62">
        <v>-0.05</v>
      </c>
      <c r="BN171" s="62">
        <v>0</v>
      </c>
      <c r="BO171" s="62">
        <v>-0.37</v>
      </c>
      <c r="BP171" s="62">
        <v>0</v>
      </c>
      <c r="BQ171" s="62">
        <v>0.5</v>
      </c>
      <c r="BR171" s="62">
        <v>0</v>
      </c>
      <c r="BS171" s="62">
        <v>-7.0000000000000007E-2</v>
      </c>
      <c r="BT171" s="62">
        <v>5.0000000000000001E-3</v>
      </c>
      <c r="BU171" s="62">
        <v>0.3</v>
      </c>
      <c r="BV171" s="62">
        <v>0</v>
      </c>
      <c r="BW171" s="62">
        <v>0</v>
      </c>
      <c r="BX171" s="62">
        <v>0</v>
      </c>
      <c r="BY171" s="62">
        <v>-6.9999989999999998E-3</v>
      </c>
      <c r="BZ171" s="62">
        <v>5.7500000000000002E-2</v>
      </c>
      <c r="CA171" s="62">
        <v>0.15</v>
      </c>
      <c r="CB171" s="62">
        <v>5.0000000000000001E-3</v>
      </c>
      <c r="CC171" s="62">
        <v>-6.9999989999999998E-3</v>
      </c>
      <c r="CD171" s="62">
        <v>3.5000000000000001E-3</v>
      </c>
      <c r="CE171" s="62">
        <v>2.5000000000000001E-3</v>
      </c>
      <c r="CF171" s="62">
        <v>2.5000000000000001E-3</v>
      </c>
      <c r="CG171" s="62">
        <v>-6.9999989999999998E-3</v>
      </c>
      <c r="CH171" s="62">
        <v>3.5000000000000001E-3</v>
      </c>
      <c r="CI171" s="62">
        <v>-6.25E-2</v>
      </c>
      <c r="CJ171" s="62">
        <v>2.5000000000000001E-3</v>
      </c>
      <c r="CK171" s="62">
        <v>7.7499999999999999E-2</v>
      </c>
      <c r="CL171" s="62">
        <v>2.5000000000000001E-3</v>
      </c>
      <c r="CM171" s="62">
        <v>-7.1999999999999995E-2</v>
      </c>
      <c r="CN171" s="62">
        <v>7.4999999999999997E-3</v>
      </c>
      <c r="CO171" s="62">
        <v>-1.7000000000000001E-2</v>
      </c>
      <c r="CP171" s="62">
        <v>5.0000000000000001E-3</v>
      </c>
      <c r="CQ171" s="62">
        <v>2.3E-2</v>
      </c>
      <c r="CR171" s="62">
        <v>7.4999999999999997E-3</v>
      </c>
      <c r="CS171" s="62">
        <v>0.41</v>
      </c>
      <c r="CT171" s="62">
        <v>0.01</v>
      </c>
      <c r="CU171" s="62">
        <v>-0.05</v>
      </c>
      <c r="CV171" s="62">
        <v>0</v>
      </c>
      <c r="CW171" s="62">
        <v>0.20499999999999999</v>
      </c>
      <c r="CX171" s="62">
        <v>7.4999999999999997E-3</v>
      </c>
      <c r="CY171" s="62">
        <v>-0.63</v>
      </c>
      <c r="CZ171" s="62">
        <v>0</v>
      </c>
      <c r="DA171" s="62">
        <v>-0.45</v>
      </c>
      <c r="DB171" s="62">
        <v>0</v>
      </c>
      <c r="DC171" s="62">
        <v>1.05</v>
      </c>
      <c r="DE171" s="62">
        <v>-4.2500000000000003E-2</v>
      </c>
      <c r="DF171" s="62">
        <v>0.01</v>
      </c>
      <c r="DG171" s="62">
        <v>1.55E-2</v>
      </c>
      <c r="DH171" s="62">
        <v>0.01</v>
      </c>
      <c r="DI171" s="62">
        <v>5.0000000000000695E-4</v>
      </c>
      <c r="DJ171" s="62">
        <v>7.4999999999999997E-3</v>
      </c>
      <c r="DK171" s="62">
        <v>-3.7499999999999999E-2</v>
      </c>
      <c r="DL171" s="62">
        <v>5.0000000000000001E-3</v>
      </c>
      <c r="DM171" s="62">
        <v>-4.9000000000000002E-2</v>
      </c>
      <c r="DN171" s="62">
        <v>2.5000000000000001E-3</v>
      </c>
      <c r="DO171" s="62">
        <v>-7.1499999999999994E-2</v>
      </c>
      <c r="DP171" s="62">
        <v>2.5000000000000001E-3</v>
      </c>
      <c r="DQ171" s="62">
        <v>-6.7500000000000004E-2</v>
      </c>
      <c r="DR171" s="62">
        <v>-5.0000000000000001E-3</v>
      </c>
      <c r="DS171" s="62">
        <v>0.35</v>
      </c>
      <c r="DT171" s="62">
        <v>-5.0000000000000001E-3</v>
      </c>
      <c r="DU171" s="62">
        <v>0</v>
      </c>
      <c r="DV171" s="62">
        <v>0</v>
      </c>
    </row>
    <row r="172" spans="4:126" x14ac:dyDescent="0.25">
      <c r="D172" s="91">
        <v>41883</v>
      </c>
      <c r="F172" s="89">
        <v>4.1144999999999996</v>
      </c>
      <c r="G172" s="90">
        <v>6.3259547116116394E-2</v>
      </c>
      <c r="H172" s="89">
        <v>0.17</v>
      </c>
      <c r="I172" s="89">
        <v>0.55000000000000004</v>
      </c>
      <c r="J172" s="89">
        <v>0.55000000000000004</v>
      </c>
      <c r="K172" s="89">
        <v>0.55000000000000004</v>
      </c>
      <c r="L172" s="87">
        <v>0.55000000000000004</v>
      </c>
      <c r="M172" s="87">
        <v>0.55000000000000004</v>
      </c>
      <c r="N172" s="89">
        <v>0.6</v>
      </c>
      <c r="O172" s="89">
        <v>0.6</v>
      </c>
      <c r="P172" s="89">
        <v>0.55000000000000004</v>
      </c>
      <c r="Q172" s="89">
        <v>0.5</v>
      </c>
      <c r="R172" s="90">
        <v>0.55000000000000004</v>
      </c>
      <c r="S172" s="90">
        <v>0.6</v>
      </c>
      <c r="T172" s="89">
        <v>0.55000000000000004</v>
      </c>
      <c r="U172" s="89">
        <v>0.6</v>
      </c>
      <c r="V172" s="89">
        <v>0.65</v>
      </c>
      <c r="W172" s="89">
        <v>-0.09</v>
      </c>
      <c r="X172" s="89">
        <v>0</v>
      </c>
      <c r="Y172" s="89">
        <v>0.04</v>
      </c>
      <c r="Z172" s="89">
        <v>5.0000000000000001E-3</v>
      </c>
      <c r="AA172" s="89">
        <v>0.17499999999999999</v>
      </c>
      <c r="AB172" s="89">
        <v>0</v>
      </c>
      <c r="AC172" s="89">
        <v>0.14000000000000001</v>
      </c>
      <c r="AD172" s="89">
        <v>0</v>
      </c>
      <c r="AE172" s="89">
        <v>0.17499999999999999</v>
      </c>
      <c r="AF172" s="89">
        <v>0</v>
      </c>
      <c r="AG172" s="89">
        <v>0.14000000000000001</v>
      </c>
      <c r="AH172" s="89">
        <v>0</v>
      </c>
      <c r="AI172" s="89">
        <v>0.14000000000000001</v>
      </c>
      <c r="AJ172" s="89">
        <v>0</v>
      </c>
      <c r="AK172" s="89">
        <v>0.04</v>
      </c>
      <c r="AL172" s="89">
        <v>0.04</v>
      </c>
      <c r="AM172" s="89">
        <v>-4.0500000000000001E-2</v>
      </c>
      <c r="AN172" s="89">
        <v>3.1E-2</v>
      </c>
      <c r="AO172" s="89">
        <v>-0.69299999999999995</v>
      </c>
      <c r="AP172" s="89">
        <v>0.155</v>
      </c>
      <c r="AQ172" s="89">
        <v>-0.03</v>
      </c>
      <c r="AR172" s="89">
        <v>0</v>
      </c>
      <c r="AS172" s="89">
        <v>-0.15</v>
      </c>
      <c r="AT172" s="89">
        <v>-1.4999999999999999E-2</v>
      </c>
      <c r="AU172" s="89">
        <v>-0.11</v>
      </c>
      <c r="AV172" s="89">
        <v>0.02</v>
      </c>
      <c r="AW172" s="89">
        <v>-3.5000000000000003E-2</v>
      </c>
      <c r="AX172" s="89">
        <v>1.2E-2</v>
      </c>
      <c r="AY172" s="90">
        <v>0.125</v>
      </c>
      <c r="AZ172" s="90">
        <v>0</v>
      </c>
      <c r="BA172" s="90">
        <v>-0.19500000000000001</v>
      </c>
      <c r="BB172" s="89">
        <v>2.5000000000000001E-3</v>
      </c>
      <c r="BC172" s="89">
        <v>-7.0000000000000007E-2</v>
      </c>
      <c r="BD172" s="89">
        <v>5.0000000000000001E-3</v>
      </c>
      <c r="BE172" s="89">
        <v>0.43</v>
      </c>
      <c r="BF172" s="89">
        <v>0</v>
      </c>
      <c r="BG172" s="89">
        <v>-0.06</v>
      </c>
      <c r="BH172" s="89">
        <v>0</v>
      </c>
      <c r="BI172" s="89">
        <v>0</v>
      </c>
      <c r="BJ172" s="62">
        <v>0.03</v>
      </c>
      <c r="BK172" s="62">
        <v>0.43</v>
      </c>
      <c r="BL172" s="62">
        <v>0</v>
      </c>
      <c r="BM172" s="62">
        <v>-0.05</v>
      </c>
      <c r="BN172" s="62">
        <v>0</v>
      </c>
      <c r="BO172" s="62">
        <v>-0.37</v>
      </c>
      <c r="BP172" s="62">
        <v>0</v>
      </c>
      <c r="BQ172" s="62">
        <v>0.5</v>
      </c>
      <c r="BR172" s="62">
        <v>0</v>
      </c>
      <c r="BS172" s="62">
        <v>-7.0000000000000007E-2</v>
      </c>
      <c r="BT172" s="62">
        <v>5.0000000000000001E-3</v>
      </c>
      <c r="BU172" s="62">
        <v>0.3</v>
      </c>
      <c r="BV172" s="62">
        <v>0</v>
      </c>
      <c r="BW172" s="62">
        <v>0</v>
      </c>
      <c r="BX172" s="62">
        <v>0</v>
      </c>
      <c r="BY172" s="62">
        <v>-6.9999989999999998E-3</v>
      </c>
      <c r="BZ172" s="62">
        <v>5.7500000000000002E-2</v>
      </c>
      <c r="CA172" s="62">
        <v>0.125</v>
      </c>
      <c r="CB172" s="62">
        <v>5.0000000000000001E-3</v>
      </c>
      <c r="CC172" s="62">
        <v>-6.9999989999999998E-3</v>
      </c>
      <c r="CD172" s="62">
        <v>3.5000000000000001E-3</v>
      </c>
      <c r="CE172" s="62">
        <v>2.5000000000000001E-3</v>
      </c>
      <c r="CF172" s="62">
        <v>2.5000000000000001E-3</v>
      </c>
      <c r="CG172" s="62">
        <v>-6.9999989999999998E-3</v>
      </c>
      <c r="CH172" s="62">
        <v>3.5000000000000001E-3</v>
      </c>
      <c r="CI172" s="62">
        <v>-6.7500000000000004E-2</v>
      </c>
      <c r="CJ172" s="62">
        <v>2.5000000000000001E-3</v>
      </c>
      <c r="CK172" s="62">
        <v>7.7499999999999999E-2</v>
      </c>
      <c r="CL172" s="62">
        <v>2.5000000000000001E-3</v>
      </c>
      <c r="CM172" s="62">
        <v>-7.1999999999999995E-2</v>
      </c>
      <c r="CN172" s="62">
        <v>7.4999999999999997E-3</v>
      </c>
      <c r="CO172" s="62">
        <v>-1.7000000000000001E-2</v>
      </c>
      <c r="CP172" s="62">
        <v>5.0000000000000001E-3</v>
      </c>
      <c r="CQ172" s="62">
        <v>2.3E-2</v>
      </c>
      <c r="CR172" s="62">
        <v>7.4999999999999997E-3</v>
      </c>
      <c r="CS172" s="62">
        <v>0.36</v>
      </c>
      <c r="CT172" s="62">
        <v>0.01</v>
      </c>
      <c r="CU172" s="62">
        <v>-0.05</v>
      </c>
      <c r="CV172" s="62">
        <v>0</v>
      </c>
      <c r="CW172" s="62">
        <v>0.14499999999999999</v>
      </c>
      <c r="CX172" s="62">
        <v>7.4999999999999997E-3</v>
      </c>
      <c r="CY172" s="62">
        <v>-0.63</v>
      </c>
      <c r="CZ172" s="62">
        <v>0</v>
      </c>
      <c r="DA172" s="62">
        <v>-0.45</v>
      </c>
      <c r="DB172" s="62">
        <v>0</v>
      </c>
      <c r="DC172" s="62">
        <v>0.75</v>
      </c>
      <c r="DE172" s="62">
        <v>-4.7500000000000001E-2</v>
      </c>
      <c r="DF172" s="62">
        <v>0.01</v>
      </c>
      <c r="DG172" s="62">
        <v>1.55E-2</v>
      </c>
      <c r="DH172" s="62">
        <v>0.01</v>
      </c>
      <c r="DI172" s="62">
        <v>5.0000000000000695E-4</v>
      </c>
      <c r="DJ172" s="62">
        <v>7.4999999999999997E-3</v>
      </c>
      <c r="DK172" s="62">
        <v>-4.7500000000000001E-2</v>
      </c>
      <c r="DL172" s="62">
        <v>5.0000000000000001E-3</v>
      </c>
      <c r="DM172" s="62">
        <v>-4.9000000000000002E-2</v>
      </c>
      <c r="DN172" s="62">
        <v>2.5000000000000001E-3</v>
      </c>
      <c r="DO172" s="62">
        <v>-7.1499999999999994E-2</v>
      </c>
      <c r="DP172" s="62">
        <v>2.5000000000000001E-3</v>
      </c>
      <c r="DQ172" s="62">
        <v>-7.7499999999999999E-2</v>
      </c>
      <c r="DR172" s="62">
        <v>-5.0000000000000001E-3</v>
      </c>
      <c r="DS172" s="62">
        <v>0.315</v>
      </c>
      <c r="DT172" s="62">
        <v>-5.0000000000000001E-3</v>
      </c>
      <c r="DU172" s="62">
        <v>0</v>
      </c>
      <c r="DV172" s="62">
        <v>0</v>
      </c>
    </row>
    <row r="173" spans="4:126" x14ac:dyDescent="0.25">
      <c r="D173" s="91">
        <v>41913</v>
      </c>
      <c r="F173" s="89">
        <v>4.1395</v>
      </c>
      <c r="G173" s="90">
        <v>6.3298783343216994E-2</v>
      </c>
      <c r="H173" s="89">
        <v>0.17</v>
      </c>
      <c r="I173" s="89">
        <v>0.6</v>
      </c>
      <c r="J173" s="89">
        <v>0.6</v>
      </c>
      <c r="K173" s="89">
        <v>0.55000000000000004</v>
      </c>
      <c r="L173" s="87">
        <v>0.6</v>
      </c>
      <c r="M173" s="87">
        <v>0.6</v>
      </c>
      <c r="N173" s="89">
        <v>0.65</v>
      </c>
      <c r="O173" s="89">
        <v>0.65</v>
      </c>
      <c r="P173" s="89">
        <v>0.6</v>
      </c>
      <c r="Q173" s="89">
        <v>0.5</v>
      </c>
      <c r="R173" s="90">
        <v>0.6</v>
      </c>
      <c r="S173" s="90">
        <v>0.65</v>
      </c>
      <c r="T173" s="89">
        <v>0.6</v>
      </c>
      <c r="U173" s="89">
        <v>0.65</v>
      </c>
      <c r="V173" s="89">
        <v>0.7</v>
      </c>
      <c r="W173" s="89">
        <v>-0.09</v>
      </c>
      <c r="X173" s="89">
        <v>0</v>
      </c>
      <c r="Y173" s="89">
        <v>0.04</v>
      </c>
      <c r="Z173" s="89">
        <v>5.0000000000000001E-3</v>
      </c>
      <c r="AA173" s="89">
        <v>0.17499999999999999</v>
      </c>
      <c r="AB173" s="89">
        <v>0</v>
      </c>
      <c r="AC173" s="89">
        <v>0.14000000000000001</v>
      </c>
      <c r="AD173" s="89">
        <v>0</v>
      </c>
      <c r="AE173" s="89">
        <v>0.17499999999999999</v>
      </c>
      <c r="AF173" s="89">
        <v>0</v>
      </c>
      <c r="AG173" s="89">
        <v>0.14000000000000001</v>
      </c>
      <c r="AH173" s="89">
        <v>0</v>
      </c>
      <c r="AI173" s="89">
        <v>0.14000000000000001</v>
      </c>
      <c r="AJ173" s="89">
        <v>0</v>
      </c>
      <c r="AK173" s="89">
        <v>0.04</v>
      </c>
      <c r="AL173" s="89">
        <v>0.04</v>
      </c>
      <c r="AM173" s="89">
        <v>-4.0500000000000001E-2</v>
      </c>
      <c r="AN173" s="89">
        <v>3.1E-2</v>
      </c>
      <c r="AO173" s="89">
        <v>-0.69299999999999995</v>
      </c>
      <c r="AP173" s="89">
        <v>0.155</v>
      </c>
      <c r="AQ173" s="89">
        <v>-0.03</v>
      </c>
      <c r="AR173" s="89">
        <v>0</v>
      </c>
      <c r="AS173" s="89">
        <v>-0.15</v>
      </c>
      <c r="AT173" s="89">
        <v>-1.4999999999999999E-2</v>
      </c>
      <c r="AU173" s="89">
        <v>-0.11</v>
      </c>
      <c r="AV173" s="89">
        <v>0.02</v>
      </c>
      <c r="AW173" s="89">
        <v>-3.5000000000000003E-2</v>
      </c>
      <c r="AX173" s="89">
        <v>1.2E-2</v>
      </c>
      <c r="AY173" s="90">
        <v>0.125</v>
      </c>
      <c r="AZ173" s="90">
        <v>0</v>
      </c>
      <c r="BA173" s="90">
        <v>-0.19500000000000001</v>
      </c>
      <c r="BB173" s="89">
        <v>2.5000000000000001E-3</v>
      </c>
      <c r="BC173" s="89">
        <v>-7.0000000000000007E-2</v>
      </c>
      <c r="BD173" s="89">
        <v>5.0000000000000001E-3</v>
      </c>
      <c r="BE173" s="89">
        <v>0.43</v>
      </c>
      <c r="BF173" s="89">
        <v>0</v>
      </c>
      <c r="BG173" s="89">
        <v>-0.06</v>
      </c>
      <c r="BH173" s="89">
        <v>0</v>
      </c>
      <c r="BI173" s="89">
        <v>0</v>
      </c>
      <c r="BJ173" s="62">
        <v>0.03</v>
      </c>
      <c r="BK173" s="62">
        <v>0.43</v>
      </c>
      <c r="BL173" s="62">
        <v>0</v>
      </c>
      <c r="BM173" s="62">
        <v>-0.05</v>
      </c>
      <c r="BN173" s="62">
        <v>0</v>
      </c>
      <c r="BO173" s="62">
        <v>-0.37</v>
      </c>
      <c r="BP173" s="62">
        <v>0</v>
      </c>
      <c r="BQ173" s="62">
        <v>0.5</v>
      </c>
      <c r="BR173" s="62">
        <v>0</v>
      </c>
      <c r="BS173" s="62">
        <v>-7.0000000000000007E-2</v>
      </c>
      <c r="BT173" s="62">
        <v>5.0000000000000001E-3</v>
      </c>
      <c r="BU173" s="62">
        <v>0.3</v>
      </c>
      <c r="BV173" s="62">
        <v>0</v>
      </c>
      <c r="BW173" s="62">
        <v>0</v>
      </c>
      <c r="BX173" s="62">
        <v>0</v>
      </c>
      <c r="BY173" s="62">
        <v>-6.9999989999999998E-3</v>
      </c>
      <c r="BZ173" s="62">
        <v>5.7500000000000002E-2</v>
      </c>
      <c r="CA173" s="62">
        <v>0.14499999999999999</v>
      </c>
      <c r="CB173" s="62">
        <v>5.0000000000000001E-3</v>
      </c>
      <c r="CC173" s="62">
        <v>-6.9999989999999998E-3</v>
      </c>
      <c r="CD173" s="62">
        <v>3.5000000000000001E-3</v>
      </c>
      <c r="CE173" s="62">
        <v>2.5000000000000001E-3</v>
      </c>
      <c r="CF173" s="62">
        <v>2.5000000000000001E-3</v>
      </c>
      <c r="CG173" s="62">
        <v>-6.9999989999999998E-3</v>
      </c>
      <c r="CH173" s="62">
        <v>3.5000000000000001E-3</v>
      </c>
      <c r="CI173" s="62">
        <v>-7.0000000000000007E-2</v>
      </c>
      <c r="CJ173" s="62">
        <v>2.5000000000000001E-3</v>
      </c>
      <c r="CK173" s="62">
        <v>7.7499999999999999E-2</v>
      </c>
      <c r="CL173" s="62">
        <v>2.5000000000000001E-3</v>
      </c>
      <c r="CM173" s="62">
        <v>-7.1999999999999995E-2</v>
      </c>
      <c r="CN173" s="62">
        <v>7.4999999999999997E-3</v>
      </c>
      <c r="CO173" s="62">
        <v>-1.7000000000000001E-2</v>
      </c>
      <c r="CP173" s="62">
        <v>5.0000000000000001E-3</v>
      </c>
      <c r="CQ173" s="62">
        <v>2.3E-2</v>
      </c>
      <c r="CR173" s="62">
        <v>7.4999999999999997E-3</v>
      </c>
      <c r="CS173" s="62">
        <v>0.4</v>
      </c>
      <c r="CT173" s="62">
        <v>0.01</v>
      </c>
      <c r="CU173" s="62">
        <v>-0.05</v>
      </c>
      <c r="CV173" s="62">
        <v>0</v>
      </c>
      <c r="CW173" s="62">
        <v>0.17499999999999999</v>
      </c>
      <c r="CX173" s="62">
        <v>7.4999999999999997E-3</v>
      </c>
      <c r="CY173" s="62">
        <v>-0.63</v>
      </c>
      <c r="CZ173" s="62">
        <v>0</v>
      </c>
      <c r="DA173" s="62">
        <v>-0.45</v>
      </c>
      <c r="DB173" s="62">
        <v>0</v>
      </c>
      <c r="DC173" s="62">
        <v>0.45</v>
      </c>
      <c r="DE173" s="62">
        <v>-4.7500000000000001E-2</v>
      </c>
      <c r="DF173" s="62">
        <v>0.01</v>
      </c>
      <c r="DG173" s="62">
        <v>1.2999999999999999E-2</v>
      </c>
      <c r="DH173" s="62">
        <v>0.01</v>
      </c>
      <c r="DI173" s="62">
        <v>-1.9999990000000001E-3</v>
      </c>
      <c r="DJ173" s="62">
        <v>7.4999999999999997E-3</v>
      </c>
      <c r="DK173" s="62">
        <v>-3.5000000000000003E-2</v>
      </c>
      <c r="DL173" s="62">
        <v>5.0000000000000001E-3</v>
      </c>
      <c r="DM173" s="62">
        <v>-4.9000000000000002E-2</v>
      </c>
      <c r="DN173" s="62">
        <v>2.5000000000000001E-3</v>
      </c>
      <c r="DO173" s="62">
        <v>-7.1499999999999994E-2</v>
      </c>
      <c r="DP173" s="62">
        <v>2.5000000000000001E-3</v>
      </c>
      <c r="DQ173" s="62">
        <v>-6.5000000000000002E-2</v>
      </c>
      <c r="DR173" s="62">
        <v>-5.0000000000000001E-3</v>
      </c>
      <c r="DS173" s="62">
        <v>0.36</v>
      </c>
      <c r="DT173" s="62">
        <v>-5.0000000000000001E-3</v>
      </c>
      <c r="DU173" s="62">
        <v>0</v>
      </c>
      <c r="DV173" s="62">
        <v>0</v>
      </c>
    </row>
    <row r="174" spans="4:126" x14ac:dyDescent="0.25">
      <c r="D174" s="91">
        <v>41944</v>
      </c>
      <c r="F174" s="89">
        <v>4.2915000000000001</v>
      </c>
      <c r="G174" s="90">
        <v>6.3339327445091104E-2</v>
      </c>
      <c r="H174" s="89">
        <v>0.17</v>
      </c>
      <c r="I174" s="89">
        <v>0.8</v>
      </c>
      <c r="J174" s="89">
        <v>0.85</v>
      </c>
      <c r="K174" s="89">
        <v>0.8</v>
      </c>
      <c r="L174" s="87">
        <v>0.8</v>
      </c>
      <c r="M174" s="87">
        <v>0.9</v>
      </c>
      <c r="N174" s="89">
        <v>0.95</v>
      </c>
      <c r="O174" s="89">
        <v>0.85</v>
      </c>
      <c r="P174" s="89">
        <v>0.8</v>
      </c>
      <c r="Q174" s="89">
        <v>0.95</v>
      </c>
      <c r="R174" s="90">
        <v>0.8</v>
      </c>
      <c r="S174" s="90">
        <v>0.8</v>
      </c>
      <c r="T174" s="89">
        <v>0.8</v>
      </c>
      <c r="U174" s="89">
        <v>0.95</v>
      </c>
      <c r="V174" s="89">
        <v>0.9</v>
      </c>
      <c r="W174" s="89">
        <v>0</v>
      </c>
      <c r="X174" s="89">
        <v>0.03</v>
      </c>
      <c r="Y174" s="89">
        <v>0</v>
      </c>
      <c r="Z174" s="89">
        <v>0.02</v>
      </c>
      <c r="AA174" s="89">
        <v>0</v>
      </c>
      <c r="AB174" s="89">
        <v>0</v>
      </c>
      <c r="AC174" s="89">
        <v>0</v>
      </c>
      <c r="AD174" s="89">
        <v>0</v>
      </c>
      <c r="AE174" s="89">
        <v>0</v>
      </c>
      <c r="AF174" s="89">
        <v>0</v>
      </c>
      <c r="AG174" s="89">
        <v>0</v>
      </c>
      <c r="AH174" s="89">
        <v>0</v>
      </c>
      <c r="AI174" s="89">
        <v>0</v>
      </c>
      <c r="AJ174" s="89">
        <v>0</v>
      </c>
      <c r="AK174" s="89">
        <v>0</v>
      </c>
      <c r="AL174" s="89">
        <v>3.5000000000000003E-2</v>
      </c>
      <c r="AM174" s="89">
        <v>-5.5E-2</v>
      </c>
      <c r="AN174" s="89">
        <v>2.5999999999999999E-2</v>
      </c>
      <c r="AO174" s="89">
        <v>-0.65300000000000002</v>
      </c>
      <c r="AP174" s="89">
        <v>0.155</v>
      </c>
      <c r="AQ174" s="89">
        <v>-0.03</v>
      </c>
      <c r="AR174" s="89">
        <v>5.0000000000000001E-3</v>
      </c>
      <c r="AS174" s="89">
        <v>-0.15</v>
      </c>
      <c r="AT174" s="89">
        <v>-5.0000000000000001E-3</v>
      </c>
      <c r="AU174" s="89">
        <v>-0.11</v>
      </c>
      <c r="AV174" s="89">
        <v>-0.01</v>
      </c>
      <c r="AW174" s="89">
        <v>-3.4500000000000003E-2</v>
      </c>
      <c r="AX174" s="89">
        <v>2.1999999999999999E-2</v>
      </c>
      <c r="AY174" s="90">
        <v>0</v>
      </c>
      <c r="AZ174" s="90">
        <v>0</v>
      </c>
      <c r="BA174" s="90">
        <v>-0.13</v>
      </c>
      <c r="BB174" s="89">
        <v>5.0000000000000001E-3</v>
      </c>
      <c r="BC174" s="89">
        <v>-7.0000000000000007E-2</v>
      </c>
      <c r="BD174" s="89">
        <v>5.0000000000000001E-3</v>
      </c>
      <c r="BE174" s="89">
        <v>0.35</v>
      </c>
      <c r="BF174" s="89">
        <v>0</v>
      </c>
      <c r="BG174" s="89">
        <v>-0.06</v>
      </c>
      <c r="BH174" s="89">
        <v>0</v>
      </c>
      <c r="BI174" s="89">
        <v>0</v>
      </c>
      <c r="BJ174" s="62">
        <v>0.03</v>
      </c>
      <c r="BK174" s="62">
        <v>0.35</v>
      </c>
      <c r="BL174" s="62">
        <v>0</v>
      </c>
      <c r="BM174" s="62">
        <v>0.29799999999999999</v>
      </c>
      <c r="BN174" s="62">
        <v>0</v>
      </c>
      <c r="BO174" s="62">
        <v>-0.26</v>
      </c>
      <c r="BP174" s="62">
        <v>0</v>
      </c>
      <c r="BQ174" s="62">
        <v>0.5</v>
      </c>
      <c r="BR174" s="62">
        <v>0</v>
      </c>
      <c r="BS174" s="62">
        <v>-7.0000000000000007E-2</v>
      </c>
      <c r="BT174" s="62">
        <v>5.0000000000000001E-3</v>
      </c>
      <c r="BU174" s="62">
        <v>0.3</v>
      </c>
      <c r="BV174" s="62">
        <v>0</v>
      </c>
      <c r="BW174" s="62">
        <v>0</v>
      </c>
      <c r="BX174" s="62">
        <v>0</v>
      </c>
      <c r="BY174" s="62">
        <v>-6.9999989999999998E-3</v>
      </c>
      <c r="BZ174" s="62">
        <v>5.7500000000000002E-2</v>
      </c>
      <c r="CA174" s="62">
        <v>0.19500000000000001</v>
      </c>
      <c r="CB174" s="62">
        <v>5.0000000000000001E-3</v>
      </c>
      <c r="CC174" s="62">
        <v>-6.9999989999999998E-3</v>
      </c>
      <c r="CD174" s="62">
        <v>3.7000000000000002E-3</v>
      </c>
      <c r="CE174" s="62">
        <v>2.5000000000000001E-3</v>
      </c>
      <c r="CF174" s="62">
        <v>2.5000000000000001E-3</v>
      </c>
      <c r="CG174" s="62">
        <v>-6.9999989999999998E-3</v>
      </c>
      <c r="CH174" s="62">
        <v>3.7000000000000002E-3</v>
      </c>
      <c r="CI174" s="62">
        <v>-7.4999999999999997E-2</v>
      </c>
      <c r="CJ174" s="62">
        <v>2.5000000000000001E-3</v>
      </c>
      <c r="CK174" s="62">
        <v>7.4999999999999997E-2</v>
      </c>
      <c r="CL174" s="62">
        <v>2.5000000000000001E-3</v>
      </c>
      <c r="CM174" s="62">
        <v>-6.4000000000000001E-2</v>
      </c>
      <c r="CN174" s="62">
        <v>0.01</v>
      </c>
      <c r="CO174" s="62">
        <v>-8.9999989999999998E-3</v>
      </c>
      <c r="CP174" s="62">
        <v>7.4999999999999997E-3</v>
      </c>
      <c r="CQ174" s="62">
        <v>3.1E-2</v>
      </c>
      <c r="CR174" s="62">
        <v>1.2500000000000001E-2</v>
      </c>
      <c r="CS174" s="62">
        <v>0.65</v>
      </c>
      <c r="CT174" s="62">
        <v>5.5E-2</v>
      </c>
      <c r="CU174" s="62">
        <v>0.29799999999999999</v>
      </c>
      <c r="CV174" s="62">
        <v>0</v>
      </c>
      <c r="CW174" s="62">
        <v>0.21</v>
      </c>
      <c r="CX174" s="62">
        <v>0.02</v>
      </c>
      <c r="CY174" s="62">
        <v>-0.52</v>
      </c>
      <c r="CZ174" s="62">
        <v>0</v>
      </c>
      <c r="DA174" s="62">
        <v>-0.34</v>
      </c>
      <c r="DB174" s="62">
        <v>0</v>
      </c>
      <c r="DC174" s="62">
        <v>0.45</v>
      </c>
      <c r="DE174" s="62">
        <v>-3.5999999999999997E-2</v>
      </c>
      <c r="DF174" s="62">
        <v>1.2500000000000001E-2</v>
      </c>
      <c r="DG174" s="62">
        <v>1.4E-2</v>
      </c>
      <c r="DH174" s="62">
        <v>7.4999999999999997E-3</v>
      </c>
      <c r="DI174" s="62">
        <v>9.9999999999999395E-4</v>
      </c>
      <c r="DJ174" s="62">
        <v>2.5000000000000001E-3</v>
      </c>
      <c r="DK174" s="62">
        <v>-0.04</v>
      </c>
      <c r="DL174" s="62">
        <v>2.5000000000000001E-3</v>
      </c>
      <c r="DM174" s="62">
        <v>-5.1499999999999997E-2</v>
      </c>
      <c r="DN174" s="62">
        <v>2.5000000000000001E-3</v>
      </c>
      <c r="DO174" s="62">
        <v>-7.3999999999999996E-2</v>
      </c>
      <c r="DP174" s="62">
        <v>2.5000000000000001E-3</v>
      </c>
      <c r="DQ174" s="62">
        <v>-7.0000000000000007E-2</v>
      </c>
      <c r="DR174" s="62">
        <v>-5.0000000000000001E-3</v>
      </c>
      <c r="DS174" s="62">
        <v>0.46</v>
      </c>
      <c r="DT174" s="62">
        <v>0.05</v>
      </c>
      <c r="DU174" s="62">
        <v>0</v>
      </c>
      <c r="DV174" s="62">
        <v>0</v>
      </c>
    </row>
    <row r="175" spans="4:126" x14ac:dyDescent="0.25">
      <c r="D175" s="91">
        <v>41974</v>
      </c>
      <c r="F175" s="89">
        <v>4.4344999999999999</v>
      </c>
      <c r="G175" s="90">
        <v>6.3378563673230498E-2</v>
      </c>
      <c r="H175" s="89">
        <v>0.17</v>
      </c>
      <c r="I175" s="89">
        <v>1</v>
      </c>
      <c r="J175" s="89">
        <v>1.05</v>
      </c>
      <c r="K175" s="89">
        <v>1</v>
      </c>
      <c r="L175" s="87">
        <v>1</v>
      </c>
      <c r="M175" s="87">
        <v>1.1499999999999999</v>
      </c>
      <c r="N175" s="89">
        <v>1.25</v>
      </c>
      <c r="O175" s="89">
        <v>1.05</v>
      </c>
      <c r="P175" s="89">
        <v>1</v>
      </c>
      <c r="Q175" s="89">
        <v>1.35</v>
      </c>
      <c r="R175" s="90">
        <v>1</v>
      </c>
      <c r="S175" s="90">
        <v>1.1000000000000001</v>
      </c>
      <c r="T175" s="89">
        <v>1</v>
      </c>
      <c r="U175" s="89">
        <v>1.25</v>
      </c>
      <c r="V175" s="89">
        <v>1.1000000000000001</v>
      </c>
      <c r="W175" s="89">
        <v>5.0000000000000001E-3</v>
      </c>
      <c r="X175" s="89">
        <v>0.03</v>
      </c>
      <c r="Y175" s="89">
        <v>0</v>
      </c>
      <c r="Z175" s="89">
        <v>0.02</v>
      </c>
      <c r="AA175" s="89">
        <v>0</v>
      </c>
      <c r="AB175" s="89">
        <v>0</v>
      </c>
      <c r="AC175" s="89">
        <v>0</v>
      </c>
      <c r="AD175" s="89">
        <v>0</v>
      </c>
      <c r="AE175" s="89">
        <v>0</v>
      </c>
      <c r="AF175" s="89">
        <v>0</v>
      </c>
      <c r="AG175" s="89">
        <v>0</v>
      </c>
      <c r="AH175" s="89">
        <v>0</v>
      </c>
      <c r="AI175" s="89">
        <v>0</v>
      </c>
      <c r="AJ175" s="89">
        <v>0</v>
      </c>
      <c r="AK175" s="89">
        <v>0</v>
      </c>
      <c r="AL175" s="89">
        <v>3.5000000000000003E-2</v>
      </c>
      <c r="AM175" s="89">
        <v>-5.5E-2</v>
      </c>
      <c r="AN175" s="89">
        <v>2.5999999999999999E-2</v>
      </c>
      <c r="AO175" s="89">
        <v>-0.65300000000000002</v>
      </c>
      <c r="AP175" s="89">
        <v>0.155</v>
      </c>
      <c r="AQ175" s="89">
        <v>-0.03</v>
      </c>
      <c r="AR175" s="89">
        <v>5.0000000000000001E-3</v>
      </c>
      <c r="AS175" s="89">
        <v>-0.1525</v>
      </c>
      <c r="AT175" s="89">
        <v>-5.0000000000000001E-3</v>
      </c>
      <c r="AU175" s="89">
        <v>-0.1125</v>
      </c>
      <c r="AV175" s="89">
        <v>-0.01</v>
      </c>
      <c r="AW175" s="89">
        <v>-3.4500000000000003E-2</v>
      </c>
      <c r="AX175" s="89">
        <v>2.1999999999999999E-2</v>
      </c>
      <c r="AY175" s="90">
        <v>0</v>
      </c>
      <c r="AZ175" s="90">
        <v>0</v>
      </c>
      <c r="BA175" s="90">
        <v>-0.13</v>
      </c>
      <c r="BB175" s="89">
        <v>5.0000000000000001E-3</v>
      </c>
      <c r="BC175" s="89">
        <v>-7.0000000000000007E-2</v>
      </c>
      <c r="BD175" s="89">
        <v>5.0000000000000001E-3</v>
      </c>
      <c r="BE175" s="89">
        <v>0.35</v>
      </c>
      <c r="BF175" s="89">
        <v>0</v>
      </c>
      <c r="BG175" s="89">
        <v>-0.06</v>
      </c>
      <c r="BH175" s="89">
        <v>0</v>
      </c>
      <c r="BI175" s="89">
        <v>0</v>
      </c>
      <c r="BJ175" s="62">
        <v>0.03</v>
      </c>
      <c r="BK175" s="62">
        <v>0.35</v>
      </c>
      <c r="BL175" s="62">
        <v>0</v>
      </c>
      <c r="BM175" s="62">
        <v>0.35799999999999998</v>
      </c>
      <c r="BN175" s="62">
        <v>0</v>
      </c>
      <c r="BO175" s="62">
        <v>-0.26</v>
      </c>
      <c r="BP175" s="62">
        <v>0</v>
      </c>
      <c r="BQ175" s="62">
        <v>0.5</v>
      </c>
      <c r="BR175" s="62">
        <v>0</v>
      </c>
      <c r="BS175" s="62">
        <v>-7.0000000000000007E-2</v>
      </c>
      <c r="BT175" s="62">
        <v>5.0000000000000001E-3</v>
      </c>
      <c r="BU175" s="62">
        <v>0.3</v>
      </c>
      <c r="BV175" s="62">
        <v>0</v>
      </c>
      <c r="BW175" s="62">
        <v>0</v>
      </c>
      <c r="BX175" s="62">
        <v>0</v>
      </c>
      <c r="BY175" s="62">
        <v>-6.9999989999999998E-3</v>
      </c>
      <c r="BZ175" s="62">
        <v>5.7500000000000002E-2</v>
      </c>
      <c r="CA175" s="62">
        <v>0.215</v>
      </c>
      <c r="CB175" s="62">
        <v>5.0000000000000001E-3</v>
      </c>
      <c r="CC175" s="62">
        <v>-6.9999989999999998E-3</v>
      </c>
      <c r="CD175" s="62">
        <v>3.7000000000000002E-3</v>
      </c>
      <c r="CE175" s="62">
        <v>2.5000000000000001E-3</v>
      </c>
      <c r="CF175" s="62">
        <v>2.5000000000000001E-3</v>
      </c>
      <c r="CG175" s="62">
        <v>-6.9999989999999998E-3</v>
      </c>
      <c r="CH175" s="62">
        <v>3.7000000000000002E-3</v>
      </c>
      <c r="CI175" s="62">
        <v>-0.10249999999999999</v>
      </c>
      <c r="CJ175" s="62">
        <v>2.5000000000000001E-3</v>
      </c>
      <c r="CK175" s="62">
        <v>7.4999999999999997E-2</v>
      </c>
      <c r="CL175" s="62">
        <v>2.5000000000000001E-3</v>
      </c>
      <c r="CM175" s="62">
        <v>-6.4000000000000001E-2</v>
      </c>
      <c r="CN175" s="62">
        <v>0.01</v>
      </c>
      <c r="CO175" s="62">
        <v>-8.9999989999999998E-3</v>
      </c>
      <c r="CP175" s="62">
        <v>7.4999999999999997E-3</v>
      </c>
      <c r="CQ175" s="62">
        <v>3.1E-2</v>
      </c>
      <c r="CR175" s="62">
        <v>1.2500000000000001E-2</v>
      </c>
      <c r="CS175" s="62">
        <v>0.98</v>
      </c>
      <c r="CT175" s="62">
        <v>0.25</v>
      </c>
      <c r="CU175" s="62">
        <v>0.35799999999999998</v>
      </c>
      <c r="CV175" s="62">
        <v>0</v>
      </c>
      <c r="CW175" s="62">
        <v>0.28999999999999998</v>
      </c>
      <c r="CX175" s="62">
        <v>0.02</v>
      </c>
      <c r="CY175" s="62">
        <v>-0.52</v>
      </c>
      <c r="CZ175" s="62">
        <v>0</v>
      </c>
      <c r="DA175" s="62">
        <v>-0.34</v>
      </c>
      <c r="DB175" s="62">
        <v>0</v>
      </c>
      <c r="DC175" s="62">
        <v>0.4</v>
      </c>
      <c r="DE175" s="62">
        <v>-3.5999999999999997E-2</v>
      </c>
      <c r="DF175" s="62">
        <v>1.2500000000000001E-2</v>
      </c>
      <c r="DG175" s="62">
        <v>1.4E-2</v>
      </c>
      <c r="DH175" s="62">
        <v>7.4999999999999997E-3</v>
      </c>
      <c r="DI175" s="62">
        <v>9.9999999999999395E-4</v>
      </c>
      <c r="DJ175" s="62">
        <v>2.5000000000000001E-3</v>
      </c>
      <c r="DK175" s="62">
        <v>-6.7500000000000004E-2</v>
      </c>
      <c r="DL175" s="62">
        <v>2.5000000000000001E-3</v>
      </c>
      <c r="DM175" s="62">
        <v>-4.9500000000000002E-2</v>
      </c>
      <c r="DN175" s="62">
        <v>2.5000000000000001E-3</v>
      </c>
      <c r="DO175" s="62">
        <v>-7.1999999999999995E-2</v>
      </c>
      <c r="DP175" s="62">
        <v>2.5000000000000001E-3</v>
      </c>
      <c r="DQ175" s="62">
        <v>-9.7500000000000003E-2</v>
      </c>
      <c r="DR175" s="62">
        <v>-5.0000000000000001E-3</v>
      </c>
      <c r="DS175" s="62">
        <v>0.77</v>
      </c>
      <c r="DT175" s="62">
        <v>0.05</v>
      </c>
      <c r="DU175" s="62">
        <v>0</v>
      </c>
      <c r="DV175" s="62">
        <v>0</v>
      </c>
    </row>
    <row r="176" spans="4:126" x14ac:dyDescent="0.25">
      <c r="D176" s="91">
        <v>42005</v>
      </c>
      <c r="F176" s="89">
        <v>4.4945000000000004</v>
      </c>
      <c r="G176" s="90">
        <v>6.3419107776177402E-2</v>
      </c>
      <c r="H176" s="89">
        <v>0.17</v>
      </c>
      <c r="I176" s="89">
        <v>1</v>
      </c>
      <c r="J176" s="89">
        <v>1.05</v>
      </c>
      <c r="K176" s="89">
        <v>1</v>
      </c>
      <c r="L176" s="87">
        <v>1</v>
      </c>
      <c r="M176" s="87">
        <v>1.1499999999999999</v>
      </c>
      <c r="N176" s="89">
        <v>1.45</v>
      </c>
      <c r="O176" s="89">
        <v>1.05</v>
      </c>
      <c r="P176" s="89">
        <v>1</v>
      </c>
      <c r="Q176" s="89">
        <v>1.35</v>
      </c>
      <c r="R176" s="90">
        <v>1</v>
      </c>
      <c r="S176" s="90">
        <v>1.1000000000000001</v>
      </c>
      <c r="T176" s="89">
        <v>1</v>
      </c>
      <c r="U176" s="89">
        <v>1.45</v>
      </c>
      <c r="V176" s="89">
        <v>1.1000000000000001</v>
      </c>
      <c r="W176" s="89">
        <v>2.5000000000000001E-2</v>
      </c>
      <c r="X176" s="89">
        <v>0.03</v>
      </c>
      <c r="Y176" s="89">
        <v>0</v>
      </c>
      <c r="Z176" s="89">
        <v>0.02</v>
      </c>
      <c r="AA176" s="89">
        <v>0</v>
      </c>
      <c r="AB176" s="89">
        <v>0</v>
      </c>
      <c r="AC176" s="89">
        <v>0</v>
      </c>
      <c r="AD176" s="89">
        <v>0</v>
      </c>
      <c r="AE176" s="89">
        <v>0</v>
      </c>
      <c r="AF176" s="89">
        <v>0</v>
      </c>
      <c r="AG176" s="89">
        <v>0</v>
      </c>
      <c r="AH176" s="89">
        <v>0</v>
      </c>
      <c r="AI176" s="89">
        <v>0</v>
      </c>
      <c r="AJ176" s="89">
        <v>0</v>
      </c>
      <c r="AK176" s="89">
        <v>0</v>
      </c>
      <c r="AL176" s="89">
        <v>3.5000000000000003E-2</v>
      </c>
      <c r="AM176" s="89">
        <v>-5.5E-2</v>
      </c>
      <c r="AN176" s="89">
        <v>2.5999999999999999E-2</v>
      </c>
      <c r="AO176" s="89">
        <v>-0.65300000000000002</v>
      </c>
      <c r="AP176" s="89">
        <v>0.155</v>
      </c>
      <c r="AQ176" s="89">
        <v>-0.03</v>
      </c>
      <c r="AR176" s="89">
        <v>5.0000000000000001E-3</v>
      </c>
      <c r="AS176" s="89">
        <v>-0.155</v>
      </c>
      <c r="AT176" s="89">
        <v>-5.0000000000000001E-3</v>
      </c>
      <c r="AU176" s="89">
        <v>-0.115</v>
      </c>
      <c r="AV176" s="89">
        <v>-0.01</v>
      </c>
      <c r="AW176" s="89">
        <v>-3.2500000000000001E-2</v>
      </c>
      <c r="AX176" s="89">
        <v>2.1999999999999999E-2</v>
      </c>
      <c r="AY176" s="90">
        <v>0</v>
      </c>
      <c r="AZ176" s="90">
        <v>0</v>
      </c>
      <c r="BA176" s="90">
        <v>-0.13</v>
      </c>
      <c r="BB176" s="89">
        <v>0</v>
      </c>
      <c r="BC176" s="89">
        <v>-7.0000000000000007E-2</v>
      </c>
      <c r="BD176" s="89">
        <v>5.0000000000000001E-3</v>
      </c>
      <c r="BE176" s="89">
        <v>0.35</v>
      </c>
      <c r="BF176" s="89">
        <v>0</v>
      </c>
      <c r="BG176" s="89">
        <v>-0.06</v>
      </c>
      <c r="BH176" s="89">
        <v>0</v>
      </c>
      <c r="BI176" s="89">
        <v>0</v>
      </c>
      <c r="BJ176" s="62">
        <v>0.03</v>
      </c>
      <c r="BK176" s="62">
        <v>0.35</v>
      </c>
      <c r="BL176" s="62">
        <v>0</v>
      </c>
      <c r="BM176" s="62">
        <v>0.42799999999999999</v>
      </c>
      <c r="BN176" s="62">
        <v>0</v>
      </c>
      <c r="BO176" s="62">
        <v>-0.26</v>
      </c>
      <c r="BP176" s="62">
        <v>0</v>
      </c>
      <c r="BQ176" s="62">
        <v>0.5</v>
      </c>
      <c r="BR176" s="62">
        <v>0</v>
      </c>
      <c r="BS176" s="62">
        <v>-7.0000000000000007E-2</v>
      </c>
      <c r="BT176" s="62">
        <v>5.0000000000000001E-3</v>
      </c>
      <c r="BU176" s="62">
        <v>0.3</v>
      </c>
      <c r="BV176" s="62">
        <v>0</v>
      </c>
      <c r="BW176" s="62">
        <v>0</v>
      </c>
      <c r="BX176" s="62">
        <v>0</v>
      </c>
      <c r="BY176" s="62">
        <v>-4.9999989999999998E-3</v>
      </c>
      <c r="BZ176" s="62">
        <v>5.7500000000000002E-2</v>
      </c>
      <c r="CA176" s="62">
        <v>0.23499999999999999</v>
      </c>
      <c r="CB176" s="62">
        <v>5.0000000000000001E-3</v>
      </c>
      <c r="CC176" s="62">
        <v>-4.9999989999999998E-3</v>
      </c>
      <c r="CD176" s="62">
        <v>3.7000000000000002E-3</v>
      </c>
      <c r="CE176" s="62">
        <v>2.5000000000000001E-3</v>
      </c>
      <c r="CF176" s="62">
        <v>2.5000000000000001E-3</v>
      </c>
      <c r="CG176" s="62">
        <v>-4.9999989999999998E-3</v>
      </c>
      <c r="CH176" s="62">
        <v>3.7000000000000002E-3</v>
      </c>
      <c r="CI176" s="62">
        <v>-0.10050000000000001</v>
      </c>
      <c r="CJ176" s="62">
        <v>2.5000000000000001E-3</v>
      </c>
      <c r="CK176" s="62">
        <v>7.4999999999999997E-2</v>
      </c>
      <c r="CL176" s="62">
        <v>2.5000000000000001E-3</v>
      </c>
      <c r="CM176" s="62">
        <v>-6.4000000000000001E-2</v>
      </c>
      <c r="CN176" s="62">
        <v>0.01</v>
      </c>
      <c r="CO176" s="62">
        <v>-8.9999989999999998E-3</v>
      </c>
      <c r="CP176" s="62">
        <v>7.4999999999999997E-3</v>
      </c>
      <c r="CQ176" s="62">
        <v>3.1E-2</v>
      </c>
      <c r="CR176" s="62">
        <v>1.2500000000000001E-2</v>
      </c>
      <c r="CS176" s="62">
        <v>1.6</v>
      </c>
      <c r="CT176" s="62">
        <v>0.45</v>
      </c>
      <c r="CU176" s="62">
        <v>0.42799999999999999</v>
      </c>
      <c r="CV176" s="62">
        <v>0</v>
      </c>
      <c r="CW176" s="62">
        <v>0.34</v>
      </c>
      <c r="CX176" s="62">
        <v>0.02</v>
      </c>
      <c r="CY176" s="62">
        <v>-0.52</v>
      </c>
      <c r="CZ176" s="62">
        <v>0</v>
      </c>
      <c r="DA176" s="62">
        <v>-0.34</v>
      </c>
      <c r="DB176" s="62">
        <v>0</v>
      </c>
      <c r="DC176" s="62">
        <v>0.35</v>
      </c>
      <c r="DE176" s="62">
        <v>-3.5999999999999997E-2</v>
      </c>
      <c r="DF176" s="62">
        <v>1.2500000000000001E-2</v>
      </c>
      <c r="DG176" s="62">
        <v>1.4E-2</v>
      </c>
      <c r="DH176" s="62">
        <v>7.4999999999999997E-3</v>
      </c>
      <c r="DI176" s="62">
        <v>9.9999999999999395E-4</v>
      </c>
      <c r="DJ176" s="62">
        <v>2.5000000000000001E-3</v>
      </c>
      <c r="DK176" s="62">
        <v>-8.2500000000000004E-2</v>
      </c>
      <c r="DL176" s="62">
        <v>2.5000000000000001E-3</v>
      </c>
      <c r="DM176" s="62">
        <v>-4.9500000000000002E-2</v>
      </c>
      <c r="DN176" s="62">
        <v>2.5000000000000001E-3</v>
      </c>
      <c r="DO176" s="62">
        <v>-7.1999999999999995E-2</v>
      </c>
      <c r="DP176" s="62">
        <v>2.5000000000000001E-3</v>
      </c>
      <c r="DQ176" s="62">
        <v>-0.1125</v>
      </c>
      <c r="DR176" s="62">
        <v>-5.0000000000000001E-3</v>
      </c>
      <c r="DS176" s="62">
        <v>1.04</v>
      </c>
      <c r="DT176" s="62">
        <v>0.05</v>
      </c>
      <c r="DU176" s="62">
        <v>0</v>
      </c>
      <c r="DV176" s="62">
        <v>0</v>
      </c>
    </row>
    <row r="177" spans="4:126" x14ac:dyDescent="0.25">
      <c r="D177" s="91">
        <v>42036</v>
      </c>
      <c r="F177" s="89">
        <v>4.4095000000000004</v>
      </c>
      <c r="G177" s="90">
        <v>6.3459651879669302E-2</v>
      </c>
      <c r="H177" s="89">
        <v>0.17</v>
      </c>
      <c r="I177" s="89">
        <v>1</v>
      </c>
      <c r="J177" s="89">
        <v>1.05</v>
      </c>
      <c r="K177" s="89">
        <v>1</v>
      </c>
      <c r="L177" s="87">
        <v>1</v>
      </c>
      <c r="M177" s="87">
        <v>1.1499999999999999</v>
      </c>
      <c r="N177" s="89">
        <v>1.45</v>
      </c>
      <c r="O177" s="89">
        <v>1.05</v>
      </c>
      <c r="P177" s="89">
        <v>1</v>
      </c>
      <c r="Q177" s="89">
        <v>1.35</v>
      </c>
      <c r="R177" s="90">
        <v>1</v>
      </c>
      <c r="S177" s="90">
        <v>1.1000000000000001</v>
      </c>
      <c r="T177" s="89">
        <v>1</v>
      </c>
      <c r="U177" s="89">
        <v>1.45</v>
      </c>
      <c r="V177" s="89">
        <v>1.1000000000000001</v>
      </c>
      <c r="W177" s="89">
        <v>0.02</v>
      </c>
      <c r="X177" s="89">
        <v>0.03</v>
      </c>
      <c r="Y177" s="89">
        <v>0</v>
      </c>
      <c r="Z177" s="89">
        <v>0.02</v>
      </c>
      <c r="AA177" s="89">
        <v>0</v>
      </c>
      <c r="AB177" s="89">
        <v>0</v>
      </c>
      <c r="AC177" s="89">
        <v>0</v>
      </c>
      <c r="AD177" s="89">
        <v>0</v>
      </c>
      <c r="AE177" s="89">
        <v>0</v>
      </c>
      <c r="AF177" s="89">
        <v>0</v>
      </c>
      <c r="AG177" s="89">
        <v>0</v>
      </c>
      <c r="AH177" s="89">
        <v>0</v>
      </c>
      <c r="AI177" s="89">
        <v>0</v>
      </c>
      <c r="AJ177" s="89">
        <v>0</v>
      </c>
      <c r="AK177" s="89">
        <v>0</v>
      </c>
      <c r="AL177" s="89">
        <v>3.5000000000000003E-2</v>
      </c>
      <c r="AM177" s="89">
        <v>-5.5E-2</v>
      </c>
      <c r="AN177" s="89">
        <v>2.5999999999999999E-2</v>
      </c>
      <c r="AO177" s="89">
        <v>-0.65300000000000002</v>
      </c>
      <c r="AP177" s="89">
        <v>0.155</v>
      </c>
      <c r="AQ177" s="89">
        <v>-0.03</v>
      </c>
      <c r="AR177" s="89">
        <v>5.0000000000000001E-3</v>
      </c>
      <c r="AS177" s="89">
        <v>-0.14749999999999999</v>
      </c>
      <c r="AT177" s="89">
        <v>-5.0000000000000001E-3</v>
      </c>
      <c r="AU177" s="89">
        <v>-0.1075</v>
      </c>
      <c r="AV177" s="89">
        <v>-0.01</v>
      </c>
      <c r="AW177" s="89">
        <v>-3.2500000000000001E-2</v>
      </c>
      <c r="AX177" s="89">
        <v>2.1999999999999999E-2</v>
      </c>
      <c r="AY177" s="90">
        <v>0</v>
      </c>
      <c r="AZ177" s="90">
        <v>0</v>
      </c>
      <c r="BA177" s="90">
        <v>-0.13</v>
      </c>
      <c r="BB177" s="89">
        <v>0</v>
      </c>
      <c r="BC177" s="89">
        <v>-7.0000000000000007E-2</v>
      </c>
      <c r="BD177" s="89">
        <v>5.0000000000000001E-3</v>
      </c>
      <c r="BE177" s="89">
        <v>0.35</v>
      </c>
      <c r="BF177" s="89">
        <v>0</v>
      </c>
      <c r="BG177" s="89">
        <v>-0.06</v>
      </c>
      <c r="BH177" s="89">
        <v>0</v>
      </c>
      <c r="BI177" s="89">
        <v>0</v>
      </c>
      <c r="BJ177" s="62">
        <v>0.03</v>
      </c>
      <c r="BK177" s="62">
        <v>0.35</v>
      </c>
      <c r="BL177" s="62">
        <v>0</v>
      </c>
      <c r="BM177" s="62">
        <v>0.29799999999999999</v>
      </c>
      <c r="BN177" s="62">
        <v>0</v>
      </c>
      <c r="BO177" s="62">
        <v>-0.26</v>
      </c>
      <c r="BP177" s="62">
        <v>0</v>
      </c>
      <c r="BQ177" s="62">
        <v>0.5</v>
      </c>
      <c r="BR177" s="62">
        <v>0</v>
      </c>
      <c r="BS177" s="62">
        <v>-7.0000000000000007E-2</v>
      </c>
      <c r="BT177" s="62">
        <v>5.0000000000000001E-3</v>
      </c>
      <c r="BU177" s="62">
        <v>0.3</v>
      </c>
      <c r="BV177" s="62">
        <v>0</v>
      </c>
      <c r="BW177" s="62">
        <v>0</v>
      </c>
      <c r="BX177" s="62">
        <v>0</v>
      </c>
      <c r="BY177" s="62">
        <v>-4.9999989999999998E-3</v>
      </c>
      <c r="BZ177" s="62">
        <v>5.7500000000000002E-2</v>
      </c>
      <c r="CA177" s="62">
        <v>0.23499999999999999</v>
      </c>
      <c r="CB177" s="62">
        <v>5.0000000000000001E-3</v>
      </c>
      <c r="CC177" s="62">
        <v>-4.9999989999999998E-3</v>
      </c>
      <c r="CD177" s="62">
        <v>3.7000000000000002E-3</v>
      </c>
      <c r="CE177" s="62">
        <v>2.5000000000000001E-3</v>
      </c>
      <c r="CF177" s="62">
        <v>2.5000000000000001E-3</v>
      </c>
      <c r="CG177" s="62">
        <v>-4.9999989999999998E-3</v>
      </c>
      <c r="CH177" s="62">
        <v>3.7000000000000002E-3</v>
      </c>
      <c r="CI177" s="62">
        <v>-0.10050000000000001</v>
      </c>
      <c r="CJ177" s="62">
        <v>2.5000000000000001E-3</v>
      </c>
      <c r="CK177" s="62">
        <v>7.4999999999999997E-2</v>
      </c>
      <c r="CL177" s="62">
        <v>2.5000000000000001E-3</v>
      </c>
      <c r="CM177" s="62">
        <v>-6.4000000000000001E-2</v>
      </c>
      <c r="CN177" s="62">
        <v>0.01</v>
      </c>
      <c r="CO177" s="62">
        <v>-8.9999989999999998E-3</v>
      </c>
      <c r="CP177" s="62">
        <v>7.4999999999999997E-3</v>
      </c>
      <c r="CQ177" s="62">
        <v>3.1E-2</v>
      </c>
      <c r="CR177" s="62">
        <v>1.2500000000000001E-2</v>
      </c>
      <c r="CS177" s="62">
        <v>1.6</v>
      </c>
      <c r="CT177" s="62">
        <v>0.45</v>
      </c>
      <c r="CU177" s="62">
        <v>0.29799999999999999</v>
      </c>
      <c r="CV177" s="62">
        <v>0</v>
      </c>
      <c r="CW177" s="62">
        <v>0.34</v>
      </c>
      <c r="CX177" s="62">
        <v>0.02</v>
      </c>
      <c r="CY177" s="62">
        <v>-0.52</v>
      </c>
      <c r="CZ177" s="62">
        <v>0</v>
      </c>
      <c r="DA177" s="62">
        <v>-0.34</v>
      </c>
      <c r="DB177" s="62">
        <v>0</v>
      </c>
      <c r="DC177" s="62">
        <v>0.35</v>
      </c>
      <c r="DE177" s="62">
        <v>-3.5999999999999997E-2</v>
      </c>
      <c r="DF177" s="62">
        <v>1.2500000000000001E-2</v>
      </c>
      <c r="DG177" s="62">
        <v>1.4E-2</v>
      </c>
      <c r="DH177" s="62">
        <v>7.4999999999999997E-3</v>
      </c>
      <c r="DI177" s="62">
        <v>9.9999999999999395E-4</v>
      </c>
      <c r="DJ177" s="62">
        <v>2.5000000000000001E-3</v>
      </c>
      <c r="DK177" s="62">
        <v>-7.2499999999999995E-2</v>
      </c>
      <c r="DL177" s="62">
        <v>2.5000000000000001E-3</v>
      </c>
      <c r="DM177" s="62">
        <v>-4.9500000000000002E-2</v>
      </c>
      <c r="DN177" s="62">
        <v>2.5000000000000001E-3</v>
      </c>
      <c r="DO177" s="62">
        <v>-7.1999999999999995E-2</v>
      </c>
      <c r="DP177" s="62">
        <v>2.5000000000000001E-3</v>
      </c>
      <c r="DQ177" s="62">
        <v>-0.10249999999999999</v>
      </c>
      <c r="DR177" s="62">
        <v>-5.0000000000000001E-3</v>
      </c>
      <c r="DS177" s="62">
        <v>1.04</v>
      </c>
      <c r="DT177" s="62">
        <v>0.05</v>
      </c>
      <c r="DU177" s="62">
        <v>0</v>
      </c>
      <c r="DV177" s="62">
        <v>0</v>
      </c>
    </row>
    <row r="178" spans="4:126" x14ac:dyDescent="0.25">
      <c r="D178" s="91">
        <v>42064</v>
      </c>
      <c r="F178" s="89">
        <v>4.2794999999999996</v>
      </c>
      <c r="G178" s="90">
        <v>6.3496272360711994E-2</v>
      </c>
      <c r="H178" s="89">
        <v>0.17</v>
      </c>
      <c r="I178" s="89">
        <v>0.75</v>
      </c>
      <c r="J178" s="89">
        <v>0.8</v>
      </c>
      <c r="K178" s="89">
        <v>0.75</v>
      </c>
      <c r="L178" s="87">
        <v>0.75</v>
      </c>
      <c r="M178" s="87">
        <v>0.85</v>
      </c>
      <c r="N178" s="89">
        <v>1</v>
      </c>
      <c r="O178" s="89">
        <v>0.75</v>
      </c>
      <c r="P178" s="89">
        <v>0.75</v>
      </c>
      <c r="Q178" s="89">
        <v>0.95</v>
      </c>
      <c r="R178" s="90">
        <v>0.75</v>
      </c>
      <c r="S178" s="90">
        <v>0.75</v>
      </c>
      <c r="T178" s="89">
        <v>0.75</v>
      </c>
      <c r="U178" s="89">
        <v>1</v>
      </c>
      <c r="V178" s="89">
        <v>0.85</v>
      </c>
      <c r="W178" s="89">
        <v>0</v>
      </c>
      <c r="X178" s="89">
        <v>0.03</v>
      </c>
      <c r="Y178" s="89">
        <v>0</v>
      </c>
      <c r="Z178" s="89">
        <v>0.02</v>
      </c>
      <c r="AA178" s="89">
        <v>0</v>
      </c>
      <c r="AB178" s="89">
        <v>0</v>
      </c>
      <c r="AC178" s="89">
        <v>0</v>
      </c>
      <c r="AD178" s="89">
        <v>0</v>
      </c>
      <c r="AE178" s="89">
        <v>0</v>
      </c>
      <c r="AF178" s="89">
        <v>0</v>
      </c>
      <c r="AG178" s="89">
        <v>0</v>
      </c>
      <c r="AH178" s="89">
        <v>0</v>
      </c>
      <c r="AI178" s="89">
        <v>0</v>
      </c>
      <c r="AJ178" s="89">
        <v>0</v>
      </c>
      <c r="AK178" s="89">
        <v>0</v>
      </c>
      <c r="AL178" s="89">
        <v>3.5000000000000003E-2</v>
      </c>
      <c r="AM178" s="89">
        <v>-5.5E-2</v>
      </c>
      <c r="AN178" s="89">
        <v>2.5999999999999999E-2</v>
      </c>
      <c r="AO178" s="89">
        <v>-0.65300000000000002</v>
      </c>
      <c r="AP178" s="89">
        <v>0.155</v>
      </c>
      <c r="AQ178" s="89">
        <v>-0.03</v>
      </c>
      <c r="AR178" s="89">
        <v>5.0000000000000001E-3</v>
      </c>
      <c r="AS178" s="89">
        <v>-0.14499999999999999</v>
      </c>
      <c r="AT178" s="89">
        <v>-5.0000000000000001E-3</v>
      </c>
      <c r="AU178" s="89">
        <v>-0.105</v>
      </c>
      <c r="AV178" s="89">
        <v>-0.01</v>
      </c>
      <c r="AW178" s="89">
        <v>-3.2500000000000001E-2</v>
      </c>
      <c r="AX178" s="89">
        <v>2.1999999999999999E-2</v>
      </c>
      <c r="AY178" s="90">
        <v>0</v>
      </c>
      <c r="AZ178" s="90">
        <v>0</v>
      </c>
      <c r="BA178" s="90">
        <v>-0.13</v>
      </c>
      <c r="BB178" s="89">
        <v>0</v>
      </c>
      <c r="BC178" s="89">
        <v>-7.0000000000000007E-2</v>
      </c>
      <c r="BD178" s="89">
        <v>5.0000000000000001E-3</v>
      </c>
      <c r="BE178" s="89">
        <v>0.35</v>
      </c>
      <c r="BF178" s="89">
        <v>0</v>
      </c>
      <c r="BG178" s="89">
        <v>-0.06</v>
      </c>
      <c r="BH178" s="89">
        <v>0</v>
      </c>
      <c r="BI178" s="89">
        <v>0</v>
      </c>
      <c r="BJ178" s="62">
        <v>0.03</v>
      </c>
      <c r="BK178" s="62">
        <v>0.35</v>
      </c>
      <c r="BL178" s="62">
        <v>0</v>
      </c>
      <c r="BM178" s="62">
        <v>0.11799999999999999</v>
      </c>
      <c r="BN178" s="62">
        <v>0</v>
      </c>
      <c r="BO178" s="62">
        <v>-0.26</v>
      </c>
      <c r="BP178" s="62">
        <v>0</v>
      </c>
      <c r="BQ178" s="62">
        <v>0.5</v>
      </c>
      <c r="BR178" s="62">
        <v>0</v>
      </c>
      <c r="BS178" s="62">
        <v>-7.0000000000000007E-2</v>
      </c>
      <c r="BT178" s="62">
        <v>5.0000000000000001E-3</v>
      </c>
      <c r="BU178" s="62">
        <v>0.3</v>
      </c>
      <c r="BV178" s="62">
        <v>0</v>
      </c>
      <c r="BW178" s="62">
        <v>0</v>
      </c>
      <c r="BX178" s="62">
        <v>0</v>
      </c>
      <c r="BY178" s="62">
        <v>-4.9999989999999998E-3</v>
      </c>
      <c r="BZ178" s="62">
        <v>5.7500000000000002E-2</v>
      </c>
      <c r="CA178" s="62">
        <v>0.19500000000000001</v>
      </c>
      <c r="CB178" s="62">
        <v>5.0000000000000001E-3</v>
      </c>
      <c r="CC178" s="62">
        <v>-4.9999989999999998E-3</v>
      </c>
      <c r="CD178" s="62">
        <v>3.7000000000000002E-3</v>
      </c>
      <c r="CE178" s="62">
        <v>2.5000000000000001E-3</v>
      </c>
      <c r="CF178" s="62">
        <v>2.5000000000000001E-3</v>
      </c>
      <c r="CG178" s="62">
        <v>-4.9999989999999998E-3</v>
      </c>
      <c r="CH178" s="62">
        <v>3.7000000000000002E-3</v>
      </c>
      <c r="CI178" s="62">
        <v>-0.10050000000000001</v>
      </c>
      <c r="CJ178" s="62">
        <v>2.5000000000000001E-3</v>
      </c>
      <c r="CK178" s="62">
        <v>7.4999999999999997E-2</v>
      </c>
      <c r="CL178" s="62">
        <v>2.5000000000000001E-3</v>
      </c>
      <c r="CM178" s="62">
        <v>-6.4000000000000001E-2</v>
      </c>
      <c r="CN178" s="62">
        <v>0.01</v>
      </c>
      <c r="CO178" s="62">
        <v>-8.9999989999999998E-3</v>
      </c>
      <c r="CP178" s="62">
        <v>7.4999999999999997E-3</v>
      </c>
      <c r="CQ178" s="62">
        <v>3.1E-2</v>
      </c>
      <c r="CR178" s="62">
        <v>1.2500000000000001E-2</v>
      </c>
      <c r="CS178" s="62">
        <v>0.64</v>
      </c>
      <c r="CT178" s="62">
        <v>0.1</v>
      </c>
      <c r="CU178" s="62">
        <v>0.11799999999999999</v>
      </c>
      <c r="CV178" s="62">
        <v>0</v>
      </c>
      <c r="CW178" s="62">
        <v>0.28999999999999998</v>
      </c>
      <c r="CX178" s="62">
        <v>0.02</v>
      </c>
      <c r="CY178" s="62">
        <v>-0.52</v>
      </c>
      <c r="CZ178" s="62">
        <v>0</v>
      </c>
      <c r="DA178" s="62">
        <v>-0.34</v>
      </c>
      <c r="DB178" s="62">
        <v>0</v>
      </c>
      <c r="DC178" s="62">
        <v>0.4</v>
      </c>
      <c r="DE178" s="62">
        <v>-3.5999999999999997E-2</v>
      </c>
      <c r="DF178" s="62">
        <v>1.2500000000000001E-2</v>
      </c>
      <c r="DG178" s="62">
        <v>1.9E-2</v>
      </c>
      <c r="DH178" s="62">
        <v>7.4999999999999997E-3</v>
      </c>
      <c r="DI178" s="62">
        <v>4.0000000000000001E-3</v>
      </c>
      <c r="DJ178" s="62">
        <v>2.5000000000000001E-3</v>
      </c>
      <c r="DK178" s="62">
        <v>-6.25E-2</v>
      </c>
      <c r="DL178" s="62">
        <v>2.5000000000000001E-3</v>
      </c>
      <c r="DM178" s="62">
        <v>-4.9500000000000002E-2</v>
      </c>
      <c r="DN178" s="62">
        <v>2.5000000000000001E-3</v>
      </c>
      <c r="DO178" s="62">
        <v>-7.1999999999999995E-2</v>
      </c>
      <c r="DP178" s="62">
        <v>2.5000000000000001E-3</v>
      </c>
      <c r="DQ178" s="62">
        <v>-9.2499999999999999E-2</v>
      </c>
      <c r="DR178" s="62">
        <v>-5.0000000000000001E-3</v>
      </c>
      <c r="DS178" s="62">
        <v>0.54</v>
      </c>
      <c r="DT178" s="62">
        <v>0.05</v>
      </c>
      <c r="DU178" s="62">
        <v>0</v>
      </c>
      <c r="DV178" s="62">
        <v>0</v>
      </c>
    </row>
    <row r="179" spans="4:126" x14ac:dyDescent="0.25">
      <c r="D179" s="91">
        <v>42095</v>
      </c>
      <c r="F179" s="89">
        <v>4.0945</v>
      </c>
      <c r="G179" s="90">
        <v>6.3536816465241702E-2</v>
      </c>
      <c r="H179" s="89">
        <v>0.17</v>
      </c>
      <c r="I179" s="89">
        <v>0.4</v>
      </c>
      <c r="J179" s="89">
        <v>0.45</v>
      </c>
      <c r="K179" s="89">
        <v>0.4</v>
      </c>
      <c r="L179" s="87">
        <v>0.45</v>
      </c>
      <c r="M179" s="87">
        <v>0.45</v>
      </c>
      <c r="N179" s="89">
        <v>0.45</v>
      </c>
      <c r="O179" s="89">
        <v>0.45</v>
      </c>
      <c r="P179" s="89">
        <v>0.45</v>
      </c>
      <c r="Q179" s="89">
        <v>0.5</v>
      </c>
      <c r="R179" s="90">
        <v>0.4</v>
      </c>
      <c r="S179" s="90">
        <v>0.45</v>
      </c>
      <c r="T179" s="89">
        <v>0.4</v>
      </c>
      <c r="U179" s="89">
        <v>0.45</v>
      </c>
      <c r="V179" s="89">
        <v>0.55000000000000004</v>
      </c>
      <c r="W179" s="89">
        <v>-0.09</v>
      </c>
      <c r="X179" s="89">
        <v>0</v>
      </c>
      <c r="Y179" s="89">
        <v>0</v>
      </c>
      <c r="Z179" s="89">
        <v>5.0000000000000001E-3</v>
      </c>
      <c r="AA179" s="89">
        <v>0</v>
      </c>
      <c r="AB179" s="89">
        <v>0</v>
      </c>
      <c r="AC179" s="89">
        <v>0</v>
      </c>
      <c r="AD179" s="89">
        <v>0</v>
      </c>
      <c r="AE179" s="89">
        <v>0</v>
      </c>
      <c r="AF179" s="89">
        <v>0</v>
      </c>
      <c r="AG179" s="89">
        <v>0</v>
      </c>
      <c r="AH179" s="89">
        <v>0</v>
      </c>
      <c r="AI179" s="89">
        <v>0</v>
      </c>
      <c r="AJ179" s="89">
        <v>0</v>
      </c>
      <c r="AK179" s="89">
        <v>0</v>
      </c>
      <c r="AL179" s="89">
        <v>0.04</v>
      </c>
      <c r="AM179" s="89">
        <v>-3.7999999999999999E-2</v>
      </c>
      <c r="AN179" s="89">
        <v>3.3000000000000002E-2</v>
      </c>
      <c r="AO179" s="89">
        <v>-0.78800000000000003</v>
      </c>
      <c r="AP179" s="89">
        <v>0.155</v>
      </c>
      <c r="AQ179" s="89">
        <v>-0.03</v>
      </c>
      <c r="AR179" s="89">
        <v>0</v>
      </c>
      <c r="AS179" s="89">
        <v>-0.15</v>
      </c>
      <c r="AT179" s="89">
        <v>-1.4999999999999999E-2</v>
      </c>
      <c r="AU179" s="89">
        <v>-0.11</v>
      </c>
      <c r="AV179" s="89">
        <v>0.01</v>
      </c>
      <c r="AW179" s="89">
        <v>-0.03</v>
      </c>
      <c r="AX179" s="89">
        <v>1.4E-2</v>
      </c>
      <c r="AY179" s="90">
        <v>0</v>
      </c>
      <c r="AZ179" s="90">
        <v>0</v>
      </c>
      <c r="BA179" s="90">
        <v>-0.19500000000000001</v>
      </c>
      <c r="BB179" s="89">
        <v>0</v>
      </c>
      <c r="BC179" s="89">
        <v>-7.0000000000000007E-2</v>
      </c>
      <c r="BD179" s="89">
        <v>5.0000000000000001E-3</v>
      </c>
      <c r="BE179" s="89">
        <v>0.43</v>
      </c>
      <c r="BF179" s="89">
        <v>0</v>
      </c>
      <c r="BG179" s="89">
        <v>-0.06</v>
      </c>
      <c r="BH179" s="89">
        <v>0</v>
      </c>
      <c r="BI179" s="89">
        <v>0</v>
      </c>
      <c r="BJ179" s="62">
        <v>0.03</v>
      </c>
      <c r="BK179" s="62">
        <v>0.43</v>
      </c>
      <c r="BL179" s="62">
        <v>0</v>
      </c>
      <c r="BM179" s="62">
        <v>-0.2</v>
      </c>
      <c r="BN179" s="62">
        <v>0</v>
      </c>
      <c r="BO179" s="62">
        <v>-0.37</v>
      </c>
      <c r="BP179" s="62">
        <v>0</v>
      </c>
      <c r="BQ179" s="62">
        <v>0.5</v>
      </c>
      <c r="BR179" s="62">
        <v>0</v>
      </c>
      <c r="BS179" s="62">
        <v>-7.0000000000000007E-2</v>
      </c>
      <c r="BT179" s="62">
        <v>5.0000000000000001E-3</v>
      </c>
      <c r="BU179" s="62">
        <v>0.3</v>
      </c>
      <c r="BV179" s="62">
        <v>0</v>
      </c>
      <c r="BW179" s="62">
        <v>0</v>
      </c>
      <c r="BX179" s="62">
        <v>0</v>
      </c>
      <c r="BY179" s="62">
        <v>-4.9999989999999998E-3</v>
      </c>
      <c r="BZ179" s="62">
        <v>5.7500000000000002E-2</v>
      </c>
      <c r="CA179" s="62">
        <v>0.14499999999999999</v>
      </c>
      <c r="CB179" s="62">
        <v>5.0000000000000001E-3</v>
      </c>
      <c r="CC179" s="62">
        <v>-4.9999989999999998E-3</v>
      </c>
      <c r="CD179" s="62">
        <v>3.5000000000000001E-3</v>
      </c>
      <c r="CE179" s="62">
        <v>2.5000000000000001E-3</v>
      </c>
      <c r="CF179" s="62">
        <v>2.5000000000000001E-3</v>
      </c>
      <c r="CG179" s="62">
        <v>-4.9999989999999998E-3</v>
      </c>
      <c r="CH179" s="62">
        <v>3.5000000000000001E-3</v>
      </c>
      <c r="CI179" s="62">
        <v>-0.1205</v>
      </c>
      <c r="CJ179" s="62">
        <v>2.5000000000000001E-3</v>
      </c>
      <c r="CK179" s="62">
        <v>7.7499999999999999E-2</v>
      </c>
      <c r="CL179" s="62">
        <v>2.5000000000000001E-3</v>
      </c>
      <c r="CM179" s="62">
        <v>-7.1999999999999995E-2</v>
      </c>
      <c r="CN179" s="62">
        <v>7.4999999999999997E-3</v>
      </c>
      <c r="CO179" s="62">
        <v>-1.7000000000000001E-2</v>
      </c>
      <c r="CP179" s="62">
        <v>5.0000000000000001E-3</v>
      </c>
      <c r="CQ179" s="62">
        <v>2.3E-2</v>
      </c>
      <c r="CR179" s="62">
        <v>7.4999999999999997E-3</v>
      </c>
      <c r="CS179" s="62">
        <v>0.38</v>
      </c>
      <c r="CT179" s="62">
        <v>0.02</v>
      </c>
      <c r="CU179" s="62">
        <v>-0.2</v>
      </c>
      <c r="CV179" s="62">
        <v>0</v>
      </c>
      <c r="CW179" s="62">
        <v>0.19500000000000001</v>
      </c>
      <c r="CX179" s="62">
        <v>7.4999999999999997E-3</v>
      </c>
      <c r="CY179" s="62">
        <v>-0.18</v>
      </c>
      <c r="CZ179" s="62">
        <v>0</v>
      </c>
      <c r="DA179" s="62">
        <v>0</v>
      </c>
      <c r="DB179" s="62">
        <v>0</v>
      </c>
      <c r="DC179" s="62">
        <v>0.6</v>
      </c>
      <c r="DE179" s="62">
        <v>-4.3499999999999997E-2</v>
      </c>
      <c r="DF179" s="62">
        <v>0.01</v>
      </c>
      <c r="DG179" s="62">
        <v>1.9E-2</v>
      </c>
      <c r="DH179" s="62">
        <v>0.01</v>
      </c>
      <c r="DI179" s="62">
        <v>4.0000000000000001E-3</v>
      </c>
      <c r="DJ179" s="62">
        <v>7.4999999999999997E-3</v>
      </c>
      <c r="DK179" s="62">
        <v>-0.1055</v>
      </c>
      <c r="DL179" s="62">
        <v>5.0000000000000001E-3</v>
      </c>
      <c r="DM179" s="62">
        <v>-4.7E-2</v>
      </c>
      <c r="DN179" s="62">
        <v>2.5000000000000001E-3</v>
      </c>
      <c r="DO179" s="62">
        <v>-6.9500000000000006E-2</v>
      </c>
      <c r="DP179" s="62">
        <v>2.5000000000000001E-3</v>
      </c>
      <c r="DQ179" s="62">
        <v>-0.13550000000000001</v>
      </c>
      <c r="DR179" s="62">
        <v>-5.0000000000000001E-3</v>
      </c>
      <c r="DS179" s="62">
        <v>0.36</v>
      </c>
      <c r="DT179" s="62">
        <v>5.0000000000000001E-3</v>
      </c>
      <c r="DU179" s="62">
        <v>0</v>
      </c>
      <c r="DV179" s="62">
        <v>0</v>
      </c>
    </row>
    <row r="180" spans="4:126" x14ac:dyDescent="0.25">
      <c r="D180" s="91">
        <v>42125</v>
      </c>
      <c r="F180" s="89">
        <v>4.0895000000000001</v>
      </c>
      <c r="G180" s="90">
        <v>6.3576052695950999E-2</v>
      </c>
      <c r="H180" s="89">
        <v>0.17</v>
      </c>
      <c r="I180" s="89">
        <v>0.45</v>
      </c>
      <c r="J180" s="89">
        <v>0.5</v>
      </c>
      <c r="K180" s="89">
        <v>0.4</v>
      </c>
      <c r="L180" s="87">
        <v>0.4</v>
      </c>
      <c r="M180" s="87">
        <v>0.45</v>
      </c>
      <c r="N180" s="89">
        <v>0.5</v>
      </c>
      <c r="O180" s="89">
        <v>0.45</v>
      </c>
      <c r="P180" s="89">
        <v>0.4</v>
      </c>
      <c r="Q180" s="89">
        <v>0.45</v>
      </c>
      <c r="R180" s="90">
        <v>0.45</v>
      </c>
      <c r="S180" s="90">
        <v>0.5</v>
      </c>
      <c r="T180" s="89">
        <v>0.45</v>
      </c>
      <c r="U180" s="89">
        <v>0.5</v>
      </c>
      <c r="V180" s="89">
        <v>0.5</v>
      </c>
      <c r="W180" s="89">
        <v>-0.09</v>
      </c>
      <c r="X180" s="89">
        <v>0</v>
      </c>
      <c r="Y180" s="89">
        <v>0</v>
      </c>
      <c r="Z180" s="89">
        <v>5.0000000000000001E-3</v>
      </c>
      <c r="AA180" s="89">
        <v>0</v>
      </c>
      <c r="AB180" s="89">
        <v>0</v>
      </c>
      <c r="AC180" s="89">
        <v>0</v>
      </c>
      <c r="AD180" s="89">
        <v>0</v>
      </c>
      <c r="AE180" s="89">
        <v>0</v>
      </c>
      <c r="AF180" s="89">
        <v>0</v>
      </c>
      <c r="AG180" s="89">
        <v>0</v>
      </c>
      <c r="AH180" s="89">
        <v>0</v>
      </c>
      <c r="AI180" s="89">
        <v>0</v>
      </c>
      <c r="AJ180" s="89">
        <v>0</v>
      </c>
      <c r="AK180" s="89">
        <v>0</v>
      </c>
      <c r="AL180" s="89">
        <v>0.04</v>
      </c>
      <c r="AM180" s="89">
        <v>-3.7999999999999999E-2</v>
      </c>
      <c r="AN180" s="89">
        <v>3.3000000000000002E-2</v>
      </c>
      <c r="AO180" s="89">
        <v>-0.78800000000000003</v>
      </c>
      <c r="AP180" s="89">
        <v>0.155</v>
      </c>
      <c r="AQ180" s="89">
        <v>-0.03</v>
      </c>
      <c r="AR180" s="89">
        <v>0</v>
      </c>
      <c r="AS180" s="89">
        <v>-0.15</v>
      </c>
      <c r="AT180" s="89">
        <v>-1.4999999999999999E-2</v>
      </c>
      <c r="AU180" s="89">
        <v>-0.11</v>
      </c>
      <c r="AV180" s="89">
        <v>0.01</v>
      </c>
      <c r="AW180" s="89">
        <v>-0.03</v>
      </c>
      <c r="AX180" s="89">
        <v>1.4E-2</v>
      </c>
      <c r="AY180" s="90">
        <v>0</v>
      </c>
      <c r="AZ180" s="90">
        <v>0</v>
      </c>
      <c r="BA180" s="90">
        <v>-0.19500000000000001</v>
      </c>
      <c r="BB180" s="89">
        <v>0</v>
      </c>
      <c r="BC180" s="89">
        <v>-7.0000000000000007E-2</v>
      </c>
      <c r="BD180" s="89">
        <v>5.0000000000000001E-3</v>
      </c>
      <c r="BE180" s="89">
        <v>0.43</v>
      </c>
      <c r="BF180" s="89">
        <v>0</v>
      </c>
      <c r="BG180" s="89">
        <v>-0.06</v>
      </c>
      <c r="BH180" s="89">
        <v>0</v>
      </c>
      <c r="BI180" s="89">
        <v>0</v>
      </c>
      <c r="BJ180" s="62">
        <v>0.03</v>
      </c>
      <c r="BK180" s="62">
        <v>0.43</v>
      </c>
      <c r="BL180" s="62">
        <v>0</v>
      </c>
      <c r="BM180" s="62">
        <v>-0.05</v>
      </c>
      <c r="BN180" s="62">
        <v>0</v>
      </c>
      <c r="BO180" s="62">
        <v>-0.37</v>
      </c>
      <c r="BP180" s="62">
        <v>0</v>
      </c>
      <c r="BQ180" s="62">
        <v>0.5</v>
      </c>
      <c r="BR180" s="62">
        <v>0</v>
      </c>
      <c r="BS180" s="62">
        <v>-7.0000000000000007E-2</v>
      </c>
      <c r="BT180" s="62">
        <v>5.0000000000000001E-3</v>
      </c>
      <c r="BU180" s="62">
        <v>0.3</v>
      </c>
      <c r="BV180" s="62">
        <v>0</v>
      </c>
      <c r="BW180" s="62">
        <v>0</v>
      </c>
      <c r="BX180" s="62">
        <v>0</v>
      </c>
      <c r="BY180" s="62">
        <v>-4.9999989999999998E-3</v>
      </c>
      <c r="BZ180" s="62">
        <v>5.7500000000000002E-2</v>
      </c>
      <c r="CA180" s="62">
        <v>0.125</v>
      </c>
      <c r="CB180" s="62">
        <v>5.0000000000000001E-3</v>
      </c>
      <c r="CC180" s="62">
        <v>-4.9999989999999998E-3</v>
      </c>
      <c r="CD180" s="62">
        <v>3.5000000000000001E-3</v>
      </c>
      <c r="CE180" s="62">
        <v>2.5000000000000001E-3</v>
      </c>
      <c r="CF180" s="62">
        <v>2.5000000000000001E-3</v>
      </c>
      <c r="CG180" s="62">
        <v>-4.9999989999999998E-3</v>
      </c>
      <c r="CH180" s="62">
        <v>3.5000000000000001E-3</v>
      </c>
      <c r="CI180" s="62">
        <v>-0.108</v>
      </c>
      <c r="CJ180" s="62">
        <v>2.5000000000000001E-3</v>
      </c>
      <c r="CK180" s="62">
        <v>7.7499999999999999E-2</v>
      </c>
      <c r="CL180" s="62">
        <v>2.5000000000000001E-3</v>
      </c>
      <c r="CM180" s="62">
        <v>-7.1999999999999995E-2</v>
      </c>
      <c r="CN180" s="62">
        <v>7.4999999999999997E-3</v>
      </c>
      <c r="CO180" s="62">
        <v>-1.7000000000000001E-2</v>
      </c>
      <c r="CP180" s="62">
        <v>5.0000000000000001E-3</v>
      </c>
      <c r="CQ180" s="62">
        <v>2.3E-2</v>
      </c>
      <c r="CR180" s="62">
        <v>7.4999999999999997E-3</v>
      </c>
      <c r="CS180" s="62">
        <v>0.33</v>
      </c>
      <c r="CT180" s="62">
        <v>0.02</v>
      </c>
      <c r="CU180" s="62">
        <v>-0.05</v>
      </c>
      <c r="CV180" s="62">
        <v>0</v>
      </c>
      <c r="CW180" s="62">
        <v>0.13500000000000001</v>
      </c>
      <c r="CX180" s="62">
        <v>7.4999999999999997E-3</v>
      </c>
      <c r="CY180" s="62">
        <v>-0.18</v>
      </c>
      <c r="CZ180" s="62">
        <v>0</v>
      </c>
      <c r="DA180" s="62">
        <v>0</v>
      </c>
      <c r="DB180" s="62">
        <v>0</v>
      </c>
      <c r="DC180" s="62">
        <v>0.75</v>
      </c>
      <c r="DE180" s="62">
        <v>-4.3499999999999997E-2</v>
      </c>
      <c r="DF180" s="62">
        <v>0.01</v>
      </c>
      <c r="DG180" s="62">
        <v>2.1499999999999998E-2</v>
      </c>
      <c r="DH180" s="62">
        <v>0.01</v>
      </c>
      <c r="DI180" s="62">
        <v>6.4999999999999997E-3</v>
      </c>
      <c r="DJ180" s="62">
        <v>7.4999999999999997E-3</v>
      </c>
      <c r="DK180" s="62">
        <v>-8.3000000000000004E-2</v>
      </c>
      <c r="DL180" s="62">
        <v>5.0000000000000001E-3</v>
      </c>
      <c r="DM180" s="62">
        <v>-4.7E-2</v>
      </c>
      <c r="DN180" s="62">
        <v>2.5000000000000001E-3</v>
      </c>
      <c r="DO180" s="62">
        <v>-6.9500000000000006E-2</v>
      </c>
      <c r="DP180" s="62">
        <v>2.5000000000000001E-3</v>
      </c>
      <c r="DQ180" s="62">
        <v>-0.113</v>
      </c>
      <c r="DR180" s="62">
        <v>-5.0000000000000001E-3</v>
      </c>
      <c r="DS180" s="62">
        <v>0.32500000000000001</v>
      </c>
      <c r="DT180" s="62">
        <v>5.0000000000000001E-3</v>
      </c>
      <c r="DU180" s="62">
        <v>0</v>
      </c>
      <c r="DV180" s="62">
        <v>0</v>
      </c>
    </row>
    <row r="181" spans="4:126" x14ac:dyDescent="0.25">
      <c r="D181" s="91">
        <v>42156</v>
      </c>
      <c r="F181" s="89">
        <v>4.1245000000000003</v>
      </c>
      <c r="G181" s="90">
        <v>6.3616596801553599E-2</v>
      </c>
      <c r="H181" s="89">
        <v>0.17</v>
      </c>
      <c r="I181" s="89">
        <v>0.45</v>
      </c>
      <c r="J181" s="89">
        <v>0.5</v>
      </c>
      <c r="K181" s="89">
        <v>0.4</v>
      </c>
      <c r="L181" s="87">
        <v>0.5</v>
      </c>
      <c r="M181" s="87">
        <v>0.45</v>
      </c>
      <c r="N181" s="89">
        <v>0.5</v>
      </c>
      <c r="O181" s="89">
        <v>0.5</v>
      </c>
      <c r="P181" s="89">
        <v>0.5</v>
      </c>
      <c r="Q181" s="89">
        <v>0.5</v>
      </c>
      <c r="R181" s="90">
        <v>0.45</v>
      </c>
      <c r="S181" s="90">
        <v>0.5</v>
      </c>
      <c r="T181" s="89">
        <v>0.45</v>
      </c>
      <c r="U181" s="89">
        <v>0.5</v>
      </c>
      <c r="V181" s="89">
        <v>0.6</v>
      </c>
      <c r="W181" s="89">
        <v>-0.09</v>
      </c>
      <c r="X181" s="89">
        <v>0</v>
      </c>
      <c r="Y181" s="89">
        <v>0</v>
      </c>
      <c r="Z181" s="89">
        <v>5.0000000000000001E-3</v>
      </c>
      <c r="AA181" s="89">
        <v>0</v>
      </c>
      <c r="AB181" s="89">
        <v>0</v>
      </c>
      <c r="AC181" s="89">
        <v>0</v>
      </c>
      <c r="AD181" s="89">
        <v>0</v>
      </c>
      <c r="AE181" s="89">
        <v>0</v>
      </c>
      <c r="AF181" s="89">
        <v>0</v>
      </c>
      <c r="AG181" s="89">
        <v>0</v>
      </c>
      <c r="AH181" s="89">
        <v>0</v>
      </c>
      <c r="AI181" s="89">
        <v>0</v>
      </c>
      <c r="AJ181" s="89">
        <v>0</v>
      </c>
      <c r="AK181" s="89">
        <v>0</v>
      </c>
      <c r="AL181" s="89">
        <v>0.04</v>
      </c>
      <c r="AM181" s="89">
        <v>-3.7999999999999999E-2</v>
      </c>
      <c r="AN181" s="89">
        <v>3.3000000000000002E-2</v>
      </c>
      <c r="AO181" s="89">
        <v>-0.78800000000000003</v>
      </c>
      <c r="AP181" s="89">
        <v>0.155</v>
      </c>
      <c r="AQ181" s="89">
        <v>-0.03</v>
      </c>
      <c r="AR181" s="89">
        <v>0</v>
      </c>
      <c r="AS181" s="89">
        <v>-0.15</v>
      </c>
      <c r="AT181" s="89">
        <v>-1.4999999999999999E-2</v>
      </c>
      <c r="AU181" s="89">
        <v>-0.11</v>
      </c>
      <c r="AV181" s="89">
        <v>0.01</v>
      </c>
      <c r="AW181" s="89">
        <v>-0.03</v>
      </c>
      <c r="AX181" s="89">
        <v>1.4E-2</v>
      </c>
      <c r="AY181" s="90">
        <v>0</v>
      </c>
      <c r="AZ181" s="90">
        <v>0</v>
      </c>
      <c r="BA181" s="90">
        <v>-0.19500000000000001</v>
      </c>
      <c r="BB181" s="89">
        <v>0</v>
      </c>
      <c r="BC181" s="89">
        <v>-7.0000000000000007E-2</v>
      </c>
      <c r="BD181" s="89">
        <v>5.0000000000000001E-3</v>
      </c>
      <c r="BE181" s="89">
        <v>0.43</v>
      </c>
      <c r="BF181" s="89">
        <v>0</v>
      </c>
      <c r="BG181" s="89">
        <v>-0.06</v>
      </c>
      <c r="BH181" s="89">
        <v>0</v>
      </c>
      <c r="BI181" s="89">
        <v>0</v>
      </c>
      <c r="BJ181" s="62">
        <v>0.03</v>
      </c>
      <c r="BK181" s="62">
        <v>0.43</v>
      </c>
      <c r="BL181" s="62">
        <v>0</v>
      </c>
      <c r="BM181" s="62">
        <v>-0.05</v>
      </c>
      <c r="BN181" s="62">
        <v>0</v>
      </c>
      <c r="BO181" s="62">
        <v>-0.37</v>
      </c>
      <c r="BP181" s="62">
        <v>0</v>
      </c>
      <c r="BQ181" s="62">
        <v>0.5</v>
      </c>
      <c r="BR181" s="62">
        <v>0</v>
      </c>
      <c r="BS181" s="62">
        <v>-7.0000000000000007E-2</v>
      </c>
      <c r="BT181" s="62">
        <v>5.0000000000000001E-3</v>
      </c>
      <c r="BU181" s="62">
        <v>0.3</v>
      </c>
      <c r="BV181" s="62">
        <v>0</v>
      </c>
      <c r="BW181" s="62">
        <v>0</v>
      </c>
      <c r="BX181" s="62">
        <v>0</v>
      </c>
      <c r="BY181" s="62">
        <v>-4.9999989999999998E-3</v>
      </c>
      <c r="BZ181" s="62">
        <v>5.7500000000000002E-2</v>
      </c>
      <c r="CA181" s="62">
        <v>0.14499999999999999</v>
      </c>
      <c r="CB181" s="62">
        <v>5.0000000000000001E-3</v>
      </c>
      <c r="CC181" s="62">
        <v>-4.9999989999999998E-3</v>
      </c>
      <c r="CD181" s="62">
        <v>3.5000000000000001E-3</v>
      </c>
      <c r="CE181" s="62">
        <v>2.5000000000000001E-3</v>
      </c>
      <c r="CF181" s="62">
        <v>2.5000000000000001E-3</v>
      </c>
      <c r="CG181" s="62">
        <v>-4.9999989999999998E-3</v>
      </c>
      <c r="CH181" s="62">
        <v>3.5000000000000001E-3</v>
      </c>
      <c r="CI181" s="62">
        <v>-6.5500000000000003E-2</v>
      </c>
      <c r="CJ181" s="62">
        <v>2.5000000000000001E-3</v>
      </c>
      <c r="CK181" s="62">
        <v>7.7499999999999999E-2</v>
      </c>
      <c r="CL181" s="62">
        <v>2.5000000000000001E-3</v>
      </c>
      <c r="CM181" s="62">
        <v>-7.1999999999999995E-2</v>
      </c>
      <c r="CN181" s="62">
        <v>7.4999999999999997E-3</v>
      </c>
      <c r="CO181" s="62">
        <v>-1.7000000000000001E-2</v>
      </c>
      <c r="CP181" s="62">
        <v>5.0000000000000001E-3</v>
      </c>
      <c r="CQ181" s="62">
        <v>2.3E-2</v>
      </c>
      <c r="CR181" s="62">
        <v>7.4999999999999997E-3</v>
      </c>
      <c r="CS181" s="62">
        <v>0.37</v>
      </c>
      <c r="CT181" s="62">
        <v>3.5000000000000003E-2</v>
      </c>
      <c r="CU181" s="62">
        <v>-0.05</v>
      </c>
      <c r="CV181" s="62">
        <v>0</v>
      </c>
      <c r="CW181" s="62">
        <v>0.16500000000000001</v>
      </c>
      <c r="CX181" s="62">
        <v>7.4999999999999997E-3</v>
      </c>
      <c r="CY181" s="62">
        <v>-0.18</v>
      </c>
      <c r="CZ181" s="62">
        <v>0</v>
      </c>
      <c r="DA181" s="62">
        <v>0</v>
      </c>
      <c r="DB181" s="62">
        <v>0</v>
      </c>
      <c r="DC181" s="62">
        <v>0.85</v>
      </c>
      <c r="DE181" s="62">
        <v>-4.1000000000000002E-2</v>
      </c>
      <c r="DF181" s="62">
        <v>0.01</v>
      </c>
      <c r="DG181" s="62">
        <v>2.1499999999999998E-2</v>
      </c>
      <c r="DH181" s="62">
        <v>0.01</v>
      </c>
      <c r="DI181" s="62">
        <v>6.4999999999999997E-3</v>
      </c>
      <c r="DJ181" s="62">
        <v>7.4999999999999997E-3</v>
      </c>
      <c r="DK181" s="62">
        <v>-3.0499999999999999E-2</v>
      </c>
      <c r="DL181" s="62">
        <v>5.0000000000000001E-3</v>
      </c>
      <c r="DM181" s="62">
        <v>-4.7E-2</v>
      </c>
      <c r="DN181" s="62">
        <v>2.5000000000000001E-3</v>
      </c>
      <c r="DO181" s="62">
        <v>-6.9500000000000006E-2</v>
      </c>
      <c r="DP181" s="62">
        <v>2.5000000000000001E-3</v>
      </c>
      <c r="DQ181" s="62">
        <v>-6.0499999999999998E-2</v>
      </c>
      <c r="DR181" s="62">
        <v>-5.0000000000000001E-3</v>
      </c>
      <c r="DS181" s="62">
        <v>0.33500000000000002</v>
      </c>
      <c r="DT181" s="62">
        <v>5.0000000000000001E-3</v>
      </c>
      <c r="DU181" s="62">
        <v>0</v>
      </c>
      <c r="DV181" s="62">
        <v>0</v>
      </c>
    </row>
    <row r="182" spans="4:126" x14ac:dyDescent="0.25">
      <c r="D182" s="91">
        <v>42186</v>
      </c>
      <c r="F182" s="89">
        <v>4.1645000000000003</v>
      </c>
      <c r="G182" s="90">
        <v>6.3655833033301704E-2</v>
      </c>
      <c r="H182" s="89">
        <v>0.17</v>
      </c>
      <c r="I182" s="89">
        <v>0.5</v>
      </c>
      <c r="J182" s="89">
        <v>0.5</v>
      </c>
      <c r="K182" s="89">
        <v>0.4</v>
      </c>
      <c r="L182" s="87">
        <v>0.5</v>
      </c>
      <c r="M182" s="87">
        <v>0.5</v>
      </c>
      <c r="N182" s="89">
        <v>0.5</v>
      </c>
      <c r="O182" s="89">
        <v>0.5</v>
      </c>
      <c r="P182" s="89">
        <v>0.5</v>
      </c>
      <c r="Q182" s="89">
        <v>0.5</v>
      </c>
      <c r="R182" s="90">
        <v>0.5</v>
      </c>
      <c r="S182" s="90">
        <v>0.55000000000000004</v>
      </c>
      <c r="T182" s="89">
        <v>0.5</v>
      </c>
      <c r="U182" s="89">
        <v>0.5</v>
      </c>
      <c r="V182" s="89">
        <v>0.6</v>
      </c>
      <c r="W182" s="89">
        <v>-0.09</v>
      </c>
      <c r="X182" s="89">
        <v>0</v>
      </c>
      <c r="Y182" s="89">
        <v>0</v>
      </c>
      <c r="Z182" s="89">
        <v>5.0000000000000001E-3</v>
      </c>
      <c r="AA182" s="89">
        <v>0</v>
      </c>
      <c r="AB182" s="89">
        <v>0</v>
      </c>
      <c r="AC182" s="89">
        <v>0</v>
      </c>
      <c r="AD182" s="89">
        <v>0</v>
      </c>
      <c r="AE182" s="89">
        <v>0</v>
      </c>
      <c r="AF182" s="89">
        <v>0</v>
      </c>
      <c r="AG182" s="89">
        <v>0</v>
      </c>
      <c r="AH182" s="89">
        <v>0</v>
      </c>
      <c r="AI182" s="89">
        <v>0</v>
      </c>
      <c r="AJ182" s="89">
        <v>0</v>
      </c>
      <c r="AK182" s="89">
        <v>0</v>
      </c>
      <c r="AL182" s="89">
        <v>0.04</v>
      </c>
      <c r="AM182" s="89">
        <v>-3.7999999999999999E-2</v>
      </c>
      <c r="AN182" s="89">
        <v>3.3000000000000002E-2</v>
      </c>
      <c r="AO182" s="89">
        <v>-0.44</v>
      </c>
      <c r="AP182" s="89">
        <v>0.155</v>
      </c>
      <c r="AQ182" s="89">
        <v>-0.03</v>
      </c>
      <c r="AR182" s="89">
        <v>0</v>
      </c>
      <c r="AS182" s="89">
        <v>-0.15</v>
      </c>
      <c r="AT182" s="89">
        <v>-1.4999999999999999E-2</v>
      </c>
      <c r="AU182" s="89">
        <v>-0.11</v>
      </c>
      <c r="AV182" s="89">
        <v>0.01</v>
      </c>
      <c r="AW182" s="89">
        <v>-0.03</v>
      </c>
      <c r="AX182" s="89">
        <v>1.2E-2</v>
      </c>
      <c r="AY182" s="90">
        <v>0</v>
      </c>
      <c r="AZ182" s="90">
        <v>0</v>
      </c>
      <c r="BA182" s="90">
        <v>-0.19500000000000001</v>
      </c>
      <c r="BB182" s="89">
        <v>0</v>
      </c>
      <c r="BC182" s="89">
        <v>-7.0000000000000007E-2</v>
      </c>
      <c r="BD182" s="89">
        <v>5.0000000000000001E-3</v>
      </c>
      <c r="BE182" s="89">
        <v>0.43</v>
      </c>
      <c r="BF182" s="89">
        <v>0</v>
      </c>
      <c r="BG182" s="89">
        <v>-0.06</v>
      </c>
      <c r="BH182" s="89">
        <v>0</v>
      </c>
      <c r="BI182" s="89">
        <v>0</v>
      </c>
      <c r="BJ182" s="62">
        <v>0.03</v>
      </c>
      <c r="BK182" s="62">
        <v>0.43</v>
      </c>
      <c r="BL182" s="62">
        <v>0</v>
      </c>
      <c r="BM182" s="62">
        <v>-0.05</v>
      </c>
      <c r="BN182" s="62">
        <v>0</v>
      </c>
      <c r="BO182" s="62">
        <v>-0.37</v>
      </c>
      <c r="BP182" s="62">
        <v>0</v>
      </c>
      <c r="BQ182" s="62">
        <v>0.5</v>
      </c>
      <c r="BR182" s="62">
        <v>0</v>
      </c>
      <c r="BS182" s="62">
        <v>-7.0000000000000007E-2</v>
      </c>
      <c r="BT182" s="62">
        <v>5.0000000000000001E-3</v>
      </c>
      <c r="BU182" s="62">
        <v>0.3</v>
      </c>
      <c r="BV182" s="62">
        <v>0</v>
      </c>
      <c r="BW182" s="62">
        <v>0</v>
      </c>
      <c r="BX182" s="62">
        <v>0</v>
      </c>
      <c r="BY182" s="62">
        <v>-4.9999989999999998E-3</v>
      </c>
      <c r="BZ182" s="62">
        <v>5.7500000000000002E-2</v>
      </c>
      <c r="CA182" s="62">
        <v>0.15</v>
      </c>
      <c r="CB182" s="62">
        <v>5.0000000000000001E-3</v>
      </c>
      <c r="CC182" s="62">
        <v>-4.9999989999999998E-3</v>
      </c>
      <c r="CD182" s="62">
        <v>3.5000000000000001E-3</v>
      </c>
      <c r="CE182" s="62">
        <v>2.5000000000000001E-3</v>
      </c>
      <c r="CF182" s="62">
        <v>2.5000000000000001E-3</v>
      </c>
      <c r="CG182" s="62">
        <v>-4.9999989999999998E-3</v>
      </c>
      <c r="CH182" s="62">
        <v>3.5000000000000001E-3</v>
      </c>
      <c r="CI182" s="62">
        <v>-6.3E-2</v>
      </c>
      <c r="CJ182" s="62">
        <v>2.5000000000000001E-3</v>
      </c>
      <c r="CK182" s="62">
        <v>7.7499999999999999E-2</v>
      </c>
      <c r="CL182" s="62">
        <v>2.5000000000000001E-3</v>
      </c>
      <c r="CM182" s="62">
        <v>-7.1999999999999995E-2</v>
      </c>
      <c r="CN182" s="62">
        <v>7.4999999999999997E-3</v>
      </c>
      <c r="CO182" s="62">
        <v>-1.7000000000000001E-2</v>
      </c>
      <c r="CP182" s="62">
        <v>5.0000000000000001E-3</v>
      </c>
      <c r="CQ182" s="62">
        <v>2.3E-2</v>
      </c>
      <c r="CR182" s="62">
        <v>7.4999999999999997E-3</v>
      </c>
      <c r="CS182" s="62">
        <v>0.41</v>
      </c>
      <c r="CT182" s="62">
        <v>3.5000000000000003E-2</v>
      </c>
      <c r="CU182" s="62">
        <v>-0.05</v>
      </c>
      <c r="CV182" s="62">
        <v>0</v>
      </c>
      <c r="CW182" s="62">
        <v>0.20499999999999999</v>
      </c>
      <c r="CX182" s="62">
        <v>7.4999999999999997E-3</v>
      </c>
      <c r="CY182" s="62">
        <v>-0.18</v>
      </c>
      <c r="CZ182" s="62">
        <v>0</v>
      </c>
      <c r="DA182" s="62">
        <v>0</v>
      </c>
      <c r="DB182" s="62">
        <v>0</v>
      </c>
      <c r="DC182" s="62">
        <v>1.05</v>
      </c>
      <c r="DE182" s="62">
        <v>-4.1000000000000002E-2</v>
      </c>
      <c r="DF182" s="62">
        <v>0.01</v>
      </c>
      <c r="DG182" s="62">
        <v>2.1499999999999998E-2</v>
      </c>
      <c r="DH182" s="62">
        <v>0.01</v>
      </c>
      <c r="DI182" s="62">
        <v>6.4999999999999997E-3</v>
      </c>
      <c r="DJ182" s="62">
        <v>7.4999999999999997E-3</v>
      </c>
      <c r="DK182" s="62">
        <v>-4.0500000000000001E-2</v>
      </c>
      <c r="DL182" s="62">
        <v>5.0000000000000001E-3</v>
      </c>
      <c r="DM182" s="62">
        <v>-4.7E-2</v>
      </c>
      <c r="DN182" s="62">
        <v>2.5000000000000001E-3</v>
      </c>
      <c r="DO182" s="62">
        <v>-6.9500000000000006E-2</v>
      </c>
      <c r="DP182" s="62">
        <v>2.5000000000000001E-3</v>
      </c>
      <c r="DQ182" s="62">
        <v>-7.0499999999999993E-2</v>
      </c>
      <c r="DR182" s="62">
        <v>-5.0000000000000001E-3</v>
      </c>
      <c r="DS182" s="62">
        <v>0.35</v>
      </c>
      <c r="DT182" s="62">
        <v>5.0000000000000001E-3</v>
      </c>
      <c r="DU182" s="62">
        <v>0</v>
      </c>
      <c r="DV182" s="62">
        <v>0</v>
      </c>
    </row>
    <row r="183" spans="4:126" x14ac:dyDescent="0.25">
      <c r="D183" s="91">
        <v>42217</v>
      </c>
      <c r="F183" s="89">
        <v>4.2045000000000003</v>
      </c>
      <c r="G183" s="90">
        <v>6.3696377139977195E-2</v>
      </c>
      <c r="H183" s="89">
        <v>0.17</v>
      </c>
      <c r="I183" s="89">
        <v>0.55000000000000004</v>
      </c>
      <c r="J183" s="89">
        <v>0.55000000000000004</v>
      </c>
      <c r="K183" s="89">
        <v>0.5</v>
      </c>
      <c r="L183" s="87">
        <v>0.6</v>
      </c>
      <c r="M183" s="87">
        <v>0.55000000000000004</v>
      </c>
      <c r="N183" s="89">
        <v>0.6</v>
      </c>
      <c r="O183" s="89">
        <v>0.55000000000000004</v>
      </c>
      <c r="P183" s="89">
        <v>0.6</v>
      </c>
      <c r="Q183" s="89">
        <v>0.45</v>
      </c>
      <c r="R183" s="90">
        <v>0.55000000000000004</v>
      </c>
      <c r="S183" s="90">
        <v>0.6</v>
      </c>
      <c r="T183" s="89">
        <v>0.55000000000000004</v>
      </c>
      <c r="U183" s="89">
        <v>0.6</v>
      </c>
      <c r="V183" s="89">
        <v>0.7</v>
      </c>
      <c r="W183" s="89">
        <v>-0.09</v>
      </c>
      <c r="X183" s="89">
        <v>0</v>
      </c>
      <c r="Y183" s="89">
        <v>0</v>
      </c>
      <c r="Z183" s="89">
        <v>5.0000000000000001E-3</v>
      </c>
      <c r="AA183" s="89">
        <v>0</v>
      </c>
      <c r="AB183" s="89">
        <v>0</v>
      </c>
      <c r="AC183" s="89">
        <v>0</v>
      </c>
      <c r="AD183" s="89">
        <v>0</v>
      </c>
      <c r="AE183" s="89">
        <v>0</v>
      </c>
      <c r="AF183" s="89">
        <v>0</v>
      </c>
      <c r="AG183" s="89">
        <v>0</v>
      </c>
      <c r="AH183" s="89">
        <v>0</v>
      </c>
      <c r="AI183" s="89">
        <v>0</v>
      </c>
      <c r="AJ183" s="89">
        <v>0</v>
      </c>
      <c r="AK183" s="89">
        <v>0</v>
      </c>
      <c r="AL183" s="89">
        <v>0.04</v>
      </c>
      <c r="AM183" s="89">
        <v>-3.7999999999999999E-2</v>
      </c>
      <c r="AN183" s="89">
        <v>3.3000000000000002E-2</v>
      </c>
      <c r="AO183" s="89">
        <v>-0.44</v>
      </c>
      <c r="AP183" s="89">
        <v>0.155</v>
      </c>
      <c r="AQ183" s="89">
        <v>-0.03</v>
      </c>
      <c r="AR183" s="89">
        <v>0</v>
      </c>
      <c r="AS183" s="89">
        <v>-0.15</v>
      </c>
      <c r="AT183" s="89">
        <v>-1.4999999999999999E-2</v>
      </c>
      <c r="AU183" s="89">
        <v>-0.11</v>
      </c>
      <c r="AV183" s="89">
        <v>0.01</v>
      </c>
      <c r="AW183" s="89">
        <v>-0.03</v>
      </c>
      <c r="AX183" s="89">
        <v>1.2E-2</v>
      </c>
      <c r="AY183" s="90">
        <v>0</v>
      </c>
      <c r="AZ183" s="90">
        <v>0</v>
      </c>
      <c r="BA183" s="90">
        <v>-0.19500000000000001</v>
      </c>
      <c r="BB183" s="89">
        <v>0</v>
      </c>
      <c r="BC183" s="89">
        <v>-7.0000000000000007E-2</v>
      </c>
      <c r="BD183" s="89">
        <v>5.0000000000000001E-3</v>
      </c>
      <c r="BE183" s="89">
        <v>0.43</v>
      </c>
      <c r="BF183" s="89">
        <v>0</v>
      </c>
      <c r="BG183" s="89">
        <v>-0.06</v>
      </c>
      <c r="BH183" s="89">
        <v>0</v>
      </c>
      <c r="BI183" s="89">
        <v>0</v>
      </c>
      <c r="BJ183" s="62">
        <v>0.03</v>
      </c>
      <c r="BK183" s="62">
        <v>0.43</v>
      </c>
      <c r="BL183" s="62">
        <v>0</v>
      </c>
      <c r="BM183" s="62">
        <v>-0.05</v>
      </c>
      <c r="BN183" s="62">
        <v>0</v>
      </c>
      <c r="BO183" s="62">
        <v>-0.37</v>
      </c>
      <c r="BP183" s="62">
        <v>0</v>
      </c>
      <c r="BQ183" s="62">
        <v>0.5</v>
      </c>
      <c r="BR183" s="62">
        <v>0</v>
      </c>
      <c r="BS183" s="62">
        <v>-7.0000000000000007E-2</v>
      </c>
      <c r="BT183" s="62">
        <v>5.0000000000000001E-3</v>
      </c>
      <c r="BU183" s="62">
        <v>0.3</v>
      </c>
      <c r="BV183" s="62">
        <v>0</v>
      </c>
      <c r="BW183" s="62">
        <v>0</v>
      </c>
      <c r="BX183" s="62">
        <v>0</v>
      </c>
      <c r="BY183" s="62">
        <v>-4.9999989999999998E-3</v>
      </c>
      <c r="BZ183" s="62">
        <v>5.7500000000000002E-2</v>
      </c>
      <c r="CA183" s="62">
        <v>0.15</v>
      </c>
      <c r="CB183" s="62">
        <v>5.0000000000000001E-3</v>
      </c>
      <c r="CC183" s="62">
        <v>-4.9999989999999998E-3</v>
      </c>
      <c r="CD183" s="62">
        <v>3.5000000000000001E-3</v>
      </c>
      <c r="CE183" s="62">
        <v>2.5000000000000001E-3</v>
      </c>
      <c r="CF183" s="62">
        <v>2.5000000000000001E-3</v>
      </c>
      <c r="CG183" s="62">
        <v>-4.9999989999999998E-3</v>
      </c>
      <c r="CH183" s="62">
        <v>3.5000000000000001E-3</v>
      </c>
      <c r="CI183" s="62">
        <v>-6.0499999999999998E-2</v>
      </c>
      <c r="CJ183" s="62">
        <v>2.5000000000000001E-3</v>
      </c>
      <c r="CK183" s="62">
        <v>7.7499999999999999E-2</v>
      </c>
      <c r="CL183" s="62">
        <v>2.5000000000000001E-3</v>
      </c>
      <c r="CM183" s="62">
        <v>-7.1999999999999995E-2</v>
      </c>
      <c r="CN183" s="62">
        <v>7.4999999999999997E-3</v>
      </c>
      <c r="CO183" s="62">
        <v>-1.7000000000000001E-2</v>
      </c>
      <c r="CP183" s="62">
        <v>5.0000000000000001E-3</v>
      </c>
      <c r="CQ183" s="62">
        <v>2.3E-2</v>
      </c>
      <c r="CR183" s="62">
        <v>7.4999999999999997E-3</v>
      </c>
      <c r="CS183" s="62">
        <v>0.41</v>
      </c>
      <c r="CT183" s="62">
        <v>0.01</v>
      </c>
      <c r="CU183" s="62">
        <v>-0.05</v>
      </c>
      <c r="CV183" s="62">
        <v>0</v>
      </c>
      <c r="CW183" s="62">
        <v>0.20499999999999999</v>
      </c>
      <c r="CX183" s="62">
        <v>7.4999999999999997E-3</v>
      </c>
      <c r="CY183" s="62">
        <v>-0.18</v>
      </c>
      <c r="CZ183" s="62">
        <v>0</v>
      </c>
      <c r="DA183" s="62">
        <v>0</v>
      </c>
      <c r="DB183" s="62">
        <v>0</v>
      </c>
      <c r="DC183" s="62">
        <v>1.05</v>
      </c>
      <c r="DE183" s="62">
        <v>-4.1000000000000002E-2</v>
      </c>
      <c r="DF183" s="62">
        <v>0.01</v>
      </c>
      <c r="DG183" s="62">
        <v>1.6500000000000001E-2</v>
      </c>
      <c r="DH183" s="62">
        <v>0.01</v>
      </c>
      <c r="DI183" s="62">
        <v>1.5E-3</v>
      </c>
      <c r="DJ183" s="62">
        <v>7.4999999999999997E-3</v>
      </c>
      <c r="DK183" s="62">
        <v>-3.5499999999999997E-2</v>
      </c>
      <c r="DL183" s="62">
        <v>5.0000000000000001E-3</v>
      </c>
      <c r="DM183" s="62">
        <v>-4.7E-2</v>
      </c>
      <c r="DN183" s="62">
        <v>2.5000000000000001E-3</v>
      </c>
      <c r="DO183" s="62">
        <v>-6.9500000000000006E-2</v>
      </c>
      <c r="DP183" s="62">
        <v>2.5000000000000001E-3</v>
      </c>
      <c r="DQ183" s="62">
        <v>-6.5500000000000003E-2</v>
      </c>
      <c r="DR183" s="62">
        <v>-5.0000000000000001E-3</v>
      </c>
      <c r="DS183" s="62">
        <v>0.35</v>
      </c>
      <c r="DT183" s="62">
        <v>-5.0000000000000001E-3</v>
      </c>
      <c r="DU183" s="62">
        <v>0</v>
      </c>
      <c r="DV183" s="62">
        <v>0</v>
      </c>
    </row>
    <row r="184" spans="4:126" x14ac:dyDescent="0.25">
      <c r="D184" s="91">
        <v>42248</v>
      </c>
      <c r="F184" s="89">
        <v>4.1994999999999996</v>
      </c>
      <c r="G184" s="90">
        <v>6.3736921247198097E-2</v>
      </c>
      <c r="H184" s="89">
        <v>0.17</v>
      </c>
      <c r="I184" s="89">
        <v>0.55000000000000004</v>
      </c>
      <c r="J184" s="89">
        <v>0.55000000000000004</v>
      </c>
      <c r="K184" s="89">
        <v>0.55000000000000004</v>
      </c>
      <c r="L184" s="87">
        <v>0.55000000000000004</v>
      </c>
      <c r="M184" s="87">
        <v>0.55000000000000004</v>
      </c>
      <c r="N184" s="89">
        <v>0.6</v>
      </c>
      <c r="O184" s="89">
        <v>0.6</v>
      </c>
      <c r="P184" s="89">
        <v>0.55000000000000004</v>
      </c>
      <c r="Q184" s="89">
        <v>0.5</v>
      </c>
      <c r="R184" s="90">
        <v>0.55000000000000004</v>
      </c>
      <c r="S184" s="90">
        <v>0.6</v>
      </c>
      <c r="T184" s="89">
        <v>0.55000000000000004</v>
      </c>
      <c r="U184" s="89">
        <v>0.6</v>
      </c>
      <c r="V184" s="89">
        <v>0.65</v>
      </c>
      <c r="W184" s="89">
        <v>-0.09</v>
      </c>
      <c r="X184" s="89">
        <v>0</v>
      </c>
      <c r="Y184" s="89">
        <v>0</v>
      </c>
      <c r="Z184" s="89">
        <v>5.0000000000000001E-3</v>
      </c>
      <c r="AA184" s="89">
        <v>0</v>
      </c>
      <c r="AB184" s="89">
        <v>0</v>
      </c>
      <c r="AC184" s="89">
        <v>0</v>
      </c>
      <c r="AD184" s="89">
        <v>0</v>
      </c>
      <c r="AE184" s="89">
        <v>0</v>
      </c>
      <c r="AF184" s="89">
        <v>0</v>
      </c>
      <c r="AG184" s="89">
        <v>0</v>
      </c>
      <c r="AH184" s="89">
        <v>0</v>
      </c>
      <c r="AI184" s="89">
        <v>0</v>
      </c>
      <c r="AJ184" s="89">
        <v>0</v>
      </c>
      <c r="AK184" s="89">
        <v>0</v>
      </c>
      <c r="AL184" s="89">
        <v>0.04</v>
      </c>
      <c r="AM184" s="89">
        <v>-3.7999999999999999E-2</v>
      </c>
      <c r="AN184" s="89">
        <v>3.3000000000000002E-2</v>
      </c>
      <c r="AO184" s="89">
        <v>-0.44</v>
      </c>
      <c r="AP184" s="89">
        <v>0.155</v>
      </c>
      <c r="AQ184" s="89">
        <v>0</v>
      </c>
      <c r="AR184" s="89">
        <v>0</v>
      </c>
      <c r="AS184" s="89">
        <v>-0.15</v>
      </c>
      <c r="AT184" s="89">
        <v>-1.4999999999999999E-2</v>
      </c>
      <c r="AU184" s="89">
        <v>-0.11</v>
      </c>
      <c r="AV184" s="89">
        <v>0.01</v>
      </c>
      <c r="AW184" s="89">
        <v>0</v>
      </c>
      <c r="AX184" s="89">
        <v>0</v>
      </c>
      <c r="AY184" s="90">
        <v>0</v>
      </c>
      <c r="AZ184" s="90">
        <v>0</v>
      </c>
      <c r="BA184" s="90">
        <v>-0.19500000000000001</v>
      </c>
      <c r="BB184" s="89">
        <v>0</v>
      </c>
      <c r="BC184" s="89">
        <v>-7.0000000000000007E-2</v>
      </c>
      <c r="BD184" s="89">
        <v>5.0000000000000001E-3</v>
      </c>
      <c r="BE184" s="89">
        <v>0.43</v>
      </c>
      <c r="BF184" s="89">
        <v>0</v>
      </c>
      <c r="BG184" s="89">
        <v>-0.06</v>
      </c>
      <c r="BH184" s="89">
        <v>0</v>
      </c>
      <c r="BI184" s="89">
        <v>0</v>
      </c>
      <c r="BJ184" s="62">
        <v>0.03</v>
      </c>
      <c r="BK184" s="62">
        <v>0.43</v>
      </c>
      <c r="BL184" s="62">
        <v>0</v>
      </c>
      <c r="BM184" s="62">
        <v>-0.05</v>
      </c>
      <c r="BN184" s="62">
        <v>0</v>
      </c>
      <c r="BO184" s="62">
        <v>-0.37</v>
      </c>
      <c r="BP184" s="62">
        <v>0</v>
      </c>
      <c r="BQ184" s="62">
        <v>0.5</v>
      </c>
      <c r="BR184" s="62">
        <v>0</v>
      </c>
      <c r="BS184" s="62">
        <v>-7.0000000000000007E-2</v>
      </c>
      <c r="BT184" s="62">
        <v>5.0000000000000001E-3</v>
      </c>
      <c r="BU184" s="62">
        <v>0.3</v>
      </c>
      <c r="BV184" s="62">
        <v>0</v>
      </c>
      <c r="BW184" s="62">
        <v>0</v>
      </c>
      <c r="BX184" s="62">
        <v>0</v>
      </c>
      <c r="BY184" s="62">
        <v>-4.9999989999999998E-3</v>
      </c>
      <c r="BZ184" s="62">
        <v>5.7500000000000002E-2</v>
      </c>
      <c r="CA184" s="62">
        <v>0.125</v>
      </c>
      <c r="CB184" s="62">
        <v>5.0000000000000001E-3</v>
      </c>
      <c r="CC184" s="62">
        <v>-4.9999989999999998E-3</v>
      </c>
      <c r="CD184" s="62">
        <v>3.5000000000000001E-3</v>
      </c>
      <c r="CE184" s="62">
        <v>2.5000000000000001E-3</v>
      </c>
      <c r="CF184" s="62">
        <v>2.5000000000000001E-3</v>
      </c>
      <c r="CG184" s="62">
        <v>-4.9999989999999998E-3</v>
      </c>
      <c r="CH184" s="62">
        <v>3.5000000000000001E-3</v>
      </c>
      <c r="CI184" s="62">
        <v>-6.5500000000000003E-2</v>
      </c>
      <c r="CJ184" s="62">
        <v>2.5000000000000001E-3</v>
      </c>
      <c r="CK184" s="62">
        <v>7.7499999999999999E-2</v>
      </c>
      <c r="CL184" s="62">
        <v>2.5000000000000001E-3</v>
      </c>
      <c r="CM184" s="62">
        <v>-7.1999999999999995E-2</v>
      </c>
      <c r="CN184" s="62">
        <v>7.4999999999999997E-3</v>
      </c>
      <c r="CO184" s="62">
        <v>-1.7000000000000001E-2</v>
      </c>
      <c r="CP184" s="62">
        <v>5.0000000000000001E-3</v>
      </c>
      <c r="CQ184" s="62">
        <v>2.3E-2</v>
      </c>
      <c r="CR184" s="62">
        <v>7.4999999999999997E-3</v>
      </c>
      <c r="CS184" s="62">
        <v>0.36</v>
      </c>
      <c r="CT184" s="62">
        <v>0.01</v>
      </c>
      <c r="CU184" s="62">
        <v>-0.05</v>
      </c>
      <c r="CV184" s="62">
        <v>0</v>
      </c>
      <c r="CW184" s="62">
        <v>0.14499999999999999</v>
      </c>
      <c r="CX184" s="62">
        <v>7.4999999999999997E-3</v>
      </c>
      <c r="CY184" s="62">
        <v>-0.18</v>
      </c>
      <c r="CZ184" s="62">
        <v>0</v>
      </c>
      <c r="DA184" s="62">
        <v>0</v>
      </c>
      <c r="DB184" s="62">
        <v>0</v>
      </c>
      <c r="DC184" s="62">
        <v>0.75</v>
      </c>
      <c r="DE184" s="62">
        <v>-4.5999999999999999E-2</v>
      </c>
      <c r="DF184" s="62">
        <v>0.01</v>
      </c>
      <c r="DG184" s="62">
        <v>1.6500000000000001E-2</v>
      </c>
      <c r="DH184" s="62">
        <v>0.01</v>
      </c>
      <c r="DI184" s="62">
        <v>1.5E-3</v>
      </c>
      <c r="DJ184" s="62">
        <v>7.4999999999999997E-3</v>
      </c>
      <c r="DK184" s="62">
        <v>-4.5499999999999999E-2</v>
      </c>
      <c r="DL184" s="62">
        <v>5.0000000000000001E-3</v>
      </c>
      <c r="DM184" s="62">
        <v>-4.7E-2</v>
      </c>
      <c r="DN184" s="62">
        <v>2.5000000000000001E-3</v>
      </c>
      <c r="DO184" s="62">
        <v>-6.9500000000000006E-2</v>
      </c>
      <c r="DP184" s="62">
        <v>2.5000000000000001E-3</v>
      </c>
      <c r="DQ184" s="62">
        <v>-7.5499999999999998E-2</v>
      </c>
      <c r="DR184" s="62">
        <v>-5.0000000000000001E-3</v>
      </c>
      <c r="DS184" s="62">
        <v>0.315</v>
      </c>
      <c r="DT184" s="62">
        <v>-5.0000000000000001E-3</v>
      </c>
      <c r="DU184" s="62">
        <v>0</v>
      </c>
      <c r="DV184" s="62">
        <v>0</v>
      </c>
    </row>
    <row r="185" spans="4:126" x14ac:dyDescent="0.25">
      <c r="D185" s="91">
        <v>42278</v>
      </c>
      <c r="F185" s="89">
        <v>4.2244999999999999</v>
      </c>
      <c r="G185" s="90">
        <v>6.3776157480511603E-2</v>
      </c>
      <c r="H185" s="89">
        <v>0.17</v>
      </c>
      <c r="I185" s="89">
        <v>0.6</v>
      </c>
      <c r="J185" s="89">
        <v>0.6</v>
      </c>
      <c r="K185" s="89">
        <v>0.55000000000000004</v>
      </c>
      <c r="L185" s="87">
        <v>0.6</v>
      </c>
      <c r="M185" s="87">
        <v>0.6</v>
      </c>
      <c r="N185" s="89">
        <v>0.65</v>
      </c>
      <c r="O185" s="89">
        <v>0.65</v>
      </c>
      <c r="P185" s="89">
        <v>0.6</v>
      </c>
      <c r="Q185" s="89">
        <v>0.5</v>
      </c>
      <c r="R185" s="90">
        <v>0.6</v>
      </c>
      <c r="S185" s="90">
        <v>0.65</v>
      </c>
      <c r="T185" s="89">
        <v>0.6</v>
      </c>
      <c r="U185" s="89">
        <v>0.65</v>
      </c>
      <c r="V185" s="89">
        <v>0.7</v>
      </c>
      <c r="W185" s="89">
        <v>-0.09</v>
      </c>
      <c r="X185" s="89">
        <v>0</v>
      </c>
      <c r="Y185" s="89">
        <v>0</v>
      </c>
      <c r="Z185" s="89">
        <v>5.0000000000000001E-3</v>
      </c>
      <c r="AA185" s="89">
        <v>0</v>
      </c>
      <c r="AB185" s="89">
        <v>0</v>
      </c>
      <c r="AC185" s="89">
        <v>0</v>
      </c>
      <c r="AD185" s="89">
        <v>0</v>
      </c>
      <c r="AE185" s="89">
        <v>0</v>
      </c>
      <c r="AF185" s="89">
        <v>0</v>
      </c>
      <c r="AG185" s="89">
        <v>0</v>
      </c>
      <c r="AH185" s="89">
        <v>0</v>
      </c>
      <c r="AI185" s="89">
        <v>0</v>
      </c>
      <c r="AJ185" s="89">
        <v>0</v>
      </c>
      <c r="AK185" s="89">
        <v>0</v>
      </c>
      <c r="AL185" s="89">
        <v>0.04</v>
      </c>
      <c r="AM185" s="89">
        <v>-3.7999999999999999E-2</v>
      </c>
      <c r="AN185" s="89">
        <v>3.3000000000000002E-2</v>
      </c>
      <c r="AO185" s="89">
        <v>-0.44</v>
      </c>
      <c r="AP185" s="89">
        <v>0.155</v>
      </c>
      <c r="AQ185" s="89">
        <v>0</v>
      </c>
      <c r="AR185" s="89">
        <v>0</v>
      </c>
      <c r="AS185" s="89">
        <v>-0.15</v>
      </c>
      <c r="AT185" s="89">
        <v>-1.4999999999999999E-2</v>
      </c>
      <c r="AU185" s="89">
        <v>-0.11</v>
      </c>
      <c r="AV185" s="89">
        <v>0.01</v>
      </c>
      <c r="AW185" s="89">
        <v>0</v>
      </c>
      <c r="AX185" s="89">
        <v>0</v>
      </c>
      <c r="AY185" s="90">
        <v>0</v>
      </c>
      <c r="AZ185" s="90">
        <v>0</v>
      </c>
      <c r="BA185" s="90">
        <v>-0.19500000000000001</v>
      </c>
      <c r="BB185" s="89">
        <v>0</v>
      </c>
      <c r="BC185" s="89">
        <v>-7.0000000000000007E-2</v>
      </c>
      <c r="BD185" s="89">
        <v>5.0000000000000001E-3</v>
      </c>
      <c r="BE185" s="89">
        <v>0.43</v>
      </c>
      <c r="BF185" s="89">
        <v>0</v>
      </c>
      <c r="BG185" s="89">
        <v>-0.06</v>
      </c>
      <c r="BH185" s="89">
        <v>0</v>
      </c>
      <c r="BI185" s="89">
        <v>0</v>
      </c>
      <c r="BJ185" s="62">
        <v>0.03</v>
      </c>
      <c r="BK185" s="62">
        <v>0.43</v>
      </c>
      <c r="BL185" s="62">
        <v>0</v>
      </c>
      <c r="BM185" s="62">
        <v>-0.05</v>
      </c>
      <c r="BN185" s="62">
        <v>0</v>
      </c>
      <c r="BO185" s="62">
        <v>-0.37</v>
      </c>
      <c r="BP185" s="62">
        <v>0</v>
      </c>
      <c r="BQ185" s="62">
        <v>0.5</v>
      </c>
      <c r="BR185" s="62">
        <v>0</v>
      </c>
      <c r="BS185" s="62">
        <v>-7.0000000000000007E-2</v>
      </c>
      <c r="BT185" s="62">
        <v>5.0000000000000001E-3</v>
      </c>
      <c r="BU185" s="62">
        <v>0.3</v>
      </c>
      <c r="BV185" s="62">
        <v>0</v>
      </c>
      <c r="BW185" s="62">
        <v>0</v>
      </c>
      <c r="BX185" s="62">
        <v>0</v>
      </c>
      <c r="BY185" s="62">
        <v>-4.9999989999999998E-3</v>
      </c>
      <c r="BZ185" s="62">
        <v>5.7500000000000002E-2</v>
      </c>
      <c r="CA185" s="62">
        <v>0.14499999999999999</v>
      </c>
      <c r="CB185" s="62">
        <v>5.0000000000000001E-3</v>
      </c>
      <c r="CC185" s="62">
        <v>-4.9999989999999998E-3</v>
      </c>
      <c r="CD185" s="62">
        <v>3.5000000000000001E-3</v>
      </c>
      <c r="CE185" s="62">
        <v>2.5000000000000001E-3</v>
      </c>
      <c r="CF185" s="62">
        <v>2.5000000000000001E-3</v>
      </c>
      <c r="CG185" s="62">
        <v>-4.9999989999999998E-3</v>
      </c>
      <c r="CH185" s="62">
        <v>3.5000000000000001E-3</v>
      </c>
      <c r="CI185" s="62">
        <v>-6.8000000000000005E-2</v>
      </c>
      <c r="CJ185" s="62">
        <v>2.5000000000000001E-3</v>
      </c>
      <c r="CK185" s="62">
        <v>7.7499999999999999E-2</v>
      </c>
      <c r="CL185" s="62">
        <v>2.5000000000000001E-3</v>
      </c>
      <c r="CM185" s="62">
        <v>-7.1999999999999995E-2</v>
      </c>
      <c r="CN185" s="62">
        <v>7.4999999999999997E-3</v>
      </c>
      <c r="CO185" s="62">
        <v>-1.7000000000000001E-2</v>
      </c>
      <c r="CP185" s="62">
        <v>5.0000000000000001E-3</v>
      </c>
      <c r="CQ185" s="62">
        <v>2.3E-2</v>
      </c>
      <c r="CR185" s="62">
        <v>7.4999999999999997E-3</v>
      </c>
      <c r="CS185" s="62">
        <v>0.4</v>
      </c>
      <c r="CT185" s="62">
        <v>0.01</v>
      </c>
      <c r="CU185" s="62">
        <v>-0.05</v>
      </c>
      <c r="CV185" s="62">
        <v>0</v>
      </c>
      <c r="CW185" s="62">
        <v>0.17499999999999999</v>
      </c>
      <c r="CX185" s="62">
        <v>7.4999999999999997E-3</v>
      </c>
      <c r="CY185" s="62">
        <v>-0.18</v>
      </c>
      <c r="CZ185" s="62">
        <v>0</v>
      </c>
      <c r="DA185" s="62">
        <v>0</v>
      </c>
      <c r="DB185" s="62">
        <v>0</v>
      </c>
      <c r="DC185" s="62">
        <v>0.45</v>
      </c>
      <c r="DE185" s="62">
        <v>-4.5999999999999999E-2</v>
      </c>
      <c r="DF185" s="62">
        <v>0.01</v>
      </c>
      <c r="DG185" s="62">
        <v>1.4E-2</v>
      </c>
      <c r="DH185" s="62">
        <v>0.01</v>
      </c>
      <c r="DI185" s="62">
        <v>9.9999999999999395E-4</v>
      </c>
      <c r="DJ185" s="62">
        <v>7.4999999999999997E-3</v>
      </c>
      <c r="DK185" s="62">
        <v>-3.3000000000000002E-2</v>
      </c>
      <c r="DL185" s="62">
        <v>5.0000000000000001E-3</v>
      </c>
      <c r="DM185" s="62">
        <v>-4.7E-2</v>
      </c>
      <c r="DN185" s="62">
        <v>2.5000000000000001E-3</v>
      </c>
      <c r="DO185" s="62">
        <v>-6.9500000000000006E-2</v>
      </c>
      <c r="DP185" s="62">
        <v>2.5000000000000001E-3</v>
      </c>
      <c r="DQ185" s="62">
        <v>-6.3E-2</v>
      </c>
      <c r="DR185" s="62">
        <v>-5.0000000000000001E-3</v>
      </c>
      <c r="DS185" s="62">
        <v>0.36</v>
      </c>
      <c r="DT185" s="62">
        <v>-5.0000000000000001E-3</v>
      </c>
      <c r="DU185" s="62">
        <v>0</v>
      </c>
      <c r="DV185" s="62">
        <v>0</v>
      </c>
    </row>
    <row r="186" spans="4:126" x14ac:dyDescent="0.25">
      <c r="D186" s="91">
        <v>42309</v>
      </c>
      <c r="F186" s="89">
        <v>4.3765000000000001</v>
      </c>
      <c r="G186" s="90">
        <v>6.3816701588804897E-2</v>
      </c>
      <c r="H186" s="89">
        <v>0.17</v>
      </c>
      <c r="I186" s="89">
        <v>0.8</v>
      </c>
      <c r="J186" s="89">
        <v>0.85</v>
      </c>
      <c r="K186" s="89">
        <v>0.8</v>
      </c>
      <c r="L186" s="87">
        <v>0.8</v>
      </c>
      <c r="M186" s="87">
        <v>0.9</v>
      </c>
      <c r="N186" s="89">
        <v>0.95</v>
      </c>
      <c r="O186" s="89">
        <v>0.85</v>
      </c>
      <c r="P186" s="89">
        <v>0.8</v>
      </c>
      <c r="Q186" s="89">
        <v>0.95</v>
      </c>
      <c r="R186" s="90">
        <v>0.8</v>
      </c>
      <c r="S186" s="90">
        <v>0.8</v>
      </c>
      <c r="T186" s="89">
        <v>0.8</v>
      </c>
      <c r="U186" s="89">
        <v>0.95</v>
      </c>
      <c r="V186" s="89">
        <v>0.9</v>
      </c>
      <c r="W186" s="89">
        <v>0</v>
      </c>
      <c r="X186" s="89">
        <v>0.03</v>
      </c>
      <c r="Y186" s="89">
        <v>0</v>
      </c>
      <c r="Z186" s="89">
        <v>0.02</v>
      </c>
      <c r="AA186" s="89">
        <v>0</v>
      </c>
      <c r="AB186" s="89">
        <v>0</v>
      </c>
      <c r="AC186" s="89">
        <v>0</v>
      </c>
      <c r="AD186" s="89">
        <v>0</v>
      </c>
      <c r="AE186" s="89">
        <v>0</v>
      </c>
      <c r="AF186" s="89">
        <v>0</v>
      </c>
      <c r="AG186" s="89">
        <v>0</v>
      </c>
      <c r="AH186" s="89">
        <v>0</v>
      </c>
      <c r="AI186" s="89">
        <v>0</v>
      </c>
      <c r="AJ186" s="89">
        <v>0</v>
      </c>
      <c r="AK186" s="89">
        <v>0</v>
      </c>
      <c r="AL186" s="89">
        <v>3.5000000000000003E-2</v>
      </c>
      <c r="AM186" s="89">
        <v>-5.2499999999999998E-2</v>
      </c>
      <c r="AN186" s="89">
        <v>2.8000000000000001E-2</v>
      </c>
      <c r="AO186" s="89">
        <v>-0.44</v>
      </c>
      <c r="AP186" s="89">
        <v>0.155</v>
      </c>
      <c r="AQ186" s="89">
        <v>0</v>
      </c>
      <c r="AR186" s="89">
        <v>0</v>
      </c>
      <c r="AS186" s="89">
        <v>-0.15</v>
      </c>
      <c r="AT186" s="89">
        <v>-5.0000000000000001E-3</v>
      </c>
      <c r="AU186" s="89">
        <v>-0.11</v>
      </c>
      <c r="AV186" s="89">
        <v>-0.01</v>
      </c>
      <c r="AW186" s="89">
        <v>0</v>
      </c>
      <c r="AX186" s="89">
        <v>0</v>
      </c>
      <c r="AY186" s="90">
        <v>0</v>
      </c>
      <c r="AZ186" s="90">
        <v>0</v>
      </c>
      <c r="BA186" s="90">
        <v>-0.13</v>
      </c>
      <c r="BB186" s="89">
        <v>0</v>
      </c>
      <c r="BC186" s="89">
        <v>-7.0000000000000007E-2</v>
      </c>
      <c r="BD186" s="89">
        <v>5.0000000000000001E-3</v>
      </c>
      <c r="BE186" s="89">
        <v>0.35</v>
      </c>
      <c r="BF186" s="89">
        <v>0</v>
      </c>
      <c r="BG186" s="89">
        <v>-0.06</v>
      </c>
      <c r="BH186" s="89">
        <v>0</v>
      </c>
      <c r="BI186" s="89">
        <v>0</v>
      </c>
      <c r="BJ186" s="62">
        <v>0</v>
      </c>
      <c r="BK186" s="62">
        <v>0.35</v>
      </c>
      <c r="BL186" s="62">
        <v>0</v>
      </c>
      <c r="BM186" s="62">
        <v>0.05</v>
      </c>
      <c r="BN186" s="62">
        <v>0</v>
      </c>
      <c r="BO186" s="62">
        <v>-0.26</v>
      </c>
      <c r="BP186" s="62">
        <v>0</v>
      </c>
      <c r="BQ186" s="62">
        <v>0.5</v>
      </c>
      <c r="BR186" s="62">
        <v>0</v>
      </c>
      <c r="BS186" s="62">
        <v>-7.0000000000000007E-2</v>
      </c>
      <c r="BT186" s="62">
        <v>5.0000000000000001E-3</v>
      </c>
      <c r="BU186" s="62">
        <v>0.3</v>
      </c>
      <c r="BV186" s="62">
        <v>0</v>
      </c>
      <c r="BW186" s="62">
        <v>0</v>
      </c>
      <c r="BX186" s="62">
        <v>0</v>
      </c>
      <c r="BY186" s="62">
        <v>-4.9999989999999998E-3</v>
      </c>
      <c r="BZ186" s="62">
        <v>5.7500000000000002E-2</v>
      </c>
      <c r="CA186" s="62">
        <v>0.19500000000000001</v>
      </c>
      <c r="CB186" s="62">
        <v>5.0000000000000001E-3</v>
      </c>
      <c r="CC186" s="62">
        <v>-4.9999989999999998E-3</v>
      </c>
      <c r="CD186" s="62">
        <v>3.7000000000000002E-3</v>
      </c>
      <c r="CE186" s="62">
        <v>2.5000000000000001E-3</v>
      </c>
      <c r="CF186" s="62">
        <v>2.5000000000000001E-3</v>
      </c>
      <c r="CG186" s="62">
        <v>-4.9999989999999998E-3</v>
      </c>
      <c r="CH186" s="62">
        <v>3.7000000000000002E-3</v>
      </c>
      <c r="CI186" s="62">
        <v>-7.2999999999999995E-2</v>
      </c>
      <c r="CJ186" s="62">
        <v>2.5000000000000001E-3</v>
      </c>
      <c r="CK186" s="62">
        <v>7.4999999999999997E-2</v>
      </c>
      <c r="CL186" s="62">
        <v>2.5000000000000001E-3</v>
      </c>
      <c r="CM186" s="62">
        <v>-6.4000000000000001E-2</v>
      </c>
      <c r="CN186" s="62">
        <v>0.01</v>
      </c>
      <c r="CO186" s="62">
        <v>-8.9999989999999998E-3</v>
      </c>
      <c r="CP186" s="62">
        <v>7.4999999999999997E-3</v>
      </c>
      <c r="CQ186" s="62">
        <v>3.1E-2</v>
      </c>
      <c r="CR186" s="62">
        <v>1.2500000000000001E-2</v>
      </c>
      <c r="CS186" s="62">
        <v>0.65</v>
      </c>
      <c r="CT186" s="62">
        <v>5.5E-2</v>
      </c>
      <c r="CU186" s="62">
        <v>0.05</v>
      </c>
      <c r="CV186" s="62">
        <v>0</v>
      </c>
      <c r="CW186" s="62">
        <v>0.21</v>
      </c>
      <c r="CX186" s="62">
        <v>0.02</v>
      </c>
      <c r="CY186" s="62">
        <v>-0.18</v>
      </c>
      <c r="CZ186" s="62">
        <v>0</v>
      </c>
      <c r="DA186" s="62">
        <v>0</v>
      </c>
      <c r="DB186" s="62">
        <v>0</v>
      </c>
      <c r="DC186" s="62">
        <v>0.45</v>
      </c>
      <c r="DE186" s="62">
        <v>-3.4500000000000003E-2</v>
      </c>
      <c r="DF186" s="62">
        <v>1.2500000000000001E-2</v>
      </c>
      <c r="DG186" s="62">
        <v>1.4999999999999999E-2</v>
      </c>
      <c r="DH186" s="62">
        <v>7.4999999999999997E-3</v>
      </c>
      <c r="DI186" s="62">
        <v>0</v>
      </c>
      <c r="DJ186" s="62">
        <v>2.5000000000000001E-3</v>
      </c>
      <c r="DK186" s="62">
        <v>-3.7999999999999999E-2</v>
      </c>
      <c r="DL186" s="62">
        <v>2.5000000000000001E-3</v>
      </c>
      <c r="DM186" s="62">
        <v>-4.9500000000000002E-2</v>
      </c>
      <c r="DN186" s="62">
        <v>2.5000000000000001E-3</v>
      </c>
      <c r="DO186" s="62">
        <v>-7.1999999999999995E-2</v>
      </c>
      <c r="DP186" s="62">
        <v>2.5000000000000001E-3</v>
      </c>
      <c r="DQ186" s="62">
        <v>-6.8000000000000005E-2</v>
      </c>
      <c r="DR186" s="62">
        <v>-5.0000000000000001E-3</v>
      </c>
      <c r="DS186" s="62">
        <v>0.46</v>
      </c>
      <c r="DT186" s="62">
        <v>0.05</v>
      </c>
      <c r="DU186" s="62">
        <v>0</v>
      </c>
      <c r="DV186" s="62">
        <v>0</v>
      </c>
    </row>
    <row r="187" spans="4:126" x14ac:dyDescent="0.25">
      <c r="D187" s="91">
        <v>42339</v>
      </c>
      <c r="F187" s="89">
        <v>4.5194999999999999</v>
      </c>
      <c r="G187" s="90">
        <v>6.38559378231571E-2</v>
      </c>
      <c r="H187" s="89">
        <v>0.17</v>
      </c>
      <c r="I187" s="89">
        <v>1</v>
      </c>
      <c r="J187" s="89">
        <v>1.05</v>
      </c>
      <c r="K187" s="89">
        <v>1</v>
      </c>
      <c r="L187" s="87">
        <v>1</v>
      </c>
      <c r="M187" s="87">
        <v>1.1499999999999999</v>
      </c>
      <c r="N187" s="89">
        <v>1.25</v>
      </c>
      <c r="O187" s="89">
        <v>1.05</v>
      </c>
      <c r="P187" s="89">
        <v>1</v>
      </c>
      <c r="Q187" s="89">
        <v>1.35</v>
      </c>
      <c r="R187" s="90">
        <v>1</v>
      </c>
      <c r="S187" s="90">
        <v>1.1000000000000001</v>
      </c>
      <c r="T187" s="89">
        <v>1</v>
      </c>
      <c r="U187" s="89">
        <v>1.25</v>
      </c>
      <c r="V187" s="89">
        <v>1.1000000000000001</v>
      </c>
      <c r="W187" s="89">
        <v>5.0000000000000001E-3</v>
      </c>
      <c r="X187" s="89">
        <v>0.03</v>
      </c>
      <c r="Y187" s="89">
        <v>0</v>
      </c>
      <c r="Z187" s="89">
        <v>0.02</v>
      </c>
      <c r="AA187" s="89">
        <v>0</v>
      </c>
      <c r="AB187" s="89">
        <v>0</v>
      </c>
      <c r="AC187" s="89">
        <v>0</v>
      </c>
      <c r="AD187" s="89">
        <v>0</v>
      </c>
      <c r="AE187" s="89">
        <v>0</v>
      </c>
      <c r="AF187" s="89">
        <v>0</v>
      </c>
      <c r="AG187" s="89">
        <v>0</v>
      </c>
      <c r="AH187" s="89">
        <v>0</v>
      </c>
      <c r="AI187" s="89">
        <v>0</v>
      </c>
      <c r="AJ187" s="89">
        <v>0</v>
      </c>
      <c r="AK187" s="89">
        <v>0</v>
      </c>
      <c r="AL187" s="89">
        <v>3.5000000000000003E-2</v>
      </c>
      <c r="AM187" s="89">
        <v>-5.2499999999999998E-2</v>
      </c>
      <c r="AN187" s="89">
        <v>2.8000000000000001E-2</v>
      </c>
      <c r="AO187" s="89">
        <v>-0.44</v>
      </c>
      <c r="AP187" s="89">
        <v>0.155</v>
      </c>
      <c r="AQ187" s="89">
        <v>0</v>
      </c>
      <c r="AR187" s="89">
        <v>0</v>
      </c>
      <c r="AS187" s="89">
        <v>-0.1525</v>
      </c>
      <c r="AT187" s="89">
        <v>-5.0000000000000001E-3</v>
      </c>
      <c r="AU187" s="89">
        <v>-0.1125</v>
      </c>
      <c r="AV187" s="89">
        <v>-0.01</v>
      </c>
      <c r="AW187" s="89">
        <v>0</v>
      </c>
      <c r="AX187" s="89">
        <v>0</v>
      </c>
      <c r="AY187" s="90">
        <v>0</v>
      </c>
      <c r="AZ187" s="90">
        <v>0</v>
      </c>
      <c r="BA187" s="90">
        <v>-0.13</v>
      </c>
      <c r="BB187" s="89">
        <v>0</v>
      </c>
      <c r="BC187" s="89">
        <v>-7.0000000000000007E-2</v>
      </c>
      <c r="BD187" s="89">
        <v>5.0000000000000001E-3</v>
      </c>
      <c r="BE187" s="89">
        <v>0.35</v>
      </c>
      <c r="BF187" s="89">
        <v>0</v>
      </c>
      <c r="BG187" s="89">
        <v>-0.06</v>
      </c>
      <c r="BH187" s="89">
        <v>0</v>
      </c>
      <c r="BI187" s="89">
        <v>0</v>
      </c>
      <c r="BJ187" s="62">
        <v>0</v>
      </c>
      <c r="BK187" s="62">
        <v>0.35</v>
      </c>
      <c r="BL187" s="62">
        <v>0</v>
      </c>
      <c r="BM187" s="62">
        <v>0.05</v>
      </c>
      <c r="BN187" s="62">
        <v>0</v>
      </c>
      <c r="BO187" s="62">
        <v>-0.26</v>
      </c>
      <c r="BP187" s="62">
        <v>0</v>
      </c>
      <c r="BQ187" s="62">
        <v>0.5</v>
      </c>
      <c r="BR187" s="62">
        <v>0</v>
      </c>
      <c r="BS187" s="62">
        <v>-7.0000000000000007E-2</v>
      </c>
      <c r="BT187" s="62">
        <v>5.0000000000000001E-3</v>
      </c>
      <c r="BU187" s="62">
        <v>0.3</v>
      </c>
      <c r="BV187" s="62">
        <v>0</v>
      </c>
      <c r="BW187" s="62">
        <v>0</v>
      </c>
      <c r="BX187" s="62">
        <v>0</v>
      </c>
      <c r="BY187" s="62">
        <v>-4.9999989999999998E-3</v>
      </c>
      <c r="BZ187" s="62">
        <v>5.7500000000000002E-2</v>
      </c>
      <c r="CA187" s="62">
        <v>0.215</v>
      </c>
      <c r="CB187" s="62">
        <v>5.0000000000000001E-3</v>
      </c>
      <c r="CC187" s="62">
        <v>-4.9999989999999998E-3</v>
      </c>
      <c r="CD187" s="62">
        <v>3.7000000000000002E-3</v>
      </c>
      <c r="CE187" s="62">
        <v>2.5000000000000001E-3</v>
      </c>
      <c r="CF187" s="62">
        <v>2.5000000000000001E-3</v>
      </c>
      <c r="CG187" s="62">
        <v>-4.9999989999999998E-3</v>
      </c>
      <c r="CH187" s="62">
        <v>3.7000000000000002E-3</v>
      </c>
      <c r="CI187" s="62">
        <v>-0.10050000000000001</v>
      </c>
      <c r="CJ187" s="62">
        <v>2.5000000000000001E-3</v>
      </c>
      <c r="CK187" s="62">
        <v>7.4999999999999997E-2</v>
      </c>
      <c r="CL187" s="62">
        <v>2.5000000000000001E-3</v>
      </c>
      <c r="CM187" s="62">
        <v>-6.4000000000000001E-2</v>
      </c>
      <c r="CN187" s="62">
        <v>0.01</v>
      </c>
      <c r="CO187" s="62">
        <v>-8.9999989999999998E-3</v>
      </c>
      <c r="CP187" s="62">
        <v>7.4999999999999997E-3</v>
      </c>
      <c r="CQ187" s="62">
        <v>3.1E-2</v>
      </c>
      <c r="CR187" s="62">
        <v>1.2500000000000001E-2</v>
      </c>
      <c r="CS187" s="62">
        <v>0.98</v>
      </c>
      <c r="CT187" s="62">
        <v>0.25</v>
      </c>
      <c r="CU187" s="62">
        <v>0.05</v>
      </c>
      <c r="CV187" s="62">
        <v>0</v>
      </c>
      <c r="CW187" s="62">
        <v>0.28999999999999998</v>
      </c>
      <c r="CX187" s="62">
        <v>0.02</v>
      </c>
      <c r="CY187" s="62">
        <v>-0.18</v>
      </c>
      <c r="CZ187" s="62">
        <v>0</v>
      </c>
      <c r="DA187" s="62">
        <v>0</v>
      </c>
      <c r="DB187" s="62">
        <v>0</v>
      </c>
      <c r="DC187" s="62">
        <v>0.4</v>
      </c>
      <c r="DE187" s="62">
        <v>-3.4500000000000003E-2</v>
      </c>
      <c r="DF187" s="62">
        <v>1.2500000000000001E-2</v>
      </c>
      <c r="DG187" s="62">
        <v>1.4999999999999999E-2</v>
      </c>
      <c r="DH187" s="62">
        <v>7.4999999999999997E-3</v>
      </c>
      <c r="DI187" s="62">
        <v>0</v>
      </c>
      <c r="DJ187" s="62">
        <v>2.5000000000000001E-3</v>
      </c>
      <c r="DK187" s="62">
        <v>-6.5500000000000003E-2</v>
      </c>
      <c r="DL187" s="62">
        <v>2.5000000000000001E-3</v>
      </c>
      <c r="DM187" s="62">
        <v>-4.7500000000000001E-2</v>
      </c>
      <c r="DN187" s="62">
        <v>2.5000000000000001E-3</v>
      </c>
      <c r="DO187" s="62">
        <v>-7.0000000000000007E-2</v>
      </c>
      <c r="DP187" s="62">
        <v>2.5000000000000001E-3</v>
      </c>
      <c r="DQ187" s="62">
        <v>-9.5500000000000002E-2</v>
      </c>
      <c r="DR187" s="62">
        <v>-5.0000000000000001E-3</v>
      </c>
      <c r="DS187" s="62">
        <v>0.77</v>
      </c>
      <c r="DT187" s="62">
        <v>0.05</v>
      </c>
      <c r="DU187" s="62">
        <v>0</v>
      </c>
      <c r="DV187" s="62">
        <v>0</v>
      </c>
    </row>
    <row r="188" spans="4:126" x14ac:dyDescent="0.25">
      <c r="D188" s="91">
        <v>42370</v>
      </c>
      <c r="F188" s="89">
        <v>4.5795000000000003</v>
      </c>
      <c r="G188" s="90">
        <v>6.3896481932523397E-2</v>
      </c>
      <c r="H188" s="89">
        <v>0.17</v>
      </c>
      <c r="I188" s="89">
        <v>1</v>
      </c>
      <c r="J188" s="89">
        <v>1.05</v>
      </c>
      <c r="K188" s="89">
        <v>1</v>
      </c>
      <c r="L188" s="87">
        <v>1</v>
      </c>
      <c r="M188" s="87">
        <v>1.1499999999999999</v>
      </c>
      <c r="N188" s="89">
        <v>1.45</v>
      </c>
      <c r="O188" s="89">
        <v>1.05</v>
      </c>
      <c r="P188" s="89">
        <v>1</v>
      </c>
      <c r="Q188" s="89">
        <v>1.35</v>
      </c>
      <c r="R188" s="90">
        <v>1</v>
      </c>
      <c r="S188" s="90">
        <v>1.1000000000000001</v>
      </c>
      <c r="T188" s="89">
        <v>1</v>
      </c>
      <c r="U188" s="89">
        <v>1.45</v>
      </c>
      <c r="V188" s="89">
        <v>1.1000000000000001</v>
      </c>
      <c r="W188" s="89">
        <v>2.5000000000000001E-2</v>
      </c>
      <c r="X188" s="89">
        <v>0.03</v>
      </c>
      <c r="Y188" s="89">
        <v>0</v>
      </c>
      <c r="Z188" s="89">
        <v>0.02</v>
      </c>
      <c r="AA188" s="89">
        <v>0</v>
      </c>
      <c r="AB188" s="89">
        <v>0</v>
      </c>
      <c r="AC188" s="89">
        <v>0</v>
      </c>
      <c r="AD188" s="89">
        <v>0</v>
      </c>
      <c r="AE188" s="89">
        <v>0</v>
      </c>
      <c r="AF188" s="89">
        <v>0</v>
      </c>
      <c r="AG188" s="89">
        <v>0</v>
      </c>
      <c r="AH188" s="89">
        <v>0</v>
      </c>
      <c r="AI188" s="89">
        <v>0</v>
      </c>
      <c r="AJ188" s="89">
        <v>0</v>
      </c>
      <c r="AK188" s="89">
        <v>0</v>
      </c>
      <c r="AL188" s="89">
        <v>3.5000000000000003E-2</v>
      </c>
      <c r="AM188" s="89">
        <v>-5.2499999999999998E-2</v>
      </c>
      <c r="AN188" s="89">
        <v>2.8000000000000001E-2</v>
      </c>
      <c r="AO188" s="89">
        <v>-0.44</v>
      </c>
      <c r="AP188" s="89">
        <v>0.155</v>
      </c>
      <c r="AQ188" s="89">
        <v>0</v>
      </c>
      <c r="AR188" s="89">
        <v>0</v>
      </c>
      <c r="AS188" s="89">
        <v>-0.155</v>
      </c>
      <c r="AT188" s="89">
        <v>-5.0000000000000001E-3</v>
      </c>
      <c r="AU188" s="89">
        <v>-0.115</v>
      </c>
      <c r="AV188" s="89">
        <v>-0.01</v>
      </c>
      <c r="AW188" s="89">
        <v>0</v>
      </c>
      <c r="AX188" s="89">
        <v>0</v>
      </c>
      <c r="AY188" s="90">
        <v>0</v>
      </c>
      <c r="AZ188" s="90">
        <v>0</v>
      </c>
      <c r="BA188" s="90">
        <v>-0.13</v>
      </c>
      <c r="BB188" s="89">
        <v>0</v>
      </c>
      <c r="BC188" s="89">
        <v>-7.0000000000000007E-2</v>
      </c>
      <c r="BD188" s="89">
        <v>5.0000000000000001E-3</v>
      </c>
      <c r="BE188" s="89">
        <v>0.35</v>
      </c>
      <c r="BF188" s="89">
        <v>0</v>
      </c>
      <c r="BG188" s="89">
        <v>-0.06</v>
      </c>
      <c r="BH188" s="89">
        <v>0</v>
      </c>
      <c r="BI188" s="89">
        <v>0</v>
      </c>
      <c r="BJ188" s="62">
        <v>0</v>
      </c>
      <c r="BK188" s="62">
        <v>0.35</v>
      </c>
      <c r="BL188" s="62">
        <v>0</v>
      </c>
      <c r="BM188" s="62">
        <v>0.05</v>
      </c>
      <c r="BN188" s="62">
        <v>0</v>
      </c>
      <c r="BO188" s="62">
        <v>-0.26</v>
      </c>
      <c r="BP188" s="62">
        <v>0</v>
      </c>
      <c r="BQ188" s="62">
        <v>0.5</v>
      </c>
      <c r="BR188" s="62">
        <v>0</v>
      </c>
      <c r="BS188" s="62">
        <v>-7.0000000000000007E-2</v>
      </c>
      <c r="BT188" s="62">
        <v>5.0000000000000001E-3</v>
      </c>
      <c r="BU188" s="62">
        <v>0.3</v>
      </c>
      <c r="BV188" s="62">
        <v>0</v>
      </c>
      <c r="BW188" s="62">
        <v>0</v>
      </c>
      <c r="BX188" s="62">
        <v>0</v>
      </c>
      <c r="BY188" s="62">
        <v>-2.9999990000000002E-3</v>
      </c>
      <c r="BZ188" s="62">
        <v>5.7500000000000002E-2</v>
      </c>
      <c r="CA188" s="62">
        <v>0.23499999999999999</v>
      </c>
      <c r="CB188" s="62">
        <v>5.0000000000000001E-3</v>
      </c>
      <c r="CC188" s="62">
        <v>-2.9999990000000002E-3</v>
      </c>
      <c r="CD188" s="62">
        <v>3.7000000000000002E-3</v>
      </c>
      <c r="CE188" s="62">
        <v>2.5000000000000001E-3</v>
      </c>
      <c r="CF188" s="62">
        <v>2.5000000000000001E-3</v>
      </c>
      <c r="CG188" s="62">
        <v>-2.9999990000000002E-3</v>
      </c>
      <c r="CH188" s="62">
        <v>3.7000000000000002E-3</v>
      </c>
      <c r="CI188" s="62">
        <v>-9.8500000000000004E-2</v>
      </c>
      <c r="CJ188" s="62">
        <v>2.5000000000000001E-3</v>
      </c>
      <c r="CK188" s="62">
        <v>7.4999999999999997E-2</v>
      </c>
      <c r="CL188" s="62">
        <v>2.5000000000000001E-3</v>
      </c>
      <c r="CM188" s="62">
        <v>-6.4000000000000001E-2</v>
      </c>
      <c r="CN188" s="62">
        <v>0.01</v>
      </c>
      <c r="CO188" s="62">
        <v>-8.9999989999999998E-3</v>
      </c>
      <c r="CP188" s="62">
        <v>7.4999999999999997E-3</v>
      </c>
      <c r="CQ188" s="62">
        <v>3.1E-2</v>
      </c>
      <c r="CR188" s="62">
        <v>1.2500000000000001E-2</v>
      </c>
      <c r="CS188" s="62">
        <v>1.6</v>
      </c>
      <c r="CT188" s="62">
        <v>0.45</v>
      </c>
      <c r="CU188" s="62">
        <v>0.05</v>
      </c>
      <c r="CV188" s="62">
        <v>0</v>
      </c>
      <c r="CW188" s="62">
        <v>0.34</v>
      </c>
      <c r="CX188" s="62">
        <v>0.02</v>
      </c>
      <c r="CY188" s="62">
        <v>-0.18</v>
      </c>
      <c r="CZ188" s="62">
        <v>0</v>
      </c>
      <c r="DA188" s="62">
        <v>0</v>
      </c>
      <c r="DB188" s="62">
        <v>0</v>
      </c>
      <c r="DC188" s="62">
        <v>0.35</v>
      </c>
      <c r="DE188" s="62">
        <v>-3.4500000000000003E-2</v>
      </c>
      <c r="DF188" s="62">
        <v>1.2500000000000001E-2</v>
      </c>
      <c r="DG188" s="62">
        <v>1.4999999999999999E-2</v>
      </c>
      <c r="DH188" s="62">
        <v>7.4999999999999997E-3</v>
      </c>
      <c r="DI188" s="62">
        <v>0</v>
      </c>
      <c r="DJ188" s="62">
        <v>2.5000000000000001E-3</v>
      </c>
      <c r="DK188" s="62">
        <v>-8.0500000000000002E-2</v>
      </c>
      <c r="DL188" s="62">
        <v>2.5000000000000001E-3</v>
      </c>
      <c r="DM188" s="62">
        <v>-4.7500000000000001E-2</v>
      </c>
      <c r="DN188" s="62">
        <v>2.5000000000000001E-3</v>
      </c>
      <c r="DO188" s="62">
        <v>-7.0000000000000007E-2</v>
      </c>
      <c r="DP188" s="62">
        <v>2.5000000000000001E-3</v>
      </c>
      <c r="DQ188" s="62">
        <v>-0.1105</v>
      </c>
      <c r="DR188" s="62">
        <v>-5.0000000000000001E-3</v>
      </c>
      <c r="DS188" s="62">
        <v>1.04</v>
      </c>
      <c r="DT188" s="62">
        <v>0.05</v>
      </c>
      <c r="DU188" s="62">
        <v>0</v>
      </c>
      <c r="DV188" s="62">
        <v>0</v>
      </c>
    </row>
    <row r="189" spans="4:126" x14ac:dyDescent="0.25">
      <c r="D189" s="91">
        <v>42401</v>
      </c>
      <c r="F189" s="89">
        <v>4.4945000000000004</v>
      </c>
      <c r="G189" s="90">
        <v>6.3937026042434994E-2</v>
      </c>
      <c r="H189" s="89">
        <v>0.17</v>
      </c>
      <c r="I189" s="89">
        <v>1</v>
      </c>
      <c r="J189" s="89">
        <v>1.05</v>
      </c>
      <c r="K189" s="89">
        <v>1</v>
      </c>
      <c r="L189" s="87">
        <v>1</v>
      </c>
      <c r="M189" s="87">
        <v>1.1499999999999999</v>
      </c>
      <c r="N189" s="89">
        <v>1.45</v>
      </c>
      <c r="O189" s="89">
        <v>1.05</v>
      </c>
      <c r="P189" s="89">
        <v>1</v>
      </c>
      <c r="Q189" s="89">
        <v>1.35</v>
      </c>
      <c r="R189" s="90">
        <v>1</v>
      </c>
      <c r="S189" s="90">
        <v>1.1000000000000001</v>
      </c>
      <c r="T189" s="89">
        <v>1</v>
      </c>
      <c r="U189" s="89">
        <v>1.45</v>
      </c>
      <c r="V189" s="89">
        <v>1.1000000000000001</v>
      </c>
      <c r="W189" s="89">
        <v>0.02</v>
      </c>
      <c r="X189" s="89">
        <v>0.03</v>
      </c>
      <c r="Y189" s="89">
        <v>0</v>
      </c>
      <c r="Z189" s="89">
        <v>0.02</v>
      </c>
      <c r="AA189" s="89">
        <v>0</v>
      </c>
      <c r="AB189" s="89">
        <v>0</v>
      </c>
      <c r="AC189" s="89">
        <v>0</v>
      </c>
      <c r="AD189" s="89">
        <v>0</v>
      </c>
      <c r="AE189" s="89">
        <v>0</v>
      </c>
      <c r="AF189" s="89">
        <v>0</v>
      </c>
      <c r="AG189" s="89">
        <v>0</v>
      </c>
      <c r="AH189" s="89">
        <v>0</v>
      </c>
      <c r="AI189" s="89">
        <v>0</v>
      </c>
      <c r="AJ189" s="89">
        <v>0</v>
      </c>
      <c r="AK189" s="89">
        <v>0</v>
      </c>
      <c r="AL189" s="89">
        <v>3.5000000000000003E-2</v>
      </c>
      <c r="AM189" s="89">
        <v>-5.2499999999999998E-2</v>
      </c>
      <c r="AN189" s="89">
        <v>2.8000000000000001E-2</v>
      </c>
      <c r="AO189" s="89">
        <v>-0.48</v>
      </c>
      <c r="AP189" s="89">
        <v>0.155</v>
      </c>
      <c r="AQ189" s="89">
        <v>0</v>
      </c>
      <c r="AR189" s="89">
        <v>0</v>
      </c>
      <c r="AS189" s="89">
        <v>-0.14749999999999999</v>
      </c>
      <c r="AT189" s="89">
        <v>-5.0000000000000001E-3</v>
      </c>
      <c r="AU189" s="89">
        <v>-0.1075</v>
      </c>
      <c r="AV189" s="89">
        <v>-0.01</v>
      </c>
      <c r="AW189" s="89">
        <v>0</v>
      </c>
      <c r="AX189" s="89">
        <v>0</v>
      </c>
      <c r="AY189" s="90">
        <v>0</v>
      </c>
      <c r="AZ189" s="90">
        <v>0</v>
      </c>
      <c r="BA189" s="90">
        <v>-0.13</v>
      </c>
      <c r="BB189" s="89">
        <v>0</v>
      </c>
      <c r="BC189" s="89">
        <v>-7.0000000000000007E-2</v>
      </c>
      <c r="BD189" s="89">
        <v>5.0000000000000001E-3</v>
      </c>
      <c r="BE189" s="89">
        <v>0.35</v>
      </c>
      <c r="BF189" s="89">
        <v>0</v>
      </c>
      <c r="BG189" s="89">
        <v>-0.06</v>
      </c>
      <c r="BH189" s="89">
        <v>0</v>
      </c>
      <c r="BI189" s="89">
        <v>0</v>
      </c>
      <c r="BJ189" s="62">
        <v>0</v>
      </c>
      <c r="BK189" s="62">
        <v>0.35</v>
      </c>
      <c r="BL189" s="62">
        <v>0</v>
      </c>
      <c r="BM189" s="62">
        <v>0.05</v>
      </c>
      <c r="BN189" s="62">
        <v>0</v>
      </c>
      <c r="BO189" s="62">
        <v>-0.26</v>
      </c>
      <c r="BP189" s="62">
        <v>0</v>
      </c>
      <c r="BQ189" s="62">
        <v>0.5</v>
      </c>
      <c r="BR189" s="62">
        <v>0</v>
      </c>
      <c r="BS189" s="62">
        <v>-7.0000000000000007E-2</v>
      </c>
      <c r="BT189" s="62">
        <v>5.0000000000000001E-3</v>
      </c>
      <c r="BU189" s="62">
        <v>0.3</v>
      </c>
      <c r="BV189" s="62">
        <v>0</v>
      </c>
      <c r="BW189" s="62">
        <v>0</v>
      </c>
      <c r="BX189" s="62">
        <v>0</v>
      </c>
      <c r="BY189" s="62">
        <v>-2.9999990000000002E-3</v>
      </c>
      <c r="BZ189" s="62">
        <v>5.7500000000000002E-2</v>
      </c>
      <c r="CA189" s="62">
        <v>0.23499999999999999</v>
      </c>
      <c r="CB189" s="62">
        <v>5.0000000000000001E-3</v>
      </c>
      <c r="CC189" s="62">
        <v>-2.9999990000000002E-3</v>
      </c>
      <c r="CD189" s="62">
        <v>3.7000000000000002E-3</v>
      </c>
      <c r="CE189" s="62">
        <v>2.5000000000000001E-3</v>
      </c>
      <c r="CF189" s="62">
        <v>2.5000000000000001E-3</v>
      </c>
      <c r="CG189" s="62">
        <v>-2.9999990000000002E-3</v>
      </c>
      <c r="CH189" s="62">
        <v>3.7000000000000002E-3</v>
      </c>
      <c r="CI189" s="62">
        <v>-9.8500000000000004E-2</v>
      </c>
      <c r="CJ189" s="62">
        <v>2.5000000000000001E-3</v>
      </c>
      <c r="CK189" s="62">
        <v>7.4999999999999997E-2</v>
      </c>
      <c r="CL189" s="62">
        <v>2.5000000000000001E-3</v>
      </c>
      <c r="CM189" s="62">
        <v>-6.4000000000000001E-2</v>
      </c>
      <c r="CN189" s="62">
        <v>0.01</v>
      </c>
      <c r="CO189" s="62">
        <v>-8.9999989999999998E-3</v>
      </c>
      <c r="CP189" s="62">
        <v>7.4999999999999997E-3</v>
      </c>
      <c r="CQ189" s="62">
        <v>3.1E-2</v>
      </c>
      <c r="CR189" s="62">
        <v>1.2500000000000001E-2</v>
      </c>
      <c r="CS189" s="62">
        <v>1.6</v>
      </c>
      <c r="CT189" s="62">
        <v>0.45</v>
      </c>
      <c r="CU189" s="62">
        <v>0.05</v>
      </c>
      <c r="CV189" s="62">
        <v>0</v>
      </c>
      <c r="CW189" s="62">
        <v>0.34</v>
      </c>
      <c r="CX189" s="62">
        <v>0.02</v>
      </c>
      <c r="CY189" s="62">
        <v>-0.18</v>
      </c>
      <c r="CZ189" s="62">
        <v>0</v>
      </c>
      <c r="DA189" s="62">
        <v>0</v>
      </c>
      <c r="DB189" s="62">
        <v>0</v>
      </c>
      <c r="DC189" s="62">
        <v>0.35</v>
      </c>
      <c r="DE189" s="62">
        <v>-3.4500000000000003E-2</v>
      </c>
      <c r="DF189" s="62">
        <v>1.2500000000000001E-2</v>
      </c>
      <c r="DG189" s="62">
        <v>1.4999999999999999E-2</v>
      </c>
      <c r="DH189" s="62">
        <v>7.4999999999999997E-3</v>
      </c>
      <c r="DI189" s="62">
        <v>0</v>
      </c>
      <c r="DJ189" s="62">
        <v>2.5000000000000001E-3</v>
      </c>
      <c r="DK189" s="62">
        <v>-7.0499999999999993E-2</v>
      </c>
      <c r="DL189" s="62">
        <v>2.5000000000000001E-3</v>
      </c>
      <c r="DM189" s="62">
        <v>-4.7500000000000001E-2</v>
      </c>
      <c r="DN189" s="62">
        <v>2.5000000000000001E-3</v>
      </c>
      <c r="DO189" s="62">
        <v>-7.0000000000000007E-2</v>
      </c>
      <c r="DP189" s="62">
        <v>2.5000000000000001E-3</v>
      </c>
      <c r="DQ189" s="62">
        <v>-0.10050000000000001</v>
      </c>
      <c r="DR189" s="62">
        <v>-5.0000000000000001E-3</v>
      </c>
      <c r="DS189" s="62">
        <v>1.04</v>
      </c>
      <c r="DT189" s="62">
        <v>0.05</v>
      </c>
      <c r="DU189" s="62">
        <v>0</v>
      </c>
      <c r="DV189" s="62">
        <v>0</v>
      </c>
    </row>
    <row r="190" spans="4:126" x14ac:dyDescent="0.25">
      <c r="D190" s="91">
        <v>42430</v>
      </c>
      <c r="F190" s="89">
        <v>4.3644999999999996</v>
      </c>
      <c r="G190" s="90">
        <v>6.3974954403813303E-2</v>
      </c>
      <c r="H190" s="89">
        <v>0.17</v>
      </c>
      <c r="I190" s="89">
        <v>0.75</v>
      </c>
      <c r="J190" s="89">
        <v>0.8</v>
      </c>
      <c r="K190" s="89">
        <v>0.75</v>
      </c>
      <c r="L190" s="87">
        <v>0.75</v>
      </c>
      <c r="M190" s="87">
        <v>0.85</v>
      </c>
      <c r="N190" s="89">
        <v>1</v>
      </c>
      <c r="O190" s="89">
        <v>0.75</v>
      </c>
      <c r="P190" s="89">
        <v>0.75</v>
      </c>
      <c r="Q190" s="89">
        <v>0.95</v>
      </c>
      <c r="R190" s="90">
        <v>0.75</v>
      </c>
      <c r="S190" s="90">
        <v>0.75</v>
      </c>
      <c r="T190" s="89">
        <v>0.75</v>
      </c>
      <c r="U190" s="89">
        <v>1</v>
      </c>
      <c r="V190" s="89">
        <v>0.85</v>
      </c>
      <c r="W190" s="89">
        <v>0</v>
      </c>
      <c r="X190" s="89">
        <v>0.03</v>
      </c>
      <c r="Y190" s="89">
        <v>0</v>
      </c>
      <c r="Z190" s="89">
        <v>0.02</v>
      </c>
      <c r="AA190" s="89">
        <v>0</v>
      </c>
      <c r="AB190" s="89">
        <v>0</v>
      </c>
      <c r="AC190" s="89">
        <v>0</v>
      </c>
      <c r="AD190" s="89">
        <v>0</v>
      </c>
      <c r="AE190" s="89">
        <v>0</v>
      </c>
      <c r="AF190" s="89">
        <v>0</v>
      </c>
      <c r="AG190" s="89">
        <v>0</v>
      </c>
      <c r="AH190" s="89">
        <v>0</v>
      </c>
      <c r="AI190" s="89">
        <v>0</v>
      </c>
      <c r="AJ190" s="89">
        <v>0</v>
      </c>
      <c r="AK190" s="89">
        <v>0</v>
      </c>
      <c r="AL190" s="89">
        <v>3.5000000000000003E-2</v>
      </c>
      <c r="AM190" s="89">
        <v>-5.2499999999999998E-2</v>
      </c>
      <c r="AN190" s="89">
        <v>2.8000000000000001E-2</v>
      </c>
      <c r="AO190" s="89">
        <v>-0.48</v>
      </c>
      <c r="AP190" s="89">
        <v>0.155</v>
      </c>
      <c r="AQ190" s="89">
        <v>0</v>
      </c>
      <c r="AR190" s="89">
        <v>0</v>
      </c>
      <c r="AS190" s="89">
        <v>-0.14499999999999999</v>
      </c>
      <c r="AT190" s="89">
        <v>-5.0000000000000001E-3</v>
      </c>
      <c r="AU190" s="89">
        <v>-0.105</v>
      </c>
      <c r="AV190" s="89">
        <v>-0.01</v>
      </c>
      <c r="AW190" s="89">
        <v>0</v>
      </c>
      <c r="AX190" s="89">
        <v>0</v>
      </c>
      <c r="AY190" s="90">
        <v>0</v>
      </c>
      <c r="AZ190" s="90">
        <v>0</v>
      </c>
      <c r="BA190" s="90">
        <v>-0.13</v>
      </c>
      <c r="BB190" s="89">
        <v>0</v>
      </c>
      <c r="BC190" s="89">
        <v>-7.0000000000000007E-2</v>
      </c>
      <c r="BD190" s="89">
        <v>5.0000000000000001E-3</v>
      </c>
      <c r="BE190" s="89">
        <v>0.35</v>
      </c>
      <c r="BF190" s="89">
        <v>0</v>
      </c>
      <c r="BG190" s="89">
        <v>-0.06</v>
      </c>
      <c r="BH190" s="89">
        <v>0</v>
      </c>
      <c r="BI190" s="89">
        <v>0</v>
      </c>
      <c r="BJ190" s="62">
        <v>0</v>
      </c>
      <c r="BK190" s="62">
        <v>0.35</v>
      </c>
      <c r="BL190" s="62">
        <v>0</v>
      </c>
      <c r="BM190" s="62">
        <v>0.05</v>
      </c>
      <c r="BN190" s="62">
        <v>0</v>
      </c>
      <c r="BO190" s="62">
        <v>-0.26</v>
      </c>
      <c r="BP190" s="62">
        <v>0</v>
      </c>
      <c r="BQ190" s="62">
        <v>0.5</v>
      </c>
      <c r="BR190" s="62">
        <v>0</v>
      </c>
      <c r="BS190" s="62">
        <v>-7.0000000000000007E-2</v>
      </c>
      <c r="BT190" s="62">
        <v>5.0000000000000001E-3</v>
      </c>
      <c r="BU190" s="62">
        <v>0.3</v>
      </c>
      <c r="BV190" s="62">
        <v>0</v>
      </c>
      <c r="BW190" s="62">
        <v>0</v>
      </c>
      <c r="BX190" s="62">
        <v>0</v>
      </c>
      <c r="BY190" s="62">
        <v>-2.9999990000000002E-3</v>
      </c>
      <c r="BZ190" s="62">
        <v>5.7500000000000002E-2</v>
      </c>
      <c r="CA190" s="62">
        <v>0.19500000000000001</v>
      </c>
      <c r="CB190" s="62">
        <v>5.0000000000000001E-3</v>
      </c>
      <c r="CC190" s="62">
        <v>-2.9999990000000002E-3</v>
      </c>
      <c r="CD190" s="62">
        <v>3.7000000000000002E-3</v>
      </c>
      <c r="CE190" s="62">
        <v>2.5000000000000001E-3</v>
      </c>
      <c r="CF190" s="62">
        <v>0</v>
      </c>
      <c r="CG190" s="62">
        <v>-2.9999990000000002E-3</v>
      </c>
      <c r="CH190" s="62">
        <v>3.7000000000000002E-3</v>
      </c>
      <c r="CI190" s="62">
        <v>-9.8500000000000004E-2</v>
      </c>
      <c r="CJ190" s="62">
        <v>2.5000000000000001E-3</v>
      </c>
      <c r="CK190" s="62">
        <v>7.4999999999999997E-2</v>
      </c>
      <c r="CL190" s="62">
        <v>2.5000000000000001E-3</v>
      </c>
      <c r="CM190" s="62">
        <v>-6.4000000000000001E-2</v>
      </c>
      <c r="CN190" s="62">
        <v>0.01</v>
      </c>
      <c r="CO190" s="62">
        <v>-8.9999989999999998E-3</v>
      </c>
      <c r="CP190" s="62">
        <v>7.4999999999999997E-3</v>
      </c>
      <c r="CQ190" s="62">
        <v>3.1E-2</v>
      </c>
      <c r="CR190" s="62">
        <v>1.2500000000000001E-2</v>
      </c>
      <c r="CS190" s="62">
        <v>0.64</v>
      </c>
      <c r="CT190" s="62">
        <v>0.1</v>
      </c>
      <c r="CU190" s="62">
        <v>0.05</v>
      </c>
      <c r="CV190" s="62">
        <v>0</v>
      </c>
      <c r="CW190" s="62">
        <v>0.28999999999999998</v>
      </c>
      <c r="CX190" s="62">
        <v>0.02</v>
      </c>
      <c r="CY190" s="62">
        <v>-0.18</v>
      </c>
      <c r="CZ190" s="62">
        <v>0</v>
      </c>
      <c r="DA190" s="62">
        <v>0</v>
      </c>
      <c r="DB190" s="62">
        <v>0</v>
      </c>
      <c r="DC190" s="62">
        <v>0.4</v>
      </c>
      <c r="DE190" s="62">
        <v>-3.4500000000000003E-2</v>
      </c>
      <c r="DF190" s="62">
        <v>1.2500000000000001E-2</v>
      </c>
      <c r="DG190" s="62">
        <v>0.02</v>
      </c>
      <c r="DH190" s="62">
        <v>7.4999999999999997E-3</v>
      </c>
      <c r="DI190" s="62">
        <v>5.0000000000000001E-3</v>
      </c>
      <c r="DJ190" s="62">
        <v>2.5000000000000001E-3</v>
      </c>
      <c r="DK190" s="62">
        <v>-6.0499999999999998E-2</v>
      </c>
      <c r="DL190" s="62">
        <v>2.5000000000000001E-3</v>
      </c>
      <c r="DM190" s="62">
        <v>-4.7500000000000001E-2</v>
      </c>
      <c r="DN190" s="62">
        <v>2.5000000000000001E-3</v>
      </c>
      <c r="DO190" s="62">
        <v>-7.0000000000000007E-2</v>
      </c>
      <c r="DP190" s="62">
        <v>2.5000000000000001E-3</v>
      </c>
      <c r="DQ190" s="62">
        <v>-9.0499999999999997E-2</v>
      </c>
      <c r="DR190" s="62">
        <v>-5.0000000000000001E-3</v>
      </c>
      <c r="DS190" s="62">
        <v>0.54</v>
      </c>
      <c r="DT190" s="62">
        <v>0.05</v>
      </c>
      <c r="DU190" s="62">
        <v>0</v>
      </c>
      <c r="DV190" s="62">
        <v>0</v>
      </c>
    </row>
    <row r="191" spans="4:126" x14ac:dyDescent="0.25">
      <c r="D191" s="91">
        <v>42461</v>
      </c>
      <c r="F191" s="89">
        <v>4.1795</v>
      </c>
      <c r="G191" s="90">
        <v>6.4015498514780098E-2</v>
      </c>
      <c r="H191" s="89">
        <v>0.17</v>
      </c>
      <c r="I191" s="89">
        <v>0.4</v>
      </c>
      <c r="J191" s="89">
        <v>0.45</v>
      </c>
      <c r="K191" s="89">
        <v>0.4</v>
      </c>
      <c r="L191" s="87">
        <v>0.45</v>
      </c>
      <c r="M191" s="87">
        <v>0.45</v>
      </c>
      <c r="N191" s="89">
        <v>0.45</v>
      </c>
      <c r="O191" s="89">
        <v>0.45</v>
      </c>
      <c r="P191" s="89">
        <v>0.45</v>
      </c>
      <c r="Q191" s="89">
        <v>0.5</v>
      </c>
      <c r="R191" s="90">
        <v>0.4</v>
      </c>
      <c r="S191" s="90">
        <v>0.45</v>
      </c>
      <c r="T191" s="89">
        <v>0.4</v>
      </c>
      <c r="U191" s="89">
        <v>0.45</v>
      </c>
      <c r="V191" s="89">
        <v>0.55000000000000004</v>
      </c>
      <c r="W191" s="89">
        <v>-0.09</v>
      </c>
      <c r="X191" s="89">
        <v>0</v>
      </c>
      <c r="Y191" s="89">
        <v>0</v>
      </c>
      <c r="Z191" s="89">
        <v>5.0000000000000001E-3</v>
      </c>
      <c r="AA191" s="89">
        <v>0</v>
      </c>
      <c r="AB191" s="89">
        <v>0</v>
      </c>
      <c r="AC191" s="89">
        <v>0</v>
      </c>
      <c r="AD191" s="89">
        <v>0</v>
      </c>
      <c r="AE191" s="89">
        <v>0</v>
      </c>
      <c r="AF191" s="89">
        <v>0</v>
      </c>
      <c r="AG191" s="89">
        <v>0</v>
      </c>
      <c r="AH191" s="89">
        <v>0</v>
      </c>
      <c r="AI191" s="89">
        <v>0</v>
      </c>
      <c r="AJ191" s="89">
        <v>0</v>
      </c>
      <c r="AK191" s="89">
        <v>0</v>
      </c>
      <c r="AL191" s="89">
        <v>0.04</v>
      </c>
      <c r="AM191" s="89">
        <v>-3.5499999999999997E-2</v>
      </c>
      <c r="AN191" s="89">
        <v>3.5000000000000003E-2</v>
      </c>
      <c r="AO191" s="89">
        <v>-0.48</v>
      </c>
      <c r="AP191" s="89">
        <v>0.155</v>
      </c>
      <c r="AQ191" s="89">
        <v>0</v>
      </c>
      <c r="AR191" s="89">
        <v>0</v>
      </c>
      <c r="AS191" s="89">
        <v>-0.15</v>
      </c>
      <c r="AT191" s="89">
        <v>-1.4999999999999999E-2</v>
      </c>
      <c r="AU191" s="89">
        <v>-0.11</v>
      </c>
      <c r="AV191" s="89">
        <v>0.02</v>
      </c>
      <c r="AW191" s="89">
        <v>0</v>
      </c>
      <c r="AX191" s="89">
        <v>0</v>
      </c>
      <c r="AY191" s="90">
        <v>0</v>
      </c>
      <c r="AZ191" s="90">
        <v>0</v>
      </c>
      <c r="BA191" s="90">
        <v>-0.19500000000000001</v>
      </c>
      <c r="BB191" s="89">
        <v>0</v>
      </c>
      <c r="BC191" s="89">
        <v>-7.0000000000000007E-2</v>
      </c>
      <c r="BD191" s="89">
        <v>5.0000000000000001E-3</v>
      </c>
      <c r="BE191" s="89">
        <v>0.43</v>
      </c>
      <c r="BF191" s="89">
        <v>0</v>
      </c>
      <c r="BG191" s="89">
        <v>-0.06</v>
      </c>
      <c r="BH191" s="89">
        <v>0</v>
      </c>
      <c r="BI191" s="89">
        <v>0</v>
      </c>
      <c r="BJ191" s="62">
        <v>0</v>
      </c>
      <c r="BK191" s="62">
        <v>0.43</v>
      </c>
      <c r="BL191" s="62">
        <v>0</v>
      </c>
      <c r="BM191" s="62">
        <v>0.05</v>
      </c>
      <c r="BN191" s="62">
        <v>0</v>
      </c>
      <c r="BO191" s="62">
        <v>-0.37</v>
      </c>
      <c r="BP191" s="62">
        <v>0</v>
      </c>
      <c r="BQ191" s="62">
        <v>0.5</v>
      </c>
      <c r="BR191" s="62">
        <v>0</v>
      </c>
      <c r="BS191" s="62">
        <v>-7.0000000000000007E-2</v>
      </c>
      <c r="BT191" s="62">
        <v>5.0000000000000001E-3</v>
      </c>
      <c r="BU191" s="62">
        <v>0.3</v>
      </c>
      <c r="BV191" s="62">
        <v>0</v>
      </c>
      <c r="BW191" s="62">
        <v>0</v>
      </c>
      <c r="BX191" s="62">
        <v>0</v>
      </c>
      <c r="BY191" s="62">
        <v>-2.9999990000000002E-3</v>
      </c>
      <c r="BZ191" s="62">
        <v>5.7500000000000002E-2</v>
      </c>
      <c r="CA191" s="62">
        <v>0.14499999999999999</v>
      </c>
      <c r="CB191" s="62">
        <v>5.0000000000000001E-3</v>
      </c>
      <c r="CC191" s="62">
        <v>-2.9999990000000002E-3</v>
      </c>
      <c r="CD191" s="62">
        <v>3.5000000000000001E-3</v>
      </c>
      <c r="CE191" s="62">
        <v>2.5000000000000001E-3</v>
      </c>
      <c r="CF191" s="62">
        <v>0</v>
      </c>
      <c r="CG191" s="62">
        <v>-2.9999990000000002E-3</v>
      </c>
      <c r="CH191" s="62">
        <v>3.5000000000000001E-3</v>
      </c>
      <c r="CI191" s="62">
        <v>-0.11849999999999999</v>
      </c>
      <c r="CJ191" s="62">
        <v>2.5000000000000001E-3</v>
      </c>
      <c r="CK191" s="62">
        <v>7.7499999999999999E-2</v>
      </c>
      <c r="CL191" s="62">
        <v>2.5000000000000001E-3</v>
      </c>
      <c r="CM191" s="62">
        <v>-7.1999999999999995E-2</v>
      </c>
      <c r="CN191" s="62">
        <v>7.4999999999999997E-3</v>
      </c>
      <c r="CO191" s="62">
        <v>-1.7000000000000001E-2</v>
      </c>
      <c r="CP191" s="62">
        <v>5.0000000000000001E-3</v>
      </c>
      <c r="CQ191" s="62">
        <v>2.3E-2</v>
      </c>
      <c r="CR191" s="62">
        <v>7.4999999999999997E-3</v>
      </c>
      <c r="CS191" s="62">
        <v>0.38</v>
      </c>
      <c r="CT191" s="62">
        <v>0.02</v>
      </c>
      <c r="CU191" s="62">
        <v>0.05</v>
      </c>
      <c r="CV191" s="62">
        <v>0</v>
      </c>
      <c r="CW191" s="62">
        <v>0.19500000000000001</v>
      </c>
      <c r="CX191" s="62">
        <v>7.4999999999999997E-3</v>
      </c>
      <c r="CY191" s="62">
        <v>-0.18</v>
      </c>
      <c r="CZ191" s="62">
        <v>0</v>
      </c>
      <c r="DA191" s="62">
        <v>0</v>
      </c>
      <c r="DB191" s="62">
        <v>0</v>
      </c>
      <c r="DC191" s="62">
        <v>0.6</v>
      </c>
      <c r="DE191" s="62">
        <v>-4.2000000000000003E-2</v>
      </c>
      <c r="DF191" s="62">
        <v>0.01</v>
      </c>
      <c r="DG191" s="62">
        <v>0.02</v>
      </c>
      <c r="DH191" s="62">
        <v>0.01</v>
      </c>
      <c r="DI191" s="62">
        <v>5.0000000000000001E-3</v>
      </c>
      <c r="DJ191" s="62">
        <v>7.4999999999999997E-3</v>
      </c>
      <c r="DK191" s="62">
        <v>-0.10349999999999999</v>
      </c>
      <c r="DL191" s="62">
        <v>5.0000000000000001E-3</v>
      </c>
      <c r="DM191" s="62">
        <v>-4.4999999999999998E-2</v>
      </c>
      <c r="DN191" s="62">
        <v>2.5000000000000001E-3</v>
      </c>
      <c r="DO191" s="62">
        <v>-6.7500000000000004E-2</v>
      </c>
      <c r="DP191" s="62">
        <v>2.5000000000000001E-3</v>
      </c>
      <c r="DQ191" s="62">
        <v>-0.13350000000000001</v>
      </c>
      <c r="DR191" s="62">
        <v>-5.0000000000000001E-3</v>
      </c>
      <c r="DS191" s="62">
        <v>0.36</v>
      </c>
      <c r="DT191" s="62">
        <v>5.0000000000000001E-3</v>
      </c>
      <c r="DU191" s="62">
        <v>0</v>
      </c>
      <c r="DV191" s="62">
        <v>0</v>
      </c>
    </row>
    <row r="192" spans="4:126" x14ac:dyDescent="0.25">
      <c r="D192" s="91">
        <v>42491</v>
      </c>
      <c r="F192" s="89">
        <v>4.1745000000000001</v>
      </c>
      <c r="G192" s="90">
        <v>6.4054734751718606E-2</v>
      </c>
      <c r="H192" s="89">
        <v>0.17</v>
      </c>
      <c r="I192" s="89">
        <v>0.45</v>
      </c>
      <c r="J192" s="89">
        <v>0.5</v>
      </c>
      <c r="K192" s="89">
        <v>0.4</v>
      </c>
      <c r="L192" s="87">
        <v>0.4</v>
      </c>
      <c r="M192" s="87">
        <v>0.45</v>
      </c>
      <c r="N192" s="89">
        <v>0.5</v>
      </c>
      <c r="O192" s="89">
        <v>0.45</v>
      </c>
      <c r="P192" s="89">
        <v>0.4</v>
      </c>
      <c r="Q192" s="89">
        <v>0.45</v>
      </c>
      <c r="R192" s="90">
        <v>0.45</v>
      </c>
      <c r="S192" s="90">
        <v>0.5</v>
      </c>
      <c r="T192" s="89">
        <v>0.45</v>
      </c>
      <c r="U192" s="89">
        <v>0.5</v>
      </c>
      <c r="V192" s="89">
        <v>0.5</v>
      </c>
      <c r="W192" s="89">
        <v>0</v>
      </c>
      <c r="X192" s="89">
        <v>0</v>
      </c>
      <c r="Y192" s="89">
        <v>0</v>
      </c>
      <c r="Z192" s="89">
        <v>5.0000000000000001E-3</v>
      </c>
      <c r="AA192" s="89">
        <v>0</v>
      </c>
      <c r="AB192" s="89">
        <v>0</v>
      </c>
      <c r="AC192" s="89">
        <v>0</v>
      </c>
      <c r="AD192" s="89">
        <v>0</v>
      </c>
      <c r="AE192" s="89">
        <v>0</v>
      </c>
      <c r="AF192" s="89">
        <v>0</v>
      </c>
      <c r="AG192" s="89">
        <v>0</v>
      </c>
      <c r="AH192" s="89">
        <v>0</v>
      </c>
      <c r="AI192" s="89">
        <v>0</v>
      </c>
      <c r="AJ192" s="89">
        <v>0</v>
      </c>
      <c r="AK192" s="89">
        <v>0</v>
      </c>
      <c r="AL192" s="89">
        <v>0.04</v>
      </c>
      <c r="AM192" s="89">
        <v>0</v>
      </c>
      <c r="AN192" s="89">
        <v>0</v>
      </c>
      <c r="AO192" s="89">
        <v>-0.48</v>
      </c>
      <c r="AP192" s="89">
        <v>0.155</v>
      </c>
      <c r="AQ192" s="89">
        <v>0</v>
      </c>
      <c r="AR192" s="89">
        <v>0</v>
      </c>
      <c r="AS192" s="89">
        <v>0</v>
      </c>
      <c r="AT192" s="89">
        <v>0</v>
      </c>
      <c r="AU192" s="89">
        <v>0</v>
      </c>
      <c r="AV192" s="89">
        <v>0</v>
      </c>
      <c r="AW192" s="89">
        <v>0</v>
      </c>
      <c r="AX192" s="89">
        <v>0</v>
      </c>
      <c r="AY192" s="90">
        <v>0</v>
      </c>
      <c r="AZ192" s="90">
        <v>0</v>
      </c>
      <c r="BA192" s="90">
        <v>-0.19500000000000001</v>
      </c>
      <c r="BB192" s="89">
        <v>0</v>
      </c>
      <c r="BC192" s="89">
        <v>-7.0000000000000007E-2</v>
      </c>
      <c r="BD192" s="89">
        <v>5.0000000000000001E-3</v>
      </c>
      <c r="BE192" s="89">
        <v>0.43</v>
      </c>
      <c r="BF192" s="89">
        <v>0</v>
      </c>
      <c r="BG192" s="89">
        <v>-0.06</v>
      </c>
      <c r="BH192" s="89">
        <v>0</v>
      </c>
      <c r="BI192" s="89">
        <v>0</v>
      </c>
      <c r="BJ192" s="62">
        <v>0</v>
      </c>
      <c r="BK192" s="62">
        <v>0.43</v>
      </c>
      <c r="BL192" s="62">
        <v>0</v>
      </c>
      <c r="BM192" s="62">
        <v>0.05</v>
      </c>
      <c r="BN192" s="62">
        <v>0</v>
      </c>
      <c r="BO192" s="62">
        <v>-0.37</v>
      </c>
      <c r="BP192" s="62">
        <v>0</v>
      </c>
      <c r="BQ192" s="62">
        <v>0.5</v>
      </c>
      <c r="BR192" s="62">
        <v>0</v>
      </c>
      <c r="BS192" s="62">
        <v>-7.0000000000000007E-2</v>
      </c>
      <c r="BT192" s="62">
        <v>5.0000000000000001E-3</v>
      </c>
      <c r="BU192" s="62">
        <v>0.3</v>
      </c>
      <c r="BV192" s="62">
        <v>0</v>
      </c>
      <c r="BW192" s="62">
        <v>0</v>
      </c>
      <c r="BX192" s="62">
        <v>0</v>
      </c>
      <c r="BY192" s="62">
        <v>-2.9999990000000002E-3</v>
      </c>
      <c r="BZ192" s="62">
        <v>5.7500000000000002E-2</v>
      </c>
      <c r="CA192" s="62">
        <v>0.125</v>
      </c>
      <c r="CB192" s="62">
        <v>5.0000000000000001E-3</v>
      </c>
      <c r="CC192" s="62">
        <v>-2.9999990000000002E-3</v>
      </c>
      <c r="CD192" s="62">
        <v>3.5000000000000001E-3</v>
      </c>
      <c r="CE192" s="62">
        <v>2.5000000000000001E-3</v>
      </c>
      <c r="CF192" s="62">
        <v>0</v>
      </c>
      <c r="CG192" s="62">
        <v>-2.9999990000000002E-3</v>
      </c>
      <c r="CH192" s="62">
        <v>3.5000000000000001E-3</v>
      </c>
      <c r="CI192" s="62">
        <v>-0.106</v>
      </c>
      <c r="CJ192" s="62">
        <v>2.5000000000000001E-3</v>
      </c>
      <c r="CK192" s="62">
        <v>7.7499999999999999E-2</v>
      </c>
      <c r="CL192" s="62">
        <v>2.5000000000000001E-3</v>
      </c>
      <c r="CM192" s="62">
        <v>-7.1999999999999995E-2</v>
      </c>
      <c r="CN192" s="62">
        <v>7.4999999999999997E-3</v>
      </c>
      <c r="CO192" s="62">
        <v>-1.7000000000000001E-2</v>
      </c>
      <c r="CP192" s="62">
        <v>5.0000000000000001E-3</v>
      </c>
      <c r="CQ192" s="62">
        <v>2.3E-2</v>
      </c>
      <c r="CR192" s="62">
        <v>7.4999999999999997E-3</v>
      </c>
      <c r="CS192" s="62">
        <v>0.33</v>
      </c>
      <c r="CT192" s="62">
        <v>0.02</v>
      </c>
      <c r="CU192" s="62">
        <v>0.05</v>
      </c>
      <c r="CV192" s="62">
        <v>0</v>
      </c>
      <c r="CW192" s="62">
        <v>0.13500000000000001</v>
      </c>
      <c r="CX192" s="62">
        <v>7.4999999999999997E-3</v>
      </c>
      <c r="CY192" s="62">
        <v>-0.18</v>
      </c>
      <c r="CZ192" s="62">
        <v>0</v>
      </c>
      <c r="DA192" s="62">
        <v>0</v>
      </c>
      <c r="DB192" s="62">
        <v>0</v>
      </c>
      <c r="DC192" s="62">
        <v>0.75</v>
      </c>
      <c r="DE192" s="62">
        <v>-4.2000000000000003E-2</v>
      </c>
      <c r="DF192" s="62">
        <v>0.01</v>
      </c>
      <c r="DG192" s="62">
        <v>2.2499999999999999E-2</v>
      </c>
      <c r="DH192" s="62">
        <v>0.01</v>
      </c>
      <c r="DI192" s="62">
        <v>7.4999999999999997E-3</v>
      </c>
      <c r="DJ192" s="62">
        <v>7.4999999999999997E-3</v>
      </c>
      <c r="DK192" s="62">
        <v>-8.1000000000000003E-2</v>
      </c>
      <c r="DL192" s="62">
        <v>5.0000000000000001E-3</v>
      </c>
      <c r="DM192" s="62">
        <v>-4.4999999999999998E-2</v>
      </c>
      <c r="DN192" s="62">
        <v>2.5000000000000001E-3</v>
      </c>
      <c r="DO192" s="62">
        <v>-6.7500000000000004E-2</v>
      </c>
      <c r="DP192" s="62">
        <v>2.5000000000000001E-3</v>
      </c>
      <c r="DQ192" s="62">
        <v>-0.111</v>
      </c>
      <c r="DR192" s="62">
        <v>-5.0000000000000001E-3</v>
      </c>
      <c r="DS192" s="62">
        <v>0.32500000000000001</v>
      </c>
      <c r="DT192" s="62">
        <v>5.0000000000000001E-3</v>
      </c>
      <c r="DU192" s="62">
        <v>0</v>
      </c>
      <c r="DV192" s="62">
        <v>0</v>
      </c>
    </row>
    <row r="193" spans="4:126" x14ac:dyDescent="0.25">
      <c r="D193" s="91">
        <v>42522</v>
      </c>
      <c r="F193" s="89">
        <v>4.2095000000000002</v>
      </c>
      <c r="G193" s="90">
        <v>6.4095278863757904E-2</v>
      </c>
      <c r="H193" s="89">
        <v>0.17</v>
      </c>
      <c r="I193" s="89">
        <v>0.45</v>
      </c>
      <c r="J193" s="89">
        <v>0.5</v>
      </c>
      <c r="K193" s="89">
        <v>0.4</v>
      </c>
      <c r="L193" s="87">
        <v>0.5</v>
      </c>
      <c r="M193" s="87">
        <v>0.45</v>
      </c>
      <c r="N193" s="89">
        <v>0.5</v>
      </c>
      <c r="O193" s="89">
        <v>0.5</v>
      </c>
      <c r="P193" s="89">
        <v>0.5</v>
      </c>
      <c r="Q193" s="89">
        <v>0.5</v>
      </c>
      <c r="R193" s="90">
        <v>0.45</v>
      </c>
      <c r="S193" s="90">
        <v>0.5</v>
      </c>
      <c r="T193" s="89">
        <v>0.45</v>
      </c>
      <c r="U193" s="89">
        <v>0.5</v>
      </c>
      <c r="V193" s="89">
        <v>0.6</v>
      </c>
      <c r="W193" s="89">
        <v>0</v>
      </c>
      <c r="X193" s="89">
        <v>0</v>
      </c>
      <c r="Y193" s="89">
        <v>0</v>
      </c>
      <c r="Z193" s="89">
        <v>5.0000000000000001E-3</v>
      </c>
      <c r="AA193" s="89">
        <v>0</v>
      </c>
      <c r="AB193" s="89">
        <v>0</v>
      </c>
      <c r="AC193" s="89">
        <v>0</v>
      </c>
      <c r="AD193" s="89">
        <v>0</v>
      </c>
      <c r="AE193" s="89">
        <v>0</v>
      </c>
      <c r="AF193" s="89">
        <v>0</v>
      </c>
      <c r="AG193" s="89">
        <v>0</v>
      </c>
      <c r="AH193" s="89">
        <v>0</v>
      </c>
      <c r="AI193" s="89">
        <v>0</v>
      </c>
      <c r="AJ193" s="89">
        <v>0</v>
      </c>
      <c r="AK193" s="89">
        <v>0</v>
      </c>
      <c r="AL193" s="89">
        <v>0.04</v>
      </c>
      <c r="AM193" s="89">
        <v>0</v>
      </c>
      <c r="AN193" s="89">
        <v>0</v>
      </c>
      <c r="AO193" s="89">
        <v>0</v>
      </c>
      <c r="AP193" s="89">
        <v>0.155</v>
      </c>
      <c r="AQ193" s="89">
        <v>0</v>
      </c>
      <c r="AR193" s="89">
        <v>0</v>
      </c>
      <c r="AS193" s="89">
        <v>0</v>
      </c>
      <c r="AT193" s="89">
        <v>0</v>
      </c>
      <c r="AU193" s="89">
        <v>0</v>
      </c>
      <c r="AV193" s="89">
        <v>0</v>
      </c>
      <c r="AW193" s="89">
        <v>0</v>
      </c>
      <c r="AX193" s="89">
        <v>0</v>
      </c>
      <c r="AY193" s="90">
        <v>0</v>
      </c>
      <c r="AZ193" s="90">
        <v>0</v>
      </c>
      <c r="BA193" s="90">
        <v>-0.19500000000000001</v>
      </c>
      <c r="BB193" s="89">
        <v>0</v>
      </c>
      <c r="BC193" s="89">
        <v>-7.0000000000000007E-2</v>
      </c>
      <c r="BD193" s="89">
        <v>5.0000000000000001E-3</v>
      </c>
      <c r="BE193" s="89">
        <v>0.43</v>
      </c>
      <c r="BF193" s="89">
        <v>0</v>
      </c>
      <c r="BG193" s="89">
        <v>-0.06</v>
      </c>
      <c r="BH193" s="89">
        <v>0</v>
      </c>
      <c r="BI193" s="89">
        <v>0</v>
      </c>
      <c r="BJ193" s="62">
        <v>0</v>
      </c>
      <c r="BK193" s="62">
        <v>0.43</v>
      </c>
      <c r="BL193" s="62">
        <v>0</v>
      </c>
      <c r="BM193" s="62">
        <v>0.05</v>
      </c>
      <c r="BN193" s="62">
        <v>0</v>
      </c>
      <c r="BO193" s="62">
        <v>-0.37</v>
      </c>
      <c r="BP193" s="62">
        <v>0</v>
      </c>
      <c r="BQ193" s="62">
        <v>0.5</v>
      </c>
      <c r="BR193" s="62">
        <v>0</v>
      </c>
      <c r="BS193" s="62">
        <v>-7.0000000000000007E-2</v>
      </c>
      <c r="BT193" s="62">
        <v>5.0000000000000001E-3</v>
      </c>
      <c r="BU193" s="62">
        <v>0.3</v>
      </c>
      <c r="BV193" s="62">
        <v>0</v>
      </c>
      <c r="BW193" s="62">
        <v>0</v>
      </c>
      <c r="BX193" s="62">
        <v>0</v>
      </c>
      <c r="BY193" s="62">
        <v>-2.9999990000000002E-3</v>
      </c>
      <c r="BZ193" s="62">
        <v>5.7500000000000002E-2</v>
      </c>
      <c r="CA193" s="62">
        <v>0.14499999999999999</v>
      </c>
      <c r="CB193" s="62">
        <v>5.0000000000000001E-3</v>
      </c>
      <c r="CC193" s="62">
        <v>-2.9999990000000002E-3</v>
      </c>
      <c r="CD193" s="62">
        <v>3.5000000000000001E-3</v>
      </c>
      <c r="CE193" s="62">
        <v>2.5000000000000001E-3</v>
      </c>
      <c r="CF193" s="62">
        <v>0</v>
      </c>
      <c r="CG193" s="62">
        <v>-2.9999990000000002E-3</v>
      </c>
      <c r="CH193" s="62">
        <v>3.5000000000000001E-3</v>
      </c>
      <c r="CI193" s="62">
        <v>-6.3500000000000001E-2</v>
      </c>
      <c r="CJ193" s="62">
        <v>2.5000000000000001E-3</v>
      </c>
      <c r="CK193" s="62">
        <v>7.7499999999999999E-2</v>
      </c>
      <c r="CL193" s="62">
        <v>2.5000000000000001E-3</v>
      </c>
      <c r="CM193" s="62">
        <v>-7.1999999999999995E-2</v>
      </c>
      <c r="CN193" s="62">
        <v>7.4999999999999997E-3</v>
      </c>
      <c r="CO193" s="62">
        <v>-1.7000000000000001E-2</v>
      </c>
      <c r="CP193" s="62">
        <v>5.0000000000000001E-3</v>
      </c>
      <c r="CQ193" s="62">
        <v>2.3E-2</v>
      </c>
      <c r="CR193" s="62">
        <v>7.4999999999999997E-3</v>
      </c>
      <c r="CS193" s="62">
        <v>0.37</v>
      </c>
      <c r="CT193" s="62">
        <v>3.5000000000000003E-2</v>
      </c>
      <c r="CU193" s="62">
        <v>0.05</v>
      </c>
      <c r="CV193" s="62">
        <v>0</v>
      </c>
      <c r="CW193" s="62">
        <v>0.16500000000000001</v>
      </c>
      <c r="CX193" s="62">
        <v>7.4999999999999997E-3</v>
      </c>
      <c r="CY193" s="62">
        <v>-0.18</v>
      </c>
      <c r="CZ193" s="62">
        <v>0</v>
      </c>
      <c r="DA193" s="62">
        <v>0</v>
      </c>
      <c r="DB193" s="62">
        <v>0</v>
      </c>
      <c r="DC193" s="62">
        <v>0.85</v>
      </c>
      <c r="DE193" s="62">
        <v>-3.95E-2</v>
      </c>
      <c r="DF193" s="62">
        <v>0.01</v>
      </c>
      <c r="DG193" s="62">
        <v>2.2499999999999999E-2</v>
      </c>
      <c r="DH193" s="62">
        <v>0.01</v>
      </c>
      <c r="DI193" s="62">
        <v>7.4999999999999997E-3</v>
      </c>
      <c r="DJ193" s="62">
        <v>7.4999999999999997E-3</v>
      </c>
      <c r="DK193" s="62">
        <v>-2.8500000000000001E-2</v>
      </c>
      <c r="DL193" s="62">
        <v>5.0000000000000001E-3</v>
      </c>
      <c r="DM193" s="62">
        <v>-4.4999999999999998E-2</v>
      </c>
      <c r="DN193" s="62">
        <v>2.5000000000000001E-3</v>
      </c>
      <c r="DO193" s="62">
        <v>-6.7500000000000004E-2</v>
      </c>
      <c r="DP193" s="62">
        <v>2.5000000000000001E-3</v>
      </c>
      <c r="DQ193" s="62">
        <v>-5.8500000000000003E-2</v>
      </c>
      <c r="DR193" s="62">
        <v>-5.0000000000000001E-3</v>
      </c>
      <c r="DS193" s="62">
        <v>0.33500000000000002</v>
      </c>
      <c r="DT193" s="62">
        <v>5.0000000000000001E-3</v>
      </c>
      <c r="DU193" s="62">
        <v>0</v>
      </c>
      <c r="DV193" s="62">
        <v>0</v>
      </c>
    </row>
    <row r="194" spans="4:126" x14ac:dyDescent="0.25">
      <c r="D194" s="91">
        <v>42552</v>
      </c>
      <c r="F194" s="89">
        <v>4.2495000000000003</v>
      </c>
      <c r="G194" s="90">
        <v>6.4134515101734693E-2</v>
      </c>
      <c r="H194" s="89">
        <v>0.17</v>
      </c>
      <c r="I194" s="89">
        <v>0.5</v>
      </c>
      <c r="J194" s="89">
        <v>0.5</v>
      </c>
      <c r="K194" s="89">
        <v>0.4</v>
      </c>
      <c r="L194" s="87">
        <v>0.5</v>
      </c>
      <c r="M194" s="87">
        <v>0.5</v>
      </c>
      <c r="N194" s="89">
        <v>0.5</v>
      </c>
      <c r="O194" s="89">
        <v>0.5</v>
      </c>
      <c r="P194" s="89">
        <v>0.5</v>
      </c>
      <c r="Q194" s="89">
        <v>0.5</v>
      </c>
      <c r="R194" s="90">
        <v>0.5</v>
      </c>
      <c r="S194" s="90">
        <v>0.55000000000000004</v>
      </c>
      <c r="T194" s="89">
        <v>0.5</v>
      </c>
      <c r="U194" s="89">
        <v>0.5</v>
      </c>
      <c r="V194" s="89">
        <v>0.6</v>
      </c>
      <c r="W194" s="89">
        <v>0</v>
      </c>
      <c r="X194" s="89">
        <v>0</v>
      </c>
      <c r="Y194" s="89">
        <v>0</v>
      </c>
      <c r="Z194" s="89">
        <v>0</v>
      </c>
      <c r="AA194" s="89">
        <v>0</v>
      </c>
      <c r="AB194" s="89">
        <v>0</v>
      </c>
      <c r="AC194" s="89">
        <v>0</v>
      </c>
      <c r="AD194" s="89">
        <v>0</v>
      </c>
      <c r="AE194" s="89">
        <v>0</v>
      </c>
      <c r="AF194" s="89">
        <v>0</v>
      </c>
      <c r="AG194" s="89">
        <v>0</v>
      </c>
      <c r="AH194" s="89">
        <v>0</v>
      </c>
      <c r="AI194" s="89">
        <v>0</v>
      </c>
      <c r="AJ194" s="89">
        <v>0</v>
      </c>
      <c r="AK194" s="89">
        <v>0</v>
      </c>
      <c r="AL194" s="89">
        <v>3.5000000000000003E-2</v>
      </c>
      <c r="AM194" s="89">
        <v>0</v>
      </c>
      <c r="AN194" s="89">
        <v>0</v>
      </c>
      <c r="AO194" s="89">
        <v>0</v>
      </c>
      <c r="AP194" s="89">
        <v>0.155</v>
      </c>
      <c r="AQ194" s="89">
        <v>0</v>
      </c>
      <c r="AR194" s="89">
        <v>0</v>
      </c>
      <c r="AS194" s="89">
        <v>0</v>
      </c>
      <c r="AT194" s="89">
        <v>0</v>
      </c>
      <c r="AU194" s="89">
        <v>0</v>
      </c>
      <c r="AV194" s="89">
        <v>0</v>
      </c>
      <c r="AW194" s="89">
        <v>0</v>
      </c>
      <c r="AX194" s="89">
        <v>0</v>
      </c>
      <c r="AY194" s="90">
        <v>0</v>
      </c>
      <c r="AZ194" s="90">
        <v>0</v>
      </c>
      <c r="BA194" s="90">
        <v>-0.19500000000000001</v>
      </c>
      <c r="BB194" s="89">
        <v>0</v>
      </c>
      <c r="BC194" s="89">
        <v>-7.0000000000000007E-2</v>
      </c>
      <c r="BD194" s="89">
        <v>5.0000000000000001E-3</v>
      </c>
      <c r="BE194" s="89">
        <v>0.43</v>
      </c>
      <c r="BF194" s="89">
        <v>0</v>
      </c>
      <c r="BG194" s="89">
        <v>-0.06</v>
      </c>
      <c r="BH194" s="89">
        <v>0</v>
      </c>
      <c r="BI194" s="89">
        <v>0</v>
      </c>
      <c r="BJ194" s="62">
        <v>0</v>
      </c>
      <c r="BK194" s="62">
        <v>0.43</v>
      </c>
      <c r="BL194" s="62">
        <v>0</v>
      </c>
      <c r="BM194" s="62">
        <v>0.05</v>
      </c>
      <c r="BN194" s="62">
        <v>0</v>
      </c>
      <c r="BO194" s="62">
        <v>-0.37</v>
      </c>
      <c r="BP194" s="62">
        <v>0</v>
      </c>
      <c r="BQ194" s="62">
        <v>0.5</v>
      </c>
      <c r="BR194" s="62">
        <v>0</v>
      </c>
      <c r="BS194" s="62">
        <v>-7.0000000000000007E-2</v>
      </c>
      <c r="BT194" s="62">
        <v>5.0000000000000001E-3</v>
      </c>
      <c r="BU194" s="62">
        <v>0.3</v>
      </c>
      <c r="BV194" s="62">
        <v>0</v>
      </c>
      <c r="BW194" s="62">
        <v>0</v>
      </c>
      <c r="BX194" s="62">
        <v>0</v>
      </c>
      <c r="BY194" s="62">
        <v>-2.9999990000000002E-3</v>
      </c>
      <c r="BZ194" s="62">
        <v>5.7500000000000002E-2</v>
      </c>
      <c r="CA194" s="62">
        <v>0.15</v>
      </c>
      <c r="CB194" s="62">
        <v>5.0000000000000001E-3</v>
      </c>
      <c r="CC194" s="62">
        <v>-2.9999990000000002E-3</v>
      </c>
      <c r="CD194" s="62">
        <v>3.5000000000000001E-3</v>
      </c>
      <c r="CE194" s="62">
        <v>2.5000000000000001E-3</v>
      </c>
      <c r="CF194" s="62">
        <v>0</v>
      </c>
      <c r="CG194" s="62">
        <v>-2.9999990000000002E-3</v>
      </c>
      <c r="CH194" s="62">
        <v>3.5000000000000001E-3</v>
      </c>
      <c r="CI194" s="62">
        <v>-6.0999999999999999E-2</v>
      </c>
      <c r="CJ194" s="62">
        <v>2.5000000000000001E-3</v>
      </c>
      <c r="CK194" s="62">
        <v>7.7499999999999999E-2</v>
      </c>
      <c r="CL194" s="62">
        <v>2.5000000000000001E-3</v>
      </c>
      <c r="CM194" s="62">
        <v>-7.1999999999999995E-2</v>
      </c>
      <c r="CN194" s="62">
        <v>7.4999999999999997E-3</v>
      </c>
      <c r="CO194" s="62">
        <v>-1.7000000000000001E-2</v>
      </c>
      <c r="CP194" s="62">
        <v>5.0000000000000001E-3</v>
      </c>
      <c r="CQ194" s="62">
        <v>2.3E-2</v>
      </c>
      <c r="CR194" s="62">
        <v>7.4999999999999997E-3</v>
      </c>
      <c r="CS194" s="62">
        <v>0.41</v>
      </c>
      <c r="CT194" s="62">
        <v>3.5000000000000003E-2</v>
      </c>
      <c r="CU194" s="62">
        <v>0.05</v>
      </c>
      <c r="CV194" s="62">
        <v>0</v>
      </c>
      <c r="CW194" s="62">
        <v>0.20499999999999999</v>
      </c>
      <c r="CX194" s="62">
        <v>7.4999999999999997E-3</v>
      </c>
      <c r="CY194" s="62">
        <v>-0.18</v>
      </c>
      <c r="CZ194" s="62">
        <v>0</v>
      </c>
      <c r="DA194" s="62">
        <v>0</v>
      </c>
      <c r="DB194" s="62">
        <v>0</v>
      </c>
      <c r="DC194" s="62">
        <v>1.05</v>
      </c>
      <c r="DE194" s="62">
        <v>-3.95E-2</v>
      </c>
      <c r="DF194" s="62">
        <v>0.01</v>
      </c>
      <c r="DG194" s="62">
        <v>2.2499999999999999E-2</v>
      </c>
      <c r="DH194" s="62">
        <v>0.01</v>
      </c>
      <c r="DI194" s="62">
        <v>7.4999999999999997E-3</v>
      </c>
      <c r="DJ194" s="62">
        <v>7.4999999999999997E-3</v>
      </c>
      <c r="DK194" s="62">
        <v>-3.85E-2</v>
      </c>
      <c r="DL194" s="62">
        <v>5.0000000000000001E-3</v>
      </c>
      <c r="DM194" s="62">
        <v>-4.4999999999999998E-2</v>
      </c>
      <c r="DN194" s="62">
        <v>2.5000000000000001E-3</v>
      </c>
      <c r="DO194" s="62">
        <v>-6.7500000000000004E-2</v>
      </c>
      <c r="DP194" s="62">
        <v>2.5000000000000001E-3</v>
      </c>
      <c r="DQ194" s="62">
        <v>-6.8500000000000005E-2</v>
      </c>
      <c r="DR194" s="62">
        <v>-5.0000000000000001E-3</v>
      </c>
      <c r="DS194" s="62">
        <v>0.35</v>
      </c>
      <c r="DT194" s="62">
        <v>5.0000000000000001E-3</v>
      </c>
      <c r="DU194" s="62">
        <v>0</v>
      </c>
      <c r="DV194" s="62">
        <v>0</v>
      </c>
    </row>
    <row r="195" spans="4:126" x14ac:dyDescent="0.25">
      <c r="D195" s="91">
        <v>42583</v>
      </c>
      <c r="F195" s="89">
        <v>4.2895000000000003</v>
      </c>
      <c r="G195" s="90">
        <v>6.4175059214845995E-2</v>
      </c>
      <c r="H195" s="89">
        <v>0.17</v>
      </c>
      <c r="I195" s="89">
        <v>0.55000000000000004</v>
      </c>
      <c r="J195" s="89">
        <v>0.55000000000000004</v>
      </c>
      <c r="K195" s="89">
        <v>0.5</v>
      </c>
      <c r="L195" s="87">
        <v>0.6</v>
      </c>
      <c r="M195" s="87">
        <v>0.55000000000000004</v>
      </c>
      <c r="N195" s="89">
        <v>0.6</v>
      </c>
      <c r="O195" s="89">
        <v>0.55000000000000004</v>
      </c>
      <c r="P195" s="89">
        <v>0.6</v>
      </c>
      <c r="Q195" s="89">
        <v>0.45</v>
      </c>
      <c r="R195" s="90">
        <v>0.55000000000000004</v>
      </c>
      <c r="S195" s="90">
        <v>0.6</v>
      </c>
      <c r="T195" s="89">
        <v>0.55000000000000004</v>
      </c>
      <c r="U195" s="89">
        <v>0.6</v>
      </c>
      <c r="V195" s="89">
        <v>0.7</v>
      </c>
      <c r="W195" s="89">
        <v>0</v>
      </c>
      <c r="X195" s="89">
        <v>0</v>
      </c>
      <c r="Y195" s="89">
        <v>0</v>
      </c>
      <c r="Z195" s="89">
        <v>0</v>
      </c>
      <c r="AA195" s="89">
        <v>0</v>
      </c>
      <c r="AB195" s="89">
        <v>0</v>
      </c>
      <c r="AC195" s="89">
        <v>0</v>
      </c>
      <c r="AD195" s="89">
        <v>0</v>
      </c>
      <c r="AE195" s="89">
        <v>0</v>
      </c>
      <c r="AF195" s="89">
        <v>0</v>
      </c>
      <c r="AG195" s="89">
        <v>0</v>
      </c>
      <c r="AH195" s="89">
        <v>0</v>
      </c>
      <c r="AI195" s="89">
        <v>0</v>
      </c>
      <c r="AJ195" s="89">
        <v>0</v>
      </c>
      <c r="AK195" s="89">
        <v>0</v>
      </c>
      <c r="AL195" s="89">
        <v>3.5000000000000003E-2</v>
      </c>
      <c r="AM195" s="89">
        <v>0</v>
      </c>
      <c r="AN195" s="89">
        <v>0</v>
      </c>
      <c r="AO195" s="89">
        <v>0</v>
      </c>
      <c r="AP195" s="89">
        <v>0</v>
      </c>
      <c r="AQ195" s="89">
        <v>0</v>
      </c>
      <c r="AR195" s="89">
        <v>0</v>
      </c>
      <c r="AS195" s="89">
        <v>0</v>
      </c>
      <c r="AT195" s="89">
        <v>0</v>
      </c>
      <c r="AU195" s="89">
        <v>0</v>
      </c>
      <c r="AV195" s="89">
        <v>0</v>
      </c>
      <c r="AW195" s="89">
        <v>0</v>
      </c>
      <c r="AX195" s="89">
        <v>0</v>
      </c>
      <c r="AY195" s="90">
        <v>0</v>
      </c>
      <c r="AZ195" s="90">
        <v>0</v>
      </c>
      <c r="BA195" s="90">
        <v>-0.19500000000000001</v>
      </c>
      <c r="BB195" s="89">
        <v>0</v>
      </c>
      <c r="BC195" s="89">
        <v>-7.0000000000000007E-2</v>
      </c>
      <c r="BD195" s="89">
        <v>5.0000000000000001E-3</v>
      </c>
      <c r="BE195" s="89">
        <v>0.43</v>
      </c>
      <c r="BF195" s="89">
        <v>0</v>
      </c>
      <c r="BG195" s="89">
        <v>-0.06</v>
      </c>
      <c r="BH195" s="89">
        <v>0</v>
      </c>
      <c r="BI195" s="89">
        <v>0</v>
      </c>
      <c r="BJ195" s="62">
        <v>0</v>
      </c>
      <c r="BK195" s="62">
        <v>0.43</v>
      </c>
      <c r="BL195" s="62">
        <v>0</v>
      </c>
      <c r="BM195" s="62">
        <v>0.05</v>
      </c>
      <c r="BN195" s="62">
        <v>0</v>
      </c>
      <c r="BO195" s="62">
        <v>-0.37</v>
      </c>
      <c r="BP195" s="62">
        <v>0</v>
      </c>
      <c r="BQ195" s="62">
        <v>0.5</v>
      </c>
      <c r="BR195" s="62">
        <v>0</v>
      </c>
      <c r="BS195" s="62">
        <v>-7.0000000000000007E-2</v>
      </c>
      <c r="BT195" s="62">
        <v>5.0000000000000001E-3</v>
      </c>
      <c r="BU195" s="62">
        <v>0.3</v>
      </c>
      <c r="BV195" s="62">
        <v>0</v>
      </c>
      <c r="BW195" s="62">
        <v>0</v>
      </c>
      <c r="BX195" s="62">
        <v>0</v>
      </c>
      <c r="BY195" s="62">
        <v>-2.9999990000000002E-3</v>
      </c>
      <c r="BZ195" s="62">
        <v>5.7500000000000002E-2</v>
      </c>
      <c r="CA195" s="62">
        <v>0.15</v>
      </c>
      <c r="CB195" s="62">
        <v>5.0000000000000001E-3</v>
      </c>
      <c r="CC195" s="62">
        <v>-2.9999990000000002E-3</v>
      </c>
      <c r="CD195" s="62">
        <v>3.5000000000000001E-3</v>
      </c>
      <c r="CE195" s="62">
        <v>2.5000000000000001E-3</v>
      </c>
      <c r="CF195" s="62">
        <v>0</v>
      </c>
      <c r="CG195" s="62">
        <v>-2.9999990000000002E-3</v>
      </c>
      <c r="CH195" s="62">
        <v>3.5000000000000001E-3</v>
      </c>
      <c r="CI195" s="62">
        <v>-5.8500000000000003E-2</v>
      </c>
      <c r="CJ195" s="62">
        <v>2.5000000000000001E-3</v>
      </c>
      <c r="CK195" s="62">
        <v>7.7499999999999999E-2</v>
      </c>
      <c r="CL195" s="62">
        <v>2.5000000000000001E-3</v>
      </c>
      <c r="CM195" s="62">
        <v>-7.1999999999999995E-2</v>
      </c>
      <c r="CN195" s="62">
        <v>7.4999999999999997E-3</v>
      </c>
      <c r="CO195" s="62">
        <v>-1.7000000000000001E-2</v>
      </c>
      <c r="CP195" s="62">
        <v>5.0000000000000001E-3</v>
      </c>
      <c r="CQ195" s="62">
        <v>2.3E-2</v>
      </c>
      <c r="CR195" s="62">
        <v>7.4999999999999997E-3</v>
      </c>
      <c r="CS195" s="62">
        <v>0.41</v>
      </c>
      <c r="CT195" s="62">
        <v>0.01</v>
      </c>
      <c r="CU195" s="62">
        <v>0.05</v>
      </c>
      <c r="CV195" s="62">
        <v>0</v>
      </c>
      <c r="CW195" s="62">
        <v>0.20499999999999999</v>
      </c>
      <c r="CX195" s="62">
        <v>7.4999999999999997E-3</v>
      </c>
      <c r="CY195" s="62">
        <v>-0.18</v>
      </c>
      <c r="CZ195" s="62">
        <v>0</v>
      </c>
      <c r="DA195" s="62">
        <v>0</v>
      </c>
      <c r="DB195" s="62">
        <v>0</v>
      </c>
      <c r="DC195" s="62">
        <v>1.05</v>
      </c>
      <c r="DE195" s="62">
        <v>-3.95E-2</v>
      </c>
      <c r="DF195" s="62">
        <v>0.01</v>
      </c>
      <c r="DG195" s="62">
        <v>1.7500000000000002E-2</v>
      </c>
      <c r="DH195" s="62">
        <v>0.01</v>
      </c>
      <c r="DI195" s="62">
        <v>2.5000000000000001E-3</v>
      </c>
      <c r="DJ195" s="62">
        <v>7.4999999999999997E-3</v>
      </c>
      <c r="DK195" s="62">
        <v>-3.3500000000000002E-2</v>
      </c>
      <c r="DL195" s="62">
        <v>5.0000000000000001E-3</v>
      </c>
      <c r="DM195" s="62">
        <v>-4.4999999999999998E-2</v>
      </c>
      <c r="DN195" s="62">
        <v>2.5000000000000001E-3</v>
      </c>
      <c r="DO195" s="62">
        <v>-6.7500000000000004E-2</v>
      </c>
      <c r="DP195" s="62">
        <v>2.5000000000000001E-3</v>
      </c>
      <c r="DQ195" s="62">
        <v>-6.3500000000000001E-2</v>
      </c>
      <c r="DR195" s="62">
        <v>-5.0000000000000001E-3</v>
      </c>
      <c r="DS195" s="62">
        <v>0.35</v>
      </c>
      <c r="DT195" s="62">
        <v>-5.0000000000000001E-3</v>
      </c>
      <c r="DU195" s="62">
        <v>0</v>
      </c>
      <c r="DV195" s="62">
        <v>0</v>
      </c>
    </row>
    <row r="196" spans="4:126" x14ac:dyDescent="0.25">
      <c r="D196" s="91">
        <v>42614</v>
      </c>
      <c r="F196" s="89">
        <v>4.2845000000000004</v>
      </c>
      <c r="G196" s="90">
        <v>6.4215603328503096E-2</v>
      </c>
      <c r="H196" s="89">
        <v>0.17</v>
      </c>
      <c r="I196" s="89">
        <v>0.55000000000000004</v>
      </c>
      <c r="J196" s="89">
        <v>0.55000000000000004</v>
      </c>
      <c r="K196" s="89">
        <v>0.55000000000000004</v>
      </c>
      <c r="L196" s="87">
        <v>0.55000000000000004</v>
      </c>
      <c r="M196" s="87">
        <v>0.55000000000000004</v>
      </c>
      <c r="N196" s="89">
        <v>0.6</v>
      </c>
      <c r="O196" s="89">
        <v>0.6</v>
      </c>
      <c r="P196" s="89">
        <v>0.55000000000000004</v>
      </c>
      <c r="Q196" s="89">
        <v>0.5</v>
      </c>
      <c r="R196" s="90">
        <v>0.55000000000000004</v>
      </c>
      <c r="S196" s="90">
        <v>0.6</v>
      </c>
      <c r="T196" s="89">
        <v>0.55000000000000004</v>
      </c>
      <c r="U196" s="89">
        <v>0.6</v>
      </c>
      <c r="V196" s="89">
        <v>0.65</v>
      </c>
      <c r="W196" s="89">
        <v>0</v>
      </c>
      <c r="X196" s="89">
        <v>0</v>
      </c>
      <c r="Y196" s="89">
        <v>0</v>
      </c>
      <c r="Z196" s="89">
        <v>0</v>
      </c>
      <c r="AA196" s="89">
        <v>0</v>
      </c>
      <c r="AB196" s="89">
        <v>0</v>
      </c>
      <c r="AC196" s="89">
        <v>0</v>
      </c>
      <c r="AD196" s="89">
        <v>0</v>
      </c>
      <c r="AE196" s="89">
        <v>0</v>
      </c>
      <c r="AF196" s="89">
        <v>0</v>
      </c>
      <c r="AG196" s="89">
        <v>0</v>
      </c>
      <c r="AH196" s="89">
        <v>0</v>
      </c>
      <c r="AI196" s="89">
        <v>0</v>
      </c>
      <c r="AJ196" s="89">
        <v>0</v>
      </c>
      <c r="AK196" s="89">
        <v>0</v>
      </c>
      <c r="AL196" s="89">
        <v>3.5000000000000003E-2</v>
      </c>
      <c r="AM196" s="89">
        <v>0</v>
      </c>
      <c r="AN196" s="89">
        <v>0</v>
      </c>
      <c r="AO196" s="89">
        <v>0</v>
      </c>
      <c r="AP196" s="89">
        <v>0</v>
      </c>
      <c r="AQ196" s="89">
        <v>0</v>
      </c>
      <c r="AR196" s="89">
        <v>0</v>
      </c>
      <c r="AS196" s="89">
        <v>0</v>
      </c>
      <c r="AT196" s="89">
        <v>0</v>
      </c>
      <c r="AU196" s="89">
        <v>0</v>
      </c>
      <c r="AV196" s="89">
        <v>0</v>
      </c>
      <c r="AW196" s="89">
        <v>0</v>
      </c>
      <c r="AX196" s="89">
        <v>0</v>
      </c>
      <c r="AY196" s="90">
        <v>0</v>
      </c>
      <c r="AZ196" s="90">
        <v>0</v>
      </c>
      <c r="BA196" s="90">
        <v>-0.19500000000000001</v>
      </c>
      <c r="BB196" s="89">
        <v>0</v>
      </c>
      <c r="BC196" s="89">
        <v>-7.0000000000000007E-2</v>
      </c>
      <c r="BD196" s="89">
        <v>5.0000000000000001E-3</v>
      </c>
      <c r="BE196" s="89">
        <v>0.43</v>
      </c>
      <c r="BF196" s="89">
        <v>0</v>
      </c>
      <c r="BG196" s="89">
        <v>-0.06</v>
      </c>
      <c r="BH196" s="89">
        <v>0</v>
      </c>
      <c r="BI196" s="89">
        <v>0</v>
      </c>
      <c r="BJ196" s="62">
        <v>0</v>
      </c>
      <c r="BK196" s="62">
        <v>0.43</v>
      </c>
      <c r="BL196" s="62">
        <v>0</v>
      </c>
      <c r="BM196" s="62">
        <v>0.05</v>
      </c>
      <c r="BN196" s="62">
        <v>0</v>
      </c>
      <c r="BO196" s="62">
        <v>-0.37</v>
      </c>
      <c r="BP196" s="62">
        <v>0</v>
      </c>
      <c r="BQ196" s="62">
        <v>0.5</v>
      </c>
      <c r="BR196" s="62">
        <v>0</v>
      </c>
      <c r="BS196" s="62">
        <v>-7.0000000000000007E-2</v>
      </c>
      <c r="BT196" s="62">
        <v>5.0000000000000001E-3</v>
      </c>
      <c r="BU196" s="62">
        <v>0.3</v>
      </c>
      <c r="BV196" s="62">
        <v>0</v>
      </c>
      <c r="BW196" s="62">
        <v>0</v>
      </c>
      <c r="BX196" s="62">
        <v>0</v>
      </c>
      <c r="BY196" s="62">
        <v>-2.9999990000000002E-3</v>
      </c>
      <c r="BZ196" s="62">
        <v>5.7500000000000002E-2</v>
      </c>
      <c r="CA196" s="62">
        <v>0.125</v>
      </c>
      <c r="CB196" s="62">
        <v>5.0000000000000001E-3</v>
      </c>
      <c r="CC196" s="62">
        <v>-2.9999990000000002E-3</v>
      </c>
      <c r="CD196" s="62">
        <v>3.5000000000000001E-3</v>
      </c>
      <c r="CE196" s="62">
        <v>2.5000000000000001E-3</v>
      </c>
      <c r="CF196" s="62">
        <v>0</v>
      </c>
      <c r="CG196" s="62">
        <v>-2.9999990000000002E-3</v>
      </c>
      <c r="CH196" s="62">
        <v>3.5000000000000001E-3</v>
      </c>
      <c r="CI196" s="62">
        <v>-6.3500000000000001E-2</v>
      </c>
      <c r="CJ196" s="62">
        <v>2.5000000000000001E-3</v>
      </c>
      <c r="CK196" s="62">
        <v>7.7499999999999999E-2</v>
      </c>
      <c r="CL196" s="62">
        <v>2.5000000000000001E-3</v>
      </c>
      <c r="CM196" s="62">
        <v>-7.1999999999999995E-2</v>
      </c>
      <c r="CN196" s="62">
        <v>7.4999999999999997E-3</v>
      </c>
      <c r="CO196" s="62">
        <v>-1.7000000000000001E-2</v>
      </c>
      <c r="CP196" s="62">
        <v>5.0000000000000001E-3</v>
      </c>
      <c r="CQ196" s="62">
        <v>2.3E-2</v>
      </c>
      <c r="CR196" s="62">
        <v>7.4999999999999997E-3</v>
      </c>
      <c r="CS196" s="62">
        <v>0.36</v>
      </c>
      <c r="CT196" s="62">
        <v>0.01</v>
      </c>
      <c r="CU196" s="62">
        <v>0.05</v>
      </c>
      <c r="CV196" s="62">
        <v>0</v>
      </c>
      <c r="CW196" s="62">
        <v>0.14499999999999999</v>
      </c>
      <c r="CX196" s="62">
        <v>7.4999999999999997E-3</v>
      </c>
      <c r="CY196" s="62">
        <v>-0.18</v>
      </c>
      <c r="CZ196" s="62">
        <v>0</v>
      </c>
      <c r="DA196" s="62">
        <v>0</v>
      </c>
      <c r="DB196" s="62">
        <v>0</v>
      </c>
      <c r="DC196" s="62">
        <v>0.75</v>
      </c>
      <c r="DE196" s="62">
        <v>-4.4499999999999998E-2</v>
      </c>
      <c r="DF196" s="62">
        <v>0.01</v>
      </c>
      <c r="DG196" s="62">
        <v>1.7500000000000002E-2</v>
      </c>
      <c r="DH196" s="62">
        <v>0.01</v>
      </c>
      <c r="DI196" s="62">
        <v>2.5000000000000001E-3</v>
      </c>
      <c r="DJ196" s="62">
        <v>7.4999999999999997E-3</v>
      </c>
      <c r="DK196" s="62">
        <v>-4.3499999999999997E-2</v>
      </c>
      <c r="DL196" s="62">
        <v>5.0000000000000001E-3</v>
      </c>
      <c r="DM196" s="62">
        <v>-4.4999999999999998E-2</v>
      </c>
      <c r="DN196" s="62">
        <v>2.5000000000000001E-3</v>
      </c>
      <c r="DO196" s="62">
        <v>-6.7500000000000004E-2</v>
      </c>
      <c r="DP196" s="62">
        <v>2.5000000000000001E-3</v>
      </c>
      <c r="DQ196" s="62">
        <v>-7.3499999999999996E-2</v>
      </c>
      <c r="DR196" s="62">
        <v>-5.0000000000000001E-3</v>
      </c>
      <c r="DS196" s="62">
        <v>0.315</v>
      </c>
      <c r="DT196" s="62">
        <v>-5.0000000000000001E-3</v>
      </c>
      <c r="DU196" s="62">
        <v>0</v>
      </c>
      <c r="DV196" s="62">
        <v>0</v>
      </c>
    </row>
    <row r="197" spans="4:126" x14ac:dyDescent="0.25">
      <c r="D197" s="91">
        <v>42644</v>
      </c>
      <c r="F197" s="89">
        <v>4.3094999999999999</v>
      </c>
      <c r="G197" s="90">
        <v>6.4254839568045299E-2</v>
      </c>
      <c r="H197" s="89">
        <v>0.17</v>
      </c>
      <c r="I197" s="89">
        <v>0.6</v>
      </c>
      <c r="J197" s="89">
        <v>0.6</v>
      </c>
      <c r="K197" s="89">
        <v>0.55000000000000004</v>
      </c>
      <c r="L197" s="87">
        <v>0.6</v>
      </c>
      <c r="M197" s="87">
        <v>0.6</v>
      </c>
      <c r="N197" s="89">
        <v>0.65</v>
      </c>
      <c r="O197" s="89">
        <v>0.65</v>
      </c>
      <c r="P197" s="89">
        <v>0.6</v>
      </c>
      <c r="Q197" s="89">
        <v>0.5</v>
      </c>
      <c r="R197" s="90">
        <v>0.6</v>
      </c>
      <c r="S197" s="90">
        <v>0.65</v>
      </c>
      <c r="T197" s="89">
        <v>0.6</v>
      </c>
      <c r="U197" s="89">
        <v>0.65</v>
      </c>
      <c r="V197" s="89">
        <v>0.7</v>
      </c>
      <c r="W197" s="89">
        <v>0</v>
      </c>
      <c r="X197" s="89">
        <v>0</v>
      </c>
      <c r="Y197" s="89">
        <v>0</v>
      </c>
      <c r="Z197" s="89">
        <v>0</v>
      </c>
      <c r="AA197" s="89">
        <v>0</v>
      </c>
      <c r="AB197" s="89">
        <v>0</v>
      </c>
      <c r="AC197" s="89">
        <v>0</v>
      </c>
      <c r="AD197" s="89">
        <v>0</v>
      </c>
      <c r="AE197" s="89">
        <v>0</v>
      </c>
      <c r="AF197" s="89">
        <v>0</v>
      </c>
      <c r="AG197" s="89">
        <v>0</v>
      </c>
      <c r="AH197" s="89">
        <v>0</v>
      </c>
      <c r="AI197" s="89">
        <v>0</v>
      </c>
      <c r="AJ197" s="89">
        <v>0</v>
      </c>
      <c r="AK197" s="89">
        <v>0</v>
      </c>
      <c r="AL197" s="89">
        <v>3.5000000000000003E-2</v>
      </c>
      <c r="AM197" s="89">
        <v>0</v>
      </c>
      <c r="AN197" s="89">
        <v>0</v>
      </c>
      <c r="AO197" s="89">
        <v>0</v>
      </c>
      <c r="AP197" s="89">
        <v>0</v>
      </c>
      <c r="AQ197" s="89">
        <v>0</v>
      </c>
      <c r="AR197" s="89">
        <v>0</v>
      </c>
      <c r="AS197" s="89">
        <v>0</v>
      </c>
      <c r="AT197" s="89">
        <v>0</v>
      </c>
      <c r="AU197" s="89">
        <v>0</v>
      </c>
      <c r="AV197" s="89">
        <v>0</v>
      </c>
      <c r="AW197" s="89">
        <v>0</v>
      </c>
      <c r="AX197" s="89">
        <v>0</v>
      </c>
      <c r="AY197" s="90">
        <v>0</v>
      </c>
      <c r="AZ197" s="90">
        <v>0</v>
      </c>
      <c r="BA197" s="90">
        <v>-0.19500000000000001</v>
      </c>
      <c r="BB197" s="89">
        <v>0</v>
      </c>
      <c r="BC197" s="89">
        <v>-7.0000000000000007E-2</v>
      </c>
      <c r="BD197" s="89">
        <v>5.0000000000000001E-3</v>
      </c>
      <c r="BE197" s="89">
        <v>0.43</v>
      </c>
      <c r="BF197" s="89">
        <v>0</v>
      </c>
      <c r="BG197" s="89">
        <v>-0.06</v>
      </c>
      <c r="BH197" s="89">
        <v>0</v>
      </c>
      <c r="BI197" s="89">
        <v>0</v>
      </c>
      <c r="BJ197" s="62">
        <v>0</v>
      </c>
      <c r="BK197" s="62">
        <v>0.43</v>
      </c>
      <c r="BL197" s="62">
        <v>0</v>
      </c>
      <c r="BM197" s="62">
        <v>0.05</v>
      </c>
      <c r="BN197" s="62">
        <v>0</v>
      </c>
      <c r="BO197" s="62">
        <v>-0.37</v>
      </c>
      <c r="BP197" s="62">
        <v>0</v>
      </c>
      <c r="BQ197" s="62">
        <v>0.5</v>
      </c>
      <c r="BR197" s="62">
        <v>0</v>
      </c>
      <c r="BS197" s="62">
        <v>-7.0000000000000007E-2</v>
      </c>
      <c r="BT197" s="62">
        <v>5.0000000000000001E-3</v>
      </c>
      <c r="BU197" s="62">
        <v>0.3</v>
      </c>
      <c r="BV197" s="62">
        <v>0</v>
      </c>
      <c r="BW197" s="62">
        <v>0</v>
      </c>
      <c r="BX197" s="62">
        <v>0</v>
      </c>
      <c r="BY197" s="62">
        <v>-2.9999990000000002E-3</v>
      </c>
      <c r="BZ197" s="62">
        <v>5.7500000000000002E-2</v>
      </c>
      <c r="CA197" s="62">
        <v>0.14499999999999999</v>
      </c>
      <c r="CB197" s="62">
        <v>5.0000000000000001E-3</v>
      </c>
      <c r="CC197" s="62">
        <v>-2.9999990000000002E-3</v>
      </c>
      <c r="CD197" s="62">
        <v>3.5000000000000001E-3</v>
      </c>
      <c r="CE197" s="62">
        <v>2.5000000000000001E-3</v>
      </c>
      <c r="CF197" s="62">
        <v>0</v>
      </c>
      <c r="CG197" s="62">
        <v>-2.9999990000000002E-3</v>
      </c>
      <c r="CH197" s="62">
        <v>3.5000000000000001E-3</v>
      </c>
      <c r="CI197" s="62">
        <v>-6.6000000000000003E-2</v>
      </c>
      <c r="CJ197" s="62">
        <v>2.5000000000000001E-3</v>
      </c>
      <c r="CK197" s="62">
        <v>7.7499999999999999E-2</v>
      </c>
      <c r="CL197" s="62">
        <v>2.5000000000000001E-3</v>
      </c>
      <c r="CM197" s="62">
        <v>-7.1999999999999995E-2</v>
      </c>
      <c r="CN197" s="62">
        <v>7.4999999999999997E-3</v>
      </c>
      <c r="CO197" s="62">
        <v>-1.7000000000000001E-2</v>
      </c>
      <c r="CP197" s="62">
        <v>5.0000000000000001E-3</v>
      </c>
      <c r="CQ197" s="62">
        <v>2.3E-2</v>
      </c>
      <c r="CR197" s="62">
        <v>7.4999999999999997E-3</v>
      </c>
      <c r="CS197" s="62">
        <v>0.4</v>
      </c>
      <c r="CT197" s="62">
        <v>0.01</v>
      </c>
      <c r="CU197" s="62">
        <v>0.05</v>
      </c>
      <c r="CV197" s="62">
        <v>0</v>
      </c>
      <c r="CW197" s="62">
        <v>0.17499999999999999</v>
      </c>
      <c r="CX197" s="62">
        <v>7.4999999999999997E-3</v>
      </c>
      <c r="CY197" s="62">
        <v>-0.18</v>
      </c>
      <c r="CZ197" s="62">
        <v>0</v>
      </c>
      <c r="DA197" s="62">
        <v>0</v>
      </c>
      <c r="DB197" s="62">
        <v>0</v>
      </c>
      <c r="DC197" s="62">
        <v>0.45</v>
      </c>
      <c r="DE197" s="62">
        <v>-4.4499999999999998E-2</v>
      </c>
      <c r="DF197" s="62">
        <v>0.01</v>
      </c>
      <c r="DG197" s="62">
        <v>1.4999999999999999E-2</v>
      </c>
      <c r="DH197" s="62">
        <v>0.01</v>
      </c>
      <c r="DI197" s="62">
        <v>0</v>
      </c>
      <c r="DJ197" s="62">
        <v>7.4999999999999997E-3</v>
      </c>
      <c r="DK197" s="62">
        <v>-3.1E-2</v>
      </c>
      <c r="DL197" s="62">
        <v>5.0000000000000001E-3</v>
      </c>
      <c r="DM197" s="62">
        <v>-4.4999999999999998E-2</v>
      </c>
      <c r="DN197" s="62">
        <v>2.5000000000000001E-3</v>
      </c>
      <c r="DO197" s="62">
        <v>-6.7500000000000004E-2</v>
      </c>
      <c r="DP197" s="62">
        <v>2.5000000000000001E-3</v>
      </c>
      <c r="DQ197" s="62">
        <v>-6.0999999999999999E-2</v>
      </c>
      <c r="DR197" s="62">
        <v>-5.0000000000000001E-3</v>
      </c>
      <c r="DS197" s="62">
        <v>0.36</v>
      </c>
      <c r="DT197" s="62">
        <v>-5.0000000000000001E-3</v>
      </c>
      <c r="DU197" s="62">
        <v>0</v>
      </c>
      <c r="DV197" s="62">
        <v>0</v>
      </c>
    </row>
    <row r="198" spans="4:126" x14ac:dyDescent="0.25">
      <c r="D198" s="91">
        <v>42675</v>
      </c>
      <c r="F198" s="89">
        <v>4.4615</v>
      </c>
      <c r="G198" s="90">
        <v>6.4295383682774904E-2</v>
      </c>
      <c r="H198" s="89">
        <v>0.17</v>
      </c>
      <c r="I198" s="89">
        <v>0.8</v>
      </c>
      <c r="J198" s="89">
        <v>0.85</v>
      </c>
      <c r="K198" s="89">
        <v>0.8</v>
      </c>
      <c r="L198" s="87">
        <v>0.8</v>
      </c>
      <c r="M198" s="87">
        <v>0.9</v>
      </c>
      <c r="N198" s="89">
        <v>0.95</v>
      </c>
      <c r="O198" s="89">
        <v>0.85</v>
      </c>
      <c r="P198" s="89">
        <v>0.8</v>
      </c>
      <c r="Q198" s="89">
        <v>0.95</v>
      </c>
      <c r="R198" s="90">
        <v>0.8</v>
      </c>
      <c r="S198" s="90">
        <v>0.8</v>
      </c>
      <c r="T198" s="89">
        <v>0.8</v>
      </c>
      <c r="U198" s="89">
        <v>0.95</v>
      </c>
      <c r="V198" s="89">
        <v>0.9</v>
      </c>
      <c r="W198" s="89">
        <v>0</v>
      </c>
      <c r="X198" s="89">
        <v>0</v>
      </c>
      <c r="Y198" s="89">
        <v>0</v>
      </c>
      <c r="Z198" s="89">
        <v>0</v>
      </c>
      <c r="AA198" s="89">
        <v>0</v>
      </c>
      <c r="AB198" s="89">
        <v>0</v>
      </c>
      <c r="AC198" s="89">
        <v>0</v>
      </c>
      <c r="AD198" s="89">
        <v>0</v>
      </c>
      <c r="AE198" s="89">
        <v>0</v>
      </c>
      <c r="AF198" s="89">
        <v>0</v>
      </c>
      <c r="AG198" s="89">
        <v>0</v>
      </c>
      <c r="AH198" s="89">
        <v>0</v>
      </c>
      <c r="AI198" s="89">
        <v>0</v>
      </c>
      <c r="AJ198" s="89">
        <v>0</v>
      </c>
      <c r="AK198" s="89">
        <v>0</v>
      </c>
      <c r="AL198" s="89">
        <v>0</v>
      </c>
      <c r="AM198" s="89">
        <v>0</v>
      </c>
      <c r="AN198" s="89">
        <v>0</v>
      </c>
      <c r="AO198" s="89">
        <v>0</v>
      </c>
      <c r="AP198" s="89">
        <v>0</v>
      </c>
      <c r="AQ198" s="89">
        <v>0</v>
      </c>
      <c r="AR198" s="89">
        <v>0</v>
      </c>
      <c r="AS198" s="89">
        <v>0</v>
      </c>
      <c r="AT198" s="89">
        <v>0</v>
      </c>
      <c r="AU198" s="89">
        <v>0</v>
      </c>
      <c r="AV198" s="89">
        <v>0</v>
      </c>
      <c r="AW198" s="89">
        <v>0</v>
      </c>
      <c r="AX198" s="89">
        <v>0</v>
      </c>
      <c r="AY198" s="90">
        <v>0</v>
      </c>
      <c r="AZ198" s="90">
        <v>0</v>
      </c>
      <c r="BA198" s="90">
        <v>-0.13</v>
      </c>
      <c r="BB198" s="89">
        <v>0</v>
      </c>
      <c r="BC198" s="89">
        <v>-7.0000000000000007E-2</v>
      </c>
      <c r="BD198" s="89">
        <v>5.0000000000000001E-3</v>
      </c>
      <c r="BE198" s="89">
        <v>0.35</v>
      </c>
      <c r="BF198" s="89">
        <v>0</v>
      </c>
      <c r="BG198" s="89">
        <v>-0.06</v>
      </c>
      <c r="BH198" s="89">
        <v>0</v>
      </c>
      <c r="BI198" s="89">
        <v>0</v>
      </c>
      <c r="BJ198" s="62">
        <v>0</v>
      </c>
      <c r="BK198" s="62">
        <v>0.35</v>
      </c>
      <c r="BL198" s="62">
        <v>0</v>
      </c>
      <c r="BM198" s="62">
        <v>0.05</v>
      </c>
      <c r="BN198" s="62">
        <v>0</v>
      </c>
      <c r="BO198" s="62">
        <v>-0.26</v>
      </c>
      <c r="BP198" s="62">
        <v>0</v>
      </c>
      <c r="BQ198" s="62">
        <v>0.5</v>
      </c>
      <c r="BR198" s="62">
        <v>0</v>
      </c>
      <c r="BS198" s="62">
        <v>-7.0000000000000007E-2</v>
      </c>
      <c r="BT198" s="62">
        <v>5.0000000000000001E-3</v>
      </c>
      <c r="BU198" s="62">
        <v>0.3</v>
      </c>
      <c r="BV198" s="62">
        <v>0</v>
      </c>
      <c r="BW198" s="62">
        <v>0</v>
      </c>
      <c r="BX198" s="62">
        <v>0</v>
      </c>
      <c r="BY198" s="62">
        <v>-2.9999990000000002E-3</v>
      </c>
      <c r="BZ198" s="62">
        <v>5.7500000000000002E-2</v>
      </c>
      <c r="CA198" s="62">
        <v>0.19500000000000001</v>
      </c>
      <c r="CB198" s="62">
        <v>5.0000000000000001E-3</v>
      </c>
      <c r="CC198" s="62">
        <v>-2.9999990000000002E-3</v>
      </c>
      <c r="CD198" s="62">
        <v>3.7000000000000002E-3</v>
      </c>
      <c r="CE198" s="62">
        <v>2.5000000000000001E-3</v>
      </c>
      <c r="CF198" s="62">
        <v>0</v>
      </c>
      <c r="CG198" s="62">
        <v>-2.9999990000000002E-3</v>
      </c>
      <c r="CH198" s="62">
        <v>3.7000000000000002E-3</v>
      </c>
      <c r="CI198" s="62">
        <v>-7.0999999999999994E-2</v>
      </c>
      <c r="CJ198" s="62">
        <v>2.5000000000000001E-3</v>
      </c>
      <c r="CK198" s="62">
        <v>7.4999999999999997E-2</v>
      </c>
      <c r="CL198" s="62">
        <v>2.5000000000000001E-3</v>
      </c>
      <c r="CM198" s="62">
        <v>-6.4000000000000001E-2</v>
      </c>
      <c r="CN198" s="62">
        <v>0.01</v>
      </c>
      <c r="CO198" s="62">
        <v>-8.9999989999999998E-3</v>
      </c>
      <c r="CP198" s="62">
        <v>7.4999999999999997E-3</v>
      </c>
      <c r="CQ198" s="62">
        <v>3.1E-2</v>
      </c>
      <c r="CR198" s="62">
        <v>1.2500000000000001E-2</v>
      </c>
      <c r="CS198" s="62">
        <v>0.65</v>
      </c>
      <c r="CT198" s="62">
        <v>5.5E-2</v>
      </c>
      <c r="CU198" s="62">
        <v>0.05</v>
      </c>
      <c r="CV198" s="62">
        <v>0</v>
      </c>
      <c r="CW198" s="62">
        <v>0.21</v>
      </c>
      <c r="CX198" s="62">
        <v>0.02</v>
      </c>
      <c r="CY198" s="62">
        <v>-0.18</v>
      </c>
      <c r="CZ198" s="62">
        <v>0</v>
      </c>
      <c r="DA198" s="62">
        <v>0</v>
      </c>
      <c r="DB198" s="62">
        <v>0</v>
      </c>
      <c r="DC198" s="62">
        <v>0.45</v>
      </c>
      <c r="DE198" s="62">
        <v>-3.3000000000000002E-2</v>
      </c>
      <c r="DF198" s="62">
        <v>1.2500000000000001E-2</v>
      </c>
      <c r="DG198" s="62">
        <v>1.6E-2</v>
      </c>
      <c r="DH198" s="62">
        <v>7.4999999999999997E-3</v>
      </c>
      <c r="DI198" s="62">
        <v>1E-3</v>
      </c>
      <c r="DJ198" s="62">
        <v>2.5000000000000001E-3</v>
      </c>
      <c r="DK198" s="62">
        <v>-3.5999999999999997E-2</v>
      </c>
      <c r="DL198" s="62">
        <v>2.5000000000000001E-3</v>
      </c>
      <c r="DM198" s="62">
        <v>-4.7500000000000001E-2</v>
      </c>
      <c r="DN198" s="62">
        <v>2.5000000000000001E-3</v>
      </c>
      <c r="DO198" s="62">
        <v>-7.0000000000000007E-2</v>
      </c>
      <c r="DP198" s="62">
        <v>2.5000000000000001E-3</v>
      </c>
      <c r="DQ198" s="62">
        <v>-6.6000000000000003E-2</v>
      </c>
      <c r="DR198" s="62">
        <v>-5.0000000000000001E-3</v>
      </c>
      <c r="DS198" s="62">
        <v>0.46</v>
      </c>
      <c r="DT198" s="62">
        <v>0.05</v>
      </c>
      <c r="DU198" s="62">
        <v>0</v>
      </c>
      <c r="DV198" s="62">
        <v>0</v>
      </c>
    </row>
    <row r="199" spans="4:126" x14ac:dyDescent="0.25">
      <c r="D199" s="91">
        <v>42705</v>
      </c>
      <c r="F199" s="89">
        <v>4.6044999999999998</v>
      </c>
      <c r="G199" s="90">
        <v>6.4334619923354999E-2</v>
      </c>
      <c r="H199" s="89">
        <v>0.17</v>
      </c>
      <c r="I199" s="89">
        <v>1</v>
      </c>
      <c r="J199" s="89">
        <v>1.05</v>
      </c>
      <c r="K199" s="89">
        <v>1</v>
      </c>
      <c r="L199" s="87">
        <v>1</v>
      </c>
      <c r="M199" s="87">
        <v>1.1499999999999999</v>
      </c>
      <c r="N199" s="89">
        <v>1.25</v>
      </c>
      <c r="O199" s="89">
        <v>1.05</v>
      </c>
      <c r="P199" s="89">
        <v>1</v>
      </c>
      <c r="Q199" s="89">
        <v>1.35</v>
      </c>
      <c r="R199" s="90">
        <v>1</v>
      </c>
      <c r="S199" s="90">
        <v>1.1000000000000001</v>
      </c>
      <c r="T199" s="89">
        <v>1</v>
      </c>
      <c r="U199" s="89">
        <v>1.25</v>
      </c>
      <c r="V199" s="89">
        <v>1.1000000000000001</v>
      </c>
      <c r="W199" s="89">
        <v>0</v>
      </c>
      <c r="X199" s="89">
        <v>0</v>
      </c>
      <c r="Y199" s="89">
        <v>0</v>
      </c>
      <c r="Z199" s="89">
        <v>0</v>
      </c>
      <c r="AA199" s="89">
        <v>0</v>
      </c>
      <c r="AB199" s="89">
        <v>0</v>
      </c>
      <c r="AC199" s="89">
        <v>0</v>
      </c>
      <c r="AD199" s="89">
        <v>0</v>
      </c>
      <c r="AE199" s="89">
        <v>0</v>
      </c>
      <c r="AF199" s="89">
        <v>0</v>
      </c>
      <c r="AG199" s="89">
        <v>0</v>
      </c>
      <c r="AH199" s="89">
        <v>0</v>
      </c>
      <c r="AI199" s="89">
        <v>0</v>
      </c>
      <c r="AJ199" s="89">
        <v>0</v>
      </c>
      <c r="AK199" s="89">
        <v>0</v>
      </c>
      <c r="AL199" s="89">
        <v>0</v>
      </c>
      <c r="AM199" s="89">
        <v>0</v>
      </c>
      <c r="AN199" s="89">
        <v>0</v>
      </c>
      <c r="AO199" s="89">
        <v>0</v>
      </c>
      <c r="AP199" s="89">
        <v>0</v>
      </c>
      <c r="AQ199" s="89">
        <v>0</v>
      </c>
      <c r="AR199" s="89">
        <v>0</v>
      </c>
      <c r="AS199" s="89">
        <v>0</v>
      </c>
      <c r="AT199" s="89">
        <v>0</v>
      </c>
      <c r="AU199" s="89">
        <v>0</v>
      </c>
      <c r="AV199" s="89">
        <v>0</v>
      </c>
      <c r="AW199" s="89">
        <v>0</v>
      </c>
      <c r="AX199" s="89">
        <v>0</v>
      </c>
      <c r="AY199" s="90">
        <v>0</v>
      </c>
      <c r="AZ199" s="90">
        <v>0</v>
      </c>
      <c r="BA199" s="90">
        <v>-0.13</v>
      </c>
      <c r="BB199" s="89">
        <v>0</v>
      </c>
      <c r="BC199" s="89">
        <v>-7.0000000000000007E-2</v>
      </c>
      <c r="BD199" s="89">
        <v>5.0000000000000001E-3</v>
      </c>
      <c r="BE199" s="89">
        <v>0.35</v>
      </c>
      <c r="BF199" s="89">
        <v>0</v>
      </c>
      <c r="BG199" s="89">
        <v>-0.06</v>
      </c>
      <c r="BH199" s="89">
        <v>0</v>
      </c>
      <c r="BI199" s="89">
        <v>0</v>
      </c>
      <c r="BJ199" s="62">
        <v>0</v>
      </c>
      <c r="BK199" s="62">
        <v>0.35</v>
      </c>
      <c r="BL199" s="62">
        <v>0</v>
      </c>
      <c r="BM199" s="62">
        <v>0.05</v>
      </c>
      <c r="BN199" s="62">
        <v>0</v>
      </c>
      <c r="BO199" s="62">
        <v>-0.26</v>
      </c>
      <c r="BP199" s="62">
        <v>0</v>
      </c>
      <c r="BQ199" s="62">
        <v>0.5</v>
      </c>
      <c r="BR199" s="62">
        <v>0</v>
      </c>
      <c r="BS199" s="62">
        <v>-7.0000000000000007E-2</v>
      </c>
      <c r="BT199" s="62">
        <v>5.0000000000000001E-3</v>
      </c>
      <c r="BU199" s="62">
        <v>0.3</v>
      </c>
      <c r="BV199" s="62">
        <v>0</v>
      </c>
      <c r="BW199" s="62">
        <v>0</v>
      </c>
      <c r="BX199" s="62">
        <v>0</v>
      </c>
      <c r="BY199" s="62">
        <v>-2.9999990000000002E-3</v>
      </c>
      <c r="BZ199" s="62">
        <v>5.7500000000000002E-2</v>
      </c>
      <c r="CA199" s="62">
        <v>0.215</v>
      </c>
      <c r="CB199" s="62">
        <v>5.0000000000000001E-3</v>
      </c>
      <c r="CC199" s="62">
        <v>-2.9999990000000002E-3</v>
      </c>
      <c r="CD199" s="62">
        <v>3.7000000000000002E-3</v>
      </c>
      <c r="CE199" s="62">
        <v>2.5000000000000001E-3</v>
      </c>
      <c r="CF199" s="62">
        <v>0</v>
      </c>
      <c r="CG199" s="62">
        <v>-2.9999990000000002E-3</v>
      </c>
      <c r="CH199" s="62">
        <v>3.7000000000000002E-3</v>
      </c>
      <c r="CI199" s="62">
        <v>-9.8500000000000004E-2</v>
      </c>
      <c r="CJ199" s="62">
        <v>2.5000000000000001E-3</v>
      </c>
      <c r="CK199" s="62">
        <v>7.4999999999999997E-2</v>
      </c>
      <c r="CL199" s="62">
        <v>2.5000000000000001E-3</v>
      </c>
      <c r="CM199" s="62">
        <v>-6.4000000000000001E-2</v>
      </c>
      <c r="CN199" s="62">
        <v>0.01</v>
      </c>
      <c r="CO199" s="62">
        <v>-8.9999989999999998E-3</v>
      </c>
      <c r="CP199" s="62">
        <v>7.4999999999999997E-3</v>
      </c>
      <c r="CQ199" s="62">
        <v>3.1E-2</v>
      </c>
      <c r="CR199" s="62">
        <v>1.2500000000000001E-2</v>
      </c>
      <c r="CS199" s="62">
        <v>0.98</v>
      </c>
      <c r="CT199" s="62">
        <v>0.25</v>
      </c>
      <c r="CU199" s="62">
        <v>0.05</v>
      </c>
      <c r="CV199" s="62">
        <v>0</v>
      </c>
      <c r="CW199" s="62">
        <v>0.28999999999999998</v>
      </c>
      <c r="CX199" s="62">
        <v>0.02</v>
      </c>
      <c r="CY199" s="62">
        <v>-0.18</v>
      </c>
      <c r="CZ199" s="62">
        <v>0</v>
      </c>
      <c r="DA199" s="62">
        <v>0</v>
      </c>
      <c r="DB199" s="62">
        <v>0</v>
      </c>
      <c r="DC199" s="62">
        <v>0.4</v>
      </c>
      <c r="DE199" s="62">
        <v>-3.3000000000000002E-2</v>
      </c>
      <c r="DF199" s="62">
        <v>1.2500000000000001E-2</v>
      </c>
      <c r="DG199" s="62">
        <v>1.6E-2</v>
      </c>
      <c r="DH199" s="62">
        <v>7.4999999999999997E-3</v>
      </c>
      <c r="DI199" s="62">
        <v>1E-3</v>
      </c>
      <c r="DJ199" s="62">
        <v>2.5000000000000001E-3</v>
      </c>
      <c r="DK199" s="62">
        <v>-6.3500000000000001E-2</v>
      </c>
      <c r="DL199" s="62">
        <v>2.5000000000000001E-3</v>
      </c>
      <c r="DM199" s="62">
        <v>-4.5499999999999999E-2</v>
      </c>
      <c r="DN199" s="62">
        <v>2.5000000000000001E-3</v>
      </c>
      <c r="DO199" s="62">
        <v>-6.8000000000000005E-2</v>
      </c>
      <c r="DP199" s="62">
        <v>2.5000000000000001E-3</v>
      </c>
      <c r="DQ199" s="62">
        <v>-9.35E-2</v>
      </c>
      <c r="DR199" s="62">
        <v>-5.0000000000000001E-3</v>
      </c>
      <c r="DS199" s="62">
        <v>0.77</v>
      </c>
      <c r="DT199" s="62">
        <v>0.05</v>
      </c>
      <c r="DU199" s="62">
        <v>0</v>
      </c>
      <c r="DV199" s="62">
        <v>0</v>
      </c>
    </row>
    <row r="200" spans="4:126" x14ac:dyDescent="0.25">
      <c r="D200" s="91">
        <v>42736</v>
      </c>
      <c r="F200" s="89">
        <v>4.6645000000000003</v>
      </c>
      <c r="G200" s="90">
        <v>6.4375164039156996E-2</v>
      </c>
      <c r="H200" s="89">
        <v>0.17</v>
      </c>
      <c r="I200" s="89">
        <v>1</v>
      </c>
      <c r="J200" s="89">
        <v>1.05</v>
      </c>
      <c r="K200" s="89">
        <v>1</v>
      </c>
      <c r="L200" s="87">
        <v>1</v>
      </c>
      <c r="M200" s="87">
        <v>1.1499999999999999</v>
      </c>
      <c r="N200" s="89">
        <v>1.45</v>
      </c>
      <c r="O200" s="89">
        <v>1.05</v>
      </c>
      <c r="P200" s="89">
        <v>1</v>
      </c>
      <c r="Q200" s="89">
        <v>1.35</v>
      </c>
      <c r="R200" s="90">
        <v>1</v>
      </c>
      <c r="S200" s="90">
        <v>1.1000000000000001</v>
      </c>
      <c r="T200" s="89">
        <v>1</v>
      </c>
      <c r="U200" s="89">
        <v>1.45</v>
      </c>
      <c r="V200" s="89">
        <v>1.1000000000000001</v>
      </c>
      <c r="W200" s="89">
        <v>0</v>
      </c>
      <c r="X200" s="89">
        <v>0</v>
      </c>
      <c r="Y200" s="89">
        <v>0</v>
      </c>
      <c r="Z200" s="89">
        <v>0</v>
      </c>
      <c r="AA200" s="89">
        <v>0</v>
      </c>
      <c r="AB200" s="89">
        <v>0</v>
      </c>
      <c r="AC200" s="89">
        <v>0</v>
      </c>
      <c r="AD200" s="89">
        <v>0</v>
      </c>
      <c r="AE200" s="89">
        <v>0</v>
      </c>
      <c r="AF200" s="89">
        <v>0</v>
      </c>
      <c r="AG200" s="89">
        <v>0</v>
      </c>
      <c r="AH200" s="89">
        <v>0</v>
      </c>
      <c r="AI200" s="89">
        <v>0</v>
      </c>
      <c r="AJ200" s="89">
        <v>0</v>
      </c>
      <c r="AK200" s="89">
        <v>0</v>
      </c>
      <c r="AL200" s="89">
        <v>0</v>
      </c>
      <c r="AM200" s="89">
        <v>0</v>
      </c>
      <c r="AN200" s="89">
        <v>0</v>
      </c>
      <c r="AO200" s="89">
        <v>0</v>
      </c>
      <c r="AP200" s="89">
        <v>0</v>
      </c>
      <c r="AQ200" s="89">
        <v>0</v>
      </c>
      <c r="AR200" s="89">
        <v>0</v>
      </c>
      <c r="AS200" s="89">
        <v>0</v>
      </c>
      <c r="AT200" s="89">
        <v>0</v>
      </c>
      <c r="AU200" s="89">
        <v>0</v>
      </c>
      <c r="AV200" s="89">
        <v>0</v>
      </c>
      <c r="AW200" s="89">
        <v>0</v>
      </c>
      <c r="AX200" s="89">
        <v>0</v>
      </c>
      <c r="AY200" s="90">
        <v>0</v>
      </c>
      <c r="AZ200" s="90">
        <v>0</v>
      </c>
      <c r="BA200" s="90">
        <v>-0.13</v>
      </c>
      <c r="BB200" s="89">
        <v>0</v>
      </c>
      <c r="BC200" s="89">
        <v>-7.0000000000000007E-2</v>
      </c>
      <c r="BD200" s="89">
        <v>5.0000000000000001E-3</v>
      </c>
      <c r="BE200" s="89">
        <v>0.35</v>
      </c>
      <c r="BF200" s="89">
        <v>0</v>
      </c>
      <c r="BG200" s="89">
        <v>-0.06</v>
      </c>
      <c r="BH200" s="89">
        <v>0</v>
      </c>
      <c r="BI200" s="89">
        <v>0</v>
      </c>
      <c r="BJ200" s="62">
        <v>0</v>
      </c>
      <c r="BK200" s="62">
        <v>0.35</v>
      </c>
      <c r="BL200" s="62">
        <v>0</v>
      </c>
      <c r="BM200" s="62">
        <v>0.05</v>
      </c>
      <c r="BN200" s="62">
        <v>0</v>
      </c>
      <c r="BO200" s="62">
        <v>-0.26</v>
      </c>
      <c r="BP200" s="62">
        <v>0</v>
      </c>
      <c r="BQ200" s="62">
        <v>0.5</v>
      </c>
      <c r="BR200" s="62">
        <v>0</v>
      </c>
      <c r="BS200" s="62">
        <v>-7.0000000000000007E-2</v>
      </c>
      <c r="BT200" s="62">
        <v>5.0000000000000001E-3</v>
      </c>
      <c r="BU200" s="62">
        <v>0.3</v>
      </c>
      <c r="BV200" s="62">
        <v>0</v>
      </c>
      <c r="BW200" s="62">
        <v>0</v>
      </c>
      <c r="BX200" s="62">
        <v>0</v>
      </c>
      <c r="BY200" s="62">
        <v>9.9999999999999395E-4</v>
      </c>
      <c r="BZ200" s="62">
        <v>5.7500000000000002E-2</v>
      </c>
      <c r="CA200" s="62">
        <v>0.23499999999999999</v>
      </c>
      <c r="CB200" s="62">
        <v>5.0000000000000001E-3</v>
      </c>
      <c r="CC200" s="62">
        <v>9.9999999999999395E-4</v>
      </c>
      <c r="CD200" s="62">
        <v>3.7000000000000002E-3</v>
      </c>
      <c r="CE200" s="62">
        <v>2.5000000000000001E-3</v>
      </c>
      <c r="CF200" s="62">
        <v>0</v>
      </c>
      <c r="CG200" s="62">
        <v>9.9999999999999395E-4</v>
      </c>
      <c r="CH200" s="62">
        <v>3.7000000000000002E-3</v>
      </c>
      <c r="CI200" s="62">
        <v>-9.6500000000000002E-2</v>
      </c>
      <c r="CJ200" s="62">
        <v>2.5000000000000001E-3</v>
      </c>
      <c r="CK200" s="62">
        <v>7.4999999999999997E-2</v>
      </c>
      <c r="CL200" s="62">
        <v>2.5000000000000001E-3</v>
      </c>
      <c r="CM200" s="62">
        <v>-6.4000000000000001E-2</v>
      </c>
      <c r="CN200" s="62">
        <v>0.01</v>
      </c>
      <c r="CO200" s="62">
        <v>-8.9999989999999998E-3</v>
      </c>
      <c r="CP200" s="62">
        <v>7.4999999999999997E-3</v>
      </c>
      <c r="CQ200" s="62">
        <v>3.1E-2</v>
      </c>
      <c r="CR200" s="62">
        <v>1.2500000000000001E-2</v>
      </c>
      <c r="CS200" s="62">
        <v>1.6</v>
      </c>
      <c r="CT200" s="62">
        <v>0.45</v>
      </c>
      <c r="CU200" s="62">
        <v>0.05</v>
      </c>
      <c r="CV200" s="62">
        <v>0</v>
      </c>
      <c r="CW200" s="62">
        <v>0.34</v>
      </c>
      <c r="CX200" s="62">
        <v>0.02</v>
      </c>
      <c r="CY200" s="62">
        <v>-0.18</v>
      </c>
      <c r="CZ200" s="62">
        <v>0</v>
      </c>
      <c r="DA200" s="62">
        <v>0</v>
      </c>
      <c r="DB200" s="62">
        <v>0</v>
      </c>
      <c r="DC200" s="62">
        <v>0.35</v>
      </c>
      <c r="DE200" s="62">
        <v>-3.3000000000000002E-2</v>
      </c>
      <c r="DF200" s="62">
        <v>1.2500000000000001E-2</v>
      </c>
      <c r="DG200" s="62">
        <v>1.6E-2</v>
      </c>
      <c r="DH200" s="62">
        <v>7.4999999999999997E-3</v>
      </c>
      <c r="DI200" s="62">
        <v>1E-3</v>
      </c>
      <c r="DJ200" s="62">
        <v>2.5000000000000001E-3</v>
      </c>
      <c r="DK200" s="62">
        <v>-7.85E-2</v>
      </c>
      <c r="DL200" s="62">
        <v>2.5000000000000001E-3</v>
      </c>
      <c r="DM200" s="62">
        <v>-4.5499999999999999E-2</v>
      </c>
      <c r="DN200" s="62">
        <v>2.5000000000000001E-3</v>
      </c>
      <c r="DO200" s="62">
        <v>-6.8000000000000005E-2</v>
      </c>
      <c r="DP200" s="62">
        <v>2.5000000000000001E-3</v>
      </c>
      <c r="DQ200" s="62">
        <v>-0.1085</v>
      </c>
      <c r="DR200" s="62">
        <v>-5.0000000000000001E-3</v>
      </c>
      <c r="DS200" s="62">
        <v>1.04</v>
      </c>
      <c r="DT200" s="62">
        <v>0.05</v>
      </c>
      <c r="DU200" s="62">
        <v>0</v>
      </c>
      <c r="DV200" s="62">
        <v>0</v>
      </c>
    </row>
    <row r="201" spans="4:126" x14ac:dyDescent="0.25">
      <c r="D201" s="91">
        <v>42767</v>
      </c>
      <c r="F201" s="89">
        <v>4.5795000000000003</v>
      </c>
      <c r="G201" s="90">
        <v>6.4415708155503903E-2</v>
      </c>
      <c r="H201" s="89">
        <v>0.17</v>
      </c>
      <c r="I201" s="89">
        <v>1</v>
      </c>
      <c r="J201" s="89">
        <v>1.05</v>
      </c>
      <c r="K201" s="89">
        <v>1</v>
      </c>
      <c r="L201" s="87">
        <v>1</v>
      </c>
      <c r="M201" s="87">
        <v>1.1499999999999999</v>
      </c>
      <c r="N201" s="89">
        <v>1.45</v>
      </c>
      <c r="O201" s="89">
        <v>1.05</v>
      </c>
      <c r="P201" s="89">
        <v>1</v>
      </c>
      <c r="Q201" s="89">
        <v>1.35</v>
      </c>
      <c r="R201" s="90">
        <v>1</v>
      </c>
      <c r="S201" s="90">
        <v>1.1000000000000001</v>
      </c>
      <c r="T201" s="89">
        <v>1</v>
      </c>
      <c r="U201" s="89">
        <v>1.45</v>
      </c>
      <c r="V201" s="89">
        <v>1.1000000000000001</v>
      </c>
      <c r="W201" s="89">
        <v>0</v>
      </c>
      <c r="X201" s="89">
        <v>0</v>
      </c>
      <c r="Y201" s="89">
        <v>0</v>
      </c>
      <c r="Z201" s="89">
        <v>0</v>
      </c>
      <c r="AA201" s="89">
        <v>0</v>
      </c>
      <c r="AB201" s="89">
        <v>0</v>
      </c>
      <c r="AC201" s="89">
        <v>0</v>
      </c>
      <c r="AD201" s="89">
        <v>0</v>
      </c>
      <c r="AE201" s="89">
        <v>0</v>
      </c>
      <c r="AF201" s="89">
        <v>0</v>
      </c>
      <c r="AG201" s="89">
        <v>0</v>
      </c>
      <c r="AH201" s="89">
        <v>0</v>
      </c>
      <c r="AI201" s="89">
        <v>0</v>
      </c>
      <c r="AJ201" s="89">
        <v>0</v>
      </c>
      <c r="AK201" s="89">
        <v>0</v>
      </c>
      <c r="AL201" s="89">
        <v>0</v>
      </c>
      <c r="AM201" s="89">
        <v>0</v>
      </c>
      <c r="AN201" s="89">
        <v>0</v>
      </c>
      <c r="AO201" s="89">
        <v>0</v>
      </c>
      <c r="AP201" s="89">
        <v>0</v>
      </c>
      <c r="AQ201" s="89">
        <v>0</v>
      </c>
      <c r="AR201" s="89">
        <v>0</v>
      </c>
      <c r="AS201" s="89">
        <v>0</v>
      </c>
      <c r="AT201" s="89">
        <v>0</v>
      </c>
      <c r="AU201" s="89">
        <v>0</v>
      </c>
      <c r="AV201" s="89">
        <v>0</v>
      </c>
      <c r="AW201" s="89">
        <v>0</v>
      </c>
      <c r="AX201" s="89">
        <v>0</v>
      </c>
      <c r="AY201" s="90">
        <v>0</v>
      </c>
      <c r="AZ201" s="90">
        <v>0</v>
      </c>
      <c r="BA201" s="90">
        <v>-0.13</v>
      </c>
      <c r="BB201" s="89">
        <v>0</v>
      </c>
      <c r="BC201" s="89">
        <v>-7.0000000000000007E-2</v>
      </c>
      <c r="BD201" s="89">
        <v>5.0000000000000001E-3</v>
      </c>
      <c r="BE201" s="89">
        <v>0.35</v>
      </c>
      <c r="BF201" s="89">
        <v>0</v>
      </c>
      <c r="BG201" s="89">
        <v>-0.06</v>
      </c>
      <c r="BH201" s="89">
        <v>0</v>
      </c>
      <c r="BI201" s="89">
        <v>0</v>
      </c>
      <c r="BJ201" s="62">
        <v>0</v>
      </c>
      <c r="BK201" s="62">
        <v>0.35</v>
      </c>
      <c r="BL201" s="62">
        <v>0</v>
      </c>
      <c r="BM201" s="62">
        <v>0.05</v>
      </c>
      <c r="BN201" s="62">
        <v>0</v>
      </c>
      <c r="BO201" s="62">
        <v>-0.26</v>
      </c>
      <c r="BP201" s="62">
        <v>0</v>
      </c>
      <c r="BQ201" s="62">
        <v>0.5</v>
      </c>
      <c r="BR201" s="62">
        <v>0</v>
      </c>
      <c r="BS201" s="62">
        <v>-7.0000000000000007E-2</v>
      </c>
      <c r="BT201" s="62">
        <v>5.0000000000000001E-3</v>
      </c>
      <c r="BU201" s="62">
        <v>0.3</v>
      </c>
      <c r="BV201" s="62">
        <v>0</v>
      </c>
      <c r="BW201" s="62">
        <v>0</v>
      </c>
      <c r="BX201" s="62">
        <v>0</v>
      </c>
      <c r="BY201" s="62">
        <v>9.9999999999999395E-4</v>
      </c>
      <c r="BZ201" s="62">
        <v>5.7500000000000002E-2</v>
      </c>
      <c r="CA201" s="62">
        <v>0.23499999999999999</v>
      </c>
      <c r="CB201" s="62">
        <v>5.0000000000000001E-3</v>
      </c>
      <c r="CC201" s="62">
        <v>9.9999999999999395E-4</v>
      </c>
      <c r="CD201" s="62">
        <v>3.7000000000000002E-3</v>
      </c>
      <c r="CE201" s="62">
        <v>2.5000000000000001E-3</v>
      </c>
      <c r="CF201" s="62">
        <v>0</v>
      </c>
      <c r="CG201" s="62">
        <v>9.9999999999999395E-4</v>
      </c>
      <c r="CH201" s="62">
        <v>3.7000000000000002E-3</v>
      </c>
      <c r="CI201" s="62">
        <v>-9.6500000000000002E-2</v>
      </c>
      <c r="CJ201" s="62">
        <v>2.5000000000000001E-3</v>
      </c>
      <c r="CK201" s="62">
        <v>7.4999999999999997E-2</v>
      </c>
      <c r="CL201" s="62">
        <v>2.5000000000000001E-3</v>
      </c>
      <c r="CM201" s="62">
        <v>-6.4000000000000001E-2</v>
      </c>
      <c r="CN201" s="62">
        <v>0.01</v>
      </c>
      <c r="CO201" s="62">
        <v>-8.9999989999999998E-3</v>
      </c>
      <c r="CP201" s="62">
        <v>7.4999999999999997E-3</v>
      </c>
      <c r="CQ201" s="62">
        <v>3.1E-2</v>
      </c>
      <c r="CR201" s="62">
        <v>1.2500000000000001E-2</v>
      </c>
      <c r="CS201" s="62">
        <v>1.6</v>
      </c>
      <c r="CT201" s="62">
        <v>0.45</v>
      </c>
      <c r="CU201" s="62">
        <v>0.05</v>
      </c>
      <c r="CV201" s="62">
        <v>0</v>
      </c>
      <c r="CW201" s="62">
        <v>0.34</v>
      </c>
      <c r="CX201" s="62">
        <v>0.02</v>
      </c>
      <c r="CY201" s="62">
        <v>-0.18</v>
      </c>
      <c r="CZ201" s="62">
        <v>0</v>
      </c>
      <c r="DA201" s="62">
        <v>0</v>
      </c>
      <c r="DB201" s="62">
        <v>0</v>
      </c>
      <c r="DC201" s="62">
        <v>0.35</v>
      </c>
      <c r="DE201" s="62">
        <v>-3.3000000000000002E-2</v>
      </c>
      <c r="DF201" s="62">
        <v>1.2500000000000001E-2</v>
      </c>
      <c r="DG201" s="62">
        <v>1.6E-2</v>
      </c>
      <c r="DH201" s="62">
        <v>7.4999999999999997E-3</v>
      </c>
      <c r="DI201" s="62">
        <v>1E-3</v>
      </c>
      <c r="DJ201" s="62">
        <v>2.5000000000000001E-3</v>
      </c>
      <c r="DK201" s="62">
        <v>-6.8500000000000005E-2</v>
      </c>
      <c r="DL201" s="62">
        <v>2.5000000000000001E-3</v>
      </c>
      <c r="DM201" s="62">
        <v>-4.5499999999999999E-2</v>
      </c>
      <c r="DN201" s="62">
        <v>2.5000000000000001E-3</v>
      </c>
      <c r="DO201" s="62">
        <v>-6.8000000000000005E-2</v>
      </c>
      <c r="DP201" s="62">
        <v>2.5000000000000001E-3</v>
      </c>
      <c r="DQ201" s="62">
        <v>-9.8500000000000004E-2</v>
      </c>
      <c r="DR201" s="62">
        <v>-5.0000000000000001E-3</v>
      </c>
      <c r="DS201" s="62">
        <v>1.04</v>
      </c>
      <c r="DT201" s="62">
        <v>0.05</v>
      </c>
      <c r="DU201" s="62">
        <v>0</v>
      </c>
      <c r="DV201" s="62">
        <v>0</v>
      </c>
    </row>
    <row r="202" spans="4:126" x14ac:dyDescent="0.25">
      <c r="D202" s="91">
        <v>42795</v>
      </c>
      <c r="F202" s="89">
        <v>4.4494999999999996</v>
      </c>
      <c r="G202" s="90">
        <v>6.4452328648156906E-2</v>
      </c>
      <c r="H202" s="89">
        <v>0.17</v>
      </c>
      <c r="I202" s="89">
        <v>0.75</v>
      </c>
      <c r="J202" s="89">
        <v>0.8</v>
      </c>
      <c r="K202" s="89">
        <v>0.75</v>
      </c>
      <c r="L202" s="87">
        <v>0.75</v>
      </c>
      <c r="M202" s="87">
        <v>0.85</v>
      </c>
      <c r="N202" s="89">
        <v>1</v>
      </c>
      <c r="O202" s="89">
        <v>0.75</v>
      </c>
      <c r="P202" s="89">
        <v>0.75</v>
      </c>
      <c r="Q202" s="89">
        <v>0.95</v>
      </c>
      <c r="R202" s="90">
        <v>0.75</v>
      </c>
      <c r="S202" s="90">
        <v>0.75</v>
      </c>
      <c r="T202" s="89">
        <v>0.75</v>
      </c>
      <c r="U202" s="89">
        <v>1</v>
      </c>
      <c r="V202" s="89">
        <v>0.85</v>
      </c>
      <c r="W202" s="89">
        <v>0</v>
      </c>
      <c r="X202" s="89">
        <v>0</v>
      </c>
      <c r="Y202" s="89">
        <v>0</v>
      </c>
      <c r="Z202" s="89">
        <v>0</v>
      </c>
      <c r="AA202" s="89">
        <v>0</v>
      </c>
      <c r="AB202" s="89">
        <v>0</v>
      </c>
      <c r="AC202" s="89">
        <v>0</v>
      </c>
      <c r="AD202" s="89">
        <v>0</v>
      </c>
      <c r="AE202" s="89">
        <v>0</v>
      </c>
      <c r="AF202" s="89">
        <v>0</v>
      </c>
      <c r="AG202" s="89">
        <v>0</v>
      </c>
      <c r="AH202" s="89">
        <v>0</v>
      </c>
      <c r="AI202" s="89">
        <v>0</v>
      </c>
      <c r="AJ202" s="89">
        <v>0</v>
      </c>
      <c r="AK202" s="89">
        <v>0</v>
      </c>
      <c r="AL202" s="89">
        <v>0</v>
      </c>
      <c r="AM202" s="89">
        <v>0</v>
      </c>
      <c r="AN202" s="89">
        <v>0</v>
      </c>
      <c r="AO202" s="89">
        <v>0</v>
      </c>
      <c r="AP202" s="89">
        <v>0</v>
      </c>
      <c r="AQ202" s="89">
        <v>0</v>
      </c>
      <c r="AR202" s="89">
        <v>0</v>
      </c>
      <c r="AS202" s="89">
        <v>0</v>
      </c>
      <c r="AT202" s="89">
        <v>0</v>
      </c>
      <c r="AU202" s="89">
        <v>0</v>
      </c>
      <c r="AV202" s="89">
        <v>0</v>
      </c>
      <c r="AW202" s="89">
        <v>0</v>
      </c>
      <c r="AX202" s="89">
        <v>0</v>
      </c>
      <c r="AY202" s="90">
        <v>0</v>
      </c>
      <c r="AZ202" s="90">
        <v>0</v>
      </c>
      <c r="BA202" s="90">
        <v>-0.13</v>
      </c>
      <c r="BB202" s="89">
        <v>0</v>
      </c>
      <c r="BC202" s="89">
        <v>-7.0000000000000007E-2</v>
      </c>
      <c r="BD202" s="89">
        <v>5.0000000000000001E-3</v>
      </c>
      <c r="BE202" s="89">
        <v>0.35</v>
      </c>
      <c r="BF202" s="89">
        <v>0</v>
      </c>
      <c r="BG202" s="89">
        <v>-0.06</v>
      </c>
      <c r="BH202" s="89">
        <v>0</v>
      </c>
      <c r="BI202" s="89">
        <v>0</v>
      </c>
      <c r="BJ202" s="62">
        <v>0</v>
      </c>
      <c r="BK202" s="62">
        <v>0.35</v>
      </c>
      <c r="BL202" s="62">
        <v>0</v>
      </c>
      <c r="BM202" s="62">
        <v>0.05</v>
      </c>
      <c r="BN202" s="62">
        <v>0</v>
      </c>
      <c r="BO202" s="62">
        <v>-0.26</v>
      </c>
      <c r="BP202" s="62">
        <v>0</v>
      </c>
      <c r="BQ202" s="62">
        <v>0.5</v>
      </c>
      <c r="BR202" s="62">
        <v>0</v>
      </c>
      <c r="BS202" s="62">
        <v>-7.0000000000000007E-2</v>
      </c>
      <c r="BT202" s="62">
        <v>5.0000000000000001E-3</v>
      </c>
      <c r="BU202" s="62">
        <v>0.3</v>
      </c>
      <c r="BV202" s="62">
        <v>0</v>
      </c>
      <c r="BW202" s="62">
        <v>0</v>
      </c>
      <c r="BX202" s="62">
        <v>0</v>
      </c>
      <c r="BY202" s="62">
        <v>0</v>
      </c>
      <c r="BZ202" s="62">
        <v>0</v>
      </c>
      <c r="CA202" s="62">
        <v>0.19500000000000001</v>
      </c>
      <c r="CB202" s="62">
        <v>5.0000000000000001E-3</v>
      </c>
      <c r="CC202" s="62">
        <v>0</v>
      </c>
      <c r="CD202" s="62">
        <v>0</v>
      </c>
      <c r="CE202" s="62">
        <v>0</v>
      </c>
      <c r="CF202" s="62">
        <v>0</v>
      </c>
      <c r="CG202" s="62">
        <v>0</v>
      </c>
      <c r="CH202" s="62">
        <v>0</v>
      </c>
      <c r="CI202" s="62">
        <v>0</v>
      </c>
      <c r="CJ202" s="62">
        <v>0</v>
      </c>
      <c r="CK202" s="62">
        <v>0</v>
      </c>
      <c r="CL202" s="62">
        <v>0</v>
      </c>
      <c r="CM202" s="62">
        <v>-6.4000000000000001E-2</v>
      </c>
      <c r="CN202" s="62">
        <v>0</v>
      </c>
      <c r="CO202" s="62">
        <v>-8.9999989999999998E-3</v>
      </c>
      <c r="CP202" s="62">
        <v>0</v>
      </c>
      <c r="CQ202" s="62">
        <v>3.1E-2</v>
      </c>
      <c r="CR202" s="62">
        <v>0</v>
      </c>
      <c r="CS202" s="62">
        <v>0.64</v>
      </c>
      <c r="CT202" s="62">
        <v>0.1</v>
      </c>
      <c r="CU202" s="62">
        <v>0.05</v>
      </c>
      <c r="CV202" s="62">
        <v>0</v>
      </c>
      <c r="CW202" s="62">
        <v>0.28999999999999998</v>
      </c>
      <c r="CX202" s="62">
        <v>0.02</v>
      </c>
      <c r="CY202" s="62">
        <v>-0.18</v>
      </c>
      <c r="CZ202" s="62">
        <v>0</v>
      </c>
      <c r="DA202" s="62">
        <v>0</v>
      </c>
      <c r="DB202" s="62">
        <v>0</v>
      </c>
      <c r="DC202" s="62">
        <v>0.4</v>
      </c>
      <c r="DE202" s="62">
        <v>-3.3000000000000002E-2</v>
      </c>
      <c r="DF202" s="62">
        <v>1.2500000000000001E-2</v>
      </c>
      <c r="DG202" s="62">
        <v>2.1000000000000001E-2</v>
      </c>
      <c r="DH202" s="62">
        <v>7.4999999999999997E-3</v>
      </c>
      <c r="DI202" s="62">
        <v>6.0000000000000001E-3</v>
      </c>
      <c r="DJ202" s="62">
        <v>2.5000000000000001E-3</v>
      </c>
      <c r="DK202" s="62">
        <v>-5.8500000000000003E-2</v>
      </c>
      <c r="DL202" s="62">
        <v>0</v>
      </c>
      <c r="DM202" s="62">
        <v>-4.5499999999999999E-2</v>
      </c>
      <c r="DN202" s="62">
        <v>0</v>
      </c>
      <c r="DO202" s="62">
        <v>-6.8000000000000005E-2</v>
      </c>
      <c r="DP202" s="62">
        <v>0</v>
      </c>
      <c r="DQ202" s="62">
        <v>-8.8499999999999995E-2</v>
      </c>
      <c r="DR202" s="62">
        <v>0</v>
      </c>
      <c r="DS202" s="62">
        <v>0.54</v>
      </c>
      <c r="DT202" s="62">
        <v>0.05</v>
      </c>
      <c r="DU202" s="62">
        <v>0</v>
      </c>
      <c r="DV202" s="62">
        <v>0</v>
      </c>
    </row>
    <row r="203" spans="4:126" x14ac:dyDescent="0.25">
      <c r="D203" s="91">
        <v>42826</v>
      </c>
      <c r="F203" s="89">
        <v>4.2645</v>
      </c>
      <c r="G203" s="90">
        <v>6.4492872765541207E-2</v>
      </c>
      <c r="H203" s="89">
        <v>0.17</v>
      </c>
      <c r="I203" s="89">
        <v>0.4</v>
      </c>
      <c r="J203" s="89">
        <v>0.45</v>
      </c>
      <c r="K203" s="89">
        <v>0.4</v>
      </c>
      <c r="L203" s="87">
        <v>0.45</v>
      </c>
      <c r="M203" s="87">
        <v>0.45</v>
      </c>
      <c r="N203" s="89">
        <v>0.45</v>
      </c>
      <c r="O203" s="89">
        <v>0.45</v>
      </c>
      <c r="P203" s="89">
        <v>0.45</v>
      </c>
      <c r="Q203" s="89">
        <v>0.5</v>
      </c>
      <c r="R203" s="90">
        <v>0.4</v>
      </c>
      <c r="S203" s="90">
        <v>0.45</v>
      </c>
      <c r="T203" s="89">
        <v>0.4</v>
      </c>
      <c r="U203" s="89">
        <v>0.45</v>
      </c>
      <c r="V203" s="89">
        <v>0.55000000000000004</v>
      </c>
      <c r="W203" s="89">
        <v>0</v>
      </c>
      <c r="X203" s="89">
        <v>0</v>
      </c>
      <c r="Y203" s="89">
        <v>0</v>
      </c>
      <c r="Z203" s="89">
        <v>0</v>
      </c>
      <c r="AA203" s="89">
        <v>0</v>
      </c>
      <c r="AB203" s="89">
        <v>0</v>
      </c>
      <c r="AC203" s="89">
        <v>0</v>
      </c>
      <c r="AD203" s="89">
        <v>0</v>
      </c>
      <c r="AE203" s="89">
        <v>0</v>
      </c>
      <c r="AF203" s="89">
        <v>0</v>
      </c>
      <c r="AG203" s="89">
        <v>0</v>
      </c>
      <c r="AH203" s="89">
        <v>0</v>
      </c>
      <c r="AI203" s="89">
        <v>0</v>
      </c>
      <c r="AJ203" s="89">
        <v>0</v>
      </c>
      <c r="AK203" s="89">
        <v>0</v>
      </c>
      <c r="AL203" s="89">
        <v>0</v>
      </c>
      <c r="AM203" s="89">
        <v>0</v>
      </c>
      <c r="AN203" s="89">
        <v>0</v>
      </c>
      <c r="AO203" s="89">
        <v>0</v>
      </c>
      <c r="AP203" s="89">
        <v>0</v>
      </c>
      <c r="AQ203" s="89">
        <v>0</v>
      </c>
      <c r="AR203" s="89">
        <v>0</v>
      </c>
      <c r="AS203" s="89">
        <v>0</v>
      </c>
      <c r="AT203" s="89">
        <v>0</v>
      </c>
      <c r="AU203" s="89">
        <v>0</v>
      </c>
      <c r="AV203" s="89">
        <v>0</v>
      </c>
      <c r="AW203" s="89">
        <v>0</v>
      </c>
      <c r="AX203" s="89">
        <v>0</v>
      </c>
      <c r="AY203" s="90">
        <v>0</v>
      </c>
      <c r="AZ203" s="90">
        <v>0</v>
      </c>
      <c r="BA203" s="90">
        <v>-0.19500000000000001</v>
      </c>
      <c r="BB203" s="89">
        <v>0</v>
      </c>
      <c r="BC203" s="89">
        <v>-7.0000000000000007E-2</v>
      </c>
      <c r="BD203" s="89">
        <v>5.0000000000000001E-3</v>
      </c>
      <c r="BE203" s="89">
        <v>0.43</v>
      </c>
      <c r="BF203" s="89">
        <v>0</v>
      </c>
      <c r="BG203" s="89">
        <v>-0.06</v>
      </c>
      <c r="BH203" s="89">
        <v>0</v>
      </c>
      <c r="BI203" s="89">
        <v>0</v>
      </c>
      <c r="BJ203" s="62">
        <v>0</v>
      </c>
      <c r="BK203" s="62">
        <v>0.43</v>
      </c>
      <c r="BL203" s="62">
        <v>0</v>
      </c>
      <c r="BM203" s="62">
        <v>0.05</v>
      </c>
      <c r="BN203" s="62">
        <v>0</v>
      </c>
      <c r="BO203" s="62">
        <v>-0.37</v>
      </c>
      <c r="BP203" s="62">
        <v>0</v>
      </c>
      <c r="BQ203" s="62">
        <v>0.5</v>
      </c>
      <c r="BR203" s="62">
        <v>0</v>
      </c>
      <c r="BS203" s="62">
        <v>-7.0000000000000007E-2</v>
      </c>
      <c r="BT203" s="62">
        <v>5.0000000000000001E-3</v>
      </c>
      <c r="BU203" s="62">
        <v>0.3</v>
      </c>
      <c r="BV203" s="62">
        <v>0</v>
      </c>
      <c r="BW203" s="62">
        <v>0</v>
      </c>
      <c r="BX203" s="62">
        <v>0</v>
      </c>
      <c r="BY203" s="62">
        <v>0</v>
      </c>
      <c r="BZ203" s="62">
        <v>0</v>
      </c>
      <c r="CA203" s="62">
        <v>0.14499999999999999</v>
      </c>
      <c r="CB203" s="62">
        <v>5.0000000000000001E-3</v>
      </c>
      <c r="CC203" s="62">
        <v>0</v>
      </c>
      <c r="CD203" s="62">
        <v>0</v>
      </c>
      <c r="CE203" s="62">
        <v>0</v>
      </c>
      <c r="CF203" s="62">
        <v>0</v>
      </c>
      <c r="CG203" s="62">
        <v>0</v>
      </c>
      <c r="CH203" s="62">
        <v>0</v>
      </c>
      <c r="CI203" s="62">
        <v>0</v>
      </c>
      <c r="CJ203" s="62">
        <v>0</v>
      </c>
      <c r="CK203" s="62">
        <v>0</v>
      </c>
      <c r="CL203" s="62">
        <v>0</v>
      </c>
      <c r="CM203" s="62">
        <v>-7.1999999999999995E-2</v>
      </c>
      <c r="CN203" s="62">
        <v>0</v>
      </c>
      <c r="CO203" s="62">
        <v>-1.7000000000000001E-2</v>
      </c>
      <c r="CP203" s="62">
        <v>0</v>
      </c>
      <c r="CQ203" s="62">
        <v>2.3E-2</v>
      </c>
      <c r="CR203" s="62">
        <v>0</v>
      </c>
      <c r="CS203" s="62">
        <v>0.38</v>
      </c>
      <c r="CT203" s="62">
        <v>0.02</v>
      </c>
      <c r="CU203" s="62">
        <v>0.05</v>
      </c>
      <c r="CV203" s="62">
        <v>0</v>
      </c>
      <c r="CW203" s="62">
        <v>0.19500000000000001</v>
      </c>
      <c r="CX203" s="62">
        <v>7.4999999999999997E-3</v>
      </c>
      <c r="CY203" s="62">
        <v>-0.18</v>
      </c>
      <c r="CZ203" s="62">
        <v>0</v>
      </c>
      <c r="DA203" s="62">
        <v>0</v>
      </c>
      <c r="DB203" s="62">
        <v>0</v>
      </c>
      <c r="DC203" s="62">
        <v>0.6</v>
      </c>
      <c r="DE203" s="62">
        <v>-4.0500000000000001E-2</v>
      </c>
      <c r="DF203" s="62">
        <v>0.01</v>
      </c>
      <c r="DG203" s="62">
        <v>2.1000000000000001E-2</v>
      </c>
      <c r="DH203" s="62">
        <v>0.01</v>
      </c>
      <c r="DI203" s="62">
        <v>6.0000000000000001E-3</v>
      </c>
      <c r="DJ203" s="62">
        <v>7.4999999999999997E-3</v>
      </c>
      <c r="DK203" s="62">
        <v>-0.10150000000000001</v>
      </c>
      <c r="DL203" s="62">
        <v>0</v>
      </c>
      <c r="DM203" s="62">
        <v>-4.2999999999999997E-2</v>
      </c>
      <c r="DN203" s="62">
        <v>0</v>
      </c>
      <c r="DO203" s="62">
        <v>-6.5500000000000003E-2</v>
      </c>
      <c r="DP203" s="62">
        <v>0</v>
      </c>
      <c r="DQ203" s="62">
        <v>-0.13150000000000001</v>
      </c>
      <c r="DR203" s="62">
        <v>0</v>
      </c>
      <c r="DS203" s="62">
        <v>0.36</v>
      </c>
      <c r="DT203" s="62">
        <v>5.0000000000000001E-3</v>
      </c>
      <c r="DU203" s="62">
        <v>0</v>
      </c>
      <c r="DV203" s="62">
        <v>0</v>
      </c>
    </row>
    <row r="204" spans="4:126" x14ac:dyDescent="0.25">
      <c r="D204" s="91">
        <v>42856</v>
      </c>
      <c r="F204" s="89">
        <v>4.2595000000000001</v>
      </c>
      <c r="G204" s="90">
        <v>6.45321090086899E-2</v>
      </c>
      <c r="H204" s="89">
        <v>0.17</v>
      </c>
      <c r="I204" s="89">
        <v>0.45</v>
      </c>
      <c r="J204" s="89">
        <v>0.5</v>
      </c>
      <c r="K204" s="89">
        <v>0.4</v>
      </c>
      <c r="L204" s="87">
        <v>0.4</v>
      </c>
      <c r="M204" s="87">
        <v>0.45</v>
      </c>
      <c r="N204" s="89">
        <v>0.5</v>
      </c>
      <c r="O204" s="89">
        <v>0.45</v>
      </c>
      <c r="P204" s="89">
        <v>0.4</v>
      </c>
      <c r="Q204" s="89">
        <v>0.45</v>
      </c>
      <c r="R204" s="90">
        <v>0.45</v>
      </c>
      <c r="S204" s="90">
        <v>0.5</v>
      </c>
      <c r="T204" s="89">
        <v>0.45</v>
      </c>
      <c r="U204" s="89">
        <v>0.5</v>
      </c>
      <c r="V204" s="89">
        <v>0.5</v>
      </c>
      <c r="W204" s="89">
        <v>0</v>
      </c>
      <c r="X204" s="89">
        <v>0</v>
      </c>
      <c r="Y204" s="89">
        <v>0</v>
      </c>
      <c r="Z204" s="89">
        <v>0</v>
      </c>
      <c r="AA204" s="89">
        <v>0</v>
      </c>
      <c r="AB204" s="89">
        <v>0</v>
      </c>
      <c r="AC204" s="89">
        <v>0</v>
      </c>
      <c r="AD204" s="89">
        <v>0</v>
      </c>
      <c r="AE204" s="89">
        <v>0</v>
      </c>
      <c r="AF204" s="89">
        <v>0</v>
      </c>
      <c r="AG204" s="89">
        <v>0</v>
      </c>
      <c r="AH204" s="89">
        <v>0</v>
      </c>
      <c r="AI204" s="89">
        <v>0</v>
      </c>
      <c r="AJ204" s="89">
        <v>0</v>
      </c>
      <c r="AK204" s="89">
        <v>0</v>
      </c>
      <c r="AL204" s="89">
        <v>0</v>
      </c>
      <c r="AM204" s="89">
        <v>0</v>
      </c>
      <c r="AN204" s="89">
        <v>0</v>
      </c>
      <c r="AO204" s="89">
        <v>0</v>
      </c>
      <c r="AP204" s="89">
        <v>0</v>
      </c>
      <c r="AQ204" s="89">
        <v>0</v>
      </c>
      <c r="AR204" s="89">
        <v>0</v>
      </c>
      <c r="AS204" s="89">
        <v>0</v>
      </c>
      <c r="AT204" s="89">
        <v>0</v>
      </c>
      <c r="AU204" s="89">
        <v>0</v>
      </c>
      <c r="AV204" s="89">
        <v>0</v>
      </c>
      <c r="AW204" s="89">
        <v>0</v>
      </c>
      <c r="AX204" s="89">
        <v>0</v>
      </c>
      <c r="AY204" s="90">
        <v>0</v>
      </c>
      <c r="AZ204" s="90">
        <v>0</v>
      </c>
      <c r="BA204" s="90">
        <v>-0.19500000000000001</v>
      </c>
      <c r="BB204" s="89">
        <v>0</v>
      </c>
      <c r="BC204" s="89">
        <v>-7.0000000000000007E-2</v>
      </c>
      <c r="BD204" s="89">
        <v>5.0000000000000001E-3</v>
      </c>
      <c r="BE204" s="89">
        <v>0.43</v>
      </c>
      <c r="BF204" s="89">
        <v>0</v>
      </c>
      <c r="BG204" s="89">
        <v>-0.06</v>
      </c>
      <c r="BH204" s="89">
        <v>0</v>
      </c>
      <c r="BI204" s="89">
        <v>0</v>
      </c>
      <c r="BJ204" s="62">
        <v>0</v>
      </c>
      <c r="BK204" s="62">
        <v>0.43</v>
      </c>
      <c r="BL204" s="62">
        <v>0</v>
      </c>
      <c r="BM204" s="62">
        <v>0.05</v>
      </c>
      <c r="BN204" s="62">
        <v>0</v>
      </c>
      <c r="BO204" s="62">
        <v>-0.37</v>
      </c>
      <c r="BP204" s="62">
        <v>0</v>
      </c>
      <c r="BQ204" s="62">
        <v>0.5</v>
      </c>
      <c r="BR204" s="62">
        <v>0</v>
      </c>
      <c r="BS204" s="62">
        <v>-7.0000000000000007E-2</v>
      </c>
      <c r="BT204" s="62">
        <v>5.0000000000000001E-3</v>
      </c>
      <c r="BU204" s="62">
        <v>0.3</v>
      </c>
      <c r="BV204" s="62">
        <v>0</v>
      </c>
      <c r="BW204" s="62">
        <v>0</v>
      </c>
      <c r="BX204" s="62">
        <v>0</v>
      </c>
      <c r="BY204" s="62">
        <v>0</v>
      </c>
      <c r="BZ204" s="62">
        <v>0</v>
      </c>
      <c r="CA204" s="62">
        <v>0.125</v>
      </c>
      <c r="CB204" s="62">
        <v>5.0000000000000001E-3</v>
      </c>
      <c r="CC204" s="62">
        <v>0</v>
      </c>
      <c r="CD204" s="62">
        <v>0</v>
      </c>
      <c r="CE204" s="62">
        <v>0</v>
      </c>
      <c r="CF204" s="62">
        <v>0</v>
      </c>
      <c r="CG204" s="62">
        <v>0</v>
      </c>
      <c r="CH204" s="62">
        <v>0</v>
      </c>
      <c r="CI204" s="62">
        <v>0</v>
      </c>
      <c r="CJ204" s="62">
        <v>0</v>
      </c>
      <c r="CK204" s="62">
        <v>0</v>
      </c>
      <c r="CL204" s="62">
        <v>0</v>
      </c>
      <c r="CM204" s="62">
        <v>-7.1999999999999995E-2</v>
      </c>
      <c r="CN204" s="62">
        <v>0</v>
      </c>
      <c r="CO204" s="62">
        <v>-1.7000000000000001E-2</v>
      </c>
      <c r="CP204" s="62">
        <v>0</v>
      </c>
      <c r="CQ204" s="62">
        <v>2.3E-2</v>
      </c>
      <c r="CR204" s="62">
        <v>0</v>
      </c>
      <c r="CS204" s="62">
        <v>0.33</v>
      </c>
      <c r="CT204" s="62">
        <v>0.02</v>
      </c>
      <c r="CU204" s="62">
        <v>0.05</v>
      </c>
      <c r="CV204" s="62">
        <v>0</v>
      </c>
      <c r="CW204" s="62">
        <v>0.13500000000000001</v>
      </c>
      <c r="CX204" s="62">
        <v>7.4999999999999997E-3</v>
      </c>
      <c r="CY204" s="62">
        <v>-0.18</v>
      </c>
      <c r="CZ204" s="62">
        <v>0</v>
      </c>
      <c r="DA204" s="62">
        <v>0</v>
      </c>
      <c r="DB204" s="62">
        <v>0</v>
      </c>
      <c r="DC204" s="62">
        <v>0.75</v>
      </c>
      <c r="DE204" s="62">
        <v>-4.0500000000000001E-2</v>
      </c>
      <c r="DF204" s="62">
        <v>0.01</v>
      </c>
      <c r="DG204" s="62">
        <v>2.35E-2</v>
      </c>
      <c r="DH204" s="62">
        <v>0.01</v>
      </c>
      <c r="DI204" s="62">
        <v>8.5000000000000006E-3</v>
      </c>
      <c r="DJ204" s="62">
        <v>7.4999999999999997E-3</v>
      </c>
      <c r="DK204" s="62">
        <v>-7.9000000000000001E-2</v>
      </c>
      <c r="DL204" s="62">
        <v>0</v>
      </c>
      <c r="DM204" s="62">
        <v>-4.2999999999999997E-2</v>
      </c>
      <c r="DN204" s="62">
        <v>0</v>
      </c>
      <c r="DO204" s="62">
        <v>-6.5500000000000003E-2</v>
      </c>
      <c r="DP204" s="62">
        <v>0</v>
      </c>
      <c r="DQ204" s="62">
        <v>-0.109</v>
      </c>
      <c r="DR204" s="62">
        <v>0</v>
      </c>
      <c r="DS204" s="62">
        <v>0.32500000000000001</v>
      </c>
      <c r="DT204" s="62">
        <v>5.0000000000000001E-3</v>
      </c>
      <c r="DU204" s="62">
        <v>0</v>
      </c>
      <c r="DV204" s="62">
        <v>0</v>
      </c>
    </row>
    <row r="205" spans="4:126" x14ac:dyDescent="0.25">
      <c r="D205" s="91">
        <v>42887</v>
      </c>
      <c r="F205" s="89">
        <v>4.2945000000000002</v>
      </c>
      <c r="G205" s="90">
        <v>6.4572653127146704E-2</v>
      </c>
      <c r="H205" s="89">
        <v>0.17</v>
      </c>
      <c r="I205" s="89">
        <v>0.45</v>
      </c>
      <c r="J205" s="89">
        <v>0.5</v>
      </c>
      <c r="K205" s="89">
        <v>0.4</v>
      </c>
      <c r="L205" s="87">
        <v>0.5</v>
      </c>
      <c r="M205" s="87">
        <v>0.45</v>
      </c>
      <c r="N205" s="89">
        <v>0.5</v>
      </c>
      <c r="O205" s="89">
        <v>0.5</v>
      </c>
      <c r="P205" s="89">
        <v>0.5</v>
      </c>
      <c r="Q205" s="89">
        <v>0.5</v>
      </c>
      <c r="R205" s="90">
        <v>0.45</v>
      </c>
      <c r="S205" s="90">
        <v>0.5</v>
      </c>
      <c r="T205" s="89">
        <v>0.45</v>
      </c>
      <c r="U205" s="89">
        <v>0.5</v>
      </c>
      <c r="V205" s="89">
        <v>0.6</v>
      </c>
      <c r="W205" s="89">
        <v>0</v>
      </c>
      <c r="X205" s="89">
        <v>0</v>
      </c>
      <c r="Y205" s="89">
        <v>0</v>
      </c>
      <c r="Z205" s="89">
        <v>0</v>
      </c>
      <c r="AA205" s="89">
        <v>0</v>
      </c>
      <c r="AB205" s="89">
        <v>0</v>
      </c>
      <c r="AC205" s="89">
        <v>0</v>
      </c>
      <c r="AD205" s="89">
        <v>0</v>
      </c>
      <c r="AE205" s="89">
        <v>0</v>
      </c>
      <c r="AF205" s="89">
        <v>0</v>
      </c>
      <c r="AG205" s="89">
        <v>0</v>
      </c>
      <c r="AH205" s="89">
        <v>0</v>
      </c>
      <c r="AI205" s="89">
        <v>0</v>
      </c>
      <c r="AJ205" s="89">
        <v>0</v>
      </c>
      <c r="AK205" s="89">
        <v>0</v>
      </c>
      <c r="AL205" s="89">
        <v>0</v>
      </c>
      <c r="AM205" s="89">
        <v>0</v>
      </c>
      <c r="AN205" s="89">
        <v>0</v>
      </c>
      <c r="AO205" s="89">
        <v>0</v>
      </c>
      <c r="AP205" s="89">
        <v>0</v>
      </c>
      <c r="AQ205" s="89">
        <v>0</v>
      </c>
      <c r="AR205" s="89">
        <v>0</v>
      </c>
      <c r="AS205" s="89">
        <v>0</v>
      </c>
      <c r="AT205" s="89">
        <v>0</v>
      </c>
      <c r="AU205" s="89">
        <v>0</v>
      </c>
      <c r="AV205" s="89">
        <v>0</v>
      </c>
      <c r="AW205" s="89">
        <v>0</v>
      </c>
      <c r="AX205" s="89">
        <v>0</v>
      </c>
      <c r="AY205" s="90">
        <v>0</v>
      </c>
      <c r="AZ205" s="90">
        <v>0</v>
      </c>
      <c r="BA205" s="90">
        <v>-0.19500000000000001</v>
      </c>
      <c r="BB205" s="89">
        <v>0</v>
      </c>
      <c r="BC205" s="89">
        <v>-7.0000000000000007E-2</v>
      </c>
      <c r="BD205" s="89">
        <v>5.0000000000000001E-3</v>
      </c>
      <c r="BE205" s="89">
        <v>0.43</v>
      </c>
      <c r="BF205" s="89">
        <v>0</v>
      </c>
      <c r="BG205" s="89">
        <v>-0.06</v>
      </c>
      <c r="BH205" s="89">
        <v>0</v>
      </c>
      <c r="BI205" s="89">
        <v>0</v>
      </c>
      <c r="BJ205" s="62">
        <v>0</v>
      </c>
      <c r="BK205" s="62">
        <v>0.43</v>
      </c>
      <c r="BL205" s="62">
        <v>0</v>
      </c>
      <c r="BM205" s="62">
        <v>0.05</v>
      </c>
      <c r="BN205" s="62">
        <v>0</v>
      </c>
      <c r="BO205" s="62">
        <v>-0.37</v>
      </c>
      <c r="BP205" s="62">
        <v>0</v>
      </c>
      <c r="BQ205" s="62">
        <v>0.5</v>
      </c>
      <c r="BR205" s="62">
        <v>0</v>
      </c>
      <c r="BS205" s="62">
        <v>-7.0000000000000007E-2</v>
      </c>
      <c r="BT205" s="62">
        <v>5.0000000000000001E-3</v>
      </c>
      <c r="BU205" s="62">
        <v>0.3</v>
      </c>
      <c r="BV205" s="62">
        <v>0</v>
      </c>
      <c r="BW205" s="62">
        <v>0</v>
      </c>
      <c r="BX205" s="62">
        <v>0</v>
      </c>
      <c r="BY205" s="62">
        <v>0</v>
      </c>
      <c r="BZ205" s="62">
        <v>0</v>
      </c>
      <c r="CA205" s="62">
        <v>0.14499999999999999</v>
      </c>
      <c r="CB205" s="62">
        <v>5.0000000000000001E-3</v>
      </c>
      <c r="CC205" s="62">
        <v>0</v>
      </c>
      <c r="CD205" s="62">
        <v>0</v>
      </c>
      <c r="CE205" s="62">
        <v>0</v>
      </c>
      <c r="CF205" s="62">
        <v>0</v>
      </c>
      <c r="CG205" s="62">
        <v>0</v>
      </c>
      <c r="CH205" s="62">
        <v>0</v>
      </c>
      <c r="CI205" s="62">
        <v>0</v>
      </c>
      <c r="CJ205" s="62">
        <v>0</v>
      </c>
      <c r="CK205" s="62">
        <v>0</v>
      </c>
      <c r="CL205" s="62">
        <v>0</v>
      </c>
      <c r="CM205" s="62">
        <v>0</v>
      </c>
      <c r="CN205" s="62">
        <v>0</v>
      </c>
      <c r="CO205" s="62">
        <v>0</v>
      </c>
      <c r="CP205" s="62">
        <v>0</v>
      </c>
      <c r="CQ205" s="62">
        <v>0</v>
      </c>
      <c r="CR205" s="62">
        <v>0</v>
      </c>
      <c r="CS205" s="62">
        <v>0.37</v>
      </c>
      <c r="CT205" s="62">
        <v>3.5000000000000003E-2</v>
      </c>
      <c r="CU205" s="62">
        <v>0.05</v>
      </c>
      <c r="CV205" s="62">
        <v>0</v>
      </c>
      <c r="CW205" s="62">
        <v>0.16500000000000001</v>
      </c>
      <c r="CX205" s="62">
        <v>7.4999999999999997E-3</v>
      </c>
      <c r="CY205" s="62">
        <v>-0.18</v>
      </c>
      <c r="CZ205" s="62">
        <v>0</v>
      </c>
      <c r="DA205" s="62">
        <v>0</v>
      </c>
      <c r="DB205" s="62">
        <v>0</v>
      </c>
      <c r="DC205" s="62">
        <v>0.85</v>
      </c>
      <c r="DE205" s="62">
        <v>-3.7999999999999999E-2</v>
      </c>
      <c r="DF205" s="62">
        <v>0.01</v>
      </c>
      <c r="DG205" s="62">
        <v>2.35E-2</v>
      </c>
      <c r="DH205" s="62">
        <v>0.01</v>
      </c>
      <c r="DI205" s="62">
        <v>8.5000000000000006E-3</v>
      </c>
      <c r="DJ205" s="62">
        <v>7.4999999999999997E-3</v>
      </c>
      <c r="DK205" s="62">
        <v>0</v>
      </c>
      <c r="DL205" s="62">
        <v>0</v>
      </c>
      <c r="DM205" s="62">
        <v>0</v>
      </c>
      <c r="DN205" s="62">
        <v>0</v>
      </c>
      <c r="DO205" s="62">
        <v>0</v>
      </c>
      <c r="DP205" s="62">
        <v>0</v>
      </c>
      <c r="DQ205" s="62">
        <v>0</v>
      </c>
      <c r="DR205" s="62">
        <v>0</v>
      </c>
      <c r="DS205" s="62">
        <v>0.33500000000000002</v>
      </c>
      <c r="DT205" s="62">
        <v>5.0000000000000001E-3</v>
      </c>
      <c r="DU205" s="62">
        <v>0</v>
      </c>
      <c r="DV205" s="62">
        <v>0</v>
      </c>
    </row>
    <row r="206" spans="4:126" x14ac:dyDescent="0.25">
      <c r="D206" s="91">
        <v>42917</v>
      </c>
      <c r="F206" s="89">
        <v>4.3345000000000002</v>
      </c>
      <c r="G206" s="90">
        <v>6.4611889371333706E-2</v>
      </c>
      <c r="H206" s="89">
        <v>0.17</v>
      </c>
      <c r="I206" s="89">
        <v>0.5</v>
      </c>
      <c r="J206" s="89">
        <v>0.5</v>
      </c>
      <c r="K206" s="89">
        <v>0.4</v>
      </c>
      <c r="L206" s="87">
        <v>0.5</v>
      </c>
      <c r="M206" s="87">
        <v>0.5</v>
      </c>
      <c r="N206" s="89">
        <v>0.5</v>
      </c>
      <c r="O206" s="89">
        <v>0.5</v>
      </c>
      <c r="P206" s="89">
        <v>0.5</v>
      </c>
      <c r="Q206" s="89">
        <v>0.5</v>
      </c>
      <c r="R206" s="90">
        <v>0.5</v>
      </c>
      <c r="S206" s="90">
        <v>0.55000000000000004</v>
      </c>
      <c r="T206" s="89">
        <v>0.5</v>
      </c>
      <c r="U206" s="89">
        <v>0.5</v>
      </c>
      <c r="V206" s="89">
        <v>0.6</v>
      </c>
      <c r="W206" s="89">
        <v>0</v>
      </c>
      <c r="X206" s="89">
        <v>0</v>
      </c>
      <c r="Y206" s="89">
        <v>0</v>
      </c>
      <c r="Z206" s="89">
        <v>0</v>
      </c>
      <c r="AA206" s="89">
        <v>0</v>
      </c>
      <c r="AB206" s="89">
        <v>0</v>
      </c>
      <c r="AC206" s="89">
        <v>0</v>
      </c>
      <c r="AD206" s="89">
        <v>0</v>
      </c>
      <c r="AE206" s="89">
        <v>0</v>
      </c>
      <c r="AF206" s="89">
        <v>0</v>
      </c>
      <c r="AG206" s="89">
        <v>0</v>
      </c>
      <c r="AH206" s="89">
        <v>0</v>
      </c>
      <c r="AI206" s="89">
        <v>0</v>
      </c>
      <c r="AJ206" s="89">
        <v>0</v>
      </c>
      <c r="AK206" s="89">
        <v>0</v>
      </c>
      <c r="AL206" s="89">
        <v>0</v>
      </c>
      <c r="AM206" s="89">
        <v>0</v>
      </c>
      <c r="AN206" s="89">
        <v>0</v>
      </c>
      <c r="AO206" s="89">
        <v>0</v>
      </c>
      <c r="AP206" s="89">
        <v>0</v>
      </c>
      <c r="AQ206" s="89">
        <v>0</v>
      </c>
      <c r="AR206" s="89">
        <v>0</v>
      </c>
      <c r="AS206" s="89">
        <v>0</v>
      </c>
      <c r="AT206" s="89">
        <v>0</v>
      </c>
      <c r="AU206" s="89">
        <v>0</v>
      </c>
      <c r="AV206" s="89">
        <v>0</v>
      </c>
      <c r="AW206" s="89">
        <v>0</v>
      </c>
      <c r="AX206" s="89">
        <v>0</v>
      </c>
      <c r="AY206" s="90">
        <v>0</v>
      </c>
      <c r="AZ206" s="90">
        <v>0</v>
      </c>
      <c r="BA206" s="90">
        <v>-0.19500000000000001</v>
      </c>
      <c r="BB206" s="89">
        <v>0</v>
      </c>
      <c r="BC206" s="89">
        <v>-7.0000000000000007E-2</v>
      </c>
      <c r="BD206" s="89">
        <v>5.0000000000000001E-3</v>
      </c>
      <c r="BE206" s="89">
        <v>0.43</v>
      </c>
      <c r="BF206" s="89">
        <v>0</v>
      </c>
      <c r="BG206" s="89">
        <v>-0.06</v>
      </c>
      <c r="BH206" s="89">
        <v>0</v>
      </c>
      <c r="BI206" s="89">
        <v>0</v>
      </c>
      <c r="BJ206" s="62">
        <v>0</v>
      </c>
      <c r="BK206" s="62">
        <v>0.43</v>
      </c>
      <c r="BL206" s="62">
        <v>0</v>
      </c>
      <c r="BM206" s="62">
        <v>0.05</v>
      </c>
      <c r="BN206" s="62">
        <v>0</v>
      </c>
      <c r="BO206" s="62">
        <v>-0.37</v>
      </c>
      <c r="BP206" s="62">
        <v>0</v>
      </c>
      <c r="BQ206" s="62">
        <v>0.5</v>
      </c>
      <c r="BR206" s="62">
        <v>0</v>
      </c>
      <c r="BS206" s="62">
        <v>-7.0000000000000007E-2</v>
      </c>
      <c r="BT206" s="62">
        <v>5.0000000000000001E-3</v>
      </c>
      <c r="BU206" s="62">
        <v>0.3</v>
      </c>
      <c r="BV206" s="62">
        <v>0</v>
      </c>
      <c r="BW206" s="62">
        <v>0</v>
      </c>
      <c r="BX206" s="62">
        <v>0</v>
      </c>
      <c r="BY206" s="62">
        <v>0</v>
      </c>
      <c r="BZ206" s="62">
        <v>0</v>
      </c>
      <c r="CA206" s="62">
        <v>0.15</v>
      </c>
      <c r="CB206" s="62">
        <v>5.0000000000000001E-3</v>
      </c>
      <c r="CC206" s="62">
        <v>0</v>
      </c>
      <c r="CD206" s="62">
        <v>0</v>
      </c>
      <c r="CE206" s="62">
        <v>0</v>
      </c>
      <c r="CF206" s="62">
        <v>0</v>
      </c>
      <c r="CG206" s="62">
        <v>0</v>
      </c>
      <c r="CH206" s="62">
        <v>0</v>
      </c>
      <c r="CI206" s="62">
        <v>0</v>
      </c>
      <c r="CJ206" s="62">
        <v>0</v>
      </c>
      <c r="CK206" s="62">
        <v>0</v>
      </c>
      <c r="CL206" s="62">
        <v>0</v>
      </c>
      <c r="CM206" s="62">
        <v>0</v>
      </c>
      <c r="CN206" s="62">
        <v>0</v>
      </c>
      <c r="CO206" s="62">
        <v>0</v>
      </c>
      <c r="CP206" s="62">
        <v>0</v>
      </c>
      <c r="CQ206" s="62">
        <v>0</v>
      </c>
      <c r="CR206" s="62">
        <v>0</v>
      </c>
      <c r="CS206" s="62">
        <v>0.41</v>
      </c>
      <c r="CT206" s="62">
        <v>3.5000000000000003E-2</v>
      </c>
      <c r="CU206" s="62">
        <v>0.05</v>
      </c>
      <c r="CV206" s="62">
        <v>0</v>
      </c>
      <c r="CW206" s="62">
        <v>0.20499999999999999</v>
      </c>
      <c r="CX206" s="62">
        <v>7.4999999999999997E-3</v>
      </c>
      <c r="CY206" s="62">
        <v>-0.18</v>
      </c>
      <c r="CZ206" s="62">
        <v>0</v>
      </c>
      <c r="DA206" s="62">
        <v>0</v>
      </c>
      <c r="DB206" s="62">
        <v>0</v>
      </c>
      <c r="DC206" s="62">
        <v>1.05</v>
      </c>
      <c r="DE206" s="62">
        <v>-3.7999999999999999E-2</v>
      </c>
      <c r="DF206" s="62">
        <v>0.01</v>
      </c>
      <c r="DG206" s="62">
        <v>2.35E-2</v>
      </c>
      <c r="DH206" s="62">
        <v>0.01</v>
      </c>
      <c r="DI206" s="62">
        <v>8.5000000000000006E-3</v>
      </c>
      <c r="DJ206" s="62">
        <v>7.4999999999999997E-3</v>
      </c>
      <c r="DK206" s="62">
        <v>0</v>
      </c>
      <c r="DL206" s="62">
        <v>0</v>
      </c>
      <c r="DM206" s="62">
        <v>0</v>
      </c>
      <c r="DN206" s="62">
        <v>0</v>
      </c>
      <c r="DO206" s="62">
        <v>0</v>
      </c>
      <c r="DP206" s="62">
        <v>0</v>
      </c>
      <c r="DQ206" s="62">
        <v>0</v>
      </c>
      <c r="DR206" s="62">
        <v>0</v>
      </c>
      <c r="DS206" s="62">
        <v>0.35</v>
      </c>
      <c r="DT206" s="62">
        <v>5.0000000000000001E-3</v>
      </c>
      <c r="DU206" s="62">
        <v>0</v>
      </c>
      <c r="DV206" s="62">
        <v>0</v>
      </c>
    </row>
    <row r="207" spans="4:126" x14ac:dyDescent="0.25">
      <c r="D207" s="91">
        <v>42948</v>
      </c>
      <c r="F207" s="89">
        <v>4.3745000000000003</v>
      </c>
      <c r="G207" s="90">
        <v>6.4652433490862901E-2</v>
      </c>
      <c r="H207" s="89">
        <v>0.17</v>
      </c>
      <c r="I207" s="89">
        <v>0.55000000000000004</v>
      </c>
      <c r="J207" s="89">
        <v>0.55000000000000004</v>
      </c>
      <c r="K207" s="89">
        <v>0.5</v>
      </c>
      <c r="L207" s="87">
        <v>0.6</v>
      </c>
      <c r="M207" s="87">
        <v>0.55000000000000004</v>
      </c>
      <c r="N207" s="89">
        <v>0.6</v>
      </c>
      <c r="O207" s="89">
        <v>0.55000000000000004</v>
      </c>
      <c r="P207" s="89">
        <v>0.6</v>
      </c>
      <c r="Q207" s="89">
        <v>0.45</v>
      </c>
      <c r="R207" s="90">
        <v>0.55000000000000004</v>
      </c>
      <c r="S207" s="90">
        <v>0.6</v>
      </c>
      <c r="T207" s="89">
        <v>0.55000000000000004</v>
      </c>
      <c r="U207" s="89">
        <v>0.6</v>
      </c>
      <c r="V207" s="89">
        <v>0.7</v>
      </c>
      <c r="W207" s="89">
        <v>0</v>
      </c>
      <c r="X207" s="89">
        <v>0</v>
      </c>
      <c r="Y207" s="89">
        <v>0</v>
      </c>
      <c r="Z207" s="89">
        <v>0</v>
      </c>
      <c r="AA207" s="89">
        <v>0</v>
      </c>
      <c r="AB207" s="89">
        <v>0</v>
      </c>
      <c r="AC207" s="89">
        <v>0</v>
      </c>
      <c r="AD207" s="89">
        <v>0</v>
      </c>
      <c r="AE207" s="89">
        <v>0</v>
      </c>
      <c r="AF207" s="89">
        <v>0</v>
      </c>
      <c r="AG207" s="89">
        <v>0</v>
      </c>
      <c r="AH207" s="89">
        <v>0</v>
      </c>
      <c r="AI207" s="89">
        <v>0</v>
      </c>
      <c r="AJ207" s="89">
        <v>0</v>
      </c>
      <c r="AK207" s="89">
        <v>0</v>
      </c>
      <c r="AL207" s="89">
        <v>0</v>
      </c>
      <c r="AM207" s="89">
        <v>0</v>
      </c>
      <c r="AN207" s="89">
        <v>0</v>
      </c>
      <c r="AO207" s="89">
        <v>0</v>
      </c>
      <c r="AP207" s="89">
        <v>0</v>
      </c>
      <c r="AQ207" s="89">
        <v>0</v>
      </c>
      <c r="AR207" s="89">
        <v>0</v>
      </c>
      <c r="AS207" s="89">
        <v>0</v>
      </c>
      <c r="AT207" s="89">
        <v>0</v>
      </c>
      <c r="AU207" s="89">
        <v>0</v>
      </c>
      <c r="AV207" s="89">
        <v>0</v>
      </c>
      <c r="AW207" s="89">
        <v>0</v>
      </c>
      <c r="AX207" s="89">
        <v>0</v>
      </c>
      <c r="AY207" s="90">
        <v>0</v>
      </c>
      <c r="AZ207" s="90">
        <v>0</v>
      </c>
      <c r="BA207" s="90">
        <v>-0.19500000000000001</v>
      </c>
      <c r="BB207" s="89">
        <v>0</v>
      </c>
      <c r="BC207" s="89">
        <v>-7.0000000000000007E-2</v>
      </c>
      <c r="BD207" s="89">
        <v>5.0000000000000001E-3</v>
      </c>
      <c r="BE207" s="89">
        <v>0.43</v>
      </c>
      <c r="BF207" s="89">
        <v>0</v>
      </c>
      <c r="BG207" s="89">
        <v>-0.06</v>
      </c>
      <c r="BH207" s="89">
        <v>0</v>
      </c>
      <c r="BI207" s="89">
        <v>0</v>
      </c>
      <c r="BJ207" s="62">
        <v>0</v>
      </c>
      <c r="BK207" s="62">
        <v>0.43</v>
      </c>
      <c r="BL207" s="62">
        <v>0</v>
      </c>
      <c r="BM207" s="62">
        <v>0.05</v>
      </c>
      <c r="BN207" s="62">
        <v>0</v>
      </c>
      <c r="BO207" s="62">
        <v>-0.37</v>
      </c>
      <c r="BP207" s="62">
        <v>0</v>
      </c>
      <c r="BQ207" s="62">
        <v>0.5</v>
      </c>
      <c r="BR207" s="62">
        <v>0</v>
      </c>
      <c r="BS207" s="62">
        <v>-7.0000000000000007E-2</v>
      </c>
      <c r="BT207" s="62">
        <v>5.0000000000000001E-3</v>
      </c>
      <c r="BU207" s="62">
        <v>0.3</v>
      </c>
      <c r="BV207" s="62">
        <v>0</v>
      </c>
      <c r="BW207" s="62">
        <v>0</v>
      </c>
      <c r="BX207" s="62">
        <v>0</v>
      </c>
      <c r="BY207" s="62">
        <v>0</v>
      </c>
      <c r="BZ207" s="62">
        <v>0</v>
      </c>
      <c r="CA207" s="62">
        <v>0.15</v>
      </c>
      <c r="CB207" s="62">
        <v>5.0000000000000001E-3</v>
      </c>
      <c r="CC207" s="62">
        <v>0</v>
      </c>
      <c r="CD207" s="62">
        <v>0</v>
      </c>
      <c r="CE207" s="62">
        <v>0</v>
      </c>
      <c r="CF207" s="62">
        <v>0</v>
      </c>
      <c r="CG207" s="62">
        <v>0</v>
      </c>
      <c r="CH207" s="62">
        <v>0</v>
      </c>
      <c r="CI207" s="62">
        <v>0</v>
      </c>
      <c r="CJ207" s="62">
        <v>0</v>
      </c>
      <c r="CK207" s="62">
        <v>0</v>
      </c>
      <c r="CL207" s="62">
        <v>0</v>
      </c>
      <c r="CM207" s="62">
        <v>0</v>
      </c>
      <c r="CN207" s="62">
        <v>0</v>
      </c>
      <c r="CO207" s="62">
        <v>0</v>
      </c>
      <c r="CP207" s="62">
        <v>0</v>
      </c>
      <c r="CQ207" s="62">
        <v>0</v>
      </c>
      <c r="CR207" s="62">
        <v>0</v>
      </c>
      <c r="CS207" s="62">
        <v>0.41</v>
      </c>
      <c r="CT207" s="62">
        <v>0.01</v>
      </c>
      <c r="CU207" s="62">
        <v>0.05</v>
      </c>
      <c r="CV207" s="62">
        <v>0</v>
      </c>
      <c r="CW207" s="62">
        <v>0.20499999999999999</v>
      </c>
      <c r="CX207" s="62">
        <v>7.4999999999999997E-3</v>
      </c>
      <c r="CY207" s="62">
        <v>-0.18</v>
      </c>
      <c r="CZ207" s="62">
        <v>0</v>
      </c>
      <c r="DA207" s="62">
        <v>0</v>
      </c>
      <c r="DB207" s="62">
        <v>0</v>
      </c>
      <c r="DC207" s="62">
        <v>1.05</v>
      </c>
      <c r="DE207" s="62">
        <v>-3.7999999999999999E-2</v>
      </c>
      <c r="DF207" s="62">
        <v>0.01</v>
      </c>
      <c r="DG207" s="62">
        <v>1.8499999999999999E-2</v>
      </c>
      <c r="DH207" s="62">
        <v>0.01</v>
      </c>
      <c r="DI207" s="62">
        <v>3.5000000000000001E-3</v>
      </c>
      <c r="DJ207" s="62">
        <v>7.4999999999999997E-3</v>
      </c>
      <c r="DK207" s="62">
        <v>0</v>
      </c>
      <c r="DL207" s="62">
        <v>0</v>
      </c>
      <c r="DM207" s="62">
        <v>0</v>
      </c>
      <c r="DN207" s="62">
        <v>0</v>
      </c>
      <c r="DO207" s="62">
        <v>0</v>
      </c>
      <c r="DP207" s="62">
        <v>0</v>
      </c>
      <c r="DQ207" s="62">
        <v>0</v>
      </c>
      <c r="DR207" s="62">
        <v>0</v>
      </c>
      <c r="DS207" s="62">
        <v>0.35</v>
      </c>
      <c r="DT207" s="62">
        <v>-5.0000000000000001E-3</v>
      </c>
      <c r="DU207" s="62">
        <v>0</v>
      </c>
      <c r="DV207" s="62">
        <v>0</v>
      </c>
    </row>
    <row r="208" spans="4:126" x14ac:dyDescent="0.25">
      <c r="D208" s="91">
        <v>42979</v>
      </c>
      <c r="F208" s="89">
        <v>4.3695000000000004</v>
      </c>
      <c r="G208" s="90">
        <v>6.4692977610936606E-2</v>
      </c>
      <c r="H208" s="89">
        <v>0.17</v>
      </c>
      <c r="I208" s="89">
        <v>0.55000000000000004</v>
      </c>
      <c r="J208" s="89">
        <v>0.55000000000000004</v>
      </c>
      <c r="K208" s="89">
        <v>0.55000000000000004</v>
      </c>
      <c r="L208" s="87">
        <v>0.55000000000000004</v>
      </c>
      <c r="M208" s="87">
        <v>0.55000000000000004</v>
      </c>
      <c r="N208" s="89">
        <v>0.6</v>
      </c>
      <c r="O208" s="89">
        <v>0.6</v>
      </c>
      <c r="P208" s="89">
        <v>0.55000000000000004</v>
      </c>
      <c r="Q208" s="89">
        <v>0.5</v>
      </c>
      <c r="R208" s="90">
        <v>0.55000000000000004</v>
      </c>
      <c r="S208" s="90">
        <v>0.6</v>
      </c>
      <c r="T208" s="89">
        <v>0.55000000000000004</v>
      </c>
      <c r="U208" s="89">
        <v>0.6</v>
      </c>
      <c r="V208" s="89">
        <v>0.65</v>
      </c>
      <c r="W208" s="89">
        <v>0</v>
      </c>
      <c r="X208" s="89">
        <v>0</v>
      </c>
      <c r="Y208" s="89">
        <v>0</v>
      </c>
      <c r="Z208" s="89">
        <v>0</v>
      </c>
      <c r="AA208" s="89">
        <v>0</v>
      </c>
      <c r="AB208" s="89">
        <v>0</v>
      </c>
      <c r="AC208" s="89">
        <v>0</v>
      </c>
      <c r="AD208" s="89">
        <v>0</v>
      </c>
      <c r="AE208" s="89">
        <v>0</v>
      </c>
      <c r="AF208" s="89">
        <v>0</v>
      </c>
      <c r="AG208" s="89">
        <v>0</v>
      </c>
      <c r="AH208" s="89">
        <v>0</v>
      </c>
      <c r="AI208" s="89">
        <v>0</v>
      </c>
      <c r="AJ208" s="89">
        <v>0</v>
      </c>
      <c r="AK208" s="89">
        <v>0</v>
      </c>
      <c r="AL208" s="89">
        <v>0</v>
      </c>
      <c r="AM208" s="89">
        <v>0</v>
      </c>
      <c r="AN208" s="89">
        <v>0</v>
      </c>
      <c r="AO208" s="89">
        <v>0</v>
      </c>
      <c r="AP208" s="89">
        <v>0</v>
      </c>
      <c r="AQ208" s="89">
        <v>0</v>
      </c>
      <c r="AR208" s="89">
        <v>0</v>
      </c>
      <c r="AS208" s="89">
        <v>0</v>
      </c>
      <c r="AT208" s="89">
        <v>0</v>
      </c>
      <c r="AU208" s="89">
        <v>0</v>
      </c>
      <c r="AV208" s="89">
        <v>0</v>
      </c>
      <c r="AW208" s="89">
        <v>0</v>
      </c>
      <c r="AX208" s="89">
        <v>0</v>
      </c>
      <c r="AY208" s="90">
        <v>0</v>
      </c>
      <c r="AZ208" s="90">
        <v>0</v>
      </c>
      <c r="BA208" s="90">
        <v>-0.19500000000000001</v>
      </c>
      <c r="BB208" s="89">
        <v>0</v>
      </c>
      <c r="BC208" s="89">
        <v>-7.0000000000000007E-2</v>
      </c>
      <c r="BD208" s="89">
        <v>5.0000000000000001E-3</v>
      </c>
      <c r="BE208" s="89">
        <v>0.43</v>
      </c>
      <c r="BF208" s="89">
        <v>0</v>
      </c>
      <c r="BG208" s="89">
        <v>-0.06</v>
      </c>
      <c r="BH208" s="89">
        <v>0</v>
      </c>
      <c r="BI208" s="89">
        <v>0</v>
      </c>
      <c r="BJ208" s="62">
        <v>0</v>
      </c>
      <c r="BK208" s="62">
        <v>0.43</v>
      </c>
      <c r="BL208" s="62">
        <v>0</v>
      </c>
      <c r="BM208" s="62">
        <v>0.05</v>
      </c>
      <c r="BN208" s="62">
        <v>0</v>
      </c>
      <c r="BO208" s="62">
        <v>-0.37</v>
      </c>
      <c r="BP208" s="62">
        <v>0</v>
      </c>
      <c r="BQ208" s="62">
        <v>0.5</v>
      </c>
      <c r="BR208" s="62">
        <v>0</v>
      </c>
      <c r="BS208" s="62">
        <v>-7.0000000000000007E-2</v>
      </c>
      <c r="BT208" s="62">
        <v>5.0000000000000001E-3</v>
      </c>
      <c r="BU208" s="62">
        <v>0.3</v>
      </c>
      <c r="BV208" s="62">
        <v>0</v>
      </c>
      <c r="BW208" s="62">
        <v>0</v>
      </c>
      <c r="BX208" s="62">
        <v>0</v>
      </c>
      <c r="BY208" s="62">
        <v>0</v>
      </c>
      <c r="BZ208" s="62">
        <v>0</v>
      </c>
      <c r="CA208" s="62">
        <v>0.125</v>
      </c>
      <c r="CB208" s="62">
        <v>5.0000000000000001E-3</v>
      </c>
      <c r="CC208" s="62">
        <v>0</v>
      </c>
      <c r="CD208" s="62">
        <v>0</v>
      </c>
      <c r="CE208" s="62">
        <v>0</v>
      </c>
      <c r="CF208" s="62">
        <v>0</v>
      </c>
      <c r="CG208" s="62">
        <v>0</v>
      </c>
      <c r="CH208" s="62">
        <v>0</v>
      </c>
      <c r="CI208" s="62">
        <v>0</v>
      </c>
      <c r="CJ208" s="62">
        <v>0</v>
      </c>
      <c r="CK208" s="62">
        <v>0</v>
      </c>
      <c r="CL208" s="62">
        <v>0</v>
      </c>
      <c r="CM208" s="62">
        <v>0</v>
      </c>
      <c r="CN208" s="62">
        <v>0</v>
      </c>
      <c r="CO208" s="62">
        <v>0</v>
      </c>
      <c r="CP208" s="62">
        <v>0</v>
      </c>
      <c r="CQ208" s="62">
        <v>0</v>
      </c>
      <c r="CR208" s="62">
        <v>0</v>
      </c>
      <c r="CS208" s="62">
        <v>0.36</v>
      </c>
      <c r="CT208" s="62">
        <v>0.01</v>
      </c>
      <c r="CU208" s="62">
        <v>0.05</v>
      </c>
      <c r="CV208" s="62">
        <v>0</v>
      </c>
      <c r="CW208" s="62">
        <v>0.14499999999999999</v>
      </c>
      <c r="CX208" s="62">
        <v>7.4999999999999997E-3</v>
      </c>
      <c r="CY208" s="62">
        <v>-0.18</v>
      </c>
      <c r="CZ208" s="62">
        <v>0</v>
      </c>
      <c r="DA208" s="62">
        <v>0</v>
      </c>
      <c r="DB208" s="62">
        <v>0</v>
      </c>
      <c r="DC208" s="62">
        <v>0.75</v>
      </c>
      <c r="DE208" s="62">
        <v>-4.2999999999999997E-2</v>
      </c>
      <c r="DF208" s="62">
        <v>0.01</v>
      </c>
      <c r="DG208" s="62">
        <v>1.8499999999999999E-2</v>
      </c>
      <c r="DH208" s="62">
        <v>0.01</v>
      </c>
      <c r="DI208" s="62">
        <v>3.5000000000000001E-3</v>
      </c>
      <c r="DJ208" s="62">
        <v>7.4999999999999997E-3</v>
      </c>
      <c r="DK208" s="62">
        <v>0</v>
      </c>
      <c r="DL208" s="62">
        <v>0</v>
      </c>
      <c r="DM208" s="62">
        <v>0</v>
      </c>
      <c r="DN208" s="62">
        <v>0</v>
      </c>
      <c r="DO208" s="62">
        <v>0</v>
      </c>
      <c r="DP208" s="62">
        <v>0</v>
      </c>
      <c r="DQ208" s="62">
        <v>0</v>
      </c>
      <c r="DR208" s="62">
        <v>0</v>
      </c>
      <c r="DS208" s="62">
        <v>0.315</v>
      </c>
      <c r="DT208" s="62">
        <v>-5.0000000000000001E-3</v>
      </c>
      <c r="DU208" s="62">
        <v>0</v>
      </c>
      <c r="DV208" s="62">
        <v>0</v>
      </c>
    </row>
    <row r="209" spans="4:126" x14ac:dyDescent="0.25">
      <c r="D209" s="91">
        <v>43009</v>
      </c>
      <c r="F209" s="89">
        <v>4.3944999999999999</v>
      </c>
      <c r="G209" s="90">
        <v>6.4732213856688203E-2</v>
      </c>
      <c r="H209" s="89">
        <v>0.17</v>
      </c>
      <c r="I209" s="89">
        <v>0.6</v>
      </c>
      <c r="J209" s="89">
        <v>0.6</v>
      </c>
      <c r="K209" s="89">
        <v>0.55000000000000004</v>
      </c>
      <c r="L209" s="87">
        <v>0.6</v>
      </c>
      <c r="M209" s="87">
        <v>0.6</v>
      </c>
      <c r="N209" s="89">
        <v>0.65</v>
      </c>
      <c r="O209" s="89">
        <v>0.65</v>
      </c>
      <c r="P209" s="89">
        <v>0.6</v>
      </c>
      <c r="Q209" s="89">
        <v>0.5</v>
      </c>
      <c r="R209" s="90">
        <v>0.6</v>
      </c>
      <c r="S209" s="90">
        <v>0.65</v>
      </c>
      <c r="T209" s="89">
        <v>0.6</v>
      </c>
      <c r="U209" s="89">
        <v>0.65</v>
      </c>
      <c r="V209" s="89">
        <v>0.7</v>
      </c>
      <c r="W209" s="89">
        <v>0</v>
      </c>
      <c r="X209" s="89">
        <v>0</v>
      </c>
      <c r="Y209" s="89">
        <v>0</v>
      </c>
      <c r="Z209" s="89">
        <v>0</v>
      </c>
      <c r="AA209" s="89">
        <v>0</v>
      </c>
      <c r="AB209" s="89">
        <v>0</v>
      </c>
      <c r="AC209" s="89">
        <v>0</v>
      </c>
      <c r="AD209" s="89">
        <v>0</v>
      </c>
      <c r="AE209" s="89">
        <v>0</v>
      </c>
      <c r="AF209" s="89">
        <v>0</v>
      </c>
      <c r="AG209" s="89">
        <v>0</v>
      </c>
      <c r="AH209" s="89">
        <v>0</v>
      </c>
      <c r="AI209" s="89">
        <v>0</v>
      </c>
      <c r="AJ209" s="89">
        <v>0</v>
      </c>
      <c r="AK209" s="89">
        <v>0</v>
      </c>
      <c r="AL209" s="89">
        <v>0</v>
      </c>
      <c r="AM209" s="89">
        <v>0</v>
      </c>
      <c r="AN209" s="89">
        <v>0</v>
      </c>
      <c r="AO209" s="89">
        <v>0</v>
      </c>
      <c r="AP209" s="89">
        <v>0</v>
      </c>
      <c r="AQ209" s="89">
        <v>0</v>
      </c>
      <c r="AR209" s="89">
        <v>0</v>
      </c>
      <c r="AS209" s="89">
        <v>0</v>
      </c>
      <c r="AT209" s="89">
        <v>0</v>
      </c>
      <c r="AU209" s="89">
        <v>0</v>
      </c>
      <c r="AV209" s="89">
        <v>0</v>
      </c>
      <c r="AW209" s="89">
        <v>0</v>
      </c>
      <c r="AX209" s="89">
        <v>0</v>
      </c>
      <c r="AY209" s="90">
        <v>0</v>
      </c>
      <c r="AZ209" s="90">
        <v>0</v>
      </c>
      <c r="BA209" s="90">
        <v>-0.19500000000000001</v>
      </c>
      <c r="BB209" s="89">
        <v>0</v>
      </c>
      <c r="BC209" s="89">
        <v>-7.0000000000000007E-2</v>
      </c>
      <c r="BD209" s="89">
        <v>5.0000000000000001E-3</v>
      </c>
      <c r="BE209" s="89">
        <v>0.43</v>
      </c>
      <c r="BF209" s="89">
        <v>0</v>
      </c>
      <c r="BG209" s="89">
        <v>-0.06</v>
      </c>
      <c r="BH209" s="89">
        <v>0</v>
      </c>
      <c r="BI209" s="89">
        <v>0</v>
      </c>
      <c r="BJ209" s="62">
        <v>0</v>
      </c>
      <c r="BK209" s="62">
        <v>0.43</v>
      </c>
      <c r="BL209" s="62">
        <v>0</v>
      </c>
      <c r="BM209" s="62">
        <v>0.05</v>
      </c>
      <c r="BN209" s="62">
        <v>0</v>
      </c>
      <c r="BO209" s="62">
        <v>-0.37</v>
      </c>
      <c r="BP209" s="62">
        <v>0</v>
      </c>
      <c r="BQ209" s="62">
        <v>0.5</v>
      </c>
      <c r="BR209" s="62">
        <v>0</v>
      </c>
      <c r="BS209" s="62">
        <v>-7.0000000000000007E-2</v>
      </c>
      <c r="BT209" s="62">
        <v>5.0000000000000001E-3</v>
      </c>
      <c r="BU209" s="62">
        <v>0.3</v>
      </c>
      <c r="BV209" s="62">
        <v>0</v>
      </c>
      <c r="BW209" s="62">
        <v>0</v>
      </c>
      <c r="BX209" s="62">
        <v>0</v>
      </c>
      <c r="BY209" s="62">
        <v>0</v>
      </c>
      <c r="BZ209" s="62">
        <v>0</v>
      </c>
      <c r="CA209" s="62">
        <v>0.14499999999999999</v>
      </c>
      <c r="CB209" s="62">
        <v>5.0000000000000001E-3</v>
      </c>
      <c r="CC209" s="62">
        <v>0</v>
      </c>
      <c r="CD209" s="62">
        <v>0</v>
      </c>
      <c r="CE209" s="62">
        <v>0</v>
      </c>
      <c r="CF209" s="62">
        <v>0</v>
      </c>
      <c r="CG209" s="62">
        <v>0</v>
      </c>
      <c r="CH209" s="62">
        <v>0</v>
      </c>
      <c r="CI209" s="62">
        <v>0</v>
      </c>
      <c r="CJ209" s="62">
        <v>0</v>
      </c>
      <c r="CK209" s="62">
        <v>0</v>
      </c>
      <c r="CL209" s="62">
        <v>0</v>
      </c>
      <c r="CM209" s="62">
        <v>0</v>
      </c>
      <c r="CN209" s="62">
        <v>0</v>
      </c>
      <c r="CO209" s="62">
        <v>0</v>
      </c>
      <c r="CP209" s="62">
        <v>0</v>
      </c>
      <c r="CQ209" s="62">
        <v>0</v>
      </c>
      <c r="CR209" s="62">
        <v>0</v>
      </c>
      <c r="CS209" s="62">
        <v>0.4</v>
      </c>
      <c r="CT209" s="62">
        <v>0.01</v>
      </c>
      <c r="CU209" s="62">
        <v>0.05</v>
      </c>
      <c r="CV209" s="62">
        <v>0</v>
      </c>
      <c r="CW209" s="62">
        <v>0.17499999999999999</v>
      </c>
      <c r="CX209" s="62">
        <v>7.4999999999999997E-3</v>
      </c>
      <c r="CY209" s="62">
        <v>-0.18</v>
      </c>
      <c r="CZ209" s="62">
        <v>0</v>
      </c>
      <c r="DA209" s="62">
        <v>0</v>
      </c>
      <c r="DB209" s="62">
        <v>0</v>
      </c>
      <c r="DC209" s="62">
        <v>0.45</v>
      </c>
      <c r="DE209" s="62">
        <v>-4.2999999999999997E-2</v>
      </c>
      <c r="DF209" s="62">
        <v>0.01</v>
      </c>
      <c r="DG209" s="62">
        <v>1.6E-2</v>
      </c>
      <c r="DH209" s="62">
        <v>0.01</v>
      </c>
      <c r="DI209" s="62">
        <v>1E-3</v>
      </c>
      <c r="DJ209" s="62">
        <v>7.4999999999999997E-3</v>
      </c>
      <c r="DK209" s="62">
        <v>0</v>
      </c>
      <c r="DL209" s="62">
        <v>0</v>
      </c>
      <c r="DM209" s="62">
        <v>0</v>
      </c>
      <c r="DN209" s="62">
        <v>0</v>
      </c>
      <c r="DO209" s="62">
        <v>0</v>
      </c>
      <c r="DP209" s="62">
        <v>0</v>
      </c>
      <c r="DQ209" s="62">
        <v>0</v>
      </c>
      <c r="DR209" s="62">
        <v>0</v>
      </c>
      <c r="DS209" s="62">
        <v>0.36</v>
      </c>
      <c r="DT209" s="62">
        <v>-5.0000000000000001E-3</v>
      </c>
      <c r="DU209" s="62">
        <v>0</v>
      </c>
      <c r="DV209" s="62">
        <v>0</v>
      </c>
    </row>
    <row r="210" spans="4:126" x14ac:dyDescent="0.25">
      <c r="D210" s="91">
        <v>43040</v>
      </c>
      <c r="F210" s="89">
        <v>4.5465</v>
      </c>
      <c r="G210" s="90">
        <v>6.4772757977834799E-2</v>
      </c>
      <c r="H210" s="89">
        <v>0.17</v>
      </c>
      <c r="I210" s="89">
        <v>0.8</v>
      </c>
      <c r="J210" s="89">
        <v>0.85</v>
      </c>
      <c r="K210" s="89">
        <v>0.8</v>
      </c>
      <c r="L210" s="87">
        <v>0.8</v>
      </c>
      <c r="M210" s="87">
        <v>0.9</v>
      </c>
      <c r="N210" s="89">
        <v>0.95</v>
      </c>
      <c r="O210" s="89">
        <v>0.85</v>
      </c>
      <c r="P210" s="89">
        <v>0.8</v>
      </c>
      <c r="Q210" s="89">
        <v>0.95</v>
      </c>
      <c r="R210" s="90">
        <v>0.8</v>
      </c>
      <c r="S210" s="90">
        <v>0.8</v>
      </c>
      <c r="T210" s="89">
        <v>0.8</v>
      </c>
      <c r="U210" s="89">
        <v>0.95</v>
      </c>
      <c r="V210" s="89">
        <v>0.9</v>
      </c>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90"/>
      <c r="AZ210" s="90"/>
      <c r="BA210" s="90">
        <v>-0.13</v>
      </c>
      <c r="BB210" s="89">
        <v>0</v>
      </c>
      <c r="BC210" s="89">
        <v>-7.0000000000000007E-2</v>
      </c>
      <c r="BD210" s="89">
        <v>5.0000000000000001E-3</v>
      </c>
      <c r="BE210" s="89">
        <v>0.35</v>
      </c>
      <c r="BF210" s="89">
        <v>0</v>
      </c>
      <c r="BG210" s="89">
        <v>-0.06</v>
      </c>
      <c r="BH210" s="89">
        <v>0</v>
      </c>
      <c r="BI210" s="89">
        <v>0</v>
      </c>
      <c r="BJ210" s="62">
        <v>0</v>
      </c>
      <c r="BK210" s="62">
        <v>0.35</v>
      </c>
      <c r="BL210" s="62">
        <v>0</v>
      </c>
      <c r="BM210" s="62">
        <v>0.05</v>
      </c>
      <c r="BN210" s="62">
        <v>0</v>
      </c>
      <c r="BO210" s="62">
        <v>-0.26</v>
      </c>
      <c r="BP210" s="62">
        <v>0</v>
      </c>
      <c r="BQ210" s="62">
        <v>0.5</v>
      </c>
      <c r="BR210" s="62">
        <v>0</v>
      </c>
      <c r="BS210" s="62">
        <v>-7.0000000000000007E-2</v>
      </c>
      <c r="BT210" s="62">
        <v>5.0000000000000001E-3</v>
      </c>
      <c r="BU210" s="62">
        <v>0.3</v>
      </c>
      <c r="BV210" s="62">
        <v>0</v>
      </c>
      <c r="BW210" s="62">
        <v>0</v>
      </c>
      <c r="BX210" s="62">
        <v>0</v>
      </c>
      <c r="BY210" s="62">
        <v>0</v>
      </c>
      <c r="BZ210" s="62">
        <v>0</v>
      </c>
      <c r="CA210" s="62">
        <v>0.19500000000000001</v>
      </c>
      <c r="CB210" s="62">
        <v>5.0000000000000001E-3</v>
      </c>
      <c r="CC210" s="62">
        <v>0</v>
      </c>
      <c r="CD210" s="62">
        <v>0</v>
      </c>
      <c r="CE210" s="62">
        <v>0</v>
      </c>
      <c r="CF210" s="62">
        <v>0</v>
      </c>
      <c r="CG210" s="62">
        <v>0</v>
      </c>
      <c r="CH210" s="62">
        <v>0</v>
      </c>
      <c r="CI210" s="62">
        <v>0</v>
      </c>
      <c r="CJ210" s="62">
        <v>0</v>
      </c>
      <c r="CK210" s="62">
        <v>0</v>
      </c>
      <c r="CL210" s="62">
        <v>0</v>
      </c>
      <c r="CM210" s="62">
        <v>0</v>
      </c>
      <c r="CN210" s="62">
        <v>0</v>
      </c>
      <c r="CO210" s="62">
        <v>0</v>
      </c>
      <c r="CP210" s="62">
        <v>0</v>
      </c>
      <c r="CQ210" s="62">
        <v>0</v>
      </c>
      <c r="CR210" s="62">
        <v>0</v>
      </c>
      <c r="CS210" s="62">
        <v>0.65</v>
      </c>
      <c r="CT210" s="62">
        <v>5.5E-2</v>
      </c>
      <c r="CU210" s="62">
        <v>0.05</v>
      </c>
      <c r="CV210" s="62">
        <v>0</v>
      </c>
      <c r="CW210" s="62">
        <v>0.21</v>
      </c>
      <c r="CX210" s="62">
        <v>0.02</v>
      </c>
      <c r="CY210" s="62">
        <v>-0.18</v>
      </c>
      <c r="CZ210" s="62">
        <v>0</v>
      </c>
      <c r="DA210" s="62">
        <v>0</v>
      </c>
      <c r="DB210" s="62">
        <v>0</v>
      </c>
      <c r="DC210" s="62">
        <v>0.45</v>
      </c>
      <c r="DE210" s="62">
        <v>-3.15E-2</v>
      </c>
      <c r="DF210" s="62">
        <v>1.2500000000000001E-2</v>
      </c>
      <c r="DG210" s="62">
        <v>1.7000000000000001E-2</v>
      </c>
      <c r="DH210" s="62">
        <v>7.4999999999999997E-3</v>
      </c>
      <c r="DI210" s="62">
        <v>2E-3</v>
      </c>
      <c r="DJ210" s="62">
        <v>2.5000000000000001E-3</v>
      </c>
      <c r="DK210" s="62">
        <v>0</v>
      </c>
      <c r="DL210" s="62">
        <v>0</v>
      </c>
      <c r="DM210" s="62">
        <v>0</v>
      </c>
      <c r="DN210" s="62">
        <v>0</v>
      </c>
      <c r="DO210" s="62">
        <v>0</v>
      </c>
      <c r="DP210" s="62">
        <v>0</v>
      </c>
      <c r="DQ210" s="62">
        <v>0</v>
      </c>
      <c r="DR210" s="62">
        <v>0</v>
      </c>
      <c r="DS210" s="62">
        <v>0.46</v>
      </c>
      <c r="DT210" s="62">
        <v>0.05</v>
      </c>
      <c r="DU210" s="62"/>
      <c r="DV210" s="62"/>
    </row>
    <row r="211" spans="4:126" x14ac:dyDescent="0.25">
      <c r="D211" s="91">
        <v>43070</v>
      </c>
      <c r="F211" s="89">
        <v>4.6894999999999998</v>
      </c>
      <c r="G211" s="90">
        <v>6.4811994224624594E-2</v>
      </c>
      <c r="H211" s="89">
        <v>0.17</v>
      </c>
      <c r="I211" s="89">
        <v>1</v>
      </c>
      <c r="J211" s="89">
        <v>1.05</v>
      </c>
      <c r="K211" s="89">
        <v>1</v>
      </c>
      <c r="L211" s="87">
        <v>1</v>
      </c>
      <c r="M211" s="87">
        <v>1.1499999999999999</v>
      </c>
      <c r="N211" s="89">
        <v>1.25</v>
      </c>
      <c r="O211" s="89">
        <v>1.05</v>
      </c>
      <c r="P211" s="89">
        <v>1</v>
      </c>
      <c r="Q211" s="89">
        <v>1.35</v>
      </c>
      <c r="R211" s="90">
        <v>1</v>
      </c>
      <c r="S211" s="90">
        <v>1.1000000000000001</v>
      </c>
      <c r="T211" s="89">
        <v>1</v>
      </c>
      <c r="U211" s="89">
        <v>1.25</v>
      </c>
      <c r="V211" s="89">
        <v>1.1000000000000001</v>
      </c>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90"/>
      <c r="AZ211" s="90"/>
      <c r="BA211" s="90">
        <v>-0.13</v>
      </c>
      <c r="BB211" s="89">
        <v>0</v>
      </c>
      <c r="BC211" s="89">
        <v>-7.0000000000000007E-2</v>
      </c>
      <c r="BD211" s="89">
        <v>5.0000000000000001E-3</v>
      </c>
      <c r="BE211" s="89">
        <v>0.35</v>
      </c>
      <c r="BF211" s="89">
        <v>0</v>
      </c>
      <c r="BG211" s="89">
        <v>-0.06</v>
      </c>
      <c r="BH211" s="89">
        <v>0</v>
      </c>
      <c r="BI211" s="89">
        <v>0</v>
      </c>
      <c r="BJ211" s="62">
        <v>0</v>
      </c>
      <c r="BK211" s="62">
        <v>0.35</v>
      </c>
      <c r="BL211" s="62">
        <v>0</v>
      </c>
      <c r="BM211" s="62">
        <v>0.05</v>
      </c>
      <c r="BN211" s="62">
        <v>0</v>
      </c>
      <c r="BO211" s="62">
        <v>-0.26</v>
      </c>
      <c r="BP211" s="62">
        <v>0</v>
      </c>
      <c r="BQ211" s="62">
        <v>0.5</v>
      </c>
      <c r="BR211" s="62">
        <v>0</v>
      </c>
      <c r="BS211" s="62">
        <v>-7.0000000000000007E-2</v>
      </c>
      <c r="BT211" s="62">
        <v>5.0000000000000001E-3</v>
      </c>
      <c r="BU211" s="62">
        <v>0.3</v>
      </c>
      <c r="BV211" s="62">
        <v>0</v>
      </c>
      <c r="BW211" s="62">
        <v>0</v>
      </c>
      <c r="BX211" s="62">
        <v>0</v>
      </c>
      <c r="BY211" s="62">
        <v>0</v>
      </c>
      <c r="BZ211" s="62">
        <v>0</v>
      </c>
      <c r="CA211" s="62">
        <v>0.215</v>
      </c>
      <c r="CB211" s="62">
        <v>5.0000000000000001E-3</v>
      </c>
      <c r="CC211" s="62">
        <v>0</v>
      </c>
      <c r="CD211" s="62">
        <v>0</v>
      </c>
      <c r="CE211" s="62">
        <v>0</v>
      </c>
      <c r="CF211" s="62">
        <v>0</v>
      </c>
      <c r="CG211" s="62">
        <v>0</v>
      </c>
      <c r="CH211" s="62">
        <v>0</v>
      </c>
      <c r="CI211" s="62">
        <v>0</v>
      </c>
      <c r="CJ211" s="62">
        <v>0</v>
      </c>
      <c r="CK211" s="62">
        <v>0</v>
      </c>
      <c r="CL211" s="62">
        <v>0</v>
      </c>
      <c r="CM211" s="62">
        <v>0</v>
      </c>
      <c r="CN211" s="62">
        <v>0</v>
      </c>
      <c r="CO211" s="62">
        <v>0</v>
      </c>
      <c r="CP211" s="62">
        <v>0</v>
      </c>
      <c r="CQ211" s="62">
        <v>0</v>
      </c>
      <c r="CR211" s="62">
        <v>0</v>
      </c>
      <c r="CS211" s="62">
        <v>0.98</v>
      </c>
      <c r="CT211" s="62">
        <v>0.25</v>
      </c>
      <c r="CU211" s="62">
        <v>0.05</v>
      </c>
      <c r="CV211" s="62">
        <v>0</v>
      </c>
      <c r="CW211" s="62">
        <v>0.28999999999999998</v>
      </c>
      <c r="CX211" s="62">
        <v>0.02</v>
      </c>
      <c r="CY211" s="62">
        <v>-0.18</v>
      </c>
      <c r="CZ211" s="62">
        <v>0</v>
      </c>
      <c r="DA211" s="62">
        <v>0</v>
      </c>
      <c r="DB211" s="62">
        <v>0</v>
      </c>
      <c r="DC211" s="62">
        <v>0.4</v>
      </c>
      <c r="DE211" s="62">
        <v>-3.15E-2</v>
      </c>
      <c r="DF211" s="62">
        <v>1.2500000000000001E-2</v>
      </c>
      <c r="DG211" s="62">
        <v>1.7000000000000001E-2</v>
      </c>
      <c r="DH211" s="62">
        <v>7.4999999999999997E-3</v>
      </c>
      <c r="DI211" s="62">
        <v>2E-3</v>
      </c>
      <c r="DJ211" s="62">
        <v>2.5000000000000001E-3</v>
      </c>
      <c r="DK211" s="62">
        <v>0</v>
      </c>
      <c r="DL211" s="62">
        <v>0</v>
      </c>
      <c r="DM211" s="62">
        <v>0</v>
      </c>
      <c r="DN211" s="62">
        <v>0</v>
      </c>
      <c r="DO211" s="62">
        <v>0</v>
      </c>
      <c r="DP211" s="62">
        <v>0</v>
      </c>
      <c r="DQ211" s="62">
        <v>0</v>
      </c>
      <c r="DR211" s="62">
        <v>0</v>
      </c>
      <c r="DS211" s="62">
        <v>0.77</v>
      </c>
      <c r="DT211" s="62">
        <v>0.05</v>
      </c>
      <c r="DU211" s="62"/>
      <c r="DV211" s="62"/>
    </row>
    <row r="212" spans="4:126" x14ac:dyDescent="0.25">
      <c r="D212" s="91">
        <v>43101</v>
      </c>
      <c r="F212" s="89">
        <v>4.7495000000000003</v>
      </c>
      <c r="G212" s="90">
        <v>6.4852538346843194E-2</v>
      </c>
      <c r="H212" s="89">
        <v>0.17</v>
      </c>
      <c r="I212" s="89">
        <v>1</v>
      </c>
      <c r="J212" s="89">
        <v>1.05</v>
      </c>
      <c r="K212" s="89">
        <v>1</v>
      </c>
      <c r="L212" s="87">
        <v>1</v>
      </c>
      <c r="M212" s="87">
        <v>1.1499999999999999</v>
      </c>
      <c r="N212" s="89">
        <v>1.45</v>
      </c>
      <c r="O212" s="89">
        <v>1.05</v>
      </c>
      <c r="P212" s="89">
        <v>1</v>
      </c>
      <c r="Q212" s="89">
        <v>1.35</v>
      </c>
      <c r="R212" s="90">
        <v>1</v>
      </c>
      <c r="S212" s="90">
        <v>1.1000000000000001</v>
      </c>
      <c r="T212" s="89">
        <v>1</v>
      </c>
      <c r="U212" s="89">
        <v>1.45</v>
      </c>
      <c r="V212" s="89">
        <v>1.1000000000000001</v>
      </c>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90"/>
      <c r="AZ212" s="90"/>
      <c r="BA212" s="90">
        <v>-0.13</v>
      </c>
      <c r="BB212" s="89">
        <v>0</v>
      </c>
      <c r="BC212" s="89">
        <v>-7.0000000000000007E-2</v>
      </c>
      <c r="BD212" s="89">
        <v>5.0000000000000001E-3</v>
      </c>
      <c r="BE212" s="89">
        <v>0.35</v>
      </c>
      <c r="BF212" s="89">
        <v>0</v>
      </c>
      <c r="BG212" s="89">
        <v>-0.06</v>
      </c>
      <c r="BH212" s="89">
        <v>0</v>
      </c>
      <c r="BI212" s="89">
        <v>0</v>
      </c>
      <c r="BJ212" s="62">
        <v>0</v>
      </c>
      <c r="BK212" s="62">
        <v>0.35</v>
      </c>
      <c r="BL212" s="62">
        <v>0</v>
      </c>
      <c r="BM212" s="62">
        <v>0.05</v>
      </c>
      <c r="BN212" s="62">
        <v>0</v>
      </c>
      <c r="BO212" s="62">
        <v>-0.26</v>
      </c>
      <c r="BP212" s="62">
        <v>0</v>
      </c>
      <c r="BQ212" s="62">
        <v>0.5</v>
      </c>
      <c r="BR212" s="62">
        <v>0</v>
      </c>
      <c r="BS212" s="62">
        <v>-7.0000000000000007E-2</v>
      </c>
      <c r="BT212" s="62">
        <v>5.0000000000000001E-3</v>
      </c>
      <c r="BU212" s="62">
        <v>0.3</v>
      </c>
      <c r="BV212" s="62">
        <v>0</v>
      </c>
      <c r="BW212" s="62">
        <v>0</v>
      </c>
      <c r="BX212" s="62">
        <v>0</v>
      </c>
      <c r="BY212" s="62">
        <v>0</v>
      </c>
      <c r="BZ212" s="62">
        <v>0</v>
      </c>
      <c r="CA212" s="62">
        <v>0.23499999999999999</v>
      </c>
      <c r="CB212" s="62">
        <v>5.0000000000000001E-3</v>
      </c>
      <c r="CC212" s="62">
        <v>0</v>
      </c>
      <c r="CD212" s="62">
        <v>0</v>
      </c>
      <c r="CE212" s="62">
        <v>0</v>
      </c>
      <c r="CF212" s="62">
        <v>0</v>
      </c>
      <c r="CG212" s="62">
        <v>0</v>
      </c>
      <c r="CH212" s="62">
        <v>0</v>
      </c>
      <c r="CI212" s="62">
        <v>0</v>
      </c>
      <c r="CJ212" s="62">
        <v>0</v>
      </c>
      <c r="CK212" s="62">
        <v>0</v>
      </c>
      <c r="CL212" s="62">
        <v>0</v>
      </c>
      <c r="CM212" s="62">
        <v>0</v>
      </c>
      <c r="CN212" s="62">
        <v>0</v>
      </c>
      <c r="CO212" s="62">
        <v>0</v>
      </c>
      <c r="CP212" s="62">
        <v>0</v>
      </c>
      <c r="CQ212" s="62">
        <v>0</v>
      </c>
      <c r="CR212" s="62">
        <v>0</v>
      </c>
      <c r="CS212" s="62">
        <v>1.6</v>
      </c>
      <c r="CT212" s="62">
        <v>0.45</v>
      </c>
      <c r="CU212" s="62">
        <v>0.05</v>
      </c>
      <c r="CV212" s="62">
        <v>0</v>
      </c>
      <c r="CW212" s="62">
        <v>0.34</v>
      </c>
      <c r="CX212" s="62">
        <v>0.02</v>
      </c>
      <c r="CY212" s="62">
        <v>-0.18</v>
      </c>
      <c r="CZ212" s="62">
        <v>0</v>
      </c>
      <c r="DA212" s="62">
        <v>0</v>
      </c>
      <c r="DB212" s="62">
        <v>0</v>
      </c>
      <c r="DC212" s="62">
        <v>0.35</v>
      </c>
      <c r="DE212" s="62">
        <v>-3.15E-2</v>
      </c>
      <c r="DF212" s="62">
        <v>1.2500000000000001E-2</v>
      </c>
      <c r="DG212" s="62">
        <v>1.7000000000000001E-2</v>
      </c>
      <c r="DH212" s="62">
        <v>7.4999999999999997E-3</v>
      </c>
      <c r="DI212" s="62">
        <v>2E-3</v>
      </c>
      <c r="DJ212" s="62">
        <v>2.5000000000000001E-3</v>
      </c>
      <c r="DK212" s="62">
        <v>0</v>
      </c>
      <c r="DL212" s="62">
        <v>0</v>
      </c>
      <c r="DM212" s="62">
        <v>0</v>
      </c>
      <c r="DN212" s="62">
        <v>0</v>
      </c>
      <c r="DO212" s="62">
        <v>0</v>
      </c>
      <c r="DP212" s="62">
        <v>0</v>
      </c>
      <c r="DQ212" s="62">
        <v>0</v>
      </c>
      <c r="DR212" s="62">
        <v>0</v>
      </c>
      <c r="DS212" s="62">
        <v>1.04</v>
      </c>
      <c r="DT212" s="62">
        <v>0.05</v>
      </c>
    </row>
    <row r="213" spans="4:126" x14ac:dyDescent="0.25">
      <c r="D213" s="91">
        <v>43132</v>
      </c>
      <c r="F213" s="89">
        <v>4.6645000000000003</v>
      </c>
      <c r="G213" s="90">
        <v>6.4893082469606803E-2</v>
      </c>
      <c r="H213" s="89">
        <v>0.17</v>
      </c>
      <c r="I213" s="89">
        <v>1</v>
      </c>
      <c r="J213" s="89">
        <v>1.05</v>
      </c>
      <c r="K213" s="89">
        <v>1</v>
      </c>
      <c r="L213" s="87">
        <v>1</v>
      </c>
      <c r="M213" s="87">
        <v>1.1499999999999999</v>
      </c>
      <c r="N213" s="89">
        <v>1.45</v>
      </c>
      <c r="O213" s="89">
        <v>1.05</v>
      </c>
      <c r="P213" s="89">
        <v>1</v>
      </c>
      <c r="Q213" s="89">
        <v>1.35</v>
      </c>
      <c r="R213" s="90">
        <v>1</v>
      </c>
      <c r="S213" s="90">
        <v>1.1000000000000001</v>
      </c>
      <c r="T213" s="89">
        <v>1</v>
      </c>
      <c r="U213" s="89">
        <v>1.45</v>
      </c>
      <c r="V213" s="89">
        <v>1.1000000000000001</v>
      </c>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90"/>
      <c r="AZ213" s="90"/>
      <c r="BA213" s="90">
        <v>-0.13</v>
      </c>
      <c r="BB213" s="89">
        <v>0</v>
      </c>
      <c r="BC213" s="89">
        <v>-7.0000000000000007E-2</v>
      </c>
      <c r="BD213" s="89">
        <v>5.0000000000000001E-3</v>
      </c>
      <c r="BE213" s="89">
        <v>0.35</v>
      </c>
      <c r="BF213" s="89">
        <v>0</v>
      </c>
      <c r="BG213" s="89">
        <v>-0.06</v>
      </c>
      <c r="BH213" s="89">
        <v>0</v>
      </c>
      <c r="BI213" s="89">
        <v>0</v>
      </c>
      <c r="BJ213" s="62">
        <v>0</v>
      </c>
      <c r="BK213" s="62">
        <v>0.35</v>
      </c>
      <c r="BL213" s="62">
        <v>0</v>
      </c>
      <c r="BM213" s="62">
        <v>0.05</v>
      </c>
      <c r="BN213" s="62">
        <v>0</v>
      </c>
      <c r="BO213" s="62">
        <v>-0.26</v>
      </c>
      <c r="BP213" s="62">
        <v>0</v>
      </c>
      <c r="BQ213" s="62">
        <v>0.5</v>
      </c>
      <c r="BR213" s="62">
        <v>0</v>
      </c>
      <c r="BS213" s="62">
        <v>-7.0000000000000007E-2</v>
      </c>
      <c r="BT213" s="62">
        <v>5.0000000000000001E-3</v>
      </c>
      <c r="BU213" s="62">
        <v>0.3</v>
      </c>
      <c r="BV213" s="62">
        <v>0</v>
      </c>
      <c r="BW213" s="62">
        <v>0</v>
      </c>
      <c r="BX213" s="62">
        <v>0</v>
      </c>
      <c r="BY213" s="62">
        <v>0</v>
      </c>
      <c r="BZ213" s="62">
        <v>0</v>
      </c>
      <c r="CA213" s="62">
        <v>0.23499999999999999</v>
      </c>
      <c r="CB213" s="62">
        <v>5.0000000000000001E-3</v>
      </c>
      <c r="CC213" s="62">
        <v>0</v>
      </c>
      <c r="CD213" s="62">
        <v>0</v>
      </c>
      <c r="CE213" s="62">
        <v>0</v>
      </c>
      <c r="CF213" s="62">
        <v>0</v>
      </c>
      <c r="CG213" s="62">
        <v>0</v>
      </c>
      <c r="CH213" s="62">
        <v>0</v>
      </c>
      <c r="CI213" s="62">
        <v>0</v>
      </c>
      <c r="CJ213" s="62">
        <v>0</v>
      </c>
      <c r="CK213" s="62">
        <v>0</v>
      </c>
      <c r="CL213" s="62">
        <v>0</v>
      </c>
      <c r="CM213" s="62">
        <v>0</v>
      </c>
      <c r="CN213" s="62">
        <v>0</v>
      </c>
      <c r="CO213" s="62">
        <v>0</v>
      </c>
      <c r="CP213" s="62">
        <v>0</v>
      </c>
      <c r="CQ213" s="62">
        <v>0</v>
      </c>
      <c r="CR213" s="62">
        <v>0</v>
      </c>
      <c r="CS213" s="62">
        <v>1.6</v>
      </c>
      <c r="CT213" s="62">
        <v>0.45</v>
      </c>
      <c r="CU213" s="62">
        <v>0.05</v>
      </c>
      <c r="CV213" s="62">
        <v>0</v>
      </c>
      <c r="CW213" s="62">
        <v>0.34</v>
      </c>
      <c r="CX213" s="62">
        <v>0.02</v>
      </c>
      <c r="CY213" s="62">
        <v>-0.18</v>
      </c>
      <c r="CZ213" s="62">
        <v>0</v>
      </c>
      <c r="DA213" s="62">
        <v>0</v>
      </c>
      <c r="DB213" s="62">
        <v>0</v>
      </c>
      <c r="DC213" s="62">
        <v>0.35</v>
      </c>
      <c r="DE213" s="62">
        <v>-3.15E-2</v>
      </c>
      <c r="DF213" s="62">
        <v>1.2500000000000001E-2</v>
      </c>
      <c r="DG213" s="62">
        <v>1.7000000000000001E-2</v>
      </c>
      <c r="DH213" s="62">
        <v>7.4999999999999997E-3</v>
      </c>
      <c r="DI213" s="62">
        <v>2E-3</v>
      </c>
      <c r="DJ213" s="62">
        <v>2.5000000000000001E-3</v>
      </c>
      <c r="DK213" s="62">
        <v>0</v>
      </c>
      <c r="DL213" s="62">
        <v>0</v>
      </c>
      <c r="DM213" s="62">
        <v>0</v>
      </c>
      <c r="DN213" s="62">
        <v>0</v>
      </c>
      <c r="DO213" s="62">
        <v>0</v>
      </c>
      <c r="DP213" s="62">
        <v>0</v>
      </c>
      <c r="DQ213" s="62">
        <v>0</v>
      </c>
      <c r="DR213" s="62">
        <v>0</v>
      </c>
      <c r="DS213" s="62">
        <v>1.04</v>
      </c>
      <c r="DT213" s="62">
        <v>0.05</v>
      </c>
    </row>
    <row r="214" spans="4:126" x14ac:dyDescent="0.25">
      <c r="D214" s="91">
        <v>43160</v>
      </c>
      <c r="F214" s="89">
        <v>4.5345000000000004</v>
      </c>
      <c r="G214" s="90">
        <v>6.4929702968054698E-2</v>
      </c>
      <c r="H214" s="89">
        <v>0.17</v>
      </c>
      <c r="I214" s="89">
        <v>0.75</v>
      </c>
      <c r="J214" s="89">
        <v>0.8</v>
      </c>
      <c r="K214" s="89">
        <v>0.75</v>
      </c>
      <c r="L214" s="87">
        <v>0.75</v>
      </c>
      <c r="M214" s="87">
        <v>0.85</v>
      </c>
      <c r="N214" s="89">
        <v>1</v>
      </c>
      <c r="O214" s="89">
        <v>0.75</v>
      </c>
      <c r="P214" s="89">
        <v>0.75</v>
      </c>
      <c r="Q214" s="89">
        <v>0.95</v>
      </c>
      <c r="R214" s="90">
        <v>0.75</v>
      </c>
      <c r="S214" s="90">
        <v>0.75</v>
      </c>
      <c r="T214" s="89">
        <v>0.75</v>
      </c>
      <c r="U214" s="89">
        <v>1</v>
      </c>
      <c r="V214" s="89">
        <v>0.85</v>
      </c>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90"/>
      <c r="AZ214" s="90"/>
      <c r="BA214" s="90">
        <v>-0.13</v>
      </c>
      <c r="BB214" s="89">
        <v>0</v>
      </c>
      <c r="BC214" s="89">
        <v>-7.0000000000000007E-2</v>
      </c>
      <c r="BD214" s="89">
        <v>5.0000000000000001E-3</v>
      </c>
      <c r="BE214" s="89">
        <v>0.35</v>
      </c>
      <c r="BF214" s="89">
        <v>0</v>
      </c>
      <c r="BG214" s="89">
        <v>-0.06</v>
      </c>
      <c r="BH214" s="89">
        <v>0</v>
      </c>
      <c r="BI214" s="89">
        <v>0</v>
      </c>
      <c r="BJ214" s="62">
        <v>0</v>
      </c>
      <c r="BK214" s="62">
        <v>0.35</v>
      </c>
      <c r="BL214" s="62">
        <v>0</v>
      </c>
      <c r="BM214" s="62">
        <v>0.05</v>
      </c>
      <c r="BN214" s="62">
        <v>0</v>
      </c>
      <c r="BO214" s="62">
        <v>-0.26</v>
      </c>
      <c r="BP214" s="62">
        <v>0</v>
      </c>
      <c r="BQ214" s="62">
        <v>0.5</v>
      </c>
      <c r="BR214" s="62">
        <v>0</v>
      </c>
      <c r="BS214" s="62">
        <v>-7.0000000000000007E-2</v>
      </c>
      <c r="BT214" s="62">
        <v>5.0000000000000001E-3</v>
      </c>
      <c r="BU214" s="62">
        <v>0.3</v>
      </c>
      <c r="BV214" s="62">
        <v>0</v>
      </c>
      <c r="BW214" s="62">
        <v>0</v>
      </c>
      <c r="BX214" s="62">
        <v>0</v>
      </c>
      <c r="BY214" s="62">
        <v>0</v>
      </c>
      <c r="BZ214" s="62">
        <v>0</v>
      </c>
      <c r="CA214" s="62">
        <v>0.19500000000000001</v>
      </c>
      <c r="CB214" s="62">
        <v>5.0000000000000001E-3</v>
      </c>
      <c r="CC214" s="62">
        <v>0</v>
      </c>
      <c r="CD214" s="62">
        <v>0</v>
      </c>
      <c r="CE214" s="62">
        <v>0</v>
      </c>
      <c r="CF214" s="62">
        <v>0</v>
      </c>
      <c r="CG214" s="62">
        <v>0</v>
      </c>
      <c r="CH214" s="62">
        <v>0</v>
      </c>
      <c r="CI214" s="62">
        <v>0</v>
      </c>
      <c r="CJ214" s="62">
        <v>0</v>
      </c>
      <c r="CK214" s="62">
        <v>0</v>
      </c>
      <c r="CL214" s="62">
        <v>0</v>
      </c>
      <c r="CM214" s="62">
        <v>0</v>
      </c>
      <c r="CN214" s="62">
        <v>0</v>
      </c>
      <c r="CO214" s="62">
        <v>0</v>
      </c>
      <c r="CP214" s="62">
        <v>0</v>
      </c>
      <c r="CQ214" s="62">
        <v>0</v>
      </c>
      <c r="CR214" s="62">
        <v>0</v>
      </c>
      <c r="CS214" s="62">
        <v>0.64</v>
      </c>
      <c r="CT214" s="62">
        <v>0.1</v>
      </c>
      <c r="CU214" s="62">
        <v>0.05</v>
      </c>
      <c r="CV214" s="62">
        <v>0</v>
      </c>
      <c r="CW214" s="62">
        <v>0.28999999999999998</v>
      </c>
      <c r="CX214" s="62">
        <v>0.02</v>
      </c>
      <c r="CY214" s="62">
        <v>-0.18</v>
      </c>
      <c r="CZ214" s="62">
        <v>0</v>
      </c>
      <c r="DA214" s="62">
        <v>0</v>
      </c>
      <c r="DB214" s="62">
        <v>0</v>
      </c>
      <c r="DC214" s="62">
        <v>0.4</v>
      </c>
      <c r="DE214" s="62">
        <v>-3.15E-2</v>
      </c>
      <c r="DF214" s="62">
        <v>1.2500000000000001E-2</v>
      </c>
      <c r="DG214" s="62">
        <v>2.1999999999999999E-2</v>
      </c>
      <c r="DH214" s="62">
        <v>7.4999999999999997E-3</v>
      </c>
      <c r="DI214" s="62">
        <v>7.0000000000000001E-3</v>
      </c>
      <c r="DJ214" s="62">
        <v>2.5000000000000001E-3</v>
      </c>
      <c r="DK214" s="62">
        <v>0</v>
      </c>
      <c r="DL214" s="62">
        <v>0</v>
      </c>
      <c r="DM214" s="62">
        <v>0</v>
      </c>
      <c r="DN214" s="62">
        <v>0</v>
      </c>
      <c r="DO214" s="62">
        <v>0</v>
      </c>
      <c r="DP214" s="62">
        <v>0</v>
      </c>
      <c r="DQ214" s="62">
        <v>0</v>
      </c>
      <c r="DR214" s="62">
        <v>0</v>
      </c>
      <c r="DS214" s="62">
        <v>0.54</v>
      </c>
      <c r="DT214" s="62">
        <v>0.05</v>
      </c>
    </row>
    <row r="215" spans="4:126" x14ac:dyDescent="0.25">
      <c r="D215" s="91">
        <v>43191</v>
      </c>
      <c r="F215" s="89">
        <v>4.3494999999999999</v>
      </c>
      <c r="G215" s="90">
        <v>6.4970247091855601E-2</v>
      </c>
      <c r="H215" s="89">
        <v>0.17</v>
      </c>
      <c r="I215" s="89">
        <v>0.4</v>
      </c>
      <c r="J215" s="89">
        <v>0.45</v>
      </c>
      <c r="K215" s="89">
        <v>0.4</v>
      </c>
      <c r="L215" s="87">
        <v>0.45</v>
      </c>
      <c r="M215" s="87">
        <v>0.45</v>
      </c>
      <c r="N215" s="89">
        <v>0.45</v>
      </c>
      <c r="O215" s="89">
        <v>0.45</v>
      </c>
      <c r="P215" s="89">
        <v>0.45</v>
      </c>
      <c r="Q215" s="89">
        <v>0.5</v>
      </c>
      <c r="R215" s="90">
        <v>0.4</v>
      </c>
      <c r="S215" s="90">
        <v>0.45</v>
      </c>
      <c r="T215" s="89">
        <v>0.4</v>
      </c>
      <c r="U215" s="89">
        <v>0.45</v>
      </c>
      <c r="V215" s="89">
        <v>0.55000000000000004</v>
      </c>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90"/>
      <c r="AZ215" s="90"/>
      <c r="BA215" s="90">
        <v>-0.19500000000000001</v>
      </c>
      <c r="BB215" s="89">
        <v>0</v>
      </c>
      <c r="BC215" s="89">
        <v>-7.0000000000000007E-2</v>
      </c>
      <c r="BD215" s="89">
        <v>5.0000000000000001E-3</v>
      </c>
      <c r="BE215" s="89">
        <v>0.43</v>
      </c>
      <c r="BF215" s="89">
        <v>0</v>
      </c>
      <c r="BG215" s="89">
        <v>-0.06</v>
      </c>
      <c r="BH215" s="89">
        <v>0</v>
      </c>
      <c r="BI215" s="89">
        <v>0</v>
      </c>
      <c r="BJ215" s="62">
        <v>0</v>
      </c>
      <c r="BK215" s="62">
        <v>0.43</v>
      </c>
      <c r="BL215" s="62">
        <v>0</v>
      </c>
      <c r="BM215" s="62">
        <v>0.05</v>
      </c>
      <c r="BN215" s="62">
        <v>0</v>
      </c>
      <c r="BO215" s="62">
        <v>-0.37</v>
      </c>
      <c r="BP215" s="62">
        <v>0</v>
      </c>
      <c r="BQ215" s="62">
        <v>0.5</v>
      </c>
      <c r="BR215" s="62">
        <v>0</v>
      </c>
      <c r="BS215" s="62">
        <v>-7.0000000000000007E-2</v>
      </c>
      <c r="BT215" s="62">
        <v>5.0000000000000001E-3</v>
      </c>
      <c r="BU215" s="62">
        <v>0.3</v>
      </c>
      <c r="BV215" s="62">
        <v>0</v>
      </c>
      <c r="BW215" s="62">
        <v>0</v>
      </c>
      <c r="BX215" s="62">
        <v>0</v>
      </c>
      <c r="BY215" s="62">
        <v>0</v>
      </c>
      <c r="BZ215" s="62">
        <v>0</v>
      </c>
      <c r="CA215" s="62">
        <v>0.14499999999999999</v>
      </c>
      <c r="CB215" s="62">
        <v>5.0000000000000001E-3</v>
      </c>
      <c r="CC215" s="62">
        <v>0</v>
      </c>
      <c r="CD215" s="62">
        <v>0</v>
      </c>
      <c r="CE215" s="62">
        <v>0</v>
      </c>
      <c r="CF215" s="62">
        <v>0</v>
      </c>
      <c r="CG215" s="62">
        <v>0</v>
      </c>
      <c r="CH215" s="62">
        <v>0</v>
      </c>
      <c r="CI215" s="62">
        <v>0</v>
      </c>
      <c r="CJ215" s="62">
        <v>0</v>
      </c>
      <c r="CK215" s="62">
        <v>0</v>
      </c>
      <c r="CL215" s="62">
        <v>0</v>
      </c>
      <c r="CM215" s="62">
        <v>0</v>
      </c>
      <c r="CN215" s="62">
        <v>0</v>
      </c>
      <c r="CO215" s="62">
        <v>0</v>
      </c>
      <c r="CP215" s="62">
        <v>0</v>
      </c>
      <c r="CQ215" s="62">
        <v>0</v>
      </c>
      <c r="CR215" s="62">
        <v>0</v>
      </c>
      <c r="CS215" s="62">
        <v>0.38</v>
      </c>
      <c r="CT215" s="62">
        <v>0.02</v>
      </c>
      <c r="CU215" s="62">
        <v>0.05</v>
      </c>
      <c r="CV215" s="62">
        <v>0</v>
      </c>
      <c r="CW215" s="62">
        <v>0.19500000000000001</v>
      </c>
      <c r="CX215" s="62">
        <v>7.4999999999999997E-3</v>
      </c>
      <c r="CY215" s="62">
        <v>-0.18</v>
      </c>
      <c r="CZ215" s="62">
        <v>0</v>
      </c>
      <c r="DA215" s="62">
        <v>0</v>
      </c>
      <c r="DB215" s="62">
        <v>0</v>
      </c>
      <c r="DC215" s="62">
        <v>0.6</v>
      </c>
      <c r="DE215" s="62">
        <v>-3.9E-2</v>
      </c>
      <c r="DF215" s="62">
        <v>0.01</v>
      </c>
      <c r="DG215" s="62">
        <v>2.1999999999999999E-2</v>
      </c>
      <c r="DH215" s="62">
        <v>0.01</v>
      </c>
      <c r="DI215" s="62">
        <v>7.0000000000000001E-3</v>
      </c>
      <c r="DJ215" s="62">
        <v>7.4999999999999997E-3</v>
      </c>
      <c r="DK215" s="62">
        <v>0</v>
      </c>
      <c r="DL215" s="62">
        <v>0</v>
      </c>
      <c r="DM215" s="62">
        <v>0</v>
      </c>
      <c r="DN215" s="62">
        <v>0</v>
      </c>
      <c r="DO215" s="62">
        <v>0</v>
      </c>
      <c r="DP215" s="62">
        <v>0</v>
      </c>
      <c r="DQ215" s="62">
        <v>0</v>
      </c>
      <c r="DR215" s="62">
        <v>0</v>
      </c>
      <c r="DS215" s="62">
        <v>0.36</v>
      </c>
      <c r="DT215" s="62">
        <v>5.0000000000000001E-3</v>
      </c>
    </row>
    <row r="216" spans="4:126" x14ac:dyDescent="0.25">
      <c r="D216" s="91">
        <v>43221</v>
      </c>
      <c r="F216" s="89">
        <v>4.3445</v>
      </c>
      <c r="G216" s="90">
        <v>6.5009483341213606E-2</v>
      </c>
      <c r="H216" s="89">
        <v>0.17</v>
      </c>
      <c r="I216" s="89">
        <v>0.45</v>
      </c>
      <c r="J216" s="89">
        <v>0.5</v>
      </c>
      <c r="K216" s="89">
        <v>0.4</v>
      </c>
      <c r="L216" s="87">
        <v>0.4</v>
      </c>
      <c r="M216" s="87">
        <v>0.45</v>
      </c>
      <c r="N216" s="89">
        <v>0.5</v>
      </c>
      <c r="O216" s="89">
        <v>0.45</v>
      </c>
      <c r="P216" s="89">
        <v>0.4</v>
      </c>
      <c r="Q216" s="89">
        <v>0.45</v>
      </c>
      <c r="R216" s="90">
        <v>0.45</v>
      </c>
      <c r="S216" s="90">
        <v>0.5</v>
      </c>
      <c r="T216" s="89">
        <v>0.45</v>
      </c>
      <c r="U216" s="89">
        <v>0.5</v>
      </c>
      <c r="V216" s="89">
        <v>0.5</v>
      </c>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90"/>
      <c r="AZ216" s="90"/>
      <c r="BA216" s="90">
        <v>-0.19500000000000001</v>
      </c>
      <c r="BB216" s="89">
        <v>0</v>
      </c>
      <c r="BC216" s="89">
        <v>-7.0000000000000007E-2</v>
      </c>
      <c r="BD216" s="89">
        <v>5.0000000000000001E-3</v>
      </c>
      <c r="BE216" s="89">
        <v>0.43</v>
      </c>
      <c r="BF216" s="89">
        <v>0</v>
      </c>
      <c r="BG216" s="89">
        <v>-0.06</v>
      </c>
      <c r="BH216" s="89">
        <v>0</v>
      </c>
      <c r="BI216" s="89">
        <v>0</v>
      </c>
      <c r="BJ216" s="62">
        <v>0</v>
      </c>
      <c r="BK216" s="62">
        <v>0.43</v>
      </c>
      <c r="BL216" s="62">
        <v>0</v>
      </c>
      <c r="BM216" s="62">
        <v>0.05</v>
      </c>
      <c r="BN216" s="62">
        <v>0</v>
      </c>
      <c r="BO216" s="62">
        <v>-0.37</v>
      </c>
      <c r="BP216" s="62">
        <v>0</v>
      </c>
      <c r="BQ216" s="62">
        <v>0.5</v>
      </c>
      <c r="BR216" s="62">
        <v>0</v>
      </c>
      <c r="BS216" s="62">
        <v>-7.0000000000000007E-2</v>
      </c>
      <c r="BT216" s="62">
        <v>5.0000000000000001E-3</v>
      </c>
      <c r="BU216" s="62">
        <v>0.3</v>
      </c>
      <c r="BV216" s="62">
        <v>0</v>
      </c>
      <c r="BW216" s="62">
        <v>0</v>
      </c>
      <c r="BX216" s="62">
        <v>0</v>
      </c>
      <c r="BY216" s="62">
        <v>0</v>
      </c>
      <c r="BZ216" s="62">
        <v>0</v>
      </c>
      <c r="CA216" s="62">
        <v>0.125</v>
      </c>
      <c r="CB216" s="62">
        <v>5.0000000000000001E-3</v>
      </c>
      <c r="CC216" s="62">
        <v>0</v>
      </c>
      <c r="CD216" s="62">
        <v>0</v>
      </c>
      <c r="CE216" s="62">
        <v>0</v>
      </c>
      <c r="CF216" s="62">
        <v>0</v>
      </c>
      <c r="CG216" s="62">
        <v>0</v>
      </c>
      <c r="CH216" s="62">
        <v>0</v>
      </c>
      <c r="CI216" s="62">
        <v>0</v>
      </c>
      <c r="CJ216" s="62">
        <v>0</v>
      </c>
      <c r="CK216" s="62">
        <v>0</v>
      </c>
      <c r="CL216" s="62">
        <v>0</v>
      </c>
      <c r="CM216" s="62">
        <v>0</v>
      </c>
      <c r="CN216" s="62">
        <v>0</v>
      </c>
      <c r="CO216" s="62">
        <v>0</v>
      </c>
      <c r="CP216" s="62">
        <v>0</v>
      </c>
      <c r="CQ216" s="62">
        <v>0</v>
      </c>
      <c r="CR216" s="62">
        <v>0</v>
      </c>
      <c r="CS216" s="62">
        <v>0.33</v>
      </c>
      <c r="CT216" s="62">
        <v>0.02</v>
      </c>
      <c r="CU216" s="62">
        <v>0.05</v>
      </c>
      <c r="CV216" s="62">
        <v>0</v>
      </c>
      <c r="CW216" s="62">
        <v>0.13500000000000001</v>
      </c>
      <c r="CX216" s="62">
        <v>7.4999999999999997E-3</v>
      </c>
      <c r="CY216" s="62">
        <v>-0.18</v>
      </c>
      <c r="CZ216" s="62">
        <v>0</v>
      </c>
      <c r="DA216" s="62">
        <v>0</v>
      </c>
      <c r="DB216" s="62">
        <v>0</v>
      </c>
      <c r="DC216" s="62">
        <v>0.75</v>
      </c>
      <c r="DE216" s="62">
        <v>-3.9E-2</v>
      </c>
      <c r="DF216" s="62">
        <v>0.01</v>
      </c>
      <c r="DG216" s="62">
        <v>2.4500000000000001E-2</v>
      </c>
      <c r="DH216" s="62">
        <v>0.01</v>
      </c>
      <c r="DI216" s="62">
        <v>9.4999999999999998E-3</v>
      </c>
      <c r="DJ216" s="62">
        <v>7.4999999999999997E-3</v>
      </c>
      <c r="DK216" s="62">
        <v>0</v>
      </c>
      <c r="DL216" s="62">
        <v>0</v>
      </c>
      <c r="DM216" s="62">
        <v>0</v>
      </c>
      <c r="DN216" s="62">
        <v>0</v>
      </c>
      <c r="DO216" s="62">
        <v>0</v>
      </c>
      <c r="DP216" s="62">
        <v>0</v>
      </c>
      <c r="DQ216" s="62">
        <v>0</v>
      </c>
      <c r="DR216" s="62">
        <v>0</v>
      </c>
      <c r="DS216" s="62">
        <v>0.32500000000000001</v>
      </c>
      <c r="DT216" s="62">
        <v>5.0000000000000001E-3</v>
      </c>
    </row>
    <row r="217" spans="4:126" x14ac:dyDescent="0.25">
      <c r="D217" s="91">
        <v>43252</v>
      </c>
      <c r="F217" s="89">
        <v>4.3795000000000002</v>
      </c>
      <c r="G217" s="90">
        <v>6.5050027466086596E-2</v>
      </c>
      <c r="H217" s="89">
        <v>0.17</v>
      </c>
      <c r="I217" s="89">
        <v>0.45</v>
      </c>
      <c r="J217" s="89">
        <v>0.5</v>
      </c>
      <c r="K217" s="89">
        <v>0.4</v>
      </c>
      <c r="L217" s="87">
        <v>0.5</v>
      </c>
      <c r="M217" s="87">
        <v>0.45</v>
      </c>
      <c r="N217" s="89">
        <v>0.5</v>
      </c>
      <c r="O217" s="89">
        <v>0.5</v>
      </c>
      <c r="P217" s="89">
        <v>0.5</v>
      </c>
      <c r="Q217" s="89">
        <v>0.5</v>
      </c>
      <c r="R217" s="90">
        <v>0.45</v>
      </c>
      <c r="S217" s="90">
        <v>0.5</v>
      </c>
      <c r="T217" s="89">
        <v>0.45</v>
      </c>
      <c r="U217" s="89">
        <v>0.5</v>
      </c>
      <c r="V217" s="89">
        <v>0.6</v>
      </c>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90"/>
      <c r="AZ217" s="90"/>
      <c r="BA217" s="90">
        <v>-0.19500000000000001</v>
      </c>
      <c r="BB217" s="89">
        <v>0</v>
      </c>
      <c r="BC217" s="89">
        <v>-7.0000000000000007E-2</v>
      </c>
      <c r="BD217" s="89">
        <v>5.0000000000000001E-3</v>
      </c>
      <c r="BE217" s="89">
        <v>0.43</v>
      </c>
      <c r="BF217" s="89">
        <v>0</v>
      </c>
      <c r="BG217" s="89">
        <v>-0.06</v>
      </c>
      <c r="BH217" s="89">
        <v>0</v>
      </c>
      <c r="BI217" s="89">
        <v>0</v>
      </c>
      <c r="BJ217" s="62">
        <v>0</v>
      </c>
      <c r="BK217" s="62">
        <v>0.43</v>
      </c>
      <c r="BL217" s="62">
        <v>0</v>
      </c>
      <c r="BM217" s="62">
        <v>0.05</v>
      </c>
      <c r="BN217" s="62">
        <v>0</v>
      </c>
      <c r="BO217" s="62">
        <v>-0.37</v>
      </c>
      <c r="BP217" s="62">
        <v>0</v>
      </c>
      <c r="BQ217" s="62">
        <v>0.5</v>
      </c>
      <c r="BR217" s="62">
        <v>0</v>
      </c>
      <c r="BS217" s="62">
        <v>-7.0000000000000007E-2</v>
      </c>
      <c r="BT217" s="62">
        <v>5.0000000000000001E-3</v>
      </c>
      <c r="BU217" s="62">
        <v>0.3</v>
      </c>
      <c r="BV217" s="62">
        <v>0</v>
      </c>
      <c r="BW217" s="62">
        <v>0</v>
      </c>
      <c r="BX217" s="62">
        <v>0</v>
      </c>
      <c r="BY217" s="62">
        <v>0</v>
      </c>
      <c r="BZ217" s="62">
        <v>0</v>
      </c>
      <c r="CA217" s="62">
        <v>0.14499999999999999</v>
      </c>
      <c r="CB217" s="62">
        <v>5.0000000000000001E-3</v>
      </c>
      <c r="CC217" s="62">
        <v>0</v>
      </c>
      <c r="CD217" s="62">
        <v>0</v>
      </c>
      <c r="CE217" s="62">
        <v>0</v>
      </c>
      <c r="CF217" s="62">
        <v>0</v>
      </c>
      <c r="CG217" s="62">
        <v>0</v>
      </c>
      <c r="CH217" s="62">
        <v>0</v>
      </c>
      <c r="CI217" s="62">
        <v>0</v>
      </c>
      <c r="CJ217" s="62">
        <v>0</v>
      </c>
      <c r="CK217" s="62">
        <v>0</v>
      </c>
      <c r="CL217" s="62">
        <v>0</v>
      </c>
      <c r="CM217" s="62">
        <v>0</v>
      </c>
      <c r="CN217" s="62">
        <v>0</v>
      </c>
      <c r="CO217" s="62">
        <v>0</v>
      </c>
      <c r="CP217" s="62">
        <v>0</v>
      </c>
      <c r="CQ217" s="62">
        <v>0</v>
      </c>
      <c r="CR217" s="62">
        <v>0</v>
      </c>
      <c r="CS217" s="62">
        <v>0.37</v>
      </c>
      <c r="CT217" s="62">
        <v>3.5000000000000003E-2</v>
      </c>
      <c r="CU217" s="62">
        <v>0.05</v>
      </c>
      <c r="CV217" s="62">
        <v>0</v>
      </c>
      <c r="CW217" s="62">
        <v>0.16500000000000001</v>
      </c>
      <c r="CX217" s="62">
        <v>7.4999999999999997E-3</v>
      </c>
      <c r="CY217" s="62">
        <v>-0.18</v>
      </c>
      <c r="CZ217" s="62">
        <v>0</v>
      </c>
      <c r="DA217" s="62">
        <v>0</v>
      </c>
      <c r="DB217" s="62">
        <v>0</v>
      </c>
      <c r="DC217" s="62">
        <v>0.85</v>
      </c>
      <c r="DE217" s="62">
        <v>-3.6499999999999998E-2</v>
      </c>
      <c r="DF217" s="62">
        <v>0.01</v>
      </c>
      <c r="DG217" s="62">
        <v>2.4500000000000001E-2</v>
      </c>
      <c r="DH217" s="62">
        <v>0.01</v>
      </c>
      <c r="DI217" s="62">
        <v>9.4999999999999998E-3</v>
      </c>
      <c r="DJ217" s="62">
        <v>7.4999999999999997E-3</v>
      </c>
      <c r="DK217" s="62">
        <v>0</v>
      </c>
      <c r="DL217" s="62">
        <v>0</v>
      </c>
      <c r="DM217" s="62">
        <v>0</v>
      </c>
      <c r="DN217" s="62">
        <v>0</v>
      </c>
      <c r="DO217" s="62">
        <v>0</v>
      </c>
      <c r="DP217" s="62">
        <v>0</v>
      </c>
      <c r="DQ217" s="62">
        <v>0</v>
      </c>
      <c r="DR217" s="62">
        <v>0</v>
      </c>
      <c r="DS217" s="62">
        <v>0.33500000000000002</v>
      </c>
      <c r="DT217" s="62">
        <v>5.0000000000000001E-3</v>
      </c>
    </row>
    <row r="218" spans="4:126" x14ac:dyDescent="0.25">
      <c r="D218" s="91">
        <v>43282</v>
      </c>
      <c r="F218" s="89">
        <v>4.4195000000000002</v>
      </c>
      <c r="G218" s="90">
        <v>6.5089263716481494E-2</v>
      </c>
      <c r="H218" s="89">
        <v>0.17</v>
      </c>
      <c r="I218" s="89">
        <v>0.5</v>
      </c>
      <c r="J218" s="89">
        <v>0.5</v>
      </c>
      <c r="K218" s="89">
        <v>0.4</v>
      </c>
      <c r="L218" s="87">
        <v>0.5</v>
      </c>
      <c r="M218" s="87">
        <v>0.5</v>
      </c>
      <c r="N218" s="89">
        <v>0.5</v>
      </c>
      <c r="O218" s="89">
        <v>0.5</v>
      </c>
      <c r="P218" s="89">
        <v>0.5</v>
      </c>
      <c r="Q218" s="89">
        <v>0.5</v>
      </c>
      <c r="R218" s="90">
        <v>0.5</v>
      </c>
      <c r="S218" s="90">
        <v>0.55000000000000004</v>
      </c>
      <c r="T218" s="89">
        <v>0.5</v>
      </c>
      <c r="U218" s="89">
        <v>0.5</v>
      </c>
      <c r="V218" s="89">
        <v>0.6</v>
      </c>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90"/>
      <c r="AZ218" s="90"/>
      <c r="BA218" s="90">
        <v>-0.19500000000000001</v>
      </c>
      <c r="BB218" s="89">
        <v>0</v>
      </c>
      <c r="BC218" s="89">
        <v>-7.0000000000000007E-2</v>
      </c>
      <c r="BD218" s="89">
        <v>5.0000000000000001E-3</v>
      </c>
      <c r="BE218" s="89">
        <v>0.43</v>
      </c>
      <c r="BF218" s="89">
        <v>0</v>
      </c>
      <c r="BG218" s="89">
        <v>-0.06</v>
      </c>
      <c r="BH218" s="89">
        <v>0</v>
      </c>
      <c r="BI218" s="89">
        <v>0</v>
      </c>
      <c r="BJ218" s="62">
        <v>0</v>
      </c>
      <c r="BK218" s="62">
        <v>0.43</v>
      </c>
      <c r="BL218" s="62">
        <v>0</v>
      </c>
      <c r="BM218" s="62">
        <v>0.05</v>
      </c>
      <c r="BN218" s="62">
        <v>0</v>
      </c>
      <c r="BO218" s="62">
        <v>-0.37</v>
      </c>
      <c r="BP218" s="62">
        <v>0</v>
      </c>
      <c r="BQ218" s="62">
        <v>0.5</v>
      </c>
      <c r="BR218" s="62">
        <v>0</v>
      </c>
      <c r="BS218" s="62">
        <v>-7.0000000000000007E-2</v>
      </c>
      <c r="BT218" s="62">
        <v>5.0000000000000001E-3</v>
      </c>
      <c r="BU218" s="62">
        <v>0.3</v>
      </c>
      <c r="BV218" s="62">
        <v>0</v>
      </c>
      <c r="BW218" s="62">
        <v>0</v>
      </c>
      <c r="BX218" s="62">
        <v>0</v>
      </c>
      <c r="BY218" s="62">
        <v>0</v>
      </c>
      <c r="BZ218" s="62">
        <v>0</v>
      </c>
      <c r="CA218" s="62">
        <v>0.15</v>
      </c>
      <c r="CB218" s="62">
        <v>5.0000000000000001E-3</v>
      </c>
      <c r="CC218" s="62">
        <v>0</v>
      </c>
      <c r="CD218" s="62">
        <v>0</v>
      </c>
      <c r="CE218" s="62">
        <v>0</v>
      </c>
      <c r="CF218" s="62">
        <v>0</v>
      </c>
      <c r="CG218" s="62">
        <v>0</v>
      </c>
      <c r="CH218" s="62">
        <v>0</v>
      </c>
      <c r="CI218" s="62">
        <v>0</v>
      </c>
      <c r="CJ218" s="62">
        <v>0</v>
      </c>
      <c r="CK218" s="62">
        <v>0</v>
      </c>
      <c r="CL218" s="62">
        <v>0</v>
      </c>
      <c r="CM218" s="62">
        <v>0</v>
      </c>
      <c r="CN218" s="62">
        <v>0</v>
      </c>
      <c r="CO218" s="62">
        <v>0</v>
      </c>
      <c r="CP218" s="62">
        <v>0</v>
      </c>
      <c r="CQ218" s="62">
        <v>0</v>
      </c>
      <c r="CR218" s="62">
        <v>0</v>
      </c>
      <c r="CS218" s="62">
        <v>0.41</v>
      </c>
      <c r="CT218" s="62">
        <v>3.5000000000000003E-2</v>
      </c>
      <c r="CU218" s="62">
        <v>0.05</v>
      </c>
      <c r="CV218" s="62">
        <v>0</v>
      </c>
      <c r="CW218" s="62">
        <v>0.20499999999999999</v>
      </c>
      <c r="CX218" s="62">
        <v>7.4999999999999997E-3</v>
      </c>
      <c r="CY218" s="62">
        <v>-0.18</v>
      </c>
      <c r="CZ218" s="62">
        <v>0</v>
      </c>
      <c r="DA218" s="62">
        <v>0</v>
      </c>
      <c r="DB218" s="62">
        <v>0</v>
      </c>
      <c r="DC218" s="62">
        <v>1.05</v>
      </c>
      <c r="DE218" s="62">
        <v>-3.6499999999999998E-2</v>
      </c>
      <c r="DF218" s="62">
        <v>0.01</v>
      </c>
      <c r="DG218" s="62">
        <v>2.4500000000000001E-2</v>
      </c>
      <c r="DH218" s="62">
        <v>0.01</v>
      </c>
      <c r="DI218" s="62">
        <v>9.4999999999999998E-3</v>
      </c>
      <c r="DJ218" s="62">
        <v>7.4999999999999997E-3</v>
      </c>
      <c r="DK218" s="62">
        <v>0</v>
      </c>
      <c r="DL218" s="62">
        <v>0</v>
      </c>
      <c r="DM218" s="62">
        <v>0</v>
      </c>
      <c r="DN218" s="62">
        <v>0</v>
      </c>
      <c r="DO218" s="62">
        <v>0</v>
      </c>
      <c r="DP218" s="62">
        <v>0</v>
      </c>
      <c r="DQ218" s="62">
        <v>0</v>
      </c>
      <c r="DR218" s="62">
        <v>0</v>
      </c>
      <c r="DS218" s="62">
        <v>0.35</v>
      </c>
      <c r="DT218" s="62">
        <v>5.0000000000000001E-3</v>
      </c>
    </row>
    <row r="219" spans="4:126" x14ac:dyDescent="0.25">
      <c r="D219" s="91">
        <v>43313</v>
      </c>
      <c r="F219" s="89">
        <v>4.4595000000000002</v>
      </c>
      <c r="G219" s="90">
        <v>6.5129807842426501E-2</v>
      </c>
      <c r="H219" s="89">
        <v>0.17</v>
      </c>
      <c r="I219" s="89">
        <v>0.55000000000000004</v>
      </c>
      <c r="J219" s="89">
        <v>0.55000000000000004</v>
      </c>
      <c r="K219" s="89">
        <v>0.5</v>
      </c>
      <c r="L219" s="87">
        <v>0.6</v>
      </c>
      <c r="M219" s="87">
        <v>0.55000000000000004</v>
      </c>
      <c r="N219" s="89">
        <v>0.6</v>
      </c>
      <c r="O219" s="89">
        <v>0.55000000000000004</v>
      </c>
      <c r="P219" s="89">
        <v>0.6</v>
      </c>
      <c r="Q219" s="89">
        <v>0.45</v>
      </c>
      <c r="R219" s="90">
        <v>0.55000000000000004</v>
      </c>
      <c r="S219" s="90">
        <v>0.6</v>
      </c>
      <c r="T219" s="89">
        <v>0.55000000000000004</v>
      </c>
      <c r="U219" s="89">
        <v>0.6</v>
      </c>
      <c r="V219" s="89">
        <v>0.7</v>
      </c>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90"/>
      <c r="AZ219" s="90"/>
      <c r="BA219" s="90">
        <v>-0.19500000000000001</v>
      </c>
      <c r="BB219" s="89">
        <v>0</v>
      </c>
      <c r="BC219" s="89">
        <v>-7.0000000000000007E-2</v>
      </c>
      <c r="BD219" s="89">
        <v>5.0000000000000001E-3</v>
      </c>
      <c r="BE219" s="89">
        <v>0.43</v>
      </c>
      <c r="BF219" s="89">
        <v>0</v>
      </c>
      <c r="BG219" s="89">
        <v>-0.06</v>
      </c>
      <c r="BH219" s="89">
        <v>0</v>
      </c>
      <c r="BI219" s="89">
        <v>0</v>
      </c>
      <c r="BJ219" s="62">
        <v>0</v>
      </c>
      <c r="BK219" s="62">
        <v>0.43</v>
      </c>
      <c r="BL219" s="62">
        <v>0</v>
      </c>
      <c r="BM219" s="62">
        <v>0.05</v>
      </c>
      <c r="BN219" s="62">
        <v>0</v>
      </c>
      <c r="BO219" s="62">
        <v>-0.37</v>
      </c>
      <c r="BP219" s="62">
        <v>0</v>
      </c>
      <c r="BQ219" s="62">
        <v>0.5</v>
      </c>
      <c r="BR219" s="62">
        <v>0</v>
      </c>
      <c r="BS219" s="62">
        <v>-7.0000000000000007E-2</v>
      </c>
      <c r="BT219" s="62">
        <v>5.0000000000000001E-3</v>
      </c>
      <c r="BU219" s="62">
        <v>0.3</v>
      </c>
      <c r="BV219" s="62">
        <v>0</v>
      </c>
      <c r="BW219" s="62">
        <v>0</v>
      </c>
      <c r="BX219" s="62">
        <v>0</v>
      </c>
      <c r="BY219" s="62">
        <v>0</v>
      </c>
      <c r="BZ219" s="62">
        <v>0</v>
      </c>
      <c r="CA219" s="62">
        <v>0.15</v>
      </c>
      <c r="CB219" s="62">
        <v>5.0000000000000001E-3</v>
      </c>
      <c r="CC219" s="62">
        <v>0</v>
      </c>
      <c r="CD219" s="62">
        <v>0</v>
      </c>
      <c r="CE219" s="62">
        <v>0</v>
      </c>
      <c r="CF219" s="62">
        <v>0</v>
      </c>
      <c r="CG219" s="62">
        <v>0</v>
      </c>
      <c r="CH219" s="62">
        <v>0</v>
      </c>
      <c r="CI219" s="62">
        <v>0</v>
      </c>
      <c r="CJ219" s="62">
        <v>0</v>
      </c>
      <c r="CK219" s="62">
        <v>0</v>
      </c>
      <c r="CL219" s="62">
        <v>0</v>
      </c>
      <c r="CM219" s="62">
        <v>0</v>
      </c>
      <c r="CN219" s="62">
        <v>0</v>
      </c>
      <c r="CO219" s="62">
        <v>0</v>
      </c>
      <c r="CP219" s="62">
        <v>0</v>
      </c>
      <c r="CQ219" s="62">
        <v>0</v>
      </c>
      <c r="CR219" s="62">
        <v>0</v>
      </c>
      <c r="CS219" s="62">
        <v>0.41</v>
      </c>
      <c r="CT219" s="62">
        <v>0.01</v>
      </c>
      <c r="CU219" s="62">
        <v>0.05</v>
      </c>
      <c r="CV219" s="62">
        <v>0</v>
      </c>
      <c r="CW219" s="62">
        <v>0.20499999999999999</v>
      </c>
      <c r="CX219" s="62">
        <v>7.4999999999999997E-3</v>
      </c>
      <c r="CY219" s="62">
        <v>-0.18</v>
      </c>
      <c r="CZ219" s="62">
        <v>0</v>
      </c>
      <c r="DA219" s="62">
        <v>0</v>
      </c>
      <c r="DB219" s="62">
        <v>0</v>
      </c>
      <c r="DC219" s="62">
        <v>1.05</v>
      </c>
      <c r="DE219" s="62">
        <v>-3.6499999999999998E-2</v>
      </c>
      <c r="DF219" s="62">
        <v>0.01</v>
      </c>
      <c r="DG219" s="62">
        <v>1.95E-2</v>
      </c>
      <c r="DH219" s="62">
        <v>0.01</v>
      </c>
      <c r="DI219" s="62">
        <v>4.4999999999999997E-3</v>
      </c>
      <c r="DJ219" s="62">
        <v>7.4999999999999997E-3</v>
      </c>
      <c r="DK219" s="62">
        <v>0</v>
      </c>
      <c r="DL219" s="62">
        <v>0</v>
      </c>
      <c r="DM219" s="62">
        <v>0</v>
      </c>
      <c r="DN219" s="62">
        <v>0</v>
      </c>
      <c r="DO219" s="62">
        <v>0</v>
      </c>
      <c r="DP219" s="62">
        <v>0</v>
      </c>
      <c r="DQ219" s="62">
        <v>0</v>
      </c>
      <c r="DR219" s="62">
        <v>0</v>
      </c>
      <c r="DS219" s="62">
        <v>0.35</v>
      </c>
      <c r="DT219" s="62">
        <v>-5.0000000000000001E-3</v>
      </c>
    </row>
    <row r="220" spans="4:126" x14ac:dyDescent="0.25">
      <c r="D220" s="91">
        <v>43344</v>
      </c>
      <c r="F220" s="89">
        <v>4.4545000000000003</v>
      </c>
      <c r="G220" s="90">
        <v>6.5170351968916004E-2</v>
      </c>
      <c r="H220" s="89">
        <v>0.17</v>
      </c>
      <c r="I220" s="89">
        <v>0.55000000000000004</v>
      </c>
      <c r="J220" s="89">
        <v>0.55000000000000004</v>
      </c>
      <c r="K220" s="89">
        <v>0.55000000000000004</v>
      </c>
      <c r="L220" s="87">
        <v>0.55000000000000004</v>
      </c>
      <c r="M220" s="87">
        <v>0.55000000000000004</v>
      </c>
      <c r="N220" s="89">
        <v>0.6</v>
      </c>
      <c r="O220" s="89">
        <v>0.6</v>
      </c>
      <c r="P220" s="89">
        <v>0.55000000000000004</v>
      </c>
      <c r="Q220" s="89">
        <v>0.5</v>
      </c>
      <c r="R220" s="90">
        <v>0.55000000000000004</v>
      </c>
      <c r="S220" s="90">
        <v>0.6</v>
      </c>
      <c r="T220" s="89">
        <v>0.55000000000000004</v>
      </c>
      <c r="U220" s="89">
        <v>0.6</v>
      </c>
      <c r="V220" s="89">
        <v>0.65</v>
      </c>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90"/>
      <c r="AZ220" s="90"/>
      <c r="BA220" s="90">
        <v>-0.19500000000000001</v>
      </c>
      <c r="BB220" s="89">
        <v>0</v>
      </c>
      <c r="BC220" s="89">
        <v>-7.0000000000000007E-2</v>
      </c>
      <c r="BD220" s="89">
        <v>5.0000000000000001E-3</v>
      </c>
      <c r="BE220" s="89">
        <v>0.43</v>
      </c>
      <c r="BF220" s="89">
        <v>0</v>
      </c>
      <c r="BG220" s="89">
        <v>-0.06</v>
      </c>
      <c r="BH220" s="89">
        <v>0</v>
      </c>
      <c r="BI220" s="89">
        <v>0</v>
      </c>
      <c r="BJ220" s="62">
        <v>0</v>
      </c>
      <c r="BK220" s="62">
        <v>0.43</v>
      </c>
      <c r="BL220" s="62">
        <v>0</v>
      </c>
      <c r="BM220" s="62">
        <v>0.05</v>
      </c>
      <c r="BN220" s="62">
        <v>0</v>
      </c>
      <c r="BO220" s="62">
        <v>-0.37</v>
      </c>
      <c r="BP220" s="62">
        <v>0</v>
      </c>
      <c r="BQ220" s="62">
        <v>0.5</v>
      </c>
      <c r="BR220" s="62">
        <v>0</v>
      </c>
      <c r="BS220" s="62">
        <v>-7.0000000000000007E-2</v>
      </c>
      <c r="BT220" s="62">
        <v>5.0000000000000001E-3</v>
      </c>
      <c r="BU220" s="62">
        <v>0.3</v>
      </c>
      <c r="BV220" s="62">
        <v>0</v>
      </c>
      <c r="BW220" s="62">
        <v>0</v>
      </c>
      <c r="BX220" s="62">
        <v>0</v>
      </c>
      <c r="BY220" s="62">
        <v>0</v>
      </c>
      <c r="BZ220" s="62">
        <v>0</v>
      </c>
      <c r="CA220" s="62">
        <v>0.125</v>
      </c>
      <c r="CB220" s="62">
        <v>5.0000000000000001E-3</v>
      </c>
      <c r="CC220" s="62">
        <v>0</v>
      </c>
      <c r="CD220" s="62">
        <v>0</v>
      </c>
      <c r="CE220" s="62">
        <v>0</v>
      </c>
      <c r="CF220" s="62">
        <v>0</v>
      </c>
      <c r="CG220" s="62">
        <v>0</v>
      </c>
      <c r="CH220" s="62">
        <v>0</v>
      </c>
      <c r="CI220" s="62">
        <v>0</v>
      </c>
      <c r="CJ220" s="62">
        <v>0</v>
      </c>
      <c r="CK220" s="62">
        <v>0</v>
      </c>
      <c r="CL220" s="62">
        <v>0</v>
      </c>
      <c r="CM220" s="62">
        <v>0</v>
      </c>
      <c r="CN220" s="62">
        <v>0</v>
      </c>
      <c r="CO220" s="62">
        <v>0</v>
      </c>
      <c r="CP220" s="62">
        <v>0</v>
      </c>
      <c r="CQ220" s="62">
        <v>0</v>
      </c>
      <c r="CR220" s="62">
        <v>0</v>
      </c>
      <c r="CS220" s="62">
        <v>0.36</v>
      </c>
      <c r="CT220" s="62">
        <v>0.01</v>
      </c>
      <c r="CU220" s="62">
        <v>0.05</v>
      </c>
      <c r="CV220" s="62">
        <v>0</v>
      </c>
      <c r="CW220" s="62">
        <v>0.14499999999999999</v>
      </c>
      <c r="CX220" s="62">
        <v>7.4999999999999997E-3</v>
      </c>
      <c r="CY220" s="62">
        <v>-0.18</v>
      </c>
      <c r="CZ220" s="62">
        <v>0</v>
      </c>
      <c r="DA220" s="62">
        <v>0</v>
      </c>
      <c r="DB220" s="62">
        <v>0</v>
      </c>
      <c r="DC220" s="62">
        <v>0.75</v>
      </c>
      <c r="DE220" s="62">
        <v>-4.1500000000000002E-2</v>
      </c>
      <c r="DF220" s="62">
        <v>0.01</v>
      </c>
      <c r="DG220" s="62">
        <v>1.95E-2</v>
      </c>
      <c r="DH220" s="62">
        <v>0.01</v>
      </c>
      <c r="DI220" s="62">
        <v>4.4999999999999997E-3</v>
      </c>
      <c r="DJ220" s="62">
        <v>7.4999999999999997E-3</v>
      </c>
      <c r="DK220" s="62">
        <v>0</v>
      </c>
      <c r="DL220" s="62">
        <v>0</v>
      </c>
      <c r="DM220" s="62">
        <v>0</v>
      </c>
      <c r="DN220" s="62">
        <v>0</v>
      </c>
      <c r="DO220" s="62">
        <v>0</v>
      </c>
      <c r="DP220" s="62">
        <v>0</v>
      </c>
      <c r="DQ220" s="62">
        <v>0</v>
      </c>
      <c r="DR220" s="62">
        <v>0</v>
      </c>
      <c r="DS220" s="62">
        <v>0.315</v>
      </c>
      <c r="DT220" s="62">
        <v>-5.0000000000000001E-3</v>
      </c>
    </row>
    <row r="221" spans="4:126" x14ac:dyDescent="0.25">
      <c r="D221" s="91">
        <v>43374</v>
      </c>
      <c r="F221" s="89">
        <v>4.4794999999999998</v>
      </c>
      <c r="G221" s="90">
        <v>6.5209588220876802E-2</v>
      </c>
      <c r="H221" s="89">
        <v>0.17</v>
      </c>
      <c r="I221" s="89">
        <v>0.6</v>
      </c>
      <c r="J221" s="89">
        <v>0.6</v>
      </c>
      <c r="K221" s="89">
        <v>0.55000000000000004</v>
      </c>
      <c r="L221" s="87">
        <v>0.6</v>
      </c>
      <c r="M221" s="87">
        <v>0.6</v>
      </c>
      <c r="N221" s="89">
        <v>0.65</v>
      </c>
      <c r="O221" s="89">
        <v>0.65</v>
      </c>
      <c r="P221" s="89">
        <v>0.6</v>
      </c>
      <c r="Q221" s="89">
        <v>0.5</v>
      </c>
      <c r="R221" s="90">
        <v>0.6</v>
      </c>
      <c r="S221" s="90">
        <v>0.65</v>
      </c>
      <c r="T221" s="89">
        <v>0.6</v>
      </c>
      <c r="U221" s="89">
        <v>0.65</v>
      </c>
      <c r="V221" s="89">
        <v>0.7</v>
      </c>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90"/>
      <c r="AZ221" s="90"/>
      <c r="BA221" s="90">
        <v>-0.19500000000000001</v>
      </c>
      <c r="BB221" s="89">
        <v>0</v>
      </c>
      <c r="BC221" s="89">
        <v>-7.0000000000000007E-2</v>
      </c>
      <c r="BD221" s="89">
        <v>5.0000000000000001E-3</v>
      </c>
      <c r="BE221" s="89">
        <v>0.43</v>
      </c>
      <c r="BF221" s="89">
        <v>0</v>
      </c>
      <c r="BG221" s="89">
        <v>-0.06</v>
      </c>
      <c r="BH221" s="89">
        <v>0</v>
      </c>
      <c r="BI221" s="89">
        <v>0</v>
      </c>
      <c r="BJ221" s="62">
        <v>0</v>
      </c>
      <c r="BK221" s="62">
        <v>0.43</v>
      </c>
      <c r="BL221" s="62">
        <v>0</v>
      </c>
      <c r="BM221" s="62">
        <v>0.05</v>
      </c>
      <c r="BN221" s="62">
        <v>0</v>
      </c>
      <c r="BO221" s="62">
        <v>-0.37</v>
      </c>
      <c r="BP221" s="62">
        <v>0</v>
      </c>
      <c r="BQ221" s="62">
        <v>0.5</v>
      </c>
      <c r="BR221" s="62">
        <v>0</v>
      </c>
      <c r="BS221" s="62">
        <v>-7.0000000000000007E-2</v>
      </c>
      <c r="BT221" s="62">
        <v>5.0000000000000001E-3</v>
      </c>
      <c r="BU221" s="62">
        <v>0.3</v>
      </c>
      <c r="BV221" s="62">
        <v>0</v>
      </c>
      <c r="BW221" s="62">
        <v>0</v>
      </c>
      <c r="BX221" s="62">
        <v>0</v>
      </c>
      <c r="BY221" s="62">
        <v>0</v>
      </c>
      <c r="BZ221" s="62">
        <v>0</v>
      </c>
      <c r="CA221" s="62">
        <v>0.14499999999999999</v>
      </c>
      <c r="CB221" s="62">
        <v>5.0000000000000001E-3</v>
      </c>
      <c r="CC221" s="62">
        <v>0</v>
      </c>
      <c r="CD221" s="62">
        <v>0</v>
      </c>
      <c r="CE221" s="62">
        <v>0</v>
      </c>
      <c r="CF221" s="62">
        <v>0</v>
      </c>
      <c r="CG221" s="62">
        <v>0</v>
      </c>
      <c r="CH221" s="62">
        <v>0</v>
      </c>
      <c r="CI221" s="62">
        <v>0</v>
      </c>
      <c r="CJ221" s="62">
        <v>0</v>
      </c>
      <c r="CK221" s="62">
        <v>0</v>
      </c>
      <c r="CL221" s="62">
        <v>0</v>
      </c>
      <c r="CM221" s="62">
        <v>0</v>
      </c>
      <c r="CN221" s="62">
        <v>0</v>
      </c>
      <c r="CO221" s="62">
        <v>0</v>
      </c>
      <c r="CP221" s="62">
        <v>0</v>
      </c>
      <c r="CQ221" s="62">
        <v>0</v>
      </c>
      <c r="CR221" s="62">
        <v>0</v>
      </c>
      <c r="CS221" s="62">
        <v>0.4</v>
      </c>
      <c r="CT221" s="62">
        <v>0.01</v>
      </c>
      <c r="CU221" s="62">
        <v>0.05</v>
      </c>
      <c r="CV221" s="62">
        <v>0</v>
      </c>
      <c r="CW221" s="62">
        <v>0.17499999999999999</v>
      </c>
      <c r="CX221" s="62">
        <v>7.4999999999999997E-3</v>
      </c>
      <c r="CY221" s="62">
        <v>-0.18</v>
      </c>
      <c r="CZ221" s="62">
        <v>0</v>
      </c>
      <c r="DA221" s="62">
        <v>0</v>
      </c>
      <c r="DB221" s="62">
        <v>0</v>
      </c>
      <c r="DC221" s="62">
        <v>0.45</v>
      </c>
      <c r="DE221" s="62">
        <v>-4.1500000000000002E-2</v>
      </c>
      <c r="DF221" s="62">
        <v>0.01</v>
      </c>
      <c r="DG221" s="62">
        <v>1.7000000000000001E-2</v>
      </c>
      <c r="DH221" s="62">
        <v>0.01</v>
      </c>
      <c r="DI221" s="62">
        <v>2E-3</v>
      </c>
      <c r="DJ221" s="62">
        <v>7.4999999999999997E-3</v>
      </c>
      <c r="DK221" s="62">
        <v>0</v>
      </c>
      <c r="DL221" s="62">
        <v>0</v>
      </c>
      <c r="DM221" s="62">
        <v>0</v>
      </c>
      <c r="DN221" s="62">
        <v>0</v>
      </c>
      <c r="DO221" s="62">
        <v>0</v>
      </c>
      <c r="DP221" s="62">
        <v>0</v>
      </c>
      <c r="DQ221" s="62">
        <v>0</v>
      </c>
      <c r="DR221" s="62">
        <v>0</v>
      </c>
      <c r="DS221" s="62">
        <v>0.36</v>
      </c>
      <c r="DT221" s="62">
        <v>-5.0000000000000001E-3</v>
      </c>
    </row>
    <row r="222" spans="4:126" x14ac:dyDescent="0.25">
      <c r="D222" s="91">
        <v>43405</v>
      </c>
      <c r="F222" s="89">
        <v>4.6315</v>
      </c>
      <c r="G222" s="90">
        <v>6.5250132348438197E-2</v>
      </c>
      <c r="H222" s="89">
        <v>0.17</v>
      </c>
      <c r="I222" s="89">
        <v>0.8</v>
      </c>
      <c r="J222" s="89">
        <v>0.85</v>
      </c>
      <c r="K222" s="89">
        <v>0.8</v>
      </c>
      <c r="L222" s="87">
        <v>0.8</v>
      </c>
      <c r="M222" s="87">
        <v>0.9</v>
      </c>
      <c r="N222" s="89">
        <v>0.95</v>
      </c>
      <c r="O222" s="89">
        <v>0.85</v>
      </c>
      <c r="P222" s="89">
        <v>0.8</v>
      </c>
      <c r="Q222" s="89">
        <v>0.95</v>
      </c>
      <c r="R222" s="90">
        <v>0.8</v>
      </c>
      <c r="S222" s="90">
        <v>0.8</v>
      </c>
      <c r="T222" s="89">
        <v>0.8</v>
      </c>
      <c r="U222" s="89">
        <v>0.95</v>
      </c>
      <c r="V222" s="89">
        <v>0.9</v>
      </c>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90"/>
      <c r="AZ222" s="90"/>
      <c r="BA222" s="90">
        <v>-0.13</v>
      </c>
      <c r="BB222" s="89">
        <v>0</v>
      </c>
      <c r="BC222" s="89">
        <v>-7.0000000000000007E-2</v>
      </c>
      <c r="BD222" s="89">
        <v>5.0000000000000001E-3</v>
      </c>
      <c r="BE222" s="89">
        <v>0.35</v>
      </c>
      <c r="BF222" s="89">
        <v>0</v>
      </c>
      <c r="BG222" s="89">
        <v>-0.06</v>
      </c>
      <c r="BH222" s="89">
        <v>0</v>
      </c>
      <c r="BI222" s="89">
        <v>0</v>
      </c>
      <c r="BJ222" s="62">
        <v>0</v>
      </c>
      <c r="BK222" s="62">
        <v>0.35</v>
      </c>
      <c r="BL222" s="62">
        <v>0</v>
      </c>
      <c r="BM222" s="62">
        <v>0.05</v>
      </c>
      <c r="BN222" s="62">
        <v>0</v>
      </c>
      <c r="BO222" s="62">
        <v>-0.26</v>
      </c>
      <c r="BP222" s="62">
        <v>0</v>
      </c>
      <c r="BQ222" s="62">
        <v>0.5</v>
      </c>
      <c r="BR222" s="62">
        <v>0</v>
      </c>
      <c r="BS222" s="62">
        <v>-7.0000000000000007E-2</v>
      </c>
      <c r="BT222" s="62">
        <v>5.0000000000000001E-3</v>
      </c>
      <c r="BU222" s="62">
        <v>0.3</v>
      </c>
      <c r="BV222" s="62">
        <v>0</v>
      </c>
      <c r="BW222" s="62">
        <v>0</v>
      </c>
      <c r="BX222" s="62">
        <v>0</v>
      </c>
      <c r="BY222" s="62">
        <v>0</v>
      </c>
      <c r="BZ222" s="62">
        <v>0</v>
      </c>
      <c r="CA222" s="62">
        <v>0.19500000000000001</v>
      </c>
      <c r="CB222" s="62">
        <v>5.0000000000000001E-3</v>
      </c>
      <c r="CC222" s="62">
        <v>0</v>
      </c>
      <c r="CD222" s="62">
        <v>0</v>
      </c>
      <c r="CE222" s="62">
        <v>0</v>
      </c>
      <c r="CF222" s="62">
        <v>0</v>
      </c>
      <c r="CG222" s="62">
        <v>0</v>
      </c>
      <c r="CH222" s="62">
        <v>0</v>
      </c>
      <c r="CI222" s="62">
        <v>0</v>
      </c>
      <c r="CJ222" s="62">
        <v>0</v>
      </c>
      <c r="CK222" s="62">
        <v>0</v>
      </c>
      <c r="CL222" s="62">
        <v>0</v>
      </c>
      <c r="CM222" s="62">
        <v>0</v>
      </c>
      <c r="CN222" s="62">
        <v>0</v>
      </c>
      <c r="CO222" s="62">
        <v>0</v>
      </c>
      <c r="CP222" s="62">
        <v>0</v>
      </c>
      <c r="CQ222" s="62">
        <v>0</v>
      </c>
      <c r="CR222" s="62">
        <v>0</v>
      </c>
      <c r="CS222" s="62">
        <v>0.65</v>
      </c>
      <c r="CT222" s="62">
        <v>5.5E-2</v>
      </c>
      <c r="CU222" s="62">
        <v>0.05</v>
      </c>
      <c r="CV222" s="62">
        <v>0</v>
      </c>
      <c r="CW222" s="62">
        <v>0.21</v>
      </c>
      <c r="CX222" s="62">
        <v>0.02</v>
      </c>
      <c r="CY222" s="62">
        <v>-0.18</v>
      </c>
      <c r="CZ222" s="62">
        <v>0</v>
      </c>
      <c r="DA222" s="62">
        <v>0</v>
      </c>
      <c r="DB222" s="62">
        <v>0</v>
      </c>
      <c r="DC222" s="62">
        <v>0.45</v>
      </c>
      <c r="DE222" s="62">
        <v>-0.03</v>
      </c>
      <c r="DF222" s="62">
        <v>1.2500000000000001E-2</v>
      </c>
      <c r="DG222" s="62">
        <v>1.7999999999999999E-2</v>
      </c>
      <c r="DH222" s="62">
        <v>7.4999999999999997E-3</v>
      </c>
      <c r="DI222" s="62">
        <v>3.0000000000000001E-3</v>
      </c>
      <c r="DJ222" s="62">
        <v>2.5000000000000001E-3</v>
      </c>
      <c r="DK222" s="62">
        <v>0</v>
      </c>
      <c r="DL222" s="62">
        <v>0</v>
      </c>
      <c r="DM222" s="62">
        <v>0</v>
      </c>
      <c r="DN222" s="62">
        <v>0</v>
      </c>
      <c r="DO222" s="62">
        <v>0</v>
      </c>
      <c r="DP222" s="62">
        <v>0</v>
      </c>
      <c r="DQ222" s="62">
        <v>0</v>
      </c>
      <c r="DR222" s="62">
        <v>0</v>
      </c>
      <c r="DS222" s="62">
        <v>0.46</v>
      </c>
      <c r="DT222" s="62">
        <v>0.05</v>
      </c>
    </row>
    <row r="223" spans="4:126" x14ac:dyDescent="0.25">
      <c r="D223" s="91">
        <v>43435</v>
      </c>
      <c r="F223" s="89">
        <v>4.7744999999999997</v>
      </c>
      <c r="G223" s="90">
        <v>6.5289368601435999E-2</v>
      </c>
      <c r="H223" s="89">
        <v>0.17</v>
      </c>
      <c r="I223" s="89">
        <v>1</v>
      </c>
      <c r="J223" s="89">
        <v>1.05</v>
      </c>
      <c r="K223" s="89">
        <v>1</v>
      </c>
      <c r="L223" s="87">
        <v>1</v>
      </c>
      <c r="M223" s="87">
        <v>1.1499999999999999</v>
      </c>
      <c r="N223" s="89">
        <v>1.25</v>
      </c>
      <c r="O223" s="89">
        <v>1.05</v>
      </c>
      <c r="P223" s="89">
        <v>1</v>
      </c>
      <c r="Q223" s="89">
        <v>1.35</v>
      </c>
      <c r="R223" s="90">
        <v>1</v>
      </c>
      <c r="S223" s="90">
        <v>1.1000000000000001</v>
      </c>
      <c r="T223" s="89">
        <v>1</v>
      </c>
      <c r="U223" s="89">
        <v>1.25</v>
      </c>
      <c r="V223" s="89">
        <v>1.1000000000000001</v>
      </c>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90"/>
      <c r="AZ223" s="90"/>
      <c r="BA223" s="90">
        <v>-0.13</v>
      </c>
      <c r="BB223" s="89">
        <v>0</v>
      </c>
      <c r="BC223" s="89">
        <v>-7.0000000000000007E-2</v>
      </c>
      <c r="BD223" s="89">
        <v>5.0000000000000001E-3</v>
      </c>
      <c r="BE223" s="89">
        <v>0.35</v>
      </c>
      <c r="BF223" s="89">
        <v>0</v>
      </c>
      <c r="BG223" s="89">
        <v>-0.06</v>
      </c>
      <c r="BH223" s="89">
        <v>0</v>
      </c>
      <c r="BI223" s="89">
        <v>0</v>
      </c>
      <c r="BJ223" s="62">
        <v>0</v>
      </c>
      <c r="BK223" s="62">
        <v>0.35</v>
      </c>
      <c r="BL223" s="62">
        <v>0</v>
      </c>
      <c r="BM223" s="62">
        <v>0.05</v>
      </c>
      <c r="BN223" s="62">
        <v>0</v>
      </c>
      <c r="BO223" s="62">
        <v>-0.26</v>
      </c>
      <c r="BP223" s="62">
        <v>0</v>
      </c>
      <c r="BQ223" s="62">
        <v>0.5</v>
      </c>
      <c r="BR223" s="62">
        <v>0</v>
      </c>
      <c r="BS223" s="62">
        <v>-7.0000000000000007E-2</v>
      </c>
      <c r="BT223" s="62">
        <v>5.0000000000000001E-3</v>
      </c>
      <c r="BU223" s="62">
        <v>0.3</v>
      </c>
      <c r="BV223" s="62">
        <v>0</v>
      </c>
      <c r="BW223" s="62">
        <v>0</v>
      </c>
      <c r="BX223" s="62">
        <v>0</v>
      </c>
      <c r="BY223" s="62">
        <v>0</v>
      </c>
      <c r="BZ223" s="62">
        <v>0</v>
      </c>
      <c r="CA223" s="62">
        <v>0.215</v>
      </c>
      <c r="CB223" s="62">
        <v>5.0000000000000001E-3</v>
      </c>
      <c r="CC223" s="62">
        <v>0</v>
      </c>
      <c r="CD223" s="62">
        <v>0</v>
      </c>
      <c r="CE223" s="62">
        <v>0</v>
      </c>
      <c r="CF223" s="62">
        <v>0</v>
      </c>
      <c r="CG223" s="62">
        <v>0</v>
      </c>
      <c r="CH223" s="62">
        <v>0</v>
      </c>
      <c r="CI223" s="62">
        <v>0</v>
      </c>
      <c r="CJ223" s="62">
        <v>0</v>
      </c>
      <c r="CK223" s="62">
        <v>0</v>
      </c>
      <c r="CL223" s="62">
        <v>0</v>
      </c>
      <c r="CM223" s="62">
        <v>0</v>
      </c>
      <c r="CN223" s="62">
        <v>0</v>
      </c>
      <c r="CO223" s="62">
        <v>0</v>
      </c>
      <c r="CP223" s="62">
        <v>0</v>
      </c>
      <c r="CQ223" s="62">
        <v>0</v>
      </c>
      <c r="CR223" s="62">
        <v>0</v>
      </c>
      <c r="CS223" s="62">
        <v>0.98</v>
      </c>
      <c r="CT223" s="62">
        <v>0.25</v>
      </c>
      <c r="CU223" s="62">
        <v>0.05</v>
      </c>
      <c r="CV223" s="62">
        <v>0</v>
      </c>
      <c r="CW223" s="62">
        <v>0.28999999999999998</v>
      </c>
      <c r="CX223" s="62">
        <v>0.02</v>
      </c>
      <c r="CY223" s="62">
        <v>-0.18</v>
      </c>
      <c r="CZ223" s="62">
        <v>0</v>
      </c>
      <c r="DA223" s="62">
        <v>0</v>
      </c>
      <c r="DB223" s="62">
        <v>0</v>
      </c>
      <c r="DC223" s="62">
        <v>0.4</v>
      </c>
      <c r="DE223" s="62">
        <v>-0.03</v>
      </c>
      <c r="DF223" s="62">
        <v>1.2500000000000001E-2</v>
      </c>
      <c r="DG223" s="62">
        <v>1.7999999999999999E-2</v>
      </c>
      <c r="DH223" s="62">
        <v>7.4999999999999997E-3</v>
      </c>
      <c r="DI223" s="62">
        <v>3.0000000000000001E-3</v>
      </c>
      <c r="DJ223" s="62">
        <v>2.5000000000000001E-3</v>
      </c>
      <c r="DK223" s="62">
        <v>0</v>
      </c>
      <c r="DL223" s="62">
        <v>0</v>
      </c>
      <c r="DM223" s="62">
        <v>0</v>
      </c>
      <c r="DN223" s="62">
        <v>0</v>
      </c>
      <c r="DO223" s="62">
        <v>0</v>
      </c>
      <c r="DP223" s="62">
        <v>0</v>
      </c>
      <c r="DQ223" s="62">
        <v>0</v>
      </c>
      <c r="DR223" s="62">
        <v>0</v>
      </c>
      <c r="DS223" s="62">
        <v>0.77</v>
      </c>
      <c r="DT223" s="62">
        <v>0.05</v>
      </c>
    </row>
    <row r="224" spans="4:126" x14ac:dyDescent="0.25">
      <c r="D224" s="91">
        <v>43466</v>
      </c>
      <c r="F224" s="89">
        <v>4.8345000000000002</v>
      </c>
      <c r="G224" s="90">
        <v>6.5329912730069495E-2</v>
      </c>
      <c r="H224" s="89">
        <v>0.17</v>
      </c>
      <c r="I224" s="89">
        <v>1</v>
      </c>
      <c r="J224" s="89">
        <v>1.05</v>
      </c>
      <c r="K224" s="89">
        <v>1</v>
      </c>
      <c r="L224" s="87">
        <v>1</v>
      </c>
      <c r="M224" s="87">
        <v>1.1499999999999999</v>
      </c>
      <c r="N224" s="89">
        <v>1.45</v>
      </c>
      <c r="O224" s="89">
        <v>1.05</v>
      </c>
      <c r="P224" s="89">
        <v>1</v>
      </c>
      <c r="Q224" s="89">
        <v>1.35</v>
      </c>
      <c r="R224" s="90">
        <v>1</v>
      </c>
      <c r="S224" s="90">
        <v>1.1000000000000001</v>
      </c>
      <c r="T224" s="89">
        <v>1</v>
      </c>
      <c r="U224" s="89">
        <v>1.45</v>
      </c>
      <c r="V224" s="89">
        <v>1.1000000000000001</v>
      </c>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90"/>
      <c r="AZ224" s="90"/>
      <c r="BA224" s="90">
        <v>-0.13</v>
      </c>
      <c r="BB224" s="89">
        <v>0</v>
      </c>
      <c r="BC224" s="89">
        <v>-7.0000000000000007E-2</v>
      </c>
      <c r="BD224" s="89">
        <v>5.0000000000000001E-3</v>
      </c>
      <c r="BE224" s="89">
        <v>0.35</v>
      </c>
      <c r="BF224" s="89">
        <v>0</v>
      </c>
      <c r="BG224" s="89">
        <v>-0.06</v>
      </c>
      <c r="BH224" s="89">
        <v>0</v>
      </c>
      <c r="BI224" s="89">
        <v>0</v>
      </c>
      <c r="BJ224" s="62">
        <v>0</v>
      </c>
      <c r="BK224" s="62">
        <v>0.35</v>
      </c>
      <c r="BL224" s="62">
        <v>0</v>
      </c>
      <c r="BM224" s="62">
        <v>0.05</v>
      </c>
      <c r="BN224" s="62">
        <v>0</v>
      </c>
      <c r="BO224" s="62">
        <v>-0.26</v>
      </c>
      <c r="BP224" s="62">
        <v>0</v>
      </c>
      <c r="BQ224" s="62">
        <v>0.5</v>
      </c>
      <c r="BR224" s="62">
        <v>0</v>
      </c>
      <c r="BS224" s="62">
        <v>-7.0000000000000007E-2</v>
      </c>
      <c r="BT224" s="62">
        <v>5.0000000000000001E-3</v>
      </c>
      <c r="BU224" s="62">
        <v>0.3</v>
      </c>
      <c r="BV224" s="62">
        <v>0</v>
      </c>
      <c r="BW224" s="62">
        <v>0</v>
      </c>
      <c r="BX224" s="62">
        <v>0</v>
      </c>
      <c r="BY224" s="62">
        <v>0</v>
      </c>
      <c r="BZ224" s="62">
        <v>0</v>
      </c>
      <c r="CA224" s="62">
        <v>0.23499999999999999</v>
      </c>
      <c r="CB224" s="62">
        <v>5.0000000000000001E-3</v>
      </c>
      <c r="CC224" s="62">
        <v>0</v>
      </c>
      <c r="CD224" s="62">
        <v>0</v>
      </c>
      <c r="CE224" s="62">
        <v>0</v>
      </c>
      <c r="CF224" s="62">
        <v>0</v>
      </c>
      <c r="CG224" s="62">
        <v>0</v>
      </c>
      <c r="CH224" s="62">
        <v>0</v>
      </c>
      <c r="CI224" s="62">
        <v>0</v>
      </c>
      <c r="CJ224" s="62">
        <v>0</v>
      </c>
      <c r="CK224" s="62">
        <v>0</v>
      </c>
      <c r="CL224" s="62">
        <v>0</v>
      </c>
      <c r="CM224" s="62">
        <v>0</v>
      </c>
      <c r="CN224" s="62">
        <v>0</v>
      </c>
      <c r="CO224" s="62">
        <v>0</v>
      </c>
      <c r="CP224" s="62">
        <v>0</v>
      </c>
      <c r="CQ224" s="62">
        <v>0</v>
      </c>
      <c r="CR224" s="62">
        <v>0</v>
      </c>
      <c r="CS224" s="62">
        <v>1.6</v>
      </c>
      <c r="CT224" s="62">
        <v>0.45</v>
      </c>
      <c r="CU224" s="62">
        <v>0.05</v>
      </c>
      <c r="CV224" s="62">
        <v>0</v>
      </c>
      <c r="CW224" s="62">
        <v>0.34</v>
      </c>
      <c r="CX224" s="62">
        <v>0.02</v>
      </c>
      <c r="CY224" s="62">
        <v>-0.18</v>
      </c>
      <c r="CZ224" s="62">
        <v>0</v>
      </c>
      <c r="DA224" s="62">
        <v>0</v>
      </c>
      <c r="DB224" s="62">
        <v>0</v>
      </c>
      <c r="DC224" s="62">
        <v>0.35</v>
      </c>
      <c r="DE224" s="62">
        <v>-0.03</v>
      </c>
      <c r="DF224" s="62">
        <v>1.2500000000000001E-2</v>
      </c>
      <c r="DG224" s="62">
        <v>1.7999999999999999E-2</v>
      </c>
      <c r="DH224" s="62">
        <v>7.4999999999999997E-3</v>
      </c>
      <c r="DI224" s="62">
        <v>3.0000000000000001E-3</v>
      </c>
      <c r="DJ224" s="62">
        <v>2.5000000000000001E-3</v>
      </c>
      <c r="DK224" s="62">
        <v>0</v>
      </c>
      <c r="DL224" s="62">
        <v>0</v>
      </c>
      <c r="DM224" s="62">
        <v>0</v>
      </c>
      <c r="DN224" s="62">
        <v>0</v>
      </c>
      <c r="DO224" s="62">
        <v>0</v>
      </c>
      <c r="DP224" s="62">
        <v>0</v>
      </c>
      <c r="DQ224" s="62">
        <v>0</v>
      </c>
      <c r="DR224" s="62">
        <v>0</v>
      </c>
      <c r="DS224" s="62">
        <v>1.04</v>
      </c>
      <c r="DT224" s="62">
        <v>0.05</v>
      </c>
    </row>
    <row r="225" spans="4:124" x14ac:dyDescent="0.25">
      <c r="D225" s="91">
        <v>43497</v>
      </c>
      <c r="F225" s="89">
        <v>4.7495000000000003</v>
      </c>
      <c r="G225" s="90">
        <v>6.5370456859247902E-2</v>
      </c>
      <c r="H225" s="89">
        <v>0.17</v>
      </c>
      <c r="I225" s="89">
        <v>1</v>
      </c>
      <c r="J225" s="89">
        <v>1.05</v>
      </c>
      <c r="K225" s="89">
        <v>1</v>
      </c>
      <c r="L225" s="87">
        <v>1</v>
      </c>
      <c r="M225" s="87">
        <v>1.1499999999999999</v>
      </c>
      <c r="N225" s="89">
        <v>1.45</v>
      </c>
      <c r="O225" s="89">
        <v>1.05</v>
      </c>
      <c r="P225" s="89">
        <v>1</v>
      </c>
      <c r="Q225" s="89">
        <v>1.35</v>
      </c>
      <c r="R225" s="90">
        <v>1</v>
      </c>
      <c r="S225" s="90">
        <v>1.1000000000000001</v>
      </c>
      <c r="T225" s="89">
        <v>1</v>
      </c>
      <c r="U225" s="89">
        <v>1.45</v>
      </c>
      <c r="V225" s="89">
        <v>1.1000000000000001</v>
      </c>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90"/>
      <c r="AZ225" s="90"/>
      <c r="BA225" s="90">
        <v>-0.13</v>
      </c>
      <c r="BB225" s="89">
        <v>0</v>
      </c>
      <c r="BC225" s="89">
        <v>-7.0000000000000007E-2</v>
      </c>
      <c r="BD225" s="89">
        <v>0</v>
      </c>
      <c r="BE225" s="89">
        <v>0.35</v>
      </c>
      <c r="BF225" s="89">
        <v>0</v>
      </c>
      <c r="BG225" s="89">
        <v>-0.06</v>
      </c>
      <c r="BH225" s="89">
        <v>0</v>
      </c>
      <c r="BI225" s="89">
        <v>0</v>
      </c>
      <c r="BJ225" s="62">
        <v>0</v>
      </c>
      <c r="BK225" s="62">
        <v>0.35</v>
      </c>
      <c r="BL225" s="62">
        <v>0</v>
      </c>
      <c r="BM225" s="62">
        <v>0.05</v>
      </c>
      <c r="BN225" s="62">
        <v>0</v>
      </c>
      <c r="BO225" s="62">
        <v>-0.26</v>
      </c>
      <c r="BP225" s="62">
        <v>0</v>
      </c>
      <c r="BQ225" s="62">
        <v>0.5</v>
      </c>
      <c r="BR225" s="62">
        <v>0</v>
      </c>
      <c r="BS225" s="62">
        <v>-7.0000000000000007E-2</v>
      </c>
      <c r="BT225" s="62">
        <v>0</v>
      </c>
      <c r="BU225" s="62">
        <v>0.3</v>
      </c>
      <c r="BV225" s="62">
        <v>0</v>
      </c>
      <c r="BW225" s="62">
        <v>0</v>
      </c>
      <c r="BX225" s="62">
        <v>0</v>
      </c>
      <c r="BY225" s="62">
        <v>0</v>
      </c>
      <c r="BZ225" s="62">
        <v>0</v>
      </c>
      <c r="CA225" s="62">
        <v>0.23499999999999999</v>
      </c>
      <c r="CB225" s="62">
        <v>5.0000000000000001E-3</v>
      </c>
      <c r="CC225" s="62">
        <v>0</v>
      </c>
      <c r="CD225" s="62">
        <v>0</v>
      </c>
      <c r="CE225" s="62">
        <v>0</v>
      </c>
      <c r="CF225" s="62">
        <v>0</v>
      </c>
      <c r="CG225" s="62">
        <v>0</v>
      </c>
      <c r="CH225" s="62">
        <v>0</v>
      </c>
      <c r="CI225" s="62">
        <v>0</v>
      </c>
      <c r="CJ225" s="62">
        <v>0</v>
      </c>
      <c r="CK225" s="62">
        <v>0</v>
      </c>
      <c r="CL225" s="62">
        <v>0</v>
      </c>
      <c r="CM225" s="62">
        <v>0</v>
      </c>
      <c r="CN225" s="62">
        <v>0</v>
      </c>
      <c r="CO225" s="62">
        <v>0</v>
      </c>
      <c r="CP225" s="62">
        <v>0</v>
      </c>
      <c r="CQ225" s="62">
        <v>0</v>
      </c>
      <c r="CR225" s="62">
        <v>0</v>
      </c>
      <c r="CS225" s="62">
        <v>1.6</v>
      </c>
      <c r="CT225" s="62">
        <v>0.45</v>
      </c>
      <c r="CU225" s="62">
        <v>0.05</v>
      </c>
      <c r="CV225" s="62">
        <v>0</v>
      </c>
      <c r="CW225" s="62">
        <v>0.34</v>
      </c>
      <c r="CX225" s="62">
        <v>0.02</v>
      </c>
      <c r="CY225" s="62">
        <v>-0.18</v>
      </c>
      <c r="CZ225" s="62">
        <v>0</v>
      </c>
      <c r="DA225" s="62">
        <v>0</v>
      </c>
      <c r="DB225" s="62">
        <v>0</v>
      </c>
      <c r="DC225" s="62">
        <v>0.35</v>
      </c>
      <c r="DE225" s="62">
        <v>-0.03</v>
      </c>
      <c r="DF225" s="62">
        <v>1.2500000000000001E-2</v>
      </c>
      <c r="DG225" s="62">
        <v>1.7999999999999999E-2</v>
      </c>
      <c r="DH225" s="62">
        <v>7.4999999999999997E-3</v>
      </c>
      <c r="DI225" s="62">
        <v>3.0000000000000001E-3</v>
      </c>
      <c r="DJ225" s="62">
        <v>2.5000000000000001E-3</v>
      </c>
      <c r="DK225" s="62">
        <v>0</v>
      </c>
      <c r="DL225" s="62">
        <v>0</v>
      </c>
      <c r="DM225" s="62">
        <v>0</v>
      </c>
      <c r="DN225" s="62">
        <v>0</v>
      </c>
      <c r="DO225" s="62">
        <v>0</v>
      </c>
      <c r="DP225" s="62">
        <v>0</v>
      </c>
      <c r="DQ225" s="62">
        <v>0</v>
      </c>
      <c r="DR225" s="62">
        <v>0</v>
      </c>
      <c r="DS225" s="62">
        <v>1.04</v>
      </c>
      <c r="DT225" s="62">
        <v>0.05</v>
      </c>
    </row>
    <row r="226" spans="4:124" x14ac:dyDescent="0.25">
      <c r="D226" s="91">
        <v>43525</v>
      </c>
      <c r="F226" s="89">
        <v>4.6195000000000004</v>
      </c>
      <c r="G226" s="90">
        <v>6.5407077363490301E-2</v>
      </c>
      <c r="H226" s="89">
        <v>0.17</v>
      </c>
      <c r="I226" s="89">
        <v>0.75</v>
      </c>
      <c r="J226" s="89">
        <v>0.8</v>
      </c>
      <c r="K226" s="89">
        <v>0.75</v>
      </c>
      <c r="L226" s="87">
        <v>0.75</v>
      </c>
      <c r="M226" s="87">
        <v>0.85</v>
      </c>
      <c r="N226" s="89">
        <v>1</v>
      </c>
      <c r="O226" s="89">
        <v>0.75</v>
      </c>
      <c r="P226" s="89">
        <v>0.75</v>
      </c>
      <c r="Q226" s="89">
        <v>0.95</v>
      </c>
      <c r="R226" s="90">
        <v>0.75</v>
      </c>
      <c r="S226" s="90">
        <v>0.75</v>
      </c>
      <c r="T226" s="89">
        <v>0.75</v>
      </c>
      <c r="U226" s="89">
        <v>1</v>
      </c>
      <c r="V226" s="89">
        <v>0.85</v>
      </c>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90"/>
      <c r="AZ226" s="90"/>
      <c r="BA226" s="90">
        <v>-0.13</v>
      </c>
      <c r="BB226" s="89">
        <v>0</v>
      </c>
      <c r="BC226" s="89">
        <v>-7.0000000000000007E-2</v>
      </c>
      <c r="BD226" s="89">
        <v>0</v>
      </c>
      <c r="BE226" s="89">
        <v>0.35</v>
      </c>
      <c r="BF226" s="89">
        <v>0</v>
      </c>
      <c r="BG226" s="89">
        <v>-0.06</v>
      </c>
      <c r="BH226" s="89">
        <v>0</v>
      </c>
      <c r="BI226" s="89">
        <v>0</v>
      </c>
      <c r="BJ226" s="62">
        <v>0</v>
      </c>
      <c r="BK226" s="62">
        <v>0.35</v>
      </c>
      <c r="BL226" s="62">
        <v>0</v>
      </c>
      <c r="BM226" s="62">
        <v>0.05</v>
      </c>
      <c r="BN226" s="62">
        <v>0</v>
      </c>
      <c r="BO226" s="62">
        <v>-0.26</v>
      </c>
      <c r="BP226" s="62">
        <v>0</v>
      </c>
      <c r="BQ226" s="62">
        <v>0.5</v>
      </c>
      <c r="BR226" s="62">
        <v>0</v>
      </c>
      <c r="BS226" s="62">
        <v>-7.0000000000000007E-2</v>
      </c>
      <c r="BT226" s="62">
        <v>0</v>
      </c>
      <c r="BU226" s="62">
        <v>0.3</v>
      </c>
      <c r="BV226" s="62">
        <v>0</v>
      </c>
      <c r="BW226" s="62">
        <v>0</v>
      </c>
      <c r="BX226" s="62">
        <v>0</v>
      </c>
      <c r="BY226" s="62">
        <v>0</v>
      </c>
      <c r="BZ226" s="62">
        <v>0</v>
      </c>
      <c r="CA226" s="62">
        <v>0.19500000000000001</v>
      </c>
      <c r="CB226" s="62">
        <v>5.0000000000000001E-3</v>
      </c>
      <c r="CC226" s="62">
        <v>0</v>
      </c>
      <c r="CD226" s="62">
        <v>0</v>
      </c>
      <c r="CE226" s="62">
        <v>0</v>
      </c>
      <c r="CF226" s="62">
        <v>0</v>
      </c>
      <c r="CG226" s="62">
        <v>0</v>
      </c>
      <c r="CH226" s="62">
        <v>0</v>
      </c>
      <c r="CI226" s="62">
        <v>0</v>
      </c>
      <c r="CJ226" s="62">
        <v>0</v>
      </c>
      <c r="CK226" s="62">
        <v>0</v>
      </c>
      <c r="CL226" s="62">
        <v>0</v>
      </c>
      <c r="CM226" s="62">
        <v>0</v>
      </c>
      <c r="CN226" s="62">
        <v>0</v>
      </c>
      <c r="CO226" s="62">
        <v>0</v>
      </c>
      <c r="CP226" s="62">
        <v>0</v>
      </c>
      <c r="CQ226" s="62">
        <v>0</v>
      </c>
      <c r="CR226" s="62">
        <v>0</v>
      </c>
      <c r="CS226" s="62">
        <v>0.64</v>
      </c>
      <c r="CT226" s="62">
        <v>0.1</v>
      </c>
      <c r="CU226" s="62">
        <v>0.05</v>
      </c>
      <c r="CV226" s="62">
        <v>0</v>
      </c>
      <c r="CW226" s="62">
        <v>0.28999999999999998</v>
      </c>
      <c r="CX226" s="62">
        <v>0.02</v>
      </c>
      <c r="CY226" s="62">
        <v>-0.18</v>
      </c>
      <c r="CZ226" s="62">
        <v>0</v>
      </c>
      <c r="DA226" s="62">
        <v>0</v>
      </c>
      <c r="DB226" s="62">
        <v>0</v>
      </c>
      <c r="DC226" s="62">
        <v>0.4</v>
      </c>
      <c r="DE226" s="62">
        <v>-0.03</v>
      </c>
      <c r="DF226" s="62">
        <v>1.2500000000000001E-2</v>
      </c>
      <c r="DG226" s="62">
        <v>2.3E-2</v>
      </c>
      <c r="DH226" s="62">
        <v>7.4999999999999997E-3</v>
      </c>
      <c r="DI226" s="62">
        <v>8.0000000000000002E-3</v>
      </c>
      <c r="DJ226" s="62">
        <v>2.5000000000000001E-3</v>
      </c>
      <c r="DK226" s="62">
        <v>0</v>
      </c>
      <c r="DL226" s="62">
        <v>0</v>
      </c>
      <c r="DM226" s="62">
        <v>0</v>
      </c>
      <c r="DN226" s="62">
        <v>0</v>
      </c>
      <c r="DO226" s="62">
        <v>0</v>
      </c>
      <c r="DP226" s="62">
        <v>0</v>
      </c>
      <c r="DQ226" s="62">
        <v>0</v>
      </c>
      <c r="DR226" s="62">
        <v>0</v>
      </c>
      <c r="DS226" s="62">
        <v>0.54</v>
      </c>
      <c r="DT226" s="62">
        <v>0.05</v>
      </c>
    </row>
    <row r="227" spans="4:124" x14ac:dyDescent="0.25">
      <c r="D227" s="91">
        <v>43556</v>
      </c>
      <c r="F227" s="89">
        <v>4.4344999999999999</v>
      </c>
      <c r="G227" s="90">
        <v>6.5447621493705602E-2</v>
      </c>
      <c r="H227" s="89">
        <v>0.17</v>
      </c>
      <c r="I227" s="89">
        <v>0.4</v>
      </c>
      <c r="J227" s="89">
        <v>0.45</v>
      </c>
      <c r="K227" s="89">
        <v>0.4</v>
      </c>
      <c r="L227" s="87">
        <v>0.45</v>
      </c>
      <c r="M227" s="87">
        <v>0.45</v>
      </c>
      <c r="N227" s="89">
        <v>0.45</v>
      </c>
      <c r="O227" s="89">
        <v>0.45</v>
      </c>
      <c r="P227" s="89">
        <v>0.45</v>
      </c>
      <c r="Q227" s="89">
        <v>0.5</v>
      </c>
      <c r="R227" s="90">
        <v>0.4</v>
      </c>
      <c r="S227" s="90">
        <v>0.45</v>
      </c>
      <c r="T227" s="89">
        <v>0.4</v>
      </c>
      <c r="U227" s="89">
        <v>0.45</v>
      </c>
      <c r="V227" s="89">
        <v>0.55000000000000004</v>
      </c>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c r="AS227" s="89"/>
      <c r="AT227" s="89"/>
      <c r="AU227" s="89"/>
      <c r="AV227" s="89"/>
      <c r="AW227" s="89"/>
      <c r="AX227" s="89"/>
      <c r="AY227" s="90"/>
      <c r="AZ227" s="90"/>
      <c r="BA227" s="90">
        <v>-0.19500000000000001</v>
      </c>
      <c r="BB227" s="89">
        <v>0</v>
      </c>
      <c r="BC227" s="89">
        <v>-7.0000000000000007E-2</v>
      </c>
      <c r="BD227" s="89">
        <v>0</v>
      </c>
      <c r="BE227" s="89">
        <v>0.43</v>
      </c>
      <c r="BF227" s="89">
        <v>0</v>
      </c>
      <c r="BG227" s="89">
        <v>-0.06</v>
      </c>
      <c r="BH227" s="89">
        <v>0</v>
      </c>
      <c r="BI227" s="89">
        <v>0</v>
      </c>
      <c r="BJ227" s="62">
        <v>0</v>
      </c>
      <c r="BK227" s="62">
        <v>0.43</v>
      </c>
      <c r="BL227" s="62">
        <v>0</v>
      </c>
      <c r="BM227" s="62">
        <v>0.05</v>
      </c>
      <c r="BN227" s="62">
        <v>0</v>
      </c>
      <c r="BO227" s="62">
        <v>-0.37</v>
      </c>
      <c r="BP227" s="62">
        <v>0</v>
      </c>
      <c r="BQ227" s="62">
        <v>0.5</v>
      </c>
      <c r="BR227" s="62">
        <v>0</v>
      </c>
      <c r="BS227" s="62">
        <v>-7.0000000000000007E-2</v>
      </c>
      <c r="BT227" s="62">
        <v>0</v>
      </c>
      <c r="BU227" s="62">
        <v>0.3</v>
      </c>
      <c r="BV227" s="62">
        <v>0</v>
      </c>
      <c r="BW227" s="62">
        <v>0</v>
      </c>
      <c r="BX227" s="62">
        <v>0</v>
      </c>
      <c r="BY227" s="62">
        <v>0</v>
      </c>
      <c r="BZ227" s="62">
        <v>0</v>
      </c>
      <c r="CA227" s="62">
        <v>0.14499999999999999</v>
      </c>
      <c r="CB227" s="62">
        <v>5.0000000000000001E-3</v>
      </c>
      <c r="CC227" s="62">
        <v>0</v>
      </c>
      <c r="CD227" s="62">
        <v>0</v>
      </c>
      <c r="CE227" s="62">
        <v>0</v>
      </c>
      <c r="CF227" s="62">
        <v>0</v>
      </c>
      <c r="CG227" s="62">
        <v>0</v>
      </c>
      <c r="CH227" s="62">
        <v>0</v>
      </c>
      <c r="CI227" s="62">
        <v>0</v>
      </c>
      <c r="CJ227" s="62">
        <v>0</v>
      </c>
      <c r="CK227" s="62">
        <v>0</v>
      </c>
      <c r="CL227" s="62">
        <v>0</v>
      </c>
      <c r="CM227" s="62">
        <v>0</v>
      </c>
      <c r="CN227" s="62">
        <v>0</v>
      </c>
      <c r="CO227" s="62">
        <v>0</v>
      </c>
      <c r="CP227" s="62">
        <v>0</v>
      </c>
      <c r="CQ227" s="62">
        <v>0</v>
      </c>
      <c r="CR227" s="62">
        <v>0</v>
      </c>
      <c r="CS227" s="62">
        <v>0.38</v>
      </c>
      <c r="CT227" s="62">
        <v>0.02</v>
      </c>
      <c r="CU227" s="62">
        <v>0.05</v>
      </c>
      <c r="CV227" s="62">
        <v>0</v>
      </c>
      <c r="CW227" s="62">
        <v>0.19500000000000001</v>
      </c>
      <c r="CX227" s="62">
        <v>7.4999999999999997E-3</v>
      </c>
      <c r="CY227" s="62">
        <v>-0.18</v>
      </c>
      <c r="CZ227" s="62">
        <v>0</v>
      </c>
      <c r="DA227" s="62">
        <v>0</v>
      </c>
      <c r="DB227" s="62">
        <v>0</v>
      </c>
      <c r="DC227" s="62">
        <v>0.6</v>
      </c>
      <c r="DE227" s="62">
        <v>-3.7499999999999999E-2</v>
      </c>
      <c r="DF227" s="62">
        <v>0.01</v>
      </c>
      <c r="DG227" s="62">
        <v>2.3E-2</v>
      </c>
      <c r="DH227" s="62">
        <v>0.01</v>
      </c>
      <c r="DI227" s="62">
        <v>8.0000000000000002E-3</v>
      </c>
      <c r="DJ227" s="62">
        <v>7.4999999999999997E-3</v>
      </c>
      <c r="DK227" s="62">
        <v>0</v>
      </c>
      <c r="DL227" s="62">
        <v>0</v>
      </c>
      <c r="DM227" s="62">
        <v>0</v>
      </c>
      <c r="DN227" s="62">
        <v>0</v>
      </c>
      <c r="DO227" s="62">
        <v>0</v>
      </c>
      <c r="DP227" s="62">
        <v>0</v>
      </c>
      <c r="DQ227" s="62">
        <v>0</v>
      </c>
      <c r="DR227" s="62">
        <v>0</v>
      </c>
      <c r="DS227" s="62">
        <v>0.36</v>
      </c>
      <c r="DT227" s="62">
        <v>5.0000000000000001E-3</v>
      </c>
    </row>
    <row r="228" spans="4:124" x14ac:dyDescent="0.25">
      <c r="D228" s="91">
        <v>43586</v>
      </c>
      <c r="F228" s="89">
        <v>4.4295</v>
      </c>
      <c r="G228" s="90">
        <v>6.5486857749271501E-2</v>
      </c>
      <c r="H228" s="89">
        <v>0.17</v>
      </c>
      <c r="I228" s="89">
        <v>0.45</v>
      </c>
      <c r="J228" s="89">
        <v>0.5</v>
      </c>
      <c r="K228" s="89">
        <v>0.4</v>
      </c>
      <c r="L228" s="87">
        <v>0.4</v>
      </c>
      <c r="M228" s="87">
        <v>0.45</v>
      </c>
      <c r="N228" s="89">
        <v>0.5</v>
      </c>
      <c r="O228" s="89">
        <v>0.45</v>
      </c>
      <c r="P228" s="89">
        <v>0.4</v>
      </c>
      <c r="Q228" s="89">
        <v>0.45</v>
      </c>
      <c r="R228" s="90">
        <v>0.45</v>
      </c>
      <c r="S228" s="90">
        <v>0.5</v>
      </c>
      <c r="T228" s="89">
        <v>0.45</v>
      </c>
      <c r="U228" s="89">
        <v>0.5</v>
      </c>
      <c r="V228" s="89">
        <v>0.5</v>
      </c>
      <c r="W228" s="89"/>
      <c r="X228" s="89"/>
      <c r="Y228" s="89"/>
      <c r="Z228" s="89"/>
      <c r="AA228" s="89"/>
      <c r="AB228" s="89"/>
      <c r="AC228" s="89"/>
      <c r="AD228" s="89"/>
      <c r="AE228" s="89"/>
      <c r="AF228" s="89"/>
      <c r="AG228" s="89"/>
      <c r="AH228" s="89"/>
      <c r="AI228" s="89"/>
      <c r="AJ228" s="89"/>
      <c r="AK228" s="89"/>
      <c r="AL228" s="89"/>
      <c r="AM228" s="89"/>
      <c r="AN228" s="89"/>
      <c r="AO228" s="89"/>
      <c r="AP228" s="89"/>
      <c r="AQ228" s="89"/>
      <c r="AR228" s="89"/>
      <c r="AS228" s="89"/>
      <c r="AT228" s="89"/>
      <c r="AU228" s="89"/>
      <c r="AV228" s="89"/>
      <c r="AW228" s="89"/>
      <c r="AX228" s="89"/>
      <c r="AY228" s="90"/>
      <c r="AZ228" s="90"/>
      <c r="BA228" s="90">
        <v>-0.19500000000000001</v>
      </c>
      <c r="BB228" s="89">
        <v>0</v>
      </c>
      <c r="BC228" s="89">
        <v>-7.0000000000000007E-2</v>
      </c>
      <c r="BD228" s="89">
        <v>0</v>
      </c>
      <c r="BE228" s="89">
        <v>0.43</v>
      </c>
      <c r="BF228" s="89">
        <v>0</v>
      </c>
      <c r="BG228" s="89">
        <v>-0.06</v>
      </c>
      <c r="BH228" s="89">
        <v>0</v>
      </c>
      <c r="BI228" s="89">
        <v>0</v>
      </c>
      <c r="BJ228" s="62">
        <v>0</v>
      </c>
      <c r="BK228" s="62">
        <v>0.43</v>
      </c>
      <c r="BL228" s="62">
        <v>0</v>
      </c>
      <c r="BM228" s="62">
        <v>0.05</v>
      </c>
      <c r="BN228" s="62">
        <v>0</v>
      </c>
      <c r="BO228" s="62">
        <v>-0.37</v>
      </c>
      <c r="BP228" s="62">
        <v>0</v>
      </c>
      <c r="BQ228" s="62">
        <v>0.5</v>
      </c>
      <c r="BR228" s="62">
        <v>0</v>
      </c>
      <c r="BS228" s="62">
        <v>-7.0000000000000007E-2</v>
      </c>
      <c r="BT228" s="62">
        <v>0</v>
      </c>
      <c r="BU228" s="62">
        <v>0.3</v>
      </c>
      <c r="BV228" s="62">
        <v>0</v>
      </c>
      <c r="BW228" s="62">
        <v>0</v>
      </c>
      <c r="BX228" s="62">
        <v>0</v>
      </c>
      <c r="BY228" s="62">
        <v>0</v>
      </c>
      <c r="BZ228" s="62">
        <v>0</v>
      </c>
      <c r="CA228" s="62">
        <v>0.125</v>
      </c>
      <c r="CB228" s="62">
        <v>5.0000000000000001E-3</v>
      </c>
      <c r="CC228" s="62">
        <v>0</v>
      </c>
      <c r="CD228" s="62">
        <v>0</v>
      </c>
      <c r="CE228" s="62">
        <v>0</v>
      </c>
      <c r="CF228" s="62">
        <v>0</v>
      </c>
      <c r="CG228" s="62">
        <v>0</v>
      </c>
      <c r="CH228" s="62">
        <v>0</v>
      </c>
      <c r="CI228" s="62">
        <v>0</v>
      </c>
      <c r="CJ228" s="62">
        <v>0</v>
      </c>
      <c r="CK228" s="62">
        <v>0</v>
      </c>
      <c r="CL228" s="62">
        <v>0</v>
      </c>
      <c r="CM228" s="62">
        <v>0</v>
      </c>
      <c r="CN228" s="62">
        <v>0</v>
      </c>
      <c r="CO228" s="62">
        <v>0</v>
      </c>
      <c r="CP228" s="62">
        <v>0</v>
      </c>
      <c r="CQ228" s="62">
        <v>0</v>
      </c>
      <c r="CR228" s="62">
        <v>0</v>
      </c>
      <c r="CS228" s="62">
        <v>0.33</v>
      </c>
      <c r="CT228" s="62">
        <v>0.02</v>
      </c>
      <c r="CU228" s="62">
        <v>0.05</v>
      </c>
      <c r="CV228" s="62">
        <v>0</v>
      </c>
      <c r="CW228" s="62">
        <v>0.13500000000000001</v>
      </c>
      <c r="CX228" s="62">
        <v>7.4999999999999997E-3</v>
      </c>
      <c r="CY228" s="62">
        <v>-0.18</v>
      </c>
      <c r="CZ228" s="62">
        <v>0</v>
      </c>
      <c r="DA228" s="62">
        <v>0</v>
      </c>
      <c r="DB228" s="62">
        <v>0</v>
      </c>
      <c r="DC228" s="62">
        <v>0.75</v>
      </c>
      <c r="DE228" s="62">
        <v>-3.7499999999999999E-2</v>
      </c>
      <c r="DF228" s="62">
        <v>0.01</v>
      </c>
      <c r="DG228" s="62">
        <v>2.5499999999999998E-2</v>
      </c>
      <c r="DH228" s="62">
        <v>0.01</v>
      </c>
      <c r="DI228" s="62">
        <v>1.0500000000000001E-2</v>
      </c>
      <c r="DJ228" s="62">
        <v>7.4999999999999997E-3</v>
      </c>
      <c r="DK228" s="62">
        <v>0</v>
      </c>
      <c r="DL228" s="62">
        <v>0</v>
      </c>
      <c r="DM228" s="62">
        <v>0</v>
      </c>
      <c r="DN228" s="62">
        <v>0</v>
      </c>
      <c r="DO228" s="62">
        <v>0</v>
      </c>
      <c r="DP228" s="62">
        <v>0</v>
      </c>
      <c r="DQ228" s="62">
        <v>0</v>
      </c>
      <c r="DR228" s="62">
        <v>0</v>
      </c>
      <c r="DS228" s="62">
        <v>0.32500000000000001</v>
      </c>
      <c r="DT228" s="62">
        <v>5.0000000000000001E-3</v>
      </c>
    </row>
    <row r="229" spans="4:124" x14ac:dyDescent="0.25">
      <c r="D229" s="91">
        <v>43617</v>
      </c>
      <c r="F229" s="89">
        <v>4.4645000000000001</v>
      </c>
      <c r="G229" s="90">
        <v>6.55274018805585E-2</v>
      </c>
      <c r="H229" s="89">
        <v>0.17</v>
      </c>
      <c r="I229" s="89">
        <v>0.45</v>
      </c>
      <c r="J229" s="89">
        <v>0.5</v>
      </c>
      <c r="K229" s="89">
        <v>0.4</v>
      </c>
      <c r="L229" s="87">
        <v>0.5</v>
      </c>
      <c r="M229" s="87">
        <v>0.45</v>
      </c>
      <c r="N229" s="89">
        <v>0.5</v>
      </c>
      <c r="O229" s="89">
        <v>0.5</v>
      </c>
      <c r="P229" s="89">
        <v>0.5</v>
      </c>
      <c r="Q229" s="89">
        <v>0.5</v>
      </c>
      <c r="R229" s="90">
        <v>0.45</v>
      </c>
      <c r="S229" s="90">
        <v>0.5</v>
      </c>
      <c r="T229" s="89">
        <v>0.45</v>
      </c>
      <c r="U229" s="89">
        <v>0.5</v>
      </c>
      <c r="V229" s="89">
        <v>0.6</v>
      </c>
      <c r="W229" s="89"/>
      <c r="X229" s="89"/>
      <c r="Y229" s="89"/>
      <c r="Z229" s="89"/>
      <c r="AA229" s="89"/>
      <c r="AB229" s="89"/>
      <c r="AC229" s="89"/>
      <c r="AD229" s="89"/>
      <c r="AE229" s="89"/>
      <c r="AF229" s="89"/>
      <c r="AG229" s="89"/>
      <c r="AH229" s="89"/>
      <c r="AI229" s="89"/>
      <c r="AJ229" s="89"/>
      <c r="AK229" s="89"/>
      <c r="AL229" s="89"/>
      <c r="AM229" s="89"/>
      <c r="AN229" s="89"/>
      <c r="AO229" s="89"/>
      <c r="AP229" s="89"/>
      <c r="AQ229" s="89"/>
      <c r="AR229" s="89"/>
      <c r="AS229" s="89"/>
      <c r="AT229" s="89"/>
      <c r="AU229" s="89"/>
      <c r="AV229" s="89"/>
      <c r="AW229" s="89"/>
      <c r="AX229" s="89"/>
      <c r="AY229" s="90"/>
      <c r="AZ229" s="90"/>
      <c r="BA229" s="90">
        <v>-0.19500000000000001</v>
      </c>
      <c r="BB229" s="89">
        <v>0</v>
      </c>
      <c r="BC229" s="89">
        <v>-7.0000000000000007E-2</v>
      </c>
      <c r="BD229" s="89">
        <v>0</v>
      </c>
      <c r="BE229" s="89">
        <v>0.43</v>
      </c>
      <c r="BF229" s="89">
        <v>0</v>
      </c>
      <c r="BG229" s="89">
        <v>-0.06</v>
      </c>
      <c r="BH229" s="89">
        <v>0</v>
      </c>
      <c r="BI229" s="89">
        <v>0</v>
      </c>
      <c r="BJ229" s="62">
        <v>0</v>
      </c>
      <c r="BK229" s="62">
        <v>0.43</v>
      </c>
      <c r="BL229" s="62">
        <v>0</v>
      </c>
      <c r="BM229" s="62">
        <v>0.05</v>
      </c>
      <c r="BN229" s="62">
        <v>0</v>
      </c>
      <c r="BO229" s="62">
        <v>-0.37</v>
      </c>
      <c r="BP229" s="62">
        <v>0</v>
      </c>
      <c r="BQ229" s="62">
        <v>0.5</v>
      </c>
      <c r="BR229" s="62">
        <v>0</v>
      </c>
      <c r="BS229" s="62">
        <v>-7.0000000000000007E-2</v>
      </c>
      <c r="BT229" s="62">
        <v>0</v>
      </c>
      <c r="BU229" s="62">
        <v>0.3</v>
      </c>
      <c r="BV229" s="62">
        <v>0</v>
      </c>
      <c r="BW229" s="62">
        <v>0</v>
      </c>
      <c r="BX229" s="62">
        <v>0</v>
      </c>
      <c r="BY229" s="62">
        <v>0</v>
      </c>
      <c r="BZ229" s="62">
        <v>0</v>
      </c>
      <c r="CA229" s="62">
        <v>0.14499999999999999</v>
      </c>
      <c r="CB229" s="62">
        <v>5.0000000000000001E-3</v>
      </c>
      <c r="CC229" s="62">
        <v>0</v>
      </c>
      <c r="CD229" s="62">
        <v>0</v>
      </c>
      <c r="CE229" s="62">
        <v>0</v>
      </c>
      <c r="CF229" s="62">
        <v>0</v>
      </c>
      <c r="CG229" s="62">
        <v>0</v>
      </c>
      <c r="CH229" s="62">
        <v>0</v>
      </c>
      <c r="CI229" s="62">
        <v>0</v>
      </c>
      <c r="CJ229" s="62">
        <v>0</v>
      </c>
      <c r="CK229" s="62">
        <v>0</v>
      </c>
      <c r="CL229" s="62">
        <v>0</v>
      </c>
      <c r="CM229" s="62">
        <v>0</v>
      </c>
      <c r="CN229" s="62">
        <v>0</v>
      </c>
      <c r="CO229" s="62">
        <v>0</v>
      </c>
      <c r="CP229" s="62">
        <v>0</v>
      </c>
      <c r="CQ229" s="62">
        <v>0</v>
      </c>
      <c r="CR229" s="62">
        <v>0</v>
      </c>
      <c r="CS229" s="62">
        <v>0.37</v>
      </c>
      <c r="CT229" s="62">
        <v>3.5000000000000003E-2</v>
      </c>
      <c r="CU229" s="62">
        <v>0.05</v>
      </c>
      <c r="CV229" s="62">
        <v>0</v>
      </c>
      <c r="CW229" s="62">
        <v>0.16500000000000001</v>
      </c>
      <c r="CX229" s="62">
        <v>7.4999999999999997E-3</v>
      </c>
      <c r="CY229" s="62">
        <v>-0.18</v>
      </c>
      <c r="CZ229" s="62">
        <v>0</v>
      </c>
      <c r="DA229" s="62">
        <v>0</v>
      </c>
      <c r="DB229" s="62">
        <v>0</v>
      </c>
      <c r="DC229" s="62">
        <v>0.85</v>
      </c>
      <c r="DE229" s="62">
        <v>-3.5000000000000003E-2</v>
      </c>
      <c r="DF229" s="62">
        <v>0.01</v>
      </c>
      <c r="DG229" s="62">
        <v>2.5499999999999998E-2</v>
      </c>
      <c r="DH229" s="62">
        <v>0.01</v>
      </c>
      <c r="DI229" s="62">
        <v>1.0500000000000001E-2</v>
      </c>
      <c r="DJ229" s="62">
        <v>7.4999999999999997E-3</v>
      </c>
      <c r="DK229" s="62">
        <v>0</v>
      </c>
      <c r="DL229" s="62">
        <v>0</v>
      </c>
      <c r="DM229" s="62">
        <v>0</v>
      </c>
      <c r="DN229" s="62">
        <v>0</v>
      </c>
      <c r="DO229" s="62">
        <v>0</v>
      </c>
      <c r="DP229" s="62">
        <v>0</v>
      </c>
      <c r="DQ229" s="62">
        <v>0</v>
      </c>
      <c r="DR229" s="62">
        <v>0</v>
      </c>
      <c r="DS229" s="62">
        <v>0.33500000000000002</v>
      </c>
      <c r="DT229" s="62">
        <v>5.0000000000000001E-3</v>
      </c>
    </row>
    <row r="230" spans="4:124" x14ac:dyDescent="0.25">
      <c r="D230" s="91">
        <v>43647</v>
      </c>
      <c r="F230" s="89">
        <v>4.5045000000000002</v>
      </c>
      <c r="G230" s="90">
        <v>6.5566638137161806E-2</v>
      </c>
      <c r="H230" s="89">
        <v>0.17</v>
      </c>
      <c r="I230" s="89">
        <v>0.5</v>
      </c>
      <c r="J230" s="89">
        <v>0.5</v>
      </c>
      <c r="K230" s="89">
        <v>0.4</v>
      </c>
      <c r="L230" s="87">
        <v>0.5</v>
      </c>
      <c r="M230" s="87">
        <v>0.5</v>
      </c>
      <c r="N230" s="89">
        <v>0.5</v>
      </c>
      <c r="O230" s="89">
        <v>0.5</v>
      </c>
      <c r="P230" s="89">
        <v>0.5</v>
      </c>
      <c r="Q230" s="89">
        <v>0.5</v>
      </c>
      <c r="R230" s="90">
        <v>0.5</v>
      </c>
      <c r="S230" s="90">
        <v>0.55000000000000004</v>
      </c>
      <c r="T230" s="89">
        <v>0.5</v>
      </c>
      <c r="U230" s="89">
        <v>0.5</v>
      </c>
      <c r="V230" s="89">
        <v>0.6</v>
      </c>
      <c r="W230" s="89"/>
      <c r="X230" s="89"/>
      <c r="Y230" s="89"/>
      <c r="Z230" s="89"/>
      <c r="AA230" s="89"/>
      <c r="AB230" s="89"/>
      <c r="AC230" s="89"/>
      <c r="AD230" s="89"/>
      <c r="AE230" s="89"/>
      <c r="AF230" s="89"/>
      <c r="AG230" s="89"/>
      <c r="AH230" s="89"/>
      <c r="AI230" s="89"/>
      <c r="AJ230" s="89"/>
      <c r="AK230" s="89"/>
      <c r="AL230" s="89"/>
      <c r="AM230" s="89"/>
      <c r="AN230" s="89"/>
      <c r="AO230" s="89"/>
      <c r="AP230" s="89"/>
      <c r="AQ230" s="89"/>
      <c r="AR230" s="89"/>
      <c r="AS230" s="89"/>
      <c r="AT230" s="89"/>
      <c r="AU230" s="89"/>
      <c r="AV230" s="89"/>
      <c r="AW230" s="89"/>
      <c r="AX230" s="89"/>
      <c r="AY230" s="90"/>
      <c r="AZ230" s="90"/>
      <c r="BA230" s="90">
        <v>-0.19500000000000001</v>
      </c>
      <c r="BB230" s="89">
        <v>0</v>
      </c>
      <c r="BC230" s="89">
        <v>-7.0000000000000007E-2</v>
      </c>
      <c r="BD230" s="89">
        <v>0</v>
      </c>
      <c r="BE230" s="89">
        <v>0.43</v>
      </c>
      <c r="BF230" s="89">
        <v>0</v>
      </c>
      <c r="BG230" s="89">
        <v>-0.06</v>
      </c>
      <c r="BH230" s="89">
        <v>0</v>
      </c>
      <c r="BI230" s="89">
        <v>0</v>
      </c>
      <c r="BJ230" s="62">
        <v>0</v>
      </c>
      <c r="BK230" s="62">
        <v>0.43</v>
      </c>
      <c r="BL230" s="62">
        <v>0</v>
      </c>
      <c r="BM230" s="62">
        <v>0.05</v>
      </c>
      <c r="BN230" s="62">
        <v>0</v>
      </c>
      <c r="BO230" s="62">
        <v>-0.37</v>
      </c>
      <c r="BP230" s="62">
        <v>0</v>
      </c>
      <c r="BQ230" s="62">
        <v>0.5</v>
      </c>
      <c r="BR230" s="62">
        <v>0</v>
      </c>
      <c r="BS230" s="62">
        <v>-7.0000000000000007E-2</v>
      </c>
      <c r="BT230" s="62">
        <v>0</v>
      </c>
      <c r="BU230" s="62">
        <v>0.3</v>
      </c>
      <c r="BV230" s="62">
        <v>0</v>
      </c>
      <c r="BW230" s="62">
        <v>0</v>
      </c>
      <c r="BX230" s="62">
        <v>0</v>
      </c>
      <c r="BY230" s="62">
        <v>0</v>
      </c>
      <c r="BZ230" s="62">
        <v>0</v>
      </c>
      <c r="CA230" s="62">
        <v>0.15</v>
      </c>
      <c r="CB230" s="62">
        <v>5.0000000000000001E-3</v>
      </c>
      <c r="CC230" s="62">
        <v>0</v>
      </c>
      <c r="CD230" s="62">
        <v>0</v>
      </c>
      <c r="CE230" s="62">
        <v>0</v>
      </c>
      <c r="CF230" s="62">
        <v>0</v>
      </c>
      <c r="CG230" s="62">
        <v>0</v>
      </c>
      <c r="CH230" s="62">
        <v>0</v>
      </c>
      <c r="CI230" s="62">
        <v>0</v>
      </c>
      <c r="CJ230" s="62">
        <v>0</v>
      </c>
      <c r="CK230" s="62">
        <v>0</v>
      </c>
      <c r="CL230" s="62">
        <v>0</v>
      </c>
      <c r="CM230" s="62">
        <v>0</v>
      </c>
      <c r="CN230" s="62">
        <v>0</v>
      </c>
      <c r="CO230" s="62">
        <v>0</v>
      </c>
      <c r="CP230" s="62">
        <v>0</v>
      </c>
      <c r="CQ230" s="62">
        <v>0</v>
      </c>
      <c r="CR230" s="62">
        <v>0</v>
      </c>
      <c r="CS230" s="62">
        <v>0.41</v>
      </c>
      <c r="CT230" s="62">
        <v>3.5000000000000003E-2</v>
      </c>
      <c r="CU230" s="62">
        <v>0.05</v>
      </c>
      <c r="CV230" s="62">
        <v>0</v>
      </c>
      <c r="CW230" s="62">
        <v>0.20499999999999999</v>
      </c>
      <c r="CX230" s="62">
        <v>7.4999999999999997E-3</v>
      </c>
      <c r="CY230" s="62">
        <v>-0.18</v>
      </c>
      <c r="CZ230" s="62">
        <v>0</v>
      </c>
      <c r="DA230" s="62">
        <v>0</v>
      </c>
      <c r="DB230" s="62">
        <v>0</v>
      </c>
      <c r="DC230" s="62">
        <v>1.05</v>
      </c>
      <c r="DE230" s="62">
        <v>-3.5000000000000003E-2</v>
      </c>
      <c r="DF230" s="62">
        <v>0.01</v>
      </c>
      <c r="DG230" s="62">
        <v>2.5499999999999998E-2</v>
      </c>
      <c r="DH230" s="62">
        <v>0.01</v>
      </c>
      <c r="DI230" s="62">
        <v>1.0500000000000001E-2</v>
      </c>
      <c r="DJ230" s="62">
        <v>7.4999999999999997E-3</v>
      </c>
      <c r="DK230" s="62">
        <v>0</v>
      </c>
      <c r="DL230" s="62">
        <v>0</v>
      </c>
      <c r="DM230" s="62">
        <v>0</v>
      </c>
      <c r="DN230" s="62">
        <v>0</v>
      </c>
      <c r="DO230" s="62">
        <v>0</v>
      </c>
      <c r="DP230" s="62">
        <v>0</v>
      </c>
      <c r="DQ230" s="62">
        <v>0</v>
      </c>
      <c r="DR230" s="62">
        <v>0</v>
      </c>
      <c r="DS230" s="62">
        <v>0.35</v>
      </c>
      <c r="DT230" s="62">
        <v>5.0000000000000001E-3</v>
      </c>
    </row>
    <row r="231" spans="4:124" x14ac:dyDescent="0.25">
      <c r="D231" s="91">
        <v>43678</v>
      </c>
      <c r="F231" s="89">
        <v>4.5445000000000002</v>
      </c>
      <c r="G231" s="90">
        <v>6.5607182269520795E-2</v>
      </c>
      <c r="H231" s="89">
        <v>0.17</v>
      </c>
      <c r="I231" s="89">
        <v>0.55000000000000004</v>
      </c>
      <c r="J231" s="89">
        <v>0.55000000000000004</v>
      </c>
      <c r="K231" s="89">
        <v>0.5</v>
      </c>
      <c r="L231" s="89">
        <v>0.6</v>
      </c>
      <c r="M231" s="89">
        <v>0.55000000000000004</v>
      </c>
      <c r="N231" s="89">
        <v>0.6</v>
      </c>
      <c r="O231" s="89">
        <v>0.55000000000000004</v>
      </c>
      <c r="P231" s="89">
        <v>0.6</v>
      </c>
      <c r="Q231" s="89">
        <v>0.45</v>
      </c>
      <c r="R231" s="90">
        <v>0.55000000000000004</v>
      </c>
      <c r="S231" s="90">
        <v>0.6</v>
      </c>
      <c r="T231" s="89">
        <v>0.55000000000000004</v>
      </c>
      <c r="U231" s="89">
        <v>0.6</v>
      </c>
      <c r="V231" s="89">
        <v>0.7</v>
      </c>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90"/>
      <c r="AZ231" s="90"/>
      <c r="BA231" s="90">
        <v>-0.19500000000000001</v>
      </c>
      <c r="BB231" s="89">
        <v>0</v>
      </c>
      <c r="BC231" s="89">
        <v>-7.0000000000000007E-2</v>
      </c>
      <c r="BD231" s="89">
        <v>0</v>
      </c>
      <c r="BE231" s="89">
        <v>0.43</v>
      </c>
      <c r="BF231" s="89">
        <v>0</v>
      </c>
      <c r="BG231" s="89">
        <v>-0.06</v>
      </c>
      <c r="BH231" s="89">
        <v>0</v>
      </c>
      <c r="BI231" s="89">
        <v>0</v>
      </c>
      <c r="BJ231" s="62">
        <v>0</v>
      </c>
      <c r="BK231" s="62">
        <v>0.43</v>
      </c>
      <c r="BL231" s="62">
        <v>0</v>
      </c>
      <c r="BM231" s="62">
        <v>0.05</v>
      </c>
      <c r="BN231" s="62">
        <v>0</v>
      </c>
      <c r="BO231" s="62">
        <v>-0.37</v>
      </c>
      <c r="BP231" s="62">
        <v>0</v>
      </c>
      <c r="BQ231" s="62">
        <v>0.5</v>
      </c>
      <c r="BR231" s="62">
        <v>0</v>
      </c>
      <c r="BS231" s="62">
        <v>-7.0000000000000007E-2</v>
      </c>
      <c r="BT231" s="62">
        <v>0</v>
      </c>
      <c r="BU231" s="62">
        <v>0.3</v>
      </c>
      <c r="BV231" s="62">
        <v>0</v>
      </c>
      <c r="BW231" s="62">
        <v>0</v>
      </c>
      <c r="BX231" s="62">
        <v>0</v>
      </c>
      <c r="BY231" s="62">
        <v>0</v>
      </c>
      <c r="BZ231" s="62">
        <v>0</v>
      </c>
      <c r="CA231" s="62">
        <v>0.15</v>
      </c>
      <c r="CB231" s="62">
        <v>5.0000000000000001E-3</v>
      </c>
      <c r="CC231" s="62">
        <v>0</v>
      </c>
      <c r="CD231" s="62">
        <v>0</v>
      </c>
      <c r="CE231" s="62">
        <v>0</v>
      </c>
      <c r="CF231" s="62">
        <v>0</v>
      </c>
      <c r="CG231" s="62">
        <v>0</v>
      </c>
      <c r="CH231" s="62">
        <v>0</v>
      </c>
      <c r="CI231" s="62">
        <v>0</v>
      </c>
      <c r="CJ231" s="62">
        <v>0</v>
      </c>
      <c r="CK231" s="62">
        <v>0</v>
      </c>
      <c r="CL231" s="62">
        <v>0</v>
      </c>
      <c r="CM231" s="62">
        <v>0</v>
      </c>
      <c r="CN231" s="62">
        <v>0</v>
      </c>
      <c r="CO231" s="62">
        <v>0</v>
      </c>
      <c r="CP231" s="62">
        <v>0</v>
      </c>
      <c r="CQ231" s="62">
        <v>0</v>
      </c>
      <c r="CR231" s="62">
        <v>0</v>
      </c>
      <c r="CS231" s="62">
        <v>0.41</v>
      </c>
      <c r="CT231" s="62">
        <v>0.01</v>
      </c>
      <c r="CU231" s="62">
        <v>0.05</v>
      </c>
      <c r="CV231" s="62">
        <v>0</v>
      </c>
      <c r="CW231" s="62">
        <v>0.20499999999999999</v>
      </c>
      <c r="CX231" s="62">
        <v>7.4999999999999997E-3</v>
      </c>
      <c r="CY231" s="62">
        <v>-0.18</v>
      </c>
      <c r="CZ231" s="62">
        <v>0</v>
      </c>
      <c r="DA231" s="62">
        <v>0</v>
      </c>
      <c r="DB231" s="62">
        <v>0</v>
      </c>
      <c r="DC231" s="62">
        <v>1.05</v>
      </c>
      <c r="DE231" s="62">
        <v>-3.5000000000000003E-2</v>
      </c>
      <c r="DF231" s="62">
        <v>0.01</v>
      </c>
      <c r="DG231" s="62">
        <v>2.0500000000000001E-2</v>
      </c>
      <c r="DH231" s="62">
        <v>0.01</v>
      </c>
      <c r="DI231" s="62">
        <v>5.4999999999999997E-3</v>
      </c>
      <c r="DJ231" s="62">
        <v>7.4999999999999997E-3</v>
      </c>
      <c r="DK231" s="62">
        <v>0</v>
      </c>
      <c r="DL231" s="62">
        <v>0</v>
      </c>
      <c r="DM231" s="62">
        <v>0</v>
      </c>
      <c r="DN231" s="62">
        <v>0</v>
      </c>
      <c r="DO231" s="62">
        <v>0</v>
      </c>
      <c r="DP231" s="62">
        <v>0</v>
      </c>
      <c r="DQ231" s="62">
        <v>0</v>
      </c>
      <c r="DR231" s="62">
        <v>0</v>
      </c>
      <c r="DS231" s="62">
        <v>0.35</v>
      </c>
      <c r="DT231" s="62">
        <v>-5.0000000000000001E-3</v>
      </c>
    </row>
    <row r="232" spans="4:124" x14ac:dyDescent="0.25">
      <c r="D232" s="91">
        <v>43709</v>
      </c>
      <c r="F232" s="89">
        <v>4.5395000000000003</v>
      </c>
      <c r="G232" s="90">
        <v>6.5647726402424694E-2</v>
      </c>
      <c r="H232" s="89">
        <v>0.17</v>
      </c>
      <c r="I232" s="89">
        <v>0.55000000000000004</v>
      </c>
      <c r="J232" s="89">
        <v>0.55000000000000004</v>
      </c>
      <c r="K232" s="89">
        <v>0.55000000000000004</v>
      </c>
      <c r="L232" s="89">
        <v>0.55000000000000004</v>
      </c>
      <c r="M232" s="89">
        <v>0.55000000000000004</v>
      </c>
      <c r="N232" s="89">
        <v>0.6</v>
      </c>
      <c r="O232" s="89">
        <v>0.6</v>
      </c>
      <c r="P232" s="89">
        <v>0.55000000000000004</v>
      </c>
      <c r="Q232" s="89">
        <v>0.5</v>
      </c>
      <c r="R232" s="90">
        <v>0.55000000000000004</v>
      </c>
      <c r="S232" s="90">
        <v>0.6</v>
      </c>
      <c r="T232" s="89">
        <v>0.55000000000000004</v>
      </c>
      <c r="U232" s="89">
        <v>0.6</v>
      </c>
      <c r="V232" s="89">
        <v>0.65</v>
      </c>
      <c r="W232" s="89"/>
      <c r="X232" s="89"/>
      <c r="Y232" s="89"/>
      <c r="Z232" s="89"/>
      <c r="AA232" s="89"/>
      <c r="AB232" s="89"/>
      <c r="AC232" s="89"/>
      <c r="AD232" s="89"/>
      <c r="AE232" s="89"/>
      <c r="AF232" s="89"/>
      <c r="AG232" s="89"/>
      <c r="AH232" s="89"/>
      <c r="AI232" s="89"/>
      <c r="AJ232" s="89"/>
      <c r="AK232" s="89"/>
      <c r="AL232" s="89"/>
      <c r="AM232" s="89"/>
      <c r="AN232" s="89"/>
      <c r="AO232" s="89"/>
      <c r="AP232" s="89"/>
      <c r="AQ232" s="89"/>
      <c r="AR232" s="89"/>
      <c r="AS232" s="89"/>
      <c r="AT232" s="89"/>
      <c r="AU232" s="89"/>
      <c r="AV232" s="89"/>
      <c r="AW232" s="89"/>
      <c r="AX232" s="89"/>
      <c r="AY232" s="90"/>
      <c r="AZ232" s="90"/>
      <c r="BA232" s="90">
        <v>-0.19500000000000001</v>
      </c>
      <c r="BB232" s="89">
        <v>0</v>
      </c>
      <c r="BC232" s="89">
        <v>-7.0000000000000007E-2</v>
      </c>
      <c r="BD232" s="89">
        <v>0</v>
      </c>
      <c r="BE232" s="89">
        <v>0.43</v>
      </c>
      <c r="BF232" s="89">
        <v>0</v>
      </c>
      <c r="BG232" s="89">
        <v>-0.06</v>
      </c>
      <c r="BH232" s="89">
        <v>0</v>
      </c>
      <c r="BI232" s="89">
        <v>0</v>
      </c>
      <c r="BJ232" s="62">
        <v>0</v>
      </c>
      <c r="BK232" s="62">
        <v>0.43</v>
      </c>
      <c r="BL232" s="62">
        <v>0</v>
      </c>
      <c r="BM232" s="62">
        <v>0.05</v>
      </c>
      <c r="BN232" s="62">
        <v>0</v>
      </c>
      <c r="BO232" s="62">
        <v>-0.37</v>
      </c>
      <c r="BP232" s="62">
        <v>0</v>
      </c>
      <c r="BQ232" s="62">
        <v>0.5</v>
      </c>
      <c r="BR232" s="62">
        <v>0</v>
      </c>
      <c r="BS232" s="62">
        <v>-7.0000000000000007E-2</v>
      </c>
      <c r="BT232" s="62">
        <v>0</v>
      </c>
      <c r="BU232" s="62">
        <v>0.3</v>
      </c>
      <c r="BV232" s="62">
        <v>0</v>
      </c>
      <c r="BW232" s="62">
        <v>0</v>
      </c>
      <c r="BX232" s="62">
        <v>0</v>
      </c>
      <c r="BY232" s="62">
        <v>0</v>
      </c>
      <c r="BZ232" s="62">
        <v>0</v>
      </c>
      <c r="CA232" s="62">
        <v>0.125</v>
      </c>
      <c r="CB232" s="62">
        <v>5.0000000000000001E-3</v>
      </c>
      <c r="CC232" s="62">
        <v>0</v>
      </c>
      <c r="CD232" s="62">
        <v>0</v>
      </c>
      <c r="CE232" s="62">
        <v>0</v>
      </c>
      <c r="CF232" s="62">
        <v>0</v>
      </c>
      <c r="CG232" s="62">
        <v>0</v>
      </c>
      <c r="CH232" s="62">
        <v>0</v>
      </c>
      <c r="CI232" s="62">
        <v>0</v>
      </c>
      <c r="CJ232" s="62">
        <v>0</v>
      </c>
      <c r="CK232" s="62">
        <v>0</v>
      </c>
      <c r="CL232" s="62">
        <v>0</v>
      </c>
      <c r="CM232" s="62">
        <v>0</v>
      </c>
      <c r="CN232" s="62">
        <v>0</v>
      </c>
      <c r="CO232" s="62">
        <v>0</v>
      </c>
      <c r="CP232" s="62">
        <v>0</v>
      </c>
      <c r="CQ232" s="62">
        <v>0</v>
      </c>
      <c r="CR232" s="62">
        <v>0</v>
      </c>
      <c r="CS232" s="62">
        <v>0.36</v>
      </c>
      <c r="CT232" s="62">
        <v>0.01</v>
      </c>
      <c r="CU232" s="62">
        <v>0.05</v>
      </c>
      <c r="CV232" s="62">
        <v>0</v>
      </c>
      <c r="CW232" s="62">
        <v>0.14499999999999999</v>
      </c>
      <c r="CX232" s="62">
        <v>7.4999999999999997E-3</v>
      </c>
      <c r="CY232" s="62">
        <v>-0.18</v>
      </c>
      <c r="CZ232" s="62">
        <v>0</v>
      </c>
      <c r="DA232" s="62">
        <v>0</v>
      </c>
      <c r="DB232" s="62">
        <v>0</v>
      </c>
      <c r="DC232" s="62">
        <v>0.75</v>
      </c>
      <c r="DE232" s="62">
        <v>-0.04</v>
      </c>
      <c r="DF232" s="62">
        <v>0.01</v>
      </c>
      <c r="DG232" s="62">
        <v>2.0500000000000001E-2</v>
      </c>
      <c r="DH232" s="62">
        <v>0.01</v>
      </c>
      <c r="DI232" s="62">
        <v>5.4999999999999997E-3</v>
      </c>
      <c r="DJ232" s="62">
        <v>7.4999999999999997E-3</v>
      </c>
      <c r="DK232" s="62">
        <v>0</v>
      </c>
      <c r="DL232" s="62">
        <v>0</v>
      </c>
      <c r="DM232" s="62">
        <v>0</v>
      </c>
      <c r="DN232" s="62">
        <v>0</v>
      </c>
      <c r="DO232" s="62">
        <v>0</v>
      </c>
      <c r="DP232" s="62">
        <v>0</v>
      </c>
      <c r="DQ232" s="62">
        <v>0</v>
      </c>
      <c r="DR232" s="62">
        <v>0</v>
      </c>
      <c r="DS232" s="62">
        <v>0.315</v>
      </c>
      <c r="DT232" s="62">
        <v>-5.0000000000000001E-3</v>
      </c>
    </row>
    <row r="233" spans="4:124" x14ac:dyDescent="0.25">
      <c r="D233" s="91">
        <v>43739</v>
      </c>
      <c r="F233" s="89">
        <v>4.5644999999999998</v>
      </c>
      <c r="G233" s="90">
        <v>6.5686962660591597E-2</v>
      </c>
      <c r="H233" s="89">
        <v>0.17</v>
      </c>
      <c r="I233" s="89">
        <v>0.6</v>
      </c>
      <c r="J233" s="89">
        <v>0.6</v>
      </c>
      <c r="K233" s="89">
        <v>0.55000000000000004</v>
      </c>
      <c r="L233" s="89">
        <v>0.6</v>
      </c>
      <c r="M233" s="89">
        <v>0.6</v>
      </c>
      <c r="N233" s="89">
        <v>0.65</v>
      </c>
      <c r="O233" s="89">
        <v>0.65</v>
      </c>
      <c r="P233" s="89">
        <v>0.6</v>
      </c>
      <c r="Q233" s="89">
        <v>0.5</v>
      </c>
      <c r="R233" s="90">
        <v>0.6</v>
      </c>
      <c r="S233" s="90">
        <v>0.65</v>
      </c>
      <c r="T233" s="89">
        <v>0.6</v>
      </c>
      <c r="U233" s="89">
        <v>0.65</v>
      </c>
      <c r="V233" s="89">
        <v>0.7</v>
      </c>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c r="AX233" s="89"/>
      <c r="AY233" s="90"/>
      <c r="AZ233" s="90"/>
      <c r="BA233" s="90">
        <v>-0.19500000000000001</v>
      </c>
      <c r="BB233" s="89">
        <v>0</v>
      </c>
      <c r="BC233" s="89">
        <v>-7.0000000000000007E-2</v>
      </c>
      <c r="BD233" s="89">
        <v>0</v>
      </c>
      <c r="BE233" s="89">
        <v>0.43</v>
      </c>
      <c r="BF233" s="89">
        <v>0</v>
      </c>
      <c r="BG233" s="89">
        <v>-0.06</v>
      </c>
      <c r="BH233" s="89">
        <v>0</v>
      </c>
      <c r="BI233" s="89">
        <v>0</v>
      </c>
      <c r="BJ233" s="62">
        <v>0</v>
      </c>
      <c r="BK233" s="62">
        <v>0.43</v>
      </c>
      <c r="BL233" s="62">
        <v>0</v>
      </c>
      <c r="BM233" s="62">
        <v>0.05</v>
      </c>
      <c r="BN233" s="62">
        <v>0</v>
      </c>
      <c r="BO233" s="62">
        <v>-0.37</v>
      </c>
      <c r="BP233" s="62">
        <v>0</v>
      </c>
      <c r="BQ233" s="62">
        <v>0.5</v>
      </c>
      <c r="BR233" s="62">
        <v>0</v>
      </c>
      <c r="BS233" s="62">
        <v>-7.0000000000000007E-2</v>
      </c>
      <c r="BT233" s="62">
        <v>0</v>
      </c>
      <c r="BU233" s="62">
        <v>0.3</v>
      </c>
      <c r="BV233" s="62">
        <v>0</v>
      </c>
      <c r="BW233" s="62">
        <v>0</v>
      </c>
      <c r="BX233" s="62">
        <v>0</v>
      </c>
      <c r="BY233" s="62">
        <v>0</v>
      </c>
      <c r="BZ233" s="62">
        <v>0</v>
      </c>
      <c r="CA233" s="62">
        <v>0.14499999999999999</v>
      </c>
      <c r="CB233" s="62">
        <v>5.0000000000000001E-3</v>
      </c>
      <c r="CC233" s="62">
        <v>0</v>
      </c>
      <c r="CD233" s="62">
        <v>0</v>
      </c>
      <c r="CE233" s="62">
        <v>0</v>
      </c>
      <c r="CF233" s="62">
        <v>0</v>
      </c>
      <c r="CG233" s="62">
        <v>0</v>
      </c>
      <c r="CH233" s="62">
        <v>0</v>
      </c>
      <c r="CI233" s="62">
        <v>0</v>
      </c>
      <c r="CJ233" s="62">
        <v>0</v>
      </c>
      <c r="CK233" s="62">
        <v>0</v>
      </c>
      <c r="CL233" s="62">
        <v>0</v>
      </c>
      <c r="CM233" s="62">
        <v>0</v>
      </c>
      <c r="CN233" s="62">
        <v>0</v>
      </c>
      <c r="CO233" s="62">
        <v>0</v>
      </c>
      <c r="CP233" s="62">
        <v>0</v>
      </c>
      <c r="CQ233" s="62">
        <v>0</v>
      </c>
      <c r="CR233" s="62">
        <v>0</v>
      </c>
      <c r="CS233" s="62">
        <v>0.4</v>
      </c>
      <c r="CT233" s="62">
        <v>0.01</v>
      </c>
      <c r="CU233" s="62">
        <v>0.05</v>
      </c>
      <c r="CV233" s="62">
        <v>0</v>
      </c>
      <c r="CW233" s="62">
        <v>0.17499999999999999</v>
      </c>
      <c r="CX233" s="62">
        <v>7.4999999999999997E-3</v>
      </c>
      <c r="CY233" s="62">
        <v>-0.18</v>
      </c>
      <c r="CZ233" s="62">
        <v>0</v>
      </c>
      <c r="DA233" s="62">
        <v>0</v>
      </c>
      <c r="DB233" s="62">
        <v>0</v>
      </c>
      <c r="DC233" s="62">
        <v>0.45</v>
      </c>
      <c r="DE233" s="62">
        <v>-0.04</v>
      </c>
      <c r="DF233" s="62">
        <v>0.01</v>
      </c>
      <c r="DG233" s="62">
        <v>1.7999999999999999E-2</v>
      </c>
      <c r="DH233" s="62">
        <v>0.01</v>
      </c>
      <c r="DI233" s="62">
        <v>3.0000000000000001E-3</v>
      </c>
      <c r="DJ233" s="62">
        <v>7.4999999999999997E-3</v>
      </c>
      <c r="DK233" s="62">
        <v>0</v>
      </c>
      <c r="DL233" s="62">
        <v>0</v>
      </c>
      <c r="DM233" s="62">
        <v>0</v>
      </c>
      <c r="DN233" s="62">
        <v>0</v>
      </c>
      <c r="DO233" s="62">
        <v>0</v>
      </c>
      <c r="DP233" s="62">
        <v>0</v>
      </c>
      <c r="DQ233" s="62">
        <v>0</v>
      </c>
      <c r="DR233" s="62">
        <v>0</v>
      </c>
      <c r="DS233" s="62">
        <v>0.36</v>
      </c>
      <c r="DT233" s="62">
        <v>-5.0000000000000001E-3</v>
      </c>
    </row>
    <row r="234" spans="4:124" x14ac:dyDescent="0.25">
      <c r="D234" s="91">
        <v>43770</v>
      </c>
      <c r="F234" s="89">
        <v>4.7164999999999999</v>
      </c>
      <c r="G234" s="90">
        <v>6.57275067945675E-2</v>
      </c>
      <c r="H234" s="89">
        <v>0.17</v>
      </c>
      <c r="I234" s="89">
        <v>0.8</v>
      </c>
      <c r="J234" s="89">
        <v>0.85</v>
      </c>
      <c r="K234" s="89">
        <v>0.8</v>
      </c>
      <c r="L234" s="89">
        <v>0.8</v>
      </c>
      <c r="M234" s="89">
        <v>0.9</v>
      </c>
      <c r="N234" s="89">
        <v>0.95</v>
      </c>
      <c r="O234" s="89">
        <v>0.85</v>
      </c>
      <c r="P234" s="89">
        <v>0.8</v>
      </c>
      <c r="Q234" s="89">
        <v>0.95</v>
      </c>
      <c r="R234" s="90">
        <v>0.8</v>
      </c>
      <c r="S234" s="90">
        <v>0.8</v>
      </c>
      <c r="T234" s="89">
        <v>0.8</v>
      </c>
      <c r="U234" s="89">
        <v>0.95</v>
      </c>
      <c r="V234" s="89">
        <v>0.9</v>
      </c>
      <c r="W234" s="89"/>
      <c r="X234" s="89"/>
      <c r="Y234" s="89"/>
      <c r="Z234" s="89"/>
      <c r="AA234" s="89"/>
      <c r="AB234" s="89"/>
      <c r="AC234" s="89"/>
      <c r="AD234" s="89"/>
      <c r="AE234" s="89"/>
      <c r="AF234" s="89"/>
      <c r="AG234" s="89"/>
      <c r="AH234" s="89"/>
      <c r="AI234" s="89"/>
      <c r="AJ234" s="89"/>
      <c r="AK234" s="89"/>
      <c r="AL234" s="89"/>
      <c r="AM234" s="89"/>
      <c r="AN234" s="89"/>
      <c r="AO234" s="89"/>
      <c r="AP234" s="89"/>
      <c r="AQ234" s="89"/>
      <c r="AR234" s="89"/>
      <c r="AS234" s="89"/>
      <c r="AT234" s="89"/>
      <c r="AU234" s="89"/>
      <c r="AV234" s="89"/>
      <c r="AW234" s="89"/>
      <c r="AX234" s="89"/>
      <c r="AY234" s="90"/>
      <c r="AZ234" s="90"/>
      <c r="BA234" s="90">
        <v>-0.13</v>
      </c>
      <c r="BB234" s="89">
        <v>0</v>
      </c>
      <c r="BC234" s="89">
        <v>-7.0000000000000007E-2</v>
      </c>
      <c r="BD234" s="89">
        <v>0</v>
      </c>
      <c r="BE234" s="89">
        <v>0.35</v>
      </c>
      <c r="BF234" s="89">
        <v>0</v>
      </c>
      <c r="BG234" s="89">
        <v>-0.06</v>
      </c>
      <c r="BH234" s="89">
        <v>0</v>
      </c>
      <c r="BI234" s="89">
        <v>0</v>
      </c>
      <c r="BJ234" s="62">
        <v>0</v>
      </c>
      <c r="BK234" s="62">
        <v>0.35</v>
      </c>
      <c r="BL234" s="62">
        <v>0</v>
      </c>
      <c r="BM234" s="62">
        <v>0.05</v>
      </c>
      <c r="BN234" s="62">
        <v>0</v>
      </c>
      <c r="BO234" s="62">
        <v>-0.26</v>
      </c>
      <c r="BP234" s="62">
        <v>0</v>
      </c>
      <c r="BQ234" s="62">
        <v>0.5</v>
      </c>
      <c r="BR234" s="62">
        <v>0</v>
      </c>
      <c r="BS234" s="62">
        <v>-7.0000000000000007E-2</v>
      </c>
      <c r="BT234" s="62">
        <v>0</v>
      </c>
      <c r="BU234" s="62">
        <v>0.3</v>
      </c>
      <c r="BV234" s="62">
        <v>0</v>
      </c>
      <c r="BW234" s="62">
        <v>0</v>
      </c>
      <c r="BX234" s="62">
        <v>0</v>
      </c>
      <c r="BY234" s="62">
        <v>0</v>
      </c>
      <c r="BZ234" s="62">
        <v>0</v>
      </c>
      <c r="CA234" s="62">
        <v>0.19500000000000001</v>
      </c>
      <c r="CB234" s="62">
        <v>5.0000000000000001E-3</v>
      </c>
      <c r="CC234" s="62">
        <v>0</v>
      </c>
      <c r="CD234" s="62">
        <v>0</v>
      </c>
      <c r="CE234" s="62">
        <v>0</v>
      </c>
      <c r="CF234" s="62">
        <v>0</v>
      </c>
      <c r="CG234" s="62">
        <v>0</v>
      </c>
      <c r="CH234" s="62">
        <v>0</v>
      </c>
      <c r="CI234" s="62">
        <v>0</v>
      </c>
      <c r="CJ234" s="62">
        <v>0</v>
      </c>
      <c r="CK234" s="62">
        <v>0</v>
      </c>
      <c r="CL234" s="62">
        <v>0</v>
      </c>
      <c r="CM234" s="62">
        <v>0</v>
      </c>
      <c r="CN234" s="62">
        <v>0</v>
      </c>
      <c r="CO234" s="62">
        <v>0</v>
      </c>
      <c r="CP234" s="62">
        <v>0</v>
      </c>
      <c r="CQ234" s="62">
        <v>0</v>
      </c>
      <c r="CR234" s="62">
        <v>0</v>
      </c>
      <c r="CS234" s="62">
        <v>0.65</v>
      </c>
      <c r="CT234" s="62">
        <v>5.5E-2</v>
      </c>
      <c r="CU234" s="62">
        <v>0.05</v>
      </c>
      <c r="CV234" s="62">
        <v>0</v>
      </c>
      <c r="CW234" s="62">
        <v>0.21</v>
      </c>
      <c r="CX234" s="62">
        <v>0.02</v>
      </c>
      <c r="CY234" s="62">
        <v>-0.18</v>
      </c>
      <c r="CZ234" s="62">
        <v>0</v>
      </c>
      <c r="DA234" s="62">
        <v>0</v>
      </c>
      <c r="DB234" s="62">
        <v>0</v>
      </c>
      <c r="DC234" s="62">
        <v>0.45</v>
      </c>
      <c r="DE234" s="62">
        <v>-2.8500000000000001E-2</v>
      </c>
      <c r="DF234" s="62">
        <v>1.2500000000000001E-2</v>
      </c>
      <c r="DG234" s="62">
        <v>1.9E-2</v>
      </c>
      <c r="DH234" s="62">
        <v>7.4999999999999997E-3</v>
      </c>
      <c r="DI234" s="62">
        <v>4.0000000000000001E-3</v>
      </c>
      <c r="DJ234" s="62">
        <v>2.5000000000000001E-3</v>
      </c>
      <c r="DK234" s="62">
        <v>0</v>
      </c>
      <c r="DL234" s="62">
        <v>0</v>
      </c>
      <c r="DM234" s="62">
        <v>0</v>
      </c>
      <c r="DN234" s="62">
        <v>0</v>
      </c>
      <c r="DO234" s="62">
        <v>0</v>
      </c>
      <c r="DP234" s="62">
        <v>0</v>
      </c>
      <c r="DQ234" s="62">
        <v>0</v>
      </c>
      <c r="DR234" s="62">
        <v>0</v>
      </c>
      <c r="DS234" s="62">
        <v>0.46</v>
      </c>
      <c r="DT234" s="62">
        <v>0.05</v>
      </c>
    </row>
    <row r="235" spans="4:124" x14ac:dyDescent="0.25">
      <c r="D235" s="91">
        <v>43800</v>
      </c>
      <c r="F235" s="89">
        <v>4.8594999999999997</v>
      </c>
      <c r="G235" s="90">
        <v>6.5766743053772295E-2</v>
      </c>
      <c r="H235" s="89">
        <v>0.17</v>
      </c>
      <c r="I235" s="89">
        <v>1</v>
      </c>
      <c r="J235" s="89">
        <v>1.05</v>
      </c>
      <c r="K235" s="89">
        <v>1</v>
      </c>
      <c r="L235" s="89">
        <v>1</v>
      </c>
      <c r="M235" s="89">
        <v>1.1499999999999999</v>
      </c>
      <c r="N235" s="89">
        <v>1.25</v>
      </c>
      <c r="O235" s="89">
        <v>1.05</v>
      </c>
      <c r="P235" s="89">
        <v>1</v>
      </c>
      <c r="Q235" s="89">
        <v>1.35</v>
      </c>
      <c r="R235" s="90">
        <v>1</v>
      </c>
      <c r="S235" s="90">
        <v>1.1000000000000001</v>
      </c>
      <c r="T235" s="89">
        <v>1</v>
      </c>
      <c r="U235" s="89">
        <v>1.25</v>
      </c>
      <c r="V235" s="89">
        <v>1.1000000000000001</v>
      </c>
      <c r="W235" s="89"/>
      <c r="X235" s="89"/>
      <c r="Y235" s="89"/>
      <c r="Z235" s="89"/>
      <c r="AA235" s="89"/>
      <c r="AB235" s="89"/>
      <c r="AC235" s="89"/>
      <c r="AD235" s="89"/>
      <c r="AE235" s="89"/>
      <c r="AF235" s="89"/>
      <c r="AG235" s="89"/>
      <c r="AH235" s="89"/>
      <c r="AI235" s="89"/>
      <c r="AJ235" s="89"/>
      <c r="AK235" s="89"/>
      <c r="AL235" s="89"/>
      <c r="AM235" s="89"/>
      <c r="AN235" s="89"/>
      <c r="AO235" s="89"/>
      <c r="AP235" s="89"/>
      <c r="AQ235" s="89"/>
      <c r="AR235" s="89"/>
      <c r="AS235" s="89"/>
      <c r="AT235" s="89"/>
      <c r="AU235" s="89"/>
      <c r="AV235" s="89"/>
      <c r="AW235" s="89"/>
      <c r="AX235" s="89"/>
      <c r="AY235" s="90"/>
      <c r="AZ235" s="90"/>
      <c r="BA235" s="90">
        <v>-0.13</v>
      </c>
      <c r="BB235" s="89">
        <v>0</v>
      </c>
      <c r="BC235" s="89">
        <v>-7.0000000000000007E-2</v>
      </c>
      <c r="BD235" s="89">
        <v>0</v>
      </c>
      <c r="BE235" s="89">
        <v>0.35</v>
      </c>
      <c r="BF235" s="89">
        <v>0</v>
      </c>
      <c r="BG235" s="89">
        <v>-0.06</v>
      </c>
      <c r="BH235" s="89">
        <v>0</v>
      </c>
      <c r="BI235" s="89">
        <v>0</v>
      </c>
      <c r="BJ235" s="62">
        <v>0</v>
      </c>
      <c r="BK235" s="62">
        <v>0.35</v>
      </c>
      <c r="BL235" s="62">
        <v>0</v>
      </c>
      <c r="BM235" s="62">
        <v>0.05</v>
      </c>
      <c r="BN235" s="62">
        <v>0</v>
      </c>
      <c r="BO235" s="62">
        <v>-0.26</v>
      </c>
      <c r="BP235" s="62">
        <v>0</v>
      </c>
      <c r="BQ235" s="62">
        <v>0.5</v>
      </c>
      <c r="BR235" s="62">
        <v>0</v>
      </c>
      <c r="BS235" s="62">
        <v>-7.0000000000000007E-2</v>
      </c>
      <c r="BT235" s="62">
        <v>0</v>
      </c>
      <c r="BU235" s="62">
        <v>0.3</v>
      </c>
      <c r="BV235" s="62">
        <v>0</v>
      </c>
      <c r="BW235" s="62">
        <v>0</v>
      </c>
      <c r="BX235" s="62">
        <v>0</v>
      </c>
      <c r="BY235" s="62">
        <v>0</v>
      </c>
      <c r="BZ235" s="62">
        <v>0</v>
      </c>
      <c r="CA235" s="62">
        <v>0.215</v>
      </c>
      <c r="CB235" s="62">
        <v>5.0000000000000001E-3</v>
      </c>
      <c r="CC235" s="62">
        <v>0</v>
      </c>
      <c r="CD235" s="62">
        <v>0</v>
      </c>
      <c r="CE235" s="62">
        <v>0</v>
      </c>
      <c r="CF235" s="62">
        <v>0</v>
      </c>
      <c r="CG235" s="62">
        <v>0</v>
      </c>
      <c r="CH235" s="62">
        <v>0</v>
      </c>
      <c r="CI235" s="62">
        <v>0</v>
      </c>
      <c r="CJ235" s="62">
        <v>0</v>
      </c>
      <c r="CK235" s="62">
        <v>0</v>
      </c>
      <c r="CL235" s="62">
        <v>0</v>
      </c>
      <c r="CM235" s="62">
        <v>0</v>
      </c>
      <c r="CN235" s="62">
        <v>0</v>
      </c>
      <c r="CO235" s="62">
        <v>0</v>
      </c>
      <c r="CP235" s="62">
        <v>0</v>
      </c>
      <c r="CQ235" s="62">
        <v>0</v>
      </c>
      <c r="CR235" s="62">
        <v>0</v>
      </c>
      <c r="CS235" s="62">
        <v>0.98</v>
      </c>
      <c r="CT235" s="62">
        <v>0.25</v>
      </c>
      <c r="CU235" s="62">
        <v>0.05</v>
      </c>
      <c r="CV235" s="62">
        <v>0</v>
      </c>
      <c r="CW235" s="62">
        <v>0.28999999999999998</v>
      </c>
      <c r="CX235" s="62">
        <v>0.02</v>
      </c>
      <c r="CY235" s="62">
        <v>-0.18</v>
      </c>
      <c r="CZ235" s="62">
        <v>0</v>
      </c>
      <c r="DA235" s="62">
        <v>0</v>
      </c>
      <c r="DB235" s="62">
        <v>0</v>
      </c>
      <c r="DC235" s="62">
        <v>0.4</v>
      </c>
      <c r="DE235" s="62">
        <v>-2.8500000000000001E-2</v>
      </c>
      <c r="DF235" s="62">
        <v>1.2500000000000001E-2</v>
      </c>
      <c r="DG235" s="62">
        <v>1.9E-2</v>
      </c>
      <c r="DH235" s="62">
        <v>7.4999999999999997E-3</v>
      </c>
      <c r="DI235" s="62">
        <v>4.0000000000000001E-3</v>
      </c>
      <c r="DJ235" s="62">
        <v>2.5000000000000001E-3</v>
      </c>
      <c r="DK235" s="62">
        <v>0</v>
      </c>
      <c r="DL235" s="62">
        <v>0</v>
      </c>
      <c r="DM235" s="62">
        <v>0</v>
      </c>
      <c r="DN235" s="62">
        <v>0</v>
      </c>
      <c r="DO235" s="62">
        <v>0</v>
      </c>
      <c r="DP235" s="62">
        <v>0</v>
      </c>
      <c r="DQ235" s="62">
        <v>0</v>
      </c>
      <c r="DR235" s="62">
        <v>0</v>
      </c>
      <c r="DS235" s="62">
        <v>0.77</v>
      </c>
      <c r="DT235" s="62">
        <v>0.05</v>
      </c>
    </row>
    <row r="236" spans="4:124" x14ac:dyDescent="0.25">
      <c r="D236" s="91">
        <v>43831</v>
      </c>
      <c r="F236" s="89">
        <v>4.9195000000000002</v>
      </c>
      <c r="G236" s="90">
        <v>6.58072871888193E-2</v>
      </c>
      <c r="H236" s="89">
        <v>0.17</v>
      </c>
      <c r="I236" s="89">
        <v>1</v>
      </c>
      <c r="J236" s="89">
        <v>1.05</v>
      </c>
      <c r="K236" s="89">
        <v>1</v>
      </c>
      <c r="L236" s="89">
        <v>1</v>
      </c>
      <c r="M236" s="89">
        <v>1.1499999999999999</v>
      </c>
      <c r="N236" s="89">
        <v>1.45</v>
      </c>
      <c r="O236" s="89">
        <v>1.05</v>
      </c>
      <c r="P236" s="89">
        <v>1</v>
      </c>
      <c r="Q236" s="89">
        <v>1.35</v>
      </c>
      <c r="R236" s="90">
        <v>1</v>
      </c>
      <c r="S236" s="90">
        <v>1.1000000000000001</v>
      </c>
      <c r="T236" s="89">
        <v>1</v>
      </c>
      <c r="U236" s="89">
        <v>1.45</v>
      </c>
      <c r="V236" s="89">
        <v>1.1000000000000001</v>
      </c>
      <c r="W236" s="89"/>
      <c r="X236" s="89"/>
      <c r="Y236" s="89"/>
      <c r="Z236" s="89"/>
      <c r="AA236" s="89"/>
      <c r="AB236" s="89"/>
      <c r="AC236" s="89"/>
      <c r="AD236" s="89"/>
      <c r="AE236" s="89"/>
      <c r="AF236" s="89"/>
      <c r="AG236" s="89"/>
      <c r="AH236" s="89"/>
      <c r="AI236" s="89"/>
      <c r="AJ236" s="89"/>
      <c r="AK236" s="89"/>
      <c r="AL236" s="89"/>
      <c r="AM236" s="89"/>
      <c r="AN236" s="89"/>
      <c r="AO236" s="89"/>
      <c r="AP236" s="89"/>
      <c r="AQ236" s="89"/>
      <c r="AR236" s="89"/>
      <c r="AS236" s="89"/>
      <c r="AT236" s="89"/>
      <c r="AU236" s="89"/>
      <c r="AV236" s="89"/>
      <c r="AW236" s="89"/>
      <c r="AX236" s="89"/>
      <c r="AY236" s="90"/>
      <c r="AZ236" s="90"/>
      <c r="BA236" s="90">
        <v>-0.13</v>
      </c>
      <c r="BB236" s="89">
        <v>0</v>
      </c>
      <c r="BC236" s="89">
        <v>-7.0000000000000007E-2</v>
      </c>
      <c r="BD236" s="89">
        <v>0</v>
      </c>
      <c r="BE236" s="89">
        <v>0.35</v>
      </c>
      <c r="BF236" s="89">
        <v>0</v>
      </c>
      <c r="BG236" s="89">
        <v>-0.06</v>
      </c>
      <c r="BH236" s="89">
        <v>0</v>
      </c>
      <c r="BI236" s="89">
        <v>0</v>
      </c>
      <c r="BJ236" s="62">
        <v>0</v>
      </c>
      <c r="BK236" s="62">
        <v>0.35</v>
      </c>
      <c r="BL236" s="62">
        <v>0</v>
      </c>
      <c r="BM236" s="62">
        <v>0.05</v>
      </c>
      <c r="BN236" s="62">
        <v>0</v>
      </c>
      <c r="BO236" s="62">
        <v>-0.26</v>
      </c>
      <c r="BP236" s="62">
        <v>0</v>
      </c>
      <c r="BQ236" s="62">
        <v>0.5</v>
      </c>
      <c r="BR236" s="62">
        <v>0</v>
      </c>
      <c r="BS236" s="62">
        <v>-7.0000000000000007E-2</v>
      </c>
      <c r="BT236" s="62">
        <v>0</v>
      </c>
      <c r="BU236" s="62">
        <v>0.3</v>
      </c>
      <c r="BV236" s="62">
        <v>0</v>
      </c>
      <c r="BW236" s="62">
        <v>0</v>
      </c>
      <c r="BX236" s="62">
        <v>0</v>
      </c>
      <c r="BY236" s="62">
        <v>0</v>
      </c>
      <c r="BZ236" s="62">
        <v>0</v>
      </c>
      <c r="CA236" s="62">
        <v>0.23499999999999999</v>
      </c>
      <c r="CB236" s="62">
        <v>5.0000000000000001E-3</v>
      </c>
      <c r="CC236" s="62">
        <v>0</v>
      </c>
      <c r="CD236" s="62">
        <v>0</v>
      </c>
      <c r="CE236" s="62">
        <v>0</v>
      </c>
      <c r="CF236" s="62">
        <v>0</v>
      </c>
      <c r="CG236" s="62">
        <v>0</v>
      </c>
      <c r="CH236" s="62">
        <v>0</v>
      </c>
      <c r="CI236" s="62">
        <v>0</v>
      </c>
      <c r="CJ236" s="62">
        <v>0</v>
      </c>
      <c r="CK236" s="62">
        <v>0</v>
      </c>
      <c r="CL236" s="62">
        <v>0</v>
      </c>
      <c r="CM236" s="62">
        <v>0</v>
      </c>
      <c r="CN236" s="62">
        <v>0</v>
      </c>
      <c r="CO236" s="62">
        <v>0</v>
      </c>
      <c r="CP236" s="62">
        <v>0</v>
      </c>
      <c r="CQ236" s="62">
        <v>0</v>
      </c>
      <c r="CR236" s="62">
        <v>0</v>
      </c>
      <c r="CS236" s="62">
        <v>1.6</v>
      </c>
      <c r="CT236" s="62">
        <v>0.45</v>
      </c>
      <c r="CU236" s="62">
        <v>0.05</v>
      </c>
      <c r="CV236" s="62">
        <v>0</v>
      </c>
      <c r="CW236" s="62">
        <v>0.34</v>
      </c>
      <c r="CX236" s="62">
        <v>0.02</v>
      </c>
      <c r="CY236" s="62">
        <v>-0.18</v>
      </c>
      <c r="CZ236" s="62">
        <v>0</v>
      </c>
      <c r="DA236" s="62">
        <v>0</v>
      </c>
      <c r="DB236" s="62">
        <v>0</v>
      </c>
      <c r="DC236" s="62">
        <v>0.35</v>
      </c>
      <c r="DE236" s="62">
        <v>-2.8500000000000001E-2</v>
      </c>
      <c r="DF236" s="62">
        <v>1.2500000000000001E-2</v>
      </c>
      <c r="DG236" s="62">
        <v>1.9E-2</v>
      </c>
      <c r="DH236" s="62">
        <v>7.4999999999999997E-3</v>
      </c>
      <c r="DI236" s="62">
        <v>4.0000000000000001E-3</v>
      </c>
      <c r="DJ236" s="62">
        <v>2.5000000000000001E-3</v>
      </c>
      <c r="DK236" s="62">
        <v>0</v>
      </c>
      <c r="DL236" s="62">
        <v>0</v>
      </c>
      <c r="DM236" s="62">
        <v>0</v>
      </c>
      <c r="DN236" s="62">
        <v>0</v>
      </c>
      <c r="DO236" s="62">
        <v>0</v>
      </c>
      <c r="DP236" s="62">
        <v>0</v>
      </c>
      <c r="DQ236" s="62">
        <v>0</v>
      </c>
      <c r="DR236" s="62">
        <v>0</v>
      </c>
      <c r="DS236" s="62">
        <v>1.04</v>
      </c>
      <c r="DT236" s="62">
        <v>0.05</v>
      </c>
    </row>
    <row r="237" spans="4:124" x14ac:dyDescent="0.25">
      <c r="D237" s="91">
        <v>43862</v>
      </c>
      <c r="F237" s="89">
        <v>4.8345000000000002</v>
      </c>
      <c r="G237" s="90">
        <v>6.5847831324411299E-2</v>
      </c>
      <c r="H237" s="89">
        <v>0.17</v>
      </c>
      <c r="I237" s="89">
        <v>1</v>
      </c>
      <c r="J237" s="89">
        <v>1.05</v>
      </c>
      <c r="K237" s="89">
        <v>1</v>
      </c>
      <c r="L237" s="89">
        <v>1</v>
      </c>
      <c r="M237" s="89">
        <v>1.1499999999999999</v>
      </c>
      <c r="N237" s="89">
        <v>1.45</v>
      </c>
      <c r="O237" s="89">
        <v>1.05</v>
      </c>
      <c r="P237" s="89">
        <v>1</v>
      </c>
      <c r="Q237" s="89">
        <v>1.35</v>
      </c>
      <c r="R237" s="90">
        <v>1</v>
      </c>
      <c r="S237" s="90">
        <v>1.1000000000000001</v>
      </c>
      <c r="T237" s="89">
        <v>1</v>
      </c>
      <c r="U237" s="89">
        <v>1.45</v>
      </c>
      <c r="V237" s="89">
        <v>1.1000000000000001</v>
      </c>
      <c r="W237" s="89"/>
      <c r="X237" s="89"/>
      <c r="Y237" s="89"/>
      <c r="Z237" s="89"/>
      <c r="AA237" s="89"/>
      <c r="AB237" s="89"/>
      <c r="AC237" s="89"/>
      <c r="AD237" s="89"/>
      <c r="AE237" s="89"/>
      <c r="AF237" s="89"/>
      <c r="AG237" s="89"/>
      <c r="AH237" s="89"/>
      <c r="AI237" s="89"/>
      <c r="AJ237" s="89"/>
      <c r="AK237" s="89"/>
      <c r="AL237" s="89"/>
      <c r="AM237" s="89"/>
      <c r="AN237" s="89"/>
      <c r="AO237" s="89"/>
      <c r="AP237" s="89"/>
      <c r="AQ237" s="89"/>
      <c r="AR237" s="89"/>
      <c r="AS237" s="89"/>
      <c r="AT237" s="89"/>
      <c r="AU237" s="89"/>
      <c r="AV237" s="89"/>
      <c r="AW237" s="89"/>
      <c r="AX237" s="89"/>
      <c r="AY237" s="90"/>
      <c r="AZ237" s="90"/>
      <c r="BA237" s="90">
        <v>-0.13</v>
      </c>
      <c r="BB237" s="89">
        <v>0</v>
      </c>
      <c r="BC237" s="89">
        <v>-7.0000000000000007E-2</v>
      </c>
      <c r="BD237" s="89">
        <v>0</v>
      </c>
      <c r="BE237" s="89">
        <v>0.35</v>
      </c>
      <c r="BF237" s="89">
        <v>0</v>
      </c>
      <c r="BG237" s="89">
        <v>-0.06</v>
      </c>
      <c r="BH237" s="89">
        <v>0</v>
      </c>
      <c r="BI237" s="89">
        <v>0</v>
      </c>
      <c r="BJ237" s="62">
        <v>0</v>
      </c>
      <c r="BK237" s="62">
        <v>0.35</v>
      </c>
      <c r="BL237" s="62">
        <v>0</v>
      </c>
      <c r="BM237" s="62">
        <v>0.05</v>
      </c>
      <c r="BN237" s="62">
        <v>0</v>
      </c>
      <c r="BO237" s="62">
        <v>-0.26</v>
      </c>
      <c r="BP237" s="62">
        <v>0</v>
      </c>
      <c r="BQ237" s="62">
        <v>0.5</v>
      </c>
      <c r="BR237" s="62">
        <v>0</v>
      </c>
      <c r="BS237" s="62">
        <v>-7.0000000000000007E-2</v>
      </c>
      <c r="BT237" s="62">
        <v>0</v>
      </c>
      <c r="BU237" s="62">
        <v>0.3</v>
      </c>
      <c r="BV237" s="62">
        <v>0</v>
      </c>
      <c r="BW237" s="62">
        <v>0</v>
      </c>
      <c r="BX237" s="62">
        <v>0</v>
      </c>
      <c r="BY237" s="62">
        <v>0</v>
      </c>
      <c r="BZ237" s="62">
        <v>0</v>
      </c>
      <c r="CA237" s="62">
        <v>0.23499999999999999</v>
      </c>
      <c r="CB237" s="62">
        <v>5.0000000000000001E-3</v>
      </c>
      <c r="CC237" s="62">
        <v>0</v>
      </c>
      <c r="CD237" s="62">
        <v>0</v>
      </c>
      <c r="CE237" s="62">
        <v>0</v>
      </c>
      <c r="CF237" s="62">
        <v>0</v>
      </c>
      <c r="CG237" s="62">
        <v>0</v>
      </c>
      <c r="CH237" s="62">
        <v>0</v>
      </c>
      <c r="CI237" s="62">
        <v>0</v>
      </c>
      <c r="CJ237" s="62">
        <v>0</v>
      </c>
      <c r="CK237" s="62">
        <v>0</v>
      </c>
      <c r="CL237" s="62">
        <v>0</v>
      </c>
      <c r="CM237" s="62">
        <v>0</v>
      </c>
      <c r="CN237" s="62">
        <v>0</v>
      </c>
      <c r="CO237" s="62">
        <v>0</v>
      </c>
      <c r="CP237" s="62">
        <v>0</v>
      </c>
      <c r="CQ237" s="62">
        <v>0</v>
      </c>
      <c r="CR237" s="62">
        <v>0</v>
      </c>
      <c r="CS237" s="62">
        <v>1.6</v>
      </c>
      <c r="CT237" s="62">
        <v>0.45</v>
      </c>
      <c r="CU237" s="62">
        <v>0.05</v>
      </c>
      <c r="CV237" s="62">
        <v>0</v>
      </c>
      <c r="CW237" s="62">
        <v>0.34</v>
      </c>
      <c r="CX237" s="62">
        <v>0.02</v>
      </c>
      <c r="CY237" s="62">
        <v>-0.18</v>
      </c>
      <c r="CZ237" s="62">
        <v>0</v>
      </c>
      <c r="DA237" s="62">
        <v>0</v>
      </c>
      <c r="DB237" s="62">
        <v>0</v>
      </c>
      <c r="DC237" s="62">
        <v>0.35</v>
      </c>
      <c r="DE237" s="62">
        <v>-2.8500000000000001E-2</v>
      </c>
      <c r="DF237" s="62">
        <v>1.2500000000000001E-2</v>
      </c>
      <c r="DG237" s="62">
        <v>1.9E-2</v>
      </c>
      <c r="DH237" s="62">
        <v>7.4999999999999997E-3</v>
      </c>
      <c r="DI237" s="62">
        <v>4.0000000000000001E-3</v>
      </c>
      <c r="DJ237" s="62">
        <v>2.5000000000000001E-3</v>
      </c>
      <c r="DK237" s="62">
        <v>0</v>
      </c>
      <c r="DL237" s="62">
        <v>0</v>
      </c>
      <c r="DM237" s="62">
        <v>0</v>
      </c>
      <c r="DN237" s="62">
        <v>0</v>
      </c>
      <c r="DO237" s="62">
        <v>0</v>
      </c>
      <c r="DP237" s="62">
        <v>0</v>
      </c>
      <c r="DQ237" s="62">
        <v>0</v>
      </c>
      <c r="DR237" s="62">
        <v>0</v>
      </c>
      <c r="DS237" s="62">
        <v>1.04</v>
      </c>
      <c r="DT237" s="62">
        <v>0.05</v>
      </c>
    </row>
    <row r="238" spans="4:124" x14ac:dyDescent="0.25">
      <c r="D238" s="91">
        <v>43891</v>
      </c>
      <c r="F238" s="89">
        <v>4.7045000000000003</v>
      </c>
      <c r="G238" s="90">
        <v>6.5885759709813002E-2</v>
      </c>
      <c r="H238" s="89">
        <v>0.17</v>
      </c>
      <c r="I238" s="89">
        <v>0.75</v>
      </c>
      <c r="J238" s="89">
        <v>0.8</v>
      </c>
      <c r="K238" s="89">
        <v>0.75</v>
      </c>
      <c r="L238" s="89">
        <v>0.75</v>
      </c>
      <c r="M238" s="89">
        <v>0.85</v>
      </c>
      <c r="N238" s="89">
        <v>1</v>
      </c>
      <c r="O238" s="89">
        <v>0.75</v>
      </c>
      <c r="P238" s="89">
        <v>0.75</v>
      </c>
      <c r="Q238" s="89">
        <v>0.95</v>
      </c>
      <c r="R238" s="90">
        <v>0.75</v>
      </c>
      <c r="S238" s="90">
        <v>0.75</v>
      </c>
      <c r="T238" s="89">
        <v>0.75</v>
      </c>
      <c r="U238" s="89">
        <v>1</v>
      </c>
      <c r="V238" s="89">
        <v>0.85</v>
      </c>
      <c r="W238" s="89"/>
      <c r="X238" s="89"/>
      <c r="Y238" s="89"/>
      <c r="Z238" s="89"/>
      <c r="AA238" s="89"/>
      <c r="AB238" s="89"/>
      <c r="AC238" s="89"/>
      <c r="AD238" s="89"/>
      <c r="AE238" s="89"/>
      <c r="AF238" s="89"/>
      <c r="AG238" s="89"/>
      <c r="AH238" s="89"/>
      <c r="AI238" s="89"/>
      <c r="AJ238" s="89"/>
      <c r="AK238" s="89"/>
      <c r="AL238" s="89"/>
      <c r="AM238" s="89"/>
      <c r="AN238" s="89"/>
      <c r="AO238" s="89"/>
      <c r="AP238" s="89"/>
      <c r="AQ238" s="89"/>
      <c r="AR238" s="89"/>
      <c r="AS238" s="89"/>
      <c r="AT238" s="89"/>
      <c r="AU238" s="89"/>
      <c r="AV238" s="89"/>
      <c r="AW238" s="89"/>
      <c r="AX238" s="89"/>
      <c r="AY238" s="90"/>
      <c r="AZ238" s="90"/>
      <c r="BA238" s="90">
        <v>-0.13</v>
      </c>
      <c r="BB238" s="89">
        <v>0</v>
      </c>
      <c r="BC238" s="89">
        <v>-7.0000000000000007E-2</v>
      </c>
      <c r="BD238" s="89">
        <v>0</v>
      </c>
      <c r="BE238" s="89">
        <v>0.35</v>
      </c>
      <c r="BF238" s="89">
        <v>0</v>
      </c>
      <c r="BG238" s="89">
        <v>-0.06</v>
      </c>
      <c r="BH238" s="89">
        <v>0</v>
      </c>
      <c r="BI238" s="89">
        <v>0</v>
      </c>
      <c r="BJ238" s="62">
        <v>0</v>
      </c>
      <c r="BK238" s="62">
        <v>0.35</v>
      </c>
      <c r="BL238" s="62">
        <v>0</v>
      </c>
      <c r="BM238" s="62">
        <v>0.05</v>
      </c>
      <c r="BN238" s="62">
        <v>0</v>
      </c>
      <c r="BO238" s="62">
        <v>-0.26</v>
      </c>
      <c r="BP238" s="62">
        <v>0</v>
      </c>
      <c r="BQ238" s="62">
        <v>0.5</v>
      </c>
      <c r="BR238" s="62">
        <v>0</v>
      </c>
      <c r="BS238" s="62">
        <v>-7.0000000000000007E-2</v>
      </c>
      <c r="BT238" s="62">
        <v>0</v>
      </c>
      <c r="BU238" s="62">
        <v>0.3</v>
      </c>
      <c r="BV238" s="62">
        <v>0</v>
      </c>
      <c r="BW238" s="62">
        <v>0</v>
      </c>
      <c r="BX238" s="62">
        <v>0</v>
      </c>
      <c r="BY238" s="62">
        <v>0</v>
      </c>
      <c r="BZ238" s="62">
        <v>0</v>
      </c>
      <c r="CA238" s="62">
        <v>0.19500000000000001</v>
      </c>
      <c r="CB238" s="62">
        <v>5.0000000000000001E-3</v>
      </c>
      <c r="CC238" s="62">
        <v>0</v>
      </c>
      <c r="CD238" s="62">
        <v>0</v>
      </c>
      <c r="CE238" s="62">
        <v>0</v>
      </c>
      <c r="CF238" s="62">
        <v>0</v>
      </c>
      <c r="CG238" s="62">
        <v>0</v>
      </c>
      <c r="CH238" s="62">
        <v>0</v>
      </c>
      <c r="CI238" s="62">
        <v>0</v>
      </c>
      <c r="CJ238" s="62">
        <v>0</v>
      </c>
      <c r="CK238" s="62">
        <v>0</v>
      </c>
      <c r="CL238" s="62">
        <v>0</v>
      </c>
      <c r="CM238" s="62">
        <v>0</v>
      </c>
      <c r="CN238" s="62">
        <v>0</v>
      </c>
      <c r="CO238" s="62">
        <v>0</v>
      </c>
      <c r="CP238" s="62">
        <v>0</v>
      </c>
      <c r="CQ238" s="62">
        <v>0</v>
      </c>
      <c r="CR238" s="62">
        <v>0</v>
      </c>
      <c r="CS238" s="62">
        <v>0.64</v>
      </c>
      <c r="CT238" s="62">
        <v>0.1</v>
      </c>
      <c r="CU238" s="62">
        <v>0.05</v>
      </c>
      <c r="CV238" s="62">
        <v>0</v>
      </c>
      <c r="CW238" s="62">
        <v>0.28999999999999998</v>
      </c>
      <c r="CX238" s="62">
        <v>0.02</v>
      </c>
      <c r="CY238" s="62">
        <v>-0.18</v>
      </c>
      <c r="CZ238" s="62">
        <v>0</v>
      </c>
      <c r="DA238" s="62">
        <v>0</v>
      </c>
      <c r="DB238" s="62">
        <v>0</v>
      </c>
      <c r="DC238" s="62">
        <v>0.4</v>
      </c>
      <c r="DE238" s="62">
        <v>-2.8500000000000001E-2</v>
      </c>
      <c r="DF238" s="62">
        <v>1.2500000000000001E-2</v>
      </c>
      <c r="DG238" s="62">
        <v>2.4E-2</v>
      </c>
      <c r="DH238" s="62">
        <v>7.4999999999999997E-3</v>
      </c>
      <c r="DI238" s="62">
        <v>8.9999999999999993E-3</v>
      </c>
      <c r="DJ238" s="62">
        <v>2.5000000000000001E-3</v>
      </c>
      <c r="DK238" s="62">
        <v>0</v>
      </c>
      <c r="DL238" s="62">
        <v>0</v>
      </c>
      <c r="DM238" s="62">
        <v>0</v>
      </c>
      <c r="DN238" s="62">
        <v>0</v>
      </c>
      <c r="DO238" s="62">
        <v>0</v>
      </c>
      <c r="DP238" s="62">
        <v>0</v>
      </c>
      <c r="DQ238" s="62">
        <v>0</v>
      </c>
      <c r="DR238" s="62">
        <v>0</v>
      </c>
      <c r="DS238" s="62">
        <v>0.54</v>
      </c>
      <c r="DT238" s="62">
        <v>0.05</v>
      </c>
    </row>
    <row r="239" spans="4:124" x14ac:dyDescent="0.25">
      <c r="D239" s="91">
        <v>43922</v>
      </c>
      <c r="F239" s="89">
        <v>4.5194999999999999</v>
      </c>
      <c r="G239" s="90">
        <v>6.5926303846458797E-2</v>
      </c>
      <c r="H239" s="89">
        <v>0.17</v>
      </c>
      <c r="I239" s="89">
        <v>0.4</v>
      </c>
      <c r="J239" s="89">
        <v>0.45</v>
      </c>
      <c r="K239" s="89">
        <v>0.4</v>
      </c>
      <c r="L239" s="89">
        <v>0.45</v>
      </c>
      <c r="M239" s="89">
        <v>0.45</v>
      </c>
      <c r="N239" s="89">
        <v>0.45</v>
      </c>
      <c r="O239" s="89">
        <v>0.45</v>
      </c>
      <c r="P239" s="89">
        <v>0.45</v>
      </c>
      <c r="Q239" s="89">
        <v>0.5</v>
      </c>
      <c r="R239" s="90">
        <v>0.4</v>
      </c>
      <c r="S239" s="90">
        <v>0.45</v>
      </c>
      <c r="T239" s="89">
        <v>0.4</v>
      </c>
      <c r="U239" s="89">
        <v>0.45</v>
      </c>
      <c r="V239" s="89">
        <v>0.55000000000000004</v>
      </c>
      <c r="W239" s="89"/>
      <c r="X239" s="89"/>
      <c r="Y239" s="89"/>
      <c r="Z239" s="89"/>
      <c r="AA239" s="89"/>
      <c r="AB239" s="89"/>
      <c r="AC239" s="89"/>
      <c r="AD239" s="89"/>
      <c r="AE239" s="89"/>
      <c r="AF239" s="89"/>
      <c r="AG239" s="89"/>
      <c r="AH239" s="89"/>
      <c r="AI239" s="89"/>
      <c r="AJ239" s="89"/>
      <c r="AK239" s="89"/>
      <c r="AL239" s="89"/>
      <c r="AM239" s="89"/>
      <c r="AN239" s="89"/>
      <c r="AO239" s="89"/>
      <c r="AP239" s="89"/>
      <c r="AQ239" s="89"/>
      <c r="AR239" s="89"/>
      <c r="AS239" s="89"/>
      <c r="AT239" s="89"/>
      <c r="AU239" s="89"/>
      <c r="AV239" s="89"/>
      <c r="AW239" s="89"/>
      <c r="AX239" s="89"/>
      <c r="AY239" s="90"/>
      <c r="AZ239" s="90"/>
      <c r="BA239" s="90">
        <v>-0.19500000000000001</v>
      </c>
      <c r="BB239" s="89">
        <v>0</v>
      </c>
      <c r="BC239" s="89">
        <v>-7.0000000000000007E-2</v>
      </c>
      <c r="BD239" s="89">
        <v>0</v>
      </c>
      <c r="BE239" s="89">
        <v>0.43</v>
      </c>
      <c r="BF239" s="89">
        <v>0</v>
      </c>
      <c r="BG239" s="89">
        <v>-0.06</v>
      </c>
      <c r="BH239" s="89">
        <v>0</v>
      </c>
      <c r="BI239" s="89">
        <v>0</v>
      </c>
      <c r="BJ239" s="62">
        <v>0</v>
      </c>
      <c r="BK239" s="62">
        <v>0.43</v>
      </c>
      <c r="BL239" s="62">
        <v>0</v>
      </c>
      <c r="BM239" s="62">
        <v>0.05</v>
      </c>
      <c r="BN239" s="62">
        <v>0</v>
      </c>
      <c r="BO239" s="62">
        <v>-0.37</v>
      </c>
      <c r="BP239" s="62">
        <v>0</v>
      </c>
      <c r="BQ239" s="62">
        <v>0.5</v>
      </c>
      <c r="BR239" s="62">
        <v>0</v>
      </c>
      <c r="BS239" s="62">
        <v>-7.0000000000000007E-2</v>
      </c>
      <c r="BT239" s="62">
        <v>0</v>
      </c>
      <c r="BU239" s="62">
        <v>0.3</v>
      </c>
      <c r="BV239" s="62">
        <v>0</v>
      </c>
      <c r="BW239" s="62">
        <v>0</v>
      </c>
      <c r="BX239" s="62">
        <v>0</v>
      </c>
      <c r="BY239" s="62">
        <v>0</v>
      </c>
      <c r="BZ239" s="62">
        <v>0</v>
      </c>
      <c r="CA239" s="62">
        <v>0.14499999999999999</v>
      </c>
      <c r="CB239" s="62">
        <v>5.0000000000000001E-3</v>
      </c>
      <c r="CC239" s="62">
        <v>0</v>
      </c>
      <c r="CD239" s="62">
        <v>0</v>
      </c>
      <c r="CE239" s="62">
        <v>0</v>
      </c>
      <c r="CF239" s="62">
        <v>0</v>
      </c>
      <c r="CG239" s="62">
        <v>0</v>
      </c>
      <c r="CH239" s="62">
        <v>0</v>
      </c>
      <c r="CI239" s="62">
        <v>0</v>
      </c>
      <c r="CJ239" s="62">
        <v>0</v>
      </c>
      <c r="CK239" s="62">
        <v>0</v>
      </c>
      <c r="CL239" s="62">
        <v>0</v>
      </c>
      <c r="CM239" s="62">
        <v>0</v>
      </c>
      <c r="CN239" s="62">
        <v>0</v>
      </c>
      <c r="CO239" s="62">
        <v>0</v>
      </c>
      <c r="CP239" s="62">
        <v>0</v>
      </c>
      <c r="CQ239" s="62">
        <v>0</v>
      </c>
      <c r="CR239" s="62">
        <v>0</v>
      </c>
      <c r="CS239" s="62">
        <v>0.38</v>
      </c>
      <c r="CT239" s="62">
        <v>0.02</v>
      </c>
      <c r="CU239" s="62">
        <v>0.05</v>
      </c>
      <c r="CV239" s="62">
        <v>0</v>
      </c>
      <c r="CW239" s="62">
        <v>0.19500000000000001</v>
      </c>
      <c r="CX239" s="62">
        <v>7.4999999999999997E-3</v>
      </c>
      <c r="CY239" s="62">
        <v>-0.18</v>
      </c>
      <c r="CZ239" s="62">
        <v>0</v>
      </c>
      <c r="DA239" s="62">
        <v>0</v>
      </c>
      <c r="DB239" s="62">
        <v>0</v>
      </c>
      <c r="DC239" s="62">
        <v>0.6</v>
      </c>
      <c r="DE239" s="62">
        <v>-3.5999999999999997E-2</v>
      </c>
      <c r="DF239" s="62">
        <v>0.01</v>
      </c>
      <c r="DG239" s="62">
        <v>2.4E-2</v>
      </c>
      <c r="DH239" s="62">
        <v>0.01</v>
      </c>
      <c r="DI239" s="62">
        <v>8.9999999999999993E-3</v>
      </c>
      <c r="DJ239" s="62">
        <v>7.4999999999999997E-3</v>
      </c>
      <c r="DK239" s="62">
        <v>0</v>
      </c>
      <c r="DL239" s="62">
        <v>0</v>
      </c>
      <c r="DM239" s="62">
        <v>0</v>
      </c>
      <c r="DN239" s="62">
        <v>0</v>
      </c>
      <c r="DO239" s="62">
        <v>0</v>
      </c>
      <c r="DP239" s="62">
        <v>0</v>
      </c>
      <c r="DQ239" s="62">
        <v>0</v>
      </c>
      <c r="DR239" s="62">
        <v>0</v>
      </c>
      <c r="DS239" s="62">
        <v>0.36</v>
      </c>
      <c r="DT239" s="62">
        <v>5.0000000000000001E-3</v>
      </c>
    </row>
    <row r="240" spans="4:124" x14ac:dyDescent="0.25">
      <c r="D240" s="91">
        <v>43952</v>
      </c>
      <c r="F240" s="89">
        <v>4.5145</v>
      </c>
      <c r="G240" s="90">
        <v>6.5965540108248205E-2</v>
      </c>
      <c r="H240" s="89">
        <v>0.17</v>
      </c>
      <c r="I240" s="89">
        <v>0.45</v>
      </c>
      <c r="J240" s="89">
        <v>0.5</v>
      </c>
      <c r="K240" s="89">
        <v>0.4</v>
      </c>
      <c r="L240" s="89">
        <v>0.4</v>
      </c>
      <c r="M240" s="89">
        <v>0.45</v>
      </c>
      <c r="N240" s="89">
        <v>0.5</v>
      </c>
      <c r="O240" s="89">
        <v>0.45</v>
      </c>
      <c r="P240" s="89">
        <v>0.4</v>
      </c>
      <c r="Q240" s="89">
        <v>0.45</v>
      </c>
      <c r="R240" s="90">
        <v>0.45</v>
      </c>
      <c r="S240" s="90">
        <v>0.5</v>
      </c>
      <c r="T240" s="89">
        <v>0.45</v>
      </c>
      <c r="U240" s="89">
        <v>0.5</v>
      </c>
      <c r="V240" s="89">
        <v>0.5</v>
      </c>
      <c r="W240" s="89"/>
      <c r="X240" s="89"/>
      <c r="Y240" s="89"/>
      <c r="Z240" s="89"/>
      <c r="AA240" s="89"/>
      <c r="AB240" s="89"/>
      <c r="AC240" s="89"/>
      <c r="AD240" s="89"/>
      <c r="AE240" s="89"/>
      <c r="AF240" s="89"/>
      <c r="AG240" s="89"/>
      <c r="AH240" s="89"/>
      <c r="AI240" s="89"/>
      <c r="AJ240" s="89"/>
      <c r="AK240" s="89"/>
      <c r="AL240" s="89"/>
      <c r="AM240" s="89"/>
      <c r="AN240" s="89"/>
      <c r="AO240" s="89"/>
      <c r="AP240" s="89"/>
      <c r="AQ240" s="89"/>
      <c r="AR240" s="89"/>
      <c r="AS240" s="89"/>
      <c r="AT240" s="89"/>
      <c r="AU240" s="89"/>
      <c r="AV240" s="89"/>
      <c r="AW240" s="89"/>
      <c r="AX240" s="89"/>
      <c r="AY240" s="90"/>
      <c r="AZ240" s="90"/>
      <c r="BA240" s="90">
        <v>-0.19500000000000001</v>
      </c>
      <c r="BB240" s="89">
        <v>0</v>
      </c>
      <c r="BC240" s="89">
        <v>-7.0000000000000007E-2</v>
      </c>
      <c r="BD240" s="89">
        <v>0</v>
      </c>
      <c r="BE240" s="89">
        <v>0.43</v>
      </c>
      <c r="BF240" s="89">
        <v>0</v>
      </c>
      <c r="BG240" s="89">
        <v>-0.06</v>
      </c>
      <c r="BH240" s="89">
        <v>0</v>
      </c>
      <c r="BI240" s="89">
        <v>0</v>
      </c>
      <c r="BJ240" s="62">
        <v>0</v>
      </c>
      <c r="BK240" s="62">
        <v>0.43</v>
      </c>
      <c r="BL240" s="62">
        <v>0</v>
      </c>
      <c r="BM240" s="62">
        <v>0.05</v>
      </c>
      <c r="BN240" s="62">
        <v>0</v>
      </c>
      <c r="BO240" s="62">
        <v>-0.37</v>
      </c>
      <c r="BP240" s="62">
        <v>0</v>
      </c>
      <c r="BQ240" s="62">
        <v>0.5</v>
      </c>
      <c r="BR240" s="62">
        <v>0</v>
      </c>
      <c r="BS240" s="62">
        <v>-7.0000000000000007E-2</v>
      </c>
      <c r="BT240" s="62">
        <v>0</v>
      </c>
      <c r="BU240" s="62">
        <v>0.3</v>
      </c>
      <c r="BV240" s="62">
        <v>0</v>
      </c>
      <c r="BW240" s="62">
        <v>0</v>
      </c>
      <c r="BX240" s="62">
        <v>0</v>
      </c>
      <c r="BY240" s="62">
        <v>0</v>
      </c>
      <c r="BZ240" s="62">
        <v>0</v>
      </c>
      <c r="CA240" s="62">
        <v>0.125</v>
      </c>
      <c r="CB240" s="62">
        <v>5.0000000000000001E-3</v>
      </c>
      <c r="CC240" s="62">
        <v>0</v>
      </c>
      <c r="CD240" s="62">
        <v>0</v>
      </c>
      <c r="CE240" s="62">
        <v>0</v>
      </c>
      <c r="CF240" s="62">
        <v>0</v>
      </c>
      <c r="CG240" s="62">
        <v>0</v>
      </c>
      <c r="CH240" s="62">
        <v>0</v>
      </c>
      <c r="CI240" s="62">
        <v>0</v>
      </c>
      <c r="CJ240" s="62">
        <v>0</v>
      </c>
      <c r="CK240" s="62">
        <v>0</v>
      </c>
      <c r="CL240" s="62">
        <v>0</v>
      </c>
      <c r="CM240" s="62">
        <v>0</v>
      </c>
      <c r="CN240" s="62">
        <v>0</v>
      </c>
      <c r="CO240" s="62">
        <v>0</v>
      </c>
      <c r="CP240" s="62">
        <v>0</v>
      </c>
      <c r="CQ240" s="62">
        <v>0</v>
      </c>
      <c r="CR240" s="62">
        <v>0</v>
      </c>
      <c r="CS240" s="62">
        <v>0.33</v>
      </c>
      <c r="CT240" s="62">
        <v>0.02</v>
      </c>
      <c r="CU240" s="62">
        <v>0.05</v>
      </c>
      <c r="CV240" s="62">
        <v>0</v>
      </c>
      <c r="CW240" s="62">
        <v>0.13500000000000001</v>
      </c>
      <c r="CX240" s="62">
        <v>7.4999999999999997E-3</v>
      </c>
      <c r="CY240" s="62">
        <v>-0.18</v>
      </c>
      <c r="CZ240" s="62">
        <v>0</v>
      </c>
      <c r="DA240" s="62">
        <v>0</v>
      </c>
      <c r="DB240" s="62">
        <v>0</v>
      </c>
      <c r="DC240" s="62">
        <v>0.75</v>
      </c>
      <c r="DE240" s="62">
        <v>-3.5999999999999997E-2</v>
      </c>
      <c r="DF240" s="62">
        <v>0.01</v>
      </c>
      <c r="DG240" s="62">
        <v>2.6499999999999999E-2</v>
      </c>
      <c r="DH240" s="62">
        <v>0.01</v>
      </c>
      <c r="DI240" s="62">
        <v>1.15E-2</v>
      </c>
      <c r="DJ240" s="62">
        <v>7.4999999999999997E-3</v>
      </c>
      <c r="DK240" s="62">
        <v>0</v>
      </c>
      <c r="DL240" s="62">
        <v>0</v>
      </c>
      <c r="DM240" s="62">
        <v>0</v>
      </c>
      <c r="DN240" s="62">
        <v>0</v>
      </c>
      <c r="DO240" s="62">
        <v>0</v>
      </c>
      <c r="DP240" s="62">
        <v>0</v>
      </c>
      <c r="DQ240" s="62">
        <v>0</v>
      </c>
      <c r="DR240" s="62">
        <v>0</v>
      </c>
      <c r="DS240" s="62">
        <v>0.32500000000000001</v>
      </c>
      <c r="DT240" s="62">
        <v>5.0000000000000001E-3</v>
      </c>
    </row>
    <row r="241" spans="4:124" x14ac:dyDescent="0.25">
      <c r="D241" s="91">
        <v>43983</v>
      </c>
      <c r="F241" s="89">
        <v>4.5495000000000001</v>
      </c>
      <c r="G241" s="90">
        <v>6.6006084245966004E-2</v>
      </c>
      <c r="H241" s="89">
        <v>0.17</v>
      </c>
      <c r="I241" s="89">
        <v>0.45</v>
      </c>
      <c r="J241" s="89">
        <v>0.5</v>
      </c>
      <c r="K241" s="89">
        <v>0.4</v>
      </c>
      <c r="L241" s="89">
        <v>0.5</v>
      </c>
      <c r="M241" s="89">
        <v>0.45</v>
      </c>
      <c r="N241" s="89">
        <v>0.5</v>
      </c>
      <c r="O241" s="89">
        <v>0.5</v>
      </c>
      <c r="P241" s="89">
        <v>0.5</v>
      </c>
      <c r="Q241" s="89">
        <v>0.5</v>
      </c>
      <c r="R241" s="90">
        <v>0.45</v>
      </c>
      <c r="S241" s="90">
        <v>0.5</v>
      </c>
      <c r="T241" s="89">
        <v>0.45</v>
      </c>
      <c r="U241" s="89">
        <v>0.5</v>
      </c>
      <c r="V241" s="89">
        <v>0.6</v>
      </c>
      <c r="W241" s="89"/>
      <c r="X241" s="89"/>
      <c r="Y241" s="89"/>
      <c r="Z241" s="89"/>
      <c r="AA241" s="89"/>
      <c r="AB241" s="89"/>
      <c r="AC241" s="89"/>
      <c r="AD241" s="89"/>
      <c r="AE241" s="89"/>
      <c r="AF241" s="89"/>
      <c r="AG241" s="89"/>
      <c r="AH241" s="89"/>
      <c r="AI241" s="89"/>
      <c r="AJ241" s="89"/>
      <c r="AK241" s="89"/>
      <c r="AL241" s="89"/>
      <c r="AM241" s="89"/>
      <c r="AN241" s="89"/>
      <c r="AO241" s="89"/>
      <c r="AP241" s="89"/>
      <c r="AQ241" s="89"/>
      <c r="AR241" s="89"/>
      <c r="AS241" s="89"/>
      <c r="AT241" s="89"/>
      <c r="AU241" s="89"/>
      <c r="AV241" s="89"/>
      <c r="AW241" s="89"/>
      <c r="AX241" s="89"/>
      <c r="AY241" s="90"/>
      <c r="AZ241" s="90"/>
      <c r="BA241" s="90">
        <v>-0.19500000000000001</v>
      </c>
      <c r="BB241" s="89">
        <v>0</v>
      </c>
      <c r="BC241" s="89">
        <v>-7.0000000000000007E-2</v>
      </c>
      <c r="BD241" s="89">
        <v>0</v>
      </c>
      <c r="BE241" s="89">
        <v>0.43</v>
      </c>
      <c r="BF241" s="89">
        <v>0</v>
      </c>
      <c r="BG241" s="89">
        <v>-0.06</v>
      </c>
      <c r="BH241" s="89">
        <v>0</v>
      </c>
      <c r="BI241" s="89">
        <v>0</v>
      </c>
      <c r="BJ241" s="62">
        <v>0</v>
      </c>
      <c r="BK241" s="62">
        <v>0.43</v>
      </c>
      <c r="BL241" s="62">
        <v>0</v>
      </c>
      <c r="BM241" s="62">
        <v>0.05</v>
      </c>
      <c r="BN241" s="62">
        <v>0</v>
      </c>
      <c r="BO241" s="62">
        <v>-0.37</v>
      </c>
      <c r="BP241" s="62">
        <v>0</v>
      </c>
      <c r="BQ241" s="62">
        <v>0.5</v>
      </c>
      <c r="BR241" s="62">
        <v>0</v>
      </c>
      <c r="BS241" s="62">
        <v>-7.0000000000000007E-2</v>
      </c>
      <c r="BT241" s="62">
        <v>0</v>
      </c>
      <c r="BU241" s="62">
        <v>0.3</v>
      </c>
      <c r="BV241" s="62">
        <v>0</v>
      </c>
      <c r="BW241" s="62">
        <v>0</v>
      </c>
      <c r="BX241" s="62">
        <v>0</v>
      </c>
      <c r="BY241" s="62">
        <v>0</v>
      </c>
      <c r="BZ241" s="62">
        <v>0</v>
      </c>
      <c r="CA241" s="62">
        <v>0.14499999999999999</v>
      </c>
      <c r="CB241" s="62">
        <v>5.0000000000000001E-3</v>
      </c>
      <c r="CC241" s="62">
        <v>0</v>
      </c>
      <c r="CD241" s="62">
        <v>0</v>
      </c>
      <c r="CE241" s="62">
        <v>0</v>
      </c>
      <c r="CF241" s="62">
        <v>0</v>
      </c>
      <c r="CG241" s="62">
        <v>0</v>
      </c>
      <c r="CH241" s="62">
        <v>0</v>
      </c>
      <c r="CI241" s="62">
        <v>0</v>
      </c>
      <c r="CJ241" s="62">
        <v>0</v>
      </c>
      <c r="CK241" s="62">
        <v>0</v>
      </c>
      <c r="CL241" s="62">
        <v>0</v>
      </c>
      <c r="CM241" s="62">
        <v>0</v>
      </c>
      <c r="CN241" s="62">
        <v>0</v>
      </c>
      <c r="CO241" s="62">
        <v>0</v>
      </c>
      <c r="CP241" s="62">
        <v>0</v>
      </c>
      <c r="CQ241" s="62">
        <v>0</v>
      </c>
      <c r="CR241" s="62">
        <v>0</v>
      </c>
      <c r="CS241" s="62">
        <v>0.37</v>
      </c>
      <c r="CT241" s="62">
        <v>3.5000000000000003E-2</v>
      </c>
      <c r="CU241" s="62">
        <v>0.05</v>
      </c>
      <c r="CV241" s="62">
        <v>0</v>
      </c>
      <c r="CW241" s="62">
        <v>0.16500000000000001</v>
      </c>
      <c r="CX241" s="62">
        <v>7.4999999999999997E-3</v>
      </c>
      <c r="CY241" s="62">
        <v>-0.18</v>
      </c>
      <c r="CZ241" s="62">
        <v>0</v>
      </c>
      <c r="DA241" s="62">
        <v>0</v>
      </c>
      <c r="DB241" s="62">
        <v>0</v>
      </c>
      <c r="DC241" s="62">
        <v>0.85</v>
      </c>
      <c r="DE241" s="62">
        <v>-3.3500000000000002E-2</v>
      </c>
      <c r="DF241" s="62">
        <v>0.01</v>
      </c>
      <c r="DG241" s="62">
        <v>2.6499999999999999E-2</v>
      </c>
      <c r="DH241" s="62">
        <v>0.01</v>
      </c>
      <c r="DI241" s="62">
        <v>1.15E-2</v>
      </c>
      <c r="DJ241" s="62">
        <v>7.4999999999999997E-3</v>
      </c>
      <c r="DK241" s="62">
        <v>0</v>
      </c>
      <c r="DL241" s="62">
        <v>0</v>
      </c>
      <c r="DM241" s="62">
        <v>0</v>
      </c>
      <c r="DN241" s="62">
        <v>0</v>
      </c>
      <c r="DO241" s="62">
        <v>0</v>
      </c>
      <c r="DP241" s="62">
        <v>0</v>
      </c>
      <c r="DQ241" s="62">
        <v>0</v>
      </c>
      <c r="DR241" s="62">
        <v>0</v>
      </c>
      <c r="DS241" s="62">
        <v>0.33500000000000002</v>
      </c>
      <c r="DT241" s="62">
        <v>5.0000000000000001E-3</v>
      </c>
    </row>
    <row r="242" spans="4:124" x14ac:dyDescent="0.25">
      <c r="D242" s="91">
        <v>44013</v>
      </c>
      <c r="F242" s="89">
        <v>4.5895000000000001</v>
      </c>
      <c r="G242" s="90">
        <v>6.6045320508791402E-2</v>
      </c>
      <c r="H242" s="89">
        <v>0.17</v>
      </c>
      <c r="I242" s="89">
        <v>0.5</v>
      </c>
      <c r="J242" s="89">
        <v>0.5</v>
      </c>
      <c r="K242" s="89">
        <v>0.4</v>
      </c>
      <c r="L242" s="89">
        <v>0.5</v>
      </c>
      <c r="M242" s="89">
        <v>0.5</v>
      </c>
      <c r="N242" s="89">
        <v>0.5</v>
      </c>
      <c r="O242" s="89">
        <v>0.5</v>
      </c>
      <c r="P242" s="89">
        <v>0.5</v>
      </c>
      <c r="Q242" s="89">
        <v>0.5</v>
      </c>
      <c r="R242" s="90">
        <v>0.5</v>
      </c>
      <c r="S242" s="90">
        <v>0.55000000000000004</v>
      </c>
      <c r="T242" s="89">
        <v>0.5</v>
      </c>
      <c r="U242" s="89">
        <v>0.5</v>
      </c>
      <c r="V242" s="89">
        <v>0.6</v>
      </c>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c r="AW242" s="89"/>
      <c r="AX242" s="89"/>
      <c r="AY242" s="90"/>
      <c r="AZ242" s="90"/>
      <c r="BA242" s="90">
        <v>-0.19500000000000001</v>
      </c>
      <c r="BB242" s="89">
        <v>0</v>
      </c>
      <c r="BC242" s="89">
        <v>-7.0000000000000007E-2</v>
      </c>
      <c r="BD242" s="89">
        <v>0</v>
      </c>
      <c r="BE242" s="89">
        <v>0.43</v>
      </c>
      <c r="BF242" s="89">
        <v>0</v>
      </c>
      <c r="BG242" s="89">
        <v>-0.06</v>
      </c>
      <c r="BH242" s="89">
        <v>0</v>
      </c>
      <c r="BI242" s="89">
        <v>0</v>
      </c>
      <c r="BJ242" s="62">
        <v>0</v>
      </c>
      <c r="BK242" s="62">
        <v>0.43</v>
      </c>
      <c r="BL242" s="62">
        <v>0</v>
      </c>
      <c r="BM242" s="62">
        <v>0.05</v>
      </c>
      <c r="BN242" s="62">
        <v>0</v>
      </c>
      <c r="BO242" s="62">
        <v>-0.37</v>
      </c>
      <c r="BP242" s="62">
        <v>0</v>
      </c>
      <c r="BQ242" s="62">
        <v>0.5</v>
      </c>
      <c r="BR242" s="62">
        <v>0</v>
      </c>
      <c r="BS242" s="62">
        <v>-7.0000000000000007E-2</v>
      </c>
      <c r="BT242" s="62">
        <v>0</v>
      </c>
      <c r="BU242" s="62">
        <v>0.3</v>
      </c>
      <c r="BV242" s="62">
        <v>0</v>
      </c>
      <c r="BW242" s="62">
        <v>0</v>
      </c>
      <c r="BX242" s="62">
        <v>0</v>
      </c>
      <c r="BY242" s="62">
        <v>0</v>
      </c>
      <c r="BZ242" s="62">
        <v>0</v>
      </c>
      <c r="CA242" s="62">
        <v>0.15</v>
      </c>
      <c r="CB242" s="62">
        <v>5.0000000000000001E-3</v>
      </c>
      <c r="CC242" s="62">
        <v>0</v>
      </c>
      <c r="CD242" s="62">
        <v>0</v>
      </c>
      <c r="CE242" s="62">
        <v>0</v>
      </c>
      <c r="CF242" s="62">
        <v>0</v>
      </c>
      <c r="CG242" s="62">
        <v>0</v>
      </c>
      <c r="CH242" s="62">
        <v>0</v>
      </c>
      <c r="CI242" s="62">
        <v>0</v>
      </c>
      <c r="CJ242" s="62">
        <v>0</v>
      </c>
      <c r="CK242" s="62">
        <v>0</v>
      </c>
      <c r="CL242" s="62">
        <v>0</v>
      </c>
      <c r="CM242" s="62">
        <v>0</v>
      </c>
      <c r="CN242" s="62">
        <v>0</v>
      </c>
      <c r="CO242" s="62">
        <v>0</v>
      </c>
      <c r="CP242" s="62">
        <v>0</v>
      </c>
      <c r="CQ242" s="62">
        <v>0</v>
      </c>
      <c r="CR242" s="62">
        <v>0</v>
      </c>
      <c r="CS242" s="62">
        <v>0.41</v>
      </c>
      <c r="CT242" s="62">
        <v>3.5000000000000003E-2</v>
      </c>
      <c r="CU242" s="62">
        <v>0.05</v>
      </c>
      <c r="CV242" s="62">
        <v>0</v>
      </c>
      <c r="CW242" s="62">
        <v>0.20499999999999999</v>
      </c>
      <c r="CX242" s="62">
        <v>7.4999999999999997E-3</v>
      </c>
      <c r="CY242" s="62">
        <v>-0.18</v>
      </c>
      <c r="CZ242" s="62">
        <v>0</v>
      </c>
      <c r="DA242" s="62">
        <v>0</v>
      </c>
      <c r="DB242" s="62">
        <v>0</v>
      </c>
      <c r="DC242" s="62">
        <v>1.05</v>
      </c>
      <c r="DE242" s="62">
        <v>-3.3500000000000002E-2</v>
      </c>
      <c r="DF242" s="62">
        <v>0.01</v>
      </c>
      <c r="DG242" s="62">
        <v>2.6499999999999999E-2</v>
      </c>
      <c r="DH242" s="62">
        <v>0.01</v>
      </c>
      <c r="DI242" s="62">
        <v>1.15E-2</v>
      </c>
      <c r="DJ242" s="62">
        <v>7.4999999999999997E-3</v>
      </c>
      <c r="DK242" s="62">
        <v>0</v>
      </c>
      <c r="DL242" s="62">
        <v>0</v>
      </c>
      <c r="DM242" s="62">
        <v>0</v>
      </c>
      <c r="DN242" s="62">
        <v>0</v>
      </c>
      <c r="DO242" s="62">
        <v>0</v>
      </c>
      <c r="DP242" s="62">
        <v>0</v>
      </c>
      <c r="DQ242" s="62">
        <v>0</v>
      </c>
      <c r="DR242" s="62">
        <v>0</v>
      </c>
      <c r="DS242" s="62">
        <v>0.35</v>
      </c>
      <c r="DT242" s="62">
        <v>5.0000000000000001E-3</v>
      </c>
    </row>
    <row r="243" spans="4:124" x14ac:dyDescent="0.25">
      <c r="D243" s="91">
        <v>44044</v>
      </c>
      <c r="F243" s="89">
        <v>4.6295000000000002</v>
      </c>
      <c r="G243" s="90">
        <v>6.6085864647580803E-2</v>
      </c>
      <c r="H243" s="89">
        <v>0.17</v>
      </c>
      <c r="I243" s="89">
        <v>0.55000000000000004</v>
      </c>
      <c r="J243" s="89">
        <v>0.55000000000000004</v>
      </c>
      <c r="K243" s="89">
        <v>0.5</v>
      </c>
      <c r="L243" s="89">
        <v>0.6</v>
      </c>
      <c r="M243" s="89">
        <v>0.55000000000000004</v>
      </c>
      <c r="N243" s="89">
        <v>0.6</v>
      </c>
      <c r="O243" s="89">
        <v>0.55000000000000004</v>
      </c>
      <c r="P243" s="89">
        <v>0.6</v>
      </c>
      <c r="Q243" s="89">
        <v>0.45</v>
      </c>
      <c r="R243" s="90">
        <v>0.55000000000000004</v>
      </c>
      <c r="S243" s="90">
        <v>0.6</v>
      </c>
      <c r="T243" s="89">
        <v>0.55000000000000004</v>
      </c>
      <c r="U243" s="89">
        <v>0.6</v>
      </c>
      <c r="V243" s="89">
        <v>0.7</v>
      </c>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c r="AW243" s="89"/>
      <c r="AX243" s="89"/>
      <c r="AY243" s="90"/>
      <c r="AZ243" s="90"/>
      <c r="BA243" s="90">
        <v>-0.19500000000000001</v>
      </c>
      <c r="BB243" s="89">
        <v>0</v>
      </c>
      <c r="BC243" s="89">
        <v>-7.0000000000000007E-2</v>
      </c>
      <c r="BD243" s="89">
        <v>0</v>
      </c>
      <c r="BE243" s="89">
        <v>0.43</v>
      </c>
      <c r="BF243" s="89">
        <v>0</v>
      </c>
      <c r="BG243" s="89">
        <v>-0.06</v>
      </c>
      <c r="BH243" s="89">
        <v>0</v>
      </c>
      <c r="BI243" s="89">
        <v>0</v>
      </c>
      <c r="BJ243" s="62">
        <v>0</v>
      </c>
      <c r="BK243" s="62">
        <v>0.43</v>
      </c>
      <c r="BL243" s="62">
        <v>0</v>
      </c>
      <c r="BM243" s="62">
        <v>0.05</v>
      </c>
      <c r="BN243" s="62">
        <v>0</v>
      </c>
      <c r="BO243" s="62">
        <v>-0.37</v>
      </c>
      <c r="BP243" s="62">
        <v>0</v>
      </c>
      <c r="BQ243" s="62">
        <v>0.5</v>
      </c>
      <c r="BR243" s="62">
        <v>0</v>
      </c>
      <c r="BS243" s="62">
        <v>-7.0000000000000007E-2</v>
      </c>
      <c r="BT243" s="62">
        <v>0</v>
      </c>
      <c r="BU243" s="62">
        <v>0.3</v>
      </c>
      <c r="BV243" s="62">
        <v>0</v>
      </c>
      <c r="BW243" s="62">
        <v>0</v>
      </c>
      <c r="BX243" s="62">
        <v>0</v>
      </c>
      <c r="BY243" s="62">
        <v>0</v>
      </c>
      <c r="BZ243" s="62">
        <v>0</v>
      </c>
      <c r="CA243" s="62">
        <v>0.15</v>
      </c>
      <c r="CB243" s="62">
        <v>5.0000000000000001E-3</v>
      </c>
      <c r="CC243" s="62">
        <v>0</v>
      </c>
      <c r="CD243" s="62">
        <v>0</v>
      </c>
      <c r="CE243" s="62">
        <v>0</v>
      </c>
      <c r="CF243" s="62">
        <v>0</v>
      </c>
      <c r="CG243" s="62">
        <v>0</v>
      </c>
      <c r="CH243" s="62">
        <v>0</v>
      </c>
      <c r="CI243" s="62">
        <v>0</v>
      </c>
      <c r="CJ243" s="62">
        <v>0</v>
      </c>
      <c r="CK243" s="62">
        <v>0</v>
      </c>
      <c r="CL243" s="62">
        <v>0</v>
      </c>
      <c r="CM243" s="62">
        <v>0</v>
      </c>
      <c r="CN243" s="62">
        <v>0</v>
      </c>
      <c r="CO243" s="62">
        <v>0</v>
      </c>
      <c r="CP243" s="62">
        <v>0</v>
      </c>
      <c r="CQ243" s="62">
        <v>0</v>
      </c>
      <c r="CR243" s="62">
        <v>0</v>
      </c>
      <c r="CS243" s="62">
        <v>0.41</v>
      </c>
      <c r="CT243" s="62">
        <v>0.01</v>
      </c>
      <c r="CU243" s="62">
        <v>0.05</v>
      </c>
      <c r="CV243" s="62">
        <v>0</v>
      </c>
      <c r="CW243" s="62">
        <v>0.20499999999999999</v>
      </c>
      <c r="CX243" s="62">
        <v>7.4999999999999997E-3</v>
      </c>
      <c r="CY243" s="62">
        <v>-0.18</v>
      </c>
      <c r="CZ243" s="62">
        <v>0</v>
      </c>
      <c r="DA243" s="62">
        <v>0</v>
      </c>
      <c r="DB243" s="62">
        <v>0</v>
      </c>
      <c r="DC243" s="62">
        <v>1.05</v>
      </c>
      <c r="DE243" s="62">
        <v>-3.3500000000000002E-2</v>
      </c>
      <c r="DF243" s="62">
        <v>0.01</v>
      </c>
      <c r="DG243" s="62">
        <v>2.1499999999999998E-2</v>
      </c>
      <c r="DH243" s="62">
        <v>0.01</v>
      </c>
      <c r="DI243" s="62">
        <v>6.4999999999999997E-3</v>
      </c>
      <c r="DJ243" s="62">
        <v>7.4999999999999997E-3</v>
      </c>
      <c r="DK243" s="62">
        <v>0</v>
      </c>
      <c r="DL243" s="62">
        <v>0</v>
      </c>
      <c r="DM243" s="62">
        <v>0</v>
      </c>
      <c r="DN243" s="62">
        <v>0</v>
      </c>
      <c r="DO243" s="62">
        <v>0</v>
      </c>
      <c r="DP243" s="62">
        <v>0</v>
      </c>
      <c r="DQ243" s="62">
        <v>0</v>
      </c>
      <c r="DR243" s="62">
        <v>0</v>
      </c>
      <c r="DS243" s="62">
        <v>0.35</v>
      </c>
      <c r="DT243" s="62">
        <v>-5.0000000000000001E-3</v>
      </c>
    </row>
    <row r="244" spans="4:124" x14ac:dyDescent="0.25">
      <c r="D244" s="91">
        <v>44075</v>
      </c>
      <c r="F244" s="89">
        <v>4.6245000000000003</v>
      </c>
      <c r="G244" s="90">
        <v>6.6126408786914698E-2</v>
      </c>
      <c r="H244" s="89">
        <v>0.17</v>
      </c>
      <c r="I244" s="89">
        <v>0.55000000000000004</v>
      </c>
      <c r="J244" s="89">
        <v>0.55000000000000004</v>
      </c>
      <c r="K244" s="89">
        <v>0.55000000000000004</v>
      </c>
      <c r="L244" s="89">
        <v>0.55000000000000004</v>
      </c>
      <c r="M244" s="89">
        <v>0.55000000000000004</v>
      </c>
      <c r="N244" s="89">
        <v>0.6</v>
      </c>
      <c r="O244" s="89">
        <v>0.6</v>
      </c>
      <c r="P244" s="89">
        <v>0.55000000000000004</v>
      </c>
      <c r="Q244" s="89">
        <v>0.5</v>
      </c>
      <c r="R244" s="90">
        <v>0.55000000000000004</v>
      </c>
      <c r="S244" s="90">
        <v>0.6</v>
      </c>
      <c r="T244" s="89">
        <v>0.55000000000000004</v>
      </c>
      <c r="U244" s="89">
        <v>0.6</v>
      </c>
      <c r="V244" s="89">
        <v>0.65</v>
      </c>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c r="AW244" s="89"/>
      <c r="AX244" s="89"/>
      <c r="AY244" s="90"/>
      <c r="AZ244" s="90"/>
      <c r="BA244" s="90">
        <v>-0.19500000000000001</v>
      </c>
      <c r="BB244" s="89">
        <v>0</v>
      </c>
      <c r="BC244" s="89">
        <v>-7.0000000000000007E-2</v>
      </c>
      <c r="BD244" s="89">
        <v>0</v>
      </c>
      <c r="BE244" s="89">
        <v>0.43</v>
      </c>
      <c r="BF244" s="89">
        <v>0</v>
      </c>
      <c r="BG244" s="89">
        <v>-0.06</v>
      </c>
      <c r="BH244" s="89">
        <v>0</v>
      </c>
      <c r="BI244" s="89">
        <v>0</v>
      </c>
      <c r="BJ244" s="62">
        <v>0</v>
      </c>
      <c r="BK244" s="62">
        <v>0.43</v>
      </c>
      <c r="BL244" s="62">
        <v>0</v>
      </c>
      <c r="BM244" s="62">
        <v>0.05</v>
      </c>
      <c r="BN244" s="62">
        <v>0</v>
      </c>
      <c r="BO244" s="62">
        <v>-0.37</v>
      </c>
      <c r="BP244" s="62">
        <v>0</v>
      </c>
      <c r="BQ244" s="62">
        <v>0.5</v>
      </c>
      <c r="BR244" s="62">
        <v>0</v>
      </c>
      <c r="BS244" s="62">
        <v>-7.0000000000000007E-2</v>
      </c>
      <c r="BT244" s="62">
        <v>0</v>
      </c>
      <c r="BU244" s="62">
        <v>0.3</v>
      </c>
      <c r="BV244" s="62">
        <v>0</v>
      </c>
      <c r="BW244" s="62">
        <v>0</v>
      </c>
      <c r="BX244" s="62">
        <v>0</v>
      </c>
      <c r="BY244" s="62">
        <v>0</v>
      </c>
      <c r="BZ244" s="62">
        <v>0</v>
      </c>
      <c r="CA244" s="62">
        <v>0.125</v>
      </c>
      <c r="CB244" s="62">
        <v>5.0000000000000001E-3</v>
      </c>
      <c r="CC244" s="62">
        <v>0</v>
      </c>
      <c r="CD244" s="62">
        <v>0</v>
      </c>
      <c r="CE244" s="62">
        <v>0</v>
      </c>
      <c r="CF244" s="62">
        <v>0</v>
      </c>
      <c r="CG244" s="62">
        <v>0</v>
      </c>
      <c r="CH244" s="62">
        <v>0</v>
      </c>
      <c r="CI244" s="62">
        <v>0</v>
      </c>
      <c r="CJ244" s="62">
        <v>0</v>
      </c>
      <c r="CK244" s="62">
        <v>0</v>
      </c>
      <c r="CL244" s="62">
        <v>0</v>
      </c>
      <c r="CM244" s="62">
        <v>0</v>
      </c>
      <c r="CN244" s="62">
        <v>0</v>
      </c>
      <c r="CO244" s="62">
        <v>0</v>
      </c>
      <c r="CP244" s="62">
        <v>0</v>
      </c>
      <c r="CQ244" s="62">
        <v>0</v>
      </c>
      <c r="CR244" s="62">
        <v>0</v>
      </c>
      <c r="CS244" s="62">
        <v>0.36</v>
      </c>
      <c r="CT244" s="62">
        <v>0.01</v>
      </c>
      <c r="CU244" s="62">
        <v>0.05</v>
      </c>
      <c r="CV244" s="62">
        <v>0</v>
      </c>
      <c r="CW244" s="62">
        <v>0.14499999999999999</v>
      </c>
      <c r="CX244" s="62">
        <v>7.4999999999999997E-3</v>
      </c>
      <c r="CY244" s="62">
        <v>-0.18</v>
      </c>
      <c r="CZ244" s="62">
        <v>0</v>
      </c>
      <c r="DA244" s="62">
        <v>0</v>
      </c>
      <c r="DB244" s="62">
        <v>0</v>
      </c>
      <c r="DC244" s="62">
        <v>0.75</v>
      </c>
      <c r="DE244" s="62">
        <v>-3.85E-2</v>
      </c>
      <c r="DF244" s="62">
        <v>0.01</v>
      </c>
      <c r="DG244" s="62">
        <v>2.1499999999999998E-2</v>
      </c>
      <c r="DH244" s="62">
        <v>0.01</v>
      </c>
      <c r="DI244" s="62">
        <v>6.4999999999999997E-3</v>
      </c>
      <c r="DJ244" s="62">
        <v>7.4999999999999997E-3</v>
      </c>
      <c r="DK244" s="62">
        <v>0</v>
      </c>
      <c r="DL244" s="62">
        <v>0</v>
      </c>
      <c r="DM244" s="62">
        <v>0</v>
      </c>
      <c r="DN244" s="62">
        <v>0</v>
      </c>
      <c r="DO244" s="62">
        <v>0</v>
      </c>
      <c r="DP244" s="62">
        <v>0</v>
      </c>
      <c r="DQ244" s="62">
        <v>0</v>
      </c>
      <c r="DR244" s="62">
        <v>0</v>
      </c>
      <c r="DS244" s="62">
        <v>0.315</v>
      </c>
      <c r="DT244" s="62">
        <v>-5.0000000000000001E-3</v>
      </c>
    </row>
    <row r="245" spans="4:124" x14ac:dyDescent="0.25">
      <c r="D245" s="91">
        <v>44105</v>
      </c>
      <c r="F245" s="89">
        <v>4.6494999999999997</v>
      </c>
      <c r="G245" s="90">
        <v>6.6165645051305094E-2</v>
      </c>
      <c r="H245" s="89">
        <v>0.17</v>
      </c>
      <c r="I245" s="89">
        <v>0.6</v>
      </c>
      <c r="J245" s="89">
        <v>0.6</v>
      </c>
      <c r="K245" s="89">
        <v>0.55000000000000004</v>
      </c>
      <c r="L245" s="89">
        <v>0.6</v>
      </c>
      <c r="M245" s="89">
        <v>0.6</v>
      </c>
      <c r="N245" s="89">
        <v>0.65</v>
      </c>
      <c r="O245" s="89">
        <v>0.65</v>
      </c>
      <c r="P245" s="89">
        <v>0.6</v>
      </c>
      <c r="Q245" s="89">
        <v>0.5</v>
      </c>
      <c r="R245" s="90">
        <v>0.6</v>
      </c>
      <c r="S245" s="90">
        <v>0.65</v>
      </c>
      <c r="T245" s="89">
        <v>0.6</v>
      </c>
      <c r="U245" s="89">
        <v>0.65</v>
      </c>
      <c r="V245" s="89">
        <v>0.7</v>
      </c>
      <c r="W245" s="89"/>
      <c r="X245" s="89"/>
      <c r="Y245" s="89"/>
      <c r="Z245" s="89"/>
      <c r="AA245" s="89"/>
      <c r="AB245" s="89"/>
      <c r="AC245" s="89"/>
      <c r="AD245" s="89"/>
      <c r="AE245" s="89"/>
      <c r="AF245" s="89"/>
      <c r="AG245" s="89"/>
      <c r="AH245" s="89"/>
      <c r="AI245" s="89"/>
      <c r="AJ245" s="89"/>
      <c r="AK245" s="89"/>
      <c r="AL245" s="89"/>
      <c r="AM245" s="89"/>
      <c r="AN245" s="89"/>
      <c r="AO245" s="89"/>
      <c r="AP245" s="89"/>
      <c r="AQ245" s="89"/>
      <c r="AR245" s="89"/>
      <c r="AS245" s="89"/>
      <c r="AT245" s="89"/>
      <c r="AU245" s="89"/>
      <c r="AV245" s="89"/>
      <c r="AW245" s="89"/>
      <c r="AX245" s="89"/>
      <c r="AY245" s="90"/>
      <c r="AZ245" s="90"/>
      <c r="BA245" s="90">
        <v>-0.19500000000000001</v>
      </c>
      <c r="BB245" s="89">
        <v>0</v>
      </c>
      <c r="BC245" s="89">
        <v>-7.0000000000000007E-2</v>
      </c>
      <c r="BD245" s="89">
        <v>0</v>
      </c>
      <c r="BE245" s="89">
        <v>0.43</v>
      </c>
      <c r="BF245" s="89">
        <v>0</v>
      </c>
      <c r="BG245" s="89">
        <v>-0.06</v>
      </c>
      <c r="BH245" s="89">
        <v>0</v>
      </c>
      <c r="BI245" s="89">
        <v>0</v>
      </c>
      <c r="BJ245" s="62">
        <v>0</v>
      </c>
      <c r="BK245" s="62">
        <v>0.43</v>
      </c>
      <c r="BL245" s="62">
        <v>0</v>
      </c>
      <c r="BM245" s="62">
        <v>0.05</v>
      </c>
      <c r="BN245" s="62">
        <v>0</v>
      </c>
      <c r="BO245" s="62">
        <v>-0.37</v>
      </c>
      <c r="BP245" s="62">
        <v>0</v>
      </c>
      <c r="BQ245" s="62">
        <v>0.5</v>
      </c>
      <c r="BR245" s="62">
        <v>0</v>
      </c>
      <c r="BS245" s="62">
        <v>-7.0000000000000007E-2</v>
      </c>
      <c r="BT245" s="62">
        <v>0</v>
      </c>
      <c r="BU245" s="62">
        <v>0.3</v>
      </c>
      <c r="BV245" s="62">
        <v>0</v>
      </c>
      <c r="BW245" s="62">
        <v>0</v>
      </c>
      <c r="BX245" s="62">
        <v>0</v>
      </c>
      <c r="BY245" s="62">
        <v>0</v>
      </c>
      <c r="BZ245" s="62">
        <v>0</v>
      </c>
      <c r="CA245" s="62">
        <v>0.14499999999999999</v>
      </c>
      <c r="CB245" s="62">
        <v>5.0000000000000001E-3</v>
      </c>
      <c r="CC245" s="62">
        <v>0</v>
      </c>
      <c r="CD245" s="62">
        <v>0</v>
      </c>
      <c r="CE245" s="62">
        <v>0</v>
      </c>
      <c r="CF245" s="62">
        <v>0</v>
      </c>
      <c r="CG245" s="62">
        <v>0</v>
      </c>
      <c r="CH245" s="62">
        <v>0</v>
      </c>
      <c r="CI245" s="62">
        <v>0</v>
      </c>
      <c r="CJ245" s="62">
        <v>0</v>
      </c>
      <c r="CK245" s="62">
        <v>0</v>
      </c>
      <c r="CL245" s="62">
        <v>0</v>
      </c>
      <c r="CM245" s="62">
        <v>0</v>
      </c>
      <c r="CN245" s="62">
        <v>0</v>
      </c>
      <c r="CO245" s="62">
        <v>0</v>
      </c>
      <c r="CP245" s="62">
        <v>0</v>
      </c>
      <c r="CQ245" s="62">
        <v>0</v>
      </c>
      <c r="CR245" s="62">
        <v>0</v>
      </c>
      <c r="CS245" s="62">
        <v>0.4</v>
      </c>
      <c r="CT245" s="62">
        <v>0.01</v>
      </c>
      <c r="CU245" s="62">
        <v>0.05</v>
      </c>
      <c r="CV245" s="62">
        <v>0</v>
      </c>
      <c r="CW245" s="62">
        <v>0.17499999999999999</v>
      </c>
      <c r="CX245" s="62">
        <v>7.4999999999999997E-3</v>
      </c>
      <c r="CY245" s="62">
        <v>-0.18</v>
      </c>
      <c r="CZ245" s="62">
        <v>0</v>
      </c>
      <c r="DA245" s="62">
        <v>0</v>
      </c>
      <c r="DB245" s="62">
        <v>0</v>
      </c>
      <c r="DC245" s="62">
        <v>0.45</v>
      </c>
      <c r="DE245" s="62">
        <v>-3.85E-2</v>
      </c>
      <c r="DF245" s="62">
        <v>0.01</v>
      </c>
      <c r="DG245" s="62">
        <v>1.9E-2</v>
      </c>
      <c r="DH245" s="62">
        <v>0.01</v>
      </c>
      <c r="DI245" s="62">
        <v>4.0000000000000001E-3</v>
      </c>
      <c r="DJ245" s="62">
        <v>7.4999999999999997E-3</v>
      </c>
      <c r="DK245" s="62">
        <v>0</v>
      </c>
      <c r="DL245" s="62">
        <v>0</v>
      </c>
      <c r="DM245" s="62">
        <v>0</v>
      </c>
      <c r="DN245" s="62">
        <v>0</v>
      </c>
      <c r="DO245" s="62">
        <v>0</v>
      </c>
      <c r="DP245" s="62">
        <v>0</v>
      </c>
      <c r="DQ245" s="62">
        <v>0</v>
      </c>
      <c r="DR245" s="62">
        <v>0</v>
      </c>
      <c r="DS245" s="62">
        <v>0.36</v>
      </c>
      <c r="DT245" s="62">
        <v>-5.0000000000000001E-3</v>
      </c>
    </row>
    <row r="246" spans="4:124" x14ac:dyDescent="0.25">
      <c r="D246" s="91">
        <v>44136</v>
      </c>
      <c r="F246" s="89">
        <v>4.8014999999999999</v>
      </c>
      <c r="G246" s="90">
        <v>6.6206189191710493E-2</v>
      </c>
      <c r="H246" s="89">
        <v>0.17</v>
      </c>
      <c r="I246" s="89">
        <v>0.8</v>
      </c>
      <c r="J246" s="89">
        <v>0.85</v>
      </c>
      <c r="K246" s="89">
        <v>0.8</v>
      </c>
      <c r="L246" s="89">
        <v>0.8</v>
      </c>
      <c r="M246" s="89">
        <v>0.9</v>
      </c>
      <c r="N246" s="89">
        <v>0.95</v>
      </c>
      <c r="O246" s="89">
        <v>0.85</v>
      </c>
      <c r="P246" s="89">
        <v>0.8</v>
      </c>
      <c r="Q246" s="89">
        <v>0.95</v>
      </c>
      <c r="R246" s="90">
        <v>0.8</v>
      </c>
      <c r="S246" s="90">
        <v>0.8</v>
      </c>
      <c r="T246" s="89">
        <v>0.8</v>
      </c>
      <c r="U246" s="89">
        <v>0.95</v>
      </c>
      <c r="V246" s="89">
        <v>0.9</v>
      </c>
      <c r="W246" s="89"/>
      <c r="X246" s="89"/>
      <c r="Y246" s="89"/>
      <c r="Z246" s="89"/>
      <c r="AA246" s="89"/>
      <c r="AB246" s="89"/>
      <c r="AC246" s="89"/>
      <c r="AD246" s="89"/>
      <c r="AE246" s="89"/>
      <c r="AF246" s="89"/>
      <c r="AG246" s="89"/>
      <c r="AH246" s="89"/>
      <c r="AI246" s="89"/>
      <c r="AJ246" s="89"/>
      <c r="AK246" s="89"/>
      <c r="AL246" s="89"/>
      <c r="AM246" s="89"/>
      <c r="AN246" s="89"/>
      <c r="AO246" s="89"/>
      <c r="AP246" s="89"/>
      <c r="AQ246" s="89"/>
      <c r="AR246" s="89"/>
      <c r="AS246" s="89"/>
      <c r="AT246" s="89"/>
      <c r="AU246" s="89"/>
      <c r="AV246" s="89"/>
      <c r="AW246" s="89"/>
      <c r="AX246" s="89"/>
      <c r="AY246" s="90"/>
      <c r="AZ246" s="90"/>
      <c r="BA246" s="90">
        <v>0</v>
      </c>
      <c r="BB246" s="89">
        <v>0</v>
      </c>
      <c r="BC246" s="89">
        <v>-7.0000000000000007E-2</v>
      </c>
      <c r="BD246" s="89">
        <v>0</v>
      </c>
      <c r="BE246" s="89">
        <v>0.35</v>
      </c>
      <c r="BF246" s="89">
        <v>0</v>
      </c>
      <c r="BG246" s="89">
        <v>-0.06</v>
      </c>
      <c r="BH246" s="89">
        <v>0</v>
      </c>
      <c r="BI246" s="89">
        <v>0</v>
      </c>
      <c r="BJ246" s="62">
        <v>0</v>
      </c>
      <c r="BK246" s="62">
        <v>0.35</v>
      </c>
      <c r="BL246" s="62">
        <v>0</v>
      </c>
      <c r="BM246" s="62">
        <v>0.05</v>
      </c>
      <c r="BN246" s="62">
        <v>0</v>
      </c>
      <c r="BO246" s="62">
        <v>0</v>
      </c>
      <c r="BP246" s="62">
        <v>0</v>
      </c>
      <c r="BQ246" s="62">
        <v>0.5</v>
      </c>
      <c r="BR246" s="62">
        <v>0</v>
      </c>
      <c r="BS246" s="62">
        <v>-7.0000000000000007E-2</v>
      </c>
      <c r="BT246" s="62">
        <v>0</v>
      </c>
      <c r="BU246" s="62">
        <v>0.3</v>
      </c>
      <c r="BV246" s="62">
        <v>0</v>
      </c>
      <c r="BW246" s="62">
        <v>0</v>
      </c>
      <c r="BX246" s="62">
        <v>0</v>
      </c>
      <c r="BY246" s="62">
        <v>0</v>
      </c>
      <c r="BZ246" s="62">
        <v>0</v>
      </c>
      <c r="CA246" s="62">
        <v>0.19500000000000001</v>
      </c>
      <c r="CB246" s="62">
        <v>5.0000000000000001E-3</v>
      </c>
      <c r="CC246" s="62">
        <v>0</v>
      </c>
      <c r="CD246" s="62">
        <v>0</v>
      </c>
      <c r="CE246" s="62">
        <v>0</v>
      </c>
      <c r="CF246" s="62">
        <v>0</v>
      </c>
      <c r="CG246" s="62">
        <v>0</v>
      </c>
      <c r="CH246" s="62">
        <v>0</v>
      </c>
      <c r="CI246" s="62">
        <v>0</v>
      </c>
      <c r="CJ246" s="62">
        <v>0</v>
      </c>
      <c r="CK246" s="62">
        <v>0</v>
      </c>
      <c r="CL246" s="62">
        <v>0</v>
      </c>
      <c r="CM246" s="62">
        <v>0</v>
      </c>
      <c r="CN246" s="62">
        <v>0</v>
      </c>
      <c r="CO246" s="62">
        <v>0</v>
      </c>
      <c r="CP246" s="62">
        <v>0</v>
      </c>
      <c r="CQ246" s="62">
        <v>0</v>
      </c>
      <c r="CR246" s="62">
        <v>0</v>
      </c>
      <c r="CS246" s="62">
        <v>0.65</v>
      </c>
      <c r="CT246" s="62">
        <v>5.5E-2</v>
      </c>
      <c r="CU246" s="62">
        <v>0.05</v>
      </c>
      <c r="CV246" s="62">
        <v>0</v>
      </c>
      <c r="CW246" s="62">
        <v>0.21</v>
      </c>
      <c r="CX246" s="62">
        <v>0.02</v>
      </c>
      <c r="CY246" s="62">
        <v>-0.18</v>
      </c>
      <c r="CZ246" s="62">
        <v>0</v>
      </c>
      <c r="DA246" s="62">
        <v>0</v>
      </c>
      <c r="DB246" s="62">
        <v>0</v>
      </c>
      <c r="DC246" s="62">
        <v>0.45</v>
      </c>
      <c r="DE246" s="62">
        <v>-2.7E-2</v>
      </c>
      <c r="DF246" s="62">
        <v>1.2500000000000001E-2</v>
      </c>
      <c r="DG246" s="62">
        <v>0.02</v>
      </c>
      <c r="DH246" s="62">
        <v>7.4999999999999997E-3</v>
      </c>
      <c r="DI246" s="62">
        <v>5.0000000000000001E-3</v>
      </c>
      <c r="DJ246" s="62">
        <v>2.5000000000000001E-3</v>
      </c>
      <c r="DK246" s="62">
        <v>0</v>
      </c>
      <c r="DL246" s="62">
        <v>0</v>
      </c>
      <c r="DM246" s="62">
        <v>0</v>
      </c>
      <c r="DN246" s="62">
        <v>0</v>
      </c>
      <c r="DO246" s="62">
        <v>0</v>
      </c>
      <c r="DP246" s="62">
        <v>0</v>
      </c>
      <c r="DQ246" s="62">
        <v>0</v>
      </c>
      <c r="DR246" s="62">
        <v>0</v>
      </c>
      <c r="DS246" s="62">
        <v>0.46</v>
      </c>
      <c r="DT246" s="62">
        <v>0.05</v>
      </c>
    </row>
    <row r="247" spans="4:124" x14ac:dyDescent="0.25">
      <c r="D247" s="91">
        <v>44166</v>
      </c>
      <c r="F247" s="89">
        <v>4.9444999999999997</v>
      </c>
      <c r="G247" s="90">
        <v>6.6245425457137394E-2</v>
      </c>
      <c r="H247" s="89">
        <v>0.17</v>
      </c>
      <c r="I247" s="89">
        <v>1</v>
      </c>
      <c r="J247" s="89">
        <v>1.05</v>
      </c>
      <c r="K247" s="89">
        <v>1</v>
      </c>
      <c r="L247" s="89">
        <v>1</v>
      </c>
      <c r="M247" s="89">
        <v>1.1499999999999999</v>
      </c>
      <c r="N247" s="89">
        <v>1.25</v>
      </c>
      <c r="O247" s="89">
        <v>1.05</v>
      </c>
      <c r="P247" s="89">
        <v>1</v>
      </c>
      <c r="Q247" s="89">
        <v>1.35</v>
      </c>
      <c r="R247" s="90">
        <v>1</v>
      </c>
      <c r="S247" s="90">
        <v>1.1000000000000001</v>
      </c>
      <c r="T247" s="89">
        <v>1</v>
      </c>
      <c r="U247" s="89">
        <v>1.25</v>
      </c>
      <c r="V247" s="89">
        <v>1.1000000000000001</v>
      </c>
      <c r="W247" s="89"/>
      <c r="X247" s="89"/>
      <c r="Y247" s="89"/>
      <c r="Z247" s="89"/>
      <c r="AA247" s="89"/>
      <c r="AB247" s="89"/>
      <c r="AC247" s="89"/>
      <c r="AD247" s="89"/>
      <c r="AE247" s="89"/>
      <c r="AF247" s="89"/>
      <c r="AG247" s="89"/>
      <c r="AH247" s="89"/>
      <c r="AI247" s="89"/>
      <c r="AJ247" s="89"/>
      <c r="AK247" s="89"/>
      <c r="AL247" s="89"/>
      <c r="AM247" s="89"/>
      <c r="AN247" s="89"/>
      <c r="AO247" s="89"/>
      <c r="AP247" s="89"/>
      <c r="AQ247" s="89"/>
      <c r="AR247" s="89"/>
      <c r="AS247" s="89"/>
      <c r="AT247" s="89"/>
      <c r="AU247" s="89"/>
      <c r="AV247" s="89"/>
      <c r="AW247" s="89"/>
      <c r="AX247" s="89"/>
      <c r="AY247" s="90"/>
      <c r="AZ247" s="90"/>
      <c r="BA247" s="90">
        <v>0</v>
      </c>
      <c r="BB247" s="89">
        <v>0</v>
      </c>
      <c r="BC247" s="89">
        <v>-7.0000000000000007E-2</v>
      </c>
      <c r="BD247" s="89">
        <v>0</v>
      </c>
      <c r="BE247" s="89">
        <v>0.35</v>
      </c>
      <c r="BF247" s="89">
        <v>0</v>
      </c>
      <c r="BG247" s="89">
        <v>-0.06</v>
      </c>
      <c r="BH247" s="89">
        <v>0</v>
      </c>
      <c r="BI247" s="89">
        <v>0</v>
      </c>
      <c r="BJ247" s="62">
        <v>0</v>
      </c>
      <c r="BK247" s="62">
        <v>0.35</v>
      </c>
      <c r="BL247" s="62">
        <v>0</v>
      </c>
      <c r="BM247" s="62">
        <v>0.05</v>
      </c>
      <c r="BN247" s="62">
        <v>0</v>
      </c>
      <c r="BO247" s="62">
        <v>0</v>
      </c>
      <c r="BP247" s="62">
        <v>0</v>
      </c>
      <c r="BQ247" s="62">
        <v>0.5</v>
      </c>
      <c r="BR247" s="62">
        <v>0</v>
      </c>
      <c r="BS247" s="62">
        <v>-7.0000000000000007E-2</v>
      </c>
      <c r="BT247" s="62">
        <v>0</v>
      </c>
      <c r="BU247" s="62">
        <v>0.3</v>
      </c>
      <c r="BV247" s="62">
        <v>0</v>
      </c>
      <c r="BW247" s="62">
        <v>0</v>
      </c>
      <c r="BX247" s="62">
        <v>0</v>
      </c>
      <c r="BY247" s="62">
        <v>0</v>
      </c>
      <c r="BZ247" s="62">
        <v>0</v>
      </c>
      <c r="CA247" s="62">
        <v>0.215</v>
      </c>
      <c r="CB247" s="62">
        <v>5.0000000000000001E-3</v>
      </c>
      <c r="CC247" s="62">
        <v>0</v>
      </c>
      <c r="CD247" s="62">
        <v>0</v>
      </c>
      <c r="CE247" s="62">
        <v>0</v>
      </c>
      <c r="CF247" s="62">
        <v>0</v>
      </c>
      <c r="CG247" s="62">
        <v>0</v>
      </c>
      <c r="CH247" s="62">
        <v>0</v>
      </c>
      <c r="CI247" s="62">
        <v>0</v>
      </c>
      <c r="CJ247" s="62">
        <v>0</v>
      </c>
      <c r="CK247" s="62">
        <v>0</v>
      </c>
      <c r="CL247" s="62">
        <v>0</v>
      </c>
      <c r="CM247" s="62">
        <v>0</v>
      </c>
      <c r="CN247" s="62">
        <v>0</v>
      </c>
      <c r="CO247" s="62">
        <v>0</v>
      </c>
      <c r="CP247" s="62">
        <v>0</v>
      </c>
      <c r="CQ247" s="62">
        <v>0</v>
      </c>
      <c r="CR247" s="62">
        <v>0</v>
      </c>
      <c r="CS247" s="62">
        <v>0.98</v>
      </c>
      <c r="CT247" s="62">
        <v>0.25</v>
      </c>
      <c r="CU247" s="62">
        <v>0.05</v>
      </c>
      <c r="CV247" s="62">
        <v>0</v>
      </c>
      <c r="CW247" s="62">
        <v>0.28999999999999998</v>
      </c>
      <c r="CX247" s="62">
        <v>0.02</v>
      </c>
      <c r="CY247" s="62">
        <v>-0.18</v>
      </c>
      <c r="CZ247" s="62">
        <v>0</v>
      </c>
      <c r="DA247" s="62">
        <v>0</v>
      </c>
      <c r="DB247" s="62">
        <v>0</v>
      </c>
      <c r="DC247" s="62">
        <v>0.4</v>
      </c>
      <c r="DE247" s="62">
        <v>-2.7E-2</v>
      </c>
      <c r="DF247" s="62">
        <v>1.2500000000000001E-2</v>
      </c>
      <c r="DG247" s="62">
        <v>0.02</v>
      </c>
      <c r="DH247" s="62">
        <v>7.4999999999999997E-3</v>
      </c>
      <c r="DI247" s="62">
        <v>5.0000000000000001E-3</v>
      </c>
      <c r="DJ247" s="62">
        <v>2.5000000000000001E-3</v>
      </c>
      <c r="DK247" s="62">
        <v>0</v>
      </c>
      <c r="DL247" s="62">
        <v>0</v>
      </c>
      <c r="DM247" s="62">
        <v>0</v>
      </c>
      <c r="DN247" s="62">
        <v>0</v>
      </c>
      <c r="DO247" s="62">
        <v>0</v>
      </c>
      <c r="DP247" s="62">
        <v>0</v>
      </c>
      <c r="DQ247" s="62">
        <v>0</v>
      </c>
      <c r="DR247" s="62">
        <v>0</v>
      </c>
      <c r="DS247" s="62">
        <v>0.77</v>
      </c>
      <c r="DT247" s="62">
        <v>0.05</v>
      </c>
    </row>
    <row r="248" spans="4:124" x14ac:dyDescent="0.25">
      <c r="D248" s="91">
        <v>44197</v>
      </c>
      <c r="F248" s="89">
        <v>5.0045000000000002</v>
      </c>
      <c r="G248" s="90">
        <v>6.6285969598614006E-2</v>
      </c>
      <c r="H248" s="89">
        <v>0.17</v>
      </c>
      <c r="I248" s="89">
        <v>1</v>
      </c>
      <c r="J248" s="89">
        <v>1.05</v>
      </c>
      <c r="K248" s="89">
        <v>1</v>
      </c>
      <c r="L248" s="89">
        <v>1</v>
      </c>
      <c r="M248" s="89">
        <v>1.1499999999999999</v>
      </c>
      <c r="N248" s="89">
        <v>1.45</v>
      </c>
      <c r="O248" s="89">
        <v>1.05</v>
      </c>
      <c r="P248" s="89">
        <v>1</v>
      </c>
      <c r="Q248" s="89">
        <v>1.35</v>
      </c>
      <c r="R248" s="90">
        <v>1</v>
      </c>
      <c r="S248" s="90">
        <v>1.1000000000000001</v>
      </c>
      <c r="T248" s="89">
        <v>1</v>
      </c>
      <c r="U248" s="89">
        <v>1.45</v>
      </c>
      <c r="V248" s="89">
        <v>1.1000000000000001</v>
      </c>
      <c r="W248" s="89"/>
      <c r="X248" s="89"/>
      <c r="Y248" s="89"/>
      <c r="Z248" s="89"/>
      <c r="AA248" s="89"/>
      <c r="AB248" s="89"/>
      <c r="AC248" s="89"/>
      <c r="AD248" s="89"/>
      <c r="AE248" s="89"/>
      <c r="AF248" s="89"/>
      <c r="AG248" s="89"/>
      <c r="AH248" s="89"/>
      <c r="AI248" s="89"/>
      <c r="AJ248" s="89"/>
      <c r="AK248" s="89"/>
      <c r="AL248" s="89"/>
      <c r="AM248" s="89"/>
      <c r="AN248" s="89"/>
      <c r="AO248" s="89"/>
      <c r="AP248" s="89"/>
      <c r="AQ248" s="89"/>
      <c r="AR248" s="89"/>
      <c r="AS248" s="89"/>
      <c r="AT248" s="89"/>
      <c r="AU248" s="89"/>
      <c r="AV248" s="89"/>
      <c r="AW248" s="89"/>
      <c r="AX248" s="89"/>
      <c r="AY248" s="90"/>
      <c r="AZ248" s="90"/>
      <c r="BA248" s="90">
        <v>0</v>
      </c>
      <c r="BB248" s="89">
        <v>0</v>
      </c>
      <c r="BC248" s="89">
        <v>-7.0000000000000007E-2</v>
      </c>
      <c r="BD248" s="89">
        <v>0</v>
      </c>
      <c r="BE248" s="89">
        <v>0.35</v>
      </c>
      <c r="BF248" s="89">
        <v>0</v>
      </c>
      <c r="BG248" s="89">
        <v>-0.06</v>
      </c>
      <c r="BH248" s="89">
        <v>0</v>
      </c>
      <c r="BI248" s="89">
        <v>0</v>
      </c>
      <c r="BJ248" s="62">
        <v>0</v>
      </c>
      <c r="BK248" s="62">
        <v>0.35</v>
      </c>
      <c r="BL248" s="62">
        <v>0</v>
      </c>
      <c r="BM248" s="62">
        <v>0.05</v>
      </c>
      <c r="BN248" s="62">
        <v>0</v>
      </c>
      <c r="BO248" s="62">
        <v>0</v>
      </c>
      <c r="BP248" s="62">
        <v>0</v>
      </c>
      <c r="BQ248" s="62">
        <v>0.5</v>
      </c>
      <c r="BR248" s="62">
        <v>0</v>
      </c>
      <c r="BS248" s="62">
        <v>-7.0000000000000007E-2</v>
      </c>
      <c r="BT248" s="62">
        <v>0</v>
      </c>
      <c r="BU248" s="62">
        <v>0.3</v>
      </c>
      <c r="BV248" s="62">
        <v>0</v>
      </c>
      <c r="BW248" s="62">
        <v>0</v>
      </c>
      <c r="BX248" s="62">
        <v>0</v>
      </c>
      <c r="BY248" s="62">
        <v>0</v>
      </c>
      <c r="BZ248" s="62">
        <v>0</v>
      </c>
      <c r="CA248" s="62">
        <v>0.23499999999999999</v>
      </c>
      <c r="CB248" s="62">
        <v>5.0000000000000001E-3</v>
      </c>
      <c r="CC248" s="62">
        <v>0</v>
      </c>
      <c r="CD248" s="62">
        <v>0</v>
      </c>
      <c r="CE248" s="62">
        <v>0</v>
      </c>
      <c r="CF248" s="62">
        <v>0</v>
      </c>
      <c r="CG248" s="62">
        <v>0</v>
      </c>
      <c r="CH248" s="62">
        <v>0</v>
      </c>
      <c r="CI248" s="62">
        <v>0</v>
      </c>
      <c r="CJ248" s="62">
        <v>0</v>
      </c>
      <c r="CK248" s="62">
        <v>0</v>
      </c>
      <c r="CL248" s="62">
        <v>0</v>
      </c>
      <c r="CM248" s="62">
        <v>0</v>
      </c>
      <c r="CN248" s="62">
        <v>0</v>
      </c>
      <c r="CO248" s="62">
        <v>0</v>
      </c>
      <c r="CP248" s="62">
        <v>0</v>
      </c>
      <c r="CQ248" s="62">
        <v>0</v>
      </c>
      <c r="CR248" s="62">
        <v>0</v>
      </c>
      <c r="CS248" s="62">
        <v>1.6</v>
      </c>
      <c r="CT248" s="62">
        <v>0.45</v>
      </c>
      <c r="CU248" s="62">
        <v>0.05</v>
      </c>
      <c r="CV248" s="62">
        <v>0</v>
      </c>
      <c r="CW248" s="62">
        <v>0.34</v>
      </c>
      <c r="CX248" s="62">
        <v>0.02</v>
      </c>
      <c r="CY248" s="62">
        <v>-0.18</v>
      </c>
      <c r="CZ248" s="62">
        <v>0</v>
      </c>
      <c r="DA248" s="62">
        <v>0</v>
      </c>
      <c r="DB248" s="62">
        <v>0</v>
      </c>
      <c r="DC248" s="62">
        <v>0.35</v>
      </c>
      <c r="DE248" s="62">
        <v>-2.7E-2</v>
      </c>
      <c r="DF248" s="62">
        <v>1.2500000000000001E-2</v>
      </c>
      <c r="DG248" s="62">
        <v>0.02</v>
      </c>
      <c r="DH248" s="62">
        <v>7.4999999999999997E-3</v>
      </c>
      <c r="DI248" s="62">
        <v>5.0000000000000001E-3</v>
      </c>
      <c r="DJ248" s="62">
        <v>2.5000000000000001E-3</v>
      </c>
      <c r="DK248" s="62">
        <v>0</v>
      </c>
      <c r="DL248" s="62">
        <v>0</v>
      </c>
      <c r="DM248" s="62">
        <v>0</v>
      </c>
      <c r="DN248" s="62">
        <v>0</v>
      </c>
      <c r="DO248" s="62">
        <v>0</v>
      </c>
      <c r="DP248" s="62">
        <v>0</v>
      </c>
      <c r="DQ248" s="62">
        <v>0</v>
      </c>
      <c r="DR248" s="62">
        <v>0</v>
      </c>
      <c r="DS248" s="62">
        <v>1.04</v>
      </c>
      <c r="DT248" s="62">
        <v>0.05</v>
      </c>
    </row>
    <row r="249" spans="4:124" x14ac:dyDescent="0.25">
      <c r="D249" s="91">
        <v>44228</v>
      </c>
      <c r="F249" s="89">
        <v>4.9195000000000002</v>
      </c>
      <c r="G249" s="90">
        <v>6.6326513740635501E-2</v>
      </c>
      <c r="H249" s="89">
        <v>0.17</v>
      </c>
      <c r="I249" s="89">
        <v>1</v>
      </c>
      <c r="J249" s="89">
        <v>1.05</v>
      </c>
      <c r="K249" s="89">
        <v>1</v>
      </c>
      <c r="L249" s="89">
        <v>1</v>
      </c>
      <c r="M249" s="89">
        <v>1.1499999999999999</v>
      </c>
      <c r="N249" s="89">
        <v>1.45</v>
      </c>
      <c r="O249" s="89">
        <v>1.05</v>
      </c>
      <c r="P249" s="89">
        <v>1</v>
      </c>
      <c r="Q249" s="89">
        <v>1.35</v>
      </c>
      <c r="R249" s="90">
        <v>1</v>
      </c>
      <c r="S249" s="90">
        <v>1.1000000000000001</v>
      </c>
      <c r="T249" s="89">
        <v>1</v>
      </c>
      <c r="U249" s="89">
        <v>1.45</v>
      </c>
      <c r="V249" s="89">
        <v>1.1000000000000001</v>
      </c>
      <c r="W249" s="89"/>
      <c r="X249" s="89"/>
      <c r="Y249" s="89"/>
      <c r="Z249" s="89"/>
      <c r="AA249" s="89"/>
      <c r="AB249" s="89"/>
      <c r="AC249" s="89"/>
      <c r="AD249" s="89"/>
      <c r="AE249" s="89"/>
      <c r="AF249" s="89"/>
      <c r="AG249" s="89"/>
      <c r="AH249" s="89"/>
      <c r="AI249" s="89"/>
      <c r="AJ249" s="89"/>
      <c r="AK249" s="89"/>
      <c r="AL249" s="89"/>
      <c r="AM249" s="89"/>
      <c r="AN249" s="89"/>
      <c r="AO249" s="89"/>
      <c r="AP249" s="89"/>
      <c r="AQ249" s="89"/>
      <c r="AR249" s="89"/>
      <c r="AS249" s="89"/>
      <c r="AT249" s="89"/>
      <c r="AU249" s="89"/>
      <c r="AV249" s="89"/>
      <c r="AW249" s="89"/>
      <c r="AX249" s="89"/>
      <c r="AY249" s="90"/>
      <c r="AZ249" s="90"/>
      <c r="BA249" s="90">
        <v>0</v>
      </c>
      <c r="BB249" s="89">
        <v>0</v>
      </c>
      <c r="BC249" s="89">
        <v>-7.0000000000000007E-2</v>
      </c>
      <c r="BD249" s="89">
        <v>0</v>
      </c>
      <c r="BE249" s="89">
        <v>0.35</v>
      </c>
      <c r="BF249" s="89">
        <v>0</v>
      </c>
      <c r="BG249" s="89">
        <v>-0.06</v>
      </c>
      <c r="BH249" s="89">
        <v>0</v>
      </c>
      <c r="BI249" s="89">
        <v>0</v>
      </c>
      <c r="BJ249" s="62">
        <v>0</v>
      </c>
      <c r="BK249" s="62">
        <v>0.35</v>
      </c>
      <c r="BL249" s="62">
        <v>0</v>
      </c>
      <c r="BM249" s="62">
        <v>0.05</v>
      </c>
      <c r="BN249" s="62">
        <v>0</v>
      </c>
      <c r="BO249" s="62">
        <v>0</v>
      </c>
      <c r="BP249" s="62">
        <v>0</v>
      </c>
      <c r="BQ249" s="62">
        <v>0.5</v>
      </c>
      <c r="BR249" s="62">
        <v>0</v>
      </c>
      <c r="BS249" s="62">
        <v>-7.0000000000000007E-2</v>
      </c>
      <c r="BT249" s="62">
        <v>0</v>
      </c>
      <c r="BU249" s="62">
        <v>0.3</v>
      </c>
      <c r="BV249" s="62">
        <v>0</v>
      </c>
      <c r="BW249" s="62">
        <v>0</v>
      </c>
      <c r="BX249" s="62">
        <v>0</v>
      </c>
      <c r="BY249" s="62">
        <v>0</v>
      </c>
      <c r="BZ249" s="62">
        <v>0</v>
      </c>
      <c r="CA249" s="62">
        <v>0.23499999999999999</v>
      </c>
      <c r="CB249" s="62">
        <v>5.0000000000000001E-3</v>
      </c>
      <c r="CC249" s="62">
        <v>0</v>
      </c>
      <c r="CD249" s="62">
        <v>0</v>
      </c>
      <c r="CE249" s="62">
        <v>0</v>
      </c>
      <c r="CF249" s="62">
        <v>0</v>
      </c>
      <c r="CG249" s="62">
        <v>0</v>
      </c>
      <c r="CH249" s="62">
        <v>0</v>
      </c>
      <c r="CI249" s="62">
        <v>0</v>
      </c>
      <c r="CJ249" s="62">
        <v>0</v>
      </c>
      <c r="CK249" s="62">
        <v>0</v>
      </c>
      <c r="CL249" s="62">
        <v>0</v>
      </c>
      <c r="CM249" s="62">
        <v>0</v>
      </c>
      <c r="CN249" s="62">
        <v>0</v>
      </c>
      <c r="CO249" s="62">
        <v>0</v>
      </c>
      <c r="CP249" s="62">
        <v>0</v>
      </c>
      <c r="CQ249" s="62">
        <v>0</v>
      </c>
      <c r="CR249" s="62">
        <v>0</v>
      </c>
      <c r="CS249" s="62">
        <v>1.6</v>
      </c>
      <c r="CT249" s="62">
        <v>0.45</v>
      </c>
      <c r="CU249" s="62">
        <v>0.05</v>
      </c>
      <c r="CV249" s="62">
        <v>0</v>
      </c>
      <c r="CW249" s="62">
        <v>0.34</v>
      </c>
      <c r="CX249" s="62">
        <v>0.02</v>
      </c>
      <c r="CY249" s="62">
        <v>-0.18</v>
      </c>
      <c r="CZ249" s="62">
        <v>0</v>
      </c>
      <c r="DA249" s="62">
        <v>0</v>
      </c>
      <c r="DB249" s="62">
        <v>0</v>
      </c>
      <c r="DC249" s="62">
        <v>0.35</v>
      </c>
      <c r="DE249" s="62">
        <v>-2.7E-2</v>
      </c>
      <c r="DF249" s="62">
        <v>1.2500000000000001E-2</v>
      </c>
      <c r="DG249" s="62">
        <v>0.02</v>
      </c>
      <c r="DH249" s="62">
        <v>7.4999999999999997E-3</v>
      </c>
      <c r="DI249" s="62">
        <v>5.0000000000000001E-3</v>
      </c>
      <c r="DJ249" s="62">
        <v>2.5000000000000001E-3</v>
      </c>
      <c r="DK249" s="62">
        <v>0</v>
      </c>
      <c r="DL249" s="62">
        <v>0</v>
      </c>
      <c r="DM249" s="62">
        <v>0</v>
      </c>
      <c r="DN249" s="62">
        <v>0</v>
      </c>
      <c r="DO249" s="62">
        <v>0</v>
      </c>
      <c r="DP249" s="62">
        <v>0</v>
      </c>
      <c r="DQ249" s="62">
        <v>0</v>
      </c>
      <c r="DR249" s="62">
        <v>0</v>
      </c>
      <c r="DS249" s="62">
        <v>1.04</v>
      </c>
      <c r="DT249" s="62">
        <v>0.05</v>
      </c>
    </row>
    <row r="250" spans="4:124" x14ac:dyDescent="0.25">
      <c r="D250" s="91">
        <v>44256</v>
      </c>
      <c r="F250" s="89">
        <v>4.7895000000000003</v>
      </c>
      <c r="G250" s="90">
        <v>6.6363134256477899E-2</v>
      </c>
      <c r="H250" s="89">
        <v>0.17</v>
      </c>
      <c r="I250" s="89">
        <v>0.75</v>
      </c>
      <c r="J250" s="89">
        <v>0.8</v>
      </c>
      <c r="K250" s="89">
        <v>0.75</v>
      </c>
      <c r="L250" s="89">
        <v>0.75</v>
      </c>
      <c r="M250" s="89">
        <v>0.85</v>
      </c>
      <c r="N250" s="89">
        <v>1</v>
      </c>
      <c r="O250" s="89">
        <v>0.75</v>
      </c>
      <c r="P250" s="89">
        <v>0.75</v>
      </c>
      <c r="Q250" s="89">
        <v>0.95</v>
      </c>
      <c r="R250" s="90">
        <v>0.75</v>
      </c>
      <c r="S250" s="90">
        <v>0.75</v>
      </c>
      <c r="T250" s="89">
        <v>0.75</v>
      </c>
      <c r="U250" s="89">
        <v>1</v>
      </c>
      <c r="V250" s="89">
        <v>0.85</v>
      </c>
      <c r="W250" s="89"/>
      <c r="X250" s="89"/>
      <c r="Y250" s="89"/>
      <c r="Z250" s="89"/>
      <c r="AA250" s="89"/>
      <c r="AB250" s="89"/>
      <c r="AC250" s="89"/>
      <c r="AD250" s="89"/>
      <c r="AE250" s="89"/>
      <c r="AF250" s="89"/>
      <c r="AG250" s="89"/>
      <c r="AH250" s="89"/>
      <c r="AI250" s="89"/>
      <c r="AJ250" s="89"/>
      <c r="AK250" s="89"/>
      <c r="AL250" s="89"/>
      <c r="AM250" s="89"/>
      <c r="AN250" s="89"/>
      <c r="AO250" s="89"/>
      <c r="AP250" s="89"/>
      <c r="AQ250" s="89"/>
      <c r="AR250" s="89"/>
      <c r="AS250" s="89"/>
      <c r="AT250" s="89"/>
      <c r="AU250" s="89"/>
      <c r="AV250" s="89"/>
      <c r="AW250" s="89"/>
      <c r="AX250" s="89"/>
      <c r="AY250" s="90"/>
      <c r="AZ250" s="90"/>
      <c r="BA250" s="90">
        <v>0</v>
      </c>
      <c r="BB250" s="89">
        <v>0</v>
      </c>
      <c r="BC250" s="89">
        <v>-7.0000000000000007E-2</v>
      </c>
      <c r="BD250" s="89">
        <v>0</v>
      </c>
      <c r="BE250" s="89">
        <v>0.35</v>
      </c>
      <c r="BF250" s="89">
        <v>0</v>
      </c>
      <c r="BG250" s="89">
        <v>-0.06</v>
      </c>
      <c r="BH250" s="89">
        <v>0</v>
      </c>
      <c r="BI250" s="89">
        <v>0</v>
      </c>
      <c r="BJ250" s="62">
        <v>0</v>
      </c>
      <c r="BK250" s="62">
        <v>0.35</v>
      </c>
      <c r="BL250" s="62">
        <v>0</v>
      </c>
      <c r="BM250" s="62">
        <v>0.05</v>
      </c>
      <c r="BN250" s="62">
        <v>0</v>
      </c>
      <c r="BO250" s="62">
        <v>0</v>
      </c>
      <c r="BP250" s="62">
        <v>0</v>
      </c>
      <c r="BQ250" s="62">
        <v>0.5</v>
      </c>
      <c r="BR250" s="62">
        <v>0</v>
      </c>
      <c r="BS250" s="62">
        <v>-7.0000000000000007E-2</v>
      </c>
      <c r="BT250" s="62">
        <v>0</v>
      </c>
      <c r="BU250" s="62">
        <v>0.3</v>
      </c>
      <c r="BV250" s="62">
        <v>0</v>
      </c>
      <c r="BW250" s="62">
        <v>0</v>
      </c>
      <c r="BX250" s="62">
        <v>0</v>
      </c>
      <c r="BY250" s="62">
        <v>0</v>
      </c>
      <c r="BZ250" s="62">
        <v>0</v>
      </c>
      <c r="CA250" s="62">
        <v>0.19500000000000001</v>
      </c>
      <c r="CB250" s="62">
        <v>5.0000000000000001E-3</v>
      </c>
      <c r="CC250" s="62">
        <v>0</v>
      </c>
      <c r="CD250" s="62">
        <v>0</v>
      </c>
      <c r="CE250" s="62">
        <v>0</v>
      </c>
      <c r="CF250" s="62">
        <v>0</v>
      </c>
      <c r="CG250" s="62">
        <v>0</v>
      </c>
      <c r="CH250" s="62">
        <v>0</v>
      </c>
      <c r="CI250" s="62">
        <v>0</v>
      </c>
      <c r="CJ250" s="62">
        <v>0</v>
      </c>
      <c r="CK250" s="62">
        <v>0</v>
      </c>
      <c r="CL250" s="62">
        <v>0</v>
      </c>
      <c r="CM250" s="62">
        <v>0</v>
      </c>
      <c r="CN250" s="62">
        <v>0</v>
      </c>
      <c r="CO250" s="62">
        <v>0</v>
      </c>
      <c r="CP250" s="62">
        <v>0</v>
      </c>
      <c r="CQ250" s="62">
        <v>0</v>
      </c>
      <c r="CR250" s="62">
        <v>0</v>
      </c>
      <c r="CS250" s="62">
        <v>0.64</v>
      </c>
      <c r="CT250" s="62">
        <v>0.1</v>
      </c>
      <c r="CU250" s="62">
        <v>0.05</v>
      </c>
      <c r="CV250" s="62">
        <v>0</v>
      </c>
      <c r="CW250" s="62">
        <v>0.28999999999999998</v>
      </c>
      <c r="CX250" s="62">
        <v>0.02</v>
      </c>
      <c r="CY250" s="62">
        <v>-0.18</v>
      </c>
      <c r="CZ250" s="62">
        <v>0</v>
      </c>
      <c r="DA250" s="62">
        <v>0</v>
      </c>
      <c r="DB250" s="62">
        <v>0</v>
      </c>
      <c r="DC250" s="62">
        <v>0.4</v>
      </c>
      <c r="DE250" s="62">
        <v>-2.7E-2</v>
      </c>
      <c r="DF250" s="62">
        <v>1.2500000000000001E-2</v>
      </c>
      <c r="DG250" s="62">
        <v>2.5000000000000001E-2</v>
      </c>
      <c r="DH250" s="62">
        <v>7.4999999999999997E-3</v>
      </c>
      <c r="DI250" s="62">
        <v>0.01</v>
      </c>
      <c r="DJ250" s="62">
        <v>2.5000000000000001E-3</v>
      </c>
      <c r="DK250" s="62">
        <v>0</v>
      </c>
      <c r="DL250" s="62">
        <v>0</v>
      </c>
      <c r="DM250" s="62">
        <v>0</v>
      </c>
      <c r="DN250" s="62">
        <v>0</v>
      </c>
      <c r="DO250" s="62">
        <v>0</v>
      </c>
      <c r="DP250" s="62">
        <v>0</v>
      </c>
      <c r="DQ250" s="62">
        <v>0</v>
      </c>
      <c r="DR250" s="62">
        <v>0</v>
      </c>
      <c r="DS250" s="62">
        <v>0.54</v>
      </c>
      <c r="DT250" s="62">
        <v>0.05</v>
      </c>
    </row>
    <row r="251" spans="4:124" x14ac:dyDescent="0.25">
      <c r="D251" s="91">
        <v>44287</v>
      </c>
      <c r="F251" s="89">
        <v>4.6044999999999998</v>
      </c>
      <c r="G251" s="90">
        <v>6.6403678399535898E-2</v>
      </c>
      <c r="H251" s="89">
        <v>0.17</v>
      </c>
      <c r="I251" s="89">
        <v>0.4</v>
      </c>
      <c r="J251" s="89">
        <v>0.45</v>
      </c>
      <c r="K251" s="89">
        <v>0.4</v>
      </c>
      <c r="L251" s="89">
        <v>0.45</v>
      </c>
      <c r="M251" s="89">
        <v>0.45</v>
      </c>
      <c r="N251" s="89">
        <v>0.45</v>
      </c>
      <c r="O251" s="89">
        <v>0.45</v>
      </c>
      <c r="P251" s="89">
        <v>0.45</v>
      </c>
      <c r="Q251" s="89">
        <v>0.5</v>
      </c>
      <c r="R251" s="90">
        <v>0.4</v>
      </c>
      <c r="S251" s="90">
        <v>0.45</v>
      </c>
      <c r="T251" s="89">
        <v>0.4</v>
      </c>
      <c r="U251" s="89">
        <v>0.45</v>
      </c>
      <c r="V251" s="89">
        <v>0.55000000000000004</v>
      </c>
      <c r="W251" s="89"/>
      <c r="X251" s="89"/>
      <c r="Y251" s="89"/>
      <c r="Z251" s="89"/>
      <c r="AA251" s="89"/>
      <c r="AB251" s="89"/>
      <c r="AC251" s="89"/>
      <c r="AD251" s="89"/>
      <c r="AE251" s="89"/>
      <c r="AF251" s="89"/>
      <c r="AG251" s="89"/>
      <c r="AH251" s="89"/>
      <c r="AI251" s="89"/>
      <c r="AJ251" s="89"/>
      <c r="AK251" s="89"/>
      <c r="AL251" s="89"/>
      <c r="AM251" s="89"/>
      <c r="AN251" s="89"/>
      <c r="AO251" s="89"/>
      <c r="AP251" s="89"/>
      <c r="AQ251" s="89"/>
      <c r="AR251" s="89"/>
      <c r="AS251" s="89"/>
      <c r="AT251" s="89"/>
      <c r="AU251" s="89"/>
      <c r="AV251" s="89"/>
      <c r="AW251" s="89"/>
      <c r="AX251" s="89"/>
      <c r="AY251" s="90"/>
      <c r="AZ251" s="90"/>
      <c r="BA251" s="90">
        <v>0</v>
      </c>
      <c r="BB251" s="89">
        <v>0</v>
      </c>
      <c r="BC251" s="89">
        <v>-7.0000000000000007E-2</v>
      </c>
      <c r="BD251" s="89">
        <v>0</v>
      </c>
      <c r="BE251" s="89">
        <v>0.43</v>
      </c>
      <c r="BF251" s="89">
        <v>0</v>
      </c>
      <c r="BG251" s="89">
        <v>-0.06</v>
      </c>
      <c r="BH251" s="89">
        <v>0</v>
      </c>
      <c r="BI251" s="89">
        <v>0</v>
      </c>
      <c r="BJ251" s="62">
        <v>0</v>
      </c>
      <c r="BK251" s="62">
        <v>0.43</v>
      </c>
      <c r="BL251" s="62">
        <v>0</v>
      </c>
      <c r="BM251" s="62">
        <v>0.05</v>
      </c>
      <c r="BN251" s="62">
        <v>0</v>
      </c>
      <c r="BO251" s="62">
        <v>0</v>
      </c>
      <c r="BP251" s="62">
        <v>0</v>
      </c>
      <c r="BQ251" s="62">
        <v>0.5</v>
      </c>
      <c r="BR251" s="62">
        <v>0</v>
      </c>
      <c r="BS251" s="62">
        <v>-7.0000000000000007E-2</v>
      </c>
      <c r="BT251" s="62">
        <v>0</v>
      </c>
      <c r="BU251" s="62">
        <v>0.3</v>
      </c>
      <c r="BV251" s="62">
        <v>0</v>
      </c>
      <c r="BW251" s="62">
        <v>0</v>
      </c>
      <c r="BX251" s="62">
        <v>0</v>
      </c>
      <c r="BY251" s="62">
        <v>0</v>
      </c>
      <c r="BZ251" s="62">
        <v>0</v>
      </c>
      <c r="CA251" s="62">
        <v>0.14499999999999999</v>
      </c>
      <c r="CB251" s="62">
        <v>5.0000000000000001E-3</v>
      </c>
      <c r="CC251" s="62">
        <v>0</v>
      </c>
      <c r="CD251" s="62">
        <v>0</v>
      </c>
      <c r="CE251" s="62">
        <v>0</v>
      </c>
      <c r="CF251" s="62">
        <v>0</v>
      </c>
      <c r="CG251" s="62">
        <v>0</v>
      </c>
      <c r="CH251" s="62">
        <v>0</v>
      </c>
      <c r="CI251" s="62">
        <v>0</v>
      </c>
      <c r="CJ251" s="62">
        <v>0</v>
      </c>
      <c r="CK251" s="62">
        <v>0</v>
      </c>
      <c r="CL251" s="62">
        <v>0</v>
      </c>
      <c r="CM251" s="62">
        <v>0</v>
      </c>
      <c r="CN251" s="62">
        <v>0</v>
      </c>
      <c r="CO251" s="62">
        <v>0</v>
      </c>
      <c r="CP251" s="62">
        <v>0</v>
      </c>
      <c r="CQ251" s="62">
        <v>0</v>
      </c>
      <c r="CR251" s="62">
        <v>0</v>
      </c>
      <c r="CS251" s="62">
        <v>0.38</v>
      </c>
      <c r="CT251" s="62">
        <v>0.02</v>
      </c>
      <c r="CU251" s="62">
        <v>0.05</v>
      </c>
      <c r="CV251" s="62">
        <v>0</v>
      </c>
      <c r="CW251" s="62">
        <v>0.19500000000000001</v>
      </c>
      <c r="CX251" s="62">
        <v>7.4999999999999997E-3</v>
      </c>
      <c r="CY251" s="62">
        <v>-0.18</v>
      </c>
      <c r="CZ251" s="62">
        <v>0</v>
      </c>
      <c r="DA251" s="62">
        <v>0</v>
      </c>
      <c r="DB251" s="62">
        <v>0</v>
      </c>
      <c r="DC251" s="62">
        <v>0.6</v>
      </c>
      <c r="DE251" s="62">
        <v>-3.4500000000000003E-2</v>
      </c>
      <c r="DF251" s="62">
        <v>0.01</v>
      </c>
      <c r="DG251" s="62">
        <v>2.5000000000000001E-2</v>
      </c>
      <c r="DH251" s="62">
        <v>0.01</v>
      </c>
      <c r="DI251" s="62">
        <v>0.01</v>
      </c>
      <c r="DJ251" s="62">
        <v>7.4999999999999997E-3</v>
      </c>
      <c r="DK251" s="62">
        <v>0</v>
      </c>
      <c r="DL251" s="62">
        <v>0</v>
      </c>
      <c r="DM251" s="62">
        <v>0</v>
      </c>
      <c r="DN251" s="62">
        <v>0</v>
      </c>
      <c r="DO251" s="62">
        <v>0</v>
      </c>
      <c r="DP251" s="62">
        <v>0</v>
      </c>
      <c r="DQ251" s="62">
        <v>0</v>
      </c>
      <c r="DR251" s="62">
        <v>0</v>
      </c>
      <c r="DS251" s="62">
        <v>0.36</v>
      </c>
      <c r="DT251" s="62">
        <v>5.0000000000000001E-3</v>
      </c>
    </row>
    <row r="252" spans="4:124" x14ac:dyDescent="0.25">
      <c r="D252" s="91">
        <v>44317</v>
      </c>
      <c r="F252" s="89">
        <v>4.5994999999999999</v>
      </c>
      <c r="G252" s="90">
        <v>6.6442914667529607E-2</v>
      </c>
      <c r="H252" s="89">
        <v>0.17</v>
      </c>
      <c r="I252" s="89">
        <v>0.45</v>
      </c>
      <c r="J252" s="89">
        <v>0.5</v>
      </c>
      <c r="K252" s="89">
        <v>0.4</v>
      </c>
      <c r="L252" s="89">
        <v>0.4</v>
      </c>
      <c r="M252" s="89">
        <v>0.45</v>
      </c>
      <c r="N252" s="89">
        <v>0.5</v>
      </c>
      <c r="O252" s="89">
        <v>0.45</v>
      </c>
      <c r="P252" s="89">
        <v>0.4</v>
      </c>
      <c r="Q252" s="89">
        <v>0.45</v>
      </c>
      <c r="R252" s="90">
        <v>0.45</v>
      </c>
      <c r="S252" s="90">
        <v>0.5</v>
      </c>
      <c r="T252" s="89">
        <v>0.45</v>
      </c>
      <c r="U252" s="89">
        <v>0.5</v>
      </c>
      <c r="V252" s="89">
        <v>0.5</v>
      </c>
      <c r="W252" s="89"/>
      <c r="X252" s="89"/>
      <c r="Y252" s="89"/>
      <c r="Z252" s="89"/>
      <c r="AA252" s="89"/>
      <c r="AB252" s="89"/>
      <c r="AC252" s="89"/>
      <c r="AD252" s="89"/>
      <c r="AE252" s="89"/>
      <c r="AF252" s="89"/>
      <c r="AG252" s="89"/>
      <c r="AH252" s="89"/>
      <c r="AI252" s="89"/>
      <c r="AJ252" s="89"/>
      <c r="AK252" s="89"/>
      <c r="AL252" s="89"/>
      <c r="AM252" s="89"/>
      <c r="AN252" s="89"/>
      <c r="AO252" s="89"/>
      <c r="AP252" s="89"/>
      <c r="AQ252" s="89"/>
      <c r="AR252" s="89"/>
      <c r="AS252" s="89"/>
      <c r="AT252" s="89"/>
      <c r="AU252" s="89"/>
      <c r="AV252" s="89"/>
      <c r="AW252" s="89"/>
      <c r="AX252" s="89"/>
      <c r="AY252" s="90"/>
      <c r="AZ252" s="90"/>
      <c r="BA252" s="90">
        <v>0</v>
      </c>
      <c r="BB252" s="89">
        <v>0</v>
      </c>
      <c r="BC252" s="89">
        <v>-7.0000000000000007E-2</v>
      </c>
      <c r="BD252" s="89">
        <v>0</v>
      </c>
      <c r="BE252" s="89">
        <v>0.43</v>
      </c>
      <c r="BF252" s="89">
        <v>0</v>
      </c>
      <c r="BG252" s="89">
        <v>-0.06</v>
      </c>
      <c r="BH252" s="89">
        <v>0</v>
      </c>
      <c r="BI252" s="89">
        <v>0</v>
      </c>
      <c r="BJ252" s="62">
        <v>0</v>
      </c>
      <c r="BK252" s="62">
        <v>0.43</v>
      </c>
      <c r="BL252" s="62">
        <v>0</v>
      </c>
      <c r="BM252" s="62">
        <v>0.05</v>
      </c>
      <c r="BN252" s="62">
        <v>0</v>
      </c>
      <c r="BO252" s="62">
        <v>0</v>
      </c>
      <c r="BP252" s="62">
        <v>0</v>
      </c>
      <c r="BQ252" s="62">
        <v>0.5</v>
      </c>
      <c r="BR252" s="62">
        <v>0</v>
      </c>
      <c r="BS252" s="62">
        <v>-7.0000000000000007E-2</v>
      </c>
      <c r="BT252" s="62">
        <v>0</v>
      </c>
      <c r="BU252" s="62">
        <v>0.3</v>
      </c>
      <c r="BV252" s="62">
        <v>0</v>
      </c>
      <c r="BW252" s="62">
        <v>0</v>
      </c>
      <c r="BX252" s="62">
        <v>0</v>
      </c>
      <c r="BY252" s="62">
        <v>0</v>
      </c>
      <c r="BZ252" s="62">
        <v>0</v>
      </c>
      <c r="CA252" s="62">
        <v>0.125</v>
      </c>
      <c r="CB252" s="62">
        <v>5.0000000000000001E-3</v>
      </c>
      <c r="CC252" s="62">
        <v>0</v>
      </c>
      <c r="CD252" s="62">
        <v>0</v>
      </c>
      <c r="CE252" s="62">
        <v>0</v>
      </c>
      <c r="CF252" s="62">
        <v>0</v>
      </c>
      <c r="CG252" s="62">
        <v>0</v>
      </c>
      <c r="CH252" s="62">
        <v>0</v>
      </c>
      <c r="CI252" s="62">
        <v>0</v>
      </c>
      <c r="CJ252" s="62">
        <v>0</v>
      </c>
      <c r="CK252" s="62">
        <v>0</v>
      </c>
      <c r="CL252" s="62">
        <v>0</v>
      </c>
      <c r="CM252" s="62">
        <v>0</v>
      </c>
      <c r="CN252" s="62">
        <v>0</v>
      </c>
      <c r="CO252" s="62">
        <v>0</v>
      </c>
      <c r="CP252" s="62">
        <v>0</v>
      </c>
      <c r="CQ252" s="62">
        <v>0</v>
      </c>
      <c r="CR252" s="62">
        <v>0</v>
      </c>
      <c r="CS252" s="62">
        <v>0.33</v>
      </c>
      <c r="CT252" s="62">
        <v>0.02</v>
      </c>
      <c r="CU252" s="62">
        <v>0.05</v>
      </c>
      <c r="CV252" s="62">
        <v>0</v>
      </c>
      <c r="CW252" s="62">
        <v>0.13500000000000001</v>
      </c>
      <c r="CX252" s="62">
        <v>7.4999999999999997E-3</v>
      </c>
      <c r="CY252" s="62">
        <v>-0.18</v>
      </c>
      <c r="CZ252" s="62">
        <v>0</v>
      </c>
      <c r="DA252" s="62">
        <v>0</v>
      </c>
      <c r="DB252" s="62">
        <v>0</v>
      </c>
      <c r="DC252" s="62">
        <v>0.75</v>
      </c>
      <c r="DE252" s="62">
        <v>-3.4500000000000003E-2</v>
      </c>
      <c r="DF252" s="62">
        <v>0.01</v>
      </c>
      <c r="DG252" s="62">
        <v>2.75E-2</v>
      </c>
      <c r="DH252" s="62">
        <v>0.01</v>
      </c>
      <c r="DI252" s="62">
        <v>1.2500000000000001E-2</v>
      </c>
      <c r="DJ252" s="62">
        <v>7.4999999999999997E-3</v>
      </c>
      <c r="DK252" s="62">
        <v>0</v>
      </c>
      <c r="DL252" s="62">
        <v>0</v>
      </c>
      <c r="DM252" s="62">
        <v>0</v>
      </c>
      <c r="DN252" s="62">
        <v>0</v>
      </c>
      <c r="DO252" s="62">
        <v>0</v>
      </c>
      <c r="DP252" s="62">
        <v>0</v>
      </c>
      <c r="DQ252" s="62">
        <v>0</v>
      </c>
      <c r="DR252" s="62">
        <v>0</v>
      </c>
      <c r="DS252" s="62">
        <v>0.32500000000000001</v>
      </c>
      <c r="DT252" s="62">
        <v>5.0000000000000001E-3</v>
      </c>
    </row>
    <row r="253" spans="4:124" x14ac:dyDescent="0.25">
      <c r="D253" s="91">
        <v>44348</v>
      </c>
      <c r="F253" s="89">
        <v>4.6345000000000001</v>
      </c>
      <c r="G253" s="90">
        <v>6.6483458811658694E-2</v>
      </c>
      <c r="H253" s="89">
        <v>0.17</v>
      </c>
      <c r="I253" s="89">
        <v>0.45</v>
      </c>
      <c r="J253" s="89">
        <v>0.5</v>
      </c>
      <c r="K253" s="89">
        <v>0.4</v>
      </c>
      <c r="L253" s="89">
        <v>0.5</v>
      </c>
      <c r="M253" s="89">
        <v>0.45</v>
      </c>
      <c r="N253" s="89">
        <v>0.5</v>
      </c>
      <c r="O253" s="89">
        <v>0.5</v>
      </c>
      <c r="P253" s="89">
        <v>0.5</v>
      </c>
      <c r="Q253" s="89">
        <v>0.5</v>
      </c>
      <c r="R253" s="90">
        <v>0.45</v>
      </c>
      <c r="S253" s="90">
        <v>0.5</v>
      </c>
      <c r="T253" s="89">
        <v>0.45</v>
      </c>
      <c r="U253" s="89">
        <v>0.5</v>
      </c>
      <c r="V253" s="89">
        <v>0.6</v>
      </c>
      <c r="W253" s="89"/>
      <c r="X253" s="89"/>
      <c r="Y253" s="89"/>
      <c r="Z253" s="89"/>
      <c r="AA253" s="89"/>
      <c r="AB253" s="89"/>
      <c r="AC253" s="89"/>
      <c r="AD253" s="89"/>
      <c r="AE253" s="89"/>
      <c r="AF253" s="89"/>
      <c r="AG253" s="89"/>
      <c r="AH253" s="89"/>
      <c r="AI253" s="89"/>
      <c r="AJ253" s="89"/>
      <c r="AK253" s="89"/>
      <c r="AL253" s="89"/>
      <c r="AM253" s="89"/>
      <c r="AN253" s="89"/>
      <c r="AO253" s="89"/>
      <c r="AP253" s="89"/>
      <c r="AQ253" s="89"/>
      <c r="AR253" s="89"/>
      <c r="AS253" s="89"/>
      <c r="AT253" s="89"/>
      <c r="AU253" s="89"/>
      <c r="AV253" s="89"/>
      <c r="AW253" s="89"/>
      <c r="AX253" s="89"/>
      <c r="AY253" s="90"/>
      <c r="AZ253" s="90"/>
      <c r="BA253" s="90">
        <v>0</v>
      </c>
      <c r="BB253" s="89">
        <v>0</v>
      </c>
      <c r="BC253" s="89">
        <v>-7.0000000000000007E-2</v>
      </c>
      <c r="BD253" s="89">
        <v>0</v>
      </c>
      <c r="BE253" s="89">
        <v>0.43</v>
      </c>
      <c r="BF253" s="89">
        <v>0</v>
      </c>
      <c r="BG253" s="89">
        <v>-0.06</v>
      </c>
      <c r="BH253" s="89">
        <v>0</v>
      </c>
      <c r="BI253" s="89">
        <v>0</v>
      </c>
      <c r="BJ253" s="62">
        <v>0</v>
      </c>
      <c r="BK253" s="62">
        <v>0.43</v>
      </c>
      <c r="BL253" s="62">
        <v>0</v>
      </c>
      <c r="BM253" s="62">
        <v>0.05</v>
      </c>
      <c r="BN253" s="62">
        <v>0</v>
      </c>
      <c r="BO253" s="62">
        <v>0</v>
      </c>
      <c r="BP253" s="62">
        <v>0</v>
      </c>
      <c r="BQ253" s="62">
        <v>0.5</v>
      </c>
      <c r="BR253" s="62">
        <v>0</v>
      </c>
      <c r="BS253" s="62">
        <v>-7.0000000000000007E-2</v>
      </c>
      <c r="BT253" s="62">
        <v>0</v>
      </c>
      <c r="BU253" s="62">
        <v>0.3</v>
      </c>
      <c r="BV253" s="62">
        <v>0</v>
      </c>
      <c r="BW253" s="62">
        <v>0</v>
      </c>
      <c r="BX253" s="62">
        <v>0</v>
      </c>
      <c r="BY253" s="62">
        <v>0</v>
      </c>
      <c r="BZ253" s="62">
        <v>0</v>
      </c>
      <c r="CA253" s="62">
        <v>0.14499999999999999</v>
      </c>
      <c r="CB253" s="62">
        <v>5.0000000000000001E-3</v>
      </c>
      <c r="CC253" s="62">
        <v>0</v>
      </c>
      <c r="CD253" s="62">
        <v>0</v>
      </c>
      <c r="CE253" s="62">
        <v>0</v>
      </c>
      <c r="CF253" s="62">
        <v>0</v>
      </c>
      <c r="CG253" s="62">
        <v>0</v>
      </c>
      <c r="CH253" s="62">
        <v>0</v>
      </c>
      <c r="CI253" s="62">
        <v>0</v>
      </c>
      <c r="CJ253" s="62">
        <v>0</v>
      </c>
      <c r="CK253" s="62">
        <v>0</v>
      </c>
      <c r="CL253" s="62">
        <v>0</v>
      </c>
      <c r="CM253" s="62">
        <v>0</v>
      </c>
      <c r="CN253" s="62">
        <v>0</v>
      </c>
      <c r="CO253" s="62">
        <v>0</v>
      </c>
      <c r="CP253" s="62">
        <v>0</v>
      </c>
      <c r="CQ253" s="62">
        <v>0</v>
      </c>
      <c r="CR253" s="62">
        <v>0</v>
      </c>
      <c r="CS253" s="62">
        <v>0.37</v>
      </c>
      <c r="CT253" s="62">
        <v>3.5000000000000003E-2</v>
      </c>
      <c r="CU253" s="62">
        <v>0.05</v>
      </c>
      <c r="CV253" s="62">
        <v>0</v>
      </c>
      <c r="CW253" s="62">
        <v>0.16500000000000001</v>
      </c>
      <c r="CX253" s="62">
        <v>7.4999999999999997E-3</v>
      </c>
      <c r="CY253" s="62">
        <v>-0.18</v>
      </c>
      <c r="CZ253" s="62">
        <v>0</v>
      </c>
      <c r="DA253" s="62">
        <v>0</v>
      </c>
      <c r="DB253" s="62">
        <v>0</v>
      </c>
      <c r="DC253" s="62">
        <v>0.85</v>
      </c>
      <c r="DE253" s="62">
        <v>-3.2000000000000001E-2</v>
      </c>
      <c r="DF253" s="62">
        <v>0.01</v>
      </c>
      <c r="DG253" s="62">
        <v>2.75E-2</v>
      </c>
      <c r="DH253" s="62">
        <v>0.01</v>
      </c>
      <c r="DI253" s="62">
        <v>1.2500000000000001E-2</v>
      </c>
      <c r="DJ253" s="62">
        <v>7.4999999999999997E-3</v>
      </c>
      <c r="DK253" s="62">
        <v>0</v>
      </c>
      <c r="DL253" s="62">
        <v>0</v>
      </c>
      <c r="DM253" s="62">
        <v>0</v>
      </c>
      <c r="DN253" s="62">
        <v>0</v>
      </c>
      <c r="DO253" s="62">
        <v>0</v>
      </c>
      <c r="DP253" s="62">
        <v>0</v>
      </c>
      <c r="DQ253" s="62">
        <v>0</v>
      </c>
      <c r="DR253" s="62">
        <v>0</v>
      </c>
      <c r="DS253" s="62">
        <v>0.33500000000000002</v>
      </c>
      <c r="DT253" s="62">
        <v>5.0000000000000001E-3</v>
      </c>
    </row>
    <row r="254" spans="4:124" x14ac:dyDescent="0.25">
      <c r="D254" s="91">
        <v>44378</v>
      </c>
      <c r="F254" s="89">
        <v>4.6745000000000001</v>
      </c>
      <c r="G254" s="90">
        <v>6.6522695080689406E-2</v>
      </c>
      <c r="H254" s="89">
        <v>0.17</v>
      </c>
      <c r="I254" s="89">
        <v>0.5</v>
      </c>
      <c r="J254" s="89">
        <v>0.5</v>
      </c>
      <c r="K254" s="89">
        <v>0.4</v>
      </c>
      <c r="L254" s="89">
        <v>0.5</v>
      </c>
      <c r="M254" s="89">
        <v>0.5</v>
      </c>
      <c r="N254" s="89">
        <v>0.5</v>
      </c>
      <c r="O254" s="89">
        <v>0.5</v>
      </c>
      <c r="P254" s="89">
        <v>0.5</v>
      </c>
      <c r="Q254" s="89">
        <v>0.5</v>
      </c>
      <c r="R254" s="90">
        <v>0.5</v>
      </c>
      <c r="S254" s="90">
        <v>0.55000000000000004</v>
      </c>
      <c r="T254" s="89">
        <v>0.5</v>
      </c>
      <c r="U254" s="89">
        <v>0.5</v>
      </c>
      <c r="V254" s="89">
        <v>0.6</v>
      </c>
      <c r="W254" s="89"/>
      <c r="X254" s="89"/>
      <c r="Y254" s="89"/>
      <c r="Z254" s="89"/>
      <c r="AA254" s="89"/>
      <c r="AB254" s="89"/>
      <c r="AC254" s="89"/>
      <c r="AD254" s="89"/>
      <c r="AE254" s="89"/>
      <c r="AF254" s="89"/>
      <c r="AG254" s="89"/>
      <c r="AH254" s="89"/>
      <c r="AI254" s="89"/>
      <c r="AJ254" s="89"/>
      <c r="AK254" s="89"/>
      <c r="AL254" s="89"/>
      <c r="AM254" s="89"/>
      <c r="AN254" s="89"/>
      <c r="AO254" s="89"/>
      <c r="AP254" s="89"/>
      <c r="AQ254" s="89"/>
      <c r="AR254" s="89"/>
      <c r="AS254" s="89"/>
      <c r="AT254" s="89"/>
      <c r="AU254" s="89"/>
      <c r="AV254" s="89"/>
      <c r="AW254" s="89"/>
      <c r="AX254" s="89"/>
      <c r="AY254" s="90"/>
      <c r="AZ254" s="90"/>
      <c r="BA254" s="90">
        <v>0</v>
      </c>
      <c r="BB254" s="89">
        <v>0</v>
      </c>
      <c r="BC254" s="89">
        <v>-7.0000000000000007E-2</v>
      </c>
      <c r="BD254" s="89">
        <v>0</v>
      </c>
      <c r="BE254" s="89">
        <v>0.43</v>
      </c>
      <c r="BF254" s="89">
        <v>0</v>
      </c>
      <c r="BG254" s="89">
        <v>-0.06</v>
      </c>
      <c r="BH254" s="89">
        <v>0</v>
      </c>
      <c r="BI254" s="89">
        <v>0</v>
      </c>
      <c r="BJ254" s="62">
        <v>0</v>
      </c>
      <c r="BK254" s="62">
        <v>0.43</v>
      </c>
      <c r="BL254" s="62">
        <v>0</v>
      </c>
      <c r="BM254" s="62">
        <v>0.05</v>
      </c>
      <c r="BN254" s="62">
        <v>0</v>
      </c>
      <c r="BO254" s="62">
        <v>0</v>
      </c>
      <c r="BP254" s="62">
        <v>0</v>
      </c>
      <c r="BQ254" s="62">
        <v>0.5</v>
      </c>
      <c r="BR254" s="62">
        <v>0</v>
      </c>
      <c r="BS254" s="62">
        <v>-7.0000000000000007E-2</v>
      </c>
      <c r="BT254" s="62">
        <v>0</v>
      </c>
      <c r="BU254" s="62">
        <v>0.3</v>
      </c>
      <c r="BV254" s="62">
        <v>0</v>
      </c>
      <c r="BW254" s="62">
        <v>0</v>
      </c>
      <c r="BX254" s="62">
        <v>0</v>
      </c>
      <c r="BY254" s="62">
        <v>0</v>
      </c>
      <c r="BZ254" s="62">
        <v>0</v>
      </c>
      <c r="CA254" s="62">
        <v>0.15</v>
      </c>
      <c r="CB254" s="62">
        <v>5.0000000000000001E-3</v>
      </c>
      <c r="CC254" s="62">
        <v>0</v>
      </c>
      <c r="CD254" s="62">
        <v>0</v>
      </c>
      <c r="CE254" s="62">
        <v>0</v>
      </c>
      <c r="CF254" s="62">
        <v>0</v>
      </c>
      <c r="CG254" s="62">
        <v>0</v>
      </c>
      <c r="CH254" s="62">
        <v>0</v>
      </c>
      <c r="CI254" s="62">
        <v>0</v>
      </c>
      <c r="CJ254" s="62">
        <v>0</v>
      </c>
      <c r="CK254" s="62">
        <v>0</v>
      </c>
      <c r="CL254" s="62">
        <v>0</v>
      </c>
      <c r="CM254" s="62">
        <v>0</v>
      </c>
      <c r="CN254" s="62">
        <v>0</v>
      </c>
      <c r="CO254" s="62">
        <v>0</v>
      </c>
      <c r="CP254" s="62">
        <v>0</v>
      </c>
      <c r="CQ254" s="62">
        <v>0</v>
      </c>
      <c r="CR254" s="62">
        <v>0</v>
      </c>
      <c r="CS254" s="62">
        <v>0.41</v>
      </c>
      <c r="CT254" s="62">
        <v>3.5000000000000003E-2</v>
      </c>
      <c r="CU254" s="62">
        <v>0.05</v>
      </c>
      <c r="CV254" s="62">
        <v>0</v>
      </c>
      <c r="CW254" s="62">
        <v>0.20499999999999999</v>
      </c>
      <c r="CX254" s="62">
        <v>7.4999999999999997E-3</v>
      </c>
      <c r="CY254" s="62">
        <v>-0.18</v>
      </c>
      <c r="CZ254" s="62">
        <v>0</v>
      </c>
      <c r="DA254" s="62">
        <v>0</v>
      </c>
      <c r="DB254" s="62">
        <v>0</v>
      </c>
      <c r="DC254" s="62">
        <v>1.05</v>
      </c>
      <c r="DE254" s="62">
        <v>-3.2000000000000001E-2</v>
      </c>
      <c r="DF254" s="62">
        <v>0.01</v>
      </c>
      <c r="DG254" s="62">
        <v>2.75E-2</v>
      </c>
      <c r="DH254" s="62">
        <v>0.01</v>
      </c>
      <c r="DI254" s="62">
        <v>1.2500000000000001E-2</v>
      </c>
      <c r="DJ254" s="62">
        <v>7.4999999999999997E-3</v>
      </c>
      <c r="DK254" s="62">
        <v>0</v>
      </c>
      <c r="DL254" s="62">
        <v>0</v>
      </c>
      <c r="DM254" s="62">
        <v>0</v>
      </c>
      <c r="DN254" s="62">
        <v>0</v>
      </c>
      <c r="DO254" s="62">
        <v>0</v>
      </c>
      <c r="DP254" s="62">
        <v>0</v>
      </c>
      <c r="DQ254" s="62">
        <v>0</v>
      </c>
      <c r="DR254" s="62">
        <v>0</v>
      </c>
      <c r="DS254" s="62">
        <v>0.35</v>
      </c>
      <c r="DT254" s="62">
        <v>5.0000000000000001E-3</v>
      </c>
    </row>
    <row r="255" spans="4:124" x14ac:dyDescent="0.25">
      <c r="D255" s="91">
        <v>44409</v>
      </c>
      <c r="F255" s="89">
        <v>4.7145000000000001</v>
      </c>
      <c r="G255" s="90">
        <v>6.6563239225890095E-2</v>
      </c>
      <c r="H255" s="89">
        <v>0.17</v>
      </c>
      <c r="I255" s="89">
        <v>0.55000000000000004</v>
      </c>
      <c r="J255" s="89">
        <v>0.55000000000000004</v>
      </c>
      <c r="K255" s="89">
        <v>0.5</v>
      </c>
      <c r="L255" s="89">
        <v>0.6</v>
      </c>
      <c r="M255" s="89">
        <v>0.55000000000000004</v>
      </c>
      <c r="N255" s="89">
        <v>0.6</v>
      </c>
      <c r="O255" s="89">
        <v>0.55000000000000004</v>
      </c>
      <c r="P255" s="89">
        <v>0.6</v>
      </c>
      <c r="Q255" s="89">
        <v>0.45</v>
      </c>
      <c r="R255" s="90">
        <v>0.55000000000000004</v>
      </c>
      <c r="S255" s="90">
        <v>0.6</v>
      </c>
      <c r="T255" s="89">
        <v>0.55000000000000004</v>
      </c>
      <c r="U255" s="89">
        <v>0.6</v>
      </c>
      <c r="V255" s="89">
        <v>0.7</v>
      </c>
      <c r="W255" s="89"/>
      <c r="X255" s="89"/>
      <c r="Y255" s="89"/>
      <c r="Z255" s="89"/>
      <c r="AA255" s="89"/>
      <c r="AB255" s="89"/>
      <c r="AC255" s="89"/>
      <c r="AD255" s="89"/>
      <c r="AE255" s="89"/>
      <c r="AF255" s="89"/>
      <c r="AG255" s="89"/>
      <c r="AH255" s="89"/>
      <c r="AI255" s="89"/>
      <c r="AJ255" s="89"/>
      <c r="AK255" s="89"/>
      <c r="AL255" s="89"/>
      <c r="AM255" s="89"/>
      <c r="AN255" s="89"/>
      <c r="AO255" s="89"/>
      <c r="AP255" s="89"/>
      <c r="AQ255" s="89"/>
      <c r="AR255" s="89"/>
      <c r="AS255" s="89"/>
      <c r="AT255" s="89"/>
      <c r="AU255" s="89"/>
      <c r="AV255" s="89"/>
      <c r="AW255" s="89"/>
      <c r="AX255" s="89"/>
      <c r="AY255" s="90"/>
      <c r="AZ255" s="90"/>
      <c r="BA255" s="90">
        <v>0</v>
      </c>
      <c r="BB255" s="89">
        <v>0</v>
      </c>
      <c r="BC255" s="89">
        <v>-7.0000000000000007E-2</v>
      </c>
      <c r="BD255" s="89">
        <v>0</v>
      </c>
      <c r="BE255" s="89">
        <v>0.43</v>
      </c>
      <c r="BF255" s="89">
        <v>0</v>
      </c>
      <c r="BG255" s="89">
        <v>-0.06</v>
      </c>
      <c r="BH255" s="89">
        <v>0</v>
      </c>
      <c r="BI255" s="89">
        <v>0</v>
      </c>
      <c r="BJ255" s="62">
        <v>0</v>
      </c>
      <c r="BK255" s="62">
        <v>0.43</v>
      </c>
      <c r="BL255" s="62">
        <v>0</v>
      </c>
      <c r="BM255" s="62">
        <v>0.05</v>
      </c>
      <c r="BN255" s="62">
        <v>0</v>
      </c>
      <c r="BO255" s="62">
        <v>0</v>
      </c>
      <c r="BP255" s="62">
        <v>0</v>
      </c>
      <c r="BQ255" s="62">
        <v>0.5</v>
      </c>
      <c r="BR255" s="62">
        <v>0</v>
      </c>
      <c r="BS255" s="62">
        <v>-7.0000000000000007E-2</v>
      </c>
      <c r="BT255" s="62">
        <v>0</v>
      </c>
      <c r="BU255" s="62">
        <v>0.3</v>
      </c>
      <c r="BV255" s="62">
        <v>0</v>
      </c>
      <c r="BW255" s="62">
        <v>0</v>
      </c>
      <c r="BX255" s="62">
        <v>0</v>
      </c>
      <c r="BY255" s="62">
        <v>0</v>
      </c>
      <c r="BZ255" s="62">
        <v>0</v>
      </c>
      <c r="CA255" s="62">
        <v>0.15</v>
      </c>
      <c r="CB255" s="62">
        <v>5.0000000000000001E-3</v>
      </c>
      <c r="CC255" s="62">
        <v>0</v>
      </c>
      <c r="CD255" s="62">
        <v>0</v>
      </c>
      <c r="CE255" s="62">
        <v>0</v>
      </c>
      <c r="CF255" s="62">
        <v>0</v>
      </c>
      <c r="CG255" s="62">
        <v>0</v>
      </c>
      <c r="CH255" s="62">
        <v>0</v>
      </c>
      <c r="CI255" s="62">
        <v>0</v>
      </c>
      <c r="CJ255" s="62">
        <v>0</v>
      </c>
      <c r="CK255" s="62">
        <v>0</v>
      </c>
      <c r="CL255" s="62">
        <v>0</v>
      </c>
      <c r="CM255" s="62">
        <v>0</v>
      </c>
      <c r="CN255" s="62">
        <v>0</v>
      </c>
      <c r="CO255" s="62">
        <v>0</v>
      </c>
      <c r="CP255" s="62">
        <v>0</v>
      </c>
      <c r="CQ255" s="62">
        <v>0</v>
      </c>
      <c r="CR255" s="62">
        <v>0</v>
      </c>
      <c r="CS255" s="62">
        <v>0.41</v>
      </c>
      <c r="CT255" s="62">
        <v>0.01</v>
      </c>
      <c r="CU255" s="62">
        <v>0.05</v>
      </c>
      <c r="CV255" s="62">
        <v>0</v>
      </c>
      <c r="CW255" s="62">
        <v>0.20499999999999999</v>
      </c>
      <c r="CX255" s="62">
        <v>7.4999999999999997E-3</v>
      </c>
      <c r="CY255" s="62">
        <v>-0.18</v>
      </c>
      <c r="CZ255" s="62">
        <v>0</v>
      </c>
      <c r="DA255" s="62">
        <v>0</v>
      </c>
      <c r="DB255" s="62">
        <v>0</v>
      </c>
      <c r="DC255" s="62">
        <v>1.05</v>
      </c>
      <c r="DE255" s="62">
        <v>-3.2000000000000001E-2</v>
      </c>
      <c r="DF255" s="62">
        <v>0.01</v>
      </c>
      <c r="DG255" s="62">
        <v>2.2499999999999999E-2</v>
      </c>
      <c r="DH255" s="62">
        <v>0.01</v>
      </c>
      <c r="DI255" s="62">
        <v>7.4999999999999997E-3</v>
      </c>
      <c r="DJ255" s="62">
        <v>7.4999999999999997E-3</v>
      </c>
      <c r="DK255" s="62">
        <v>0</v>
      </c>
      <c r="DL255" s="62">
        <v>0</v>
      </c>
      <c r="DM255" s="62">
        <v>0</v>
      </c>
      <c r="DN255" s="62">
        <v>0</v>
      </c>
      <c r="DO255" s="62">
        <v>0</v>
      </c>
      <c r="DP255" s="62">
        <v>0</v>
      </c>
      <c r="DQ255" s="62">
        <v>0</v>
      </c>
      <c r="DR255" s="62">
        <v>0</v>
      </c>
      <c r="DS255" s="62">
        <v>0.35</v>
      </c>
      <c r="DT255" s="62">
        <v>-5.0000000000000001E-3</v>
      </c>
    </row>
    <row r="256" spans="4:124" x14ac:dyDescent="0.25">
      <c r="D256" s="91">
        <v>44440</v>
      </c>
      <c r="F256" s="89">
        <v>4.7095000000000002</v>
      </c>
      <c r="G256" s="90">
        <v>6.6603783371635306E-2</v>
      </c>
      <c r="H256" s="89">
        <v>0.17</v>
      </c>
      <c r="I256" s="89">
        <v>0.55000000000000004</v>
      </c>
      <c r="J256" s="89">
        <v>0.55000000000000004</v>
      </c>
      <c r="K256" s="89">
        <v>0.55000000000000004</v>
      </c>
      <c r="L256" s="89">
        <v>0.55000000000000004</v>
      </c>
      <c r="M256" s="89">
        <v>0.55000000000000004</v>
      </c>
      <c r="N256" s="89">
        <v>0.6</v>
      </c>
      <c r="O256" s="89">
        <v>0.6</v>
      </c>
      <c r="P256" s="89">
        <v>0.55000000000000004</v>
      </c>
      <c r="Q256" s="89">
        <v>0.5</v>
      </c>
      <c r="R256" s="90">
        <v>0.55000000000000004</v>
      </c>
      <c r="S256" s="90">
        <v>0.6</v>
      </c>
      <c r="T256" s="89">
        <v>0.55000000000000004</v>
      </c>
      <c r="U256" s="89">
        <v>0.6</v>
      </c>
      <c r="V256" s="89">
        <v>0.65</v>
      </c>
      <c r="W256" s="89"/>
      <c r="X256" s="89"/>
      <c r="Y256" s="89"/>
      <c r="Z256" s="89"/>
      <c r="AA256" s="89"/>
      <c r="AB256" s="89"/>
      <c r="AC256" s="89"/>
      <c r="AD256" s="89"/>
      <c r="AE256" s="89"/>
      <c r="AF256" s="89"/>
      <c r="AG256" s="89"/>
      <c r="AH256" s="89"/>
      <c r="AI256" s="89"/>
      <c r="AJ256" s="89"/>
      <c r="AK256" s="89"/>
      <c r="AL256" s="89"/>
      <c r="AM256" s="89"/>
      <c r="AN256" s="89"/>
      <c r="AO256" s="89"/>
      <c r="AP256" s="89"/>
      <c r="AQ256" s="89"/>
      <c r="AR256" s="89"/>
      <c r="AS256" s="89"/>
      <c r="AT256" s="89"/>
      <c r="AU256" s="89"/>
      <c r="AV256" s="89"/>
      <c r="AW256" s="89"/>
      <c r="AX256" s="89"/>
      <c r="AY256" s="90"/>
      <c r="AZ256" s="90"/>
      <c r="BA256" s="90">
        <v>0</v>
      </c>
      <c r="BB256" s="89">
        <v>0</v>
      </c>
      <c r="BC256" s="89">
        <v>-7.0000000000000007E-2</v>
      </c>
      <c r="BD256" s="89">
        <v>0</v>
      </c>
      <c r="BE256" s="89">
        <v>0.43</v>
      </c>
      <c r="BF256" s="89">
        <v>0</v>
      </c>
      <c r="BG256" s="89">
        <v>-0.06</v>
      </c>
      <c r="BH256" s="89">
        <v>0</v>
      </c>
      <c r="BI256" s="89">
        <v>0</v>
      </c>
      <c r="BJ256" s="62">
        <v>0</v>
      </c>
      <c r="BK256" s="62">
        <v>0.43</v>
      </c>
      <c r="BL256" s="62">
        <v>0</v>
      </c>
      <c r="BM256" s="62">
        <v>0.05</v>
      </c>
      <c r="BN256" s="62">
        <v>0</v>
      </c>
      <c r="BO256" s="62">
        <v>0</v>
      </c>
      <c r="BP256" s="62">
        <v>0</v>
      </c>
      <c r="BQ256" s="62">
        <v>0.5</v>
      </c>
      <c r="BR256" s="62">
        <v>0</v>
      </c>
      <c r="BS256" s="62">
        <v>-7.0000000000000007E-2</v>
      </c>
      <c r="BT256" s="62">
        <v>0</v>
      </c>
      <c r="BU256" s="62">
        <v>0.3</v>
      </c>
      <c r="BV256" s="62">
        <v>0</v>
      </c>
      <c r="BW256" s="62">
        <v>0</v>
      </c>
      <c r="BX256" s="62">
        <v>0</v>
      </c>
      <c r="BY256" s="62">
        <v>0</v>
      </c>
      <c r="BZ256" s="62">
        <v>0</v>
      </c>
      <c r="CA256" s="62">
        <v>0.125</v>
      </c>
      <c r="CB256" s="62">
        <v>5.0000000000000001E-3</v>
      </c>
      <c r="CC256" s="62">
        <v>0</v>
      </c>
      <c r="CD256" s="62">
        <v>0</v>
      </c>
      <c r="CE256" s="62">
        <v>0</v>
      </c>
      <c r="CF256" s="62">
        <v>0</v>
      </c>
      <c r="CG256" s="62">
        <v>0</v>
      </c>
      <c r="CH256" s="62">
        <v>0</v>
      </c>
      <c r="CI256" s="62">
        <v>0</v>
      </c>
      <c r="CJ256" s="62">
        <v>0</v>
      </c>
      <c r="CK256" s="62">
        <v>0</v>
      </c>
      <c r="CL256" s="62">
        <v>0</v>
      </c>
      <c r="CM256" s="62">
        <v>0</v>
      </c>
      <c r="CN256" s="62">
        <v>0</v>
      </c>
      <c r="CO256" s="62">
        <v>0</v>
      </c>
      <c r="CP256" s="62">
        <v>0</v>
      </c>
      <c r="CQ256" s="62">
        <v>0</v>
      </c>
      <c r="CR256" s="62">
        <v>0</v>
      </c>
      <c r="CS256" s="62">
        <v>0.36</v>
      </c>
      <c r="CT256" s="62">
        <v>0.01</v>
      </c>
      <c r="CU256" s="62">
        <v>0.05</v>
      </c>
      <c r="CV256" s="62">
        <v>0</v>
      </c>
      <c r="CW256" s="62">
        <v>0.14499999999999999</v>
      </c>
      <c r="CX256" s="62">
        <v>7.4999999999999997E-3</v>
      </c>
      <c r="CY256" s="62">
        <v>-0.18</v>
      </c>
      <c r="CZ256" s="62">
        <v>0</v>
      </c>
      <c r="DA256" s="62">
        <v>0</v>
      </c>
      <c r="DB256" s="62">
        <v>0</v>
      </c>
      <c r="DC256" s="62">
        <v>0.75</v>
      </c>
      <c r="DE256" s="62">
        <v>-3.6999999999999998E-2</v>
      </c>
      <c r="DF256" s="62">
        <v>0.01</v>
      </c>
      <c r="DG256" s="62">
        <v>2.2499999999999999E-2</v>
      </c>
      <c r="DH256" s="62">
        <v>0.01</v>
      </c>
      <c r="DI256" s="62">
        <v>7.4999999999999997E-3</v>
      </c>
      <c r="DJ256" s="62">
        <v>7.4999999999999997E-3</v>
      </c>
      <c r="DK256" s="62">
        <v>0</v>
      </c>
      <c r="DL256" s="62">
        <v>0</v>
      </c>
      <c r="DM256" s="62">
        <v>0</v>
      </c>
      <c r="DN256" s="62">
        <v>0</v>
      </c>
      <c r="DO256" s="62">
        <v>0</v>
      </c>
      <c r="DP256" s="62">
        <v>0</v>
      </c>
      <c r="DQ256" s="62">
        <v>0</v>
      </c>
      <c r="DR256" s="62">
        <v>0</v>
      </c>
      <c r="DS256" s="62">
        <v>0.315</v>
      </c>
      <c r="DT256" s="62">
        <v>-5.0000000000000001E-3</v>
      </c>
    </row>
    <row r="257" spans="4:124" x14ac:dyDescent="0.25">
      <c r="D257" s="91">
        <v>44470</v>
      </c>
      <c r="F257" s="89">
        <v>4.7344999999999997</v>
      </c>
      <c r="G257" s="90">
        <v>6.6643019642229198E-2</v>
      </c>
      <c r="H257" s="89">
        <v>0.17</v>
      </c>
      <c r="I257" s="89">
        <v>0.6</v>
      </c>
      <c r="J257" s="89">
        <v>0.6</v>
      </c>
      <c r="K257" s="89">
        <v>0.55000000000000004</v>
      </c>
      <c r="L257" s="89">
        <v>0.6</v>
      </c>
      <c r="M257" s="89">
        <v>0.6</v>
      </c>
      <c r="N257" s="89">
        <v>0.65</v>
      </c>
      <c r="O257" s="89">
        <v>0.65</v>
      </c>
      <c r="P257" s="89">
        <v>0.6</v>
      </c>
      <c r="Q257" s="89">
        <v>0.5</v>
      </c>
      <c r="R257" s="90">
        <v>0.6</v>
      </c>
      <c r="S257" s="90">
        <v>0.65</v>
      </c>
      <c r="T257" s="89">
        <v>0.6</v>
      </c>
      <c r="U257" s="89">
        <v>0.65</v>
      </c>
      <c r="V257" s="89">
        <v>0.7</v>
      </c>
      <c r="W257" s="89"/>
      <c r="X257" s="89"/>
      <c r="Y257" s="89"/>
      <c r="Z257" s="89"/>
      <c r="AA257" s="89"/>
      <c r="AB257" s="89"/>
      <c r="AC257" s="89"/>
      <c r="AD257" s="89"/>
      <c r="AE257" s="89"/>
      <c r="AF257" s="89"/>
      <c r="AG257" s="89"/>
      <c r="AH257" s="89"/>
      <c r="AI257" s="89"/>
      <c r="AJ257" s="89"/>
      <c r="AK257" s="89"/>
      <c r="AL257" s="89"/>
      <c r="AM257" s="89"/>
      <c r="AN257" s="89"/>
      <c r="AO257" s="89"/>
      <c r="AP257" s="89"/>
      <c r="AQ257" s="89"/>
      <c r="AR257" s="89"/>
      <c r="AS257" s="89"/>
      <c r="AT257" s="89"/>
      <c r="AU257" s="89"/>
      <c r="AV257" s="89"/>
      <c r="AW257" s="89"/>
      <c r="AX257" s="89"/>
      <c r="AY257" s="90"/>
      <c r="AZ257" s="90"/>
      <c r="BA257" s="90">
        <v>0</v>
      </c>
      <c r="BB257" s="89">
        <v>0</v>
      </c>
      <c r="BC257" s="89">
        <v>-7.0000000000000007E-2</v>
      </c>
      <c r="BD257" s="89">
        <v>0</v>
      </c>
      <c r="BE257" s="89">
        <v>0.43</v>
      </c>
      <c r="BF257" s="89">
        <v>0</v>
      </c>
      <c r="BG257" s="89">
        <v>-0.06</v>
      </c>
      <c r="BH257" s="89">
        <v>0</v>
      </c>
      <c r="BI257" s="89">
        <v>0</v>
      </c>
      <c r="BJ257" s="62">
        <v>0</v>
      </c>
      <c r="BK257" s="62">
        <v>0.43</v>
      </c>
      <c r="BL257" s="62">
        <v>0</v>
      </c>
      <c r="BM257" s="62">
        <v>0.05</v>
      </c>
      <c r="BN257" s="62">
        <v>0</v>
      </c>
      <c r="BO257" s="62">
        <v>0</v>
      </c>
      <c r="BP257" s="62">
        <v>0</v>
      </c>
      <c r="BQ257" s="62">
        <v>0.5</v>
      </c>
      <c r="BR257" s="62">
        <v>0</v>
      </c>
      <c r="BS257" s="62">
        <v>-7.0000000000000007E-2</v>
      </c>
      <c r="BT257" s="62">
        <v>0</v>
      </c>
      <c r="BU257" s="62">
        <v>0.3</v>
      </c>
      <c r="BV257" s="62">
        <v>0</v>
      </c>
      <c r="BW257" s="62">
        <v>0</v>
      </c>
      <c r="BX257" s="62">
        <v>0</v>
      </c>
      <c r="BY257" s="62">
        <v>0</v>
      </c>
      <c r="BZ257" s="62">
        <v>0</v>
      </c>
      <c r="CA257" s="62">
        <v>0.14499999999999999</v>
      </c>
      <c r="CB257" s="62">
        <v>5.0000000000000001E-3</v>
      </c>
      <c r="CC257" s="62">
        <v>0</v>
      </c>
      <c r="CD257" s="62">
        <v>0</v>
      </c>
      <c r="CE257" s="62">
        <v>0</v>
      </c>
      <c r="CF257" s="62">
        <v>0</v>
      </c>
      <c r="CG257" s="62">
        <v>0</v>
      </c>
      <c r="CH257" s="62">
        <v>0</v>
      </c>
      <c r="CI257" s="62">
        <v>0</v>
      </c>
      <c r="CJ257" s="62">
        <v>0</v>
      </c>
      <c r="CK257" s="62">
        <v>0</v>
      </c>
      <c r="CL257" s="62">
        <v>0</v>
      </c>
      <c r="CM257" s="62">
        <v>0</v>
      </c>
      <c r="CN257" s="62">
        <v>0</v>
      </c>
      <c r="CO257" s="62">
        <v>0</v>
      </c>
      <c r="CP257" s="62">
        <v>0</v>
      </c>
      <c r="CQ257" s="62">
        <v>0</v>
      </c>
      <c r="CR257" s="62">
        <v>0</v>
      </c>
      <c r="CS257" s="62">
        <v>0.4</v>
      </c>
      <c r="CT257" s="62">
        <v>0.01</v>
      </c>
      <c r="CU257" s="62">
        <v>0.05</v>
      </c>
      <c r="CV257" s="62">
        <v>0</v>
      </c>
      <c r="CW257" s="62">
        <v>0.17499999999999999</v>
      </c>
      <c r="CX257" s="62">
        <v>7.4999999999999997E-3</v>
      </c>
      <c r="CY257" s="62">
        <v>-0.18</v>
      </c>
      <c r="CZ257" s="62">
        <v>0</v>
      </c>
      <c r="DA257" s="62">
        <v>0</v>
      </c>
      <c r="DB257" s="62">
        <v>0</v>
      </c>
      <c r="DC257" s="62">
        <v>0.45</v>
      </c>
      <c r="DE257" s="62">
        <v>-3.6999999999999998E-2</v>
      </c>
      <c r="DF257" s="62">
        <v>0.01</v>
      </c>
      <c r="DG257" s="62">
        <v>0.02</v>
      </c>
      <c r="DH257" s="62">
        <v>0.01</v>
      </c>
      <c r="DI257" s="62">
        <v>5.0000000000000001E-3</v>
      </c>
      <c r="DJ257" s="62">
        <v>7.4999999999999997E-3</v>
      </c>
      <c r="DK257" s="62">
        <v>0</v>
      </c>
      <c r="DL257" s="62">
        <v>0</v>
      </c>
      <c r="DM257" s="62">
        <v>0</v>
      </c>
      <c r="DN257" s="62">
        <v>0</v>
      </c>
      <c r="DO257" s="62">
        <v>0</v>
      </c>
      <c r="DP257" s="62">
        <v>0</v>
      </c>
      <c r="DQ257" s="62">
        <v>0</v>
      </c>
      <c r="DR257" s="62">
        <v>0</v>
      </c>
      <c r="DS257" s="62">
        <v>0.36</v>
      </c>
      <c r="DT257" s="62">
        <v>-5.0000000000000001E-3</v>
      </c>
    </row>
    <row r="258" spans="4:124" x14ac:dyDescent="0.25">
      <c r="D258" s="91">
        <v>44501</v>
      </c>
      <c r="F258" s="89">
        <v>4.8864999999999998</v>
      </c>
      <c r="G258" s="90">
        <v>6.6683563789045497E-2</v>
      </c>
      <c r="H258" s="89">
        <v>0.17</v>
      </c>
      <c r="I258" s="89">
        <v>0.8</v>
      </c>
      <c r="J258" s="89">
        <v>0.85</v>
      </c>
      <c r="K258" s="89">
        <v>0.8</v>
      </c>
      <c r="L258" s="89">
        <v>0.8</v>
      </c>
      <c r="M258" s="89">
        <v>0.9</v>
      </c>
      <c r="N258" s="89">
        <v>0.95</v>
      </c>
      <c r="O258" s="89">
        <v>0.85</v>
      </c>
      <c r="P258" s="89">
        <v>0.8</v>
      </c>
      <c r="Q258" s="89">
        <v>0.95</v>
      </c>
      <c r="R258" s="90">
        <v>0.8</v>
      </c>
      <c r="S258" s="90">
        <v>0.8</v>
      </c>
      <c r="T258" s="89">
        <v>0.8</v>
      </c>
      <c r="U258" s="89">
        <v>0.95</v>
      </c>
      <c r="V258" s="89">
        <v>0.9</v>
      </c>
      <c r="W258" s="89"/>
      <c r="X258" s="89"/>
      <c r="Y258" s="89"/>
      <c r="Z258" s="89"/>
      <c r="AA258" s="89"/>
      <c r="AB258" s="89"/>
      <c r="AC258" s="89"/>
      <c r="AD258" s="89"/>
      <c r="AE258" s="89"/>
      <c r="AF258" s="89"/>
      <c r="AG258" s="89"/>
      <c r="AH258" s="89"/>
      <c r="AI258" s="89"/>
      <c r="AJ258" s="89"/>
      <c r="AK258" s="89"/>
      <c r="AL258" s="89"/>
      <c r="AM258" s="89"/>
      <c r="AN258" s="89"/>
      <c r="AO258" s="89"/>
      <c r="AP258" s="89"/>
      <c r="AQ258" s="89"/>
      <c r="AR258" s="89"/>
      <c r="AS258" s="89"/>
      <c r="AT258" s="89"/>
      <c r="AU258" s="89"/>
      <c r="AV258" s="89"/>
      <c r="AW258" s="89"/>
      <c r="AX258" s="89"/>
      <c r="AY258" s="90"/>
      <c r="AZ258" s="90"/>
      <c r="BA258" s="90">
        <v>0</v>
      </c>
      <c r="BB258" s="89">
        <v>0</v>
      </c>
      <c r="BC258" s="89">
        <v>-7.0000000000000007E-2</v>
      </c>
      <c r="BD258" s="89">
        <v>0</v>
      </c>
      <c r="BE258" s="89">
        <v>0</v>
      </c>
      <c r="BF258" s="89">
        <v>0</v>
      </c>
      <c r="BG258" s="89">
        <v>-0.06</v>
      </c>
      <c r="BH258" s="89">
        <v>0</v>
      </c>
      <c r="BI258" s="89">
        <v>0</v>
      </c>
      <c r="BJ258" s="62">
        <v>0</v>
      </c>
      <c r="BK258" s="62">
        <v>0</v>
      </c>
      <c r="BL258" s="62">
        <v>0</v>
      </c>
      <c r="BM258" s="62">
        <v>0.05</v>
      </c>
      <c r="BN258" s="62">
        <v>0</v>
      </c>
      <c r="BO258" s="62">
        <v>0</v>
      </c>
      <c r="BP258" s="62">
        <v>0</v>
      </c>
      <c r="BQ258" s="62">
        <v>0</v>
      </c>
      <c r="BR258" s="62">
        <v>0</v>
      </c>
      <c r="BS258" s="62">
        <v>-7.0000000000000007E-2</v>
      </c>
      <c r="BT258" s="62">
        <v>0</v>
      </c>
      <c r="BU258" s="62">
        <v>-0.2</v>
      </c>
      <c r="BV258" s="62">
        <v>0</v>
      </c>
      <c r="BW258" s="62">
        <v>0</v>
      </c>
      <c r="BX258" s="62">
        <v>0</v>
      </c>
      <c r="BY258" s="62">
        <v>0</v>
      </c>
      <c r="BZ258" s="62">
        <v>0</v>
      </c>
      <c r="CA258" s="62">
        <v>0.19500000000000001</v>
      </c>
      <c r="CB258" s="62">
        <v>5.0000000000000001E-3</v>
      </c>
      <c r="CC258" s="62">
        <v>0</v>
      </c>
      <c r="CD258" s="62">
        <v>0</v>
      </c>
      <c r="CE258" s="62">
        <v>0</v>
      </c>
      <c r="CF258" s="62">
        <v>0</v>
      </c>
      <c r="CG258" s="62">
        <v>0</v>
      </c>
      <c r="CH258" s="62">
        <v>0</v>
      </c>
      <c r="CI258" s="62">
        <v>0</v>
      </c>
      <c r="CJ258" s="62">
        <v>0</v>
      </c>
      <c r="CK258" s="62">
        <v>0</v>
      </c>
      <c r="CL258" s="62">
        <v>0</v>
      </c>
      <c r="CM258" s="62">
        <v>0</v>
      </c>
      <c r="CN258" s="62">
        <v>0</v>
      </c>
      <c r="CO258" s="62">
        <v>0</v>
      </c>
      <c r="CP258" s="62">
        <v>0</v>
      </c>
      <c r="CQ258" s="62">
        <v>0</v>
      </c>
      <c r="CR258" s="62">
        <v>0</v>
      </c>
      <c r="CS258" s="62">
        <v>0.65</v>
      </c>
      <c r="CT258" s="62">
        <v>5.5E-2</v>
      </c>
      <c r="CU258" s="62">
        <v>0.05</v>
      </c>
      <c r="CV258" s="62">
        <v>0</v>
      </c>
      <c r="CW258" s="62">
        <v>0.21</v>
      </c>
      <c r="CX258" s="62">
        <v>0.02</v>
      </c>
      <c r="CY258" s="62">
        <v>-0.18</v>
      </c>
      <c r="CZ258" s="62">
        <v>0</v>
      </c>
      <c r="DA258" s="62">
        <v>0</v>
      </c>
      <c r="DB258" s="62">
        <v>0</v>
      </c>
      <c r="DC258" s="62">
        <v>0.45</v>
      </c>
      <c r="DE258" s="62">
        <v>-2.5499999999999998E-2</v>
      </c>
      <c r="DF258" s="62">
        <v>1.2500000000000001E-2</v>
      </c>
      <c r="DG258" s="62">
        <v>2.1000000000000001E-2</v>
      </c>
      <c r="DH258" s="62">
        <v>7.4999999999999997E-3</v>
      </c>
      <c r="DI258" s="62">
        <v>6.0000000000000001E-3</v>
      </c>
      <c r="DJ258" s="62">
        <v>2.5000000000000001E-3</v>
      </c>
      <c r="DK258" s="62">
        <v>0</v>
      </c>
      <c r="DL258" s="62">
        <v>0</v>
      </c>
      <c r="DM258" s="62">
        <v>0</v>
      </c>
      <c r="DN258" s="62">
        <v>0</v>
      </c>
      <c r="DO258" s="62">
        <v>0</v>
      </c>
      <c r="DP258" s="62">
        <v>0</v>
      </c>
      <c r="DQ258" s="62">
        <v>0</v>
      </c>
      <c r="DR258" s="62">
        <v>0</v>
      </c>
      <c r="DS258" s="62">
        <v>0.46</v>
      </c>
      <c r="DT258" s="62">
        <v>0.05</v>
      </c>
    </row>
    <row r="259" spans="4:124" x14ac:dyDescent="0.25">
      <c r="D259" s="91">
        <v>44531</v>
      </c>
      <c r="F259" s="89">
        <v>5.0294999999999996</v>
      </c>
      <c r="G259" s="90">
        <v>6.6722800060676796E-2</v>
      </c>
      <c r="H259" s="89">
        <v>0.17</v>
      </c>
      <c r="I259" s="89">
        <v>1</v>
      </c>
      <c r="J259" s="89">
        <v>1.05</v>
      </c>
      <c r="K259" s="89">
        <v>1</v>
      </c>
      <c r="L259" s="89">
        <v>1</v>
      </c>
      <c r="M259" s="89">
        <v>1.1499999999999999</v>
      </c>
      <c r="N259" s="89">
        <v>1.25</v>
      </c>
      <c r="O259" s="89">
        <v>1.05</v>
      </c>
      <c r="P259" s="89">
        <v>1</v>
      </c>
      <c r="Q259" s="89">
        <v>1.35</v>
      </c>
      <c r="R259" s="90">
        <v>1</v>
      </c>
      <c r="S259" s="90">
        <v>1.1000000000000001</v>
      </c>
      <c r="T259" s="89">
        <v>1</v>
      </c>
      <c r="U259" s="89">
        <v>1.25</v>
      </c>
      <c r="V259" s="89">
        <v>1.1000000000000001</v>
      </c>
      <c r="W259" s="89"/>
      <c r="X259" s="89"/>
      <c r="Y259" s="89"/>
      <c r="Z259" s="89"/>
      <c r="AA259" s="89"/>
      <c r="AB259" s="89"/>
      <c r="AC259" s="89"/>
      <c r="AD259" s="89"/>
      <c r="AE259" s="89"/>
      <c r="AF259" s="89"/>
      <c r="AG259" s="89"/>
      <c r="AH259" s="89"/>
      <c r="AI259" s="89"/>
      <c r="AJ259" s="89"/>
      <c r="AK259" s="89"/>
      <c r="AL259" s="89"/>
      <c r="AM259" s="89"/>
      <c r="AN259" s="89"/>
      <c r="AO259" s="89"/>
      <c r="AP259" s="89"/>
      <c r="AQ259" s="89"/>
      <c r="AR259" s="89"/>
      <c r="AS259" s="89"/>
      <c r="AT259" s="89"/>
      <c r="AU259" s="89"/>
      <c r="AV259" s="89"/>
      <c r="AW259" s="89"/>
      <c r="AX259" s="89"/>
      <c r="AY259" s="90"/>
      <c r="AZ259" s="90"/>
      <c r="BA259" s="90">
        <v>0</v>
      </c>
      <c r="BB259" s="89">
        <v>0</v>
      </c>
      <c r="BC259" s="89">
        <v>-7.0000000000000007E-2</v>
      </c>
      <c r="BD259" s="89">
        <v>0</v>
      </c>
      <c r="BE259" s="89">
        <v>0</v>
      </c>
      <c r="BF259" s="89">
        <v>0</v>
      </c>
      <c r="BG259" s="89">
        <v>-0.06</v>
      </c>
      <c r="BH259" s="89">
        <v>0</v>
      </c>
      <c r="BI259" s="89">
        <v>0</v>
      </c>
      <c r="BJ259" s="62">
        <v>0</v>
      </c>
      <c r="BK259" s="62">
        <v>0</v>
      </c>
      <c r="BL259" s="62">
        <v>0</v>
      </c>
      <c r="BM259" s="62">
        <v>0.05</v>
      </c>
      <c r="BN259" s="62">
        <v>0</v>
      </c>
      <c r="BO259" s="62">
        <v>0</v>
      </c>
      <c r="BP259" s="62">
        <v>0</v>
      </c>
      <c r="BQ259" s="62">
        <v>0</v>
      </c>
      <c r="BR259" s="62">
        <v>0</v>
      </c>
      <c r="BS259" s="62">
        <v>-7.0000000000000007E-2</v>
      </c>
      <c r="BT259" s="62">
        <v>0</v>
      </c>
      <c r="BU259" s="62">
        <v>-0.2</v>
      </c>
      <c r="BV259" s="62">
        <v>0</v>
      </c>
      <c r="BW259" s="62">
        <v>0</v>
      </c>
      <c r="BX259" s="62">
        <v>0</v>
      </c>
      <c r="BY259" s="62">
        <v>0</v>
      </c>
      <c r="BZ259" s="62">
        <v>0</v>
      </c>
      <c r="CA259" s="62">
        <v>0.215</v>
      </c>
      <c r="CB259" s="62">
        <v>5.0000000000000001E-3</v>
      </c>
      <c r="CC259" s="62">
        <v>0</v>
      </c>
      <c r="CD259" s="62">
        <v>0</v>
      </c>
      <c r="CE259" s="62">
        <v>0</v>
      </c>
      <c r="CF259" s="62">
        <v>0</v>
      </c>
      <c r="CG259" s="62">
        <v>0</v>
      </c>
      <c r="CH259" s="62">
        <v>0</v>
      </c>
      <c r="CI259" s="62">
        <v>0</v>
      </c>
      <c r="CJ259" s="62">
        <v>0</v>
      </c>
      <c r="CK259" s="62">
        <v>0</v>
      </c>
      <c r="CL259" s="62">
        <v>0</v>
      </c>
      <c r="CM259" s="62">
        <v>0</v>
      </c>
      <c r="CN259" s="62">
        <v>0</v>
      </c>
      <c r="CO259" s="62">
        <v>0</v>
      </c>
      <c r="CP259" s="62">
        <v>0</v>
      </c>
      <c r="CQ259" s="62">
        <v>0</v>
      </c>
      <c r="CR259" s="62">
        <v>0</v>
      </c>
      <c r="CS259" s="62">
        <v>0.98</v>
      </c>
      <c r="CT259" s="62">
        <v>0.25</v>
      </c>
      <c r="CU259" s="62">
        <v>0.05</v>
      </c>
      <c r="CV259" s="62">
        <v>0</v>
      </c>
      <c r="CW259" s="62">
        <v>0.28999999999999998</v>
      </c>
      <c r="CX259" s="62">
        <v>0.02</v>
      </c>
      <c r="CY259" s="62">
        <v>-0.18</v>
      </c>
      <c r="CZ259" s="62">
        <v>0</v>
      </c>
      <c r="DA259" s="62">
        <v>0</v>
      </c>
      <c r="DB259" s="62">
        <v>0</v>
      </c>
      <c r="DC259" s="62">
        <v>0.4</v>
      </c>
      <c r="DE259" s="62">
        <v>-2.5499999999999998E-2</v>
      </c>
      <c r="DF259" s="62">
        <v>1.2500000000000001E-2</v>
      </c>
      <c r="DG259" s="62">
        <v>2.1000000000000001E-2</v>
      </c>
      <c r="DH259" s="62">
        <v>7.4999999999999997E-3</v>
      </c>
      <c r="DI259" s="62">
        <v>6.0000000000000001E-3</v>
      </c>
      <c r="DJ259" s="62">
        <v>2.5000000000000001E-3</v>
      </c>
      <c r="DK259" s="62">
        <v>0</v>
      </c>
      <c r="DL259" s="62">
        <v>0</v>
      </c>
      <c r="DM259" s="62">
        <v>0</v>
      </c>
      <c r="DN259" s="62">
        <v>0</v>
      </c>
      <c r="DO259" s="62">
        <v>0</v>
      </c>
      <c r="DP259" s="62">
        <v>0</v>
      </c>
      <c r="DQ259" s="62">
        <v>0</v>
      </c>
      <c r="DR259" s="62">
        <v>0</v>
      </c>
      <c r="DS259" s="62">
        <v>0.77</v>
      </c>
      <c r="DT259" s="62">
        <v>0.05</v>
      </c>
    </row>
    <row r="260" spans="4:124" x14ac:dyDescent="0.25">
      <c r="D260" s="91">
        <v>44562</v>
      </c>
      <c r="F260" s="89">
        <v>5.0895000000000001</v>
      </c>
      <c r="G260" s="90">
        <v>6.6742445691437599E-2</v>
      </c>
      <c r="H260" s="89">
        <v>0.17</v>
      </c>
      <c r="I260" s="89">
        <v>0</v>
      </c>
      <c r="J260" s="89">
        <v>1.05</v>
      </c>
      <c r="K260" s="89">
        <v>1</v>
      </c>
      <c r="L260" s="89">
        <v>1</v>
      </c>
      <c r="M260" s="89">
        <v>1.1499999999999999</v>
      </c>
      <c r="N260" s="89">
        <v>1.45</v>
      </c>
      <c r="O260" s="89">
        <v>1.05</v>
      </c>
      <c r="P260" s="89">
        <v>1</v>
      </c>
      <c r="Q260" s="89">
        <v>1.35</v>
      </c>
      <c r="R260" s="90">
        <v>0</v>
      </c>
      <c r="S260" s="90">
        <v>1.1000000000000001</v>
      </c>
      <c r="T260" s="89">
        <v>1</v>
      </c>
      <c r="U260" s="89">
        <v>1.45</v>
      </c>
      <c r="V260" s="89">
        <v>1.1000000000000001</v>
      </c>
      <c r="W260" s="89"/>
      <c r="X260" s="89"/>
      <c r="Y260" s="89"/>
      <c r="Z260" s="89"/>
      <c r="AA260" s="89"/>
      <c r="AB260" s="89"/>
      <c r="AC260" s="89"/>
      <c r="AD260" s="89"/>
      <c r="AE260" s="89"/>
      <c r="AF260" s="89"/>
      <c r="AG260" s="89"/>
      <c r="AH260" s="89"/>
      <c r="AI260" s="89"/>
      <c r="AJ260" s="89"/>
      <c r="AK260" s="89"/>
      <c r="AL260" s="89"/>
      <c r="AM260" s="89"/>
      <c r="AN260" s="89"/>
      <c r="AO260" s="89"/>
      <c r="AP260" s="89"/>
      <c r="AQ260" s="89"/>
      <c r="AR260" s="89"/>
      <c r="AS260" s="89"/>
      <c r="AT260" s="89"/>
      <c r="AU260" s="89"/>
      <c r="AV260" s="89"/>
      <c r="AW260" s="89"/>
      <c r="AX260" s="89"/>
      <c r="AY260" s="90"/>
      <c r="AZ260" s="90"/>
      <c r="BA260" s="90">
        <v>0</v>
      </c>
      <c r="BB260" s="89">
        <v>0</v>
      </c>
      <c r="BC260" s="89">
        <v>-7.0000000000000007E-2</v>
      </c>
      <c r="BD260" s="89">
        <v>0</v>
      </c>
      <c r="BE260" s="89">
        <v>0</v>
      </c>
      <c r="BF260" s="89">
        <v>0</v>
      </c>
      <c r="BG260" s="89">
        <v>-0.06</v>
      </c>
      <c r="BH260" s="89">
        <v>0</v>
      </c>
      <c r="BI260" s="89">
        <v>0</v>
      </c>
      <c r="BJ260" s="62">
        <v>0</v>
      </c>
      <c r="BK260" s="62">
        <v>0</v>
      </c>
      <c r="BL260" s="62">
        <v>0</v>
      </c>
      <c r="BM260" s="62">
        <v>0.05</v>
      </c>
      <c r="BN260" s="62">
        <v>0</v>
      </c>
      <c r="BO260" s="62">
        <v>0</v>
      </c>
      <c r="BP260" s="62">
        <v>0</v>
      </c>
      <c r="BQ260" s="62">
        <v>0</v>
      </c>
      <c r="BR260" s="62">
        <v>0</v>
      </c>
      <c r="BS260" s="62">
        <v>-7.0000000000000007E-2</v>
      </c>
      <c r="BT260" s="62">
        <v>0</v>
      </c>
      <c r="BU260" s="62">
        <v>-0.2</v>
      </c>
      <c r="BV260" s="62">
        <v>0</v>
      </c>
      <c r="BW260" s="62">
        <v>0</v>
      </c>
      <c r="BX260" s="62">
        <v>0</v>
      </c>
      <c r="BY260" s="62">
        <v>0</v>
      </c>
      <c r="BZ260" s="62">
        <v>0</v>
      </c>
      <c r="CA260" s="62">
        <v>0.23499999999999999</v>
      </c>
      <c r="CB260" s="62">
        <v>5.0000000000000001E-3</v>
      </c>
      <c r="CC260" s="62">
        <v>0</v>
      </c>
      <c r="CD260" s="62">
        <v>0</v>
      </c>
      <c r="CE260" s="62">
        <v>0</v>
      </c>
      <c r="CF260" s="62">
        <v>0</v>
      </c>
      <c r="CG260" s="62">
        <v>0</v>
      </c>
      <c r="CH260" s="62">
        <v>0</v>
      </c>
      <c r="CI260" s="62">
        <v>0</v>
      </c>
      <c r="CJ260" s="62">
        <v>0</v>
      </c>
      <c r="CK260" s="62">
        <v>0</v>
      </c>
      <c r="CL260" s="62">
        <v>0</v>
      </c>
      <c r="CM260" s="62">
        <v>0</v>
      </c>
      <c r="CN260" s="62">
        <v>0</v>
      </c>
      <c r="CO260" s="62">
        <v>0</v>
      </c>
      <c r="CP260" s="62">
        <v>0</v>
      </c>
      <c r="CQ260" s="62">
        <v>0</v>
      </c>
      <c r="CR260" s="62">
        <v>0</v>
      </c>
      <c r="CS260" s="62">
        <v>1.6</v>
      </c>
      <c r="CT260" s="62">
        <v>0.45</v>
      </c>
      <c r="CU260" s="62">
        <v>0.05</v>
      </c>
      <c r="CV260" s="62">
        <v>0</v>
      </c>
      <c r="CW260" s="62">
        <v>0.34</v>
      </c>
      <c r="CX260" s="62">
        <v>0.02</v>
      </c>
      <c r="CY260" s="62">
        <v>-0.18</v>
      </c>
      <c r="CZ260" s="62">
        <v>0</v>
      </c>
      <c r="DA260" s="62">
        <v>0</v>
      </c>
      <c r="DB260" s="62">
        <v>0</v>
      </c>
      <c r="DC260" s="62">
        <v>0.35</v>
      </c>
      <c r="DE260" s="62">
        <v>-2.5499999999999998E-2</v>
      </c>
      <c r="DF260" s="62">
        <v>1.2500000000000001E-2</v>
      </c>
      <c r="DG260" s="62">
        <v>2.1000000000000001E-2</v>
      </c>
      <c r="DH260" s="62">
        <v>7.4999999999999997E-3</v>
      </c>
      <c r="DI260" s="62">
        <v>6.0000000000000001E-3</v>
      </c>
      <c r="DJ260" s="62">
        <v>2.5000000000000001E-3</v>
      </c>
      <c r="DK260" s="62">
        <v>0</v>
      </c>
      <c r="DL260" s="62">
        <v>0</v>
      </c>
      <c r="DM260" s="62">
        <v>0</v>
      </c>
      <c r="DN260" s="62">
        <v>0</v>
      </c>
      <c r="DO260" s="62">
        <v>0</v>
      </c>
      <c r="DP260" s="62">
        <v>0</v>
      </c>
      <c r="DQ260" s="62">
        <v>0</v>
      </c>
      <c r="DR260" s="62">
        <v>0</v>
      </c>
      <c r="DS260" s="62">
        <v>1.04</v>
      </c>
      <c r="DT260" s="62">
        <v>0.05</v>
      </c>
    </row>
    <row r="261" spans="4:124" x14ac:dyDescent="0.25">
      <c r="D261" s="91">
        <v>44593</v>
      </c>
      <c r="F261" s="89">
        <v>5.0045000000000002</v>
      </c>
      <c r="G261" s="90">
        <v>6.6729002003623097E-2</v>
      </c>
      <c r="H261" s="89">
        <v>0.17</v>
      </c>
      <c r="I261" s="89">
        <v>0</v>
      </c>
      <c r="J261" s="89">
        <v>1.05</v>
      </c>
      <c r="K261" s="89">
        <v>1</v>
      </c>
      <c r="L261" s="89">
        <v>1</v>
      </c>
      <c r="M261" s="89">
        <v>1.1499999999999999</v>
      </c>
      <c r="N261" s="89">
        <v>1.45</v>
      </c>
      <c r="O261" s="89">
        <v>1.05</v>
      </c>
      <c r="P261" s="89">
        <v>1</v>
      </c>
      <c r="Q261" s="89">
        <v>1.35</v>
      </c>
      <c r="R261" s="90">
        <v>0</v>
      </c>
      <c r="S261" s="90">
        <v>1.1000000000000001</v>
      </c>
      <c r="T261" s="89">
        <v>1</v>
      </c>
      <c r="U261" s="89">
        <v>1.45</v>
      </c>
      <c r="V261" s="89">
        <v>1.1000000000000001</v>
      </c>
      <c r="W261" s="89"/>
      <c r="X261" s="89"/>
      <c r="Y261" s="89"/>
      <c r="Z261" s="89"/>
      <c r="AA261" s="89"/>
      <c r="AB261" s="89"/>
      <c r="AC261" s="89"/>
      <c r="AD261" s="89"/>
      <c r="AE261" s="89"/>
      <c r="AF261" s="89"/>
      <c r="AG261" s="89"/>
      <c r="AH261" s="89"/>
      <c r="AI261" s="89"/>
      <c r="AJ261" s="89"/>
      <c r="AK261" s="89"/>
      <c r="AL261" s="89"/>
      <c r="AM261" s="89"/>
      <c r="AN261" s="89"/>
      <c r="AO261" s="89"/>
      <c r="AP261" s="89"/>
      <c r="AQ261" s="89"/>
      <c r="AR261" s="89"/>
      <c r="AS261" s="89"/>
      <c r="AT261" s="89"/>
      <c r="AU261" s="89"/>
      <c r="AV261" s="89"/>
      <c r="AW261" s="89"/>
      <c r="AX261" s="89"/>
      <c r="AY261" s="90"/>
      <c r="AZ261" s="90"/>
      <c r="BA261" s="90">
        <v>0</v>
      </c>
      <c r="BB261" s="89">
        <v>0</v>
      </c>
      <c r="BC261" s="89">
        <v>-7.0000000000000007E-2</v>
      </c>
      <c r="BD261" s="89">
        <v>0</v>
      </c>
      <c r="BE261" s="89">
        <v>0</v>
      </c>
      <c r="BF261" s="89">
        <v>0</v>
      </c>
      <c r="BG261" s="89">
        <v>-0.06</v>
      </c>
      <c r="BH261" s="89">
        <v>0</v>
      </c>
      <c r="BI261" s="89">
        <v>0</v>
      </c>
      <c r="BJ261" s="62">
        <v>0</v>
      </c>
      <c r="BK261" s="62">
        <v>0</v>
      </c>
      <c r="BL261" s="62">
        <v>0</v>
      </c>
      <c r="BM261" s="62">
        <v>0.05</v>
      </c>
      <c r="BN261" s="62">
        <v>0</v>
      </c>
      <c r="BO261" s="62">
        <v>0</v>
      </c>
      <c r="BP261" s="62">
        <v>0</v>
      </c>
      <c r="BQ261" s="62">
        <v>0</v>
      </c>
      <c r="BR261" s="62">
        <v>0</v>
      </c>
      <c r="BS261" s="62">
        <v>-7.0000000000000007E-2</v>
      </c>
      <c r="BT261" s="62">
        <v>0</v>
      </c>
      <c r="BU261" s="62">
        <v>-0.2</v>
      </c>
      <c r="BV261" s="62">
        <v>0</v>
      </c>
      <c r="BW261" s="62">
        <v>0</v>
      </c>
      <c r="BX261" s="62">
        <v>0</v>
      </c>
      <c r="BY261" s="62">
        <v>0</v>
      </c>
      <c r="BZ261" s="62">
        <v>0</v>
      </c>
      <c r="CA261" s="62">
        <v>0.23499999999999999</v>
      </c>
      <c r="CB261" s="62">
        <v>5.0000000000000001E-3</v>
      </c>
      <c r="CC261" s="62">
        <v>0</v>
      </c>
      <c r="CD261" s="62">
        <v>0</v>
      </c>
      <c r="CE261" s="62">
        <v>0</v>
      </c>
      <c r="CF261" s="62">
        <v>0</v>
      </c>
      <c r="CG261" s="62">
        <v>0</v>
      </c>
      <c r="CH261" s="62">
        <v>0</v>
      </c>
      <c r="CI261" s="62">
        <v>0</v>
      </c>
      <c r="CJ261" s="62">
        <v>0</v>
      </c>
      <c r="CK261" s="62">
        <v>0</v>
      </c>
      <c r="CL261" s="62">
        <v>0</v>
      </c>
      <c r="CM261" s="62">
        <v>0</v>
      </c>
      <c r="CN261" s="62">
        <v>0</v>
      </c>
      <c r="CO261" s="62">
        <v>0</v>
      </c>
      <c r="CP261" s="62">
        <v>0</v>
      </c>
      <c r="CQ261" s="62">
        <v>0</v>
      </c>
      <c r="CR261" s="62">
        <v>0</v>
      </c>
      <c r="CS261" s="62">
        <v>1.6</v>
      </c>
      <c r="CT261" s="62">
        <v>0.45</v>
      </c>
      <c r="CU261" s="62">
        <v>0.05</v>
      </c>
      <c r="CV261" s="62">
        <v>0</v>
      </c>
      <c r="CW261" s="62">
        <v>0.34</v>
      </c>
      <c r="CX261" s="62">
        <v>0.02</v>
      </c>
      <c r="CY261" s="62">
        <v>-0.18</v>
      </c>
      <c r="CZ261" s="62">
        <v>0</v>
      </c>
      <c r="DA261" s="62">
        <v>0</v>
      </c>
      <c r="DB261" s="62">
        <v>0</v>
      </c>
      <c r="DC261" s="62">
        <v>0.35</v>
      </c>
      <c r="DE261" s="62">
        <v>-2.5499999999999998E-2</v>
      </c>
      <c r="DF261" s="62">
        <v>1.2500000000000001E-2</v>
      </c>
      <c r="DG261" s="62">
        <v>2.1000000000000001E-2</v>
      </c>
      <c r="DH261" s="62">
        <v>7.4999999999999997E-3</v>
      </c>
      <c r="DI261" s="62">
        <v>6.0000000000000001E-3</v>
      </c>
      <c r="DJ261" s="62">
        <v>2.5000000000000001E-3</v>
      </c>
      <c r="DK261" s="62">
        <v>0</v>
      </c>
      <c r="DL261" s="62">
        <v>0</v>
      </c>
      <c r="DM261" s="62">
        <v>0</v>
      </c>
      <c r="DN261" s="62">
        <v>0</v>
      </c>
      <c r="DO261" s="62">
        <v>0</v>
      </c>
      <c r="DP261" s="62">
        <v>0</v>
      </c>
      <c r="DQ261" s="62">
        <v>0</v>
      </c>
      <c r="DR261" s="62">
        <v>0</v>
      </c>
      <c r="DS261" s="62">
        <v>1.04</v>
      </c>
      <c r="DT261" s="62">
        <v>0.05</v>
      </c>
    </row>
    <row r="262" spans="4:124" x14ac:dyDescent="0.25">
      <c r="D262" s="91">
        <v>44621</v>
      </c>
      <c r="F262" s="89">
        <v>4.8745000000000003</v>
      </c>
      <c r="G262" s="90">
        <v>6.6716859317906205E-2</v>
      </c>
      <c r="H262" s="89">
        <v>0.17</v>
      </c>
      <c r="I262" s="89">
        <v>0</v>
      </c>
      <c r="J262" s="89">
        <v>0.8</v>
      </c>
      <c r="K262" s="89">
        <v>0.75</v>
      </c>
      <c r="L262" s="89">
        <v>0.75</v>
      </c>
      <c r="M262" s="89">
        <v>0.85</v>
      </c>
      <c r="N262" s="89">
        <v>1</v>
      </c>
      <c r="O262" s="89">
        <v>0.75</v>
      </c>
      <c r="P262" s="89">
        <v>0.75</v>
      </c>
      <c r="Q262" s="89">
        <v>0.95</v>
      </c>
      <c r="R262" s="90">
        <v>0</v>
      </c>
      <c r="S262" s="90">
        <v>0.75</v>
      </c>
      <c r="T262" s="89">
        <v>0.75</v>
      </c>
      <c r="U262" s="89">
        <v>1</v>
      </c>
      <c r="V262" s="89">
        <v>0.85</v>
      </c>
      <c r="W262" s="89"/>
      <c r="X262" s="89"/>
      <c r="Y262" s="89"/>
      <c r="Z262" s="89"/>
      <c r="AA262" s="89"/>
      <c r="AB262" s="89"/>
      <c r="AC262" s="89"/>
      <c r="AD262" s="89"/>
      <c r="AE262" s="89"/>
      <c r="AF262" s="89"/>
      <c r="AG262" s="89"/>
      <c r="AH262" s="89"/>
      <c r="AI262" s="89"/>
      <c r="AJ262" s="89"/>
      <c r="AK262" s="89"/>
      <c r="AL262" s="89"/>
      <c r="AM262" s="89"/>
      <c r="AN262" s="89"/>
      <c r="AO262" s="89"/>
      <c r="AP262" s="89"/>
      <c r="AQ262" s="89"/>
      <c r="AR262" s="89"/>
      <c r="AS262" s="89"/>
      <c r="AT262" s="89"/>
      <c r="AU262" s="89"/>
      <c r="AV262" s="89"/>
      <c r="AW262" s="89"/>
      <c r="AX262" s="89"/>
      <c r="AY262" s="90"/>
      <c r="AZ262" s="90"/>
      <c r="BA262" s="90">
        <v>0</v>
      </c>
      <c r="BB262" s="89">
        <v>0</v>
      </c>
      <c r="BC262" s="89">
        <v>-7.0000000000000007E-2</v>
      </c>
      <c r="BD262" s="89">
        <v>0</v>
      </c>
      <c r="BE262" s="89">
        <v>0</v>
      </c>
      <c r="BF262" s="89">
        <v>0</v>
      </c>
      <c r="BG262" s="89">
        <v>-0.06</v>
      </c>
      <c r="BH262" s="89">
        <v>0</v>
      </c>
      <c r="BI262" s="89">
        <v>0</v>
      </c>
      <c r="BJ262" s="62">
        <v>0</v>
      </c>
      <c r="BK262" s="62">
        <v>0</v>
      </c>
      <c r="BL262" s="62">
        <v>0</v>
      </c>
      <c r="BM262" s="62">
        <v>0.05</v>
      </c>
      <c r="BN262" s="62">
        <v>0</v>
      </c>
      <c r="BO262" s="62">
        <v>0</v>
      </c>
      <c r="BP262" s="62">
        <v>0</v>
      </c>
      <c r="BQ262" s="62">
        <v>0</v>
      </c>
      <c r="BR262" s="62">
        <v>0</v>
      </c>
      <c r="BS262" s="62">
        <v>-7.0000000000000007E-2</v>
      </c>
      <c r="BT262" s="62">
        <v>0</v>
      </c>
      <c r="BU262" s="62">
        <v>-0.2</v>
      </c>
      <c r="BV262" s="62">
        <v>0</v>
      </c>
      <c r="BW262" s="62">
        <v>0</v>
      </c>
      <c r="BX262" s="62">
        <v>0</v>
      </c>
      <c r="BY262" s="62">
        <v>0</v>
      </c>
      <c r="BZ262" s="62">
        <v>0</v>
      </c>
      <c r="CA262" s="62">
        <v>0.19500000000000001</v>
      </c>
      <c r="CB262" s="62">
        <v>5.0000000000000001E-3</v>
      </c>
      <c r="CC262" s="62">
        <v>0</v>
      </c>
      <c r="CD262" s="62">
        <v>0</v>
      </c>
      <c r="CE262" s="62">
        <v>0</v>
      </c>
      <c r="CF262" s="62">
        <v>0</v>
      </c>
      <c r="CG262" s="62">
        <v>0</v>
      </c>
      <c r="CH262" s="62">
        <v>0</v>
      </c>
      <c r="CI262" s="62">
        <v>0</v>
      </c>
      <c r="CJ262" s="62">
        <v>0</v>
      </c>
      <c r="CK262" s="62">
        <v>0</v>
      </c>
      <c r="CL262" s="62">
        <v>0</v>
      </c>
      <c r="CM262" s="62">
        <v>0</v>
      </c>
      <c r="CN262" s="62">
        <v>0</v>
      </c>
      <c r="CO262" s="62">
        <v>0</v>
      </c>
      <c r="CP262" s="62">
        <v>0</v>
      </c>
      <c r="CQ262" s="62">
        <v>0</v>
      </c>
      <c r="CR262" s="62">
        <v>0</v>
      </c>
      <c r="CS262" s="62">
        <v>0.64</v>
      </c>
      <c r="CT262" s="62">
        <v>0.1</v>
      </c>
      <c r="CU262" s="62">
        <v>0.05</v>
      </c>
      <c r="CV262" s="62">
        <v>0</v>
      </c>
      <c r="CW262" s="62">
        <v>0.28999999999999998</v>
      </c>
      <c r="CX262" s="62">
        <v>0.02</v>
      </c>
      <c r="CY262" s="62">
        <v>-0.18</v>
      </c>
      <c r="CZ262" s="62">
        <v>0</v>
      </c>
      <c r="DA262" s="62">
        <v>0</v>
      </c>
      <c r="DB262" s="62">
        <v>0</v>
      </c>
      <c r="DC262" s="62">
        <v>0.4</v>
      </c>
      <c r="DE262" s="62">
        <v>-2.5499999999999998E-2</v>
      </c>
      <c r="DF262" s="62">
        <v>1.2500000000000001E-2</v>
      </c>
      <c r="DG262" s="62">
        <v>2.5999999999999999E-2</v>
      </c>
      <c r="DH262" s="62">
        <v>7.4999999999999997E-3</v>
      </c>
      <c r="DI262" s="62">
        <v>1.0999999999999999E-2</v>
      </c>
      <c r="DJ262" s="62">
        <v>2.5000000000000001E-3</v>
      </c>
      <c r="DK262" s="62">
        <v>0</v>
      </c>
      <c r="DL262" s="62">
        <v>0</v>
      </c>
      <c r="DM262" s="62">
        <v>0</v>
      </c>
      <c r="DN262" s="62">
        <v>0</v>
      </c>
      <c r="DO262" s="62">
        <v>0</v>
      </c>
      <c r="DP262" s="62">
        <v>0</v>
      </c>
      <c r="DQ262" s="62">
        <v>0</v>
      </c>
      <c r="DR262" s="62">
        <v>0</v>
      </c>
      <c r="DS262" s="62">
        <v>0.54</v>
      </c>
      <c r="DT262" s="62">
        <v>0.05</v>
      </c>
    </row>
    <row r="263" spans="4:124" x14ac:dyDescent="0.25">
      <c r="D263" s="91">
        <v>44652</v>
      </c>
      <c r="F263" s="89">
        <v>4.6894999999999998</v>
      </c>
      <c r="G263" s="90">
        <v>6.6703415630205806E-2</v>
      </c>
      <c r="H263" s="89">
        <v>0.17</v>
      </c>
      <c r="I263" s="89">
        <v>0</v>
      </c>
      <c r="J263" s="89">
        <v>0.45</v>
      </c>
      <c r="K263" s="89">
        <v>0.4</v>
      </c>
      <c r="L263" s="89">
        <v>0.45</v>
      </c>
      <c r="M263" s="89">
        <v>0.45</v>
      </c>
      <c r="N263" s="89">
        <v>0.45</v>
      </c>
      <c r="O263" s="89">
        <v>0.45</v>
      </c>
      <c r="P263" s="89">
        <v>0.45</v>
      </c>
      <c r="Q263" s="89">
        <v>0.5</v>
      </c>
      <c r="R263" s="90">
        <v>0</v>
      </c>
      <c r="S263" s="90">
        <v>0.45</v>
      </c>
      <c r="T263" s="89">
        <v>0.4</v>
      </c>
      <c r="U263" s="89">
        <v>0.45</v>
      </c>
      <c r="V263" s="89">
        <v>0.55000000000000004</v>
      </c>
      <c r="W263" s="89"/>
      <c r="X263" s="89"/>
      <c r="Y263" s="89"/>
      <c r="Z263" s="89"/>
      <c r="AA263" s="89"/>
      <c r="AB263" s="89"/>
      <c r="AC263" s="89"/>
      <c r="AD263" s="89"/>
      <c r="AE263" s="89"/>
      <c r="AF263" s="89"/>
      <c r="AG263" s="89"/>
      <c r="AH263" s="89"/>
      <c r="AI263" s="89"/>
      <c r="AJ263" s="89"/>
      <c r="AK263" s="89"/>
      <c r="AL263" s="89"/>
      <c r="AM263" s="89"/>
      <c r="AN263" s="89"/>
      <c r="AO263" s="89"/>
      <c r="AP263" s="89"/>
      <c r="AQ263" s="89"/>
      <c r="AR263" s="89"/>
      <c r="AS263" s="89"/>
      <c r="AT263" s="89"/>
      <c r="AU263" s="89"/>
      <c r="AV263" s="89"/>
      <c r="AW263" s="89"/>
      <c r="AX263" s="89"/>
      <c r="AY263" s="90"/>
      <c r="AZ263" s="90"/>
      <c r="BA263" s="90">
        <v>0</v>
      </c>
      <c r="BB263" s="89">
        <v>0</v>
      </c>
      <c r="BC263" s="89">
        <v>-7.0000000000000007E-2</v>
      </c>
      <c r="BD263" s="89">
        <v>0</v>
      </c>
      <c r="BE263" s="89">
        <v>0</v>
      </c>
      <c r="BF263" s="89">
        <v>0</v>
      </c>
      <c r="BG263" s="89">
        <v>-0.06</v>
      </c>
      <c r="BH263" s="89">
        <v>0</v>
      </c>
      <c r="BI263" s="89">
        <v>0</v>
      </c>
      <c r="BJ263" s="62">
        <v>0</v>
      </c>
      <c r="BK263" s="62">
        <v>0</v>
      </c>
      <c r="BL263" s="62">
        <v>0</v>
      </c>
      <c r="BM263" s="62">
        <v>0.05</v>
      </c>
      <c r="BN263" s="62">
        <v>0</v>
      </c>
      <c r="BO263" s="62">
        <v>0</v>
      </c>
      <c r="BP263" s="62">
        <v>0</v>
      </c>
      <c r="BQ263" s="62">
        <v>0</v>
      </c>
      <c r="BR263" s="62">
        <v>0</v>
      </c>
      <c r="BS263" s="62">
        <v>-7.0000000000000007E-2</v>
      </c>
      <c r="BT263" s="62">
        <v>0</v>
      </c>
      <c r="BU263" s="62">
        <v>-0.2</v>
      </c>
      <c r="BV263" s="62">
        <v>0</v>
      </c>
      <c r="BW263" s="62">
        <v>0</v>
      </c>
      <c r="BX263" s="62">
        <v>0</v>
      </c>
      <c r="BY263" s="62">
        <v>0</v>
      </c>
      <c r="BZ263" s="62">
        <v>0</v>
      </c>
      <c r="CA263" s="62">
        <v>0.14499999999999999</v>
      </c>
      <c r="CB263" s="62">
        <v>5.0000000000000001E-3</v>
      </c>
      <c r="CC263" s="62">
        <v>0</v>
      </c>
      <c r="CD263" s="62">
        <v>0</v>
      </c>
      <c r="CE263" s="62">
        <v>0</v>
      </c>
      <c r="CF263" s="62">
        <v>0</v>
      </c>
      <c r="CG263" s="62">
        <v>0</v>
      </c>
      <c r="CH263" s="62">
        <v>0</v>
      </c>
      <c r="CI263" s="62">
        <v>0</v>
      </c>
      <c r="CJ263" s="62">
        <v>0</v>
      </c>
      <c r="CK263" s="62">
        <v>0</v>
      </c>
      <c r="CL263" s="62">
        <v>0</v>
      </c>
      <c r="CM263" s="62">
        <v>0</v>
      </c>
      <c r="CN263" s="62">
        <v>0</v>
      </c>
      <c r="CO263" s="62">
        <v>0</v>
      </c>
      <c r="CP263" s="62">
        <v>0</v>
      </c>
      <c r="CQ263" s="62">
        <v>0</v>
      </c>
      <c r="CR263" s="62">
        <v>0</v>
      </c>
      <c r="CS263" s="62">
        <v>0.38</v>
      </c>
      <c r="CT263" s="62">
        <v>0.02</v>
      </c>
      <c r="CU263" s="62">
        <v>0.05</v>
      </c>
      <c r="CV263" s="62">
        <v>0</v>
      </c>
      <c r="CW263" s="62">
        <v>0.19500000000000001</v>
      </c>
      <c r="CX263" s="62">
        <v>7.4999999999999997E-3</v>
      </c>
      <c r="CY263" s="62">
        <v>-0.18</v>
      </c>
      <c r="CZ263" s="62">
        <v>0</v>
      </c>
      <c r="DA263" s="62">
        <v>0</v>
      </c>
      <c r="DB263" s="62">
        <v>0</v>
      </c>
      <c r="DC263" s="62">
        <v>0.6</v>
      </c>
      <c r="DE263" s="62">
        <v>-3.3000000000000002E-2</v>
      </c>
      <c r="DF263" s="62">
        <v>0.01</v>
      </c>
      <c r="DG263" s="62">
        <v>2.5999999999999999E-2</v>
      </c>
      <c r="DH263" s="62">
        <v>0.01</v>
      </c>
      <c r="DI263" s="62">
        <v>1.0999999999999999E-2</v>
      </c>
      <c r="DJ263" s="62">
        <v>7.4999999999999997E-3</v>
      </c>
      <c r="DK263" s="62">
        <v>0</v>
      </c>
      <c r="DL263" s="62">
        <v>0</v>
      </c>
      <c r="DM263" s="62">
        <v>0</v>
      </c>
      <c r="DN263" s="62">
        <v>0</v>
      </c>
      <c r="DO263" s="62">
        <v>0</v>
      </c>
      <c r="DP263" s="62">
        <v>0</v>
      </c>
      <c r="DQ263" s="62">
        <v>0</v>
      </c>
      <c r="DR263" s="62">
        <v>0</v>
      </c>
      <c r="DS263" s="62">
        <v>0.36</v>
      </c>
      <c r="DT263" s="62">
        <v>5.0000000000000001E-3</v>
      </c>
    </row>
    <row r="264" spans="4:124" x14ac:dyDescent="0.25">
      <c r="D264" s="91">
        <v>44682</v>
      </c>
      <c r="F264" s="89">
        <v>4.6844999999999999</v>
      </c>
      <c r="G264" s="90">
        <v>6.6690405609906897E-2</v>
      </c>
      <c r="H264" s="89">
        <v>0.17</v>
      </c>
      <c r="I264" s="89">
        <v>0</v>
      </c>
      <c r="J264" s="89">
        <v>0.5</v>
      </c>
      <c r="K264" s="89">
        <v>0.4</v>
      </c>
      <c r="L264" s="89">
        <v>0.4</v>
      </c>
      <c r="M264" s="89">
        <v>0.45</v>
      </c>
      <c r="N264" s="89">
        <v>0.5</v>
      </c>
      <c r="O264" s="89">
        <v>0.45</v>
      </c>
      <c r="P264" s="89">
        <v>0.4</v>
      </c>
      <c r="Q264" s="89">
        <v>0.45</v>
      </c>
      <c r="R264" s="90">
        <v>0</v>
      </c>
      <c r="S264" s="90">
        <v>0.5</v>
      </c>
      <c r="T264" s="89">
        <v>0.45</v>
      </c>
      <c r="U264" s="89">
        <v>0.5</v>
      </c>
      <c r="V264" s="89">
        <v>0.5</v>
      </c>
      <c r="W264" s="89"/>
      <c r="X264" s="89"/>
      <c r="Y264" s="89"/>
      <c r="Z264" s="89"/>
      <c r="AA264" s="89"/>
      <c r="AB264" s="89"/>
      <c r="AC264" s="89"/>
      <c r="AD264" s="89"/>
      <c r="AE264" s="89"/>
      <c r="AF264" s="89"/>
      <c r="AG264" s="89"/>
      <c r="AH264" s="89"/>
      <c r="AI264" s="89"/>
      <c r="AJ264" s="89"/>
      <c r="AK264" s="89"/>
      <c r="AL264" s="89"/>
      <c r="AM264" s="89"/>
      <c r="AN264" s="89"/>
      <c r="AO264" s="89"/>
      <c r="AP264" s="89"/>
      <c r="AQ264" s="89"/>
      <c r="AR264" s="89"/>
      <c r="AS264" s="89"/>
      <c r="AT264" s="89"/>
      <c r="AU264" s="89"/>
      <c r="AV264" s="89"/>
      <c r="AW264" s="89"/>
      <c r="AX264" s="89"/>
      <c r="AY264" s="90"/>
      <c r="AZ264" s="90"/>
      <c r="BA264" s="90">
        <v>0</v>
      </c>
      <c r="BB264" s="89">
        <v>0</v>
      </c>
      <c r="BC264" s="89">
        <v>-7.0000000000000007E-2</v>
      </c>
      <c r="BD264" s="89">
        <v>0</v>
      </c>
      <c r="BE264" s="89">
        <v>0</v>
      </c>
      <c r="BF264" s="89">
        <v>0</v>
      </c>
      <c r="BG264" s="89">
        <v>-0.06</v>
      </c>
      <c r="BH264" s="89">
        <v>0</v>
      </c>
      <c r="BI264" s="89">
        <v>0</v>
      </c>
      <c r="BJ264" s="62">
        <v>0</v>
      </c>
      <c r="BK264" s="62">
        <v>0</v>
      </c>
      <c r="BL264" s="62">
        <v>0</v>
      </c>
      <c r="BM264" s="62">
        <v>0.05</v>
      </c>
      <c r="BN264" s="62">
        <v>0</v>
      </c>
      <c r="BO264" s="62">
        <v>0</v>
      </c>
      <c r="BP264" s="62">
        <v>0</v>
      </c>
      <c r="BQ264" s="62">
        <v>0</v>
      </c>
      <c r="BR264" s="62">
        <v>0</v>
      </c>
      <c r="BS264" s="62">
        <v>-7.0000000000000007E-2</v>
      </c>
      <c r="BT264" s="62">
        <v>0</v>
      </c>
      <c r="BU264" s="62">
        <v>-0.2</v>
      </c>
      <c r="BV264" s="62">
        <v>0</v>
      </c>
      <c r="BW264" s="62">
        <v>0</v>
      </c>
      <c r="BX264" s="62">
        <v>0</v>
      </c>
      <c r="BY264" s="62">
        <v>0</v>
      </c>
      <c r="BZ264" s="62">
        <v>0</v>
      </c>
      <c r="CA264" s="62">
        <v>0.125</v>
      </c>
      <c r="CB264" s="62">
        <v>5.0000000000000001E-3</v>
      </c>
      <c r="CC264" s="62">
        <v>0</v>
      </c>
      <c r="CD264" s="62">
        <v>0</v>
      </c>
      <c r="CE264" s="62">
        <v>0</v>
      </c>
      <c r="CF264" s="62">
        <v>0</v>
      </c>
      <c r="CG264" s="62">
        <v>0</v>
      </c>
      <c r="CH264" s="62">
        <v>0</v>
      </c>
      <c r="CI264" s="62">
        <v>0</v>
      </c>
      <c r="CJ264" s="62">
        <v>0</v>
      </c>
      <c r="CK264" s="62">
        <v>0</v>
      </c>
      <c r="CL264" s="62">
        <v>0</v>
      </c>
      <c r="CM264" s="62">
        <v>0</v>
      </c>
      <c r="CN264" s="62">
        <v>0</v>
      </c>
      <c r="CO264" s="62">
        <v>0</v>
      </c>
      <c r="CP264" s="62">
        <v>0</v>
      </c>
      <c r="CQ264" s="62">
        <v>0</v>
      </c>
      <c r="CR264" s="62">
        <v>0</v>
      </c>
      <c r="CS264" s="62">
        <v>0.33</v>
      </c>
      <c r="CT264" s="62">
        <v>0.02</v>
      </c>
      <c r="CU264" s="62">
        <v>0.05</v>
      </c>
      <c r="CV264" s="62">
        <v>0</v>
      </c>
      <c r="CW264" s="62">
        <v>0.13500000000000001</v>
      </c>
      <c r="CX264" s="62">
        <v>7.4999999999999997E-3</v>
      </c>
      <c r="CY264" s="62">
        <v>-0.18</v>
      </c>
      <c r="CZ264" s="62">
        <v>0</v>
      </c>
      <c r="DA264" s="62">
        <v>0</v>
      </c>
      <c r="DB264" s="62">
        <v>0</v>
      </c>
      <c r="DC264" s="62">
        <v>0.75</v>
      </c>
      <c r="DE264" s="62">
        <v>-3.3000000000000002E-2</v>
      </c>
      <c r="DF264" s="62">
        <v>0.01</v>
      </c>
      <c r="DG264" s="62">
        <v>2.8500000000000001E-2</v>
      </c>
      <c r="DH264" s="62">
        <v>0.01</v>
      </c>
      <c r="DI264" s="62">
        <v>1.35E-2</v>
      </c>
      <c r="DJ264" s="62">
        <v>7.4999999999999997E-3</v>
      </c>
      <c r="DK264" s="62">
        <v>0</v>
      </c>
      <c r="DL264" s="62">
        <v>0</v>
      </c>
      <c r="DM264" s="62">
        <v>0</v>
      </c>
      <c r="DN264" s="62">
        <v>0</v>
      </c>
      <c r="DO264" s="62">
        <v>0</v>
      </c>
      <c r="DP264" s="62">
        <v>0</v>
      </c>
      <c r="DQ264" s="62">
        <v>0</v>
      </c>
      <c r="DR264" s="62">
        <v>0</v>
      </c>
      <c r="DS264" s="62">
        <v>0.32500000000000001</v>
      </c>
      <c r="DT264" s="62">
        <v>5.0000000000000001E-3</v>
      </c>
    </row>
    <row r="265" spans="4:124" x14ac:dyDescent="0.25">
      <c r="D265" s="91">
        <v>44713</v>
      </c>
      <c r="F265" s="89">
        <v>4.7195</v>
      </c>
      <c r="G265" s="90">
        <v>6.6676961922324196E-2</v>
      </c>
      <c r="H265" s="89">
        <v>0.17</v>
      </c>
      <c r="I265" s="89">
        <v>0</v>
      </c>
      <c r="J265" s="89">
        <v>0.5</v>
      </c>
      <c r="K265" s="89">
        <v>0.4</v>
      </c>
      <c r="L265" s="89">
        <v>0.5</v>
      </c>
      <c r="M265" s="89">
        <v>0.45</v>
      </c>
      <c r="N265" s="89">
        <v>0.5</v>
      </c>
      <c r="O265" s="89">
        <v>0.5</v>
      </c>
      <c r="P265" s="89">
        <v>0.5</v>
      </c>
      <c r="Q265" s="89">
        <v>0.5</v>
      </c>
      <c r="R265" s="90">
        <v>0</v>
      </c>
      <c r="S265" s="90">
        <v>0.5</v>
      </c>
      <c r="T265" s="89">
        <v>0.45</v>
      </c>
      <c r="U265" s="89">
        <v>0.5</v>
      </c>
      <c r="V265" s="89">
        <v>0.6</v>
      </c>
      <c r="W265" s="89"/>
      <c r="X265" s="89"/>
      <c r="Y265" s="89"/>
      <c r="Z265" s="89"/>
      <c r="AA265" s="89"/>
      <c r="AB265" s="89"/>
      <c r="AC265" s="89"/>
      <c r="AD265" s="89"/>
      <c r="AE265" s="89"/>
      <c r="AF265" s="89"/>
      <c r="AG265" s="89"/>
      <c r="AH265" s="89"/>
      <c r="AI265" s="89"/>
      <c r="AJ265" s="89"/>
      <c r="AK265" s="89"/>
      <c r="AL265" s="89"/>
      <c r="AM265" s="89"/>
      <c r="AN265" s="89"/>
      <c r="AO265" s="89"/>
      <c r="AP265" s="89"/>
      <c r="AQ265" s="89"/>
      <c r="AR265" s="89"/>
      <c r="AS265" s="89"/>
      <c r="AT265" s="89"/>
      <c r="AU265" s="89"/>
      <c r="AV265" s="89"/>
      <c r="AW265" s="89"/>
      <c r="AX265" s="89"/>
      <c r="AY265" s="90"/>
      <c r="AZ265" s="90"/>
      <c r="BA265" s="90">
        <v>0</v>
      </c>
      <c r="BB265" s="89">
        <v>0</v>
      </c>
      <c r="BC265" s="89">
        <v>-7.0000000000000007E-2</v>
      </c>
      <c r="BD265" s="89">
        <v>0</v>
      </c>
      <c r="BE265" s="89">
        <v>0</v>
      </c>
      <c r="BF265" s="89">
        <v>0</v>
      </c>
      <c r="BG265" s="89">
        <v>-0.06</v>
      </c>
      <c r="BH265" s="89">
        <v>0</v>
      </c>
      <c r="BI265" s="89">
        <v>0</v>
      </c>
      <c r="BJ265" s="62">
        <v>0</v>
      </c>
      <c r="BK265" s="62">
        <v>0</v>
      </c>
      <c r="BL265" s="62">
        <v>0</v>
      </c>
      <c r="BM265" s="62">
        <v>0.05</v>
      </c>
      <c r="BN265" s="62">
        <v>0</v>
      </c>
      <c r="BO265" s="62">
        <v>0</v>
      </c>
      <c r="BP265" s="62">
        <v>0</v>
      </c>
      <c r="BQ265" s="62">
        <v>0</v>
      </c>
      <c r="BR265" s="62">
        <v>0</v>
      </c>
      <c r="BS265" s="62">
        <v>-7.0000000000000007E-2</v>
      </c>
      <c r="BT265" s="62">
        <v>0</v>
      </c>
      <c r="BU265" s="62">
        <v>-0.2</v>
      </c>
      <c r="BV265" s="62">
        <v>0</v>
      </c>
      <c r="BW265" s="62">
        <v>0</v>
      </c>
      <c r="BX265" s="62">
        <v>0</v>
      </c>
      <c r="BY265" s="62">
        <v>0</v>
      </c>
      <c r="BZ265" s="62">
        <v>0</v>
      </c>
      <c r="CA265" s="62">
        <v>0.14499999999999999</v>
      </c>
      <c r="CB265" s="62">
        <v>5.0000000000000001E-3</v>
      </c>
      <c r="CC265" s="62">
        <v>0</v>
      </c>
      <c r="CD265" s="62">
        <v>0</v>
      </c>
      <c r="CE265" s="62">
        <v>0</v>
      </c>
      <c r="CF265" s="62">
        <v>0</v>
      </c>
      <c r="CG265" s="62">
        <v>0</v>
      </c>
      <c r="CH265" s="62">
        <v>0</v>
      </c>
      <c r="CI265" s="62">
        <v>0</v>
      </c>
      <c r="CJ265" s="62">
        <v>0</v>
      </c>
      <c r="CK265" s="62">
        <v>0</v>
      </c>
      <c r="CL265" s="62">
        <v>0</v>
      </c>
      <c r="CM265" s="62">
        <v>0</v>
      </c>
      <c r="CN265" s="62">
        <v>0</v>
      </c>
      <c r="CO265" s="62">
        <v>0</v>
      </c>
      <c r="CP265" s="62">
        <v>0</v>
      </c>
      <c r="CQ265" s="62">
        <v>0</v>
      </c>
      <c r="CR265" s="62">
        <v>0</v>
      </c>
      <c r="CS265" s="62">
        <v>0.37</v>
      </c>
      <c r="CT265" s="62">
        <v>3.5000000000000003E-2</v>
      </c>
      <c r="CU265" s="62">
        <v>0.05</v>
      </c>
      <c r="CV265" s="62">
        <v>0</v>
      </c>
      <c r="CW265" s="62">
        <v>0.16500000000000001</v>
      </c>
      <c r="CX265" s="62">
        <v>7.4999999999999997E-3</v>
      </c>
      <c r="CY265" s="62">
        <v>-0.18</v>
      </c>
      <c r="CZ265" s="62">
        <v>0</v>
      </c>
      <c r="DA265" s="62">
        <v>0</v>
      </c>
      <c r="DB265" s="62">
        <v>0</v>
      </c>
      <c r="DC265" s="62">
        <v>0.85</v>
      </c>
      <c r="DE265" s="62">
        <v>-3.0499999999999999E-2</v>
      </c>
      <c r="DF265" s="62">
        <v>0.01</v>
      </c>
      <c r="DG265" s="62">
        <v>2.8500000000000001E-2</v>
      </c>
      <c r="DH265" s="62">
        <v>0.01</v>
      </c>
      <c r="DI265" s="62">
        <v>1.35E-2</v>
      </c>
      <c r="DJ265" s="62">
        <v>7.4999999999999997E-3</v>
      </c>
      <c r="DK265" s="62">
        <v>0</v>
      </c>
      <c r="DL265" s="62">
        <v>0</v>
      </c>
      <c r="DM265" s="62">
        <v>0</v>
      </c>
      <c r="DN265" s="62">
        <v>0</v>
      </c>
      <c r="DO265" s="62">
        <v>0</v>
      </c>
      <c r="DP265" s="62">
        <v>0</v>
      </c>
      <c r="DQ265" s="62">
        <v>0</v>
      </c>
      <c r="DR265" s="62">
        <v>0</v>
      </c>
      <c r="DS265" s="62">
        <v>0.33500000000000002</v>
      </c>
      <c r="DT265" s="62">
        <v>5.0000000000000001E-3</v>
      </c>
    </row>
    <row r="266" spans="4:124" x14ac:dyDescent="0.25">
      <c r="D266" s="91">
        <v>44743</v>
      </c>
      <c r="F266" s="89">
        <v>4.7595000000000001</v>
      </c>
      <c r="G266" s="90">
        <v>6.6663951902139904E-2</v>
      </c>
      <c r="H266" s="89">
        <v>0.17</v>
      </c>
      <c r="I266" s="89">
        <v>0</v>
      </c>
      <c r="J266" s="89">
        <v>0.5</v>
      </c>
      <c r="K266" s="89">
        <v>0.4</v>
      </c>
      <c r="L266" s="89">
        <v>0.5</v>
      </c>
      <c r="M266" s="89">
        <v>0.5</v>
      </c>
      <c r="N266" s="89">
        <v>0.5</v>
      </c>
      <c r="O266" s="89">
        <v>0.5</v>
      </c>
      <c r="P266" s="89">
        <v>0.5</v>
      </c>
      <c r="Q266" s="89">
        <v>0.5</v>
      </c>
      <c r="R266" s="90">
        <v>0</v>
      </c>
      <c r="S266" s="90">
        <v>0.55000000000000004</v>
      </c>
      <c r="T266" s="89">
        <v>0.5</v>
      </c>
      <c r="U266" s="89">
        <v>0.5</v>
      </c>
      <c r="V266" s="89">
        <v>0.6</v>
      </c>
      <c r="W266" s="89"/>
      <c r="X266" s="89"/>
      <c r="Y266" s="89"/>
      <c r="Z266" s="89"/>
      <c r="AA266" s="89"/>
      <c r="AB266" s="89"/>
      <c r="AC266" s="89"/>
      <c r="AD266" s="89"/>
      <c r="AE266" s="89"/>
      <c r="AF266" s="89"/>
      <c r="AG266" s="89"/>
      <c r="AH266" s="89"/>
      <c r="AI266" s="89"/>
      <c r="AJ266" s="89"/>
      <c r="AK266" s="89"/>
      <c r="AL266" s="89"/>
      <c r="AM266" s="89"/>
      <c r="AN266" s="89"/>
      <c r="AO266" s="89"/>
      <c r="AP266" s="89"/>
      <c r="AQ266" s="89"/>
      <c r="AR266" s="89"/>
      <c r="AS266" s="89"/>
      <c r="AT266" s="89"/>
      <c r="AU266" s="89"/>
      <c r="AV266" s="89"/>
      <c r="AW266" s="89"/>
      <c r="AX266" s="89"/>
      <c r="AY266" s="90"/>
      <c r="AZ266" s="90"/>
      <c r="BA266" s="90">
        <v>0</v>
      </c>
      <c r="BB266" s="89">
        <v>0</v>
      </c>
      <c r="BC266" s="89">
        <v>-7.0000000000000007E-2</v>
      </c>
      <c r="BD266" s="89">
        <v>0</v>
      </c>
      <c r="BE266" s="89">
        <v>0</v>
      </c>
      <c r="BF266" s="89">
        <v>0</v>
      </c>
      <c r="BG266" s="89">
        <v>-0.06</v>
      </c>
      <c r="BH266" s="89">
        <v>0</v>
      </c>
      <c r="BI266" s="89">
        <v>0</v>
      </c>
      <c r="BJ266" s="62">
        <v>0</v>
      </c>
      <c r="BK266" s="62">
        <v>0</v>
      </c>
      <c r="BL266" s="62">
        <v>0</v>
      </c>
      <c r="BM266" s="62">
        <v>0.05</v>
      </c>
      <c r="BN266" s="62">
        <v>0</v>
      </c>
      <c r="BO266" s="62">
        <v>0</v>
      </c>
      <c r="BP266" s="62">
        <v>0</v>
      </c>
      <c r="BQ266" s="62">
        <v>0</v>
      </c>
      <c r="BR266" s="62">
        <v>0</v>
      </c>
      <c r="BS266" s="62">
        <v>-7.0000000000000007E-2</v>
      </c>
      <c r="BT266" s="62">
        <v>0</v>
      </c>
      <c r="BU266" s="62">
        <v>-0.2</v>
      </c>
      <c r="BV266" s="62">
        <v>0</v>
      </c>
      <c r="BW266" s="62">
        <v>0</v>
      </c>
      <c r="BX266" s="62">
        <v>0</v>
      </c>
      <c r="BY266" s="62">
        <v>0</v>
      </c>
      <c r="BZ266" s="62">
        <v>0</v>
      </c>
      <c r="CA266" s="62">
        <v>0.15</v>
      </c>
      <c r="CB266" s="62">
        <v>5.0000000000000001E-3</v>
      </c>
      <c r="CC266" s="62">
        <v>0</v>
      </c>
      <c r="CD266" s="62">
        <v>0</v>
      </c>
      <c r="CE266" s="62">
        <v>0</v>
      </c>
      <c r="CF266" s="62">
        <v>0</v>
      </c>
      <c r="CG266" s="62">
        <v>0</v>
      </c>
      <c r="CH266" s="62">
        <v>0</v>
      </c>
      <c r="CI266" s="62">
        <v>0</v>
      </c>
      <c r="CJ266" s="62">
        <v>0</v>
      </c>
      <c r="CK266" s="62">
        <v>0</v>
      </c>
      <c r="CL266" s="62">
        <v>0</v>
      </c>
      <c r="CM266" s="62">
        <v>0</v>
      </c>
      <c r="CN266" s="62">
        <v>0</v>
      </c>
      <c r="CO266" s="62">
        <v>0</v>
      </c>
      <c r="CP266" s="62">
        <v>0</v>
      </c>
      <c r="CQ266" s="62">
        <v>0</v>
      </c>
      <c r="CR266" s="62">
        <v>0</v>
      </c>
      <c r="CS266" s="62">
        <v>0.41</v>
      </c>
      <c r="CT266" s="62">
        <v>3.5000000000000003E-2</v>
      </c>
      <c r="CU266" s="62">
        <v>0.05</v>
      </c>
      <c r="CV266" s="62">
        <v>0</v>
      </c>
      <c r="CW266" s="62">
        <v>0.20499999999999999</v>
      </c>
      <c r="CX266" s="62">
        <v>7.4999999999999997E-3</v>
      </c>
      <c r="CY266" s="62">
        <v>-0.18</v>
      </c>
      <c r="CZ266" s="62">
        <v>0</v>
      </c>
      <c r="DA266" s="62">
        <v>0</v>
      </c>
      <c r="DB266" s="62">
        <v>0</v>
      </c>
      <c r="DC266" s="62">
        <v>1.05</v>
      </c>
      <c r="DE266" s="62">
        <v>-3.0499999999999999E-2</v>
      </c>
      <c r="DF266" s="62">
        <v>0.01</v>
      </c>
      <c r="DG266" s="62">
        <v>2.8500000000000001E-2</v>
      </c>
      <c r="DH266" s="62">
        <v>0.01</v>
      </c>
      <c r="DI266" s="62">
        <v>1.35E-2</v>
      </c>
      <c r="DJ266" s="62">
        <v>7.4999999999999997E-3</v>
      </c>
      <c r="DK266" s="62">
        <v>0</v>
      </c>
      <c r="DL266" s="62">
        <v>0</v>
      </c>
      <c r="DM266" s="62">
        <v>0</v>
      </c>
      <c r="DN266" s="62">
        <v>0</v>
      </c>
      <c r="DO266" s="62">
        <v>0</v>
      </c>
      <c r="DP266" s="62">
        <v>0</v>
      </c>
      <c r="DQ266" s="62">
        <v>0</v>
      </c>
      <c r="DR266" s="62">
        <v>0</v>
      </c>
      <c r="DS266" s="62">
        <v>0.35</v>
      </c>
      <c r="DT266" s="62">
        <v>5.0000000000000001E-3</v>
      </c>
    </row>
    <row r="267" spans="4:124" x14ac:dyDescent="0.25">
      <c r="D267" s="91">
        <v>44774</v>
      </c>
      <c r="F267" s="89">
        <v>4.7995000000000001</v>
      </c>
      <c r="G267" s="90">
        <v>6.66505082146749E-2</v>
      </c>
      <c r="H267" s="89">
        <v>0.17</v>
      </c>
      <c r="I267" s="89">
        <v>0</v>
      </c>
      <c r="J267" s="89">
        <v>0.55000000000000004</v>
      </c>
      <c r="K267" s="89">
        <v>0.5</v>
      </c>
      <c r="L267" s="89">
        <v>0.6</v>
      </c>
      <c r="M267" s="89">
        <v>0.55000000000000004</v>
      </c>
      <c r="N267" s="89">
        <v>0.6</v>
      </c>
      <c r="O267" s="89">
        <v>0.55000000000000004</v>
      </c>
      <c r="P267" s="89">
        <v>0.6</v>
      </c>
      <c r="Q267" s="89">
        <v>0.45</v>
      </c>
      <c r="R267" s="90">
        <v>0</v>
      </c>
      <c r="S267" s="90">
        <v>0.6</v>
      </c>
      <c r="T267" s="89">
        <v>0.55000000000000004</v>
      </c>
      <c r="U267" s="89">
        <v>0.6</v>
      </c>
      <c r="V267" s="89">
        <v>0.7</v>
      </c>
      <c r="W267" s="89"/>
      <c r="X267" s="89"/>
      <c r="Y267" s="89"/>
      <c r="Z267" s="89"/>
      <c r="AA267" s="89"/>
      <c r="AB267" s="89"/>
      <c r="AC267" s="89"/>
      <c r="AD267" s="89"/>
      <c r="AE267" s="89"/>
      <c r="AF267" s="89"/>
      <c r="AG267" s="89"/>
      <c r="AH267" s="89"/>
      <c r="AI267" s="89"/>
      <c r="AJ267" s="89"/>
      <c r="AK267" s="89"/>
      <c r="AL267" s="89"/>
      <c r="AM267" s="89"/>
      <c r="AN267" s="89"/>
      <c r="AO267" s="89"/>
      <c r="AP267" s="89"/>
      <c r="AQ267" s="89"/>
      <c r="AR267" s="89"/>
      <c r="AS267" s="89"/>
      <c r="AT267" s="89"/>
      <c r="AU267" s="89"/>
      <c r="AV267" s="89"/>
      <c r="AW267" s="89"/>
      <c r="AX267" s="89"/>
      <c r="AY267" s="90"/>
      <c r="AZ267" s="90"/>
      <c r="BA267" s="90">
        <v>0</v>
      </c>
      <c r="BB267" s="89">
        <v>0</v>
      </c>
      <c r="BC267" s="89">
        <v>-7.0000000000000007E-2</v>
      </c>
      <c r="BD267" s="89">
        <v>0</v>
      </c>
      <c r="BE267" s="89">
        <v>0</v>
      </c>
      <c r="BF267" s="89">
        <v>0</v>
      </c>
      <c r="BG267" s="89">
        <v>-0.06</v>
      </c>
      <c r="BH267" s="89">
        <v>0</v>
      </c>
      <c r="BI267" s="89">
        <v>0</v>
      </c>
      <c r="BJ267" s="62">
        <v>0</v>
      </c>
      <c r="BK267" s="62">
        <v>0</v>
      </c>
      <c r="BL267" s="62">
        <v>0</v>
      </c>
      <c r="BM267" s="62">
        <v>0.05</v>
      </c>
      <c r="BN267" s="62">
        <v>0</v>
      </c>
      <c r="BO267" s="62">
        <v>0</v>
      </c>
      <c r="BP267" s="62">
        <v>0</v>
      </c>
      <c r="BQ267" s="62">
        <v>0</v>
      </c>
      <c r="BR267" s="62">
        <v>0</v>
      </c>
      <c r="BS267" s="62">
        <v>-7.0000000000000007E-2</v>
      </c>
      <c r="BT267" s="62">
        <v>0</v>
      </c>
      <c r="BU267" s="62">
        <v>-0.2</v>
      </c>
      <c r="BV267" s="62">
        <v>0</v>
      </c>
      <c r="BW267" s="62">
        <v>0</v>
      </c>
      <c r="BX267" s="62">
        <v>0</v>
      </c>
      <c r="BY267" s="62">
        <v>0</v>
      </c>
      <c r="BZ267" s="62">
        <v>0</v>
      </c>
      <c r="CA267" s="62">
        <v>0.15</v>
      </c>
      <c r="CB267" s="62">
        <v>5.0000000000000001E-3</v>
      </c>
      <c r="CC267" s="62">
        <v>0</v>
      </c>
      <c r="CD267" s="62">
        <v>0</v>
      </c>
      <c r="CE267" s="62">
        <v>0</v>
      </c>
      <c r="CF267" s="62">
        <v>0</v>
      </c>
      <c r="CG267" s="62">
        <v>0</v>
      </c>
      <c r="CH267" s="62">
        <v>0</v>
      </c>
      <c r="CI267" s="62">
        <v>0</v>
      </c>
      <c r="CJ267" s="62">
        <v>0</v>
      </c>
      <c r="CK267" s="62">
        <v>0</v>
      </c>
      <c r="CL267" s="62">
        <v>0</v>
      </c>
      <c r="CM267" s="62">
        <v>0</v>
      </c>
      <c r="CN267" s="62">
        <v>0</v>
      </c>
      <c r="CO267" s="62">
        <v>0</v>
      </c>
      <c r="CP267" s="62">
        <v>0</v>
      </c>
      <c r="CQ267" s="62">
        <v>0</v>
      </c>
      <c r="CR267" s="62">
        <v>0</v>
      </c>
      <c r="CS267" s="62">
        <v>0.41</v>
      </c>
      <c r="CT267" s="62">
        <v>0.01</v>
      </c>
      <c r="CU267" s="62">
        <v>0.05</v>
      </c>
      <c r="CV267" s="62">
        <v>0</v>
      </c>
      <c r="CW267" s="62">
        <v>0.20499999999999999</v>
      </c>
      <c r="CX267" s="62">
        <v>7.4999999999999997E-3</v>
      </c>
      <c r="CY267" s="62">
        <v>-0.18</v>
      </c>
      <c r="CZ267" s="62">
        <v>0</v>
      </c>
      <c r="DA267" s="62">
        <v>0</v>
      </c>
      <c r="DB267" s="62">
        <v>0</v>
      </c>
      <c r="DC267" s="62">
        <v>1.05</v>
      </c>
      <c r="DE267" s="62">
        <v>-3.0499999999999999E-2</v>
      </c>
      <c r="DF267" s="62">
        <v>0.01</v>
      </c>
      <c r="DG267" s="62">
        <v>2.35E-2</v>
      </c>
      <c r="DH267" s="62">
        <v>0.01</v>
      </c>
      <c r="DI267" s="62">
        <v>8.5000000000000006E-3</v>
      </c>
      <c r="DJ267" s="62">
        <v>7.4999999999999997E-3</v>
      </c>
      <c r="DK267" s="62">
        <v>0</v>
      </c>
      <c r="DL267" s="62">
        <v>0</v>
      </c>
      <c r="DM267" s="62">
        <v>0</v>
      </c>
      <c r="DN267" s="62">
        <v>0</v>
      </c>
      <c r="DO267" s="62">
        <v>0</v>
      </c>
      <c r="DP267" s="62">
        <v>0</v>
      </c>
      <c r="DQ267" s="62">
        <v>0</v>
      </c>
      <c r="DR267" s="62">
        <v>0</v>
      </c>
      <c r="DS267" s="62">
        <v>0.35</v>
      </c>
      <c r="DT267" s="62">
        <v>-5.0000000000000001E-3</v>
      </c>
    </row>
    <row r="268" spans="4:124" x14ac:dyDescent="0.25">
      <c r="D268" s="91">
        <v>44805</v>
      </c>
      <c r="F268" s="89">
        <v>4.7945000000000002</v>
      </c>
      <c r="G268" s="90">
        <v>6.6637064527269405E-2</v>
      </c>
      <c r="H268" s="89">
        <v>0.17</v>
      </c>
      <c r="I268" s="89">
        <v>0</v>
      </c>
      <c r="J268" s="89">
        <v>0.55000000000000004</v>
      </c>
      <c r="K268" s="89">
        <v>0.55000000000000004</v>
      </c>
      <c r="L268" s="89">
        <v>0.55000000000000004</v>
      </c>
      <c r="M268" s="89">
        <v>0.55000000000000004</v>
      </c>
      <c r="N268" s="89">
        <v>0.6</v>
      </c>
      <c r="O268" s="89">
        <v>0.6</v>
      </c>
      <c r="P268" s="89">
        <v>0.55000000000000004</v>
      </c>
      <c r="Q268" s="89">
        <v>0.5</v>
      </c>
      <c r="R268" s="90">
        <v>0</v>
      </c>
      <c r="S268" s="90">
        <v>0.6</v>
      </c>
      <c r="T268" s="89">
        <v>0.55000000000000004</v>
      </c>
      <c r="U268" s="89">
        <v>0.6</v>
      </c>
      <c r="V268" s="89">
        <v>0.65</v>
      </c>
      <c r="W268" s="89"/>
      <c r="X268" s="89"/>
      <c r="Y268" s="89"/>
      <c r="Z268" s="89"/>
      <c r="AA268" s="89"/>
      <c r="AB268" s="89"/>
      <c r="AC268" s="89"/>
      <c r="AD268" s="89"/>
      <c r="AE268" s="89"/>
      <c r="AF268" s="89"/>
      <c r="AG268" s="89"/>
      <c r="AH268" s="89"/>
      <c r="AI268" s="89"/>
      <c r="AJ268" s="89"/>
      <c r="AK268" s="89"/>
      <c r="AL268" s="89"/>
      <c r="AM268" s="89"/>
      <c r="AN268" s="89"/>
      <c r="AO268" s="89"/>
      <c r="AP268" s="89"/>
      <c r="AQ268" s="89"/>
      <c r="AR268" s="89"/>
      <c r="AS268" s="89"/>
      <c r="AT268" s="89"/>
      <c r="AU268" s="89"/>
      <c r="AV268" s="89"/>
      <c r="AW268" s="89"/>
      <c r="AX268" s="89"/>
      <c r="AY268" s="90"/>
      <c r="AZ268" s="90"/>
      <c r="BA268" s="90">
        <v>0</v>
      </c>
      <c r="BB268" s="89">
        <v>0</v>
      </c>
      <c r="BC268" s="89">
        <v>-7.0000000000000007E-2</v>
      </c>
      <c r="BD268" s="89">
        <v>0</v>
      </c>
      <c r="BE268" s="89">
        <v>0</v>
      </c>
      <c r="BF268" s="89">
        <v>0</v>
      </c>
      <c r="BG268" s="89">
        <v>-0.06</v>
      </c>
      <c r="BH268" s="89">
        <v>0</v>
      </c>
      <c r="BI268" s="89">
        <v>0</v>
      </c>
      <c r="BJ268" s="62">
        <v>0</v>
      </c>
      <c r="BK268" s="62">
        <v>0</v>
      </c>
      <c r="BL268" s="62">
        <v>0</v>
      </c>
      <c r="BM268" s="62">
        <v>0.05</v>
      </c>
      <c r="BN268" s="62">
        <v>0</v>
      </c>
      <c r="BO268" s="62">
        <v>0</v>
      </c>
      <c r="BP268" s="62">
        <v>0</v>
      </c>
      <c r="BQ268" s="62">
        <v>0</v>
      </c>
      <c r="BR268" s="62">
        <v>0</v>
      </c>
      <c r="BS268" s="62">
        <v>-7.0000000000000007E-2</v>
      </c>
      <c r="BT268" s="62">
        <v>0</v>
      </c>
      <c r="BU268" s="62">
        <v>-0.2</v>
      </c>
      <c r="BV268" s="62">
        <v>0</v>
      </c>
      <c r="BW268" s="62">
        <v>0</v>
      </c>
      <c r="BX268" s="62">
        <v>0</v>
      </c>
      <c r="BY268" s="62">
        <v>0</v>
      </c>
      <c r="BZ268" s="62">
        <v>0</v>
      </c>
      <c r="CA268" s="62">
        <v>0.125</v>
      </c>
      <c r="CB268" s="62">
        <v>5.0000000000000001E-3</v>
      </c>
      <c r="CC268" s="62">
        <v>0</v>
      </c>
      <c r="CD268" s="62">
        <v>0</v>
      </c>
      <c r="CE268" s="62">
        <v>0</v>
      </c>
      <c r="CF268" s="62">
        <v>0</v>
      </c>
      <c r="CG268" s="62">
        <v>0</v>
      </c>
      <c r="CH268" s="62">
        <v>0</v>
      </c>
      <c r="CI268" s="62">
        <v>0</v>
      </c>
      <c r="CJ268" s="62">
        <v>0</v>
      </c>
      <c r="CK268" s="62">
        <v>0</v>
      </c>
      <c r="CL268" s="62">
        <v>0</v>
      </c>
      <c r="CM268" s="62">
        <v>0</v>
      </c>
      <c r="CN268" s="62">
        <v>0</v>
      </c>
      <c r="CO268" s="62">
        <v>0</v>
      </c>
      <c r="CP268" s="62">
        <v>0</v>
      </c>
      <c r="CQ268" s="62">
        <v>0</v>
      </c>
      <c r="CR268" s="62">
        <v>0</v>
      </c>
      <c r="CS268" s="62">
        <v>0.36</v>
      </c>
      <c r="CT268" s="62">
        <v>0.01</v>
      </c>
      <c r="CU268" s="62">
        <v>0.05</v>
      </c>
      <c r="CV268" s="62">
        <v>0</v>
      </c>
      <c r="CW268" s="62">
        <v>0.14499999999999999</v>
      </c>
      <c r="CX268" s="62">
        <v>7.4999999999999997E-3</v>
      </c>
      <c r="CY268" s="62">
        <v>-0.18</v>
      </c>
      <c r="CZ268" s="62">
        <v>0</v>
      </c>
      <c r="DA268" s="62">
        <v>0</v>
      </c>
      <c r="DB268" s="62">
        <v>0</v>
      </c>
      <c r="DC268" s="62">
        <v>0.75</v>
      </c>
      <c r="DE268" s="62">
        <v>-3.5499999999999997E-2</v>
      </c>
      <c r="DF268" s="62">
        <v>0.01</v>
      </c>
      <c r="DG268" s="62">
        <v>2.35E-2</v>
      </c>
      <c r="DH268" s="62">
        <v>0.01</v>
      </c>
      <c r="DI268" s="62">
        <v>8.5000000000000006E-3</v>
      </c>
      <c r="DJ268" s="62">
        <v>7.4999999999999997E-3</v>
      </c>
      <c r="DK268" s="62">
        <v>0</v>
      </c>
      <c r="DL268" s="62">
        <v>0</v>
      </c>
      <c r="DM268" s="62">
        <v>0</v>
      </c>
      <c r="DN268" s="62">
        <v>0</v>
      </c>
      <c r="DO268" s="62">
        <v>0</v>
      </c>
      <c r="DP268" s="62">
        <v>0</v>
      </c>
      <c r="DQ268" s="62">
        <v>0</v>
      </c>
      <c r="DR268" s="62">
        <v>0</v>
      </c>
      <c r="DS268" s="62">
        <v>0.315</v>
      </c>
      <c r="DT268" s="62">
        <v>-5.0000000000000001E-3</v>
      </c>
    </row>
    <row r="269" spans="4:124" x14ac:dyDescent="0.25">
      <c r="D269" s="91">
        <v>44835</v>
      </c>
      <c r="F269" s="89">
        <v>4.8194999999999997</v>
      </c>
      <c r="G269" s="90">
        <v>6.6624054507257002E-2</v>
      </c>
      <c r="H269" s="89">
        <v>0.17</v>
      </c>
      <c r="I269" s="89">
        <v>0</v>
      </c>
      <c r="J269" s="89">
        <v>0.6</v>
      </c>
      <c r="K269" s="89">
        <v>0.55000000000000004</v>
      </c>
      <c r="L269" s="89">
        <v>0.6</v>
      </c>
      <c r="M269" s="89">
        <v>0.6</v>
      </c>
      <c r="N269" s="89">
        <v>0.65</v>
      </c>
      <c r="O269" s="89">
        <v>0.65</v>
      </c>
      <c r="P269" s="89">
        <v>0.6</v>
      </c>
      <c r="Q269" s="89">
        <v>0.5</v>
      </c>
      <c r="R269" s="90">
        <v>0</v>
      </c>
      <c r="S269" s="90">
        <v>0.65</v>
      </c>
      <c r="T269" s="89">
        <v>0.6</v>
      </c>
      <c r="U269" s="89">
        <v>0.65</v>
      </c>
      <c r="V269" s="89">
        <v>0.7</v>
      </c>
      <c r="W269" s="89"/>
      <c r="X269" s="89"/>
      <c r="Y269" s="89"/>
      <c r="Z269" s="89"/>
      <c r="AA269" s="89"/>
      <c r="AB269" s="89"/>
      <c r="AC269" s="89"/>
      <c r="AD269" s="89"/>
      <c r="AE269" s="89"/>
      <c r="AF269" s="89"/>
      <c r="AG269" s="89"/>
      <c r="AH269" s="89"/>
      <c r="AI269" s="89"/>
      <c r="AJ269" s="89"/>
      <c r="AK269" s="89"/>
      <c r="AL269" s="89"/>
      <c r="AM269" s="89"/>
      <c r="AN269" s="89"/>
      <c r="AO269" s="89"/>
      <c r="AP269" s="89"/>
      <c r="AQ269" s="89"/>
      <c r="AR269" s="89"/>
      <c r="AS269" s="89"/>
      <c r="AT269" s="89"/>
      <c r="AU269" s="89"/>
      <c r="AV269" s="89"/>
      <c r="AW269" s="89"/>
      <c r="AX269" s="89"/>
      <c r="AY269" s="90"/>
      <c r="AZ269" s="90"/>
      <c r="BA269" s="90">
        <v>0</v>
      </c>
      <c r="BB269" s="89">
        <v>0</v>
      </c>
      <c r="BC269" s="89">
        <v>-7.0000000000000007E-2</v>
      </c>
      <c r="BD269" s="89">
        <v>0</v>
      </c>
      <c r="BE269" s="89">
        <v>0</v>
      </c>
      <c r="BF269" s="89">
        <v>0</v>
      </c>
      <c r="BG269" s="89">
        <v>-0.06</v>
      </c>
      <c r="BH269" s="89">
        <v>0</v>
      </c>
      <c r="BI269" s="89">
        <v>0</v>
      </c>
      <c r="BJ269" s="62">
        <v>0</v>
      </c>
      <c r="BK269" s="62">
        <v>0</v>
      </c>
      <c r="BL269" s="62">
        <v>0</v>
      </c>
      <c r="BM269" s="62">
        <v>0.05</v>
      </c>
      <c r="BN269" s="62">
        <v>0</v>
      </c>
      <c r="BO269" s="62">
        <v>0</v>
      </c>
      <c r="BP269" s="62">
        <v>0</v>
      </c>
      <c r="BQ269" s="62">
        <v>0</v>
      </c>
      <c r="BR269" s="62">
        <v>0</v>
      </c>
      <c r="BS269" s="62">
        <v>-7.0000000000000007E-2</v>
      </c>
      <c r="BT269" s="62">
        <v>0</v>
      </c>
      <c r="BU269" s="62">
        <v>-0.2</v>
      </c>
      <c r="BV269" s="62">
        <v>0</v>
      </c>
      <c r="BW269" s="62">
        <v>0</v>
      </c>
      <c r="BX269" s="62">
        <v>0</v>
      </c>
      <c r="BY269" s="62">
        <v>0</v>
      </c>
      <c r="BZ269" s="62">
        <v>0</v>
      </c>
      <c r="CA269" s="62">
        <v>0.14499999999999999</v>
      </c>
      <c r="CB269" s="62">
        <v>5.0000000000000001E-3</v>
      </c>
      <c r="CC269" s="62">
        <v>0</v>
      </c>
      <c r="CD269" s="62">
        <v>0</v>
      </c>
      <c r="CE269" s="62">
        <v>0</v>
      </c>
      <c r="CF269" s="62">
        <v>0</v>
      </c>
      <c r="CG269" s="62">
        <v>0</v>
      </c>
      <c r="CH269" s="62">
        <v>0</v>
      </c>
      <c r="CI269" s="62">
        <v>0</v>
      </c>
      <c r="CJ269" s="62">
        <v>0</v>
      </c>
      <c r="CK269" s="62">
        <v>0</v>
      </c>
      <c r="CL269" s="62">
        <v>0</v>
      </c>
      <c r="CM269" s="62">
        <v>0</v>
      </c>
      <c r="CN269" s="62">
        <v>0</v>
      </c>
      <c r="CO269" s="62">
        <v>0</v>
      </c>
      <c r="CP269" s="62">
        <v>0</v>
      </c>
      <c r="CQ269" s="62">
        <v>0</v>
      </c>
      <c r="CR269" s="62">
        <v>0</v>
      </c>
      <c r="CS269" s="62">
        <v>0.4</v>
      </c>
      <c r="CT269" s="62">
        <v>0.01</v>
      </c>
      <c r="CU269" s="62">
        <v>0.05</v>
      </c>
      <c r="CV269" s="62">
        <v>0</v>
      </c>
      <c r="CW269" s="62">
        <v>0.17499999999999999</v>
      </c>
      <c r="CX269" s="62">
        <v>7.4999999999999997E-3</v>
      </c>
      <c r="CY269" s="62">
        <v>-0.18</v>
      </c>
      <c r="CZ269" s="62">
        <v>0</v>
      </c>
      <c r="DA269" s="62">
        <v>0</v>
      </c>
      <c r="DB269" s="62">
        <v>0</v>
      </c>
      <c r="DC269" s="62">
        <v>0.45</v>
      </c>
      <c r="DE269" s="62">
        <v>-3.5499999999999997E-2</v>
      </c>
      <c r="DF269" s="62">
        <v>0.01</v>
      </c>
      <c r="DG269" s="62">
        <v>2.1000000000000001E-2</v>
      </c>
      <c r="DH269" s="62">
        <v>0.01</v>
      </c>
      <c r="DI269" s="62">
        <v>6.0000000000000001E-3</v>
      </c>
      <c r="DJ269" s="62">
        <v>7.4999999999999997E-3</v>
      </c>
      <c r="DK269" s="62">
        <v>0</v>
      </c>
      <c r="DL269" s="62">
        <v>0</v>
      </c>
      <c r="DM269" s="62">
        <v>0</v>
      </c>
      <c r="DN269" s="62">
        <v>0</v>
      </c>
      <c r="DO269" s="62">
        <v>0</v>
      </c>
      <c r="DP269" s="62">
        <v>0</v>
      </c>
      <c r="DQ269" s="62">
        <v>0</v>
      </c>
      <c r="DR269" s="62">
        <v>0</v>
      </c>
      <c r="DS269" s="62">
        <v>0.36</v>
      </c>
      <c r="DT269" s="62">
        <v>-5.0000000000000001E-3</v>
      </c>
    </row>
    <row r="270" spans="4:124" x14ac:dyDescent="0.25">
      <c r="D270" s="91">
        <v>44866</v>
      </c>
      <c r="F270" s="89">
        <v>4.9714999999999998</v>
      </c>
      <c r="G270" s="90">
        <v>6.6610610819969607E-2</v>
      </c>
      <c r="H270" s="89">
        <v>0.17</v>
      </c>
      <c r="I270" s="89">
        <v>0</v>
      </c>
      <c r="J270" s="89">
        <v>0.85</v>
      </c>
      <c r="K270" s="89">
        <v>0.8</v>
      </c>
      <c r="L270" s="89">
        <v>0.8</v>
      </c>
      <c r="M270" s="89">
        <v>0.9</v>
      </c>
      <c r="N270" s="89">
        <v>0.95</v>
      </c>
      <c r="O270" s="89">
        <v>0.85</v>
      </c>
      <c r="P270" s="89">
        <v>0.8</v>
      </c>
      <c r="Q270" s="89">
        <v>0.95</v>
      </c>
      <c r="R270" s="90">
        <v>0</v>
      </c>
      <c r="S270" s="90">
        <v>0.8</v>
      </c>
      <c r="T270" s="89">
        <v>0.8</v>
      </c>
      <c r="U270" s="89">
        <v>0.95</v>
      </c>
      <c r="V270" s="89">
        <v>0.9</v>
      </c>
      <c r="W270" s="89"/>
      <c r="X270" s="89"/>
      <c r="Y270" s="89"/>
      <c r="Z270" s="89"/>
      <c r="AA270" s="89"/>
      <c r="AB270" s="89"/>
      <c r="AC270" s="89"/>
      <c r="AD270" s="89"/>
      <c r="AE270" s="89"/>
      <c r="AF270" s="89"/>
      <c r="AG270" s="89"/>
      <c r="AH270" s="89"/>
      <c r="AI270" s="89"/>
      <c r="AJ270" s="89"/>
      <c r="AK270" s="89"/>
      <c r="AL270" s="89"/>
      <c r="AM270" s="89"/>
      <c r="AN270" s="89"/>
      <c r="AO270" s="89"/>
      <c r="AP270" s="89"/>
      <c r="AQ270" s="89"/>
      <c r="AR270" s="89"/>
      <c r="AS270" s="89"/>
      <c r="AT270" s="89"/>
      <c r="AU270" s="89"/>
      <c r="AV270" s="89"/>
      <c r="AW270" s="89"/>
      <c r="AX270" s="89"/>
      <c r="AY270" s="90"/>
      <c r="AZ270" s="90"/>
      <c r="BA270" s="90">
        <v>0</v>
      </c>
      <c r="BB270" s="89">
        <v>0</v>
      </c>
      <c r="BC270" s="89">
        <v>-7.0000000000000007E-2</v>
      </c>
      <c r="BD270" s="89">
        <v>0</v>
      </c>
      <c r="BE270" s="89">
        <v>0</v>
      </c>
      <c r="BF270" s="89">
        <v>0</v>
      </c>
      <c r="BG270" s="89">
        <v>-0.06</v>
      </c>
      <c r="BH270" s="89">
        <v>0</v>
      </c>
      <c r="BI270" s="89">
        <v>0</v>
      </c>
      <c r="BJ270" s="62">
        <v>0</v>
      </c>
      <c r="BK270" s="62">
        <v>0</v>
      </c>
      <c r="BL270" s="62">
        <v>0</v>
      </c>
      <c r="BM270" s="62">
        <v>0.05</v>
      </c>
      <c r="BN270" s="62">
        <v>0</v>
      </c>
      <c r="BO270" s="62">
        <v>0</v>
      </c>
      <c r="BP270" s="62">
        <v>0</v>
      </c>
      <c r="BQ270" s="62">
        <v>0</v>
      </c>
      <c r="BR270" s="62">
        <v>0</v>
      </c>
      <c r="BS270" s="62">
        <v>-7.0000000000000007E-2</v>
      </c>
      <c r="BT270" s="62">
        <v>0</v>
      </c>
      <c r="BU270" s="62">
        <v>-0.2</v>
      </c>
      <c r="BV270" s="62">
        <v>0</v>
      </c>
      <c r="BW270" s="62">
        <v>0</v>
      </c>
      <c r="BX270" s="62">
        <v>0</v>
      </c>
      <c r="BY270" s="62">
        <v>0</v>
      </c>
      <c r="BZ270" s="62">
        <v>0</v>
      </c>
      <c r="CA270" s="62">
        <v>0.19500000000000001</v>
      </c>
      <c r="CB270" s="62">
        <v>5.0000000000000001E-3</v>
      </c>
      <c r="CC270" s="62">
        <v>0</v>
      </c>
      <c r="CD270" s="62">
        <v>0</v>
      </c>
      <c r="CE270" s="62">
        <v>0</v>
      </c>
      <c r="CF270" s="62">
        <v>0</v>
      </c>
      <c r="CG270" s="62">
        <v>0</v>
      </c>
      <c r="CH270" s="62">
        <v>0</v>
      </c>
      <c r="CI270" s="62">
        <v>0</v>
      </c>
      <c r="CJ270" s="62">
        <v>0</v>
      </c>
      <c r="CK270" s="62">
        <v>0</v>
      </c>
      <c r="CL270" s="62">
        <v>0</v>
      </c>
      <c r="CM270" s="62">
        <v>0</v>
      </c>
      <c r="CN270" s="62">
        <v>0</v>
      </c>
      <c r="CO270" s="62">
        <v>0</v>
      </c>
      <c r="CP270" s="62">
        <v>0</v>
      </c>
      <c r="CQ270" s="62">
        <v>0</v>
      </c>
      <c r="CR270" s="62">
        <v>0</v>
      </c>
      <c r="CS270" s="62">
        <v>0.65</v>
      </c>
      <c r="CT270" s="62">
        <v>5.5E-2</v>
      </c>
      <c r="CU270" s="62">
        <v>0.05</v>
      </c>
      <c r="CV270" s="62">
        <v>0</v>
      </c>
      <c r="CW270" s="62">
        <v>0.21</v>
      </c>
      <c r="CX270" s="62">
        <v>0.02</v>
      </c>
      <c r="CY270" s="62">
        <v>-0.18</v>
      </c>
      <c r="CZ270" s="62">
        <v>0</v>
      </c>
      <c r="DA270" s="62">
        <v>0</v>
      </c>
      <c r="DB270" s="62">
        <v>0</v>
      </c>
      <c r="DC270" s="62">
        <v>0.45</v>
      </c>
      <c r="DE270" s="62">
        <v>-2.4E-2</v>
      </c>
      <c r="DF270" s="62">
        <v>1.2500000000000001E-2</v>
      </c>
      <c r="DG270" s="62">
        <v>2.1999999999999999E-2</v>
      </c>
      <c r="DH270" s="62">
        <v>7.4999999999999997E-3</v>
      </c>
      <c r="DI270" s="62">
        <v>7.0000000000000001E-3</v>
      </c>
      <c r="DJ270" s="62">
        <v>2.5000000000000001E-3</v>
      </c>
      <c r="DK270" s="62">
        <v>0</v>
      </c>
      <c r="DL270" s="62">
        <v>0</v>
      </c>
      <c r="DM270" s="62">
        <v>0</v>
      </c>
      <c r="DN270" s="62">
        <v>0</v>
      </c>
      <c r="DO270" s="62">
        <v>0</v>
      </c>
      <c r="DP270" s="62">
        <v>0</v>
      </c>
      <c r="DQ270" s="62">
        <v>0</v>
      </c>
      <c r="DR270" s="62">
        <v>0</v>
      </c>
      <c r="DS270" s="62">
        <v>0.46</v>
      </c>
      <c r="DT270" s="62">
        <v>0.05</v>
      </c>
    </row>
    <row r="271" spans="4:124" x14ac:dyDescent="0.25">
      <c r="D271" s="91">
        <v>44896</v>
      </c>
      <c r="F271" s="89">
        <v>5.1144999999999996</v>
      </c>
      <c r="G271" s="90">
        <v>6.6597600800070794E-2</v>
      </c>
      <c r="H271" s="89">
        <v>0.17</v>
      </c>
      <c r="I271" s="89">
        <v>0</v>
      </c>
      <c r="J271" s="89">
        <v>1.05</v>
      </c>
      <c r="K271" s="89">
        <v>1</v>
      </c>
      <c r="L271" s="89">
        <v>1</v>
      </c>
      <c r="M271" s="89">
        <v>1.1499999999999999</v>
      </c>
      <c r="N271" s="89">
        <v>1.25</v>
      </c>
      <c r="O271" s="89">
        <v>1.05</v>
      </c>
      <c r="P271" s="89">
        <v>1</v>
      </c>
      <c r="Q271" s="89">
        <v>1.35</v>
      </c>
      <c r="R271" s="90">
        <v>0</v>
      </c>
      <c r="S271" s="90">
        <v>1.1000000000000001</v>
      </c>
      <c r="T271" s="89">
        <v>1</v>
      </c>
      <c r="U271" s="89">
        <v>1.25</v>
      </c>
      <c r="V271" s="89">
        <v>1.1000000000000001</v>
      </c>
      <c r="W271" s="89"/>
      <c r="X271" s="89"/>
      <c r="Y271" s="89"/>
      <c r="Z271" s="89"/>
      <c r="AA271" s="89"/>
      <c r="AB271" s="89"/>
      <c r="AC271" s="89"/>
      <c r="AD271" s="89"/>
      <c r="AE271" s="89"/>
      <c r="AF271" s="89"/>
      <c r="AG271" s="89"/>
      <c r="AH271" s="89"/>
      <c r="AI271" s="89"/>
      <c r="AJ271" s="89"/>
      <c r="AK271" s="89"/>
      <c r="AL271" s="89"/>
      <c r="AM271" s="89"/>
      <c r="AN271" s="89"/>
      <c r="AO271" s="89"/>
      <c r="AP271" s="89"/>
      <c r="AQ271" s="89"/>
      <c r="AR271" s="89"/>
      <c r="AS271" s="89"/>
      <c r="AT271" s="89"/>
      <c r="AU271" s="89"/>
      <c r="AV271" s="89"/>
      <c r="AW271" s="89"/>
      <c r="AX271" s="89"/>
      <c r="AY271" s="90"/>
      <c r="AZ271" s="90"/>
      <c r="BA271" s="90">
        <v>0</v>
      </c>
      <c r="BB271" s="89">
        <v>0</v>
      </c>
      <c r="BC271" s="89">
        <v>-7.0000000000000007E-2</v>
      </c>
      <c r="BD271" s="89">
        <v>0</v>
      </c>
      <c r="BE271" s="89">
        <v>0</v>
      </c>
      <c r="BF271" s="89">
        <v>0</v>
      </c>
      <c r="BG271" s="89">
        <v>-0.06</v>
      </c>
      <c r="BH271" s="89">
        <v>0</v>
      </c>
      <c r="BI271" s="89">
        <v>0</v>
      </c>
      <c r="BJ271" s="62">
        <v>0</v>
      </c>
      <c r="BK271" s="62">
        <v>0</v>
      </c>
      <c r="BL271" s="62">
        <v>0</v>
      </c>
      <c r="BM271" s="62">
        <v>0.05</v>
      </c>
      <c r="BN271" s="62">
        <v>0</v>
      </c>
      <c r="BO271" s="62">
        <v>0</v>
      </c>
      <c r="BP271" s="62">
        <v>0</v>
      </c>
      <c r="BQ271" s="62">
        <v>0</v>
      </c>
      <c r="BR271" s="62">
        <v>0</v>
      </c>
      <c r="BS271" s="62">
        <v>-7.0000000000000007E-2</v>
      </c>
      <c r="BT271" s="62">
        <v>0</v>
      </c>
      <c r="BU271" s="62">
        <v>-0.2</v>
      </c>
      <c r="BV271" s="62">
        <v>0</v>
      </c>
      <c r="BW271" s="62">
        <v>0</v>
      </c>
      <c r="BX271" s="62">
        <v>0</v>
      </c>
      <c r="BY271" s="62">
        <v>0</v>
      </c>
      <c r="BZ271" s="62">
        <v>0</v>
      </c>
      <c r="CA271" s="62">
        <v>0.215</v>
      </c>
      <c r="CB271" s="62">
        <v>5.0000000000000001E-3</v>
      </c>
      <c r="CC271" s="62">
        <v>0</v>
      </c>
      <c r="CD271" s="62">
        <v>0</v>
      </c>
      <c r="CE271" s="62">
        <v>0</v>
      </c>
      <c r="CF271" s="62">
        <v>0</v>
      </c>
      <c r="CG271" s="62">
        <v>0</v>
      </c>
      <c r="CH271" s="62">
        <v>0</v>
      </c>
      <c r="CI271" s="62">
        <v>0</v>
      </c>
      <c r="CJ271" s="62">
        <v>0</v>
      </c>
      <c r="CK271" s="62">
        <v>0</v>
      </c>
      <c r="CL271" s="62">
        <v>0</v>
      </c>
      <c r="CM271" s="62">
        <v>0</v>
      </c>
      <c r="CN271" s="62">
        <v>0</v>
      </c>
      <c r="CO271" s="62">
        <v>0</v>
      </c>
      <c r="CP271" s="62">
        <v>0</v>
      </c>
      <c r="CQ271" s="62">
        <v>0</v>
      </c>
      <c r="CR271" s="62">
        <v>0</v>
      </c>
      <c r="CS271" s="62">
        <v>0.98</v>
      </c>
      <c r="CT271" s="62">
        <v>0.25</v>
      </c>
      <c r="CU271" s="62">
        <v>0.05</v>
      </c>
      <c r="CV271" s="62">
        <v>0</v>
      </c>
      <c r="CW271" s="62">
        <v>0.28999999999999998</v>
      </c>
      <c r="CX271" s="62">
        <v>0.02</v>
      </c>
      <c r="CY271" s="62">
        <v>-0.18</v>
      </c>
      <c r="CZ271" s="62">
        <v>0</v>
      </c>
      <c r="DA271" s="62">
        <v>0</v>
      </c>
      <c r="DB271" s="62">
        <v>0</v>
      </c>
      <c r="DC271" s="62">
        <v>0.4</v>
      </c>
      <c r="DE271" s="62">
        <v>-2.4E-2</v>
      </c>
      <c r="DF271" s="62">
        <v>1.2500000000000001E-2</v>
      </c>
      <c r="DG271" s="62">
        <v>2.1999999999999999E-2</v>
      </c>
      <c r="DH271" s="62">
        <v>7.4999999999999997E-3</v>
      </c>
      <c r="DI271" s="62">
        <v>7.0000000000000001E-3</v>
      </c>
      <c r="DJ271" s="62">
        <v>2.5000000000000001E-3</v>
      </c>
      <c r="DK271" s="62">
        <v>0</v>
      </c>
      <c r="DL271" s="62">
        <v>0</v>
      </c>
      <c r="DM271" s="62">
        <v>0</v>
      </c>
      <c r="DN271" s="62">
        <v>0</v>
      </c>
      <c r="DO271" s="62">
        <v>0</v>
      </c>
      <c r="DP271" s="62">
        <v>0</v>
      </c>
      <c r="DQ271" s="62">
        <v>0</v>
      </c>
      <c r="DR271" s="62">
        <v>0</v>
      </c>
      <c r="DS271" s="62">
        <v>0.77</v>
      </c>
      <c r="DT271" s="62">
        <v>0.05</v>
      </c>
    </row>
    <row r="272" spans="4:124" x14ac:dyDescent="0.25">
      <c r="D272" s="91">
        <v>44927</v>
      </c>
      <c r="F272" s="89">
        <v>5.1745000000000001</v>
      </c>
      <c r="G272" s="90">
        <v>6.6584157112901096E-2</v>
      </c>
      <c r="H272" s="89">
        <v>0.17</v>
      </c>
      <c r="I272" s="89">
        <v>0</v>
      </c>
      <c r="J272" s="89">
        <v>1.05</v>
      </c>
      <c r="K272" s="89">
        <v>1</v>
      </c>
      <c r="L272" s="89">
        <v>1</v>
      </c>
      <c r="M272" s="89">
        <v>1.1499999999999999</v>
      </c>
      <c r="N272" s="89">
        <v>1.45</v>
      </c>
      <c r="O272" s="89">
        <v>1.05</v>
      </c>
      <c r="P272" s="89">
        <v>1</v>
      </c>
      <c r="Q272" s="89">
        <v>1.35</v>
      </c>
      <c r="R272" s="90">
        <v>0</v>
      </c>
      <c r="S272" s="90">
        <v>1.1000000000000001</v>
      </c>
      <c r="T272" s="89">
        <v>1</v>
      </c>
      <c r="U272" s="89">
        <v>1.45</v>
      </c>
      <c r="V272" s="89">
        <v>1.1000000000000001</v>
      </c>
      <c r="W272" s="89"/>
      <c r="X272" s="89"/>
      <c r="Y272" s="89"/>
      <c r="Z272" s="89"/>
      <c r="AA272" s="89"/>
      <c r="AB272" s="89"/>
      <c r="AC272" s="89"/>
      <c r="AD272" s="89"/>
      <c r="AE272" s="89"/>
      <c r="AF272" s="89"/>
      <c r="AG272" s="89"/>
      <c r="AH272" s="89"/>
      <c r="AI272" s="89"/>
      <c r="AJ272" s="89"/>
      <c r="AK272" s="89"/>
      <c r="AL272" s="89"/>
      <c r="AM272" s="89"/>
      <c r="AN272" s="89"/>
      <c r="AO272" s="89"/>
      <c r="AP272" s="89"/>
      <c r="AQ272" s="89"/>
      <c r="AR272" s="89"/>
      <c r="AS272" s="89"/>
      <c r="AT272" s="89"/>
      <c r="AU272" s="89"/>
      <c r="AV272" s="89"/>
      <c r="AW272" s="89"/>
      <c r="AX272" s="89"/>
      <c r="AY272" s="90"/>
      <c r="AZ272" s="90"/>
      <c r="BA272" s="90">
        <v>0</v>
      </c>
      <c r="BB272" s="89">
        <v>0</v>
      </c>
      <c r="BC272" s="89">
        <v>-7.0000000000000007E-2</v>
      </c>
      <c r="BD272" s="89">
        <v>0</v>
      </c>
      <c r="BE272" s="89">
        <v>0</v>
      </c>
      <c r="BF272" s="89">
        <v>0</v>
      </c>
      <c r="BG272" s="89">
        <v>-0.06</v>
      </c>
      <c r="BH272" s="89">
        <v>0</v>
      </c>
      <c r="BI272" s="89">
        <v>0</v>
      </c>
      <c r="BJ272" s="62">
        <v>0</v>
      </c>
      <c r="BK272" s="62">
        <v>0</v>
      </c>
      <c r="BL272" s="62">
        <v>0</v>
      </c>
      <c r="BM272" s="62">
        <v>0.05</v>
      </c>
      <c r="BN272" s="62">
        <v>0</v>
      </c>
      <c r="BO272" s="62">
        <v>0</v>
      </c>
      <c r="BP272" s="62">
        <v>0</v>
      </c>
      <c r="BQ272" s="62">
        <v>0</v>
      </c>
      <c r="BR272" s="62">
        <v>0</v>
      </c>
      <c r="BS272" s="62">
        <v>-7.0000000000000007E-2</v>
      </c>
      <c r="BT272" s="62">
        <v>0</v>
      </c>
      <c r="BU272" s="62">
        <v>-0.2</v>
      </c>
      <c r="BV272" s="62">
        <v>0</v>
      </c>
      <c r="BW272" s="62">
        <v>0</v>
      </c>
      <c r="BX272" s="62">
        <v>0</v>
      </c>
      <c r="CA272" s="62">
        <v>0.23499999999999999</v>
      </c>
      <c r="CB272" s="62">
        <v>5.0000000000000001E-3</v>
      </c>
      <c r="CM272" s="62"/>
      <c r="CN272" s="62"/>
      <c r="CO272" s="62"/>
      <c r="CP272" s="62"/>
      <c r="CQ272" s="62"/>
      <c r="CR272" s="62"/>
      <c r="CS272" s="62">
        <v>1.6</v>
      </c>
      <c r="CT272" s="62">
        <v>0.45</v>
      </c>
      <c r="CU272" s="62">
        <v>0.05</v>
      </c>
      <c r="CV272" s="62">
        <v>0</v>
      </c>
      <c r="CW272" s="62">
        <v>0.34</v>
      </c>
      <c r="CX272" s="62">
        <v>0.02</v>
      </c>
      <c r="CY272" s="62">
        <v>-0.18</v>
      </c>
      <c r="CZ272" s="62">
        <v>0</v>
      </c>
      <c r="DA272" s="62">
        <v>0</v>
      </c>
      <c r="DB272" s="62">
        <v>0</v>
      </c>
      <c r="DC272" s="62">
        <v>0.35</v>
      </c>
      <c r="DK272" s="62"/>
      <c r="DL272" s="62"/>
      <c r="DM272" s="62"/>
      <c r="DN272" s="62"/>
      <c r="DO272" s="62"/>
      <c r="DP272" s="62"/>
      <c r="DQ272" s="62"/>
      <c r="DR272" s="62"/>
      <c r="DS272" s="62">
        <v>1.04</v>
      </c>
      <c r="DT272" s="62">
        <v>0.05</v>
      </c>
    </row>
    <row r="273" spans="4:124" x14ac:dyDescent="0.25">
      <c r="D273" s="91">
        <v>44958</v>
      </c>
      <c r="F273" s="89">
        <v>5.0895000000000001</v>
      </c>
      <c r="G273" s="90">
        <v>6.6570713425791406E-2</v>
      </c>
      <c r="H273" s="89">
        <v>0.17</v>
      </c>
      <c r="I273" s="89">
        <v>0</v>
      </c>
      <c r="J273" s="89">
        <v>1.05</v>
      </c>
      <c r="K273" s="89">
        <v>1</v>
      </c>
      <c r="L273" s="89">
        <v>1</v>
      </c>
      <c r="M273" s="89">
        <v>1.1499999999999999</v>
      </c>
      <c r="N273" s="89">
        <v>1.45</v>
      </c>
      <c r="O273" s="89">
        <v>1.05</v>
      </c>
      <c r="P273" s="89">
        <v>1</v>
      </c>
      <c r="Q273" s="89">
        <v>1.35</v>
      </c>
      <c r="R273" s="90">
        <v>0</v>
      </c>
      <c r="S273" s="90">
        <v>1.1000000000000001</v>
      </c>
      <c r="T273" s="89">
        <v>1</v>
      </c>
      <c r="U273" s="89">
        <v>1.45</v>
      </c>
      <c r="V273" s="89">
        <v>1.1000000000000001</v>
      </c>
      <c r="W273" s="89"/>
      <c r="X273" s="89"/>
      <c r="Y273" s="89"/>
      <c r="Z273" s="89"/>
      <c r="AA273" s="89"/>
      <c r="AB273" s="89"/>
      <c r="AC273" s="89"/>
      <c r="AD273" s="89"/>
      <c r="AE273" s="89"/>
      <c r="AF273" s="89"/>
      <c r="AG273" s="89"/>
      <c r="AH273" s="89"/>
      <c r="AI273" s="89"/>
      <c r="AJ273" s="89"/>
      <c r="AK273" s="89"/>
      <c r="AL273" s="89"/>
      <c r="AM273" s="89"/>
      <c r="AN273" s="89"/>
      <c r="AO273" s="89"/>
      <c r="AP273" s="89"/>
      <c r="AQ273" s="89"/>
      <c r="AR273" s="89"/>
      <c r="AS273" s="89"/>
      <c r="AT273" s="89"/>
      <c r="AU273" s="89"/>
      <c r="AV273" s="89"/>
      <c r="AW273" s="89"/>
      <c r="AX273" s="89"/>
      <c r="AY273" s="90"/>
      <c r="AZ273" s="90"/>
      <c r="BA273" s="90">
        <v>0</v>
      </c>
      <c r="BB273" s="89">
        <v>0</v>
      </c>
      <c r="BC273" s="89">
        <v>-7.0000000000000007E-2</v>
      </c>
      <c r="BD273" s="89">
        <v>0</v>
      </c>
      <c r="BE273" s="89">
        <v>0</v>
      </c>
      <c r="BF273" s="89">
        <v>0</v>
      </c>
      <c r="BG273" s="89">
        <v>-0.06</v>
      </c>
      <c r="BH273" s="89">
        <v>0</v>
      </c>
      <c r="BI273" s="89">
        <v>0</v>
      </c>
      <c r="BJ273" s="62">
        <v>0</v>
      </c>
      <c r="BK273" s="62">
        <v>0</v>
      </c>
      <c r="BL273" s="62">
        <v>0</v>
      </c>
      <c r="BM273" s="62">
        <v>0.05</v>
      </c>
      <c r="BN273" s="62">
        <v>0</v>
      </c>
      <c r="BO273" s="62">
        <v>0</v>
      </c>
      <c r="BP273" s="62">
        <v>0</v>
      </c>
      <c r="BQ273" s="62">
        <v>0</v>
      </c>
      <c r="BR273" s="62">
        <v>0</v>
      </c>
      <c r="BS273" s="62">
        <v>-7.0000000000000007E-2</v>
      </c>
      <c r="BT273" s="62">
        <v>0</v>
      </c>
      <c r="BU273" s="62">
        <v>-0.2</v>
      </c>
      <c r="BV273" s="62">
        <v>0</v>
      </c>
      <c r="BW273" s="62">
        <v>0</v>
      </c>
      <c r="BX273" s="62">
        <v>0</v>
      </c>
      <c r="CA273" s="62">
        <v>0.23499999999999999</v>
      </c>
      <c r="CB273" s="62">
        <v>5.0000000000000001E-3</v>
      </c>
      <c r="CM273" s="62"/>
      <c r="CN273" s="62"/>
      <c r="CO273" s="62"/>
      <c r="CP273" s="62"/>
      <c r="CQ273" s="62"/>
      <c r="CR273" s="62"/>
      <c r="CS273" s="62">
        <v>1.6</v>
      </c>
      <c r="CT273" s="62">
        <v>0.45</v>
      </c>
      <c r="CU273" s="62">
        <v>0.05</v>
      </c>
      <c r="CV273" s="62">
        <v>0</v>
      </c>
      <c r="CW273" s="62">
        <v>0.34</v>
      </c>
      <c r="CX273" s="62">
        <v>0.02</v>
      </c>
      <c r="CY273" s="62">
        <v>-0.18</v>
      </c>
      <c r="CZ273" s="62">
        <v>0</v>
      </c>
      <c r="DA273" s="62">
        <v>0</v>
      </c>
      <c r="DB273" s="62">
        <v>0</v>
      </c>
      <c r="DC273" s="62">
        <v>0.35</v>
      </c>
      <c r="DK273" s="62"/>
      <c r="DL273" s="62"/>
      <c r="DM273" s="62"/>
      <c r="DN273" s="62"/>
      <c r="DO273" s="62"/>
      <c r="DP273" s="62"/>
      <c r="DQ273" s="62"/>
      <c r="DR273" s="62"/>
      <c r="DS273" s="62">
        <v>1.04</v>
      </c>
      <c r="DT273" s="62">
        <v>0.05</v>
      </c>
    </row>
    <row r="274" spans="4:124" x14ac:dyDescent="0.25">
      <c r="D274" s="91">
        <v>44986</v>
      </c>
      <c r="F274" s="89">
        <v>4.9595000000000002</v>
      </c>
      <c r="G274" s="90">
        <v>6.6558570740711198E-2</v>
      </c>
      <c r="H274" s="89">
        <v>0.17</v>
      </c>
      <c r="I274" s="89">
        <v>0</v>
      </c>
      <c r="J274" s="89">
        <v>0.8</v>
      </c>
      <c r="K274" s="89">
        <v>0.75</v>
      </c>
      <c r="L274" s="89">
        <v>0.75</v>
      </c>
      <c r="M274" s="89">
        <v>0.85</v>
      </c>
      <c r="N274" s="89">
        <v>1</v>
      </c>
      <c r="O274" s="89">
        <v>0.75</v>
      </c>
      <c r="P274" s="89">
        <v>0.75</v>
      </c>
      <c r="Q274" s="89">
        <v>0.95</v>
      </c>
      <c r="R274" s="90">
        <v>0</v>
      </c>
      <c r="S274" s="90">
        <v>0.75</v>
      </c>
      <c r="T274" s="89">
        <v>0.75</v>
      </c>
      <c r="U274" s="89">
        <v>1</v>
      </c>
      <c r="V274" s="89">
        <v>0.85</v>
      </c>
      <c r="W274" s="89"/>
      <c r="X274" s="89"/>
      <c r="Y274" s="89"/>
      <c r="Z274" s="89"/>
      <c r="AA274" s="89"/>
      <c r="AB274" s="89"/>
      <c r="AC274" s="89"/>
      <c r="AD274" s="89"/>
      <c r="AE274" s="89"/>
      <c r="AF274" s="89"/>
      <c r="AG274" s="89"/>
      <c r="AH274" s="89"/>
      <c r="AI274" s="89"/>
      <c r="AJ274" s="89"/>
      <c r="AK274" s="89"/>
      <c r="AL274" s="89"/>
      <c r="AM274" s="89"/>
      <c r="AN274" s="89"/>
      <c r="AO274" s="89"/>
      <c r="AP274" s="89"/>
      <c r="AQ274" s="89"/>
      <c r="AR274" s="89"/>
      <c r="AS274" s="89"/>
      <c r="AT274" s="89"/>
      <c r="AU274" s="89"/>
      <c r="AV274" s="89"/>
      <c r="AW274" s="89"/>
      <c r="AX274" s="89"/>
      <c r="AY274" s="90"/>
      <c r="AZ274" s="90"/>
      <c r="BA274" s="90">
        <v>0</v>
      </c>
      <c r="BB274" s="89">
        <v>0</v>
      </c>
      <c r="BC274" s="89">
        <v>-7.0000000000000007E-2</v>
      </c>
      <c r="BD274" s="89">
        <v>0</v>
      </c>
      <c r="BE274" s="89">
        <v>0</v>
      </c>
      <c r="BF274" s="89">
        <v>0</v>
      </c>
      <c r="BG274" s="89">
        <v>-0.06</v>
      </c>
      <c r="BH274" s="89">
        <v>0</v>
      </c>
      <c r="BI274" s="89">
        <v>0</v>
      </c>
      <c r="BJ274" s="62">
        <v>0</v>
      </c>
      <c r="BK274" s="62">
        <v>0</v>
      </c>
      <c r="BL274" s="62">
        <v>0</v>
      </c>
      <c r="BM274" s="62">
        <v>0.05</v>
      </c>
      <c r="BN274" s="62">
        <v>0</v>
      </c>
      <c r="BO274" s="62">
        <v>0</v>
      </c>
      <c r="BP274" s="62">
        <v>0</v>
      </c>
      <c r="BQ274" s="62">
        <v>0</v>
      </c>
      <c r="BR274" s="62">
        <v>0</v>
      </c>
      <c r="BS274" s="62">
        <v>-7.0000000000000007E-2</v>
      </c>
      <c r="BT274" s="62">
        <v>0</v>
      </c>
      <c r="BU274" s="62">
        <v>-0.2</v>
      </c>
      <c r="BV274" s="62">
        <v>0</v>
      </c>
      <c r="BW274" s="62">
        <v>0</v>
      </c>
      <c r="BX274" s="62">
        <v>0</v>
      </c>
      <c r="CA274" s="62">
        <v>0.19500000000000001</v>
      </c>
      <c r="CB274" s="62">
        <v>5.0000000000000001E-3</v>
      </c>
      <c r="CM274" s="62"/>
      <c r="CN274" s="62"/>
      <c r="CO274" s="62"/>
      <c r="CP274" s="62"/>
      <c r="CQ274" s="62"/>
      <c r="CR274" s="62"/>
      <c r="CS274" s="62">
        <v>0.64</v>
      </c>
      <c r="CT274" s="62">
        <v>0.1</v>
      </c>
      <c r="CU274" s="62">
        <v>0.05</v>
      </c>
      <c r="CV274" s="62">
        <v>0</v>
      </c>
      <c r="CW274" s="62">
        <v>0.28999999999999998</v>
      </c>
      <c r="CX274" s="62">
        <v>0.02</v>
      </c>
      <c r="CY274" s="62">
        <v>-0.18</v>
      </c>
      <c r="CZ274" s="62">
        <v>0</v>
      </c>
      <c r="DA274" s="62">
        <v>0</v>
      </c>
      <c r="DB274" s="62">
        <v>0</v>
      </c>
      <c r="DC274" s="62">
        <v>0.4</v>
      </c>
      <c r="DS274" s="62">
        <v>0.54</v>
      </c>
      <c r="DT274" s="62">
        <v>0.05</v>
      </c>
    </row>
    <row r="275" spans="4:124" x14ac:dyDescent="0.25">
      <c r="D275" s="91">
        <v>45017</v>
      </c>
      <c r="F275" s="89">
        <v>4.7744999999999997</v>
      </c>
      <c r="G275" s="90">
        <v>6.6545127053715195E-2</v>
      </c>
      <c r="H275" s="89">
        <v>0.17</v>
      </c>
      <c r="I275" s="89">
        <v>0</v>
      </c>
      <c r="J275" s="89">
        <v>0.45</v>
      </c>
      <c r="K275" s="89">
        <v>0.4</v>
      </c>
      <c r="L275" s="89">
        <v>0.45</v>
      </c>
      <c r="M275" s="89">
        <v>0.45</v>
      </c>
      <c r="N275" s="89">
        <v>0.45</v>
      </c>
      <c r="O275" s="89">
        <v>0.45</v>
      </c>
      <c r="P275" s="89">
        <v>0.45</v>
      </c>
      <c r="Q275" s="89">
        <v>0.5</v>
      </c>
      <c r="R275" s="90">
        <v>0</v>
      </c>
      <c r="S275" s="90">
        <v>0.45</v>
      </c>
      <c r="T275" s="89">
        <v>0.4</v>
      </c>
      <c r="U275" s="89">
        <v>0.45</v>
      </c>
      <c r="V275" s="89">
        <v>0.55000000000000004</v>
      </c>
      <c r="W275" s="89"/>
      <c r="X275" s="89"/>
      <c r="Y275" s="89"/>
      <c r="Z275" s="89"/>
      <c r="AA275" s="89"/>
      <c r="AB275" s="89"/>
      <c r="AC275" s="89"/>
      <c r="AD275" s="89"/>
      <c r="AE275" s="89"/>
      <c r="AF275" s="89"/>
      <c r="AG275" s="89"/>
      <c r="AH275" s="89"/>
      <c r="AI275" s="89"/>
      <c r="AJ275" s="89"/>
      <c r="AK275" s="89"/>
      <c r="AL275" s="89"/>
      <c r="AM275" s="89"/>
      <c r="AN275" s="89"/>
      <c r="AO275" s="89"/>
      <c r="AP275" s="89"/>
      <c r="AQ275" s="89"/>
      <c r="AR275" s="89"/>
      <c r="AS275" s="89"/>
      <c r="AT275" s="89"/>
      <c r="AU275" s="89"/>
      <c r="AV275" s="89"/>
      <c r="AW275" s="89"/>
      <c r="AX275" s="89"/>
      <c r="AY275" s="90"/>
      <c r="AZ275" s="90"/>
      <c r="BA275" s="90">
        <v>0</v>
      </c>
      <c r="BB275" s="89">
        <v>0</v>
      </c>
      <c r="BC275" s="89">
        <v>-7.0000000000000007E-2</v>
      </c>
      <c r="BD275" s="89">
        <v>0</v>
      </c>
      <c r="BE275" s="89">
        <v>0</v>
      </c>
      <c r="BF275" s="89">
        <v>0</v>
      </c>
      <c r="BG275" s="89">
        <v>-0.06</v>
      </c>
      <c r="BH275" s="89">
        <v>0</v>
      </c>
      <c r="BI275" s="89">
        <v>0</v>
      </c>
      <c r="BJ275" s="62">
        <v>0</v>
      </c>
      <c r="BK275" s="62">
        <v>0</v>
      </c>
      <c r="BL275" s="62">
        <v>0</v>
      </c>
      <c r="BM275" s="62">
        <v>0.05</v>
      </c>
      <c r="BN275" s="62">
        <v>0</v>
      </c>
      <c r="BO275" s="62">
        <v>0</v>
      </c>
      <c r="BP275" s="62">
        <v>0</v>
      </c>
      <c r="BQ275" s="62">
        <v>0</v>
      </c>
      <c r="BR275" s="62">
        <v>0</v>
      </c>
      <c r="BS275" s="62">
        <v>-7.0000000000000007E-2</v>
      </c>
      <c r="BT275" s="62">
        <v>0</v>
      </c>
      <c r="BU275" s="62">
        <v>-0.2</v>
      </c>
      <c r="BV275" s="62">
        <v>0</v>
      </c>
      <c r="BW275" s="62">
        <v>0</v>
      </c>
      <c r="BX275" s="62">
        <v>0</v>
      </c>
      <c r="CA275" s="62">
        <v>0.14499999999999999</v>
      </c>
      <c r="CB275" s="62">
        <v>5.0000000000000001E-3</v>
      </c>
      <c r="CM275" s="62"/>
      <c r="CN275" s="62"/>
      <c r="CO275" s="62"/>
      <c r="CP275" s="62"/>
      <c r="CQ275" s="62"/>
      <c r="CR275" s="62"/>
      <c r="CS275" s="62">
        <v>0.38</v>
      </c>
      <c r="CT275" s="62">
        <v>0.02</v>
      </c>
      <c r="CU275" s="62">
        <v>0.05</v>
      </c>
      <c r="CV275" s="62">
        <v>0</v>
      </c>
      <c r="CW275" s="62">
        <v>0.19500000000000001</v>
      </c>
      <c r="CX275" s="62">
        <v>7.4999999999999997E-3</v>
      </c>
      <c r="CY275" s="62">
        <v>-0.18</v>
      </c>
      <c r="CZ275" s="62">
        <v>0</v>
      </c>
      <c r="DA275" s="62">
        <v>0</v>
      </c>
      <c r="DB275" s="62">
        <v>0</v>
      </c>
      <c r="DC275" s="62">
        <v>0.6</v>
      </c>
      <c r="DS275" s="62">
        <v>0.36</v>
      </c>
      <c r="DT275" s="62">
        <v>5.0000000000000001E-3</v>
      </c>
    </row>
    <row r="276" spans="4:124" x14ac:dyDescent="0.25">
      <c r="D276" s="91">
        <v>45047</v>
      </c>
      <c r="F276" s="89">
        <v>4.7694999999999999</v>
      </c>
      <c r="G276" s="90">
        <v>6.6532117034098906E-2</v>
      </c>
      <c r="H276" s="89">
        <v>0.17</v>
      </c>
      <c r="I276" s="89">
        <v>0</v>
      </c>
      <c r="J276" s="89">
        <v>0.5</v>
      </c>
      <c r="K276" s="89">
        <v>0.4</v>
      </c>
      <c r="L276" s="89">
        <v>0.4</v>
      </c>
      <c r="M276" s="89">
        <v>0.45</v>
      </c>
      <c r="N276" s="89">
        <v>0.5</v>
      </c>
      <c r="O276" s="89">
        <v>0.45</v>
      </c>
      <c r="P276" s="89">
        <v>0.4</v>
      </c>
      <c r="Q276" s="89">
        <v>0.45</v>
      </c>
      <c r="R276" s="90">
        <v>0</v>
      </c>
      <c r="S276" s="90">
        <v>0.5</v>
      </c>
      <c r="T276" s="89">
        <v>0.45</v>
      </c>
      <c r="U276" s="89">
        <v>0.5</v>
      </c>
      <c r="V276" s="89">
        <v>0.5</v>
      </c>
      <c r="W276" s="89"/>
      <c r="X276" s="89"/>
      <c r="Y276" s="89"/>
      <c r="Z276" s="89"/>
      <c r="AA276" s="89"/>
      <c r="AB276" s="89"/>
      <c r="AC276" s="89"/>
      <c r="AD276" s="89"/>
      <c r="AE276" s="89"/>
      <c r="AF276" s="89"/>
      <c r="AG276" s="89"/>
      <c r="AH276" s="89"/>
      <c r="AI276" s="89"/>
      <c r="AJ276" s="89"/>
      <c r="AK276" s="89"/>
      <c r="AL276" s="89"/>
      <c r="AM276" s="89"/>
      <c r="AN276" s="89"/>
      <c r="AO276" s="89"/>
      <c r="AP276" s="89"/>
      <c r="AQ276" s="89"/>
      <c r="AR276" s="89"/>
      <c r="AS276" s="89"/>
      <c r="AT276" s="89"/>
      <c r="AU276" s="89"/>
      <c r="AV276" s="89"/>
      <c r="AW276" s="89"/>
      <c r="AX276" s="89"/>
      <c r="AY276" s="90"/>
      <c r="AZ276" s="90"/>
      <c r="BA276" s="90">
        <v>0</v>
      </c>
      <c r="BB276" s="89">
        <v>0</v>
      </c>
      <c r="BC276" s="89">
        <v>-7.0000000000000007E-2</v>
      </c>
      <c r="BD276" s="89">
        <v>0</v>
      </c>
      <c r="BE276" s="89">
        <v>0</v>
      </c>
      <c r="BF276" s="89">
        <v>0</v>
      </c>
      <c r="BG276" s="89">
        <v>-0.06</v>
      </c>
      <c r="BH276" s="89">
        <v>0</v>
      </c>
      <c r="BI276" s="89">
        <v>0</v>
      </c>
      <c r="BJ276" s="62">
        <v>0</v>
      </c>
      <c r="BK276" s="62">
        <v>0</v>
      </c>
      <c r="BL276" s="62">
        <v>0</v>
      </c>
      <c r="BM276" s="62">
        <v>0.05</v>
      </c>
      <c r="BN276" s="62">
        <v>0</v>
      </c>
      <c r="BO276" s="62">
        <v>0</v>
      </c>
      <c r="BP276" s="62">
        <v>0</v>
      </c>
      <c r="BQ276" s="62">
        <v>0</v>
      </c>
      <c r="BR276" s="62">
        <v>0</v>
      </c>
      <c r="BS276" s="62">
        <v>-7.0000000000000007E-2</v>
      </c>
      <c r="BT276" s="62">
        <v>0</v>
      </c>
      <c r="BU276" s="62">
        <v>-0.2</v>
      </c>
      <c r="BV276" s="62">
        <v>0</v>
      </c>
      <c r="BW276" s="62">
        <v>0</v>
      </c>
      <c r="BX276" s="62">
        <v>0</v>
      </c>
      <c r="CA276" s="62">
        <v>0.125</v>
      </c>
      <c r="CB276" s="62">
        <v>5.0000000000000001E-3</v>
      </c>
      <c r="CM276" s="62"/>
      <c r="CN276" s="62"/>
      <c r="CO276" s="62"/>
      <c r="CP276" s="62"/>
      <c r="CQ276" s="62"/>
      <c r="CR276" s="62"/>
      <c r="CS276" s="62">
        <v>0.33</v>
      </c>
      <c r="CT276" s="62">
        <v>0.02</v>
      </c>
      <c r="CU276" s="62">
        <v>0.05</v>
      </c>
      <c r="CV276" s="62">
        <v>0</v>
      </c>
      <c r="CW276" s="62">
        <v>0.13500000000000001</v>
      </c>
      <c r="CX276" s="62">
        <v>7.4999999999999997E-3</v>
      </c>
      <c r="CY276" s="62">
        <v>-0.18</v>
      </c>
      <c r="CZ276" s="62">
        <v>0</v>
      </c>
      <c r="DA276" s="62">
        <v>0</v>
      </c>
      <c r="DB276" s="62">
        <v>0</v>
      </c>
      <c r="DC276" s="62">
        <v>0.75</v>
      </c>
      <c r="DS276" s="62">
        <v>0.32500000000000001</v>
      </c>
      <c r="DT276" s="62">
        <v>5.0000000000000001E-3</v>
      </c>
    </row>
    <row r="277" spans="4:124" x14ac:dyDescent="0.25">
      <c r="D277" s="91">
        <v>45078</v>
      </c>
      <c r="F277" s="89">
        <v>4.8045</v>
      </c>
      <c r="G277" s="90">
        <v>6.6518673347221002E-2</v>
      </c>
      <c r="H277" s="89">
        <v>0.17</v>
      </c>
      <c r="I277" s="89">
        <v>0</v>
      </c>
      <c r="J277" s="89">
        <v>0.5</v>
      </c>
      <c r="K277" s="89">
        <v>0.4</v>
      </c>
      <c r="L277" s="89">
        <v>0.5</v>
      </c>
      <c r="M277" s="89">
        <v>0.45</v>
      </c>
      <c r="N277" s="89">
        <v>0.5</v>
      </c>
      <c r="O277" s="89">
        <v>0.5</v>
      </c>
      <c r="P277" s="89">
        <v>0.5</v>
      </c>
      <c r="Q277" s="89">
        <v>0.5</v>
      </c>
      <c r="R277" s="90">
        <v>0</v>
      </c>
      <c r="S277" s="90">
        <v>0.5</v>
      </c>
      <c r="T277" s="89">
        <v>0.45</v>
      </c>
      <c r="U277" s="89">
        <v>0.5</v>
      </c>
      <c r="V277" s="89">
        <v>0.6</v>
      </c>
      <c r="W277" s="89"/>
      <c r="X277" s="89"/>
      <c r="Y277" s="89"/>
      <c r="Z277" s="89"/>
      <c r="AA277" s="89"/>
      <c r="AB277" s="89"/>
      <c r="AC277" s="89"/>
      <c r="AD277" s="89"/>
      <c r="AE277" s="89"/>
      <c r="AF277" s="89"/>
      <c r="AG277" s="89"/>
      <c r="AH277" s="89"/>
      <c r="AI277" s="89"/>
      <c r="AJ277" s="89"/>
      <c r="AK277" s="89"/>
      <c r="AL277" s="89"/>
      <c r="AM277" s="89"/>
      <c r="AN277" s="89"/>
      <c r="AO277" s="89"/>
      <c r="AP277" s="89"/>
      <c r="AQ277" s="89"/>
      <c r="AR277" s="89"/>
      <c r="AS277" s="89"/>
      <c r="AT277" s="89"/>
      <c r="AU277" s="89"/>
      <c r="AV277" s="89"/>
      <c r="AW277" s="89"/>
      <c r="AX277" s="89"/>
      <c r="AY277" s="90"/>
      <c r="AZ277" s="90"/>
      <c r="BA277" s="90">
        <v>0</v>
      </c>
      <c r="BB277" s="89">
        <v>0</v>
      </c>
      <c r="BC277" s="89">
        <v>-7.0000000000000007E-2</v>
      </c>
      <c r="BD277" s="89">
        <v>0</v>
      </c>
      <c r="BE277" s="89">
        <v>0</v>
      </c>
      <c r="BF277" s="89">
        <v>0</v>
      </c>
      <c r="BG277" s="89">
        <v>-0.06</v>
      </c>
      <c r="BH277" s="89">
        <v>0</v>
      </c>
      <c r="BI277" s="89">
        <v>0</v>
      </c>
      <c r="BJ277" s="62">
        <v>0</v>
      </c>
      <c r="BK277" s="62">
        <v>0</v>
      </c>
      <c r="BL277" s="62">
        <v>0</v>
      </c>
      <c r="BM277" s="62">
        <v>0.05</v>
      </c>
      <c r="BN277" s="62">
        <v>0</v>
      </c>
      <c r="BO277" s="62">
        <v>0</v>
      </c>
      <c r="BP277" s="62">
        <v>0</v>
      </c>
      <c r="BQ277" s="62">
        <v>0</v>
      </c>
      <c r="BR277" s="62">
        <v>0</v>
      </c>
      <c r="BS277" s="62">
        <v>-7.0000000000000007E-2</v>
      </c>
      <c r="BT277" s="62">
        <v>0</v>
      </c>
      <c r="BU277" s="62">
        <v>-0.2</v>
      </c>
      <c r="BV277" s="62">
        <v>0</v>
      </c>
      <c r="BW277" s="62">
        <v>0</v>
      </c>
      <c r="BX277" s="62">
        <v>0</v>
      </c>
      <c r="CA277" s="62">
        <v>0.14499999999999999</v>
      </c>
      <c r="CB277" s="62">
        <v>5.0000000000000001E-3</v>
      </c>
      <c r="CM277" s="62"/>
      <c r="CN277" s="62"/>
      <c r="CO277" s="62"/>
      <c r="CP277" s="62"/>
      <c r="CQ277" s="62"/>
      <c r="CR277" s="62"/>
      <c r="CS277" s="62">
        <v>0.37</v>
      </c>
      <c r="CT277" s="62">
        <v>3.5000000000000003E-2</v>
      </c>
      <c r="CU277" s="62">
        <v>0.05</v>
      </c>
      <c r="CV277" s="62">
        <v>0</v>
      </c>
      <c r="CW277" s="62">
        <v>0.16500000000000001</v>
      </c>
      <c r="CX277" s="62">
        <v>7.4999999999999997E-3</v>
      </c>
      <c r="CY277" s="62">
        <v>-0.18</v>
      </c>
      <c r="CZ277" s="62">
        <v>0</v>
      </c>
      <c r="DA277" s="62">
        <v>0</v>
      </c>
      <c r="DB277" s="62">
        <v>0</v>
      </c>
      <c r="DC277" s="62">
        <v>0.85</v>
      </c>
      <c r="DS277" s="62">
        <v>0.33500000000000002</v>
      </c>
      <c r="DT277" s="62">
        <v>5.0000000000000001E-3</v>
      </c>
    </row>
    <row r="278" spans="4:124" x14ac:dyDescent="0.25">
      <c r="D278" s="91">
        <v>45108</v>
      </c>
      <c r="F278" s="89">
        <v>4.8445</v>
      </c>
      <c r="G278" s="90">
        <v>6.6505663327717901E-2</v>
      </c>
      <c r="H278" s="89">
        <v>0.17</v>
      </c>
      <c r="I278" s="89">
        <v>0</v>
      </c>
      <c r="J278" s="89">
        <v>0.5</v>
      </c>
      <c r="K278" s="89">
        <v>0.4</v>
      </c>
      <c r="L278" s="89">
        <v>0.5</v>
      </c>
      <c r="M278" s="89">
        <v>0.5</v>
      </c>
      <c r="N278" s="89">
        <v>0.5</v>
      </c>
      <c r="O278" s="89">
        <v>0.5</v>
      </c>
      <c r="P278" s="89">
        <v>0.5</v>
      </c>
      <c r="Q278" s="89">
        <v>0.5</v>
      </c>
      <c r="R278" s="90">
        <v>0</v>
      </c>
      <c r="S278" s="90">
        <v>0.55000000000000004</v>
      </c>
      <c r="T278" s="89">
        <v>0.5</v>
      </c>
      <c r="U278" s="89">
        <v>0.5</v>
      </c>
      <c r="V278" s="89">
        <v>0.6</v>
      </c>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c r="AT278" s="89"/>
      <c r="AU278" s="89"/>
      <c r="AV278" s="89"/>
      <c r="AW278" s="89"/>
      <c r="AX278" s="89"/>
      <c r="AY278" s="90"/>
      <c r="AZ278" s="90"/>
      <c r="BA278" s="90">
        <v>0</v>
      </c>
      <c r="BB278" s="89">
        <v>0</v>
      </c>
      <c r="BC278" s="89">
        <v>-7.0000000000000007E-2</v>
      </c>
      <c r="BD278" s="89">
        <v>0</v>
      </c>
      <c r="BE278" s="89">
        <v>0</v>
      </c>
      <c r="BF278" s="89">
        <v>0</v>
      </c>
      <c r="BG278" s="89">
        <v>-0.06</v>
      </c>
      <c r="BH278" s="89">
        <v>0</v>
      </c>
      <c r="BI278" s="89">
        <v>0</v>
      </c>
      <c r="BJ278" s="62">
        <v>0</v>
      </c>
      <c r="BK278" s="62">
        <v>0</v>
      </c>
      <c r="BL278" s="62">
        <v>0</v>
      </c>
      <c r="BM278" s="62">
        <v>0.05</v>
      </c>
      <c r="BN278" s="62">
        <v>0</v>
      </c>
      <c r="BO278" s="62">
        <v>0</v>
      </c>
      <c r="BP278" s="62">
        <v>0</v>
      </c>
      <c r="BQ278" s="62">
        <v>0</v>
      </c>
      <c r="BR278" s="62">
        <v>0</v>
      </c>
      <c r="BS278" s="62">
        <v>-7.0000000000000007E-2</v>
      </c>
      <c r="BT278" s="62">
        <v>0</v>
      </c>
      <c r="BU278" s="62">
        <v>-0.2</v>
      </c>
      <c r="BV278" s="62">
        <v>0</v>
      </c>
      <c r="BW278" s="62">
        <v>0</v>
      </c>
      <c r="BX278" s="62">
        <v>0</v>
      </c>
      <c r="CA278" s="62">
        <v>0.15</v>
      </c>
      <c r="CB278" s="62">
        <v>5.0000000000000001E-3</v>
      </c>
      <c r="CM278" s="62"/>
      <c r="CN278" s="62"/>
      <c r="CO278" s="62"/>
      <c r="CP278" s="62"/>
      <c r="CQ278" s="62"/>
      <c r="CR278" s="62"/>
      <c r="CS278" s="62">
        <v>0.41</v>
      </c>
      <c r="CT278" s="62">
        <v>3.5000000000000003E-2</v>
      </c>
      <c r="CU278" s="62">
        <v>0.05</v>
      </c>
      <c r="CV278" s="62">
        <v>0</v>
      </c>
      <c r="CW278" s="62">
        <v>0.20499999999999999</v>
      </c>
      <c r="CX278" s="62">
        <v>7.4999999999999997E-3</v>
      </c>
      <c r="CY278" s="62">
        <v>-0.18</v>
      </c>
      <c r="CZ278" s="62">
        <v>0</v>
      </c>
      <c r="DA278" s="62">
        <v>0</v>
      </c>
      <c r="DB278" s="62">
        <v>0</v>
      </c>
      <c r="DC278" s="62">
        <v>1.05</v>
      </c>
      <c r="DS278" s="62">
        <v>0.35</v>
      </c>
      <c r="DT278" s="62">
        <v>5.0000000000000001E-3</v>
      </c>
    </row>
    <row r="279" spans="4:124" x14ac:dyDescent="0.25">
      <c r="D279" s="91">
        <v>45139</v>
      </c>
      <c r="F279" s="89">
        <v>4.8845000000000001</v>
      </c>
      <c r="G279" s="90">
        <v>6.6492219640958097E-2</v>
      </c>
      <c r="H279" s="89">
        <v>0.17</v>
      </c>
      <c r="I279" s="89">
        <v>0</v>
      </c>
      <c r="J279" s="89">
        <v>0.55000000000000004</v>
      </c>
      <c r="K279" s="89">
        <v>0.5</v>
      </c>
      <c r="L279" s="89">
        <v>0.6</v>
      </c>
      <c r="M279" s="89">
        <v>0.55000000000000004</v>
      </c>
      <c r="N279" s="89">
        <v>0.6</v>
      </c>
      <c r="O279" s="89">
        <v>0.55000000000000004</v>
      </c>
      <c r="P279" s="89">
        <v>0.6</v>
      </c>
      <c r="Q279" s="89">
        <v>0.45</v>
      </c>
      <c r="R279" s="90">
        <v>0</v>
      </c>
      <c r="S279" s="90">
        <v>0.6</v>
      </c>
      <c r="T279" s="89">
        <v>0.55000000000000004</v>
      </c>
      <c r="U279" s="89">
        <v>0.6</v>
      </c>
      <c r="V279" s="89">
        <v>0.7</v>
      </c>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c r="AS279" s="89"/>
      <c r="AT279" s="89"/>
      <c r="AU279" s="89"/>
      <c r="AV279" s="89"/>
      <c r="AW279" s="89"/>
      <c r="AX279" s="89"/>
      <c r="AY279" s="90"/>
      <c r="AZ279" s="90"/>
      <c r="BA279" s="90">
        <v>0</v>
      </c>
      <c r="BB279" s="89">
        <v>0</v>
      </c>
      <c r="BC279" s="89">
        <v>-7.0000000000000007E-2</v>
      </c>
      <c r="BD279" s="89">
        <v>0</v>
      </c>
      <c r="BE279" s="89">
        <v>0</v>
      </c>
      <c r="BF279" s="89">
        <v>0</v>
      </c>
      <c r="BG279" s="89">
        <v>-0.06</v>
      </c>
      <c r="BH279" s="89">
        <v>0</v>
      </c>
      <c r="BI279" s="89">
        <v>0</v>
      </c>
      <c r="BJ279" s="62">
        <v>0</v>
      </c>
      <c r="BK279" s="62">
        <v>0</v>
      </c>
      <c r="BL279" s="62">
        <v>0</v>
      </c>
      <c r="BM279" s="62">
        <v>0.05</v>
      </c>
      <c r="BN279" s="62">
        <v>0</v>
      </c>
      <c r="BO279" s="62">
        <v>0</v>
      </c>
      <c r="BP279" s="62">
        <v>0</v>
      </c>
      <c r="BQ279" s="62">
        <v>0</v>
      </c>
      <c r="BR279" s="62">
        <v>0</v>
      </c>
      <c r="BS279" s="62">
        <v>-7.0000000000000007E-2</v>
      </c>
      <c r="BT279" s="62">
        <v>0</v>
      </c>
      <c r="BU279" s="62">
        <v>-0.2</v>
      </c>
      <c r="BV279" s="62">
        <v>0</v>
      </c>
      <c r="BW279" s="62">
        <v>0</v>
      </c>
      <c r="BX279" s="62">
        <v>0</v>
      </c>
      <c r="CA279" s="62">
        <v>0.15</v>
      </c>
      <c r="CB279" s="62">
        <v>5.0000000000000001E-3</v>
      </c>
      <c r="CM279" s="62"/>
      <c r="CN279" s="62"/>
      <c r="CO279" s="62"/>
      <c r="CP279" s="62"/>
      <c r="CQ279" s="62"/>
      <c r="CR279" s="62"/>
      <c r="CS279" s="62">
        <v>0.41</v>
      </c>
      <c r="CT279" s="62">
        <v>0.01</v>
      </c>
      <c r="CU279" s="62">
        <v>0.05</v>
      </c>
      <c r="CV279" s="62">
        <v>0</v>
      </c>
      <c r="CW279" s="62">
        <v>0.20499999999999999</v>
      </c>
      <c r="CX279" s="62">
        <v>7.4999999999999997E-3</v>
      </c>
      <c r="CY279" s="62">
        <v>-0.18</v>
      </c>
      <c r="CZ279" s="62">
        <v>0</v>
      </c>
      <c r="DA279" s="62">
        <v>0</v>
      </c>
      <c r="DB279" s="62">
        <v>0</v>
      </c>
      <c r="DC279" s="62">
        <v>1.05</v>
      </c>
      <c r="DS279" s="62">
        <v>0.35</v>
      </c>
      <c r="DT279" s="62">
        <v>-5.0000000000000001E-3</v>
      </c>
    </row>
    <row r="280" spans="4:124" x14ac:dyDescent="0.25">
      <c r="D280" s="91">
        <v>45170</v>
      </c>
      <c r="F280" s="89">
        <v>4.8795000000000002</v>
      </c>
      <c r="G280" s="90">
        <v>6.6478775954257302E-2</v>
      </c>
      <c r="H280" s="89">
        <v>0.17</v>
      </c>
      <c r="I280" s="89">
        <v>0</v>
      </c>
      <c r="J280" s="89">
        <v>0.55000000000000004</v>
      </c>
      <c r="K280" s="89">
        <v>0.55000000000000004</v>
      </c>
      <c r="L280" s="89">
        <v>0.55000000000000004</v>
      </c>
      <c r="M280" s="89">
        <v>0.55000000000000004</v>
      </c>
      <c r="N280" s="89">
        <v>0.6</v>
      </c>
      <c r="O280" s="89">
        <v>0.6</v>
      </c>
      <c r="P280" s="89">
        <v>0.55000000000000004</v>
      </c>
      <c r="Q280" s="89">
        <v>0.5</v>
      </c>
      <c r="R280" s="90">
        <v>0</v>
      </c>
      <c r="S280" s="90">
        <v>0.6</v>
      </c>
      <c r="T280" s="89">
        <v>0.55000000000000004</v>
      </c>
      <c r="U280" s="89">
        <v>0.6</v>
      </c>
      <c r="V280" s="89">
        <v>0.65</v>
      </c>
      <c r="W280" s="89"/>
      <c r="X280" s="89"/>
      <c r="Y280" s="89"/>
      <c r="Z280" s="89"/>
      <c r="AA280" s="89"/>
      <c r="AB280" s="89"/>
      <c r="AC280" s="89"/>
      <c r="AD280" s="89"/>
      <c r="AE280" s="89"/>
      <c r="AF280" s="89"/>
      <c r="AG280" s="89"/>
      <c r="AH280" s="89"/>
      <c r="AI280" s="89"/>
      <c r="AJ280" s="89"/>
      <c r="AK280" s="89"/>
      <c r="AL280" s="89"/>
      <c r="AM280" s="89"/>
      <c r="AN280" s="89"/>
      <c r="AO280" s="89"/>
      <c r="AP280" s="89"/>
      <c r="AQ280" s="89"/>
      <c r="AR280" s="89"/>
      <c r="AS280" s="89"/>
      <c r="AT280" s="89"/>
      <c r="AU280" s="89"/>
      <c r="AV280" s="89"/>
      <c r="AW280" s="89"/>
      <c r="AX280" s="89"/>
      <c r="AY280" s="90"/>
      <c r="AZ280" s="90"/>
      <c r="BA280" s="90">
        <v>0</v>
      </c>
      <c r="BB280" s="89">
        <v>0</v>
      </c>
      <c r="BC280" s="89">
        <v>-7.0000000000000007E-2</v>
      </c>
      <c r="BD280" s="89">
        <v>0</v>
      </c>
      <c r="BE280" s="89">
        <v>0</v>
      </c>
      <c r="BF280" s="89">
        <v>0</v>
      </c>
      <c r="BG280" s="89">
        <v>-0.06</v>
      </c>
      <c r="BH280" s="89">
        <v>0</v>
      </c>
      <c r="BI280" s="89">
        <v>0</v>
      </c>
      <c r="BJ280" s="62">
        <v>0</v>
      </c>
      <c r="BK280" s="62">
        <v>0</v>
      </c>
      <c r="BL280" s="62">
        <v>0</v>
      </c>
      <c r="BM280" s="62">
        <v>0.05</v>
      </c>
      <c r="BN280" s="62">
        <v>0</v>
      </c>
      <c r="BO280" s="62">
        <v>0</v>
      </c>
      <c r="BP280" s="62">
        <v>0</v>
      </c>
      <c r="BQ280" s="62">
        <v>0</v>
      </c>
      <c r="BR280" s="62">
        <v>0</v>
      </c>
      <c r="BS280" s="62">
        <v>-7.0000000000000007E-2</v>
      </c>
      <c r="BT280" s="62">
        <v>0</v>
      </c>
      <c r="BU280" s="62">
        <v>-0.2</v>
      </c>
      <c r="BV280" s="62">
        <v>0</v>
      </c>
      <c r="BW280" s="62">
        <v>0</v>
      </c>
      <c r="BX280" s="62">
        <v>0</v>
      </c>
      <c r="CA280" s="62">
        <v>0.125</v>
      </c>
      <c r="CB280" s="62">
        <v>5.0000000000000001E-3</v>
      </c>
      <c r="CM280" s="62"/>
      <c r="CN280" s="62"/>
      <c r="CO280" s="62"/>
      <c r="CP280" s="62"/>
      <c r="CQ280" s="62"/>
      <c r="CR280" s="62"/>
      <c r="CS280" s="62">
        <v>0.36</v>
      </c>
      <c r="CT280" s="62">
        <v>0.01</v>
      </c>
      <c r="CU280" s="62">
        <v>0.05</v>
      </c>
      <c r="CV280" s="62">
        <v>0</v>
      </c>
      <c r="CW280" s="62">
        <v>0.14499999999999999</v>
      </c>
      <c r="CX280" s="62">
        <v>7.4999999999999997E-3</v>
      </c>
      <c r="CY280" s="62">
        <v>-0.18</v>
      </c>
      <c r="CZ280" s="62">
        <v>0</v>
      </c>
      <c r="DA280" s="62">
        <v>0</v>
      </c>
      <c r="DB280" s="62">
        <v>0</v>
      </c>
      <c r="DC280" s="62">
        <v>0.75</v>
      </c>
      <c r="DS280" s="62">
        <v>0.315</v>
      </c>
      <c r="DT280" s="62">
        <v>-5.0000000000000001E-3</v>
      </c>
    </row>
    <row r="281" spans="4:124" x14ac:dyDescent="0.25">
      <c r="D281" s="91">
        <v>45200</v>
      </c>
      <c r="F281" s="89">
        <v>4.9044999999999996</v>
      </c>
      <c r="G281" s="90">
        <v>6.6465765934926604E-2</v>
      </c>
      <c r="H281" s="89">
        <v>0.17</v>
      </c>
      <c r="I281" s="89">
        <v>0</v>
      </c>
      <c r="J281" s="89">
        <v>0.6</v>
      </c>
      <c r="K281" s="89">
        <v>0.55000000000000004</v>
      </c>
      <c r="L281" s="89">
        <v>0.6</v>
      </c>
      <c r="M281" s="89">
        <v>0.6</v>
      </c>
      <c r="N281" s="89">
        <v>0.65</v>
      </c>
      <c r="O281" s="89">
        <v>0.65</v>
      </c>
      <c r="P281" s="89">
        <v>0.6</v>
      </c>
      <c r="Q281" s="89">
        <v>0.5</v>
      </c>
      <c r="R281" s="90">
        <v>0</v>
      </c>
      <c r="S281" s="90">
        <v>0.65</v>
      </c>
      <c r="T281" s="89">
        <v>0.6</v>
      </c>
      <c r="U281" s="89">
        <v>0.65</v>
      </c>
      <c r="V281" s="89">
        <v>0.7</v>
      </c>
      <c r="W281" s="89"/>
      <c r="X281" s="89"/>
      <c r="Y281" s="89"/>
      <c r="Z281" s="89"/>
      <c r="AA281" s="89"/>
      <c r="AB281" s="89"/>
      <c r="AC281" s="89"/>
      <c r="AD281" s="89"/>
      <c r="AE281" s="89"/>
      <c r="AF281" s="89"/>
      <c r="AG281" s="89"/>
      <c r="AH281" s="89"/>
      <c r="AI281" s="89"/>
      <c r="AJ281" s="89"/>
      <c r="AK281" s="89"/>
      <c r="AL281" s="89"/>
      <c r="AM281" s="89"/>
      <c r="AN281" s="89"/>
      <c r="AO281" s="89"/>
      <c r="AP281" s="89"/>
      <c r="AQ281" s="89"/>
      <c r="AR281" s="89"/>
      <c r="AS281" s="89"/>
      <c r="AT281" s="89"/>
      <c r="AU281" s="89"/>
      <c r="AV281" s="89"/>
      <c r="AW281" s="89"/>
      <c r="AX281" s="89"/>
      <c r="AY281" s="90"/>
      <c r="AZ281" s="90"/>
      <c r="BA281" s="90">
        <v>0</v>
      </c>
      <c r="BB281" s="89">
        <v>0</v>
      </c>
      <c r="BC281" s="89">
        <v>-7.0000000000000007E-2</v>
      </c>
      <c r="BD281" s="89">
        <v>0</v>
      </c>
      <c r="BE281" s="89">
        <v>0</v>
      </c>
      <c r="BF281" s="89">
        <v>0</v>
      </c>
      <c r="BG281" s="89">
        <v>-0.06</v>
      </c>
      <c r="BH281" s="89">
        <v>0</v>
      </c>
      <c r="BI281" s="89">
        <v>0</v>
      </c>
      <c r="BJ281" s="62">
        <v>0</v>
      </c>
      <c r="BK281" s="62">
        <v>0</v>
      </c>
      <c r="BL281" s="62">
        <v>0</v>
      </c>
      <c r="BM281" s="62">
        <v>0.05</v>
      </c>
      <c r="BN281" s="62">
        <v>0</v>
      </c>
      <c r="BO281" s="62">
        <v>0</v>
      </c>
      <c r="BP281" s="62">
        <v>0</v>
      </c>
      <c r="BQ281" s="62">
        <v>0</v>
      </c>
      <c r="BR281" s="62">
        <v>0</v>
      </c>
      <c r="BS281" s="62">
        <v>-7.0000000000000007E-2</v>
      </c>
      <c r="BT281" s="62">
        <v>0</v>
      </c>
      <c r="BU281" s="62">
        <v>-0.2</v>
      </c>
      <c r="BV281" s="62">
        <v>0</v>
      </c>
      <c r="BW281" s="62">
        <v>0</v>
      </c>
      <c r="BX281" s="62">
        <v>0</v>
      </c>
      <c r="CA281" s="62">
        <v>0.14499999999999999</v>
      </c>
      <c r="CB281" s="62">
        <v>5.0000000000000001E-3</v>
      </c>
      <c r="CM281" s="62"/>
      <c r="CN281" s="62"/>
      <c r="CO281" s="62"/>
      <c r="CP281" s="62"/>
      <c r="CQ281" s="62"/>
      <c r="CR281" s="62"/>
      <c r="CS281" s="62">
        <v>0.4</v>
      </c>
      <c r="CT281" s="62">
        <v>0.01</v>
      </c>
      <c r="CU281" s="62">
        <v>0.05</v>
      </c>
      <c r="CV281" s="62">
        <v>0</v>
      </c>
      <c r="CW281" s="62">
        <v>0.17499999999999999</v>
      </c>
      <c r="CX281" s="62">
        <v>7.4999999999999997E-3</v>
      </c>
      <c r="CY281" s="62">
        <v>-0.18</v>
      </c>
      <c r="CZ281" s="62">
        <v>0</v>
      </c>
      <c r="DA281" s="62">
        <v>0</v>
      </c>
      <c r="DB281" s="62">
        <v>0</v>
      </c>
      <c r="DC281" s="62">
        <v>0.45</v>
      </c>
      <c r="DS281" s="62">
        <v>0.36</v>
      </c>
      <c r="DT281" s="62">
        <v>-5.0000000000000001E-3</v>
      </c>
    </row>
    <row r="282" spans="4:124" x14ac:dyDescent="0.25">
      <c r="D282" s="91">
        <v>45231</v>
      </c>
      <c r="F282" s="89">
        <v>5.0564999999999998</v>
      </c>
      <c r="G282" s="90">
        <v>6.6452322248344395E-2</v>
      </c>
      <c r="H282" s="89">
        <v>0.17</v>
      </c>
      <c r="I282" s="89">
        <v>0</v>
      </c>
      <c r="J282" s="89">
        <v>0.85</v>
      </c>
      <c r="K282" s="89">
        <v>0.8</v>
      </c>
      <c r="L282" s="89">
        <v>0.8</v>
      </c>
      <c r="M282" s="89">
        <v>0.9</v>
      </c>
      <c r="N282" s="89">
        <v>0.95</v>
      </c>
      <c r="O282" s="89">
        <v>0.85</v>
      </c>
      <c r="P282" s="89">
        <v>0.8</v>
      </c>
      <c r="Q282" s="89">
        <v>0.95</v>
      </c>
      <c r="R282" s="90">
        <v>0</v>
      </c>
      <c r="S282" s="90">
        <v>0.8</v>
      </c>
      <c r="T282" s="89">
        <v>0.8</v>
      </c>
      <c r="U282" s="89">
        <v>0.95</v>
      </c>
      <c r="V282" s="89">
        <v>0.9</v>
      </c>
      <c r="W282" s="89"/>
      <c r="X282" s="89"/>
      <c r="Y282" s="89"/>
      <c r="Z282" s="89"/>
      <c r="AA282" s="89"/>
      <c r="AB282" s="89"/>
      <c r="AC282" s="89"/>
      <c r="AD282" s="89"/>
      <c r="AE282" s="89"/>
      <c r="AF282" s="89"/>
      <c r="AG282" s="89"/>
      <c r="AH282" s="89"/>
      <c r="AI282" s="89"/>
      <c r="AJ282" s="89"/>
      <c r="AK282" s="89"/>
      <c r="AL282" s="89"/>
      <c r="AM282" s="89"/>
      <c r="AN282" s="89"/>
      <c r="AO282" s="89"/>
      <c r="AP282" s="89"/>
      <c r="AQ282" s="89"/>
      <c r="AR282" s="89"/>
      <c r="AS282" s="89"/>
      <c r="AT282" s="89"/>
      <c r="AU282" s="89"/>
      <c r="AV282" s="89"/>
      <c r="AW282" s="89"/>
      <c r="AX282" s="89"/>
      <c r="AY282" s="90"/>
      <c r="AZ282" s="90"/>
      <c r="BA282" s="90">
        <v>0</v>
      </c>
      <c r="BB282" s="89">
        <v>0</v>
      </c>
      <c r="BC282" s="89">
        <v>-7.0000000000000007E-2</v>
      </c>
      <c r="BD282" s="89">
        <v>0</v>
      </c>
      <c r="BE282" s="89">
        <v>0</v>
      </c>
      <c r="BF282" s="89">
        <v>0</v>
      </c>
      <c r="BG282" s="89">
        <v>-0.06</v>
      </c>
      <c r="BH282" s="89">
        <v>0</v>
      </c>
      <c r="BI282" s="89">
        <v>0</v>
      </c>
      <c r="BJ282" s="62">
        <v>0</v>
      </c>
      <c r="BK282" s="62">
        <v>0</v>
      </c>
      <c r="BL282" s="62">
        <v>0</v>
      </c>
      <c r="BM282" s="62">
        <v>0.05</v>
      </c>
      <c r="BN282" s="62">
        <v>0</v>
      </c>
      <c r="BO282" s="62">
        <v>0</v>
      </c>
      <c r="BP282" s="62">
        <v>0</v>
      </c>
      <c r="BQ282" s="62">
        <v>0</v>
      </c>
      <c r="BR282" s="62">
        <v>0</v>
      </c>
      <c r="BS282" s="62">
        <v>-7.0000000000000007E-2</v>
      </c>
      <c r="BT282" s="62">
        <v>0</v>
      </c>
      <c r="BU282" s="62">
        <v>-0.2</v>
      </c>
      <c r="BV282" s="62">
        <v>0</v>
      </c>
      <c r="BW282" s="62">
        <v>0</v>
      </c>
      <c r="BX282" s="62">
        <v>0</v>
      </c>
      <c r="CA282" s="62">
        <v>0.19500000000000001</v>
      </c>
      <c r="CB282" s="62">
        <v>5.0000000000000001E-3</v>
      </c>
      <c r="CM282" s="62"/>
      <c r="CN282" s="62"/>
      <c r="CO282" s="62"/>
      <c r="CP282" s="62"/>
      <c r="CQ282" s="62"/>
      <c r="CR282" s="62"/>
      <c r="CS282" s="62">
        <v>0.65</v>
      </c>
      <c r="CT282" s="62">
        <v>5.5E-2</v>
      </c>
      <c r="CU282" s="62">
        <v>0.05</v>
      </c>
      <c r="CV282" s="62">
        <v>0</v>
      </c>
      <c r="CW282" s="62">
        <v>0.21</v>
      </c>
      <c r="CX282" s="62">
        <v>0.02</v>
      </c>
      <c r="CY282" s="62">
        <v>-0.18</v>
      </c>
      <c r="CZ282" s="62">
        <v>0</v>
      </c>
      <c r="DA282" s="62">
        <v>0</v>
      </c>
      <c r="DB282" s="62">
        <v>0</v>
      </c>
      <c r="DC282" s="62">
        <v>0.45</v>
      </c>
      <c r="DS282" s="62">
        <v>0.46</v>
      </c>
      <c r="DT282" s="62">
        <v>0.05</v>
      </c>
    </row>
    <row r="283" spans="4:124" x14ac:dyDescent="0.25">
      <c r="D283" s="91">
        <v>45261</v>
      </c>
      <c r="F283" s="89">
        <v>5.1994999999999996</v>
      </c>
      <c r="G283" s="90">
        <v>6.64393122291278E-2</v>
      </c>
      <c r="H283" s="89">
        <v>0.17</v>
      </c>
      <c r="I283" s="89">
        <v>0</v>
      </c>
      <c r="J283" s="89">
        <v>1.05</v>
      </c>
      <c r="K283" s="89">
        <v>1</v>
      </c>
      <c r="L283" s="89">
        <v>1</v>
      </c>
      <c r="M283" s="89">
        <v>1.1499999999999999</v>
      </c>
      <c r="N283" s="89">
        <v>1.25</v>
      </c>
      <c r="O283" s="89">
        <v>1.05</v>
      </c>
      <c r="P283" s="89">
        <v>1</v>
      </c>
      <c r="Q283" s="89">
        <v>1.35</v>
      </c>
      <c r="R283" s="90">
        <v>0</v>
      </c>
      <c r="S283" s="90">
        <v>1.1000000000000001</v>
      </c>
      <c r="T283" s="89">
        <v>1</v>
      </c>
      <c r="U283" s="89">
        <v>1.25</v>
      </c>
      <c r="V283" s="89">
        <v>1.1000000000000001</v>
      </c>
      <c r="W283" s="89"/>
      <c r="X283" s="89"/>
      <c r="Y283" s="89"/>
      <c r="Z283" s="89"/>
      <c r="AA283" s="89"/>
      <c r="AB283" s="89"/>
      <c r="AC283" s="89"/>
      <c r="AD283" s="89"/>
      <c r="AE283" s="89"/>
      <c r="AF283" s="89"/>
      <c r="AG283" s="89"/>
      <c r="AH283" s="89"/>
      <c r="AI283" s="89"/>
      <c r="AJ283" s="89"/>
      <c r="AK283" s="89"/>
      <c r="AL283" s="89"/>
      <c r="AM283" s="89"/>
      <c r="AN283" s="89"/>
      <c r="AO283" s="89"/>
      <c r="AP283" s="89"/>
      <c r="AQ283" s="89"/>
      <c r="AR283" s="89"/>
      <c r="AS283" s="89"/>
      <c r="AT283" s="89"/>
      <c r="AU283" s="89"/>
      <c r="AV283" s="89"/>
      <c r="AW283" s="89"/>
      <c r="AX283" s="89"/>
      <c r="AY283" s="90"/>
      <c r="AZ283" s="90"/>
      <c r="BA283" s="90">
        <v>0</v>
      </c>
      <c r="BB283" s="89">
        <v>0</v>
      </c>
      <c r="BC283" s="89">
        <v>-7.0000000000000007E-2</v>
      </c>
      <c r="BD283" s="89">
        <v>0</v>
      </c>
      <c r="BE283" s="89">
        <v>0</v>
      </c>
      <c r="BF283" s="89">
        <v>0</v>
      </c>
      <c r="BG283" s="89">
        <v>-0.06</v>
      </c>
      <c r="BH283" s="89">
        <v>0</v>
      </c>
      <c r="BI283" s="89">
        <v>0</v>
      </c>
      <c r="BJ283" s="62">
        <v>0</v>
      </c>
      <c r="BK283" s="62">
        <v>0</v>
      </c>
      <c r="BL283" s="62">
        <v>0</v>
      </c>
      <c r="BM283" s="62">
        <v>0.05</v>
      </c>
      <c r="BN283" s="62">
        <v>0</v>
      </c>
      <c r="BO283" s="62">
        <v>0</v>
      </c>
      <c r="BP283" s="62">
        <v>0</v>
      </c>
      <c r="BQ283" s="62">
        <v>0</v>
      </c>
      <c r="BR283" s="62">
        <v>0</v>
      </c>
      <c r="BS283" s="62">
        <v>-7.0000000000000007E-2</v>
      </c>
      <c r="BT283" s="62">
        <v>0</v>
      </c>
      <c r="BU283" s="62">
        <v>-0.2</v>
      </c>
      <c r="BV283" s="62">
        <v>0</v>
      </c>
      <c r="BW283" s="62">
        <v>0</v>
      </c>
      <c r="BX283" s="62">
        <v>0</v>
      </c>
      <c r="CA283" s="62">
        <v>0.215</v>
      </c>
      <c r="CB283" s="62">
        <v>5.0000000000000001E-3</v>
      </c>
      <c r="CM283" s="62"/>
      <c r="CN283" s="62"/>
      <c r="CO283" s="62"/>
      <c r="CP283" s="62"/>
      <c r="CQ283" s="62"/>
      <c r="CR283" s="62"/>
      <c r="CS283" s="62">
        <v>0.98</v>
      </c>
      <c r="CT283" s="62">
        <v>0.25</v>
      </c>
      <c r="CU283" s="62">
        <v>0.05</v>
      </c>
      <c r="CV283" s="62">
        <v>0</v>
      </c>
      <c r="CW283" s="62">
        <v>0.28999999999999998</v>
      </c>
      <c r="CX283" s="62">
        <v>0.02</v>
      </c>
      <c r="CY283" s="62">
        <v>-0.18</v>
      </c>
      <c r="CZ283" s="62">
        <v>0</v>
      </c>
      <c r="DA283" s="62">
        <v>0</v>
      </c>
      <c r="DB283" s="62">
        <v>0</v>
      </c>
      <c r="DC283" s="62">
        <v>0.4</v>
      </c>
      <c r="DS283" s="62">
        <v>0.77</v>
      </c>
      <c r="DT283" s="62">
        <v>0.05</v>
      </c>
    </row>
    <row r="284" spans="4:124" x14ac:dyDescent="0.25">
      <c r="D284" s="91">
        <v>45292</v>
      </c>
      <c r="F284" s="89">
        <v>5.2595000000000001</v>
      </c>
      <c r="G284" s="90">
        <v>6.64258685426629E-2</v>
      </c>
      <c r="H284" s="89">
        <v>0.17</v>
      </c>
      <c r="I284" s="89">
        <v>0</v>
      </c>
      <c r="J284" s="89">
        <v>1.05</v>
      </c>
      <c r="K284" s="89">
        <v>1</v>
      </c>
      <c r="L284" s="89">
        <v>1</v>
      </c>
      <c r="M284" s="89">
        <v>1.1499999999999999</v>
      </c>
      <c r="N284" s="89">
        <v>1.45</v>
      </c>
      <c r="O284" s="89">
        <v>1.05</v>
      </c>
      <c r="P284" s="89">
        <v>1</v>
      </c>
      <c r="Q284" s="89">
        <v>1.35</v>
      </c>
      <c r="R284" s="90">
        <v>0</v>
      </c>
      <c r="S284" s="90">
        <v>1.1000000000000001</v>
      </c>
      <c r="T284" s="89">
        <v>1</v>
      </c>
      <c r="U284" s="89">
        <v>1.45</v>
      </c>
      <c r="V284" s="89">
        <v>1.1000000000000001</v>
      </c>
      <c r="W284" s="89"/>
      <c r="X284" s="89"/>
      <c r="Y284" s="89"/>
      <c r="Z284" s="89"/>
      <c r="AA284" s="89"/>
      <c r="AB284" s="89"/>
      <c r="AC284" s="89"/>
      <c r="AD284" s="89"/>
      <c r="AE284" s="89"/>
      <c r="AF284" s="89"/>
      <c r="AG284" s="89"/>
      <c r="AH284" s="89"/>
      <c r="AI284" s="89"/>
      <c r="AJ284" s="89"/>
      <c r="AK284" s="89"/>
      <c r="AL284" s="89"/>
      <c r="AM284" s="89"/>
      <c r="AN284" s="89"/>
      <c r="AO284" s="89"/>
      <c r="AP284" s="89"/>
      <c r="AQ284" s="89"/>
      <c r="AR284" s="89"/>
      <c r="AS284" s="89"/>
      <c r="AT284" s="89"/>
      <c r="AU284" s="89"/>
      <c r="AV284" s="89"/>
      <c r="AW284" s="89"/>
      <c r="AX284" s="89"/>
      <c r="AY284" s="90"/>
      <c r="AZ284" s="90"/>
      <c r="BA284" s="90">
        <v>0</v>
      </c>
      <c r="BB284" s="89">
        <v>0</v>
      </c>
      <c r="BC284" s="89">
        <v>-7.0000000000000007E-2</v>
      </c>
      <c r="BD284" s="89">
        <v>0</v>
      </c>
      <c r="BE284" s="89">
        <v>0</v>
      </c>
      <c r="BF284" s="89">
        <v>0</v>
      </c>
      <c r="BG284" s="89">
        <v>-0.06</v>
      </c>
      <c r="BH284" s="89">
        <v>0</v>
      </c>
      <c r="BI284" s="89">
        <v>0</v>
      </c>
      <c r="BJ284" s="62">
        <v>0</v>
      </c>
      <c r="BK284" s="62">
        <v>0</v>
      </c>
      <c r="BL284" s="62">
        <v>0</v>
      </c>
      <c r="BM284" s="62">
        <v>0.05</v>
      </c>
      <c r="BN284" s="62">
        <v>0</v>
      </c>
      <c r="BO284" s="62">
        <v>0</v>
      </c>
      <c r="BP284" s="62">
        <v>0</v>
      </c>
      <c r="BQ284" s="62">
        <v>0</v>
      </c>
      <c r="BR284" s="62">
        <v>0</v>
      </c>
      <c r="BS284" s="62">
        <v>-7.0000000000000007E-2</v>
      </c>
      <c r="BT284" s="62">
        <v>0</v>
      </c>
      <c r="BU284" s="62">
        <v>-0.2</v>
      </c>
      <c r="BV284" s="62">
        <v>0</v>
      </c>
      <c r="BW284" s="62">
        <v>0</v>
      </c>
      <c r="BX284" s="62">
        <v>0</v>
      </c>
      <c r="CA284" s="62">
        <v>0.23499999999999999</v>
      </c>
      <c r="CB284" s="62">
        <v>5.0000000000000001E-3</v>
      </c>
      <c r="CM284" s="62"/>
      <c r="CN284" s="62"/>
      <c r="CO284" s="62"/>
      <c r="CP284" s="62"/>
      <c r="CQ284" s="62"/>
      <c r="CR284" s="62"/>
      <c r="CS284" s="62">
        <v>1.6</v>
      </c>
      <c r="CT284" s="62">
        <v>0.45</v>
      </c>
      <c r="CU284" s="62">
        <v>0.05</v>
      </c>
      <c r="CV284" s="62">
        <v>0</v>
      </c>
      <c r="CW284" s="62">
        <v>0.34</v>
      </c>
      <c r="CX284" s="62">
        <v>0.02</v>
      </c>
      <c r="CY284" s="62">
        <v>-0.18</v>
      </c>
      <c r="CZ284" s="62">
        <v>0</v>
      </c>
      <c r="DA284" s="62">
        <v>0</v>
      </c>
      <c r="DB284" s="62">
        <v>0</v>
      </c>
      <c r="DC284" s="62">
        <v>0</v>
      </c>
      <c r="DS284" s="62">
        <v>1.04</v>
      </c>
      <c r="DT284" s="62">
        <v>0.05</v>
      </c>
    </row>
    <row r="285" spans="4:124" x14ac:dyDescent="0.25">
      <c r="D285" s="91">
        <v>45323</v>
      </c>
      <c r="F285" s="89">
        <v>5.1745000000000001</v>
      </c>
      <c r="G285" s="90">
        <v>6.6412424856257896E-2</v>
      </c>
      <c r="H285" s="89">
        <v>0.17</v>
      </c>
      <c r="I285" s="89">
        <v>0</v>
      </c>
      <c r="J285" s="89">
        <v>1.05</v>
      </c>
      <c r="K285" s="89">
        <v>1</v>
      </c>
      <c r="L285" s="89">
        <v>1</v>
      </c>
      <c r="M285" s="89">
        <v>1.1499999999999999</v>
      </c>
      <c r="N285" s="89">
        <v>1.45</v>
      </c>
      <c r="O285" s="89">
        <v>1.05</v>
      </c>
      <c r="P285" s="89">
        <v>1</v>
      </c>
      <c r="Q285" s="89">
        <v>1.35</v>
      </c>
      <c r="R285" s="90">
        <v>0</v>
      </c>
      <c r="S285" s="90">
        <v>1.1000000000000001</v>
      </c>
      <c r="T285" s="89">
        <v>1</v>
      </c>
      <c r="U285" s="89">
        <v>1.45</v>
      </c>
      <c r="V285" s="89">
        <v>1.1000000000000001</v>
      </c>
      <c r="W285" s="89"/>
      <c r="X285" s="89"/>
      <c r="Y285" s="89"/>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90"/>
      <c r="AZ285" s="90"/>
      <c r="BA285" s="90">
        <v>0</v>
      </c>
      <c r="BB285" s="89">
        <v>0</v>
      </c>
      <c r="BC285" s="89">
        <v>-7.0000000000000007E-2</v>
      </c>
      <c r="BD285" s="89">
        <v>0</v>
      </c>
      <c r="BE285" s="89">
        <v>0</v>
      </c>
      <c r="BF285" s="89">
        <v>0</v>
      </c>
      <c r="BG285" s="89">
        <v>-0.06</v>
      </c>
      <c r="BH285" s="89">
        <v>0</v>
      </c>
      <c r="BI285" s="89">
        <v>0</v>
      </c>
      <c r="BJ285" s="62">
        <v>0</v>
      </c>
      <c r="BK285" s="62">
        <v>0</v>
      </c>
      <c r="BL285" s="62">
        <v>0</v>
      </c>
      <c r="BM285" s="62">
        <v>0.05</v>
      </c>
      <c r="BN285" s="62">
        <v>0</v>
      </c>
      <c r="BO285" s="62">
        <v>0</v>
      </c>
      <c r="BP285" s="62">
        <v>0</v>
      </c>
      <c r="BQ285" s="62">
        <v>0</v>
      </c>
      <c r="BR285" s="62">
        <v>0</v>
      </c>
      <c r="BS285" s="62">
        <v>-7.0000000000000007E-2</v>
      </c>
      <c r="BT285" s="62">
        <v>0</v>
      </c>
      <c r="BU285" s="62">
        <v>-0.2</v>
      </c>
      <c r="BV285" s="62">
        <v>0</v>
      </c>
      <c r="BW285" s="62">
        <v>0</v>
      </c>
      <c r="BX285" s="62">
        <v>0</v>
      </c>
      <c r="CA285" s="62">
        <v>0.23499999999999999</v>
      </c>
      <c r="CB285" s="62">
        <v>5.0000000000000001E-3</v>
      </c>
      <c r="CM285" s="62"/>
      <c r="CN285" s="62"/>
      <c r="CO285" s="62"/>
      <c r="CP285" s="62"/>
      <c r="CQ285" s="62"/>
      <c r="CR285" s="62"/>
      <c r="CS285" s="62">
        <v>1.6</v>
      </c>
      <c r="CT285" s="62">
        <v>0.45</v>
      </c>
      <c r="CU285" s="62">
        <v>0.05</v>
      </c>
      <c r="CV285" s="62">
        <v>0</v>
      </c>
      <c r="CW285" s="62">
        <v>0.34</v>
      </c>
      <c r="CX285" s="62">
        <v>0.02</v>
      </c>
      <c r="CY285" s="62">
        <v>-0.18</v>
      </c>
      <c r="CZ285" s="62">
        <v>0</v>
      </c>
      <c r="DA285" s="62">
        <v>0</v>
      </c>
      <c r="DB285" s="62">
        <v>0</v>
      </c>
      <c r="DC285" s="62">
        <v>0</v>
      </c>
      <c r="DS285" s="62">
        <v>1.04</v>
      </c>
      <c r="DT285" s="62">
        <v>0.05</v>
      </c>
    </row>
    <row r="286" spans="4:124" x14ac:dyDescent="0.25">
      <c r="D286" s="91">
        <v>45352</v>
      </c>
      <c r="F286" s="89">
        <v>5.0445000000000002</v>
      </c>
      <c r="G286" s="90">
        <v>6.63998485045139E-2</v>
      </c>
      <c r="H286" s="89">
        <v>0.17</v>
      </c>
      <c r="I286" s="89">
        <v>0</v>
      </c>
      <c r="J286" s="89">
        <v>0.8</v>
      </c>
      <c r="K286" s="89">
        <v>0.75</v>
      </c>
      <c r="L286" s="89">
        <v>0.75</v>
      </c>
      <c r="M286" s="89">
        <v>0.85</v>
      </c>
      <c r="N286" s="89">
        <v>1</v>
      </c>
      <c r="O286" s="89">
        <v>0.75</v>
      </c>
      <c r="P286" s="89">
        <v>0.75</v>
      </c>
      <c r="Q286" s="89">
        <v>0.95</v>
      </c>
      <c r="R286" s="90">
        <v>0</v>
      </c>
      <c r="S286" s="90">
        <v>0.75</v>
      </c>
      <c r="T286" s="89">
        <v>0.75</v>
      </c>
      <c r="U286" s="89">
        <v>1</v>
      </c>
      <c r="V286" s="89">
        <v>0.85</v>
      </c>
      <c r="W286" s="89"/>
      <c r="X286" s="89"/>
      <c r="Y286" s="89"/>
      <c r="Z286" s="89"/>
      <c r="AA286" s="89"/>
      <c r="AB286" s="89"/>
      <c r="AC286" s="89"/>
      <c r="AD286" s="89"/>
      <c r="AE286" s="89"/>
      <c r="AF286" s="89"/>
      <c r="AG286" s="89"/>
      <c r="AH286" s="89"/>
      <c r="AI286" s="89"/>
      <c r="AJ286" s="89"/>
      <c r="AK286" s="89"/>
      <c r="AL286" s="89"/>
      <c r="AM286" s="89"/>
      <c r="AN286" s="89"/>
      <c r="AO286" s="89"/>
      <c r="AP286" s="89"/>
      <c r="AQ286" s="89"/>
      <c r="AR286" s="89"/>
      <c r="AS286" s="89"/>
      <c r="AT286" s="89"/>
      <c r="AU286" s="89"/>
      <c r="AV286" s="89"/>
      <c r="AW286" s="89"/>
      <c r="AX286" s="89"/>
      <c r="AY286" s="90"/>
      <c r="AZ286" s="90"/>
      <c r="BA286" s="90">
        <v>0</v>
      </c>
      <c r="BB286" s="89">
        <v>0</v>
      </c>
      <c r="BC286" s="89">
        <v>-7.0000000000000007E-2</v>
      </c>
      <c r="BD286" s="89">
        <v>0</v>
      </c>
      <c r="BE286" s="89">
        <v>0</v>
      </c>
      <c r="BF286" s="89">
        <v>0</v>
      </c>
      <c r="BG286" s="89">
        <v>-0.06</v>
      </c>
      <c r="BH286" s="89">
        <v>0</v>
      </c>
      <c r="BI286" s="89">
        <v>0</v>
      </c>
      <c r="BJ286" s="62">
        <v>0</v>
      </c>
      <c r="BK286" s="62">
        <v>0</v>
      </c>
      <c r="BL286" s="62">
        <v>0</v>
      </c>
      <c r="BM286" s="62">
        <v>0.05</v>
      </c>
      <c r="BN286" s="62">
        <v>0</v>
      </c>
      <c r="BO286" s="62">
        <v>0</v>
      </c>
      <c r="BP286" s="62">
        <v>0</v>
      </c>
      <c r="BQ286" s="62">
        <v>0</v>
      </c>
      <c r="BR286" s="62">
        <v>0</v>
      </c>
      <c r="BS286" s="62">
        <v>-7.0000000000000007E-2</v>
      </c>
      <c r="BT286" s="62">
        <v>0</v>
      </c>
      <c r="BU286" s="62">
        <v>-0.2</v>
      </c>
      <c r="BV286" s="62">
        <v>0</v>
      </c>
      <c r="BW286" s="62">
        <v>0</v>
      </c>
      <c r="BX286" s="62">
        <v>0</v>
      </c>
      <c r="CA286" s="62">
        <v>0.19500000000000001</v>
      </c>
      <c r="CB286" s="62">
        <v>5.0000000000000001E-3</v>
      </c>
      <c r="CM286" s="62"/>
      <c r="CN286" s="62"/>
      <c r="CO286" s="62"/>
      <c r="CP286" s="62"/>
      <c r="CQ286" s="62"/>
      <c r="CR286" s="62"/>
      <c r="CS286" s="62">
        <v>0.64</v>
      </c>
      <c r="CT286" s="62">
        <v>0.1</v>
      </c>
      <c r="CU286" s="62">
        <v>0.05</v>
      </c>
      <c r="CV286" s="62">
        <v>0</v>
      </c>
      <c r="CW286" s="62">
        <v>0.28999999999999998</v>
      </c>
      <c r="CX286" s="62">
        <v>0.02</v>
      </c>
      <c r="CY286" s="62">
        <v>-0.18</v>
      </c>
      <c r="CZ286" s="62">
        <v>0</v>
      </c>
      <c r="DA286" s="62">
        <v>0</v>
      </c>
      <c r="DB286" s="62">
        <v>0</v>
      </c>
      <c r="DC286" s="62">
        <v>0</v>
      </c>
      <c r="DS286" s="62">
        <v>0.54</v>
      </c>
      <c r="DT286" s="62">
        <v>0.05</v>
      </c>
    </row>
    <row r="287" spans="4:124" x14ac:dyDescent="0.25">
      <c r="D287" s="91">
        <v>45383</v>
      </c>
      <c r="F287" s="89">
        <v>4.8594999999999997</v>
      </c>
      <c r="G287" s="90">
        <v>6.6386404818224803E-2</v>
      </c>
      <c r="H287" s="89">
        <v>0.17</v>
      </c>
      <c r="I287" s="89">
        <v>0</v>
      </c>
      <c r="J287" s="89">
        <v>0.45</v>
      </c>
      <c r="K287" s="89">
        <v>0.4</v>
      </c>
      <c r="L287" s="89">
        <v>0.45</v>
      </c>
      <c r="M287" s="89">
        <v>0.45</v>
      </c>
      <c r="N287" s="89">
        <v>0.45</v>
      </c>
      <c r="O287" s="89">
        <v>0.45</v>
      </c>
      <c r="P287" s="89">
        <v>0.45</v>
      </c>
      <c r="Q287" s="89">
        <v>0.5</v>
      </c>
      <c r="R287" s="90">
        <v>0</v>
      </c>
      <c r="S287" s="90">
        <v>0.45</v>
      </c>
      <c r="T287" s="89">
        <v>0.4</v>
      </c>
      <c r="U287" s="89">
        <v>0.45</v>
      </c>
      <c r="V287" s="89">
        <v>0.55000000000000004</v>
      </c>
      <c r="W287" s="89"/>
      <c r="X287" s="89"/>
      <c r="Y287" s="89"/>
      <c r="Z287" s="89"/>
      <c r="AA287" s="89"/>
      <c r="AB287" s="89"/>
      <c r="AC287" s="89"/>
      <c r="AD287" s="89"/>
      <c r="AE287" s="89"/>
      <c r="AF287" s="89"/>
      <c r="AG287" s="89"/>
      <c r="AH287" s="89"/>
      <c r="AI287" s="89"/>
      <c r="AJ287" s="89"/>
      <c r="AK287" s="89"/>
      <c r="AL287" s="89"/>
      <c r="AM287" s="89"/>
      <c r="AN287" s="89"/>
      <c r="AO287" s="89"/>
      <c r="AP287" s="89"/>
      <c r="AQ287" s="89"/>
      <c r="AR287" s="89"/>
      <c r="AS287" s="89"/>
      <c r="AT287" s="89"/>
      <c r="AU287" s="89"/>
      <c r="AV287" s="89"/>
      <c r="AW287" s="89"/>
      <c r="AX287" s="89"/>
      <c r="AY287" s="90"/>
      <c r="AZ287" s="90"/>
      <c r="BA287" s="90">
        <v>0</v>
      </c>
      <c r="BB287" s="89">
        <v>0</v>
      </c>
      <c r="BC287" s="89">
        <v>-7.0000000000000007E-2</v>
      </c>
      <c r="BD287" s="89">
        <v>0</v>
      </c>
      <c r="BE287" s="89">
        <v>0</v>
      </c>
      <c r="BF287" s="89">
        <v>0</v>
      </c>
      <c r="BG287" s="89">
        <v>-0.06</v>
      </c>
      <c r="BH287" s="89">
        <v>0</v>
      </c>
      <c r="BI287" s="89">
        <v>0</v>
      </c>
      <c r="BJ287" s="62">
        <v>0</v>
      </c>
      <c r="BK287" s="62">
        <v>0</v>
      </c>
      <c r="BL287" s="62">
        <v>0</v>
      </c>
      <c r="BM287" s="62">
        <v>0.05</v>
      </c>
      <c r="BN287" s="62">
        <v>0</v>
      </c>
      <c r="BO287" s="62">
        <v>0</v>
      </c>
      <c r="BP287" s="62">
        <v>0</v>
      </c>
      <c r="BQ287" s="62">
        <v>0</v>
      </c>
      <c r="BR287" s="62">
        <v>0</v>
      </c>
      <c r="BS287" s="62">
        <v>-7.0000000000000007E-2</v>
      </c>
      <c r="BT287" s="62">
        <v>0</v>
      </c>
      <c r="BU287" s="62">
        <v>-0.2</v>
      </c>
      <c r="BV287" s="62">
        <v>0</v>
      </c>
      <c r="BW287" s="62">
        <v>0</v>
      </c>
      <c r="BX287" s="62">
        <v>0</v>
      </c>
      <c r="CA287" s="62">
        <v>0.14499999999999999</v>
      </c>
      <c r="CB287" s="62">
        <v>5.0000000000000001E-3</v>
      </c>
      <c r="CM287" s="62"/>
      <c r="CN287" s="62"/>
      <c r="CO287" s="62"/>
      <c r="CP287" s="62"/>
      <c r="CQ287" s="62"/>
      <c r="CR287" s="62"/>
      <c r="CS287" s="62">
        <v>0.38</v>
      </c>
      <c r="CT287" s="62">
        <v>0.02</v>
      </c>
      <c r="CU287" s="62">
        <v>0.05</v>
      </c>
      <c r="CV287" s="62">
        <v>0</v>
      </c>
      <c r="CW287" s="62">
        <v>0.19500000000000001</v>
      </c>
      <c r="CX287" s="62">
        <v>7.4999999999999997E-3</v>
      </c>
      <c r="CY287" s="62">
        <v>-0.18</v>
      </c>
      <c r="CZ287" s="62">
        <v>0</v>
      </c>
      <c r="DA287" s="62">
        <v>0</v>
      </c>
      <c r="DB287" s="62">
        <v>0</v>
      </c>
      <c r="DC287" s="62">
        <v>0</v>
      </c>
      <c r="DS287" s="62">
        <v>0.36</v>
      </c>
      <c r="DT287" s="62">
        <v>5.0000000000000001E-3</v>
      </c>
    </row>
    <row r="288" spans="4:124" x14ac:dyDescent="0.25">
      <c r="D288" s="91">
        <v>45413</v>
      </c>
      <c r="F288" s="89">
        <v>4.8544999999999998</v>
      </c>
      <c r="G288" s="90">
        <v>6.6373394799292398E-2</v>
      </c>
      <c r="H288" s="89">
        <v>0.17</v>
      </c>
      <c r="I288" s="89">
        <v>0</v>
      </c>
      <c r="J288" s="89">
        <v>0.5</v>
      </c>
      <c r="K288" s="89">
        <v>0.4</v>
      </c>
      <c r="L288" s="89">
        <v>0.4</v>
      </c>
      <c r="M288" s="89">
        <v>0.45</v>
      </c>
      <c r="N288" s="89">
        <v>0.5</v>
      </c>
      <c r="O288" s="89">
        <v>0.45</v>
      </c>
      <c r="P288" s="89">
        <v>0.4</v>
      </c>
      <c r="Q288" s="89">
        <v>0.45</v>
      </c>
      <c r="R288" s="90">
        <v>0</v>
      </c>
      <c r="S288" s="90">
        <v>0.5</v>
      </c>
      <c r="T288" s="89">
        <v>0.45</v>
      </c>
      <c r="U288" s="89">
        <v>0.5</v>
      </c>
      <c r="V288" s="89">
        <v>0.5</v>
      </c>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90"/>
      <c r="AZ288" s="90"/>
      <c r="BA288" s="90">
        <v>0</v>
      </c>
      <c r="BB288" s="89">
        <v>0</v>
      </c>
      <c r="BC288" s="89">
        <v>-7.0000000000000007E-2</v>
      </c>
      <c r="BD288" s="89">
        <v>0</v>
      </c>
      <c r="BE288" s="89">
        <v>0</v>
      </c>
      <c r="BF288" s="89">
        <v>0</v>
      </c>
      <c r="BG288" s="89">
        <v>-0.06</v>
      </c>
      <c r="BH288" s="89">
        <v>0</v>
      </c>
      <c r="BI288" s="89">
        <v>0</v>
      </c>
      <c r="BJ288" s="62">
        <v>0</v>
      </c>
      <c r="BK288" s="62">
        <v>0</v>
      </c>
      <c r="BL288" s="62">
        <v>0</v>
      </c>
      <c r="BM288" s="62">
        <v>0.05</v>
      </c>
      <c r="BN288" s="62">
        <v>0</v>
      </c>
      <c r="BO288" s="62">
        <v>0</v>
      </c>
      <c r="BP288" s="62">
        <v>0</v>
      </c>
      <c r="BQ288" s="62">
        <v>0</v>
      </c>
      <c r="BR288" s="62">
        <v>0</v>
      </c>
      <c r="BS288" s="62">
        <v>-7.0000000000000007E-2</v>
      </c>
      <c r="BT288" s="62">
        <v>0</v>
      </c>
      <c r="BU288" s="62">
        <v>-0.2</v>
      </c>
      <c r="BV288" s="62">
        <v>0</v>
      </c>
      <c r="BW288" s="62">
        <v>0</v>
      </c>
      <c r="BX288" s="62">
        <v>0</v>
      </c>
      <c r="CA288" s="62">
        <v>0.125</v>
      </c>
      <c r="CB288" s="62">
        <v>5.0000000000000001E-3</v>
      </c>
      <c r="CM288" s="62"/>
      <c r="CN288" s="62"/>
      <c r="CO288" s="62"/>
      <c r="CP288" s="62"/>
      <c r="CQ288" s="62"/>
      <c r="CR288" s="62"/>
      <c r="CS288" s="62">
        <v>0.33</v>
      </c>
      <c r="CT288" s="62">
        <v>0.02</v>
      </c>
      <c r="CU288" s="62">
        <v>0.05</v>
      </c>
      <c r="CV288" s="62">
        <v>0</v>
      </c>
      <c r="CW288" s="62">
        <v>0.13500000000000001</v>
      </c>
      <c r="CX288" s="62">
        <v>7.4999999999999997E-3</v>
      </c>
      <c r="CY288" s="62">
        <v>-0.18</v>
      </c>
      <c r="CZ288" s="62">
        <v>0</v>
      </c>
      <c r="DA288" s="62">
        <v>0</v>
      </c>
      <c r="DB288" s="62">
        <v>0</v>
      </c>
      <c r="DC288" s="62">
        <v>0</v>
      </c>
      <c r="DS288" s="62">
        <v>0.32500000000000001</v>
      </c>
      <c r="DT288" s="62">
        <v>5.0000000000000001E-3</v>
      </c>
    </row>
    <row r="289" spans="4:124" x14ac:dyDescent="0.25">
      <c r="D289" s="91">
        <v>45444</v>
      </c>
      <c r="F289" s="89">
        <v>4.8895</v>
      </c>
      <c r="G289" s="90">
        <v>6.6359951113120999E-2</v>
      </c>
      <c r="H289" s="89">
        <v>0.17</v>
      </c>
      <c r="I289" s="89">
        <v>0</v>
      </c>
      <c r="J289" s="89">
        <v>0.5</v>
      </c>
      <c r="K289" s="89">
        <v>0.4</v>
      </c>
      <c r="L289" s="89">
        <v>0.5</v>
      </c>
      <c r="M289" s="89">
        <v>0.45</v>
      </c>
      <c r="N289" s="89">
        <v>0.5</v>
      </c>
      <c r="O289" s="89">
        <v>0.5</v>
      </c>
      <c r="P289" s="89">
        <v>0.5</v>
      </c>
      <c r="Q289" s="89">
        <v>0.5</v>
      </c>
      <c r="R289" s="90">
        <v>0</v>
      </c>
      <c r="S289" s="90">
        <v>0.5</v>
      </c>
      <c r="T289" s="89">
        <v>0.45</v>
      </c>
      <c r="U289" s="89">
        <v>0.5</v>
      </c>
      <c r="V289" s="89">
        <v>0.6</v>
      </c>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90"/>
      <c r="AZ289" s="90"/>
      <c r="BA289" s="90">
        <v>0</v>
      </c>
      <c r="BB289" s="89">
        <v>0</v>
      </c>
      <c r="BC289" s="89">
        <v>-7.0000000000000007E-2</v>
      </c>
      <c r="BD289" s="89">
        <v>0</v>
      </c>
      <c r="BE289" s="89">
        <v>0</v>
      </c>
      <c r="BF289" s="89">
        <v>0</v>
      </c>
      <c r="BG289" s="89">
        <v>-0.06</v>
      </c>
      <c r="BH289" s="89">
        <v>0</v>
      </c>
      <c r="BI289" s="89">
        <v>0</v>
      </c>
      <c r="BJ289" s="62">
        <v>0</v>
      </c>
      <c r="BK289" s="62">
        <v>0</v>
      </c>
      <c r="BL289" s="62">
        <v>0</v>
      </c>
      <c r="BM289" s="62">
        <v>0.05</v>
      </c>
      <c r="BN289" s="62">
        <v>0</v>
      </c>
      <c r="BO289" s="62">
        <v>0</v>
      </c>
      <c r="BP289" s="62">
        <v>0</v>
      </c>
      <c r="BQ289" s="62">
        <v>0</v>
      </c>
      <c r="BR289" s="62">
        <v>0</v>
      </c>
      <c r="BS289" s="62">
        <v>-7.0000000000000007E-2</v>
      </c>
      <c r="BT289" s="62">
        <v>0</v>
      </c>
      <c r="BU289" s="62">
        <v>-0.2</v>
      </c>
      <c r="BV289" s="62">
        <v>0</v>
      </c>
      <c r="BW289" s="62">
        <v>0</v>
      </c>
      <c r="BX289" s="62">
        <v>0</v>
      </c>
      <c r="CA289" s="62">
        <v>0.14499999999999999</v>
      </c>
      <c r="CB289" s="62">
        <v>5.0000000000000001E-3</v>
      </c>
      <c r="CM289" s="62"/>
      <c r="CN289" s="62"/>
      <c r="CO289" s="62"/>
      <c r="CP289" s="62"/>
      <c r="CQ289" s="62"/>
      <c r="CR289" s="62"/>
      <c r="CS289" s="62">
        <v>0.37</v>
      </c>
      <c r="CT289" s="62">
        <v>3.5000000000000003E-2</v>
      </c>
      <c r="CU289" s="62">
        <v>0.05</v>
      </c>
      <c r="CV289" s="62">
        <v>0</v>
      </c>
      <c r="CW289" s="62">
        <v>0.16500000000000001</v>
      </c>
      <c r="CX289" s="62">
        <v>7.4999999999999997E-3</v>
      </c>
      <c r="CY289" s="62">
        <v>-0.18</v>
      </c>
      <c r="CZ289" s="62">
        <v>0</v>
      </c>
      <c r="DA289" s="62">
        <v>0</v>
      </c>
      <c r="DB289" s="62">
        <v>0</v>
      </c>
      <c r="DC289" s="62">
        <v>0</v>
      </c>
      <c r="DS289" s="62">
        <v>0.33500000000000002</v>
      </c>
      <c r="DT289" s="62">
        <v>5.0000000000000001E-3</v>
      </c>
    </row>
    <row r="290" spans="4:124" x14ac:dyDescent="0.25">
      <c r="D290" s="91">
        <v>45474</v>
      </c>
      <c r="F290" s="89">
        <v>4.9295</v>
      </c>
      <c r="G290" s="90">
        <v>6.6346941094302295E-2</v>
      </c>
      <c r="H290" s="89">
        <v>0.17</v>
      </c>
      <c r="I290" s="89">
        <v>0</v>
      </c>
      <c r="J290" s="89">
        <v>0.5</v>
      </c>
      <c r="K290" s="89">
        <v>0.4</v>
      </c>
      <c r="L290" s="89">
        <v>0.5</v>
      </c>
      <c r="M290" s="89">
        <v>0.5</v>
      </c>
      <c r="N290" s="89">
        <v>0.5</v>
      </c>
      <c r="O290" s="89">
        <v>0.5</v>
      </c>
      <c r="P290" s="89">
        <v>0.5</v>
      </c>
      <c r="Q290" s="89">
        <v>0.5</v>
      </c>
      <c r="R290" s="90">
        <v>0</v>
      </c>
      <c r="S290" s="90">
        <v>0.55000000000000004</v>
      </c>
      <c r="T290" s="89">
        <v>0.5</v>
      </c>
      <c r="U290" s="89">
        <v>0.5</v>
      </c>
      <c r="V290" s="89">
        <v>0.6</v>
      </c>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90"/>
      <c r="AZ290" s="90"/>
      <c r="BA290" s="90">
        <v>0</v>
      </c>
      <c r="BB290" s="89">
        <v>0</v>
      </c>
      <c r="BC290" s="89">
        <v>-7.0000000000000007E-2</v>
      </c>
      <c r="BD290" s="89">
        <v>0</v>
      </c>
      <c r="BE290" s="89">
        <v>0</v>
      </c>
      <c r="BF290" s="89">
        <v>0</v>
      </c>
      <c r="BG290" s="89">
        <v>-0.06</v>
      </c>
      <c r="BH290" s="89">
        <v>0</v>
      </c>
      <c r="BI290" s="89">
        <v>0</v>
      </c>
      <c r="BJ290" s="62">
        <v>0</v>
      </c>
      <c r="BK290" s="62">
        <v>0</v>
      </c>
      <c r="BL290" s="62">
        <v>0</v>
      </c>
      <c r="BM290" s="62">
        <v>0.05</v>
      </c>
      <c r="BN290" s="62">
        <v>0</v>
      </c>
      <c r="BO290" s="62">
        <v>0</v>
      </c>
      <c r="BP290" s="62">
        <v>0</v>
      </c>
      <c r="BQ290" s="62">
        <v>0</v>
      </c>
      <c r="BR290" s="62">
        <v>0</v>
      </c>
      <c r="BS290" s="62">
        <v>-7.0000000000000007E-2</v>
      </c>
      <c r="BT290" s="62">
        <v>0</v>
      </c>
      <c r="BU290" s="62">
        <v>-0.2</v>
      </c>
      <c r="BV290" s="62">
        <v>0</v>
      </c>
      <c r="BW290" s="62">
        <v>0</v>
      </c>
      <c r="BX290" s="62">
        <v>0</v>
      </c>
      <c r="CA290" s="62">
        <v>0.15</v>
      </c>
      <c r="CB290" s="62">
        <v>5.0000000000000001E-3</v>
      </c>
      <c r="CM290" s="62"/>
      <c r="CN290" s="62"/>
      <c r="CO290" s="62"/>
      <c r="CP290" s="62"/>
      <c r="CQ290" s="62"/>
      <c r="CR290" s="62"/>
      <c r="CS290" s="62">
        <v>0.41</v>
      </c>
      <c r="CT290" s="62">
        <v>3.5000000000000003E-2</v>
      </c>
      <c r="CU290" s="62">
        <v>0.05</v>
      </c>
      <c r="CV290" s="62">
        <v>0</v>
      </c>
      <c r="CW290" s="62">
        <v>0.20499999999999999</v>
      </c>
      <c r="CX290" s="62">
        <v>7.4999999999999997E-3</v>
      </c>
      <c r="CY290" s="62">
        <v>-0.18</v>
      </c>
      <c r="CZ290" s="62">
        <v>0</v>
      </c>
      <c r="DA290" s="62">
        <v>0</v>
      </c>
      <c r="DB290" s="62">
        <v>0</v>
      </c>
      <c r="DC290" s="62">
        <v>0</v>
      </c>
      <c r="DS290" s="62">
        <v>0.35</v>
      </c>
      <c r="DT290" s="62">
        <v>5.0000000000000001E-3</v>
      </c>
    </row>
    <row r="291" spans="4:124" x14ac:dyDescent="0.25">
      <c r="D291" s="91">
        <v>45505</v>
      </c>
      <c r="F291" s="89">
        <v>4.9695</v>
      </c>
      <c r="G291" s="90">
        <v>6.6333497408248995E-2</v>
      </c>
      <c r="H291" s="89">
        <v>0.17</v>
      </c>
      <c r="I291" s="89">
        <v>0</v>
      </c>
      <c r="J291" s="89">
        <v>0.55000000000000004</v>
      </c>
      <c r="K291" s="89">
        <v>0.5</v>
      </c>
      <c r="L291" s="89">
        <v>0.6</v>
      </c>
      <c r="M291" s="89">
        <v>0.55000000000000004</v>
      </c>
      <c r="N291" s="89">
        <v>0.6</v>
      </c>
      <c r="O291" s="89">
        <v>0.55000000000000004</v>
      </c>
      <c r="P291" s="89">
        <v>0.6</v>
      </c>
      <c r="Q291" s="89">
        <v>0.45</v>
      </c>
      <c r="R291" s="90">
        <v>0</v>
      </c>
      <c r="S291" s="90">
        <v>0.6</v>
      </c>
      <c r="T291" s="89">
        <v>0.55000000000000004</v>
      </c>
      <c r="U291" s="89">
        <v>0.6</v>
      </c>
      <c r="V291" s="89">
        <v>0.7</v>
      </c>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90"/>
      <c r="AZ291" s="90"/>
      <c r="BA291" s="90">
        <v>0</v>
      </c>
      <c r="BB291" s="89">
        <v>0</v>
      </c>
      <c r="BC291" s="89">
        <v>-7.0000000000000007E-2</v>
      </c>
      <c r="BD291" s="89">
        <v>0</v>
      </c>
      <c r="BE291" s="89">
        <v>0</v>
      </c>
      <c r="BF291" s="89">
        <v>0</v>
      </c>
      <c r="BG291" s="89">
        <v>-0.06</v>
      </c>
      <c r="BH291" s="89">
        <v>0</v>
      </c>
      <c r="BI291" s="89">
        <v>0</v>
      </c>
      <c r="BJ291" s="62">
        <v>0</v>
      </c>
      <c r="BK291" s="62">
        <v>0</v>
      </c>
      <c r="BL291" s="62">
        <v>0</v>
      </c>
      <c r="BM291" s="62">
        <v>0.05</v>
      </c>
      <c r="BN291" s="62">
        <v>0</v>
      </c>
      <c r="BO291" s="62">
        <v>0</v>
      </c>
      <c r="BP291" s="62">
        <v>0</v>
      </c>
      <c r="BQ291" s="62">
        <v>0</v>
      </c>
      <c r="BR291" s="62">
        <v>0</v>
      </c>
      <c r="BS291" s="62">
        <v>-7.0000000000000007E-2</v>
      </c>
      <c r="BT291" s="62">
        <v>0</v>
      </c>
      <c r="BU291" s="62">
        <v>-0.2</v>
      </c>
      <c r="BV291" s="62">
        <v>0</v>
      </c>
      <c r="BW291" s="62">
        <v>0</v>
      </c>
      <c r="BX291" s="62">
        <v>0</v>
      </c>
      <c r="CA291" s="62">
        <v>0.15</v>
      </c>
      <c r="CB291" s="62">
        <v>5.0000000000000001E-3</v>
      </c>
      <c r="CM291" s="62"/>
      <c r="CN291" s="62"/>
      <c r="CO291" s="62"/>
      <c r="CP291" s="62"/>
      <c r="CQ291" s="62"/>
      <c r="CR291" s="62"/>
      <c r="CS291" s="62">
        <v>0.41</v>
      </c>
      <c r="CT291" s="62">
        <v>0.01</v>
      </c>
      <c r="CU291" s="62">
        <v>0.05</v>
      </c>
      <c r="CV291" s="62">
        <v>0</v>
      </c>
      <c r="CW291" s="62">
        <v>0.20499999999999999</v>
      </c>
      <c r="CX291" s="62">
        <v>7.4999999999999997E-3</v>
      </c>
      <c r="CY291" s="62">
        <v>-0.18</v>
      </c>
      <c r="CZ291" s="62">
        <v>0</v>
      </c>
      <c r="DA291" s="62">
        <v>0</v>
      </c>
      <c r="DB291" s="62">
        <v>0</v>
      </c>
      <c r="DC291" s="62">
        <v>0</v>
      </c>
      <c r="DS291" s="62">
        <v>0.35</v>
      </c>
      <c r="DT291" s="62">
        <v>-5.0000000000000001E-3</v>
      </c>
    </row>
    <row r="292" spans="4:124" x14ac:dyDescent="0.25">
      <c r="D292" s="91">
        <v>45536</v>
      </c>
      <c r="F292" s="89">
        <v>4.9645000000000001</v>
      </c>
      <c r="G292" s="90">
        <v>6.6320053722255204E-2</v>
      </c>
      <c r="H292" s="89">
        <v>0.17</v>
      </c>
      <c r="I292" s="89">
        <v>0</v>
      </c>
      <c r="J292" s="89">
        <v>0.55000000000000004</v>
      </c>
      <c r="K292" s="89">
        <v>0.55000000000000004</v>
      </c>
      <c r="L292" s="89">
        <v>0.55000000000000004</v>
      </c>
      <c r="M292" s="89">
        <v>0.55000000000000004</v>
      </c>
      <c r="N292" s="89">
        <v>0.6</v>
      </c>
      <c r="O292" s="89">
        <v>0.6</v>
      </c>
      <c r="P292" s="89">
        <v>0.55000000000000004</v>
      </c>
      <c r="Q292" s="89">
        <v>0.5</v>
      </c>
      <c r="R292" s="90">
        <v>0</v>
      </c>
      <c r="S292" s="90">
        <v>0.6</v>
      </c>
      <c r="T292" s="89">
        <v>0.55000000000000004</v>
      </c>
      <c r="U292" s="89">
        <v>0.6</v>
      </c>
      <c r="V292" s="89">
        <v>0.65</v>
      </c>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90"/>
      <c r="AZ292" s="90"/>
      <c r="BA292" s="90">
        <v>0</v>
      </c>
      <c r="BB292" s="89">
        <v>0</v>
      </c>
      <c r="BC292" s="89">
        <v>-7.0000000000000007E-2</v>
      </c>
      <c r="BD292" s="89">
        <v>0</v>
      </c>
      <c r="BE292" s="89">
        <v>0</v>
      </c>
      <c r="BF292" s="89">
        <v>0</v>
      </c>
      <c r="BG292" s="89">
        <v>-0.06</v>
      </c>
      <c r="BH292" s="89">
        <v>0</v>
      </c>
      <c r="BI292" s="89">
        <v>0</v>
      </c>
      <c r="BJ292" s="62">
        <v>0</v>
      </c>
      <c r="BK292" s="62">
        <v>0</v>
      </c>
      <c r="BL292" s="62">
        <v>0</v>
      </c>
      <c r="BM292" s="62">
        <v>0.05</v>
      </c>
      <c r="BN292" s="62">
        <v>0</v>
      </c>
      <c r="BO292" s="62">
        <v>0</v>
      </c>
      <c r="BP292" s="62">
        <v>0</v>
      </c>
      <c r="BQ292" s="62">
        <v>0</v>
      </c>
      <c r="BR292" s="62">
        <v>0</v>
      </c>
      <c r="BS292" s="62">
        <v>-7.0000000000000007E-2</v>
      </c>
      <c r="BT292" s="62">
        <v>0</v>
      </c>
      <c r="BU292" s="62">
        <v>-0.2</v>
      </c>
      <c r="BV292" s="62">
        <v>0</v>
      </c>
      <c r="BW292" s="62">
        <v>0</v>
      </c>
      <c r="BX292" s="62">
        <v>0</v>
      </c>
      <c r="CA292" s="62">
        <v>0.125</v>
      </c>
      <c r="CB292" s="62">
        <v>5.0000000000000001E-3</v>
      </c>
      <c r="CM292" s="62"/>
      <c r="CN292" s="62"/>
      <c r="CO292" s="62"/>
      <c r="CP292" s="62"/>
      <c r="CQ292" s="62"/>
      <c r="CR292" s="62"/>
      <c r="CS292" s="62">
        <v>0.36</v>
      </c>
      <c r="CT292" s="62">
        <v>0.01</v>
      </c>
      <c r="CU292" s="62">
        <v>0.05</v>
      </c>
      <c r="CV292" s="62">
        <v>0</v>
      </c>
      <c r="CW292" s="62">
        <v>0.14499999999999999</v>
      </c>
      <c r="CX292" s="62">
        <v>7.4999999999999997E-3</v>
      </c>
      <c r="CY292" s="62">
        <v>-0.18</v>
      </c>
      <c r="CZ292" s="62">
        <v>0</v>
      </c>
      <c r="DA292" s="62">
        <v>0</v>
      </c>
      <c r="DB292" s="62">
        <v>0</v>
      </c>
      <c r="DC292" s="62">
        <v>0</v>
      </c>
      <c r="DS292" s="62">
        <v>0.315</v>
      </c>
      <c r="DT292" s="62">
        <v>-5.0000000000000001E-3</v>
      </c>
    </row>
    <row r="293" spans="4:124" x14ac:dyDescent="0.25">
      <c r="D293" s="91">
        <v>45566</v>
      </c>
      <c r="F293" s="89">
        <v>4.9894999999999996</v>
      </c>
      <c r="G293" s="90">
        <v>6.6307043703608404E-2</v>
      </c>
      <c r="H293" s="89">
        <v>0.17</v>
      </c>
      <c r="I293" s="89">
        <v>0</v>
      </c>
      <c r="J293" s="89">
        <v>0.6</v>
      </c>
      <c r="K293" s="89">
        <v>0.55000000000000004</v>
      </c>
      <c r="L293" s="89">
        <v>0.6</v>
      </c>
      <c r="M293" s="89">
        <v>0.6</v>
      </c>
      <c r="N293" s="89">
        <v>0.65</v>
      </c>
      <c r="O293" s="89">
        <v>0.65</v>
      </c>
      <c r="P293" s="89">
        <v>0.6</v>
      </c>
      <c r="Q293" s="89">
        <v>0.5</v>
      </c>
      <c r="R293" s="90">
        <v>0</v>
      </c>
      <c r="S293" s="90">
        <v>0.65</v>
      </c>
      <c r="T293" s="89">
        <v>0.6</v>
      </c>
      <c r="U293" s="89">
        <v>0.65</v>
      </c>
      <c r="V293" s="89">
        <v>0.7</v>
      </c>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90"/>
      <c r="AZ293" s="90"/>
      <c r="BA293" s="90">
        <v>0</v>
      </c>
      <c r="BB293" s="89">
        <v>0</v>
      </c>
      <c r="BC293" s="89">
        <v>-7.0000000000000007E-2</v>
      </c>
      <c r="BD293" s="89">
        <v>0</v>
      </c>
      <c r="BE293" s="89">
        <v>0</v>
      </c>
      <c r="BF293" s="89">
        <v>0</v>
      </c>
      <c r="BG293" s="89">
        <v>-0.06</v>
      </c>
      <c r="BH293" s="89">
        <v>0</v>
      </c>
      <c r="BI293" s="89">
        <v>0</v>
      </c>
      <c r="BJ293" s="62">
        <v>0</v>
      </c>
      <c r="BK293" s="62">
        <v>0</v>
      </c>
      <c r="BL293" s="62">
        <v>0</v>
      </c>
      <c r="BM293" s="62">
        <v>0.05</v>
      </c>
      <c r="BN293" s="62">
        <v>0</v>
      </c>
      <c r="BO293" s="62">
        <v>0</v>
      </c>
      <c r="BP293" s="62">
        <v>0</v>
      </c>
      <c r="BQ293" s="62">
        <v>0</v>
      </c>
      <c r="BR293" s="62">
        <v>0</v>
      </c>
      <c r="BS293" s="62">
        <v>-7.0000000000000007E-2</v>
      </c>
      <c r="BT293" s="62">
        <v>0</v>
      </c>
      <c r="BU293" s="62">
        <v>-0.2</v>
      </c>
      <c r="BV293" s="62">
        <v>0</v>
      </c>
      <c r="BW293" s="62">
        <v>0</v>
      </c>
      <c r="BX293" s="62">
        <v>0</v>
      </c>
      <c r="CA293" s="62">
        <v>0.14499999999999999</v>
      </c>
      <c r="CB293" s="62">
        <v>5.0000000000000001E-3</v>
      </c>
      <c r="CM293" s="62"/>
      <c r="CN293" s="62"/>
      <c r="CO293" s="62"/>
      <c r="CP293" s="62"/>
      <c r="CQ293" s="62"/>
      <c r="CR293" s="62"/>
      <c r="CS293" s="62">
        <v>0.4</v>
      </c>
      <c r="CT293" s="62">
        <v>0.01</v>
      </c>
      <c r="CU293" s="62">
        <v>0.05</v>
      </c>
      <c r="CV293" s="62">
        <v>0</v>
      </c>
      <c r="CW293" s="62">
        <v>0.17499999999999999</v>
      </c>
      <c r="CX293" s="62">
        <v>7.4999999999999997E-3</v>
      </c>
      <c r="CY293" s="62">
        <v>-0.18</v>
      </c>
      <c r="CZ293" s="62">
        <v>0</v>
      </c>
      <c r="DA293" s="62">
        <v>0</v>
      </c>
      <c r="DB293" s="62">
        <v>0</v>
      </c>
      <c r="DC293" s="62">
        <v>0</v>
      </c>
      <c r="DS293" s="62">
        <v>0.36</v>
      </c>
      <c r="DT293" s="62">
        <v>-5.0000000000000001E-3</v>
      </c>
    </row>
    <row r="294" spans="4:124" x14ac:dyDescent="0.25">
      <c r="D294" s="91">
        <v>45597</v>
      </c>
      <c r="F294" s="89">
        <v>5.1414999999999997</v>
      </c>
      <c r="G294" s="90">
        <v>6.6293600017732796E-2</v>
      </c>
      <c r="H294" s="89">
        <v>0.17</v>
      </c>
      <c r="I294" s="89">
        <v>0</v>
      </c>
      <c r="J294" s="89">
        <v>0.85</v>
      </c>
      <c r="K294" s="89">
        <v>0.8</v>
      </c>
      <c r="L294" s="89">
        <v>0.8</v>
      </c>
      <c r="M294" s="89">
        <v>0.9</v>
      </c>
      <c r="N294" s="89">
        <v>0.95</v>
      </c>
      <c r="O294" s="89">
        <v>0.85</v>
      </c>
      <c r="P294" s="89">
        <v>0.8</v>
      </c>
      <c r="Q294" s="89">
        <v>0.95</v>
      </c>
      <c r="R294" s="90">
        <v>0</v>
      </c>
      <c r="S294" s="90">
        <v>0.8</v>
      </c>
      <c r="T294" s="89">
        <v>0.8</v>
      </c>
      <c r="U294" s="89">
        <v>0.95</v>
      </c>
      <c r="V294" s="89">
        <v>0.9</v>
      </c>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90"/>
      <c r="AZ294" s="90"/>
      <c r="BA294" s="90">
        <v>0</v>
      </c>
      <c r="BB294" s="89">
        <v>0</v>
      </c>
      <c r="BC294" s="89">
        <v>-7.0000000000000007E-2</v>
      </c>
      <c r="BD294" s="89">
        <v>0</v>
      </c>
      <c r="BE294" s="89">
        <v>0</v>
      </c>
      <c r="BF294" s="89">
        <v>0</v>
      </c>
      <c r="BG294" s="89">
        <v>-0.06</v>
      </c>
      <c r="BH294" s="89">
        <v>0</v>
      </c>
      <c r="BI294" s="89">
        <v>0</v>
      </c>
      <c r="BJ294" s="62">
        <v>0</v>
      </c>
      <c r="BK294" s="62">
        <v>0</v>
      </c>
      <c r="BL294" s="62">
        <v>0</v>
      </c>
      <c r="BM294" s="62">
        <v>0.05</v>
      </c>
      <c r="BN294" s="62">
        <v>0</v>
      </c>
      <c r="BO294" s="62">
        <v>0</v>
      </c>
      <c r="BP294" s="62">
        <v>0</v>
      </c>
      <c r="BQ294" s="62">
        <v>0</v>
      </c>
      <c r="BR294" s="62">
        <v>0</v>
      </c>
      <c r="BS294" s="62">
        <v>-7.0000000000000007E-2</v>
      </c>
      <c r="BT294" s="62">
        <v>0</v>
      </c>
      <c r="BU294" s="62">
        <v>-0.2</v>
      </c>
      <c r="BV294" s="62">
        <v>0</v>
      </c>
      <c r="BW294" s="62">
        <v>0</v>
      </c>
      <c r="BX294" s="62">
        <v>0</v>
      </c>
      <c r="CA294" s="62">
        <v>0.19500000000000001</v>
      </c>
      <c r="CB294" s="62">
        <v>5.0000000000000001E-3</v>
      </c>
      <c r="CM294" s="62"/>
      <c r="CN294" s="62"/>
      <c r="CO294" s="62"/>
      <c r="CP294" s="62"/>
      <c r="CQ294" s="62"/>
      <c r="CR294" s="62"/>
      <c r="CS294" s="62">
        <v>0.65</v>
      </c>
      <c r="CT294" s="62">
        <v>5.5E-2</v>
      </c>
      <c r="CU294" s="62">
        <v>0.05</v>
      </c>
      <c r="CV294" s="62">
        <v>0</v>
      </c>
      <c r="CW294" s="62">
        <v>0.21</v>
      </c>
      <c r="CX294" s="62">
        <v>0.02</v>
      </c>
      <c r="CY294" s="62">
        <v>-0.18</v>
      </c>
      <c r="CZ294" s="62">
        <v>0</v>
      </c>
      <c r="DA294" s="62">
        <v>0</v>
      </c>
      <c r="DB294" s="62">
        <v>0</v>
      </c>
      <c r="DC294" s="62">
        <v>0</v>
      </c>
      <c r="DS294" s="62">
        <v>0.46</v>
      </c>
      <c r="DT294" s="62">
        <v>0.05</v>
      </c>
    </row>
    <row r="295" spans="4:124" x14ac:dyDescent="0.25">
      <c r="D295" s="91">
        <v>45627</v>
      </c>
      <c r="F295" s="89">
        <v>5.2845000000000004</v>
      </c>
      <c r="G295" s="90">
        <v>6.6280589999200099E-2</v>
      </c>
      <c r="H295" s="89">
        <v>0.17</v>
      </c>
      <c r="I295" s="89">
        <v>0</v>
      </c>
      <c r="J295" s="89">
        <v>1.05</v>
      </c>
      <c r="K295" s="89">
        <v>1</v>
      </c>
      <c r="L295" s="89">
        <v>1</v>
      </c>
      <c r="M295" s="89">
        <v>1.1499999999999999</v>
      </c>
      <c r="N295" s="89">
        <v>1.25</v>
      </c>
      <c r="O295" s="89">
        <v>1.05</v>
      </c>
      <c r="P295" s="89">
        <v>1</v>
      </c>
      <c r="Q295" s="89">
        <v>1.35</v>
      </c>
      <c r="R295" s="90">
        <v>0</v>
      </c>
      <c r="S295" s="90">
        <v>1.1000000000000001</v>
      </c>
      <c r="T295" s="89">
        <v>1</v>
      </c>
      <c r="U295" s="89">
        <v>1.25</v>
      </c>
      <c r="V295" s="89">
        <v>1.1000000000000001</v>
      </c>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90"/>
      <c r="AZ295" s="90"/>
      <c r="BA295" s="90">
        <v>0</v>
      </c>
      <c r="BB295" s="89">
        <v>0</v>
      </c>
      <c r="BC295" s="89">
        <v>-7.0000000000000007E-2</v>
      </c>
      <c r="BD295" s="89">
        <v>0</v>
      </c>
      <c r="BE295" s="89">
        <v>0</v>
      </c>
      <c r="BF295" s="89">
        <v>0</v>
      </c>
      <c r="BG295" s="89">
        <v>-0.06</v>
      </c>
      <c r="BH295" s="89">
        <v>0</v>
      </c>
      <c r="BI295" s="89">
        <v>0</v>
      </c>
      <c r="BJ295" s="62">
        <v>0</v>
      </c>
      <c r="BK295" s="62">
        <v>0</v>
      </c>
      <c r="BL295" s="62">
        <v>0</v>
      </c>
      <c r="BM295" s="62">
        <v>0.05</v>
      </c>
      <c r="BN295" s="62">
        <v>0</v>
      </c>
      <c r="BO295" s="62">
        <v>0</v>
      </c>
      <c r="BP295" s="62">
        <v>0</v>
      </c>
      <c r="BQ295" s="62">
        <v>0</v>
      </c>
      <c r="BR295" s="62">
        <v>0</v>
      </c>
      <c r="BS295" s="62">
        <v>-7.0000000000000007E-2</v>
      </c>
      <c r="BT295" s="62">
        <v>0</v>
      </c>
      <c r="BU295" s="62">
        <v>-0.2</v>
      </c>
      <c r="BV295" s="62">
        <v>0</v>
      </c>
      <c r="BW295" s="62">
        <v>0</v>
      </c>
      <c r="BX295" s="62">
        <v>0</v>
      </c>
      <c r="CA295" s="62">
        <v>0.215</v>
      </c>
      <c r="CB295" s="62">
        <v>5.0000000000000001E-3</v>
      </c>
      <c r="CM295" s="62"/>
      <c r="CN295" s="62"/>
      <c r="CO295" s="62"/>
      <c r="CP295" s="62"/>
      <c r="CQ295" s="62"/>
      <c r="CR295" s="62"/>
      <c r="CS295" s="62">
        <v>0.98</v>
      </c>
      <c r="CT295" s="62">
        <v>0.25</v>
      </c>
      <c r="CU295" s="62">
        <v>0.05</v>
      </c>
      <c r="CV295" s="62">
        <v>0</v>
      </c>
      <c r="CW295" s="62">
        <v>0.28999999999999998</v>
      </c>
      <c r="CX295" s="62">
        <v>0.02</v>
      </c>
      <c r="CY295" s="62">
        <v>-0.18</v>
      </c>
      <c r="CZ295" s="62">
        <v>0</v>
      </c>
      <c r="DA295" s="62">
        <v>0</v>
      </c>
      <c r="DB295" s="62">
        <v>0</v>
      </c>
      <c r="DC295" s="62">
        <v>0</v>
      </c>
      <c r="DS295" s="62">
        <v>0.77</v>
      </c>
      <c r="DT295" s="62">
        <v>0.05</v>
      </c>
    </row>
    <row r="296" spans="4:124" x14ac:dyDescent="0.25">
      <c r="D296" s="91">
        <v>45658</v>
      </c>
      <c r="F296" s="89"/>
      <c r="G296" s="90">
        <v>6.6267146313442105E-2</v>
      </c>
      <c r="H296" s="89"/>
      <c r="I296" s="89">
        <v>0</v>
      </c>
      <c r="J296" s="89">
        <v>1.05</v>
      </c>
      <c r="K296" s="89">
        <v>1</v>
      </c>
      <c r="L296" s="89">
        <v>1</v>
      </c>
      <c r="M296" s="89">
        <v>1.1499999999999999</v>
      </c>
      <c r="N296" s="89">
        <v>1.45</v>
      </c>
      <c r="O296" s="89">
        <v>1.05</v>
      </c>
      <c r="P296" s="89">
        <v>1</v>
      </c>
      <c r="Q296" s="89">
        <v>1.35</v>
      </c>
      <c r="R296" s="90">
        <v>0</v>
      </c>
      <c r="S296" s="90">
        <v>1.1000000000000001</v>
      </c>
      <c r="T296" s="89">
        <v>1</v>
      </c>
      <c r="U296" s="89">
        <v>1.45</v>
      </c>
      <c r="V296" s="89">
        <v>1.1000000000000001</v>
      </c>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90"/>
      <c r="AZ296" s="90"/>
      <c r="BA296" s="90">
        <v>0</v>
      </c>
      <c r="BB296" s="89">
        <v>0</v>
      </c>
      <c r="BC296" s="89">
        <v>-7.0000000000000007E-2</v>
      </c>
      <c r="BD296" s="89">
        <v>0</v>
      </c>
      <c r="BE296" s="89">
        <v>0</v>
      </c>
      <c r="BF296" s="89">
        <v>0</v>
      </c>
      <c r="BG296" s="89">
        <v>-0.06</v>
      </c>
      <c r="BH296" s="89">
        <v>0</v>
      </c>
      <c r="BI296" s="89">
        <v>0</v>
      </c>
      <c r="BJ296" s="62">
        <v>0</v>
      </c>
      <c r="BK296" s="62">
        <v>0</v>
      </c>
      <c r="BL296" s="62">
        <v>0</v>
      </c>
      <c r="BM296" s="62">
        <v>0.05</v>
      </c>
      <c r="BN296" s="62">
        <v>0</v>
      </c>
      <c r="BO296" s="62">
        <v>0</v>
      </c>
      <c r="BP296" s="62">
        <v>0</v>
      </c>
      <c r="BQ296" s="62">
        <v>0</v>
      </c>
      <c r="BR296" s="62">
        <v>0</v>
      </c>
      <c r="BS296" s="62">
        <v>-7.0000000000000007E-2</v>
      </c>
      <c r="BT296" s="62">
        <v>0</v>
      </c>
      <c r="BU296" s="62">
        <v>-0.2</v>
      </c>
      <c r="BV296" s="62">
        <v>0</v>
      </c>
      <c r="BW296" s="62">
        <v>0</v>
      </c>
      <c r="BX296" s="62">
        <v>0</v>
      </c>
      <c r="CA296" s="62">
        <v>0.23499999999999999</v>
      </c>
      <c r="CB296" s="62">
        <v>5.0000000000000001E-3</v>
      </c>
      <c r="CM296" s="62"/>
      <c r="CN296" s="62"/>
      <c r="CO296" s="62"/>
      <c r="CP296" s="62"/>
      <c r="CQ296" s="62"/>
      <c r="CR296" s="62"/>
      <c r="CS296" s="62">
        <v>1.6</v>
      </c>
      <c r="CT296" s="62">
        <v>0.45</v>
      </c>
      <c r="CU296" s="62">
        <v>0.05</v>
      </c>
      <c r="CV296" s="62">
        <v>0</v>
      </c>
      <c r="CW296" s="62">
        <v>0.34</v>
      </c>
      <c r="CX296" s="62">
        <v>0.02</v>
      </c>
      <c r="CY296" s="62">
        <v>-0.18</v>
      </c>
      <c r="CZ296" s="62">
        <v>0</v>
      </c>
      <c r="DA296" s="62">
        <v>0</v>
      </c>
      <c r="DB296" s="62">
        <v>0</v>
      </c>
      <c r="DC296" s="62">
        <v>0</v>
      </c>
      <c r="DS296" s="62">
        <v>1.04</v>
      </c>
      <c r="DT296" s="62">
        <v>0.05</v>
      </c>
    </row>
    <row r="297" spans="4:124" x14ac:dyDescent="0.25">
      <c r="D297" s="91">
        <v>45689</v>
      </c>
      <c r="F297" s="89"/>
      <c r="G297" s="90">
        <v>6.6253702627744104E-2</v>
      </c>
      <c r="H297" s="89"/>
      <c r="I297" s="89">
        <v>0</v>
      </c>
      <c r="J297" s="89">
        <v>1.05</v>
      </c>
      <c r="K297" s="89">
        <v>1</v>
      </c>
      <c r="L297" s="89">
        <v>1</v>
      </c>
      <c r="M297" s="89">
        <v>1.1499999999999999</v>
      </c>
      <c r="N297" s="89">
        <v>1.45</v>
      </c>
      <c r="O297" s="89">
        <v>1.05</v>
      </c>
      <c r="P297" s="89">
        <v>1</v>
      </c>
      <c r="Q297" s="89">
        <v>1.35</v>
      </c>
      <c r="R297" s="90">
        <v>0</v>
      </c>
      <c r="S297" s="90">
        <v>1.1000000000000001</v>
      </c>
      <c r="T297" s="89">
        <v>1</v>
      </c>
      <c r="U297" s="89">
        <v>1.45</v>
      </c>
      <c r="V297" s="89">
        <v>1.1000000000000001</v>
      </c>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90"/>
      <c r="AZ297" s="90"/>
      <c r="BA297" s="90">
        <v>0</v>
      </c>
      <c r="BB297" s="89">
        <v>0</v>
      </c>
      <c r="BC297" s="89">
        <v>-7.0000000000000007E-2</v>
      </c>
      <c r="BD297" s="89">
        <v>0</v>
      </c>
      <c r="BE297" s="89">
        <v>0</v>
      </c>
      <c r="BF297" s="89">
        <v>0</v>
      </c>
      <c r="BG297" s="89">
        <v>-0.06</v>
      </c>
      <c r="BH297" s="89">
        <v>0</v>
      </c>
      <c r="BI297" s="89">
        <v>0</v>
      </c>
      <c r="BJ297" s="62">
        <v>0</v>
      </c>
      <c r="BK297" s="62">
        <v>0</v>
      </c>
      <c r="BL297" s="62">
        <v>0</v>
      </c>
      <c r="BM297" s="62">
        <v>0.05</v>
      </c>
      <c r="BN297" s="62">
        <v>0</v>
      </c>
      <c r="BO297" s="62">
        <v>0</v>
      </c>
      <c r="BP297" s="62">
        <v>0</v>
      </c>
      <c r="BQ297" s="62">
        <v>0</v>
      </c>
      <c r="BR297" s="62">
        <v>0</v>
      </c>
      <c r="BS297" s="62">
        <v>-7.0000000000000007E-2</v>
      </c>
      <c r="BT297" s="62">
        <v>0</v>
      </c>
      <c r="BU297" s="62">
        <v>-0.2</v>
      </c>
      <c r="BV297" s="62">
        <v>0</v>
      </c>
      <c r="BW297" s="62">
        <v>0</v>
      </c>
      <c r="BX297" s="62">
        <v>0</v>
      </c>
      <c r="CA297" s="62">
        <v>0.23499999999999999</v>
      </c>
      <c r="CB297" s="62">
        <v>5.0000000000000001E-3</v>
      </c>
      <c r="CM297" s="62"/>
      <c r="CN297" s="62"/>
      <c r="CO297" s="62"/>
      <c r="CP297" s="62"/>
      <c r="CQ297" s="62"/>
      <c r="CR297" s="62"/>
      <c r="CS297" s="62">
        <v>1.6</v>
      </c>
      <c r="CT297" s="62">
        <v>0.45</v>
      </c>
      <c r="CU297" s="62">
        <v>0.05</v>
      </c>
      <c r="CV297" s="62">
        <v>0</v>
      </c>
      <c r="CW297" s="62">
        <v>0.34</v>
      </c>
      <c r="CX297" s="62">
        <v>0.02</v>
      </c>
      <c r="CY297" s="62">
        <v>-0.18</v>
      </c>
      <c r="CZ297" s="62">
        <v>0</v>
      </c>
      <c r="DA297" s="62">
        <v>0</v>
      </c>
      <c r="DB297" s="62">
        <v>0</v>
      </c>
      <c r="DC297" s="62">
        <v>0</v>
      </c>
      <c r="DS297" s="62">
        <v>1.04</v>
      </c>
      <c r="DT297" s="62">
        <v>0.05</v>
      </c>
    </row>
    <row r="298" spans="4:124" x14ac:dyDescent="0.25">
      <c r="D298" s="91">
        <v>45717</v>
      </c>
      <c r="F298" s="89"/>
      <c r="G298" s="90">
        <v>6.6241559943939002E-2</v>
      </c>
      <c r="H298" s="89"/>
      <c r="I298" s="89">
        <v>0</v>
      </c>
      <c r="J298" s="89">
        <v>0.8</v>
      </c>
      <c r="K298" s="89">
        <v>0.75</v>
      </c>
      <c r="L298" s="89">
        <v>0.75</v>
      </c>
      <c r="M298" s="89">
        <v>0.85</v>
      </c>
      <c r="N298" s="89">
        <v>1</v>
      </c>
      <c r="O298" s="89">
        <v>0.75</v>
      </c>
      <c r="P298" s="89">
        <v>0.75</v>
      </c>
      <c r="Q298" s="89">
        <v>0.95</v>
      </c>
      <c r="R298" s="90">
        <v>0</v>
      </c>
      <c r="S298" s="90">
        <v>0.75</v>
      </c>
      <c r="T298" s="89">
        <v>0.75</v>
      </c>
      <c r="U298" s="89">
        <v>1</v>
      </c>
      <c r="V298" s="89">
        <v>0.85</v>
      </c>
      <c r="W298" s="89"/>
      <c r="X298" s="89"/>
      <c r="Y298" s="89"/>
      <c r="Z298" s="89"/>
      <c r="AA298" s="89"/>
      <c r="AB298" s="89"/>
      <c r="AC298" s="89"/>
      <c r="AD298" s="89"/>
      <c r="AE298" s="89"/>
      <c r="AF298" s="89"/>
      <c r="AG298" s="89"/>
      <c r="AH298" s="89"/>
      <c r="AI298" s="89"/>
      <c r="AJ298" s="89"/>
      <c r="AK298" s="89"/>
      <c r="AL298" s="89"/>
      <c r="AM298" s="89"/>
      <c r="AN298" s="89"/>
      <c r="AO298" s="89"/>
      <c r="AP298" s="89"/>
      <c r="AQ298" s="89"/>
      <c r="AR298" s="89"/>
      <c r="AS298" s="89"/>
      <c r="AT298" s="89"/>
      <c r="AU298" s="89"/>
      <c r="AV298" s="89"/>
      <c r="AW298" s="89"/>
      <c r="AX298" s="89"/>
      <c r="AY298" s="90"/>
      <c r="AZ298" s="90"/>
      <c r="BA298" s="90">
        <v>0</v>
      </c>
      <c r="BB298" s="89">
        <v>0</v>
      </c>
      <c r="BC298" s="89">
        <v>-7.0000000000000007E-2</v>
      </c>
      <c r="BD298" s="89">
        <v>0</v>
      </c>
      <c r="BE298" s="89">
        <v>0</v>
      </c>
      <c r="BF298" s="89">
        <v>0</v>
      </c>
      <c r="BG298" s="89">
        <v>-0.06</v>
      </c>
      <c r="BH298" s="89">
        <v>0</v>
      </c>
      <c r="BI298" s="89">
        <v>0</v>
      </c>
      <c r="BJ298" s="62">
        <v>0</v>
      </c>
      <c r="BK298" s="62">
        <v>0</v>
      </c>
      <c r="BL298" s="62">
        <v>0</v>
      </c>
      <c r="BM298" s="62">
        <v>0.05</v>
      </c>
      <c r="BN298" s="62">
        <v>0</v>
      </c>
      <c r="BO298" s="62">
        <v>0</v>
      </c>
      <c r="BP298" s="62">
        <v>0</v>
      </c>
      <c r="BQ298" s="62">
        <v>0</v>
      </c>
      <c r="BR298" s="62">
        <v>0</v>
      </c>
      <c r="BS298" s="62">
        <v>-7.0000000000000007E-2</v>
      </c>
      <c r="BT298" s="62">
        <v>0</v>
      </c>
      <c r="BU298" s="62">
        <v>-0.2</v>
      </c>
      <c r="BV298" s="62">
        <v>0</v>
      </c>
      <c r="BW298" s="62">
        <v>0</v>
      </c>
      <c r="BX298" s="62">
        <v>0</v>
      </c>
      <c r="CA298" s="62">
        <v>0.19500000000000001</v>
      </c>
      <c r="CB298" s="62">
        <v>5.0000000000000001E-3</v>
      </c>
      <c r="CM298" s="62"/>
      <c r="CN298" s="62"/>
      <c r="CO298" s="62"/>
      <c r="CP298" s="62"/>
      <c r="CQ298" s="62"/>
      <c r="CR298" s="62"/>
      <c r="CS298" s="62">
        <v>0.64</v>
      </c>
      <c r="CT298" s="62">
        <v>0.1</v>
      </c>
      <c r="CU298" s="62">
        <v>0.05</v>
      </c>
      <c r="CV298" s="62">
        <v>0</v>
      </c>
      <c r="CW298" s="62">
        <v>0.28999999999999998</v>
      </c>
      <c r="CX298" s="62">
        <v>0.02</v>
      </c>
      <c r="CY298" s="62">
        <v>-0.18</v>
      </c>
      <c r="CZ298" s="62">
        <v>0</v>
      </c>
      <c r="DA298" s="62">
        <v>0</v>
      </c>
      <c r="DB298" s="62">
        <v>0</v>
      </c>
      <c r="DC298" s="62">
        <v>0</v>
      </c>
      <c r="DS298" s="62">
        <v>0.54</v>
      </c>
      <c r="DT298" s="62">
        <v>0.05</v>
      </c>
    </row>
    <row r="299" spans="4:124" x14ac:dyDescent="0.25">
      <c r="D299" s="91">
        <v>45748</v>
      </c>
      <c r="F299" s="89"/>
      <c r="G299" s="90">
        <v>6.6228116258354702E-2</v>
      </c>
      <c r="H299" s="89"/>
      <c r="I299" s="89">
        <v>0</v>
      </c>
      <c r="J299" s="89">
        <v>0.45</v>
      </c>
      <c r="K299" s="89">
        <v>0.4</v>
      </c>
      <c r="L299" s="89">
        <v>0.45</v>
      </c>
      <c r="M299" s="89">
        <v>0.45</v>
      </c>
      <c r="N299" s="89">
        <v>0.45</v>
      </c>
      <c r="O299" s="89">
        <v>0.45</v>
      </c>
      <c r="P299" s="89">
        <v>0.45</v>
      </c>
      <c r="Q299" s="89">
        <v>0.5</v>
      </c>
      <c r="R299" s="90">
        <v>0</v>
      </c>
      <c r="S299" s="90">
        <v>0.45</v>
      </c>
      <c r="T299" s="89">
        <v>0.4</v>
      </c>
      <c r="U299" s="89">
        <v>0.45</v>
      </c>
      <c r="V299" s="89">
        <v>0.55000000000000004</v>
      </c>
      <c r="W299" s="89"/>
      <c r="X299" s="89"/>
      <c r="Y299" s="89"/>
      <c r="Z299" s="89"/>
      <c r="AA299" s="89"/>
      <c r="AB299" s="89"/>
      <c r="AC299" s="89"/>
      <c r="AD299" s="89"/>
      <c r="AE299" s="89"/>
      <c r="AF299" s="89"/>
      <c r="AG299" s="89"/>
      <c r="AH299" s="89"/>
      <c r="AI299" s="89"/>
      <c r="AJ299" s="89"/>
      <c r="AK299" s="89"/>
      <c r="AL299" s="89"/>
      <c r="AM299" s="89"/>
      <c r="AN299" s="89"/>
      <c r="AO299" s="89"/>
      <c r="AP299" s="89"/>
      <c r="AQ299" s="89"/>
      <c r="AR299" s="89"/>
      <c r="AS299" s="89"/>
      <c r="AT299" s="89"/>
      <c r="AU299" s="89"/>
      <c r="AV299" s="89"/>
      <c r="AW299" s="89"/>
      <c r="AX299" s="89"/>
      <c r="AY299" s="90"/>
      <c r="AZ299" s="90"/>
      <c r="BA299" s="90">
        <v>0</v>
      </c>
      <c r="BB299" s="89">
        <v>0</v>
      </c>
      <c r="BC299" s="89">
        <v>-7.0000000000000007E-2</v>
      </c>
      <c r="BD299" s="89">
        <v>0</v>
      </c>
      <c r="BE299" s="89">
        <v>0</v>
      </c>
      <c r="BF299" s="89">
        <v>0</v>
      </c>
      <c r="BG299" s="89">
        <v>-0.06</v>
      </c>
      <c r="BH299" s="89">
        <v>0</v>
      </c>
      <c r="BI299" s="89">
        <v>0</v>
      </c>
      <c r="BJ299" s="62">
        <v>0</v>
      </c>
      <c r="BK299" s="62">
        <v>0</v>
      </c>
      <c r="BL299" s="62">
        <v>0</v>
      </c>
      <c r="BM299" s="62">
        <v>0.05</v>
      </c>
      <c r="BN299" s="62">
        <v>0</v>
      </c>
      <c r="BO299" s="62">
        <v>0</v>
      </c>
      <c r="BP299" s="62">
        <v>0</v>
      </c>
      <c r="BQ299" s="62">
        <v>0</v>
      </c>
      <c r="BR299" s="62">
        <v>0</v>
      </c>
      <c r="BS299" s="62">
        <v>-7.0000000000000007E-2</v>
      </c>
      <c r="BT299" s="62">
        <v>0</v>
      </c>
      <c r="BU299" s="62">
        <v>-0.2</v>
      </c>
      <c r="BV299" s="62">
        <v>0</v>
      </c>
      <c r="BW299" s="62">
        <v>0</v>
      </c>
      <c r="BX299" s="62">
        <v>0</v>
      </c>
      <c r="CA299" s="62">
        <v>0.14499999999999999</v>
      </c>
      <c r="CB299" s="62">
        <v>5.0000000000000001E-3</v>
      </c>
      <c r="CM299" s="62"/>
      <c r="CN299" s="62"/>
      <c r="CO299" s="62"/>
      <c r="CP299" s="62"/>
      <c r="CQ299" s="62"/>
      <c r="CR299" s="62"/>
      <c r="CS299" s="62">
        <v>0.38</v>
      </c>
      <c r="CT299" s="62">
        <v>0.02</v>
      </c>
      <c r="CU299" s="62">
        <v>0.05</v>
      </c>
      <c r="CV299" s="62">
        <v>0</v>
      </c>
      <c r="CW299" s="62">
        <v>0.19500000000000001</v>
      </c>
      <c r="CX299" s="62">
        <v>7.4999999999999997E-3</v>
      </c>
      <c r="CY299" s="62">
        <v>-0.18</v>
      </c>
      <c r="CZ299" s="62">
        <v>0</v>
      </c>
      <c r="DA299" s="62">
        <v>0</v>
      </c>
      <c r="DB299" s="62">
        <v>0</v>
      </c>
      <c r="DC299" s="62">
        <v>0</v>
      </c>
      <c r="DS299" s="62">
        <v>0.36</v>
      </c>
      <c r="DT299" s="62">
        <v>5.0000000000000001E-3</v>
      </c>
    </row>
    <row r="300" spans="4:124" x14ac:dyDescent="0.25">
      <c r="D300" s="91">
        <v>45778</v>
      </c>
      <c r="F300" s="89"/>
      <c r="G300" s="90">
        <v>6.6215106240104404E-2</v>
      </c>
      <c r="H300" s="89"/>
      <c r="I300" s="89">
        <v>0</v>
      </c>
      <c r="J300" s="89">
        <v>0.5</v>
      </c>
      <c r="K300" s="89">
        <v>0.4</v>
      </c>
      <c r="L300" s="89">
        <v>0.4</v>
      </c>
      <c r="M300" s="89">
        <v>0.45</v>
      </c>
      <c r="N300" s="89">
        <v>0.5</v>
      </c>
      <c r="O300" s="89">
        <v>0.45</v>
      </c>
      <c r="P300" s="89">
        <v>0.4</v>
      </c>
      <c r="Q300" s="89">
        <v>0.45</v>
      </c>
      <c r="R300" s="90">
        <v>0</v>
      </c>
      <c r="S300" s="90">
        <v>0.5</v>
      </c>
      <c r="T300" s="89">
        <v>0.45</v>
      </c>
      <c r="U300" s="89">
        <v>0.5</v>
      </c>
      <c r="V300" s="89">
        <v>0.5</v>
      </c>
      <c r="W300" s="89"/>
      <c r="X300" s="89"/>
      <c r="Y300" s="89"/>
      <c r="Z300" s="89"/>
      <c r="AA300" s="89"/>
      <c r="AB300" s="89"/>
      <c r="AC300" s="89"/>
      <c r="AD300" s="89"/>
      <c r="AE300" s="89"/>
      <c r="AF300" s="89"/>
      <c r="AG300" s="89"/>
      <c r="AH300" s="89"/>
      <c r="AI300" s="89"/>
      <c r="AJ300" s="89"/>
      <c r="AK300" s="89"/>
      <c r="AL300" s="89"/>
      <c r="AM300" s="89"/>
      <c r="AN300" s="89"/>
      <c r="AO300" s="89"/>
      <c r="AP300" s="89"/>
      <c r="AQ300" s="89"/>
      <c r="AR300" s="89"/>
      <c r="AS300" s="89"/>
      <c r="AT300" s="89"/>
      <c r="AU300" s="89"/>
      <c r="AV300" s="89"/>
      <c r="AW300" s="89"/>
      <c r="AX300" s="89"/>
      <c r="AY300" s="90"/>
      <c r="AZ300" s="90"/>
      <c r="BA300" s="90">
        <v>0</v>
      </c>
      <c r="BB300" s="89">
        <v>0</v>
      </c>
      <c r="BC300" s="89">
        <v>-7.0000000000000007E-2</v>
      </c>
      <c r="BD300" s="89">
        <v>0</v>
      </c>
      <c r="BE300" s="89">
        <v>0</v>
      </c>
      <c r="BF300" s="89">
        <v>0</v>
      </c>
      <c r="BG300" s="89">
        <v>-0.06</v>
      </c>
      <c r="BH300" s="89">
        <v>0</v>
      </c>
      <c r="BI300" s="89">
        <v>0</v>
      </c>
      <c r="BJ300" s="62">
        <v>0</v>
      </c>
      <c r="BK300" s="62">
        <v>0</v>
      </c>
      <c r="BL300" s="62">
        <v>0</v>
      </c>
      <c r="BM300" s="62">
        <v>0.05</v>
      </c>
      <c r="BN300" s="62">
        <v>0</v>
      </c>
      <c r="BO300" s="62">
        <v>0</v>
      </c>
      <c r="BP300" s="62">
        <v>0</v>
      </c>
      <c r="BQ300" s="62">
        <v>0</v>
      </c>
      <c r="BR300" s="62">
        <v>0</v>
      </c>
      <c r="BS300" s="62">
        <v>-7.0000000000000007E-2</v>
      </c>
      <c r="BT300" s="62">
        <v>0</v>
      </c>
      <c r="BU300" s="62">
        <v>-0.2</v>
      </c>
      <c r="BV300" s="62">
        <v>0</v>
      </c>
      <c r="BW300" s="62">
        <v>0</v>
      </c>
      <c r="BX300" s="62">
        <v>0</v>
      </c>
      <c r="CA300" s="62">
        <v>0.125</v>
      </c>
      <c r="CB300" s="62">
        <v>5.0000000000000001E-3</v>
      </c>
      <c r="CM300" s="62"/>
      <c r="CN300" s="62"/>
      <c r="CO300" s="62"/>
      <c r="CP300" s="62"/>
      <c r="CQ300" s="62"/>
      <c r="CR300" s="62"/>
      <c r="CS300" s="62">
        <v>0.33</v>
      </c>
      <c r="CT300" s="62">
        <v>0.02</v>
      </c>
      <c r="CU300" s="62">
        <v>0.05</v>
      </c>
      <c r="CV300" s="62">
        <v>0</v>
      </c>
      <c r="CW300" s="62">
        <v>0.13500000000000001</v>
      </c>
      <c r="CX300" s="62">
        <v>7.4999999999999997E-3</v>
      </c>
      <c r="CY300" s="62">
        <v>-0.18</v>
      </c>
      <c r="CZ300" s="62">
        <v>0</v>
      </c>
      <c r="DA300" s="62">
        <v>0</v>
      </c>
      <c r="DB300" s="62">
        <v>0</v>
      </c>
      <c r="DC300" s="62">
        <v>0</v>
      </c>
      <c r="DS300" s="62">
        <v>0.32500000000000001</v>
      </c>
      <c r="DT300" s="62">
        <v>5.0000000000000001E-3</v>
      </c>
    </row>
    <row r="301" spans="4:124" x14ac:dyDescent="0.25">
      <c r="D301" s="91">
        <v>45809</v>
      </c>
      <c r="F301" s="89"/>
      <c r="G301" s="90">
        <v>6.6201662554637802E-2</v>
      </c>
      <c r="H301" s="89"/>
      <c r="I301" s="89">
        <v>0</v>
      </c>
      <c r="J301" s="89">
        <v>0.5</v>
      </c>
      <c r="K301" s="89">
        <v>0.4</v>
      </c>
      <c r="L301" s="89">
        <v>0.5</v>
      </c>
      <c r="M301" s="89">
        <v>0.45</v>
      </c>
      <c r="N301" s="89">
        <v>0.5</v>
      </c>
      <c r="O301" s="89">
        <v>0.5</v>
      </c>
      <c r="P301" s="89">
        <v>0.5</v>
      </c>
      <c r="Q301" s="89">
        <v>0.5</v>
      </c>
      <c r="R301" s="90">
        <v>0</v>
      </c>
      <c r="S301" s="90">
        <v>0.5</v>
      </c>
      <c r="T301" s="89">
        <v>0.45</v>
      </c>
      <c r="U301" s="89">
        <v>0.5</v>
      </c>
      <c r="V301" s="89">
        <v>0.6</v>
      </c>
      <c r="W301" s="89"/>
      <c r="X301" s="89"/>
      <c r="Y301" s="89"/>
      <c r="Z301" s="89"/>
      <c r="AA301" s="89"/>
      <c r="AB301" s="89"/>
      <c r="AC301" s="89"/>
      <c r="AD301" s="89"/>
      <c r="AE301" s="89"/>
      <c r="AF301" s="89"/>
      <c r="AG301" s="89"/>
      <c r="AH301" s="89"/>
      <c r="AI301" s="89"/>
      <c r="AJ301" s="89"/>
      <c r="AK301" s="89"/>
      <c r="AL301" s="89"/>
      <c r="AM301" s="89"/>
      <c r="AN301" s="89"/>
      <c r="AO301" s="89"/>
      <c r="AP301" s="89"/>
      <c r="AQ301" s="89"/>
      <c r="AR301" s="89"/>
      <c r="AS301" s="89"/>
      <c r="AT301" s="89"/>
      <c r="AU301" s="89"/>
      <c r="AV301" s="89"/>
      <c r="AW301" s="89"/>
      <c r="AX301" s="89"/>
      <c r="AY301" s="90"/>
      <c r="AZ301" s="90"/>
      <c r="BA301" s="90">
        <v>0</v>
      </c>
      <c r="BB301" s="89">
        <v>0</v>
      </c>
      <c r="BC301" s="89">
        <v>-7.0000000000000007E-2</v>
      </c>
      <c r="BD301" s="89">
        <v>0</v>
      </c>
      <c r="BE301" s="89">
        <v>0</v>
      </c>
      <c r="BF301" s="89">
        <v>0</v>
      </c>
      <c r="BG301" s="89">
        <v>-0.06</v>
      </c>
      <c r="BH301" s="89">
        <v>0</v>
      </c>
      <c r="BI301" s="89">
        <v>0</v>
      </c>
      <c r="BJ301" s="62">
        <v>0</v>
      </c>
      <c r="BK301" s="62">
        <v>0</v>
      </c>
      <c r="BL301" s="62">
        <v>0</v>
      </c>
      <c r="BM301" s="62">
        <v>0.05</v>
      </c>
      <c r="BN301" s="62">
        <v>0</v>
      </c>
      <c r="BO301" s="62">
        <v>0</v>
      </c>
      <c r="BP301" s="62">
        <v>0</v>
      </c>
      <c r="BQ301" s="62">
        <v>0</v>
      </c>
      <c r="BR301" s="62">
        <v>0</v>
      </c>
      <c r="BS301" s="62">
        <v>-7.0000000000000007E-2</v>
      </c>
      <c r="BT301" s="62">
        <v>0</v>
      </c>
      <c r="BU301" s="62">
        <v>-0.2</v>
      </c>
      <c r="BV301" s="62">
        <v>0</v>
      </c>
      <c r="BW301" s="62">
        <v>0</v>
      </c>
      <c r="BX301" s="62">
        <v>0</v>
      </c>
      <c r="CA301" s="62">
        <v>0.14499999999999999</v>
      </c>
      <c r="CB301" s="62">
        <v>5.0000000000000001E-3</v>
      </c>
      <c r="CM301" s="62"/>
      <c r="CN301" s="62"/>
      <c r="CO301" s="62"/>
      <c r="CP301" s="62"/>
      <c r="CQ301" s="62"/>
      <c r="CR301" s="62"/>
      <c r="CS301" s="62">
        <v>0.37</v>
      </c>
      <c r="CT301" s="62">
        <v>3.5000000000000003E-2</v>
      </c>
      <c r="CU301" s="62">
        <v>0.05</v>
      </c>
      <c r="CV301" s="62">
        <v>0</v>
      </c>
      <c r="CW301" s="62">
        <v>0.16500000000000001</v>
      </c>
      <c r="CX301" s="62">
        <v>7.4999999999999997E-3</v>
      </c>
      <c r="CY301" s="62">
        <v>-0.18</v>
      </c>
      <c r="CZ301" s="62">
        <v>0</v>
      </c>
      <c r="DA301" s="62">
        <v>0</v>
      </c>
      <c r="DB301" s="62">
        <v>0</v>
      </c>
      <c r="DC301" s="62">
        <v>0</v>
      </c>
      <c r="DS301" s="62">
        <v>0.33500000000000002</v>
      </c>
      <c r="DT301" s="62">
        <v>5.0000000000000001E-3</v>
      </c>
    </row>
    <row r="302" spans="4:124" x14ac:dyDescent="0.25">
      <c r="D302" s="91">
        <v>45839</v>
      </c>
      <c r="F302" s="89"/>
      <c r="G302" s="90">
        <v>6.6188652536501594E-2</v>
      </c>
      <c r="H302" s="89"/>
      <c r="I302" s="89">
        <v>0</v>
      </c>
      <c r="J302" s="89">
        <v>0.5</v>
      </c>
      <c r="K302" s="89">
        <v>0.4</v>
      </c>
      <c r="L302" s="89">
        <v>0.5</v>
      </c>
      <c r="M302" s="89">
        <v>0.5</v>
      </c>
      <c r="N302" s="89">
        <v>0.5</v>
      </c>
      <c r="O302" s="89">
        <v>0.5</v>
      </c>
      <c r="P302" s="89">
        <v>0.5</v>
      </c>
      <c r="Q302" s="89">
        <v>0.5</v>
      </c>
      <c r="R302" s="90">
        <v>0</v>
      </c>
      <c r="S302" s="90">
        <v>0.55000000000000004</v>
      </c>
      <c r="T302" s="89">
        <v>0.5</v>
      </c>
      <c r="U302" s="89">
        <v>0.5</v>
      </c>
      <c r="V302" s="89">
        <v>0.6</v>
      </c>
      <c r="W302" s="89"/>
      <c r="X302" s="89"/>
      <c r="Y302" s="89"/>
      <c r="Z302" s="89"/>
      <c r="AA302" s="89"/>
      <c r="AB302" s="89"/>
      <c r="AC302" s="89"/>
      <c r="AD302" s="89"/>
      <c r="AE302" s="89"/>
      <c r="AF302" s="89"/>
      <c r="AG302" s="89"/>
      <c r="AH302" s="89"/>
      <c r="AI302" s="89"/>
      <c r="AJ302" s="89"/>
      <c r="AK302" s="89"/>
      <c r="AL302" s="89"/>
      <c r="AM302" s="89"/>
      <c r="AN302" s="89"/>
      <c r="AO302" s="89"/>
      <c r="AP302" s="89"/>
      <c r="AQ302" s="89"/>
      <c r="AR302" s="89"/>
      <c r="AS302" s="89"/>
      <c r="AT302" s="89"/>
      <c r="AU302" s="89"/>
      <c r="AV302" s="89"/>
      <c r="AW302" s="89"/>
      <c r="AX302" s="89"/>
      <c r="AY302" s="90"/>
      <c r="AZ302" s="90"/>
      <c r="BA302" s="90">
        <v>0</v>
      </c>
      <c r="BB302" s="89">
        <v>0</v>
      </c>
      <c r="BC302" s="89">
        <v>-7.0000000000000007E-2</v>
      </c>
      <c r="BD302" s="89">
        <v>0</v>
      </c>
      <c r="BE302" s="89">
        <v>0</v>
      </c>
      <c r="BF302" s="89">
        <v>0</v>
      </c>
      <c r="BG302" s="89">
        <v>-0.06</v>
      </c>
      <c r="BH302" s="89">
        <v>0</v>
      </c>
      <c r="BI302" s="89">
        <v>0</v>
      </c>
      <c r="BJ302" s="62">
        <v>0</v>
      </c>
      <c r="BK302" s="62">
        <v>0</v>
      </c>
      <c r="BL302" s="62">
        <v>0</v>
      </c>
      <c r="BM302" s="62">
        <v>0.05</v>
      </c>
      <c r="BN302" s="62">
        <v>0</v>
      </c>
      <c r="BO302" s="62">
        <v>0</v>
      </c>
      <c r="BP302" s="62">
        <v>0</v>
      </c>
      <c r="BQ302" s="62">
        <v>0</v>
      </c>
      <c r="BR302" s="62">
        <v>0</v>
      </c>
      <c r="BS302" s="62">
        <v>-7.0000000000000007E-2</v>
      </c>
      <c r="BT302" s="62">
        <v>0</v>
      </c>
      <c r="BU302" s="62">
        <v>-0.2</v>
      </c>
      <c r="BV302" s="62">
        <v>0</v>
      </c>
      <c r="BW302" s="62">
        <v>0</v>
      </c>
      <c r="BX302" s="62">
        <v>0</v>
      </c>
      <c r="CA302" s="62">
        <v>0.15</v>
      </c>
      <c r="CB302" s="62">
        <v>5.0000000000000001E-3</v>
      </c>
      <c r="CM302" s="62"/>
      <c r="CN302" s="62"/>
      <c r="CO302" s="62"/>
      <c r="CP302" s="62"/>
      <c r="CQ302" s="62"/>
      <c r="CR302" s="62"/>
      <c r="CS302" s="62">
        <v>0.41</v>
      </c>
      <c r="CT302" s="62">
        <v>3.5000000000000003E-2</v>
      </c>
      <c r="CU302" s="62">
        <v>0.05</v>
      </c>
      <c r="CV302" s="62">
        <v>0</v>
      </c>
      <c r="CW302" s="62">
        <v>0.20499999999999999</v>
      </c>
      <c r="CX302" s="62">
        <v>7.4999999999999997E-3</v>
      </c>
      <c r="CY302" s="62">
        <v>-0.18</v>
      </c>
      <c r="CZ302" s="62">
        <v>0</v>
      </c>
      <c r="DA302" s="62">
        <v>0</v>
      </c>
      <c r="DB302" s="62">
        <v>0</v>
      </c>
      <c r="DC302" s="62">
        <v>0</v>
      </c>
      <c r="DS302" s="62">
        <v>0.35</v>
      </c>
      <c r="DT302" s="62">
        <v>5.0000000000000001E-3</v>
      </c>
    </row>
    <row r="303" spans="4:124" x14ac:dyDescent="0.25">
      <c r="D303" s="91">
        <v>45870</v>
      </c>
      <c r="F303" s="89"/>
      <c r="G303" s="90">
        <v>6.6175208851152703E-2</v>
      </c>
      <c r="H303" s="89"/>
      <c r="I303" s="89">
        <v>0</v>
      </c>
      <c r="J303" s="89">
        <v>0.55000000000000004</v>
      </c>
      <c r="K303" s="89">
        <v>0.5</v>
      </c>
      <c r="L303" s="89">
        <v>0.6</v>
      </c>
      <c r="M303" s="89">
        <v>0.55000000000000004</v>
      </c>
      <c r="N303" s="89">
        <v>0.6</v>
      </c>
      <c r="O303" s="89">
        <v>0.55000000000000004</v>
      </c>
      <c r="P303" s="89">
        <v>0.6</v>
      </c>
      <c r="Q303" s="89">
        <v>0.45</v>
      </c>
      <c r="R303" s="90">
        <v>0</v>
      </c>
      <c r="S303" s="90">
        <v>0.6</v>
      </c>
      <c r="T303" s="89">
        <v>0.55000000000000004</v>
      </c>
      <c r="U303" s="89">
        <v>0.6</v>
      </c>
      <c r="V303" s="89">
        <v>0.7</v>
      </c>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90"/>
      <c r="AZ303" s="90"/>
      <c r="BA303" s="90">
        <v>0</v>
      </c>
      <c r="BB303" s="89">
        <v>0</v>
      </c>
      <c r="BC303" s="89">
        <v>-7.0000000000000007E-2</v>
      </c>
      <c r="BD303" s="89">
        <v>0</v>
      </c>
      <c r="BE303" s="89">
        <v>0</v>
      </c>
      <c r="BF303" s="89">
        <v>0</v>
      </c>
      <c r="BG303" s="89">
        <v>-0.06</v>
      </c>
      <c r="BH303" s="89">
        <v>0</v>
      </c>
      <c r="BI303" s="89">
        <v>0</v>
      </c>
      <c r="BJ303" s="62">
        <v>0</v>
      </c>
      <c r="BK303" s="62">
        <v>0</v>
      </c>
      <c r="BL303" s="62">
        <v>0</v>
      </c>
      <c r="BM303" s="62">
        <v>0.05</v>
      </c>
      <c r="BN303" s="62">
        <v>0</v>
      </c>
      <c r="BO303" s="62">
        <v>0</v>
      </c>
      <c r="BP303" s="62">
        <v>0</v>
      </c>
      <c r="BQ303" s="62">
        <v>0</v>
      </c>
      <c r="BR303" s="62">
        <v>0</v>
      </c>
      <c r="BS303" s="62">
        <v>-7.0000000000000007E-2</v>
      </c>
      <c r="BT303" s="62">
        <v>0</v>
      </c>
      <c r="BU303" s="62">
        <v>-0.2</v>
      </c>
      <c r="BV303" s="62">
        <v>0</v>
      </c>
      <c r="BW303" s="62">
        <v>0</v>
      </c>
      <c r="BX303" s="62">
        <v>0</v>
      </c>
      <c r="CA303" s="62">
        <v>0.15</v>
      </c>
      <c r="CB303" s="62">
        <v>5.0000000000000001E-3</v>
      </c>
      <c r="CM303" s="62"/>
      <c r="CN303" s="62"/>
      <c r="CO303" s="62"/>
      <c r="CP303" s="62"/>
      <c r="CQ303" s="62"/>
      <c r="CR303" s="62"/>
      <c r="CS303" s="62">
        <v>0.41</v>
      </c>
      <c r="CT303" s="62">
        <v>0.01</v>
      </c>
      <c r="CU303" s="62">
        <v>0.05</v>
      </c>
      <c r="CV303" s="62">
        <v>0</v>
      </c>
      <c r="CW303" s="62">
        <v>0.20499999999999999</v>
      </c>
      <c r="CX303" s="62">
        <v>7.4999999999999997E-3</v>
      </c>
      <c r="CY303" s="62">
        <v>-0.18</v>
      </c>
      <c r="CZ303" s="62">
        <v>0</v>
      </c>
      <c r="DA303" s="62">
        <v>0</v>
      </c>
      <c r="DB303" s="62">
        <v>0</v>
      </c>
      <c r="DC303" s="62">
        <v>0</v>
      </c>
      <c r="DS303" s="62">
        <v>0.35</v>
      </c>
      <c r="DT303" s="62">
        <v>-5.0000000000000001E-3</v>
      </c>
    </row>
    <row r="304" spans="4:124" x14ac:dyDescent="0.25">
      <c r="D304" s="91">
        <v>45901</v>
      </c>
      <c r="F304" s="89"/>
      <c r="G304" s="90">
        <v>6.6161765165864098E-2</v>
      </c>
      <c r="H304" s="89"/>
      <c r="I304" s="89">
        <v>0</v>
      </c>
      <c r="J304" s="89">
        <v>0.55000000000000004</v>
      </c>
      <c r="K304" s="89">
        <v>0.55000000000000004</v>
      </c>
      <c r="L304" s="89">
        <v>0.55000000000000004</v>
      </c>
      <c r="M304" s="89">
        <v>0.55000000000000004</v>
      </c>
      <c r="N304" s="89">
        <v>0.6</v>
      </c>
      <c r="O304" s="89">
        <v>0.6</v>
      </c>
      <c r="P304" s="89">
        <v>0.55000000000000004</v>
      </c>
      <c r="Q304" s="89">
        <v>0.5</v>
      </c>
      <c r="R304" s="90">
        <v>0</v>
      </c>
      <c r="S304" s="90">
        <v>0.6</v>
      </c>
      <c r="T304" s="89">
        <v>0.55000000000000004</v>
      </c>
      <c r="U304" s="89">
        <v>0.6</v>
      </c>
      <c r="V304" s="89">
        <v>0.65</v>
      </c>
      <c r="W304" s="89"/>
      <c r="X304" s="89"/>
      <c r="Y304" s="89"/>
      <c r="Z304" s="89"/>
      <c r="AA304" s="89"/>
      <c r="AB304" s="89"/>
      <c r="AC304" s="89"/>
      <c r="AD304" s="89"/>
      <c r="AE304" s="89"/>
      <c r="AF304" s="89"/>
      <c r="AG304" s="89"/>
      <c r="AH304" s="89"/>
      <c r="AI304" s="89"/>
      <c r="AJ304" s="89"/>
      <c r="AK304" s="89"/>
      <c r="AL304" s="89"/>
      <c r="AM304" s="89"/>
      <c r="AN304" s="89"/>
      <c r="AO304" s="89"/>
      <c r="AP304" s="89"/>
      <c r="AQ304" s="89"/>
      <c r="AR304" s="89"/>
      <c r="AS304" s="89"/>
      <c r="AT304" s="89"/>
      <c r="AU304" s="89"/>
      <c r="AV304" s="89"/>
      <c r="AW304" s="89"/>
      <c r="AX304" s="89"/>
      <c r="AY304" s="90"/>
      <c r="AZ304" s="90"/>
      <c r="BA304" s="90">
        <v>0</v>
      </c>
      <c r="BB304" s="89">
        <v>0</v>
      </c>
      <c r="BC304" s="89">
        <v>-7.0000000000000007E-2</v>
      </c>
      <c r="BD304" s="89">
        <v>0</v>
      </c>
      <c r="BE304" s="89">
        <v>0</v>
      </c>
      <c r="BF304" s="89">
        <v>0</v>
      </c>
      <c r="BG304" s="89">
        <v>-0.06</v>
      </c>
      <c r="BH304" s="89">
        <v>0</v>
      </c>
      <c r="BI304" s="89">
        <v>0</v>
      </c>
      <c r="BJ304" s="62">
        <v>0</v>
      </c>
      <c r="BK304" s="62">
        <v>0</v>
      </c>
      <c r="BL304" s="62">
        <v>0</v>
      </c>
      <c r="BM304" s="62">
        <v>0.05</v>
      </c>
      <c r="BN304" s="62">
        <v>0</v>
      </c>
      <c r="BO304" s="62">
        <v>0</v>
      </c>
      <c r="BP304" s="62">
        <v>0</v>
      </c>
      <c r="BQ304" s="62">
        <v>0</v>
      </c>
      <c r="BR304" s="62">
        <v>0</v>
      </c>
      <c r="BS304" s="62">
        <v>-7.0000000000000007E-2</v>
      </c>
      <c r="BT304" s="62">
        <v>0</v>
      </c>
      <c r="BU304" s="62">
        <v>-0.2</v>
      </c>
      <c r="BV304" s="62">
        <v>0</v>
      </c>
      <c r="BW304" s="62">
        <v>0</v>
      </c>
      <c r="BX304" s="62">
        <v>0</v>
      </c>
      <c r="CA304" s="62">
        <v>0.125</v>
      </c>
      <c r="CB304" s="62">
        <v>5.0000000000000001E-3</v>
      </c>
      <c r="CM304" s="62"/>
      <c r="CN304" s="62"/>
      <c r="CO304" s="62"/>
      <c r="CP304" s="62"/>
      <c r="CQ304" s="62"/>
      <c r="CR304" s="62"/>
      <c r="CS304" s="62">
        <v>0.36</v>
      </c>
      <c r="CT304" s="62">
        <v>0.01</v>
      </c>
      <c r="CU304" s="62">
        <v>0.05</v>
      </c>
      <c r="CV304" s="62">
        <v>0</v>
      </c>
      <c r="CW304" s="62">
        <v>0.14499999999999999</v>
      </c>
      <c r="CX304" s="62">
        <v>7.4999999999999997E-3</v>
      </c>
      <c r="CY304" s="62">
        <v>-0.18</v>
      </c>
      <c r="CZ304" s="62">
        <v>0</v>
      </c>
      <c r="DA304" s="62">
        <v>0</v>
      </c>
      <c r="DB304" s="62">
        <v>0</v>
      </c>
      <c r="DC304" s="62">
        <v>0</v>
      </c>
      <c r="DS304" s="62">
        <v>0.315</v>
      </c>
      <c r="DT304" s="62">
        <v>-5.0000000000000001E-3</v>
      </c>
    </row>
    <row r="305" spans="4:124" x14ac:dyDescent="0.25">
      <c r="D305" s="91">
        <v>45931</v>
      </c>
      <c r="F305" s="89"/>
      <c r="G305" s="90">
        <v>6.6148755147899904E-2</v>
      </c>
      <c r="H305" s="89"/>
      <c r="I305" s="89">
        <v>0</v>
      </c>
      <c r="J305" s="89">
        <v>0.6</v>
      </c>
      <c r="K305" s="89">
        <v>0.55000000000000004</v>
      </c>
      <c r="L305" s="89">
        <v>0.6</v>
      </c>
      <c r="M305" s="89">
        <v>0.6</v>
      </c>
      <c r="N305" s="89">
        <v>0.65</v>
      </c>
      <c r="O305" s="89">
        <v>0.65</v>
      </c>
      <c r="P305" s="89">
        <v>0.6</v>
      </c>
      <c r="Q305" s="89">
        <v>0.5</v>
      </c>
      <c r="R305" s="90">
        <v>0</v>
      </c>
      <c r="S305" s="90">
        <v>0.65</v>
      </c>
      <c r="T305" s="89">
        <v>0.6</v>
      </c>
      <c r="U305" s="89">
        <v>0.65</v>
      </c>
      <c r="V305" s="89">
        <v>0.7</v>
      </c>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90"/>
      <c r="AZ305" s="90"/>
      <c r="BA305" s="90">
        <v>0</v>
      </c>
      <c r="BB305" s="89">
        <v>0</v>
      </c>
      <c r="BC305" s="89">
        <v>-7.0000000000000007E-2</v>
      </c>
      <c r="BD305" s="89">
        <v>0</v>
      </c>
      <c r="BE305" s="89">
        <v>0</v>
      </c>
      <c r="BF305" s="89">
        <v>0</v>
      </c>
      <c r="BG305" s="89">
        <v>-0.06</v>
      </c>
      <c r="BH305" s="89">
        <v>0</v>
      </c>
      <c r="BI305" s="89">
        <v>0</v>
      </c>
      <c r="BJ305" s="62">
        <v>0</v>
      </c>
      <c r="BK305" s="62">
        <v>0</v>
      </c>
      <c r="BL305" s="62">
        <v>0</v>
      </c>
      <c r="BM305" s="62">
        <v>0.05</v>
      </c>
      <c r="BN305" s="62">
        <v>0</v>
      </c>
      <c r="BO305" s="62">
        <v>0</v>
      </c>
      <c r="BP305" s="62">
        <v>0</v>
      </c>
      <c r="BQ305" s="62">
        <v>0</v>
      </c>
      <c r="BR305" s="62">
        <v>0</v>
      </c>
      <c r="BS305" s="62">
        <v>-7.0000000000000007E-2</v>
      </c>
      <c r="BT305" s="62">
        <v>0</v>
      </c>
      <c r="BU305" s="62">
        <v>-0.2</v>
      </c>
      <c r="BV305" s="62">
        <v>0</v>
      </c>
      <c r="BW305" s="62">
        <v>0</v>
      </c>
      <c r="BX305" s="62">
        <v>0</v>
      </c>
      <c r="CA305" s="62">
        <v>0.14499999999999999</v>
      </c>
      <c r="CB305" s="62">
        <v>5.0000000000000001E-3</v>
      </c>
      <c r="CM305" s="62"/>
      <c r="CN305" s="62"/>
      <c r="CO305" s="62"/>
      <c r="CP305" s="62"/>
      <c r="CQ305" s="62"/>
      <c r="CR305" s="62"/>
      <c r="CS305" s="62">
        <v>0.4</v>
      </c>
      <c r="CT305" s="62">
        <v>0.01</v>
      </c>
      <c r="CU305" s="62">
        <v>0.05</v>
      </c>
      <c r="CV305" s="62">
        <v>0</v>
      </c>
      <c r="CW305" s="62">
        <v>0.17499999999999999</v>
      </c>
      <c r="CX305" s="62">
        <v>7.4999999999999997E-3</v>
      </c>
      <c r="CY305" s="62">
        <v>-0.18</v>
      </c>
      <c r="CZ305" s="62">
        <v>0</v>
      </c>
      <c r="DA305" s="62">
        <v>0</v>
      </c>
      <c r="DB305" s="62">
        <v>0</v>
      </c>
      <c r="DC305" s="62">
        <v>0</v>
      </c>
      <c r="DS305" s="62">
        <v>0.36</v>
      </c>
      <c r="DT305" s="62">
        <v>-5.0000000000000001E-3</v>
      </c>
    </row>
    <row r="306" spans="4:124" x14ac:dyDescent="0.25">
      <c r="D306" s="91">
        <v>45962</v>
      </c>
      <c r="F306" s="89"/>
      <c r="G306" s="90">
        <v>6.6135311462729399E-2</v>
      </c>
      <c r="H306" s="89"/>
      <c r="I306" s="89">
        <v>0</v>
      </c>
      <c r="J306" s="89">
        <v>0.85</v>
      </c>
      <c r="K306" s="89">
        <v>0.8</v>
      </c>
      <c r="L306" s="89">
        <v>0.8</v>
      </c>
      <c r="M306" s="89">
        <v>0.9</v>
      </c>
      <c r="N306" s="89">
        <v>0.95</v>
      </c>
      <c r="O306" s="89">
        <v>0.85</v>
      </c>
      <c r="P306" s="89">
        <v>0.8</v>
      </c>
      <c r="Q306" s="89">
        <v>0.95</v>
      </c>
      <c r="R306" s="90">
        <v>0</v>
      </c>
      <c r="S306" s="90">
        <v>0.8</v>
      </c>
      <c r="T306" s="89">
        <v>0.8</v>
      </c>
      <c r="U306" s="89">
        <v>0.95</v>
      </c>
      <c r="V306" s="89">
        <v>0.9</v>
      </c>
      <c r="W306" s="89"/>
      <c r="X306" s="89"/>
      <c r="Y306" s="89"/>
      <c r="Z306" s="89"/>
      <c r="AA306" s="89"/>
      <c r="AB306" s="89"/>
      <c r="AC306" s="89"/>
      <c r="AD306" s="89"/>
      <c r="AE306" s="89"/>
      <c r="AF306" s="89"/>
      <c r="AG306" s="89"/>
      <c r="AH306" s="89"/>
      <c r="AI306" s="89"/>
      <c r="AJ306" s="89"/>
      <c r="AK306" s="89"/>
      <c r="AL306" s="89"/>
      <c r="AM306" s="89"/>
      <c r="AN306" s="89"/>
      <c r="AO306" s="89"/>
      <c r="AP306" s="89"/>
      <c r="AQ306" s="89"/>
      <c r="AR306" s="89"/>
      <c r="AS306" s="89"/>
      <c r="AT306" s="89"/>
      <c r="AU306" s="89"/>
      <c r="AV306" s="89"/>
      <c r="AW306" s="89"/>
      <c r="AX306" s="89"/>
      <c r="AY306" s="90"/>
      <c r="AZ306" s="90"/>
      <c r="BA306" s="90">
        <v>0</v>
      </c>
      <c r="BB306" s="89">
        <v>0</v>
      </c>
      <c r="BC306" s="89">
        <v>-7.0000000000000007E-2</v>
      </c>
      <c r="BD306" s="89">
        <v>0</v>
      </c>
      <c r="BE306" s="89">
        <v>0</v>
      </c>
      <c r="BF306" s="89">
        <v>0</v>
      </c>
      <c r="BG306" s="89">
        <v>-0.06</v>
      </c>
      <c r="BH306" s="89">
        <v>0</v>
      </c>
      <c r="BI306" s="89">
        <v>0</v>
      </c>
      <c r="BJ306" s="62">
        <v>0</v>
      </c>
      <c r="BK306" s="62">
        <v>0</v>
      </c>
      <c r="BL306" s="62">
        <v>0</v>
      </c>
      <c r="BM306" s="62">
        <v>0.05</v>
      </c>
      <c r="BN306" s="62">
        <v>0</v>
      </c>
      <c r="BO306" s="62">
        <v>0</v>
      </c>
      <c r="BP306" s="62">
        <v>0</v>
      </c>
      <c r="BQ306" s="62">
        <v>0</v>
      </c>
      <c r="BR306" s="62">
        <v>0</v>
      </c>
      <c r="BS306" s="62">
        <v>-7.0000000000000007E-2</v>
      </c>
      <c r="BT306" s="62">
        <v>0</v>
      </c>
      <c r="BU306" s="62">
        <v>-0.2</v>
      </c>
      <c r="BV306" s="62">
        <v>0</v>
      </c>
      <c r="BW306" s="62">
        <v>0</v>
      </c>
      <c r="BX306" s="62">
        <v>0</v>
      </c>
      <c r="CA306" s="62">
        <v>0.19500000000000001</v>
      </c>
      <c r="CB306" s="62">
        <v>5.0000000000000001E-3</v>
      </c>
      <c r="CM306" s="62"/>
      <c r="CN306" s="62"/>
      <c r="CO306" s="62"/>
      <c r="CP306" s="62"/>
      <c r="CQ306" s="62"/>
      <c r="CR306" s="62"/>
      <c r="CS306" s="62">
        <v>0.65</v>
      </c>
      <c r="CT306" s="62">
        <v>5.5E-2</v>
      </c>
      <c r="CU306" s="62">
        <v>0.05</v>
      </c>
      <c r="CV306" s="62">
        <v>0</v>
      </c>
      <c r="CW306" s="62">
        <v>0.21</v>
      </c>
      <c r="CX306" s="62">
        <v>0.02</v>
      </c>
      <c r="CY306" s="62">
        <v>-0.18</v>
      </c>
      <c r="CZ306" s="62">
        <v>0</v>
      </c>
      <c r="DA306" s="62">
        <v>0</v>
      </c>
      <c r="DB306" s="62">
        <v>0</v>
      </c>
      <c r="DC306" s="62">
        <v>0</v>
      </c>
      <c r="DS306" s="62">
        <v>0.46</v>
      </c>
      <c r="DT306" s="62">
        <v>0.05</v>
      </c>
    </row>
    <row r="307" spans="4:124" x14ac:dyDescent="0.25">
      <c r="D307" s="91">
        <v>45992</v>
      </c>
      <c r="F307" s="89"/>
      <c r="G307" s="90">
        <v>6.6122301444878406E-2</v>
      </c>
      <c r="H307" s="89"/>
      <c r="I307" s="89">
        <v>0</v>
      </c>
      <c r="J307" s="89">
        <v>1.05</v>
      </c>
      <c r="K307" s="89">
        <v>1</v>
      </c>
      <c r="L307" s="89">
        <v>1</v>
      </c>
      <c r="M307" s="89">
        <v>1.1499999999999999</v>
      </c>
      <c r="N307" s="89">
        <v>1.25</v>
      </c>
      <c r="O307" s="89">
        <v>1.05</v>
      </c>
      <c r="P307" s="89">
        <v>1</v>
      </c>
      <c r="Q307" s="89">
        <v>1.35</v>
      </c>
      <c r="R307" s="90">
        <v>0</v>
      </c>
      <c r="S307" s="90">
        <v>1.1000000000000001</v>
      </c>
      <c r="T307" s="89">
        <v>1</v>
      </c>
      <c r="U307" s="89">
        <v>1.25</v>
      </c>
      <c r="V307" s="89">
        <v>1.1000000000000001</v>
      </c>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90"/>
      <c r="AZ307" s="90"/>
      <c r="BA307" s="90">
        <v>0</v>
      </c>
      <c r="BB307" s="89">
        <v>0</v>
      </c>
      <c r="BC307" s="89">
        <v>-7.0000000000000007E-2</v>
      </c>
      <c r="BD307" s="89">
        <v>0</v>
      </c>
      <c r="BE307" s="89">
        <v>0</v>
      </c>
      <c r="BF307" s="89">
        <v>0</v>
      </c>
      <c r="BG307" s="89">
        <v>-0.06</v>
      </c>
      <c r="BH307" s="89">
        <v>0</v>
      </c>
      <c r="BI307" s="89">
        <v>0</v>
      </c>
      <c r="BJ307" s="62">
        <v>0</v>
      </c>
      <c r="BK307" s="62">
        <v>0</v>
      </c>
      <c r="BL307" s="62">
        <v>0</v>
      </c>
      <c r="BM307" s="62">
        <v>0.05</v>
      </c>
      <c r="BN307" s="62">
        <v>0</v>
      </c>
      <c r="BO307" s="62">
        <v>0</v>
      </c>
      <c r="BP307" s="62">
        <v>0</v>
      </c>
      <c r="BQ307" s="62">
        <v>0</v>
      </c>
      <c r="BR307" s="62">
        <v>0</v>
      </c>
      <c r="BS307" s="62">
        <v>-7.0000000000000007E-2</v>
      </c>
      <c r="BT307" s="62">
        <v>0</v>
      </c>
      <c r="BU307" s="62">
        <v>-0.2</v>
      </c>
      <c r="BV307" s="62">
        <v>0</v>
      </c>
      <c r="BW307" s="62">
        <v>0</v>
      </c>
      <c r="BX307" s="62">
        <v>0</v>
      </c>
      <c r="CA307" s="62">
        <v>0.215</v>
      </c>
      <c r="CB307" s="62">
        <v>5.0000000000000001E-3</v>
      </c>
      <c r="CM307" s="62"/>
      <c r="CN307" s="62"/>
      <c r="CO307" s="62"/>
      <c r="CP307" s="62"/>
      <c r="CQ307" s="62"/>
      <c r="CR307" s="62"/>
      <c r="CS307" s="62">
        <v>0.98</v>
      </c>
      <c r="CT307" s="62">
        <v>0.25</v>
      </c>
      <c r="CU307" s="62">
        <v>0.05</v>
      </c>
      <c r="CV307" s="62">
        <v>0</v>
      </c>
      <c r="CW307" s="62">
        <v>0.28999999999999998</v>
      </c>
      <c r="CX307" s="62">
        <v>0.02</v>
      </c>
      <c r="CY307" s="62">
        <v>-0.18</v>
      </c>
      <c r="CZ307" s="62">
        <v>0</v>
      </c>
      <c r="DA307" s="62">
        <v>0</v>
      </c>
      <c r="DB307" s="62">
        <v>0</v>
      </c>
      <c r="DC307" s="62">
        <v>0</v>
      </c>
      <c r="DS307" s="62">
        <v>0.77</v>
      </c>
      <c r="DT307" s="62">
        <v>0.05</v>
      </c>
    </row>
    <row r="308" spans="4:124" x14ac:dyDescent="0.25">
      <c r="F308" s="89"/>
      <c r="G308" s="90"/>
      <c r="H308" s="89"/>
      <c r="I308" s="89"/>
      <c r="J308" s="89"/>
      <c r="K308" s="89"/>
      <c r="L308" s="89"/>
      <c r="M308" s="89"/>
      <c r="N308" s="89"/>
      <c r="O308" s="89"/>
      <c r="P308" s="89"/>
      <c r="Q308" s="89"/>
      <c r="R308" s="90"/>
      <c r="S308" s="90"/>
      <c r="T308" s="89"/>
      <c r="U308" s="89"/>
      <c r="V308" s="89"/>
      <c r="W308" s="89"/>
      <c r="X308" s="89"/>
      <c r="Y308" s="89"/>
      <c r="Z308" s="89"/>
      <c r="AA308" s="89"/>
      <c r="AB308" s="89"/>
      <c r="AC308" s="89"/>
      <c r="AD308" s="89"/>
      <c r="AE308" s="89"/>
      <c r="AF308" s="89"/>
      <c r="AG308" s="89"/>
      <c r="AH308" s="89"/>
      <c r="AI308" s="89"/>
      <c r="AJ308" s="89"/>
      <c r="AK308" s="89"/>
      <c r="AL308" s="89"/>
      <c r="AM308" s="89"/>
      <c r="AN308" s="89"/>
      <c r="AO308" s="89"/>
      <c r="AP308" s="89"/>
      <c r="AQ308" s="89"/>
      <c r="AR308" s="89"/>
      <c r="AS308" s="89"/>
      <c r="AT308" s="89"/>
      <c r="AU308" s="89"/>
      <c r="AV308" s="89"/>
      <c r="AW308" s="89"/>
      <c r="AX308" s="89"/>
      <c r="AY308" s="90"/>
      <c r="AZ308" s="90"/>
      <c r="BA308" s="90"/>
      <c r="BB308" s="89"/>
      <c r="BC308" s="89"/>
      <c r="BD308" s="89"/>
      <c r="BE308" s="89"/>
      <c r="BF308" s="89"/>
      <c r="BG308" s="89"/>
      <c r="BH308" s="89"/>
      <c r="BI308" s="89"/>
      <c r="BJ308" s="62"/>
      <c r="BK308" s="62"/>
      <c r="BL308" s="62"/>
      <c r="BM308" s="62"/>
      <c r="BN308" s="62"/>
      <c r="BO308" s="62"/>
      <c r="BP308" s="62"/>
      <c r="BQ308" s="62"/>
      <c r="BR308" s="62"/>
      <c r="BS308" s="62"/>
      <c r="BT308" s="62"/>
      <c r="BU308" s="62"/>
      <c r="BV308" s="62"/>
      <c r="BW308" s="62"/>
      <c r="BX308" s="62"/>
      <c r="CA308" s="62"/>
      <c r="CB308" s="62"/>
      <c r="CM308" s="62"/>
      <c r="CN308" s="62"/>
      <c r="CO308" s="62"/>
      <c r="CP308" s="62"/>
      <c r="CQ308" s="62"/>
      <c r="CR308" s="62"/>
      <c r="CS308" s="62"/>
      <c r="CT308" s="62"/>
      <c r="CU308" s="62"/>
      <c r="CV308" s="62"/>
      <c r="CW308" s="62"/>
      <c r="CX308" s="62"/>
      <c r="CY308" s="62"/>
      <c r="CZ308" s="62"/>
      <c r="DA308" s="62"/>
      <c r="DB308" s="62"/>
      <c r="DC308" s="62"/>
      <c r="DS308" s="62"/>
      <c r="DT308" s="62"/>
    </row>
    <row r="309" spans="4:124" x14ac:dyDescent="0.25">
      <c r="F309" s="89"/>
      <c r="G309" s="90"/>
      <c r="H309" s="89"/>
      <c r="I309" s="89"/>
      <c r="J309" s="89"/>
      <c r="K309" s="89"/>
      <c r="L309" s="89"/>
      <c r="M309" s="89"/>
      <c r="N309" s="89"/>
      <c r="O309" s="89"/>
      <c r="P309" s="89"/>
      <c r="Q309" s="89"/>
      <c r="R309" s="90"/>
      <c r="S309" s="90"/>
      <c r="T309" s="89"/>
      <c r="U309" s="89"/>
      <c r="V309" s="89"/>
      <c r="W309" s="89"/>
      <c r="X309" s="89"/>
      <c r="Y309" s="89"/>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90"/>
      <c r="AZ309" s="90"/>
      <c r="BA309" s="90"/>
      <c r="BB309" s="89"/>
      <c r="BC309" s="89"/>
      <c r="BD309" s="89"/>
      <c r="BE309" s="89"/>
      <c r="BF309" s="89"/>
      <c r="BG309" s="89"/>
      <c r="BH309" s="89"/>
      <c r="BI309" s="89"/>
      <c r="BJ309" s="62"/>
      <c r="BK309" s="62"/>
      <c r="BL309" s="62"/>
      <c r="BM309" s="62"/>
      <c r="BN309" s="62"/>
      <c r="BO309" s="62"/>
      <c r="BP309" s="62"/>
      <c r="BQ309" s="62"/>
      <c r="BR309" s="62"/>
      <c r="BS309" s="62"/>
      <c r="BT309" s="62"/>
      <c r="BU309" s="62"/>
      <c r="BV309" s="62"/>
      <c r="BW309" s="62"/>
      <c r="BX309" s="62"/>
      <c r="CA309" s="62"/>
      <c r="CB309" s="62"/>
      <c r="CM309" s="62"/>
      <c r="CN309" s="62"/>
      <c r="CO309" s="62"/>
      <c r="CP309" s="62"/>
      <c r="CQ309" s="62"/>
      <c r="CR309" s="62"/>
      <c r="CS309" s="62"/>
      <c r="CT309" s="62"/>
      <c r="CU309" s="62"/>
      <c r="CV309" s="62"/>
      <c r="CW309" s="62"/>
      <c r="CX309" s="62"/>
      <c r="CY309" s="62"/>
      <c r="CZ309" s="62"/>
      <c r="DA309" s="62"/>
      <c r="DB309" s="62"/>
      <c r="DC309" s="62"/>
      <c r="DS309" s="62"/>
      <c r="DT309" s="62"/>
    </row>
    <row r="310" spans="4:124" x14ac:dyDescent="0.25">
      <c r="F310" s="89"/>
      <c r="G310" s="90"/>
      <c r="H310" s="89"/>
      <c r="I310" s="89"/>
      <c r="J310" s="89"/>
      <c r="K310" s="89"/>
      <c r="L310" s="89"/>
      <c r="M310" s="89"/>
      <c r="N310" s="89"/>
      <c r="O310" s="89"/>
      <c r="P310" s="89"/>
      <c r="Q310" s="89"/>
      <c r="R310" s="90"/>
      <c r="S310" s="90"/>
      <c r="T310" s="89"/>
      <c r="U310" s="89"/>
      <c r="V310" s="89"/>
      <c r="W310" s="89"/>
      <c r="X310" s="89"/>
      <c r="Y310" s="89"/>
      <c r="Z310" s="89"/>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90"/>
      <c r="AZ310" s="90"/>
      <c r="BA310" s="90"/>
      <c r="BB310" s="89"/>
      <c r="BC310" s="89"/>
      <c r="BD310" s="89"/>
      <c r="BE310" s="89"/>
      <c r="BF310" s="89"/>
      <c r="BG310" s="89"/>
      <c r="BH310" s="89"/>
      <c r="BI310" s="89"/>
      <c r="BJ310" s="62"/>
      <c r="BK310" s="62"/>
      <c r="BL310" s="62"/>
      <c r="BM310" s="62"/>
      <c r="BN310" s="62"/>
      <c r="BO310" s="62"/>
      <c r="BP310" s="62"/>
      <c r="BQ310" s="62"/>
      <c r="BR310" s="62"/>
      <c r="BS310" s="62"/>
      <c r="BT310" s="62"/>
      <c r="BU310" s="62"/>
      <c r="BV310" s="62"/>
      <c r="BW310" s="62"/>
      <c r="BX310" s="62"/>
      <c r="CA310" s="62"/>
      <c r="CB310" s="62"/>
      <c r="CM310" s="62"/>
      <c r="CN310" s="62"/>
      <c r="CO310" s="62"/>
      <c r="CP310" s="62"/>
      <c r="CQ310" s="62"/>
      <c r="CR310" s="62"/>
      <c r="CS310" s="62"/>
      <c r="CT310" s="62"/>
      <c r="CU310" s="62"/>
      <c r="CV310" s="62"/>
      <c r="CW310" s="62"/>
      <c r="CX310" s="62"/>
      <c r="CY310" s="62"/>
      <c r="CZ310" s="62"/>
      <c r="DA310" s="62"/>
      <c r="DB310" s="62"/>
      <c r="DC310" s="62"/>
    </row>
    <row r="311" spans="4:124" x14ac:dyDescent="0.25">
      <c r="F311" s="89"/>
      <c r="G311" s="90"/>
      <c r="H311" s="89"/>
      <c r="I311" s="89"/>
      <c r="J311" s="89"/>
      <c r="K311" s="89"/>
      <c r="L311" s="89"/>
      <c r="M311" s="89"/>
      <c r="N311" s="89"/>
      <c r="O311" s="89"/>
      <c r="P311" s="89"/>
      <c r="Q311" s="89"/>
      <c r="R311" s="90"/>
      <c r="S311" s="90"/>
      <c r="T311" s="89"/>
      <c r="U311" s="89"/>
      <c r="V311" s="89"/>
      <c r="W311" s="89"/>
      <c r="X311" s="89"/>
      <c r="Y311" s="89"/>
      <c r="Z311" s="89"/>
      <c r="AA311" s="89"/>
      <c r="AB311" s="89"/>
      <c r="AC311" s="89"/>
      <c r="AD311" s="89"/>
      <c r="AE311" s="89"/>
      <c r="AF311" s="89"/>
      <c r="AG311" s="89"/>
      <c r="AH311" s="89"/>
      <c r="AI311" s="89"/>
      <c r="AJ311" s="89"/>
      <c r="AK311" s="89"/>
      <c r="AL311" s="89"/>
      <c r="AM311" s="89"/>
      <c r="AN311" s="89"/>
      <c r="AO311" s="89"/>
      <c r="AP311" s="89"/>
      <c r="AQ311" s="89"/>
      <c r="AR311" s="89"/>
      <c r="AS311" s="89"/>
      <c r="AT311" s="89"/>
      <c r="AU311" s="89"/>
      <c r="AV311" s="89"/>
      <c r="AW311" s="89"/>
      <c r="AX311" s="89"/>
      <c r="AY311" s="90"/>
      <c r="AZ311" s="90"/>
      <c r="BA311" s="90"/>
      <c r="BB311" s="89"/>
      <c r="BC311" s="89"/>
      <c r="BD311" s="89"/>
      <c r="BE311" s="89"/>
      <c r="BF311" s="89"/>
      <c r="BG311" s="89"/>
      <c r="BH311" s="89"/>
      <c r="BI311" s="89"/>
      <c r="BJ311" s="62"/>
      <c r="BK311" s="62"/>
      <c r="BL311" s="62"/>
      <c r="BM311" s="62"/>
      <c r="BN311" s="62"/>
      <c r="BO311" s="62"/>
      <c r="BP311" s="62"/>
      <c r="BQ311" s="62"/>
      <c r="BR311" s="62"/>
      <c r="BS311" s="62"/>
      <c r="BT311" s="62"/>
      <c r="BU311" s="62"/>
      <c r="BV311" s="62"/>
      <c r="BW311" s="62"/>
      <c r="BX311" s="62"/>
      <c r="CA311" s="62"/>
      <c r="CB311" s="62"/>
      <c r="CM311" s="62"/>
      <c r="CN311" s="62"/>
      <c r="CO311" s="62"/>
      <c r="CP311" s="62"/>
      <c r="CQ311" s="62"/>
      <c r="CR311" s="62"/>
      <c r="CS311" s="62"/>
      <c r="CT311" s="62"/>
      <c r="CU311" s="62"/>
      <c r="CV311" s="62"/>
      <c r="CW311" s="62"/>
      <c r="CX311" s="62"/>
      <c r="CY311" s="62"/>
      <c r="CZ311" s="62"/>
      <c r="DA311" s="62"/>
      <c r="DB311" s="62"/>
      <c r="DC311" s="62"/>
    </row>
    <row r="312" spans="4:124" x14ac:dyDescent="0.25">
      <c r="F312" s="89"/>
      <c r="G312" s="90"/>
      <c r="H312" s="89"/>
      <c r="I312" s="89"/>
      <c r="J312" s="89"/>
      <c r="K312" s="89"/>
      <c r="L312" s="89"/>
      <c r="M312" s="89"/>
      <c r="N312" s="89"/>
      <c r="O312" s="89"/>
      <c r="P312" s="89"/>
      <c r="Q312" s="89"/>
      <c r="R312" s="90"/>
      <c r="S312" s="90"/>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90"/>
      <c r="AZ312" s="90"/>
      <c r="BA312" s="90"/>
      <c r="BB312" s="89"/>
      <c r="BC312" s="89"/>
      <c r="BD312" s="89"/>
      <c r="BE312" s="89"/>
      <c r="BF312" s="89"/>
      <c r="BG312" s="89"/>
      <c r="BH312" s="89"/>
      <c r="BI312" s="89"/>
      <c r="BJ312" s="62"/>
      <c r="BK312" s="62"/>
      <c r="BL312" s="62"/>
      <c r="BM312" s="62"/>
      <c r="BN312" s="62"/>
      <c r="BO312" s="62"/>
      <c r="BP312" s="62"/>
      <c r="BQ312" s="62"/>
      <c r="BR312" s="62"/>
      <c r="BS312" s="62"/>
      <c r="BT312" s="62"/>
      <c r="BU312" s="62"/>
      <c r="BV312" s="62"/>
      <c r="BW312" s="62"/>
      <c r="BX312" s="62"/>
      <c r="CA312" s="62"/>
      <c r="CB312" s="62"/>
      <c r="CM312" s="62"/>
      <c r="CN312" s="62"/>
      <c r="CO312" s="62"/>
      <c r="CP312" s="62"/>
      <c r="CQ312" s="62"/>
      <c r="CR312" s="62"/>
      <c r="CS312" s="62"/>
      <c r="CT312" s="62"/>
      <c r="CU312" s="62"/>
      <c r="CV312" s="62"/>
      <c r="CW312" s="62"/>
      <c r="CX312" s="62"/>
      <c r="CY312" s="62"/>
      <c r="CZ312" s="62"/>
      <c r="DA312" s="62"/>
      <c r="DB312" s="62"/>
      <c r="DC312" s="62"/>
    </row>
    <row r="313" spans="4:124" x14ac:dyDescent="0.25">
      <c r="F313" s="89"/>
      <c r="G313" s="90"/>
      <c r="H313" s="89"/>
      <c r="I313" s="89"/>
      <c r="J313" s="89"/>
      <c r="K313" s="89"/>
      <c r="L313" s="89"/>
      <c r="M313" s="89"/>
      <c r="N313" s="89"/>
      <c r="O313" s="89"/>
      <c r="P313" s="89"/>
      <c r="Q313" s="89"/>
      <c r="R313" s="90"/>
      <c r="S313" s="90"/>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90"/>
      <c r="AZ313" s="90"/>
      <c r="BA313" s="90"/>
      <c r="BB313" s="89"/>
      <c r="BC313" s="89"/>
      <c r="BD313" s="89"/>
      <c r="BE313" s="89"/>
      <c r="BF313" s="89"/>
      <c r="BG313" s="89"/>
      <c r="BH313" s="89"/>
      <c r="BI313" s="89"/>
      <c r="BJ313" s="62"/>
      <c r="BK313" s="62"/>
      <c r="BL313" s="62"/>
      <c r="BM313" s="62"/>
      <c r="BN313" s="62"/>
      <c r="BO313" s="62"/>
      <c r="BP313" s="62"/>
      <c r="BQ313" s="62"/>
      <c r="BR313" s="62"/>
      <c r="BS313" s="62"/>
      <c r="BT313" s="62"/>
      <c r="BU313" s="62"/>
      <c r="BV313" s="62"/>
      <c r="BW313" s="62"/>
      <c r="BX313" s="62"/>
      <c r="CA313" s="62"/>
      <c r="CB313" s="62"/>
      <c r="CM313" s="62"/>
      <c r="CN313" s="62"/>
      <c r="CO313" s="62"/>
      <c r="CP313" s="62"/>
      <c r="CQ313" s="62"/>
      <c r="CR313" s="62"/>
      <c r="CS313" s="62"/>
      <c r="CT313" s="62"/>
      <c r="CU313" s="62"/>
      <c r="CV313" s="62"/>
      <c r="CW313" s="62"/>
      <c r="CX313" s="62"/>
      <c r="CY313" s="62"/>
      <c r="CZ313" s="62"/>
      <c r="DA313" s="62"/>
      <c r="DB313" s="62"/>
      <c r="DC313" s="62"/>
    </row>
    <row r="314" spans="4:124" x14ac:dyDescent="0.25">
      <c r="F314" s="89"/>
      <c r="G314" s="90"/>
      <c r="H314" s="89"/>
      <c r="I314" s="89"/>
      <c r="J314" s="89"/>
      <c r="K314" s="89"/>
      <c r="L314" s="89"/>
      <c r="M314" s="89"/>
      <c r="N314" s="89"/>
      <c r="O314" s="89"/>
      <c r="P314" s="89"/>
      <c r="Q314" s="89"/>
      <c r="R314" s="90"/>
      <c r="S314" s="90"/>
      <c r="T314" s="89"/>
      <c r="U314" s="89"/>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90"/>
      <c r="AZ314" s="90"/>
      <c r="BA314" s="90"/>
      <c r="BB314" s="89"/>
      <c r="BC314" s="89"/>
      <c r="BD314" s="89"/>
      <c r="BE314" s="89"/>
      <c r="BF314" s="89"/>
      <c r="BG314" s="89"/>
      <c r="BH314" s="89"/>
      <c r="BI314" s="89"/>
      <c r="BJ314" s="62"/>
      <c r="BK314" s="62"/>
      <c r="BL314" s="62"/>
      <c r="BM314" s="62"/>
      <c r="BN314" s="62"/>
      <c r="BO314" s="62"/>
      <c r="BP314" s="62"/>
      <c r="BQ314" s="62"/>
      <c r="BR314" s="62"/>
      <c r="BS314" s="62"/>
      <c r="BT314" s="62"/>
      <c r="BU314" s="62"/>
      <c r="BV314" s="62"/>
      <c r="BW314" s="62"/>
      <c r="BX314" s="62"/>
      <c r="CA314" s="62"/>
      <c r="CB314" s="62"/>
      <c r="CM314" s="62"/>
      <c r="CN314" s="62"/>
      <c r="CO314" s="62"/>
      <c r="CP314" s="62"/>
      <c r="CQ314" s="62"/>
      <c r="CR314" s="62"/>
      <c r="CS314" s="62"/>
      <c r="CT314" s="62"/>
      <c r="CU314" s="62"/>
      <c r="CV314" s="62"/>
      <c r="CW314" s="62"/>
      <c r="CX314" s="62"/>
      <c r="CY314" s="62"/>
      <c r="CZ314" s="62"/>
      <c r="DA314" s="62"/>
      <c r="DB314" s="62"/>
      <c r="DC314" s="62"/>
    </row>
    <row r="315" spans="4:124" x14ac:dyDescent="0.25">
      <c r="F315" s="89"/>
      <c r="G315" s="90"/>
      <c r="H315" s="89"/>
      <c r="I315" s="89"/>
      <c r="J315" s="89"/>
      <c r="K315" s="89"/>
      <c r="L315" s="89"/>
      <c r="M315" s="89"/>
      <c r="N315" s="89"/>
      <c r="O315" s="89"/>
      <c r="P315" s="89"/>
      <c r="Q315" s="89"/>
      <c r="R315" s="90"/>
      <c r="S315" s="90"/>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90"/>
      <c r="AZ315" s="90"/>
      <c r="BA315" s="90"/>
      <c r="BB315" s="89"/>
      <c r="BC315" s="89"/>
      <c r="BD315" s="89"/>
      <c r="BE315" s="89"/>
      <c r="BF315" s="89"/>
      <c r="BG315" s="89"/>
      <c r="BH315" s="89"/>
      <c r="BI315" s="89"/>
      <c r="BJ315" s="62"/>
      <c r="BK315" s="62"/>
      <c r="BL315" s="62"/>
      <c r="BM315" s="62"/>
      <c r="BN315" s="62"/>
      <c r="BO315" s="62"/>
      <c r="BP315" s="62"/>
      <c r="BQ315" s="62"/>
      <c r="BR315" s="62"/>
      <c r="BS315" s="62"/>
      <c r="BT315" s="62"/>
      <c r="BU315" s="62"/>
      <c r="BV315" s="62"/>
      <c r="BW315" s="62"/>
      <c r="BX315" s="62"/>
      <c r="CA315" s="62"/>
      <c r="CB315" s="62"/>
      <c r="CM315" s="62"/>
      <c r="CN315" s="62"/>
      <c r="CO315" s="62"/>
      <c r="CP315" s="62"/>
      <c r="CQ315" s="62"/>
      <c r="CR315" s="62"/>
      <c r="CS315" s="62"/>
      <c r="CT315" s="62"/>
      <c r="CU315" s="62"/>
      <c r="CV315" s="62"/>
      <c r="CW315" s="62"/>
      <c r="CX315" s="62"/>
      <c r="CY315" s="62"/>
      <c r="CZ315" s="62"/>
      <c r="DA315" s="62"/>
      <c r="DB315" s="62"/>
      <c r="DC315" s="62"/>
    </row>
    <row r="316" spans="4:124" x14ac:dyDescent="0.25">
      <c r="F316" s="89"/>
      <c r="G316" s="90"/>
      <c r="H316" s="89"/>
      <c r="I316" s="89"/>
      <c r="J316" s="89"/>
      <c r="K316" s="89"/>
      <c r="L316" s="89"/>
      <c r="M316" s="89"/>
      <c r="N316" s="89"/>
      <c r="O316" s="89"/>
      <c r="P316" s="89"/>
      <c r="Q316" s="89"/>
      <c r="R316" s="90"/>
      <c r="S316" s="90"/>
      <c r="T316" s="89"/>
      <c r="U316" s="89"/>
      <c r="V316" s="89"/>
      <c r="W316" s="89"/>
      <c r="X316" s="89"/>
      <c r="Y316" s="89"/>
      <c r="Z316" s="89"/>
      <c r="AA316" s="89"/>
      <c r="AB316" s="89"/>
      <c r="AC316" s="89"/>
      <c r="AD316" s="89"/>
      <c r="AE316" s="89"/>
      <c r="AF316" s="89"/>
      <c r="AG316" s="89"/>
      <c r="AH316" s="89"/>
      <c r="AI316" s="89"/>
      <c r="AJ316" s="89"/>
      <c r="AK316" s="89"/>
      <c r="AL316" s="89"/>
      <c r="AM316" s="89"/>
      <c r="AN316" s="89"/>
      <c r="AO316" s="89"/>
      <c r="AP316" s="89"/>
      <c r="AQ316" s="89"/>
      <c r="AR316" s="89"/>
      <c r="AS316" s="89"/>
      <c r="AT316" s="89"/>
      <c r="AU316" s="89"/>
      <c r="AV316" s="89"/>
      <c r="AW316" s="89"/>
      <c r="AX316" s="89"/>
      <c r="AY316" s="90"/>
      <c r="AZ316" s="90"/>
      <c r="BA316" s="90"/>
      <c r="BB316" s="89"/>
      <c r="BC316" s="89"/>
      <c r="BD316" s="89"/>
      <c r="BE316" s="89"/>
      <c r="BF316" s="89"/>
      <c r="BG316" s="89"/>
      <c r="BH316" s="89"/>
      <c r="BI316" s="89"/>
      <c r="BJ316" s="62"/>
      <c r="BK316" s="62"/>
      <c r="BL316" s="62"/>
      <c r="BM316" s="62"/>
      <c r="BN316" s="62"/>
      <c r="BO316" s="62"/>
      <c r="BP316" s="62"/>
      <c r="BQ316" s="62"/>
      <c r="BR316" s="62"/>
      <c r="BS316" s="62"/>
      <c r="BT316" s="62"/>
      <c r="BU316" s="62"/>
      <c r="BV316" s="62"/>
      <c r="BW316" s="62"/>
      <c r="BX316" s="62"/>
      <c r="CA316" s="62"/>
      <c r="CB316" s="62"/>
      <c r="CM316" s="62"/>
      <c r="CN316" s="62"/>
      <c r="CO316" s="62"/>
      <c r="CP316" s="62"/>
      <c r="CQ316" s="62"/>
      <c r="CR316" s="62"/>
      <c r="CS316" s="62"/>
      <c r="CT316" s="62"/>
      <c r="CU316" s="62"/>
      <c r="CV316" s="62"/>
      <c r="CW316" s="62"/>
      <c r="CX316" s="62"/>
      <c r="CY316" s="62"/>
      <c r="CZ316" s="62"/>
      <c r="DA316" s="62"/>
      <c r="DB316" s="62"/>
      <c r="DC316" s="62"/>
    </row>
    <row r="317" spans="4:124" x14ac:dyDescent="0.25">
      <c r="F317" s="89"/>
      <c r="G317" s="90"/>
      <c r="H317" s="89"/>
      <c r="I317" s="89"/>
      <c r="J317" s="89"/>
      <c r="K317" s="89"/>
      <c r="L317" s="89"/>
      <c r="M317" s="89"/>
      <c r="N317" s="89"/>
      <c r="O317" s="89"/>
      <c r="P317" s="89"/>
      <c r="Q317" s="89"/>
      <c r="R317" s="90"/>
      <c r="S317" s="90"/>
      <c r="T317" s="89"/>
      <c r="U317" s="89"/>
      <c r="V317" s="89"/>
      <c r="W317" s="89"/>
      <c r="X317" s="89"/>
      <c r="Y317" s="89"/>
      <c r="Z317" s="89"/>
      <c r="AA317" s="89"/>
      <c r="AB317" s="89"/>
      <c r="AC317" s="89"/>
      <c r="AD317" s="89"/>
      <c r="AE317" s="89"/>
      <c r="AF317" s="89"/>
      <c r="AG317" s="89"/>
      <c r="AH317" s="89"/>
      <c r="AI317" s="89"/>
      <c r="AJ317" s="89"/>
      <c r="AK317" s="89"/>
      <c r="AL317" s="89"/>
      <c r="AM317" s="89"/>
      <c r="AN317" s="89"/>
      <c r="AO317" s="89"/>
      <c r="AP317" s="89"/>
      <c r="AQ317" s="89"/>
      <c r="AR317" s="89"/>
      <c r="AS317" s="89"/>
      <c r="AT317" s="89"/>
      <c r="AU317" s="89"/>
      <c r="AV317" s="89"/>
      <c r="AW317" s="89"/>
      <c r="AX317" s="89"/>
      <c r="AY317" s="90"/>
      <c r="AZ317" s="90"/>
      <c r="BA317" s="90"/>
      <c r="BB317" s="89"/>
      <c r="BC317" s="89"/>
      <c r="BD317" s="89"/>
      <c r="BE317" s="89"/>
      <c r="BF317" s="89"/>
      <c r="BG317" s="89"/>
      <c r="BH317" s="89"/>
      <c r="BI317" s="89"/>
      <c r="BJ317" s="62"/>
      <c r="BK317" s="62"/>
      <c r="BL317" s="62"/>
      <c r="BM317" s="62"/>
      <c r="BN317" s="62"/>
      <c r="BO317" s="62"/>
      <c r="BP317" s="62"/>
      <c r="BQ317" s="62"/>
      <c r="BR317" s="62"/>
      <c r="BS317" s="62"/>
      <c r="BT317" s="62"/>
      <c r="BU317" s="62"/>
      <c r="BV317" s="62"/>
      <c r="BW317" s="62"/>
      <c r="BX317" s="62"/>
      <c r="CA317" s="62"/>
      <c r="CB317" s="62"/>
      <c r="CM317" s="62"/>
      <c r="CN317" s="62"/>
      <c r="CO317" s="62"/>
      <c r="CP317" s="62"/>
      <c r="CQ317" s="62"/>
      <c r="CR317" s="62"/>
      <c r="CS317" s="62"/>
      <c r="CT317" s="62"/>
      <c r="CU317" s="62"/>
      <c r="CV317" s="62"/>
      <c r="CW317" s="62"/>
      <c r="CX317" s="62"/>
      <c r="CY317" s="62"/>
      <c r="CZ317" s="62"/>
      <c r="DA317" s="62"/>
      <c r="DB317" s="62"/>
      <c r="DC317" s="62"/>
    </row>
    <row r="318" spans="4:124" x14ac:dyDescent="0.25">
      <c r="F318" s="89"/>
      <c r="G318" s="90"/>
      <c r="H318" s="89"/>
      <c r="I318" s="89"/>
      <c r="J318" s="89"/>
      <c r="K318" s="89"/>
      <c r="L318" s="89"/>
      <c r="M318" s="89"/>
      <c r="N318" s="89"/>
      <c r="O318" s="89"/>
      <c r="P318" s="89"/>
      <c r="Q318" s="89"/>
      <c r="R318" s="90"/>
      <c r="S318" s="90"/>
      <c r="T318" s="89"/>
      <c r="U318" s="89"/>
      <c r="V318" s="89"/>
      <c r="W318" s="89"/>
      <c r="X318" s="89"/>
      <c r="Y318" s="89"/>
      <c r="Z318" s="89"/>
      <c r="AA318" s="89"/>
      <c r="AB318" s="89"/>
      <c r="AC318" s="89"/>
      <c r="AD318" s="89"/>
      <c r="AE318" s="89"/>
      <c r="AF318" s="89"/>
      <c r="AG318" s="89"/>
      <c r="AH318" s="89"/>
      <c r="AI318" s="89"/>
      <c r="AJ318" s="89"/>
      <c r="AK318" s="89"/>
      <c r="AL318" s="89"/>
      <c r="AM318" s="89"/>
      <c r="AN318" s="89"/>
      <c r="AO318" s="89"/>
      <c r="AP318" s="89"/>
      <c r="AQ318" s="89"/>
      <c r="AR318" s="89"/>
      <c r="AS318" s="89"/>
      <c r="AT318" s="89"/>
      <c r="AU318" s="89"/>
      <c r="AV318" s="89"/>
      <c r="AW318" s="89"/>
      <c r="AX318" s="89"/>
      <c r="AY318" s="90"/>
      <c r="AZ318" s="90"/>
      <c r="BA318" s="90"/>
      <c r="BB318" s="89"/>
      <c r="BC318" s="89"/>
      <c r="BD318" s="89"/>
      <c r="BE318" s="89"/>
      <c r="BF318" s="89"/>
      <c r="BG318" s="89"/>
      <c r="BH318" s="89"/>
      <c r="BI318" s="89"/>
      <c r="BJ318" s="62"/>
      <c r="BK318" s="62"/>
      <c r="BL318" s="62"/>
      <c r="BM318" s="62"/>
      <c r="BN318" s="62"/>
      <c r="BO318" s="62"/>
      <c r="BP318" s="62"/>
      <c r="BQ318" s="62"/>
      <c r="BR318" s="62"/>
      <c r="BS318" s="62"/>
      <c r="BT318" s="62"/>
      <c r="BU318" s="62"/>
      <c r="BV318" s="62"/>
      <c r="BW318" s="62"/>
      <c r="BX318" s="62"/>
      <c r="CA318" s="62"/>
      <c r="CB318" s="62"/>
      <c r="CM318" s="62"/>
      <c r="CN318" s="62"/>
      <c r="CO318" s="62"/>
      <c r="CP318" s="62"/>
      <c r="CQ318" s="62"/>
      <c r="CR318" s="62"/>
      <c r="CS318" s="62"/>
      <c r="CT318" s="62"/>
      <c r="CU318" s="62"/>
      <c r="CV318" s="62"/>
      <c r="CW318" s="62"/>
      <c r="CX318" s="62"/>
      <c r="CY318" s="62"/>
      <c r="CZ318" s="62"/>
      <c r="DA318" s="62"/>
      <c r="DB318" s="62"/>
      <c r="DC318" s="62"/>
    </row>
    <row r="319" spans="4:124" x14ac:dyDescent="0.25">
      <c r="F319" s="89"/>
      <c r="G319" s="90"/>
      <c r="H319" s="89"/>
      <c r="I319" s="89"/>
      <c r="J319" s="89"/>
      <c r="K319" s="89"/>
      <c r="L319" s="89"/>
      <c r="M319" s="89"/>
      <c r="N319" s="89"/>
      <c r="O319" s="89"/>
      <c r="P319" s="89"/>
      <c r="Q319" s="89"/>
      <c r="R319" s="90"/>
      <c r="S319" s="90"/>
      <c r="T319" s="89"/>
      <c r="U319" s="89"/>
      <c r="V319" s="89"/>
      <c r="W319" s="89"/>
      <c r="X319" s="89"/>
      <c r="Y319" s="89"/>
      <c r="Z319" s="89"/>
      <c r="AA319" s="89"/>
      <c r="AB319" s="89"/>
      <c r="AC319" s="89"/>
      <c r="AD319" s="89"/>
      <c r="AE319" s="89"/>
      <c r="AF319" s="89"/>
      <c r="AG319" s="89"/>
      <c r="AH319" s="89"/>
      <c r="AI319" s="89"/>
      <c r="AJ319" s="89"/>
      <c r="AK319" s="89"/>
      <c r="AL319" s="89"/>
      <c r="AM319" s="89"/>
      <c r="AN319" s="89"/>
      <c r="AO319" s="89"/>
      <c r="AP319" s="89"/>
      <c r="AQ319" s="89"/>
      <c r="AR319" s="89"/>
      <c r="AS319" s="89"/>
      <c r="AT319" s="89"/>
      <c r="AU319" s="89"/>
      <c r="AV319" s="89"/>
      <c r="AW319" s="89"/>
      <c r="AX319" s="89"/>
      <c r="AY319" s="90"/>
      <c r="AZ319" s="90"/>
      <c r="BA319" s="90"/>
      <c r="BB319" s="89"/>
      <c r="BC319" s="89"/>
      <c r="BD319" s="89"/>
      <c r="BE319" s="89"/>
      <c r="BF319" s="89"/>
      <c r="BG319" s="89"/>
      <c r="BH319" s="89"/>
      <c r="BI319" s="89"/>
      <c r="BJ319" s="62"/>
      <c r="BK319" s="62"/>
      <c r="BL319" s="62"/>
      <c r="BM319" s="62"/>
      <c r="BN319" s="62"/>
      <c r="BO319" s="62"/>
      <c r="BP319" s="62"/>
      <c r="BQ319" s="62"/>
      <c r="BR319" s="62"/>
      <c r="BS319" s="62"/>
      <c r="BT319" s="62"/>
      <c r="BU319" s="62"/>
      <c r="BV319" s="62"/>
      <c r="BW319" s="62"/>
      <c r="BX319" s="62"/>
      <c r="CA319" s="62"/>
      <c r="CB319" s="62"/>
      <c r="CM319" s="62"/>
      <c r="CN319" s="62"/>
      <c r="CO319" s="62"/>
      <c r="CP319" s="62"/>
      <c r="CQ319" s="62"/>
      <c r="CR319" s="62"/>
      <c r="CS319" s="62"/>
      <c r="CT319" s="62"/>
      <c r="CU319" s="62"/>
      <c r="CV319" s="62"/>
      <c r="CW319" s="62"/>
      <c r="CX319" s="62"/>
      <c r="CY319" s="62"/>
      <c r="CZ319" s="62"/>
      <c r="DA319" s="62"/>
      <c r="DB319" s="62"/>
      <c r="DC319" s="62"/>
    </row>
    <row r="320" spans="4:124" x14ac:dyDescent="0.25">
      <c r="F320" s="89"/>
      <c r="G320" s="90"/>
      <c r="H320" s="89"/>
      <c r="I320" s="89"/>
      <c r="J320" s="89"/>
      <c r="K320" s="89"/>
      <c r="L320" s="89"/>
      <c r="M320" s="89"/>
      <c r="N320" s="89"/>
      <c r="O320" s="89"/>
      <c r="P320" s="89"/>
      <c r="Q320" s="89"/>
      <c r="R320" s="90"/>
      <c r="S320" s="90"/>
      <c r="T320" s="89"/>
      <c r="U320" s="89"/>
      <c r="V320" s="89"/>
      <c r="W320" s="89"/>
      <c r="X320" s="89"/>
      <c r="Y320" s="89"/>
      <c r="Z320" s="89"/>
      <c r="AA320" s="89"/>
      <c r="AB320" s="89"/>
      <c r="AC320" s="89"/>
      <c r="AD320" s="89"/>
      <c r="AE320" s="89"/>
      <c r="AF320" s="89"/>
      <c r="AG320" s="89"/>
      <c r="AH320" s="89"/>
      <c r="AI320" s="89"/>
      <c r="AJ320" s="89"/>
      <c r="AK320" s="89"/>
      <c r="AL320" s="89"/>
      <c r="AM320" s="89"/>
      <c r="AN320" s="89"/>
      <c r="AO320" s="89"/>
      <c r="AP320" s="89"/>
      <c r="AQ320" s="89"/>
      <c r="AR320" s="89"/>
      <c r="AS320" s="89"/>
      <c r="AT320" s="89"/>
      <c r="AU320" s="89"/>
      <c r="AV320" s="89"/>
      <c r="AW320" s="89"/>
      <c r="AX320" s="89"/>
      <c r="AY320" s="90"/>
      <c r="AZ320" s="90"/>
      <c r="BA320" s="90"/>
      <c r="BB320" s="89"/>
      <c r="BC320" s="89"/>
      <c r="BD320" s="89"/>
      <c r="BE320" s="89"/>
      <c r="BF320" s="89"/>
      <c r="BG320" s="89"/>
      <c r="BH320" s="89"/>
      <c r="BI320" s="89"/>
      <c r="BJ320" s="62"/>
      <c r="BK320" s="62"/>
      <c r="BL320" s="62"/>
      <c r="BM320" s="62"/>
      <c r="BN320" s="62"/>
      <c r="BO320" s="62"/>
      <c r="BP320" s="62"/>
      <c r="BQ320" s="62"/>
      <c r="BR320" s="62"/>
      <c r="BS320" s="62"/>
      <c r="BT320" s="62"/>
      <c r="BU320" s="62"/>
      <c r="BV320" s="62"/>
      <c r="BW320" s="62"/>
      <c r="BX320" s="62"/>
      <c r="CA320" s="62"/>
      <c r="CB320" s="62"/>
      <c r="CM320" s="62"/>
      <c r="CN320" s="62"/>
      <c r="CO320" s="62"/>
      <c r="CP320" s="62"/>
      <c r="CQ320" s="62"/>
      <c r="CR320" s="62"/>
      <c r="CS320" s="62"/>
      <c r="CT320" s="62"/>
      <c r="CU320" s="62"/>
      <c r="CV320" s="62"/>
      <c r="CW320" s="62"/>
      <c r="CX320" s="62"/>
      <c r="CY320" s="62"/>
      <c r="CZ320" s="62"/>
      <c r="DA320" s="62"/>
      <c r="DB320" s="62"/>
    </row>
    <row r="321" spans="6:102" x14ac:dyDescent="0.25">
      <c r="F321" s="89"/>
      <c r="G321" s="90"/>
      <c r="H321" s="89"/>
      <c r="I321" s="89"/>
      <c r="J321" s="89"/>
      <c r="K321" s="89"/>
      <c r="L321" s="89"/>
      <c r="M321" s="89"/>
      <c r="N321" s="89"/>
      <c r="O321" s="89"/>
      <c r="P321" s="89"/>
      <c r="Q321" s="89"/>
      <c r="R321" s="90"/>
      <c r="S321" s="90"/>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90"/>
      <c r="AZ321" s="90"/>
      <c r="BA321" s="90"/>
      <c r="BB321" s="89"/>
      <c r="BC321" s="89"/>
      <c r="BD321" s="89"/>
      <c r="BE321" s="89"/>
      <c r="BF321" s="89"/>
      <c r="BG321" s="89"/>
      <c r="BH321" s="89"/>
      <c r="BI321" s="89"/>
      <c r="BJ321" s="62"/>
      <c r="BK321" s="62"/>
      <c r="BL321" s="62"/>
      <c r="BM321" s="62"/>
      <c r="BN321" s="62"/>
      <c r="BO321" s="62"/>
      <c r="BP321" s="62"/>
      <c r="BQ321" s="62"/>
      <c r="BR321" s="62"/>
      <c r="BS321" s="62"/>
      <c r="BT321" s="62"/>
      <c r="BU321" s="62"/>
      <c r="BV321" s="62"/>
      <c r="BW321" s="62"/>
      <c r="BX321" s="62"/>
      <c r="CA321" s="62"/>
      <c r="CB321" s="62"/>
      <c r="CM321" s="62"/>
      <c r="CN321" s="62"/>
      <c r="CO321" s="62"/>
      <c r="CP321" s="62"/>
      <c r="CQ321" s="62"/>
      <c r="CR321" s="62"/>
      <c r="CS321" s="62"/>
      <c r="CT321" s="62"/>
      <c r="CU321" s="62"/>
      <c r="CV321" s="62"/>
      <c r="CW321" s="62"/>
      <c r="CX321" s="62"/>
    </row>
    <row r="322" spans="6:102" x14ac:dyDescent="0.25">
      <c r="F322" s="89"/>
      <c r="G322" s="90"/>
      <c r="H322" s="89"/>
      <c r="I322" s="89"/>
      <c r="J322" s="89"/>
      <c r="K322" s="89"/>
      <c r="L322" s="89"/>
      <c r="M322" s="89"/>
      <c r="N322" s="89"/>
      <c r="O322" s="89"/>
      <c r="P322" s="89"/>
      <c r="Q322" s="89"/>
      <c r="R322" s="90"/>
      <c r="S322" s="90"/>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90"/>
      <c r="AZ322" s="90"/>
      <c r="BA322" s="90"/>
      <c r="BB322" s="89"/>
      <c r="BC322" s="89"/>
      <c r="BD322" s="89"/>
      <c r="BE322" s="89"/>
      <c r="BF322" s="89"/>
      <c r="BG322" s="89"/>
      <c r="BH322" s="89"/>
      <c r="BI322" s="89"/>
      <c r="BJ322" s="62"/>
      <c r="BK322" s="62"/>
      <c r="BL322" s="62"/>
      <c r="BM322" s="62"/>
      <c r="BN322" s="62"/>
      <c r="BO322" s="62"/>
      <c r="BP322" s="62"/>
      <c r="BQ322" s="62"/>
      <c r="BR322" s="62"/>
      <c r="BS322" s="62"/>
      <c r="BT322" s="62"/>
      <c r="BU322" s="62"/>
      <c r="BV322" s="62"/>
      <c r="BW322" s="62"/>
      <c r="BX322" s="62"/>
      <c r="CA322" s="62"/>
      <c r="CB322" s="62"/>
      <c r="CM322" s="62"/>
      <c r="CN322" s="62"/>
      <c r="CO322" s="62"/>
      <c r="CP322" s="62"/>
      <c r="CQ322" s="62"/>
      <c r="CR322" s="62"/>
      <c r="CS322" s="62"/>
      <c r="CT322" s="62"/>
      <c r="CU322" s="62"/>
      <c r="CV322" s="62"/>
      <c r="CW322" s="62"/>
      <c r="CX322" s="62"/>
    </row>
    <row r="323" spans="6:102" x14ac:dyDescent="0.25">
      <c r="F323" s="89"/>
      <c r="G323" s="90"/>
      <c r="H323" s="89"/>
      <c r="I323" s="89"/>
      <c r="J323" s="89"/>
      <c r="K323" s="89"/>
      <c r="L323" s="89"/>
      <c r="M323" s="89"/>
      <c r="N323" s="89"/>
      <c r="O323" s="89"/>
      <c r="P323" s="89"/>
      <c r="Q323" s="89"/>
      <c r="R323" s="90"/>
      <c r="S323" s="90"/>
      <c r="T323" s="89"/>
      <c r="U323" s="89"/>
      <c r="V323" s="89"/>
      <c r="W323" s="89"/>
      <c r="X323" s="89"/>
      <c r="Y323" s="89"/>
      <c r="Z323" s="89"/>
      <c r="AA323" s="89"/>
      <c r="AB323" s="89"/>
      <c r="AC323" s="89"/>
      <c r="AD323" s="89"/>
      <c r="AE323" s="89"/>
      <c r="AF323" s="89"/>
      <c r="AG323" s="89"/>
      <c r="AH323" s="89"/>
      <c r="AI323" s="89"/>
      <c r="AJ323" s="89"/>
      <c r="AK323" s="89"/>
      <c r="AL323" s="89"/>
      <c r="AM323" s="89"/>
      <c r="AN323" s="89"/>
      <c r="AO323" s="89"/>
      <c r="AP323" s="89"/>
      <c r="AQ323" s="89"/>
      <c r="AR323" s="89"/>
      <c r="AS323" s="89"/>
      <c r="AT323" s="89"/>
      <c r="AU323" s="89"/>
      <c r="AV323" s="89"/>
      <c r="AW323" s="89"/>
      <c r="AX323" s="89"/>
      <c r="AY323" s="90"/>
      <c r="AZ323" s="90"/>
      <c r="BA323" s="90"/>
      <c r="BB323" s="89"/>
      <c r="BC323" s="89"/>
      <c r="BD323" s="89"/>
      <c r="BE323" s="89"/>
      <c r="BF323" s="89"/>
      <c r="BG323" s="89"/>
      <c r="BH323" s="89"/>
      <c r="BI323" s="89"/>
      <c r="BJ323" s="62"/>
      <c r="BK323" s="62"/>
      <c r="BL323" s="62"/>
      <c r="BM323" s="62"/>
      <c r="BN323" s="62"/>
      <c r="BO323" s="62"/>
      <c r="BP323" s="62"/>
      <c r="BQ323" s="62"/>
      <c r="BR323" s="62"/>
      <c r="BS323" s="62"/>
      <c r="BT323" s="62"/>
      <c r="BU323" s="62"/>
      <c r="BV323" s="62"/>
      <c r="BW323" s="62"/>
      <c r="BX323" s="62"/>
      <c r="CA323" s="62"/>
      <c r="CB323" s="62"/>
      <c r="CM323" s="62"/>
      <c r="CN323" s="62"/>
      <c r="CO323" s="62"/>
      <c r="CP323" s="62"/>
      <c r="CQ323" s="62"/>
      <c r="CR323" s="62"/>
      <c r="CS323" s="62"/>
      <c r="CT323" s="62"/>
      <c r="CU323" s="62"/>
      <c r="CV323" s="62"/>
      <c r="CW323" s="62"/>
      <c r="CX323" s="62"/>
    </row>
    <row r="324" spans="6:102" x14ac:dyDescent="0.25">
      <c r="F324" s="89"/>
      <c r="G324" s="90"/>
      <c r="H324" s="89"/>
      <c r="I324" s="89"/>
      <c r="J324" s="89"/>
      <c r="K324" s="89"/>
      <c r="L324" s="89"/>
      <c r="M324" s="89"/>
      <c r="N324" s="89"/>
      <c r="O324" s="89"/>
      <c r="P324" s="89"/>
      <c r="Q324" s="89"/>
      <c r="R324" s="90"/>
      <c r="S324" s="90"/>
      <c r="T324" s="89"/>
      <c r="U324" s="89"/>
      <c r="V324" s="89"/>
      <c r="W324" s="89"/>
      <c r="X324" s="89"/>
      <c r="Y324" s="89"/>
      <c r="Z324" s="89"/>
      <c r="AA324" s="89"/>
      <c r="AB324" s="89"/>
      <c r="AC324" s="89"/>
      <c r="AD324" s="89"/>
      <c r="AE324" s="89"/>
      <c r="AF324" s="89"/>
      <c r="AG324" s="89"/>
      <c r="AH324" s="89"/>
      <c r="AI324" s="89"/>
      <c r="AJ324" s="89"/>
      <c r="AK324" s="89"/>
      <c r="AL324" s="89"/>
      <c r="AM324" s="89"/>
      <c r="AN324" s="89"/>
      <c r="AO324" s="89"/>
      <c r="AP324" s="89"/>
      <c r="AQ324" s="89"/>
      <c r="AR324" s="89"/>
      <c r="AS324" s="89"/>
      <c r="AT324" s="89"/>
      <c r="AU324" s="89"/>
      <c r="AV324" s="89"/>
      <c r="AW324" s="89"/>
      <c r="AX324" s="89"/>
      <c r="AY324" s="90"/>
      <c r="AZ324" s="90"/>
      <c r="BA324" s="90"/>
      <c r="BB324" s="89"/>
      <c r="BC324" s="89"/>
      <c r="BD324" s="89"/>
      <c r="BE324" s="89"/>
      <c r="BF324" s="89"/>
      <c r="BG324" s="89"/>
      <c r="BH324" s="89"/>
      <c r="BI324" s="89"/>
      <c r="BJ324" s="62"/>
      <c r="BK324" s="62"/>
      <c r="BL324" s="62"/>
      <c r="BM324" s="62"/>
      <c r="BN324" s="62"/>
      <c r="BO324" s="62"/>
      <c r="BP324" s="62"/>
      <c r="BQ324" s="62"/>
      <c r="BR324" s="62"/>
      <c r="BS324" s="62"/>
      <c r="BT324" s="62"/>
      <c r="BU324" s="62"/>
      <c r="BV324" s="62"/>
      <c r="BW324" s="62"/>
      <c r="BX324" s="62"/>
      <c r="CA324" s="62"/>
      <c r="CB324" s="62"/>
      <c r="CM324" s="62"/>
      <c r="CN324" s="62"/>
      <c r="CO324" s="62"/>
      <c r="CP324" s="62"/>
      <c r="CQ324" s="62"/>
      <c r="CR324" s="62"/>
      <c r="CS324" s="62"/>
      <c r="CT324" s="62"/>
      <c r="CU324" s="62"/>
      <c r="CV324" s="62"/>
      <c r="CW324" s="62"/>
      <c r="CX324" s="62"/>
    </row>
    <row r="325" spans="6:102" x14ac:dyDescent="0.25">
      <c r="F325" s="89"/>
      <c r="G325" s="90"/>
      <c r="H325" s="89"/>
      <c r="I325" s="89"/>
      <c r="J325" s="89"/>
      <c r="K325" s="89"/>
      <c r="L325" s="89"/>
      <c r="M325" s="89"/>
      <c r="N325" s="89"/>
      <c r="O325" s="89"/>
      <c r="P325" s="89"/>
      <c r="Q325" s="89"/>
      <c r="R325" s="90"/>
      <c r="S325" s="90"/>
      <c r="T325" s="89"/>
      <c r="U325" s="89"/>
      <c r="V325" s="89"/>
      <c r="W325" s="89"/>
      <c r="X325" s="89"/>
      <c r="Y325" s="89"/>
      <c r="Z325" s="89"/>
      <c r="AA325" s="89"/>
      <c r="AB325" s="89"/>
      <c r="AC325" s="89"/>
      <c r="AD325" s="89"/>
      <c r="AE325" s="89"/>
      <c r="AF325" s="89"/>
      <c r="AG325" s="89"/>
      <c r="AH325" s="89"/>
      <c r="AI325" s="89"/>
      <c r="AJ325" s="89"/>
      <c r="AK325" s="89"/>
      <c r="AL325" s="89"/>
      <c r="AM325" s="89"/>
      <c r="AN325" s="89"/>
      <c r="AO325" s="89"/>
      <c r="AP325" s="89"/>
      <c r="AQ325" s="89"/>
      <c r="AR325" s="89"/>
      <c r="AS325" s="89"/>
      <c r="AT325" s="89"/>
      <c r="AU325" s="89"/>
      <c r="AV325" s="89"/>
      <c r="AW325" s="89"/>
      <c r="AX325" s="89"/>
      <c r="AY325" s="90"/>
      <c r="AZ325" s="90"/>
      <c r="BA325" s="90"/>
      <c r="BB325" s="89"/>
      <c r="BC325" s="89"/>
      <c r="BD325" s="89"/>
      <c r="BE325" s="89"/>
      <c r="BF325" s="89"/>
      <c r="BG325" s="89"/>
      <c r="BH325" s="89"/>
      <c r="BI325" s="89"/>
      <c r="BJ325" s="62"/>
      <c r="BK325" s="62"/>
      <c r="BL325" s="62"/>
      <c r="BM325" s="62"/>
      <c r="BN325" s="62"/>
      <c r="BO325" s="62"/>
      <c r="BP325" s="62"/>
      <c r="BQ325" s="62"/>
      <c r="BR325" s="62"/>
      <c r="BS325" s="62"/>
      <c r="BT325" s="62"/>
      <c r="BU325" s="62"/>
      <c r="BV325" s="62"/>
      <c r="BW325" s="62"/>
      <c r="BX325" s="62"/>
      <c r="CA325" s="62"/>
      <c r="CB325" s="62"/>
      <c r="CM325" s="62"/>
      <c r="CN325" s="62"/>
      <c r="CO325" s="62"/>
      <c r="CP325" s="62"/>
      <c r="CQ325" s="62"/>
      <c r="CR325" s="62"/>
      <c r="CS325" s="62"/>
      <c r="CT325" s="62"/>
      <c r="CU325" s="62"/>
      <c r="CV325" s="62"/>
      <c r="CW325" s="62"/>
      <c r="CX325" s="62"/>
    </row>
    <row r="326" spans="6:102" x14ac:dyDescent="0.25">
      <c r="F326" s="89"/>
      <c r="H326" s="89"/>
      <c r="I326" s="89"/>
      <c r="O326" s="89"/>
      <c r="P326" s="89"/>
      <c r="Q326" s="89"/>
      <c r="R326" s="89"/>
      <c r="S326" s="89"/>
      <c r="T326" s="89"/>
      <c r="U326" s="89"/>
      <c r="V326" s="89"/>
      <c r="W326" s="89"/>
      <c r="X326" s="89"/>
      <c r="Y326" s="89"/>
      <c r="Z326" s="89"/>
      <c r="AA326" s="89"/>
      <c r="AB326" s="89"/>
      <c r="AC326" s="89"/>
      <c r="AD326" s="89"/>
      <c r="AE326" s="89"/>
      <c r="AF326" s="89"/>
      <c r="AG326" s="89"/>
      <c r="AH326" s="89"/>
      <c r="AI326" s="89"/>
      <c r="AJ326" s="89"/>
      <c r="AK326" s="89"/>
      <c r="AL326" s="89"/>
      <c r="AM326" s="89"/>
      <c r="AN326" s="89"/>
      <c r="AO326" s="89"/>
      <c r="AP326" s="89"/>
      <c r="AQ326" s="89"/>
      <c r="AR326" s="89"/>
      <c r="AS326" s="89"/>
      <c r="AT326" s="89"/>
      <c r="AU326" s="89"/>
      <c r="AV326" s="89"/>
      <c r="AW326" s="89"/>
      <c r="AX326" s="89"/>
      <c r="AY326" s="62"/>
      <c r="AZ326" s="62"/>
      <c r="BA326" s="62"/>
      <c r="BB326" s="89"/>
      <c r="BC326" s="89"/>
      <c r="BD326" s="89"/>
      <c r="BE326" s="89"/>
      <c r="BF326" s="89"/>
      <c r="BG326" s="89"/>
      <c r="BH326" s="89"/>
      <c r="BI326" s="89"/>
    </row>
    <row r="327" spans="6:102" x14ac:dyDescent="0.25">
      <c r="F327" s="89"/>
      <c r="H327" s="89"/>
      <c r="I327" s="89"/>
      <c r="O327" s="89"/>
      <c r="P327" s="89"/>
      <c r="Q327" s="89"/>
      <c r="R327" s="89"/>
      <c r="S327" s="89"/>
      <c r="T327" s="89"/>
      <c r="U327" s="89"/>
      <c r="V327" s="89"/>
      <c r="W327" s="89"/>
      <c r="X327" s="89"/>
      <c r="Y327" s="89"/>
      <c r="Z327" s="89"/>
      <c r="AA327" s="89"/>
      <c r="AB327" s="89"/>
      <c r="AC327" s="89"/>
      <c r="AD327" s="89"/>
      <c r="AE327" s="89"/>
      <c r="AF327" s="89"/>
      <c r="AG327" s="89"/>
      <c r="AH327" s="89"/>
      <c r="AI327" s="89"/>
      <c r="AJ327" s="89"/>
      <c r="AK327" s="89"/>
      <c r="AL327" s="89"/>
      <c r="AM327" s="89"/>
      <c r="AN327" s="89"/>
      <c r="AO327" s="89"/>
      <c r="AP327" s="89"/>
      <c r="AQ327" s="89"/>
      <c r="AR327" s="89"/>
      <c r="AS327" s="89"/>
      <c r="AT327" s="89"/>
      <c r="AU327" s="89"/>
      <c r="AV327" s="89"/>
      <c r="AW327" s="89"/>
      <c r="AX327" s="89"/>
      <c r="AY327" s="62"/>
      <c r="AZ327" s="62"/>
      <c r="BA327" s="62"/>
      <c r="BB327" s="89"/>
      <c r="BC327" s="89"/>
      <c r="BD327" s="89"/>
      <c r="BE327" s="89"/>
      <c r="BF327" s="89"/>
      <c r="BG327" s="89"/>
      <c r="BH327" s="89"/>
      <c r="BI327" s="89"/>
    </row>
    <row r="328" spans="6:102" x14ac:dyDescent="0.25">
      <c r="F328" s="89"/>
      <c r="H328" s="89"/>
      <c r="I328" s="89"/>
      <c r="O328" s="89"/>
      <c r="P328" s="89"/>
      <c r="Q328" s="89"/>
      <c r="R328" s="89"/>
      <c r="S328" s="89"/>
      <c r="T328" s="89"/>
      <c r="U328" s="89"/>
      <c r="V328" s="89"/>
      <c r="W328" s="89"/>
      <c r="X328" s="89"/>
      <c r="Y328" s="89"/>
      <c r="Z328" s="89"/>
      <c r="AA328" s="89"/>
      <c r="AB328" s="89"/>
      <c r="AC328" s="89"/>
      <c r="AD328" s="89"/>
      <c r="AE328" s="89"/>
      <c r="AF328" s="89"/>
      <c r="AG328" s="89"/>
      <c r="AH328" s="89"/>
      <c r="AI328" s="89"/>
      <c r="AJ328" s="89"/>
      <c r="AK328" s="89"/>
      <c r="AL328" s="89"/>
      <c r="AM328" s="89"/>
      <c r="AN328" s="89"/>
      <c r="AO328" s="89"/>
      <c r="AP328" s="89"/>
      <c r="AQ328" s="89"/>
      <c r="AR328" s="89"/>
      <c r="AS328" s="89"/>
      <c r="AT328" s="89"/>
      <c r="AU328" s="89"/>
      <c r="AV328" s="89"/>
      <c r="AW328" s="89"/>
      <c r="AX328" s="89"/>
      <c r="AY328" s="62"/>
      <c r="AZ328" s="62"/>
      <c r="BA328" s="62"/>
      <c r="BB328" s="89"/>
      <c r="BC328" s="89"/>
      <c r="BD328" s="89"/>
      <c r="BE328" s="89"/>
      <c r="BF328" s="89"/>
      <c r="BG328" s="89"/>
      <c r="BH328" s="89"/>
      <c r="BI328" s="89"/>
    </row>
    <row r="329" spans="6:102" x14ac:dyDescent="0.25">
      <c r="F329" s="89"/>
      <c r="H329" s="89"/>
      <c r="I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62"/>
      <c r="AZ329" s="62"/>
      <c r="BA329" s="62"/>
      <c r="BB329" s="89"/>
      <c r="BC329" s="89"/>
      <c r="BD329" s="89"/>
      <c r="BE329" s="89"/>
      <c r="BF329" s="89"/>
      <c r="BG329" s="89"/>
      <c r="BH329" s="89"/>
      <c r="BI329" s="89"/>
    </row>
    <row r="330" spans="6:102" x14ac:dyDescent="0.25">
      <c r="F330" s="89"/>
      <c r="H330" s="89"/>
      <c r="I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62"/>
      <c r="AZ330" s="62"/>
      <c r="BA330" s="62"/>
      <c r="BB330" s="89"/>
      <c r="BC330" s="89"/>
      <c r="BD330" s="89"/>
      <c r="BE330" s="89"/>
      <c r="BF330" s="89"/>
      <c r="BG330" s="89"/>
      <c r="BH330" s="89"/>
      <c r="BI330" s="89"/>
    </row>
    <row r="331" spans="6:102" x14ac:dyDescent="0.25">
      <c r="F331" s="89"/>
      <c r="H331" s="89"/>
      <c r="I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62"/>
      <c r="AZ331" s="62"/>
      <c r="BA331" s="62"/>
      <c r="BB331" s="89"/>
      <c r="BC331" s="89"/>
      <c r="BD331" s="89"/>
      <c r="BE331" s="89"/>
      <c r="BF331" s="89"/>
      <c r="BG331" s="89"/>
      <c r="BH331" s="89"/>
      <c r="BI331" s="89"/>
    </row>
    <row r="332" spans="6:102" x14ac:dyDescent="0.25">
      <c r="F332" s="89"/>
      <c r="H332" s="89"/>
      <c r="I332" s="89"/>
      <c r="O332" s="89"/>
      <c r="P332" s="89"/>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62"/>
      <c r="AZ332" s="62"/>
      <c r="BA332" s="62"/>
      <c r="BB332" s="89"/>
      <c r="BC332" s="89"/>
      <c r="BD332" s="89"/>
      <c r="BE332" s="89"/>
      <c r="BF332" s="89"/>
      <c r="BG332" s="89"/>
      <c r="BH332" s="89"/>
      <c r="BI332" s="89"/>
    </row>
    <row r="333" spans="6:102" x14ac:dyDescent="0.25">
      <c r="F333" s="89"/>
      <c r="H333" s="89"/>
      <c r="I333" s="89"/>
      <c r="O333" s="89"/>
      <c r="P333" s="89"/>
      <c r="Q333" s="89"/>
      <c r="R333" s="89"/>
      <c r="S333" s="89"/>
      <c r="T333" s="89"/>
      <c r="U333" s="89"/>
      <c r="V333" s="89"/>
      <c r="W333" s="89"/>
      <c r="X333" s="89"/>
      <c r="Y333" s="89"/>
      <c r="Z333" s="89"/>
      <c r="AA333" s="89"/>
      <c r="AB333" s="89"/>
      <c r="AC333" s="89"/>
      <c r="AD333" s="89"/>
      <c r="AE333" s="89"/>
      <c r="AF333" s="89"/>
      <c r="AG333" s="89"/>
      <c r="AH333" s="89"/>
      <c r="AI333" s="89"/>
      <c r="AJ333" s="89"/>
      <c r="AK333" s="89"/>
      <c r="AL333" s="89"/>
      <c r="AM333" s="89"/>
      <c r="AN333" s="89"/>
      <c r="AO333" s="89"/>
      <c r="AP333" s="89"/>
      <c r="AQ333" s="89"/>
      <c r="AR333" s="89"/>
      <c r="AS333" s="89"/>
      <c r="AT333" s="89"/>
      <c r="AU333" s="89"/>
      <c r="AV333" s="89"/>
      <c r="AW333" s="89"/>
      <c r="AX333" s="89"/>
      <c r="AY333" s="62"/>
      <c r="AZ333" s="62"/>
      <c r="BA333" s="62"/>
      <c r="BB333" s="89"/>
      <c r="BC333" s="89"/>
      <c r="BD333" s="89"/>
      <c r="BE333" s="89"/>
      <c r="BF333" s="89"/>
      <c r="BG333" s="89"/>
      <c r="BH333" s="89"/>
      <c r="BI333" s="89"/>
    </row>
    <row r="334" spans="6:102" x14ac:dyDescent="0.25">
      <c r="F334" s="89"/>
      <c r="H334" s="89"/>
      <c r="I334" s="89"/>
      <c r="O334" s="89"/>
      <c r="P334" s="89"/>
      <c r="Q334" s="89"/>
      <c r="R334" s="89"/>
      <c r="S334" s="89"/>
      <c r="T334" s="89"/>
      <c r="U334" s="89"/>
      <c r="V334" s="89"/>
      <c r="W334" s="89"/>
      <c r="X334" s="89"/>
      <c r="Y334" s="89"/>
      <c r="Z334" s="89"/>
      <c r="AA334" s="89"/>
      <c r="AB334" s="89"/>
      <c r="AC334" s="89"/>
      <c r="AD334" s="89"/>
      <c r="AE334" s="89"/>
      <c r="AF334" s="89"/>
      <c r="AG334" s="89"/>
      <c r="AH334" s="89"/>
      <c r="AI334" s="89"/>
      <c r="AJ334" s="89"/>
      <c r="AK334" s="89"/>
      <c r="AL334" s="89"/>
      <c r="AM334" s="89"/>
      <c r="AN334" s="89"/>
      <c r="AO334" s="89"/>
      <c r="AP334" s="89"/>
      <c r="AQ334" s="89"/>
      <c r="AR334" s="89"/>
      <c r="AS334" s="89"/>
      <c r="AT334" s="89"/>
      <c r="AU334" s="89"/>
      <c r="AV334" s="89"/>
      <c r="AW334" s="89"/>
      <c r="AX334" s="89"/>
      <c r="AY334" s="62"/>
      <c r="AZ334" s="62"/>
      <c r="BA334" s="62"/>
      <c r="BB334" s="89"/>
      <c r="BC334" s="89"/>
      <c r="BD334" s="89"/>
      <c r="BE334" s="89"/>
      <c r="BF334" s="89"/>
      <c r="BG334" s="89"/>
      <c r="BH334" s="89"/>
      <c r="BI334" s="89"/>
    </row>
    <row r="335" spans="6:102" x14ac:dyDescent="0.25">
      <c r="F335" s="89"/>
      <c r="H335" s="89"/>
      <c r="I335" s="89"/>
      <c r="O335" s="89"/>
      <c r="P335" s="89"/>
      <c r="Q335" s="89"/>
      <c r="R335" s="89"/>
      <c r="S335" s="89"/>
      <c r="T335" s="89"/>
      <c r="U335" s="89"/>
      <c r="V335" s="89"/>
      <c r="W335" s="89"/>
      <c r="X335" s="89"/>
      <c r="Y335" s="89"/>
      <c r="Z335" s="89"/>
      <c r="AA335" s="89"/>
      <c r="AB335" s="89"/>
      <c r="AC335" s="89"/>
      <c r="AD335" s="89"/>
      <c r="AE335" s="89"/>
      <c r="AF335" s="89"/>
      <c r="AG335" s="89"/>
      <c r="AH335" s="89"/>
      <c r="AI335" s="89"/>
      <c r="AJ335" s="89"/>
      <c r="AK335" s="89"/>
      <c r="AL335" s="89"/>
      <c r="AM335" s="89"/>
      <c r="AN335" s="89"/>
      <c r="AO335" s="89"/>
      <c r="AP335" s="89"/>
      <c r="AQ335" s="89"/>
      <c r="AR335" s="89"/>
      <c r="AS335" s="89"/>
      <c r="AT335" s="89"/>
      <c r="AU335" s="89"/>
      <c r="AV335" s="89"/>
      <c r="AW335" s="89"/>
      <c r="AX335" s="89"/>
      <c r="AY335" s="62"/>
      <c r="AZ335" s="62"/>
      <c r="BA335" s="62"/>
      <c r="BB335" s="89"/>
      <c r="BC335" s="89"/>
      <c r="BD335" s="89"/>
      <c r="BE335" s="89"/>
      <c r="BF335" s="89"/>
      <c r="BG335" s="89"/>
      <c r="BH335" s="89"/>
      <c r="BI335" s="89"/>
    </row>
    <row r="336" spans="6:102" x14ac:dyDescent="0.25">
      <c r="F336" s="89"/>
      <c r="H336" s="89"/>
      <c r="I336" s="89"/>
      <c r="O336" s="89"/>
      <c r="P336" s="89"/>
      <c r="Q336" s="89"/>
      <c r="R336" s="89"/>
      <c r="S336" s="89"/>
      <c r="T336" s="89"/>
      <c r="U336" s="89"/>
      <c r="V336" s="89"/>
      <c r="W336" s="89"/>
      <c r="X336" s="89"/>
      <c r="Y336" s="89"/>
      <c r="Z336" s="89"/>
      <c r="AA336" s="89"/>
      <c r="AB336" s="89"/>
      <c r="AC336" s="89"/>
      <c r="AD336" s="89"/>
      <c r="AE336" s="89"/>
      <c r="AF336" s="89"/>
      <c r="AG336" s="89"/>
      <c r="AH336" s="89"/>
      <c r="AI336" s="89"/>
      <c r="AJ336" s="89"/>
      <c r="AK336" s="89"/>
      <c r="AL336" s="89"/>
      <c r="AM336" s="89"/>
      <c r="AN336" s="89"/>
      <c r="AO336" s="89"/>
      <c r="AP336" s="89"/>
      <c r="AQ336" s="89"/>
      <c r="AR336" s="89"/>
      <c r="AS336" s="89"/>
      <c r="AT336" s="89"/>
      <c r="AU336" s="89"/>
      <c r="AV336" s="89"/>
      <c r="AW336" s="89"/>
      <c r="AX336" s="89"/>
      <c r="AY336" s="62"/>
      <c r="AZ336" s="62"/>
      <c r="BA336" s="62"/>
      <c r="BB336" s="89"/>
      <c r="BC336" s="89"/>
      <c r="BD336" s="89"/>
      <c r="BE336" s="89"/>
      <c r="BF336" s="89"/>
      <c r="BG336" s="89"/>
      <c r="BH336" s="89"/>
      <c r="BI336" s="89"/>
    </row>
    <row r="337" spans="6:61" x14ac:dyDescent="0.25">
      <c r="F337" s="89"/>
      <c r="H337" s="89"/>
      <c r="I337" s="89"/>
      <c r="O337" s="89"/>
      <c r="P337" s="89"/>
      <c r="Q337" s="89"/>
      <c r="R337" s="89"/>
      <c r="S337" s="89"/>
      <c r="T337" s="89"/>
      <c r="U337" s="89"/>
      <c r="V337" s="89"/>
      <c r="W337" s="89"/>
      <c r="X337" s="89"/>
      <c r="Y337" s="89"/>
      <c r="Z337" s="89"/>
      <c r="AA337" s="89"/>
      <c r="AB337" s="89"/>
      <c r="AC337" s="89"/>
      <c r="AD337" s="89"/>
      <c r="AE337" s="89"/>
      <c r="AF337" s="89"/>
      <c r="AG337" s="89"/>
      <c r="AH337" s="89"/>
      <c r="AI337" s="89"/>
      <c r="AJ337" s="89"/>
      <c r="AK337" s="89"/>
      <c r="AL337" s="89"/>
      <c r="AM337" s="89"/>
      <c r="AN337" s="89"/>
      <c r="AO337" s="89"/>
      <c r="AP337" s="89"/>
      <c r="AQ337" s="89"/>
      <c r="AR337" s="89"/>
      <c r="AS337" s="89"/>
      <c r="AT337" s="89"/>
      <c r="AU337" s="89"/>
      <c r="AV337" s="89"/>
      <c r="AW337" s="89"/>
      <c r="AX337" s="89"/>
      <c r="AY337" s="62"/>
      <c r="AZ337" s="62"/>
      <c r="BA337" s="62"/>
      <c r="BB337" s="89"/>
      <c r="BC337" s="89"/>
      <c r="BD337" s="89"/>
      <c r="BE337" s="89"/>
      <c r="BF337" s="89"/>
      <c r="BG337" s="89"/>
      <c r="BH337" s="89"/>
      <c r="BI337" s="89"/>
    </row>
    <row r="338" spans="6:61" x14ac:dyDescent="0.25">
      <c r="F338" s="89"/>
      <c r="H338" s="89"/>
      <c r="I338" s="89"/>
      <c r="O338" s="89"/>
      <c r="P338" s="89"/>
      <c r="Q338" s="89"/>
      <c r="R338" s="89"/>
      <c r="S338" s="89"/>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62"/>
      <c r="AZ338" s="62"/>
      <c r="BA338" s="62"/>
      <c r="BB338" s="89"/>
      <c r="BC338" s="89"/>
      <c r="BD338" s="89"/>
      <c r="BE338" s="89"/>
      <c r="BF338" s="89"/>
      <c r="BG338" s="89"/>
      <c r="BH338" s="89"/>
      <c r="BI338" s="89"/>
    </row>
    <row r="339" spans="6:61" x14ac:dyDescent="0.25">
      <c r="F339" s="89"/>
      <c r="H339" s="89"/>
      <c r="I339" s="89"/>
      <c r="O339" s="89"/>
      <c r="P339" s="89"/>
      <c r="Q339" s="89"/>
      <c r="R339" s="89"/>
      <c r="S339" s="89"/>
      <c r="T339" s="89"/>
      <c r="U339" s="89"/>
      <c r="V339" s="89"/>
      <c r="W339" s="89"/>
      <c r="X339" s="89"/>
      <c r="Y339" s="89"/>
      <c r="Z339" s="89"/>
      <c r="AA339" s="89"/>
      <c r="AB339" s="89"/>
      <c r="AC339" s="89"/>
      <c r="AD339" s="89"/>
      <c r="AE339" s="89"/>
      <c r="AF339" s="89"/>
      <c r="AG339" s="89"/>
      <c r="AH339" s="89"/>
      <c r="AI339" s="89"/>
      <c r="AJ339" s="89"/>
      <c r="AK339" s="89"/>
      <c r="AL339" s="89"/>
      <c r="AM339" s="89"/>
      <c r="AN339" s="89"/>
      <c r="AO339" s="89"/>
      <c r="AP339" s="89"/>
      <c r="AQ339" s="89"/>
      <c r="AR339" s="89"/>
      <c r="AS339" s="89"/>
      <c r="AT339" s="89"/>
      <c r="AU339" s="89"/>
      <c r="AV339" s="89"/>
      <c r="AW339" s="89"/>
      <c r="AX339" s="89"/>
      <c r="AY339" s="62"/>
      <c r="AZ339" s="62"/>
      <c r="BA339" s="62"/>
      <c r="BB339" s="89"/>
      <c r="BC339" s="89"/>
      <c r="BD339" s="89"/>
      <c r="BE339" s="89"/>
      <c r="BF339" s="89"/>
      <c r="BG339" s="89"/>
      <c r="BH339" s="89"/>
      <c r="BI339" s="89"/>
    </row>
    <row r="340" spans="6:61" x14ac:dyDescent="0.25">
      <c r="F340" s="89"/>
      <c r="H340" s="89"/>
      <c r="I340" s="89"/>
      <c r="O340" s="89"/>
      <c r="P340" s="89"/>
      <c r="Q340" s="89"/>
      <c r="R340" s="89"/>
      <c r="S340" s="89"/>
      <c r="T340" s="89"/>
      <c r="U340" s="89"/>
      <c r="V340" s="89"/>
      <c r="W340" s="89"/>
      <c r="X340" s="89"/>
      <c r="Y340" s="89"/>
      <c r="Z340" s="89"/>
      <c r="AA340" s="89"/>
      <c r="AB340" s="89"/>
      <c r="AC340" s="89"/>
      <c r="AD340" s="89"/>
      <c r="AE340" s="89"/>
      <c r="AF340" s="89"/>
      <c r="AG340" s="89"/>
      <c r="AH340" s="89"/>
      <c r="AI340" s="89"/>
      <c r="AJ340" s="89"/>
      <c r="AK340" s="89"/>
      <c r="AL340" s="89"/>
      <c r="AM340" s="89"/>
      <c r="AN340" s="89"/>
      <c r="AO340" s="89"/>
      <c r="AP340" s="89"/>
      <c r="AQ340" s="89"/>
      <c r="AR340" s="89"/>
      <c r="AS340" s="89"/>
      <c r="AT340" s="89"/>
      <c r="AU340" s="89"/>
      <c r="AV340" s="89"/>
      <c r="AW340" s="89"/>
      <c r="AX340" s="89"/>
      <c r="AY340" s="62"/>
      <c r="AZ340" s="62"/>
      <c r="BA340" s="62"/>
      <c r="BB340" s="89"/>
      <c r="BC340" s="89"/>
      <c r="BD340" s="89"/>
      <c r="BE340" s="89"/>
      <c r="BF340" s="89"/>
      <c r="BG340" s="89"/>
      <c r="BH340" s="89"/>
      <c r="BI340" s="89"/>
    </row>
    <row r="341" spans="6:61" x14ac:dyDescent="0.25">
      <c r="F341" s="89"/>
      <c r="H341" s="89"/>
      <c r="I341" s="89"/>
      <c r="O341" s="89"/>
      <c r="P341" s="89"/>
      <c r="Q341" s="89"/>
      <c r="R341" s="89"/>
      <c r="S341" s="89"/>
      <c r="T341" s="89"/>
      <c r="U341" s="89"/>
      <c r="V341" s="89"/>
      <c r="W341" s="89"/>
      <c r="X341" s="89"/>
      <c r="Y341" s="89"/>
      <c r="Z341" s="89"/>
      <c r="AA341" s="89"/>
      <c r="AB341" s="89"/>
      <c r="AC341" s="89"/>
      <c r="AD341" s="89"/>
      <c r="AE341" s="89"/>
      <c r="AF341" s="89"/>
      <c r="AG341" s="89"/>
      <c r="AH341" s="89"/>
      <c r="AI341" s="89"/>
      <c r="AJ341" s="89"/>
      <c r="AK341" s="89"/>
      <c r="AL341" s="89"/>
      <c r="AM341" s="89"/>
      <c r="AN341" s="89"/>
      <c r="AO341" s="89"/>
      <c r="AP341" s="89"/>
      <c r="AQ341" s="89"/>
      <c r="AR341" s="89"/>
      <c r="AS341" s="89"/>
      <c r="AT341" s="89"/>
      <c r="AU341" s="89"/>
      <c r="AV341" s="89"/>
      <c r="AW341" s="89"/>
      <c r="AX341" s="89"/>
      <c r="AY341" s="62"/>
      <c r="AZ341" s="62"/>
      <c r="BA341" s="62"/>
      <c r="BB341" s="89"/>
      <c r="BC341" s="89"/>
      <c r="BD341" s="89"/>
      <c r="BE341" s="89"/>
      <c r="BF341" s="89"/>
      <c r="BG341" s="89"/>
      <c r="BH341" s="89"/>
      <c r="BI341" s="89"/>
    </row>
    <row r="342" spans="6:61" x14ac:dyDescent="0.25">
      <c r="F342" s="89"/>
      <c r="H342" s="89"/>
      <c r="I342" s="89"/>
      <c r="O342" s="89"/>
      <c r="P342" s="89"/>
      <c r="Q342" s="89"/>
      <c r="R342" s="89"/>
      <c r="S342" s="89"/>
      <c r="T342" s="89"/>
      <c r="U342" s="89"/>
      <c r="V342" s="89"/>
      <c r="W342" s="89"/>
      <c r="X342" s="89"/>
      <c r="Y342" s="89"/>
      <c r="Z342" s="89"/>
      <c r="AA342" s="89"/>
      <c r="AB342" s="89"/>
      <c r="AC342" s="89"/>
      <c r="AD342" s="89"/>
      <c r="AE342" s="89"/>
      <c r="AF342" s="89"/>
      <c r="AG342" s="89"/>
      <c r="AH342" s="89"/>
      <c r="AI342" s="89"/>
      <c r="AJ342" s="89"/>
      <c r="AK342" s="89"/>
      <c r="AL342" s="89"/>
      <c r="AM342" s="89"/>
      <c r="AN342" s="89"/>
      <c r="AO342" s="89"/>
      <c r="AP342" s="89"/>
      <c r="AQ342" s="89"/>
      <c r="AR342" s="89"/>
      <c r="AS342" s="89"/>
      <c r="AT342" s="89"/>
      <c r="AU342" s="89"/>
      <c r="AV342" s="89"/>
      <c r="AW342" s="89"/>
      <c r="AX342" s="89"/>
      <c r="AY342" s="62"/>
      <c r="AZ342" s="62"/>
      <c r="BA342" s="62"/>
      <c r="BB342" s="89"/>
      <c r="BC342" s="89"/>
      <c r="BD342" s="89"/>
      <c r="BE342" s="89"/>
      <c r="BF342" s="89"/>
      <c r="BG342" s="89"/>
      <c r="BH342" s="89"/>
      <c r="BI342" s="89"/>
    </row>
    <row r="343" spans="6:61" x14ac:dyDescent="0.25">
      <c r="F343" s="89"/>
      <c r="H343" s="89"/>
      <c r="I343" s="89"/>
      <c r="O343" s="89"/>
      <c r="P343" s="89"/>
      <c r="Q343" s="89"/>
      <c r="R343" s="89"/>
      <c r="S343" s="89"/>
      <c r="T343" s="89"/>
      <c r="U343" s="89"/>
      <c r="V343" s="89"/>
      <c r="W343" s="89"/>
      <c r="X343" s="89"/>
      <c r="Y343" s="89"/>
      <c r="Z343" s="89"/>
      <c r="AA343" s="89"/>
      <c r="AB343" s="89"/>
      <c r="AC343" s="89"/>
      <c r="AD343" s="89"/>
      <c r="AE343" s="89"/>
      <c r="AF343" s="89"/>
      <c r="AG343" s="89"/>
      <c r="AH343" s="89"/>
      <c r="AI343" s="89"/>
      <c r="AJ343" s="89"/>
      <c r="AK343" s="89"/>
      <c r="AL343" s="89"/>
      <c r="AM343" s="89"/>
      <c r="AN343" s="89"/>
      <c r="AO343" s="89"/>
      <c r="AP343" s="89"/>
      <c r="AQ343" s="89"/>
      <c r="AR343" s="89"/>
      <c r="AS343" s="89"/>
      <c r="AT343" s="89"/>
      <c r="AU343" s="89"/>
      <c r="AV343" s="89"/>
      <c r="AW343" s="89"/>
      <c r="AX343" s="89"/>
      <c r="AY343" s="62"/>
      <c r="AZ343" s="62"/>
      <c r="BA343" s="62"/>
      <c r="BB343" s="89"/>
      <c r="BC343" s="89"/>
      <c r="BD343" s="89"/>
      <c r="BE343" s="89"/>
      <c r="BF343" s="89"/>
      <c r="BG343" s="89"/>
      <c r="BH343" s="89"/>
      <c r="BI343" s="89"/>
    </row>
    <row r="344" spans="6:61" x14ac:dyDescent="0.25">
      <c r="F344" s="89"/>
      <c r="H344" s="89"/>
      <c r="I344" s="89"/>
      <c r="O344" s="89"/>
      <c r="P344" s="89"/>
      <c r="Q344" s="89"/>
      <c r="R344" s="89"/>
      <c r="S344" s="89"/>
      <c r="T344" s="89"/>
      <c r="U344" s="89"/>
      <c r="V344" s="89"/>
      <c r="W344" s="89"/>
      <c r="X344" s="89"/>
      <c r="Y344" s="89"/>
      <c r="Z344" s="89"/>
      <c r="AA344" s="89"/>
      <c r="AB344" s="89"/>
      <c r="AC344" s="89"/>
      <c r="AD344" s="89"/>
      <c r="AE344" s="89"/>
      <c r="AF344" s="89"/>
      <c r="AG344" s="89"/>
      <c r="AH344" s="89"/>
      <c r="AI344" s="89"/>
      <c r="AJ344" s="89"/>
      <c r="AK344" s="89"/>
      <c r="AL344" s="89"/>
      <c r="AM344" s="89"/>
      <c r="AN344" s="89"/>
      <c r="AO344" s="89"/>
      <c r="AP344" s="89"/>
      <c r="AQ344" s="89"/>
      <c r="AR344" s="89"/>
      <c r="AS344" s="89"/>
      <c r="AT344" s="89"/>
      <c r="AU344" s="89"/>
      <c r="AV344" s="89"/>
      <c r="AW344" s="89"/>
      <c r="AX344" s="89"/>
      <c r="AY344" s="62"/>
      <c r="AZ344" s="62"/>
      <c r="BA344" s="62"/>
      <c r="BB344" s="89"/>
      <c r="BC344" s="89"/>
      <c r="BD344" s="89"/>
      <c r="BE344" s="89"/>
      <c r="BF344" s="89"/>
      <c r="BG344" s="89"/>
      <c r="BH344" s="89"/>
      <c r="BI344" s="89"/>
    </row>
    <row r="345" spans="6:61" x14ac:dyDescent="0.25">
      <c r="F345" s="89"/>
      <c r="H345" s="89"/>
      <c r="I345" s="89"/>
      <c r="O345" s="89"/>
      <c r="P345" s="89"/>
      <c r="Q345" s="89"/>
      <c r="R345" s="89"/>
      <c r="S345" s="89"/>
      <c r="T345" s="89"/>
      <c r="U345" s="89"/>
      <c r="V345" s="89"/>
      <c r="W345" s="89"/>
      <c r="X345" s="89"/>
      <c r="Y345" s="89"/>
      <c r="Z345" s="89"/>
      <c r="AA345" s="89"/>
      <c r="AB345" s="89"/>
      <c r="AC345" s="89"/>
      <c r="AD345" s="89"/>
      <c r="AE345" s="89"/>
      <c r="AF345" s="89"/>
      <c r="AG345" s="89"/>
      <c r="AH345" s="89"/>
      <c r="AI345" s="89"/>
      <c r="AJ345" s="89"/>
      <c r="AK345" s="89"/>
      <c r="AL345" s="89"/>
      <c r="AM345" s="89"/>
      <c r="AN345" s="89"/>
      <c r="AO345" s="89"/>
      <c r="AP345" s="89"/>
      <c r="AQ345" s="89"/>
      <c r="AR345" s="89"/>
      <c r="AS345" s="89"/>
      <c r="AT345" s="89"/>
      <c r="AU345" s="89"/>
      <c r="AV345" s="89"/>
      <c r="AW345" s="89"/>
      <c r="AX345" s="89"/>
      <c r="AY345" s="62"/>
      <c r="AZ345" s="62"/>
      <c r="BA345" s="62"/>
      <c r="BB345" s="89"/>
      <c r="BC345" s="89"/>
      <c r="BD345" s="89"/>
      <c r="BE345" s="89"/>
      <c r="BF345" s="89"/>
      <c r="BG345" s="89"/>
      <c r="BH345" s="89"/>
      <c r="BI345" s="89"/>
    </row>
    <row r="346" spans="6:61" x14ac:dyDescent="0.25">
      <c r="F346" s="89"/>
      <c r="H346" s="89"/>
      <c r="I346" s="89"/>
      <c r="O346" s="89"/>
      <c r="P346" s="89"/>
      <c r="Q346" s="89"/>
      <c r="R346" s="89"/>
      <c r="S346" s="89"/>
      <c r="T346" s="89"/>
      <c r="U346" s="89"/>
      <c r="V346" s="89"/>
      <c r="W346" s="89"/>
      <c r="X346" s="89"/>
      <c r="Y346" s="89"/>
      <c r="Z346" s="89"/>
      <c r="AA346" s="89"/>
      <c r="AB346" s="89"/>
      <c r="AC346" s="89"/>
      <c r="AD346" s="89"/>
      <c r="AE346" s="89"/>
      <c r="AF346" s="89"/>
      <c r="AG346" s="89"/>
      <c r="AH346" s="89"/>
      <c r="AI346" s="89"/>
      <c r="AJ346" s="89"/>
      <c r="AK346" s="89"/>
      <c r="AL346" s="89"/>
      <c r="AM346" s="89"/>
      <c r="AN346" s="89"/>
      <c r="AO346" s="89"/>
      <c r="AP346" s="89"/>
      <c r="AQ346" s="89"/>
      <c r="AR346" s="89"/>
      <c r="AS346" s="89"/>
      <c r="AT346" s="89"/>
      <c r="AU346" s="89"/>
      <c r="AV346" s="89"/>
      <c r="AW346" s="89"/>
      <c r="AX346" s="89"/>
      <c r="AY346" s="62"/>
      <c r="AZ346" s="62"/>
      <c r="BA346" s="62"/>
      <c r="BB346" s="89"/>
      <c r="BC346" s="89"/>
      <c r="BD346" s="89"/>
      <c r="BE346" s="89"/>
      <c r="BF346" s="89"/>
      <c r="BG346" s="89"/>
      <c r="BH346" s="89"/>
      <c r="BI346" s="89"/>
    </row>
    <row r="347" spans="6:61" x14ac:dyDescent="0.25">
      <c r="F347" s="89"/>
      <c r="H347" s="89"/>
      <c r="I347" s="89"/>
      <c r="O347" s="89"/>
      <c r="P347" s="89"/>
      <c r="Q347" s="89"/>
      <c r="R347" s="89"/>
      <c r="S347" s="89"/>
      <c r="T347" s="89"/>
      <c r="U347" s="89"/>
      <c r="V347" s="89"/>
      <c r="W347" s="89"/>
      <c r="X347" s="89"/>
      <c r="Y347" s="89"/>
      <c r="Z347" s="89"/>
      <c r="AA347" s="89"/>
      <c r="AB347" s="89"/>
      <c r="AC347" s="89"/>
      <c r="AD347" s="89"/>
      <c r="AE347" s="89"/>
      <c r="AF347" s="89"/>
      <c r="AG347" s="89"/>
      <c r="AH347" s="89"/>
      <c r="AI347" s="89"/>
      <c r="AJ347" s="89"/>
      <c r="AK347" s="89"/>
      <c r="AL347" s="89"/>
      <c r="AM347" s="89"/>
      <c r="AN347" s="89"/>
      <c r="AO347" s="89"/>
      <c r="AP347" s="89"/>
      <c r="AQ347" s="89"/>
      <c r="AR347" s="89"/>
      <c r="AS347" s="89"/>
      <c r="AT347" s="89"/>
      <c r="AU347" s="89"/>
      <c r="AV347" s="89"/>
      <c r="AW347" s="89"/>
      <c r="AX347" s="89"/>
      <c r="AY347" s="62"/>
      <c r="AZ347" s="62"/>
      <c r="BA347" s="62"/>
      <c r="BB347" s="89"/>
      <c r="BC347" s="89"/>
      <c r="BD347" s="89"/>
      <c r="BE347" s="89"/>
      <c r="BF347" s="89"/>
      <c r="BG347" s="89"/>
      <c r="BH347" s="89"/>
      <c r="BI347" s="89"/>
    </row>
    <row r="348" spans="6:61" x14ac:dyDescent="0.25">
      <c r="F348" s="89"/>
      <c r="H348" s="89"/>
      <c r="I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62"/>
      <c r="AZ348" s="62"/>
      <c r="BA348" s="62"/>
      <c r="BB348" s="89"/>
      <c r="BC348" s="89"/>
      <c r="BD348" s="89"/>
      <c r="BE348" s="89"/>
      <c r="BF348" s="89"/>
      <c r="BG348" s="89"/>
      <c r="BH348" s="89"/>
      <c r="BI348" s="89"/>
    </row>
    <row r="349" spans="6:61" x14ac:dyDescent="0.25">
      <c r="F349" s="89"/>
      <c r="H349" s="89"/>
      <c r="I349" s="89"/>
      <c r="O349" s="89"/>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62"/>
      <c r="AZ349" s="62"/>
      <c r="BA349" s="62"/>
      <c r="BB349" s="89"/>
      <c r="BC349" s="89"/>
      <c r="BD349" s="89"/>
      <c r="BE349" s="89"/>
      <c r="BF349" s="89"/>
      <c r="BG349" s="89"/>
      <c r="BH349" s="89"/>
      <c r="BI349" s="89"/>
    </row>
    <row r="350" spans="6:61" x14ac:dyDescent="0.25">
      <c r="F350" s="89"/>
      <c r="H350" s="89"/>
      <c r="I350" s="89"/>
      <c r="O350" s="89"/>
      <c r="P350" s="89"/>
      <c r="Q350" s="89"/>
      <c r="R350" s="89"/>
      <c r="S350" s="89"/>
      <c r="T350" s="89"/>
      <c r="U350" s="89"/>
      <c r="V350" s="89"/>
      <c r="W350" s="89"/>
      <c r="X350" s="89"/>
      <c r="Y350" s="89"/>
      <c r="Z350" s="89"/>
      <c r="AA350" s="89"/>
      <c r="AB350" s="89"/>
      <c r="AC350" s="89"/>
      <c r="AD350" s="89"/>
      <c r="AE350" s="89"/>
      <c r="AF350" s="89"/>
      <c r="AG350" s="89"/>
      <c r="AH350" s="89"/>
      <c r="AI350" s="89"/>
      <c r="AJ350" s="89"/>
      <c r="AK350" s="89"/>
      <c r="AL350" s="89"/>
      <c r="AM350" s="89"/>
      <c r="AN350" s="89"/>
      <c r="AO350" s="89"/>
      <c r="AP350" s="89"/>
      <c r="AQ350" s="89"/>
      <c r="AR350" s="89"/>
      <c r="AS350" s="89"/>
      <c r="AT350" s="89"/>
      <c r="AU350" s="89"/>
      <c r="AV350" s="89"/>
      <c r="AW350" s="89"/>
      <c r="AX350" s="89"/>
      <c r="AY350" s="62"/>
      <c r="AZ350" s="62"/>
      <c r="BA350" s="62"/>
      <c r="BB350" s="89"/>
      <c r="BC350" s="89"/>
      <c r="BD350" s="89"/>
      <c r="BE350" s="89"/>
      <c r="BF350" s="89"/>
      <c r="BG350" s="89"/>
      <c r="BH350" s="89"/>
      <c r="BI350" s="89"/>
    </row>
    <row r="351" spans="6:61" x14ac:dyDescent="0.25">
      <c r="F351" s="89"/>
      <c r="H351" s="89"/>
      <c r="I351" s="89"/>
      <c r="O351" s="89"/>
      <c r="P351" s="89"/>
      <c r="Q351" s="89"/>
      <c r="R351" s="89"/>
      <c r="S351" s="89"/>
      <c r="T351" s="89"/>
      <c r="U351" s="89"/>
      <c r="V351" s="89"/>
      <c r="W351" s="89"/>
      <c r="X351" s="89"/>
      <c r="Y351" s="89"/>
      <c r="Z351" s="89"/>
      <c r="AA351" s="89"/>
      <c r="AB351" s="89"/>
      <c r="AC351" s="89"/>
      <c r="AD351" s="89"/>
      <c r="AE351" s="89"/>
      <c r="AF351" s="89"/>
      <c r="AG351" s="89"/>
      <c r="AH351" s="89"/>
      <c r="AI351" s="89"/>
      <c r="AJ351" s="89"/>
      <c r="AK351" s="89"/>
      <c r="AL351" s="89"/>
      <c r="AM351" s="89"/>
      <c r="AN351" s="89"/>
      <c r="AO351" s="89"/>
      <c r="AP351" s="89"/>
      <c r="AQ351" s="89"/>
      <c r="AR351" s="89"/>
      <c r="AS351" s="89"/>
      <c r="AT351" s="89"/>
      <c r="AU351" s="89"/>
      <c r="AV351" s="89"/>
      <c r="AW351" s="89"/>
      <c r="AX351" s="89"/>
      <c r="AY351" s="62"/>
      <c r="AZ351" s="62"/>
      <c r="BA351" s="62"/>
      <c r="BB351" s="89"/>
      <c r="BC351" s="89"/>
      <c r="BD351" s="89"/>
      <c r="BE351" s="89"/>
      <c r="BF351" s="89"/>
      <c r="BG351" s="89"/>
      <c r="BH351" s="89"/>
      <c r="BI351" s="89"/>
    </row>
    <row r="352" spans="6:61" x14ac:dyDescent="0.25">
      <c r="F352" s="89"/>
      <c r="H352" s="89"/>
      <c r="I352" s="89"/>
      <c r="O352" s="89"/>
      <c r="P352" s="89"/>
      <c r="Q352" s="89"/>
      <c r="R352" s="89"/>
      <c r="S352" s="89"/>
      <c r="T352" s="89"/>
      <c r="U352" s="89"/>
      <c r="V352" s="89"/>
      <c r="W352" s="89"/>
      <c r="X352" s="89"/>
      <c r="Y352" s="89"/>
      <c r="Z352" s="89"/>
      <c r="AA352" s="89"/>
      <c r="AB352" s="89"/>
      <c r="AC352" s="89"/>
      <c r="AD352" s="89"/>
      <c r="AE352" s="89"/>
      <c r="AF352" s="89"/>
      <c r="AG352" s="89"/>
      <c r="AH352" s="89"/>
      <c r="AI352" s="89"/>
      <c r="AJ352" s="89"/>
      <c r="AK352" s="89"/>
      <c r="AL352" s="89"/>
      <c r="AM352" s="89"/>
      <c r="AN352" s="89"/>
      <c r="AO352" s="89"/>
      <c r="AP352" s="89"/>
      <c r="AQ352" s="89"/>
      <c r="AR352" s="89"/>
      <c r="AS352" s="89"/>
      <c r="AT352" s="89"/>
      <c r="AU352" s="89"/>
      <c r="AV352" s="89"/>
      <c r="AW352" s="89"/>
      <c r="AX352" s="89"/>
      <c r="AY352" s="62"/>
      <c r="AZ352" s="62"/>
      <c r="BA352" s="62"/>
      <c r="BB352" s="89"/>
      <c r="BC352" s="89"/>
      <c r="BD352" s="89"/>
      <c r="BE352" s="89"/>
      <c r="BF352" s="89"/>
      <c r="BG352" s="89"/>
      <c r="BH352" s="89"/>
      <c r="BI352" s="89"/>
    </row>
    <row r="353" spans="6:61" x14ac:dyDescent="0.25">
      <c r="F353" s="89"/>
      <c r="H353" s="89"/>
      <c r="I353" s="89"/>
      <c r="O353" s="89"/>
      <c r="P353" s="89"/>
      <c r="Q353" s="89"/>
      <c r="R353" s="89"/>
      <c r="S353" s="89"/>
      <c r="T353" s="89"/>
      <c r="U353" s="89"/>
      <c r="V353" s="89"/>
      <c r="W353" s="89"/>
      <c r="X353" s="89"/>
      <c r="Y353" s="89"/>
      <c r="Z353" s="89"/>
      <c r="AA353" s="89"/>
      <c r="AB353" s="89"/>
      <c r="AC353" s="89"/>
      <c r="AD353" s="89"/>
      <c r="AE353" s="89"/>
      <c r="AF353" s="89"/>
      <c r="AG353" s="89"/>
      <c r="AH353" s="89"/>
      <c r="AI353" s="89"/>
      <c r="AJ353" s="89"/>
      <c r="AK353" s="89"/>
      <c r="AL353" s="89"/>
      <c r="AM353" s="89"/>
      <c r="AN353" s="89"/>
      <c r="AO353" s="89"/>
      <c r="AP353" s="89"/>
      <c r="AQ353" s="89"/>
      <c r="AR353" s="89"/>
      <c r="AS353" s="89"/>
      <c r="AT353" s="89"/>
      <c r="AU353" s="89"/>
      <c r="AV353" s="89"/>
      <c r="AW353" s="89"/>
      <c r="AX353" s="89"/>
      <c r="AY353" s="62"/>
      <c r="AZ353" s="62"/>
      <c r="BA353" s="62"/>
      <c r="BB353" s="89"/>
      <c r="BC353" s="89"/>
      <c r="BD353" s="89"/>
      <c r="BE353" s="89"/>
      <c r="BF353" s="89"/>
      <c r="BG353" s="89"/>
      <c r="BH353" s="89"/>
      <c r="BI353" s="89"/>
    </row>
    <row r="354" spans="6:61" x14ac:dyDescent="0.25">
      <c r="F354" s="89"/>
      <c r="H354" s="89"/>
      <c r="I354" s="89"/>
      <c r="O354" s="89"/>
      <c r="P354" s="89"/>
      <c r="Q354" s="89"/>
      <c r="R354" s="89"/>
      <c r="S354" s="89"/>
      <c r="T354" s="89"/>
      <c r="U354" s="89"/>
      <c r="V354" s="89"/>
      <c r="W354" s="89"/>
      <c r="X354" s="89"/>
      <c r="Y354" s="89"/>
      <c r="Z354" s="89"/>
      <c r="AA354" s="89"/>
      <c r="AB354" s="89"/>
      <c r="AC354" s="89"/>
      <c r="AD354" s="89"/>
      <c r="AE354" s="89"/>
      <c r="AF354" s="89"/>
      <c r="AG354" s="89"/>
      <c r="AH354" s="89"/>
      <c r="AI354" s="89"/>
      <c r="AJ354" s="89"/>
      <c r="AK354" s="89"/>
      <c r="AL354" s="89"/>
      <c r="AM354" s="89"/>
      <c r="AN354" s="89"/>
      <c r="AO354" s="89"/>
      <c r="AP354" s="89"/>
      <c r="AQ354" s="89"/>
      <c r="AR354" s="89"/>
      <c r="AS354" s="89"/>
      <c r="AT354" s="89"/>
      <c r="AU354" s="89"/>
      <c r="AV354" s="89"/>
      <c r="AW354" s="89"/>
      <c r="AX354" s="89"/>
      <c r="AY354" s="62"/>
      <c r="AZ354" s="62"/>
      <c r="BA354" s="62"/>
      <c r="BB354" s="89"/>
      <c r="BC354" s="89"/>
      <c r="BD354" s="89"/>
      <c r="BE354" s="89"/>
      <c r="BF354" s="89"/>
      <c r="BG354" s="89"/>
      <c r="BH354" s="89"/>
      <c r="BI354" s="89"/>
    </row>
    <row r="355" spans="6:61" x14ac:dyDescent="0.25">
      <c r="F355" s="89"/>
      <c r="H355" s="89"/>
      <c r="I355" s="89"/>
      <c r="O355" s="89"/>
      <c r="P355" s="89"/>
      <c r="Q355" s="89"/>
      <c r="R355" s="89"/>
      <c r="S355" s="89"/>
      <c r="T355" s="89"/>
      <c r="U355" s="89"/>
      <c r="V355" s="89"/>
      <c r="W355" s="89"/>
      <c r="X355" s="89"/>
      <c r="Y355" s="89"/>
      <c r="Z355" s="89"/>
      <c r="AA355" s="89"/>
      <c r="AB355" s="89"/>
      <c r="AC355" s="89"/>
      <c r="AD355" s="89"/>
      <c r="AE355" s="89"/>
      <c r="AF355" s="89"/>
      <c r="AG355" s="89"/>
      <c r="AH355" s="89"/>
      <c r="AI355" s="89"/>
      <c r="AJ355" s="89"/>
      <c r="AK355" s="89"/>
      <c r="AL355" s="89"/>
      <c r="AM355" s="89"/>
      <c r="AN355" s="89"/>
      <c r="AO355" s="89"/>
      <c r="AP355" s="89"/>
      <c r="AQ355" s="89"/>
      <c r="AR355" s="89"/>
      <c r="AS355" s="89"/>
      <c r="AT355" s="89"/>
      <c r="AU355" s="89"/>
      <c r="AV355" s="89"/>
      <c r="AW355" s="89"/>
      <c r="AX355" s="89"/>
      <c r="AY355" s="62"/>
      <c r="AZ355" s="62"/>
      <c r="BA355" s="62"/>
      <c r="BB355" s="89"/>
      <c r="BC355" s="89"/>
      <c r="BD355" s="89"/>
      <c r="BE355" s="89"/>
      <c r="BF355" s="89"/>
      <c r="BG355" s="89"/>
      <c r="BH355" s="89"/>
      <c r="BI355" s="89"/>
    </row>
    <row r="356" spans="6:61" x14ac:dyDescent="0.25">
      <c r="F356" s="89"/>
      <c r="H356" s="89"/>
      <c r="I356" s="89"/>
      <c r="O356" s="89"/>
      <c r="P356" s="89"/>
      <c r="Q356" s="89"/>
      <c r="R356" s="89"/>
      <c r="S356" s="89"/>
      <c r="T356" s="89"/>
      <c r="U356" s="89"/>
      <c r="V356" s="89"/>
      <c r="W356" s="89"/>
      <c r="X356" s="89"/>
      <c r="Y356" s="89"/>
      <c r="Z356" s="89"/>
      <c r="AA356" s="89"/>
      <c r="AB356" s="89"/>
      <c r="AC356" s="89"/>
      <c r="AD356" s="89"/>
      <c r="AE356" s="89"/>
      <c r="AF356" s="89"/>
      <c r="AG356" s="89"/>
      <c r="AH356" s="89"/>
      <c r="AI356" s="89"/>
      <c r="AJ356" s="89"/>
      <c r="AK356" s="89"/>
      <c r="AL356" s="89"/>
      <c r="AM356" s="89"/>
      <c r="AN356" s="89"/>
      <c r="AO356" s="89"/>
      <c r="AP356" s="89"/>
      <c r="AQ356" s="89"/>
      <c r="AR356" s="89"/>
      <c r="AS356" s="89"/>
      <c r="AT356" s="89"/>
      <c r="AU356" s="89"/>
      <c r="AV356" s="89"/>
      <c r="AW356" s="89"/>
      <c r="AX356" s="89"/>
      <c r="AY356" s="62"/>
      <c r="AZ356" s="62"/>
      <c r="BA356" s="62"/>
      <c r="BB356" s="89"/>
      <c r="BC356" s="89"/>
      <c r="BD356" s="89"/>
      <c r="BE356" s="89"/>
      <c r="BF356" s="89"/>
      <c r="BG356" s="89"/>
      <c r="BH356" s="89"/>
      <c r="BI356" s="89"/>
    </row>
    <row r="357" spans="6:61" x14ac:dyDescent="0.25">
      <c r="F357" s="89"/>
      <c r="H357" s="89"/>
      <c r="I357" s="89"/>
      <c r="O357" s="89"/>
      <c r="P357" s="89"/>
      <c r="Q357" s="89"/>
      <c r="R357" s="89"/>
      <c r="S357" s="89"/>
      <c r="T357" s="89"/>
      <c r="U357" s="89"/>
      <c r="V357" s="89"/>
      <c r="W357" s="89"/>
      <c r="X357" s="89"/>
      <c r="Y357" s="89"/>
      <c r="Z357" s="89"/>
      <c r="AA357" s="89"/>
      <c r="AB357" s="89"/>
      <c r="AC357" s="89"/>
      <c r="AD357" s="89"/>
      <c r="AE357" s="89"/>
      <c r="AF357" s="89"/>
      <c r="AG357" s="89"/>
      <c r="AH357" s="89"/>
      <c r="AI357" s="89"/>
      <c r="AJ357" s="89"/>
      <c r="AK357" s="89"/>
      <c r="AL357" s="89"/>
      <c r="AM357" s="89"/>
      <c r="AN357" s="89"/>
      <c r="AO357" s="89"/>
      <c r="AP357" s="89"/>
      <c r="AQ357" s="89"/>
      <c r="AR357" s="89"/>
      <c r="AS357" s="89"/>
      <c r="AT357" s="89"/>
      <c r="AU357" s="89"/>
      <c r="AV357" s="89"/>
      <c r="AW357" s="89"/>
      <c r="AX357" s="89"/>
      <c r="AY357" s="62"/>
      <c r="AZ357" s="62"/>
      <c r="BA357" s="62"/>
      <c r="BB357" s="89"/>
      <c r="BC357" s="89"/>
      <c r="BD357" s="89"/>
      <c r="BE357" s="89"/>
      <c r="BF357" s="89"/>
      <c r="BG357" s="89"/>
      <c r="BH357" s="89"/>
      <c r="BI357" s="89"/>
    </row>
    <row r="358" spans="6:61" x14ac:dyDescent="0.25">
      <c r="F358" s="89"/>
      <c r="H358" s="89"/>
      <c r="I358" s="89"/>
      <c r="O358" s="89"/>
      <c r="P358" s="89"/>
      <c r="Q358" s="89"/>
      <c r="R358" s="89"/>
      <c r="S358" s="89"/>
      <c r="T358" s="89"/>
      <c r="U358" s="89"/>
      <c r="V358" s="89"/>
      <c r="W358" s="89"/>
      <c r="X358" s="89"/>
      <c r="Y358" s="89"/>
      <c r="Z358" s="89"/>
      <c r="AA358" s="89"/>
      <c r="AB358" s="89"/>
      <c r="AC358" s="89"/>
      <c r="AD358" s="89"/>
      <c r="AE358" s="89"/>
      <c r="AF358" s="89"/>
      <c r="AG358" s="89"/>
      <c r="AH358" s="89"/>
      <c r="AI358" s="89"/>
      <c r="AJ358" s="89"/>
      <c r="AK358" s="89"/>
      <c r="AL358" s="89"/>
      <c r="AM358" s="89"/>
      <c r="AN358" s="89"/>
      <c r="AO358" s="89"/>
      <c r="AP358" s="89"/>
      <c r="AQ358" s="89"/>
      <c r="AR358" s="89"/>
      <c r="AS358" s="89"/>
      <c r="AT358" s="89"/>
      <c r="AU358" s="89"/>
      <c r="AV358" s="89"/>
      <c r="AW358" s="89"/>
      <c r="AX358" s="89"/>
      <c r="AY358" s="62"/>
      <c r="AZ358" s="62"/>
      <c r="BA358" s="62"/>
      <c r="BB358" s="89"/>
      <c r="BC358" s="89"/>
      <c r="BD358" s="89"/>
      <c r="BE358" s="89"/>
      <c r="BF358" s="89"/>
      <c r="BG358" s="89"/>
      <c r="BH358" s="89"/>
      <c r="BI358" s="89"/>
    </row>
    <row r="359" spans="6:61" x14ac:dyDescent="0.25">
      <c r="F359" s="89"/>
      <c r="H359" s="89"/>
      <c r="I359" s="89"/>
      <c r="O359" s="89"/>
      <c r="P359" s="89"/>
      <c r="Q359" s="89"/>
      <c r="R359" s="89"/>
      <c r="S359" s="89"/>
      <c r="T359" s="89"/>
      <c r="U359" s="89"/>
      <c r="V359" s="89"/>
      <c r="W359" s="89"/>
      <c r="X359" s="89"/>
      <c r="Y359" s="89"/>
      <c r="Z359" s="89"/>
      <c r="AA359" s="89"/>
      <c r="AB359" s="89"/>
      <c r="AC359" s="89"/>
      <c r="AD359" s="89"/>
      <c r="AE359" s="89"/>
      <c r="AF359" s="89"/>
      <c r="AG359" s="89"/>
      <c r="AH359" s="89"/>
      <c r="AI359" s="89"/>
      <c r="AJ359" s="89"/>
      <c r="AK359" s="89"/>
      <c r="AL359" s="89"/>
      <c r="AM359" s="89"/>
      <c r="AN359" s="89"/>
      <c r="AO359" s="89"/>
      <c r="AP359" s="89"/>
      <c r="AQ359" s="89"/>
      <c r="AR359" s="89"/>
      <c r="AS359" s="89"/>
      <c r="AT359" s="89"/>
      <c r="AU359" s="89"/>
      <c r="AV359" s="89"/>
      <c r="AW359" s="89"/>
      <c r="AX359" s="89"/>
      <c r="AY359" s="62"/>
      <c r="AZ359" s="62"/>
      <c r="BA359" s="62"/>
      <c r="BB359" s="89"/>
      <c r="BC359" s="89"/>
      <c r="BD359" s="89"/>
      <c r="BE359" s="89"/>
      <c r="BF359" s="89"/>
      <c r="BG359" s="89"/>
      <c r="BH359" s="89"/>
      <c r="BI359" s="89"/>
    </row>
    <row r="360" spans="6:61" x14ac:dyDescent="0.25">
      <c r="F360" s="89"/>
      <c r="H360" s="89"/>
      <c r="I360" s="89"/>
      <c r="O360" s="89"/>
      <c r="P360" s="89"/>
      <c r="Q360" s="89"/>
      <c r="R360" s="89"/>
      <c r="S360" s="89"/>
      <c r="T360" s="89"/>
      <c r="U360" s="89"/>
      <c r="V360" s="89"/>
      <c r="W360" s="89"/>
      <c r="X360" s="89"/>
      <c r="Y360" s="89"/>
      <c r="Z360" s="89"/>
      <c r="AA360" s="89"/>
      <c r="AB360" s="89"/>
      <c r="AC360" s="89"/>
      <c r="AD360" s="89"/>
      <c r="AE360" s="89"/>
      <c r="AF360" s="89"/>
      <c r="AG360" s="89"/>
      <c r="AH360" s="89"/>
      <c r="AI360" s="89"/>
      <c r="AJ360" s="89"/>
      <c r="AK360" s="89"/>
      <c r="AL360" s="89"/>
      <c r="AM360" s="89"/>
      <c r="AN360" s="89"/>
      <c r="AO360" s="89"/>
      <c r="AP360" s="89"/>
      <c r="AQ360" s="89"/>
      <c r="AR360" s="89"/>
      <c r="AS360" s="89"/>
      <c r="AT360" s="89"/>
      <c r="AU360" s="89"/>
      <c r="AV360" s="89"/>
      <c r="AW360" s="89"/>
      <c r="AX360" s="89"/>
      <c r="AY360" s="62"/>
      <c r="AZ360" s="62"/>
      <c r="BA360" s="62"/>
      <c r="BB360" s="89"/>
      <c r="BC360" s="89"/>
      <c r="BD360" s="89"/>
      <c r="BE360" s="89"/>
      <c r="BF360" s="89"/>
      <c r="BG360" s="89"/>
      <c r="BH360" s="89"/>
      <c r="BI360" s="89"/>
    </row>
    <row r="361" spans="6:61" x14ac:dyDescent="0.25">
      <c r="F361" s="89"/>
      <c r="H361" s="89"/>
      <c r="I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62"/>
      <c r="AZ361" s="62"/>
      <c r="BA361" s="62"/>
      <c r="BB361" s="89"/>
      <c r="BC361" s="89"/>
      <c r="BD361" s="89"/>
      <c r="BE361" s="89"/>
      <c r="BF361" s="89"/>
      <c r="BG361" s="89"/>
      <c r="BH361" s="89"/>
      <c r="BI361" s="89"/>
    </row>
    <row r="362" spans="6:61" x14ac:dyDescent="0.25">
      <c r="F362" s="89"/>
      <c r="H362" s="89"/>
      <c r="I362" s="89"/>
      <c r="O362" s="89"/>
      <c r="P362" s="89"/>
      <c r="Q362" s="89"/>
      <c r="R362" s="89"/>
      <c r="S362" s="89"/>
      <c r="T362" s="89"/>
      <c r="U362" s="89"/>
      <c r="V362" s="89"/>
      <c r="W362" s="89"/>
      <c r="X362" s="89"/>
      <c r="Y362" s="89"/>
      <c r="Z362" s="89"/>
      <c r="AA362" s="89"/>
      <c r="AB362" s="89"/>
      <c r="AC362" s="89"/>
      <c r="AD362" s="89"/>
      <c r="AE362" s="89"/>
      <c r="AF362" s="89"/>
      <c r="AG362" s="89"/>
      <c r="AH362" s="89"/>
      <c r="AI362" s="89"/>
      <c r="AJ362" s="89"/>
      <c r="AK362" s="89"/>
      <c r="AL362" s="89"/>
      <c r="AM362" s="89"/>
      <c r="AN362" s="89"/>
      <c r="AO362" s="89"/>
      <c r="AP362" s="89"/>
      <c r="AQ362" s="89"/>
      <c r="AR362" s="89"/>
      <c r="AS362" s="89"/>
      <c r="AT362" s="89"/>
      <c r="AU362" s="89"/>
      <c r="AV362" s="89"/>
      <c r="AW362" s="89"/>
      <c r="AX362" s="89"/>
      <c r="AY362" s="62"/>
      <c r="AZ362" s="62"/>
      <c r="BA362" s="62"/>
      <c r="BB362" s="89"/>
      <c r="BC362" s="89"/>
      <c r="BD362" s="89"/>
      <c r="BE362" s="89"/>
      <c r="BF362" s="89"/>
      <c r="BG362" s="89"/>
      <c r="BH362" s="89"/>
      <c r="BI362" s="89"/>
    </row>
    <row r="363" spans="6:61" x14ac:dyDescent="0.25">
      <c r="F363" s="89"/>
      <c r="H363" s="89"/>
      <c r="I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62"/>
      <c r="AZ363" s="62"/>
      <c r="BA363" s="62"/>
      <c r="BB363" s="89"/>
      <c r="BC363" s="89"/>
      <c r="BD363" s="89"/>
      <c r="BE363" s="89"/>
      <c r="BF363" s="89"/>
      <c r="BG363" s="89"/>
      <c r="BH363" s="89"/>
      <c r="BI363" s="89"/>
    </row>
    <row r="364" spans="6:61" x14ac:dyDescent="0.25">
      <c r="F364" s="89"/>
      <c r="H364" s="89"/>
      <c r="I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62"/>
      <c r="AZ364" s="62"/>
      <c r="BA364" s="62"/>
      <c r="BB364" s="89"/>
      <c r="BC364" s="89"/>
      <c r="BD364" s="89"/>
      <c r="BE364" s="89"/>
      <c r="BF364" s="89"/>
      <c r="BG364" s="89"/>
      <c r="BH364" s="89"/>
      <c r="BI364" s="89"/>
    </row>
    <row r="365" spans="6:61" x14ac:dyDescent="0.25">
      <c r="F365" s="89"/>
      <c r="H365" s="89"/>
      <c r="I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62"/>
      <c r="AZ365" s="62"/>
      <c r="BA365" s="62"/>
      <c r="BB365" s="89"/>
      <c r="BC365" s="89"/>
      <c r="BD365" s="89"/>
      <c r="BE365" s="89"/>
      <c r="BF365" s="89"/>
      <c r="BG365" s="89"/>
      <c r="BH365" s="89"/>
      <c r="BI365" s="89"/>
    </row>
    <row r="366" spans="6:61" x14ac:dyDescent="0.25">
      <c r="F366" s="89"/>
      <c r="H366" s="89"/>
      <c r="I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62"/>
      <c r="AZ366" s="62"/>
      <c r="BA366" s="62"/>
      <c r="BB366" s="89"/>
      <c r="BC366" s="89"/>
      <c r="BD366" s="89"/>
      <c r="BE366" s="89"/>
      <c r="BF366" s="89"/>
      <c r="BG366" s="89"/>
      <c r="BH366" s="89"/>
      <c r="BI366" s="89"/>
    </row>
    <row r="367" spans="6:61" x14ac:dyDescent="0.25">
      <c r="F367" s="89"/>
      <c r="H367" s="89"/>
      <c r="I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62"/>
      <c r="AZ367" s="62"/>
      <c r="BA367" s="62"/>
      <c r="BB367" s="89"/>
      <c r="BC367" s="89"/>
      <c r="BD367" s="89"/>
      <c r="BE367" s="89"/>
      <c r="BF367" s="89"/>
      <c r="BG367" s="89"/>
      <c r="BH367" s="89"/>
      <c r="BI367" s="89"/>
    </row>
    <row r="368" spans="6:61" x14ac:dyDescent="0.25">
      <c r="F368" s="89"/>
      <c r="H368" s="89"/>
      <c r="I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62"/>
      <c r="AZ368" s="62"/>
      <c r="BA368" s="62"/>
      <c r="BB368" s="89"/>
      <c r="BC368" s="89"/>
      <c r="BD368" s="89"/>
      <c r="BE368" s="89"/>
      <c r="BF368" s="89"/>
      <c r="BG368" s="89"/>
      <c r="BH368" s="89"/>
      <c r="BI368" s="89"/>
    </row>
    <row r="369" spans="6:61" x14ac:dyDescent="0.25">
      <c r="F369" s="89"/>
      <c r="H369" s="89"/>
      <c r="I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62"/>
      <c r="AZ369" s="62"/>
      <c r="BA369" s="62"/>
      <c r="BB369" s="89"/>
      <c r="BC369" s="89"/>
      <c r="BD369" s="89"/>
      <c r="BE369" s="89"/>
      <c r="BF369" s="89"/>
      <c r="BG369" s="89"/>
      <c r="BH369" s="89"/>
      <c r="BI369" s="89"/>
    </row>
    <row r="370" spans="6:61" x14ac:dyDescent="0.25">
      <c r="F370" s="89"/>
      <c r="H370" s="89"/>
      <c r="I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62"/>
      <c r="AZ370" s="62"/>
      <c r="BA370" s="62"/>
      <c r="BB370" s="89"/>
      <c r="BC370" s="89"/>
      <c r="BD370" s="89"/>
      <c r="BE370" s="89"/>
      <c r="BF370" s="89"/>
      <c r="BG370" s="89"/>
      <c r="BH370" s="89"/>
      <c r="BI370" s="89"/>
    </row>
    <row r="371" spans="6:61" x14ac:dyDescent="0.25">
      <c r="F371" s="89"/>
      <c r="H371" s="89"/>
      <c r="I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62"/>
      <c r="AZ371" s="62"/>
      <c r="BA371" s="62"/>
      <c r="BB371" s="89"/>
      <c r="BC371" s="89"/>
      <c r="BD371" s="89"/>
      <c r="BE371" s="89"/>
      <c r="BF371" s="89"/>
      <c r="BG371" s="89"/>
      <c r="BH371" s="89"/>
      <c r="BI371" s="89"/>
    </row>
    <row r="372" spans="6:61" x14ac:dyDescent="0.25">
      <c r="F372" s="89"/>
      <c r="H372" s="89"/>
      <c r="I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62"/>
      <c r="AZ372" s="62"/>
      <c r="BA372" s="62"/>
      <c r="BB372" s="89"/>
      <c r="BC372" s="89"/>
      <c r="BD372" s="89"/>
      <c r="BE372" s="89"/>
      <c r="BF372" s="89"/>
      <c r="BG372" s="89"/>
      <c r="BH372" s="89"/>
      <c r="BI372" s="89"/>
    </row>
    <row r="373" spans="6:61" x14ac:dyDescent="0.25">
      <c r="F373" s="89"/>
      <c r="H373" s="89"/>
      <c r="I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62"/>
      <c r="AZ373" s="62"/>
      <c r="BA373" s="62"/>
      <c r="BB373" s="89"/>
      <c r="BC373" s="89"/>
      <c r="BD373" s="89"/>
      <c r="BE373" s="89"/>
      <c r="BF373" s="89"/>
      <c r="BG373" s="89"/>
      <c r="BH373" s="89"/>
      <c r="BI373" s="89"/>
    </row>
    <row r="374" spans="6:61" x14ac:dyDescent="0.25">
      <c r="F374" s="89"/>
      <c r="H374" s="89"/>
      <c r="I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62"/>
      <c r="AZ374" s="62"/>
      <c r="BA374" s="62"/>
      <c r="BB374" s="89"/>
      <c r="BC374" s="89"/>
      <c r="BD374" s="89"/>
      <c r="BE374" s="89"/>
      <c r="BF374" s="89"/>
      <c r="BG374" s="89"/>
      <c r="BH374" s="89"/>
      <c r="BI374" s="89"/>
    </row>
    <row r="375" spans="6:61" x14ac:dyDescent="0.25">
      <c r="F375" s="89"/>
      <c r="H375" s="89"/>
      <c r="I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62"/>
      <c r="AZ375" s="62"/>
      <c r="BA375" s="62"/>
      <c r="BB375" s="89"/>
      <c r="BC375" s="89"/>
      <c r="BD375" s="89"/>
      <c r="BE375" s="89"/>
      <c r="BF375" s="89"/>
      <c r="BG375" s="89"/>
      <c r="BH375" s="89"/>
      <c r="BI375" s="89"/>
    </row>
    <row r="376" spans="6:61" x14ac:dyDescent="0.25">
      <c r="F376" s="89"/>
      <c r="H376" s="89"/>
      <c r="I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62"/>
      <c r="AZ376" s="62"/>
      <c r="BA376" s="62"/>
      <c r="BB376" s="89"/>
      <c r="BC376" s="89"/>
      <c r="BD376" s="89"/>
      <c r="BE376" s="89"/>
      <c r="BF376" s="89"/>
      <c r="BG376" s="89"/>
      <c r="BH376" s="89"/>
      <c r="BI376" s="89"/>
    </row>
    <row r="377" spans="6:61" x14ac:dyDescent="0.25">
      <c r="F377" s="89"/>
      <c r="H377" s="89"/>
      <c r="I377" s="89"/>
      <c r="AY377" s="62"/>
      <c r="AZ377" s="62"/>
      <c r="BA377" s="62"/>
    </row>
    <row r="378" spans="6:61" x14ac:dyDescent="0.25">
      <c r="F378" s="89"/>
      <c r="H378" s="89"/>
      <c r="I378" s="89"/>
      <c r="AY378" s="62"/>
      <c r="AZ378" s="62"/>
      <c r="BA378" s="62"/>
    </row>
    <row r="379" spans="6:61" x14ac:dyDescent="0.25">
      <c r="F379" s="89"/>
      <c r="H379" s="89"/>
      <c r="I379" s="89"/>
      <c r="AY379" s="62"/>
      <c r="AZ379" s="62"/>
      <c r="BA379" s="62"/>
    </row>
    <row r="380" spans="6:61" x14ac:dyDescent="0.25">
      <c r="F380" s="89"/>
      <c r="H380" s="89"/>
      <c r="I380" s="89"/>
    </row>
    <row r="381" spans="6:61" x14ac:dyDescent="0.25">
      <c r="F381" s="89"/>
      <c r="H381" s="89"/>
      <c r="I381" s="89"/>
    </row>
    <row r="382" spans="6:61" x14ac:dyDescent="0.25">
      <c r="F382" s="89"/>
      <c r="H382" s="89"/>
      <c r="I382" s="89"/>
    </row>
    <row r="383" spans="6:61" x14ac:dyDescent="0.25">
      <c r="F383" s="89"/>
      <c r="H383" s="89"/>
      <c r="I383" s="89"/>
    </row>
    <row r="384" spans="6:61" x14ac:dyDescent="0.25">
      <c r="F384" s="89"/>
      <c r="H384" s="89"/>
      <c r="I384" s="89"/>
    </row>
    <row r="385" spans="6:9" x14ac:dyDescent="0.25">
      <c r="F385" s="89"/>
      <c r="H385" s="89"/>
      <c r="I385" s="89"/>
    </row>
    <row r="386" spans="6:9" x14ac:dyDescent="0.25">
      <c r="F386" s="89"/>
      <c r="H386" s="89"/>
      <c r="I386" s="89"/>
    </row>
    <row r="387" spans="6:9" x14ac:dyDescent="0.25">
      <c r="F387" s="89"/>
      <c r="H387" s="89"/>
      <c r="I387" s="89"/>
    </row>
    <row r="388" spans="6:9" x14ac:dyDescent="0.25">
      <c r="F388" s="89"/>
      <c r="H388" s="89"/>
      <c r="I388" s="89"/>
    </row>
    <row r="389" spans="6:9" x14ac:dyDescent="0.25">
      <c r="F389" s="89"/>
      <c r="H389" s="89"/>
      <c r="I389" s="89"/>
    </row>
    <row r="390" spans="6:9" x14ac:dyDescent="0.25">
      <c r="F390" s="89"/>
      <c r="H390" s="89"/>
      <c r="I390" s="89"/>
    </row>
    <row r="391" spans="6:9" x14ac:dyDescent="0.25">
      <c r="F391" s="89"/>
      <c r="H391" s="89"/>
      <c r="I391" s="89"/>
    </row>
    <row r="392" spans="6:9" x14ac:dyDescent="0.25">
      <c r="F392" s="89"/>
      <c r="H392" s="89"/>
      <c r="I392" s="89"/>
    </row>
    <row r="393" spans="6:9" x14ac:dyDescent="0.25">
      <c r="F393" s="89"/>
      <c r="H393" s="89"/>
      <c r="I393" s="89"/>
    </row>
    <row r="394" spans="6:9" x14ac:dyDescent="0.25">
      <c r="F394" s="89"/>
      <c r="H394" s="89"/>
      <c r="I394" s="89"/>
    </row>
    <row r="395" spans="6:9" x14ac:dyDescent="0.25">
      <c r="F395" s="89"/>
      <c r="H395" s="89"/>
      <c r="I395" s="89"/>
    </row>
    <row r="396" spans="6:9" x14ac:dyDescent="0.25">
      <c r="F396" s="89"/>
      <c r="H396" s="89"/>
      <c r="I396" s="89"/>
    </row>
    <row r="397" spans="6:9" x14ac:dyDescent="0.25">
      <c r="F397" s="89"/>
      <c r="H397" s="89"/>
      <c r="I397" s="89"/>
    </row>
    <row r="398" spans="6:9" x14ac:dyDescent="0.25">
      <c r="F398" s="89"/>
      <c r="H398" s="89"/>
      <c r="I398" s="89"/>
    </row>
    <row r="399" spans="6:9" x14ac:dyDescent="0.25">
      <c r="F399" s="89"/>
      <c r="H399" s="89"/>
      <c r="I399" s="89"/>
    </row>
    <row r="400" spans="6:9" x14ac:dyDescent="0.25">
      <c r="F400" s="89"/>
      <c r="H400" s="89"/>
      <c r="I400" s="89"/>
    </row>
    <row r="401" spans="6:9" x14ac:dyDescent="0.25">
      <c r="F401" s="89"/>
      <c r="H401" s="89"/>
      <c r="I401" s="89"/>
    </row>
    <row r="402" spans="6:9" x14ac:dyDescent="0.25">
      <c r="F402" s="89"/>
      <c r="H402" s="89"/>
      <c r="I402" s="89"/>
    </row>
    <row r="403" spans="6:9" x14ac:dyDescent="0.25">
      <c r="F403" s="89"/>
      <c r="H403" s="89"/>
      <c r="I403" s="89"/>
    </row>
    <row r="404" spans="6:9" x14ac:dyDescent="0.25">
      <c r="F404" s="89"/>
      <c r="H404" s="89"/>
      <c r="I404" s="89"/>
    </row>
    <row r="405" spans="6:9" x14ac:dyDescent="0.25">
      <c r="F405" s="89"/>
      <c r="H405" s="89"/>
      <c r="I405" s="89"/>
    </row>
    <row r="406" spans="6:9" x14ac:dyDescent="0.25">
      <c r="F406" s="89"/>
      <c r="H406" s="89"/>
      <c r="I406" s="89"/>
    </row>
    <row r="407" spans="6:9" x14ac:dyDescent="0.25">
      <c r="F407" s="89"/>
      <c r="H407" s="89"/>
      <c r="I407" s="89"/>
    </row>
    <row r="408" spans="6:9" x14ac:dyDescent="0.25">
      <c r="F408" s="89"/>
      <c r="H408" s="89"/>
      <c r="I408" s="89"/>
    </row>
    <row r="409" spans="6:9" x14ac:dyDescent="0.25">
      <c r="F409" s="89"/>
      <c r="H409" s="89"/>
      <c r="I409" s="89"/>
    </row>
    <row r="410" spans="6:9" x14ac:dyDescent="0.25">
      <c r="F410" s="89"/>
      <c r="H410" s="89"/>
      <c r="I410" s="89"/>
    </row>
    <row r="411" spans="6:9" x14ac:dyDescent="0.25">
      <c r="F411" s="89"/>
      <c r="H411" s="89"/>
      <c r="I411" s="89"/>
    </row>
    <row r="412" spans="6:9" x14ac:dyDescent="0.25">
      <c r="F412" s="89"/>
      <c r="H412" s="89"/>
      <c r="I412" s="89"/>
    </row>
    <row r="413" spans="6:9" x14ac:dyDescent="0.25">
      <c r="F413" s="89"/>
      <c r="H413" s="89"/>
      <c r="I413" s="89"/>
    </row>
    <row r="414" spans="6:9" x14ac:dyDescent="0.25">
      <c r="F414" s="89"/>
      <c r="H414" s="89"/>
      <c r="I414" s="89"/>
    </row>
    <row r="415" spans="6:9" x14ac:dyDescent="0.25">
      <c r="F415" s="89"/>
      <c r="H415" s="89"/>
      <c r="I415" s="89"/>
    </row>
    <row r="416" spans="6:9" x14ac:dyDescent="0.25">
      <c r="F416" s="89"/>
      <c r="H416" s="89"/>
      <c r="I416" s="89"/>
    </row>
    <row r="417" spans="6:9" x14ac:dyDescent="0.25">
      <c r="F417" s="89"/>
      <c r="H417" s="89"/>
      <c r="I417" s="89"/>
    </row>
    <row r="418" spans="6:9" x14ac:dyDescent="0.25">
      <c r="F418" s="89"/>
      <c r="H418" s="89"/>
      <c r="I418" s="89"/>
    </row>
    <row r="419" spans="6:9" x14ac:dyDescent="0.25">
      <c r="F419" s="89"/>
      <c r="H419" s="89"/>
      <c r="I419" s="89"/>
    </row>
    <row r="420" spans="6:9" x14ac:dyDescent="0.25">
      <c r="F420" s="89"/>
      <c r="H420" s="89"/>
      <c r="I420" s="89"/>
    </row>
    <row r="421" spans="6:9" x14ac:dyDescent="0.25">
      <c r="F421" s="89"/>
      <c r="H421" s="89"/>
      <c r="I421" s="89"/>
    </row>
    <row r="422" spans="6:9" x14ac:dyDescent="0.25">
      <c r="F422" s="89"/>
      <c r="H422" s="89"/>
      <c r="I422" s="89"/>
    </row>
    <row r="423" spans="6:9" x14ac:dyDescent="0.25">
      <c r="F423" s="89"/>
      <c r="H423" s="89"/>
      <c r="I423" s="89"/>
    </row>
    <row r="424" spans="6:9" x14ac:dyDescent="0.25">
      <c r="F424" s="89"/>
      <c r="H424" s="89"/>
      <c r="I424" s="89"/>
    </row>
    <row r="425" spans="6:9" x14ac:dyDescent="0.25">
      <c r="F425" s="89"/>
      <c r="H425" s="89"/>
      <c r="I425" s="89"/>
    </row>
    <row r="426" spans="6:9" x14ac:dyDescent="0.25">
      <c r="F426" s="89"/>
      <c r="H426" s="89"/>
      <c r="I426" s="89"/>
    </row>
    <row r="427" spans="6:9" x14ac:dyDescent="0.25">
      <c r="F427" s="89"/>
      <c r="H427" s="89"/>
      <c r="I427" s="89"/>
    </row>
    <row r="428" spans="6:9" x14ac:dyDescent="0.25">
      <c r="F428" s="89"/>
      <c r="H428" s="89"/>
      <c r="I428" s="89"/>
    </row>
    <row r="429" spans="6:9" x14ac:dyDescent="0.25">
      <c r="F429" s="89"/>
      <c r="H429" s="89"/>
      <c r="I429" s="89"/>
    </row>
    <row r="430" spans="6:9" x14ac:dyDescent="0.25">
      <c r="F430" s="89"/>
      <c r="H430" s="89"/>
      <c r="I430" s="89"/>
    </row>
    <row r="431" spans="6:9" x14ac:dyDescent="0.25">
      <c r="F431" s="89"/>
      <c r="H431" s="89"/>
      <c r="I431" s="89"/>
    </row>
    <row r="432" spans="6:9" x14ac:dyDescent="0.25">
      <c r="F432" s="89"/>
      <c r="H432" s="89"/>
      <c r="I432" s="89"/>
    </row>
    <row r="433" spans="6:9" x14ac:dyDescent="0.25">
      <c r="F433" s="89"/>
      <c r="H433" s="89"/>
      <c r="I433" s="89"/>
    </row>
    <row r="434" spans="6:9" x14ac:dyDescent="0.25">
      <c r="F434" s="89"/>
      <c r="H434" s="89"/>
      <c r="I434" s="89"/>
    </row>
    <row r="435" spans="6:9" x14ac:dyDescent="0.25">
      <c r="F435" s="89"/>
      <c r="H435" s="89"/>
      <c r="I435" s="89"/>
    </row>
    <row r="436" spans="6:9" x14ac:dyDescent="0.25">
      <c r="F436" s="89"/>
      <c r="H436" s="89"/>
      <c r="I436" s="89"/>
    </row>
    <row r="437" spans="6:9" x14ac:dyDescent="0.25">
      <c r="F437" s="89"/>
      <c r="H437" s="89"/>
      <c r="I437" s="89"/>
    </row>
    <row r="438" spans="6:9" x14ac:dyDescent="0.25">
      <c r="F438" s="89"/>
      <c r="H438" s="89"/>
      <c r="I438" s="89"/>
    </row>
    <row r="439" spans="6:9" x14ac:dyDescent="0.25">
      <c r="F439" s="89"/>
      <c r="H439" s="89"/>
      <c r="I439" s="89"/>
    </row>
    <row r="440" spans="6:9" x14ac:dyDescent="0.25">
      <c r="F440" s="89"/>
      <c r="H440" s="89"/>
      <c r="I440" s="89"/>
    </row>
    <row r="441" spans="6:9" x14ac:dyDescent="0.25">
      <c r="F441" s="89"/>
      <c r="H441" s="89"/>
      <c r="I441" s="89"/>
    </row>
    <row r="442" spans="6:9" x14ac:dyDescent="0.25">
      <c r="F442" s="89"/>
      <c r="H442" s="89"/>
      <c r="I442" s="89"/>
    </row>
    <row r="443" spans="6:9" x14ac:dyDescent="0.25">
      <c r="F443" s="89"/>
      <c r="H443" s="89"/>
      <c r="I443" s="89"/>
    </row>
    <row r="444" spans="6:9" x14ac:dyDescent="0.25">
      <c r="F444" s="89"/>
      <c r="H444" s="89"/>
      <c r="I444" s="89"/>
    </row>
    <row r="445" spans="6:9" x14ac:dyDescent="0.25">
      <c r="F445" s="89"/>
      <c r="H445" s="89"/>
      <c r="I445" s="89"/>
    </row>
    <row r="446" spans="6:9" x14ac:dyDescent="0.25">
      <c r="F446" s="89"/>
      <c r="H446" s="89"/>
      <c r="I446" s="89"/>
    </row>
    <row r="447" spans="6:9" x14ac:dyDescent="0.25">
      <c r="F447" s="89"/>
      <c r="H447" s="89"/>
      <c r="I447" s="89"/>
    </row>
    <row r="448" spans="6:9" x14ac:dyDescent="0.25">
      <c r="F448" s="89"/>
      <c r="H448" s="89"/>
      <c r="I448" s="89"/>
    </row>
    <row r="449" spans="6:9" x14ac:dyDescent="0.25">
      <c r="F449" s="89"/>
      <c r="H449" s="89"/>
      <c r="I449" s="89"/>
    </row>
    <row r="450" spans="6:9" x14ac:dyDescent="0.25">
      <c r="F450" s="89"/>
      <c r="H450" s="89"/>
      <c r="I450" s="89"/>
    </row>
    <row r="451" spans="6:9" x14ac:dyDescent="0.25">
      <c r="F451" s="89"/>
      <c r="H451" s="89"/>
      <c r="I451" s="89"/>
    </row>
    <row r="452" spans="6:9" x14ac:dyDescent="0.25">
      <c r="F452" s="89"/>
      <c r="H452" s="89"/>
      <c r="I452" s="89"/>
    </row>
    <row r="453" spans="6:9" x14ac:dyDescent="0.25">
      <c r="F453" s="89"/>
      <c r="H453" s="89"/>
      <c r="I453" s="89"/>
    </row>
    <row r="454" spans="6:9" x14ac:dyDescent="0.25">
      <c r="F454" s="89"/>
      <c r="H454" s="89"/>
      <c r="I454" s="89"/>
    </row>
    <row r="455" spans="6:9" x14ac:dyDescent="0.25">
      <c r="F455" s="89"/>
      <c r="H455" s="89"/>
      <c r="I455" s="89"/>
    </row>
    <row r="456" spans="6:9" x14ac:dyDescent="0.25">
      <c r="F456" s="89"/>
      <c r="H456" s="89"/>
      <c r="I456" s="89"/>
    </row>
    <row r="457" spans="6:9" x14ac:dyDescent="0.25">
      <c r="F457" s="89"/>
      <c r="H457" s="89"/>
      <c r="I457" s="89"/>
    </row>
    <row r="458" spans="6:9" x14ac:dyDescent="0.25">
      <c r="F458" s="89"/>
      <c r="H458" s="89"/>
      <c r="I458" s="89"/>
    </row>
    <row r="459" spans="6:9" x14ac:dyDescent="0.25">
      <c r="F459" s="89"/>
      <c r="H459" s="89"/>
      <c r="I459" s="89"/>
    </row>
    <row r="460" spans="6:9" x14ac:dyDescent="0.25">
      <c r="F460" s="89"/>
      <c r="H460" s="89"/>
      <c r="I460" s="89"/>
    </row>
    <row r="461" spans="6:9" x14ac:dyDescent="0.25">
      <c r="F461" s="89"/>
      <c r="H461" s="89"/>
      <c r="I461" s="89"/>
    </row>
    <row r="462" spans="6:9" x14ac:dyDescent="0.25">
      <c r="F462" s="89"/>
      <c r="H462" s="89"/>
      <c r="I462" s="89"/>
    </row>
    <row r="463" spans="6:9" x14ac:dyDescent="0.25">
      <c r="F463" s="89"/>
      <c r="H463" s="89"/>
      <c r="I463" s="89"/>
    </row>
    <row r="464" spans="6:9" x14ac:dyDescent="0.25">
      <c r="F464" s="89"/>
      <c r="H464" s="89"/>
      <c r="I464" s="89"/>
    </row>
    <row r="465" spans="6:9" x14ac:dyDescent="0.25">
      <c r="F465" s="89"/>
      <c r="H465" s="89"/>
      <c r="I465" s="89"/>
    </row>
    <row r="466" spans="6:9" x14ac:dyDescent="0.25">
      <c r="F466" s="89"/>
      <c r="H466" s="89"/>
      <c r="I466" s="89"/>
    </row>
    <row r="467" spans="6:9" x14ac:dyDescent="0.25">
      <c r="F467" s="89"/>
      <c r="H467" s="89"/>
      <c r="I467" s="89"/>
    </row>
    <row r="468" spans="6:9" x14ac:dyDescent="0.25">
      <c r="F468" s="89"/>
      <c r="H468" s="89"/>
      <c r="I468" s="89"/>
    </row>
    <row r="469" spans="6:9" x14ac:dyDescent="0.25">
      <c r="F469" s="89"/>
      <c r="H469" s="89"/>
      <c r="I469" s="89"/>
    </row>
    <row r="470" spans="6:9" x14ac:dyDescent="0.25">
      <c r="F470" s="89"/>
      <c r="H470" s="89"/>
      <c r="I470" s="89"/>
    </row>
    <row r="471" spans="6:9" x14ac:dyDescent="0.25">
      <c r="F471" s="89"/>
      <c r="H471" s="89"/>
      <c r="I471" s="89"/>
    </row>
    <row r="472" spans="6:9" x14ac:dyDescent="0.25">
      <c r="F472" s="89"/>
      <c r="H472" s="89"/>
      <c r="I472" s="89"/>
    </row>
    <row r="473" spans="6:9" x14ac:dyDescent="0.25">
      <c r="F473" s="89"/>
      <c r="H473" s="89"/>
      <c r="I473" s="89"/>
    </row>
    <row r="474" spans="6:9" x14ac:dyDescent="0.25">
      <c r="F474" s="89"/>
      <c r="H474" s="89"/>
      <c r="I474" s="89"/>
    </row>
    <row r="475" spans="6:9" x14ac:dyDescent="0.25">
      <c r="F475" s="89"/>
      <c r="H475" s="89"/>
      <c r="I475" s="89"/>
    </row>
    <row r="476" spans="6:9" x14ac:dyDescent="0.25">
      <c r="F476" s="89"/>
      <c r="H476" s="89"/>
      <c r="I476" s="89"/>
    </row>
    <row r="477" spans="6:9" x14ac:dyDescent="0.25">
      <c r="F477" s="89"/>
      <c r="H477" s="89"/>
      <c r="I477" s="89"/>
    </row>
    <row r="478" spans="6:9" x14ac:dyDescent="0.25">
      <c r="F478" s="89"/>
      <c r="H478" s="89"/>
      <c r="I478" s="89"/>
    </row>
    <row r="479" spans="6:9" x14ac:dyDescent="0.25">
      <c r="F479" s="89"/>
      <c r="H479" s="89"/>
      <c r="I479" s="89"/>
    </row>
    <row r="480" spans="6:9" x14ac:dyDescent="0.25">
      <c r="F480" s="89"/>
      <c r="H480" s="89"/>
      <c r="I480" s="89"/>
    </row>
    <row r="481" spans="6:9" x14ac:dyDescent="0.25">
      <c r="F481" s="89"/>
      <c r="H481" s="89"/>
      <c r="I481" s="89"/>
    </row>
    <row r="482" spans="6:9" x14ac:dyDescent="0.25">
      <c r="F482" s="89"/>
      <c r="H482" s="89"/>
      <c r="I482" s="89"/>
    </row>
    <row r="483" spans="6:9" x14ac:dyDescent="0.25">
      <c r="F483" s="89"/>
      <c r="H483" s="89"/>
      <c r="I483" s="89"/>
    </row>
    <row r="484" spans="6:9" x14ac:dyDescent="0.25">
      <c r="F484" s="89"/>
      <c r="H484" s="89"/>
      <c r="I484" s="89"/>
    </row>
    <row r="485" spans="6:9" x14ac:dyDescent="0.25">
      <c r="F485" s="89"/>
      <c r="H485" s="89"/>
      <c r="I485" s="89"/>
    </row>
    <row r="486" spans="6:9" x14ac:dyDescent="0.25">
      <c r="F486" s="89"/>
      <c r="H486" s="89"/>
      <c r="I486" s="89"/>
    </row>
    <row r="487" spans="6:9" x14ac:dyDescent="0.25">
      <c r="F487" s="89"/>
      <c r="H487" s="89"/>
      <c r="I487" s="89"/>
    </row>
    <row r="488" spans="6:9" x14ac:dyDescent="0.25">
      <c r="F488" s="89"/>
      <c r="H488" s="89"/>
      <c r="I488" s="89"/>
    </row>
    <row r="489" spans="6:9" x14ac:dyDescent="0.25">
      <c r="F489" s="89"/>
      <c r="H489" s="89"/>
      <c r="I489" s="89"/>
    </row>
    <row r="490" spans="6:9" x14ac:dyDescent="0.25">
      <c r="F490" s="89"/>
      <c r="H490" s="89"/>
      <c r="I490" s="89"/>
    </row>
    <row r="491" spans="6:9" x14ac:dyDescent="0.25">
      <c r="F491" s="89"/>
      <c r="H491" s="89"/>
      <c r="I491" s="89"/>
    </row>
    <row r="492" spans="6:9" x14ac:dyDescent="0.25">
      <c r="F492" s="89"/>
      <c r="H492" s="89"/>
      <c r="I492" s="89"/>
    </row>
    <row r="493" spans="6:9" x14ac:dyDescent="0.25">
      <c r="F493" s="89"/>
      <c r="H493" s="89"/>
      <c r="I493" s="89"/>
    </row>
    <row r="494" spans="6:9" x14ac:dyDescent="0.25">
      <c r="F494" s="89"/>
      <c r="H494" s="89"/>
      <c r="I494" s="89"/>
    </row>
    <row r="495" spans="6:9" x14ac:dyDescent="0.25">
      <c r="F495" s="89"/>
      <c r="H495" s="89"/>
      <c r="I495" s="89"/>
    </row>
    <row r="496" spans="6:9" x14ac:dyDescent="0.25">
      <c r="F496" s="89"/>
      <c r="H496" s="89"/>
      <c r="I496" s="89"/>
    </row>
    <row r="497" spans="6:9" x14ac:dyDescent="0.25">
      <c r="F497" s="89"/>
      <c r="H497" s="89"/>
      <c r="I497" s="89"/>
    </row>
    <row r="498" spans="6:9" x14ac:dyDescent="0.25">
      <c r="F498" s="89"/>
      <c r="H498" s="89"/>
      <c r="I498" s="89"/>
    </row>
    <row r="499" spans="6:9" x14ac:dyDescent="0.25">
      <c r="F499" s="89"/>
      <c r="H499" s="89"/>
      <c r="I499" s="89"/>
    </row>
    <row r="500" spans="6:9" x14ac:dyDescent="0.25">
      <c r="F500" s="89"/>
      <c r="H500" s="89"/>
      <c r="I500" s="89"/>
    </row>
    <row r="501" spans="6:9" x14ac:dyDescent="0.25">
      <c r="F501" s="89"/>
      <c r="H501" s="89"/>
      <c r="I501" s="89"/>
    </row>
    <row r="502" spans="6:9" x14ac:dyDescent="0.25">
      <c r="F502" s="89"/>
      <c r="H502" s="89"/>
      <c r="I502" s="89"/>
    </row>
    <row r="503" spans="6:9" x14ac:dyDescent="0.25">
      <c r="F503" s="89"/>
      <c r="H503" s="89"/>
      <c r="I503" s="89"/>
    </row>
    <row r="504" spans="6:9" x14ac:dyDescent="0.25">
      <c r="F504" s="89"/>
      <c r="H504" s="89"/>
      <c r="I504" s="89"/>
    </row>
    <row r="505" spans="6:9" x14ac:dyDescent="0.25">
      <c r="F505" s="89"/>
      <c r="H505" s="89"/>
      <c r="I505" s="89"/>
    </row>
    <row r="506" spans="6:9" x14ac:dyDescent="0.25">
      <c r="F506" s="89"/>
      <c r="H506" s="89"/>
      <c r="I506" s="89"/>
    </row>
    <row r="507" spans="6:9" x14ac:dyDescent="0.25">
      <c r="F507" s="89"/>
      <c r="H507" s="89"/>
      <c r="I507" s="89"/>
    </row>
    <row r="508" spans="6:9" x14ac:dyDescent="0.25">
      <c r="F508" s="89"/>
      <c r="H508" s="89"/>
      <c r="I508" s="89"/>
    </row>
    <row r="509" spans="6:9" x14ac:dyDescent="0.25">
      <c r="F509" s="89"/>
      <c r="H509" s="89"/>
      <c r="I509" s="89"/>
    </row>
    <row r="510" spans="6:9" x14ac:dyDescent="0.25">
      <c r="F510" s="89"/>
      <c r="H510" s="89"/>
      <c r="I510" s="89"/>
    </row>
    <row r="511" spans="6:9" x14ac:dyDescent="0.25">
      <c r="F511" s="89"/>
      <c r="H511" s="89"/>
      <c r="I511" s="89"/>
    </row>
    <row r="512" spans="6:9" x14ac:dyDescent="0.25">
      <c r="F512" s="89"/>
      <c r="H512" s="89"/>
      <c r="I512" s="89"/>
    </row>
    <row r="513" spans="6:9" x14ac:dyDescent="0.25">
      <c r="F513" s="89"/>
      <c r="H513" s="89"/>
      <c r="I513" s="89"/>
    </row>
    <row r="514" spans="6:9" x14ac:dyDescent="0.25">
      <c r="F514" s="89"/>
      <c r="H514" s="89"/>
      <c r="I514" s="89"/>
    </row>
    <row r="515" spans="6:9" x14ac:dyDescent="0.25">
      <c r="F515" s="89"/>
      <c r="H515" s="89"/>
      <c r="I515" s="89"/>
    </row>
    <row r="516" spans="6:9" x14ac:dyDescent="0.25">
      <c r="F516" s="89"/>
      <c r="H516" s="89"/>
      <c r="I516" s="89"/>
    </row>
    <row r="517" spans="6:9" x14ac:dyDescent="0.25">
      <c r="F517" s="89"/>
      <c r="H517" s="89"/>
      <c r="I517" s="89"/>
    </row>
    <row r="518" spans="6:9" x14ac:dyDescent="0.25">
      <c r="F518" s="89"/>
      <c r="H518" s="89"/>
      <c r="I518" s="89"/>
    </row>
    <row r="519" spans="6:9" x14ac:dyDescent="0.25">
      <c r="F519" s="89"/>
      <c r="H519" s="89"/>
      <c r="I519" s="89"/>
    </row>
    <row r="520" spans="6:9" x14ac:dyDescent="0.25">
      <c r="F520" s="89"/>
      <c r="H520" s="89"/>
      <c r="I520" s="89"/>
    </row>
    <row r="521" spans="6:9" x14ac:dyDescent="0.25">
      <c r="F521" s="89"/>
      <c r="H521" s="89"/>
      <c r="I521" s="89"/>
    </row>
    <row r="522" spans="6:9" x14ac:dyDescent="0.25">
      <c r="F522" s="89"/>
      <c r="H522" s="89"/>
      <c r="I522" s="89"/>
    </row>
    <row r="523" spans="6:9" x14ac:dyDescent="0.25">
      <c r="F523" s="89"/>
      <c r="H523" s="89"/>
      <c r="I523" s="89"/>
    </row>
    <row r="524" spans="6:9" x14ac:dyDescent="0.25">
      <c r="F524" s="89"/>
      <c r="H524" s="89"/>
      <c r="I524" s="89"/>
    </row>
    <row r="525" spans="6:9" x14ac:dyDescent="0.25">
      <c r="F525" s="89"/>
      <c r="H525" s="89"/>
      <c r="I525" s="89"/>
    </row>
    <row r="526" spans="6:9" x14ac:dyDescent="0.25">
      <c r="F526" s="89"/>
      <c r="H526" s="89"/>
      <c r="I526" s="89"/>
    </row>
    <row r="527" spans="6:9" x14ac:dyDescent="0.25">
      <c r="F527" s="89"/>
      <c r="H527" s="89"/>
      <c r="I527" s="89"/>
    </row>
    <row r="528" spans="6:9" x14ac:dyDescent="0.25">
      <c r="F528" s="89"/>
      <c r="H528" s="89"/>
      <c r="I528" s="89"/>
    </row>
    <row r="529" spans="6:9" x14ac:dyDescent="0.25">
      <c r="F529" s="89"/>
      <c r="H529" s="89"/>
      <c r="I529" s="89"/>
    </row>
    <row r="530" spans="6:9" x14ac:dyDescent="0.25">
      <c r="F530" s="89"/>
      <c r="H530" s="89"/>
      <c r="I530" s="89"/>
    </row>
    <row r="531" spans="6:9" x14ac:dyDescent="0.25">
      <c r="F531" s="89"/>
      <c r="H531" s="89"/>
      <c r="I531" s="89"/>
    </row>
    <row r="532" spans="6:9" x14ac:dyDescent="0.25">
      <c r="F532" s="89"/>
      <c r="H532" s="89"/>
      <c r="I532" s="89"/>
    </row>
    <row r="533" spans="6:9" x14ac:dyDescent="0.25">
      <c r="F533" s="89"/>
      <c r="H533" s="89"/>
      <c r="I533" s="89"/>
    </row>
    <row r="534" spans="6:9" x14ac:dyDescent="0.25">
      <c r="F534" s="89"/>
      <c r="H534" s="89"/>
      <c r="I534" s="89"/>
    </row>
    <row r="535" spans="6:9" x14ac:dyDescent="0.25">
      <c r="F535" s="89"/>
      <c r="H535" s="89"/>
      <c r="I535" s="89"/>
    </row>
    <row r="536" spans="6:9" x14ac:dyDescent="0.25">
      <c r="F536" s="89"/>
      <c r="H536" s="89"/>
      <c r="I536" s="89"/>
    </row>
    <row r="537" spans="6:9" x14ac:dyDescent="0.25">
      <c r="F537" s="89"/>
      <c r="H537" s="89"/>
      <c r="I537" s="89"/>
    </row>
    <row r="538" spans="6:9" x14ac:dyDescent="0.25">
      <c r="F538" s="89"/>
      <c r="H538" s="89"/>
      <c r="I538" s="89"/>
    </row>
    <row r="539" spans="6:9" x14ac:dyDescent="0.25">
      <c r="F539" s="89"/>
      <c r="H539" s="89"/>
      <c r="I539" s="89"/>
    </row>
    <row r="540" spans="6:9" x14ac:dyDescent="0.25">
      <c r="F540" s="89"/>
      <c r="H540" s="89"/>
      <c r="I540" s="89"/>
    </row>
    <row r="541" spans="6:9" x14ac:dyDescent="0.25">
      <c r="F541" s="89"/>
      <c r="H541" s="89"/>
      <c r="I541" s="89"/>
    </row>
    <row r="542" spans="6:9" x14ac:dyDescent="0.25">
      <c r="F542" s="89"/>
      <c r="H542" s="89"/>
      <c r="I542" s="89"/>
    </row>
    <row r="543" spans="6:9" x14ac:dyDescent="0.25">
      <c r="F543" s="89"/>
      <c r="H543" s="89"/>
      <c r="I543" s="89"/>
    </row>
    <row r="544" spans="6:9" x14ac:dyDescent="0.25">
      <c r="F544" s="89"/>
      <c r="H544" s="89"/>
      <c r="I544" s="89"/>
    </row>
    <row r="545" spans="6:9" x14ac:dyDescent="0.25">
      <c r="F545" s="89"/>
      <c r="H545" s="89"/>
      <c r="I545" s="89"/>
    </row>
    <row r="546" spans="6:9" x14ac:dyDescent="0.25">
      <c r="F546" s="89"/>
      <c r="H546" s="89"/>
      <c r="I546" s="89"/>
    </row>
    <row r="547" spans="6:9" x14ac:dyDescent="0.25">
      <c r="F547" s="89"/>
      <c r="H547" s="89"/>
      <c r="I547" s="89"/>
    </row>
    <row r="548" spans="6:9" x14ac:dyDescent="0.25">
      <c r="F548" s="89"/>
      <c r="H548" s="89"/>
      <c r="I548" s="89"/>
    </row>
    <row r="549" spans="6:9" x14ac:dyDescent="0.25">
      <c r="F549" s="89"/>
      <c r="H549" s="89"/>
      <c r="I549" s="89"/>
    </row>
    <row r="550" spans="6:9" x14ac:dyDescent="0.25">
      <c r="F550" s="89"/>
      <c r="H550" s="89"/>
      <c r="I550" s="89"/>
    </row>
    <row r="551" spans="6:9" x14ac:dyDescent="0.25">
      <c r="F551" s="89"/>
      <c r="H551" s="89"/>
      <c r="I551" s="89"/>
    </row>
    <row r="552" spans="6:9" x14ac:dyDescent="0.25">
      <c r="F552" s="89"/>
      <c r="H552" s="89"/>
      <c r="I552" s="89"/>
    </row>
    <row r="553" spans="6:9" x14ac:dyDescent="0.25">
      <c r="F553" s="89"/>
      <c r="H553" s="89"/>
      <c r="I553" s="89"/>
    </row>
    <row r="554" spans="6:9" x14ac:dyDescent="0.25">
      <c r="F554" s="89"/>
      <c r="H554" s="89"/>
      <c r="I554" s="89"/>
    </row>
    <row r="555" spans="6:9" x14ac:dyDescent="0.25">
      <c r="F555" s="89"/>
      <c r="H555" s="89"/>
      <c r="I555" s="89"/>
    </row>
    <row r="556" spans="6:9" x14ac:dyDescent="0.25">
      <c r="F556" s="89"/>
      <c r="H556" s="89"/>
      <c r="I556" s="89"/>
    </row>
    <row r="557" spans="6:9" x14ac:dyDescent="0.25">
      <c r="F557" s="89"/>
      <c r="H557" s="89"/>
      <c r="I557" s="89"/>
    </row>
    <row r="558" spans="6:9" x14ac:dyDescent="0.25">
      <c r="F558" s="89"/>
      <c r="H558" s="89"/>
      <c r="I558" s="89"/>
    </row>
    <row r="559" spans="6:9" x14ac:dyDescent="0.25">
      <c r="F559" s="89"/>
      <c r="H559" s="89"/>
      <c r="I559" s="89"/>
    </row>
    <row r="560" spans="6:9" x14ac:dyDescent="0.25">
      <c r="F560" s="89"/>
      <c r="H560" s="89"/>
      <c r="I560" s="89"/>
    </row>
    <row r="561" spans="6:9" x14ac:dyDescent="0.25">
      <c r="F561" s="89"/>
      <c r="H561" s="89"/>
      <c r="I561" s="89"/>
    </row>
    <row r="562" spans="6:9" x14ac:dyDescent="0.25">
      <c r="F562" s="89"/>
      <c r="H562" s="89"/>
      <c r="I562" s="89"/>
    </row>
    <row r="563" spans="6:9" x14ac:dyDescent="0.25">
      <c r="F563" s="89"/>
      <c r="H563" s="89"/>
      <c r="I563" s="89"/>
    </row>
    <row r="564" spans="6:9" x14ac:dyDescent="0.25">
      <c r="F564" s="89"/>
      <c r="H564" s="89"/>
      <c r="I564" s="89"/>
    </row>
    <row r="565" spans="6:9" x14ac:dyDescent="0.25">
      <c r="F565" s="89"/>
      <c r="H565" s="89"/>
      <c r="I565" s="89"/>
    </row>
    <row r="566" spans="6:9" x14ac:dyDescent="0.25">
      <c r="F566" s="89"/>
      <c r="H566" s="89"/>
      <c r="I566" s="89"/>
    </row>
    <row r="567" spans="6:9" x14ac:dyDescent="0.25">
      <c r="F567" s="89"/>
      <c r="H567" s="89"/>
      <c r="I567" s="89"/>
    </row>
    <row r="568" spans="6:9" x14ac:dyDescent="0.25">
      <c r="F568" s="89"/>
      <c r="H568" s="89"/>
      <c r="I568" s="89"/>
    </row>
    <row r="569" spans="6:9" x14ac:dyDescent="0.25">
      <c r="F569" s="89"/>
      <c r="H569" s="89"/>
      <c r="I569" s="89"/>
    </row>
    <row r="570" spans="6:9" x14ac:dyDescent="0.25">
      <c r="F570" s="89"/>
      <c r="H570" s="89"/>
      <c r="I570" s="89"/>
    </row>
    <row r="571" spans="6:9" x14ac:dyDescent="0.25">
      <c r="F571" s="89"/>
      <c r="H571" s="89"/>
      <c r="I571" s="89"/>
    </row>
    <row r="572" spans="6:9" x14ac:dyDescent="0.25">
      <c r="F572" s="89"/>
      <c r="H572" s="89"/>
      <c r="I572" s="89"/>
    </row>
    <row r="573" spans="6:9" x14ac:dyDescent="0.25">
      <c r="F573" s="89"/>
      <c r="H573" s="89"/>
      <c r="I573" s="89"/>
    </row>
    <row r="574" spans="6:9" x14ac:dyDescent="0.25">
      <c r="F574" s="89"/>
      <c r="H574" s="89"/>
      <c r="I574" s="89"/>
    </row>
    <row r="575" spans="6:9" x14ac:dyDescent="0.25">
      <c r="F575" s="89"/>
      <c r="H575" s="89"/>
      <c r="I575" s="89"/>
    </row>
    <row r="576" spans="6:9" x14ac:dyDescent="0.25">
      <c r="F576" s="89"/>
      <c r="H576" s="89"/>
      <c r="I576" s="89"/>
    </row>
    <row r="577" spans="6:9" x14ac:dyDescent="0.25">
      <c r="F577" s="89"/>
      <c r="H577" s="89"/>
      <c r="I577" s="89"/>
    </row>
    <row r="578" spans="6:9" x14ac:dyDescent="0.25">
      <c r="F578" s="89"/>
      <c r="H578" s="89"/>
      <c r="I578" s="89"/>
    </row>
    <row r="579" spans="6:9" x14ac:dyDescent="0.25">
      <c r="F579" s="89"/>
      <c r="H579" s="89"/>
      <c r="I579" s="89"/>
    </row>
    <row r="580" spans="6:9" x14ac:dyDescent="0.25">
      <c r="F580" s="89"/>
      <c r="H580" s="89"/>
      <c r="I580" s="89"/>
    </row>
    <row r="581" spans="6:9" x14ac:dyDescent="0.25">
      <c r="F581" s="89"/>
      <c r="H581" s="89"/>
      <c r="I581" s="89"/>
    </row>
    <row r="582" spans="6:9" x14ac:dyDescent="0.25">
      <c r="F582" s="89"/>
      <c r="H582" s="89"/>
      <c r="I582" s="89"/>
    </row>
    <row r="583" spans="6:9" x14ac:dyDescent="0.25">
      <c r="F583" s="89"/>
      <c r="H583" s="89"/>
      <c r="I583" s="89"/>
    </row>
    <row r="584" spans="6:9" x14ac:dyDescent="0.25">
      <c r="F584" s="89"/>
      <c r="H584" s="89"/>
      <c r="I584" s="89"/>
    </row>
    <row r="585" spans="6:9" x14ac:dyDescent="0.25">
      <c r="F585" s="89"/>
      <c r="H585" s="89"/>
      <c r="I585" s="89"/>
    </row>
    <row r="586" spans="6:9" x14ac:dyDescent="0.25">
      <c r="F586" s="89"/>
      <c r="H586" s="89"/>
      <c r="I586" s="89"/>
    </row>
    <row r="587" spans="6:9" x14ac:dyDescent="0.25">
      <c r="H587" s="89"/>
      <c r="I587" s="89"/>
    </row>
    <row r="588" spans="6:9" x14ac:dyDescent="0.25">
      <c r="H588" s="89"/>
      <c r="I588" s="89"/>
    </row>
    <row r="589" spans="6:9" x14ac:dyDescent="0.25">
      <c r="H589" s="89"/>
      <c r="I589" s="89"/>
    </row>
    <row r="590" spans="6:9" x14ac:dyDescent="0.25">
      <c r="H590" s="89"/>
      <c r="I590" s="89"/>
    </row>
    <row r="591" spans="6:9" x14ac:dyDescent="0.25">
      <c r="H591" s="89"/>
      <c r="I591" s="89"/>
    </row>
    <row r="592" spans="6:9" x14ac:dyDescent="0.25">
      <c r="H592" s="89"/>
      <c r="I592" s="89"/>
    </row>
    <row r="593" spans="8:9" x14ac:dyDescent="0.25">
      <c r="H593" s="89"/>
      <c r="I593" s="89"/>
    </row>
    <row r="594" spans="8:9" x14ac:dyDescent="0.25">
      <c r="H594" s="89"/>
      <c r="I594" s="89"/>
    </row>
    <row r="595" spans="8:9" x14ac:dyDescent="0.25">
      <c r="H595" s="89"/>
      <c r="I595" s="89"/>
    </row>
    <row r="596" spans="8:9" x14ac:dyDescent="0.25">
      <c r="H596" s="89"/>
      <c r="I596" s="89"/>
    </row>
    <row r="597" spans="8:9" x14ac:dyDescent="0.25">
      <c r="H597" s="89"/>
      <c r="I597" s="89"/>
    </row>
    <row r="598" spans="8:9" x14ac:dyDescent="0.25">
      <c r="H598" s="89"/>
      <c r="I598" s="89"/>
    </row>
    <row r="599" spans="8:9" x14ac:dyDescent="0.25">
      <c r="H599" s="89"/>
      <c r="I599" s="89"/>
    </row>
    <row r="600" spans="8:9" x14ac:dyDescent="0.25">
      <c r="H600" s="89"/>
      <c r="I600" s="89"/>
    </row>
    <row r="601" spans="8:9" x14ac:dyDescent="0.25">
      <c r="H601" s="89"/>
      <c r="I601" s="89"/>
    </row>
    <row r="602" spans="8:9" x14ac:dyDescent="0.25">
      <c r="H602" s="89"/>
      <c r="I602" s="89"/>
    </row>
    <row r="603" spans="8:9" x14ac:dyDescent="0.25">
      <c r="H603" s="89"/>
      <c r="I603" s="89"/>
    </row>
    <row r="604" spans="8:9" x14ac:dyDescent="0.25">
      <c r="H604" s="89"/>
      <c r="I604" s="89"/>
    </row>
    <row r="605" spans="8:9" x14ac:dyDescent="0.25">
      <c r="H605" s="89"/>
      <c r="I605" s="89"/>
    </row>
    <row r="606" spans="8:9" x14ac:dyDescent="0.25">
      <c r="H606" s="89"/>
      <c r="I606" s="89"/>
    </row>
    <row r="607" spans="8:9" x14ac:dyDescent="0.25">
      <c r="H607" s="89"/>
      <c r="I607" s="89"/>
    </row>
    <row r="608" spans="8:9" x14ac:dyDescent="0.25">
      <c r="H608" s="89"/>
      <c r="I608" s="89"/>
    </row>
    <row r="609" spans="8:9" x14ac:dyDescent="0.25">
      <c r="H609" s="89"/>
      <c r="I609" s="89"/>
    </row>
    <row r="610" spans="8:9" x14ac:dyDescent="0.25">
      <c r="H610" s="89"/>
      <c r="I610" s="89"/>
    </row>
    <row r="611" spans="8:9" x14ac:dyDescent="0.25">
      <c r="H611" s="89"/>
      <c r="I611" s="89"/>
    </row>
    <row r="612" spans="8:9" x14ac:dyDescent="0.25">
      <c r="H612" s="89"/>
      <c r="I612" s="89"/>
    </row>
    <row r="613" spans="8:9" x14ac:dyDescent="0.25">
      <c r="H613" s="89"/>
      <c r="I613" s="89"/>
    </row>
    <row r="614" spans="8:9" x14ac:dyDescent="0.25">
      <c r="H614" s="89"/>
      <c r="I614" s="89"/>
    </row>
    <row r="615" spans="8:9" x14ac:dyDescent="0.25">
      <c r="H615" s="89"/>
      <c r="I615" s="89"/>
    </row>
    <row r="616" spans="8:9" x14ac:dyDescent="0.25">
      <c r="H616" s="89"/>
      <c r="I616" s="89"/>
    </row>
    <row r="617" spans="8:9" x14ac:dyDescent="0.25">
      <c r="H617" s="89"/>
      <c r="I617" s="89"/>
    </row>
    <row r="618" spans="8:9" x14ac:dyDescent="0.25">
      <c r="H618" s="89"/>
      <c r="I618" s="89"/>
    </row>
    <row r="619" spans="8:9" x14ac:dyDescent="0.25">
      <c r="H619" s="89"/>
      <c r="I619" s="89"/>
    </row>
    <row r="620" spans="8:9" x14ac:dyDescent="0.25">
      <c r="H620" s="89"/>
      <c r="I620" s="89"/>
    </row>
    <row r="621" spans="8:9" x14ac:dyDescent="0.25">
      <c r="H621" s="89"/>
      <c r="I621" s="89"/>
    </row>
    <row r="622" spans="8:9" x14ac:dyDescent="0.25">
      <c r="H622" s="89"/>
      <c r="I622" s="89"/>
    </row>
    <row r="623" spans="8:9" x14ac:dyDescent="0.25">
      <c r="H623" s="89"/>
      <c r="I623" s="89"/>
    </row>
    <row r="624" spans="8:9" x14ac:dyDescent="0.25">
      <c r="H624" s="89"/>
      <c r="I624" s="89"/>
    </row>
    <row r="625" spans="8:9" x14ac:dyDescent="0.25">
      <c r="H625" s="89"/>
      <c r="I625" s="89"/>
    </row>
    <row r="626" spans="8:9" x14ac:dyDescent="0.25">
      <c r="H626" s="89"/>
      <c r="I626" s="89"/>
    </row>
    <row r="627" spans="8:9" x14ac:dyDescent="0.25">
      <c r="H627" s="89"/>
      <c r="I627" s="89"/>
    </row>
    <row r="628" spans="8:9" x14ac:dyDescent="0.25">
      <c r="H628" s="89"/>
      <c r="I628" s="89"/>
    </row>
    <row r="629" spans="8:9" x14ac:dyDescent="0.25">
      <c r="H629" s="89"/>
      <c r="I629" s="89"/>
    </row>
    <row r="630" spans="8:9" x14ac:dyDescent="0.25">
      <c r="H630" s="89"/>
      <c r="I630" s="89"/>
    </row>
    <row r="631" spans="8:9" x14ac:dyDescent="0.25">
      <c r="H631" s="89"/>
      <c r="I631" s="89"/>
    </row>
    <row r="632" spans="8:9" x14ac:dyDescent="0.25">
      <c r="H632" s="89"/>
      <c r="I632" s="89"/>
    </row>
    <row r="633" spans="8:9" x14ac:dyDescent="0.25">
      <c r="H633" s="89"/>
      <c r="I633" s="89"/>
    </row>
    <row r="634" spans="8:9" x14ac:dyDescent="0.25">
      <c r="H634" s="89"/>
      <c r="I634" s="89"/>
    </row>
    <row r="635" spans="8:9" x14ac:dyDescent="0.25">
      <c r="H635" s="89"/>
      <c r="I635" s="89"/>
    </row>
    <row r="636" spans="8:9" x14ac:dyDescent="0.25">
      <c r="H636" s="89"/>
      <c r="I636" s="89"/>
    </row>
    <row r="637" spans="8:9" x14ac:dyDescent="0.25">
      <c r="H637" s="89"/>
      <c r="I637" s="89"/>
    </row>
    <row r="638" spans="8:9" x14ac:dyDescent="0.25">
      <c r="H638" s="89"/>
      <c r="I638" s="89"/>
    </row>
    <row r="639" spans="8:9" x14ac:dyDescent="0.25">
      <c r="H639" s="89"/>
      <c r="I639" s="89"/>
    </row>
    <row r="640" spans="8:9" x14ac:dyDescent="0.25">
      <c r="H640" s="89"/>
      <c r="I640" s="89"/>
    </row>
    <row r="641" spans="8:9" x14ac:dyDescent="0.25">
      <c r="H641" s="89"/>
      <c r="I641" s="89"/>
    </row>
    <row r="642" spans="8:9" x14ac:dyDescent="0.25">
      <c r="H642" s="89"/>
      <c r="I642" s="89"/>
    </row>
    <row r="643" spans="8:9" x14ac:dyDescent="0.25">
      <c r="H643" s="89"/>
      <c r="I643" s="89"/>
    </row>
    <row r="644" spans="8:9" x14ac:dyDescent="0.25">
      <c r="H644" s="89"/>
      <c r="I644" s="89"/>
    </row>
    <row r="645" spans="8:9" x14ac:dyDescent="0.25">
      <c r="H645" s="89"/>
      <c r="I645" s="89"/>
    </row>
    <row r="646" spans="8:9" x14ac:dyDescent="0.25">
      <c r="H646" s="89"/>
      <c r="I646" s="89"/>
    </row>
    <row r="647" spans="8:9" x14ac:dyDescent="0.25">
      <c r="H647" s="89"/>
      <c r="I647" s="89"/>
    </row>
    <row r="648" spans="8:9" x14ac:dyDescent="0.25">
      <c r="H648" s="89"/>
      <c r="I648" s="89"/>
    </row>
    <row r="649" spans="8:9" x14ac:dyDescent="0.25">
      <c r="H649" s="89"/>
      <c r="I649" s="89"/>
    </row>
    <row r="650" spans="8:9" x14ac:dyDescent="0.25">
      <c r="H650" s="89"/>
      <c r="I650" s="89"/>
    </row>
    <row r="651" spans="8:9" x14ac:dyDescent="0.25">
      <c r="H651" s="89"/>
      <c r="I651" s="89"/>
    </row>
    <row r="652" spans="8:9" x14ac:dyDescent="0.25">
      <c r="H652" s="89"/>
      <c r="I652" s="89"/>
    </row>
    <row r="653" spans="8:9" x14ac:dyDescent="0.25">
      <c r="H653" s="89"/>
      <c r="I653" s="89"/>
    </row>
    <row r="654" spans="8:9" x14ac:dyDescent="0.25">
      <c r="H654" s="89"/>
      <c r="I654" s="89"/>
    </row>
  </sheetData>
  <phoneticPr fontId="0" type="noConversion"/>
  <conditionalFormatting sqref="A18:XFD18">
    <cfRule type="cellIs" dxfId="0" priority="1" stopIfTrue="1" operator="equal">
      <formula>"VERIFY"</formula>
    </cfRule>
  </conditionalFormatting>
  <pageMargins left="0.75" right="0.75" top="1" bottom="1" header="0.5" footer="0.5"/>
  <pageSetup orientation="portrait" r:id="rId1"/>
  <headerFooter alignWithMargins="0"/>
  <drawing r:id="rId2"/>
  <legacyDrawing r:id="rId3"/>
  <controls>
    <mc:AlternateContent xmlns:mc="http://schemas.openxmlformats.org/markup-compatibility/2006">
      <mc:Choice Requires="x14">
        <control shapeId="5123" r:id="rId4" name="CommandButton2">
          <controlPr defaultSize="0" autoLine="0" r:id="rId5">
            <anchor moveWithCells="1">
              <from>
                <xdr:col>1</xdr:col>
                <xdr:colOff>228600</xdr:colOff>
                <xdr:row>9</xdr:row>
                <xdr:rowOff>144780</xdr:rowOff>
              </from>
              <to>
                <xdr:col>2</xdr:col>
                <xdr:colOff>1082040</xdr:colOff>
                <xdr:row>11</xdr:row>
                <xdr:rowOff>144780</xdr:rowOff>
              </to>
            </anchor>
          </controlPr>
        </control>
      </mc:Choice>
      <mc:Fallback>
        <control shapeId="5123" r:id="rId4" name="CommandButton2"/>
      </mc:Fallback>
    </mc:AlternateContent>
    <mc:AlternateContent xmlns:mc="http://schemas.openxmlformats.org/markup-compatibility/2006">
      <mc:Choice Requires="x14">
        <control shapeId="5121" r:id="rId6" name="CommandButton1">
          <controlPr defaultSize="0" autoLine="0" r:id="rId7">
            <anchor moveWithCells="1">
              <from>
                <xdr:col>1</xdr:col>
                <xdr:colOff>228600</xdr:colOff>
                <xdr:row>14</xdr:row>
                <xdr:rowOff>7620</xdr:rowOff>
              </from>
              <to>
                <xdr:col>2</xdr:col>
                <xdr:colOff>1082040</xdr:colOff>
                <xdr:row>16</xdr:row>
                <xdr:rowOff>7620</xdr:rowOff>
              </to>
            </anchor>
          </controlPr>
        </control>
      </mc:Choice>
      <mc:Fallback>
        <control shapeId="5121" r:id="rId6" name="CommandButton1"/>
      </mc:Fallback>
    </mc:AlternateContent>
  </control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autoPageBreaks="0"/>
  </sheetPr>
  <dimension ref="A1:EF443"/>
  <sheetViews>
    <sheetView zoomScale="80" workbookViewId="0">
      <pane xSplit="1" ySplit="2" topLeftCell="P3" activePane="bottomRight" state="frozen"/>
      <selection pane="topRight" activeCell="B1" sqref="B1"/>
      <selection pane="bottomLeft" activeCell="A3" sqref="A3"/>
      <selection pane="bottomRight" activeCell="U30" sqref="U30"/>
    </sheetView>
  </sheetViews>
  <sheetFormatPr defaultRowHeight="13.2" x14ac:dyDescent="0.25"/>
  <cols>
    <col min="1" max="1" width="12.44140625" customWidth="1"/>
    <col min="2" max="2" width="14.88671875" customWidth="1"/>
    <col min="3" max="3" width="15.88671875" customWidth="1"/>
    <col min="4" max="4" width="13.33203125" customWidth="1"/>
    <col min="5" max="5" width="14" customWidth="1"/>
    <col min="6" max="6" width="13.33203125" customWidth="1"/>
    <col min="7" max="7" width="11.5546875" customWidth="1"/>
    <col min="8" max="8" width="15.44140625" customWidth="1"/>
    <col min="9" max="9" width="10.88671875" customWidth="1"/>
    <col min="10" max="10" width="17.44140625" customWidth="1"/>
    <col min="11" max="11" width="11" customWidth="1"/>
    <col min="12" max="13" width="15.88671875" style="333" customWidth="1"/>
    <col min="14" max="16" width="15.88671875" customWidth="1"/>
    <col min="17" max="17" width="15.44140625" style="328" customWidth="1"/>
    <col min="18" max="18" width="11" customWidth="1"/>
    <col min="19" max="19" width="14.33203125" style="333" bestFit="1" customWidth="1"/>
    <col min="20" max="39" width="11" customWidth="1"/>
    <col min="40" max="40" width="15.88671875" customWidth="1"/>
    <col min="41" max="43" width="11" customWidth="1"/>
    <col min="44" max="44" width="14.33203125" customWidth="1"/>
    <col min="45" max="45" width="17.109375" customWidth="1"/>
    <col min="46" max="68" width="11" customWidth="1"/>
    <col min="70" max="76" width="11" customWidth="1"/>
    <col min="77" max="78" width="12" customWidth="1"/>
    <col min="79" max="79" width="9.5546875" customWidth="1"/>
    <col min="80" max="80" width="16" customWidth="1"/>
    <col min="81" max="93" width="9.5546875" customWidth="1"/>
    <col min="100" max="100" width="14.33203125" customWidth="1"/>
    <col min="103" max="103" width="12.5546875" customWidth="1"/>
    <col min="104" max="104" width="14.88671875" customWidth="1"/>
    <col min="105" max="105" width="16.44140625" customWidth="1"/>
    <col min="118" max="118" width="9.44140625" customWidth="1"/>
    <col min="122" max="122" width="13.109375" customWidth="1"/>
    <col min="124" max="124" width="13.5546875" customWidth="1"/>
    <col min="128" max="128" width="15.88671875" customWidth="1"/>
  </cols>
  <sheetData>
    <row r="1" spans="1:136" x14ac:dyDescent="0.25">
      <c r="A1" s="488"/>
      <c r="B1" s="487" t="s">
        <v>20</v>
      </c>
      <c r="C1" s="487" t="s">
        <v>87</v>
      </c>
      <c r="D1" s="330" t="s">
        <v>62</v>
      </c>
      <c r="E1" s="489" t="s">
        <v>88</v>
      </c>
      <c r="F1" s="330" t="s">
        <v>89</v>
      </c>
      <c r="G1" s="330" t="s">
        <v>90</v>
      </c>
      <c r="H1" s="330" t="s">
        <v>91</v>
      </c>
      <c r="I1" s="330" t="s">
        <v>92</v>
      </c>
      <c r="J1" s="330" t="s">
        <v>93</v>
      </c>
      <c r="K1" s="487" t="s">
        <v>90</v>
      </c>
      <c r="L1" s="515" t="s">
        <v>94</v>
      </c>
      <c r="M1" s="515" t="s">
        <v>95</v>
      </c>
      <c r="N1" s="487" t="s">
        <v>96</v>
      </c>
      <c r="O1" s="487" t="s">
        <v>96</v>
      </c>
      <c r="P1" s="487" t="s">
        <v>97</v>
      </c>
      <c r="Q1" s="487" t="s">
        <v>94</v>
      </c>
      <c r="R1" s="487" t="s">
        <v>98</v>
      </c>
      <c r="S1" s="515" t="s">
        <v>99</v>
      </c>
      <c r="T1" s="487" t="s">
        <v>100</v>
      </c>
      <c r="U1" s="487" t="s">
        <v>101</v>
      </c>
      <c r="V1" s="487" t="s">
        <v>102</v>
      </c>
      <c r="W1" s="487" t="s">
        <v>103</v>
      </c>
      <c r="X1" s="487" t="s">
        <v>100</v>
      </c>
      <c r="Y1" s="487" t="s">
        <v>101</v>
      </c>
      <c r="Z1" s="487" t="s">
        <v>102</v>
      </c>
      <c r="AA1" s="487" t="s">
        <v>103</v>
      </c>
      <c r="AB1" s="487" t="s">
        <v>97</v>
      </c>
      <c r="AC1" s="487" t="s">
        <v>104</v>
      </c>
      <c r="AD1" s="487" t="s">
        <v>97</v>
      </c>
      <c r="AE1" s="487" t="s">
        <v>104</v>
      </c>
      <c r="AF1" s="487" t="s">
        <v>105</v>
      </c>
      <c r="AG1" s="326" t="s">
        <v>106</v>
      </c>
      <c r="AH1" s="326" t="s">
        <v>107</v>
      </c>
      <c r="AI1" s="326" t="s">
        <v>108</v>
      </c>
      <c r="AJ1" s="326" t="s">
        <v>109</v>
      </c>
      <c r="AK1" s="326" t="s">
        <v>110</v>
      </c>
      <c r="AL1" s="326" t="s">
        <v>111</v>
      </c>
      <c r="AM1" s="326" t="s">
        <v>112</v>
      </c>
      <c r="AN1" s="326" t="s">
        <v>113</v>
      </c>
      <c r="AO1" s="326" t="s">
        <v>114</v>
      </c>
      <c r="AP1" s="326" t="s">
        <v>115</v>
      </c>
      <c r="AQ1" s="326" t="s">
        <v>116</v>
      </c>
      <c r="AR1" s="326" t="s">
        <v>117</v>
      </c>
      <c r="AS1" s="326" t="s">
        <v>115</v>
      </c>
      <c r="AT1" s="326" t="s">
        <v>118</v>
      </c>
      <c r="AU1" s="326" t="s">
        <v>107</v>
      </c>
      <c r="AV1" s="326" t="s">
        <v>119</v>
      </c>
      <c r="AW1" s="490" t="s">
        <v>120</v>
      </c>
      <c r="AX1" s="490" t="s">
        <v>89</v>
      </c>
      <c r="AY1" s="490" t="s">
        <v>121</v>
      </c>
      <c r="AZ1" s="326" t="s">
        <v>117</v>
      </c>
      <c r="BA1" s="326" t="s">
        <v>116</v>
      </c>
      <c r="BB1" s="490" t="s">
        <v>649</v>
      </c>
      <c r="BC1" s="490" t="s">
        <v>668</v>
      </c>
      <c r="BD1" s="490" t="s">
        <v>678</v>
      </c>
      <c r="BE1" s="490" t="s">
        <v>678</v>
      </c>
      <c r="BF1" s="490" t="s">
        <v>690</v>
      </c>
      <c r="BG1" s="490" t="s">
        <v>97</v>
      </c>
      <c r="BH1" s="490" t="s">
        <v>97</v>
      </c>
      <c r="BI1" s="487" t="s">
        <v>735</v>
      </c>
      <c r="BJ1" s="487" t="s">
        <v>721</v>
      </c>
      <c r="BK1" s="330" t="s">
        <v>254</v>
      </c>
      <c r="BL1" s="330" t="s">
        <v>254</v>
      </c>
      <c r="BM1" s="487" t="s">
        <v>721</v>
      </c>
      <c r="BN1" t="s">
        <v>699</v>
      </c>
      <c r="BO1" t="s">
        <v>737</v>
      </c>
      <c r="BP1" t="s">
        <v>737</v>
      </c>
      <c r="BQ1" s="326" t="s">
        <v>110</v>
      </c>
      <c r="BR1" t="s">
        <v>20</v>
      </c>
      <c r="BS1" t="s">
        <v>87</v>
      </c>
      <c r="BT1" t="s">
        <v>62</v>
      </c>
      <c r="BU1" t="s">
        <v>88</v>
      </c>
      <c r="BV1" t="s">
        <v>89</v>
      </c>
      <c r="BW1" t="s">
        <v>90</v>
      </c>
      <c r="BX1" t="s">
        <v>91</v>
      </c>
      <c r="BY1" t="s">
        <v>92</v>
      </c>
      <c r="BZ1" t="s">
        <v>93</v>
      </c>
      <c r="CA1" t="s">
        <v>90</v>
      </c>
      <c r="CB1" t="s">
        <v>94</v>
      </c>
      <c r="CC1" t="s">
        <v>95</v>
      </c>
      <c r="CD1" t="s">
        <v>96</v>
      </c>
      <c r="CE1" t="s">
        <v>96</v>
      </c>
      <c r="CF1" t="s">
        <v>97</v>
      </c>
      <c r="CH1" t="s">
        <v>107</v>
      </c>
      <c r="CP1" t="s">
        <v>20</v>
      </c>
      <c r="CQ1" t="s">
        <v>87</v>
      </c>
      <c r="CR1" t="s">
        <v>62</v>
      </c>
      <c r="CS1" t="s">
        <v>88</v>
      </c>
      <c r="CT1" t="s">
        <v>89</v>
      </c>
      <c r="CU1" t="s">
        <v>90</v>
      </c>
      <c r="CV1" t="s">
        <v>91</v>
      </c>
      <c r="CW1" t="s">
        <v>92</v>
      </c>
      <c r="CX1" t="s">
        <v>93</v>
      </c>
      <c r="CY1" t="s">
        <v>90</v>
      </c>
      <c r="CZ1" t="s">
        <v>94</v>
      </c>
      <c r="DA1" t="s">
        <v>95</v>
      </c>
      <c r="DB1" t="s">
        <v>96</v>
      </c>
      <c r="DC1" t="s">
        <v>96</v>
      </c>
      <c r="DD1" t="s">
        <v>97</v>
      </c>
      <c r="DE1" t="s">
        <v>107</v>
      </c>
      <c r="DF1" t="s">
        <v>113</v>
      </c>
      <c r="DG1" t="s">
        <v>114</v>
      </c>
      <c r="DH1" t="s">
        <v>115</v>
      </c>
      <c r="DI1" t="s">
        <v>118</v>
      </c>
      <c r="DN1" t="s">
        <v>20</v>
      </c>
      <c r="DO1" t="s">
        <v>87</v>
      </c>
      <c r="DP1" t="s">
        <v>62</v>
      </c>
      <c r="DQ1" t="s">
        <v>88</v>
      </c>
      <c r="DR1" t="s">
        <v>89</v>
      </c>
      <c r="DS1" t="s">
        <v>90</v>
      </c>
      <c r="DT1" t="s">
        <v>91</v>
      </c>
      <c r="DU1" t="s">
        <v>92</v>
      </c>
      <c r="DV1" t="s">
        <v>93</v>
      </c>
      <c r="DW1" t="s">
        <v>90</v>
      </c>
      <c r="DX1" t="s">
        <v>94</v>
      </c>
      <c r="DY1" t="s">
        <v>95</v>
      </c>
      <c r="DZ1" t="s">
        <v>96</v>
      </c>
      <c r="EA1" t="s">
        <v>96</v>
      </c>
      <c r="EB1" t="s">
        <v>97</v>
      </c>
      <c r="ED1" t="s">
        <v>107</v>
      </c>
      <c r="EF1" s="326" t="s">
        <v>110</v>
      </c>
    </row>
    <row r="2" spans="1:136" x14ac:dyDescent="0.25">
      <c r="A2" s="490"/>
      <c r="B2" s="330" t="s">
        <v>21</v>
      </c>
      <c r="C2" s="487" t="s">
        <v>122</v>
      </c>
      <c r="D2" s="330" t="s">
        <v>121</v>
      </c>
      <c r="E2" s="489" t="s">
        <v>121</v>
      </c>
      <c r="F2" s="330" t="s">
        <v>123</v>
      </c>
      <c r="G2" s="330" t="s">
        <v>519</v>
      </c>
      <c r="H2" s="330" t="s">
        <v>90</v>
      </c>
      <c r="I2" s="330" t="s">
        <v>125</v>
      </c>
      <c r="J2" s="330" t="s">
        <v>126</v>
      </c>
      <c r="K2" s="330" t="s">
        <v>92</v>
      </c>
      <c r="L2" s="516" t="s">
        <v>122</v>
      </c>
      <c r="M2" s="516" t="s">
        <v>122</v>
      </c>
      <c r="N2" s="330" t="s">
        <v>127</v>
      </c>
      <c r="O2" s="330" t="s">
        <v>128</v>
      </c>
      <c r="P2" s="487" t="s">
        <v>129</v>
      </c>
      <c r="Q2" s="330" t="s">
        <v>95</v>
      </c>
      <c r="R2" s="330" t="s">
        <v>130</v>
      </c>
      <c r="S2" s="516" t="s">
        <v>122</v>
      </c>
      <c r="T2" s="330" t="s">
        <v>127</v>
      </c>
      <c r="U2" s="330" t="s">
        <v>127</v>
      </c>
      <c r="V2" s="330" t="s">
        <v>127</v>
      </c>
      <c r="W2" s="330" t="s">
        <v>127</v>
      </c>
      <c r="X2" s="487" t="s">
        <v>128</v>
      </c>
      <c r="Y2" s="487" t="s">
        <v>128</v>
      </c>
      <c r="Z2" s="487" t="s">
        <v>128</v>
      </c>
      <c r="AA2" s="487" t="s">
        <v>128</v>
      </c>
      <c r="AB2" s="487" t="s">
        <v>131</v>
      </c>
      <c r="AC2" s="487" t="s">
        <v>131</v>
      </c>
      <c r="AD2" s="487" t="s">
        <v>132</v>
      </c>
      <c r="AE2" s="487" t="s">
        <v>132</v>
      </c>
      <c r="AF2" s="487" t="s">
        <v>133</v>
      </c>
      <c r="AG2" s="326" t="s">
        <v>134</v>
      </c>
      <c r="AH2" s="327" t="s">
        <v>135</v>
      </c>
      <c r="AI2" s="326" t="s">
        <v>136</v>
      </c>
      <c r="AJ2" s="326" t="s">
        <v>95</v>
      </c>
      <c r="AK2" s="326" t="s">
        <v>110</v>
      </c>
      <c r="AL2" s="326" t="s">
        <v>92</v>
      </c>
      <c r="AM2" s="326" t="s">
        <v>118</v>
      </c>
      <c r="AN2" s="326" t="s">
        <v>20</v>
      </c>
      <c r="AO2" s="326" t="s">
        <v>21</v>
      </c>
      <c r="AP2" s="326" t="s">
        <v>116</v>
      </c>
      <c r="AQ2" s="326" t="s">
        <v>118</v>
      </c>
      <c r="AR2" s="326" t="s">
        <v>118</v>
      </c>
      <c r="AS2" s="326" t="s">
        <v>113</v>
      </c>
      <c r="AT2" s="490" t="s">
        <v>137</v>
      </c>
      <c r="AU2" s="329" t="s">
        <v>118</v>
      </c>
      <c r="AV2" s="329" t="s">
        <v>121</v>
      </c>
      <c r="AW2" s="329" t="s">
        <v>121</v>
      </c>
      <c r="AX2" s="490" t="s">
        <v>121</v>
      </c>
      <c r="AY2" s="330" t="s">
        <v>21</v>
      </c>
      <c r="AZ2" s="326" t="s">
        <v>138</v>
      </c>
      <c r="BA2" s="490" t="s">
        <v>138</v>
      </c>
      <c r="BB2" s="490" t="s">
        <v>650</v>
      </c>
      <c r="BC2" s="490" t="s">
        <v>673</v>
      </c>
      <c r="BD2" s="490" t="s">
        <v>681</v>
      </c>
      <c r="BE2" s="490" t="s">
        <v>682</v>
      </c>
      <c r="BF2" s="490" t="s">
        <v>254</v>
      </c>
      <c r="BG2" s="490" t="s">
        <v>132</v>
      </c>
      <c r="BH2" s="490" t="s">
        <v>104</v>
      </c>
      <c r="BI2" s="330" t="s">
        <v>734</v>
      </c>
      <c r="BJ2" s="487" t="s">
        <v>736</v>
      </c>
      <c r="BK2" s="330" t="s">
        <v>726</v>
      </c>
      <c r="BL2" s="487" t="s">
        <v>721</v>
      </c>
      <c r="BM2" s="487" t="s">
        <v>735</v>
      </c>
      <c r="BN2" t="s">
        <v>737</v>
      </c>
      <c r="BO2" t="s">
        <v>678</v>
      </c>
      <c r="BP2" t="s">
        <v>634</v>
      </c>
      <c r="BQ2" s="330" t="s">
        <v>92</v>
      </c>
      <c r="BR2" t="s">
        <v>21</v>
      </c>
      <c r="BS2" t="s">
        <v>122</v>
      </c>
      <c r="BT2" t="s">
        <v>121</v>
      </c>
      <c r="BU2" t="s">
        <v>121</v>
      </c>
      <c r="BV2" t="s">
        <v>123</v>
      </c>
      <c r="BW2" t="s">
        <v>519</v>
      </c>
      <c r="BX2" t="s">
        <v>90</v>
      </c>
      <c r="BY2" t="s">
        <v>125</v>
      </c>
      <c r="BZ2" t="s">
        <v>126</v>
      </c>
      <c r="CA2" t="s">
        <v>92</v>
      </c>
      <c r="CB2" t="s">
        <v>122</v>
      </c>
      <c r="CC2" t="s">
        <v>122</v>
      </c>
      <c r="CD2" t="s">
        <v>127</v>
      </c>
      <c r="CE2" t="s">
        <v>128</v>
      </c>
      <c r="CF2" t="s">
        <v>129</v>
      </c>
      <c r="CH2" t="s">
        <v>135</v>
      </c>
      <c r="CP2" t="s">
        <v>21</v>
      </c>
      <c r="CQ2" t="s">
        <v>122</v>
      </c>
      <c r="CR2" t="s">
        <v>121</v>
      </c>
      <c r="CS2" t="s">
        <v>121</v>
      </c>
      <c r="CT2" t="s">
        <v>123</v>
      </c>
      <c r="CU2" t="s">
        <v>519</v>
      </c>
      <c r="CV2" t="s">
        <v>90</v>
      </c>
      <c r="CW2" t="s">
        <v>125</v>
      </c>
      <c r="CX2" t="s">
        <v>126</v>
      </c>
      <c r="CY2" t="s">
        <v>92</v>
      </c>
      <c r="CZ2" t="s">
        <v>122</v>
      </c>
      <c r="DA2" t="s">
        <v>122</v>
      </c>
      <c r="DB2" t="s">
        <v>127</v>
      </c>
      <c r="DC2" t="s">
        <v>128</v>
      </c>
      <c r="DD2" t="s">
        <v>129</v>
      </c>
      <c r="DE2" t="s">
        <v>135</v>
      </c>
      <c r="DF2" t="s">
        <v>549</v>
      </c>
      <c r="DG2" t="s">
        <v>21</v>
      </c>
      <c r="DH2" t="s">
        <v>116</v>
      </c>
      <c r="DI2" t="s">
        <v>137</v>
      </c>
      <c r="DN2" t="s">
        <v>21</v>
      </c>
      <c r="DO2" t="s">
        <v>122</v>
      </c>
      <c r="DP2" t="s">
        <v>121</v>
      </c>
      <c r="DQ2" t="s">
        <v>121</v>
      </c>
      <c r="DR2" t="s">
        <v>123</v>
      </c>
      <c r="DS2" t="s">
        <v>519</v>
      </c>
      <c r="DT2" t="s">
        <v>90</v>
      </c>
      <c r="DU2" t="s">
        <v>125</v>
      </c>
      <c r="DV2" t="s">
        <v>126</v>
      </c>
      <c r="DW2" t="s">
        <v>92</v>
      </c>
      <c r="DX2" t="s">
        <v>122</v>
      </c>
      <c r="DY2" t="s">
        <v>122</v>
      </c>
      <c r="DZ2" t="s">
        <v>127</v>
      </c>
      <c r="EA2" t="s">
        <v>128</v>
      </c>
      <c r="EB2" t="s">
        <v>129</v>
      </c>
      <c r="ED2" t="s">
        <v>135</v>
      </c>
      <c r="EF2" s="330" t="s">
        <v>92</v>
      </c>
    </row>
    <row r="3" spans="1:136" x14ac:dyDescent="0.25">
      <c r="A3" s="66">
        <v>36465</v>
      </c>
      <c r="B3">
        <v>0.94499999999999995</v>
      </c>
      <c r="C3">
        <v>0.89</v>
      </c>
      <c r="D3">
        <v>0.89</v>
      </c>
      <c r="E3">
        <v>0.89</v>
      </c>
      <c r="F3">
        <v>0.97699999999999998</v>
      </c>
      <c r="G3">
        <v>0.48</v>
      </c>
      <c r="H3">
        <v>0.45</v>
      </c>
      <c r="I3">
        <v>0.89500000000000002</v>
      </c>
      <c r="J3">
        <v>0.48499999999999999</v>
      </c>
      <c r="K3">
        <v>0.47499999999999998</v>
      </c>
      <c r="L3" s="333">
        <v>0.79</v>
      </c>
      <c r="M3" s="333">
        <v>0.82250000000000001</v>
      </c>
      <c r="N3">
        <v>0.85</v>
      </c>
      <c r="O3">
        <v>0.90249999999999997</v>
      </c>
      <c r="P3">
        <v>0.85</v>
      </c>
      <c r="Q3" s="328">
        <v>0.79</v>
      </c>
      <c r="R3">
        <v>0.79</v>
      </c>
      <c r="S3" s="333">
        <v>0.79</v>
      </c>
      <c r="T3">
        <v>0.85</v>
      </c>
      <c r="U3">
        <v>0.85</v>
      </c>
      <c r="V3">
        <v>0.85</v>
      </c>
      <c r="W3">
        <v>0.85</v>
      </c>
      <c r="X3">
        <v>0.90249999999999997</v>
      </c>
      <c r="Y3">
        <v>0.90249999999999997</v>
      </c>
      <c r="Z3">
        <v>0.90249999999999997</v>
      </c>
      <c r="AA3">
        <v>0.90249999999999997</v>
      </c>
      <c r="AB3">
        <v>0.85</v>
      </c>
      <c r="AC3">
        <v>0.85</v>
      </c>
      <c r="AD3">
        <v>0.90249999999999997</v>
      </c>
      <c r="AE3">
        <v>0.90249999999999997</v>
      </c>
      <c r="AF3">
        <v>0.85</v>
      </c>
      <c r="AG3" s="331">
        <v>0.99</v>
      </c>
      <c r="AH3">
        <v>0.89</v>
      </c>
      <c r="AI3">
        <v>0.89</v>
      </c>
      <c r="AJ3">
        <v>0.85</v>
      </c>
      <c r="AK3">
        <v>1</v>
      </c>
      <c r="AL3">
        <v>0.47499999999999998</v>
      </c>
      <c r="AM3">
        <v>1</v>
      </c>
      <c r="AN3" s="328">
        <v>1</v>
      </c>
      <c r="AO3" s="328">
        <v>1</v>
      </c>
      <c r="AP3" s="328">
        <v>1</v>
      </c>
      <c r="AQ3">
        <v>1</v>
      </c>
      <c r="AR3">
        <v>0.89</v>
      </c>
      <c r="AS3">
        <v>0.97699999999999998</v>
      </c>
      <c r="AT3" s="328">
        <v>1</v>
      </c>
      <c r="AU3">
        <v>0.89</v>
      </c>
      <c r="AV3">
        <v>0.89</v>
      </c>
      <c r="AW3">
        <v>0.89</v>
      </c>
      <c r="AX3">
        <v>0.89</v>
      </c>
      <c r="AY3">
        <v>0.89</v>
      </c>
      <c r="AZ3">
        <v>0.89</v>
      </c>
      <c r="BA3">
        <v>0.89</v>
      </c>
      <c r="BB3" s="446">
        <v>1</v>
      </c>
      <c r="BC3">
        <v>1</v>
      </c>
      <c r="BD3">
        <v>1</v>
      </c>
      <c r="BE3">
        <v>1</v>
      </c>
      <c r="BF3">
        <v>0.999</v>
      </c>
      <c r="BG3">
        <v>1</v>
      </c>
      <c r="BH3">
        <v>1</v>
      </c>
      <c r="BI3">
        <v>0.995</v>
      </c>
      <c r="BJ3">
        <v>0.999</v>
      </c>
      <c r="BK3">
        <v>0.998</v>
      </c>
      <c r="BL3">
        <v>0.99850000000000005</v>
      </c>
      <c r="BM3">
        <v>0.99850000000000005</v>
      </c>
      <c r="BN3">
        <v>0.97199999999999998</v>
      </c>
      <c r="BO3">
        <v>0.99990000000000001</v>
      </c>
      <c r="BP3">
        <v>0.99990000000000001</v>
      </c>
      <c r="BQ3">
        <v>1</v>
      </c>
      <c r="BR3">
        <v>1</v>
      </c>
      <c r="BS3">
        <v>1</v>
      </c>
      <c r="BT3">
        <v>1</v>
      </c>
      <c r="BU3">
        <v>1</v>
      </c>
      <c r="BV3">
        <v>1</v>
      </c>
      <c r="BW3">
        <v>1</v>
      </c>
      <c r="BX3">
        <v>1</v>
      </c>
      <c r="BY3">
        <v>1</v>
      </c>
      <c r="BZ3">
        <v>1</v>
      </c>
      <c r="CA3">
        <v>1</v>
      </c>
      <c r="CB3">
        <v>1</v>
      </c>
      <c r="CC3">
        <v>1</v>
      </c>
      <c r="CD3">
        <v>1</v>
      </c>
      <c r="CE3">
        <v>1</v>
      </c>
      <c r="CF3">
        <v>1</v>
      </c>
      <c r="CH3">
        <v>1</v>
      </c>
      <c r="CP3">
        <v>0.94499999999999995</v>
      </c>
      <c r="CQ3">
        <v>0.89</v>
      </c>
      <c r="CR3">
        <v>0.89</v>
      </c>
      <c r="CS3">
        <v>0.92</v>
      </c>
      <c r="CT3">
        <v>0.999</v>
      </c>
      <c r="CU3">
        <v>0.48</v>
      </c>
      <c r="CV3">
        <v>0.45</v>
      </c>
      <c r="CW3">
        <v>0.89500000000000002</v>
      </c>
      <c r="CX3">
        <v>0.48499999999999999</v>
      </c>
      <c r="CY3">
        <v>0.47499999999999998</v>
      </c>
      <c r="CZ3">
        <v>0.79</v>
      </c>
      <c r="DA3">
        <v>0.82250000000000001</v>
      </c>
      <c r="DB3">
        <v>0.85</v>
      </c>
      <c r="DC3">
        <v>0.90249999999999997</v>
      </c>
      <c r="DD3">
        <v>0.82</v>
      </c>
      <c r="DE3">
        <v>0.89</v>
      </c>
      <c r="DF3">
        <v>1</v>
      </c>
      <c r="DG3">
        <v>1</v>
      </c>
      <c r="DH3">
        <v>1</v>
      </c>
      <c r="DN3" s="332"/>
      <c r="DO3" s="332"/>
      <c r="DP3" s="332"/>
      <c r="DQ3" s="332"/>
      <c r="DR3" s="332"/>
      <c r="DS3" s="332"/>
      <c r="DT3" s="332"/>
      <c r="DU3" s="332"/>
      <c r="DV3" s="332"/>
      <c r="DW3" s="332"/>
      <c r="DX3" s="332"/>
      <c r="DY3" s="332"/>
      <c r="DZ3" s="332"/>
      <c r="EA3" s="332"/>
      <c r="EB3" s="332"/>
      <c r="ED3" s="332"/>
      <c r="EF3">
        <v>1</v>
      </c>
    </row>
    <row r="4" spans="1:136" x14ac:dyDescent="0.25">
      <c r="A4" s="66">
        <v>36495</v>
      </c>
      <c r="B4">
        <v>0.93500000000000005</v>
      </c>
      <c r="C4">
        <v>0.87</v>
      </c>
      <c r="D4">
        <v>0.87</v>
      </c>
      <c r="E4">
        <v>0.87</v>
      </c>
      <c r="F4">
        <v>0.97699999999999998</v>
      </c>
      <c r="G4">
        <v>0.51</v>
      </c>
      <c r="H4">
        <v>0.47</v>
      </c>
      <c r="I4">
        <v>0.86499999999999999</v>
      </c>
      <c r="J4">
        <v>0.49</v>
      </c>
      <c r="K4">
        <v>0.47499999999999998</v>
      </c>
      <c r="L4" s="333">
        <v>0.59</v>
      </c>
      <c r="M4" s="333">
        <v>0.62250000000000005</v>
      </c>
      <c r="N4">
        <v>0.69</v>
      </c>
      <c r="O4">
        <v>0.89249999999999996</v>
      </c>
      <c r="P4">
        <v>0.69</v>
      </c>
      <c r="Q4" s="328">
        <v>0.59</v>
      </c>
      <c r="R4">
        <v>0.59</v>
      </c>
      <c r="S4" s="333">
        <v>0.59</v>
      </c>
      <c r="T4">
        <v>0.69</v>
      </c>
      <c r="U4">
        <v>0.69</v>
      </c>
      <c r="V4">
        <v>0.69</v>
      </c>
      <c r="W4">
        <v>0.69</v>
      </c>
      <c r="X4">
        <v>0.89249999999999996</v>
      </c>
      <c r="Y4">
        <v>0.89249999999999996</v>
      </c>
      <c r="Z4">
        <v>0.89249999999999996</v>
      </c>
      <c r="AA4">
        <v>0.89249999999999996</v>
      </c>
      <c r="AB4">
        <v>0.69</v>
      </c>
      <c r="AC4">
        <v>0.69</v>
      </c>
      <c r="AD4">
        <v>0.89249999999999996</v>
      </c>
      <c r="AE4">
        <v>0.89249999999999996</v>
      </c>
      <c r="AF4">
        <v>0.69</v>
      </c>
      <c r="AG4" s="331">
        <v>0.98</v>
      </c>
      <c r="AH4">
        <v>0.89</v>
      </c>
      <c r="AI4">
        <v>0.89</v>
      </c>
      <c r="AJ4">
        <v>0.69</v>
      </c>
      <c r="AK4">
        <v>1</v>
      </c>
      <c r="AL4">
        <v>0.47499999999999998</v>
      </c>
      <c r="AM4">
        <v>1</v>
      </c>
      <c r="AN4" s="328">
        <v>1</v>
      </c>
      <c r="AO4" s="328">
        <v>1</v>
      </c>
      <c r="AP4" s="328">
        <v>1</v>
      </c>
      <c r="AQ4">
        <v>1</v>
      </c>
      <c r="AR4">
        <v>0.89</v>
      </c>
      <c r="AS4">
        <v>0.97699999999999998</v>
      </c>
      <c r="AT4" s="328">
        <v>1</v>
      </c>
      <c r="AU4">
        <v>0.89</v>
      </c>
      <c r="AV4">
        <v>0.87</v>
      </c>
      <c r="AW4">
        <v>0.87</v>
      </c>
      <c r="AX4">
        <v>0.87</v>
      </c>
      <c r="AY4">
        <v>0.89</v>
      </c>
      <c r="AZ4">
        <v>0.89</v>
      </c>
      <c r="BA4">
        <v>0.87</v>
      </c>
      <c r="BB4" s="446">
        <v>1</v>
      </c>
      <c r="BC4">
        <v>1</v>
      </c>
      <c r="BD4">
        <v>1</v>
      </c>
      <c r="BE4">
        <v>1</v>
      </c>
      <c r="BF4">
        <v>0.99990000000000001</v>
      </c>
      <c r="BG4">
        <v>1</v>
      </c>
      <c r="BH4">
        <v>1</v>
      </c>
      <c r="BI4">
        <v>0.995</v>
      </c>
      <c r="BJ4">
        <v>0.999</v>
      </c>
      <c r="BK4">
        <v>0.998</v>
      </c>
      <c r="BL4">
        <v>0.99850000000000005</v>
      </c>
      <c r="BM4">
        <v>0.99850000000000005</v>
      </c>
      <c r="BN4">
        <v>0.97199999999999998</v>
      </c>
      <c r="BO4">
        <v>0.99990000000000001</v>
      </c>
      <c r="BP4">
        <v>0.99990000000000001</v>
      </c>
      <c r="BQ4">
        <v>1</v>
      </c>
      <c r="BR4">
        <v>1</v>
      </c>
      <c r="BS4">
        <v>1</v>
      </c>
      <c r="BT4">
        <v>1</v>
      </c>
      <c r="BU4">
        <v>1</v>
      </c>
      <c r="BV4">
        <v>1</v>
      </c>
      <c r="BW4">
        <v>1</v>
      </c>
      <c r="BX4">
        <v>1</v>
      </c>
      <c r="BY4">
        <v>1</v>
      </c>
      <c r="BZ4">
        <v>1</v>
      </c>
      <c r="CA4">
        <v>1</v>
      </c>
      <c r="CB4">
        <v>1</v>
      </c>
      <c r="CC4">
        <v>1</v>
      </c>
      <c r="CD4">
        <v>1</v>
      </c>
      <c r="CE4">
        <v>1</v>
      </c>
      <c r="CF4">
        <v>1</v>
      </c>
      <c r="CG4" s="332"/>
      <c r="CH4">
        <v>1</v>
      </c>
      <c r="CI4" s="332"/>
      <c r="CJ4" s="332"/>
      <c r="CK4" s="332"/>
      <c r="CL4" s="332"/>
      <c r="CM4" s="332"/>
      <c r="CN4" s="332"/>
      <c r="CO4" s="332"/>
      <c r="CP4">
        <v>0.93500000000000005</v>
      </c>
      <c r="CQ4">
        <v>0.87</v>
      </c>
      <c r="CR4">
        <v>0.87</v>
      </c>
      <c r="CS4">
        <v>0.91</v>
      </c>
      <c r="CT4">
        <v>0.999</v>
      </c>
      <c r="CU4">
        <v>0.51</v>
      </c>
      <c r="CV4">
        <v>0.47</v>
      </c>
      <c r="CW4">
        <v>0.86499999999999999</v>
      </c>
      <c r="CX4">
        <v>0.49</v>
      </c>
      <c r="CY4">
        <v>0.47499999999999998</v>
      </c>
      <c r="CZ4">
        <v>0.59</v>
      </c>
      <c r="DA4">
        <v>0.62250000000000005</v>
      </c>
      <c r="DB4">
        <v>0.69</v>
      </c>
      <c r="DC4">
        <v>0.89249999999999996</v>
      </c>
      <c r="DD4">
        <v>0.71499999999999997</v>
      </c>
      <c r="DE4">
        <v>0.89</v>
      </c>
      <c r="DF4">
        <v>1</v>
      </c>
      <c r="DG4">
        <v>1</v>
      </c>
      <c r="DH4">
        <v>1</v>
      </c>
      <c r="DN4" s="332"/>
      <c r="DO4" s="332"/>
      <c r="DP4" s="332"/>
      <c r="DQ4" s="332"/>
      <c r="DR4" s="332"/>
      <c r="DS4" s="332"/>
      <c r="DT4" s="332"/>
      <c r="DU4" s="332"/>
      <c r="DV4" s="332"/>
      <c r="DW4" s="332"/>
      <c r="DX4" s="332"/>
      <c r="DY4" s="332"/>
      <c r="DZ4" s="332"/>
      <c r="EA4" s="332"/>
      <c r="EB4" s="332"/>
      <c r="ED4" s="332"/>
      <c r="EF4">
        <v>1</v>
      </c>
    </row>
    <row r="5" spans="1:136" x14ac:dyDescent="0.25">
      <c r="A5" s="66">
        <v>36526</v>
      </c>
      <c r="B5">
        <v>0.89500000000000002</v>
      </c>
      <c r="C5">
        <v>0.86</v>
      </c>
      <c r="D5">
        <v>0.87</v>
      </c>
      <c r="E5">
        <v>0.87</v>
      </c>
      <c r="F5">
        <v>0.97699999999999998</v>
      </c>
      <c r="G5">
        <v>0.57999999999999996</v>
      </c>
      <c r="H5">
        <v>0.44</v>
      </c>
      <c r="I5">
        <v>0.79500000000000004</v>
      </c>
      <c r="J5">
        <v>0.49</v>
      </c>
      <c r="K5">
        <v>0.505</v>
      </c>
      <c r="L5" s="333">
        <v>0.60499999999999998</v>
      </c>
      <c r="M5" s="333">
        <v>0.63749999999999996</v>
      </c>
      <c r="N5">
        <v>0.69</v>
      </c>
      <c r="O5">
        <v>0.88</v>
      </c>
      <c r="P5">
        <v>0.69</v>
      </c>
      <c r="Q5" s="328">
        <v>0.60499999999999998</v>
      </c>
      <c r="R5">
        <v>0.60499999999999998</v>
      </c>
      <c r="S5" s="333">
        <v>0.60499999999999998</v>
      </c>
      <c r="T5">
        <v>0.69</v>
      </c>
      <c r="U5">
        <v>0.69</v>
      </c>
      <c r="V5">
        <v>0.69</v>
      </c>
      <c r="W5">
        <v>0.69</v>
      </c>
      <c r="X5">
        <v>0.88</v>
      </c>
      <c r="Y5">
        <v>0.88</v>
      </c>
      <c r="Z5">
        <v>0.88</v>
      </c>
      <c r="AA5">
        <v>0.88</v>
      </c>
      <c r="AB5">
        <v>0.69</v>
      </c>
      <c r="AC5">
        <v>0.69</v>
      </c>
      <c r="AD5">
        <v>0.88</v>
      </c>
      <c r="AE5">
        <v>0.88</v>
      </c>
      <c r="AF5">
        <v>0.69</v>
      </c>
      <c r="AG5" s="331">
        <v>0.98</v>
      </c>
      <c r="AH5">
        <v>0.89</v>
      </c>
      <c r="AI5">
        <v>0.89</v>
      </c>
      <c r="AJ5">
        <v>0.69</v>
      </c>
      <c r="AK5">
        <v>1</v>
      </c>
      <c r="AL5">
        <v>0.505</v>
      </c>
      <c r="AM5">
        <v>0.87</v>
      </c>
      <c r="AN5" s="328">
        <v>0.98499999999999999</v>
      </c>
      <c r="AO5" s="328">
        <v>0.96</v>
      </c>
      <c r="AP5" s="328">
        <v>0.99</v>
      </c>
      <c r="AQ5">
        <v>0.87</v>
      </c>
      <c r="AR5">
        <v>0.89</v>
      </c>
      <c r="AS5">
        <v>0.97699999999999998</v>
      </c>
      <c r="AT5" s="328">
        <v>0.92500000000000004</v>
      </c>
      <c r="AU5">
        <v>0.89</v>
      </c>
      <c r="AV5">
        <v>0.87</v>
      </c>
      <c r="AW5">
        <v>0.87</v>
      </c>
      <c r="AX5">
        <v>0.87</v>
      </c>
      <c r="AY5">
        <v>0.89</v>
      </c>
      <c r="AZ5">
        <v>0.89</v>
      </c>
      <c r="BA5">
        <v>0.87</v>
      </c>
      <c r="BB5" s="446">
        <v>1</v>
      </c>
      <c r="BC5">
        <v>1</v>
      </c>
      <c r="BD5">
        <v>1</v>
      </c>
      <c r="BE5">
        <v>1</v>
      </c>
      <c r="BF5">
        <v>0.99990000000000001</v>
      </c>
      <c r="BG5">
        <v>1</v>
      </c>
      <c r="BH5">
        <v>1</v>
      </c>
      <c r="BI5">
        <v>0.995</v>
      </c>
      <c r="BJ5">
        <v>0.999</v>
      </c>
      <c r="BK5">
        <v>0.998</v>
      </c>
      <c r="BL5">
        <v>0.99850000000000005</v>
      </c>
      <c r="BM5">
        <v>0.99850000000000005</v>
      </c>
      <c r="BN5">
        <v>0.97199999999999998</v>
      </c>
      <c r="BO5">
        <v>0.99990000000000001</v>
      </c>
      <c r="BP5">
        <v>0.99990000000000001</v>
      </c>
      <c r="BQ5">
        <v>1</v>
      </c>
      <c r="BR5">
        <v>1</v>
      </c>
      <c r="BS5">
        <v>1</v>
      </c>
      <c r="BT5">
        <v>1</v>
      </c>
      <c r="BU5">
        <v>1</v>
      </c>
      <c r="BV5">
        <v>1</v>
      </c>
      <c r="BW5">
        <v>1</v>
      </c>
      <c r="BX5">
        <v>1</v>
      </c>
      <c r="BY5">
        <v>1</v>
      </c>
      <c r="BZ5">
        <v>1</v>
      </c>
      <c r="CA5">
        <v>1</v>
      </c>
      <c r="CB5">
        <v>1</v>
      </c>
      <c r="CC5">
        <v>1</v>
      </c>
      <c r="CD5">
        <v>1</v>
      </c>
      <c r="CE5">
        <v>1</v>
      </c>
      <c r="CF5">
        <v>1</v>
      </c>
      <c r="CG5" s="332"/>
      <c r="CH5">
        <v>1</v>
      </c>
      <c r="CI5" s="332"/>
      <c r="CJ5" s="332"/>
      <c r="CK5" s="332"/>
      <c r="CL5" s="332"/>
      <c r="CM5" s="332"/>
      <c r="CN5" s="332"/>
      <c r="CO5" s="332"/>
      <c r="CP5">
        <v>0.89500000000000002</v>
      </c>
      <c r="CQ5">
        <v>0.86</v>
      </c>
      <c r="CR5">
        <v>0.87</v>
      </c>
      <c r="CS5">
        <v>0.92</v>
      </c>
      <c r="CT5">
        <v>0.999</v>
      </c>
      <c r="CU5">
        <v>0.57999999999999996</v>
      </c>
      <c r="CV5">
        <v>0.44</v>
      </c>
      <c r="CW5">
        <v>0.79500000000000004</v>
      </c>
      <c r="CX5">
        <v>0.49</v>
      </c>
      <c r="CY5">
        <v>0.505</v>
      </c>
      <c r="CZ5">
        <v>0.60499999999999998</v>
      </c>
      <c r="DA5">
        <v>0.63749999999999996</v>
      </c>
      <c r="DB5">
        <v>0.69</v>
      </c>
      <c r="DC5">
        <v>0.88</v>
      </c>
      <c r="DD5">
        <v>0.64</v>
      </c>
      <c r="DE5">
        <v>0.89</v>
      </c>
      <c r="DF5">
        <v>0.98499999999999999</v>
      </c>
      <c r="DG5">
        <v>0.96</v>
      </c>
      <c r="DH5">
        <v>0.99</v>
      </c>
      <c r="DI5">
        <v>0.92500000000000004</v>
      </c>
      <c r="DN5" s="332"/>
      <c r="DO5" s="332"/>
      <c r="DP5" s="332"/>
      <c r="DQ5" s="332"/>
      <c r="DR5" s="332"/>
      <c r="DS5" s="332"/>
      <c r="DT5" s="332"/>
      <c r="DU5" s="332"/>
      <c r="DV5" s="332"/>
      <c r="DW5" s="332"/>
      <c r="DX5" s="332"/>
      <c r="DY5" s="332"/>
      <c r="DZ5" s="332"/>
      <c r="EA5" s="332"/>
      <c r="EB5" s="332"/>
      <c r="ED5" s="332"/>
      <c r="EF5">
        <v>1</v>
      </c>
    </row>
    <row r="6" spans="1:136" x14ac:dyDescent="0.25">
      <c r="A6" s="66">
        <v>36557</v>
      </c>
      <c r="B6">
        <v>0.86499999999999999</v>
      </c>
      <c r="C6">
        <v>0.86</v>
      </c>
      <c r="D6">
        <v>0.89</v>
      </c>
      <c r="E6">
        <v>0.89</v>
      </c>
      <c r="F6">
        <v>0.97699999999999998</v>
      </c>
      <c r="G6">
        <v>0.57999999999999996</v>
      </c>
      <c r="H6">
        <v>0.44</v>
      </c>
      <c r="I6">
        <v>0.83499999999999996</v>
      </c>
      <c r="J6">
        <v>0.59499999999999997</v>
      </c>
      <c r="K6">
        <v>0.505</v>
      </c>
      <c r="L6" s="333">
        <v>0.63500000000000001</v>
      </c>
      <c r="M6" s="333">
        <v>0.66749999999999998</v>
      </c>
      <c r="N6">
        <v>0.71</v>
      </c>
      <c r="O6">
        <v>0.87749999999999995</v>
      </c>
      <c r="P6">
        <v>0.71</v>
      </c>
      <c r="Q6" s="328">
        <v>0.63500000000000001</v>
      </c>
      <c r="R6">
        <v>0.63500000000000001</v>
      </c>
      <c r="S6" s="333">
        <v>0.63500000000000001</v>
      </c>
      <c r="T6">
        <v>0.71</v>
      </c>
      <c r="U6">
        <v>0.71</v>
      </c>
      <c r="V6">
        <v>0.71</v>
      </c>
      <c r="W6">
        <v>0.71</v>
      </c>
      <c r="X6">
        <v>0.87749999999999995</v>
      </c>
      <c r="Y6">
        <v>0.87749999999999995</v>
      </c>
      <c r="Z6">
        <v>0.87749999999999995</v>
      </c>
      <c r="AA6">
        <v>0.87749999999999995</v>
      </c>
      <c r="AB6">
        <v>0.71</v>
      </c>
      <c r="AC6">
        <v>0.71</v>
      </c>
      <c r="AD6">
        <v>0.87749999999999995</v>
      </c>
      <c r="AE6">
        <v>0.87749999999999995</v>
      </c>
      <c r="AF6">
        <v>0.71</v>
      </c>
      <c r="AG6" s="331">
        <v>0.98</v>
      </c>
      <c r="AH6">
        <v>0.96120000000000005</v>
      </c>
      <c r="AI6">
        <v>0.96120000000000005</v>
      </c>
      <c r="AJ6">
        <v>0.71</v>
      </c>
      <c r="AK6">
        <v>1</v>
      </c>
      <c r="AL6">
        <v>0.505</v>
      </c>
      <c r="AM6">
        <v>0.89</v>
      </c>
      <c r="AN6" s="328">
        <v>0.98499999999999999</v>
      </c>
      <c r="AO6" s="328">
        <v>0.97</v>
      </c>
      <c r="AP6" s="328">
        <v>0.99</v>
      </c>
      <c r="AQ6">
        <v>0.89</v>
      </c>
      <c r="AR6">
        <v>0.96120000000000005</v>
      </c>
      <c r="AS6">
        <v>0.97699999999999998</v>
      </c>
      <c r="AT6" s="328">
        <v>0.93</v>
      </c>
      <c r="AU6">
        <v>0.96120000000000005</v>
      </c>
      <c r="AV6">
        <v>0.89</v>
      </c>
      <c r="AW6">
        <v>0.89</v>
      </c>
      <c r="AX6">
        <v>0.89</v>
      </c>
      <c r="AY6">
        <v>0.96120000000000005</v>
      </c>
      <c r="AZ6">
        <v>0.96120000000000005</v>
      </c>
      <c r="BA6">
        <v>0.89</v>
      </c>
      <c r="BB6" s="446">
        <v>1</v>
      </c>
      <c r="BC6">
        <v>1</v>
      </c>
      <c r="BD6">
        <v>1</v>
      </c>
      <c r="BE6">
        <v>1</v>
      </c>
      <c r="BF6">
        <v>0.99990000000000001</v>
      </c>
      <c r="BG6">
        <v>1</v>
      </c>
      <c r="BH6">
        <v>1</v>
      </c>
      <c r="BI6">
        <v>0.995</v>
      </c>
      <c r="BJ6">
        <v>0.999</v>
      </c>
      <c r="BK6">
        <v>0.998</v>
      </c>
      <c r="BL6">
        <v>0.99850000000000005</v>
      </c>
      <c r="BM6">
        <v>0.99850000000000005</v>
      </c>
      <c r="BN6">
        <v>0.97199999999999998</v>
      </c>
      <c r="BO6">
        <v>0.99990000000000001</v>
      </c>
      <c r="BP6">
        <v>0.99990000000000001</v>
      </c>
      <c r="BQ6">
        <v>1</v>
      </c>
      <c r="BR6">
        <v>1</v>
      </c>
      <c r="BS6">
        <v>1</v>
      </c>
      <c r="BT6">
        <v>1</v>
      </c>
      <c r="BU6">
        <v>1</v>
      </c>
      <c r="BV6">
        <v>1</v>
      </c>
      <c r="BW6">
        <v>1</v>
      </c>
      <c r="BX6">
        <v>1</v>
      </c>
      <c r="BY6">
        <v>1</v>
      </c>
      <c r="BZ6">
        <v>1</v>
      </c>
      <c r="CA6">
        <v>1</v>
      </c>
      <c r="CB6">
        <v>1</v>
      </c>
      <c r="CC6">
        <v>1</v>
      </c>
      <c r="CD6">
        <v>1</v>
      </c>
      <c r="CE6">
        <v>1</v>
      </c>
      <c r="CF6">
        <v>1</v>
      </c>
      <c r="CG6" s="332"/>
      <c r="CH6">
        <v>1.08</v>
      </c>
      <c r="CI6" s="332"/>
      <c r="CJ6" s="332"/>
      <c r="CK6" s="332"/>
      <c r="CL6" s="332"/>
      <c r="CM6" s="332"/>
      <c r="CN6" s="332"/>
      <c r="CO6" s="332"/>
      <c r="CP6">
        <v>0.86499999999999999</v>
      </c>
      <c r="CQ6">
        <v>0.86</v>
      </c>
      <c r="CR6">
        <v>0.89</v>
      </c>
      <c r="CS6">
        <v>0.93500000000000005</v>
      </c>
      <c r="CT6">
        <v>0.99895</v>
      </c>
      <c r="CU6">
        <v>0.57999999999999996</v>
      </c>
      <c r="CV6">
        <v>0.44</v>
      </c>
      <c r="CW6">
        <v>0.83499999999999996</v>
      </c>
      <c r="CX6">
        <v>0.59499999999999997</v>
      </c>
      <c r="CY6">
        <v>0.505</v>
      </c>
      <c r="CZ6">
        <v>0.63500000000000001</v>
      </c>
      <c r="DA6">
        <v>0.66749999999999998</v>
      </c>
      <c r="DB6">
        <v>0.71</v>
      </c>
      <c r="DC6">
        <v>0.87749999999999995</v>
      </c>
      <c r="DD6">
        <v>0.67</v>
      </c>
      <c r="DE6">
        <v>0.89</v>
      </c>
      <c r="DF6">
        <v>0.98499999999999999</v>
      </c>
      <c r="DG6">
        <v>0.97</v>
      </c>
      <c r="DH6">
        <v>0.99</v>
      </c>
      <c r="DI6">
        <v>0.93</v>
      </c>
      <c r="DN6" s="332"/>
      <c r="DO6" s="332"/>
      <c r="DP6" s="332"/>
      <c r="DQ6" s="332"/>
      <c r="DR6" s="332"/>
      <c r="DS6" s="332"/>
      <c r="DT6" s="332"/>
      <c r="DU6" s="332"/>
      <c r="DV6" s="332"/>
      <c r="DW6" s="332"/>
      <c r="DX6" s="332"/>
      <c r="DY6" s="332"/>
      <c r="DZ6" s="332"/>
      <c r="EA6" s="332"/>
      <c r="EB6" s="332"/>
      <c r="ED6" s="332">
        <v>0.08</v>
      </c>
      <c r="EF6">
        <v>1</v>
      </c>
    </row>
    <row r="7" spans="1:136" x14ac:dyDescent="0.25">
      <c r="A7" s="66">
        <v>36586</v>
      </c>
      <c r="B7">
        <v>0.91862999999999995</v>
      </c>
      <c r="C7">
        <v>0.91669999999999996</v>
      </c>
      <c r="D7">
        <v>0.98143499999999995</v>
      </c>
      <c r="E7">
        <v>0.98143499999999995</v>
      </c>
      <c r="F7">
        <v>0.97699999999999998</v>
      </c>
      <c r="G7">
        <v>0.98750000000000004</v>
      </c>
      <c r="H7">
        <v>0.96799999999999997</v>
      </c>
      <c r="I7">
        <v>0.86499999999999999</v>
      </c>
      <c r="J7">
        <v>0.98493750000000002</v>
      </c>
      <c r="K7">
        <v>0.98499999999999999</v>
      </c>
      <c r="L7" s="333">
        <v>0.98750000000000004</v>
      </c>
      <c r="M7" s="333">
        <v>0.98750000000000004</v>
      </c>
      <c r="N7">
        <v>0.98</v>
      </c>
      <c r="O7">
        <v>0.93600000000000005</v>
      </c>
      <c r="P7">
        <v>0.98</v>
      </c>
      <c r="Q7" s="328">
        <v>0.98750000000000004</v>
      </c>
      <c r="R7">
        <v>0.98750000000000004</v>
      </c>
      <c r="S7" s="333">
        <v>0.98750000000000004</v>
      </c>
      <c r="T7">
        <v>0.98</v>
      </c>
      <c r="U7">
        <v>0.98</v>
      </c>
      <c r="V7">
        <v>0.98</v>
      </c>
      <c r="W7">
        <v>0.98</v>
      </c>
      <c r="X7">
        <v>0.93600000000000005</v>
      </c>
      <c r="Y7">
        <v>0.93600000000000005</v>
      </c>
      <c r="Z7">
        <v>0.93600000000000005</v>
      </c>
      <c r="AA7">
        <v>0.93600000000000005</v>
      </c>
      <c r="AB7">
        <v>0.98</v>
      </c>
      <c r="AC7">
        <v>0.98</v>
      </c>
      <c r="AD7">
        <v>0.93600000000000005</v>
      </c>
      <c r="AE7">
        <v>0.93600000000000005</v>
      </c>
      <c r="AF7">
        <v>0.98</v>
      </c>
      <c r="AG7">
        <v>0.99</v>
      </c>
      <c r="AH7">
        <v>0.96253500000000003</v>
      </c>
      <c r="AI7">
        <v>0.96253500000000003</v>
      </c>
      <c r="AJ7">
        <v>0.98</v>
      </c>
      <c r="AK7">
        <v>1</v>
      </c>
      <c r="AL7">
        <v>0.98499999999999999</v>
      </c>
      <c r="AM7">
        <v>0.98143499999999995</v>
      </c>
      <c r="AN7" s="328">
        <v>0.98499999999999999</v>
      </c>
      <c r="AO7" s="328">
        <v>0.97</v>
      </c>
      <c r="AP7" s="328">
        <v>0.99</v>
      </c>
      <c r="AQ7" s="333">
        <v>0.98143499999999995</v>
      </c>
      <c r="AR7">
        <v>0.96253500000000003</v>
      </c>
      <c r="AS7">
        <v>0.97699999999999998</v>
      </c>
      <c r="AT7" s="328">
        <v>0.94499999999999995</v>
      </c>
      <c r="AU7">
        <v>0.96253500000000003</v>
      </c>
      <c r="AV7">
        <v>0.98143499999999995</v>
      </c>
      <c r="AW7">
        <v>0.98143499999999995</v>
      </c>
      <c r="AX7">
        <v>0.98143499999999995</v>
      </c>
      <c r="AY7">
        <v>0.96253500000000003</v>
      </c>
      <c r="AZ7">
        <v>0.96253500000000003</v>
      </c>
      <c r="BA7">
        <v>0.98143499999999995</v>
      </c>
      <c r="BB7" s="446">
        <v>1</v>
      </c>
      <c r="BC7">
        <v>1</v>
      </c>
      <c r="BD7">
        <v>1</v>
      </c>
      <c r="BE7">
        <v>1</v>
      </c>
      <c r="BF7">
        <v>0.99990000000000001</v>
      </c>
      <c r="BG7">
        <v>1</v>
      </c>
      <c r="BH7">
        <v>1</v>
      </c>
      <c r="BI7">
        <v>0.995</v>
      </c>
      <c r="BJ7">
        <v>0.999</v>
      </c>
      <c r="BK7">
        <v>0.998</v>
      </c>
      <c r="BL7">
        <v>0.99850000000000005</v>
      </c>
      <c r="BM7">
        <v>0.99850000000000005</v>
      </c>
      <c r="BN7">
        <v>0.97199999999999998</v>
      </c>
      <c r="BO7">
        <v>0.99990000000000001</v>
      </c>
      <c r="BP7">
        <v>0.99990000000000001</v>
      </c>
      <c r="BQ7">
        <v>1</v>
      </c>
      <c r="BR7">
        <v>1.0620000000000001</v>
      </c>
      <c r="BS7">
        <v>1.03</v>
      </c>
      <c r="BT7">
        <v>1.0785</v>
      </c>
      <c r="BU7">
        <v>1.0049999999999999</v>
      </c>
      <c r="BV7">
        <v>1</v>
      </c>
      <c r="BW7">
        <v>1.85</v>
      </c>
      <c r="BX7">
        <v>2.2000000000000002</v>
      </c>
      <c r="BY7">
        <v>1</v>
      </c>
      <c r="BZ7">
        <v>1.2875000000000001</v>
      </c>
      <c r="CA7">
        <v>1.98</v>
      </c>
      <c r="CB7">
        <v>1.46</v>
      </c>
      <c r="CC7">
        <v>1.46</v>
      </c>
      <c r="CD7">
        <v>1.2250000000000001</v>
      </c>
      <c r="CE7">
        <v>1.04</v>
      </c>
      <c r="CF7">
        <v>1.38</v>
      </c>
      <c r="CG7" s="332"/>
      <c r="CH7">
        <v>1.0814999999999999</v>
      </c>
      <c r="CI7" s="332"/>
      <c r="CJ7" s="332"/>
      <c r="CK7" s="332"/>
      <c r="CL7" s="332"/>
      <c r="CM7" s="332"/>
      <c r="CN7" s="332"/>
      <c r="CO7" s="332"/>
      <c r="CP7">
        <v>0.86499999999999999</v>
      </c>
      <c r="CQ7">
        <v>0.89</v>
      </c>
      <c r="CR7">
        <v>0.91</v>
      </c>
      <c r="CS7">
        <v>0.93500000000000005</v>
      </c>
      <c r="CT7">
        <v>0.99895</v>
      </c>
      <c r="CU7">
        <v>0.54</v>
      </c>
      <c r="CV7">
        <v>0.44</v>
      </c>
      <c r="CW7">
        <v>0.86499999999999999</v>
      </c>
      <c r="CX7">
        <v>0.76500000000000001</v>
      </c>
      <c r="CY7">
        <v>0.51500000000000001</v>
      </c>
      <c r="CZ7">
        <v>0.78500000000000003</v>
      </c>
      <c r="DA7">
        <v>0.8175</v>
      </c>
      <c r="DB7">
        <v>0.8</v>
      </c>
      <c r="DC7">
        <v>0.9</v>
      </c>
      <c r="DD7">
        <v>0.83</v>
      </c>
      <c r="DE7">
        <v>0.89</v>
      </c>
      <c r="DF7">
        <v>0.98499999999999999</v>
      </c>
      <c r="DG7">
        <v>0.97</v>
      </c>
      <c r="DH7">
        <v>0.99</v>
      </c>
      <c r="DI7">
        <v>0.94499999999999995</v>
      </c>
      <c r="DN7" s="332">
        <v>6.2E-2</v>
      </c>
      <c r="DO7" s="332">
        <v>0.03</v>
      </c>
      <c r="DP7" s="332">
        <v>7.85E-2</v>
      </c>
      <c r="DQ7" s="332">
        <v>5.0000000000000001E-3</v>
      </c>
      <c r="DR7" s="332">
        <v>0</v>
      </c>
      <c r="DS7" s="332">
        <v>0.85</v>
      </c>
      <c r="DT7" s="332">
        <v>1.2</v>
      </c>
      <c r="DU7" s="332">
        <v>0</v>
      </c>
      <c r="DV7" s="332">
        <v>0.28749999999999998</v>
      </c>
      <c r="DW7" s="332">
        <v>0.98</v>
      </c>
      <c r="DX7" s="332">
        <v>0.46</v>
      </c>
      <c r="DY7" s="332">
        <v>0.46</v>
      </c>
      <c r="DZ7" s="332">
        <v>0.22500000000000001</v>
      </c>
      <c r="EA7" s="332">
        <v>0.04</v>
      </c>
      <c r="EB7" s="332">
        <v>0.38</v>
      </c>
      <c r="ED7" s="332">
        <v>1.5E-3</v>
      </c>
      <c r="EF7">
        <v>1</v>
      </c>
    </row>
    <row r="8" spans="1:136" x14ac:dyDescent="0.25">
      <c r="A8" s="66">
        <v>36617</v>
      </c>
      <c r="B8">
        <v>0.95093749999999999</v>
      </c>
      <c r="C8">
        <v>0.95399999999999996</v>
      </c>
      <c r="D8">
        <v>0.98189000000000004</v>
      </c>
      <c r="E8">
        <v>0.98189000000000004</v>
      </c>
      <c r="F8">
        <v>0.97699999999999998</v>
      </c>
      <c r="G8">
        <v>0.88992000000000004</v>
      </c>
      <c r="H8">
        <v>0.90403770000000006</v>
      </c>
      <c r="I8">
        <v>0.92661875000000005</v>
      </c>
      <c r="J8">
        <v>0.97213799999999995</v>
      </c>
      <c r="K8">
        <v>0.98499999999999999</v>
      </c>
      <c r="L8" s="333">
        <v>0.98750000000000004</v>
      </c>
      <c r="M8" s="333">
        <v>0.98750000000000004</v>
      </c>
      <c r="N8">
        <v>0.98</v>
      </c>
      <c r="O8">
        <v>0.94047449999999999</v>
      </c>
      <c r="P8">
        <v>0.98</v>
      </c>
      <c r="Q8" s="328">
        <v>0.98750000000000004</v>
      </c>
      <c r="R8">
        <v>0.98750000000000004</v>
      </c>
      <c r="S8" s="333">
        <v>0.98750000000000004</v>
      </c>
      <c r="T8">
        <v>0.98</v>
      </c>
      <c r="U8">
        <v>0.98</v>
      </c>
      <c r="V8">
        <v>0.98</v>
      </c>
      <c r="W8">
        <v>0.98</v>
      </c>
      <c r="X8">
        <v>0.94047449999999999</v>
      </c>
      <c r="Y8">
        <v>0.94047449999999999</v>
      </c>
      <c r="Z8">
        <v>0.94047449999999999</v>
      </c>
      <c r="AA8">
        <v>0.94047449999999999</v>
      </c>
      <c r="AB8">
        <v>0.98</v>
      </c>
      <c r="AC8">
        <v>0.98</v>
      </c>
      <c r="AD8">
        <v>0.94047449999999999</v>
      </c>
      <c r="AE8">
        <v>0.94047449999999999</v>
      </c>
      <c r="AF8">
        <v>0.98</v>
      </c>
      <c r="AG8">
        <v>0.99</v>
      </c>
      <c r="AH8">
        <v>0.963781</v>
      </c>
      <c r="AI8">
        <v>0.963781</v>
      </c>
      <c r="AJ8">
        <v>0.98</v>
      </c>
      <c r="AK8">
        <v>1</v>
      </c>
      <c r="AL8">
        <v>0.98499999999999999</v>
      </c>
      <c r="AM8">
        <v>0.98189000000000004</v>
      </c>
      <c r="AN8" s="328">
        <v>0.98499999999999999</v>
      </c>
      <c r="AO8" s="328">
        <v>0.99</v>
      </c>
      <c r="AP8" s="328">
        <v>0.99</v>
      </c>
      <c r="AQ8">
        <v>0.98189000000000004</v>
      </c>
      <c r="AR8">
        <v>0.963781</v>
      </c>
      <c r="AS8">
        <v>0.97699999999999998</v>
      </c>
      <c r="AT8" s="328">
        <v>0.97</v>
      </c>
      <c r="AU8">
        <v>0.963781</v>
      </c>
      <c r="AV8">
        <v>0.98189000000000004</v>
      </c>
      <c r="AW8">
        <v>0.98189000000000004</v>
      </c>
      <c r="AX8">
        <v>0.98189000000000004</v>
      </c>
      <c r="AY8">
        <v>0.963781</v>
      </c>
      <c r="AZ8">
        <v>0.963781</v>
      </c>
      <c r="BA8">
        <v>0.98189000000000004</v>
      </c>
      <c r="BB8" s="446">
        <v>1</v>
      </c>
      <c r="BC8">
        <v>1</v>
      </c>
      <c r="BD8">
        <v>1</v>
      </c>
      <c r="BE8">
        <v>1</v>
      </c>
      <c r="BF8">
        <v>0.99990000000000001</v>
      </c>
      <c r="BG8">
        <v>1</v>
      </c>
      <c r="BH8">
        <v>1</v>
      </c>
      <c r="BI8">
        <v>0.995</v>
      </c>
      <c r="BJ8">
        <v>0.999</v>
      </c>
      <c r="BK8">
        <v>0.998</v>
      </c>
      <c r="BL8">
        <v>0.99850000000000005</v>
      </c>
      <c r="BM8">
        <v>0.99850000000000005</v>
      </c>
      <c r="BN8">
        <v>0.97199999999999998</v>
      </c>
      <c r="BO8">
        <v>0.99990000000000001</v>
      </c>
      <c r="BP8">
        <v>0.99990000000000001</v>
      </c>
      <c r="BQ8">
        <v>1</v>
      </c>
      <c r="BR8">
        <v>1.0625</v>
      </c>
      <c r="BS8">
        <v>1.06</v>
      </c>
      <c r="BT8">
        <v>1.079</v>
      </c>
      <c r="BU8">
        <v>1.0051000000000001</v>
      </c>
      <c r="BV8">
        <v>1</v>
      </c>
      <c r="BW8">
        <v>1.8540000000000001</v>
      </c>
      <c r="BX8">
        <v>2.2049699999999999</v>
      </c>
      <c r="BY8">
        <v>1.0017499999999999</v>
      </c>
      <c r="BZ8">
        <v>1.2876000000000001</v>
      </c>
      <c r="CA8">
        <v>1.9815</v>
      </c>
      <c r="CB8">
        <v>1.4615</v>
      </c>
      <c r="CC8">
        <v>1.4615</v>
      </c>
      <c r="CD8">
        <v>1.2264999999999999</v>
      </c>
      <c r="CE8">
        <v>1.0415000000000001</v>
      </c>
      <c r="CF8">
        <v>1.3815</v>
      </c>
      <c r="CG8" s="332"/>
      <c r="CH8">
        <v>1.0829</v>
      </c>
      <c r="CI8" s="332"/>
      <c r="CJ8" s="332"/>
      <c r="CK8" s="332"/>
      <c r="CL8" s="332"/>
      <c r="CM8" s="332"/>
      <c r="CN8" s="332"/>
      <c r="CO8" s="332"/>
      <c r="CP8">
        <v>0.89500000000000002</v>
      </c>
      <c r="CQ8">
        <v>0.9</v>
      </c>
      <c r="CR8">
        <v>0.91</v>
      </c>
      <c r="CS8">
        <v>0.96</v>
      </c>
      <c r="CT8">
        <v>0.99895</v>
      </c>
      <c r="CU8">
        <v>0.48</v>
      </c>
      <c r="CV8">
        <v>0.41</v>
      </c>
      <c r="CW8">
        <v>0.92500000000000004</v>
      </c>
      <c r="CX8">
        <v>0.755</v>
      </c>
      <c r="CY8">
        <v>0.57499999999999996</v>
      </c>
      <c r="CZ8">
        <v>0.89500000000000002</v>
      </c>
      <c r="DA8">
        <v>0.92749999999999999</v>
      </c>
      <c r="DB8">
        <v>0.85</v>
      </c>
      <c r="DC8">
        <v>0.90300000000000002</v>
      </c>
      <c r="DD8">
        <v>0.92</v>
      </c>
      <c r="DE8">
        <v>0.89</v>
      </c>
      <c r="DF8">
        <v>0.98499999999999999</v>
      </c>
      <c r="DG8">
        <v>0.99</v>
      </c>
      <c r="DH8">
        <v>0.99</v>
      </c>
      <c r="DI8">
        <v>0.97</v>
      </c>
      <c r="DN8" s="332">
        <v>5.0000000000000001E-4</v>
      </c>
      <c r="DO8" s="332">
        <v>0.03</v>
      </c>
      <c r="DP8" s="332">
        <v>5.0000000000000001E-4</v>
      </c>
      <c r="DQ8" s="332">
        <v>1E-4</v>
      </c>
      <c r="DR8" s="332">
        <v>0</v>
      </c>
      <c r="DS8" s="332">
        <v>4.0000000000000001E-3</v>
      </c>
      <c r="DT8" s="332">
        <v>4.9699999999999996E-3</v>
      </c>
      <c r="DU8" s="332">
        <v>1.75E-3</v>
      </c>
      <c r="DV8" s="332">
        <v>1E-4</v>
      </c>
      <c r="DW8" s="332">
        <v>1.5E-3</v>
      </c>
      <c r="DX8" s="332">
        <v>1.5E-3</v>
      </c>
      <c r="DY8" s="332">
        <v>1.5E-3</v>
      </c>
      <c r="DZ8" s="332">
        <v>1.5E-3</v>
      </c>
      <c r="EA8" s="332">
        <v>1.5E-3</v>
      </c>
      <c r="EB8" s="332">
        <v>1.5E-3</v>
      </c>
      <c r="ED8" s="332">
        <v>1.4E-3</v>
      </c>
      <c r="EF8">
        <v>1</v>
      </c>
    </row>
    <row r="9" spans="1:136" x14ac:dyDescent="0.25">
      <c r="A9" s="66">
        <v>36647</v>
      </c>
      <c r="B9">
        <v>0.98799999999999999</v>
      </c>
      <c r="C9">
        <v>0.98280000000000001</v>
      </c>
      <c r="D9">
        <v>0.97155000000000002</v>
      </c>
      <c r="E9">
        <v>0.97155000000000002</v>
      </c>
      <c r="F9">
        <v>0.97699999999999998</v>
      </c>
      <c r="G9">
        <v>0.63168599999999997</v>
      </c>
      <c r="H9">
        <v>0.90598520000000005</v>
      </c>
      <c r="I9">
        <v>0.92823750000000005</v>
      </c>
      <c r="J9">
        <v>0.84344350000000001</v>
      </c>
      <c r="K9">
        <v>0.98499999999999999</v>
      </c>
      <c r="L9" s="333">
        <v>0.98750000000000004</v>
      </c>
      <c r="M9" s="333">
        <v>0.98750000000000004</v>
      </c>
      <c r="N9">
        <v>0.98</v>
      </c>
      <c r="O9">
        <v>0.93861000000000006</v>
      </c>
      <c r="P9">
        <v>0.98</v>
      </c>
      <c r="Q9" s="328">
        <v>0.98750000000000004</v>
      </c>
      <c r="R9">
        <v>0.98750000000000004</v>
      </c>
      <c r="S9" s="333">
        <v>0.98750000000000004</v>
      </c>
      <c r="T9">
        <v>0.98</v>
      </c>
      <c r="U9">
        <v>0.98</v>
      </c>
      <c r="V9">
        <v>0.98</v>
      </c>
      <c r="W9">
        <v>0.98</v>
      </c>
      <c r="X9">
        <v>0.93861000000000006</v>
      </c>
      <c r="Y9">
        <v>0.93861000000000006</v>
      </c>
      <c r="Z9">
        <v>0.93861000000000006</v>
      </c>
      <c r="AA9">
        <v>0.93861000000000006</v>
      </c>
      <c r="AB9">
        <v>0.98</v>
      </c>
      <c r="AC9">
        <v>0.98</v>
      </c>
      <c r="AD9">
        <v>0.93861000000000006</v>
      </c>
      <c r="AE9">
        <v>0.93861000000000006</v>
      </c>
      <c r="AF9">
        <v>0.98</v>
      </c>
      <c r="AG9">
        <v>0.99</v>
      </c>
      <c r="AH9">
        <v>0.96494245000000001</v>
      </c>
      <c r="AI9">
        <v>0.96494245000000001</v>
      </c>
      <c r="AJ9">
        <v>0.98</v>
      </c>
      <c r="AK9">
        <v>1</v>
      </c>
      <c r="AL9">
        <v>0.98499999999999999</v>
      </c>
      <c r="AM9">
        <v>0.97155000000000002</v>
      </c>
      <c r="AN9" s="328">
        <v>0.98499999999999999</v>
      </c>
      <c r="AO9" s="328">
        <v>0.99</v>
      </c>
      <c r="AP9" s="328">
        <v>0.99</v>
      </c>
      <c r="AQ9">
        <v>0.97155000000000002</v>
      </c>
      <c r="AR9">
        <v>0.96494245000000001</v>
      </c>
      <c r="AS9">
        <v>0.97699999999999998</v>
      </c>
      <c r="AT9" s="328">
        <v>0.97</v>
      </c>
      <c r="AU9">
        <v>0.96494245000000001</v>
      </c>
      <c r="AV9">
        <v>0.97155000000000002</v>
      </c>
      <c r="AW9">
        <v>0.97155000000000002</v>
      </c>
      <c r="AX9">
        <v>0.97155000000000002</v>
      </c>
      <c r="AY9">
        <v>0.96494245000000001</v>
      </c>
      <c r="AZ9">
        <v>0.96494245000000001</v>
      </c>
      <c r="BA9">
        <v>0.97155000000000002</v>
      </c>
      <c r="BB9" s="446">
        <v>1</v>
      </c>
      <c r="BC9">
        <v>1</v>
      </c>
      <c r="BD9">
        <v>1</v>
      </c>
      <c r="BE9">
        <v>1</v>
      </c>
      <c r="BF9">
        <v>0.99990000000000001</v>
      </c>
      <c r="BG9">
        <v>1</v>
      </c>
      <c r="BH9">
        <v>1</v>
      </c>
      <c r="BI9">
        <v>0.995</v>
      </c>
      <c r="BJ9">
        <v>0.999</v>
      </c>
      <c r="BK9">
        <v>0.998</v>
      </c>
      <c r="BL9">
        <v>0.99850000000000005</v>
      </c>
      <c r="BM9">
        <v>0.99850000000000005</v>
      </c>
      <c r="BN9">
        <v>0.97199999999999998</v>
      </c>
      <c r="BO9">
        <v>0.99990000000000001</v>
      </c>
      <c r="BP9">
        <v>0.99990000000000001</v>
      </c>
      <c r="BQ9">
        <v>1</v>
      </c>
      <c r="BR9">
        <v>1.0629900000000001</v>
      </c>
      <c r="BS9">
        <v>1.08</v>
      </c>
      <c r="BT9">
        <v>1.0794999999999999</v>
      </c>
      <c r="BU9">
        <v>1.0052000000000001</v>
      </c>
      <c r="BV9">
        <v>1</v>
      </c>
      <c r="BW9">
        <v>1.8579000000000001</v>
      </c>
      <c r="BX9">
        <v>2.2097199999999999</v>
      </c>
      <c r="BY9">
        <v>1.0035000000000001</v>
      </c>
      <c r="BZ9">
        <v>1.2877000000000001</v>
      </c>
      <c r="CA9">
        <v>1.9830000000000001</v>
      </c>
      <c r="CB9">
        <v>1.4629000000000001</v>
      </c>
      <c r="CC9">
        <v>1.4629000000000001</v>
      </c>
      <c r="CD9">
        <v>1.2279</v>
      </c>
      <c r="CE9">
        <v>1.0428999999999999</v>
      </c>
      <c r="CF9">
        <v>1.3829</v>
      </c>
      <c r="CG9" s="332"/>
      <c r="CH9">
        <v>1.0842050000000001</v>
      </c>
      <c r="CI9" s="332"/>
      <c r="CJ9" s="332"/>
      <c r="CK9" s="332"/>
      <c r="CL9" s="332"/>
      <c r="CM9" s="332"/>
      <c r="CN9" s="332"/>
      <c r="CO9" s="332"/>
      <c r="CP9">
        <v>0.96499999999999997</v>
      </c>
      <c r="CQ9">
        <v>0.91</v>
      </c>
      <c r="CR9">
        <v>0.9</v>
      </c>
      <c r="CS9">
        <v>0.97</v>
      </c>
      <c r="CT9">
        <v>0.99895</v>
      </c>
      <c r="CU9">
        <v>0.34</v>
      </c>
      <c r="CV9">
        <v>0.41</v>
      </c>
      <c r="CW9">
        <v>0.92500000000000004</v>
      </c>
      <c r="CX9">
        <v>0.65500000000000003</v>
      </c>
      <c r="CY9">
        <v>0.625</v>
      </c>
      <c r="CZ9">
        <v>0.91749999999999998</v>
      </c>
      <c r="DA9">
        <v>0.95</v>
      </c>
      <c r="DB9">
        <v>0.88</v>
      </c>
      <c r="DC9">
        <v>0.9</v>
      </c>
      <c r="DD9">
        <v>0.93500000000000005</v>
      </c>
      <c r="DE9">
        <v>0.89</v>
      </c>
      <c r="DF9">
        <v>0.98499999999999999</v>
      </c>
      <c r="DG9">
        <v>0.99</v>
      </c>
      <c r="DH9">
        <v>0.99</v>
      </c>
      <c r="DI9">
        <v>0.97</v>
      </c>
      <c r="DN9" s="332">
        <v>4.8999999999999998E-4</v>
      </c>
      <c r="DO9" s="332">
        <v>0.02</v>
      </c>
      <c r="DP9" s="332">
        <v>5.0000000000000001E-4</v>
      </c>
      <c r="DQ9" s="332">
        <v>1E-4</v>
      </c>
      <c r="DR9" s="332">
        <v>0</v>
      </c>
      <c r="DS9" s="332">
        <v>3.8999999999999998E-3</v>
      </c>
      <c r="DT9" s="332">
        <v>4.7499999999999999E-3</v>
      </c>
      <c r="DU9" s="332">
        <v>1.75E-3</v>
      </c>
      <c r="DV9" s="332">
        <v>1E-4</v>
      </c>
      <c r="DW9" s="332">
        <v>1.5E-3</v>
      </c>
      <c r="DX9" s="332">
        <v>1.4E-3</v>
      </c>
      <c r="DY9" s="332">
        <v>1.4E-3</v>
      </c>
      <c r="DZ9" s="332">
        <v>1.4E-3</v>
      </c>
      <c r="EA9" s="332">
        <v>1.4E-3</v>
      </c>
      <c r="EB9" s="332">
        <v>1.4E-3</v>
      </c>
      <c r="ED9" s="332">
        <v>1.305E-3</v>
      </c>
      <c r="EF9">
        <v>1</v>
      </c>
    </row>
    <row r="10" spans="1:136" x14ac:dyDescent="0.25">
      <c r="A10" s="66">
        <v>36678</v>
      </c>
      <c r="B10">
        <v>0.98799999999999999</v>
      </c>
      <c r="C10">
        <v>0.98799999999999999</v>
      </c>
      <c r="D10">
        <v>0.97199999999999998</v>
      </c>
      <c r="E10">
        <v>0.97199999999999998</v>
      </c>
      <c r="F10">
        <v>0.97699999999999998</v>
      </c>
      <c r="G10">
        <v>0.63297800000000004</v>
      </c>
      <c r="H10">
        <v>0.98750000000000004</v>
      </c>
      <c r="I10">
        <v>0.92985625000000005</v>
      </c>
      <c r="J10">
        <v>0.727607</v>
      </c>
      <c r="K10">
        <v>0.98499999999999999</v>
      </c>
      <c r="L10" s="333">
        <v>0.98750000000000004</v>
      </c>
      <c r="M10" s="333">
        <v>0.98750000000000004</v>
      </c>
      <c r="N10">
        <v>0.98</v>
      </c>
      <c r="O10">
        <v>0.94239501299999995</v>
      </c>
      <c r="P10">
        <v>0.98</v>
      </c>
      <c r="Q10" s="328">
        <v>0.98750000000000004</v>
      </c>
      <c r="R10">
        <v>0.98750000000000004</v>
      </c>
      <c r="S10" s="333">
        <v>0.98750000000000004</v>
      </c>
      <c r="T10">
        <v>0.98</v>
      </c>
      <c r="U10">
        <v>0.98</v>
      </c>
      <c r="V10">
        <v>0.98</v>
      </c>
      <c r="W10">
        <v>0.98</v>
      </c>
      <c r="X10">
        <v>0.94239501299999995</v>
      </c>
      <c r="Y10">
        <v>0.94239501299999995</v>
      </c>
      <c r="Z10">
        <v>0.94239501299999995</v>
      </c>
      <c r="AA10">
        <v>0.94239501299999995</v>
      </c>
      <c r="AB10">
        <v>0.98</v>
      </c>
      <c r="AC10">
        <v>0.98</v>
      </c>
      <c r="AD10">
        <v>0.94239501299999995</v>
      </c>
      <c r="AE10">
        <v>0.94239501299999995</v>
      </c>
      <c r="AF10">
        <v>0.98</v>
      </c>
      <c r="AG10">
        <v>0.99</v>
      </c>
      <c r="AH10">
        <v>0.96601044999999996</v>
      </c>
      <c r="AI10">
        <v>0.96601044999999996</v>
      </c>
      <c r="AJ10">
        <v>0.98</v>
      </c>
      <c r="AK10">
        <v>1</v>
      </c>
      <c r="AL10">
        <v>0.98499999999999999</v>
      </c>
      <c r="AM10">
        <v>0.97199999999999998</v>
      </c>
      <c r="AN10" s="328">
        <v>0.98499999999999999</v>
      </c>
      <c r="AO10" s="328">
        <v>0.99</v>
      </c>
      <c r="AP10" s="328">
        <v>0.99</v>
      </c>
      <c r="AQ10">
        <v>0.97199999999999998</v>
      </c>
      <c r="AR10">
        <v>0.96601044999999996</v>
      </c>
      <c r="AS10">
        <v>0.97699999999999998</v>
      </c>
      <c r="AT10" s="328">
        <v>0.97</v>
      </c>
      <c r="AU10">
        <v>0.96601044999999996</v>
      </c>
      <c r="AV10">
        <v>0.97199999999999998</v>
      </c>
      <c r="AW10">
        <v>0.97199999999999998</v>
      </c>
      <c r="AX10">
        <v>0.97199999999999998</v>
      </c>
      <c r="AY10">
        <v>0.96601044999999996</v>
      </c>
      <c r="AZ10">
        <v>0.96601044999999996</v>
      </c>
      <c r="BA10">
        <v>0.97199999999999998</v>
      </c>
      <c r="BB10" s="446">
        <v>1</v>
      </c>
      <c r="BC10">
        <v>1</v>
      </c>
      <c r="BD10">
        <v>1</v>
      </c>
      <c r="BE10">
        <v>1</v>
      </c>
      <c r="BF10">
        <v>0.99990000000000001</v>
      </c>
      <c r="BG10">
        <v>1</v>
      </c>
      <c r="BH10">
        <v>1</v>
      </c>
      <c r="BI10">
        <v>0.995</v>
      </c>
      <c r="BJ10">
        <v>0.999</v>
      </c>
      <c r="BK10">
        <v>0.998</v>
      </c>
      <c r="BL10">
        <v>0.99850000000000005</v>
      </c>
      <c r="BM10">
        <v>0.99850000000000005</v>
      </c>
      <c r="BN10">
        <v>0.97199999999999998</v>
      </c>
      <c r="BO10">
        <v>0.99990000000000001</v>
      </c>
      <c r="BP10">
        <v>0.99990000000000001</v>
      </c>
      <c r="BQ10">
        <v>1</v>
      </c>
      <c r="BR10">
        <v>1.0634701</v>
      </c>
      <c r="BS10">
        <v>1.0900000000000001</v>
      </c>
      <c r="BT10">
        <v>1.08</v>
      </c>
      <c r="BU10">
        <v>1.0053000000000001</v>
      </c>
      <c r="BV10">
        <v>1</v>
      </c>
      <c r="BW10">
        <v>1.8616999999999999</v>
      </c>
      <c r="BX10">
        <v>2.2141199999999999</v>
      </c>
      <c r="BY10">
        <v>1.00525</v>
      </c>
      <c r="BZ10">
        <v>1.2878000000000001</v>
      </c>
      <c r="CA10">
        <v>1.9844999999999999</v>
      </c>
      <c r="CB10">
        <v>1.464205</v>
      </c>
      <c r="CC10">
        <v>1.464205</v>
      </c>
      <c r="CD10">
        <v>1.2292050000000001</v>
      </c>
      <c r="CE10">
        <v>1.044205</v>
      </c>
      <c r="CF10">
        <v>1.3842049999999999</v>
      </c>
      <c r="CG10" s="332"/>
      <c r="CH10">
        <v>1.085405</v>
      </c>
      <c r="CI10" s="332"/>
      <c r="CJ10" s="332"/>
      <c r="CK10" s="332"/>
      <c r="CL10" s="332"/>
      <c r="CM10" s="332"/>
      <c r="CN10" s="332"/>
      <c r="CO10" s="332"/>
      <c r="CP10">
        <v>0.96499999999999997</v>
      </c>
      <c r="CQ10">
        <v>0.91</v>
      </c>
      <c r="CR10">
        <v>0.9</v>
      </c>
      <c r="CS10">
        <v>0.98</v>
      </c>
      <c r="CT10">
        <v>0.99895</v>
      </c>
      <c r="CU10">
        <v>0.34</v>
      </c>
      <c r="CV10">
        <v>0.46</v>
      </c>
      <c r="CW10">
        <v>0.92500000000000004</v>
      </c>
      <c r="CX10">
        <v>0.56499999999999995</v>
      </c>
      <c r="CY10">
        <v>0.72499999999999998</v>
      </c>
      <c r="CZ10">
        <v>0.88249999999999995</v>
      </c>
      <c r="DA10">
        <v>0.91500000000000004</v>
      </c>
      <c r="DB10">
        <v>0.88</v>
      </c>
      <c r="DC10">
        <v>0.90249999999999997</v>
      </c>
      <c r="DD10">
        <v>0.91500000000000004</v>
      </c>
      <c r="DE10">
        <v>0.89</v>
      </c>
      <c r="DF10">
        <v>0.98499999999999999</v>
      </c>
      <c r="DG10">
        <v>0.99</v>
      </c>
      <c r="DH10">
        <v>0.99</v>
      </c>
      <c r="DI10">
        <v>0.97</v>
      </c>
      <c r="DN10" s="332">
        <v>4.8010000000000001E-4</v>
      </c>
      <c r="DO10" s="332">
        <v>0.01</v>
      </c>
      <c r="DP10" s="332">
        <v>5.0000000000000001E-4</v>
      </c>
      <c r="DQ10" s="332">
        <v>1E-4</v>
      </c>
      <c r="DR10" s="332">
        <v>0</v>
      </c>
      <c r="DS10" s="332">
        <v>3.8E-3</v>
      </c>
      <c r="DT10" s="332">
        <v>4.4000000000000003E-3</v>
      </c>
      <c r="DU10" s="332">
        <v>1.75E-3</v>
      </c>
      <c r="DV10" s="332">
        <v>1E-4</v>
      </c>
      <c r="DW10" s="332">
        <v>1.5E-3</v>
      </c>
      <c r="DX10" s="332">
        <v>1.305E-3</v>
      </c>
      <c r="DY10" s="332">
        <v>1.305E-3</v>
      </c>
      <c r="DZ10" s="332">
        <v>1.305E-3</v>
      </c>
      <c r="EA10" s="332">
        <v>1.305E-3</v>
      </c>
      <c r="EB10" s="332">
        <v>1.305E-3</v>
      </c>
      <c r="ED10" s="332">
        <v>1.1999999999999999E-3</v>
      </c>
      <c r="EF10">
        <v>1</v>
      </c>
    </row>
    <row r="11" spans="1:136" x14ac:dyDescent="0.25">
      <c r="A11" s="66">
        <v>36708</v>
      </c>
      <c r="B11">
        <v>0.98799999999999999</v>
      </c>
      <c r="C11">
        <v>0.98799999999999999</v>
      </c>
      <c r="D11">
        <v>0.97245000000000004</v>
      </c>
      <c r="E11">
        <v>0.97245000000000004</v>
      </c>
      <c r="F11">
        <v>0.97699999999999998</v>
      </c>
      <c r="G11">
        <v>0.76481399999999999</v>
      </c>
      <c r="H11">
        <v>0.98750000000000004</v>
      </c>
      <c r="I11">
        <v>0.93147500000000005</v>
      </c>
      <c r="J11">
        <v>0.75342149999999997</v>
      </c>
      <c r="K11">
        <v>0.98499999999999999</v>
      </c>
      <c r="L11" s="333">
        <v>0.98750000000000004</v>
      </c>
      <c r="M11" s="333">
        <v>0.98750000000000004</v>
      </c>
      <c r="N11">
        <v>0.98</v>
      </c>
      <c r="O11">
        <v>0.94870503799999994</v>
      </c>
      <c r="P11">
        <v>0.98</v>
      </c>
      <c r="Q11" s="328">
        <v>0.98750000000000004</v>
      </c>
      <c r="R11">
        <v>0.98750000000000004</v>
      </c>
      <c r="S11" s="333">
        <v>0.98750000000000004</v>
      </c>
      <c r="T11">
        <v>0.98</v>
      </c>
      <c r="U11">
        <v>0.98</v>
      </c>
      <c r="V11">
        <v>0.98</v>
      </c>
      <c r="W11">
        <v>0.98</v>
      </c>
      <c r="X11">
        <v>0.94870503799999994</v>
      </c>
      <c r="Y11">
        <v>0.94870503799999994</v>
      </c>
      <c r="Z11">
        <v>0.94870503799999994</v>
      </c>
      <c r="AA11">
        <v>0.94870503799999994</v>
      </c>
      <c r="AB11">
        <v>0.98</v>
      </c>
      <c r="AC11">
        <v>0.98</v>
      </c>
      <c r="AD11">
        <v>0.94870503799999994</v>
      </c>
      <c r="AE11">
        <v>0.94870503799999994</v>
      </c>
      <c r="AF11">
        <v>0.98</v>
      </c>
      <c r="AG11">
        <v>0.99</v>
      </c>
      <c r="AH11">
        <v>0.96698945000000003</v>
      </c>
      <c r="AI11">
        <v>0.96698945000000003</v>
      </c>
      <c r="AJ11">
        <v>0.98</v>
      </c>
      <c r="AK11">
        <v>1</v>
      </c>
      <c r="AL11">
        <v>0.98499999999999999</v>
      </c>
      <c r="AM11">
        <v>0.97245000000000004</v>
      </c>
      <c r="AN11" s="328">
        <v>0.98499999999999999</v>
      </c>
      <c r="AO11" s="328">
        <v>0.99</v>
      </c>
      <c r="AP11" s="328">
        <v>0.99</v>
      </c>
      <c r="AQ11">
        <v>0.97245000000000004</v>
      </c>
      <c r="AR11">
        <v>0.96698945000000003</v>
      </c>
      <c r="AS11">
        <v>0.97699999999999998</v>
      </c>
      <c r="AT11" s="328">
        <v>0.97</v>
      </c>
      <c r="AU11">
        <v>0.96698945000000003</v>
      </c>
      <c r="AV11">
        <v>0.97245000000000004</v>
      </c>
      <c r="AW11">
        <v>0.97245000000000004</v>
      </c>
      <c r="AX11">
        <v>0.97245000000000004</v>
      </c>
      <c r="AY11">
        <v>0.96698945000000003</v>
      </c>
      <c r="AZ11">
        <v>0.96698945000000003</v>
      </c>
      <c r="BA11">
        <v>0.97245000000000004</v>
      </c>
      <c r="BB11" s="446">
        <v>1</v>
      </c>
      <c r="BC11">
        <v>1</v>
      </c>
      <c r="BD11">
        <v>1</v>
      </c>
      <c r="BE11">
        <v>1</v>
      </c>
      <c r="BF11">
        <v>0.99990000000000001</v>
      </c>
      <c r="BG11">
        <v>1</v>
      </c>
      <c r="BH11">
        <v>1</v>
      </c>
      <c r="BI11">
        <v>0.995</v>
      </c>
      <c r="BJ11">
        <v>0.999</v>
      </c>
      <c r="BK11">
        <v>0.998</v>
      </c>
      <c r="BL11">
        <v>0.99850000000000005</v>
      </c>
      <c r="BM11">
        <v>0.99850000000000005</v>
      </c>
      <c r="BN11">
        <v>0.97199999999999998</v>
      </c>
      <c r="BO11">
        <v>0.99990000000000001</v>
      </c>
      <c r="BP11">
        <v>0.99990000000000001</v>
      </c>
      <c r="BQ11">
        <v>1</v>
      </c>
      <c r="BR11">
        <v>1.0639400999999999</v>
      </c>
      <c r="BS11">
        <v>1.0902000000000001</v>
      </c>
      <c r="BT11">
        <v>1.0805</v>
      </c>
      <c r="BU11">
        <v>1.0054000000000001</v>
      </c>
      <c r="BV11">
        <v>1</v>
      </c>
      <c r="BW11">
        <v>1.8653999999999999</v>
      </c>
      <c r="BX11">
        <v>2.2183199999999998</v>
      </c>
      <c r="BY11">
        <v>1.0069999999999999</v>
      </c>
      <c r="BZ11">
        <v>1.2879</v>
      </c>
      <c r="CA11">
        <v>1.986</v>
      </c>
      <c r="CB11">
        <v>1.4654050000000001</v>
      </c>
      <c r="CC11">
        <v>1.4654050000000001</v>
      </c>
      <c r="CD11">
        <v>1.230405</v>
      </c>
      <c r="CE11">
        <v>1.0454049999999999</v>
      </c>
      <c r="CF11">
        <v>1.385405</v>
      </c>
      <c r="CG11" s="332"/>
      <c r="CH11">
        <v>1.0865050000000001</v>
      </c>
      <c r="CI11" s="332"/>
      <c r="CJ11" s="332"/>
      <c r="CK11" s="332"/>
      <c r="CL11" s="332"/>
      <c r="CM11" s="332"/>
      <c r="CN11" s="332"/>
      <c r="CO11" s="332"/>
      <c r="CP11">
        <v>0.97499999999999998</v>
      </c>
      <c r="CQ11">
        <v>0.91</v>
      </c>
      <c r="CR11">
        <v>0.9</v>
      </c>
      <c r="CS11">
        <v>0.97</v>
      </c>
      <c r="CT11">
        <v>0.99895</v>
      </c>
      <c r="CU11">
        <v>0.41</v>
      </c>
      <c r="CV11">
        <v>0.46</v>
      </c>
      <c r="CW11">
        <v>0.92500000000000004</v>
      </c>
      <c r="CX11">
        <v>0.58499999999999996</v>
      </c>
      <c r="CY11">
        <v>0.72499999999999998</v>
      </c>
      <c r="CZ11">
        <v>0.87749999999999995</v>
      </c>
      <c r="DA11">
        <v>0.91</v>
      </c>
      <c r="DB11">
        <v>0.89</v>
      </c>
      <c r="DC11">
        <v>0.90749999999999997</v>
      </c>
      <c r="DD11">
        <v>0.91500000000000004</v>
      </c>
      <c r="DE11">
        <v>0.89</v>
      </c>
      <c r="DF11">
        <v>0.98499999999999999</v>
      </c>
      <c r="DG11">
        <v>0.99</v>
      </c>
      <c r="DH11">
        <v>0.99</v>
      </c>
      <c r="DI11">
        <v>0.97</v>
      </c>
      <c r="DN11" s="332">
        <v>4.6999999999999999E-4</v>
      </c>
      <c r="DO11" s="332">
        <v>2.0000000000000001E-4</v>
      </c>
      <c r="DP11" s="332">
        <v>5.0000000000000001E-4</v>
      </c>
      <c r="DQ11" s="332">
        <v>1E-4</v>
      </c>
      <c r="DR11" s="332">
        <v>0</v>
      </c>
      <c r="DS11" s="332">
        <v>3.7000000000000002E-3</v>
      </c>
      <c r="DT11" s="332">
        <v>4.1999999999999997E-3</v>
      </c>
      <c r="DU11" s="332">
        <v>1.75E-3</v>
      </c>
      <c r="DV11" s="332">
        <v>1E-4</v>
      </c>
      <c r="DW11" s="332">
        <v>1.5E-3</v>
      </c>
      <c r="DX11" s="332">
        <v>1.1999999999999999E-3</v>
      </c>
      <c r="DY11" s="332">
        <v>1.1999999999999999E-3</v>
      </c>
      <c r="DZ11" s="332">
        <v>1.1999999999999999E-3</v>
      </c>
      <c r="EA11" s="332">
        <v>1.1999999999999999E-3</v>
      </c>
      <c r="EB11" s="332">
        <v>1.1999999999999999E-3</v>
      </c>
      <c r="ED11" s="332">
        <v>1.1000000000000001E-3</v>
      </c>
      <c r="EF11">
        <v>1</v>
      </c>
    </row>
    <row r="12" spans="1:136" x14ac:dyDescent="0.25">
      <c r="A12" s="66">
        <v>36739</v>
      </c>
      <c r="B12">
        <v>0.98799999999999999</v>
      </c>
      <c r="C12">
        <v>0.98799999999999999</v>
      </c>
      <c r="D12">
        <v>0.97289999999999999</v>
      </c>
      <c r="E12">
        <v>0.97289999999999999</v>
      </c>
      <c r="F12">
        <v>0.97699999999999998</v>
      </c>
      <c r="G12">
        <v>0.80367</v>
      </c>
      <c r="H12">
        <v>0.98750000000000004</v>
      </c>
      <c r="I12">
        <v>0.92300625000000003</v>
      </c>
      <c r="J12">
        <v>0.86939999999999995</v>
      </c>
      <c r="K12">
        <v>0.98499999999999999</v>
      </c>
      <c r="L12" s="333">
        <v>0.98750000000000004</v>
      </c>
      <c r="M12" s="333">
        <v>0.98750000000000004</v>
      </c>
      <c r="N12">
        <v>0.98</v>
      </c>
      <c r="O12">
        <v>0.97063338799999999</v>
      </c>
      <c r="P12">
        <v>0.98</v>
      </c>
      <c r="Q12" s="328">
        <v>0.98750000000000004</v>
      </c>
      <c r="R12">
        <v>0.98750000000000004</v>
      </c>
      <c r="S12" s="333">
        <v>0.98750000000000004</v>
      </c>
      <c r="T12">
        <v>0.98</v>
      </c>
      <c r="U12">
        <v>0.98</v>
      </c>
      <c r="V12">
        <v>0.98</v>
      </c>
      <c r="W12">
        <v>0.98</v>
      </c>
      <c r="X12">
        <v>0.97063338799999999</v>
      </c>
      <c r="Y12">
        <v>0.97063338799999999</v>
      </c>
      <c r="Z12">
        <v>0.97063338799999999</v>
      </c>
      <c r="AA12">
        <v>0.97063338799999999</v>
      </c>
      <c r="AB12">
        <v>0.98</v>
      </c>
      <c r="AC12">
        <v>0.98</v>
      </c>
      <c r="AD12">
        <v>0.97063338799999999</v>
      </c>
      <c r="AE12">
        <v>0.97063338799999999</v>
      </c>
      <c r="AF12">
        <v>0.98</v>
      </c>
      <c r="AG12">
        <v>0.99</v>
      </c>
      <c r="AH12">
        <v>0.96787944999999997</v>
      </c>
      <c r="AI12">
        <v>0.96787944999999997</v>
      </c>
      <c r="AJ12">
        <v>0.98</v>
      </c>
      <c r="AK12">
        <v>1</v>
      </c>
      <c r="AL12">
        <v>0.98499999999999999</v>
      </c>
      <c r="AM12">
        <v>0.97289999999999999</v>
      </c>
      <c r="AN12" s="328">
        <v>0.98499999999999999</v>
      </c>
      <c r="AO12" s="328">
        <v>0.99</v>
      </c>
      <c r="AP12" s="328">
        <v>0.99</v>
      </c>
      <c r="AQ12">
        <v>0.97289999999999999</v>
      </c>
      <c r="AR12">
        <v>0.96787944999999997</v>
      </c>
      <c r="AS12">
        <v>0.97699999999999998</v>
      </c>
      <c r="AT12" s="328">
        <v>0.97</v>
      </c>
      <c r="AU12">
        <v>0.96787944999999997</v>
      </c>
      <c r="AV12">
        <v>0.97289999999999999</v>
      </c>
      <c r="AW12">
        <v>0.97289999999999999</v>
      </c>
      <c r="AX12">
        <v>0.97289999999999999</v>
      </c>
      <c r="AY12">
        <v>0.96787944999999997</v>
      </c>
      <c r="AZ12">
        <v>0.96787944999999997</v>
      </c>
      <c r="BA12">
        <v>0.97289999999999999</v>
      </c>
      <c r="BB12" s="446">
        <v>1</v>
      </c>
      <c r="BC12">
        <v>1</v>
      </c>
      <c r="BD12">
        <v>1</v>
      </c>
      <c r="BE12">
        <v>1</v>
      </c>
      <c r="BF12">
        <v>0.99990000000000001</v>
      </c>
      <c r="BG12">
        <v>1</v>
      </c>
      <c r="BH12">
        <v>1</v>
      </c>
      <c r="BI12">
        <v>0.995</v>
      </c>
      <c r="BJ12">
        <v>0.999</v>
      </c>
      <c r="BK12">
        <v>0.998</v>
      </c>
      <c r="BL12">
        <v>0.99850000000000005</v>
      </c>
      <c r="BM12">
        <v>0.99850000000000005</v>
      </c>
      <c r="BN12">
        <v>0.97199999999999998</v>
      </c>
      <c r="BO12">
        <v>0.99990000000000001</v>
      </c>
      <c r="BP12">
        <v>0.99990000000000001</v>
      </c>
      <c r="BQ12">
        <v>1</v>
      </c>
      <c r="BR12">
        <v>1.0644001000000001</v>
      </c>
      <c r="BS12">
        <v>1.0904</v>
      </c>
      <c r="BT12">
        <v>1.081</v>
      </c>
      <c r="BU12">
        <v>1.0055000000000001</v>
      </c>
      <c r="BV12">
        <v>1</v>
      </c>
      <c r="BW12">
        <v>1.869</v>
      </c>
      <c r="BX12">
        <v>2.2220866670000001</v>
      </c>
      <c r="BY12">
        <v>1.00875</v>
      </c>
      <c r="BZ12">
        <v>1.288</v>
      </c>
      <c r="CA12">
        <v>1.9875</v>
      </c>
      <c r="CB12">
        <v>1.4665049999999999</v>
      </c>
      <c r="CC12">
        <v>1.4665049999999999</v>
      </c>
      <c r="CD12">
        <v>1.2315050000000001</v>
      </c>
      <c r="CE12">
        <v>1.046505</v>
      </c>
      <c r="CF12">
        <v>1.3865050000000001</v>
      </c>
      <c r="CG12" s="332"/>
      <c r="CH12">
        <v>1.0875049999999999</v>
      </c>
      <c r="CI12" s="332"/>
      <c r="CJ12" s="332"/>
      <c r="CK12" s="332"/>
      <c r="CL12" s="332"/>
      <c r="CM12" s="332"/>
      <c r="CN12" s="332"/>
      <c r="CO12" s="332"/>
      <c r="CP12">
        <v>0.97499999999999998</v>
      </c>
      <c r="CQ12">
        <v>0.91</v>
      </c>
      <c r="CR12">
        <v>0.9</v>
      </c>
      <c r="CS12">
        <v>0.97</v>
      </c>
      <c r="CT12">
        <v>0.99895</v>
      </c>
      <c r="CU12">
        <v>0.43</v>
      </c>
      <c r="CV12">
        <v>0.51</v>
      </c>
      <c r="CW12">
        <v>0.91500000000000004</v>
      </c>
      <c r="CX12">
        <v>0.67500000000000004</v>
      </c>
      <c r="CY12">
        <v>0.72499999999999998</v>
      </c>
      <c r="CZ12">
        <v>0.89</v>
      </c>
      <c r="DA12">
        <v>0.92249999999999999</v>
      </c>
      <c r="DB12">
        <v>0.91500000000000004</v>
      </c>
      <c r="DC12">
        <v>0.92749999999999999</v>
      </c>
      <c r="DD12">
        <v>0.91500000000000004</v>
      </c>
      <c r="DE12">
        <v>0.89</v>
      </c>
      <c r="DF12">
        <v>0.98499999999999999</v>
      </c>
      <c r="DG12">
        <v>0.99</v>
      </c>
      <c r="DH12">
        <v>0.99</v>
      </c>
      <c r="DI12">
        <v>0.97</v>
      </c>
      <c r="DN12" s="332">
        <v>4.6000000000000001E-4</v>
      </c>
      <c r="DO12" s="332">
        <v>2.0000000000000001E-4</v>
      </c>
      <c r="DP12" s="332">
        <v>5.0000000000000001E-4</v>
      </c>
      <c r="DQ12" s="332">
        <v>1E-4</v>
      </c>
      <c r="DR12" s="332">
        <v>0</v>
      </c>
      <c r="DS12" s="332">
        <v>3.5999999999999999E-3</v>
      </c>
      <c r="DT12" s="332">
        <v>3.766667E-3</v>
      </c>
      <c r="DU12" s="332">
        <v>1.75E-3</v>
      </c>
      <c r="DV12" s="332">
        <v>1E-4</v>
      </c>
      <c r="DW12" s="332">
        <v>1.5E-3</v>
      </c>
      <c r="DX12" s="332">
        <v>1.1000000000000001E-3</v>
      </c>
      <c r="DY12" s="332">
        <v>1.1000000000000001E-3</v>
      </c>
      <c r="DZ12" s="332">
        <v>1.1000000000000001E-3</v>
      </c>
      <c r="EA12" s="332">
        <v>1.1000000000000001E-3</v>
      </c>
      <c r="EB12" s="332">
        <v>1.1000000000000001E-3</v>
      </c>
      <c r="ED12" s="332">
        <v>1E-3</v>
      </c>
      <c r="EF12">
        <v>1</v>
      </c>
    </row>
    <row r="13" spans="1:136" x14ac:dyDescent="0.25">
      <c r="A13" s="66">
        <v>36770</v>
      </c>
      <c r="B13">
        <v>0.98799999999999999</v>
      </c>
      <c r="C13">
        <v>0.98799999999999999</v>
      </c>
      <c r="D13">
        <v>0.97326000000000001</v>
      </c>
      <c r="E13">
        <v>0.97326000000000001</v>
      </c>
      <c r="F13">
        <v>0.97699999999999998</v>
      </c>
      <c r="G13">
        <v>0.86139600000000005</v>
      </c>
      <c r="H13">
        <v>0.98750000000000004</v>
      </c>
      <c r="I13">
        <v>0.92460750000000003</v>
      </c>
      <c r="J13">
        <v>0.68913349999999995</v>
      </c>
      <c r="K13">
        <v>0.98499999999999999</v>
      </c>
      <c r="L13" s="333">
        <v>0.98750000000000004</v>
      </c>
      <c r="M13" s="333">
        <v>0.98750000000000004</v>
      </c>
      <c r="N13">
        <v>0.98</v>
      </c>
      <c r="O13">
        <v>0.96370460000000002</v>
      </c>
      <c r="P13">
        <v>0.98</v>
      </c>
      <c r="Q13" s="328">
        <v>0.98750000000000004</v>
      </c>
      <c r="R13">
        <v>0.98750000000000004</v>
      </c>
      <c r="S13" s="333">
        <v>0.98750000000000004</v>
      </c>
      <c r="T13">
        <v>0.98</v>
      </c>
      <c r="U13">
        <v>0.98</v>
      </c>
      <c r="V13">
        <v>0.98</v>
      </c>
      <c r="W13">
        <v>0.98</v>
      </c>
      <c r="X13">
        <v>0.96370460000000002</v>
      </c>
      <c r="Y13">
        <v>0.96370460000000002</v>
      </c>
      <c r="Z13">
        <v>0.96370460000000002</v>
      </c>
      <c r="AA13">
        <v>0.96370460000000002</v>
      </c>
      <c r="AB13">
        <v>0.98</v>
      </c>
      <c r="AC13">
        <v>0.98</v>
      </c>
      <c r="AD13">
        <v>0.96370460000000002</v>
      </c>
      <c r="AE13">
        <v>0.96370460000000002</v>
      </c>
      <c r="AF13">
        <v>0.98</v>
      </c>
      <c r="AG13">
        <v>0.99</v>
      </c>
      <c r="AH13">
        <v>0.96868045000000003</v>
      </c>
      <c r="AI13">
        <v>0.96868045000000003</v>
      </c>
      <c r="AJ13">
        <v>0.98</v>
      </c>
      <c r="AK13">
        <v>1</v>
      </c>
      <c r="AL13">
        <v>0.98499999999999999</v>
      </c>
      <c r="AM13">
        <v>0.97326000000000001</v>
      </c>
      <c r="AN13" s="328">
        <v>0.98499999999999999</v>
      </c>
      <c r="AO13" s="328">
        <v>0.99</v>
      </c>
      <c r="AP13" s="328">
        <v>0.99</v>
      </c>
      <c r="AQ13">
        <v>0.97326000000000001</v>
      </c>
      <c r="AR13">
        <v>0.96868045000000003</v>
      </c>
      <c r="AS13">
        <v>0.97699999999999998</v>
      </c>
      <c r="AT13" s="328">
        <v>0.97</v>
      </c>
      <c r="AU13">
        <v>0.96868045000000003</v>
      </c>
      <c r="AV13">
        <v>0.97326000000000001</v>
      </c>
      <c r="AW13">
        <v>0.97326000000000001</v>
      </c>
      <c r="AX13">
        <v>0.97326000000000001</v>
      </c>
      <c r="AY13">
        <v>0.96868045000000003</v>
      </c>
      <c r="AZ13">
        <v>0.96868045000000003</v>
      </c>
      <c r="BA13">
        <v>0.97326000000000001</v>
      </c>
      <c r="BB13" s="446">
        <v>1</v>
      </c>
      <c r="BC13">
        <v>1</v>
      </c>
      <c r="BD13">
        <v>1</v>
      </c>
      <c r="BE13">
        <v>1</v>
      </c>
      <c r="BF13">
        <v>0.99990000000000001</v>
      </c>
      <c r="BG13">
        <v>1</v>
      </c>
      <c r="BH13">
        <v>1</v>
      </c>
      <c r="BI13">
        <v>0.995</v>
      </c>
      <c r="BJ13">
        <v>0.999</v>
      </c>
      <c r="BK13">
        <v>0.998</v>
      </c>
      <c r="BL13">
        <v>0.99850000000000005</v>
      </c>
      <c r="BM13">
        <v>0.99850000000000005</v>
      </c>
      <c r="BN13">
        <v>0.97199999999999998</v>
      </c>
      <c r="BO13">
        <v>0.99990000000000001</v>
      </c>
      <c r="BP13">
        <v>0.99990000000000001</v>
      </c>
      <c r="BQ13">
        <v>1</v>
      </c>
      <c r="BR13">
        <v>1.0648500999999999</v>
      </c>
      <c r="BS13">
        <v>1.0906</v>
      </c>
      <c r="BT13">
        <v>1.0813999999999999</v>
      </c>
      <c r="BU13">
        <v>1.0056</v>
      </c>
      <c r="BV13">
        <v>1</v>
      </c>
      <c r="BW13">
        <v>1.8726</v>
      </c>
      <c r="BX13">
        <v>2.2254533329999999</v>
      </c>
      <c r="BY13">
        <v>1.0105</v>
      </c>
      <c r="BZ13">
        <v>1.2881</v>
      </c>
      <c r="CA13">
        <v>1.9890000000000001</v>
      </c>
      <c r="CB13">
        <v>1.4675050000000001</v>
      </c>
      <c r="CC13">
        <v>1.4675050000000001</v>
      </c>
      <c r="CD13">
        <v>1.232505</v>
      </c>
      <c r="CE13">
        <v>1.0475049999999999</v>
      </c>
      <c r="CF13">
        <v>1.387505</v>
      </c>
      <c r="CG13" s="332"/>
      <c r="CH13">
        <v>1.0884050000000001</v>
      </c>
      <c r="CI13" s="332"/>
      <c r="CJ13" s="332"/>
      <c r="CK13" s="332"/>
      <c r="CL13" s="332"/>
      <c r="CM13" s="332"/>
      <c r="CN13" s="332"/>
      <c r="CO13" s="332"/>
      <c r="CP13">
        <v>0.97499999999999998</v>
      </c>
      <c r="CQ13">
        <v>0.91</v>
      </c>
      <c r="CR13">
        <v>0.9</v>
      </c>
      <c r="CS13">
        <v>0.95</v>
      </c>
      <c r="CT13">
        <v>0.99895</v>
      </c>
      <c r="CU13">
        <v>0.46</v>
      </c>
      <c r="CV13">
        <v>0.54</v>
      </c>
      <c r="CW13">
        <v>0.91500000000000004</v>
      </c>
      <c r="CX13">
        <v>0.53500000000000003</v>
      </c>
      <c r="CY13">
        <v>0.57499999999999996</v>
      </c>
      <c r="CZ13">
        <v>0.94499999999999995</v>
      </c>
      <c r="DA13">
        <v>0.97750000000000004</v>
      </c>
      <c r="DB13">
        <v>0.94499999999999995</v>
      </c>
      <c r="DC13">
        <v>0.92</v>
      </c>
      <c r="DD13">
        <v>0.91500000000000004</v>
      </c>
      <c r="DE13">
        <v>0.89</v>
      </c>
      <c r="DF13">
        <v>0.98499999999999999</v>
      </c>
      <c r="DG13">
        <v>0.99</v>
      </c>
      <c r="DH13">
        <v>0.99</v>
      </c>
      <c r="DI13">
        <v>0.97</v>
      </c>
      <c r="DN13" s="332">
        <v>4.4999999999999999E-4</v>
      </c>
      <c r="DO13" s="332">
        <v>2.0000000000000001E-4</v>
      </c>
      <c r="DP13" s="332">
        <v>4.0000000000000002E-4</v>
      </c>
      <c r="DQ13" s="332">
        <v>1E-4</v>
      </c>
      <c r="DR13" s="332">
        <v>0</v>
      </c>
      <c r="DS13" s="332">
        <v>3.5999999999999999E-3</v>
      </c>
      <c r="DT13" s="332">
        <v>3.3666669999999998E-3</v>
      </c>
      <c r="DU13" s="332">
        <v>1.75E-3</v>
      </c>
      <c r="DV13" s="332">
        <v>1E-4</v>
      </c>
      <c r="DW13" s="332">
        <v>1.5E-3</v>
      </c>
      <c r="DX13" s="332">
        <v>1E-3</v>
      </c>
      <c r="DY13" s="332">
        <v>1E-3</v>
      </c>
      <c r="DZ13" s="332">
        <v>1E-3</v>
      </c>
      <c r="EA13" s="332">
        <v>1E-3</v>
      </c>
      <c r="EB13" s="332">
        <v>1E-3</v>
      </c>
      <c r="ED13" s="332">
        <v>8.9999999999999998E-4</v>
      </c>
      <c r="EF13">
        <v>1</v>
      </c>
    </row>
    <row r="14" spans="1:136" x14ac:dyDescent="0.25">
      <c r="A14" s="66">
        <v>36800</v>
      </c>
      <c r="B14">
        <v>0.98799999999999999</v>
      </c>
      <c r="C14">
        <v>0.98172000000000004</v>
      </c>
      <c r="D14">
        <v>0.995</v>
      </c>
      <c r="E14">
        <v>0.97357499999999997</v>
      </c>
      <c r="F14">
        <v>0.97699999999999998</v>
      </c>
      <c r="G14">
        <v>0.86305200000000004</v>
      </c>
      <c r="H14">
        <v>0.98050479999999995</v>
      </c>
      <c r="I14">
        <v>0.92620875000000003</v>
      </c>
      <c r="J14">
        <v>0.67630500000000005</v>
      </c>
      <c r="K14">
        <v>0.98499999999999999</v>
      </c>
      <c r="L14" s="333">
        <v>0.98750000000000004</v>
      </c>
      <c r="M14" s="333">
        <v>0.98750000000000004</v>
      </c>
      <c r="N14">
        <v>0.98</v>
      </c>
      <c r="O14">
        <v>0.94618551299999998</v>
      </c>
      <c r="P14">
        <v>0.98</v>
      </c>
      <c r="Q14" s="328">
        <v>0.98750000000000004</v>
      </c>
      <c r="R14">
        <v>0.98750000000000004</v>
      </c>
      <c r="S14" s="333">
        <v>0.98750000000000004</v>
      </c>
      <c r="T14">
        <v>0.98</v>
      </c>
      <c r="U14">
        <v>0.98</v>
      </c>
      <c r="V14">
        <v>0.98</v>
      </c>
      <c r="W14">
        <v>0.98</v>
      </c>
      <c r="X14">
        <v>0.94618551299999998</v>
      </c>
      <c r="Y14">
        <v>0.94618551299999998</v>
      </c>
      <c r="Z14">
        <v>0.94618551299999998</v>
      </c>
      <c r="AA14">
        <v>0.94618551299999998</v>
      </c>
      <c r="AB14">
        <v>0.98</v>
      </c>
      <c r="AC14">
        <v>0.98</v>
      </c>
      <c r="AD14">
        <v>0.94618551299999998</v>
      </c>
      <c r="AE14">
        <v>0.94618551299999998</v>
      </c>
      <c r="AF14">
        <v>0.98</v>
      </c>
      <c r="AG14">
        <v>0.99</v>
      </c>
      <c r="AH14">
        <v>0.96939244999999996</v>
      </c>
      <c r="AI14">
        <v>0.96939244999999996</v>
      </c>
      <c r="AJ14">
        <v>0.98</v>
      </c>
      <c r="AK14">
        <v>1</v>
      </c>
      <c r="AL14">
        <v>0.98499999999999999</v>
      </c>
      <c r="AM14">
        <v>0.97357499999999997</v>
      </c>
      <c r="AN14" s="328">
        <v>0.98499999999999999</v>
      </c>
      <c r="AO14" s="328">
        <v>0.98</v>
      </c>
      <c r="AP14" s="328">
        <v>0.99</v>
      </c>
      <c r="AQ14">
        <v>0.97357499999999997</v>
      </c>
      <c r="AR14">
        <v>0.96939244999999996</v>
      </c>
      <c r="AS14">
        <v>0.97699999999999998</v>
      </c>
      <c r="AT14" s="328">
        <v>0.97</v>
      </c>
      <c r="AU14">
        <v>0.96939244999999996</v>
      </c>
      <c r="AV14">
        <v>0.97357499999999997</v>
      </c>
      <c r="AW14">
        <v>0.97357499999999997</v>
      </c>
      <c r="AX14">
        <v>0.97357499999999997</v>
      </c>
      <c r="AY14">
        <v>0.96939244999999996</v>
      </c>
      <c r="AZ14">
        <v>0.96939244999999996</v>
      </c>
      <c r="BA14">
        <v>0.97357499999999997</v>
      </c>
      <c r="BB14" s="446">
        <v>1</v>
      </c>
      <c r="BC14">
        <v>1</v>
      </c>
      <c r="BD14">
        <v>1</v>
      </c>
      <c r="BE14">
        <v>1</v>
      </c>
      <c r="BF14">
        <v>0.99990000000000001</v>
      </c>
      <c r="BG14">
        <v>1</v>
      </c>
      <c r="BH14">
        <v>1</v>
      </c>
      <c r="BI14">
        <v>0.995</v>
      </c>
      <c r="BJ14">
        <v>0.999</v>
      </c>
      <c r="BK14">
        <v>0.998</v>
      </c>
      <c r="BL14">
        <v>0.99850000000000005</v>
      </c>
      <c r="BM14">
        <v>0.99850000000000005</v>
      </c>
      <c r="BN14">
        <v>0.97199999999999998</v>
      </c>
      <c r="BO14">
        <v>0.99990000000000001</v>
      </c>
      <c r="BP14">
        <v>0.99990000000000001</v>
      </c>
      <c r="BQ14">
        <v>1</v>
      </c>
      <c r="BR14">
        <v>1.0652900999999999</v>
      </c>
      <c r="BS14">
        <v>1.0908</v>
      </c>
      <c r="BT14">
        <v>1.08175</v>
      </c>
      <c r="BU14">
        <v>1.0057</v>
      </c>
      <c r="BV14">
        <v>1</v>
      </c>
      <c r="BW14">
        <v>1.8762000000000001</v>
      </c>
      <c r="BX14">
        <v>2.2284199999999998</v>
      </c>
      <c r="BY14">
        <v>1.0122500000000001</v>
      </c>
      <c r="BZ14">
        <v>1.2882</v>
      </c>
      <c r="CA14">
        <v>1.9904999999999999</v>
      </c>
      <c r="CB14">
        <v>1.468405</v>
      </c>
      <c r="CC14">
        <v>1.468405</v>
      </c>
      <c r="CD14">
        <v>1.2334050000000001</v>
      </c>
      <c r="CE14">
        <v>1.048405</v>
      </c>
      <c r="CF14">
        <v>1.3884049999999999</v>
      </c>
      <c r="CG14" s="332"/>
      <c r="CH14">
        <v>1.089205</v>
      </c>
      <c r="CI14" s="332"/>
      <c r="CJ14" s="332"/>
      <c r="CK14" s="332"/>
      <c r="CL14" s="332"/>
      <c r="CM14" s="332"/>
      <c r="CN14" s="332"/>
      <c r="CO14" s="332"/>
      <c r="CP14">
        <v>0.95499999999999996</v>
      </c>
      <c r="CQ14">
        <v>0.9</v>
      </c>
      <c r="CR14">
        <v>0.9</v>
      </c>
      <c r="CS14">
        <v>0.94</v>
      </c>
      <c r="CT14">
        <v>0.99895</v>
      </c>
      <c r="CU14">
        <v>0.46</v>
      </c>
      <c r="CV14">
        <v>0.44</v>
      </c>
      <c r="CW14">
        <v>0.91500000000000004</v>
      </c>
      <c r="CX14">
        <v>0.52500000000000002</v>
      </c>
      <c r="CY14">
        <v>0.505</v>
      </c>
      <c r="CZ14">
        <v>0.80500000000000005</v>
      </c>
      <c r="DA14">
        <v>0.83750000000000002</v>
      </c>
      <c r="DB14">
        <v>0.875</v>
      </c>
      <c r="DC14">
        <v>0.90249999999999997</v>
      </c>
      <c r="DD14">
        <v>0.82</v>
      </c>
      <c r="DE14">
        <v>0.89</v>
      </c>
      <c r="DF14">
        <v>0.98499999999999999</v>
      </c>
      <c r="DG14">
        <v>0.98</v>
      </c>
      <c r="DH14">
        <v>0.99</v>
      </c>
      <c r="DI14">
        <v>0.97</v>
      </c>
      <c r="DN14" s="332">
        <v>4.4000000000000002E-4</v>
      </c>
      <c r="DO14" s="332">
        <v>2.0000000000000001E-4</v>
      </c>
      <c r="DP14" s="332">
        <v>3.5E-4</v>
      </c>
      <c r="DQ14" s="332">
        <v>1E-4</v>
      </c>
      <c r="DR14" s="332">
        <v>0</v>
      </c>
      <c r="DS14" s="332">
        <v>3.5999999999999999E-3</v>
      </c>
      <c r="DT14" s="332">
        <v>2.9666670000000001E-3</v>
      </c>
      <c r="DU14" s="332">
        <v>1.75E-3</v>
      </c>
      <c r="DV14" s="332">
        <v>1E-4</v>
      </c>
      <c r="DW14" s="332">
        <v>1.5E-3</v>
      </c>
      <c r="DX14" s="332">
        <v>8.9999999999999998E-4</v>
      </c>
      <c r="DY14" s="332">
        <v>8.9999999999999998E-4</v>
      </c>
      <c r="DZ14" s="332">
        <v>8.9999999999999998E-4</v>
      </c>
      <c r="EA14" s="332">
        <v>8.9999999999999998E-4</v>
      </c>
      <c r="EB14" s="332">
        <v>8.9999999999999998E-4</v>
      </c>
      <c r="ED14" s="332">
        <v>8.0000000000000004E-4</v>
      </c>
      <c r="EF14">
        <v>1</v>
      </c>
    </row>
    <row r="15" spans="1:136" x14ac:dyDescent="0.25">
      <c r="A15" s="66">
        <v>36831</v>
      </c>
      <c r="B15">
        <v>0.995</v>
      </c>
      <c r="C15">
        <v>0.9819</v>
      </c>
      <c r="D15">
        <v>0.999</v>
      </c>
      <c r="E15">
        <v>0.99399999999999999</v>
      </c>
      <c r="F15">
        <v>0.998</v>
      </c>
      <c r="G15">
        <v>0.90230399999999999</v>
      </c>
      <c r="H15">
        <v>0.98750000000000004</v>
      </c>
      <c r="I15">
        <v>0.90752999999999995</v>
      </c>
      <c r="J15">
        <v>0.62482550000000003</v>
      </c>
      <c r="K15">
        <v>0.96611999999999998</v>
      </c>
      <c r="L15" s="333">
        <v>0.98750000000000004</v>
      </c>
      <c r="M15" s="333">
        <v>0.98750000000000004</v>
      </c>
      <c r="N15">
        <v>0.98</v>
      </c>
      <c r="O15">
        <v>0.94690751299999998</v>
      </c>
      <c r="P15">
        <v>0.98</v>
      </c>
      <c r="Q15" s="328">
        <v>0.98750000000000004</v>
      </c>
      <c r="R15">
        <v>0.98750000000000004</v>
      </c>
      <c r="S15" s="333">
        <v>0.98750000000000004</v>
      </c>
      <c r="T15">
        <v>0.98</v>
      </c>
      <c r="U15">
        <v>0.98</v>
      </c>
      <c r="V15">
        <v>0.98</v>
      </c>
      <c r="W15">
        <v>0.98</v>
      </c>
      <c r="X15">
        <v>0.94690751299999998</v>
      </c>
      <c r="Y15">
        <v>0.94690751299999998</v>
      </c>
      <c r="Z15">
        <v>0.94690751299999998</v>
      </c>
      <c r="AA15">
        <v>0.94690751299999998</v>
      </c>
      <c r="AB15">
        <v>0.98</v>
      </c>
      <c r="AC15">
        <v>0.98</v>
      </c>
      <c r="AD15">
        <v>0.94690751299999998</v>
      </c>
      <c r="AE15">
        <v>0.94690751299999998</v>
      </c>
      <c r="AF15">
        <v>0.98</v>
      </c>
      <c r="AG15">
        <v>0.99</v>
      </c>
      <c r="AH15">
        <v>0.97001545</v>
      </c>
      <c r="AI15">
        <v>0.97001545</v>
      </c>
      <c r="AJ15">
        <v>0.98</v>
      </c>
      <c r="AK15">
        <v>1</v>
      </c>
      <c r="AL15">
        <v>0.96611999999999998</v>
      </c>
      <c r="AM15">
        <v>0.96302449999999995</v>
      </c>
      <c r="AN15" s="328">
        <v>0.995</v>
      </c>
      <c r="AO15" s="328">
        <v>0.97</v>
      </c>
      <c r="AP15" s="328">
        <v>0.99</v>
      </c>
      <c r="AQ15">
        <v>0.96302449999999995</v>
      </c>
      <c r="AR15">
        <v>0.97001545</v>
      </c>
      <c r="AS15">
        <v>0.97699999999999998</v>
      </c>
      <c r="AT15" s="328">
        <v>0.97</v>
      </c>
      <c r="AU15">
        <v>0.97001545</v>
      </c>
      <c r="AV15">
        <v>0.96302449999999995</v>
      </c>
      <c r="AW15">
        <v>0.96302449999999995</v>
      </c>
      <c r="AX15">
        <v>0.96302449999999995</v>
      </c>
      <c r="AY15">
        <v>0.97001545</v>
      </c>
      <c r="AZ15">
        <v>0.999</v>
      </c>
      <c r="BA15">
        <v>0.99</v>
      </c>
      <c r="BB15" s="446">
        <v>1</v>
      </c>
      <c r="BC15">
        <v>1</v>
      </c>
      <c r="BD15">
        <v>1</v>
      </c>
      <c r="BE15">
        <v>1</v>
      </c>
      <c r="BF15">
        <v>0.99990000000000001</v>
      </c>
      <c r="BG15">
        <v>1</v>
      </c>
      <c r="BH15">
        <v>1</v>
      </c>
      <c r="BI15">
        <v>0.995</v>
      </c>
      <c r="BJ15">
        <v>0.999</v>
      </c>
      <c r="BK15">
        <v>0.998</v>
      </c>
      <c r="BL15">
        <v>0.99850000000000005</v>
      </c>
      <c r="BM15">
        <v>0.99850000000000005</v>
      </c>
      <c r="BN15">
        <v>0.97199999999999998</v>
      </c>
      <c r="BO15">
        <v>0.99990000000000001</v>
      </c>
      <c r="BP15">
        <v>0.99990000000000001</v>
      </c>
      <c r="BQ15">
        <v>1</v>
      </c>
      <c r="BR15">
        <v>1.0657207</v>
      </c>
      <c r="BS15">
        <v>1.091</v>
      </c>
      <c r="BT15">
        <v>1.08205</v>
      </c>
      <c r="BU15">
        <v>1.0058</v>
      </c>
      <c r="BV15">
        <v>1</v>
      </c>
      <c r="BW15">
        <v>1.8797999999999999</v>
      </c>
      <c r="BX15">
        <v>2.2309866669999998</v>
      </c>
      <c r="BY15">
        <v>1.014</v>
      </c>
      <c r="BZ15">
        <v>1.2883</v>
      </c>
      <c r="CA15">
        <v>1.992</v>
      </c>
      <c r="CB15">
        <v>1.4692050000000001</v>
      </c>
      <c r="CC15">
        <v>1.4692050000000001</v>
      </c>
      <c r="CD15">
        <v>1.234205</v>
      </c>
      <c r="CE15">
        <v>1.0492049999999999</v>
      </c>
      <c r="CF15">
        <v>1.389205</v>
      </c>
      <c r="CG15" s="332"/>
      <c r="CH15">
        <v>1.0899049999999999</v>
      </c>
      <c r="CI15" s="332"/>
      <c r="CJ15" s="332"/>
      <c r="CK15" s="332"/>
      <c r="CL15" s="332"/>
      <c r="CM15" s="332"/>
      <c r="CN15" s="332"/>
      <c r="CO15" s="332"/>
      <c r="CP15">
        <v>0.95499999999999996</v>
      </c>
      <c r="CQ15">
        <v>0.9</v>
      </c>
      <c r="CR15">
        <v>0.89</v>
      </c>
      <c r="CS15">
        <v>0.94</v>
      </c>
      <c r="CT15">
        <v>0.999</v>
      </c>
      <c r="CU15">
        <v>0.48</v>
      </c>
      <c r="CV15">
        <v>0.45</v>
      </c>
      <c r="CW15">
        <v>0.89500000000000002</v>
      </c>
      <c r="CX15">
        <v>0.48499999999999999</v>
      </c>
      <c r="CY15">
        <v>0.48499999999999999</v>
      </c>
      <c r="CZ15">
        <v>0.79500000000000004</v>
      </c>
      <c r="DA15">
        <v>0.82750000000000001</v>
      </c>
      <c r="DB15">
        <v>0.85</v>
      </c>
      <c r="DC15">
        <v>0.90249999999999997</v>
      </c>
      <c r="DD15">
        <v>0.82</v>
      </c>
      <c r="DE15">
        <v>0.89</v>
      </c>
      <c r="DF15">
        <v>0.98499999999999999</v>
      </c>
      <c r="DG15">
        <v>0.97</v>
      </c>
      <c r="DH15">
        <v>0.99</v>
      </c>
      <c r="DI15">
        <v>0.97</v>
      </c>
      <c r="DN15" s="332">
        <v>4.306E-4</v>
      </c>
      <c r="DO15" s="332">
        <v>2.0000000000000001E-4</v>
      </c>
      <c r="DP15" s="332">
        <v>2.9999999999999997E-4</v>
      </c>
      <c r="DQ15" s="332">
        <v>1E-4</v>
      </c>
      <c r="DR15" s="332">
        <v>0</v>
      </c>
      <c r="DS15" s="332">
        <v>3.5999999999999999E-3</v>
      </c>
      <c r="DT15" s="332">
        <v>2.5666669999999999E-3</v>
      </c>
      <c r="DU15" s="332">
        <v>1.75E-3</v>
      </c>
      <c r="DV15" s="332">
        <v>1E-4</v>
      </c>
      <c r="DW15" s="332">
        <v>1.5E-3</v>
      </c>
      <c r="DX15" s="332">
        <v>8.0000000000000004E-4</v>
      </c>
      <c r="DY15" s="332">
        <v>8.0000000000000004E-4</v>
      </c>
      <c r="DZ15" s="332">
        <v>8.0000000000000004E-4</v>
      </c>
      <c r="EA15" s="332">
        <v>8.0000000000000004E-4</v>
      </c>
      <c r="EB15" s="332">
        <v>8.0000000000000004E-4</v>
      </c>
      <c r="ED15" s="332">
        <v>6.9999999999999999E-4</v>
      </c>
      <c r="EF15">
        <v>1</v>
      </c>
    </row>
    <row r="16" spans="1:136" x14ac:dyDescent="0.25">
      <c r="A16" s="66">
        <v>36861</v>
      </c>
      <c r="B16">
        <v>0.995</v>
      </c>
      <c r="C16">
        <v>0.97116800000000003</v>
      </c>
      <c r="D16">
        <v>0.999</v>
      </c>
      <c r="E16">
        <v>0.99399999999999999</v>
      </c>
      <c r="F16">
        <v>0.998</v>
      </c>
      <c r="G16">
        <v>0.960534</v>
      </c>
      <c r="H16">
        <v>0.98750000000000004</v>
      </c>
      <c r="I16">
        <v>0.87862375000000004</v>
      </c>
      <c r="J16">
        <v>0.63131599999999999</v>
      </c>
      <c r="K16">
        <v>0.96684749999999997</v>
      </c>
      <c r="L16" s="333">
        <v>0.86724394999999999</v>
      </c>
      <c r="M16" s="333">
        <v>0.91501586300000004</v>
      </c>
      <c r="N16">
        <v>0.85208444999999999</v>
      </c>
      <c r="O16">
        <v>0.93704021299999996</v>
      </c>
      <c r="P16">
        <v>0.85208444999999999</v>
      </c>
      <c r="Q16" s="328">
        <v>0.86724394999999999</v>
      </c>
      <c r="R16">
        <v>0.86724394999999999</v>
      </c>
      <c r="S16" s="333">
        <v>0.86724394999999999</v>
      </c>
      <c r="T16">
        <v>0.85208444999999999</v>
      </c>
      <c r="U16">
        <v>0.85208444999999999</v>
      </c>
      <c r="V16">
        <v>0.85208444999999999</v>
      </c>
      <c r="W16">
        <v>0.85208444999999999</v>
      </c>
      <c r="X16">
        <v>0.93704021299999996</v>
      </c>
      <c r="Y16">
        <v>0.93704021299999996</v>
      </c>
      <c r="Z16">
        <v>0.93704021299999996</v>
      </c>
      <c r="AA16">
        <v>0.93704021299999996</v>
      </c>
      <c r="AB16">
        <v>0.85208444999999999</v>
      </c>
      <c r="AC16">
        <v>0.85208444999999999</v>
      </c>
      <c r="AD16">
        <v>0.93704021299999996</v>
      </c>
      <c r="AE16">
        <v>0.93704021299999996</v>
      </c>
      <c r="AF16">
        <v>0.85208444999999999</v>
      </c>
      <c r="AG16">
        <v>0.98</v>
      </c>
      <c r="AH16">
        <v>0.97054945000000004</v>
      </c>
      <c r="AI16">
        <v>0.97054945000000004</v>
      </c>
      <c r="AJ16">
        <v>0.85208444999999999</v>
      </c>
      <c r="AK16">
        <v>1</v>
      </c>
      <c r="AL16">
        <v>0.96684749999999997</v>
      </c>
      <c r="AM16">
        <v>0.94155750000000005</v>
      </c>
      <c r="AN16" s="328">
        <v>0.99580000000000002</v>
      </c>
      <c r="AO16" s="328">
        <v>0.97</v>
      </c>
      <c r="AP16" s="328">
        <v>0.99</v>
      </c>
      <c r="AQ16">
        <v>0.94155750000000005</v>
      </c>
      <c r="AR16">
        <v>0.97054945000000004</v>
      </c>
      <c r="AS16">
        <v>0.97699999999999998</v>
      </c>
      <c r="AT16" s="328">
        <v>0.97</v>
      </c>
      <c r="AU16">
        <v>0.97054945000000004</v>
      </c>
      <c r="AV16">
        <v>0.94155750000000005</v>
      </c>
      <c r="AW16">
        <v>0.94155750000000005</v>
      </c>
      <c r="AX16">
        <v>0.94155750000000005</v>
      </c>
      <c r="AY16">
        <v>0.97054945000000004</v>
      </c>
      <c r="AZ16">
        <v>0.999</v>
      </c>
      <c r="BA16">
        <v>0.99</v>
      </c>
      <c r="BB16" s="446">
        <v>1</v>
      </c>
      <c r="BC16">
        <v>1</v>
      </c>
      <c r="BD16">
        <v>1</v>
      </c>
      <c r="BE16">
        <v>1</v>
      </c>
      <c r="BF16">
        <v>0.99990000000000001</v>
      </c>
      <c r="BG16">
        <v>1</v>
      </c>
      <c r="BH16">
        <v>1</v>
      </c>
      <c r="BI16">
        <v>0.995</v>
      </c>
      <c r="BJ16">
        <v>0.999</v>
      </c>
      <c r="BK16">
        <v>0.998</v>
      </c>
      <c r="BL16">
        <v>0.99850000000000005</v>
      </c>
      <c r="BM16">
        <v>0.99850000000000005</v>
      </c>
      <c r="BN16">
        <v>0.97199999999999998</v>
      </c>
      <c r="BO16">
        <v>0.99990000000000001</v>
      </c>
      <c r="BP16">
        <v>0.99990000000000001</v>
      </c>
      <c r="BQ16">
        <v>1</v>
      </c>
      <c r="BR16">
        <v>1.0661414</v>
      </c>
      <c r="BS16">
        <v>1.0911999999999999</v>
      </c>
      <c r="BT16">
        <v>1.0822499999999999</v>
      </c>
      <c r="BU16">
        <v>1.0059</v>
      </c>
      <c r="BV16">
        <v>1</v>
      </c>
      <c r="BW16">
        <v>1.8834</v>
      </c>
      <c r="BX16">
        <v>2.2331533330000002</v>
      </c>
      <c r="BY16">
        <v>1.0157499999999999</v>
      </c>
      <c r="BZ16">
        <v>1.2884</v>
      </c>
      <c r="CA16">
        <v>1.9935</v>
      </c>
      <c r="CB16">
        <v>1.469905</v>
      </c>
      <c r="CC16">
        <v>1.469905</v>
      </c>
      <c r="CD16">
        <v>1.2349049999999999</v>
      </c>
      <c r="CE16">
        <v>1.0499050000000001</v>
      </c>
      <c r="CF16">
        <v>1.3899049999999999</v>
      </c>
      <c r="CG16" s="332"/>
      <c r="CH16">
        <v>1.0905050000000001</v>
      </c>
      <c r="CI16" s="332"/>
      <c r="CJ16" s="332"/>
      <c r="CK16" s="332"/>
      <c r="CL16" s="332"/>
      <c r="CM16" s="332"/>
      <c r="CN16" s="332"/>
      <c r="CO16" s="332"/>
      <c r="CP16">
        <v>0.93500000000000005</v>
      </c>
      <c r="CQ16">
        <v>0.89</v>
      </c>
      <c r="CR16">
        <v>0.87</v>
      </c>
      <c r="CS16">
        <v>0.92</v>
      </c>
      <c r="CT16">
        <v>0.999</v>
      </c>
      <c r="CU16">
        <v>0.51</v>
      </c>
      <c r="CV16">
        <v>0.47</v>
      </c>
      <c r="CW16">
        <v>0.86499999999999999</v>
      </c>
      <c r="CX16">
        <v>0.49</v>
      </c>
      <c r="CY16">
        <v>0.48499999999999999</v>
      </c>
      <c r="CZ16">
        <v>0.59</v>
      </c>
      <c r="DA16">
        <v>0.62250000000000005</v>
      </c>
      <c r="DB16">
        <v>0.69</v>
      </c>
      <c r="DC16">
        <v>0.89249999999999996</v>
      </c>
      <c r="DD16">
        <v>0.71499999999999997</v>
      </c>
      <c r="DE16">
        <v>0.89</v>
      </c>
      <c r="DF16">
        <v>0.98499999999999999</v>
      </c>
      <c r="DG16">
        <v>0.97</v>
      </c>
      <c r="DH16">
        <v>0.99</v>
      </c>
      <c r="DI16">
        <v>0.97</v>
      </c>
      <c r="DN16" s="332">
        <v>4.2069999999999998E-4</v>
      </c>
      <c r="DO16" s="332">
        <v>2.0000000000000001E-4</v>
      </c>
      <c r="DP16" s="332">
        <v>2.0000000000000001E-4</v>
      </c>
      <c r="DQ16" s="332">
        <v>1E-4</v>
      </c>
      <c r="DR16" s="332">
        <v>0</v>
      </c>
      <c r="DS16" s="332">
        <v>3.5999999999999999E-3</v>
      </c>
      <c r="DT16" s="332">
        <v>2.1666670000000002E-3</v>
      </c>
      <c r="DU16" s="332">
        <v>1.75E-3</v>
      </c>
      <c r="DV16" s="332">
        <v>1E-4</v>
      </c>
      <c r="DW16" s="332">
        <v>1.5E-3</v>
      </c>
      <c r="DX16" s="332">
        <v>6.9999999999999999E-4</v>
      </c>
      <c r="DY16" s="332">
        <v>6.9999999999999999E-4</v>
      </c>
      <c r="DZ16" s="332">
        <v>6.9999999999999999E-4</v>
      </c>
      <c r="EA16" s="332">
        <v>6.9999999999999999E-4</v>
      </c>
      <c r="EB16" s="332">
        <v>6.9999999999999999E-4</v>
      </c>
      <c r="ED16" s="332">
        <v>5.9999999999999995E-4</v>
      </c>
      <c r="EF16">
        <v>1</v>
      </c>
    </row>
    <row r="17" spans="1:136" x14ac:dyDescent="0.25">
      <c r="A17" s="66">
        <v>36892</v>
      </c>
      <c r="B17">
        <v>0.995</v>
      </c>
      <c r="C17">
        <v>0.93860399999999999</v>
      </c>
      <c r="D17">
        <v>0.99</v>
      </c>
      <c r="E17">
        <v>0.99399999999999999</v>
      </c>
      <c r="F17">
        <v>0.997</v>
      </c>
      <c r="G17">
        <v>0.98750000000000004</v>
      </c>
      <c r="H17">
        <v>0.98750000000000004</v>
      </c>
      <c r="I17">
        <v>0.81904725</v>
      </c>
      <c r="J17">
        <v>0.64424999999999999</v>
      </c>
      <c r="K17">
        <v>0.98499999999999999</v>
      </c>
      <c r="L17" s="333">
        <v>0.889655525</v>
      </c>
      <c r="M17" s="333">
        <v>0.93744693800000001</v>
      </c>
      <c r="N17">
        <v>0.85249845000000002</v>
      </c>
      <c r="O17">
        <v>0.92444440000000005</v>
      </c>
      <c r="P17">
        <v>0.85249845000000002</v>
      </c>
      <c r="Q17" s="328">
        <v>0.889655525</v>
      </c>
      <c r="R17">
        <v>0.889655525</v>
      </c>
      <c r="S17" s="333">
        <v>0.889655525</v>
      </c>
      <c r="T17">
        <v>0.85249845000000002</v>
      </c>
      <c r="U17">
        <v>0.85249845000000002</v>
      </c>
      <c r="V17">
        <v>0.85249845000000002</v>
      </c>
      <c r="W17">
        <v>0.85249845000000002</v>
      </c>
      <c r="X17">
        <v>0.92444440000000005</v>
      </c>
      <c r="Y17">
        <v>0.92444440000000005</v>
      </c>
      <c r="Z17">
        <v>0.92444440000000005</v>
      </c>
      <c r="AA17">
        <v>0.92444440000000005</v>
      </c>
      <c r="AB17">
        <v>0.85249845000000002</v>
      </c>
      <c r="AC17">
        <v>0.85249845000000002</v>
      </c>
      <c r="AD17">
        <v>0.92444440000000005</v>
      </c>
      <c r="AE17">
        <v>0.92444440000000005</v>
      </c>
      <c r="AF17">
        <v>0.85249845000000002</v>
      </c>
      <c r="AG17">
        <v>0.98</v>
      </c>
      <c r="AH17">
        <v>0.97099444999999995</v>
      </c>
      <c r="AI17">
        <v>0.97099444999999995</v>
      </c>
      <c r="AJ17">
        <v>0.85249845000000002</v>
      </c>
      <c r="AK17">
        <v>1</v>
      </c>
      <c r="AL17">
        <v>0.98499999999999999</v>
      </c>
      <c r="AM17">
        <v>0.9416445</v>
      </c>
      <c r="AN17" s="328">
        <v>0.99580000000000002</v>
      </c>
      <c r="AO17" s="328">
        <v>0.96</v>
      </c>
      <c r="AP17" s="328">
        <v>0.99</v>
      </c>
      <c r="AQ17">
        <v>0.9416445</v>
      </c>
      <c r="AR17">
        <v>0.97099444999999995</v>
      </c>
      <c r="AS17">
        <v>0.97699999999999998</v>
      </c>
      <c r="AT17" s="328">
        <v>0.97</v>
      </c>
      <c r="AU17">
        <v>0.97099444999999995</v>
      </c>
      <c r="AV17">
        <v>0.9416445</v>
      </c>
      <c r="AW17">
        <v>0.9416445</v>
      </c>
      <c r="AX17">
        <v>0.9416445</v>
      </c>
      <c r="AY17">
        <v>0.97099444999999995</v>
      </c>
      <c r="AZ17">
        <v>0.998</v>
      </c>
      <c r="BA17">
        <v>0.99</v>
      </c>
      <c r="BB17" s="446">
        <v>1</v>
      </c>
      <c r="BC17">
        <v>1</v>
      </c>
      <c r="BD17">
        <v>1</v>
      </c>
      <c r="BE17">
        <v>1</v>
      </c>
      <c r="BF17">
        <v>0.99990000000000001</v>
      </c>
      <c r="BG17">
        <v>1</v>
      </c>
      <c r="BH17">
        <v>1</v>
      </c>
      <c r="BI17">
        <v>0.99</v>
      </c>
      <c r="BJ17">
        <v>0.999</v>
      </c>
      <c r="BK17">
        <v>0.998</v>
      </c>
      <c r="BL17">
        <v>0.99850000000000005</v>
      </c>
      <c r="BM17">
        <v>0.99850000000000005</v>
      </c>
      <c r="BN17">
        <v>0.97199999999999998</v>
      </c>
      <c r="BO17">
        <v>0.99990000000000001</v>
      </c>
      <c r="BP17">
        <v>0.99990000000000001</v>
      </c>
      <c r="BQ17">
        <v>1</v>
      </c>
      <c r="BR17">
        <v>1.0665522000000001</v>
      </c>
      <c r="BS17">
        <v>1.0913999999999999</v>
      </c>
      <c r="BT17">
        <v>1.0823499999999999</v>
      </c>
      <c r="BU17">
        <v>1.006</v>
      </c>
      <c r="BV17">
        <v>1</v>
      </c>
      <c r="BW17">
        <v>1.887</v>
      </c>
      <c r="BX17">
        <v>2.2349199999999998</v>
      </c>
      <c r="BY17">
        <v>1.01745</v>
      </c>
      <c r="BZ17">
        <v>1.2885</v>
      </c>
      <c r="CA17">
        <v>1.9950000000000001</v>
      </c>
      <c r="CB17">
        <v>1.470505</v>
      </c>
      <c r="CC17">
        <v>1.470505</v>
      </c>
      <c r="CD17">
        <v>1.2355050000000001</v>
      </c>
      <c r="CE17">
        <v>1.050505</v>
      </c>
      <c r="CF17">
        <v>1.3905050000000001</v>
      </c>
      <c r="CG17" s="332"/>
      <c r="CH17">
        <v>1.091005</v>
      </c>
      <c r="CI17" s="332"/>
      <c r="CJ17" s="332"/>
      <c r="CK17" s="332"/>
      <c r="CL17" s="332"/>
      <c r="CM17" s="332"/>
      <c r="CN17" s="332"/>
      <c r="CO17" s="332"/>
      <c r="CP17">
        <v>0.89500000000000002</v>
      </c>
      <c r="CQ17">
        <v>0.86</v>
      </c>
      <c r="CR17">
        <v>0.87</v>
      </c>
      <c r="CS17">
        <v>0.92</v>
      </c>
      <c r="CT17">
        <v>0.999</v>
      </c>
      <c r="CU17">
        <v>0.57999999999999996</v>
      </c>
      <c r="CV17">
        <v>0.45</v>
      </c>
      <c r="CW17">
        <v>0.80500000000000005</v>
      </c>
      <c r="CX17">
        <v>0.5</v>
      </c>
      <c r="CY17">
        <v>0.505</v>
      </c>
      <c r="CZ17">
        <v>0.60499999999999998</v>
      </c>
      <c r="DA17">
        <v>0.63749999999999996</v>
      </c>
      <c r="DB17">
        <v>0.69</v>
      </c>
      <c r="DC17">
        <v>0.88</v>
      </c>
      <c r="DD17">
        <v>0.64</v>
      </c>
      <c r="DE17">
        <v>0.89</v>
      </c>
      <c r="DF17">
        <v>0.98499999999999999</v>
      </c>
      <c r="DG17">
        <v>0.96</v>
      </c>
      <c r="DH17">
        <v>0.99</v>
      </c>
      <c r="DI17">
        <v>0.97</v>
      </c>
      <c r="DN17" s="332">
        <v>4.1080000000000001E-4</v>
      </c>
      <c r="DO17" s="332">
        <v>2.0000000000000001E-4</v>
      </c>
      <c r="DP17" s="332">
        <v>1E-4</v>
      </c>
      <c r="DQ17" s="332">
        <v>1E-4</v>
      </c>
      <c r="DR17" s="332">
        <v>0</v>
      </c>
      <c r="DS17" s="332">
        <v>3.5999999999999999E-3</v>
      </c>
      <c r="DT17" s="332">
        <v>1.766667E-3</v>
      </c>
      <c r="DU17" s="332">
        <v>1.6999999999999999E-3</v>
      </c>
      <c r="DV17" s="332">
        <v>1E-4</v>
      </c>
      <c r="DW17" s="332">
        <v>1.5E-3</v>
      </c>
      <c r="DX17" s="332">
        <v>5.9999999999999995E-4</v>
      </c>
      <c r="DY17" s="332">
        <v>5.9999999999999995E-4</v>
      </c>
      <c r="DZ17" s="332">
        <v>5.9999999999999995E-4</v>
      </c>
      <c r="EA17" s="332">
        <v>5.9999999999999995E-4</v>
      </c>
      <c r="EB17" s="332">
        <v>5.9999999999999995E-4</v>
      </c>
      <c r="ED17" s="332">
        <v>5.0000000000000001E-4</v>
      </c>
      <c r="EF17">
        <v>1</v>
      </c>
    </row>
    <row r="18" spans="1:136" x14ac:dyDescent="0.25">
      <c r="A18" s="66">
        <v>36923</v>
      </c>
      <c r="B18">
        <v>0.99</v>
      </c>
      <c r="C18">
        <v>0.93877600000000005</v>
      </c>
      <c r="D18">
        <v>0.99</v>
      </c>
      <c r="E18">
        <v>0.99399999999999999</v>
      </c>
      <c r="F18">
        <v>0.996</v>
      </c>
      <c r="G18">
        <v>0.98750000000000004</v>
      </c>
      <c r="H18">
        <v>0.98750000000000004</v>
      </c>
      <c r="I18">
        <v>0.86113949999999995</v>
      </c>
      <c r="J18">
        <v>0.77954250000000003</v>
      </c>
      <c r="K18">
        <v>0.98499999999999999</v>
      </c>
      <c r="L18" s="333">
        <v>0.93408817499999997</v>
      </c>
      <c r="M18" s="333">
        <v>0.98189583800000002</v>
      </c>
      <c r="N18">
        <v>0.87756354999999997</v>
      </c>
      <c r="O18">
        <v>0.92225688800000005</v>
      </c>
      <c r="P18">
        <v>0.87756354999999997</v>
      </c>
      <c r="Q18" s="328">
        <v>0.93408817499999997</v>
      </c>
      <c r="R18">
        <v>0.93408817499999997</v>
      </c>
      <c r="S18" s="333">
        <v>0.93408817499999997</v>
      </c>
      <c r="T18">
        <v>0.87756354999999997</v>
      </c>
      <c r="U18">
        <v>0.87756354999999997</v>
      </c>
      <c r="V18">
        <v>0.87756354999999997</v>
      </c>
      <c r="W18">
        <v>0.87756354999999997</v>
      </c>
      <c r="X18">
        <v>0.92225688800000005</v>
      </c>
      <c r="Y18">
        <v>0.92225688800000005</v>
      </c>
      <c r="Z18">
        <v>0.92225688800000005</v>
      </c>
      <c r="AA18">
        <v>0.92225688800000005</v>
      </c>
      <c r="AB18">
        <v>0.87756354999999997</v>
      </c>
      <c r="AC18">
        <v>0.87756354999999997</v>
      </c>
      <c r="AD18">
        <v>0.92225688800000005</v>
      </c>
      <c r="AE18">
        <v>0.92225688800000005</v>
      </c>
      <c r="AF18">
        <v>0.87756354999999997</v>
      </c>
      <c r="AG18">
        <v>0.98</v>
      </c>
      <c r="AH18">
        <v>0.97135934999999995</v>
      </c>
      <c r="AI18">
        <v>0.97135934999999995</v>
      </c>
      <c r="AJ18">
        <v>0.87756354999999997</v>
      </c>
      <c r="AK18">
        <v>1</v>
      </c>
      <c r="AL18">
        <v>0.98499999999999999</v>
      </c>
      <c r="AM18">
        <v>0.96337159999999999</v>
      </c>
      <c r="AN18" s="328">
        <v>0.99580000000000002</v>
      </c>
      <c r="AO18" s="328">
        <v>0.97</v>
      </c>
      <c r="AP18" s="328">
        <v>0.99</v>
      </c>
      <c r="AQ18">
        <v>0.96337159999999999</v>
      </c>
      <c r="AR18">
        <v>0.97135934999999995</v>
      </c>
      <c r="AS18">
        <v>0.97699999999999998</v>
      </c>
      <c r="AT18" s="328">
        <v>0.97</v>
      </c>
      <c r="AU18">
        <v>0.97135934999999995</v>
      </c>
      <c r="AV18">
        <v>0.96337159999999999</v>
      </c>
      <c r="AW18">
        <v>0.96337159999999999</v>
      </c>
      <c r="AX18">
        <v>0.96337159999999999</v>
      </c>
      <c r="AY18">
        <v>0.97135934999999995</v>
      </c>
      <c r="AZ18">
        <v>0.996</v>
      </c>
      <c r="BA18">
        <v>0.99</v>
      </c>
      <c r="BB18" s="446">
        <v>1</v>
      </c>
      <c r="BC18">
        <v>1</v>
      </c>
      <c r="BD18">
        <v>1</v>
      </c>
      <c r="BE18">
        <v>1</v>
      </c>
      <c r="BF18">
        <v>0.99990000000000001</v>
      </c>
      <c r="BG18">
        <v>1</v>
      </c>
      <c r="BH18">
        <v>1</v>
      </c>
      <c r="BI18">
        <v>0.99</v>
      </c>
      <c r="BJ18">
        <v>0.99</v>
      </c>
      <c r="BK18">
        <v>0.998</v>
      </c>
      <c r="BL18">
        <v>0.99850000000000005</v>
      </c>
      <c r="BM18">
        <v>0.99</v>
      </c>
      <c r="BN18">
        <v>0.97199999999999998</v>
      </c>
      <c r="BO18">
        <v>0.99990000000000001</v>
      </c>
      <c r="BP18">
        <v>0.99990000000000001</v>
      </c>
      <c r="BQ18">
        <v>1</v>
      </c>
      <c r="BR18">
        <v>1.0669531000000001</v>
      </c>
      <c r="BS18">
        <v>1.0915999999999999</v>
      </c>
      <c r="BT18">
        <v>1.0824400000000001</v>
      </c>
      <c r="BU18">
        <v>1.0061</v>
      </c>
      <c r="BV18">
        <v>1</v>
      </c>
      <c r="BW18">
        <v>1.8906000000000001</v>
      </c>
      <c r="BX18">
        <v>2.2362866669999999</v>
      </c>
      <c r="BY18">
        <v>1.0190999999999999</v>
      </c>
      <c r="BZ18">
        <v>1.2885</v>
      </c>
      <c r="CA18">
        <v>1.9964999999999999</v>
      </c>
      <c r="CB18">
        <v>1.4710049999999999</v>
      </c>
      <c r="CC18">
        <v>1.4710049999999999</v>
      </c>
      <c r="CD18">
        <v>1.236005</v>
      </c>
      <c r="CE18">
        <v>1.051005</v>
      </c>
      <c r="CF18">
        <v>1.391005</v>
      </c>
      <c r="CG18" s="332"/>
      <c r="CH18">
        <v>1.091415</v>
      </c>
      <c r="CI18" s="332"/>
      <c r="CJ18" s="332"/>
      <c r="CK18" s="332"/>
      <c r="CL18" s="332"/>
      <c r="CM18" s="332"/>
      <c r="CN18" s="332"/>
      <c r="CO18" s="332"/>
      <c r="CP18">
        <v>0.86499999999999999</v>
      </c>
      <c r="CQ18">
        <v>0.86</v>
      </c>
      <c r="CR18">
        <v>0.89</v>
      </c>
      <c r="CS18">
        <v>0.93500000000000005</v>
      </c>
      <c r="CT18">
        <v>0.99895</v>
      </c>
      <c r="CU18">
        <v>0.57999999999999996</v>
      </c>
      <c r="CV18">
        <v>0.45</v>
      </c>
      <c r="CW18">
        <v>0.84499999999999997</v>
      </c>
      <c r="CX18">
        <v>0.60499999999999998</v>
      </c>
      <c r="CY18">
        <v>0.505</v>
      </c>
      <c r="CZ18">
        <v>0.63500000000000001</v>
      </c>
      <c r="DA18">
        <v>0.66749999999999998</v>
      </c>
      <c r="DB18">
        <v>0.71</v>
      </c>
      <c r="DC18">
        <v>0.87749999999999995</v>
      </c>
      <c r="DD18">
        <v>0.67</v>
      </c>
      <c r="DE18">
        <v>0.89</v>
      </c>
      <c r="DF18">
        <v>0.98499999999999999</v>
      </c>
      <c r="DG18">
        <v>0.97</v>
      </c>
      <c r="DH18">
        <v>0.99</v>
      </c>
      <c r="DI18">
        <v>0.97</v>
      </c>
      <c r="DN18" s="332">
        <v>4.0089999999999999E-4</v>
      </c>
      <c r="DO18" s="332">
        <v>2.0000000000000001E-4</v>
      </c>
      <c r="DP18" s="332">
        <v>9.0000000000000006E-5</v>
      </c>
      <c r="DQ18" s="332">
        <v>1E-4</v>
      </c>
      <c r="DR18" s="332">
        <v>0</v>
      </c>
      <c r="DS18" s="332">
        <v>3.5999999999999999E-3</v>
      </c>
      <c r="DT18" s="332">
        <v>1.366667E-3</v>
      </c>
      <c r="DU18" s="332">
        <v>1.65E-3</v>
      </c>
      <c r="DV18" s="332">
        <v>0</v>
      </c>
      <c r="DW18" s="332">
        <v>1.5E-3</v>
      </c>
      <c r="DX18" s="332">
        <v>5.0000000000000001E-4</v>
      </c>
      <c r="DY18" s="332">
        <v>5.0000000000000001E-4</v>
      </c>
      <c r="DZ18" s="332">
        <v>5.0000000000000001E-4</v>
      </c>
      <c r="EA18" s="332">
        <v>5.0000000000000001E-4</v>
      </c>
      <c r="EB18" s="332">
        <v>5.0000000000000001E-4</v>
      </c>
      <c r="ED18" s="332">
        <v>4.0999999999999999E-4</v>
      </c>
      <c r="EF18">
        <v>1</v>
      </c>
    </row>
    <row r="19" spans="1:136" x14ac:dyDescent="0.25">
      <c r="A19" s="66">
        <v>36951</v>
      </c>
      <c r="B19">
        <v>0.99</v>
      </c>
      <c r="C19">
        <v>0.97170199999999995</v>
      </c>
      <c r="D19">
        <v>0.99</v>
      </c>
      <c r="E19">
        <v>0.99399999999999999</v>
      </c>
      <c r="F19">
        <v>0.996</v>
      </c>
      <c r="G19">
        <v>0.98750000000000004</v>
      </c>
      <c r="H19">
        <v>0.98750000000000004</v>
      </c>
      <c r="I19">
        <v>0.89311249999999998</v>
      </c>
      <c r="J19">
        <v>0.98499999999999999</v>
      </c>
      <c r="K19">
        <v>0.98499999999999999</v>
      </c>
      <c r="L19" s="333">
        <v>0.98750000000000004</v>
      </c>
      <c r="M19" s="333">
        <v>0.98750000000000004</v>
      </c>
      <c r="N19">
        <v>0.98</v>
      </c>
      <c r="O19">
        <v>0.94626449999999995</v>
      </c>
      <c r="P19">
        <v>0.98</v>
      </c>
      <c r="Q19" s="328">
        <v>0.98750000000000004</v>
      </c>
      <c r="R19">
        <v>0.98750000000000004</v>
      </c>
      <c r="S19" s="333">
        <v>0.98750000000000004</v>
      </c>
      <c r="T19">
        <v>0.98</v>
      </c>
      <c r="U19">
        <v>0.98</v>
      </c>
      <c r="V19">
        <v>0.98</v>
      </c>
      <c r="W19">
        <v>0.98</v>
      </c>
      <c r="X19">
        <v>0.94626449999999995</v>
      </c>
      <c r="Y19">
        <v>0.94626449999999995</v>
      </c>
      <c r="Z19">
        <v>0.94626449999999995</v>
      </c>
      <c r="AA19">
        <v>0.94626449999999995</v>
      </c>
      <c r="AB19">
        <v>0.98</v>
      </c>
      <c r="AC19">
        <v>0.98</v>
      </c>
      <c r="AD19">
        <v>0.94626449999999995</v>
      </c>
      <c r="AE19">
        <v>0.94626449999999995</v>
      </c>
      <c r="AF19">
        <v>0.98</v>
      </c>
      <c r="AG19">
        <v>0.99</v>
      </c>
      <c r="AH19">
        <v>0.97164415000000004</v>
      </c>
      <c r="AI19">
        <v>0.97164415000000004</v>
      </c>
      <c r="AJ19">
        <v>0.98</v>
      </c>
      <c r="AK19">
        <v>1</v>
      </c>
      <c r="AL19">
        <v>0.98499999999999999</v>
      </c>
      <c r="AM19">
        <v>0.98499999999999999</v>
      </c>
      <c r="AN19" s="328">
        <v>0.99580000000000002</v>
      </c>
      <c r="AO19" s="328">
        <v>0.97</v>
      </c>
      <c r="AP19" s="328">
        <v>0.99</v>
      </c>
      <c r="AQ19">
        <v>0.98499999999999999</v>
      </c>
      <c r="AR19">
        <v>0.97164415000000004</v>
      </c>
      <c r="AS19">
        <v>0.97699999999999998</v>
      </c>
      <c r="AT19" s="328">
        <v>0.97</v>
      </c>
      <c r="AU19">
        <v>0.97164415000000004</v>
      </c>
      <c r="AV19">
        <v>0.98499999999999999</v>
      </c>
      <c r="AW19">
        <v>0.98499999999999999</v>
      </c>
      <c r="AX19">
        <v>0.98499999999999999</v>
      </c>
      <c r="AY19">
        <v>0.97164415000000004</v>
      </c>
      <c r="AZ19">
        <v>0.99399999999999999</v>
      </c>
      <c r="BA19">
        <v>0.99</v>
      </c>
      <c r="BB19" s="446">
        <v>1</v>
      </c>
      <c r="BC19">
        <v>1</v>
      </c>
      <c r="BD19">
        <v>1</v>
      </c>
      <c r="BE19">
        <v>1</v>
      </c>
      <c r="BF19">
        <v>0.99990000000000001</v>
      </c>
      <c r="BG19">
        <v>1</v>
      </c>
      <c r="BH19">
        <v>1</v>
      </c>
      <c r="BI19">
        <v>0.99</v>
      </c>
      <c r="BJ19">
        <v>0.99</v>
      </c>
      <c r="BK19">
        <v>0.998</v>
      </c>
      <c r="BL19">
        <v>0.99850000000000005</v>
      </c>
      <c r="BM19">
        <v>0.99</v>
      </c>
      <c r="BN19">
        <v>0.97199999999999998</v>
      </c>
      <c r="BO19">
        <v>0.99990000000000001</v>
      </c>
      <c r="BP19">
        <v>0.99990000000000001</v>
      </c>
      <c r="BQ19">
        <v>1</v>
      </c>
      <c r="BR19">
        <v>1.0673440999999999</v>
      </c>
      <c r="BS19">
        <v>1.0918000000000001</v>
      </c>
      <c r="BT19">
        <v>1.0825199999999999</v>
      </c>
      <c r="BU19">
        <v>1.0062</v>
      </c>
      <c r="BV19">
        <v>1</v>
      </c>
      <c r="BW19">
        <v>1.8942000000000001</v>
      </c>
      <c r="BX19">
        <v>2.237253333</v>
      </c>
      <c r="BY19">
        <v>1.0206999999999999</v>
      </c>
      <c r="BZ19">
        <v>1.2885</v>
      </c>
      <c r="CA19">
        <v>1.998</v>
      </c>
      <c r="CB19">
        <v>1.4715050000000001</v>
      </c>
      <c r="CC19">
        <v>1.4715050000000001</v>
      </c>
      <c r="CD19">
        <v>1.236405</v>
      </c>
      <c r="CE19">
        <v>1.0514049999999999</v>
      </c>
      <c r="CF19">
        <v>1.391405</v>
      </c>
      <c r="CG19" s="332"/>
      <c r="CH19">
        <v>1.0917349999999999</v>
      </c>
      <c r="CI19" s="332"/>
      <c r="CJ19" s="332"/>
      <c r="CK19" s="332"/>
      <c r="CL19" s="332"/>
      <c r="CM19" s="332"/>
      <c r="CN19" s="332"/>
      <c r="CO19" s="332"/>
      <c r="CP19">
        <v>0.86499999999999999</v>
      </c>
      <c r="CQ19">
        <v>0.89</v>
      </c>
      <c r="CR19">
        <v>0.91</v>
      </c>
      <c r="CS19">
        <v>0.93500000000000005</v>
      </c>
      <c r="CT19">
        <v>0.99895</v>
      </c>
      <c r="CU19">
        <v>0.54</v>
      </c>
      <c r="CV19">
        <v>0.45</v>
      </c>
      <c r="CW19">
        <v>0.875</v>
      </c>
      <c r="CX19">
        <v>0.77500000000000002</v>
      </c>
      <c r="CY19">
        <v>0.51500000000000001</v>
      </c>
      <c r="CZ19">
        <v>0.78500000000000003</v>
      </c>
      <c r="DA19">
        <v>0.8175</v>
      </c>
      <c r="DB19">
        <v>0.8</v>
      </c>
      <c r="DC19">
        <v>0.9</v>
      </c>
      <c r="DD19">
        <v>0.83</v>
      </c>
      <c r="DE19">
        <v>0.89</v>
      </c>
      <c r="DF19">
        <v>0.98499999999999999</v>
      </c>
      <c r="DG19">
        <v>0.97</v>
      </c>
      <c r="DH19">
        <v>0.99</v>
      </c>
      <c r="DI19">
        <v>0.97</v>
      </c>
      <c r="DN19" s="332">
        <v>3.9100000000000002E-4</v>
      </c>
      <c r="DO19" s="332">
        <v>2.0000000000000001E-4</v>
      </c>
      <c r="DP19" s="332">
        <v>8.0000000000000007E-5</v>
      </c>
      <c r="DQ19" s="332">
        <v>1E-4</v>
      </c>
      <c r="DR19" s="332">
        <v>0</v>
      </c>
      <c r="DS19" s="332">
        <v>3.5999999999999999E-3</v>
      </c>
      <c r="DT19" s="332">
        <v>9.6666700000000005E-4</v>
      </c>
      <c r="DU19" s="332">
        <v>1.6000000000000001E-3</v>
      </c>
      <c r="DV19" s="332">
        <v>0</v>
      </c>
      <c r="DW19" s="332">
        <v>1.5E-3</v>
      </c>
      <c r="DX19" s="332">
        <v>5.0000000000000001E-4</v>
      </c>
      <c r="DY19" s="332">
        <v>5.0000000000000001E-4</v>
      </c>
      <c r="DZ19" s="332">
        <v>4.0000000000000002E-4</v>
      </c>
      <c r="EA19" s="332">
        <v>4.0000000000000002E-4</v>
      </c>
      <c r="EB19" s="332">
        <v>4.0000000000000002E-4</v>
      </c>
      <c r="ED19" s="332">
        <v>3.2000000000000003E-4</v>
      </c>
      <c r="EF19">
        <v>1</v>
      </c>
    </row>
    <row r="20" spans="1:136" x14ac:dyDescent="0.25">
      <c r="A20" s="66">
        <v>36982</v>
      </c>
      <c r="B20">
        <v>0.98</v>
      </c>
      <c r="C20">
        <v>0.98280000000000001</v>
      </c>
      <c r="D20">
        <v>0.99</v>
      </c>
      <c r="E20">
        <v>0.97799999999999998</v>
      </c>
      <c r="F20">
        <v>0.97699999999999998</v>
      </c>
      <c r="G20">
        <v>0.91094399999999998</v>
      </c>
      <c r="H20">
        <v>0.93988369999999999</v>
      </c>
      <c r="I20">
        <v>0.95580374999999995</v>
      </c>
      <c r="J20">
        <v>0.98499999999999999</v>
      </c>
      <c r="K20">
        <v>0.98499999999999999</v>
      </c>
      <c r="L20" s="333">
        <v>0.98750000000000004</v>
      </c>
      <c r="M20" s="333">
        <v>0.98750000000000004</v>
      </c>
      <c r="N20">
        <v>0.98</v>
      </c>
      <c r="O20">
        <v>0.94968961500000004</v>
      </c>
      <c r="P20">
        <v>0.98</v>
      </c>
      <c r="Q20" s="328">
        <v>0.98750000000000004</v>
      </c>
      <c r="R20">
        <v>0.98750000000000004</v>
      </c>
      <c r="S20" s="333">
        <v>0.98750000000000004</v>
      </c>
      <c r="T20">
        <v>0.98</v>
      </c>
      <c r="U20">
        <v>0.98</v>
      </c>
      <c r="V20">
        <v>0.98</v>
      </c>
      <c r="W20">
        <v>0.98</v>
      </c>
      <c r="X20">
        <v>0.94968961500000004</v>
      </c>
      <c r="Y20">
        <v>0.94968961500000004</v>
      </c>
      <c r="Z20">
        <v>0.94968961500000004</v>
      </c>
      <c r="AA20">
        <v>0.94968961500000004</v>
      </c>
      <c r="AB20">
        <v>0.98</v>
      </c>
      <c r="AC20">
        <v>0.98</v>
      </c>
      <c r="AD20">
        <v>0.94968961500000004</v>
      </c>
      <c r="AE20">
        <v>0.94968961500000004</v>
      </c>
      <c r="AF20">
        <v>0.98</v>
      </c>
      <c r="AG20">
        <v>0.99</v>
      </c>
      <c r="AH20">
        <v>0.97184884999999999</v>
      </c>
      <c r="AI20">
        <v>0.97184884999999999</v>
      </c>
      <c r="AJ20">
        <v>0.98</v>
      </c>
      <c r="AK20">
        <v>1</v>
      </c>
      <c r="AL20">
        <v>0.98499999999999999</v>
      </c>
      <c r="AM20">
        <v>0.98499999999999999</v>
      </c>
      <c r="AN20" s="328">
        <v>0.99580000000000002</v>
      </c>
      <c r="AO20" s="328">
        <v>0.99</v>
      </c>
      <c r="AP20" s="328">
        <v>0.99</v>
      </c>
      <c r="AQ20">
        <v>0.98499999999999999</v>
      </c>
      <c r="AR20">
        <v>0.97184884999999999</v>
      </c>
      <c r="AS20">
        <v>0.97699999999999998</v>
      </c>
      <c r="AT20" s="328">
        <v>0.97499999999999998</v>
      </c>
      <c r="AU20">
        <v>0.97184884999999999</v>
      </c>
      <c r="AV20">
        <v>0.98499999999999999</v>
      </c>
      <c r="AW20">
        <v>0.98499999999999999</v>
      </c>
      <c r="AX20">
        <v>0.98499999999999999</v>
      </c>
      <c r="AY20">
        <v>0.97184884999999999</v>
      </c>
      <c r="AZ20">
        <v>0.97184884999999999</v>
      </c>
      <c r="BA20">
        <v>0.98499999999999999</v>
      </c>
      <c r="BB20" s="446">
        <v>1</v>
      </c>
      <c r="BC20">
        <v>1</v>
      </c>
      <c r="BD20">
        <v>1</v>
      </c>
      <c r="BE20">
        <v>1</v>
      </c>
      <c r="BF20">
        <v>0.99990000000000001</v>
      </c>
      <c r="BG20">
        <v>1</v>
      </c>
      <c r="BH20">
        <v>1</v>
      </c>
      <c r="BI20">
        <v>0.99</v>
      </c>
      <c r="BJ20">
        <v>0.999</v>
      </c>
      <c r="BK20">
        <v>0.998</v>
      </c>
      <c r="BL20">
        <v>0.99850000000000005</v>
      </c>
      <c r="BM20">
        <v>0.99850000000000005</v>
      </c>
      <c r="BN20">
        <v>0.97199999999999998</v>
      </c>
      <c r="BO20">
        <v>0.99990000000000001</v>
      </c>
      <c r="BP20">
        <v>0.99990000000000001</v>
      </c>
      <c r="BQ20">
        <v>1</v>
      </c>
      <c r="BR20">
        <v>1.0677251999999999</v>
      </c>
      <c r="BS20">
        <v>1.0920000000000001</v>
      </c>
      <c r="BT20">
        <v>1.0825899999999999</v>
      </c>
      <c r="BU20">
        <v>1.0063</v>
      </c>
      <c r="BV20">
        <v>1</v>
      </c>
      <c r="BW20">
        <v>1.8977999999999999</v>
      </c>
      <c r="BX20">
        <v>2.2378183329999999</v>
      </c>
      <c r="BY20">
        <v>1.0222500000000001</v>
      </c>
      <c r="BZ20">
        <v>1.2885</v>
      </c>
      <c r="CA20">
        <v>1.9995000000000001</v>
      </c>
      <c r="CB20">
        <v>1.472005</v>
      </c>
      <c r="CC20">
        <v>1.472005</v>
      </c>
      <c r="CD20">
        <v>1.2367049999999999</v>
      </c>
      <c r="CE20">
        <v>1.0517049999999999</v>
      </c>
      <c r="CF20">
        <v>1.391805</v>
      </c>
      <c r="CG20" s="332"/>
      <c r="CH20">
        <v>1.0919650000000001</v>
      </c>
      <c r="CI20" s="332"/>
      <c r="CJ20" s="332"/>
      <c r="CK20" s="332"/>
      <c r="CL20" s="332"/>
      <c r="CM20" s="332"/>
      <c r="CN20" s="332"/>
      <c r="CO20" s="332"/>
      <c r="CP20">
        <v>0.89500000000000002</v>
      </c>
      <c r="CQ20">
        <v>0.9</v>
      </c>
      <c r="CR20">
        <v>0.91</v>
      </c>
      <c r="CS20">
        <v>0.96</v>
      </c>
      <c r="CT20">
        <v>0.99895</v>
      </c>
      <c r="CU20">
        <v>0.48</v>
      </c>
      <c r="CV20">
        <v>0.42</v>
      </c>
      <c r="CW20">
        <v>0.93500000000000005</v>
      </c>
      <c r="CX20">
        <v>0.76500000000000001</v>
      </c>
      <c r="CY20">
        <v>0.57499999999999996</v>
      </c>
      <c r="CZ20">
        <v>0.89500000000000002</v>
      </c>
      <c r="DA20">
        <v>0.92749999999999999</v>
      </c>
      <c r="DB20">
        <v>0.85</v>
      </c>
      <c r="DC20">
        <v>0.90300000000000002</v>
      </c>
      <c r="DD20">
        <v>0.92</v>
      </c>
      <c r="DE20">
        <v>0.89</v>
      </c>
      <c r="DF20">
        <v>0.98499999999999999</v>
      </c>
      <c r="DG20">
        <v>0.99</v>
      </c>
      <c r="DH20">
        <v>0.99</v>
      </c>
      <c r="DI20">
        <v>0.97499999999999998</v>
      </c>
      <c r="DN20" s="332">
        <v>3.8109999999999999E-4</v>
      </c>
      <c r="DO20" s="332">
        <v>2.0000000000000001E-4</v>
      </c>
      <c r="DP20" s="332">
        <v>6.9999999999999994E-5</v>
      </c>
      <c r="DQ20" s="332">
        <v>1E-4</v>
      </c>
      <c r="DR20" s="332">
        <v>0</v>
      </c>
      <c r="DS20" s="332">
        <v>3.5999999999999999E-3</v>
      </c>
      <c r="DT20" s="332">
        <v>5.6499999999999996E-4</v>
      </c>
      <c r="DU20" s="332">
        <v>1.5499999999999999E-3</v>
      </c>
      <c r="DV20" s="332">
        <v>0</v>
      </c>
      <c r="DW20" s="332">
        <v>1.5E-3</v>
      </c>
      <c r="DX20" s="332">
        <v>5.0000000000000001E-4</v>
      </c>
      <c r="DY20" s="332">
        <v>5.0000000000000001E-4</v>
      </c>
      <c r="DZ20" s="332">
        <v>2.9999999999999997E-4</v>
      </c>
      <c r="EA20" s="332">
        <v>2.9999999999999997E-4</v>
      </c>
      <c r="EB20" s="332">
        <v>4.0000000000000002E-4</v>
      </c>
      <c r="ED20" s="332">
        <v>2.3000000000000001E-4</v>
      </c>
      <c r="EF20">
        <v>1</v>
      </c>
    </row>
    <row r="21" spans="1:136" x14ac:dyDescent="0.25">
      <c r="A21" s="66">
        <v>37012</v>
      </c>
      <c r="B21">
        <v>0.98</v>
      </c>
      <c r="C21">
        <v>0.98799999999999999</v>
      </c>
      <c r="D21">
        <v>0.99</v>
      </c>
      <c r="E21">
        <v>0.97799999999999998</v>
      </c>
      <c r="F21">
        <v>0.97699999999999998</v>
      </c>
      <c r="G21">
        <v>0.64647600000000005</v>
      </c>
      <c r="H21">
        <v>0.94011889999999998</v>
      </c>
      <c r="I21">
        <v>0.95720625000000004</v>
      </c>
      <c r="J21">
        <v>0.85685250000000002</v>
      </c>
      <c r="K21">
        <v>0.98499999999999999</v>
      </c>
      <c r="L21" s="333">
        <v>1.125</v>
      </c>
      <c r="M21" s="333">
        <v>1.125</v>
      </c>
      <c r="N21">
        <v>0.98</v>
      </c>
      <c r="O21">
        <v>0.94678200000000001</v>
      </c>
      <c r="P21">
        <v>0.98</v>
      </c>
      <c r="Q21" s="328">
        <v>0.995</v>
      </c>
      <c r="R21">
        <v>0.98750000000000004</v>
      </c>
      <c r="S21" s="333">
        <v>1.125</v>
      </c>
      <c r="T21">
        <v>0.98</v>
      </c>
      <c r="U21">
        <v>0.98</v>
      </c>
      <c r="V21">
        <v>0.98</v>
      </c>
      <c r="W21">
        <v>0.98</v>
      </c>
      <c r="X21">
        <v>0.94678200000000001</v>
      </c>
      <c r="Y21">
        <v>0.94678200000000001</v>
      </c>
      <c r="Z21">
        <v>0.94678200000000001</v>
      </c>
      <c r="AA21">
        <v>0.94678200000000001</v>
      </c>
      <c r="AB21">
        <v>0.98</v>
      </c>
      <c r="AC21">
        <v>0.98</v>
      </c>
      <c r="AD21">
        <v>0.94678200000000001</v>
      </c>
      <c r="AE21">
        <v>0.94678200000000001</v>
      </c>
      <c r="AF21">
        <v>0.98</v>
      </c>
      <c r="AG21">
        <v>0.99</v>
      </c>
      <c r="AH21">
        <v>0.97202685</v>
      </c>
      <c r="AI21">
        <v>0.97202685</v>
      </c>
      <c r="AJ21">
        <v>0.98</v>
      </c>
      <c r="AK21">
        <v>1</v>
      </c>
      <c r="AL21">
        <v>0.98499999999999999</v>
      </c>
      <c r="AM21">
        <v>0.98499999999999999</v>
      </c>
      <c r="AN21" s="328">
        <v>0.99580000000000002</v>
      </c>
      <c r="AO21" s="328">
        <v>0.99</v>
      </c>
      <c r="AP21" s="328">
        <v>0.99</v>
      </c>
      <c r="AQ21">
        <v>0.98499999999999999</v>
      </c>
      <c r="AR21">
        <v>0.97202685</v>
      </c>
      <c r="AS21">
        <v>0.97699999999999998</v>
      </c>
      <c r="AT21" s="328">
        <v>0.97499999999999998</v>
      </c>
      <c r="AU21">
        <v>0.97202685</v>
      </c>
      <c r="AV21">
        <v>0.98499999999999999</v>
      </c>
      <c r="AW21">
        <v>0.98499999999999999</v>
      </c>
      <c r="AX21">
        <v>0.98499999999999999</v>
      </c>
      <c r="AY21">
        <v>0.97202685</v>
      </c>
      <c r="AZ21">
        <v>0.97202685</v>
      </c>
      <c r="BA21">
        <v>0.98499999999999999</v>
      </c>
      <c r="BB21" s="446">
        <v>1</v>
      </c>
      <c r="BC21">
        <v>1</v>
      </c>
      <c r="BD21">
        <v>1</v>
      </c>
      <c r="BE21">
        <v>1</v>
      </c>
      <c r="BF21">
        <v>0.99990000000000001</v>
      </c>
      <c r="BG21">
        <v>1</v>
      </c>
      <c r="BH21">
        <v>1</v>
      </c>
      <c r="BI21">
        <v>0.99</v>
      </c>
      <c r="BJ21">
        <v>0.999</v>
      </c>
      <c r="BK21">
        <v>0.998</v>
      </c>
      <c r="BL21">
        <v>0.99850000000000005</v>
      </c>
      <c r="BM21">
        <v>0.99850000000000005</v>
      </c>
      <c r="BN21">
        <v>0.97199999999999998</v>
      </c>
      <c r="BO21">
        <v>0.99990000000000001</v>
      </c>
      <c r="BP21">
        <v>0.99990000000000001</v>
      </c>
      <c r="BQ21">
        <v>1</v>
      </c>
      <c r="BR21">
        <v>1.0680963999999999</v>
      </c>
      <c r="BS21">
        <v>1.0922000000000001</v>
      </c>
      <c r="BT21">
        <v>1.0826499999999999</v>
      </c>
      <c r="BU21">
        <v>1.0064</v>
      </c>
      <c r="BV21">
        <v>1</v>
      </c>
      <c r="BW21">
        <v>1.9014</v>
      </c>
      <c r="BX21">
        <v>2.238378333</v>
      </c>
      <c r="BY21">
        <v>1.0237499999999999</v>
      </c>
      <c r="BZ21">
        <v>1.2885</v>
      </c>
      <c r="CA21">
        <v>2.0009999999999999</v>
      </c>
      <c r="CB21">
        <v>1.472505</v>
      </c>
      <c r="CC21">
        <v>1.472505</v>
      </c>
      <c r="CD21">
        <v>1.2370049999999999</v>
      </c>
      <c r="CE21">
        <v>1.0519799999999999</v>
      </c>
      <c r="CF21">
        <v>1.3922049999999999</v>
      </c>
      <c r="CG21" s="332"/>
      <c r="CH21">
        <v>1.0921650000000001</v>
      </c>
      <c r="CI21" s="332"/>
      <c r="CJ21" s="332"/>
      <c r="CK21" s="332"/>
      <c r="CL21" s="332"/>
      <c r="CM21" s="332"/>
      <c r="CN21" s="332"/>
      <c r="CO21" s="332"/>
      <c r="CP21">
        <v>0.96499999999999997</v>
      </c>
      <c r="CQ21">
        <v>0.91</v>
      </c>
      <c r="CR21">
        <v>0.91</v>
      </c>
      <c r="CS21">
        <v>0.97</v>
      </c>
      <c r="CT21">
        <v>0.99895</v>
      </c>
      <c r="CU21">
        <v>0.34</v>
      </c>
      <c r="CV21">
        <v>0.42</v>
      </c>
      <c r="CW21">
        <v>0.93500000000000005</v>
      </c>
      <c r="CX21">
        <v>0.66500000000000004</v>
      </c>
      <c r="CY21">
        <v>0.625</v>
      </c>
      <c r="CZ21">
        <v>0.91749999999999998</v>
      </c>
      <c r="DA21">
        <v>0.95</v>
      </c>
      <c r="DB21">
        <v>0.88</v>
      </c>
      <c r="DC21">
        <v>0.9</v>
      </c>
      <c r="DD21">
        <v>0.93500000000000005</v>
      </c>
      <c r="DE21">
        <v>0.89</v>
      </c>
      <c r="DF21">
        <v>0.98499999999999999</v>
      </c>
      <c r="DG21">
        <v>0.99</v>
      </c>
      <c r="DH21">
        <v>0.99</v>
      </c>
      <c r="DI21">
        <v>0.97499999999999998</v>
      </c>
      <c r="DN21" s="332">
        <v>3.7120000000000002E-4</v>
      </c>
      <c r="DO21" s="332">
        <v>2.0000000000000001E-4</v>
      </c>
      <c r="DP21" s="332">
        <v>6.0000000000000002E-5</v>
      </c>
      <c r="DQ21" s="332">
        <v>1E-4</v>
      </c>
      <c r="DR21" s="332">
        <v>0</v>
      </c>
      <c r="DS21" s="332">
        <v>3.5999999999999999E-3</v>
      </c>
      <c r="DT21" s="332">
        <v>5.5999999999999995E-4</v>
      </c>
      <c r="DU21" s="332">
        <v>1.5E-3</v>
      </c>
      <c r="DV21" s="332">
        <v>0</v>
      </c>
      <c r="DW21" s="332">
        <v>1.5E-3</v>
      </c>
      <c r="DX21" s="332">
        <v>5.0000000000000001E-4</v>
      </c>
      <c r="DY21" s="332">
        <v>5.0000000000000001E-4</v>
      </c>
      <c r="DZ21" s="332">
        <v>2.9999999999999997E-4</v>
      </c>
      <c r="EA21" s="332">
        <v>2.7500000000000002E-4</v>
      </c>
      <c r="EB21" s="332">
        <v>4.0000000000000002E-4</v>
      </c>
      <c r="ED21" s="332">
        <v>2.0000000000000001E-4</v>
      </c>
      <c r="EF21">
        <v>1</v>
      </c>
    </row>
    <row r="22" spans="1:136" x14ac:dyDescent="0.25">
      <c r="A22" s="66">
        <v>37043</v>
      </c>
      <c r="B22">
        <v>0.98</v>
      </c>
      <c r="C22">
        <v>0.98799999999999999</v>
      </c>
      <c r="D22">
        <v>0.99</v>
      </c>
      <c r="E22">
        <v>0.97799999999999998</v>
      </c>
      <c r="F22">
        <v>0.97699999999999998</v>
      </c>
      <c r="G22">
        <v>0.64770000000000005</v>
      </c>
      <c r="H22">
        <v>0.98750000000000004</v>
      </c>
      <c r="I22">
        <v>0.95856200000000003</v>
      </c>
      <c r="J22">
        <v>0.74088750000000003</v>
      </c>
      <c r="K22">
        <v>0.98499999999999999</v>
      </c>
      <c r="L22" s="333">
        <v>1.125</v>
      </c>
      <c r="M22" s="333">
        <v>1.125</v>
      </c>
      <c r="N22">
        <v>0.98</v>
      </c>
      <c r="O22">
        <v>0.94966013800000004</v>
      </c>
      <c r="P22">
        <v>0.98</v>
      </c>
      <c r="Q22" s="328">
        <v>0.995</v>
      </c>
      <c r="R22">
        <v>0.98750000000000004</v>
      </c>
      <c r="S22" s="333">
        <v>1.125</v>
      </c>
      <c r="T22">
        <v>0.98</v>
      </c>
      <c r="U22">
        <v>0.98</v>
      </c>
      <c r="V22">
        <v>0.98</v>
      </c>
      <c r="W22">
        <v>0.98</v>
      </c>
      <c r="X22">
        <v>0.94966013800000004</v>
      </c>
      <c r="Y22">
        <v>0.94966013800000004</v>
      </c>
      <c r="Z22">
        <v>0.94966013800000004</v>
      </c>
      <c r="AA22">
        <v>0.94966013800000004</v>
      </c>
      <c r="AB22">
        <v>0.98</v>
      </c>
      <c r="AC22">
        <v>0.98</v>
      </c>
      <c r="AD22">
        <v>0.94966013800000004</v>
      </c>
      <c r="AE22">
        <v>0.94966013800000004</v>
      </c>
      <c r="AF22">
        <v>0.98</v>
      </c>
      <c r="AG22">
        <v>0.99</v>
      </c>
      <c r="AH22">
        <v>0.97208470000000002</v>
      </c>
      <c r="AI22">
        <v>0.97208470000000002</v>
      </c>
      <c r="AJ22">
        <v>0.98</v>
      </c>
      <c r="AK22">
        <v>1</v>
      </c>
      <c r="AL22">
        <v>0.98499999999999999</v>
      </c>
      <c r="AM22">
        <v>0.98499999999999999</v>
      </c>
      <c r="AN22" s="328">
        <v>0.99580000000000002</v>
      </c>
      <c r="AO22" s="328">
        <v>0.99</v>
      </c>
      <c r="AP22" s="328">
        <v>0.99</v>
      </c>
      <c r="AQ22">
        <v>0.98499999999999999</v>
      </c>
      <c r="AR22">
        <v>0.97208470000000002</v>
      </c>
      <c r="AS22">
        <v>0.97699999999999998</v>
      </c>
      <c r="AT22" s="328">
        <v>0.97499999999999998</v>
      </c>
      <c r="AU22">
        <v>0.97208470000000002</v>
      </c>
      <c r="AV22">
        <v>0.98499999999999999</v>
      </c>
      <c r="AW22">
        <v>0.98499999999999999</v>
      </c>
      <c r="AX22">
        <v>0.98499999999999999</v>
      </c>
      <c r="AY22">
        <v>0.97208470000000002</v>
      </c>
      <c r="AZ22">
        <v>0.97208470000000002</v>
      </c>
      <c r="BA22">
        <v>0.98499999999999999</v>
      </c>
      <c r="BB22" s="446">
        <v>1</v>
      </c>
      <c r="BC22">
        <v>1</v>
      </c>
      <c r="BD22">
        <v>1</v>
      </c>
      <c r="BE22">
        <v>1</v>
      </c>
      <c r="BF22">
        <v>0.99990000000000001</v>
      </c>
      <c r="BG22">
        <v>1</v>
      </c>
      <c r="BH22">
        <v>1</v>
      </c>
      <c r="BI22">
        <v>0.99</v>
      </c>
      <c r="BJ22">
        <v>0.999</v>
      </c>
      <c r="BK22">
        <v>0.998</v>
      </c>
      <c r="BL22">
        <v>0.99850000000000005</v>
      </c>
      <c r="BM22">
        <v>0.99850000000000005</v>
      </c>
      <c r="BN22">
        <v>0.97199999999999998</v>
      </c>
      <c r="BO22">
        <v>0.99990000000000001</v>
      </c>
      <c r="BP22">
        <v>0.99990000000000001</v>
      </c>
      <c r="BQ22">
        <v>1</v>
      </c>
      <c r="BR22">
        <v>1.0684577</v>
      </c>
      <c r="BS22">
        <v>1.0924</v>
      </c>
      <c r="BT22">
        <v>1.0827</v>
      </c>
      <c r="BU22">
        <v>1.0065</v>
      </c>
      <c r="BV22">
        <v>1</v>
      </c>
      <c r="BW22">
        <v>1.905</v>
      </c>
      <c r="BX22">
        <v>2.2389333329999999</v>
      </c>
      <c r="BY22">
        <v>1.0251999999999999</v>
      </c>
      <c r="BZ22">
        <v>1.2885</v>
      </c>
      <c r="CA22">
        <v>2.0009999999999999</v>
      </c>
      <c r="CB22">
        <v>1.4730049999999999</v>
      </c>
      <c r="CC22">
        <v>1.4730049999999999</v>
      </c>
      <c r="CD22">
        <v>1.2373050000000001</v>
      </c>
      <c r="CE22">
        <v>1.0522549999999999</v>
      </c>
      <c r="CF22">
        <v>1.3926050000000001</v>
      </c>
      <c r="CG22" s="332"/>
      <c r="CH22">
        <v>1.09223</v>
      </c>
      <c r="CI22" s="332"/>
      <c r="CJ22" s="332"/>
      <c r="CK22" s="332"/>
      <c r="CL22" s="332"/>
      <c r="CM22" s="332"/>
      <c r="CN22" s="332"/>
      <c r="CO22" s="332"/>
      <c r="CP22">
        <v>0.96499999999999997</v>
      </c>
      <c r="CQ22">
        <v>0.91</v>
      </c>
      <c r="CR22">
        <v>0.91</v>
      </c>
      <c r="CS22">
        <v>0.98</v>
      </c>
      <c r="CT22">
        <v>0.99895</v>
      </c>
      <c r="CU22">
        <v>0.34</v>
      </c>
      <c r="CV22">
        <v>0.47</v>
      </c>
      <c r="CW22">
        <v>0.93500000000000005</v>
      </c>
      <c r="CX22">
        <v>0.57499999999999996</v>
      </c>
      <c r="CY22">
        <v>0.72499999999999998</v>
      </c>
      <c r="CZ22">
        <v>0.88249999999999995</v>
      </c>
      <c r="DA22">
        <v>0.91500000000000004</v>
      </c>
      <c r="DB22">
        <v>0.88</v>
      </c>
      <c r="DC22">
        <v>0.90249999999999997</v>
      </c>
      <c r="DD22">
        <v>0.91500000000000004</v>
      </c>
      <c r="DE22">
        <v>0.89</v>
      </c>
      <c r="DF22">
        <v>0.98499999999999999</v>
      </c>
      <c r="DG22">
        <v>0.99</v>
      </c>
      <c r="DH22">
        <v>0.99</v>
      </c>
      <c r="DI22">
        <v>0.97499999999999998</v>
      </c>
      <c r="DN22" s="332">
        <v>3.613E-4</v>
      </c>
      <c r="DO22" s="332">
        <v>2.0000000000000001E-4</v>
      </c>
      <c r="DP22" s="332">
        <v>5.0000000000000002E-5</v>
      </c>
      <c r="DQ22" s="332">
        <v>1E-4</v>
      </c>
      <c r="DR22" s="332">
        <v>0</v>
      </c>
      <c r="DS22" s="332">
        <v>3.5999999999999999E-3</v>
      </c>
      <c r="DT22" s="332">
        <v>5.5500000000000005E-4</v>
      </c>
      <c r="DU22" s="332">
        <v>1.4499999999999999E-3</v>
      </c>
      <c r="DV22" s="332">
        <v>0</v>
      </c>
      <c r="DW22" s="332">
        <v>0</v>
      </c>
      <c r="DX22" s="332">
        <v>5.0000000000000001E-4</v>
      </c>
      <c r="DY22" s="332">
        <v>5.0000000000000001E-4</v>
      </c>
      <c r="DZ22" s="332">
        <v>2.9999999999999997E-4</v>
      </c>
      <c r="EA22" s="332">
        <v>2.7500000000000002E-4</v>
      </c>
      <c r="EB22" s="332">
        <v>4.0000000000000002E-4</v>
      </c>
      <c r="ED22" s="332">
        <v>6.4999999999999994E-5</v>
      </c>
      <c r="EF22">
        <v>1</v>
      </c>
    </row>
    <row r="23" spans="1:136" x14ac:dyDescent="0.25">
      <c r="A23" s="66">
        <v>37073</v>
      </c>
      <c r="B23">
        <v>0.98</v>
      </c>
      <c r="C23">
        <v>0.98799999999999999</v>
      </c>
      <c r="D23">
        <v>0.99</v>
      </c>
      <c r="E23">
        <v>0.97799999999999998</v>
      </c>
      <c r="F23">
        <v>0.97699999999999998</v>
      </c>
      <c r="G23">
        <v>0.78252600000000005</v>
      </c>
      <c r="H23">
        <v>0.98750000000000004</v>
      </c>
      <c r="I23">
        <v>0.95987100000000003</v>
      </c>
      <c r="J23">
        <v>0.76665749999999999</v>
      </c>
      <c r="K23">
        <v>0.98499999999999999</v>
      </c>
      <c r="L23" s="333">
        <v>1.125</v>
      </c>
      <c r="M23" s="333">
        <v>1.125</v>
      </c>
      <c r="N23">
        <v>0.98</v>
      </c>
      <c r="O23">
        <v>0.95517097500000003</v>
      </c>
      <c r="P23">
        <v>0.98</v>
      </c>
      <c r="Q23" s="328">
        <v>0.995</v>
      </c>
      <c r="R23">
        <v>0.98750000000000004</v>
      </c>
      <c r="S23" s="333">
        <v>1.125</v>
      </c>
      <c r="T23">
        <v>0.98</v>
      </c>
      <c r="U23">
        <v>0.98</v>
      </c>
      <c r="V23">
        <v>0.98</v>
      </c>
      <c r="W23">
        <v>0.98</v>
      </c>
      <c r="X23">
        <v>0.95517097500000003</v>
      </c>
      <c r="Y23">
        <v>0.95517097500000003</v>
      </c>
      <c r="Z23">
        <v>0.95517097500000003</v>
      </c>
      <c r="AA23">
        <v>0.95517097500000003</v>
      </c>
      <c r="AB23">
        <v>0.98</v>
      </c>
      <c r="AC23">
        <v>0.98</v>
      </c>
      <c r="AD23">
        <v>0.95517097500000003</v>
      </c>
      <c r="AE23">
        <v>0.95517097500000003</v>
      </c>
      <c r="AF23">
        <v>0.98</v>
      </c>
      <c r="AG23">
        <v>0.99</v>
      </c>
      <c r="AH23">
        <v>0.97214255000000005</v>
      </c>
      <c r="AI23">
        <v>0.97214255000000005</v>
      </c>
      <c r="AJ23">
        <v>0.98</v>
      </c>
      <c r="AK23">
        <v>1</v>
      </c>
      <c r="AL23">
        <v>0.98499999999999999</v>
      </c>
      <c r="AM23">
        <v>0.98499999999999999</v>
      </c>
      <c r="AN23" s="328">
        <v>0.99580000000000002</v>
      </c>
      <c r="AO23" s="328">
        <v>0.99</v>
      </c>
      <c r="AP23" s="328">
        <v>0.99</v>
      </c>
      <c r="AQ23">
        <v>0.98499999999999999</v>
      </c>
      <c r="AR23">
        <v>0.97214255000000005</v>
      </c>
      <c r="AS23">
        <v>0.97699999999999998</v>
      </c>
      <c r="AT23" s="328">
        <v>0.97499999999999998</v>
      </c>
      <c r="AU23">
        <v>0.97214255000000005</v>
      </c>
      <c r="AV23">
        <v>0.98499999999999999</v>
      </c>
      <c r="AW23">
        <v>0.98499999999999999</v>
      </c>
      <c r="AX23">
        <v>0.98499999999999999</v>
      </c>
      <c r="AY23">
        <v>0.97214255000000005</v>
      </c>
      <c r="AZ23">
        <v>0.97214255000000005</v>
      </c>
      <c r="BA23">
        <v>0.98499999999999999</v>
      </c>
      <c r="BB23" s="446">
        <v>1</v>
      </c>
      <c r="BC23">
        <v>1</v>
      </c>
      <c r="BD23">
        <v>1</v>
      </c>
      <c r="BE23">
        <v>1</v>
      </c>
      <c r="BF23">
        <v>0.99990000000000001</v>
      </c>
      <c r="BG23">
        <v>1</v>
      </c>
      <c r="BH23">
        <v>1</v>
      </c>
      <c r="BI23">
        <v>0.99</v>
      </c>
      <c r="BJ23">
        <v>0.999</v>
      </c>
      <c r="BK23">
        <v>0.998</v>
      </c>
      <c r="BL23">
        <v>0.99850000000000005</v>
      </c>
      <c r="BM23">
        <v>0.99850000000000005</v>
      </c>
      <c r="BN23">
        <v>0.97199999999999998</v>
      </c>
      <c r="BO23">
        <v>0.99990000000000001</v>
      </c>
      <c r="BP23">
        <v>0.99990000000000001</v>
      </c>
      <c r="BQ23">
        <v>1</v>
      </c>
      <c r="BR23">
        <v>1.0688091</v>
      </c>
      <c r="BS23">
        <v>1.0926</v>
      </c>
      <c r="BT23">
        <v>1.0827</v>
      </c>
      <c r="BU23">
        <v>1.0065999999999999</v>
      </c>
      <c r="BV23">
        <v>1</v>
      </c>
      <c r="BW23">
        <v>1.9086000000000001</v>
      </c>
      <c r="BX23">
        <v>2.2394833329999999</v>
      </c>
      <c r="BY23">
        <v>1.0266</v>
      </c>
      <c r="BZ23">
        <v>1.2885</v>
      </c>
      <c r="CA23">
        <v>2.0009999999999999</v>
      </c>
      <c r="CB23">
        <v>1.4735050000000001</v>
      </c>
      <c r="CC23">
        <v>1.4735050000000001</v>
      </c>
      <c r="CD23">
        <v>1.2376050000000001</v>
      </c>
      <c r="CE23">
        <v>1.05253</v>
      </c>
      <c r="CF23">
        <v>1.393005</v>
      </c>
      <c r="CG23" s="332"/>
      <c r="CH23">
        <v>1.092295</v>
      </c>
      <c r="CI23" s="332"/>
      <c r="CJ23" s="332"/>
      <c r="CK23" s="332"/>
      <c r="CL23" s="332"/>
      <c r="CM23" s="332"/>
      <c r="CN23" s="332"/>
      <c r="CO23" s="332"/>
      <c r="CP23">
        <v>0.97499999999999998</v>
      </c>
      <c r="CQ23">
        <v>0.91</v>
      </c>
      <c r="CR23">
        <v>0.91</v>
      </c>
      <c r="CS23">
        <v>0.97</v>
      </c>
      <c r="CT23">
        <v>0.99895</v>
      </c>
      <c r="CU23">
        <v>0.41</v>
      </c>
      <c r="CV23">
        <v>0.47</v>
      </c>
      <c r="CW23">
        <v>0.93500000000000005</v>
      </c>
      <c r="CX23">
        <v>0.59499999999999997</v>
      </c>
      <c r="CY23">
        <v>0.72499999999999998</v>
      </c>
      <c r="CZ23">
        <v>0.87749999999999995</v>
      </c>
      <c r="DA23">
        <v>0.91</v>
      </c>
      <c r="DB23">
        <v>0.89</v>
      </c>
      <c r="DC23">
        <v>0.90749999999999997</v>
      </c>
      <c r="DD23">
        <v>0.91500000000000004</v>
      </c>
      <c r="DE23">
        <v>0.89</v>
      </c>
      <c r="DF23">
        <v>0.98499999999999999</v>
      </c>
      <c r="DG23">
        <v>0.99</v>
      </c>
      <c r="DH23">
        <v>0.99</v>
      </c>
      <c r="DI23">
        <v>0.97499999999999998</v>
      </c>
      <c r="DN23" s="332">
        <v>3.5139999999999998E-4</v>
      </c>
      <c r="DO23" s="332">
        <v>2.0000000000000001E-4</v>
      </c>
      <c r="DP23" s="332">
        <v>0</v>
      </c>
      <c r="DQ23" s="332">
        <v>1E-4</v>
      </c>
      <c r="DR23" s="332">
        <v>0</v>
      </c>
      <c r="DS23" s="332">
        <v>3.5999999999999999E-3</v>
      </c>
      <c r="DT23" s="332">
        <v>5.5000000000000003E-4</v>
      </c>
      <c r="DU23" s="332">
        <v>1.4E-3</v>
      </c>
      <c r="DV23" s="332">
        <v>0</v>
      </c>
      <c r="DW23" s="332">
        <v>0</v>
      </c>
      <c r="DX23" s="332">
        <v>5.0000000000000001E-4</v>
      </c>
      <c r="DY23" s="332">
        <v>5.0000000000000001E-4</v>
      </c>
      <c r="DZ23" s="332">
        <v>2.9999999999999997E-4</v>
      </c>
      <c r="EA23" s="332">
        <v>2.7500000000000002E-4</v>
      </c>
      <c r="EB23" s="332">
        <v>4.0000000000000002E-4</v>
      </c>
      <c r="ED23" s="332">
        <v>6.4999999999999994E-5</v>
      </c>
      <c r="EF23">
        <v>1</v>
      </c>
    </row>
    <row r="24" spans="1:136" x14ac:dyDescent="0.25">
      <c r="A24" s="66">
        <v>37104</v>
      </c>
      <c r="B24">
        <v>0.98</v>
      </c>
      <c r="C24">
        <v>0.98799999999999999</v>
      </c>
      <c r="D24">
        <v>0.99</v>
      </c>
      <c r="E24">
        <v>0.97799999999999998</v>
      </c>
      <c r="F24">
        <v>0.97699999999999998</v>
      </c>
      <c r="G24">
        <v>0.82224600000000003</v>
      </c>
      <c r="H24">
        <v>0.98750000000000004</v>
      </c>
      <c r="I24">
        <v>0.95085375000000005</v>
      </c>
      <c r="J24">
        <v>0.88262249999999998</v>
      </c>
      <c r="K24">
        <v>0.98499999999999999</v>
      </c>
      <c r="L24" s="333">
        <v>1.125</v>
      </c>
      <c r="M24" s="333">
        <v>1.125</v>
      </c>
      <c r="N24">
        <v>0.98</v>
      </c>
      <c r="O24">
        <v>0.97647663799999995</v>
      </c>
      <c r="P24">
        <v>0.98</v>
      </c>
      <c r="Q24" s="328">
        <v>0.995</v>
      </c>
      <c r="R24">
        <v>0.98750000000000004</v>
      </c>
      <c r="S24" s="333">
        <v>1.125</v>
      </c>
      <c r="T24">
        <v>0.98</v>
      </c>
      <c r="U24">
        <v>0.98</v>
      </c>
      <c r="V24">
        <v>0.98</v>
      </c>
      <c r="W24">
        <v>0.98</v>
      </c>
      <c r="X24">
        <v>0.97647663799999995</v>
      </c>
      <c r="Y24">
        <v>0.97647663799999995</v>
      </c>
      <c r="Z24">
        <v>0.97647663799999995</v>
      </c>
      <c r="AA24">
        <v>0.97647663799999995</v>
      </c>
      <c r="AB24">
        <v>0.98</v>
      </c>
      <c r="AC24">
        <v>0.98</v>
      </c>
      <c r="AD24">
        <v>0.97647663799999995</v>
      </c>
      <c r="AE24">
        <v>0.97647663799999995</v>
      </c>
      <c r="AF24">
        <v>0.98</v>
      </c>
      <c r="AG24">
        <v>0.99</v>
      </c>
      <c r="AH24">
        <v>0.97220039999999996</v>
      </c>
      <c r="AI24">
        <v>0.97220039999999996</v>
      </c>
      <c r="AJ24">
        <v>0.98</v>
      </c>
      <c r="AK24">
        <v>1</v>
      </c>
      <c r="AL24">
        <v>0.98499999999999999</v>
      </c>
      <c r="AM24">
        <v>0.98499999999999999</v>
      </c>
      <c r="AN24" s="328">
        <v>0.99580000000000002</v>
      </c>
      <c r="AO24" s="328">
        <v>0.99</v>
      </c>
      <c r="AP24" s="328">
        <v>0.99</v>
      </c>
      <c r="AQ24">
        <v>0.98499999999999999</v>
      </c>
      <c r="AR24">
        <v>0.97220039999999996</v>
      </c>
      <c r="AS24">
        <v>0.97699999999999998</v>
      </c>
      <c r="AT24" s="328">
        <v>0.97499999999999998</v>
      </c>
      <c r="AU24">
        <v>0.97220039999999996</v>
      </c>
      <c r="AV24">
        <v>0.98499999999999999</v>
      </c>
      <c r="AW24">
        <v>0.98499999999999999</v>
      </c>
      <c r="AX24">
        <v>0.98499999999999999</v>
      </c>
      <c r="AY24">
        <v>0.97220039999999996</v>
      </c>
      <c r="AZ24">
        <v>0.97220039999999996</v>
      </c>
      <c r="BA24">
        <v>0.98499999999999999</v>
      </c>
      <c r="BB24" s="446">
        <v>1</v>
      </c>
      <c r="BC24">
        <v>1</v>
      </c>
      <c r="BD24">
        <v>1</v>
      </c>
      <c r="BE24">
        <v>1</v>
      </c>
      <c r="BF24">
        <v>0.99990000000000001</v>
      </c>
      <c r="BG24">
        <v>1</v>
      </c>
      <c r="BH24">
        <v>1</v>
      </c>
      <c r="BI24">
        <v>0.99</v>
      </c>
      <c r="BJ24">
        <v>0.999</v>
      </c>
      <c r="BK24">
        <v>0.998</v>
      </c>
      <c r="BL24">
        <v>0.99850000000000005</v>
      </c>
      <c r="BM24">
        <v>0.99850000000000005</v>
      </c>
      <c r="BN24">
        <v>0.97199999999999998</v>
      </c>
      <c r="BO24">
        <v>0.99990000000000001</v>
      </c>
      <c r="BP24">
        <v>0.99990000000000001</v>
      </c>
      <c r="BQ24">
        <v>1</v>
      </c>
      <c r="BR24">
        <v>1.0691506</v>
      </c>
      <c r="BS24">
        <v>1.0928</v>
      </c>
      <c r="BT24">
        <v>1.0827</v>
      </c>
      <c r="BU24">
        <v>1.0066999999999999</v>
      </c>
      <c r="BV24">
        <v>1</v>
      </c>
      <c r="BW24">
        <v>1.9121999999999999</v>
      </c>
      <c r="BX24">
        <v>2.2400283330000001</v>
      </c>
      <c r="BY24">
        <v>1.0279499999999999</v>
      </c>
      <c r="BZ24">
        <v>1.2885</v>
      </c>
      <c r="CA24">
        <v>2.0009999999999999</v>
      </c>
      <c r="CB24">
        <v>1.474005</v>
      </c>
      <c r="CC24">
        <v>1.474005</v>
      </c>
      <c r="CD24">
        <v>1.237905</v>
      </c>
      <c r="CE24">
        <v>1.052805</v>
      </c>
      <c r="CF24">
        <v>1.393405</v>
      </c>
      <c r="CG24" s="332"/>
      <c r="CH24">
        <v>1.09236</v>
      </c>
      <c r="CI24" s="332"/>
      <c r="CJ24" s="332"/>
      <c r="CK24" s="332"/>
      <c r="CL24" s="332"/>
      <c r="CM24" s="332"/>
      <c r="CN24" s="332"/>
      <c r="CO24" s="332"/>
      <c r="CP24">
        <v>0.97499999999999998</v>
      </c>
      <c r="CQ24">
        <v>0.91</v>
      </c>
      <c r="CR24">
        <v>0.91</v>
      </c>
      <c r="CS24">
        <v>0.97</v>
      </c>
      <c r="CT24">
        <v>0.99895</v>
      </c>
      <c r="CU24">
        <v>0.43</v>
      </c>
      <c r="CV24">
        <v>0.52</v>
      </c>
      <c r="CW24">
        <v>0.92500000000000004</v>
      </c>
      <c r="CX24">
        <v>0.68500000000000005</v>
      </c>
      <c r="CY24">
        <v>0.72499999999999998</v>
      </c>
      <c r="CZ24">
        <v>0.89</v>
      </c>
      <c r="DA24">
        <v>0.92249999999999999</v>
      </c>
      <c r="DB24">
        <v>0.91500000000000004</v>
      </c>
      <c r="DC24">
        <v>0.92749999999999999</v>
      </c>
      <c r="DD24">
        <v>0.91500000000000004</v>
      </c>
      <c r="DE24">
        <v>0.89</v>
      </c>
      <c r="DF24">
        <v>0.98499999999999999</v>
      </c>
      <c r="DG24">
        <v>0.99</v>
      </c>
      <c r="DH24">
        <v>0.99</v>
      </c>
      <c r="DI24">
        <v>0.97499999999999998</v>
      </c>
      <c r="DN24" s="332">
        <v>3.4150000000000001E-4</v>
      </c>
      <c r="DO24" s="332">
        <v>2.0000000000000001E-4</v>
      </c>
      <c r="DP24" s="332">
        <v>0</v>
      </c>
      <c r="DQ24" s="332">
        <v>1E-4</v>
      </c>
      <c r="DR24" s="332">
        <v>0</v>
      </c>
      <c r="DS24" s="332">
        <v>3.5999999999999999E-3</v>
      </c>
      <c r="DT24" s="332">
        <v>5.4500000000000002E-4</v>
      </c>
      <c r="DU24" s="332">
        <v>1.3500000000000001E-3</v>
      </c>
      <c r="DV24" s="332">
        <v>0</v>
      </c>
      <c r="DW24" s="332">
        <v>0</v>
      </c>
      <c r="DX24" s="332">
        <v>5.0000000000000001E-4</v>
      </c>
      <c r="DY24" s="332">
        <v>5.0000000000000001E-4</v>
      </c>
      <c r="DZ24" s="332">
        <v>2.9999999999999997E-4</v>
      </c>
      <c r="EA24" s="332">
        <v>2.7500000000000002E-4</v>
      </c>
      <c r="EB24" s="332">
        <v>4.0000000000000002E-4</v>
      </c>
      <c r="ED24" s="332">
        <v>6.4999999999999994E-5</v>
      </c>
      <c r="EF24">
        <v>1</v>
      </c>
    </row>
    <row r="25" spans="1:136" x14ac:dyDescent="0.25">
      <c r="A25" s="66">
        <v>37135</v>
      </c>
      <c r="B25">
        <v>0.98</v>
      </c>
      <c r="C25">
        <v>0.98799999999999999</v>
      </c>
      <c r="D25">
        <v>0.99</v>
      </c>
      <c r="E25">
        <v>0.97799999999999998</v>
      </c>
      <c r="F25">
        <v>0.97699999999999998</v>
      </c>
      <c r="G25">
        <v>0.88126800000000005</v>
      </c>
      <c r="H25">
        <v>0.98750000000000004</v>
      </c>
      <c r="I25">
        <v>0.95205625000000005</v>
      </c>
      <c r="J25">
        <v>0.70223250000000004</v>
      </c>
      <c r="K25">
        <v>0.98499999999999999</v>
      </c>
      <c r="L25" s="333">
        <v>1.125</v>
      </c>
      <c r="M25" s="333">
        <v>1.125</v>
      </c>
      <c r="N25">
        <v>0.98</v>
      </c>
      <c r="O25">
        <v>0.96883359999999996</v>
      </c>
      <c r="P25">
        <v>0.98</v>
      </c>
      <c r="Q25" s="328">
        <v>0.995</v>
      </c>
      <c r="R25">
        <v>0.98750000000000004</v>
      </c>
      <c r="S25" s="333">
        <v>1.125</v>
      </c>
      <c r="T25">
        <v>0.98</v>
      </c>
      <c r="U25">
        <v>0.98</v>
      </c>
      <c r="V25">
        <v>0.98</v>
      </c>
      <c r="W25">
        <v>0.98</v>
      </c>
      <c r="X25">
        <v>0.96883359999999996</v>
      </c>
      <c r="Y25">
        <v>0.96883359999999996</v>
      </c>
      <c r="Z25">
        <v>0.96883359999999996</v>
      </c>
      <c r="AA25">
        <v>0.96883359999999996</v>
      </c>
      <c r="AB25">
        <v>0.98</v>
      </c>
      <c r="AC25">
        <v>0.98</v>
      </c>
      <c r="AD25">
        <v>0.96883359999999996</v>
      </c>
      <c r="AE25">
        <v>0.96883359999999996</v>
      </c>
      <c r="AF25">
        <v>0.98</v>
      </c>
      <c r="AG25">
        <v>0.99</v>
      </c>
      <c r="AH25">
        <v>0.97225824999999999</v>
      </c>
      <c r="AI25">
        <v>0.97225824999999999</v>
      </c>
      <c r="AJ25">
        <v>0.98</v>
      </c>
      <c r="AK25">
        <v>1</v>
      </c>
      <c r="AL25">
        <v>0.98499999999999999</v>
      </c>
      <c r="AM25">
        <v>0.98499999999999999</v>
      </c>
      <c r="AN25" s="328">
        <v>0.99580000000000002</v>
      </c>
      <c r="AO25" s="328">
        <v>0.99</v>
      </c>
      <c r="AP25" s="328">
        <v>0.99</v>
      </c>
      <c r="AQ25">
        <v>0.98499999999999999</v>
      </c>
      <c r="AR25">
        <v>0.97225824999999999</v>
      </c>
      <c r="AS25">
        <v>0.97699999999999998</v>
      </c>
      <c r="AT25" s="328">
        <v>0.97499999999999998</v>
      </c>
      <c r="AU25">
        <v>0.97225824999999999</v>
      </c>
      <c r="AV25">
        <v>0.98499999999999999</v>
      </c>
      <c r="AW25">
        <v>0.98499999999999999</v>
      </c>
      <c r="AX25">
        <v>0.98499999999999999</v>
      </c>
      <c r="AY25">
        <v>0.97225824999999999</v>
      </c>
      <c r="AZ25">
        <v>0.97225824999999999</v>
      </c>
      <c r="BA25">
        <v>0.98499999999999999</v>
      </c>
      <c r="BB25" s="446">
        <v>1</v>
      </c>
      <c r="BC25">
        <v>1</v>
      </c>
      <c r="BD25">
        <v>1</v>
      </c>
      <c r="BE25">
        <v>1</v>
      </c>
      <c r="BF25">
        <v>0.99990000000000001</v>
      </c>
      <c r="BG25">
        <v>1</v>
      </c>
      <c r="BH25">
        <v>1</v>
      </c>
      <c r="BI25">
        <v>0.99</v>
      </c>
      <c r="BJ25">
        <v>0.999</v>
      </c>
      <c r="BK25">
        <v>0.998</v>
      </c>
      <c r="BL25">
        <v>0.99850000000000005</v>
      </c>
      <c r="BM25">
        <v>0.99850000000000005</v>
      </c>
      <c r="BN25">
        <v>0.97199999999999998</v>
      </c>
      <c r="BO25">
        <v>0.99990000000000001</v>
      </c>
      <c r="BP25">
        <v>0.99990000000000001</v>
      </c>
      <c r="BQ25">
        <v>1</v>
      </c>
      <c r="BR25">
        <v>1.0694821999999999</v>
      </c>
      <c r="BS25">
        <v>1.093</v>
      </c>
      <c r="BT25">
        <v>1.0827</v>
      </c>
      <c r="BU25">
        <v>1.0067999999999999</v>
      </c>
      <c r="BV25">
        <v>1</v>
      </c>
      <c r="BW25">
        <v>1.9157999999999999</v>
      </c>
      <c r="BX25">
        <v>2.2405713330000001</v>
      </c>
      <c r="BY25">
        <v>1.02925</v>
      </c>
      <c r="BZ25">
        <v>1.2885</v>
      </c>
      <c r="CA25">
        <v>2.0009999999999999</v>
      </c>
      <c r="CB25">
        <v>1.474505</v>
      </c>
      <c r="CC25">
        <v>1.474505</v>
      </c>
      <c r="CD25">
        <v>1.238205</v>
      </c>
      <c r="CE25">
        <v>1.05308</v>
      </c>
      <c r="CF25">
        <v>1.393805</v>
      </c>
      <c r="CG25" s="332"/>
      <c r="CH25">
        <v>1.092425</v>
      </c>
      <c r="CI25" s="332"/>
      <c r="CJ25" s="332"/>
      <c r="CK25" s="332"/>
      <c r="CL25" s="332"/>
      <c r="CM25" s="332"/>
      <c r="CN25" s="332"/>
      <c r="CO25" s="332"/>
      <c r="CP25">
        <v>0.97499999999999998</v>
      </c>
      <c r="CQ25">
        <v>0.91</v>
      </c>
      <c r="CR25">
        <v>0.91</v>
      </c>
      <c r="CS25">
        <v>0.95</v>
      </c>
      <c r="CT25">
        <v>0.99895</v>
      </c>
      <c r="CU25">
        <v>0.46</v>
      </c>
      <c r="CV25">
        <v>0.55000000000000004</v>
      </c>
      <c r="CW25">
        <v>0.92500000000000004</v>
      </c>
      <c r="CX25">
        <v>0.54500000000000004</v>
      </c>
      <c r="CY25">
        <v>0.57499999999999996</v>
      </c>
      <c r="CZ25">
        <v>0.94499999999999995</v>
      </c>
      <c r="DA25">
        <v>0.97750000000000004</v>
      </c>
      <c r="DB25">
        <v>0.94499999999999995</v>
      </c>
      <c r="DC25">
        <v>0.92</v>
      </c>
      <c r="DD25">
        <v>0.91500000000000004</v>
      </c>
      <c r="DE25">
        <v>0.89</v>
      </c>
      <c r="DF25">
        <v>0.98499999999999999</v>
      </c>
      <c r="DG25">
        <v>0.99</v>
      </c>
      <c r="DH25">
        <v>0.99</v>
      </c>
      <c r="DI25">
        <v>0.97499999999999998</v>
      </c>
      <c r="DN25" s="332">
        <v>3.3159999999999998E-4</v>
      </c>
      <c r="DO25" s="332">
        <v>2.0000000000000001E-4</v>
      </c>
      <c r="DP25" s="332">
        <v>0</v>
      </c>
      <c r="DQ25" s="332">
        <v>1E-4</v>
      </c>
      <c r="DR25" s="332">
        <v>0</v>
      </c>
      <c r="DS25" s="332">
        <v>3.5999999999999999E-3</v>
      </c>
      <c r="DT25" s="332">
        <v>5.4299999999999997E-4</v>
      </c>
      <c r="DU25" s="332">
        <v>1.2999999999999999E-3</v>
      </c>
      <c r="DV25" s="332">
        <v>0</v>
      </c>
      <c r="DW25" s="332">
        <v>0</v>
      </c>
      <c r="DX25" s="332">
        <v>5.0000000000000001E-4</v>
      </c>
      <c r="DY25" s="332">
        <v>5.0000000000000001E-4</v>
      </c>
      <c r="DZ25" s="332">
        <v>2.9999999999999997E-4</v>
      </c>
      <c r="EA25" s="332">
        <v>2.7500000000000002E-4</v>
      </c>
      <c r="EB25" s="332">
        <v>4.0000000000000002E-4</v>
      </c>
      <c r="ED25" s="332">
        <v>6.4999999999999994E-5</v>
      </c>
      <c r="EF25">
        <v>1</v>
      </c>
    </row>
    <row r="26" spans="1:136" x14ac:dyDescent="0.25">
      <c r="A26" s="66">
        <v>37165</v>
      </c>
      <c r="B26">
        <v>0.98</v>
      </c>
      <c r="C26">
        <v>0.98387999999999998</v>
      </c>
      <c r="D26">
        <v>0.99</v>
      </c>
      <c r="E26">
        <v>0.97799999999999998</v>
      </c>
      <c r="F26">
        <v>0.97699999999999998</v>
      </c>
      <c r="G26">
        <v>0.88292400000000004</v>
      </c>
      <c r="H26">
        <v>0.98750000000000004</v>
      </c>
      <c r="I26">
        <v>0.95321250000000002</v>
      </c>
      <c r="J26">
        <v>0.6893475</v>
      </c>
      <c r="K26">
        <v>0.98499999999999999</v>
      </c>
      <c r="L26" s="333">
        <v>1.125</v>
      </c>
      <c r="M26" s="333">
        <v>1.125</v>
      </c>
      <c r="N26">
        <v>0.98</v>
      </c>
      <c r="O26">
        <v>0.95065288800000003</v>
      </c>
      <c r="P26">
        <v>0.98</v>
      </c>
      <c r="Q26" s="328">
        <v>0.995</v>
      </c>
      <c r="R26">
        <v>0.98750000000000004</v>
      </c>
      <c r="S26" s="333">
        <v>1.125</v>
      </c>
      <c r="T26">
        <v>0.98</v>
      </c>
      <c r="U26">
        <v>0.98</v>
      </c>
      <c r="V26">
        <v>0.98</v>
      </c>
      <c r="W26">
        <v>0.98</v>
      </c>
      <c r="X26">
        <v>0.95065288800000003</v>
      </c>
      <c r="Y26">
        <v>0.95065288800000003</v>
      </c>
      <c r="Z26">
        <v>0.95065288800000003</v>
      </c>
      <c r="AA26">
        <v>0.95065288800000003</v>
      </c>
      <c r="AB26">
        <v>0.98</v>
      </c>
      <c r="AC26">
        <v>0.98</v>
      </c>
      <c r="AD26">
        <v>0.95065288800000003</v>
      </c>
      <c r="AE26">
        <v>0.95065288800000003</v>
      </c>
      <c r="AF26">
        <v>0.98</v>
      </c>
      <c r="AG26">
        <v>0.99</v>
      </c>
      <c r="AH26">
        <v>0.97231610000000002</v>
      </c>
      <c r="AI26">
        <v>0.97231610000000002</v>
      </c>
      <c r="AJ26">
        <v>0.98</v>
      </c>
      <c r="AK26">
        <v>1</v>
      </c>
      <c r="AL26">
        <v>0.98499999999999999</v>
      </c>
      <c r="AM26">
        <v>0.98499999999999999</v>
      </c>
      <c r="AN26" s="328">
        <v>0.99580000000000002</v>
      </c>
      <c r="AO26" s="328">
        <v>0.98</v>
      </c>
      <c r="AP26" s="328">
        <v>0.99</v>
      </c>
      <c r="AQ26">
        <v>0.98499999999999999</v>
      </c>
      <c r="AR26">
        <v>0.97231610000000002</v>
      </c>
      <c r="AS26">
        <v>0.97699999999999998</v>
      </c>
      <c r="AT26" s="328">
        <v>0.97499999999999998</v>
      </c>
      <c r="AU26">
        <v>0.97231610000000002</v>
      </c>
      <c r="AV26">
        <v>0.98499999999999999</v>
      </c>
      <c r="AW26">
        <v>0.98499999999999999</v>
      </c>
      <c r="AX26">
        <v>0.98499999999999999</v>
      </c>
      <c r="AY26">
        <v>0.97231610000000002</v>
      </c>
      <c r="AZ26">
        <v>0.97231610000000002</v>
      </c>
      <c r="BA26">
        <v>0.98499999999999999</v>
      </c>
      <c r="BB26" s="446">
        <v>1</v>
      </c>
      <c r="BC26">
        <v>1</v>
      </c>
      <c r="BD26">
        <v>1</v>
      </c>
      <c r="BE26">
        <v>1</v>
      </c>
      <c r="BF26">
        <v>0.99990000000000001</v>
      </c>
      <c r="BG26">
        <v>1</v>
      </c>
      <c r="BH26">
        <v>1</v>
      </c>
      <c r="BI26">
        <v>0.99</v>
      </c>
      <c r="BJ26">
        <v>0.999</v>
      </c>
      <c r="BK26">
        <v>0.998</v>
      </c>
      <c r="BL26">
        <v>0.99850000000000005</v>
      </c>
      <c r="BM26">
        <v>0.99850000000000005</v>
      </c>
      <c r="BN26">
        <v>0.97199999999999998</v>
      </c>
      <c r="BO26">
        <v>0.99990000000000001</v>
      </c>
      <c r="BP26">
        <v>0.99990000000000001</v>
      </c>
      <c r="BQ26">
        <v>1</v>
      </c>
      <c r="BR26">
        <v>1.0698038999999999</v>
      </c>
      <c r="BS26">
        <v>1.0931999999999999</v>
      </c>
      <c r="BT26">
        <v>1.0827</v>
      </c>
      <c r="BU26">
        <v>1.0068999999999999</v>
      </c>
      <c r="BV26">
        <v>1</v>
      </c>
      <c r="BW26">
        <v>1.9194</v>
      </c>
      <c r="BX26">
        <v>2.2411063329999998</v>
      </c>
      <c r="BY26">
        <v>1.0305</v>
      </c>
      <c r="BZ26">
        <v>1.2885</v>
      </c>
      <c r="CA26">
        <v>2.0009999999999999</v>
      </c>
      <c r="CB26">
        <v>1.4750049999999999</v>
      </c>
      <c r="CC26">
        <v>1.4750049999999999</v>
      </c>
      <c r="CD26">
        <v>1.238505</v>
      </c>
      <c r="CE26">
        <v>1.053355</v>
      </c>
      <c r="CF26">
        <v>1.3942049999999999</v>
      </c>
      <c r="CG26" s="332"/>
      <c r="CH26">
        <v>1.09249</v>
      </c>
      <c r="CI26" s="332"/>
      <c r="CJ26" s="332"/>
      <c r="CK26" s="332"/>
      <c r="CL26" s="332"/>
      <c r="CM26" s="332"/>
      <c r="CN26" s="332"/>
      <c r="CO26" s="332"/>
      <c r="CP26">
        <v>0.95499999999999996</v>
      </c>
      <c r="CQ26">
        <v>0.9</v>
      </c>
      <c r="CR26">
        <v>0.91</v>
      </c>
      <c r="CS26">
        <v>0.94</v>
      </c>
      <c r="CT26">
        <v>0.99895</v>
      </c>
      <c r="CU26">
        <v>0.46</v>
      </c>
      <c r="CV26">
        <v>0.45</v>
      </c>
      <c r="CW26">
        <v>0.92500000000000004</v>
      </c>
      <c r="CX26">
        <v>0.53500000000000003</v>
      </c>
      <c r="CY26">
        <v>0.505</v>
      </c>
      <c r="CZ26">
        <v>0.80500000000000005</v>
      </c>
      <c r="DA26">
        <v>0.83750000000000002</v>
      </c>
      <c r="DB26">
        <v>0.875</v>
      </c>
      <c r="DC26">
        <v>0.90249999999999997</v>
      </c>
      <c r="DD26">
        <v>0.82</v>
      </c>
      <c r="DE26">
        <v>0.89</v>
      </c>
      <c r="DF26">
        <v>0.98499999999999999</v>
      </c>
      <c r="DG26">
        <v>0.98</v>
      </c>
      <c r="DH26">
        <v>0.99</v>
      </c>
      <c r="DI26">
        <v>0.97499999999999998</v>
      </c>
      <c r="DN26" s="332">
        <v>3.2170000000000001E-4</v>
      </c>
      <c r="DO26" s="332">
        <v>2.0000000000000001E-4</v>
      </c>
      <c r="DP26" s="332">
        <v>0</v>
      </c>
      <c r="DQ26" s="332">
        <v>1E-4</v>
      </c>
      <c r="DR26" s="332">
        <v>0</v>
      </c>
      <c r="DS26" s="332">
        <v>3.5999999999999999E-3</v>
      </c>
      <c r="DT26" s="332">
        <v>5.3499999999999999E-4</v>
      </c>
      <c r="DU26" s="332">
        <v>1.25E-3</v>
      </c>
      <c r="DV26" s="332">
        <v>0</v>
      </c>
      <c r="DW26" s="332">
        <v>0</v>
      </c>
      <c r="DX26" s="332">
        <v>5.0000000000000001E-4</v>
      </c>
      <c r="DY26" s="332">
        <v>5.0000000000000001E-4</v>
      </c>
      <c r="DZ26" s="332">
        <v>2.9999999999999997E-4</v>
      </c>
      <c r="EA26" s="332">
        <v>2.7500000000000002E-4</v>
      </c>
      <c r="EB26" s="332">
        <v>4.0000000000000002E-4</v>
      </c>
      <c r="ED26" s="332">
        <v>6.4999999999999994E-5</v>
      </c>
      <c r="EF26">
        <v>1</v>
      </c>
    </row>
    <row r="27" spans="1:136" x14ac:dyDescent="0.25">
      <c r="A27" s="66">
        <v>37196</v>
      </c>
      <c r="B27">
        <v>0.98</v>
      </c>
      <c r="C27">
        <v>0.98406000000000005</v>
      </c>
      <c r="D27">
        <v>0.97499999999999998</v>
      </c>
      <c r="E27">
        <f t="shared" ref="E27:E32" si="0">E15</f>
        <v>0.99399999999999999</v>
      </c>
      <c r="F27">
        <v>0.97699999999999998</v>
      </c>
      <c r="G27">
        <v>0.92303999999999997</v>
      </c>
      <c r="H27">
        <v>0.98750000000000004</v>
      </c>
      <c r="I27">
        <v>0.93368850000000003</v>
      </c>
      <c r="J27">
        <v>1</v>
      </c>
      <c r="K27">
        <v>0.97048500000000004</v>
      </c>
      <c r="L27" s="333">
        <v>1.125</v>
      </c>
      <c r="M27" s="333">
        <v>1.125</v>
      </c>
      <c r="N27">
        <v>1</v>
      </c>
      <c r="O27">
        <v>0.95090107499999998</v>
      </c>
      <c r="P27">
        <v>0.98</v>
      </c>
      <c r="Q27" s="328">
        <v>0.995</v>
      </c>
      <c r="R27">
        <v>0.98750000000000004</v>
      </c>
      <c r="S27" s="333">
        <v>1.125</v>
      </c>
      <c r="T27">
        <v>1</v>
      </c>
      <c r="U27">
        <v>1</v>
      </c>
      <c r="V27">
        <v>0.98</v>
      </c>
      <c r="W27">
        <v>1</v>
      </c>
      <c r="X27">
        <v>1</v>
      </c>
      <c r="Y27">
        <v>1</v>
      </c>
      <c r="Z27">
        <v>0.95090107499999998</v>
      </c>
      <c r="AA27">
        <v>1</v>
      </c>
      <c r="AB27">
        <v>0.98</v>
      </c>
      <c r="AC27">
        <v>0.98</v>
      </c>
      <c r="AD27">
        <v>0.95090107499999998</v>
      </c>
      <c r="AE27">
        <v>0.95090107499999998</v>
      </c>
      <c r="AF27">
        <v>0.98</v>
      </c>
      <c r="AG27">
        <v>0.99</v>
      </c>
      <c r="AH27">
        <v>0.97237395000000004</v>
      </c>
      <c r="AI27">
        <v>0.97237395000000004</v>
      </c>
      <c r="AJ27">
        <v>0.98</v>
      </c>
      <c r="AK27">
        <v>1</v>
      </c>
      <c r="AL27">
        <v>0.97048500000000004</v>
      </c>
      <c r="AM27">
        <v>0.97443000000000002</v>
      </c>
      <c r="AN27" s="328">
        <v>0.99580000000000002</v>
      </c>
      <c r="AO27" s="328">
        <v>0.97</v>
      </c>
      <c r="AP27" s="328">
        <v>0.99</v>
      </c>
      <c r="AQ27">
        <v>0.97443000000000002</v>
      </c>
      <c r="AR27">
        <v>0.97237395000000004</v>
      </c>
      <c r="AS27">
        <v>0.97699999999999998</v>
      </c>
      <c r="AT27" s="328">
        <v>0.97499999999999998</v>
      </c>
      <c r="AU27">
        <v>0.97237395000000004</v>
      </c>
      <c r="AV27">
        <v>0.97443000000000002</v>
      </c>
      <c r="AW27">
        <v>0.97443000000000002</v>
      </c>
      <c r="AX27">
        <v>0.97443000000000002</v>
      </c>
      <c r="AY27">
        <v>0.97237395000000004</v>
      </c>
      <c r="AZ27">
        <v>0.97237395000000004</v>
      </c>
      <c r="BA27">
        <v>0.97443000000000002</v>
      </c>
      <c r="BB27" s="446">
        <v>1</v>
      </c>
      <c r="BC27">
        <v>1</v>
      </c>
      <c r="BD27">
        <v>1</v>
      </c>
      <c r="BE27">
        <v>1</v>
      </c>
      <c r="BF27">
        <v>0.99990000000000001</v>
      </c>
      <c r="BG27">
        <v>1</v>
      </c>
      <c r="BH27">
        <v>1</v>
      </c>
      <c r="BI27">
        <v>0.99</v>
      </c>
      <c r="BJ27">
        <v>0.999</v>
      </c>
      <c r="BK27">
        <v>0.998</v>
      </c>
      <c r="BL27">
        <v>0.99850000000000005</v>
      </c>
      <c r="BM27">
        <v>0.99850000000000005</v>
      </c>
      <c r="BN27">
        <v>0.97199999999999998</v>
      </c>
      <c r="BO27">
        <v>0.99990000000000001</v>
      </c>
      <c r="BP27">
        <v>0.99990000000000001</v>
      </c>
      <c r="BQ27">
        <v>1</v>
      </c>
      <c r="BR27">
        <v>1.0701156999999999</v>
      </c>
      <c r="BS27">
        <v>1.0933999999999999</v>
      </c>
      <c r="BT27">
        <v>1.0827</v>
      </c>
      <c r="BU27">
        <v>1.0069999999999999</v>
      </c>
      <c r="BV27">
        <v>1</v>
      </c>
      <c r="BW27">
        <v>1.923</v>
      </c>
      <c r="BX27">
        <v>2.2416363330000002</v>
      </c>
      <c r="BY27">
        <v>1.0317000000000001</v>
      </c>
      <c r="BZ27">
        <v>1.2885</v>
      </c>
      <c r="CA27">
        <v>2.0009999999999999</v>
      </c>
      <c r="CB27">
        <v>1.4755050000000001</v>
      </c>
      <c r="CC27">
        <v>1.4755050000000001</v>
      </c>
      <c r="CD27">
        <v>1.2388049999999999</v>
      </c>
      <c r="CE27">
        <v>1.0536300000000001</v>
      </c>
      <c r="CF27">
        <v>1.3946050000000001</v>
      </c>
      <c r="CG27" s="332"/>
      <c r="CH27">
        <v>1.0925549999999999</v>
      </c>
      <c r="CI27" s="332"/>
      <c r="CJ27" s="332"/>
      <c r="CK27" s="332"/>
      <c r="CL27" s="332"/>
      <c r="CM27" s="332"/>
      <c r="CN27" s="332"/>
      <c r="CO27" s="332"/>
      <c r="CP27">
        <v>0.95499999999999996</v>
      </c>
      <c r="CQ27">
        <v>0.9</v>
      </c>
      <c r="CR27">
        <v>0.9</v>
      </c>
      <c r="CS27">
        <v>0.94</v>
      </c>
      <c r="CT27">
        <v>0.999</v>
      </c>
      <c r="CU27">
        <v>0.48</v>
      </c>
      <c r="CV27">
        <v>0.46</v>
      </c>
      <c r="CW27">
        <v>0.90500000000000003</v>
      </c>
      <c r="CX27">
        <v>0.495</v>
      </c>
      <c r="CY27">
        <v>0.48499999999999999</v>
      </c>
      <c r="CZ27">
        <v>0.79500000000000004</v>
      </c>
      <c r="DA27">
        <v>0.82750000000000001</v>
      </c>
      <c r="DB27">
        <v>0.85</v>
      </c>
      <c r="DC27">
        <v>0.90249999999999997</v>
      </c>
      <c r="DD27">
        <v>0.82</v>
      </c>
      <c r="DE27">
        <v>0.89</v>
      </c>
      <c r="DF27">
        <v>0.98499999999999999</v>
      </c>
      <c r="DG27">
        <v>0.97</v>
      </c>
      <c r="DH27">
        <v>0.99</v>
      </c>
      <c r="DI27">
        <v>0.97499999999999998</v>
      </c>
      <c r="DN27" s="332">
        <v>3.1179999999999999E-4</v>
      </c>
      <c r="DO27" s="332">
        <v>2.0000000000000001E-4</v>
      </c>
      <c r="DP27" s="332">
        <v>0</v>
      </c>
      <c r="DQ27" s="332">
        <v>1E-4</v>
      </c>
      <c r="DR27" s="332">
        <v>0</v>
      </c>
      <c r="DS27" s="332">
        <v>3.5999999999999999E-3</v>
      </c>
      <c r="DT27" s="332">
        <v>5.2999999999999998E-4</v>
      </c>
      <c r="DU27" s="332">
        <v>1.1999999999999999E-3</v>
      </c>
      <c r="DV27" s="332">
        <v>0</v>
      </c>
      <c r="DW27" s="332">
        <v>0</v>
      </c>
      <c r="DX27" s="332">
        <v>5.0000000000000001E-4</v>
      </c>
      <c r="DY27" s="332">
        <v>5.0000000000000001E-4</v>
      </c>
      <c r="DZ27" s="332">
        <v>2.9999999999999997E-4</v>
      </c>
      <c r="EA27" s="332">
        <v>2.7500000000000002E-4</v>
      </c>
      <c r="EB27" s="332">
        <v>4.0000000000000002E-4</v>
      </c>
      <c r="ED27" s="332">
        <v>6.4999999999999994E-5</v>
      </c>
      <c r="EF27">
        <v>1</v>
      </c>
    </row>
    <row r="28" spans="1:136" x14ac:dyDescent="0.25">
      <c r="A28" s="66">
        <v>37226</v>
      </c>
      <c r="B28">
        <v>0.98</v>
      </c>
      <c r="C28">
        <v>0.97330399999999995</v>
      </c>
      <c r="D28">
        <v>0.97499999999999998</v>
      </c>
      <c r="E28">
        <f t="shared" si="0"/>
        <v>0.99399999999999999</v>
      </c>
      <c r="F28">
        <v>0.97699999999999998</v>
      </c>
      <c r="G28">
        <v>0.98256600000000005</v>
      </c>
      <c r="H28">
        <v>0.98750000000000004</v>
      </c>
      <c r="I28">
        <v>0.90374374999999996</v>
      </c>
      <c r="J28">
        <v>1</v>
      </c>
      <c r="K28">
        <v>0.97048500000000004</v>
      </c>
      <c r="L28" s="333">
        <v>1.125</v>
      </c>
      <c r="M28" s="333">
        <v>1.125</v>
      </c>
      <c r="N28">
        <v>1</v>
      </c>
      <c r="O28">
        <v>0.94061021300000003</v>
      </c>
      <c r="P28">
        <v>0.85498244999999995</v>
      </c>
      <c r="Q28" s="328">
        <v>0.995</v>
      </c>
      <c r="R28">
        <v>0.87084295</v>
      </c>
      <c r="S28" s="333">
        <v>1.125</v>
      </c>
      <c r="T28">
        <v>1</v>
      </c>
      <c r="U28">
        <v>1</v>
      </c>
      <c r="V28">
        <v>0.85498244999999995</v>
      </c>
      <c r="W28">
        <v>1</v>
      </c>
      <c r="X28">
        <v>1</v>
      </c>
      <c r="Y28">
        <v>1</v>
      </c>
      <c r="Z28">
        <v>0.94061021300000003</v>
      </c>
      <c r="AA28">
        <v>1</v>
      </c>
      <c r="AB28">
        <v>0.85498244999999995</v>
      </c>
      <c r="AC28">
        <v>0.85498244999999995</v>
      </c>
      <c r="AD28">
        <v>0.94061021300000003</v>
      </c>
      <c r="AE28">
        <v>0.94061021300000003</v>
      </c>
      <c r="AF28">
        <v>0.85498244999999995</v>
      </c>
      <c r="AG28">
        <v>0.98</v>
      </c>
      <c r="AH28">
        <v>0.97243179999999996</v>
      </c>
      <c r="AI28">
        <v>0.97243179999999996</v>
      </c>
      <c r="AJ28">
        <v>0.85498244999999995</v>
      </c>
      <c r="AK28">
        <v>1</v>
      </c>
      <c r="AL28">
        <v>0.97048500000000004</v>
      </c>
      <c r="AM28">
        <v>0.95277599999999996</v>
      </c>
      <c r="AN28" s="328">
        <v>0.99580000000000002</v>
      </c>
      <c r="AO28" s="328">
        <v>0.97</v>
      </c>
      <c r="AP28" s="328">
        <v>0.99</v>
      </c>
      <c r="AQ28">
        <v>0.95277599999999996</v>
      </c>
      <c r="AR28">
        <v>0.97243179999999996</v>
      </c>
      <c r="AS28">
        <v>0.97699999999999998</v>
      </c>
      <c r="AT28" s="328">
        <v>0.97499999999999998</v>
      </c>
      <c r="AU28">
        <v>0.97243179999999996</v>
      </c>
      <c r="AV28">
        <v>0.95277599999999996</v>
      </c>
      <c r="AW28">
        <v>0.95277599999999996</v>
      </c>
      <c r="AX28">
        <v>0.95277599999999996</v>
      </c>
      <c r="AY28">
        <v>0.97243179999999996</v>
      </c>
      <c r="AZ28">
        <v>0.97243179999999996</v>
      </c>
      <c r="BA28">
        <v>0.95277599999999996</v>
      </c>
      <c r="BB28" s="446">
        <v>1</v>
      </c>
      <c r="BC28">
        <v>1</v>
      </c>
      <c r="BD28">
        <v>1</v>
      </c>
      <c r="BE28">
        <v>1</v>
      </c>
      <c r="BF28">
        <v>0.99990000000000001</v>
      </c>
      <c r="BG28">
        <v>1</v>
      </c>
      <c r="BH28">
        <v>1</v>
      </c>
      <c r="BI28">
        <v>0.99</v>
      </c>
      <c r="BJ28">
        <v>0.999</v>
      </c>
      <c r="BK28">
        <v>0.998</v>
      </c>
      <c r="BL28">
        <v>0.99850000000000005</v>
      </c>
      <c r="BM28">
        <v>0.99850000000000005</v>
      </c>
      <c r="BN28">
        <v>0.97199999999999998</v>
      </c>
      <c r="BO28">
        <v>0.99990000000000001</v>
      </c>
      <c r="BP28">
        <v>0.99990000000000001</v>
      </c>
      <c r="BQ28">
        <v>1</v>
      </c>
      <c r="BR28">
        <v>1.0704176000000001</v>
      </c>
      <c r="BS28">
        <v>1.0935999999999999</v>
      </c>
      <c r="BT28">
        <v>1.0827</v>
      </c>
      <c r="BU28">
        <v>1.0071000000000001</v>
      </c>
      <c r="BV28">
        <v>1</v>
      </c>
      <c r="BW28">
        <v>1.9266000000000001</v>
      </c>
      <c r="BX28">
        <v>2.2421613329999999</v>
      </c>
      <c r="BY28">
        <v>1.03285</v>
      </c>
      <c r="BZ28">
        <v>1.2885</v>
      </c>
      <c r="CA28">
        <v>2.0009999999999999</v>
      </c>
      <c r="CB28">
        <v>1.476005</v>
      </c>
      <c r="CC28">
        <v>1.476005</v>
      </c>
      <c r="CD28">
        <v>1.2391049999999999</v>
      </c>
      <c r="CE28">
        <v>1.0539050000000001</v>
      </c>
      <c r="CF28">
        <v>1.3950050000000001</v>
      </c>
      <c r="CG28" s="332"/>
      <c r="CH28">
        <v>1.0926199999999999</v>
      </c>
      <c r="CI28" s="332"/>
      <c r="CJ28" s="332"/>
      <c r="CK28" s="332"/>
      <c r="CL28" s="332"/>
      <c r="CM28" s="332"/>
      <c r="CN28" s="332"/>
      <c r="CO28" s="332"/>
      <c r="CP28">
        <v>0.93500000000000005</v>
      </c>
      <c r="CQ28">
        <v>0.89</v>
      </c>
      <c r="CR28">
        <v>0.88</v>
      </c>
      <c r="CS28">
        <v>0.92</v>
      </c>
      <c r="CT28">
        <v>0.999</v>
      </c>
      <c r="CU28">
        <v>0.51</v>
      </c>
      <c r="CV28">
        <v>0.48</v>
      </c>
      <c r="CW28">
        <v>0.875</v>
      </c>
      <c r="CX28">
        <v>0.5</v>
      </c>
      <c r="CY28">
        <v>0.48499999999999999</v>
      </c>
      <c r="CZ28">
        <v>0.59</v>
      </c>
      <c r="DA28">
        <v>0.62250000000000005</v>
      </c>
      <c r="DB28">
        <v>0.69</v>
      </c>
      <c r="DC28">
        <v>0.89249999999999996</v>
      </c>
      <c r="DD28">
        <v>0.71499999999999997</v>
      </c>
      <c r="DE28">
        <v>0.89</v>
      </c>
      <c r="DF28">
        <v>0.98499999999999999</v>
      </c>
      <c r="DG28">
        <v>0.97</v>
      </c>
      <c r="DH28">
        <v>0.99</v>
      </c>
      <c r="DI28">
        <v>0.97499999999999998</v>
      </c>
      <c r="DN28" s="332">
        <v>3.0190000000000002E-4</v>
      </c>
      <c r="DO28" s="332">
        <v>2.0000000000000001E-4</v>
      </c>
      <c r="DP28" s="332">
        <v>0</v>
      </c>
      <c r="DQ28" s="332">
        <v>1E-4</v>
      </c>
      <c r="DR28" s="332">
        <v>0</v>
      </c>
      <c r="DS28" s="332">
        <v>3.5999999999999999E-3</v>
      </c>
      <c r="DT28" s="332">
        <v>5.2499999999999997E-4</v>
      </c>
      <c r="DU28" s="332">
        <v>1.15E-3</v>
      </c>
      <c r="DV28" s="332">
        <v>0</v>
      </c>
      <c r="DW28" s="332">
        <v>0</v>
      </c>
      <c r="DX28" s="332">
        <v>5.0000000000000001E-4</v>
      </c>
      <c r="DY28" s="332">
        <v>5.0000000000000001E-4</v>
      </c>
      <c r="DZ28" s="332">
        <v>2.9999999999999997E-4</v>
      </c>
      <c r="EA28" s="332">
        <v>2.7500000000000002E-4</v>
      </c>
      <c r="EB28" s="332">
        <v>4.0000000000000002E-4</v>
      </c>
      <c r="ED28" s="332">
        <v>6.4999999999999994E-5</v>
      </c>
      <c r="EF28">
        <v>1</v>
      </c>
    </row>
    <row r="29" spans="1:136" x14ac:dyDescent="0.25">
      <c r="A29" s="66">
        <v>37257</v>
      </c>
      <c r="B29">
        <v>0.98</v>
      </c>
      <c r="C29">
        <v>0.94066799999999995</v>
      </c>
      <c r="D29">
        <v>0.97499999999999998</v>
      </c>
      <c r="E29">
        <f t="shared" si="0"/>
        <v>0.99399999999999999</v>
      </c>
      <c r="F29">
        <v>0.97699999999999998</v>
      </c>
      <c r="G29">
        <v>0.98750000000000004</v>
      </c>
      <c r="H29">
        <v>0.98750000000000004</v>
      </c>
      <c r="I29">
        <v>0.83232974999999998</v>
      </c>
      <c r="J29">
        <v>1</v>
      </c>
      <c r="K29">
        <v>0.98499999999999999</v>
      </c>
      <c r="L29" s="333">
        <v>1.125</v>
      </c>
      <c r="M29" s="333">
        <v>1.125</v>
      </c>
      <c r="N29">
        <v>1</v>
      </c>
      <c r="O29">
        <v>0.92767840000000001</v>
      </c>
      <c r="P29">
        <v>0.85518945000000002</v>
      </c>
      <c r="Q29" s="328">
        <v>0.995</v>
      </c>
      <c r="R29">
        <v>0.89328552500000002</v>
      </c>
      <c r="S29" s="333">
        <v>1.125</v>
      </c>
      <c r="T29">
        <v>1</v>
      </c>
      <c r="U29">
        <v>1</v>
      </c>
      <c r="V29">
        <v>0.85518945000000002</v>
      </c>
      <c r="W29">
        <v>1</v>
      </c>
      <c r="X29">
        <v>1</v>
      </c>
      <c r="Y29">
        <v>1</v>
      </c>
      <c r="Z29">
        <v>0.92767840000000001</v>
      </c>
      <c r="AA29">
        <v>1</v>
      </c>
      <c r="AB29">
        <v>0.85518945000000002</v>
      </c>
      <c r="AC29">
        <v>0.85518945000000002</v>
      </c>
      <c r="AD29">
        <v>0.92767840000000001</v>
      </c>
      <c r="AE29">
        <v>0.92767840000000001</v>
      </c>
      <c r="AF29">
        <v>0.85518945000000002</v>
      </c>
      <c r="AG29">
        <v>0.98</v>
      </c>
      <c r="AH29">
        <v>0.97248964999999998</v>
      </c>
      <c r="AI29">
        <v>0.97248964999999998</v>
      </c>
      <c r="AJ29">
        <v>0.85518945000000002</v>
      </c>
      <c r="AK29">
        <v>1</v>
      </c>
      <c r="AL29">
        <v>0.98499999999999999</v>
      </c>
      <c r="AM29">
        <v>0.94194900000000004</v>
      </c>
      <c r="AN29" s="328">
        <v>0.99580000000000002</v>
      </c>
      <c r="AO29" s="328">
        <v>0.96</v>
      </c>
      <c r="AP29" s="328">
        <v>0.99</v>
      </c>
      <c r="AQ29">
        <v>0.94194900000000004</v>
      </c>
      <c r="AR29">
        <v>0.97248964999999998</v>
      </c>
      <c r="AS29">
        <v>0.97699999999999998</v>
      </c>
      <c r="AT29" s="328">
        <v>0.97499999999999998</v>
      </c>
      <c r="AU29">
        <v>0.97248964999999998</v>
      </c>
      <c r="AV29">
        <v>0.94194900000000004</v>
      </c>
      <c r="AW29">
        <v>0.94194900000000004</v>
      </c>
      <c r="AX29">
        <v>0.94194900000000004</v>
      </c>
      <c r="AY29">
        <v>0.97248964999999998</v>
      </c>
      <c r="AZ29">
        <v>0.97248964999999998</v>
      </c>
      <c r="BA29">
        <v>0.94194900000000004</v>
      </c>
      <c r="BB29" s="446">
        <v>1</v>
      </c>
      <c r="BC29">
        <v>1</v>
      </c>
      <c r="BD29">
        <v>1</v>
      </c>
      <c r="BE29">
        <v>1</v>
      </c>
      <c r="BF29">
        <v>0.99990000000000001</v>
      </c>
      <c r="BG29">
        <v>1</v>
      </c>
      <c r="BH29">
        <v>1</v>
      </c>
      <c r="BI29">
        <v>0.99</v>
      </c>
      <c r="BJ29">
        <v>0.999</v>
      </c>
      <c r="BK29">
        <v>0.998</v>
      </c>
      <c r="BL29">
        <v>0.99850000000000005</v>
      </c>
      <c r="BM29">
        <v>0.99850000000000005</v>
      </c>
      <c r="BN29">
        <v>0.97199999999999998</v>
      </c>
      <c r="BO29">
        <v>0.99990000000000001</v>
      </c>
      <c r="BP29">
        <v>0.99990000000000001</v>
      </c>
      <c r="BQ29">
        <v>1</v>
      </c>
      <c r="BR29">
        <v>1.0707025999999999</v>
      </c>
      <c r="BS29">
        <v>1.0938000000000001</v>
      </c>
      <c r="BT29">
        <v>1.0827</v>
      </c>
      <c r="BU29">
        <v>1.0072000000000001</v>
      </c>
      <c r="BV29">
        <v>1</v>
      </c>
      <c r="BW29">
        <v>1.9301999999999999</v>
      </c>
      <c r="BX29">
        <v>2.2426813330000002</v>
      </c>
      <c r="BY29">
        <v>1.0339499999999999</v>
      </c>
      <c r="BZ29">
        <v>1.2885</v>
      </c>
      <c r="CA29">
        <v>2.0009999999999999</v>
      </c>
      <c r="CB29">
        <v>1.476505</v>
      </c>
      <c r="CC29">
        <v>1.476505</v>
      </c>
      <c r="CD29">
        <v>1.2394050000000001</v>
      </c>
      <c r="CE29">
        <v>1.0541799999999999</v>
      </c>
      <c r="CF29">
        <v>1.395405</v>
      </c>
      <c r="CG29" s="332"/>
      <c r="CH29">
        <v>1.0926849999999999</v>
      </c>
      <c r="CI29" s="332"/>
      <c r="CJ29" s="332"/>
      <c r="CK29" s="332"/>
      <c r="CL29" s="332"/>
      <c r="CM29" s="332"/>
      <c r="CN29" s="332"/>
      <c r="CO29" s="332"/>
      <c r="CP29">
        <v>0.89500000000000002</v>
      </c>
      <c r="CQ29">
        <v>0.86</v>
      </c>
      <c r="CR29">
        <v>0.87</v>
      </c>
      <c r="CS29">
        <v>0.92</v>
      </c>
      <c r="CT29">
        <v>0.999</v>
      </c>
      <c r="CU29">
        <v>0.57999999999999996</v>
      </c>
      <c r="CV29">
        <v>0.45</v>
      </c>
      <c r="CW29">
        <v>0.80500000000000005</v>
      </c>
      <c r="CX29">
        <v>0.51</v>
      </c>
      <c r="CY29">
        <v>0.505</v>
      </c>
      <c r="CZ29">
        <v>0.60499999999999998</v>
      </c>
      <c r="DA29">
        <v>0.63749999999999996</v>
      </c>
      <c r="DB29">
        <v>0.69</v>
      </c>
      <c r="DC29">
        <v>0.88</v>
      </c>
      <c r="DD29">
        <v>0.64</v>
      </c>
      <c r="DE29">
        <v>0.89</v>
      </c>
      <c r="DF29">
        <v>0.98499999999999999</v>
      </c>
      <c r="DG29">
        <v>0.96</v>
      </c>
      <c r="DH29">
        <v>0.99</v>
      </c>
      <c r="DI29">
        <v>0.97499999999999998</v>
      </c>
      <c r="DN29" s="332">
        <v>2.8499999999999999E-4</v>
      </c>
      <c r="DO29" s="332">
        <v>2.0000000000000001E-4</v>
      </c>
      <c r="DP29" s="332">
        <v>0</v>
      </c>
      <c r="DQ29" s="332">
        <v>1E-4</v>
      </c>
      <c r="DR29" s="332">
        <v>0</v>
      </c>
      <c r="DS29" s="332">
        <v>3.5999999999999999E-3</v>
      </c>
      <c r="DT29" s="332">
        <v>5.1999999999999995E-4</v>
      </c>
      <c r="DU29" s="332">
        <v>1.1000000000000001E-3</v>
      </c>
      <c r="DV29" s="332">
        <v>0</v>
      </c>
      <c r="DW29" s="332">
        <v>0</v>
      </c>
      <c r="DX29" s="332">
        <v>5.0000000000000001E-4</v>
      </c>
      <c r="DY29" s="332">
        <v>5.0000000000000001E-4</v>
      </c>
      <c r="DZ29" s="332">
        <v>2.9999999999999997E-4</v>
      </c>
      <c r="EA29" s="332">
        <v>2.7500000000000002E-4</v>
      </c>
      <c r="EB29" s="332">
        <v>4.0000000000000002E-4</v>
      </c>
      <c r="ED29" s="332">
        <v>6.4999999999999994E-5</v>
      </c>
      <c r="EF29">
        <v>1</v>
      </c>
    </row>
    <row r="30" spans="1:136" x14ac:dyDescent="0.25">
      <c r="A30" s="66">
        <v>37288</v>
      </c>
      <c r="B30">
        <v>0.98</v>
      </c>
      <c r="C30">
        <v>0.94084000000000001</v>
      </c>
      <c r="D30">
        <v>0.97499999999999998</v>
      </c>
      <c r="E30">
        <f t="shared" si="0"/>
        <v>0.99399999999999999</v>
      </c>
      <c r="F30">
        <v>0.97699999999999998</v>
      </c>
      <c r="G30">
        <v>0.98750000000000004</v>
      </c>
      <c r="H30">
        <v>0.98750000000000004</v>
      </c>
      <c r="I30">
        <v>0.87457499999999999</v>
      </c>
      <c r="J30">
        <v>1</v>
      </c>
      <c r="K30">
        <v>0.98499999999999999</v>
      </c>
      <c r="L30" s="333">
        <v>1.125</v>
      </c>
      <c r="M30" s="333">
        <v>1.125</v>
      </c>
      <c r="N30">
        <v>1</v>
      </c>
      <c r="O30">
        <v>0.925284263</v>
      </c>
      <c r="P30">
        <v>0.88019055000000002</v>
      </c>
      <c r="Q30" s="328">
        <v>0.995</v>
      </c>
      <c r="R30">
        <v>0.93789817499999995</v>
      </c>
      <c r="S30" s="333">
        <v>1.125</v>
      </c>
      <c r="T30">
        <v>1</v>
      </c>
      <c r="U30">
        <v>1</v>
      </c>
      <c r="V30">
        <v>0.88019055000000002</v>
      </c>
      <c r="W30">
        <v>1</v>
      </c>
      <c r="X30">
        <v>1</v>
      </c>
      <c r="Y30">
        <v>1</v>
      </c>
      <c r="Z30">
        <v>0.925284263</v>
      </c>
      <c r="AA30">
        <v>1</v>
      </c>
      <c r="AB30">
        <v>0.88019055000000002</v>
      </c>
      <c r="AC30">
        <v>0.88019055000000002</v>
      </c>
      <c r="AD30">
        <v>0.925284263</v>
      </c>
      <c r="AE30">
        <v>0.925284263</v>
      </c>
      <c r="AF30">
        <v>0.88019055000000002</v>
      </c>
      <c r="AG30">
        <v>0.98</v>
      </c>
      <c r="AH30">
        <v>0.97254750000000001</v>
      </c>
      <c r="AI30">
        <v>0.97254750000000001</v>
      </c>
      <c r="AJ30">
        <v>0.88019055000000002</v>
      </c>
      <c r="AK30">
        <v>1</v>
      </c>
      <c r="AL30">
        <v>0.98499999999999999</v>
      </c>
      <c r="AM30">
        <v>0.96360299999999999</v>
      </c>
      <c r="AN30" s="328">
        <v>0.99580000000000002</v>
      </c>
      <c r="AO30" s="328">
        <v>0.97</v>
      </c>
      <c r="AP30" s="328">
        <v>0.99</v>
      </c>
      <c r="AQ30">
        <v>0.96360299999999999</v>
      </c>
      <c r="AR30">
        <v>0.97254750000000001</v>
      </c>
      <c r="AS30">
        <v>0.97699999999999998</v>
      </c>
      <c r="AT30" s="328">
        <v>0.97499999999999998</v>
      </c>
      <c r="AU30">
        <v>0.97254750000000001</v>
      </c>
      <c r="AV30">
        <v>0.96360299999999999</v>
      </c>
      <c r="AW30">
        <v>0.96360299999999999</v>
      </c>
      <c r="AX30">
        <v>0.96360299999999999</v>
      </c>
      <c r="AY30">
        <v>0.97254750000000001</v>
      </c>
      <c r="AZ30">
        <v>0.97254750000000001</v>
      </c>
      <c r="BA30">
        <v>0.96360299999999999</v>
      </c>
      <c r="BB30" s="446">
        <v>1</v>
      </c>
      <c r="BC30">
        <v>1</v>
      </c>
      <c r="BD30">
        <v>1</v>
      </c>
      <c r="BE30">
        <v>1</v>
      </c>
      <c r="BF30">
        <v>0.99990000000000001</v>
      </c>
      <c r="BG30">
        <v>1</v>
      </c>
      <c r="BH30">
        <v>1</v>
      </c>
      <c r="BI30">
        <v>0.99</v>
      </c>
      <c r="BJ30">
        <v>0.999</v>
      </c>
      <c r="BK30">
        <v>0.998</v>
      </c>
      <c r="BL30">
        <v>0.99850000000000005</v>
      </c>
      <c r="BM30">
        <v>0.99850000000000005</v>
      </c>
      <c r="BN30">
        <v>0.97199999999999998</v>
      </c>
      <c r="BO30">
        <v>0.99990000000000001</v>
      </c>
      <c r="BP30">
        <v>0.99990000000000001</v>
      </c>
      <c r="BQ30">
        <v>1</v>
      </c>
      <c r="BR30">
        <v>1.0709876</v>
      </c>
      <c r="BS30">
        <v>1.0940000000000001</v>
      </c>
      <c r="BT30">
        <v>1.0827</v>
      </c>
      <c r="BU30">
        <v>1.0073000000000001</v>
      </c>
      <c r="BV30">
        <v>1</v>
      </c>
      <c r="BW30">
        <v>1.9338</v>
      </c>
      <c r="BX30">
        <v>2.2431963330000002</v>
      </c>
      <c r="BY30">
        <v>1.0349999999999999</v>
      </c>
      <c r="BZ30">
        <v>1.2885</v>
      </c>
      <c r="CA30">
        <v>2.0009999999999999</v>
      </c>
      <c r="CB30">
        <v>1.4770049999999999</v>
      </c>
      <c r="CC30">
        <v>1.4770049999999999</v>
      </c>
      <c r="CD30">
        <v>1.2397050000000001</v>
      </c>
      <c r="CE30">
        <v>1.0544549999999999</v>
      </c>
      <c r="CF30">
        <v>1.395805</v>
      </c>
      <c r="CG30" s="332"/>
      <c r="CH30">
        <v>1.0927500000000001</v>
      </c>
      <c r="CI30" s="332"/>
      <c r="CJ30" s="332"/>
      <c r="CK30" s="332"/>
      <c r="CL30" s="332"/>
      <c r="CM30" s="332"/>
      <c r="CN30" s="332"/>
      <c r="CO30" s="332"/>
      <c r="CP30">
        <v>0.86499999999999999</v>
      </c>
      <c r="CQ30">
        <v>0.86</v>
      </c>
      <c r="CR30">
        <v>0.89</v>
      </c>
      <c r="CS30">
        <v>0.93500000000000005</v>
      </c>
      <c r="CT30">
        <v>0.99895</v>
      </c>
      <c r="CU30">
        <v>0.57999999999999996</v>
      </c>
      <c r="CV30">
        <v>0.45</v>
      </c>
      <c r="CW30">
        <v>0.84499999999999997</v>
      </c>
      <c r="CX30">
        <v>0.61499999999999999</v>
      </c>
      <c r="CY30">
        <v>0.505</v>
      </c>
      <c r="CZ30">
        <v>0.63500000000000001</v>
      </c>
      <c r="DA30">
        <v>0.66749999999999998</v>
      </c>
      <c r="DB30">
        <v>0.71</v>
      </c>
      <c r="DC30">
        <v>0.87749999999999995</v>
      </c>
      <c r="DD30">
        <v>0.67</v>
      </c>
      <c r="DE30">
        <v>0.89</v>
      </c>
      <c r="DF30">
        <v>0.98499999999999999</v>
      </c>
      <c r="DG30">
        <v>0.97</v>
      </c>
      <c r="DH30">
        <v>0.99</v>
      </c>
      <c r="DI30">
        <v>0.97499999999999998</v>
      </c>
      <c r="DN30" s="332">
        <v>2.8499999999999999E-4</v>
      </c>
      <c r="DO30" s="332">
        <v>2.0000000000000001E-4</v>
      </c>
      <c r="DP30" s="332">
        <v>0</v>
      </c>
      <c r="DQ30" s="332">
        <v>1E-4</v>
      </c>
      <c r="DR30" s="332">
        <v>0</v>
      </c>
      <c r="DS30" s="332">
        <v>3.5999999999999999E-3</v>
      </c>
      <c r="DT30" s="332">
        <v>5.1500000000000005E-4</v>
      </c>
      <c r="DU30" s="332">
        <v>1.0499999999999999E-3</v>
      </c>
      <c r="DV30" s="332">
        <v>0</v>
      </c>
      <c r="DW30" s="332">
        <v>0</v>
      </c>
      <c r="DX30" s="332">
        <v>5.0000000000000001E-4</v>
      </c>
      <c r="DY30" s="332">
        <v>5.0000000000000001E-4</v>
      </c>
      <c r="DZ30" s="332">
        <v>2.9999999999999997E-4</v>
      </c>
      <c r="EA30" s="332">
        <v>2.7500000000000002E-4</v>
      </c>
      <c r="EB30" s="332">
        <v>4.0000000000000002E-4</v>
      </c>
      <c r="ED30" s="332">
        <v>6.4999999999999994E-5</v>
      </c>
      <c r="EF30">
        <v>1</v>
      </c>
    </row>
    <row r="31" spans="1:136" x14ac:dyDescent="0.25">
      <c r="A31" s="66">
        <v>37316</v>
      </c>
      <c r="B31">
        <v>0.98</v>
      </c>
      <c r="C31">
        <v>0.97383799999999998</v>
      </c>
      <c r="D31">
        <v>0.97499999999999998</v>
      </c>
      <c r="E31">
        <f t="shared" si="0"/>
        <v>0.99399999999999999</v>
      </c>
      <c r="F31">
        <v>0.97699999999999998</v>
      </c>
      <c r="G31">
        <v>0.98750000000000004</v>
      </c>
      <c r="H31">
        <v>0.98750000000000004</v>
      </c>
      <c r="I31">
        <v>0.90649999999999997</v>
      </c>
      <c r="J31">
        <v>1</v>
      </c>
      <c r="K31">
        <v>0.98499999999999999</v>
      </c>
      <c r="L31" s="333">
        <v>1.125</v>
      </c>
      <c r="M31" s="333">
        <v>1.125</v>
      </c>
      <c r="N31">
        <v>1</v>
      </c>
      <c r="O31">
        <v>0.94925700000000002</v>
      </c>
      <c r="P31">
        <v>0.98</v>
      </c>
      <c r="Q31" s="328">
        <v>0.995</v>
      </c>
      <c r="R31">
        <v>0.98750000000000004</v>
      </c>
      <c r="S31" s="333">
        <v>1.125</v>
      </c>
      <c r="T31">
        <v>1</v>
      </c>
      <c r="U31">
        <v>1</v>
      </c>
      <c r="V31">
        <v>0.98</v>
      </c>
      <c r="W31">
        <v>1</v>
      </c>
      <c r="X31">
        <v>1</v>
      </c>
      <c r="Y31">
        <v>1</v>
      </c>
      <c r="Z31">
        <v>0.94925700000000002</v>
      </c>
      <c r="AA31">
        <v>1</v>
      </c>
      <c r="AB31">
        <v>0.98</v>
      </c>
      <c r="AC31">
        <v>0.98</v>
      </c>
      <c r="AD31">
        <v>0.94925700000000002</v>
      </c>
      <c r="AE31">
        <v>0.94925700000000002</v>
      </c>
      <c r="AF31">
        <v>0.98</v>
      </c>
      <c r="AG31">
        <v>0.99</v>
      </c>
      <c r="AH31">
        <v>0.97260535000000004</v>
      </c>
      <c r="AI31">
        <v>0.97260535000000004</v>
      </c>
      <c r="AJ31">
        <v>0.98</v>
      </c>
      <c r="AK31">
        <v>1</v>
      </c>
      <c r="AL31">
        <v>0.98499999999999999</v>
      </c>
      <c r="AM31">
        <v>0.98499999999999999</v>
      </c>
      <c r="AN31" s="328">
        <v>0.99580000000000002</v>
      </c>
      <c r="AO31" s="328">
        <v>0.97</v>
      </c>
      <c r="AP31" s="328">
        <v>0.99</v>
      </c>
      <c r="AQ31">
        <v>0.98499999999999999</v>
      </c>
      <c r="AR31">
        <v>0.97260535000000004</v>
      </c>
      <c r="AS31">
        <v>0.97699999999999998</v>
      </c>
      <c r="AT31" s="328">
        <v>0.97499999999999998</v>
      </c>
      <c r="AU31">
        <v>0.97260535000000004</v>
      </c>
      <c r="AV31">
        <v>0.98499999999999999</v>
      </c>
      <c r="AW31">
        <v>0.98499999999999999</v>
      </c>
      <c r="AX31">
        <v>0.98499999999999999</v>
      </c>
      <c r="AY31">
        <v>0.97260535000000004</v>
      </c>
      <c r="AZ31">
        <v>0.97260535000000004</v>
      </c>
      <c r="BA31">
        <v>0.98499999999999999</v>
      </c>
      <c r="BB31" s="446">
        <v>1</v>
      </c>
      <c r="BC31">
        <v>1</v>
      </c>
      <c r="BD31">
        <v>1</v>
      </c>
      <c r="BE31">
        <v>1</v>
      </c>
      <c r="BF31">
        <v>0.99990000000000001</v>
      </c>
      <c r="BG31">
        <v>1</v>
      </c>
      <c r="BH31">
        <v>1</v>
      </c>
      <c r="BI31">
        <v>0.99</v>
      </c>
      <c r="BJ31">
        <v>0.999</v>
      </c>
      <c r="BK31">
        <v>0.998</v>
      </c>
      <c r="BL31">
        <v>0.99850000000000005</v>
      </c>
      <c r="BM31">
        <v>0.99850000000000005</v>
      </c>
      <c r="BN31">
        <v>0.97199999999999998</v>
      </c>
      <c r="BO31">
        <v>0.99990000000000001</v>
      </c>
      <c r="BP31">
        <v>0.99990000000000001</v>
      </c>
      <c r="BQ31">
        <v>1</v>
      </c>
      <c r="BR31">
        <v>1.0712725999999999</v>
      </c>
      <c r="BS31">
        <v>1.0942000000000001</v>
      </c>
      <c r="BT31">
        <v>1.0827</v>
      </c>
      <c r="BU31">
        <v>1.0074000000000001</v>
      </c>
      <c r="BV31">
        <v>1</v>
      </c>
      <c r="BW31">
        <v>1.9374</v>
      </c>
      <c r="BX31">
        <v>2.243706333</v>
      </c>
      <c r="BY31">
        <v>1.036</v>
      </c>
      <c r="BZ31">
        <v>1.2885</v>
      </c>
      <c r="CA31">
        <v>2.0009999999999999</v>
      </c>
      <c r="CB31">
        <v>1.4775050000000001</v>
      </c>
      <c r="CC31">
        <v>1.4775050000000001</v>
      </c>
      <c r="CD31">
        <v>1.240005</v>
      </c>
      <c r="CE31">
        <v>1.0547299999999999</v>
      </c>
      <c r="CF31">
        <v>1.3962049999999999</v>
      </c>
      <c r="CG31" s="332"/>
      <c r="CH31">
        <v>1.0928150000000001</v>
      </c>
      <c r="CI31" s="332"/>
      <c r="CJ31" s="332"/>
      <c r="CK31" s="332"/>
      <c r="CL31" s="332"/>
      <c r="CM31" s="332"/>
      <c r="CN31" s="332"/>
      <c r="CO31" s="332"/>
      <c r="CP31">
        <v>0.86499999999999999</v>
      </c>
      <c r="CQ31">
        <v>0.89</v>
      </c>
      <c r="CR31">
        <v>0.91</v>
      </c>
      <c r="CS31">
        <v>0.93500000000000005</v>
      </c>
      <c r="CT31">
        <v>0.99895</v>
      </c>
      <c r="CU31">
        <v>0.54</v>
      </c>
      <c r="CV31">
        <v>0.45</v>
      </c>
      <c r="CW31">
        <v>0.875</v>
      </c>
      <c r="CX31">
        <v>0.78500000000000003</v>
      </c>
      <c r="CY31">
        <v>0.51500000000000001</v>
      </c>
      <c r="CZ31">
        <v>0.78500000000000003</v>
      </c>
      <c r="DA31">
        <v>0.8175</v>
      </c>
      <c r="DB31">
        <v>0.8</v>
      </c>
      <c r="DC31">
        <v>0.9</v>
      </c>
      <c r="DD31">
        <v>0.83</v>
      </c>
      <c r="DE31">
        <v>0.89</v>
      </c>
      <c r="DF31">
        <v>0.98499999999999999</v>
      </c>
      <c r="DG31">
        <v>0.97</v>
      </c>
      <c r="DH31">
        <v>0.99</v>
      </c>
      <c r="DI31">
        <v>0.97499999999999998</v>
      </c>
      <c r="DN31" s="332">
        <v>2.8499999999999999E-4</v>
      </c>
      <c r="DO31" s="332">
        <v>2.0000000000000001E-4</v>
      </c>
      <c r="DP31" s="332">
        <v>0</v>
      </c>
      <c r="DQ31" s="332">
        <v>1E-4</v>
      </c>
      <c r="DR31" s="332">
        <v>0</v>
      </c>
      <c r="DS31" s="332">
        <v>3.5999999999999999E-3</v>
      </c>
      <c r="DT31" s="332">
        <v>5.1000000000000004E-4</v>
      </c>
      <c r="DU31" s="332">
        <v>1E-3</v>
      </c>
      <c r="DV31" s="332">
        <v>0</v>
      </c>
      <c r="DW31" s="332">
        <v>0</v>
      </c>
      <c r="DX31" s="332">
        <v>5.0000000000000001E-4</v>
      </c>
      <c r="DY31" s="332">
        <v>5.0000000000000001E-4</v>
      </c>
      <c r="DZ31" s="332">
        <v>2.9999999999999997E-4</v>
      </c>
      <c r="EA31" s="332">
        <v>2.7500000000000002E-4</v>
      </c>
      <c r="EB31" s="332">
        <v>4.0000000000000002E-4</v>
      </c>
      <c r="ED31" s="332">
        <v>6.4999999999999994E-5</v>
      </c>
      <c r="EF31">
        <v>1</v>
      </c>
    </row>
    <row r="32" spans="1:136" x14ac:dyDescent="0.25">
      <c r="A32" s="66">
        <v>37347</v>
      </c>
      <c r="B32">
        <v>0.98</v>
      </c>
      <c r="C32">
        <v>0.98495999999999995</v>
      </c>
      <c r="D32">
        <v>0.97499999999999998</v>
      </c>
      <c r="E32">
        <f t="shared" si="0"/>
        <v>0.97799999999999998</v>
      </c>
      <c r="F32">
        <v>0.97699999999999998</v>
      </c>
      <c r="G32">
        <v>0.93167999999999995</v>
      </c>
      <c r="H32">
        <v>0.94256876000000001</v>
      </c>
      <c r="I32">
        <v>0.96954825</v>
      </c>
      <c r="J32">
        <v>1</v>
      </c>
      <c r="K32">
        <v>0.98499999999999999</v>
      </c>
      <c r="L32" s="333">
        <v>1.125</v>
      </c>
      <c r="M32" s="333">
        <v>1.125</v>
      </c>
      <c r="N32">
        <v>0.99</v>
      </c>
      <c r="O32">
        <v>0.95266951499999997</v>
      </c>
      <c r="P32">
        <v>0.98</v>
      </c>
      <c r="Q32" s="328">
        <v>0.995</v>
      </c>
      <c r="R32">
        <v>0.98750000000000004</v>
      </c>
      <c r="S32" s="333">
        <v>1.125</v>
      </c>
      <c r="T32">
        <v>0.98</v>
      </c>
      <c r="U32">
        <v>0.98</v>
      </c>
      <c r="V32">
        <v>0.98</v>
      </c>
      <c r="W32">
        <v>0.98</v>
      </c>
      <c r="X32">
        <v>0.95266951499999997</v>
      </c>
      <c r="Y32">
        <v>0.95266951499999997</v>
      </c>
      <c r="Z32">
        <v>0.95266951499999997</v>
      </c>
      <c r="AA32">
        <v>0.95266951499999997</v>
      </c>
      <c r="AB32">
        <v>0.98</v>
      </c>
      <c r="AC32">
        <v>0.98</v>
      </c>
      <c r="AD32">
        <v>0.95266951499999997</v>
      </c>
      <c r="AE32">
        <v>0.95266951499999997</v>
      </c>
      <c r="AF32">
        <v>0.98</v>
      </c>
      <c r="AG32">
        <v>0.99</v>
      </c>
      <c r="AH32">
        <v>0.97266319999999995</v>
      </c>
      <c r="AI32">
        <v>0.97266319999999995</v>
      </c>
      <c r="AJ32">
        <v>0.98</v>
      </c>
      <c r="AK32">
        <v>1</v>
      </c>
      <c r="AL32">
        <v>0.98499999999999999</v>
      </c>
      <c r="AM32">
        <v>0.98499999999999999</v>
      </c>
      <c r="AN32" s="328">
        <v>0.99580000000000002</v>
      </c>
      <c r="AO32" s="328">
        <v>0.99</v>
      </c>
      <c r="AP32" s="328">
        <v>0.99</v>
      </c>
      <c r="AQ32">
        <v>0.98499999999999999</v>
      </c>
      <c r="AR32">
        <v>0.97266319999999995</v>
      </c>
      <c r="AS32">
        <v>0.97699999999999998</v>
      </c>
      <c r="AT32" s="328">
        <v>0.97750000000000004</v>
      </c>
      <c r="AU32">
        <v>0.97266319999999995</v>
      </c>
      <c r="AV32">
        <v>0.98499999999999999</v>
      </c>
      <c r="AW32">
        <v>0.98499999999999999</v>
      </c>
      <c r="AX32">
        <v>0.98499999999999999</v>
      </c>
      <c r="AY32">
        <v>0.97266319999999995</v>
      </c>
      <c r="AZ32">
        <v>0.97266319999999995</v>
      </c>
      <c r="BA32">
        <v>0.98499999999999999</v>
      </c>
      <c r="BB32" s="446">
        <v>1</v>
      </c>
      <c r="BC32">
        <v>1</v>
      </c>
      <c r="BD32">
        <v>1</v>
      </c>
      <c r="BE32">
        <v>1</v>
      </c>
      <c r="BF32">
        <v>0.99990000000000001</v>
      </c>
      <c r="BG32">
        <v>1</v>
      </c>
      <c r="BH32">
        <v>1</v>
      </c>
      <c r="BI32">
        <v>0.99</v>
      </c>
      <c r="BJ32">
        <v>0.999</v>
      </c>
      <c r="BK32">
        <v>0.998</v>
      </c>
      <c r="BL32">
        <v>0.99850000000000005</v>
      </c>
      <c r="BM32">
        <v>0.99850000000000005</v>
      </c>
      <c r="BN32">
        <v>0.97199999999999998</v>
      </c>
      <c r="BO32">
        <v>0.99990000000000001</v>
      </c>
      <c r="BP32">
        <v>0.99990000000000001</v>
      </c>
      <c r="BQ32">
        <v>1</v>
      </c>
      <c r="BR32">
        <v>1.0715576</v>
      </c>
      <c r="BS32">
        <v>1.0944</v>
      </c>
      <c r="BT32">
        <v>1.0827</v>
      </c>
      <c r="BU32">
        <v>1.0075000000000001</v>
      </c>
      <c r="BV32">
        <v>1</v>
      </c>
      <c r="BW32">
        <v>1.9410000000000001</v>
      </c>
      <c r="BX32">
        <v>2.244211333</v>
      </c>
      <c r="BY32">
        <v>1.03695</v>
      </c>
      <c r="BZ32">
        <v>1.2885</v>
      </c>
      <c r="CA32">
        <v>2.0009999999999999</v>
      </c>
      <c r="CB32">
        <v>1.478005</v>
      </c>
      <c r="CC32">
        <v>1.478005</v>
      </c>
      <c r="CD32">
        <v>1.240305</v>
      </c>
      <c r="CE32">
        <v>1.055005</v>
      </c>
      <c r="CF32">
        <v>1.3966050000000001</v>
      </c>
      <c r="CG32" s="332"/>
      <c r="CH32">
        <v>1.0928800000000001</v>
      </c>
      <c r="CI32" s="332"/>
      <c r="CJ32" s="332"/>
      <c r="CK32" s="332"/>
      <c r="CL32" s="332"/>
      <c r="CM32" s="332"/>
      <c r="CN32" s="332"/>
      <c r="CO32" s="332"/>
      <c r="CP32">
        <v>0.89500000000000002</v>
      </c>
      <c r="CQ32">
        <v>0.9</v>
      </c>
      <c r="CR32">
        <v>0.91</v>
      </c>
      <c r="CS32">
        <v>0.96</v>
      </c>
      <c r="CT32">
        <v>0.99895</v>
      </c>
      <c r="CU32">
        <v>0.48</v>
      </c>
      <c r="CV32">
        <v>0.42</v>
      </c>
      <c r="CW32">
        <v>0.93500000000000005</v>
      </c>
      <c r="CX32">
        <v>0.77500000000000002</v>
      </c>
      <c r="CY32">
        <v>0.57499999999999996</v>
      </c>
      <c r="CZ32">
        <v>0.89500000000000002</v>
      </c>
      <c r="DA32">
        <v>0.92749999999999999</v>
      </c>
      <c r="DB32">
        <v>0.85</v>
      </c>
      <c r="DC32">
        <v>0.90300000000000002</v>
      </c>
      <c r="DD32">
        <v>0.92</v>
      </c>
      <c r="DE32">
        <v>0.89</v>
      </c>
      <c r="DF32">
        <v>0.98499999999999999</v>
      </c>
      <c r="DG32">
        <v>0.99</v>
      </c>
      <c r="DH32">
        <v>0.99</v>
      </c>
      <c r="DI32">
        <v>0.97750000000000004</v>
      </c>
      <c r="DN32" s="332">
        <v>2.8499999999999999E-4</v>
      </c>
      <c r="DO32" s="332">
        <v>2.0000000000000001E-4</v>
      </c>
      <c r="DP32" s="332">
        <v>0</v>
      </c>
      <c r="DQ32" s="332">
        <v>1E-4</v>
      </c>
      <c r="DR32" s="332">
        <v>0</v>
      </c>
      <c r="DS32" s="332">
        <v>3.5999999999999999E-3</v>
      </c>
      <c r="DT32" s="332">
        <v>5.0500000000000002E-4</v>
      </c>
      <c r="DU32" s="332">
        <v>9.5E-4</v>
      </c>
      <c r="DV32" s="332">
        <v>0</v>
      </c>
      <c r="DW32" s="332">
        <v>0</v>
      </c>
      <c r="DX32" s="332">
        <v>5.0000000000000001E-4</v>
      </c>
      <c r="DY32" s="332">
        <v>5.0000000000000001E-4</v>
      </c>
      <c r="DZ32" s="332">
        <v>2.9999999999999997E-4</v>
      </c>
      <c r="EA32" s="332">
        <v>2.7500000000000002E-4</v>
      </c>
      <c r="EB32" s="332">
        <v>4.0000000000000002E-4</v>
      </c>
      <c r="ED32" s="332">
        <v>6.4999999999999994E-5</v>
      </c>
      <c r="EF32">
        <v>1</v>
      </c>
    </row>
    <row r="33" spans="1:136" x14ac:dyDescent="0.25">
      <c r="A33" s="66">
        <v>37377</v>
      </c>
      <c r="B33">
        <v>0.98</v>
      </c>
      <c r="C33">
        <v>0.98799999999999999</v>
      </c>
      <c r="D33">
        <v>0.97499999999999998</v>
      </c>
      <c r="E33">
        <f t="shared" ref="E33:E38" si="1">E21</f>
        <v>0.97799999999999998</v>
      </c>
      <c r="F33">
        <v>0.97699999999999998</v>
      </c>
      <c r="G33">
        <v>0.66116399999999997</v>
      </c>
      <c r="H33">
        <v>0.94277876000000005</v>
      </c>
      <c r="I33">
        <v>0.97038975000000005</v>
      </c>
      <c r="J33">
        <v>1</v>
      </c>
      <c r="K33">
        <v>0.98499999999999999</v>
      </c>
      <c r="L33" s="333">
        <v>0.98750000000000004</v>
      </c>
      <c r="M33" s="333">
        <v>0.98750000000000004</v>
      </c>
      <c r="N33">
        <v>0.99</v>
      </c>
      <c r="O33">
        <v>0.94975200000000004</v>
      </c>
      <c r="P33">
        <v>0.98</v>
      </c>
      <c r="Q33" s="328">
        <v>0.98750000000000004</v>
      </c>
      <c r="R33">
        <v>0.98750000000000004</v>
      </c>
      <c r="S33" s="333">
        <v>0.98750000000000004</v>
      </c>
      <c r="T33">
        <v>0.98</v>
      </c>
      <c r="U33">
        <v>0.98</v>
      </c>
      <c r="V33">
        <v>0.98</v>
      </c>
      <c r="W33">
        <v>0.98</v>
      </c>
      <c r="X33">
        <v>0.94975200000000004</v>
      </c>
      <c r="Y33">
        <v>0.94975200000000004</v>
      </c>
      <c r="Z33">
        <v>0.94975200000000004</v>
      </c>
      <c r="AA33">
        <v>0.94975200000000004</v>
      </c>
      <c r="AB33">
        <v>0.98</v>
      </c>
      <c r="AC33">
        <v>0.98</v>
      </c>
      <c r="AD33">
        <v>0.94975200000000004</v>
      </c>
      <c r="AE33">
        <v>0.94975200000000004</v>
      </c>
      <c r="AF33">
        <v>0.98</v>
      </c>
      <c r="AG33">
        <v>0.99</v>
      </c>
      <c r="AH33">
        <v>0.97272104999999998</v>
      </c>
      <c r="AI33">
        <v>0.97272104999999998</v>
      </c>
      <c r="AJ33">
        <v>0.98</v>
      </c>
      <c r="AK33">
        <v>1</v>
      </c>
      <c r="AL33">
        <v>0.98499999999999999</v>
      </c>
      <c r="AM33">
        <v>0.98499999999999999</v>
      </c>
      <c r="AN33" s="328">
        <v>0.99580000000000002</v>
      </c>
      <c r="AO33" s="328">
        <v>0.99</v>
      </c>
      <c r="AP33" s="328">
        <v>0.99</v>
      </c>
      <c r="AQ33">
        <v>0.98499999999999999</v>
      </c>
      <c r="AR33">
        <v>0.97272104999999998</v>
      </c>
      <c r="AS33">
        <v>0.97699999999999998</v>
      </c>
      <c r="AT33" s="328">
        <v>0.97750000000000004</v>
      </c>
      <c r="AU33">
        <v>0.97272104999999998</v>
      </c>
      <c r="AV33">
        <v>0.98499999999999999</v>
      </c>
      <c r="AW33">
        <v>0.98499999999999999</v>
      </c>
      <c r="AX33">
        <v>0.98499999999999999</v>
      </c>
      <c r="AY33">
        <v>0.97272104999999998</v>
      </c>
      <c r="AZ33">
        <v>0.97272104999999998</v>
      </c>
      <c r="BA33">
        <v>0.98499999999999999</v>
      </c>
      <c r="BB33" s="446">
        <v>1</v>
      </c>
      <c r="BC33">
        <v>1</v>
      </c>
      <c r="BD33">
        <v>1</v>
      </c>
      <c r="BE33">
        <v>1</v>
      </c>
      <c r="BF33">
        <v>0.99990000000000001</v>
      </c>
      <c r="BG33">
        <v>1</v>
      </c>
      <c r="BH33">
        <v>1</v>
      </c>
      <c r="BI33">
        <v>0.99</v>
      </c>
      <c r="BJ33">
        <v>0.999</v>
      </c>
      <c r="BK33">
        <v>0.998</v>
      </c>
      <c r="BL33">
        <v>0.99850000000000005</v>
      </c>
      <c r="BM33">
        <v>0.99850000000000005</v>
      </c>
      <c r="BN33">
        <v>0.97199999999999998</v>
      </c>
      <c r="BO33">
        <v>0.99990000000000001</v>
      </c>
      <c r="BP33">
        <v>0.99990000000000001</v>
      </c>
      <c r="BQ33">
        <v>1</v>
      </c>
      <c r="BR33">
        <v>1.0718426000000001</v>
      </c>
      <c r="BS33">
        <v>1.0946</v>
      </c>
      <c r="BT33">
        <v>1.0827</v>
      </c>
      <c r="BU33">
        <v>1.0076000000000001</v>
      </c>
      <c r="BV33">
        <v>1</v>
      </c>
      <c r="BW33">
        <v>1.9446000000000001</v>
      </c>
      <c r="BX33">
        <v>2.2447113330000001</v>
      </c>
      <c r="BY33">
        <v>1.0378499999999999</v>
      </c>
      <c r="BZ33">
        <v>1.2885</v>
      </c>
      <c r="CA33">
        <v>2.0009999999999999</v>
      </c>
      <c r="CB33">
        <v>1.478505</v>
      </c>
      <c r="CC33">
        <v>1.478505</v>
      </c>
      <c r="CD33">
        <v>1.240605</v>
      </c>
      <c r="CE33">
        <v>1.05528</v>
      </c>
      <c r="CF33">
        <v>1.3970050000000001</v>
      </c>
      <c r="CG33" s="332"/>
      <c r="CH33">
        <v>1.0929450000000001</v>
      </c>
      <c r="CI33" s="332"/>
      <c r="CJ33" s="332"/>
      <c r="CK33" s="332"/>
      <c r="CL33" s="332"/>
      <c r="CM33" s="332"/>
      <c r="CN33" s="332"/>
      <c r="CO33" s="332"/>
      <c r="CP33">
        <v>0.96499999999999997</v>
      </c>
      <c r="CQ33">
        <v>0.91</v>
      </c>
      <c r="CR33">
        <v>0.91</v>
      </c>
      <c r="CS33">
        <v>0.97</v>
      </c>
      <c r="CT33">
        <v>0.99895</v>
      </c>
      <c r="CU33">
        <v>0.34</v>
      </c>
      <c r="CV33">
        <v>0.42</v>
      </c>
      <c r="CW33">
        <v>0.93500000000000005</v>
      </c>
      <c r="CX33">
        <v>0.67500000000000004</v>
      </c>
      <c r="CY33">
        <v>0.625</v>
      </c>
      <c r="CZ33">
        <v>0.91749999999999998</v>
      </c>
      <c r="DA33">
        <v>0.95</v>
      </c>
      <c r="DB33">
        <v>0.88</v>
      </c>
      <c r="DC33">
        <v>0.9</v>
      </c>
      <c r="DD33">
        <v>0.93500000000000005</v>
      </c>
      <c r="DE33">
        <v>0.89</v>
      </c>
      <c r="DF33">
        <v>0.98499999999999999</v>
      </c>
      <c r="DG33">
        <v>0.99</v>
      </c>
      <c r="DH33">
        <v>0.99</v>
      </c>
      <c r="DI33">
        <v>0.97750000000000004</v>
      </c>
      <c r="DN33" s="332">
        <v>2.8499999999999999E-4</v>
      </c>
      <c r="DO33" s="332">
        <v>2.0000000000000001E-4</v>
      </c>
      <c r="DP33" s="332">
        <v>0</v>
      </c>
      <c r="DQ33" s="332">
        <v>1E-4</v>
      </c>
      <c r="DR33" s="332">
        <v>0</v>
      </c>
      <c r="DS33" s="332">
        <v>3.5999999999999999E-3</v>
      </c>
      <c r="DT33" s="332">
        <v>5.0000000000000001E-4</v>
      </c>
      <c r="DU33" s="332">
        <v>8.9999999999999998E-4</v>
      </c>
      <c r="DV33" s="332">
        <v>0</v>
      </c>
      <c r="DW33" s="332">
        <v>0</v>
      </c>
      <c r="DX33" s="332">
        <v>5.0000000000000001E-4</v>
      </c>
      <c r="DY33" s="332">
        <v>5.0000000000000001E-4</v>
      </c>
      <c r="DZ33" s="332">
        <v>2.9999999999999997E-4</v>
      </c>
      <c r="EA33" s="332">
        <v>2.7500000000000002E-4</v>
      </c>
      <c r="EB33" s="332">
        <v>4.0000000000000002E-4</v>
      </c>
      <c r="ED33" s="332">
        <v>6.4999999999999994E-5</v>
      </c>
      <c r="EF33">
        <v>1</v>
      </c>
    </row>
    <row r="34" spans="1:136" x14ac:dyDescent="0.25">
      <c r="A34" s="66">
        <v>37408</v>
      </c>
      <c r="B34">
        <v>0.98</v>
      </c>
      <c r="C34">
        <v>0.98799999999999999</v>
      </c>
      <c r="D34">
        <v>0.97499999999999998</v>
      </c>
      <c r="E34">
        <f t="shared" si="1"/>
        <v>0.97799999999999998</v>
      </c>
      <c r="F34">
        <v>0.97699999999999998</v>
      </c>
      <c r="G34">
        <v>0.66238799999999998</v>
      </c>
      <c r="H34">
        <v>0.98750000000000004</v>
      </c>
      <c r="I34">
        <v>0.97118450000000001</v>
      </c>
      <c r="J34">
        <v>1</v>
      </c>
      <c r="K34">
        <v>0.98499999999999999</v>
      </c>
      <c r="L34" s="333">
        <v>0.98750000000000004</v>
      </c>
      <c r="M34" s="333">
        <v>0.98750000000000004</v>
      </c>
      <c r="N34">
        <v>0.99</v>
      </c>
      <c r="O34">
        <v>0.952638388</v>
      </c>
      <c r="P34">
        <v>0.98</v>
      </c>
      <c r="Q34" s="328">
        <v>0.98750000000000004</v>
      </c>
      <c r="R34">
        <v>0.98750000000000004</v>
      </c>
      <c r="S34" s="333">
        <v>0.98750000000000004</v>
      </c>
      <c r="T34">
        <v>0.98</v>
      </c>
      <c r="U34">
        <v>0.98</v>
      </c>
      <c r="V34">
        <v>0.98</v>
      </c>
      <c r="W34">
        <v>0.98</v>
      </c>
      <c r="X34">
        <v>0.952638388</v>
      </c>
      <c r="Y34">
        <v>0.952638388</v>
      </c>
      <c r="Z34">
        <v>0.952638388</v>
      </c>
      <c r="AA34">
        <v>0.952638388</v>
      </c>
      <c r="AB34">
        <v>0.98</v>
      </c>
      <c r="AC34">
        <v>0.98</v>
      </c>
      <c r="AD34">
        <v>0.952638388</v>
      </c>
      <c r="AE34">
        <v>0.952638388</v>
      </c>
      <c r="AF34">
        <v>0.98</v>
      </c>
      <c r="AG34">
        <v>0.99</v>
      </c>
      <c r="AH34">
        <v>0.9727789</v>
      </c>
      <c r="AI34">
        <v>0.9727789</v>
      </c>
      <c r="AJ34">
        <v>0.98</v>
      </c>
      <c r="AK34">
        <v>1</v>
      </c>
      <c r="AL34">
        <v>0.98499999999999999</v>
      </c>
      <c r="AM34">
        <v>0.98499999999999999</v>
      </c>
      <c r="AN34" s="328">
        <v>0.99580000000000002</v>
      </c>
      <c r="AO34" s="328">
        <v>0.99</v>
      </c>
      <c r="AP34" s="328">
        <v>0.99</v>
      </c>
      <c r="AQ34">
        <v>0.98499999999999999</v>
      </c>
      <c r="AR34">
        <v>0.9727789</v>
      </c>
      <c r="AS34">
        <v>0.97699999999999998</v>
      </c>
      <c r="AT34" s="328">
        <v>0.97750000000000004</v>
      </c>
      <c r="AU34">
        <v>0.9727789</v>
      </c>
      <c r="AV34">
        <v>0.98499999999999999</v>
      </c>
      <c r="AW34">
        <v>0.98499999999999999</v>
      </c>
      <c r="AX34">
        <v>0.98499999999999999</v>
      </c>
      <c r="AY34">
        <v>0.9727789</v>
      </c>
      <c r="AZ34">
        <v>0.9727789</v>
      </c>
      <c r="BA34">
        <v>0.98499999999999999</v>
      </c>
      <c r="BB34" s="446">
        <v>1</v>
      </c>
      <c r="BC34">
        <v>1</v>
      </c>
      <c r="BD34">
        <v>1</v>
      </c>
      <c r="BE34">
        <v>1</v>
      </c>
      <c r="BF34">
        <v>0.99990000000000001</v>
      </c>
      <c r="BG34">
        <v>1</v>
      </c>
      <c r="BH34">
        <v>1</v>
      </c>
      <c r="BI34">
        <v>0.99</v>
      </c>
      <c r="BJ34">
        <v>0.999</v>
      </c>
      <c r="BK34">
        <v>0.998</v>
      </c>
      <c r="BL34">
        <v>0.99850000000000005</v>
      </c>
      <c r="BM34">
        <v>0.99850000000000005</v>
      </c>
      <c r="BN34">
        <v>0.97199999999999998</v>
      </c>
      <c r="BO34">
        <v>0.99990000000000001</v>
      </c>
      <c r="BP34">
        <v>0.99990000000000001</v>
      </c>
      <c r="BQ34">
        <v>1</v>
      </c>
      <c r="BR34">
        <v>1.0721276</v>
      </c>
      <c r="BS34">
        <v>1.0948</v>
      </c>
      <c r="BT34">
        <v>1.0827</v>
      </c>
      <c r="BU34">
        <v>1.0077</v>
      </c>
      <c r="BV34">
        <v>1</v>
      </c>
      <c r="BW34">
        <v>1.9481999999999999</v>
      </c>
      <c r="BX34">
        <v>2.2452063330000001</v>
      </c>
      <c r="BY34">
        <v>1.0387</v>
      </c>
      <c r="BZ34">
        <v>1.2885</v>
      </c>
      <c r="CA34">
        <v>2.0009999999999999</v>
      </c>
      <c r="CB34">
        <v>1.4790049999999999</v>
      </c>
      <c r="CC34">
        <v>1.4790049999999999</v>
      </c>
      <c r="CD34">
        <v>1.2409049999999999</v>
      </c>
      <c r="CE34">
        <v>1.055555</v>
      </c>
      <c r="CF34">
        <v>1.397405</v>
      </c>
      <c r="CG34" s="332"/>
      <c r="CH34">
        <v>1.09301</v>
      </c>
      <c r="CI34" s="332"/>
      <c r="CJ34" s="332"/>
      <c r="CK34" s="332"/>
      <c r="CL34" s="332"/>
      <c r="CM34" s="332"/>
      <c r="CN34" s="332"/>
      <c r="CO34" s="332"/>
      <c r="CP34">
        <v>0.96499999999999997</v>
      </c>
      <c r="CQ34">
        <v>0.91</v>
      </c>
      <c r="CR34">
        <v>0.91</v>
      </c>
      <c r="CS34">
        <v>0.98</v>
      </c>
      <c r="CT34">
        <v>0.99895</v>
      </c>
      <c r="CU34">
        <v>0.34</v>
      </c>
      <c r="CV34">
        <v>0.47</v>
      </c>
      <c r="CW34">
        <v>0.93500000000000005</v>
      </c>
      <c r="CX34">
        <v>0.58499999999999996</v>
      </c>
      <c r="CY34">
        <v>0.72499999999999998</v>
      </c>
      <c r="CZ34">
        <v>0.88249999999999995</v>
      </c>
      <c r="DA34">
        <v>0.91500000000000004</v>
      </c>
      <c r="DB34">
        <v>0.88</v>
      </c>
      <c r="DC34">
        <v>0.90249999999999997</v>
      </c>
      <c r="DD34">
        <v>0.91500000000000004</v>
      </c>
      <c r="DE34">
        <v>0.89</v>
      </c>
      <c r="DF34">
        <v>0.98499999999999999</v>
      </c>
      <c r="DG34">
        <v>0.99</v>
      </c>
      <c r="DH34">
        <v>0.99</v>
      </c>
      <c r="DI34">
        <v>0.97750000000000004</v>
      </c>
      <c r="DN34" s="332">
        <v>2.8499999999999999E-4</v>
      </c>
      <c r="DO34" s="332">
        <v>2.0000000000000001E-4</v>
      </c>
      <c r="DP34" s="332">
        <v>0</v>
      </c>
      <c r="DQ34" s="332">
        <v>1E-4</v>
      </c>
      <c r="DR34" s="332">
        <v>0</v>
      </c>
      <c r="DS34" s="332">
        <v>3.5999999999999999E-3</v>
      </c>
      <c r="DT34" s="332">
        <v>4.95E-4</v>
      </c>
      <c r="DU34" s="332">
        <v>8.4999999999999995E-4</v>
      </c>
      <c r="DV34" s="332">
        <v>0</v>
      </c>
      <c r="DW34" s="332">
        <v>0</v>
      </c>
      <c r="DX34" s="332">
        <v>5.0000000000000001E-4</v>
      </c>
      <c r="DY34" s="332">
        <v>5.0000000000000001E-4</v>
      </c>
      <c r="DZ34" s="332">
        <v>2.9999999999999997E-4</v>
      </c>
      <c r="EA34" s="332">
        <v>2.7500000000000002E-4</v>
      </c>
      <c r="EB34" s="332">
        <v>4.0000000000000002E-4</v>
      </c>
      <c r="ED34" s="332">
        <v>6.4999999999999994E-5</v>
      </c>
      <c r="EF34">
        <v>1</v>
      </c>
    </row>
    <row r="35" spans="1:136" x14ac:dyDescent="0.25">
      <c r="A35" s="66">
        <v>37438</v>
      </c>
      <c r="B35">
        <v>0.98</v>
      </c>
      <c r="C35">
        <v>0.98799999999999999</v>
      </c>
      <c r="D35">
        <v>0.97499999999999998</v>
      </c>
      <c r="E35">
        <f t="shared" si="1"/>
        <v>0.97799999999999998</v>
      </c>
      <c r="F35">
        <v>0.97699999999999998</v>
      </c>
      <c r="G35">
        <v>0.800238</v>
      </c>
      <c r="H35">
        <v>0.98750000000000004</v>
      </c>
      <c r="I35">
        <v>0.97193249999999998</v>
      </c>
      <c r="J35">
        <v>1</v>
      </c>
      <c r="K35">
        <v>0.98499999999999999</v>
      </c>
      <c r="L35" s="333">
        <v>0.98750000000000004</v>
      </c>
      <c r="M35" s="333">
        <v>0.98750000000000004</v>
      </c>
      <c r="N35">
        <v>0.98</v>
      </c>
      <c r="O35">
        <v>0.95816572499999997</v>
      </c>
      <c r="P35">
        <v>0.98</v>
      </c>
      <c r="Q35" s="328">
        <v>0.98750000000000004</v>
      </c>
      <c r="R35">
        <v>0.98750000000000004</v>
      </c>
      <c r="S35" s="333">
        <v>0.98750000000000004</v>
      </c>
      <c r="T35">
        <v>0.98</v>
      </c>
      <c r="U35">
        <v>0.98</v>
      </c>
      <c r="V35">
        <v>0.98</v>
      </c>
      <c r="W35">
        <v>0.98</v>
      </c>
      <c r="X35">
        <v>0.95816572499999997</v>
      </c>
      <c r="Y35">
        <v>0.95816572499999997</v>
      </c>
      <c r="Z35">
        <v>0.95816572499999997</v>
      </c>
      <c r="AA35">
        <v>0.95816572499999997</v>
      </c>
      <c r="AB35">
        <v>0.98</v>
      </c>
      <c r="AC35">
        <v>0.98</v>
      </c>
      <c r="AD35">
        <v>0.95816572499999997</v>
      </c>
      <c r="AE35">
        <v>0.95816572499999997</v>
      </c>
      <c r="AF35">
        <v>0.98</v>
      </c>
      <c r="AG35">
        <v>0.99</v>
      </c>
      <c r="AH35">
        <v>0.97283675000000003</v>
      </c>
      <c r="AI35">
        <v>0.97283675000000003</v>
      </c>
      <c r="AJ35">
        <v>0.98</v>
      </c>
      <c r="AK35">
        <v>1</v>
      </c>
      <c r="AL35">
        <v>0.98499999999999999</v>
      </c>
      <c r="AM35">
        <v>0.98499999999999999</v>
      </c>
      <c r="AN35" s="328">
        <v>0.99580000000000002</v>
      </c>
      <c r="AO35" s="328">
        <v>0.99</v>
      </c>
      <c r="AP35" s="328">
        <v>0.99</v>
      </c>
      <c r="AQ35">
        <v>0.98499999999999999</v>
      </c>
      <c r="AR35">
        <v>0.97283675000000003</v>
      </c>
      <c r="AS35">
        <v>0.97699999999999998</v>
      </c>
      <c r="AT35" s="328">
        <v>0.97750000000000004</v>
      </c>
      <c r="AU35">
        <v>0.97283675000000003</v>
      </c>
      <c r="AV35">
        <v>0.98499999999999999</v>
      </c>
      <c r="AW35">
        <v>0.98499999999999999</v>
      </c>
      <c r="AX35">
        <v>0.98499999999999999</v>
      </c>
      <c r="AY35">
        <v>0.97283675000000003</v>
      </c>
      <c r="AZ35">
        <v>0.97283675000000003</v>
      </c>
      <c r="BA35">
        <v>0.98499999999999999</v>
      </c>
      <c r="BB35" s="446">
        <v>1</v>
      </c>
      <c r="BC35">
        <v>1</v>
      </c>
      <c r="BD35">
        <v>1</v>
      </c>
      <c r="BE35">
        <v>1</v>
      </c>
      <c r="BF35">
        <v>0.99990000000000001</v>
      </c>
      <c r="BG35">
        <v>1</v>
      </c>
      <c r="BH35">
        <v>1</v>
      </c>
      <c r="BI35">
        <v>0.99</v>
      </c>
      <c r="BJ35">
        <v>0.999</v>
      </c>
      <c r="BK35">
        <v>0.998</v>
      </c>
      <c r="BL35">
        <v>0.99850000000000005</v>
      </c>
      <c r="BM35">
        <v>0.99850000000000005</v>
      </c>
      <c r="BN35">
        <v>0.97199999999999998</v>
      </c>
      <c r="BO35">
        <v>0.99990000000000001</v>
      </c>
      <c r="BP35">
        <v>0.99990000000000001</v>
      </c>
      <c r="BQ35">
        <v>1</v>
      </c>
      <c r="BR35">
        <v>1.0724126</v>
      </c>
      <c r="BS35">
        <v>1.095</v>
      </c>
      <c r="BT35">
        <v>1.0827</v>
      </c>
      <c r="BU35">
        <v>1.0078</v>
      </c>
      <c r="BV35">
        <v>1</v>
      </c>
      <c r="BW35">
        <v>1.9518</v>
      </c>
      <c r="BX35">
        <v>2.2456963330000002</v>
      </c>
      <c r="BY35">
        <v>1.0395000000000001</v>
      </c>
      <c r="BZ35">
        <v>1.2885</v>
      </c>
      <c r="CA35">
        <v>2.0009999999999999</v>
      </c>
      <c r="CB35">
        <v>1.4795050000000001</v>
      </c>
      <c r="CC35">
        <v>1.4795050000000001</v>
      </c>
      <c r="CD35">
        <v>1.2412049999999999</v>
      </c>
      <c r="CE35">
        <v>1.05583</v>
      </c>
      <c r="CF35">
        <v>1.397805</v>
      </c>
      <c r="CG35" s="332"/>
      <c r="CH35">
        <v>1.093075</v>
      </c>
      <c r="CI35" s="332"/>
      <c r="CJ35" s="332"/>
      <c r="CK35" s="332"/>
      <c r="CL35" s="332"/>
      <c r="CM35" s="332"/>
      <c r="CN35" s="332"/>
      <c r="CO35" s="332"/>
      <c r="CP35">
        <v>0.97499999999999998</v>
      </c>
      <c r="CQ35">
        <v>0.91</v>
      </c>
      <c r="CR35">
        <v>0.91</v>
      </c>
      <c r="CS35">
        <v>0.97</v>
      </c>
      <c r="CT35">
        <v>0.99895</v>
      </c>
      <c r="CU35">
        <v>0.41</v>
      </c>
      <c r="CV35">
        <v>0.47</v>
      </c>
      <c r="CW35">
        <v>0.93500000000000005</v>
      </c>
      <c r="CX35">
        <v>0.60499999999999998</v>
      </c>
      <c r="CY35">
        <v>0.72499999999999998</v>
      </c>
      <c r="CZ35">
        <v>0.87749999999999995</v>
      </c>
      <c r="DA35">
        <v>0.91</v>
      </c>
      <c r="DB35">
        <v>0.89</v>
      </c>
      <c r="DC35">
        <v>0.90749999999999997</v>
      </c>
      <c r="DD35">
        <v>0.91500000000000004</v>
      </c>
      <c r="DE35">
        <v>0.89</v>
      </c>
      <c r="DF35">
        <v>0.98499999999999999</v>
      </c>
      <c r="DG35">
        <v>0.99</v>
      </c>
      <c r="DH35">
        <v>0.99</v>
      </c>
      <c r="DI35">
        <v>0.97750000000000004</v>
      </c>
      <c r="DN35" s="332">
        <v>2.8499999999999999E-4</v>
      </c>
      <c r="DO35" s="332">
        <v>2.0000000000000001E-4</v>
      </c>
      <c r="DP35" s="332">
        <v>0</v>
      </c>
      <c r="DQ35" s="332">
        <v>1E-4</v>
      </c>
      <c r="DR35" s="332">
        <v>0</v>
      </c>
      <c r="DS35" s="332">
        <v>3.5999999999999999E-3</v>
      </c>
      <c r="DT35" s="332">
        <v>4.8999999999999998E-4</v>
      </c>
      <c r="DU35" s="332">
        <v>8.0000000000000004E-4</v>
      </c>
      <c r="DV35" s="332">
        <v>0</v>
      </c>
      <c r="DW35" s="332">
        <v>0</v>
      </c>
      <c r="DX35" s="332">
        <v>5.0000000000000001E-4</v>
      </c>
      <c r="DY35" s="332">
        <v>5.0000000000000001E-4</v>
      </c>
      <c r="DZ35" s="332">
        <v>2.9999999999999997E-4</v>
      </c>
      <c r="EA35" s="332">
        <v>2.7500000000000002E-4</v>
      </c>
      <c r="EB35" s="332">
        <v>4.0000000000000002E-4</v>
      </c>
      <c r="ED35" s="332">
        <v>6.4999999999999994E-5</v>
      </c>
      <c r="EF35">
        <v>1</v>
      </c>
    </row>
    <row r="36" spans="1:136" x14ac:dyDescent="0.25">
      <c r="A36" s="66">
        <v>37469</v>
      </c>
      <c r="B36">
        <v>0.98</v>
      </c>
      <c r="C36">
        <v>0.98799999999999999</v>
      </c>
      <c r="D36">
        <v>0.97499999999999998</v>
      </c>
      <c r="E36">
        <f t="shared" si="1"/>
        <v>0.97799999999999998</v>
      </c>
      <c r="F36">
        <v>0.97699999999999998</v>
      </c>
      <c r="G36">
        <v>0.84082199999999996</v>
      </c>
      <c r="H36">
        <v>0.98750000000000004</v>
      </c>
      <c r="I36">
        <v>0.96223124999999998</v>
      </c>
      <c r="J36">
        <v>1</v>
      </c>
      <c r="K36">
        <v>0.98499999999999999</v>
      </c>
      <c r="L36" s="333">
        <v>0.98750000000000004</v>
      </c>
      <c r="M36" s="333">
        <v>0.98750000000000004</v>
      </c>
      <c r="N36">
        <v>0.98</v>
      </c>
      <c r="O36">
        <v>0.97953738800000001</v>
      </c>
      <c r="P36">
        <v>0.98</v>
      </c>
      <c r="Q36" s="328">
        <v>0.98750000000000004</v>
      </c>
      <c r="R36">
        <v>0.98750000000000004</v>
      </c>
      <c r="S36" s="333">
        <v>0.98750000000000004</v>
      </c>
      <c r="T36">
        <v>0.98</v>
      </c>
      <c r="U36">
        <v>0.98</v>
      </c>
      <c r="V36">
        <v>0.98</v>
      </c>
      <c r="W36">
        <v>0.98</v>
      </c>
      <c r="X36">
        <v>0.97953738800000001</v>
      </c>
      <c r="Y36">
        <v>0.97953738800000001</v>
      </c>
      <c r="Z36">
        <v>0.97953738800000001</v>
      </c>
      <c r="AA36">
        <v>0.97953738800000001</v>
      </c>
      <c r="AB36">
        <v>0.98</v>
      </c>
      <c r="AC36">
        <v>0.98</v>
      </c>
      <c r="AD36">
        <v>0.97953738800000001</v>
      </c>
      <c r="AE36">
        <v>0.97953738800000001</v>
      </c>
      <c r="AF36">
        <v>0.98</v>
      </c>
      <c r="AG36">
        <v>0.99</v>
      </c>
      <c r="AH36">
        <v>0.97289460000000005</v>
      </c>
      <c r="AI36">
        <v>0.97289460000000005</v>
      </c>
      <c r="AJ36">
        <v>0.98</v>
      </c>
      <c r="AK36">
        <v>1</v>
      </c>
      <c r="AL36">
        <v>0.98499999999999999</v>
      </c>
      <c r="AM36">
        <v>0.98499999999999999</v>
      </c>
      <c r="AN36" s="328">
        <v>0.99580000000000002</v>
      </c>
      <c r="AO36" s="328">
        <v>0.99</v>
      </c>
      <c r="AP36" s="328">
        <v>0.99</v>
      </c>
      <c r="AQ36">
        <v>0.98499999999999999</v>
      </c>
      <c r="AR36">
        <v>0.97289460000000005</v>
      </c>
      <c r="AS36">
        <v>0.97699999999999998</v>
      </c>
      <c r="AT36" s="328">
        <v>0.97750000000000004</v>
      </c>
      <c r="AU36">
        <v>0.97289460000000005</v>
      </c>
      <c r="AV36">
        <v>0.98499999999999999</v>
      </c>
      <c r="AW36">
        <v>0.98499999999999999</v>
      </c>
      <c r="AX36">
        <v>0.98499999999999999</v>
      </c>
      <c r="AY36">
        <v>0.97289460000000005</v>
      </c>
      <c r="AZ36">
        <v>0.97289460000000005</v>
      </c>
      <c r="BA36">
        <v>0.98499999999999999</v>
      </c>
      <c r="BB36" s="446">
        <v>1</v>
      </c>
      <c r="BC36">
        <v>1</v>
      </c>
      <c r="BD36">
        <v>1</v>
      </c>
      <c r="BE36">
        <v>1</v>
      </c>
      <c r="BF36">
        <v>0.99990000000000001</v>
      </c>
      <c r="BG36">
        <v>1</v>
      </c>
      <c r="BH36">
        <v>1</v>
      </c>
      <c r="BI36">
        <v>0.99</v>
      </c>
      <c r="BJ36">
        <v>0.999</v>
      </c>
      <c r="BK36">
        <v>0.998</v>
      </c>
      <c r="BL36">
        <v>0.99850000000000005</v>
      </c>
      <c r="BM36">
        <v>0.99850000000000005</v>
      </c>
      <c r="BN36">
        <v>0.97199999999999998</v>
      </c>
      <c r="BO36">
        <v>0.99990000000000001</v>
      </c>
      <c r="BP36">
        <v>0.99990000000000001</v>
      </c>
      <c r="BQ36">
        <v>1</v>
      </c>
      <c r="BR36">
        <v>1.0726975999999999</v>
      </c>
      <c r="BS36">
        <v>1.0952</v>
      </c>
      <c r="BT36">
        <v>1.0827</v>
      </c>
      <c r="BU36">
        <v>1.0079</v>
      </c>
      <c r="BV36">
        <v>1</v>
      </c>
      <c r="BW36">
        <v>1.9554</v>
      </c>
      <c r="BX36">
        <v>2.246181333</v>
      </c>
      <c r="BY36">
        <v>1.0402499999999999</v>
      </c>
      <c r="BZ36">
        <v>1.2885</v>
      </c>
      <c r="CA36">
        <v>2.0009999999999999</v>
      </c>
      <c r="CB36">
        <v>1.480005</v>
      </c>
      <c r="CC36">
        <v>1.480005</v>
      </c>
      <c r="CD36">
        <v>1.2415050000000001</v>
      </c>
      <c r="CE36">
        <v>1.0561050000000001</v>
      </c>
      <c r="CF36">
        <v>1.3982049999999999</v>
      </c>
      <c r="CG36" s="332"/>
      <c r="CH36">
        <v>1.09314</v>
      </c>
      <c r="CI36" s="332"/>
      <c r="CJ36" s="332"/>
      <c r="CK36" s="332"/>
      <c r="CL36" s="332"/>
      <c r="CM36" s="332"/>
      <c r="CN36" s="332"/>
      <c r="CO36" s="332"/>
      <c r="CP36">
        <v>0.97499999999999998</v>
      </c>
      <c r="CQ36">
        <v>0.91</v>
      </c>
      <c r="CR36">
        <v>0.91</v>
      </c>
      <c r="CS36">
        <v>0.97</v>
      </c>
      <c r="CT36">
        <v>0.99895</v>
      </c>
      <c r="CU36">
        <v>0.43</v>
      </c>
      <c r="CV36">
        <v>0.52</v>
      </c>
      <c r="CW36">
        <v>0.92500000000000004</v>
      </c>
      <c r="CX36">
        <v>0.69499999999999995</v>
      </c>
      <c r="CY36">
        <v>0.72499999999999998</v>
      </c>
      <c r="CZ36">
        <v>0.89</v>
      </c>
      <c r="DA36">
        <v>0.92249999999999999</v>
      </c>
      <c r="DB36">
        <v>0.91500000000000004</v>
      </c>
      <c r="DC36">
        <v>0.92749999999999999</v>
      </c>
      <c r="DD36">
        <v>0.91500000000000004</v>
      </c>
      <c r="DE36">
        <v>0.89</v>
      </c>
      <c r="DF36">
        <v>0.98499999999999999</v>
      </c>
      <c r="DG36">
        <v>0.99</v>
      </c>
      <c r="DH36">
        <v>0.99</v>
      </c>
      <c r="DI36">
        <v>0.97750000000000004</v>
      </c>
      <c r="DN36" s="332">
        <v>2.8499999999999999E-4</v>
      </c>
      <c r="DO36" s="332">
        <v>2.0000000000000001E-4</v>
      </c>
      <c r="DP36" s="332">
        <v>0</v>
      </c>
      <c r="DQ36" s="332">
        <v>1E-4</v>
      </c>
      <c r="DR36" s="332">
        <v>0</v>
      </c>
      <c r="DS36" s="332">
        <v>3.5999999999999999E-3</v>
      </c>
      <c r="DT36" s="332">
        <v>4.8500000000000003E-4</v>
      </c>
      <c r="DU36" s="332">
        <v>7.5000000000000002E-4</v>
      </c>
      <c r="DV36" s="332">
        <v>0</v>
      </c>
      <c r="DW36" s="332">
        <v>0</v>
      </c>
      <c r="DX36" s="332">
        <v>5.0000000000000001E-4</v>
      </c>
      <c r="DY36" s="332">
        <v>5.0000000000000001E-4</v>
      </c>
      <c r="DZ36" s="332">
        <v>2.9999999999999997E-4</v>
      </c>
      <c r="EA36" s="332">
        <v>2.7500000000000002E-4</v>
      </c>
      <c r="EB36" s="332">
        <v>4.0000000000000002E-4</v>
      </c>
      <c r="ED36" s="332">
        <v>6.4999999999999994E-5</v>
      </c>
      <c r="EF36">
        <v>1</v>
      </c>
    </row>
    <row r="37" spans="1:136" x14ac:dyDescent="0.25">
      <c r="A37" s="66">
        <v>37500</v>
      </c>
      <c r="B37">
        <v>0.98</v>
      </c>
      <c r="C37">
        <v>0.98799999999999999</v>
      </c>
      <c r="D37">
        <v>0.97499999999999998</v>
      </c>
      <c r="E37">
        <f t="shared" si="1"/>
        <v>0.97799999999999998</v>
      </c>
      <c r="F37">
        <v>0.97699999999999998</v>
      </c>
      <c r="G37">
        <v>0.90114000000000005</v>
      </c>
      <c r="H37">
        <v>0.98750000000000004</v>
      </c>
      <c r="I37">
        <v>0.96287875000000001</v>
      </c>
      <c r="J37">
        <v>1</v>
      </c>
      <c r="K37">
        <v>0.98499999999999999</v>
      </c>
      <c r="L37" s="333">
        <v>0.98750000000000004</v>
      </c>
      <c r="M37" s="333">
        <v>0.98750000000000004</v>
      </c>
      <c r="N37">
        <v>0.98</v>
      </c>
      <c r="O37">
        <v>0.9718696</v>
      </c>
      <c r="P37">
        <v>0.98</v>
      </c>
      <c r="Q37" s="328">
        <v>0.98750000000000004</v>
      </c>
      <c r="R37">
        <v>0.98750000000000004</v>
      </c>
      <c r="S37" s="333">
        <v>0.98750000000000004</v>
      </c>
      <c r="T37">
        <v>0.98</v>
      </c>
      <c r="U37">
        <v>0.98</v>
      </c>
      <c r="V37">
        <v>0.98</v>
      </c>
      <c r="W37">
        <v>0.98</v>
      </c>
      <c r="X37">
        <v>0.9718696</v>
      </c>
      <c r="Y37">
        <v>0.9718696</v>
      </c>
      <c r="Z37">
        <v>0.9718696</v>
      </c>
      <c r="AA37">
        <v>0.9718696</v>
      </c>
      <c r="AB37">
        <v>0.98</v>
      </c>
      <c r="AC37">
        <v>0.98</v>
      </c>
      <c r="AD37">
        <v>0.9718696</v>
      </c>
      <c r="AE37">
        <v>0.9718696</v>
      </c>
      <c r="AF37">
        <v>0.98</v>
      </c>
      <c r="AG37">
        <v>0.99</v>
      </c>
      <c r="AH37">
        <v>0.97295244999999997</v>
      </c>
      <c r="AI37">
        <v>0.97295244999999997</v>
      </c>
      <c r="AJ37">
        <v>0.98</v>
      </c>
      <c r="AK37">
        <v>1</v>
      </c>
      <c r="AL37">
        <v>0.98499999999999999</v>
      </c>
      <c r="AM37">
        <v>0.98499999999999999</v>
      </c>
      <c r="AN37" s="328">
        <v>0.99580000000000002</v>
      </c>
      <c r="AO37" s="328">
        <v>0.99</v>
      </c>
      <c r="AP37" s="328">
        <v>0.99</v>
      </c>
      <c r="AQ37">
        <v>0.98499999999999999</v>
      </c>
      <c r="AR37">
        <v>0.97295244999999997</v>
      </c>
      <c r="AS37">
        <v>0.97699999999999998</v>
      </c>
      <c r="AT37" s="328">
        <v>0.97750000000000004</v>
      </c>
      <c r="AU37">
        <v>0.97295244999999997</v>
      </c>
      <c r="AV37">
        <v>0.98499999999999999</v>
      </c>
      <c r="AW37">
        <v>0.98499999999999999</v>
      </c>
      <c r="AX37">
        <v>0.98499999999999999</v>
      </c>
      <c r="AY37">
        <v>0.97295244999999997</v>
      </c>
      <c r="AZ37">
        <v>0.97295244999999997</v>
      </c>
      <c r="BA37">
        <v>0.98499999999999999</v>
      </c>
      <c r="BB37" s="446">
        <v>1</v>
      </c>
      <c r="BC37">
        <v>1</v>
      </c>
      <c r="BD37">
        <v>1</v>
      </c>
      <c r="BE37">
        <v>1</v>
      </c>
      <c r="BF37">
        <v>0.99990000000000001</v>
      </c>
      <c r="BG37">
        <v>1</v>
      </c>
      <c r="BH37">
        <v>1</v>
      </c>
      <c r="BI37">
        <v>0.99</v>
      </c>
      <c r="BJ37">
        <v>0.999</v>
      </c>
      <c r="BK37">
        <v>0.998</v>
      </c>
      <c r="BL37">
        <v>0.99850000000000005</v>
      </c>
      <c r="BM37">
        <v>0.99850000000000005</v>
      </c>
      <c r="BN37">
        <v>0.97199999999999998</v>
      </c>
      <c r="BO37">
        <v>0.99990000000000001</v>
      </c>
      <c r="BP37">
        <v>0.99990000000000001</v>
      </c>
      <c r="BQ37">
        <v>1</v>
      </c>
      <c r="BR37">
        <v>1.0729826</v>
      </c>
      <c r="BS37">
        <v>1.0953999999999999</v>
      </c>
      <c r="BT37">
        <v>1.0827</v>
      </c>
      <c r="BU37">
        <v>1.008</v>
      </c>
      <c r="BV37">
        <v>1</v>
      </c>
      <c r="BW37">
        <v>1.9590000000000001</v>
      </c>
      <c r="BX37">
        <v>2.246661333</v>
      </c>
      <c r="BY37">
        <v>1.04095</v>
      </c>
      <c r="BZ37">
        <v>1.2885</v>
      </c>
      <c r="CA37">
        <v>2.0009999999999999</v>
      </c>
      <c r="CB37">
        <v>1.480505</v>
      </c>
      <c r="CC37">
        <v>1.480505</v>
      </c>
      <c r="CD37">
        <v>1.241805</v>
      </c>
      <c r="CE37">
        <v>1.0563800000000001</v>
      </c>
      <c r="CF37">
        <v>1.3986050000000001</v>
      </c>
      <c r="CG37" s="332"/>
      <c r="CH37">
        <v>1.093205</v>
      </c>
      <c r="CI37" s="332"/>
      <c r="CJ37" s="332"/>
      <c r="CK37" s="332"/>
      <c r="CL37" s="332"/>
      <c r="CM37" s="332"/>
      <c r="CN37" s="332"/>
      <c r="CO37" s="332"/>
      <c r="CP37">
        <v>0.97499999999999998</v>
      </c>
      <c r="CQ37">
        <v>0.91</v>
      </c>
      <c r="CR37">
        <v>0.91</v>
      </c>
      <c r="CS37">
        <v>0.95</v>
      </c>
      <c r="CT37">
        <v>0.99895</v>
      </c>
      <c r="CU37">
        <v>0.46</v>
      </c>
      <c r="CV37">
        <v>0.55000000000000004</v>
      </c>
      <c r="CW37">
        <v>0.92500000000000004</v>
      </c>
      <c r="CX37">
        <v>0.55500000000000005</v>
      </c>
      <c r="CY37">
        <v>0.57499999999999996</v>
      </c>
      <c r="CZ37">
        <v>0.94499999999999995</v>
      </c>
      <c r="DA37">
        <v>0.97750000000000004</v>
      </c>
      <c r="DB37">
        <v>0.94499999999999995</v>
      </c>
      <c r="DC37">
        <v>0.92</v>
      </c>
      <c r="DD37">
        <v>0.91500000000000004</v>
      </c>
      <c r="DE37">
        <v>0.89</v>
      </c>
      <c r="DF37">
        <v>0.98499999999999999</v>
      </c>
      <c r="DG37">
        <v>0.99</v>
      </c>
      <c r="DH37">
        <v>0.99</v>
      </c>
      <c r="DI37">
        <v>0.97750000000000004</v>
      </c>
      <c r="DN37" s="332">
        <v>2.8499999999999999E-4</v>
      </c>
      <c r="DO37" s="332">
        <v>2.0000000000000001E-4</v>
      </c>
      <c r="DP37" s="332">
        <v>0</v>
      </c>
      <c r="DQ37" s="332">
        <v>1E-4</v>
      </c>
      <c r="DR37" s="332">
        <v>0</v>
      </c>
      <c r="DS37" s="332">
        <v>3.5999999999999999E-3</v>
      </c>
      <c r="DT37" s="332">
        <v>4.8000000000000001E-4</v>
      </c>
      <c r="DU37" s="332">
        <v>6.9999999999999999E-4</v>
      </c>
      <c r="DV37" s="332">
        <v>0</v>
      </c>
      <c r="DW37" s="332">
        <v>0</v>
      </c>
      <c r="DX37" s="332">
        <v>5.0000000000000001E-4</v>
      </c>
      <c r="DY37" s="332">
        <v>5.0000000000000001E-4</v>
      </c>
      <c r="DZ37" s="332">
        <v>2.9999999999999997E-4</v>
      </c>
      <c r="EA37" s="332">
        <v>2.7500000000000002E-4</v>
      </c>
      <c r="EB37" s="332">
        <v>4.0000000000000002E-4</v>
      </c>
      <c r="ED37" s="332">
        <v>6.4999999999999994E-5</v>
      </c>
      <c r="EF37">
        <v>1</v>
      </c>
    </row>
    <row r="38" spans="1:136" x14ac:dyDescent="0.25">
      <c r="A38" s="66">
        <v>37530</v>
      </c>
      <c r="B38">
        <v>0.98</v>
      </c>
      <c r="C38">
        <v>0.98604000000000003</v>
      </c>
      <c r="D38">
        <v>0.97499999999999998</v>
      </c>
      <c r="E38">
        <f t="shared" si="1"/>
        <v>0.97799999999999998</v>
      </c>
      <c r="F38">
        <v>0.97699999999999998</v>
      </c>
      <c r="G38">
        <v>0.90279600000000004</v>
      </c>
      <c r="H38">
        <v>0.98750000000000004</v>
      </c>
      <c r="I38">
        <v>0.96352625000000003</v>
      </c>
      <c r="J38">
        <v>1</v>
      </c>
      <c r="K38">
        <v>0.98499999999999999</v>
      </c>
      <c r="L38" s="333">
        <v>0.98750000000000004</v>
      </c>
      <c r="M38" s="333">
        <v>0.98750000000000004</v>
      </c>
      <c r="N38">
        <v>0.98</v>
      </c>
      <c r="O38">
        <v>0.95363113799999999</v>
      </c>
      <c r="P38">
        <v>0.98</v>
      </c>
      <c r="Q38" s="328">
        <v>0.98750000000000004</v>
      </c>
      <c r="R38">
        <v>0.98750000000000004</v>
      </c>
      <c r="S38" s="333">
        <v>0.98750000000000004</v>
      </c>
      <c r="T38">
        <v>0.98</v>
      </c>
      <c r="U38">
        <v>0.98</v>
      </c>
      <c r="V38">
        <v>0.98</v>
      </c>
      <c r="W38">
        <v>0.98</v>
      </c>
      <c r="X38">
        <v>0.95363113799999999</v>
      </c>
      <c r="Y38">
        <v>0.95363113799999999</v>
      </c>
      <c r="Z38">
        <v>0.95363113799999999</v>
      </c>
      <c r="AA38">
        <v>0.95363113799999999</v>
      </c>
      <c r="AB38">
        <v>0.98</v>
      </c>
      <c r="AC38">
        <v>0.98</v>
      </c>
      <c r="AD38">
        <v>0.95363113799999999</v>
      </c>
      <c r="AE38">
        <v>0.95363113799999999</v>
      </c>
      <c r="AF38">
        <v>0.98</v>
      </c>
      <c r="AG38">
        <v>0.99</v>
      </c>
      <c r="AH38">
        <v>0.97301029999999999</v>
      </c>
      <c r="AI38">
        <v>0.97301029999999999</v>
      </c>
      <c r="AJ38">
        <v>0.98</v>
      </c>
      <c r="AK38">
        <v>1</v>
      </c>
      <c r="AL38">
        <v>0.98499999999999999</v>
      </c>
      <c r="AM38">
        <v>0.98499999999999999</v>
      </c>
      <c r="AN38" s="328">
        <v>0.99580000000000002</v>
      </c>
      <c r="AO38" s="328">
        <v>0.98</v>
      </c>
      <c r="AP38" s="328">
        <v>0.99</v>
      </c>
      <c r="AQ38">
        <v>0.98499999999999999</v>
      </c>
      <c r="AR38">
        <v>0.97301029999999999</v>
      </c>
      <c r="AS38">
        <v>0.97699999999999998</v>
      </c>
      <c r="AT38" s="328">
        <v>0.97750000000000004</v>
      </c>
      <c r="AU38">
        <v>0.97301029999999999</v>
      </c>
      <c r="AV38">
        <v>0.98499999999999999</v>
      </c>
      <c r="AW38">
        <v>0.98499999999999999</v>
      </c>
      <c r="AX38">
        <v>0.98499999999999999</v>
      </c>
      <c r="AY38">
        <v>0.97301029999999999</v>
      </c>
      <c r="AZ38">
        <v>0.97301029999999999</v>
      </c>
      <c r="BA38">
        <v>0.98499999999999999</v>
      </c>
      <c r="BB38" s="446">
        <v>1</v>
      </c>
      <c r="BC38">
        <v>1</v>
      </c>
      <c r="BD38">
        <v>1</v>
      </c>
      <c r="BE38">
        <v>1</v>
      </c>
      <c r="BF38">
        <v>0.99990000000000001</v>
      </c>
      <c r="BG38">
        <v>1</v>
      </c>
      <c r="BH38">
        <v>1</v>
      </c>
      <c r="BI38">
        <v>0.99</v>
      </c>
      <c r="BJ38">
        <v>0.999</v>
      </c>
      <c r="BK38">
        <v>0.998</v>
      </c>
      <c r="BL38">
        <v>0.99850000000000005</v>
      </c>
      <c r="BM38">
        <v>0.99850000000000005</v>
      </c>
      <c r="BN38">
        <v>0.97199999999999998</v>
      </c>
      <c r="BO38">
        <v>0.99990000000000001</v>
      </c>
      <c r="BP38">
        <v>0.99990000000000001</v>
      </c>
      <c r="BQ38">
        <v>1</v>
      </c>
      <c r="BR38">
        <v>1.0732676000000001</v>
      </c>
      <c r="BS38">
        <v>1.0955999999999999</v>
      </c>
      <c r="BT38">
        <v>1.0827</v>
      </c>
      <c r="BU38">
        <v>1.0081</v>
      </c>
      <c r="BV38">
        <v>1</v>
      </c>
      <c r="BW38">
        <v>1.9625999999999999</v>
      </c>
      <c r="BX38">
        <v>2.2471363329999998</v>
      </c>
      <c r="BY38">
        <v>1.04165</v>
      </c>
      <c r="BZ38">
        <v>1.2885</v>
      </c>
      <c r="CA38">
        <v>2.0009999999999999</v>
      </c>
      <c r="CB38">
        <v>1.4810049999999999</v>
      </c>
      <c r="CC38">
        <v>1.4810049999999999</v>
      </c>
      <c r="CD38">
        <v>1.242105</v>
      </c>
      <c r="CE38">
        <v>1.0566549999999999</v>
      </c>
      <c r="CF38">
        <v>1.3990050000000001</v>
      </c>
      <c r="CG38" s="332"/>
      <c r="CH38">
        <v>1.09327</v>
      </c>
      <c r="CI38" s="332"/>
      <c r="CJ38" s="332"/>
      <c r="CK38" s="332"/>
      <c r="CL38" s="332"/>
      <c r="CM38" s="332"/>
      <c r="CN38" s="332"/>
      <c r="CO38" s="332"/>
      <c r="CP38">
        <v>0.95499999999999996</v>
      </c>
      <c r="CQ38">
        <v>0.9</v>
      </c>
      <c r="CR38">
        <v>0.91</v>
      </c>
      <c r="CS38">
        <v>0.94</v>
      </c>
      <c r="CT38">
        <v>0.99895</v>
      </c>
      <c r="CU38">
        <v>0.46</v>
      </c>
      <c r="CV38">
        <v>0.45</v>
      </c>
      <c r="CW38">
        <v>0.92500000000000004</v>
      </c>
      <c r="CX38">
        <v>0.54500000000000004</v>
      </c>
      <c r="CY38">
        <v>0.505</v>
      </c>
      <c r="CZ38">
        <v>0.80500000000000005</v>
      </c>
      <c r="DA38">
        <v>0.83750000000000002</v>
      </c>
      <c r="DB38">
        <v>0.875</v>
      </c>
      <c r="DC38">
        <v>0.90249999999999997</v>
      </c>
      <c r="DD38">
        <v>0.82</v>
      </c>
      <c r="DE38">
        <v>0.89</v>
      </c>
      <c r="DF38">
        <v>0.98499999999999999</v>
      </c>
      <c r="DG38">
        <v>0.98</v>
      </c>
      <c r="DH38">
        <v>0.99</v>
      </c>
      <c r="DI38">
        <v>0.97750000000000004</v>
      </c>
      <c r="DN38" s="332">
        <v>2.8499999999999999E-4</v>
      </c>
      <c r="DO38" s="332">
        <v>2.0000000000000001E-4</v>
      </c>
      <c r="DP38" s="332">
        <v>0</v>
      </c>
      <c r="DQ38" s="332">
        <v>1E-4</v>
      </c>
      <c r="DR38" s="332">
        <v>0</v>
      </c>
      <c r="DS38" s="332">
        <v>3.5999999999999999E-3</v>
      </c>
      <c r="DT38" s="332">
        <v>4.75E-4</v>
      </c>
      <c r="DU38" s="332">
        <v>6.9999999999999999E-4</v>
      </c>
      <c r="DV38" s="332">
        <v>0</v>
      </c>
      <c r="DW38" s="332">
        <v>0</v>
      </c>
      <c r="DX38" s="332">
        <v>5.0000000000000001E-4</v>
      </c>
      <c r="DY38" s="332">
        <v>5.0000000000000001E-4</v>
      </c>
      <c r="DZ38" s="332">
        <v>2.9999999999999997E-4</v>
      </c>
      <c r="EA38" s="332">
        <v>2.7500000000000002E-4</v>
      </c>
      <c r="EB38" s="332">
        <v>4.0000000000000002E-4</v>
      </c>
      <c r="ED38" s="332">
        <v>6.4999999999999994E-5</v>
      </c>
      <c r="EF38">
        <v>1</v>
      </c>
    </row>
    <row r="39" spans="1:136" x14ac:dyDescent="0.25">
      <c r="A39" s="66">
        <v>37561</v>
      </c>
      <c r="B39">
        <v>0.98</v>
      </c>
      <c r="C39">
        <v>0.98621999999999999</v>
      </c>
      <c r="D39">
        <v>0.97499999999999998</v>
      </c>
      <c r="E39">
        <f t="shared" ref="E39:E44" si="2">E27</f>
        <v>0.99399999999999999</v>
      </c>
      <c r="F39">
        <v>0.97699999999999998</v>
      </c>
      <c r="G39">
        <v>0.94377599999999995</v>
      </c>
      <c r="H39">
        <v>0.98750000000000004</v>
      </c>
      <c r="I39">
        <v>0.94332674999999999</v>
      </c>
      <c r="J39">
        <v>1</v>
      </c>
      <c r="K39">
        <v>0.97048500000000004</v>
      </c>
      <c r="L39" s="333">
        <v>0.98750000000000004</v>
      </c>
      <c r="M39" s="333">
        <v>0.98750000000000004</v>
      </c>
      <c r="N39">
        <v>0.98</v>
      </c>
      <c r="O39">
        <v>0.95387932499999994</v>
      </c>
      <c r="P39">
        <v>0.98</v>
      </c>
      <c r="Q39" s="328">
        <v>0.98750000000000004</v>
      </c>
      <c r="R39">
        <v>0.98750000000000004</v>
      </c>
      <c r="S39" s="333">
        <v>0.98750000000000004</v>
      </c>
      <c r="T39">
        <v>0.98</v>
      </c>
      <c r="U39">
        <v>0.98</v>
      </c>
      <c r="V39">
        <v>0.98</v>
      </c>
      <c r="W39">
        <v>0.98</v>
      </c>
      <c r="X39">
        <v>0.95387932499999994</v>
      </c>
      <c r="Y39">
        <v>0.95387932499999994</v>
      </c>
      <c r="Z39">
        <v>0.95387932499999994</v>
      </c>
      <c r="AA39">
        <v>0.95387932499999994</v>
      </c>
      <c r="AB39">
        <v>0.98</v>
      </c>
      <c r="AC39">
        <v>0.98</v>
      </c>
      <c r="AD39">
        <v>0.95387932499999994</v>
      </c>
      <c r="AE39">
        <v>0.95387932499999994</v>
      </c>
      <c r="AF39">
        <v>0.98</v>
      </c>
      <c r="AG39">
        <v>0.99</v>
      </c>
      <c r="AH39">
        <v>0.97306815000000002</v>
      </c>
      <c r="AI39">
        <v>0.97306815000000002</v>
      </c>
      <c r="AJ39">
        <v>0.98</v>
      </c>
      <c r="AK39">
        <v>1</v>
      </c>
      <c r="AL39">
        <v>0.97048500000000004</v>
      </c>
      <c r="AM39">
        <v>0.97443000000000002</v>
      </c>
      <c r="AN39" s="328">
        <v>0.99580000000000002</v>
      </c>
      <c r="AO39" s="328">
        <v>0.97</v>
      </c>
      <c r="AP39" s="328">
        <v>0.99</v>
      </c>
      <c r="AQ39">
        <v>0.97443000000000002</v>
      </c>
      <c r="AR39">
        <v>0.97306815000000002</v>
      </c>
      <c r="AS39">
        <v>0.97699999999999998</v>
      </c>
      <c r="AT39" s="328">
        <v>0.97750000000000004</v>
      </c>
      <c r="AU39">
        <v>0.97306815000000002</v>
      </c>
      <c r="AV39">
        <v>0.97443000000000002</v>
      </c>
      <c r="AW39">
        <v>0.97443000000000002</v>
      </c>
      <c r="AX39">
        <v>0.97443000000000002</v>
      </c>
      <c r="AY39">
        <v>0.97306815000000002</v>
      </c>
      <c r="AZ39">
        <v>0.97306815000000002</v>
      </c>
      <c r="BA39">
        <v>0.97443000000000002</v>
      </c>
      <c r="BB39" s="446">
        <v>1</v>
      </c>
      <c r="BC39">
        <v>1</v>
      </c>
      <c r="BD39">
        <v>1</v>
      </c>
      <c r="BE39">
        <v>1</v>
      </c>
      <c r="BF39">
        <v>0.99990000000000001</v>
      </c>
      <c r="BG39">
        <v>1</v>
      </c>
      <c r="BH39">
        <v>1</v>
      </c>
      <c r="BI39">
        <v>0.99</v>
      </c>
      <c r="BJ39">
        <v>0.999</v>
      </c>
      <c r="BK39">
        <v>0.998</v>
      </c>
      <c r="BL39">
        <v>0.99850000000000005</v>
      </c>
      <c r="BM39">
        <v>0.99850000000000005</v>
      </c>
      <c r="BN39">
        <v>0.97199999999999998</v>
      </c>
      <c r="BO39">
        <v>0.99990000000000001</v>
      </c>
      <c r="BP39">
        <v>0.99990000000000001</v>
      </c>
      <c r="BQ39">
        <v>1</v>
      </c>
      <c r="BR39">
        <v>1.0735526</v>
      </c>
      <c r="BS39">
        <v>1.0958000000000001</v>
      </c>
      <c r="BT39">
        <v>1.0827</v>
      </c>
      <c r="BU39">
        <v>1.0082</v>
      </c>
      <c r="BV39">
        <v>1</v>
      </c>
      <c r="BW39">
        <v>1.9661999999999999</v>
      </c>
      <c r="BX39">
        <v>2.2476063329999998</v>
      </c>
      <c r="BY39">
        <v>1.0423500000000001</v>
      </c>
      <c r="BZ39">
        <v>1.2885</v>
      </c>
      <c r="CA39">
        <v>2.0009999999999999</v>
      </c>
      <c r="CB39">
        <v>1.4815050000000001</v>
      </c>
      <c r="CC39">
        <v>1.4815050000000001</v>
      </c>
      <c r="CD39">
        <v>1.242405</v>
      </c>
      <c r="CE39">
        <v>1.0569299999999999</v>
      </c>
      <c r="CF39">
        <v>1.399405</v>
      </c>
      <c r="CG39" s="332"/>
      <c r="CH39">
        <v>1.0933349999999999</v>
      </c>
      <c r="CI39" s="332"/>
      <c r="CJ39" s="332"/>
      <c r="CK39" s="332"/>
      <c r="CL39" s="332"/>
      <c r="CM39" s="332"/>
      <c r="CN39" s="332"/>
      <c r="CO39" s="332"/>
      <c r="CP39">
        <v>0.95499999999999996</v>
      </c>
      <c r="CQ39">
        <v>0.9</v>
      </c>
      <c r="CR39">
        <v>0.9</v>
      </c>
      <c r="CS39">
        <v>0.94</v>
      </c>
      <c r="CT39">
        <v>0.999</v>
      </c>
      <c r="CU39">
        <v>0.48</v>
      </c>
      <c r="CV39">
        <v>0.46</v>
      </c>
      <c r="CW39">
        <v>0.90500000000000003</v>
      </c>
      <c r="CX39">
        <v>0.505</v>
      </c>
      <c r="CY39">
        <v>0.48499999999999999</v>
      </c>
      <c r="CZ39">
        <v>0.79500000000000004</v>
      </c>
      <c r="DA39">
        <v>0.82750000000000001</v>
      </c>
      <c r="DB39">
        <v>0.85</v>
      </c>
      <c r="DC39">
        <v>0.90249999999999997</v>
      </c>
      <c r="DD39">
        <v>0.82</v>
      </c>
      <c r="DE39">
        <v>0.89</v>
      </c>
      <c r="DF39">
        <v>0.98499999999999999</v>
      </c>
      <c r="DG39">
        <v>0.97</v>
      </c>
      <c r="DH39">
        <v>0.99</v>
      </c>
      <c r="DI39">
        <v>0.97750000000000004</v>
      </c>
      <c r="DN39" s="332">
        <v>2.8499999999999999E-4</v>
      </c>
      <c r="DO39" s="332">
        <v>2.0000000000000001E-4</v>
      </c>
      <c r="DP39" s="332">
        <v>0</v>
      </c>
      <c r="DQ39" s="332">
        <v>1E-4</v>
      </c>
      <c r="DR39" s="332">
        <v>0</v>
      </c>
      <c r="DS39" s="332">
        <v>3.5999999999999999E-3</v>
      </c>
      <c r="DT39" s="332">
        <v>4.6999999999999999E-4</v>
      </c>
      <c r="DU39" s="332">
        <v>6.9999999999999999E-4</v>
      </c>
      <c r="DV39" s="332">
        <v>0</v>
      </c>
      <c r="DW39" s="332">
        <v>0</v>
      </c>
      <c r="DX39" s="332">
        <v>5.0000000000000001E-4</v>
      </c>
      <c r="DY39" s="332">
        <v>5.0000000000000001E-4</v>
      </c>
      <c r="DZ39" s="332">
        <v>2.9999999999999997E-4</v>
      </c>
      <c r="EA39" s="332">
        <v>2.7500000000000002E-4</v>
      </c>
      <c r="EB39" s="332">
        <v>4.0000000000000002E-4</v>
      </c>
      <c r="ED39" s="332">
        <v>6.4999999999999994E-5</v>
      </c>
      <c r="EF39">
        <v>1</v>
      </c>
    </row>
    <row r="40" spans="1:136" x14ac:dyDescent="0.25">
      <c r="A40" s="66">
        <v>37591</v>
      </c>
      <c r="B40">
        <v>0.98</v>
      </c>
      <c r="C40">
        <v>0.97543999999999997</v>
      </c>
      <c r="D40">
        <v>0.97499999999999998</v>
      </c>
      <c r="E40">
        <f t="shared" si="2"/>
        <v>0.99399999999999999</v>
      </c>
      <c r="F40">
        <v>0.97699999999999998</v>
      </c>
      <c r="G40">
        <v>0.98750000000000004</v>
      </c>
      <c r="H40">
        <v>0.98750000000000004</v>
      </c>
      <c r="I40">
        <v>0.91266875000000003</v>
      </c>
      <c r="J40">
        <v>0.65713500000000002</v>
      </c>
      <c r="K40">
        <v>0.97048500000000004</v>
      </c>
      <c r="L40" s="333">
        <v>0.87438294999999999</v>
      </c>
      <c r="M40" s="333">
        <v>0.92254811199999998</v>
      </c>
      <c r="N40">
        <v>0.85746644999999999</v>
      </c>
      <c r="O40">
        <v>0.94355546300000004</v>
      </c>
      <c r="P40">
        <v>0.85746644999999999</v>
      </c>
      <c r="Q40" s="328">
        <v>0.87438294999999999</v>
      </c>
      <c r="R40">
        <v>0.87438294999999999</v>
      </c>
      <c r="S40" s="333">
        <v>0.87438294999999999</v>
      </c>
      <c r="T40">
        <v>0.85746644999999999</v>
      </c>
      <c r="U40">
        <v>0.85746644999999999</v>
      </c>
      <c r="V40">
        <v>0.85746644999999999</v>
      </c>
      <c r="W40">
        <v>0.85746644999999999</v>
      </c>
      <c r="X40">
        <v>0.94355546300000004</v>
      </c>
      <c r="Y40">
        <v>0.94355546300000004</v>
      </c>
      <c r="Z40">
        <v>0.94355546300000004</v>
      </c>
      <c r="AA40">
        <v>0.94355546300000004</v>
      </c>
      <c r="AB40">
        <v>0.85746644999999999</v>
      </c>
      <c r="AC40">
        <v>0.85746644999999999</v>
      </c>
      <c r="AD40">
        <v>0.94355546300000004</v>
      </c>
      <c r="AE40">
        <v>0.94355546300000004</v>
      </c>
      <c r="AF40">
        <v>0.85746644999999999</v>
      </c>
      <c r="AG40">
        <v>0.98</v>
      </c>
      <c r="AH40">
        <v>0.97312600000000005</v>
      </c>
      <c r="AI40">
        <v>0.97312600000000005</v>
      </c>
      <c r="AJ40">
        <v>0.85746644999999999</v>
      </c>
      <c r="AK40">
        <v>1</v>
      </c>
      <c r="AL40">
        <v>0.97048500000000004</v>
      </c>
      <c r="AM40">
        <v>0.95277599999999996</v>
      </c>
      <c r="AN40" s="328">
        <v>0.99580000000000002</v>
      </c>
      <c r="AO40" s="328">
        <v>0.97</v>
      </c>
      <c r="AP40" s="328">
        <v>0.99</v>
      </c>
      <c r="AQ40">
        <v>0.95277599999999996</v>
      </c>
      <c r="AR40">
        <v>0.97312600000000005</v>
      </c>
      <c r="AS40">
        <v>0.97699999999999998</v>
      </c>
      <c r="AT40" s="328">
        <v>0.97750000000000004</v>
      </c>
      <c r="AU40">
        <v>0.97312600000000005</v>
      </c>
      <c r="AV40">
        <v>0.95277599999999996</v>
      </c>
      <c r="AW40">
        <v>0.95277599999999996</v>
      </c>
      <c r="AX40">
        <v>0.95277599999999996</v>
      </c>
      <c r="AY40">
        <v>0.97312600000000005</v>
      </c>
      <c r="AZ40">
        <v>0.97312600000000005</v>
      </c>
      <c r="BA40">
        <v>0.95277599999999996</v>
      </c>
      <c r="BB40" s="446">
        <v>1</v>
      </c>
      <c r="BC40">
        <v>1</v>
      </c>
      <c r="BD40">
        <v>1</v>
      </c>
      <c r="BE40">
        <v>1</v>
      </c>
      <c r="BF40">
        <v>0.99990000000000001</v>
      </c>
      <c r="BG40">
        <v>1</v>
      </c>
      <c r="BH40">
        <v>1</v>
      </c>
      <c r="BI40">
        <v>0.99</v>
      </c>
      <c r="BJ40">
        <v>0.999</v>
      </c>
      <c r="BK40">
        <v>0.998</v>
      </c>
      <c r="BL40">
        <v>0.99850000000000005</v>
      </c>
      <c r="BM40">
        <v>0.99850000000000005</v>
      </c>
      <c r="BN40">
        <v>0.97199999999999998</v>
      </c>
      <c r="BO40">
        <v>0.99990000000000001</v>
      </c>
      <c r="BP40">
        <v>0.99990000000000001</v>
      </c>
      <c r="BQ40">
        <v>1</v>
      </c>
      <c r="BR40">
        <v>1.0738376000000001</v>
      </c>
      <c r="BS40">
        <v>1.0960000000000001</v>
      </c>
      <c r="BT40">
        <v>1.0827</v>
      </c>
      <c r="BU40">
        <v>1.0083</v>
      </c>
      <c r="BV40">
        <v>1</v>
      </c>
      <c r="BW40">
        <v>1.9698</v>
      </c>
      <c r="BX40">
        <v>2.2480763330000002</v>
      </c>
      <c r="BY40">
        <v>1.04305</v>
      </c>
      <c r="BZ40">
        <v>1.2885</v>
      </c>
      <c r="CA40">
        <v>2.0009999999999999</v>
      </c>
      <c r="CB40">
        <v>1.482005</v>
      </c>
      <c r="CC40">
        <v>1.482005</v>
      </c>
      <c r="CD40">
        <v>1.2427049999999999</v>
      </c>
      <c r="CE40">
        <v>1.057205</v>
      </c>
      <c r="CF40">
        <v>1.399805</v>
      </c>
      <c r="CG40" s="332"/>
      <c r="CH40">
        <v>1.0933999999999999</v>
      </c>
      <c r="CI40" s="332"/>
      <c r="CJ40" s="332"/>
      <c r="CK40" s="332"/>
      <c r="CL40" s="332"/>
      <c r="CM40" s="332"/>
      <c r="CN40" s="332"/>
      <c r="CO40" s="332"/>
      <c r="CP40">
        <v>0.93500000000000005</v>
      </c>
      <c r="CQ40">
        <v>0.89</v>
      </c>
      <c r="CR40">
        <v>0.88</v>
      </c>
      <c r="CS40">
        <v>0.92</v>
      </c>
      <c r="CT40">
        <v>0.999</v>
      </c>
      <c r="CU40">
        <v>0.51</v>
      </c>
      <c r="CV40">
        <v>0.48</v>
      </c>
      <c r="CW40">
        <v>0.875</v>
      </c>
      <c r="CX40">
        <v>0.51</v>
      </c>
      <c r="CY40">
        <v>0.48499999999999999</v>
      </c>
      <c r="CZ40">
        <v>0.59</v>
      </c>
      <c r="DA40">
        <v>0.62250000000000005</v>
      </c>
      <c r="DB40">
        <v>0.69</v>
      </c>
      <c r="DC40">
        <v>0.89249999999999996</v>
      </c>
      <c r="DD40">
        <v>0.71499999999999997</v>
      </c>
      <c r="DE40">
        <v>0.89</v>
      </c>
      <c r="DF40">
        <v>0.98499999999999999</v>
      </c>
      <c r="DG40">
        <v>0.97</v>
      </c>
      <c r="DH40">
        <v>0.99</v>
      </c>
      <c r="DI40">
        <v>0.97750000000000004</v>
      </c>
      <c r="DN40" s="332">
        <v>2.8499999999999999E-4</v>
      </c>
      <c r="DO40" s="332">
        <v>2.0000000000000001E-4</v>
      </c>
      <c r="DP40" s="332">
        <v>0</v>
      </c>
      <c r="DQ40" s="332">
        <v>1E-4</v>
      </c>
      <c r="DR40" s="332">
        <v>0</v>
      </c>
      <c r="DS40" s="332">
        <v>3.5999999999999999E-3</v>
      </c>
      <c r="DT40" s="332">
        <v>4.6999999999999999E-4</v>
      </c>
      <c r="DU40" s="332">
        <v>6.9999999999999999E-4</v>
      </c>
      <c r="DV40" s="332">
        <v>0</v>
      </c>
      <c r="DW40" s="332">
        <v>0</v>
      </c>
      <c r="DX40" s="332">
        <v>5.0000000000000001E-4</v>
      </c>
      <c r="DY40" s="332">
        <v>5.0000000000000001E-4</v>
      </c>
      <c r="DZ40" s="332">
        <v>2.9999999999999997E-4</v>
      </c>
      <c r="EA40" s="332">
        <v>2.7500000000000002E-4</v>
      </c>
      <c r="EB40" s="332">
        <v>4.0000000000000002E-4</v>
      </c>
      <c r="ED40" s="332">
        <v>6.4999999999999994E-5</v>
      </c>
      <c r="EF40">
        <v>1</v>
      </c>
    </row>
    <row r="41" spans="1:136" x14ac:dyDescent="0.25">
      <c r="A41" s="66">
        <v>37622</v>
      </c>
      <c r="B41">
        <v>0.98</v>
      </c>
      <c r="C41">
        <v>0.94273200000000001</v>
      </c>
      <c r="D41">
        <v>0.97499999999999998</v>
      </c>
      <c r="E41">
        <f t="shared" si="2"/>
        <v>0.99399999999999999</v>
      </c>
      <c r="F41">
        <v>0.97699999999999998</v>
      </c>
      <c r="G41">
        <v>0.98750000000000004</v>
      </c>
      <c r="H41">
        <v>0.98750000000000004</v>
      </c>
      <c r="I41">
        <v>0.84021875000000001</v>
      </c>
      <c r="J41">
        <v>0.67001999999999995</v>
      </c>
      <c r="K41">
        <v>0.98499999999999999</v>
      </c>
      <c r="L41" s="333">
        <v>0.89691552500000005</v>
      </c>
      <c r="M41" s="333">
        <v>0.94509693699999997</v>
      </c>
      <c r="N41">
        <v>0.85767344999999995</v>
      </c>
      <c r="O41">
        <v>0.93058240000000003</v>
      </c>
      <c r="P41">
        <v>0.85767344999999995</v>
      </c>
      <c r="Q41" s="328">
        <v>0.89691552500000005</v>
      </c>
      <c r="R41">
        <v>0.89691552500000005</v>
      </c>
      <c r="S41" s="333">
        <v>0.89691552500000005</v>
      </c>
      <c r="T41">
        <v>0.85767344999999995</v>
      </c>
      <c r="U41">
        <v>0.85767344999999995</v>
      </c>
      <c r="V41">
        <v>0.85767344999999995</v>
      </c>
      <c r="W41">
        <v>0.85767344999999995</v>
      </c>
      <c r="X41">
        <v>0.93058240000000003</v>
      </c>
      <c r="Y41">
        <v>0.93058240000000003</v>
      </c>
      <c r="Z41">
        <v>0.93058240000000003</v>
      </c>
      <c r="AA41">
        <v>0.93058240000000003</v>
      </c>
      <c r="AB41">
        <v>0.85767344999999995</v>
      </c>
      <c r="AC41">
        <v>0.85767344999999995</v>
      </c>
      <c r="AD41">
        <v>0.93058240000000003</v>
      </c>
      <c r="AE41">
        <v>0.93058240000000003</v>
      </c>
      <c r="AF41">
        <v>0.85767344999999995</v>
      </c>
      <c r="AG41">
        <v>0.98</v>
      </c>
      <c r="AH41">
        <v>0.97318384999999996</v>
      </c>
      <c r="AI41">
        <v>0.97318384999999996</v>
      </c>
      <c r="AJ41">
        <v>0.85767344999999995</v>
      </c>
      <c r="AK41">
        <v>1</v>
      </c>
      <c r="AL41">
        <v>0.98499999999999999</v>
      </c>
      <c r="AM41">
        <v>0.94194900000000004</v>
      </c>
      <c r="AN41" s="328">
        <v>0.99580000000000002</v>
      </c>
      <c r="AO41" s="328">
        <v>0.96</v>
      </c>
      <c r="AP41" s="328">
        <v>0.99</v>
      </c>
      <c r="AQ41">
        <v>0.94194900000000004</v>
      </c>
      <c r="AR41">
        <v>0.97318384999999996</v>
      </c>
      <c r="AS41">
        <v>0.97699999999999998</v>
      </c>
      <c r="AT41" s="328">
        <v>0.97750000000000004</v>
      </c>
      <c r="AU41">
        <v>0.97318384999999996</v>
      </c>
      <c r="AV41">
        <v>0.94194900000000004</v>
      </c>
      <c r="AW41">
        <v>0.94194900000000004</v>
      </c>
      <c r="AX41">
        <v>0.94194900000000004</v>
      </c>
      <c r="AY41">
        <v>0.97318384999999996</v>
      </c>
      <c r="AZ41">
        <v>0.97318384999999996</v>
      </c>
      <c r="BA41">
        <v>0.94194900000000004</v>
      </c>
      <c r="BB41" s="446">
        <v>1</v>
      </c>
      <c r="BC41">
        <v>1</v>
      </c>
      <c r="BD41">
        <v>1</v>
      </c>
      <c r="BE41">
        <v>1</v>
      </c>
      <c r="BF41">
        <v>0.99990000000000001</v>
      </c>
      <c r="BG41">
        <v>1</v>
      </c>
      <c r="BH41">
        <v>1</v>
      </c>
      <c r="BI41">
        <v>0.99</v>
      </c>
      <c r="BJ41">
        <v>0.999</v>
      </c>
      <c r="BK41">
        <v>0.998</v>
      </c>
      <c r="BL41">
        <v>0.99850000000000005</v>
      </c>
      <c r="BM41">
        <v>0.99850000000000005</v>
      </c>
      <c r="BN41">
        <v>0.97199999999999998</v>
      </c>
      <c r="BO41">
        <v>0.99990000000000001</v>
      </c>
      <c r="BP41">
        <v>0.99990000000000001</v>
      </c>
      <c r="BQ41">
        <v>1</v>
      </c>
      <c r="BR41">
        <v>1.0741225999999999</v>
      </c>
      <c r="BS41">
        <v>1.0962000000000001</v>
      </c>
      <c r="BT41">
        <v>1.0827</v>
      </c>
      <c r="BU41">
        <v>1.0084</v>
      </c>
      <c r="BV41">
        <v>1</v>
      </c>
      <c r="BW41">
        <v>1.9734</v>
      </c>
      <c r="BX41">
        <v>2.2485463330000002</v>
      </c>
      <c r="BY41">
        <v>1.04375</v>
      </c>
      <c r="BZ41">
        <v>1.2885</v>
      </c>
      <c r="CA41">
        <v>2.0009999999999999</v>
      </c>
      <c r="CB41">
        <v>1.482505</v>
      </c>
      <c r="CC41">
        <v>1.482505</v>
      </c>
      <c r="CD41">
        <v>1.2430049999999999</v>
      </c>
      <c r="CE41">
        <v>1.05748</v>
      </c>
      <c r="CF41">
        <v>1.4002049999999999</v>
      </c>
      <c r="CG41" s="332"/>
      <c r="CH41">
        <v>1.0934649999999999</v>
      </c>
      <c r="CI41" s="332"/>
      <c r="CJ41" s="332"/>
      <c r="CK41" s="332"/>
      <c r="CL41" s="332"/>
      <c r="CM41" s="332"/>
      <c r="CN41" s="332"/>
      <c r="CO41" s="332"/>
      <c r="CP41">
        <v>0.89500000000000002</v>
      </c>
      <c r="CQ41">
        <v>0.86</v>
      </c>
      <c r="CR41">
        <v>0.87</v>
      </c>
      <c r="CS41">
        <v>0.92</v>
      </c>
      <c r="CT41">
        <v>0.999</v>
      </c>
      <c r="CU41">
        <v>0.57999999999999996</v>
      </c>
      <c r="CV41">
        <v>0.45</v>
      </c>
      <c r="CW41">
        <v>0.80500000000000005</v>
      </c>
      <c r="CX41">
        <v>0.52</v>
      </c>
      <c r="CY41">
        <v>0.505</v>
      </c>
      <c r="CZ41">
        <v>0.60499999999999998</v>
      </c>
      <c r="DA41">
        <v>0.63749999999999996</v>
      </c>
      <c r="DB41">
        <v>0.69</v>
      </c>
      <c r="DC41">
        <v>0.88</v>
      </c>
      <c r="DD41">
        <v>0.64</v>
      </c>
      <c r="DE41">
        <v>0.89</v>
      </c>
      <c r="DF41">
        <v>0.98499999999999999</v>
      </c>
      <c r="DG41">
        <v>0.96</v>
      </c>
      <c r="DH41">
        <v>0.99</v>
      </c>
      <c r="DI41">
        <v>0.97750000000000004</v>
      </c>
      <c r="DN41" s="332">
        <v>2.8499999999999999E-4</v>
      </c>
      <c r="DO41" s="332">
        <v>2.0000000000000001E-4</v>
      </c>
      <c r="DP41" s="332">
        <v>0</v>
      </c>
      <c r="DQ41" s="332">
        <v>1E-4</v>
      </c>
      <c r="DR41" s="332">
        <v>0</v>
      </c>
      <c r="DS41" s="332">
        <v>3.5999999999999999E-3</v>
      </c>
      <c r="DT41" s="332">
        <v>4.6999999999999999E-4</v>
      </c>
      <c r="DU41" s="332">
        <v>6.9999999999999999E-4</v>
      </c>
      <c r="DV41" s="332">
        <v>0</v>
      </c>
      <c r="DW41" s="332">
        <v>0</v>
      </c>
      <c r="DX41" s="332">
        <v>5.0000000000000001E-4</v>
      </c>
      <c r="DY41" s="332">
        <v>5.0000000000000001E-4</v>
      </c>
      <c r="DZ41" s="332">
        <v>2.9999999999999997E-4</v>
      </c>
      <c r="EA41" s="332">
        <v>2.7500000000000002E-4</v>
      </c>
      <c r="EB41" s="332">
        <v>4.0000000000000002E-4</v>
      </c>
      <c r="ED41" s="332">
        <v>6.4999999999999994E-5</v>
      </c>
      <c r="EF41">
        <v>1</v>
      </c>
    </row>
    <row r="42" spans="1:136" x14ac:dyDescent="0.25">
      <c r="A42" s="66">
        <v>37653</v>
      </c>
      <c r="B42">
        <v>0.98</v>
      </c>
      <c r="C42">
        <v>0.94290399999999996</v>
      </c>
      <c r="D42">
        <v>0.97499999999999998</v>
      </c>
      <c r="E42">
        <f t="shared" si="2"/>
        <v>0.99399999999999999</v>
      </c>
      <c r="F42">
        <v>0.97699999999999998</v>
      </c>
      <c r="G42">
        <v>0.98750000000000004</v>
      </c>
      <c r="H42">
        <v>0.98750000000000004</v>
      </c>
      <c r="I42">
        <v>0.88256025000000005</v>
      </c>
      <c r="J42">
        <v>0.80531249999999999</v>
      </c>
      <c r="K42">
        <v>0.98499999999999999</v>
      </c>
      <c r="L42" s="333">
        <v>0.94170817500000004</v>
      </c>
      <c r="M42" s="333">
        <v>0.98750000000000004</v>
      </c>
      <c r="N42">
        <v>0.88274655000000002</v>
      </c>
      <c r="O42">
        <v>0.92818001299999997</v>
      </c>
      <c r="P42">
        <v>0.88274655000000002</v>
      </c>
      <c r="Q42" s="328">
        <v>0.94170817500000004</v>
      </c>
      <c r="R42">
        <v>0.94170817500000004</v>
      </c>
      <c r="S42" s="333">
        <v>0.94170817500000004</v>
      </c>
      <c r="T42">
        <v>0.88274655000000002</v>
      </c>
      <c r="U42">
        <v>0.88274655000000002</v>
      </c>
      <c r="V42">
        <v>0.88274655000000002</v>
      </c>
      <c r="W42">
        <v>0.88274655000000002</v>
      </c>
      <c r="X42">
        <v>0.92818001299999997</v>
      </c>
      <c r="Y42">
        <v>0.92818001299999997</v>
      </c>
      <c r="Z42">
        <v>0.92818001299999997</v>
      </c>
      <c r="AA42">
        <v>0.92818001299999997</v>
      </c>
      <c r="AB42">
        <v>0.88274655000000002</v>
      </c>
      <c r="AC42">
        <v>0.88274655000000002</v>
      </c>
      <c r="AD42">
        <v>0.92818001299999997</v>
      </c>
      <c r="AE42">
        <v>0.92818001299999997</v>
      </c>
      <c r="AF42">
        <v>0.88274655000000002</v>
      </c>
      <c r="AG42">
        <v>0.98</v>
      </c>
      <c r="AH42">
        <v>0.97324169999999999</v>
      </c>
      <c r="AI42">
        <v>0.97324169999999999</v>
      </c>
      <c r="AJ42">
        <v>0.88274655000000002</v>
      </c>
      <c r="AK42">
        <v>1</v>
      </c>
      <c r="AL42">
        <v>0.98499999999999999</v>
      </c>
      <c r="AM42">
        <v>0.96360299999999999</v>
      </c>
      <c r="AN42" s="328">
        <v>0.99580000000000002</v>
      </c>
      <c r="AO42" s="328">
        <v>0.97</v>
      </c>
      <c r="AP42" s="328">
        <v>0.99</v>
      </c>
      <c r="AQ42">
        <v>0.96360299999999999</v>
      </c>
      <c r="AR42">
        <v>0.97324169999999999</v>
      </c>
      <c r="AS42">
        <v>0.97699999999999998</v>
      </c>
      <c r="AT42" s="328">
        <v>0.97750000000000004</v>
      </c>
      <c r="AU42">
        <v>0.97324169999999999</v>
      </c>
      <c r="AV42">
        <v>0.96360299999999999</v>
      </c>
      <c r="AW42">
        <v>0.96360299999999999</v>
      </c>
      <c r="AX42">
        <v>0.96360299999999999</v>
      </c>
      <c r="AY42">
        <v>0.97324169999999999</v>
      </c>
      <c r="AZ42">
        <v>0.97324169999999999</v>
      </c>
      <c r="BA42">
        <v>0.96360299999999999</v>
      </c>
      <c r="BB42" s="446">
        <v>1</v>
      </c>
      <c r="BC42">
        <v>1</v>
      </c>
      <c r="BD42">
        <v>1</v>
      </c>
      <c r="BE42">
        <v>1</v>
      </c>
      <c r="BF42">
        <v>0.99990000000000001</v>
      </c>
      <c r="BG42">
        <v>1</v>
      </c>
      <c r="BH42">
        <v>1</v>
      </c>
      <c r="BI42">
        <v>0.99</v>
      </c>
      <c r="BJ42">
        <v>0.999</v>
      </c>
      <c r="BK42">
        <v>0.998</v>
      </c>
      <c r="BL42">
        <v>0.99850000000000005</v>
      </c>
      <c r="BM42">
        <v>0.99850000000000005</v>
      </c>
      <c r="BN42">
        <v>0.97199999999999998</v>
      </c>
      <c r="BO42">
        <v>0.99990000000000001</v>
      </c>
      <c r="BP42">
        <v>0.99990000000000001</v>
      </c>
      <c r="BQ42">
        <v>1</v>
      </c>
      <c r="BR42">
        <v>1.0744076</v>
      </c>
      <c r="BS42">
        <v>1.0964</v>
      </c>
      <c r="BT42">
        <v>1.0827</v>
      </c>
      <c r="BU42">
        <v>1.0085</v>
      </c>
      <c r="BV42">
        <v>1</v>
      </c>
      <c r="BW42">
        <v>1.9770000000000001</v>
      </c>
      <c r="BX42">
        <v>2.2490163330000001</v>
      </c>
      <c r="BY42">
        <v>1.0444500000000001</v>
      </c>
      <c r="BZ42">
        <v>1.2885</v>
      </c>
      <c r="CA42">
        <v>2.0009999999999999</v>
      </c>
      <c r="CB42">
        <v>1.4830049999999999</v>
      </c>
      <c r="CC42">
        <v>1.4830049999999999</v>
      </c>
      <c r="CD42">
        <v>1.2433050000000001</v>
      </c>
      <c r="CE42">
        <v>1.057755</v>
      </c>
      <c r="CF42">
        <v>1.4006050000000001</v>
      </c>
      <c r="CG42" s="332"/>
      <c r="CH42">
        <v>1.0935299999999999</v>
      </c>
      <c r="CI42" s="332"/>
      <c r="CJ42" s="332"/>
      <c r="CK42" s="332"/>
      <c r="CL42" s="332"/>
      <c r="CM42" s="332"/>
      <c r="CN42" s="332"/>
      <c r="CO42" s="332"/>
      <c r="CP42">
        <v>0.86499999999999999</v>
      </c>
      <c r="CQ42">
        <v>0.86</v>
      </c>
      <c r="CR42">
        <v>0.89</v>
      </c>
      <c r="CS42">
        <v>0.93500000000000005</v>
      </c>
      <c r="CT42">
        <v>0.99895</v>
      </c>
      <c r="CU42">
        <v>0.57999999999999996</v>
      </c>
      <c r="CV42">
        <v>0.45</v>
      </c>
      <c r="CW42">
        <v>0.84499999999999997</v>
      </c>
      <c r="CX42">
        <v>0.625</v>
      </c>
      <c r="CY42">
        <v>0.505</v>
      </c>
      <c r="CZ42">
        <v>0.63500000000000001</v>
      </c>
      <c r="DA42">
        <v>0.66749999999999998</v>
      </c>
      <c r="DB42">
        <v>0.71</v>
      </c>
      <c r="DC42">
        <v>0.87749999999999995</v>
      </c>
      <c r="DD42">
        <v>0.67</v>
      </c>
      <c r="DE42">
        <v>0.89</v>
      </c>
      <c r="DF42">
        <v>0.98499999999999999</v>
      </c>
      <c r="DG42">
        <v>0.97</v>
      </c>
      <c r="DH42">
        <v>0.99</v>
      </c>
      <c r="DI42">
        <v>0.97750000000000004</v>
      </c>
      <c r="DN42" s="332">
        <v>2.8499999999999999E-4</v>
      </c>
      <c r="DO42" s="332">
        <v>2.0000000000000001E-4</v>
      </c>
      <c r="DP42" s="332">
        <v>0</v>
      </c>
      <c r="DQ42" s="332">
        <v>1E-4</v>
      </c>
      <c r="DR42" s="332">
        <v>0</v>
      </c>
      <c r="DS42" s="332">
        <v>3.5999999999999999E-3</v>
      </c>
      <c r="DT42" s="332">
        <v>4.6999999999999999E-4</v>
      </c>
      <c r="DU42" s="332">
        <v>6.9999999999999999E-4</v>
      </c>
      <c r="DV42" s="332">
        <v>0</v>
      </c>
      <c r="DW42" s="332">
        <v>0</v>
      </c>
      <c r="DX42" s="332">
        <v>5.0000000000000001E-4</v>
      </c>
      <c r="DY42" s="332">
        <v>5.0000000000000001E-4</v>
      </c>
      <c r="DZ42" s="332">
        <v>2.9999999999999997E-4</v>
      </c>
      <c r="EA42" s="332">
        <v>2.7500000000000002E-4</v>
      </c>
      <c r="EB42" s="332">
        <v>4.0000000000000002E-4</v>
      </c>
      <c r="ED42" s="332">
        <v>6.4999999999999994E-5</v>
      </c>
      <c r="EF42">
        <v>1</v>
      </c>
    </row>
    <row r="43" spans="1:136" x14ac:dyDescent="0.25">
      <c r="A43" s="66">
        <v>37681</v>
      </c>
      <c r="B43">
        <v>0.98</v>
      </c>
      <c r="C43">
        <v>0.97597400000000001</v>
      </c>
      <c r="D43">
        <v>0.97499999999999998</v>
      </c>
      <c r="E43">
        <f t="shared" si="2"/>
        <v>0.99399999999999999</v>
      </c>
      <c r="F43">
        <v>0.97699999999999998</v>
      </c>
      <c r="G43">
        <v>0.98750000000000004</v>
      </c>
      <c r="H43">
        <v>0.98750000000000004</v>
      </c>
      <c r="I43">
        <v>0.91450624999999997</v>
      </c>
      <c r="J43">
        <v>0.98499999999999999</v>
      </c>
      <c r="K43">
        <v>0.98499999999999999</v>
      </c>
      <c r="L43" s="333">
        <v>0.98750000000000004</v>
      </c>
      <c r="M43" s="333">
        <v>0.98750000000000004</v>
      </c>
      <c r="N43">
        <v>0.98</v>
      </c>
      <c r="O43">
        <v>0.95222700000000005</v>
      </c>
      <c r="P43">
        <v>0.98</v>
      </c>
      <c r="Q43" s="328">
        <v>0.98750000000000004</v>
      </c>
      <c r="R43">
        <v>0.98750000000000004</v>
      </c>
      <c r="S43" s="333">
        <v>0.98750000000000004</v>
      </c>
      <c r="T43">
        <v>0.98</v>
      </c>
      <c r="U43">
        <v>0.98</v>
      </c>
      <c r="V43">
        <v>0.98</v>
      </c>
      <c r="W43">
        <v>0.98</v>
      </c>
      <c r="X43">
        <v>0.95222700000000005</v>
      </c>
      <c r="Y43">
        <v>0.95222700000000005</v>
      </c>
      <c r="Z43">
        <v>0.95222700000000005</v>
      </c>
      <c r="AA43">
        <v>0.95222700000000005</v>
      </c>
      <c r="AB43">
        <v>0.98</v>
      </c>
      <c r="AC43">
        <v>0.98</v>
      </c>
      <c r="AD43">
        <v>0.95222700000000005</v>
      </c>
      <c r="AE43">
        <v>0.95222700000000005</v>
      </c>
      <c r="AF43">
        <v>0.98</v>
      </c>
      <c r="AG43">
        <v>0.99</v>
      </c>
      <c r="AH43">
        <v>0.97329955000000001</v>
      </c>
      <c r="AI43">
        <v>0.97329955000000001</v>
      </c>
      <c r="AJ43">
        <v>0.98</v>
      </c>
      <c r="AK43">
        <v>1</v>
      </c>
      <c r="AL43">
        <v>0.98499999999999999</v>
      </c>
      <c r="AM43">
        <v>0.98499999999999999</v>
      </c>
      <c r="AN43" s="328">
        <v>0.99580000000000002</v>
      </c>
      <c r="AO43" s="328">
        <v>0.97</v>
      </c>
      <c r="AP43" s="328">
        <v>0.99</v>
      </c>
      <c r="AQ43">
        <v>0.98499999999999999</v>
      </c>
      <c r="AR43">
        <v>0.97329955000000001</v>
      </c>
      <c r="AS43">
        <v>0.97699999999999998</v>
      </c>
      <c r="AT43" s="328">
        <v>0.97750000000000004</v>
      </c>
      <c r="AU43">
        <v>0.97329955000000001</v>
      </c>
      <c r="AV43">
        <v>0.98499999999999999</v>
      </c>
      <c r="AW43">
        <v>0.98499999999999999</v>
      </c>
      <c r="AX43">
        <v>0.98499999999999999</v>
      </c>
      <c r="AY43">
        <v>0.97329955000000001</v>
      </c>
      <c r="AZ43">
        <v>0.97329955000000001</v>
      </c>
      <c r="BA43">
        <v>0.98499999999999999</v>
      </c>
      <c r="BB43" s="446">
        <v>1</v>
      </c>
      <c r="BC43">
        <v>1</v>
      </c>
      <c r="BD43">
        <v>1</v>
      </c>
      <c r="BE43">
        <v>1</v>
      </c>
      <c r="BF43">
        <v>0.99990000000000001</v>
      </c>
      <c r="BG43">
        <v>1</v>
      </c>
      <c r="BH43">
        <v>1</v>
      </c>
      <c r="BI43">
        <v>0.99</v>
      </c>
      <c r="BJ43">
        <v>0.999</v>
      </c>
      <c r="BK43">
        <v>0.998</v>
      </c>
      <c r="BL43">
        <v>0.99850000000000005</v>
      </c>
      <c r="BM43">
        <v>0.99850000000000005</v>
      </c>
      <c r="BN43">
        <v>0.97199999999999998</v>
      </c>
      <c r="BO43">
        <v>0.99990000000000001</v>
      </c>
      <c r="BP43">
        <v>0.99990000000000001</v>
      </c>
      <c r="BQ43">
        <v>1</v>
      </c>
      <c r="BR43">
        <v>1.0746926000000001</v>
      </c>
      <c r="BS43">
        <v>1.0966</v>
      </c>
      <c r="BT43">
        <v>1.0827</v>
      </c>
      <c r="BU43">
        <v>1.0085999999999999</v>
      </c>
      <c r="BV43">
        <v>1</v>
      </c>
      <c r="BW43">
        <v>1.9805999999999999</v>
      </c>
      <c r="BX43">
        <v>2.2494863330000001</v>
      </c>
      <c r="BY43">
        <v>1.04515</v>
      </c>
      <c r="BZ43">
        <v>1.2885</v>
      </c>
      <c r="CA43">
        <v>2.0009999999999999</v>
      </c>
      <c r="CB43">
        <v>1.4835050000000001</v>
      </c>
      <c r="CC43">
        <v>1.4835050000000001</v>
      </c>
      <c r="CD43">
        <v>1.2436050000000001</v>
      </c>
      <c r="CE43">
        <v>1.05803</v>
      </c>
      <c r="CF43">
        <v>1.4010050000000001</v>
      </c>
      <c r="CG43" s="332"/>
      <c r="CH43">
        <v>1.0935950000000001</v>
      </c>
      <c r="CI43" s="332"/>
      <c r="CJ43" s="332"/>
      <c r="CK43" s="332"/>
      <c r="CL43" s="332"/>
      <c r="CM43" s="332"/>
      <c r="CN43" s="332"/>
      <c r="CO43" s="332"/>
      <c r="CP43">
        <v>0.86499999999999999</v>
      </c>
      <c r="CQ43">
        <v>0.89</v>
      </c>
      <c r="CR43">
        <v>0.91</v>
      </c>
      <c r="CS43">
        <v>0.93500000000000005</v>
      </c>
      <c r="CT43">
        <v>0.99895</v>
      </c>
      <c r="CU43">
        <v>0.54</v>
      </c>
      <c r="CV43">
        <v>0.45</v>
      </c>
      <c r="CW43">
        <v>0.875</v>
      </c>
      <c r="CX43">
        <v>0.79500000000000004</v>
      </c>
      <c r="CY43">
        <v>0.51500000000000001</v>
      </c>
      <c r="CZ43">
        <v>0.78500000000000003</v>
      </c>
      <c r="DA43">
        <v>0.8175</v>
      </c>
      <c r="DB43">
        <v>0.8</v>
      </c>
      <c r="DC43">
        <v>0.9</v>
      </c>
      <c r="DD43">
        <v>0.83</v>
      </c>
      <c r="DE43">
        <v>0.89</v>
      </c>
      <c r="DF43">
        <v>0.98499999999999999</v>
      </c>
      <c r="DG43">
        <v>0.97</v>
      </c>
      <c r="DH43">
        <v>0.99</v>
      </c>
      <c r="DI43">
        <v>0.97750000000000004</v>
      </c>
      <c r="DN43" s="332">
        <v>2.8499999999999999E-4</v>
      </c>
      <c r="DO43" s="332">
        <v>2.0000000000000001E-4</v>
      </c>
      <c r="DP43" s="332">
        <v>0</v>
      </c>
      <c r="DQ43" s="332">
        <v>1E-4</v>
      </c>
      <c r="DR43" s="332">
        <v>0</v>
      </c>
      <c r="DS43" s="332">
        <v>3.5999999999999999E-3</v>
      </c>
      <c r="DT43" s="332">
        <v>4.6999999999999999E-4</v>
      </c>
      <c r="DU43" s="332">
        <v>6.9999999999999999E-4</v>
      </c>
      <c r="DV43" s="332">
        <v>0</v>
      </c>
      <c r="DW43" s="332">
        <v>0</v>
      </c>
      <c r="DX43" s="332">
        <v>5.0000000000000001E-4</v>
      </c>
      <c r="DY43" s="332">
        <v>5.0000000000000001E-4</v>
      </c>
      <c r="DZ43" s="332">
        <v>2.9999999999999997E-4</v>
      </c>
      <c r="EA43" s="332">
        <v>2.7500000000000002E-4</v>
      </c>
      <c r="EB43" s="332">
        <v>4.0000000000000002E-4</v>
      </c>
      <c r="ED43" s="332">
        <v>6.4999999999999994E-5</v>
      </c>
      <c r="EF43">
        <v>1</v>
      </c>
    </row>
    <row r="44" spans="1:136" x14ac:dyDescent="0.25">
      <c r="A44" s="66">
        <v>37712</v>
      </c>
      <c r="B44">
        <v>0.98</v>
      </c>
      <c r="C44">
        <v>0.98712</v>
      </c>
      <c r="D44">
        <v>0.97499999999999998</v>
      </c>
      <c r="E44">
        <f t="shared" si="2"/>
        <v>0.97799999999999998</v>
      </c>
      <c r="F44">
        <v>0.97699999999999998</v>
      </c>
      <c r="G44">
        <v>0.95241600000000004</v>
      </c>
      <c r="H44">
        <v>0.94498165999999995</v>
      </c>
      <c r="I44">
        <v>0.97786974999999998</v>
      </c>
      <c r="J44">
        <v>0.98499999999999999</v>
      </c>
      <c r="K44">
        <v>0.98499999999999999</v>
      </c>
      <c r="L44" s="333">
        <v>0.98750000000000004</v>
      </c>
      <c r="M44" s="333">
        <v>0.98750000000000004</v>
      </c>
      <c r="N44">
        <v>0.98</v>
      </c>
      <c r="O44">
        <v>0.955649415</v>
      </c>
      <c r="P44">
        <v>0.98</v>
      </c>
      <c r="Q44" s="328">
        <v>0.98750000000000004</v>
      </c>
      <c r="R44">
        <v>0.98750000000000004</v>
      </c>
      <c r="S44" s="333">
        <v>0.98750000000000004</v>
      </c>
      <c r="T44">
        <v>0.98</v>
      </c>
      <c r="U44">
        <v>0.98</v>
      </c>
      <c r="V44">
        <v>0.98</v>
      </c>
      <c r="W44">
        <v>0.98</v>
      </c>
      <c r="X44">
        <v>0.955649415</v>
      </c>
      <c r="Y44">
        <v>0.955649415</v>
      </c>
      <c r="Z44">
        <v>0.955649415</v>
      </c>
      <c r="AA44">
        <v>0.955649415</v>
      </c>
      <c r="AB44">
        <v>0.98</v>
      </c>
      <c r="AC44">
        <v>0.98</v>
      </c>
      <c r="AD44">
        <v>0.955649415</v>
      </c>
      <c r="AE44">
        <v>0.955649415</v>
      </c>
      <c r="AF44">
        <v>0.98</v>
      </c>
      <c r="AG44">
        <v>0.99</v>
      </c>
      <c r="AH44">
        <v>0.97335740000000004</v>
      </c>
      <c r="AI44">
        <v>0.97335740000000004</v>
      </c>
      <c r="AJ44">
        <v>0.98</v>
      </c>
      <c r="AK44">
        <v>1</v>
      </c>
      <c r="AL44">
        <v>0.98499999999999999</v>
      </c>
      <c r="AM44">
        <v>0.98499999999999999</v>
      </c>
      <c r="AN44" s="328">
        <v>0.99580000000000002</v>
      </c>
      <c r="AO44" s="328">
        <v>0.99</v>
      </c>
      <c r="AP44" s="328">
        <v>0.99</v>
      </c>
      <c r="AQ44">
        <v>0.98499999999999999</v>
      </c>
      <c r="AR44">
        <v>0.97335740000000004</v>
      </c>
      <c r="AS44">
        <v>0.97699999999999998</v>
      </c>
      <c r="AT44" s="328">
        <v>0.97750000000000004</v>
      </c>
      <c r="AU44">
        <v>0.97335740000000004</v>
      </c>
      <c r="AV44">
        <v>0.98499999999999999</v>
      </c>
      <c r="AW44">
        <v>0.98499999999999999</v>
      </c>
      <c r="AX44">
        <v>0.98499999999999999</v>
      </c>
      <c r="AY44">
        <v>0.97335740000000004</v>
      </c>
      <c r="AZ44">
        <v>0.97335740000000004</v>
      </c>
      <c r="BA44">
        <v>0.98499999999999999</v>
      </c>
      <c r="BB44" s="446">
        <v>1</v>
      </c>
      <c r="BC44">
        <v>1</v>
      </c>
      <c r="BD44">
        <v>1</v>
      </c>
      <c r="BE44">
        <v>1</v>
      </c>
      <c r="BF44">
        <v>0.99990000000000001</v>
      </c>
      <c r="BG44">
        <v>1</v>
      </c>
      <c r="BH44">
        <v>1</v>
      </c>
      <c r="BI44">
        <v>0.99</v>
      </c>
      <c r="BJ44">
        <v>0.999</v>
      </c>
      <c r="BK44">
        <v>0.998</v>
      </c>
      <c r="BL44">
        <v>0.99850000000000005</v>
      </c>
      <c r="BM44">
        <v>0.99850000000000005</v>
      </c>
      <c r="BN44">
        <v>0.97199999999999998</v>
      </c>
      <c r="BO44">
        <v>0.99990000000000001</v>
      </c>
      <c r="BP44">
        <v>0.99990000000000001</v>
      </c>
      <c r="BQ44">
        <v>1</v>
      </c>
      <c r="BR44">
        <v>1.0749776</v>
      </c>
      <c r="BS44">
        <v>1.0968</v>
      </c>
      <c r="BT44">
        <v>1.0827</v>
      </c>
      <c r="BU44">
        <v>1.0086999999999999</v>
      </c>
      <c r="BV44">
        <v>1</v>
      </c>
      <c r="BW44">
        <v>1.9842</v>
      </c>
      <c r="BX44">
        <v>2.2499563330000001</v>
      </c>
      <c r="BY44">
        <v>1.0458499999999999</v>
      </c>
      <c r="BZ44">
        <v>1.2885</v>
      </c>
      <c r="CA44">
        <v>2.0009999999999999</v>
      </c>
      <c r="CB44">
        <v>1.484005</v>
      </c>
      <c r="CC44">
        <v>1.484005</v>
      </c>
      <c r="CD44">
        <v>1.243905</v>
      </c>
      <c r="CE44">
        <v>1.0583050000000001</v>
      </c>
      <c r="CF44">
        <v>1.401405</v>
      </c>
      <c r="CG44" s="332"/>
      <c r="CH44">
        <v>1.0936600000000001</v>
      </c>
      <c r="CI44" s="332"/>
      <c r="CJ44" s="332"/>
      <c r="CK44" s="332"/>
      <c r="CL44" s="332"/>
      <c r="CM44" s="332"/>
      <c r="CN44" s="332"/>
      <c r="CO44" s="332"/>
      <c r="CP44">
        <v>0.89500000000000002</v>
      </c>
      <c r="CQ44">
        <v>0.9</v>
      </c>
      <c r="CR44">
        <v>0.91</v>
      </c>
      <c r="CS44">
        <v>0.96</v>
      </c>
      <c r="CT44">
        <v>0.99895</v>
      </c>
      <c r="CU44">
        <v>0.48</v>
      </c>
      <c r="CV44">
        <v>0.42</v>
      </c>
      <c r="CW44">
        <v>0.93500000000000005</v>
      </c>
      <c r="CX44">
        <v>0.78500000000000003</v>
      </c>
      <c r="CY44">
        <v>0.57499999999999996</v>
      </c>
      <c r="CZ44">
        <v>0.89500000000000002</v>
      </c>
      <c r="DA44">
        <v>0.92749999999999999</v>
      </c>
      <c r="DB44">
        <v>0.85</v>
      </c>
      <c r="DC44">
        <v>0.90300000000000002</v>
      </c>
      <c r="DD44">
        <v>0.92</v>
      </c>
      <c r="DE44">
        <v>0.89</v>
      </c>
      <c r="DF44">
        <v>0.98499999999999999</v>
      </c>
      <c r="DG44">
        <v>0.99</v>
      </c>
      <c r="DH44">
        <v>0.99</v>
      </c>
      <c r="DI44">
        <v>0.97750000000000004</v>
      </c>
      <c r="DN44" s="332">
        <v>2.8499999999999999E-4</v>
      </c>
      <c r="DO44" s="332">
        <v>2.0000000000000001E-4</v>
      </c>
      <c r="DP44" s="332">
        <v>0</v>
      </c>
      <c r="DQ44" s="332">
        <v>1E-4</v>
      </c>
      <c r="DR44" s="332">
        <v>0</v>
      </c>
      <c r="DS44" s="332">
        <v>3.5999999999999999E-3</v>
      </c>
      <c r="DT44" s="332">
        <v>4.6999999999999999E-4</v>
      </c>
      <c r="DU44" s="332">
        <v>6.9999999999999999E-4</v>
      </c>
      <c r="DV44" s="332">
        <v>0</v>
      </c>
      <c r="DW44" s="332">
        <v>0</v>
      </c>
      <c r="DX44" s="332">
        <v>5.0000000000000001E-4</v>
      </c>
      <c r="DY44" s="332">
        <v>5.0000000000000001E-4</v>
      </c>
      <c r="DZ44" s="332">
        <v>2.9999999999999997E-4</v>
      </c>
      <c r="EA44" s="332">
        <v>2.7500000000000002E-4</v>
      </c>
      <c r="EB44" s="332">
        <v>4.0000000000000002E-4</v>
      </c>
      <c r="ED44" s="332">
        <v>6.4999999999999994E-5</v>
      </c>
      <c r="EF44">
        <v>1</v>
      </c>
    </row>
    <row r="45" spans="1:136" x14ac:dyDescent="0.25">
      <c r="A45" s="66">
        <v>37742</v>
      </c>
      <c r="B45">
        <v>0.98</v>
      </c>
      <c r="C45">
        <v>0.98799999999999999</v>
      </c>
      <c r="D45">
        <v>0.97499999999999998</v>
      </c>
      <c r="E45">
        <f t="shared" ref="E45:E50" si="3">E33</f>
        <v>0.97799999999999998</v>
      </c>
      <c r="F45">
        <v>0.97699999999999998</v>
      </c>
      <c r="G45">
        <v>0.67585200000000001</v>
      </c>
      <c r="H45">
        <v>0.94517905999999996</v>
      </c>
      <c r="I45">
        <v>0.97852424999999998</v>
      </c>
      <c r="J45">
        <v>0.88262249999999998</v>
      </c>
      <c r="K45">
        <v>0.98499999999999999</v>
      </c>
      <c r="L45" s="333">
        <v>0.98750000000000004</v>
      </c>
      <c r="M45" s="333">
        <v>0.98750000000000004</v>
      </c>
      <c r="N45">
        <v>0.98</v>
      </c>
      <c r="O45">
        <v>0.95272199999999996</v>
      </c>
      <c r="P45">
        <v>0.98</v>
      </c>
      <c r="Q45" s="328">
        <v>0.98750000000000004</v>
      </c>
      <c r="R45">
        <v>0.98750000000000004</v>
      </c>
      <c r="S45" s="333">
        <v>0.98750000000000004</v>
      </c>
      <c r="T45">
        <v>0.98</v>
      </c>
      <c r="U45">
        <v>0.98</v>
      </c>
      <c r="V45">
        <v>0.98</v>
      </c>
      <c r="W45">
        <v>0.98</v>
      </c>
      <c r="X45">
        <v>0.95272199999999996</v>
      </c>
      <c r="Y45">
        <v>0.95272199999999996</v>
      </c>
      <c r="Z45">
        <v>0.95272199999999996</v>
      </c>
      <c r="AA45">
        <v>0.95272199999999996</v>
      </c>
      <c r="AB45">
        <v>0.98</v>
      </c>
      <c r="AC45">
        <v>0.98</v>
      </c>
      <c r="AD45">
        <v>0.95272199999999996</v>
      </c>
      <c r="AE45">
        <v>0.95272199999999996</v>
      </c>
      <c r="AF45">
        <v>0.98</v>
      </c>
      <c r="AG45">
        <v>0.99</v>
      </c>
      <c r="AH45">
        <v>0.97341524999999995</v>
      </c>
      <c r="AI45">
        <v>0.97341524999999995</v>
      </c>
      <c r="AJ45">
        <v>0.98</v>
      </c>
      <c r="AK45">
        <v>1</v>
      </c>
      <c r="AL45">
        <v>0.98499999999999999</v>
      </c>
      <c r="AM45">
        <v>0.98499999999999999</v>
      </c>
      <c r="AN45" s="328">
        <v>0.99580000000000002</v>
      </c>
      <c r="AO45" s="328">
        <v>0.99</v>
      </c>
      <c r="AP45" s="328">
        <v>0.99</v>
      </c>
      <c r="AQ45">
        <v>0.98499999999999999</v>
      </c>
      <c r="AR45">
        <v>0.97341524999999995</v>
      </c>
      <c r="AS45">
        <v>0.97699999999999998</v>
      </c>
      <c r="AT45" s="328">
        <v>0.97750000000000004</v>
      </c>
      <c r="AU45">
        <v>0.97341524999999995</v>
      </c>
      <c r="AV45">
        <v>0.98499999999999999</v>
      </c>
      <c r="AW45">
        <v>0.98499999999999999</v>
      </c>
      <c r="AX45">
        <v>0.98499999999999999</v>
      </c>
      <c r="AY45">
        <v>0.97341524999999995</v>
      </c>
      <c r="AZ45">
        <v>0.97341524999999995</v>
      </c>
      <c r="BA45">
        <v>0.98499999999999999</v>
      </c>
      <c r="BB45" s="446">
        <v>1</v>
      </c>
      <c r="BC45">
        <v>1</v>
      </c>
      <c r="BD45">
        <v>1</v>
      </c>
      <c r="BE45">
        <v>1</v>
      </c>
      <c r="BF45">
        <v>0.99990000000000001</v>
      </c>
      <c r="BG45">
        <v>1</v>
      </c>
      <c r="BH45">
        <v>1</v>
      </c>
      <c r="BI45">
        <v>0.99</v>
      </c>
      <c r="BJ45">
        <v>0.999</v>
      </c>
      <c r="BK45">
        <v>0.998</v>
      </c>
      <c r="BL45">
        <v>0.99850000000000005</v>
      </c>
      <c r="BM45">
        <v>0.99850000000000005</v>
      </c>
      <c r="BN45">
        <v>0.97199999999999998</v>
      </c>
      <c r="BO45">
        <v>0.99990000000000001</v>
      </c>
      <c r="BP45">
        <v>0.99990000000000001</v>
      </c>
      <c r="BQ45">
        <v>1</v>
      </c>
      <c r="BR45">
        <v>1.0752626000000001</v>
      </c>
      <c r="BS45">
        <v>1.097</v>
      </c>
      <c r="BT45">
        <v>1.0827</v>
      </c>
      <c r="BU45">
        <v>1.0087999999999999</v>
      </c>
      <c r="BV45">
        <v>1</v>
      </c>
      <c r="BW45">
        <v>1.9878</v>
      </c>
      <c r="BX45">
        <v>2.2504263330000001</v>
      </c>
      <c r="BY45">
        <v>1.0465500000000001</v>
      </c>
      <c r="BZ45">
        <v>1.2885</v>
      </c>
      <c r="CA45">
        <v>2.0009999999999999</v>
      </c>
      <c r="CB45">
        <v>1.484505</v>
      </c>
      <c r="CC45">
        <v>1.484505</v>
      </c>
      <c r="CD45">
        <v>1.244205</v>
      </c>
      <c r="CE45">
        <v>1.0585800000000001</v>
      </c>
      <c r="CF45">
        <v>1.401805</v>
      </c>
      <c r="CG45" s="332"/>
      <c r="CH45">
        <v>1.0937250000000001</v>
      </c>
      <c r="CI45" s="332"/>
      <c r="CJ45" s="332"/>
      <c r="CK45" s="332"/>
      <c r="CL45" s="332"/>
      <c r="CM45" s="332"/>
      <c r="CN45" s="332"/>
      <c r="CO45" s="332"/>
      <c r="CP45">
        <v>0.96499999999999997</v>
      </c>
      <c r="CQ45">
        <v>0.91</v>
      </c>
      <c r="CR45">
        <v>0.91</v>
      </c>
      <c r="CS45">
        <v>0.97</v>
      </c>
      <c r="CT45">
        <v>0.99895</v>
      </c>
      <c r="CU45">
        <v>0.34</v>
      </c>
      <c r="CV45">
        <v>0.42</v>
      </c>
      <c r="CW45">
        <v>0.93500000000000005</v>
      </c>
      <c r="CX45">
        <v>0.68500000000000005</v>
      </c>
      <c r="CY45">
        <v>0.625</v>
      </c>
      <c r="CZ45">
        <v>0.91749999999999998</v>
      </c>
      <c r="DA45">
        <v>0.95</v>
      </c>
      <c r="DB45">
        <v>0.88</v>
      </c>
      <c r="DC45">
        <v>0.9</v>
      </c>
      <c r="DD45">
        <v>0.93500000000000005</v>
      </c>
      <c r="DE45">
        <v>0.89</v>
      </c>
      <c r="DF45">
        <v>0.98499999999999999</v>
      </c>
      <c r="DG45">
        <v>0.99</v>
      </c>
      <c r="DH45">
        <v>0.99</v>
      </c>
      <c r="DI45">
        <v>0.97750000000000004</v>
      </c>
      <c r="DN45" s="332">
        <v>2.8499999999999999E-4</v>
      </c>
      <c r="DO45" s="332">
        <v>2.0000000000000001E-4</v>
      </c>
      <c r="DP45" s="332">
        <v>0</v>
      </c>
      <c r="DQ45" s="332">
        <v>1E-4</v>
      </c>
      <c r="DR45" s="332">
        <v>0</v>
      </c>
      <c r="DS45" s="332">
        <v>3.5999999999999999E-3</v>
      </c>
      <c r="DT45" s="332">
        <v>4.6999999999999999E-4</v>
      </c>
      <c r="DU45" s="332">
        <v>6.9999999999999999E-4</v>
      </c>
      <c r="DV45" s="332">
        <v>0</v>
      </c>
      <c r="DW45" s="332">
        <v>0</v>
      </c>
      <c r="DX45" s="332">
        <v>5.0000000000000001E-4</v>
      </c>
      <c r="DY45" s="332">
        <v>5.0000000000000001E-4</v>
      </c>
      <c r="DZ45" s="332">
        <v>2.9999999999999997E-4</v>
      </c>
      <c r="EA45" s="332">
        <v>2.7500000000000002E-4</v>
      </c>
      <c r="EB45" s="332">
        <v>4.0000000000000002E-4</v>
      </c>
      <c r="ED45" s="332">
        <v>6.4999999999999994E-5</v>
      </c>
      <c r="EF45">
        <v>1</v>
      </c>
    </row>
    <row r="46" spans="1:136" x14ac:dyDescent="0.25">
      <c r="A46" s="66">
        <v>37773</v>
      </c>
      <c r="B46">
        <v>0.98</v>
      </c>
      <c r="C46">
        <v>0.98799999999999999</v>
      </c>
      <c r="D46">
        <v>0.97499999999999998</v>
      </c>
      <c r="E46">
        <f t="shared" si="3"/>
        <v>0.97799999999999998</v>
      </c>
      <c r="F46">
        <v>0.97699999999999998</v>
      </c>
      <c r="G46">
        <v>0.67707600000000001</v>
      </c>
      <c r="H46">
        <v>0.98750000000000004</v>
      </c>
      <c r="I46">
        <v>0.97917874999999999</v>
      </c>
      <c r="J46">
        <v>0.76665749999999999</v>
      </c>
      <c r="K46">
        <v>0.98499999999999999</v>
      </c>
      <c r="L46" s="333">
        <v>0.98750000000000004</v>
      </c>
      <c r="M46" s="333">
        <v>0.98750000000000004</v>
      </c>
      <c r="N46">
        <v>0.98</v>
      </c>
      <c r="O46">
        <v>0.95561663799999996</v>
      </c>
      <c r="P46">
        <v>0.98</v>
      </c>
      <c r="Q46" s="328">
        <v>0.98750000000000004</v>
      </c>
      <c r="R46">
        <v>0.98750000000000004</v>
      </c>
      <c r="S46" s="333">
        <v>0.98750000000000004</v>
      </c>
      <c r="T46">
        <v>0.98</v>
      </c>
      <c r="U46">
        <v>0.98</v>
      </c>
      <c r="V46">
        <v>0.98</v>
      </c>
      <c r="W46">
        <v>0.98</v>
      </c>
      <c r="X46">
        <v>0.95561663799999996</v>
      </c>
      <c r="Y46">
        <v>0.95561663799999996</v>
      </c>
      <c r="Z46">
        <v>0.95561663799999996</v>
      </c>
      <c r="AA46">
        <v>0.95561663799999996</v>
      </c>
      <c r="AB46">
        <v>0.98</v>
      </c>
      <c r="AC46">
        <v>0.98</v>
      </c>
      <c r="AD46">
        <v>0.95561663799999996</v>
      </c>
      <c r="AE46">
        <v>0.95561663799999996</v>
      </c>
      <c r="AF46">
        <v>0.98</v>
      </c>
      <c r="AG46">
        <v>0.99</v>
      </c>
      <c r="AH46">
        <v>0.97347309999999998</v>
      </c>
      <c r="AI46">
        <v>0.97347309999999998</v>
      </c>
      <c r="AJ46">
        <v>0.98</v>
      </c>
      <c r="AK46">
        <v>1</v>
      </c>
      <c r="AL46">
        <v>0.98499999999999999</v>
      </c>
      <c r="AM46">
        <v>0.98499999999999999</v>
      </c>
      <c r="AN46" s="328">
        <v>0.99580000000000002</v>
      </c>
      <c r="AO46" s="328">
        <v>0.99</v>
      </c>
      <c r="AP46" s="328">
        <v>0.99</v>
      </c>
      <c r="AQ46">
        <v>0.98499999999999999</v>
      </c>
      <c r="AR46">
        <v>0.97347309999999998</v>
      </c>
      <c r="AS46">
        <v>0.97699999999999998</v>
      </c>
      <c r="AT46" s="328">
        <v>0.97750000000000004</v>
      </c>
      <c r="AU46">
        <v>0.97347309999999998</v>
      </c>
      <c r="AV46">
        <v>0.98499999999999999</v>
      </c>
      <c r="AW46">
        <v>0.98499999999999999</v>
      </c>
      <c r="AX46">
        <v>0.98499999999999999</v>
      </c>
      <c r="AY46">
        <v>0.97347309999999998</v>
      </c>
      <c r="AZ46">
        <v>0.97347309999999998</v>
      </c>
      <c r="BA46">
        <v>0.98499999999999999</v>
      </c>
      <c r="BB46" s="446">
        <v>1</v>
      </c>
      <c r="BC46">
        <v>1</v>
      </c>
      <c r="BD46">
        <v>1</v>
      </c>
      <c r="BE46">
        <v>1</v>
      </c>
      <c r="BF46">
        <v>0.99990000000000001</v>
      </c>
      <c r="BG46">
        <v>1</v>
      </c>
      <c r="BH46">
        <v>1</v>
      </c>
      <c r="BI46">
        <v>0.99</v>
      </c>
      <c r="BJ46">
        <v>0.999</v>
      </c>
      <c r="BK46">
        <v>0.998</v>
      </c>
      <c r="BL46">
        <v>0.99850000000000005</v>
      </c>
      <c r="BM46">
        <v>0.99850000000000005</v>
      </c>
      <c r="BN46">
        <v>0.97199999999999998</v>
      </c>
      <c r="BO46">
        <v>0.99990000000000001</v>
      </c>
      <c r="BP46">
        <v>0.99990000000000001</v>
      </c>
      <c r="BQ46">
        <v>1</v>
      </c>
      <c r="BR46">
        <v>1.0755475999999999</v>
      </c>
      <c r="BS46">
        <v>1.0972</v>
      </c>
      <c r="BT46">
        <v>1.0827</v>
      </c>
      <c r="BU46">
        <v>1.0088999999999999</v>
      </c>
      <c r="BV46">
        <v>1</v>
      </c>
      <c r="BW46">
        <v>1.9914000000000001</v>
      </c>
      <c r="BX46">
        <v>2.250896333</v>
      </c>
      <c r="BY46">
        <v>1.04725</v>
      </c>
      <c r="BZ46">
        <v>1.2885</v>
      </c>
      <c r="CA46">
        <v>2.0009999999999999</v>
      </c>
      <c r="CB46">
        <v>1.4850049999999999</v>
      </c>
      <c r="CC46">
        <v>1.4850049999999999</v>
      </c>
      <c r="CD46">
        <v>1.244505</v>
      </c>
      <c r="CE46">
        <v>1.0588550000000001</v>
      </c>
      <c r="CF46">
        <v>1.4022049999999999</v>
      </c>
      <c r="CG46" s="332"/>
      <c r="CH46">
        <v>1.09379</v>
      </c>
      <c r="CI46" s="332"/>
      <c r="CJ46" s="332"/>
      <c r="CK46" s="332"/>
      <c r="CL46" s="332"/>
      <c r="CM46" s="332"/>
      <c r="CN46" s="332"/>
      <c r="CO46" s="332"/>
      <c r="CP46">
        <v>0.96499999999999997</v>
      </c>
      <c r="CQ46">
        <v>0.91</v>
      </c>
      <c r="CR46">
        <v>0.91</v>
      </c>
      <c r="CS46">
        <v>0.98</v>
      </c>
      <c r="CT46">
        <v>0.99895</v>
      </c>
      <c r="CU46">
        <v>0.34</v>
      </c>
      <c r="CV46">
        <v>0.47</v>
      </c>
      <c r="CW46">
        <v>0.93500000000000005</v>
      </c>
      <c r="CX46">
        <v>0.59499999999999997</v>
      </c>
      <c r="CY46">
        <v>0.72499999999999998</v>
      </c>
      <c r="CZ46">
        <v>0.88249999999999995</v>
      </c>
      <c r="DA46">
        <v>0.91500000000000004</v>
      </c>
      <c r="DB46">
        <v>0.88</v>
      </c>
      <c r="DC46">
        <v>0.90249999999999997</v>
      </c>
      <c r="DD46">
        <v>0.91500000000000004</v>
      </c>
      <c r="DE46">
        <v>0.89</v>
      </c>
      <c r="DF46">
        <v>0.98499999999999999</v>
      </c>
      <c r="DG46">
        <v>0.99</v>
      </c>
      <c r="DH46">
        <v>0.99</v>
      </c>
      <c r="DI46">
        <v>0.97750000000000004</v>
      </c>
      <c r="DN46" s="332">
        <v>2.8499999999999999E-4</v>
      </c>
      <c r="DO46" s="332">
        <v>2.0000000000000001E-4</v>
      </c>
      <c r="DP46" s="332">
        <v>0</v>
      </c>
      <c r="DQ46" s="332">
        <v>1E-4</v>
      </c>
      <c r="DR46" s="332">
        <v>0</v>
      </c>
      <c r="DS46" s="332">
        <v>3.5999999999999999E-3</v>
      </c>
      <c r="DT46" s="332">
        <v>4.6999999999999999E-4</v>
      </c>
      <c r="DU46" s="332">
        <v>6.9999999999999999E-4</v>
      </c>
      <c r="DV46" s="332">
        <v>0</v>
      </c>
      <c r="DW46" s="332">
        <v>0</v>
      </c>
      <c r="DX46" s="332">
        <v>5.0000000000000001E-4</v>
      </c>
      <c r="DY46" s="332">
        <v>5.0000000000000001E-4</v>
      </c>
      <c r="DZ46" s="332">
        <v>2.9999999999999997E-4</v>
      </c>
      <c r="EA46" s="332">
        <v>2.7500000000000002E-4</v>
      </c>
      <c r="EB46" s="332">
        <v>4.0000000000000002E-4</v>
      </c>
      <c r="ED46" s="332">
        <v>6.4999999999999994E-5</v>
      </c>
      <c r="EF46">
        <v>1</v>
      </c>
    </row>
    <row r="47" spans="1:136" x14ac:dyDescent="0.25">
      <c r="A47" s="66">
        <v>37803</v>
      </c>
      <c r="B47">
        <v>0.98</v>
      </c>
      <c r="C47">
        <v>0.98799999999999999</v>
      </c>
      <c r="D47">
        <v>0.97499999999999998</v>
      </c>
      <c r="E47">
        <f t="shared" si="3"/>
        <v>0.97799999999999998</v>
      </c>
      <c r="F47">
        <v>0.97699999999999998</v>
      </c>
      <c r="G47">
        <v>0.81794999999999995</v>
      </c>
      <c r="H47">
        <v>0.98750000000000004</v>
      </c>
      <c r="I47">
        <v>0.97983324999999999</v>
      </c>
      <c r="J47">
        <v>0.79242749999999995</v>
      </c>
      <c r="K47">
        <v>0.98499999999999999</v>
      </c>
      <c r="L47" s="333">
        <v>0.98750000000000004</v>
      </c>
      <c r="M47" s="333">
        <v>0.98750000000000004</v>
      </c>
      <c r="N47">
        <v>0.98</v>
      </c>
      <c r="O47">
        <v>0.96116047500000001</v>
      </c>
      <c r="P47">
        <v>0.98</v>
      </c>
      <c r="Q47" s="328">
        <v>0.98750000000000004</v>
      </c>
      <c r="R47">
        <v>0.98750000000000004</v>
      </c>
      <c r="S47" s="333">
        <v>0.98750000000000004</v>
      </c>
      <c r="T47">
        <v>0.98</v>
      </c>
      <c r="U47">
        <v>0.98</v>
      </c>
      <c r="V47">
        <v>0.98</v>
      </c>
      <c r="W47">
        <v>0.98</v>
      </c>
      <c r="X47">
        <v>0.96116047500000001</v>
      </c>
      <c r="Y47">
        <v>0.96116047500000001</v>
      </c>
      <c r="Z47">
        <v>0.96116047500000001</v>
      </c>
      <c r="AA47">
        <v>0.96116047500000001</v>
      </c>
      <c r="AB47">
        <v>0.98</v>
      </c>
      <c r="AC47">
        <v>0.98</v>
      </c>
      <c r="AD47">
        <v>0.96116047500000001</v>
      </c>
      <c r="AE47">
        <v>0.96116047500000001</v>
      </c>
      <c r="AF47">
        <v>0.98</v>
      </c>
      <c r="AG47">
        <v>0.99</v>
      </c>
      <c r="AH47">
        <v>0.97353095000000001</v>
      </c>
      <c r="AI47">
        <v>0.97353095000000001</v>
      </c>
      <c r="AJ47">
        <v>0.98</v>
      </c>
      <c r="AK47">
        <v>1</v>
      </c>
      <c r="AL47">
        <v>0.98499999999999999</v>
      </c>
      <c r="AM47">
        <v>0.98499999999999999</v>
      </c>
      <c r="AN47" s="328">
        <v>0.99580000000000002</v>
      </c>
      <c r="AO47" s="328">
        <v>0.99</v>
      </c>
      <c r="AP47" s="328">
        <v>0.99</v>
      </c>
      <c r="AQ47">
        <v>0.98499999999999999</v>
      </c>
      <c r="AR47">
        <v>0.97353095000000001</v>
      </c>
      <c r="AS47">
        <v>0.97699999999999998</v>
      </c>
      <c r="AT47" s="328">
        <v>0.97750000000000004</v>
      </c>
      <c r="AU47">
        <v>0.97353095000000001</v>
      </c>
      <c r="AV47">
        <v>0.98499999999999999</v>
      </c>
      <c r="AW47">
        <v>0.98499999999999999</v>
      </c>
      <c r="AX47">
        <v>0.98499999999999999</v>
      </c>
      <c r="AY47">
        <v>0.97353095000000001</v>
      </c>
      <c r="AZ47">
        <v>0.97353095000000001</v>
      </c>
      <c r="BA47">
        <v>0.98499999999999999</v>
      </c>
      <c r="BB47" s="446">
        <v>1</v>
      </c>
      <c r="BC47">
        <v>1</v>
      </c>
      <c r="BD47">
        <v>1</v>
      </c>
      <c r="BE47">
        <v>1</v>
      </c>
      <c r="BF47">
        <v>0.99990000000000001</v>
      </c>
      <c r="BG47">
        <v>1</v>
      </c>
      <c r="BH47">
        <v>1</v>
      </c>
      <c r="BI47">
        <v>0.99</v>
      </c>
      <c r="BJ47">
        <v>0.999</v>
      </c>
      <c r="BK47">
        <v>0.998</v>
      </c>
      <c r="BL47">
        <v>0.99850000000000005</v>
      </c>
      <c r="BM47">
        <v>0.99850000000000005</v>
      </c>
      <c r="BN47">
        <v>0.97199999999999998</v>
      </c>
      <c r="BO47">
        <v>0.99990000000000001</v>
      </c>
      <c r="BP47">
        <v>0.99990000000000001</v>
      </c>
      <c r="BQ47">
        <v>1</v>
      </c>
      <c r="BR47">
        <v>1.0758326</v>
      </c>
      <c r="BS47">
        <v>1.0973999999999999</v>
      </c>
      <c r="BT47">
        <v>1.0827</v>
      </c>
      <c r="BU47">
        <v>1.0089999999999999</v>
      </c>
      <c r="BV47">
        <v>1</v>
      </c>
      <c r="BW47">
        <v>1.9950000000000001</v>
      </c>
      <c r="BX47">
        <v>2.251366333</v>
      </c>
      <c r="BY47">
        <v>1.0479499999999999</v>
      </c>
      <c r="BZ47">
        <v>1.2885</v>
      </c>
      <c r="CA47">
        <v>2.0009999999999999</v>
      </c>
      <c r="CB47">
        <v>1.4855050000000001</v>
      </c>
      <c r="CC47">
        <v>1.4855050000000001</v>
      </c>
      <c r="CD47">
        <v>1.2448049999999999</v>
      </c>
      <c r="CE47">
        <v>1.0591299999999999</v>
      </c>
      <c r="CF47">
        <v>1.4026050000000001</v>
      </c>
      <c r="CG47" s="332"/>
      <c r="CH47">
        <v>1.093855</v>
      </c>
      <c r="CI47" s="332"/>
      <c r="CJ47" s="332"/>
      <c r="CK47" s="332"/>
      <c r="CL47" s="332"/>
      <c r="CM47" s="332"/>
      <c r="CN47" s="332"/>
      <c r="CO47" s="332"/>
      <c r="CP47">
        <v>0.97499999999999998</v>
      </c>
      <c r="CQ47">
        <v>0.91</v>
      </c>
      <c r="CR47">
        <v>0.91</v>
      </c>
      <c r="CS47">
        <v>0.97</v>
      </c>
      <c r="CT47">
        <v>0.99895</v>
      </c>
      <c r="CU47">
        <v>0.41</v>
      </c>
      <c r="CV47">
        <v>0.47</v>
      </c>
      <c r="CW47">
        <v>0.93500000000000005</v>
      </c>
      <c r="CX47">
        <v>0.61499999999999999</v>
      </c>
      <c r="CY47">
        <v>0.72499999999999998</v>
      </c>
      <c r="CZ47">
        <v>0.87749999999999995</v>
      </c>
      <c r="DA47">
        <v>0.91</v>
      </c>
      <c r="DB47">
        <v>0.89</v>
      </c>
      <c r="DC47">
        <v>0.90749999999999997</v>
      </c>
      <c r="DD47">
        <v>0.91500000000000004</v>
      </c>
      <c r="DE47">
        <v>0.89</v>
      </c>
      <c r="DF47">
        <v>0.98499999999999999</v>
      </c>
      <c r="DG47">
        <v>0.99</v>
      </c>
      <c r="DH47">
        <v>0.99</v>
      </c>
      <c r="DI47">
        <v>0.97750000000000004</v>
      </c>
      <c r="DN47" s="332">
        <v>2.8499999999999999E-4</v>
      </c>
      <c r="DO47" s="332">
        <v>2.0000000000000001E-4</v>
      </c>
      <c r="DP47" s="332">
        <v>0</v>
      </c>
      <c r="DQ47" s="332">
        <v>1E-4</v>
      </c>
      <c r="DR47" s="332">
        <v>0</v>
      </c>
      <c r="DS47" s="332">
        <v>3.5999999999999999E-3</v>
      </c>
      <c r="DT47" s="332">
        <v>4.6999999999999999E-4</v>
      </c>
      <c r="DU47" s="332">
        <v>6.9999999999999999E-4</v>
      </c>
      <c r="DV47" s="332">
        <v>0</v>
      </c>
      <c r="DW47" s="332">
        <v>0</v>
      </c>
      <c r="DX47" s="332">
        <v>5.0000000000000001E-4</v>
      </c>
      <c r="DY47" s="332">
        <v>5.0000000000000001E-4</v>
      </c>
      <c r="DZ47" s="332">
        <v>2.9999999999999997E-4</v>
      </c>
      <c r="EA47" s="332">
        <v>2.7500000000000002E-4</v>
      </c>
      <c r="EB47" s="332">
        <v>4.0000000000000002E-4</v>
      </c>
      <c r="ED47" s="332">
        <v>6.4999999999999994E-5</v>
      </c>
      <c r="EF47">
        <v>1</v>
      </c>
    </row>
    <row r="48" spans="1:136" x14ac:dyDescent="0.25">
      <c r="A48" s="66">
        <v>37834</v>
      </c>
      <c r="B48">
        <v>0.98</v>
      </c>
      <c r="C48">
        <v>0.98799999999999999</v>
      </c>
      <c r="D48">
        <v>0.97499999999999998</v>
      </c>
      <c r="E48">
        <f t="shared" si="3"/>
        <v>0.97799999999999998</v>
      </c>
      <c r="F48">
        <v>0.97699999999999998</v>
      </c>
      <c r="G48">
        <v>0.859398</v>
      </c>
      <c r="H48">
        <v>0.98750000000000004</v>
      </c>
      <c r="I48">
        <v>0.97000125000000004</v>
      </c>
      <c r="J48">
        <v>0.90839250000000005</v>
      </c>
      <c r="K48">
        <v>0.98499999999999999</v>
      </c>
      <c r="L48" s="333">
        <v>0.98750000000000004</v>
      </c>
      <c r="M48" s="333">
        <v>0.98750000000000004</v>
      </c>
      <c r="N48">
        <v>0.98</v>
      </c>
      <c r="O48">
        <v>0.98259813799999995</v>
      </c>
      <c r="P48">
        <v>0.98</v>
      </c>
      <c r="Q48" s="328">
        <v>0.98750000000000004</v>
      </c>
      <c r="R48">
        <v>0.98750000000000004</v>
      </c>
      <c r="S48" s="333">
        <v>0.98750000000000004</v>
      </c>
      <c r="T48">
        <v>0.98</v>
      </c>
      <c r="U48">
        <v>0.98</v>
      </c>
      <c r="V48">
        <v>0.98</v>
      </c>
      <c r="W48">
        <v>0.98</v>
      </c>
      <c r="X48">
        <v>0.98259813799999995</v>
      </c>
      <c r="Y48">
        <v>0.98259813799999995</v>
      </c>
      <c r="Z48">
        <v>0.98259813799999995</v>
      </c>
      <c r="AA48">
        <v>0.98259813799999995</v>
      </c>
      <c r="AB48">
        <v>0.98</v>
      </c>
      <c r="AC48">
        <v>0.98</v>
      </c>
      <c r="AD48">
        <v>0.98259813799999995</v>
      </c>
      <c r="AE48">
        <v>0.98259813799999995</v>
      </c>
      <c r="AF48">
        <v>0.98</v>
      </c>
      <c r="AG48">
        <v>0.99</v>
      </c>
      <c r="AH48">
        <v>0.97358880000000003</v>
      </c>
      <c r="AI48">
        <v>0.97358880000000003</v>
      </c>
      <c r="AJ48">
        <v>0.98</v>
      </c>
      <c r="AK48">
        <v>1</v>
      </c>
      <c r="AL48">
        <v>0.98499999999999999</v>
      </c>
      <c r="AM48">
        <v>0.98499999999999999</v>
      </c>
      <c r="AN48" s="328">
        <v>0.99580000000000002</v>
      </c>
      <c r="AO48" s="328">
        <v>0.99</v>
      </c>
      <c r="AP48" s="328">
        <v>0.99</v>
      </c>
      <c r="AQ48">
        <v>0.98499999999999999</v>
      </c>
      <c r="AR48">
        <v>0.97358880000000003</v>
      </c>
      <c r="AS48">
        <v>0.97699999999999998</v>
      </c>
      <c r="AT48" s="328">
        <v>0.97750000000000004</v>
      </c>
      <c r="AU48">
        <v>0.97358880000000003</v>
      </c>
      <c r="AV48">
        <v>0.98499999999999999</v>
      </c>
      <c r="AW48">
        <v>0.98499999999999999</v>
      </c>
      <c r="AX48">
        <v>0.98499999999999999</v>
      </c>
      <c r="AY48">
        <v>0.97358880000000003</v>
      </c>
      <c r="AZ48">
        <v>0.97358880000000003</v>
      </c>
      <c r="BA48">
        <v>0.98499999999999999</v>
      </c>
      <c r="BB48" s="446">
        <v>1</v>
      </c>
      <c r="BC48">
        <v>1</v>
      </c>
      <c r="BD48">
        <v>1</v>
      </c>
      <c r="BE48">
        <v>1</v>
      </c>
      <c r="BF48">
        <v>0.99990000000000001</v>
      </c>
      <c r="BG48">
        <v>1</v>
      </c>
      <c r="BH48">
        <v>1</v>
      </c>
      <c r="BI48">
        <v>0.99</v>
      </c>
      <c r="BJ48">
        <v>0.999</v>
      </c>
      <c r="BK48">
        <v>0.998</v>
      </c>
      <c r="BL48">
        <v>0.99850000000000005</v>
      </c>
      <c r="BM48">
        <v>0.99850000000000005</v>
      </c>
      <c r="BN48">
        <v>0.97199999999999998</v>
      </c>
      <c r="BO48">
        <v>0.99990000000000001</v>
      </c>
      <c r="BP48">
        <v>0.99990000000000001</v>
      </c>
      <c r="BQ48">
        <v>1</v>
      </c>
      <c r="BR48">
        <v>1.0761175999999999</v>
      </c>
      <c r="BS48">
        <v>1.0975999999999999</v>
      </c>
      <c r="BT48">
        <v>1.0827</v>
      </c>
      <c r="BU48">
        <v>1.0091000000000001</v>
      </c>
      <c r="BV48">
        <v>1</v>
      </c>
      <c r="BW48">
        <v>1.9985999999999999</v>
      </c>
      <c r="BX48">
        <v>2.251836333</v>
      </c>
      <c r="BY48">
        <v>1.0486500000000001</v>
      </c>
      <c r="BZ48">
        <v>1.2885</v>
      </c>
      <c r="CA48">
        <v>2.0009999999999999</v>
      </c>
      <c r="CB48">
        <v>1.486005</v>
      </c>
      <c r="CC48">
        <v>1.486005</v>
      </c>
      <c r="CD48">
        <v>1.2451049999999999</v>
      </c>
      <c r="CE48">
        <v>1.0594049999999999</v>
      </c>
      <c r="CF48">
        <v>1.4030050000000001</v>
      </c>
      <c r="CG48" s="332"/>
      <c r="CH48">
        <v>1.09392</v>
      </c>
      <c r="CI48" s="332"/>
      <c r="CJ48" s="332"/>
      <c r="CK48" s="332"/>
      <c r="CL48" s="332"/>
      <c r="CM48" s="332"/>
      <c r="CN48" s="332"/>
      <c r="CO48" s="332"/>
      <c r="CP48">
        <v>0.97499999999999998</v>
      </c>
      <c r="CQ48">
        <v>0.91</v>
      </c>
      <c r="CR48">
        <v>0.91</v>
      </c>
      <c r="CS48">
        <v>0.97</v>
      </c>
      <c r="CT48">
        <v>0.99895</v>
      </c>
      <c r="CU48">
        <v>0.43</v>
      </c>
      <c r="CV48">
        <v>0.52</v>
      </c>
      <c r="CW48">
        <v>0.92500000000000004</v>
      </c>
      <c r="CX48">
        <v>0.70499999999999996</v>
      </c>
      <c r="CY48">
        <v>0.72499999999999998</v>
      </c>
      <c r="CZ48">
        <v>0.89</v>
      </c>
      <c r="DA48">
        <v>0.92249999999999999</v>
      </c>
      <c r="DB48">
        <v>0.91500000000000004</v>
      </c>
      <c r="DC48">
        <v>0.92749999999999999</v>
      </c>
      <c r="DD48">
        <v>0.91500000000000004</v>
      </c>
      <c r="DE48">
        <v>0.89</v>
      </c>
      <c r="DF48">
        <v>0.98499999999999999</v>
      </c>
      <c r="DG48">
        <v>0.99</v>
      </c>
      <c r="DH48">
        <v>0.99</v>
      </c>
      <c r="DI48">
        <v>0.97750000000000004</v>
      </c>
      <c r="DN48" s="332">
        <v>2.8499999999999999E-4</v>
      </c>
      <c r="DO48" s="332">
        <v>2.0000000000000001E-4</v>
      </c>
      <c r="DP48" s="332">
        <v>0</v>
      </c>
      <c r="DQ48" s="332">
        <v>1E-4</v>
      </c>
      <c r="DR48" s="332">
        <v>0</v>
      </c>
      <c r="DS48" s="332">
        <v>3.5999999999999999E-3</v>
      </c>
      <c r="DT48" s="332">
        <v>4.6999999999999999E-4</v>
      </c>
      <c r="DU48" s="332">
        <v>6.9999999999999999E-4</v>
      </c>
      <c r="DV48" s="332">
        <v>0</v>
      </c>
      <c r="DW48" s="332">
        <v>0</v>
      </c>
      <c r="DX48" s="332">
        <v>5.0000000000000001E-4</v>
      </c>
      <c r="DY48" s="332">
        <v>5.0000000000000001E-4</v>
      </c>
      <c r="DZ48" s="332">
        <v>2.9999999999999997E-4</v>
      </c>
      <c r="EA48" s="332">
        <v>2.7500000000000002E-4</v>
      </c>
      <c r="EB48" s="332">
        <v>4.0000000000000002E-4</v>
      </c>
      <c r="ED48" s="332">
        <v>6.4999999999999994E-5</v>
      </c>
      <c r="EF48">
        <v>1</v>
      </c>
    </row>
    <row r="49" spans="1:136" x14ac:dyDescent="0.25">
      <c r="A49" s="66">
        <v>37865</v>
      </c>
      <c r="B49">
        <v>0.98</v>
      </c>
      <c r="C49">
        <v>0.98799999999999999</v>
      </c>
      <c r="D49">
        <v>0.97499999999999998</v>
      </c>
      <c r="E49">
        <f t="shared" si="3"/>
        <v>0.97799999999999998</v>
      </c>
      <c r="F49">
        <v>0.97699999999999998</v>
      </c>
      <c r="G49">
        <v>0.92101200000000005</v>
      </c>
      <c r="H49">
        <v>0.98750000000000004</v>
      </c>
      <c r="I49">
        <v>0.97064874999999995</v>
      </c>
      <c r="J49">
        <v>0.7280025</v>
      </c>
      <c r="K49">
        <v>0.98499999999999999</v>
      </c>
      <c r="L49" s="333">
        <v>0.98750000000000004</v>
      </c>
      <c r="M49" s="333">
        <v>0.98750000000000004</v>
      </c>
      <c r="N49">
        <v>0.98</v>
      </c>
      <c r="O49">
        <v>0.97490560000000004</v>
      </c>
      <c r="P49">
        <v>0.98</v>
      </c>
      <c r="Q49" s="328">
        <v>0.98750000000000004</v>
      </c>
      <c r="R49">
        <v>0.98750000000000004</v>
      </c>
      <c r="S49" s="333">
        <v>0.98750000000000004</v>
      </c>
      <c r="T49">
        <v>0.98</v>
      </c>
      <c r="U49">
        <v>0.98</v>
      </c>
      <c r="V49">
        <v>0.98</v>
      </c>
      <c r="W49">
        <v>0.98</v>
      </c>
      <c r="X49">
        <v>0.97490560000000004</v>
      </c>
      <c r="Y49">
        <v>0.97490560000000004</v>
      </c>
      <c r="Z49">
        <v>0.97490560000000004</v>
      </c>
      <c r="AA49">
        <v>0.97490560000000004</v>
      </c>
      <c r="AB49">
        <v>0.98</v>
      </c>
      <c r="AC49">
        <v>0.98</v>
      </c>
      <c r="AD49">
        <v>0.97490560000000004</v>
      </c>
      <c r="AE49">
        <v>0.97490560000000004</v>
      </c>
      <c r="AF49">
        <v>0.98</v>
      </c>
      <c r="AG49">
        <v>0.99</v>
      </c>
      <c r="AH49">
        <v>0.97364664999999995</v>
      </c>
      <c r="AI49">
        <v>0.97364664999999995</v>
      </c>
      <c r="AJ49">
        <v>0.98</v>
      </c>
      <c r="AK49">
        <v>1</v>
      </c>
      <c r="AL49">
        <v>0.98499999999999999</v>
      </c>
      <c r="AM49">
        <v>0.98499999999999999</v>
      </c>
      <c r="AN49" s="328">
        <v>0.99580000000000002</v>
      </c>
      <c r="AO49" s="328">
        <v>0.99</v>
      </c>
      <c r="AP49" s="328">
        <v>0.99</v>
      </c>
      <c r="AQ49">
        <v>0.98499999999999999</v>
      </c>
      <c r="AR49">
        <v>0.97364664999999995</v>
      </c>
      <c r="AS49">
        <v>0.97699999999999998</v>
      </c>
      <c r="AT49" s="328">
        <v>0.97750000000000004</v>
      </c>
      <c r="AU49">
        <v>0.97364664999999995</v>
      </c>
      <c r="AV49">
        <v>0.98499999999999999</v>
      </c>
      <c r="AW49">
        <v>0.98499999999999999</v>
      </c>
      <c r="AX49">
        <v>0.98499999999999999</v>
      </c>
      <c r="AY49">
        <v>0.97364664999999995</v>
      </c>
      <c r="AZ49">
        <v>0.97364664999999995</v>
      </c>
      <c r="BA49">
        <v>0.98499999999999999</v>
      </c>
      <c r="BB49" s="446">
        <v>1</v>
      </c>
      <c r="BC49">
        <v>1</v>
      </c>
      <c r="BD49">
        <v>1</v>
      </c>
      <c r="BE49">
        <v>1</v>
      </c>
      <c r="BF49">
        <v>0.99990000000000001</v>
      </c>
      <c r="BG49">
        <v>1</v>
      </c>
      <c r="BH49">
        <v>1</v>
      </c>
      <c r="BI49">
        <v>0.99</v>
      </c>
      <c r="BJ49">
        <v>0.999</v>
      </c>
      <c r="BK49">
        <v>0.998</v>
      </c>
      <c r="BL49">
        <v>0.99850000000000005</v>
      </c>
      <c r="BM49">
        <v>0.99850000000000005</v>
      </c>
      <c r="BN49">
        <v>0.97199999999999998</v>
      </c>
      <c r="BO49">
        <v>0.99990000000000001</v>
      </c>
      <c r="BP49">
        <v>0.99990000000000001</v>
      </c>
      <c r="BQ49">
        <v>1</v>
      </c>
      <c r="BR49">
        <v>1.0764026</v>
      </c>
      <c r="BS49">
        <v>1.0978000000000001</v>
      </c>
      <c r="BT49">
        <v>1.0827</v>
      </c>
      <c r="BU49">
        <v>1.0092000000000001</v>
      </c>
      <c r="BV49">
        <v>1</v>
      </c>
      <c r="BW49">
        <v>2.0022000000000002</v>
      </c>
      <c r="BX49">
        <v>2.2523063329999999</v>
      </c>
      <c r="BY49">
        <v>1.04935</v>
      </c>
      <c r="BZ49">
        <v>1.2885</v>
      </c>
      <c r="CA49">
        <v>2.0009999999999999</v>
      </c>
      <c r="CB49">
        <v>1.486505</v>
      </c>
      <c r="CC49">
        <v>1.486505</v>
      </c>
      <c r="CD49">
        <v>1.2454050000000001</v>
      </c>
      <c r="CE49">
        <v>1.05968</v>
      </c>
      <c r="CF49">
        <v>1.403405</v>
      </c>
      <c r="CG49" s="332"/>
      <c r="CH49">
        <v>1.093985</v>
      </c>
      <c r="CI49" s="332"/>
      <c r="CJ49" s="332"/>
      <c r="CK49" s="332"/>
      <c r="CL49" s="332"/>
      <c r="CM49" s="332"/>
      <c r="CN49" s="332"/>
      <c r="CO49" s="332"/>
      <c r="CP49">
        <v>0.97499999999999998</v>
      </c>
      <c r="CQ49">
        <v>0.91</v>
      </c>
      <c r="CR49">
        <v>0.91</v>
      </c>
      <c r="CS49">
        <v>0.95</v>
      </c>
      <c r="CT49">
        <v>0.99895</v>
      </c>
      <c r="CU49">
        <v>0.46</v>
      </c>
      <c r="CV49">
        <v>0.55000000000000004</v>
      </c>
      <c r="CW49">
        <v>0.92500000000000004</v>
      </c>
      <c r="CX49">
        <v>0.56499999999999995</v>
      </c>
      <c r="CY49">
        <v>0.57499999999999996</v>
      </c>
      <c r="CZ49">
        <v>0.94499999999999995</v>
      </c>
      <c r="DA49">
        <v>0.97750000000000004</v>
      </c>
      <c r="DB49">
        <v>0.94499999999999995</v>
      </c>
      <c r="DC49">
        <v>0.92</v>
      </c>
      <c r="DD49">
        <v>0.91500000000000004</v>
      </c>
      <c r="DE49">
        <v>0.89</v>
      </c>
      <c r="DF49">
        <v>0.98499999999999999</v>
      </c>
      <c r="DG49">
        <v>0.99</v>
      </c>
      <c r="DH49">
        <v>0.99</v>
      </c>
      <c r="DI49">
        <v>0.97750000000000004</v>
      </c>
      <c r="DN49" s="332">
        <v>2.8499999999999999E-4</v>
      </c>
      <c r="DO49" s="332">
        <v>2.0000000000000001E-4</v>
      </c>
      <c r="DP49" s="332">
        <v>0</v>
      </c>
      <c r="DQ49" s="332">
        <v>1E-4</v>
      </c>
      <c r="DR49" s="332">
        <v>0</v>
      </c>
      <c r="DS49" s="332">
        <v>3.5999999999999999E-3</v>
      </c>
      <c r="DT49" s="332">
        <v>4.6999999999999999E-4</v>
      </c>
      <c r="DU49" s="332">
        <v>6.9999999999999999E-4</v>
      </c>
      <c r="DV49" s="332">
        <v>0</v>
      </c>
      <c r="DW49" s="332">
        <v>0</v>
      </c>
      <c r="DX49" s="332">
        <v>5.0000000000000001E-4</v>
      </c>
      <c r="DY49" s="332">
        <v>5.0000000000000001E-4</v>
      </c>
      <c r="DZ49" s="332">
        <v>2.9999999999999997E-4</v>
      </c>
      <c r="EA49" s="332">
        <v>2.7500000000000002E-4</v>
      </c>
      <c r="EB49" s="332">
        <v>4.0000000000000002E-4</v>
      </c>
      <c r="ED49" s="332">
        <v>6.4999999999999994E-5</v>
      </c>
      <c r="EF49">
        <v>1</v>
      </c>
    </row>
    <row r="50" spans="1:136" x14ac:dyDescent="0.25">
      <c r="A50" s="66">
        <v>37895</v>
      </c>
      <c r="B50">
        <v>0.98</v>
      </c>
      <c r="C50">
        <v>0.98799999999999999</v>
      </c>
      <c r="D50">
        <v>0.97499999999999998</v>
      </c>
      <c r="E50">
        <f t="shared" si="3"/>
        <v>0.97799999999999998</v>
      </c>
      <c r="F50">
        <v>0.97699999999999998</v>
      </c>
      <c r="G50">
        <v>0.92266800000000004</v>
      </c>
      <c r="H50">
        <v>0.98750000000000004</v>
      </c>
      <c r="I50">
        <v>0.97129624999999997</v>
      </c>
      <c r="J50">
        <v>0.71511749999999996</v>
      </c>
      <c r="K50">
        <v>0.98499999999999999</v>
      </c>
      <c r="L50" s="333">
        <v>0.98750000000000004</v>
      </c>
      <c r="M50" s="333">
        <v>0.98750000000000004</v>
      </c>
      <c r="N50">
        <v>0.98</v>
      </c>
      <c r="O50">
        <v>0.95660938799999995</v>
      </c>
      <c r="P50">
        <v>0.98</v>
      </c>
      <c r="Q50" s="328">
        <v>0.98750000000000004</v>
      </c>
      <c r="R50">
        <v>0.98750000000000004</v>
      </c>
      <c r="S50" s="333">
        <v>0.98750000000000004</v>
      </c>
      <c r="T50">
        <v>0.98</v>
      </c>
      <c r="U50">
        <v>0.98</v>
      </c>
      <c r="V50">
        <v>0.98</v>
      </c>
      <c r="W50">
        <v>0.98</v>
      </c>
      <c r="X50">
        <v>0.95660938799999995</v>
      </c>
      <c r="Y50">
        <v>0.95660938799999995</v>
      </c>
      <c r="Z50">
        <v>0.95660938799999995</v>
      </c>
      <c r="AA50">
        <v>0.95660938799999995</v>
      </c>
      <c r="AB50">
        <v>0.98</v>
      </c>
      <c r="AC50">
        <v>0.98</v>
      </c>
      <c r="AD50">
        <v>0.95660938799999995</v>
      </c>
      <c r="AE50">
        <v>0.95660938799999995</v>
      </c>
      <c r="AF50">
        <v>0.98</v>
      </c>
      <c r="AG50">
        <v>0.99</v>
      </c>
      <c r="AH50">
        <v>0.97370449999999997</v>
      </c>
      <c r="AI50">
        <v>0.97370449999999997</v>
      </c>
      <c r="AJ50">
        <v>0.98</v>
      </c>
      <c r="AK50">
        <v>1</v>
      </c>
      <c r="AL50">
        <v>0.98499999999999999</v>
      </c>
      <c r="AM50">
        <v>0.98499999999999999</v>
      </c>
      <c r="AN50" s="328">
        <v>0.99580000000000002</v>
      </c>
      <c r="AO50" s="328">
        <v>0.98</v>
      </c>
      <c r="AP50" s="328">
        <v>0.99</v>
      </c>
      <c r="AQ50">
        <v>0.98499999999999999</v>
      </c>
      <c r="AR50">
        <v>0.97370449999999997</v>
      </c>
      <c r="AS50">
        <v>0.97699999999999998</v>
      </c>
      <c r="AT50" s="328">
        <v>0.97750000000000004</v>
      </c>
      <c r="AU50">
        <v>0.97370449999999997</v>
      </c>
      <c r="AV50">
        <v>0.98499999999999999</v>
      </c>
      <c r="AW50">
        <v>0.98499999999999999</v>
      </c>
      <c r="AX50">
        <v>0.98499999999999999</v>
      </c>
      <c r="AY50">
        <v>0.97370449999999997</v>
      </c>
      <c r="AZ50">
        <v>0.97370449999999997</v>
      </c>
      <c r="BA50">
        <v>0.98499999999999999</v>
      </c>
      <c r="BB50" s="446">
        <v>1</v>
      </c>
      <c r="BC50">
        <v>1</v>
      </c>
      <c r="BD50">
        <v>1</v>
      </c>
      <c r="BE50">
        <v>1</v>
      </c>
      <c r="BF50">
        <v>0.99990000000000001</v>
      </c>
      <c r="BG50">
        <v>1</v>
      </c>
      <c r="BH50">
        <v>1</v>
      </c>
      <c r="BI50">
        <v>0.99</v>
      </c>
      <c r="BJ50">
        <v>0.999</v>
      </c>
      <c r="BK50">
        <v>0.998</v>
      </c>
      <c r="BL50">
        <v>0.99850000000000005</v>
      </c>
      <c r="BM50">
        <v>0.99850000000000005</v>
      </c>
      <c r="BN50">
        <v>0.97199999999999998</v>
      </c>
      <c r="BO50">
        <v>0.99990000000000001</v>
      </c>
      <c r="BP50">
        <v>0.99990000000000001</v>
      </c>
      <c r="BQ50">
        <v>1</v>
      </c>
      <c r="BR50">
        <v>1.0766876000000001</v>
      </c>
      <c r="BS50">
        <v>1.0980000000000001</v>
      </c>
      <c r="BT50">
        <v>1.0827</v>
      </c>
      <c r="BU50">
        <v>1.0093000000000001</v>
      </c>
      <c r="BV50">
        <v>1</v>
      </c>
      <c r="BW50">
        <v>2.0057999999999998</v>
      </c>
      <c r="BX50">
        <v>2.2527763329999999</v>
      </c>
      <c r="BY50">
        <v>1.0500499999999999</v>
      </c>
      <c r="BZ50">
        <v>1.2885</v>
      </c>
      <c r="CA50">
        <v>2.0009999999999999</v>
      </c>
      <c r="CB50">
        <v>1.4870049999999999</v>
      </c>
      <c r="CC50">
        <v>1.4870049999999999</v>
      </c>
      <c r="CD50">
        <v>1.2457050000000001</v>
      </c>
      <c r="CE50">
        <v>1.059955</v>
      </c>
      <c r="CF50">
        <v>1.403805</v>
      </c>
      <c r="CG50" s="332"/>
      <c r="CH50">
        <v>1.09405</v>
      </c>
      <c r="CI50" s="332"/>
      <c r="CJ50" s="332"/>
      <c r="CK50" s="332"/>
      <c r="CL50" s="332"/>
      <c r="CM50" s="332"/>
      <c r="CN50" s="332"/>
      <c r="CO50" s="332"/>
      <c r="CP50">
        <v>0.95499999999999996</v>
      </c>
      <c r="CQ50">
        <v>0.9</v>
      </c>
      <c r="CR50">
        <v>0.91</v>
      </c>
      <c r="CS50">
        <v>0.94</v>
      </c>
      <c r="CT50">
        <v>0.99895</v>
      </c>
      <c r="CU50">
        <v>0.46</v>
      </c>
      <c r="CV50">
        <v>0.45</v>
      </c>
      <c r="CW50">
        <v>0.92500000000000004</v>
      </c>
      <c r="CX50">
        <v>0.55500000000000005</v>
      </c>
      <c r="CY50">
        <v>0.505</v>
      </c>
      <c r="CZ50">
        <v>0.80500000000000005</v>
      </c>
      <c r="DA50">
        <v>0.83750000000000002</v>
      </c>
      <c r="DB50">
        <v>0.875</v>
      </c>
      <c r="DC50">
        <v>0.90249999999999997</v>
      </c>
      <c r="DD50">
        <v>0.82</v>
      </c>
      <c r="DE50">
        <v>0.89</v>
      </c>
      <c r="DF50">
        <v>0.98499999999999999</v>
      </c>
      <c r="DG50">
        <v>0.98</v>
      </c>
      <c r="DH50">
        <v>0.99</v>
      </c>
      <c r="DI50">
        <v>0.97750000000000004</v>
      </c>
      <c r="DN50" s="332">
        <v>2.8499999999999999E-4</v>
      </c>
      <c r="DO50" s="332">
        <v>2.0000000000000001E-4</v>
      </c>
      <c r="DP50" s="332">
        <v>0</v>
      </c>
      <c r="DQ50" s="332">
        <v>1E-4</v>
      </c>
      <c r="DR50" s="332">
        <v>0</v>
      </c>
      <c r="DS50" s="332">
        <v>3.5999999999999999E-3</v>
      </c>
      <c r="DT50" s="332">
        <v>4.6999999999999999E-4</v>
      </c>
      <c r="DU50" s="332">
        <v>6.9999999999999999E-4</v>
      </c>
      <c r="DV50" s="332">
        <v>0</v>
      </c>
      <c r="DW50" s="332">
        <v>0</v>
      </c>
      <c r="DX50" s="332">
        <v>5.0000000000000001E-4</v>
      </c>
      <c r="DY50" s="332">
        <v>5.0000000000000001E-4</v>
      </c>
      <c r="DZ50" s="332">
        <v>2.9999999999999997E-4</v>
      </c>
      <c r="EA50" s="332">
        <v>2.7500000000000002E-4</v>
      </c>
      <c r="EB50" s="332">
        <v>4.0000000000000002E-4</v>
      </c>
      <c r="ED50" s="332">
        <v>6.4999999999999994E-5</v>
      </c>
      <c r="EF50">
        <v>1</v>
      </c>
    </row>
    <row r="51" spans="1:136" x14ac:dyDescent="0.25">
      <c r="A51" s="66">
        <v>37926</v>
      </c>
      <c r="B51">
        <v>0.98</v>
      </c>
      <c r="C51">
        <v>0.98799999999999999</v>
      </c>
      <c r="D51">
        <v>0.96499999999999997</v>
      </c>
      <c r="E51">
        <f t="shared" ref="E51:E56" si="4">E39</f>
        <v>0.99399999999999999</v>
      </c>
      <c r="F51">
        <v>0.97699999999999998</v>
      </c>
      <c r="G51">
        <v>0.96451200000000004</v>
      </c>
      <c r="H51">
        <v>0.98750000000000004</v>
      </c>
      <c r="I51">
        <v>0.95092874999999999</v>
      </c>
      <c r="J51">
        <v>0.66357750000000004</v>
      </c>
      <c r="K51">
        <v>0.97048500000000004</v>
      </c>
      <c r="L51" s="333">
        <v>0.98750000000000004</v>
      </c>
      <c r="M51" s="333">
        <v>0.98750000000000004</v>
      </c>
      <c r="N51">
        <v>0.98</v>
      </c>
      <c r="O51">
        <v>0.95685757500000002</v>
      </c>
      <c r="P51">
        <v>0.98</v>
      </c>
      <c r="Q51" s="328">
        <v>0.98750000000000004</v>
      </c>
      <c r="R51">
        <v>0.98750000000000004</v>
      </c>
      <c r="S51" s="333">
        <v>0.98750000000000004</v>
      </c>
      <c r="T51">
        <v>0.98</v>
      </c>
      <c r="U51">
        <v>0.98</v>
      </c>
      <c r="V51">
        <v>0.98</v>
      </c>
      <c r="W51">
        <v>0.98</v>
      </c>
      <c r="X51">
        <v>0.95685757500000002</v>
      </c>
      <c r="Y51">
        <v>0.95685757500000002</v>
      </c>
      <c r="Z51">
        <v>0.95685757500000002</v>
      </c>
      <c r="AA51">
        <v>0.95685757500000002</v>
      </c>
      <c r="AB51">
        <v>0.98</v>
      </c>
      <c r="AC51">
        <v>0.98</v>
      </c>
      <c r="AD51">
        <v>0.95685757500000002</v>
      </c>
      <c r="AE51">
        <v>0.95685757500000002</v>
      </c>
      <c r="AF51">
        <v>0.98</v>
      </c>
      <c r="AG51">
        <v>0.99</v>
      </c>
      <c r="AH51">
        <v>0.97376235</v>
      </c>
      <c r="AI51">
        <v>0.97376235</v>
      </c>
      <c r="AJ51">
        <v>0.98</v>
      </c>
      <c r="AK51">
        <v>1</v>
      </c>
      <c r="AL51">
        <v>0.97048500000000004</v>
      </c>
      <c r="AM51">
        <v>0.97443000000000002</v>
      </c>
      <c r="AN51" s="328">
        <v>0.99580000000000002</v>
      </c>
      <c r="AO51" s="328">
        <v>0.97</v>
      </c>
      <c r="AP51" s="328">
        <v>0.99</v>
      </c>
      <c r="AQ51">
        <v>0.97443000000000002</v>
      </c>
      <c r="AR51">
        <v>0.97376235</v>
      </c>
      <c r="AS51">
        <v>0.97699999999999998</v>
      </c>
      <c r="AT51" s="328">
        <v>0.97750000000000004</v>
      </c>
      <c r="AU51">
        <v>0.97376235</v>
      </c>
      <c r="AV51">
        <v>0.97443000000000002</v>
      </c>
      <c r="AW51">
        <v>0.97443000000000002</v>
      </c>
      <c r="AX51">
        <v>0.97443000000000002</v>
      </c>
      <c r="AY51">
        <v>0.97376235</v>
      </c>
      <c r="AZ51">
        <v>0.97376235</v>
      </c>
      <c r="BA51">
        <v>0.97443000000000002</v>
      </c>
      <c r="BB51" s="446">
        <v>1</v>
      </c>
      <c r="BC51">
        <v>1</v>
      </c>
      <c r="BD51">
        <v>1</v>
      </c>
      <c r="BE51">
        <v>1</v>
      </c>
      <c r="BF51">
        <v>0.99990000000000001</v>
      </c>
      <c r="BG51">
        <v>1</v>
      </c>
      <c r="BH51">
        <v>1</v>
      </c>
      <c r="BI51">
        <v>0.99</v>
      </c>
      <c r="BJ51">
        <v>0.999</v>
      </c>
      <c r="BK51">
        <v>0.998</v>
      </c>
      <c r="BL51">
        <v>0.99850000000000005</v>
      </c>
      <c r="BM51">
        <v>0.99850000000000005</v>
      </c>
      <c r="BN51">
        <v>0.97199999999999998</v>
      </c>
      <c r="BO51">
        <v>0.99990000000000001</v>
      </c>
      <c r="BP51">
        <v>0.99990000000000001</v>
      </c>
      <c r="BQ51">
        <v>1</v>
      </c>
      <c r="BR51">
        <v>1.0769725999999999</v>
      </c>
      <c r="BS51">
        <v>1.0982000000000001</v>
      </c>
      <c r="BT51">
        <v>1.0827</v>
      </c>
      <c r="BU51">
        <v>1.0094000000000001</v>
      </c>
      <c r="BV51">
        <v>1</v>
      </c>
      <c r="BW51">
        <v>2.0093999999999999</v>
      </c>
      <c r="BX51">
        <v>2.2532463329999999</v>
      </c>
      <c r="BY51">
        <v>1.0507500000000001</v>
      </c>
      <c r="BZ51">
        <v>1.2885</v>
      </c>
      <c r="CA51">
        <v>2.0009999999999999</v>
      </c>
      <c r="CB51">
        <v>1.4875050000000001</v>
      </c>
      <c r="CC51">
        <v>1.4875050000000001</v>
      </c>
      <c r="CD51">
        <v>1.246005</v>
      </c>
      <c r="CE51">
        <v>1.06023</v>
      </c>
      <c r="CF51">
        <v>1.4042049999999999</v>
      </c>
      <c r="CG51" s="332"/>
      <c r="CH51">
        <v>1.0941149999999999</v>
      </c>
      <c r="CI51" s="332"/>
      <c r="CJ51" s="332"/>
      <c r="CK51" s="332"/>
      <c r="CL51" s="332"/>
      <c r="CM51" s="332"/>
      <c r="CN51" s="332"/>
      <c r="CO51" s="332"/>
      <c r="CP51">
        <v>0.95499999999999996</v>
      </c>
      <c r="CQ51">
        <v>0.9</v>
      </c>
      <c r="CR51">
        <v>0.9</v>
      </c>
      <c r="CS51">
        <v>0.94</v>
      </c>
      <c r="CT51">
        <v>0.999</v>
      </c>
      <c r="CU51">
        <v>0.48</v>
      </c>
      <c r="CV51">
        <v>0.46</v>
      </c>
      <c r="CW51">
        <v>0.90500000000000003</v>
      </c>
      <c r="CX51">
        <v>0.51500000000000001</v>
      </c>
      <c r="CY51">
        <v>0.48499999999999999</v>
      </c>
      <c r="CZ51">
        <v>0.79500000000000004</v>
      </c>
      <c r="DA51">
        <v>0.82750000000000001</v>
      </c>
      <c r="DB51">
        <v>0.85</v>
      </c>
      <c r="DC51">
        <v>0.90249999999999997</v>
      </c>
      <c r="DD51">
        <v>0.82</v>
      </c>
      <c r="DE51">
        <v>0.89</v>
      </c>
      <c r="DF51">
        <v>0.98499999999999999</v>
      </c>
      <c r="DG51">
        <v>0.97</v>
      </c>
      <c r="DH51">
        <v>0.99</v>
      </c>
      <c r="DI51">
        <v>0.97750000000000004</v>
      </c>
      <c r="DN51" s="332">
        <v>2.8499999999999999E-4</v>
      </c>
      <c r="DO51" s="332">
        <v>2.0000000000000001E-4</v>
      </c>
      <c r="DP51" s="332">
        <v>0</v>
      </c>
      <c r="DQ51" s="332">
        <v>1E-4</v>
      </c>
      <c r="DR51" s="332">
        <v>0</v>
      </c>
      <c r="DS51" s="332">
        <v>3.5999999999999999E-3</v>
      </c>
      <c r="DT51" s="332">
        <v>4.6999999999999999E-4</v>
      </c>
      <c r="DU51" s="332">
        <v>6.9999999999999999E-4</v>
      </c>
      <c r="DV51" s="332">
        <v>0</v>
      </c>
      <c r="DW51" s="332">
        <v>0</v>
      </c>
      <c r="DX51" s="332">
        <v>5.0000000000000001E-4</v>
      </c>
      <c r="DY51" s="332">
        <v>5.0000000000000001E-4</v>
      </c>
      <c r="DZ51" s="332">
        <v>2.9999999999999997E-4</v>
      </c>
      <c r="EA51" s="332">
        <v>2.7500000000000002E-4</v>
      </c>
      <c r="EB51" s="332">
        <v>4.0000000000000002E-4</v>
      </c>
      <c r="ED51" s="332">
        <v>6.4999999999999994E-5</v>
      </c>
      <c r="EF51">
        <v>1</v>
      </c>
    </row>
    <row r="52" spans="1:136" x14ac:dyDescent="0.25">
      <c r="A52" s="66">
        <v>37956</v>
      </c>
      <c r="B52">
        <v>0.98</v>
      </c>
      <c r="C52">
        <v>0.977576</v>
      </c>
      <c r="D52">
        <v>0.96499999999999997</v>
      </c>
      <c r="E52">
        <f t="shared" si="4"/>
        <v>0.99399999999999999</v>
      </c>
      <c r="F52">
        <v>0.97699999999999998</v>
      </c>
      <c r="G52">
        <v>0.98750000000000004</v>
      </c>
      <c r="H52">
        <v>0.98750000000000004</v>
      </c>
      <c r="I52">
        <v>0.92001875</v>
      </c>
      <c r="J52">
        <v>0.67001999999999995</v>
      </c>
      <c r="K52">
        <v>0.97048500000000004</v>
      </c>
      <c r="L52" s="333">
        <v>0.87792294999999998</v>
      </c>
      <c r="M52" s="333">
        <v>0.92628311200000002</v>
      </c>
      <c r="N52">
        <v>0.85995045000000003</v>
      </c>
      <c r="O52">
        <v>0.94650071300000005</v>
      </c>
      <c r="P52">
        <v>0.85995045000000003</v>
      </c>
      <c r="Q52" s="328">
        <v>0.87792294999999998</v>
      </c>
      <c r="R52">
        <v>0.87792294999999998</v>
      </c>
      <c r="S52" s="333">
        <v>0.87792294999999998</v>
      </c>
      <c r="T52">
        <v>0.85995045000000003</v>
      </c>
      <c r="U52">
        <v>0.85995045000000003</v>
      </c>
      <c r="V52">
        <v>0.85995045000000003</v>
      </c>
      <c r="W52">
        <v>0.85995045000000003</v>
      </c>
      <c r="X52">
        <v>0.94650071300000005</v>
      </c>
      <c r="Y52">
        <v>0.94650071300000005</v>
      </c>
      <c r="Z52">
        <v>0.94650071300000005</v>
      </c>
      <c r="AA52">
        <v>0.94650071300000005</v>
      </c>
      <c r="AB52">
        <v>0.85995045000000003</v>
      </c>
      <c r="AC52">
        <v>0.85995045000000003</v>
      </c>
      <c r="AD52">
        <v>0.94650071300000005</v>
      </c>
      <c r="AE52">
        <v>0.94650071300000005</v>
      </c>
      <c r="AF52">
        <v>0.85995045000000003</v>
      </c>
      <c r="AG52">
        <v>0.98</v>
      </c>
      <c r="AH52">
        <v>0.97382020000000002</v>
      </c>
      <c r="AI52">
        <v>0.97382020000000002</v>
      </c>
      <c r="AJ52">
        <v>0.85995045000000003</v>
      </c>
      <c r="AK52">
        <v>1</v>
      </c>
      <c r="AL52">
        <v>0.97048500000000004</v>
      </c>
      <c r="AM52">
        <v>0.95277599999999996</v>
      </c>
      <c r="AN52" s="328">
        <v>0.99580000000000002</v>
      </c>
      <c r="AO52" s="328">
        <v>0.97</v>
      </c>
      <c r="AP52" s="328">
        <v>0.99</v>
      </c>
      <c r="AQ52">
        <v>0.95277599999999996</v>
      </c>
      <c r="AR52">
        <v>0.97382020000000002</v>
      </c>
      <c r="AS52">
        <v>0.97699999999999998</v>
      </c>
      <c r="AT52" s="328">
        <v>0.97750000000000004</v>
      </c>
      <c r="AU52">
        <v>0.97382020000000002</v>
      </c>
      <c r="AV52">
        <v>0.95277599999999996</v>
      </c>
      <c r="AW52">
        <v>0.95277599999999996</v>
      </c>
      <c r="AX52">
        <v>0.95277599999999996</v>
      </c>
      <c r="AY52">
        <v>0.97382020000000002</v>
      </c>
      <c r="AZ52">
        <v>0.97382020000000002</v>
      </c>
      <c r="BA52">
        <v>0.95277599999999996</v>
      </c>
      <c r="BB52" s="446">
        <v>1</v>
      </c>
      <c r="BC52">
        <v>1</v>
      </c>
      <c r="BD52">
        <v>1</v>
      </c>
      <c r="BE52">
        <v>1</v>
      </c>
      <c r="BF52">
        <v>0.99990000000000001</v>
      </c>
      <c r="BG52">
        <v>1</v>
      </c>
      <c r="BH52">
        <v>1</v>
      </c>
      <c r="BI52">
        <v>0.99</v>
      </c>
      <c r="BJ52">
        <v>0.999</v>
      </c>
      <c r="BK52">
        <v>0.998</v>
      </c>
      <c r="BL52">
        <v>0.99850000000000005</v>
      </c>
      <c r="BM52">
        <v>0.99850000000000005</v>
      </c>
      <c r="BN52">
        <v>0.97199999999999998</v>
      </c>
      <c r="BO52">
        <v>0.99990000000000001</v>
      </c>
      <c r="BP52">
        <v>0.99990000000000001</v>
      </c>
      <c r="BQ52">
        <v>1</v>
      </c>
      <c r="BR52">
        <v>1.0772576</v>
      </c>
      <c r="BS52">
        <v>1.0984</v>
      </c>
      <c r="BT52">
        <v>1.0827</v>
      </c>
      <c r="BU52">
        <v>1.0095000000000001</v>
      </c>
      <c r="BV52">
        <v>1</v>
      </c>
      <c r="BW52">
        <v>2.0129999999999999</v>
      </c>
      <c r="BX52">
        <v>2.2537163329999998</v>
      </c>
      <c r="BY52">
        <v>1.05145</v>
      </c>
      <c r="BZ52">
        <v>1.2885</v>
      </c>
      <c r="CA52">
        <v>2.0009999999999999</v>
      </c>
      <c r="CB52">
        <v>1.488005</v>
      </c>
      <c r="CC52">
        <v>1.488005</v>
      </c>
      <c r="CD52">
        <v>1.246305</v>
      </c>
      <c r="CE52">
        <v>1.060505</v>
      </c>
      <c r="CF52">
        <v>1.4046050000000001</v>
      </c>
      <c r="CG52" s="332"/>
      <c r="CH52">
        <v>1.0941799999999999</v>
      </c>
      <c r="CI52" s="332"/>
      <c r="CJ52" s="332"/>
      <c r="CK52" s="332"/>
      <c r="CL52" s="332"/>
      <c r="CM52" s="332"/>
      <c r="CN52" s="332"/>
      <c r="CO52" s="332"/>
      <c r="CP52">
        <v>0.93500000000000005</v>
      </c>
      <c r="CQ52">
        <v>0.89</v>
      </c>
      <c r="CR52">
        <v>0.88</v>
      </c>
      <c r="CS52">
        <v>0.92</v>
      </c>
      <c r="CT52">
        <v>0.999</v>
      </c>
      <c r="CU52">
        <v>0.51</v>
      </c>
      <c r="CV52">
        <v>0.48</v>
      </c>
      <c r="CW52">
        <v>0.875</v>
      </c>
      <c r="CX52">
        <v>0.52</v>
      </c>
      <c r="CY52">
        <v>0.48499999999999999</v>
      </c>
      <c r="CZ52">
        <v>0.59</v>
      </c>
      <c r="DA52">
        <v>0.62250000000000005</v>
      </c>
      <c r="DB52">
        <v>0.69</v>
      </c>
      <c r="DC52">
        <v>0.89249999999999996</v>
      </c>
      <c r="DD52">
        <v>0.71499999999999997</v>
      </c>
      <c r="DE52">
        <v>0.89</v>
      </c>
      <c r="DF52">
        <v>0.98499999999999999</v>
      </c>
      <c r="DG52">
        <v>0.97</v>
      </c>
      <c r="DH52">
        <v>0.99</v>
      </c>
      <c r="DI52">
        <v>0.97750000000000004</v>
      </c>
      <c r="DN52" s="332">
        <v>2.8499999999999999E-4</v>
      </c>
      <c r="DO52" s="332">
        <v>2.0000000000000001E-4</v>
      </c>
      <c r="DP52" s="332">
        <v>0</v>
      </c>
      <c r="DQ52" s="332">
        <v>1E-4</v>
      </c>
      <c r="DR52" s="332">
        <v>0</v>
      </c>
      <c r="DS52" s="332">
        <v>3.5999999999999999E-3</v>
      </c>
      <c r="DT52" s="332">
        <v>4.6999999999999999E-4</v>
      </c>
      <c r="DU52" s="332">
        <v>6.9999999999999999E-4</v>
      </c>
      <c r="DV52" s="332">
        <v>0</v>
      </c>
      <c r="DW52" s="332">
        <v>0</v>
      </c>
      <c r="DX52" s="332">
        <v>5.0000000000000001E-4</v>
      </c>
      <c r="DY52" s="332">
        <v>5.0000000000000001E-4</v>
      </c>
      <c r="DZ52" s="332">
        <v>2.9999999999999997E-4</v>
      </c>
      <c r="EA52" s="332">
        <v>2.7500000000000002E-4</v>
      </c>
      <c r="EB52" s="332">
        <v>4.0000000000000002E-4</v>
      </c>
      <c r="ED52" s="332">
        <v>6.4999999999999994E-5</v>
      </c>
      <c r="EF52">
        <v>1</v>
      </c>
    </row>
    <row r="53" spans="1:136" x14ac:dyDescent="0.25">
      <c r="A53" s="66">
        <v>37987</v>
      </c>
      <c r="B53">
        <v>0.98</v>
      </c>
      <c r="C53">
        <v>0.94479599999999997</v>
      </c>
      <c r="D53">
        <v>0.96499999999999997</v>
      </c>
      <c r="E53">
        <f t="shared" si="4"/>
        <v>0.99399999999999999</v>
      </c>
      <c r="F53">
        <v>0.97699999999999998</v>
      </c>
      <c r="G53">
        <v>0.98750000000000004</v>
      </c>
      <c r="H53">
        <v>0.98750000000000004</v>
      </c>
      <c r="I53">
        <v>0.84698074999999995</v>
      </c>
      <c r="J53">
        <v>0.68290499999999998</v>
      </c>
      <c r="K53">
        <v>0.98499999999999999</v>
      </c>
      <c r="L53" s="333">
        <v>0.90054552499999996</v>
      </c>
      <c r="M53" s="333">
        <v>0.94892193700000005</v>
      </c>
      <c r="N53">
        <v>0.86015744999999999</v>
      </c>
      <c r="O53">
        <v>0.93348640000000005</v>
      </c>
      <c r="P53">
        <v>0.86015744999999999</v>
      </c>
      <c r="Q53" s="328">
        <v>0.90054552499999996</v>
      </c>
      <c r="R53">
        <v>0.90054552499999996</v>
      </c>
      <c r="S53" s="333">
        <v>0.90054552499999996</v>
      </c>
      <c r="T53">
        <v>0.86015744999999999</v>
      </c>
      <c r="U53">
        <v>0.86015744999999999</v>
      </c>
      <c r="V53">
        <v>0.86015744999999999</v>
      </c>
      <c r="W53">
        <v>0.86015744999999999</v>
      </c>
      <c r="X53">
        <v>0.93348640000000005</v>
      </c>
      <c r="Y53">
        <v>0.93348640000000005</v>
      </c>
      <c r="Z53">
        <v>0.93348640000000005</v>
      </c>
      <c r="AA53">
        <v>0.93348640000000005</v>
      </c>
      <c r="AB53">
        <v>0.86015744999999999</v>
      </c>
      <c r="AC53">
        <v>0.86015744999999999</v>
      </c>
      <c r="AD53">
        <v>0.93348640000000005</v>
      </c>
      <c r="AE53">
        <v>0.93348640000000005</v>
      </c>
      <c r="AF53">
        <v>0.86015744999999999</v>
      </c>
      <c r="AG53">
        <v>0.98</v>
      </c>
      <c r="AH53">
        <v>0.97387805000000005</v>
      </c>
      <c r="AI53">
        <v>0.97387805000000005</v>
      </c>
      <c r="AJ53">
        <v>0.86015744999999999</v>
      </c>
      <c r="AK53">
        <v>1</v>
      </c>
      <c r="AL53">
        <v>0.98499999999999999</v>
      </c>
      <c r="AM53">
        <v>0.94194900000000004</v>
      </c>
      <c r="AN53" s="328">
        <v>0.99580000000000002</v>
      </c>
      <c r="AO53" s="328">
        <v>0.96</v>
      </c>
      <c r="AP53" s="328">
        <v>0.99</v>
      </c>
      <c r="AQ53">
        <v>0.94194900000000004</v>
      </c>
      <c r="AR53">
        <v>0.97387805000000005</v>
      </c>
      <c r="AS53">
        <v>0.97699999999999998</v>
      </c>
      <c r="AT53" s="328">
        <v>0.97750000000000004</v>
      </c>
      <c r="AU53">
        <v>0.97387805000000005</v>
      </c>
      <c r="AV53">
        <v>0.94194900000000004</v>
      </c>
      <c r="AW53">
        <v>0.94194900000000004</v>
      </c>
      <c r="AX53">
        <v>0.94194900000000004</v>
      </c>
      <c r="AY53">
        <v>0.97387805000000005</v>
      </c>
      <c r="AZ53">
        <v>0.97387805000000005</v>
      </c>
      <c r="BA53">
        <v>0.94194900000000004</v>
      </c>
      <c r="BB53" s="446">
        <v>1</v>
      </c>
      <c r="BC53">
        <v>1</v>
      </c>
      <c r="BD53">
        <v>1</v>
      </c>
      <c r="BE53">
        <v>1</v>
      </c>
      <c r="BF53">
        <v>0.99990000000000001</v>
      </c>
      <c r="BG53">
        <v>1</v>
      </c>
      <c r="BH53">
        <v>1</v>
      </c>
      <c r="BI53">
        <v>0.99</v>
      </c>
      <c r="BJ53">
        <v>0.999</v>
      </c>
      <c r="BK53">
        <v>0.998</v>
      </c>
      <c r="BL53">
        <v>0.99850000000000005</v>
      </c>
      <c r="BM53">
        <v>0.99850000000000005</v>
      </c>
      <c r="BN53">
        <v>0.97199999999999998</v>
      </c>
      <c r="BO53">
        <v>0.99990000000000001</v>
      </c>
      <c r="BP53">
        <v>0.99990000000000001</v>
      </c>
      <c r="BQ53">
        <v>1</v>
      </c>
      <c r="BR53">
        <v>1.0775425999999999</v>
      </c>
      <c r="BS53">
        <v>1.0986</v>
      </c>
      <c r="BT53">
        <v>1.0827</v>
      </c>
      <c r="BU53">
        <v>1.0096000000000001</v>
      </c>
      <c r="BV53">
        <v>1</v>
      </c>
      <c r="BW53">
        <v>2.0165999999999999</v>
      </c>
      <c r="BX53">
        <v>2.2541863329999998</v>
      </c>
      <c r="BY53">
        <v>1.0521499999999999</v>
      </c>
      <c r="BZ53">
        <v>1.2885</v>
      </c>
      <c r="CA53">
        <v>2.0009999999999999</v>
      </c>
      <c r="CB53">
        <v>1.488505</v>
      </c>
      <c r="CC53">
        <v>1.488505</v>
      </c>
      <c r="CD53">
        <v>1.246605</v>
      </c>
      <c r="CE53">
        <v>1.0607800000000001</v>
      </c>
      <c r="CF53">
        <v>1.4050050000000001</v>
      </c>
      <c r="CG53" s="332"/>
      <c r="CH53">
        <v>1.0942449999999999</v>
      </c>
      <c r="CI53" s="332"/>
      <c r="CJ53" s="332"/>
      <c r="CK53" s="332"/>
      <c r="CL53" s="332"/>
      <c r="CM53" s="332"/>
      <c r="CN53" s="332"/>
      <c r="CO53" s="332"/>
      <c r="CP53">
        <v>0.89500000000000002</v>
      </c>
      <c r="CQ53">
        <v>0.86</v>
      </c>
      <c r="CR53">
        <v>0.87</v>
      </c>
      <c r="CS53">
        <v>0.92</v>
      </c>
      <c r="CT53">
        <v>0.999</v>
      </c>
      <c r="CU53">
        <v>0.57999999999999996</v>
      </c>
      <c r="CV53">
        <v>0.45</v>
      </c>
      <c r="CW53">
        <v>0.80500000000000005</v>
      </c>
      <c r="CX53">
        <v>0.53</v>
      </c>
      <c r="CY53">
        <v>0.505</v>
      </c>
      <c r="CZ53">
        <v>0.60499999999999998</v>
      </c>
      <c r="DA53">
        <v>0.63749999999999996</v>
      </c>
      <c r="DB53">
        <v>0.69</v>
      </c>
      <c r="DC53">
        <v>0.88</v>
      </c>
      <c r="DD53">
        <v>0.64</v>
      </c>
      <c r="DE53">
        <v>0.89</v>
      </c>
      <c r="DF53">
        <v>0.98499999999999999</v>
      </c>
      <c r="DG53">
        <v>0.96</v>
      </c>
      <c r="DH53">
        <v>0.99</v>
      </c>
      <c r="DI53">
        <v>0.97750000000000004</v>
      </c>
      <c r="DN53" s="332">
        <v>2.8499999999999999E-4</v>
      </c>
      <c r="DO53" s="332">
        <v>2.0000000000000001E-4</v>
      </c>
      <c r="DP53" s="332">
        <v>0</v>
      </c>
      <c r="DQ53" s="332">
        <v>1E-4</v>
      </c>
      <c r="DR53" s="332">
        <v>0</v>
      </c>
      <c r="DS53" s="332">
        <v>3.5999999999999999E-3</v>
      </c>
      <c r="DT53" s="332">
        <v>4.6999999999999999E-4</v>
      </c>
      <c r="DU53" s="332">
        <v>6.9999999999999999E-4</v>
      </c>
      <c r="DV53" s="332">
        <v>0</v>
      </c>
      <c r="DW53" s="332">
        <v>0</v>
      </c>
      <c r="DX53" s="332">
        <v>5.0000000000000001E-4</v>
      </c>
      <c r="DY53" s="332">
        <v>5.0000000000000001E-4</v>
      </c>
      <c r="DZ53" s="332">
        <v>2.9999999999999997E-4</v>
      </c>
      <c r="EA53" s="332">
        <v>2.7500000000000002E-4</v>
      </c>
      <c r="EB53" s="332">
        <v>4.0000000000000002E-4</v>
      </c>
      <c r="ED53" s="332">
        <v>6.4999999999999994E-5</v>
      </c>
      <c r="EF53">
        <v>1</v>
      </c>
    </row>
    <row r="54" spans="1:136" x14ac:dyDescent="0.25">
      <c r="A54" s="66">
        <v>38018</v>
      </c>
      <c r="B54">
        <v>0.98</v>
      </c>
      <c r="C54">
        <v>0.94496800000000003</v>
      </c>
      <c r="D54">
        <v>0.96499999999999997</v>
      </c>
      <c r="E54">
        <f t="shared" si="4"/>
        <v>0.99399999999999999</v>
      </c>
      <c r="F54">
        <v>0.97699999999999998</v>
      </c>
      <c r="G54">
        <v>0.98750000000000004</v>
      </c>
      <c r="H54">
        <v>0.98750000000000004</v>
      </c>
      <c r="I54">
        <v>0.88965824999999998</v>
      </c>
      <c r="J54">
        <v>0.81819750000000002</v>
      </c>
      <c r="K54">
        <v>0.98499999999999999</v>
      </c>
      <c r="L54" s="333">
        <v>0.94551817500000002</v>
      </c>
      <c r="M54" s="333">
        <v>0.98750000000000004</v>
      </c>
      <c r="N54">
        <v>0.88530255000000002</v>
      </c>
      <c r="O54">
        <v>0.93107576299999995</v>
      </c>
      <c r="P54">
        <v>0.88530255000000002</v>
      </c>
      <c r="Q54" s="328">
        <v>0.94551817500000002</v>
      </c>
      <c r="R54">
        <v>0.94551817500000002</v>
      </c>
      <c r="S54" s="333">
        <v>0.94551817500000002</v>
      </c>
      <c r="T54">
        <v>0.88530255000000002</v>
      </c>
      <c r="U54">
        <v>0.88530255000000002</v>
      </c>
      <c r="V54">
        <v>0.88530255000000002</v>
      </c>
      <c r="W54">
        <v>0.88530255000000002</v>
      </c>
      <c r="X54">
        <v>0.93107576299999995</v>
      </c>
      <c r="Y54">
        <v>0.93107576299999995</v>
      </c>
      <c r="Z54">
        <v>0.93107576299999995</v>
      </c>
      <c r="AA54">
        <v>0.93107576299999995</v>
      </c>
      <c r="AB54">
        <v>0.88530255000000002</v>
      </c>
      <c r="AC54">
        <v>0.88530255000000002</v>
      </c>
      <c r="AD54">
        <v>0.93107576299999995</v>
      </c>
      <c r="AE54">
        <v>0.93107576299999995</v>
      </c>
      <c r="AF54">
        <v>0.88530255000000002</v>
      </c>
      <c r="AG54">
        <v>0.98</v>
      </c>
      <c r="AH54">
        <v>0.97393589999999997</v>
      </c>
      <c r="AI54">
        <v>0.97393589999999997</v>
      </c>
      <c r="AJ54">
        <v>0.88530255000000002</v>
      </c>
      <c r="AK54">
        <v>1</v>
      </c>
      <c r="AL54">
        <v>0.98499999999999999</v>
      </c>
      <c r="AM54">
        <v>0.96360299999999999</v>
      </c>
      <c r="AN54" s="328">
        <v>0.99580000000000002</v>
      </c>
      <c r="AO54" s="328">
        <v>0.97</v>
      </c>
      <c r="AP54" s="328">
        <v>0.99</v>
      </c>
      <c r="AQ54">
        <v>0.96360299999999999</v>
      </c>
      <c r="AR54">
        <v>0.97393589999999997</v>
      </c>
      <c r="AS54">
        <v>0.97699999999999998</v>
      </c>
      <c r="AT54" s="328">
        <v>0.97750000000000004</v>
      </c>
      <c r="AU54">
        <v>0.97393589999999997</v>
      </c>
      <c r="AV54">
        <v>0.96360299999999999</v>
      </c>
      <c r="AW54">
        <v>0.96360299999999999</v>
      </c>
      <c r="AX54">
        <v>0.96360299999999999</v>
      </c>
      <c r="AY54">
        <v>0.97393589999999997</v>
      </c>
      <c r="AZ54">
        <v>0.97393589999999997</v>
      </c>
      <c r="BA54">
        <v>0.96360299999999999</v>
      </c>
      <c r="BB54" s="446">
        <v>1</v>
      </c>
      <c r="BC54">
        <v>1</v>
      </c>
      <c r="BD54">
        <v>1</v>
      </c>
      <c r="BE54">
        <v>1</v>
      </c>
      <c r="BF54">
        <v>0.99990000000000001</v>
      </c>
      <c r="BG54">
        <v>1</v>
      </c>
      <c r="BH54">
        <v>1</v>
      </c>
      <c r="BI54">
        <v>0.99</v>
      </c>
      <c r="BJ54">
        <v>0.999</v>
      </c>
      <c r="BK54">
        <v>0.998</v>
      </c>
      <c r="BL54">
        <v>0.99850000000000005</v>
      </c>
      <c r="BM54">
        <v>0.99850000000000005</v>
      </c>
      <c r="BN54">
        <v>0.97199999999999998</v>
      </c>
      <c r="BO54">
        <v>0.99990000000000001</v>
      </c>
      <c r="BP54">
        <v>0.99990000000000001</v>
      </c>
      <c r="BQ54">
        <v>1</v>
      </c>
      <c r="BR54">
        <v>1.0778276</v>
      </c>
      <c r="BS54">
        <v>1.0988</v>
      </c>
      <c r="BT54">
        <v>1.0827</v>
      </c>
      <c r="BU54">
        <v>1.0097</v>
      </c>
      <c r="BV54">
        <v>1</v>
      </c>
      <c r="BW54">
        <v>2.0202</v>
      </c>
      <c r="BX54">
        <v>2.2546563329999998</v>
      </c>
      <c r="BY54">
        <v>1.0528500000000001</v>
      </c>
      <c r="BZ54">
        <v>1.2885</v>
      </c>
      <c r="CA54">
        <v>2.0009999999999999</v>
      </c>
      <c r="CB54">
        <v>1.4890049999999999</v>
      </c>
      <c r="CC54">
        <v>1.4890049999999999</v>
      </c>
      <c r="CD54">
        <v>1.2469049999999999</v>
      </c>
      <c r="CE54">
        <v>1.0610550000000001</v>
      </c>
      <c r="CF54">
        <v>1.405405</v>
      </c>
      <c r="CG54" s="332"/>
      <c r="CH54">
        <v>1.0943099999999999</v>
      </c>
      <c r="CI54" s="332"/>
      <c r="CJ54" s="332"/>
      <c r="CK54" s="332"/>
      <c r="CL54" s="332"/>
      <c r="CM54" s="332"/>
      <c r="CN54" s="332"/>
      <c r="CO54" s="332"/>
      <c r="CP54">
        <v>0.86499999999999999</v>
      </c>
      <c r="CQ54">
        <v>0.86</v>
      </c>
      <c r="CR54">
        <v>0.89</v>
      </c>
      <c r="CS54">
        <v>0.93500000000000005</v>
      </c>
      <c r="CT54">
        <v>0.99895</v>
      </c>
      <c r="CU54">
        <v>0.57999999999999996</v>
      </c>
      <c r="CV54">
        <v>0.45</v>
      </c>
      <c r="CW54">
        <v>0.84499999999999997</v>
      </c>
      <c r="CX54">
        <v>0.63500000000000001</v>
      </c>
      <c r="CY54">
        <v>0.505</v>
      </c>
      <c r="CZ54">
        <v>0.63500000000000001</v>
      </c>
      <c r="DA54">
        <v>0.66749999999999998</v>
      </c>
      <c r="DB54">
        <v>0.71</v>
      </c>
      <c r="DC54">
        <v>0.87749999999999995</v>
      </c>
      <c r="DD54">
        <v>0.67</v>
      </c>
      <c r="DE54">
        <v>0.89</v>
      </c>
      <c r="DF54">
        <v>0.98499999999999999</v>
      </c>
      <c r="DG54">
        <v>0.97</v>
      </c>
      <c r="DH54">
        <v>0.99</v>
      </c>
      <c r="DI54">
        <v>0.97750000000000004</v>
      </c>
      <c r="DN54" s="332">
        <v>2.8499999999999999E-4</v>
      </c>
      <c r="DO54" s="332">
        <v>2.0000000000000001E-4</v>
      </c>
      <c r="DP54" s="332">
        <v>0</v>
      </c>
      <c r="DQ54" s="332">
        <v>1E-4</v>
      </c>
      <c r="DR54" s="332">
        <v>0</v>
      </c>
      <c r="DS54" s="332">
        <v>3.5999999999999999E-3</v>
      </c>
      <c r="DT54" s="332">
        <v>4.6999999999999999E-4</v>
      </c>
      <c r="DU54" s="332">
        <v>6.9999999999999999E-4</v>
      </c>
      <c r="DV54" s="332">
        <v>0</v>
      </c>
      <c r="DW54" s="332">
        <v>0</v>
      </c>
      <c r="DX54" s="332">
        <v>5.0000000000000001E-4</v>
      </c>
      <c r="DY54" s="332">
        <v>5.0000000000000001E-4</v>
      </c>
      <c r="DZ54" s="332">
        <v>2.9999999999999997E-4</v>
      </c>
      <c r="EA54" s="332">
        <v>2.7500000000000002E-4</v>
      </c>
      <c r="EB54" s="332">
        <v>4.0000000000000002E-4</v>
      </c>
      <c r="ED54" s="332">
        <v>6.4999999999999994E-5</v>
      </c>
      <c r="EF54">
        <v>1</v>
      </c>
    </row>
    <row r="55" spans="1:136" x14ac:dyDescent="0.25">
      <c r="A55" s="66">
        <v>38047</v>
      </c>
      <c r="B55">
        <v>0.98</v>
      </c>
      <c r="C55">
        <v>0.97811000000000003</v>
      </c>
      <c r="D55">
        <v>0.96499999999999997</v>
      </c>
      <c r="E55">
        <f t="shared" si="4"/>
        <v>0.99399999999999999</v>
      </c>
      <c r="F55">
        <v>0.97699999999999998</v>
      </c>
      <c r="G55">
        <v>0.98750000000000004</v>
      </c>
      <c r="H55">
        <v>0.98750000000000004</v>
      </c>
      <c r="I55">
        <v>0.92185625000000004</v>
      </c>
      <c r="J55">
        <v>0.98499999999999999</v>
      </c>
      <c r="K55">
        <v>0.98499999999999999</v>
      </c>
      <c r="L55" s="333">
        <v>0.98750000000000004</v>
      </c>
      <c r="M55" s="333">
        <v>0.98750000000000004</v>
      </c>
      <c r="N55">
        <v>0.98</v>
      </c>
      <c r="O55">
        <v>0.95519699999999996</v>
      </c>
      <c r="P55">
        <v>0.98</v>
      </c>
      <c r="Q55" s="328">
        <v>0.98750000000000004</v>
      </c>
      <c r="R55">
        <v>0.98750000000000004</v>
      </c>
      <c r="S55" s="333">
        <v>0.98750000000000004</v>
      </c>
      <c r="T55">
        <v>0.98</v>
      </c>
      <c r="U55">
        <v>0.98</v>
      </c>
      <c r="V55">
        <v>0.98</v>
      </c>
      <c r="W55">
        <v>0.98</v>
      </c>
      <c r="X55">
        <v>0.95519699999999996</v>
      </c>
      <c r="Y55">
        <v>0.95519699999999996</v>
      </c>
      <c r="Z55">
        <v>0.95519699999999996</v>
      </c>
      <c r="AA55">
        <v>0.95519699999999996</v>
      </c>
      <c r="AB55">
        <v>0.98</v>
      </c>
      <c r="AC55">
        <v>0.98</v>
      </c>
      <c r="AD55">
        <v>0.95519699999999996</v>
      </c>
      <c r="AE55">
        <v>0.95519699999999996</v>
      </c>
      <c r="AF55">
        <v>0.98</v>
      </c>
      <c r="AG55">
        <v>0.99</v>
      </c>
      <c r="AH55">
        <v>0.97399374999999999</v>
      </c>
      <c r="AI55">
        <v>0.97399374999999999</v>
      </c>
      <c r="AJ55">
        <v>0.98</v>
      </c>
      <c r="AK55">
        <v>1</v>
      </c>
      <c r="AL55">
        <v>0.98499999999999999</v>
      </c>
      <c r="AM55">
        <v>0.98499999999999999</v>
      </c>
      <c r="AN55" s="328">
        <v>0.99580000000000002</v>
      </c>
      <c r="AO55" s="328">
        <v>0.97</v>
      </c>
      <c r="AP55" s="328">
        <v>0.99</v>
      </c>
      <c r="AQ55">
        <v>0.98499999999999999</v>
      </c>
      <c r="AR55">
        <v>0.97399374999999999</v>
      </c>
      <c r="AS55">
        <v>0.97699999999999998</v>
      </c>
      <c r="AT55" s="328">
        <v>0.97750000000000004</v>
      </c>
      <c r="AU55">
        <v>0.97399374999999999</v>
      </c>
      <c r="AV55">
        <v>0.98499999999999999</v>
      </c>
      <c r="AW55">
        <v>0.98499999999999999</v>
      </c>
      <c r="AX55">
        <v>0.98499999999999999</v>
      </c>
      <c r="AY55">
        <v>0.97399374999999999</v>
      </c>
      <c r="AZ55">
        <v>0.97399374999999999</v>
      </c>
      <c r="BA55">
        <v>0.98499999999999999</v>
      </c>
      <c r="BB55" s="446">
        <v>1</v>
      </c>
      <c r="BC55">
        <v>1</v>
      </c>
      <c r="BD55">
        <v>1</v>
      </c>
      <c r="BE55">
        <v>1</v>
      </c>
      <c r="BF55">
        <v>0.99990000000000001</v>
      </c>
      <c r="BG55">
        <v>1</v>
      </c>
      <c r="BH55">
        <v>1</v>
      </c>
      <c r="BI55">
        <v>0.99</v>
      </c>
      <c r="BJ55">
        <v>0.999</v>
      </c>
      <c r="BK55">
        <v>0.998</v>
      </c>
      <c r="BL55">
        <v>0.99850000000000005</v>
      </c>
      <c r="BM55">
        <v>0.99850000000000005</v>
      </c>
      <c r="BN55">
        <v>0.97199999999999998</v>
      </c>
      <c r="BO55">
        <v>0.99990000000000001</v>
      </c>
      <c r="BP55">
        <v>0.99990000000000001</v>
      </c>
      <c r="BQ55">
        <v>1</v>
      </c>
      <c r="BR55">
        <v>1.0781126000000001</v>
      </c>
      <c r="BS55">
        <v>1.099</v>
      </c>
      <c r="BT55">
        <v>1.0827</v>
      </c>
      <c r="BU55">
        <v>1.0098</v>
      </c>
      <c r="BV55">
        <v>1</v>
      </c>
      <c r="BW55">
        <v>2.0238</v>
      </c>
      <c r="BX55">
        <v>2.2551263330000002</v>
      </c>
      <c r="BY55">
        <v>1.05355</v>
      </c>
      <c r="BZ55">
        <v>1.2885</v>
      </c>
      <c r="CA55">
        <v>2.0009999999999999</v>
      </c>
      <c r="CB55">
        <v>1.4895050000000001</v>
      </c>
      <c r="CC55">
        <v>1.4895050000000001</v>
      </c>
      <c r="CD55">
        <v>1.2472049999999999</v>
      </c>
      <c r="CE55">
        <v>1.0613300000000001</v>
      </c>
      <c r="CF55">
        <v>1.405805</v>
      </c>
      <c r="CG55" s="332"/>
      <c r="CH55">
        <v>1.0943750000000001</v>
      </c>
      <c r="CI55" s="332"/>
      <c r="CJ55" s="332"/>
      <c r="CK55" s="332"/>
      <c r="CL55" s="332"/>
      <c r="CM55" s="332"/>
      <c r="CN55" s="332"/>
      <c r="CO55" s="332"/>
      <c r="CP55">
        <v>0.86499999999999999</v>
      </c>
      <c r="CQ55">
        <v>0.89</v>
      </c>
      <c r="CR55">
        <v>0.91</v>
      </c>
      <c r="CS55">
        <v>0.93500000000000005</v>
      </c>
      <c r="CT55">
        <v>0.99895</v>
      </c>
      <c r="CU55">
        <v>0.54</v>
      </c>
      <c r="CV55">
        <v>0.45</v>
      </c>
      <c r="CW55">
        <v>0.875</v>
      </c>
      <c r="CX55">
        <v>0.80500000000000005</v>
      </c>
      <c r="CY55">
        <v>0.51500000000000001</v>
      </c>
      <c r="CZ55">
        <v>0.78500000000000003</v>
      </c>
      <c r="DA55">
        <v>0.8175</v>
      </c>
      <c r="DB55">
        <v>0.8</v>
      </c>
      <c r="DC55">
        <v>0.9</v>
      </c>
      <c r="DD55">
        <v>0.83</v>
      </c>
      <c r="DE55">
        <v>0.89</v>
      </c>
      <c r="DF55">
        <v>0.98499999999999999</v>
      </c>
      <c r="DG55">
        <v>0.97</v>
      </c>
      <c r="DH55">
        <v>0.99</v>
      </c>
      <c r="DI55">
        <v>0.97750000000000004</v>
      </c>
      <c r="DN55" s="332">
        <v>2.8499999999999999E-4</v>
      </c>
      <c r="DO55" s="332">
        <v>2.0000000000000001E-4</v>
      </c>
      <c r="DP55" s="332">
        <v>0</v>
      </c>
      <c r="DQ55" s="332">
        <v>1E-4</v>
      </c>
      <c r="DR55" s="332">
        <v>0</v>
      </c>
      <c r="DS55" s="332">
        <v>3.5999999999999999E-3</v>
      </c>
      <c r="DT55" s="332">
        <v>4.6999999999999999E-4</v>
      </c>
      <c r="DU55" s="332">
        <v>6.9999999999999999E-4</v>
      </c>
      <c r="DV55" s="332">
        <v>0</v>
      </c>
      <c r="DW55" s="332">
        <v>0</v>
      </c>
      <c r="DX55" s="332">
        <v>5.0000000000000001E-4</v>
      </c>
      <c r="DY55" s="332">
        <v>5.0000000000000001E-4</v>
      </c>
      <c r="DZ55" s="332">
        <v>2.9999999999999997E-4</v>
      </c>
      <c r="EA55" s="332">
        <v>2.7500000000000002E-4</v>
      </c>
      <c r="EB55" s="332">
        <v>4.0000000000000002E-4</v>
      </c>
      <c r="ED55" s="332">
        <v>6.4999999999999994E-5</v>
      </c>
      <c r="EF55">
        <v>1</v>
      </c>
    </row>
    <row r="56" spans="1:136" x14ac:dyDescent="0.25">
      <c r="A56" s="66">
        <v>38078</v>
      </c>
      <c r="B56">
        <v>0.98</v>
      </c>
      <c r="C56">
        <v>0.98799999999999999</v>
      </c>
      <c r="D56">
        <v>0.96499999999999997</v>
      </c>
      <c r="E56">
        <f t="shared" si="4"/>
        <v>0.97799999999999998</v>
      </c>
      <c r="F56">
        <v>0.97699999999999998</v>
      </c>
      <c r="G56">
        <v>0.97315200000000002</v>
      </c>
      <c r="H56">
        <v>0.94735046000000001</v>
      </c>
      <c r="I56">
        <v>0.98572375000000001</v>
      </c>
      <c r="J56">
        <v>0.98499999999999999</v>
      </c>
      <c r="K56">
        <v>0.98499999999999999</v>
      </c>
      <c r="L56" s="333">
        <v>0.98750000000000004</v>
      </c>
      <c r="M56" s="333">
        <v>0.98750000000000004</v>
      </c>
      <c r="N56">
        <v>0.98</v>
      </c>
      <c r="O56">
        <v>0.95862931500000004</v>
      </c>
      <c r="P56">
        <v>0.98</v>
      </c>
      <c r="Q56" s="328">
        <v>0.98750000000000004</v>
      </c>
      <c r="R56">
        <v>0.98750000000000004</v>
      </c>
      <c r="S56" s="333">
        <v>0.98750000000000004</v>
      </c>
      <c r="T56">
        <v>0.98</v>
      </c>
      <c r="U56">
        <v>0.98</v>
      </c>
      <c r="V56">
        <v>0.98</v>
      </c>
      <c r="W56">
        <v>0.98</v>
      </c>
      <c r="X56">
        <v>0.95862931500000004</v>
      </c>
      <c r="Y56">
        <v>0.95862931500000004</v>
      </c>
      <c r="Z56">
        <v>0.95862931500000004</v>
      </c>
      <c r="AA56">
        <v>0.95862931500000004</v>
      </c>
      <c r="AB56">
        <v>0.98</v>
      </c>
      <c r="AC56">
        <v>0.98</v>
      </c>
      <c r="AD56">
        <v>0.95862931500000004</v>
      </c>
      <c r="AE56">
        <v>0.95862931500000004</v>
      </c>
      <c r="AF56">
        <v>0.98</v>
      </c>
      <c r="AG56">
        <v>0.99</v>
      </c>
      <c r="AH56">
        <v>0.97405160000000002</v>
      </c>
      <c r="AI56">
        <v>0.97405160000000002</v>
      </c>
      <c r="AJ56">
        <v>0.98</v>
      </c>
      <c r="AK56">
        <v>1</v>
      </c>
      <c r="AL56">
        <v>0.98499999999999999</v>
      </c>
      <c r="AM56">
        <v>0.98499999999999999</v>
      </c>
      <c r="AN56" s="328">
        <v>0.99580000000000002</v>
      </c>
      <c r="AO56" s="328">
        <v>0.99</v>
      </c>
      <c r="AP56" s="328">
        <v>0.99</v>
      </c>
      <c r="AQ56">
        <v>0.98499999999999999</v>
      </c>
      <c r="AR56">
        <v>0.97405160000000002</v>
      </c>
      <c r="AS56">
        <v>0.97699999999999998</v>
      </c>
      <c r="AT56" s="328">
        <v>0.97750000000000004</v>
      </c>
      <c r="AU56">
        <v>0.97405160000000002</v>
      </c>
      <c r="AV56">
        <v>0.98499999999999999</v>
      </c>
      <c r="AW56">
        <v>0.98499999999999999</v>
      </c>
      <c r="AX56">
        <v>0.98499999999999999</v>
      </c>
      <c r="AY56">
        <v>0.97405160000000002</v>
      </c>
      <c r="AZ56">
        <v>0.97405160000000002</v>
      </c>
      <c r="BA56">
        <v>0.98499999999999999</v>
      </c>
      <c r="BB56" s="446">
        <v>1</v>
      </c>
      <c r="BC56">
        <v>1</v>
      </c>
      <c r="BD56">
        <v>1</v>
      </c>
      <c r="BE56">
        <v>1</v>
      </c>
      <c r="BF56">
        <v>0.99990000000000001</v>
      </c>
      <c r="BG56">
        <v>1</v>
      </c>
      <c r="BH56">
        <v>1</v>
      </c>
      <c r="BI56">
        <v>0.99</v>
      </c>
      <c r="BJ56">
        <v>0.999</v>
      </c>
      <c r="BK56">
        <v>0.998</v>
      </c>
      <c r="BL56">
        <v>0.99850000000000005</v>
      </c>
      <c r="BM56">
        <v>0.99850000000000005</v>
      </c>
      <c r="BN56">
        <v>0.97199999999999998</v>
      </c>
      <c r="BO56">
        <v>0.99990000000000001</v>
      </c>
      <c r="BP56">
        <v>0.99990000000000001</v>
      </c>
      <c r="BQ56">
        <v>1</v>
      </c>
      <c r="BR56">
        <v>1.0783976</v>
      </c>
      <c r="BS56">
        <v>1.0992</v>
      </c>
      <c r="BT56">
        <v>1.0827</v>
      </c>
      <c r="BU56">
        <v>1.0099</v>
      </c>
      <c r="BV56">
        <v>1</v>
      </c>
      <c r="BW56">
        <v>2.0274000000000001</v>
      </c>
      <c r="BX56">
        <v>2.2555963330000002</v>
      </c>
      <c r="BY56">
        <v>1.0542499999999999</v>
      </c>
      <c r="BZ56">
        <v>1.2885</v>
      </c>
      <c r="CA56">
        <v>2.0009999999999999</v>
      </c>
      <c r="CB56">
        <v>1.490005</v>
      </c>
      <c r="CC56">
        <v>1.490005</v>
      </c>
      <c r="CD56">
        <v>1.2475050000000001</v>
      </c>
      <c r="CE56">
        <v>1.0616049999999999</v>
      </c>
      <c r="CF56">
        <v>1.4062049999999999</v>
      </c>
      <c r="CG56" s="332"/>
      <c r="CH56">
        <v>1.0944400000000001</v>
      </c>
      <c r="CI56" s="332"/>
      <c r="CJ56" s="332"/>
      <c r="CK56" s="332"/>
      <c r="CL56" s="332"/>
      <c r="CM56" s="332"/>
      <c r="CN56" s="332"/>
      <c r="CO56" s="332"/>
      <c r="CP56">
        <v>0.89500000000000002</v>
      </c>
      <c r="CQ56">
        <v>0.9</v>
      </c>
      <c r="CR56">
        <v>0.91</v>
      </c>
      <c r="CS56">
        <v>0.96</v>
      </c>
      <c r="CT56">
        <v>0.99895</v>
      </c>
      <c r="CU56">
        <v>0.48</v>
      </c>
      <c r="CV56">
        <v>0.42</v>
      </c>
      <c r="CW56">
        <v>0.93500000000000005</v>
      </c>
      <c r="CX56">
        <v>0.79500000000000004</v>
      </c>
      <c r="CY56">
        <v>0.57499999999999996</v>
      </c>
      <c r="CZ56">
        <v>0.89500000000000002</v>
      </c>
      <c r="DA56">
        <v>0.92749999999999999</v>
      </c>
      <c r="DB56">
        <v>0.85</v>
      </c>
      <c r="DC56">
        <v>0.90300000000000002</v>
      </c>
      <c r="DD56">
        <v>0.92</v>
      </c>
      <c r="DE56">
        <v>0.89</v>
      </c>
      <c r="DF56">
        <v>0.98499999999999999</v>
      </c>
      <c r="DG56">
        <v>0.99</v>
      </c>
      <c r="DH56">
        <v>0.99</v>
      </c>
      <c r="DI56">
        <v>0.97750000000000004</v>
      </c>
      <c r="DN56" s="332">
        <v>2.8499999999999999E-4</v>
      </c>
      <c r="DO56" s="332">
        <v>2.0000000000000001E-4</v>
      </c>
      <c r="DP56" s="332">
        <v>0</v>
      </c>
      <c r="DQ56" s="332">
        <v>1E-4</v>
      </c>
      <c r="DR56" s="332">
        <v>0</v>
      </c>
      <c r="DS56" s="332">
        <v>3.5999999999999999E-3</v>
      </c>
      <c r="DT56" s="332">
        <v>4.6999999999999999E-4</v>
      </c>
      <c r="DU56" s="332">
        <v>6.9999999999999999E-4</v>
      </c>
      <c r="DV56" s="332">
        <v>0</v>
      </c>
      <c r="DW56" s="332">
        <v>0</v>
      </c>
      <c r="DX56" s="332">
        <v>5.0000000000000001E-4</v>
      </c>
      <c r="DY56" s="332">
        <v>5.0000000000000001E-4</v>
      </c>
      <c r="DZ56" s="332">
        <v>2.9999999999999997E-4</v>
      </c>
      <c r="EA56" s="332">
        <v>2.7500000000000002E-4</v>
      </c>
      <c r="EB56" s="332">
        <v>4.0000000000000002E-4</v>
      </c>
      <c r="ED56" s="332">
        <v>6.4999999999999994E-5</v>
      </c>
      <c r="EF56">
        <v>1</v>
      </c>
    </row>
    <row r="57" spans="1:136" x14ac:dyDescent="0.25">
      <c r="A57" s="66">
        <v>38108</v>
      </c>
      <c r="B57">
        <v>0.98</v>
      </c>
      <c r="C57">
        <v>0.98799999999999999</v>
      </c>
      <c r="D57">
        <v>0.96499999999999997</v>
      </c>
      <c r="E57">
        <f t="shared" ref="E57:E62" si="5">E45</f>
        <v>0.97799999999999998</v>
      </c>
      <c r="F57">
        <v>0.97699999999999998</v>
      </c>
      <c r="G57">
        <v>0.69054000000000004</v>
      </c>
      <c r="H57">
        <v>0.94754786000000002</v>
      </c>
      <c r="I57">
        <v>0.98637825000000001</v>
      </c>
      <c r="J57">
        <v>0.89550750000000001</v>
      </c>
      <c r="K57">
        <v>0.98499999999999999</v>
      </c>
      <c r="L57" s="333">
        <v>0.98750000000000004</v>
      </c>
      <c r="M57" s="333">
        <v>0.98750000000000004</v>
      </c>
      <c r="N57">
        <v>0.98</v>
      </c>
      <c r="O57">
        <v>0.95569199999999999</v>
      </c>
      <c r="P57">
        <v>0.98</v>
      </c>
      <c r="Q57" s="328">
        <v>0.98750000000000004</v>
      </c>
      <c r="R57">
        <v>0.98750000000000004</v>
      </c>
      <c r="S57" s="333">
        <v>0.98750000000000004</v>
      </c>
      <c r="T57">
        <v>0.98</v>
      </c>
      <c r="U57">
        <v>0.98</v>
      </c>
      <c r="V57">
        <v>0.98</v>
      </c>
      <c r="W57">
        <v>0.98</v>
      </c>
      <c r="X57">
        <v>0.95569199999999999</v>
      </c>
      <c r="Y57">
        <v>0.95569199999999999</v>
      </c>
      <c r="Z57">
        <v>0.95569199999999999</v>
      </c>
      <c r="AA57">
        <v>0.95569199999999999</v>
      </c>
      <c r="AB57">
        <v>0.98</v>
      </c>
      <c r="AC57">
        <v>0.98</v>
      </c>
      <c r="AD57">
        <v>0.95569199999999999</v>
      </c>
      <c r="AE57">
        <v>0.95569199999999999</v>
      </c>
      <c r="AF57">
        <v>0.98</v>
      </c>
      <c r="AG57">
        <v>0.99</v>
      </c>
      <c r="AH57">
        <v>0.97410945000000004</v>
      </c>
      <c r="AI57">
        <v>0.97410945000000004</v>
      </c>
      <c r="AJ57">
        <v>0.98</v>
      </c>
      <c r="AK57">
        <v>1</v>
      </c>
      <c r="AL57">
        <v>0.98499999999999999</v>
      </c>
      <c r="AM57">
        <v>0.98499999999999999</v>
      </c>
      <c r="AN57" s="328">
        <v>0.99580000000000002</v>
      </c>
      <c r="AO57" s="328">
        <v>0.99</v>
      </c>
      <c r="AP57" s="328">
        <v>0.99</v>
      </c>
      <c r="AQ57">
        <v>0.98499999999999999</v>
      </c>
      <c r="AR57">
        <v>0.97410945000000004</v>
      </c>
      <c r="AS57">
        <v>0.97699999999999998</v>
      </c>
      <c r="AT57" s="328">
        <v>0.97750000000000004</v>
      </c>
      <c r="AU57">
        <v>0.97410945000000004</v>
      </c>
      <c r="AV57">
        <v>0.98499999999999999</v>
      </c>
      <c r="AW57">
        <v>0.98499999999999999</v>
      </c>
      <c r="AX57">
        <v>0.98499999999999999</v>
      </c>
      <c r="AY57">
        <v>0.97410945000000004</v>
      </c>
      <c r="AZ57">
        <v>0.97410945000000004</v>
      </c>
      <c r="BA57">
        <v>0.98499999999999999</v>
      </c>
      <c r="BB57" s="446">
        <v>1</v>
      </c>
      <c r="BC57">
        <v>1</v>
      </c>
      <c r="BD57">
        <v>1</v>
      </c>
      <c r="BE57">
        <v>1</v>
      </c>
      <c r="BF57">
        <v>0.99990000000000001</v>
      </c>
      <c r="BG57">
        <v>1</v>
      </c>
      <c r="BH57">
        <v>1</v>
      </c>
      <c r="BI57">
        <v>0.99</v>
      </c>
      <c r="BJ57">
        <v>0.999</v>
      </c>
      <c r="BK57">
        <v>0.998</v>
      </c>
      <c r="BL57">
        <v>0.99850000000000005</v>
      </c>
      <c r="BM57">
        <v>0.99850000000000005</v>
      </c>
      <c r="BN57">
        <v>0.97199999999999998</v>
      </c>
      <c r="BO57">
        <v>0.99990000000000001</v>
      </c>
      <c r="BP57">
        <v>0.99990000000000001</v>
      </c>
      <c r="BQ57">
        <v>1</v>
      </c>
      <c r="BR57">
        <v>1.0786826</v>
      </c>
      <c r="BS57">
        <v>1.0993999999999999</v>
      </c>
      <c r="BT57">
        <v>1.0827</v>
      </c>
      <c r="BU57">
        <v>1.01</v>
      </c>
      <c r="BV57">
        <v>1</v>
      </c>
      <c r="BW57">
        <v>2.0310000000000001</v>
      </c>
      <c r="BX57">
        <v>2.2560663330000001</v>
      </c>
      <c r="BY57">
        <v>1.0549500000000001</v>
      </c>
      <c r="BZ57">
        <v>1.2885</v>
      </c>
      <c r="CA57">
        <v>2.0009999999999999</v>
      </c>
      <c r="CB57">
        <v>1.490505</v>
      </c>
      <c r="CC57">
        <v>1.490505</v>
      </c>
      <c r="CD57">
        <v>1.2478050000000001</v>
      </c>
      <c r="CE57">
        <v>1.0618799999999999</v>
      </c>
      <c r="CF57">
        <v>1.4066050000000001</v>
      </c>
      <c r="CG57" s="332"/>
      <c r="CH57">
        <v>1.0945050000000001</v>
      </c>
      <c r="CI57" s="332"/>
      <c r="CJ57" s="332"/>
      <c r="CK57" s="332"/>
      <c r="CL57" s="332"/>
      <c r="CM57" s="332"/>
      <c r="CN57" s="332"/>
      <c r="CO57" s="332"/>
      <c r="CP57">
        <v>0.96499999999999997</v>
      </c>
      <c r="CQ57">
        <v>0.91</v>
      </c>
      <c r="CR57">
        <v>0.91</v>
      </c>
      <c r="CS57">
        <v>0.97</v>
      </c>
      <c r="CT57">
        <v>0.99895</v>
      </c>
      <c r="CU57">
        <v>0.34</v>
      </c>
      <c r="CV57">
        <v>0.42</v>
      </c>
      <c r="CW57">
        <v>0.93500000000000005</v>
      </c>
      <c r="CX57">
        <v>0.69499999999999995</v>
      </c>
      <c r="CY57">
        <v>0.625</v>
      </c>
      <c r="CZ57">
        <v>0.91749999999999998</v>
      </c>
      <c r="DA57">
        <v>0.95</v>
      </c>
      <c r="DB57">
        <v>0.88</v>
      </c>
      <c r="DC57">
        <v>0.9</v>
      </c>
      <c r="DD57">
        <v>0.93500000000000005</v>
      </c>
      <c r="DE57">
        <v>0.89</v>
      </c>
      <c r="DF57">
        <v>0.98499999999999999</v>
      </c>
      <c r="DG57">
        <v>0.99</v>
      </c>
      <c r="DH57">
        <v>0.99</v>
      </c>
      <c r="DI57">
        <v>0.97750000000000004</v>
      </c>
      <c r="DN57" s="332">
        <v>2.8499999999999999E-4</v>
      </c>
      <c r="DO57" s="332">
        <v>2.0000000000000001E-4</v>
      </c>
      <c r="DP57" s="332">
        <v>0</v>
      </c>
      <c r="DQ57" s="332">
        <v>1E-4</v>
      </c>
      <c r="DR57" s="332">
        <v>0</v>
      </c>
      <c r="DS57" s="332">
        <v>3.5999999999999999E-3</v>
      </c>
      <c r="DT57" s="332">
        <v>4.6999999999999999E-4</v>
      </c>
      <c r="DU57" s="332">
        <v>6.9999999999999999E-4</v>
      </c>
      <c r="DV57" s="332">
        <v>0</v>
      </c>
      <c r="DW57" s="332">
        <v>0</v>
      </c>
      <c r="DX57" s="332">
        <v>5.0000000000000001E-4</v>
      </c>
      <c r="DY57" s="332">
        <v>5.0000000000000001E-4</v>
      </c>
      <c r="DZ57" s="332">
        <v>2.9999999999999997E-4</v>
      </c>
      <c r="EA57" s="332">
        <v>2.7500000000000002E-4</v>
      </c>
      <c r="EB57" s="332">
        <v>4.0000000000000002E-4</v>
      </c>
      <c r="ED57" s="332">
        <v>6.4999999999999994E-5</v>
      </c>
      <c r="EF57">
        <v>1</v>
      </c>
    </row>
    <row r="58" spans="1:136" x14ac:dyDescent="0.25">
      <c r="A58" s="66">
        <v>38139</v>
      </c>
      <c r="B58">
        <v>0.98</v>
      </c>
      <c r="C58">
        <v>0.98799999999999999</v>
      </c>
      <c r="D58">
        <v>0.96499999999999997</v>
      </c>
      <c r="E58">
        <f t="shared" si="5"/>
        <v>0.97799999999999998</v>
      </c>
      <c r="F58">
        <v>0.97699999999999998</v>
      </c>
      <c r="G58">
        <v>0.69176400000000005</v>
      </c>
      <c r="H58">
        <v>0.98750000000000004</v>
      </c>
      <c r="I58">
        <v>0.98703275000000001</v>
      </c>
      <c r="J58">
        <v>0.77954250000000003</v>
      </c>
      <c r="K58">
        <v>0.98499999999999999</v>
      </c>
      <c r="L58" s="333">
        <v>0.98750000000000004</v>
      </c>
      <c r="M58" s="333">
        <v>0.98750000000000004</v>
      </c>
      <c r="N58">
        <v>0.98</v>
      </c>
      <c r="O58">
        <v>0.95859488800000003</v>
      </c>
      <c r="P58">
        <v>0.98</v>
      </c>
      <c r="Q58" s="328">
        <v>0.98750000000000004</v>
      </c>
      <c r="R58">
        <v>0.98750000000000004</v>
      </c>
      <c r="S58" s="333">
        <v>0.98750000000000004</v>
      </c>
      <c r="T58">
        <v>0.98</v>
      </c>
      <c r="U58">
        <v>0.98</v>
      </c>
      <c r="V58">
        <v>0.98</v>
      </c>
      <c r="W58">
        <v>0.98</v>
      </c>
      <c r="X58">
        <v>0.95859488800000003</v>
      </c>
      <c r="Y58">
        <v>0.95859488800000003</v>
      </c>
      <c r="Z58">
        <v>0.95859488800000003</v>
      </c>
      <c r="AA58">
        <v>0.95859488800000003</v>
      </c>
      <c r="AB58">
        <v>0.98</v>
      </c>
      <c r="AC58">
        <v>0.98</v>
      </c>
      <c r="AD58">
        <v>0.95859488800000003</v>
      </c>
      <c r="AE58">
        <v>0.95859488800000003</v>
      </c>
      <c r="AF58">
        <v>0.98</v>
      </c>
      <c r="AG58">
        <v>0.99</v>
      </c>
      <c r="AH58">
        <v>0.97416729999999996</v>
      </c>
      <c r="AI58">
        <v>0.97416729999999996</v>
      </c>
      <c r="AJ58">
        <v>0.98</v>
      </c>
      <c r="AK58">
        <v>1</v>
      </c>
      <c r="AL58">
        <v>0.98499999999999999</v>
      </c>
      <c r="AM58">
        <v>0.98499999999999999</v>
      </c>
      <c r="AN58" s="328">
        <v>0.99580000000000002</v>
      </c>
      <c r="AO58" s="328">
        <v>0.99</v>
      </c>
      <c r="AP58" s="328">
        <v>0.99</v>
      </c>
      <c r="AQ58">
        <v>0.98499999999999999</v>
      </c>
      <c r="AR58">
        <v>0.97416729999999996</v>
      </c>
      <c r="AS58">
        <v>0.97699999999999998</v>
      </c>
      <c r="AT58" s="328">
        <v>0.97750000000000004</v>
      </c>
      <c r="AU58">
        <v>0.97416729999999996</v>
      </c>
      <c r="AV58">
        <v>0.98499999999999999</v>
      </c>
      <c r="AW58">
        <v>0.98499999999999999</v>
      </c>
      <c r="AX58">
        <v>0.98499999999999999</v>
      </c>
      <c r="AY58">
        <v>0.97416729999999996</v>
      </c>
      <c r="AZ58">
        <v>0.97416729999999996</v>
      </c>
      <c r="BA58">
        <v>0.98499999999999999</v>
      </c>
      <c r="BB58" s="446">
        <v>1</v>
      </c>
      <c r="BC58">
        <v>1</v>
      </c>
      <c r="BD58">
        <v>1</v>
      </c>
      <c r="BE58">
        <v>1</v>
      </c>
      <c r="BF58">
        <v>0.99990000000000001</v>
      </c>
      <c r="BG58">
        <v>1</v>
      </c>
      <c r="BH58">
        <v>1</v>
      </c>
      <c r="BI58">
        <v>0.99</v>
      </c>
      <c r="BJ58">
        <v>0.999</v>
      </c>
      <c r="BK58">
        <v>0.998</v>
      </c>
      <c r="BL58">
        <v>0.99850000000000005</v>
      </c>
      <c r="BM58">
        <v>0.99850000000000005</v>
      </c>
      <c r="BN58">
        <v>0.97199999999999998</v>
      </c>
      <c r="BO58">
        <v>0.99990000000000001</v>
      </c>
      <c r="BP58">
        <v>0.99990000000000001</v>
      </c>
      <c r="BQ58">
        <v>1</v>
      </c>
      <c r="BR58">
        <v>1.0789675999999999</v>
      </c>
      <c r="BS58">
        <v>1.0995999999999999</v>
      </c>
      <c r="BT58">
        <v>1.0827</v>
      </c>
      <c r="BU58">
        <v>1.0101</v>
      </c>
      <c r="BV58">
        <v>1</v>
      </c>
      <c r="BW58">
        <v>2.0346000000000002</v>
      </c>
      <c r="BX58">
        <v>2.2565363330000001</v>
      </c>
      <c r="BY58">
        <v>1.05565</v>
      </c>
      <c r="BZ58">
        <v>1.2885</v>
      </c>
      <c r="CA58">
        <v>2.0009999999999999</v>
      </c>
      <c r="CB58">
        <v>1.4910049999999999</v>
      </c>
      <c r="CC58">
        <v>1.4910049999999999</v>
      </c>
      <c r="CD58">
        <v>1.248105</v>
      </c>
      <c r="CE58">
        <v>1.062155</v>
      </c>
      <c r="CF58">
        <v>1.4070050000000001</v>
      </c>
      <c r="CG58" s="332"/>
      <c r="CH58">
        <v>1.09457</v>
      </c>
      <c r="CI58" s="332"/>
      <c r="CJ58" s="332"/>
      <c r="CK58" s="332"/>
      <c r="CL58" s="332"/>
      <c r="CM58" s="332"/>
      <c r="CN58" s="332"/>
      <c r="CO58" s="332"/>
      <c r="CP58">
        <v>0.96499999999999997</v>
      </c>
      <c r="CQ58">
        <v>0.91</v>
      </c>
      <c r="CR58">
        <v>0.91</v>
      </c>
      <c r="CS58">
        <v>0.98</v>
      </c>
      <c r="CT58">
        <v>0.99895</v>
      </c>
      <c r="CU58">
        <v>0.34</v>
      </c>
      <c r="CV58">
        <v>0.47</v>
      </c>
      <c r="CW58">
        <v>0.93500000000000005</v>
      </c>
      <c r="CX58">
        <v>0.60499999999999998</v>
      </c>
      <c r="CY58">
        <v>0.72499999999999998</v>
      </c>
      <c r="CZ58">
        <v>0.88249999999999995</v>
      </c>
      <c r="DA58">
        <v>0.91500000000000004</v>
      </c>
      <c r="DB58">
        <v>0.88</v>
      </c>
      <c r="DC58">
        <v>0.90249999999999997</v>
      </c>
      <c r="DD58">
        <v>0.91500000000000004</v>
      </c>
      <c r="DE58">
        <v>0.89</v>
      </c>
      <c r="DF58">
        <v>0.98499999999999999</v>
      </c>
      <c r="DG58">
        <v>0.99</v>
      </c>
      <c r="DH58">
        <v>0.99</v>
      </c>
      <c r="DI58">
        <v>0.97750000000000004</v>
      </c>
      <c r="DN58" s="332">
        <v>2.8499999999999999E-4</v>
      </c>
      <c r="DO58" s="332">
        <v>2.0000000000000001E-4</v>
      </c>
      <c r="DP58" s="332">
        <v>0</v>
      </c>
      <c r="DQ58" s="332">
        <v>1E-4</v>
      </c>
      <c r="DR58" s="332">
        <v>0</v>
      </c>
      <c r="DS58" s="332">
        <v>3.5999999999999999E-3</v>
      </c>
      <c r="DT58" s="332">
        <v>4.6999999999999999E-4</v>
      </c>
      <c r="DU58" s="332">
        <v>6.9999999999999999E-4</v>
      </c>
      <c r="DV58" s="332">
        <v>0</v>
      </c>
      <c r="DW58" s="332">
        <v>0</v>
      </c>
      <c r="DX58" s="332">
        <v>5.0000000000000001E-4</v>
      </c>
      <c r="DY58" s="332">
        <v>5.0000000000000001E-4</v>
      </c>
      <c r="DZ58" s="332">
        <v>2.9999999999999997E-4</v>
      </c>
      <c r="EA58" s="332">
        <v>2.7500000000000002E-4</v>
      </c>
      <c r="EB58" s="332">
        <v>4.0000000000000002E-4</v>
      </c>
      <c r="ED58" s="332">
        <v>6.4999999999999994E-5</v>
      </c>
      <c r="EF58">
        <v>1</v>
      </c>
    </row>
    <row r="59" spans="1:136" x14ac:dyDescent="0.25">
      <c r="A59" s="66">
        <v>38169</v>
      </c>
      <c r="B59">
        <v>0.98</v>
      </c>
      <c r="C59">
        <v>0.98799999999999999</v>
      </c>
      <c r="D59">
        <v>0.96499999999999997</v>
      </c>
      <c r="E59">
        <f t="shared" si="5"/>
        <v>0.97799999999999998</v>
      </c>
      <c r="F59">
        <v>0.97699999999999998</v>
      </c>
      <c r="G59">
        <v>0.83566200000000002</v>
      </c>
      <c r="H59">
        <v>0.98750000000000004</v>
      </c>
      <c r="I59">
        <v>0.98750000000000004</v>
      </c>
      <c r="J59">
        <v>0.80531249999999999</v>
      </c>
      <c r="K59">
        <v>0.98499999999999999</v>
      </c>
      <c r="L59" s="333">
        <v>0.98750000000000004</v>
      </c>
      <c r="M59" s="333">
        <v>0.98750000000000004</v>
      </c>
      <c r="N59">
        <v>0.98</v>
      </c>
      <c r="O59">
        <v>0.96415522499999995</v>
      </c>
      <c r="P59">
        <v>0.98</v>
      </c>
      <c r="Q59" s="328">
        <v>0.98750000000000004</v>
      </c>
      <c r="R59">
        <v>0.98750000000000004</v>
      </c>
      <c r="S59" s="333">
        <v>0.98750000000000004</v>
      </c>
      <c r="T59">
        <v>0.98</v>
      </c>
      <c r="U59">
        <v>0.98</v>
      </c>
      <c r="V59">
        <v>0.98</v>
      </c>
      <c r="W59">
        <v>0.98</v>
      </c>
      <c r="X59">
        <v>0.96415522499999995</v>
      </c>
      <c r="Y59">
        <v>0.96415522499999995</v>
      </c>
      <c r="Z59">
        <v>0.96415522499999995</v>
      </c>
      <c r="AA59">
        <v>0.96415522499999995</v>
      </c>
      <c r="AB59">
        <v>0.98</v>
      </c>
      <c r="AC59">
        <v>0.98</v>
      </c>
      <c r="AD59">
        <v>0.96415522499999995</v>
      </c>
      <c r="AE59">
        <v>0.96415522499999995</v>
      </c>
      <c r="AF59">
        <v>0.98</v>
      </c>
      <c r="AG59">
        <v>0.99</v>
      </c>
      <c r="AH59">
        <v>0.97422514999999998</v>
      </c>
      <c r="AI59">
        <v>0.97422514999999998</v>
      </c>
      <c r="AJ59">
        <v>0.98</v>
      </c>
      <c r="AK59">
        <v>1</v>
      </c>
      <c r="AL59">
        <v>0.98499999999999999</v>
      </c>
      <c r="AM59">
        <v>0.98499999999999999</v>
      </c>
      <c r="AN59" s="328">
        <v>0.99580000000000002</v>
      </c>
      <c r="AO59" s="328">
        <v>0.99</v>
      </c>
      <c r="AP59" s="328">
        <v>0.99</v>
      </c>
      <c r="AQ59">
        <v>0.98499999999999999</v>
      </c>
      <c r="AR59">
        <v>0.97422514999999998</v>
      </c>
      <c r="AS59">
        <v>0.97699999999999998</v>
      </c>
      <c r="AT59" s="328">
        <v>0.97750000000000004</v>
      </c>
      <c r="AU59">
        <v>0.97422514999999998</v>
      </c>
      <c r="AV59">
        <v>0.98499999999999999</v>
      </c>
      <c r="AW59">
        <v>0.98499999999999999</v>
      </c>
      <c r="AX59">
        <v>0.98499999999999999</v>
      </c>
      <c r="AY59">
        <v>0.97422514999999998</v>
      </c>
      <c r="AZ59">
        <v>0.97422514999999998</v>
      </c>
      <c r="BA59">
        <v>0.98499999999999999</v>
      </c>
      <c r="BB59" s="446">
        <v>1</v>
      </c>
      <c r="BC59">
        <v>1</v>
      </c>
      <c r="BD59">
        <v>1</v>
      </c>
      <c r="BE59">
        <v>1</v>
      </c>
      <c r="BF59">
        <v>0.99990000000000001</v>
      </c>
      <c r="BG59">
        <v>1</v>
      </c>
      <c r="BH59">
        <v>1</v>
      </c>
      <c r="BI59">
        <v>0.99</v>
      </c>
      <c r="BJ59">
        <v>0.999</v>
      </c>
      <c r="BK59">
        <v>0.998</v>
      </c>
      <c r="BL59">
        <v>0.99850000000000005</v>
      </c>
      <c r="BM59">
        <v>0.99850000000000005</v>
      </c>
      <c r="BN59">
        <v>0.97199999999999998</v>
      </c>
      <c r="BO59">
        <v>0.99990000000000001</v>
      </c>
      <c r="BP59">
        <v>0.99990000000000001</v>
      </c>
      <c r="BQ59">
        <v>1</v>
      </c>
      <c r="BR59">
        <v>1.0792526</v>
      </c>
      <c r="BS59">
        <v>1.0998000000000001</v>
      </c>
      <c r="BT59">
        <v>1.0827</v>
      </c>
      <c r="BU59">
        <v>1.0102</v>
      </c>
      <c r="BV59">
        <v>1</v>
      </c>
      <c r="BW59">
        <v>2.0381999999999998</v>
      </c>
      <c r="BX59">
        <v>2.2570063330000001</v>
      </c>
      <c r="BY59">
        <v>1.0563499999999999</v>
      </c>
      <c r="BZ59">
        <v>1.2885</v>
      </c>
      <c r="CA59">
        <v>2.0009999999999999</v>
      </c>
      <c r="CB59">
        <v>1.4915050000000001</v>
      </c>
      <c r="CC59">
        <v>1.4915050000000001</v>
      </c>
      <c r="CD59">
        <v>1.248405</v>
      </c>
      <c r="CE59">
        <v>1.06243</v>
      </c>
      <c r="CF59">
        <v>1.407405</v>
      </c>
      <c r="CG59" s="332"/>
      <c r="CH59">
        <v>1.094635</v>
      </c>
      <c r="CI59" s="332"/>
      <c r="CJ59" s="332"/>
      <c r="CK59" s="332"/>
      <c r="CL59" s="332"/>
      <c r="CM59" s="332"/>
      <c r="CN59" s="332"/>
      <c r="CO59" s="332"/>
      <c r="CP59">
        <v>0.97499999999999998</v>
      </c>
      <c r="CQ59">
        <v>0.91</v>
      </c>
      <c r="CR59">
        <v>0.91</v>
      </c>
      <c r="CS59">
        <v>0.97</v>
      </c>
      <c r="CT59">
        <v>0.99895</v>
      </c>
      <c r="CU59">
        <v>0.41</v>
      </c>
      <c r="CV59">
        <v>0.47</v>
      </c>
      <c r="CW59">
        <v>0.93500000000000005</v>
      </c>
      <c r="CX59">
        <v>0.625</v>
      </c>
      <c r="CY59">
        <v>0.72499999999999998</v>
      </c>
      <c r="CZ59">
        <v>0.87749999999999995</v>
      </c>
      <c r="DA59">
        <v>0.91</v>
      </c>
      <c r="DB59">
        <v>0.89</v>
      </c>
      <c r="DC59">
        <v>0.90749999999999997</v>
      </c>
      <c r="DD59">
        <v>0.91500000000000004</v>
      </c>
      <c r="DE59">
        <v>0.89</v>
      </c>
      <c r="DF59">
        <v>0.98499999999999999</v>
      </c>
      <c r="DG59">
        <v>0.99</v>
      </c>
      <c r="DH59">
        <v>0.99</v>
      </c>
      <c r="DI59">
        <v>0.97750000000000004</v>
      </c>
      <c r="DN59" s="332">
        <v>2.8499999999999999E-4</v>
      </c>
      <c r="DO59" s="332">
        <v>2.0000000000000001E-4</v>
      </c>
      <c r="DP59" s="332">
        <v>0</v>
      </c>
      <c r="DQ59" s="332">
        <v>1E-4</v>
      </c>
      <c r="DR59" s="332">
        <v>0</v>
      </c>
      <c r="DS59" s="332">
        <v>3.5999999999999999E-3</v>
      </c>
      <c r="DT59" s="332">
        <v>4.6999999999999999E-4</v>
      </c>
      <c r="DU59" s="332">
        <v>6.9999999999999999E-4</v>
      </c>
      <c r="DV59" s="332">
        <v>0</v>
      </c>
      <c r="DW59" s="332">
        <v>0</v>
      </c>
      <c r="DX59" s="332">
        <v>5.0000000000000001E-4</v>
      </c>
      <c r="DY59" s="332">
        <v>5.0000000000000001E-4</v>
      </c>
      <c r="DZ59" s="332">
        <v>2.9999999999999997E-4</v>
      </c>
      <c r="EA59" s="332">
        <v>2.7500000000000002E-4</v>
      </c>
      <c r="EB59" s="332">
        <v>4.0000000000000002E-4</v>
      </c>
      <c r="ED59" s="332">
        <v>6.4999999999999994E-5</v>
      </c>
      <c r="EF59">
        <v>1</v>
      </c>
    </row>
    <row r="60" spans="1:136" x14ac:dyDescent="0.25">
      <c r="A60" s="66">
        <v>38200</v>
      </c>
      <c r="B60">
        <v>0.98</v>
      </c>
      <c r="C60">
        <v>0.98799999999999999</v>
      </c>
      <c r="D60">
        <v>0.96499999999999997</v>
      </c>
      <c r="E60">
        <f t="shared" si="5"/>
        <v>0.97799999999999998</v>
      </c>
      <c r="F60">
        <v>0.97699999999999998</v>
      </c>
      <c r="G60">
        <v>0.87797400000000003</v>
      </c>
      <c r="H60">
        <v>0.98750000000000004</v>
      </c>
      <c r="I60">
        <v>0.97777124999999998</v>
      </c>
      <c r="J60">
        <v>0.92127749999999997</v>
      </c>
      <c r="K60">
        <v>0.98499999999999999</v>
      </c>
      <c r="L60" s="333">
        <v>0.98750000000000004</v>
      </c>
      <c r="M60" s="333">
        <v>0.98750000000000004</v>
      </c>
      <c r="N60">
        <v>0.98</v>
      </c>
      <c r="O60">
        <v>0.98565888800000001</v>
      </c>
      <c r="P60">
        <v>0.98</v>
      </c>
      <c r="Q60" s="328">
        <v>0.98750000000000004</v>
      </c>
      <c r="R60">
        <v>0.98750000000000004</v>
      </c>
      <c r="S60" s="333">
        <v>0.98750000000000004</v>
      </c>
      <c r="T60">
        <v>0.98</v>
      </c>
      <c r="U60">
        <v>0.98</v>
      </c>
      <c r="V60">
        <v>0.98</v>
      </c>
      <c r="W60">
        <v>0.98</v>
      </c>
      <c r="X60">
        <v>0.98565888800000001</v>
      </c>
      <c r="Y60">
        <v>0.98565888800000001</v>
      </c>
      <c r="Z60">
        <v>0.98565888800000001</v>
      </c>
      <c r="AA60">
        <v>0.98565888800000001</v>
      </c>
      <c r="AB60">
        <v>0.98</v>
      </c>
      <c r="AC60">
        <v>0.98</v>
      </c>
      <c r="AD60">
        <v>0.98565888800000001</v>
      </c>
      <c r="AE60">
        <v>0.98565888800000001</v>
      </c>
      <c r="AF60">
        <v>0.98</v>
      </c>
      <c r="AG60">
        <v>0.99</v>
      </c>
      <c r="AH60">
        <v>0.97428300000000001</v>
      </c>
      <c r="AI60">
        <v>0.97428300000000001</v>
      </c>
      <c r="AJ60">
        <v>0.98</v>
      </c>
      <c r="AK60">
        <v>1</v>
      </c>
      <c r="AL60">
        <v>0.98499999999999999</v>
      </c>
      <c r="AM60">
        <v>0.98499999999999999</v>
      </c>
      <c r="AN60" s="328">
        <v>0.99580000000000002</v>
      </c>
      <c r="AO60" s="328">
        <v>0.99</v>
      </c>
      <c r="AP60" s="328">
        <v>0.99</v>
      </c>
      <c r="AQ60">
        <v>0.98499999999999999</v>
      </c>
      <c r="AR60">
        <v>0.97428300000000001</v>
      </c>
      <c r="AS60">
        <v>0.97699999999999998</v>
      </c>
      <c r="AT60" s="328">
        <v>0.97750000000000004</v>
      </c>
      <c r="AU60">
        <v>0.97428300000000001</v>
      </c>
      <c r="AV60">
        <v>0.98499999999999999</v>
      </c>
      <c r="AW60">
        <v>0.98499999999999999</v>
      </c>
      <c r="AX60">
        <v>0.98499999999999999</v>
      </c>
      <c r="AY60">
        <v>0.97428300000000001</v>
      </c>
      <c r="AZ60">
        <v>0.97428300000000001</v>
      </c>
      <c r="BA60">
        <v>0.98499999999999999</v>
      </c>
      <c r="BB60" s="446">
        <v>1</v>
      </c>
      <c r="BC60">
        <v>1</v>
      </c>
      <c r="BD60">
        <v>1</v>
      </c>
      <c r="BE60">
        <v>1</v>
      </c>
      <c r="BF60">
        <v>0.99990000000000001</v>
      </c>
      <c r="BG60">
        <v>1</v>
      </c>
      <c r="BH60">
        <v>1</v>
      </c>
      <c r="BI60">
        <v>0.99</v>
      </c>
      <c r="BJ60">
        <v>0.999</v>
      </c>
      <c r="BK60">
        <v>0.998</v>
      </c>
      <c r="BL60">
        <v>0.99850000000000005</v>
      </c>
      <c r="BM60">
        <v>0.99850000000000005</v>
      </c>
      <c r="BN60">
        <v>0.97199999999999998</v>
      </c>
      <c r="BO60">
        <v>0.99990000000000001</v>
      </c>
      <c r="BP60">
        <v>0.99990000000000001</v>
      </c>
      <c r="BQ60">
        <v>1</v>
      </c>
      <c r="BR60">
        <v>1.0795376000000001</v>
      </c>
      <c r="BS60">
        <v>1.1000000000000001</v>
      </c>
      <c r="BT60">
        <v>1.0827</v>
      </c>
      <c r="BU60">
        <v>1.0103</v>
      </c>
      <c r="BV60">
        <v>1</v>
      </c>
      <c r="BW60">
        <v>2.0417999999999998</v>
      </c>
      <c r="BX60">
        <v>2.2574763330000001</v>
      </c>
      <c r="BY60">
        <v>1.05705</v>
      </c>
      <c r="BZ60">
        <v>1.2885</v>
      </c>
      <c r="CA60">
        <v>2.0009999999999999</v>
      </c>
      <c r="CB60">
        <v>1.492005</v>
      </c>
      <c r="CC60">
        <v>1.492005</v>
      </c>
      <c r="CD60">
        <v>1.248705</v>
      </c>
      <c r="CE60">
        <v>1.062705</v>
      </c>
      <c r="CF60">
        <v>1.407805</v>
      </c>
      <c r="CG60" s="332"/>
      <c r="CH60">
        <v>1.0947</v>
      </c>
      <c r="CI60" s="332"/>
      <c r="CJ60" s="332"/>
      <c r="CK60" s="332"/>
      <c r="CL60" s="332"/>
      <c r="CM60" s="332"/>
      <c r="CN60" s="332"/>
      <c r="CO60" s="332"/>
      <c r="CP60">
        <v>0.97499999999999998</v>
      </c>
      <c r="CQ60">
        <v>0.91</v>
      </c>
      <c r="CR60">
        <v>0.91</v>
      </c>
      <c r="CS60">
        <v>0.97</v>
      </c>
      <c r="CT60">
        <v>0.99895</v>
      </c>
      <c r="CU60">
        <v>0.43</v>
      </c>
      <c r="CV60">
        <v>0.52</v>
      </c>
      <c r="CW60">
        <v>0.92500000000000004</v>
      </c>
      <c r="CX60">
        <v>0.71499999999999997</v>
      </c>
      <c r="CY60">
        <v>0.72499999999999998</v>
      </c>
      <c r="CZ60">
        <v>0.89</v>
      </c>
      <c r="DA60">
        <v>0.92249999999999999</v>
      </c>
      <c r="DB60">
        <v>0.91500000000000004</v>
      </c>
      <c r="DC60">
        <v>0.92749999999999999</v>
      </c>
      <c r="DD60">
        <v>0.91500000000000004</v>
      </c>
      <c r="DE60">
        <v>0.89</v>
      </c>
      <c r="DF60">
        <v>0.98499999999999999</v>
      </c>
      <c r="DG60">
        <v>0.99</v>
      </c>
      <c r="DH60">
        <v>0.99</v>
      </c>
      <c r="DI60">
        <v>0.97750000000000004</v>
      </c>
      <c r="DN60" s="332">
        <v>2.8499999999999999E-4</v>
      </c>
      <c r="DO60" s="332">
        <v>2.0000000000000001E-4</v>
      </c>
      <c r="DP60" s="332">
        <v>0</v>
      </c>
      <c r="DQ60" s="332">
        <v>1E-4</v>
      </c>
      <c r="DR60" s="332">
        <v>0</v>
      </c>
      <c r="DS60" s="332">
        <v>3.5999999999999999E-3</v>
      </c>
      <c r="DT60" s="332">
        <v>4.6999999999999999E-4</v>
      </c>
      <c r="DU60" s="332">
        <v>6.9999999999999999E-4</v>
      </c>
      <c r="DV60" s="332">
        <v>0</v>
      </c>
      <c r="DW60" s="332">
        <v>0</v>
      </c>
      <c r="DX60" s="332">
        <v>5.0000000000000001E-4</v>
      </c>
      <c r="DY60" s="332">
        <v>5.0000000000000001E-4</v>
      </c>
      <c r="DZ60" s="332">
        <v>2.9999999999999997E-4</v>
      </c>
      <c r="EA60" s="332">
        <v>2.7500000000000002E-4</v>
      </c>
      <c r="EB60" s="332">
        <v>4.0000000000000002E-4</v>
      </c>
      <c r="ED60" s="332">
        <v>6.4999999999999994E-5</v>
      </c>
      <c r="EF60">
        <v>1</v>
      </c>
    </row>
    <row r="61" spans="1:136" x14ac:dyDescent="0.25">
      <c r="A61" s="66">
        <v>38231</v>
      </c>
      <c r="B61">
        <v>0.98</v>
      </c>
      <c r="C61">
        <v>0.98799999999999999</v>
      </c>
      <c r="D61">
        <v>0.96499999999999997</v>
      </c>
      <c r="E61">
        <f t="shared" si="5"/>
        <v>0.97799999999999998</v>
      </c>
      <c r="F61">
        <v>0.97699999999999998</v>
      </c>
      <c r="G61">
        <v>0.94088400000000005</v>
      </c>
      <c r="H61">
        <v>0.98750000000000004</v>
      </c>
      <c r="I61">
        <v>0.97841875</v>
      </c>
      <c r="J61">
        <v>0.74088750000000003</v>
      </c>
      <c r="K61">
        <v>0.98499999999999999</v>
      </c>
      <c r="L61" s="333">
        <v>0.98750000000000004</v>
      </c>
      <c r="M61" s="333">
        <v>0.98750000000000004</v>
      </c>
      <c r="N61">
        <v>0.98</v>
      </c>
      <c r="O61">
        <v>0.97794159999999997</v>
      </c>
      <c r="P61">
        <v>0.98</v>
      </c>
      <c r="Q61" s="328">
        <v>0.98750000000000004</v>
      </c>
      <c r="R61">
        <v>0.98750000000000004</v>
      </c>
      <c r="S61" s="333">
        <v>0.98750000000000004</v>
      </c>
      <c r="T61">
        <v>0.98</v>
      </c>
      <c r="U61">
        <v>0.98</v>
      </c>
      <c r="V61">
        <v>0.98</v>
      </c>
      <c r="W61">
        <v>0.98</v>
      </c>
      <c r="X61">
        <v>0.97794159999999997</v>
      </c>
      <c r="Y61">
        <v>0.97794159999999997</v>
      </c>
      <c r="Z61">
        <v>0.97794159999999997</v>
      </c>
      <c r="AA61">
        <v>0.97794159999999997</v>
      </c>
      <c r="AB61">
        <v>0.98</v>
      </c>
      <c r="AC61">
        <v>0.98</v>
      </c>
      <c r="AD61">
        <v>0.97794159999999997</v>
      </c>
      <c r="AE61">
        <v>0.97794159999999997</v>
      </c>
      <c r="AF61">
        <v>0.98</v>
      </c>
      <c r="AG61">
        <v>0.99</v>
      </c>
      <c r="AH61">
        <v>0.97434085000000004</v>
      </c>
      <c r="AI61">
        <v>0.97434085000000004</v>
      </c>
      <c r="AJ61">
        <v>0.98</v>
      </c>
      <c r="AK61">
        <v>1</v>
      </c>
      <c r="AL61">
        <v>0.98499999999999999</v>
      </c>
      <c r="AM61">
        <v>0.98499999999999999</v>
      </c>
      <c r="AN61" s="328">
        <v>0.99580000000000002</v>
      </c>
      <c r="AO61" s="328">
        <v>0.99</v>
      </c>
      <c r="AP61" s="328">
        <v>0.99</v>
      </c>
      <c r="AQ61">
        <v>0.98499999999999999</v>
      </c>
      <c r="AR61">
        <v>0.97434085000000004</v>
      </c>
      <c r="AS61">
        <v>0.97699999999999998</v>
      </c>
      <c r="AT61" s="328">
        <v>0.97750000000000004</v>
      </c>
      <c r="AU61">
        <v>0.97434085000000004</v>
      </c>
      <c r="AV61">
        <v>0.98499999999999999</v>
      </c>
      <c r="AW61">
        <v>0.98499999999999999</v>
      </c>
      <c r="AX61">
        <v>0.98499999999999999</v>
      </c>
      <c r="AY61">
        <v>0.97434085000000004</v>
      </c>
      <c r="AZ61">
        <v>0.97434085000000004</v>
      </c>
      <c r="BA61">
        <v>0.98499999999999999</v>
      </c>
      <c r="BB61" s="446">
        <v>1</v>
      </c>
      <c r="BC61">
        <v>1</v>
      </c>
      <c r="BD61">
        <v>1</v>
      </c>
      <c r="BE61">
        <v>1</v>
      </c>
      <c r="BF61">
        <v>0.99990000000000001</v>
      </c>
      <c r="BG61">
        <v>1</v>
      </c>
      <c r="BH61">
        <v>1</v>
      </c>
      <c r="BI61">
        <v>0.99</v>
      </c>
      <c r="BJ61">
        <v>0.999</v>
      </c>
      <c r="BK61">
        <v>0.998</v>
      </c>
      <c r="BL61">
        <v>0.99850000000000005</v>
      </c>
      <c r="BM61">
        <v>0.99850000000000005</v>
      </c>
      <c r="BN61">
        <v>0.97199999999999998</v>
      </c>
      <c r="BO61">
        <v>0.99990000000000001</v>
      </c>
      <c r="BP61">
        <v>0.99990000000000001</v>
      </c>
      <c r="BQ61">
        <v>1</v>
      </c>
      <c r="BR61">
        <v>1.0798226</v>
      </c>
      <c r="BS61">
        <v>1.1002000000000001</v>
      </c>
      <c r="BT61">
        <v>1.0827</v>
      </c>
      <c r="BU61">
        <v>1.0104</v>
      </c>
      <c r="BV61">
        <v>1</v>
      </c>
      <c r="BW61">
        <v>2.0453999999999999</v>
      </c>
      <c r="BX61">
        <v>2.257946333</v>
      </c>
      <c r="BY61">
        <v>1.05775</v>
      </c>
      <c r="BZ61">
        <v>1.2885</v>
      </c>
      <c r="CA61">
        <v>2.0009999999999999</v>
      </c>
      <c r="CB61">
        <v>1.492505</v>
      </c>
      <c r="CC61">
        <v>1.492505</v>
      </c>
      <c r="CD61">
        <v>1.2490049999999999</v>
      </c>
      <c r="CE61">
        <v>1.06298</v>
      </c>
      <c r="CF61">
        <v>1.4082049999999999</v>
      </c>
      <c r="CG61" s="332"/>
      <c r="CH61">
        <v>1.094765</v>
      </c>
      <c r="CI61" s="332"/>
      <c r="CJ61" s="332"/>
      <c r="CK61" s="332"/>
      <c r="CL61" s="332"/>
      <c r="CM61" s="332"/>
      <c r="CN61" s="332"/>
      <c r="CO61" s="332"/>
      <c r="CP61">
        <v>0.97499999999999998</v>
      </c>
      <c r="CQ61">
        <v>0.91</v>
      </c>
      <c r="CR61">
        <v>0.91</v>
      </c>
      <c r="CS61">
        <v>0.95</v>
      </c>
      <c r="CT61">
        <v>0.99895</v>
      </c>
      <c r="CU61">
        <v>0.46</v>
      </c>
      <c r="CV61">
        <v>0.55000000000000004</v>
      </c>
      <c r="CW61">
        <v>0.92500000000000004</v>
      </c>
      <c r="CX61">
        <v>0.57499999999999996</v>
      </c>
      <c r="CY61">
        <v>0.57499999999999996</v>
      </c>
      <c r="CZ61">
        <v>0.94499999999999995</v>
      </c>
      <c r="DA61">
        <v>0.97750000000000004</v>
      </c>
      <c r="DB61">
        <v>0.94499999999999995</v>
      </c>
      <c r="DC61">
        <v>0.92</v>
      </c>
      <c r="DD61">
        <v>0.91500000000000004</v>
      </c>
      <c r="DE61">
        <v>0.89</v>
      </c>
      <c r="DF61">
        <v>0.98499999999999999</v>
      </c>
      <c r="DG61">
        <v>0.99</v>
      </c>
      <c r="DH61">
        <v>0.99</v>
      </c>
      <c r="DI61">
        <v>0.97750000000000004</v>
      </c>
      <c r="DN61" s="332">
        <v>2.8499999999999999E-4</v>
      </c>
      <c r="DO61" s="332">
        <v>2.0000000000000001E-4</v>
      </c>
      <c r="DP61" s="332">
        <v>0</v>
      </c>
      <c r="DQ61" s="332">
        <v>1E-4</v>
      </c>
      <c r="DR61" s="332">
        <v>0</v>
      </c>
      <c r="DS61" s="332">
        <v>3.5999999999999999E-3</v>
      </c>
      <c r="DT61" s="332">
        <v>4.6999999999999999E-4</v>
      </c>
      <c r="DU61" s="332">
        <v>6.9999999999999999E-4</v>
      </c>
      <c r="DV61" s="332">
        <v>0</v>
      </c>
      <c r="DW61" s="332">
        <v>0</v>
      </c>
      <c r="DX61" s="332">
        <v>5.0000000000000001E-4</v>
      </c>
      <c r="DY61" s="332">
        <v>5.0000000000000001E-4</v>
      </c>
      <c r="DZ61" s="332">
        <v>2.9999999999999997E-4</v>
      </c>
      <c r="EA61" s="332">
        <v>2.7500000000000002E-4</v>
      </c>
      <c r="EB61" s="332">
        <v>4.0000000000000002E-4</v>
      </c>
      <c r="ED61" s="332">
        <v>6.4999999999999994E-5</v>
      </c>
      <c r="EF61">
        <v>1</v>
      </c>
    </row>
    <row r="62" spans="1:136" x14ac:dyDescent="0.25">
      <c r="A62" s="66">
        <v>38261</v>
      </c>
      <c r="B62">
        <v>0.98</v>
      </c>
      <c r="C62">
        <v>0.98799999999999999</v>
      </c>
      <c r="D62">
        <v>0.96499999999999997</v>
      </c>
      <c r="E62">
        <f t="shared" si="5"/>
        <v>0.97799999999999998</v>
      </c>
      <c r="F62">
        <v>0.97699999999999998</v>
      </c>
      <c r="G62">
        <v>0.94254000000000004</v>
      </c>
      <c r="H62">
        <v>0.98750000000000004</v>
      </c>
      <c r="I62">
        <v>0.97906625000000003</v>
      </c>
      <c r="J62">
        <v>0.7280025</v>
      </c>
      <c r="K62">
        <v>0.98499999999999999</v>
      </c>
      <c r="L62" s="333">
        <v>0.98750000000000004</v>
      </c>
      <c r="M62" s="333">
        <v>0.98750000000000004</v>
      </c>
      <c r="N62">
        <v>0.98</v>
      </c>
      <c r="O62">
        <v>0.95958763800000002</v>
      </c>
      <c r="P62">
        <v>0.98</v>
      </c>
      <c r="Q62" s="328">
        <v>0.98750000000000004</v>
      </c>
      <c r="R62">
        <v>0.98750000000000004</v>
      </c>
      <c r="S62" s="333">
        <v>0.98750000000000004</v>
      </c>
      <c r="T62">
        <v>0.98</v>
      </c>
      <c r="U62">
        <v>0.98</v>
      </c>
      <c r="V62">
        <v>0.98</v>
      </c>
      <c r="W62">
        <v>0.98</v>
      </c>
      <c r="X62">
        <v>0.95958763800000002</v>
      </c>
      <c r="Y62">
        <v>0.95958763800000002</v>
      </c>
      <c r="Z62">
        <v>0.95958763800000002</v>
      </c>
      <c r="AA62">
        <v>0.95958763800000002</v>
      </c>
      <c r="AB62">
        <v>0.98</v>
      </c>
      <c r="AC62">
        <v>0.98</v>
      </c>
      <c r="AD62">
        <v>0.95958763800000002</v>
      </c>
      <c r="AE62">
        <v>0.95958763800000002</v>
      </c>
      <c r="AF62">
        <v>0.98</v>
      </c>
      <c r="AG62">
        <v>0.99</v>
      </c>
      <c r="AH62">
        <v>0.97439869999999995</v>
      </c>
      <c r="AI62">
        <v>0.97439869999999995</v>
      </c>
      <c r="AJ62">
        <v>0.98</v>
      </c>
      <c r="AK62">
        <v>1</v>
      </c>
      <c r="AL62">
        <v>0.98499999999999999</v>
      </c>
      <c r="AM62">
        <v>0.98499999999999999</v>
      </c>
      <c r="AN62" s="328">
        <v>0.99580000000000002</v>
      </c>
      <c r="AO62" s="328">
        <v>0.98</v>
      </c>
      <c r="AP62" s="328">
        <v>0.99</v>
      </c>
      <c r="AQ62">
        <v>0.98499999999999999</v>
      </c>
      <c r="AR62">
        <v>0.97439869999999995</v>
      </c>
      <c r="AS62">
        <v>0.97699999999999998</v>
      </c>
      <c r="AT62" s="328">
        <v>0.97750000000000004</v>
      </c>
      <c r="AU62">
        <v>0.97439869999999995</v>
      </c>
      <c r="AV62">
        <v>0.98499999999999999</v>
      </c>
      <c r="AW62">
        <v>0.98499999999999999</v>
      </c>
      <c r="AX62">
        <v>0.98499999999999999</v>
      </c>
      <c r="AY62">
        <v>0.97439869999999995</v>
      </c>
      <c r="AZ62">
        <v>0.97439869999999995</v>
      </c>
      <c r="BA62">
        <v>0.98499999999999999</v>
      </c>
      <c r="BB62" s="446">
        <v>1</v>
      </c>
      <c r="BC62">
        <v>1</v>
      </c>
      <c r="BD62">
        <v>1</v>
      </c>
      <c r="BE62">
        <v>1</v>
      </c>
      <c r="BF62">
        <v>0.99990000000000001</v>
      </c>
      <c r="BG62">
        <v>1</v>
      </c>
      <c r="BH62">
        <v>1</v>
      </c>
      <c r="BI62">
        <v>0.99</v>
      </c>
      <c r="BJ62">
        <v>0.999</v>
      </c>
      <c r="BK62">
        <v>0.998</v>
      </c>
      <c r="BL62">
        <v>0.99850000000000005</v>
      </c>
      <c r="BM62">
        <v>0.99850000000000005</v>
      </c>
      <c r="BN62">
        <v>0.97199999999999998</v>
      </c>
      <c r="BO62">
        <v>0.99990000000000001</v>
      </c>
      <c r="BP62">
        <v>0.99990000000000001</v>
      </c>
      <c r="BQ62">
        <v>1</v>
      </c>
      <c r="BR62">
        <v>1.0801076000000001</v>
      </c>
      <c r="BS62">
        <v>1.1004</v>
      </c>
      <c r="BT62">
        <v>1.0827</v>
      </c>
      <c r="BU62">
        <v>1.0105</v>
      </c>
      <c r="BV62">
        <v>1</v>
      </c>
      <c r="BW62">
        <v>2.0489999999999999</v>
      </c>
      <c r="BX62">
        <v>2.258416333</v>
      </c>
      <c r="BY62">
        <v>1.0584499999999999</v>
      </c>
      <c r="BZ62">
        <v>1.2885</v>
      </c>
      <c r="CA62">
        <v>2.0009999999999999</v>
      </c>
      <c r="CB62">
        <v>1.4930049999999999</v>
      </c>
      <c r="CC62">
        <v>1.4930049999999999</v>
      </c>
      <c r="CD62">
        <v>1.2493050000000001</v>
      </c>
      <c r="CE62">
        <v>1.0632550000000001</v>
      </c>
      <c r="CF62">
        <v>1.4086050000000001</v>
      </c>
      <c r="CG62" s="332"/>
      <c r="CH62">
        <v>1.09483</v>
      </c>
      <c r="CI62" s="332"/>
      <c r="CJ62" s="332"/>
      <c r="CK62" s="332"/>
      <c r="CL62" s="332"/>
      <c r="CM62" s="332"/>
      <c r="CN62" s="332"/>
      <c r="CO62" s="332"/>
      <c r="CP62">
        <v>0.95499999999999996</v>
      </c>
      <c r="CQ62">
        <v>0.9</v>
      </c>
      <c r="CR62">
        <v>0.91</v>
      </c>
      <c r="CS62">
        <v>0.94</v>
      </c>
      <c r="CT62">
        <v>0.99895</v>
      </c>
      <c r="CU62">
        <v>0.46</v>
      </c>
      <c r="CV62">
        <v>0.45</v>
      </c>
      <c r="CW62">
        <v>0.92500000000000004</v>
      </c>
      <c r="CX62">
        <v>0.56499999999999995</v>
      </c>
      <c r="CY62">
        <v>0.505</v>
      </c>
      <c r="CZ62">
        <v>0.80500000000000005</v>
      </c>
      <c r="DA62">
        <v>0.83750000000000002</v>
      </c>
      <c r="DB62">
        <v>0.875</v>
      </c>
      <c r="DC62">
        <v>0.90249999999999997</v>
      </c>
      <c r="DD62">
        <v>0.82</v>
      </c>
      <c r="DE62">
        <v>0.89</v>
      </c>
      <c r="DF62">
        <v>0.98499999999999999</v>
      </c>
      <c r="DG62">
        <v>0.98</v>
      </c>
      <c r="DH62">
        <v>0.99</v>
      </c>
      <c r="DI62">
        <v>0.97750000000000004</v>
      </c>
      <c r="DN62" s="332">
        <v>2.8499999999999999E-4</v>
      </c>
      <c r="DO62" s="332">
        <v>2.0000000000000001E-4</v>
      </c>
      <c r="DP62" s="332">
        <v>0</v>
      </c>
      <c r="DQ62" s="332">
        <v>1E-4</v>
      </c>
      <c r="DR62" s="332">
        <v>0</v>
      </c>
      <c r="DS62" s="332">
        <v>3.5999999999999999E-3</v>
      </c>
      <c r="DT62" s="332">
        <v>4.6999999999999999E-4</v>
      </c>
      <c r="DU62" s="332">
        <v>6.9999999999999999E-4</v>
      </c>
      <c r="DV62" s="332">
        <v>0</v>
      </c>
      <c r="DW62" s="332">
        <v>0</v>
      </c>
      <c r="DX62" s="332">
        <v>5.0000000000000001E-4</v>
      </c>
      <c r="DY62" s="332">
        <v>5.0000000000000001E-4</v>
      </c>
      <c r="DZ62" s="332">
        <v>2.9999999999999997E-4</v>
      </c>
      <c r="EA62" s="332">
        <v>2.7500000000000002E-4</v>
      </c>
      <c r="EB62" s="332">
        <v>4.0000000000000002E-4</v>
      </c>
      <c r="ED62" s="332">
        <v>6.4999999999999994E-5</v>
      </c>
      <c r="EF62">
        <v>1</v>
      </c>
    </row>
    <row r="63" spans="1:136" x14ac:dyDescent="0.25">
      <c r="A63" s="66">
        <v>38292</v>
      </c>
      <c r="B63">
        <v>0.98</v>
      </c>
      <c r="C63">
        <v>0.98799999999999999</v>
      </c>
      <c r="D63">
        <v>0.96499999999999997</v>
      </c>
      <c r="E63">
        <f>E51</f>
        <v>0.99399999999999999</v>
      </c>
      <c r="F63">
        <v>0.97699999999999998</v>
      </c>
      <c r="G63">
        <v>0.98524800000000001</v>
      </c>
      <c r="H63">
        <v>0.98750000000000004</v>
      </c>
      <c r="I63">
        <v>0.95853074999999999</v>
      </c>
      <c r="J63">
        <v>0.67646249999999997</v>
      </c>
      <c r="K63">
        <v>0.97048500000000004</v>
      </c>
      <c r="L63" s="333">
        <v>0.98750000000000004</v>
      </c>
      <c r="M63" s="333">
        <v>0.98750000000000004</v>
      </c>
      <c r="N63">
        <v>0.98</v>
      </c>
      <c r="O63">
        <v>0.95983582499999998</v>
      </c>
      <c r="P63">
        <v>0.98</v>
      </c>
      <c r="Q63" s="328">
        <v>0.98750000000000004</v>
      </c>
      <c r="R63">
        <v>0.98750000000000004</v>
      </c>
      <c r="S63" s="333">
        <v>0.98750000000000004</v>
      </c>
      <c r="T63">
        <v>0.98</v>
      </c>
      <c r="U63">
        <v>0.98</v>
      </c>
      <c r="V63">
        <v>0.98</v>
      </c>
      <c r="W63">
        <v>0.98</v>
      </c>
      <c r="X63">
        <v>0.95983582499999998</v>
      </c>
      <c r="Y63">
        <v>0.95983582499999998</v>
      </c>
      <c r="Z63">
        <v>0.95983582499999998</v>
      </c>
      <c r="AA63">
        <v>0.95983582499999998</v>
      </c>
      <c r="AB63">
        <v>0.98</v>
      </c>
      <c r="AC63">
        <v>0.98</v>
      </c>
      <c r="AD63">
        <v>0.95983582499999998</v>
      </c>
      <c r="AE63">
        <v>0.95983582499999998</v>
      </c>
      <c r="AF63">
        <v>0.98</v>
      </c>
      <c r="AG63">
        <v>0.99</v>
      </c>
      <c r="AH63">
        <v>0.97445654999999998</v>
      </c>
      <c r="AI63">
        <v>0.97445654999999998</v>
      </c>
      <c r="AJ63">
        <v>0.98</v>
      </c>
      <c r="AK63">
        <v>1</v>
      </c>
      <c r="AL63">
        <v>0.97048500000000004</v>
      </c>
      <c r="AM63">
        <v>0.97443000000000002</v>
      </c>
      <c r="AN63" s="328">
        <v>0.99580000000000002</v>
      </c>
      <c r="AO63" s="328">
        <v>0.97</v>
      </c>
      <c r="AP63" s="328">
        <v>0.99</v>
      </c>
      <c r="AQ63">
        <v>0.97443000000000002</v>
      </c>
      <c r="AR63">
        <v>0.97445654999999998</v>
      </c>
      <c r="AS63">
        <v>0.97699999999999998</v>
      </c>
      <c r="AT63" s="328">
        <v>0.97750000000000004</v>
      </c>
      <c r="AU63">
        <v>0.97445654999999998</v>
      </c>
      <c r="AV63">
        <v>0.97443000000000002</v>
      </c>
      <c r="AW63">
        <v>0.97443000000000002</v>
      </c>
      <c r="AX63">
        <v>0.97443000000000002</v>
      </c>
      <c r="AY63">
        <v>0.97445654999999998</v>
      </c>
      <c r="AZ63">
        <v>0.97445654999999998</v>
      </c>
      <c r="BA63">
        <v>0.97443000000000002</v>
      </c>
      <c r="BB63" s="446">
        <v>1</v>
      </c>
      <c r="BC63">
        <v>1</v>
      </c>
      <c r="BD63">
        <v>1</v>
      </c>
      <c r="BE63">
        <v>1</v>
      </c>
      <c r="BF63">
        <v>0.99990000000000001</v>
      </c>
      <c r="BG63">
        <v>1</v>
      </c>
      <c r="BH63">
        <v>1</v>
      </c>
      <c r="BI63">
        <v>0.99</v>
      </c>
      <c r="BJ63">
        <v>0.999</v>
      </c>
      <c r="BK63">
        <v>0.998</v>
      </c>
      <c r="BL63">
        <v>0.99850000000000005</v>
      </c>
      <c r="BM63">
        <v>0.99850000000000005</v>
      </c>
      <c r="BN63">
        <v>0.97199999999999998</v>
      </c>
      <c r="BO63">
        <v>0.99990000000000001</v>
      </c>
      <c r="BP63">
        <v>0.99990000000000001</v>
      </c>
      <c r="BQ63">
        <v>1</v>
      </c>
      <c r="BR63">
        <v>1.0803925999999999</v>
      </c>
      <c r="BS63">
        <v>1.1006</v>
      </c>
      <c r="BT63">
        <v>1.0827</v>
      </c>
      <c r="BU63">
        <v>1.0105999999999999</v>
      </c>
      <c r="BV63">
        <v>1</v>
      </c>
      <c r="BW63">
        <v>2.0526</v>
      </c>
      <c r="BX63">
        <v>2.258886333</v>
      </c>
      <c r="BY63">
        <v>1.05915</v>
      </c>
      <c r="BZ63">
        <v>1.2885</v>
      </c>
      <c r="CA63">
        <v>2.0009999999999999</v>
      </c>
      <c r="CB63">
        <v>1.4935050000000001</v>
      </c>
      <c r="CC63">
        <v>1.4935050000000001</v>
      </c>
      <c r="CD63">
        <v>1.2496050000000001</v>
      </c>
      <c r="CE63">
        <v>1.0635300000000001</v>
      </c>
      <c r="CF63">
        <v>1.4090050000000001</v>
      </c>
      <c r="CG63" s="332"/>
      <c r="CH63">
        <v>1.094895</v>
      </c>
      <c r="CI63" s="332"/>
      <c r="CJ63" s="332"/>
      <c r="CK63" s="332"/>
      <c r="CL63" s="332"/>
      <c r="CM63" s="332"/>
      <c r="CN63" s="332"/>
      <c r="CO63" s="332"/>
      <c r="CP63">
        <v>0.95499999999999996</v>
      </c>
      <c r="CQ63">
        <v>0.9</v>
      </c>
      <c r="CR63">
        <v>0.9</v>
      </c>
      <c r="CS63">
        <v>0.94</v>
      </c>
      <c r="CT63">
        <v>0.999</v>
      </c>
      <c r="CU63">
        <v>0.48</v>
      </c>
      <c r="CV63">
        <v>0.46</v>
      </c>
      <c r="CW63">
        <v>0.90500000000000003</v>
      </c>
      <c r="CX63">
        <v>0.52500000000000002</v>
      </c>
      <c r="CY63">
        <v>0.48499999999999999</v>
      </c>
      <c r="CZ63">
        <v>0.79500000000000004</v>
      </c>
      <c r="DA63">
        <v>0.82750000000000001</v>
      </c>
      <c r="DB63">
        <v>0.85</v>
      </c>
      <c r="DC63">
        <v>0.90249999999999997</v>
      </c>
      <c r="DD63">
        <v>0.82</v>
      </c>
      <c r="DE63">
        <v>0.89</v>
      </c>
      <c r="DF63">
        <v>0.98499999999999999</v>
      </c>
      <c r="DG63">
        <v>0.97</v>
      </c>
      <c r="DH63">
        <v>0.99</v>
      </c>
      <c r="DI63">
        <v>0.97750000000000004</v>
      </c>
      <c r="DN63" s="332">
        <v>2.8499999999999999E-4</v>
      </c>
      <c r="DO63" s="332">
        <v>2.0000000000000001E-4</v>
      </c>
      <c r="DP63" s="332">
        <v>0</v>
      </c>
      <c r="DQ63" s="332">
        <v>1E-4</v>
      </c>
      <c r="DR63" s="332">
        <v>0</v>
      </c>
      <c r="DS63" s="332">
        <v>3.5999999999999999E-3</v>
      </c>
      <c r="DT63" s="332">
        <v>4.6999999999999999E-4</v>
      </c>
      <c r="DU63" s="332">
        <v>6.9999999999999999E-4</v>
      </c>
      <c r="DV63" s="332">
        <v>0</v>
      </c>
      <c r="DW63" s="332">
        <v>0</v>
      </c>
      <c r="DX63" s="332">
        <v>5.0000000000000001E-4</v>
      </c>
      <c r="DY63" s="332">
        <v>5.0000000000000001E-4</v>
      </c>
      <c r="DZ63" s="332">
        <v>2.9999999999999997E-4</v>
      </c>
      <c r="EA63" s="332">
        <v>2.7500000000000002E-4</v>
      </c>
      <c r="EB63" s="332">
        <v>4.0000000000000002E-4</v>
      </c>
      <c r="ED63" s="332">
        <v>6.4999999999999994E-5</v>
      </c>
      <c r="EF63">
        <v>1</v>
      </c>
    </row>
    <row r="64" spans="1:136" x14ac:dyDescent="0.25">
      <c r="A64" s="66">
        <v>38322</v>
      </c>
      <c r="B64">
        <v>0.98</v>
      </c>
      <c r="C64">
        <v>0.97971200000000003</v>
      </c>
      <c r="D64">
        <v>0.96499999999999997</v>
      </c>
      <c r="E64">
        <f>E52</f>
        <v>0.99399999999999999</v>
      </c>
      <c r="F64">
        <v>0.97699999999999998</v>
      </c>
      <c r="G64">
        <v>0.98750000000000004</v>
      </c>
      <c r="H64">
        <v>0.98750000000000004</v>
      </c>
      <c r="I64">
        <v>0.92736874999999996</v>
      </c>
      <c r="J64">
        <v>0.68290499999999998</v>
      </c>
      <c r="K64">
        <v>0.97048500000000004</v>
      </c>
      <c r="L64" s="333">
        <v>0.88146294999999997</v>
      </c>
      <c r="M64" s="333">
        <v>0.93001811199999995</v>
      </c>
      <c r="N64">
        <v>0.86243444999999996</v>
      </c>
      <c r="O64">
        <v>0.94944596299999995</v>
      </c>
      <c r="P64">
        <v>0.86243444999999996</v>
      </c>
      <c r="Q64" s="328">
        <v>0.88146294999999997</v>
      </c>
      <c r="R64">
        <v>0.88146294999999997</v>
      </c>
      <c r="S64" s="333">
        <v>0.88146294999999997</v>
      </c>
      <c r="T64">
        <v>0.86243444999999996</v>
      </c>
      <c r="U64">
        <v>0.86243444999999996</v>
      </c>
      <c r="V64">
        <v>0.86243444999999996</v>
      </c>
      <c r="W64">
        <v>0.86243444999999996</v>
      </c>
      <c r="X64">
        <v>0.94944596299999995</v>
      </c>
      <c r="Y64">
        <v>0.94944596299999995</v>
      </c>
      <c r="Z64">
        <v>0.94944596299999995</v>
      </c>
      <c r="AA64">
        <v>0.94944596299999995</v>
      </c>
      <c r="AB64">
        <v>0.86243444999999996</v>
      </c>
      <c r="AC64">
        <v>0.86243444999999996</v>
      </c>
      <c r="AD64">
        <v>0.94944596299999995</v>
      </c>
      <c r="AE64">
        <v>0.94944596299999995</v>
      </c>
      <c r="AF64">
        <v>0.86243444999999996</v>
      </c>
      <c r="AG64">
        <v>0.98</v>
      </c>
      <c r="AH64">
        <v>0.9745144</v>
      </c>
      <c r="AI64">
        <v>0.9745144</v>
      </c>
      <c r="AJ64">
        <v>0.86243444999999996</v>
      </c>
      <c r="AK64">
        <v>1</v>
      </c>
      <c r="AL64">
        <v>0.97048500000000004</v>
      </c>
      <c r="AM64">
        <v>0.95277599999999996</v>
      </c>
      <c r="AN64" s="328">
        <v>0.99580000000000002</v>
      </c>
      <c r="AO64" s="328">
        <v>0.97</v>
      </c>
      <c r="AP64" s="328">
        <v>0.99</v>
      </c>
      <c r="AQ64">
        <v>0.95277599999999996</v>
      </c>
      <c r="AR64">
        <v>0.9745144</v>
      </c>
      <c r="AS64">
        <v>0.97699999999999998</v>
      </c>
      <c r="AT64" s="328">
        <v>0.97750000000000004</v>
      </c>
      <c r="AU64">
        <v>0.9745144</v>
      </c>
      <c r="AV64">
        <v>0.95277599999999996</v>
      </c>
      <c r="AW64">
        <v>0.95277599999999996</v>
      </c>
      <c r="AX64">
        <v>0.95277599999999996</v>
      </c>
      <c r="AY64">
        <v>0.9745144</v>
      </c>
      <c r="AZ64">
        <v>0.9745144</v>
      </c>
      <c r="BA64">
        <v>0.95277599999999996</v>
      </c>
      <c r="BB64" s="446">
        <v>1</v>
      </c>
      <c r="BC64">
        <v>1</v>
      </c>
      <c r="BD64">
        <v>1</v>
      </c>
      <c r="BE64">
        <v>1</v>
      </c>
      <c r="BF64">
        <v>0.99990000000000001</v>
      </c>
      <c r="BG64">
        <v>1</v>
      </c>
      <c r="BH64">
        <v>1</v>
      </c>
      <c r="BI64">
        <v>0.99</v>
      </c>
      <c r="BJ64">
        <v>0.999</v>
      </c>
      <c r="BK64">
        <v>0.998</v>
      </c>
      <c r="BL64">
        <v>0.99850000000000005</v>
      </c>
      <c r="BM64">
        <v>0.99850000000000005</v>
      </c>
      <c r="BN64">
        <v>0.97199999999999998</v>
      </c>
      <c r="BO64">
        <v>0.99990000000000001</v>
      </c>
      <c r="BP64">
        <v>0.99990000000000001</v>
      </c>
      <c r="BQ64">
        <v>1</v>
      </c>
      <c r="BR64">
        <v>1.0806776</v>
      </c>
      <c r="BS64">
        <v>1.1008</v>
      </c>
      <c r="BT64">
        <v>1.0827</v>
      </c>
      <c r="BU64">
        <v>1.0106999999999999</v>
      </c>
      <c r="BV64">
        <v>1</v>
      </c>
      <c r="BW64">
        <v>2.0562</v>
      </c>
      <c r="BX64">
        <v>2.2593563329999999</v>
      </c>
      <c r="BY64">
        <v>1.05985</v>
      </c>
      <c r="BZ64">
        <v>1.2885</v>
      </c>
      <c r="CA64">
        <v>2.0009999999999999</v>
      </c>
      <c r="CB64">
        <v>1.494005</v>
      </c>
      <c r="CC64">
        <v>1.494005</v>
      </c>
      <c r="CD64">
        <v>1.249905</v>
      </c>
      <c r="CE64">
        <v>1.0638049999999999</v>
      </c>
      <c r="CF64">
        <v>1.409405</v>
      </c>
      <c r="CG64" s="332"/>
      <c r="CH64">
        <v>1.0949599999999999</v>
      </c>
      <c r="CI64" s="332"/>
      <c r="CJ64" s="332"/>
      <c r="CK64" s="332"/>
      <c r="CL64" s="332"/>
      <c r="CM64" s="332"/>
      <c r="CN64" s="332"/>
      <c r="CO64" s="332"/>
      <c r="CP64">
        <v>0.93500000000000005</v>
      </c>
      <c r="CQ64">
        <v>0.89</v>
      </c>
      <c r="CR64">
        <v>0.88</v>
      </c>
      <c r="CS64">
        <v>0.92</v>
      </c>
      <c r="CT64">
        <v>0.999</v>
      </c>
      <c r="CU64">
        <v>0.51</v>
      </c>
      <c r="CV64">
        <v>0.48</v>
      </c>
      <c r="CW64">
        <v>0.875</v>
      </c>
      <c r="CX64">
        <v>0.53</v>
      </c>
      <c r="CY64">
        <v>0.48499999999999999</v>
      </c>
      <c r="CZ64">
        <v>0.59</v>
      </c>
      <c r="DA64">
        <v>0.62250000000000005</v>
      </c>
      <c r="DB64">
        <v>0.69</v>
      </c>
      <c r="DC64">
        <v>0.89249999999999996</v>
      </c>
      <c r="DD64">
        <v>0.71499999999999997</v>
      </c>
      <c r="DE64">
        <v>0.89</v>
      </c>
      <c r="DF64">
        <v>0.98499999999999999</v>
      </c>
      <c r="DG64">
        <v>0.97</v>
      </c>
      <c r="DH64">
        <v>0.99</v>
      </c>
      <c r="DI64">
        <v>0.97750000000000004</v>
      </c>
      <c r="DN64" s="332">
        <v>2.8499999999999999E-4</v>
      </c>
      <c r="DO64" s="332">
        <v>2.0000000000000001E-4</v>
      </c>
      <c r="DP64" s="332">
        <v>0</v>
      </c>
      <c r="DQ64" s="332">
        <v>1E-4</v>
      </c>
      <c r="DR64" s="332">
        <v>0</v>
      </c>
      <c r="DS64" s="332">
        <v>3.5999999999999999E-3</v>
      </c>
      <c r="DT64" s="332">
        <v>4.6999999999999999E-4</v>
      </c>
      <c r="DU64" s="332">
        <v>6.9999999999999999E-4</v>
      </c>
      <c r="DV64" s="332">
        <v>0</v>
      </c>
      <c r="DW64" s="332">
        <v>0</v>
      </c>
      <c r="DX64" s="332">
        <v>5.0000000000000001E-4</v>
      </c>
      <c r="DY64" s="332">
        <v>5.0000000000000001E-4</v>
      </c>
      <c r="DZ64" s="332">
        <v>2.9999999999999997E-4</v>
      </c>
      <c r="EA64" s="332">
        <v>2.7500000000000002E-4</v>
      </c>
      <c r="EB64" s="332">
        <v>4.0000000000000002E-4</v>
      </c>
      <c r="ED64" s="332">
        <v>6.4999999999999994E-5</v>
      </c>
      <c r="EF64">
        <v>1</v>
      </c>
    </row>
    <row r="65" spans="1:136" x14ac:dyDescent="0.25">
      <c r="A65" s="66">
        <v>38353</v>
      </c>
      <c r="B65">
        <v>0.98</v>
      </c>
      <c r="C65">
        <v>0.94686000000000003</v>
      </c>
      <c r="D65">
        <v>0.96499999999999997</v>
      </c>
      <c r="E65">
        <f>E53</f>
        <v>0.99399999999999999</v>
      </c>
      <c r="F65">
        <v>0.97699999999999998</v>
      </c>
      <c r="G65">
        <v>0.98750000000000004</v>
      </c>
      <c r="H65">
        <v>0.98750000000000004</v>
      </c>
      <c r="I65">
        <v>0.85374274999999999</v>
      </c>
      <c r="J65">
        <v>0.69579000000000002</v>
      </c>
      <c r="K65">
        <v>0.98499999999999999</v>
      </c>
      <c r="L65" s="333">
        <v>0.90417552499999998</v>
      </c>
      <c r="M65" s="333">
        <v>0.95274693700000002</v>
      </c>
      <c r="N65">
        <v>0.86264145000000003</v>
      </c>
      <c r="O65">
        <v>0.93639039999999996</v>
      </c>
      <c r="P65">
        <v>0.86264145000000003</v>
      </c>
      <c r="Q65" s="328">
        <v>0.90417552499999998</v>
      </c>
      <c r="R65">
        <v>0.90417552499999998</v>
      </c>
      <c r="S65" s="333">
        <v>0.90417552499999998</v>
      </c>
      <c r="T65">
        <v>0.86264145000000003</v>
      </c>
      <c r="U65">
        <v>0.86264145000000003</v>
      </c>
      <c r="V65">
        <v>0.86264145000000003</v>
      </c>
      <c r="W65">
        <v>0.86264145000000003</v>
      </c>
      <c r="X65">
        <v>0.93639039999999996</v>
      </c>
      <c r="Y65">
        <v>0.93639039999999996</v>
      </c>
      <c r="Z65">
        <v>0.93639039999999996</v>
      </c>
      <c r="AA65">
        <v>0.93639039999999996</v>
      </c>
      <c r="AB65">
        <v>0.86264145000000003</v>
      </c>
      <c r="AC65">
        <v>0.86264145000000003</v>
      </c>
      <c r="AD65">
        <v>0.93639039999999996</v>
      </c>
      <c r="AE65">
        <v>0.93639039999999996</v>
      </c>
      <c r="AF65">
        <v>0.86264145000000003</v>
      </c>
      <c r="AG65">
        <v>0.98</v>
      </c>
      <c r="AH65">
        <v>0.97457225000000003</v>
      </c>
      <c r="AI65">
        <v>0.97457225000000003</v>
      </c>
      <c r="AJ65">
        <v>0.86264145000000003</v>
      </c>
      <c r="AK65">
        <v>1</v>
      </c>
      <c r="AL65">
        <v>0.98499999999999999</v>
      </c>
      <c r="AM65">
        <v>0.94194900000000004</v>
      </c>
      <c r="AN65" s="328">
        <v>0.99580000000000002</v>
      </c>
      <c r="AO65" s="328">
        <v>0.96</v>
      </c>
      <c r="AP65" s="328">
        <v>0.99</v>
      </c>
      <c r="AQ65">
        <v>0.94194900000000004</v>
      </c>
      <c r="AR65">
        <v>0.97457225000000003</v>
      </c>
      <c r="AS65">
        <v>0.97699999999999998</v>
      </c>
      <c r="AT65" s="328">
        <v>0.97750000000000004</v>
      </c>
      <c r="AU65">
        <v>0.97457225000000003</v>
      </c>
      <c r="AV65">
        <v>0.94194900000000004</v>
      </c>
      <c r="AW65">
        <v>0.94194900000000004</v>
      </c>
      <c r="AX65">
        <v>0.94194900000000004</v>
      </c>
      <c r="AY65">
        <v>0.97457225000000003</v>
      </c>
      <c r="AZ65">
        <v>0.97457225000000003</v>
      </c>
      <c r="BA65">
        <v>0.94194900000000004</v>
      </c>
      <c r="BB65" s="446">
        <v>1</v>
      </c>
      <c r="BC65">
        <v>1</v>
      </c>
      <c r="BD65">
        <v>1</v>
      </c>
      <c r="BE65">
        <v>1</v>
      </c>
      <c r="BF65">
        <v>0.99990000000000001</v>
      </c>
      <c r="BG65">
        <v>1</v>
      </c>
      <c r="BH65">
        <v>1</v>
      </c>
      <c r="BI65">
        <v>0.99</v>
      </c>
      <c r="BJ65">
        <v>0.999</v>
      </c>
      <c r="BK65">
        <v>0.998</v>
      </c>
      <c r="BL65">
        <v>0.99850000000000005</v>
      </c>
      <c r="BM65">
        <v>0.99850000000000005</v>
      </c>
      <c r="BN65">
        <v>0.97199999999999998</v>
      </c>
      <c r="BO65">
        <v>0.99990000000000001</v>
      </c>
      <c r="BP65">
        <v>0.99990000000000001</v>
      </c>
      <c r="BQ65">
        <v>1</v>
      </c>
      <c r="BR65">
        <v>1.0809626000000001</v>
      </c>
      <c r="BS65">
        <v>1.101</v>
      </c>
      <c r="BT65">
        <v>1.0827</v>
      </c>
      <c r="BU65">
        <v>1.0107999999999999</v>
      </c>
      <c r="BV65">
        <v>1</v>
      </c>
      <c r="BW65">
        <v>2.0598000000000001</v>
      </c>
      <c r="BX65">
        <v>2.2598263329999999</v>
      </c>
      <c r="BY65">
        <v>1.0605500000000001</v>
      </c>
      <c r="BZ65">
        <v>1.2885</v>
      </c>
      <c r="CA65">
        <v>2.0009999999999999</v>
      </c>
      <c r="CB65">
        <v>1.494505</v>
      </c>
      <c r="CC65">
        <v>1.494505</v>
      </c>
      <c r="CD65">
        <v>1.250205</v>
      </c>
      <c r="CE65">
        <v>1.0640799999999999</v>
      </c>
      <c r="CF65">
        <v>1.409805</v>
      </c>
      <c r="CG65" s="332"/>
      <c r="CH65">
        <v>1.0950249999999999</v>
      </c>
      <c r="CI65" s="332"/>
      <c r="CJ65" s="332"/>
      <c r="CK65" s="332"/>
      <c r="CL65" s="332"/>
      <c r="CM65" s="332"/>
      <c r="CN65" s="332"/>
      <c r="CO65" s="332"/>
      <c r="CP65">
        <v>0.89500000000000002</v>
      </c>
      <c r="CQ65">
        <v>0.86</v>
      </c>
      <c r="CR65">
        <v>0.87</v>
      </c>
      <c r="CS65">
        <v>0.92</v>
      </c>
      <c r="CT65">
        <v>0.999</v>
      </c>
      <c r="CU65">
        <v>0.57999999999999996</v>
      </c>
      <c r="CV65">
        <v>0.45</v>
      </c>
      <c r="CW65">
        <v>0.80500000000000005</v>
      </c>
      <c r="CX65">
        <v>0.54</v>
      </c>
      <c r="CY65">
        <v>0.505</v>
      </c>
      <c r="CZ65">
        <v>0.60499999999999998</v>
      </c>
      <c r="DA65">
        <v>0.63749999999999996</v>
      </c>
      <c r="DB65">
        <v>0.69</v>
      </c>
      <c r="DC65">
        <v>0.88</v>
      </c>
      <c r="DD65">
        <v>0.64</v>
      </c>
      <c r="DE65">
        <v>0.89</v>
      </c>
      <c r="DF65">
        <v>0.98499999999999999</v>
      </c>
      <c r="DG65">
        <v>0.96</v>
      </c>
      <c r="DH65">
        <v>0.99</v>
      </c>
      <c r="DI65">
        <v>0.97750000000000004</v>
      </c>
      <c r="DN65" s="332">
        <v>2.8499999999999999E-4</v>
      </c>
      <c r="DO65" s="332">
        <v>2.0000000000000001E-4</v>
      </c>
      <c r="DP65" s="332">
        <v>0</v>
      </c>
      <c r="DQ65" s="332">
        <v>1E-4</v>
      </c>
      <c r="DR65" s="332">
        <v>0</v>
      </c>
      <c r="DS65" s="332">
        <v>3.5999999999999999E-3</v>
      </c>
      <c r="DT65" s="332">
        <v>4.6999999999999999E-4</v>
      </c>
      <c r="DU65" s="332">
        <v>6.9999999999999999E-4</v>
      </c>
      <c r="DV65" s="332">
        <v>0</v>
      </c>
      <c r="DW65" s="332">
        <v>0</v>
      </c>
      <c r="DX65" s="332">
        <v>5.0000000000000001E-4</v>
      </c>
      <c r="DY65" s="332">
        <v>5.0000000000000001E-4</v>
      </c>
      <c r="DZ65" s="332">
        <v>2.9999999999999997E-4</v>
      </c>
      <c r="EA65" s="332">
        <v>2.7500000000000002E-4</v>
      </c>
      <c r="EB65" s="332">
        <v>4.0000000000000002E-4</v>
      </c>
      <c r="ED65" s="332">
        <v>6.4999999999999994E-5</v>
      </c>
      <c r="EF65">
        <v>1</v>
      </c>
    </row>
    <row r="66" spans="1:136" x14ac:dyDescent="0.25">
      <c r="A66" s="66">
        <v>38384</v>
      </c>
      <c r="B66">
        <v>0.98</v>
      </c>
      <c r="C66">
        <v>0.94703199999999998</v>
      </c>
      <c r="D66">
        <v>0.96499999999999997</v>
      </c>
      <c r="E66">
        <f>E54</f>
        <v>0.99399999999999999</v>
      </c>
      <c r="F66">
        <v>0.97699999999999998</v>
      </c>
      <c r="G66">
        <v>0.98750000000000004</v>
      </c>
      <c r="H66">
        <v>0.98750000000000004</v>
      </c>
      <c r="I66">
        <v>0.89675625000000003</v>
      </c>
      <c r="J66">
        <v>0.83108249999999995</v>
      </c>
      <c r="K66">
        <v>0.98499999999999999</v>
      </c>
      <c r="L66" s="333">
        <v>0.949328175</v>
      </c>
      <c r="M66" s="333">
        <v>0.98750000000000004</v>
      </c>
      <c r="N66">
        <v>0.88785855000000002</v>
      </c>
      <c r="O66">
        <v>0.93397151300000003</v>
      </c>
      <c r="P66">
        <v>0.88785855000000002</v>
      </c>
      <c r="Q66" s="328">
        <v>0.949328175</v>
      </c>
      <c r="R66">
        <v>0.949328175</v>
      </c>
      <c r="S66" s="333">
        <v>0.949328175</v>
      </c>
      <c r="T66">
        <v>0.88785855000000002</v>
      </c>
      <c r="U66">
        <v>0.88785855000000002</v>
      </c>
      <c r="V66">
        <v>0.88785855000000002</v>
      </c>
      <c r="W66">
        <v>0.88785855000000002</v>
      </c>
      <c r="X66">
        <v>0.93397151300000003</v>
      </c>
      <c r="Y66">
        <v>0.93397151300000003</v>
      </c>
      <c r="Z66">
        <v>0.93397151300000003</v>
      </c>
      <c r="AA66">
        <v>0.93397151300000003</v>
      </c>
      <c r="AB66">
        <v>0.88785855000000002</v>
      </c>
      <c r="AC66">
        <v>0.88785855000000002</v>
      </c>
      <c r="AD66">
        <v>0.93397151300000003</v>
      </c>
      <c r="AE66">
        <v>0.93397151300000003</v>
      </c>
      <c r="AF66">
        <v>0.88785855000000002</v>
      </c>
      <c r="AG66">
        <v>0.98</v>
      </c>
      <c r="AH66">
        <v>0.97463010000000005</v>
      </c>
      <c r="AI66">
        <v>0.97463010000000005</v>
      </c>
      <c r="AJ66">
        <v>0.88785855000000002</v>
      </c>
      <c r="AK66">
        <v>1</v>
      </c>
      <c r="AL66">
        <v>0.98499999999999999</v>
      </c>
      <c r="AM66">
        <v>0.96360299999999999</v>
      </c>
      <c r="AN66" s="328">
        <v>0.99580000000000002</v>
      </c>
      <c r="AO66" s="328">
        <v>0.97</v>
      </c>
      <c r="AP66" s="328">
        <v>0.99</v>
      </c>
      <c r="AQ66">
        <v>0.96360299999999999</v>
      </c>
      <c r="AR66">
        <v>0.97463010000000005</v>
      </c>
      <c r="AS66">
        <v>0.97699999999999998</v>
      </c>
      <c r="AT66" s="328">
        <v>0.97750000000000004</v>
      </c>
      <c r="AU66">
        <v>0.97463010000000005</v>
      </c>
      <c r="AV66">
        <v>0.96360299999999999</v>
      </c>
      <c r="AW66">
        <v>0.96360299999999999</v>
      </c>
      <c r="AX66">
        <v>0.96360299999999999</v>
      </c>
      <c r="AY66">
        <v>0.97463010000000005</v>
      </c>
      <c r="AZ66">
        <v>0.97463010000000005</v>
      </c>
      <c r="BA66">
        <v>0.96360299999999999</v>
      </c>
      <c r="BB66" s="446">
        <v>1</v>
      </c>
      <c r="BC66">
        <v>1</v>
      </c>
      <c r="BD66">
        <v>1</v>
      </c>
      <c r="BE66">
        <v>1</v>
      </c>
      <c r="BF66">
        <v>0.99990000000000001</v>
      </c>
      <c r="BG66">
        <v>1</v>
      </c>
      <c r="BH66">
        <v>1</v>
      </c>
      <c r="BI66">
        <v>0.99</v>
      </c>
      <c r="BJ66">
        <v>0.999</v>
      </c>
      <c r="BK66">
        <v>0.998</v>
      </c>
      <c r="BL66">
        <v>0.99850000000000005</v>
      </c>
      <c r="BM66">
        <v>0.99850000000000005</v>
      </c>
      <c r="BN66">
        <v>0.97199999999999998</v>
      </c>
      <c r="BO66">
        <v>0.99990000000000001</v>
      </c>
      <c r="BP66">
        <v>0.99990000000000001</v>
      </c>
      <c r="BQ66">
        <v>1</v>
      </c>
      <c r="BR66">
        <v>1.0812476</v>
      </c>
      <c r="BS66">
        <v>1.1012</v>
      </c>
      <c r="BT66">
        <v>1.0827</v>
      </c>
      <c r="BU66">
        <v>1.0108999999999999</v>
      </c>
      <c r="BV66">
        <v>1</v>
      </c>
      <c r="BW66">
        <v>2.0634000000000001</v>
      </c>
      <c r="BX66">
        <v>2.2602963329999999</v>
      </c>
      <c r="BY66">
        <v>1.06125</v>
      </c>
      <c r="BZ66">
        <v>1.2885</v>
      </c>
      <c r="CA66">
        <v>2.0009999999999999</v>
      </c>
      <c r="CB66">
        <v>1.4950049999999999</v>
      </c>
      <c r="CC66">
        <v>1.4950049999999999</v>
      </c>
      <c r="CD66">
        <v>1.250505</v>
      </c>
      <c r="CE66">
        <v>1.0643549999999999</v>
      </c>
      <c r="CF66">
        <v>1.4102049999999999</v>
      </c>
      <c r="CG66" s="332"/>
      <c r="CH66">
        <v>1.0950899999999999</v>
      </c>
      <c r="CI66" s="332"/>
      <c r="CJ66" s="332"/>
      <c r="CK66" s="332"/>
      <c r="CL66" s="332"/>
      <c r="CM66" s="332"/>
      <c r="CN66" s="332"/>
      <c r="CO66" s="332"/>
      <c r="CP66">
        <v>0.86499999999999999</v>
      </c>
      <c r="CQ66">
        <v>0.86</v>
      </c>
      <c r="CR66">
        <v>0.89</v>
      </c>
      <c r="CS66">
        <v>0.93500000000000005</v>
      </c>
      <c r="CT66">
        <v>0.99895</v>
      </c>
      <c r="CU66">
        <v>0.57999999999999996</v>
      </c>
      <c r="CV66">
        <v>0.45</v>
      </c>
      <c r="CW66">
        <v>0.84499999999999997</v>
      </c>
      <c r="CX66">
        <v>0.64500000000000002</v>
      </c>
      <c r="CY66">
        <v>0.505</v>
      </c>
      <c r="CZ66">
        <v>0.63500000000000001</v>
      </c>
      <c r="DA66">
        <v>0.66749999999999998</v>
      </c>
      <c r="DB66">
        <v>0.71</v>
      </c>
      <c r="DC66">
        <v>0.87749999999999995</v>
      </c>
      <c r="DD66">
        <v>0.67</v>
      </c>
      <c r="DE66">
        <v>0.89</v>
      </c>
      <c r="DF66">
        <v>0.98499999999999999</v>
      </c>
      <c r="DG66">
        <v>0.97</v>
      </c>
      <c r="DH66">
        <v>0.99</v>
      </c>
      <c r="DI66">
        <v>0.97750000000000004</v>
      </c>
      <c r="DN66" s="332">
        <v>2.8499999999999999E-4</v>
      </c>
      <c r="DO66" s="332">
        <v>2.0000000000000001E-4</v>
      </c>
      <c r="DP66" s="332">
        <v>0</v>
      </c>
      <c r="DQ66" s="332">
        <v>1E-4</v>
      </c>
      <c r="DR66" s="332">
        <v>0</v>
      </c>
      <c r="DS66" s="332">
        <v>3.5999999999999999E-3</v>
      </c>
      <c r="DT66" s="332">
        <v>4.6999999999999999E-4</v>
      </c>
      <c r="DU66" s="332">
        <v>6.9999999999999999E-4</v>
      </c>
      <c r="DV66" s="332">
        <v>0</v>
      </c>
      <c r="DW66" s="332">
        <v>0</v>
      </c>
      <c r="DX66" s="332">
        <v>5.0000000000000001E-4</v>
      </c>
      <c r="DY66" s="332">
        <v>5.0000000000000001E-4</v>
      </c>
      <c r="DZ66" s="332">
        <v>2.9999999999999997E-4</v>
      </c>
      <c r="EA66" s="332">
        <v>2.7500000000000002E-4</v>
      </c>
      <c r="EB66" s="332">
        <v>4.0000000000000002E-4</v>
      </c>
      <c r="ED66" s="332">
        <v>6.4999999999999994E-5</v>
      </c>
      <c r="EF66">
        <v>1</v>
      </c>
    </row>
    <row r="67" spans="1:136" x14ac:dyDescent="0.25">
      <c r="A67" s="66">
        <v>38412</v>
      </c>
      <c r="B67">
        <v>0.98</v>
      </c>
      <c r="C67">
        <v>0.98024599999999995</v>
      </c>
      <c r="D67">
        <v>0.96499999999999997</v>
      </c>
      <c r="E67">
        <f>E55</f>
        <v>0.99399999999999999</v>
      </c>
      <c r="F67">
        <v>0.97699999999999998</v>
      </c>
      <c r="G67">
        <v>0.98750000000000004</v>
      </c>
      <c r="H67">
        <v>0.98750000000000004</v>
      </c>
      <c r="I67">
        <v>0.92920625000000001</v>
      </c>
      <c r="J67">
        <v>0.98499999999999999</v>
      </c>
      <c r="K67">
        <v>0.98499999999999999</v>
      </c>
      <c r="L67" s="333">
        <v>0.98750000000000004</v>
      </c>
      <c r="M67" s="333">
        <v>0.98750000000000004</v>
      </c>
      <c r="N67">
        <v>0.98</v>
      </c>
      <c r="O67">
        <v>0.95816699999999999</v>
      </c>
      <c r="P67">
        <v>0.98</v>
      </c>
      <c r="Q67" s="328">
        <v>0.98750000000000004</v>
      </c>
      <c r="R67">
        <v>0.98750000000000004</v>
      </c>
      <c r="S67" s="333">
        <v>0.98750000000000004</v>
      </c>
      <c r="T67">
        <v>0.98</v>
      </c>
      <c r="U67">
        <v>0.98</v>
      </c>
      <c r="V67">
        <v>0.98</v>
      </c>
      <c r="W67">
        <v>0.98</v>
      </c>
      <c r="X67">
        <v>0.95816699999999999</v>
      </c>
      <c r="Y67">
        <v>0.95816699999999999</v>
      </c>
      <c r="Z67">
        <v>0.95816699999999999</v>
      </c>
      <c r="AA67">
        <v>0.95816699999999999</v>
      </c>
      <c r="AB67">
        <v>0.98</v>
      </c>
      <c r="AC67">
        <v>0.98</v>
      </c>
      <c r="AD67">
        <v>0.95816699999999999</v>
      </c>
      <c r="AE67">
        <v>0.95816699999999999</v>
      </c>
      <c r="AF67">
        <v>0.98</v>
      </c>
      <c r="AG67">
        <v>0.99</v>
      </c>
      <c r="AH67">
        <v>0.97468794999999997</v>
      </c>
      <c r="AI67">
        <v>0.97468794999999997</v>
      </c>
      <c r="AJ67">
        <v>0.98</v>
      </c>
      <c r="AK67">
        <v>1</v>
      </c>
      <c r="AL67">
        <v>0.98499999999999999</v>
      </c>
      <c r="AM67">
        <v>0.98499999999999999</v>
      </c>
      <c r="AN67" s="328">
        <v>0.99580000000000002</v>
      </c>
      <c r="AO67" s="328">
        <v>0.97</v>
      </c>
      <c r="AP67" s="328">
        <v>0.99</v>
      </c>
      <c r="AQ67">
        <v>0.98499999999999999</v>
      </c>
      <c r="AR67">
        <v>0.97468794999999997</v>
      </c>
      <c r="AS67">
        <v>0.97699999999999998</v>
      </c>
      <c r="AT67" s="328">
        <v>0.97750000000000004</v>
      </c>
      <c r="AU67">
        <v>0.97468794999999997</v>
      </c>
      <c r="AV67">
        <v>0.98499999999999999</v>
      </c>
      <c r="AW67">
        <v>0.98499999999999999</v>
      </c>
      <c r="AX67">
        <v>0.98499999999999999</v>
      </c>
      <c r="AY67">
        <v>0.97468794999999997</v>
      </c>
      <c r="AZ67">
        <v>0.97468794999999997</v>
      </c>
      <c r="BA67">
        <v>0.98499999999999999</v>
      </c>
      <c r="BB67" s="446">
        <v>1</v>
      </c>
      <c r="BC67">
        <v>1</v>
      </c>
      <c r="BD67">
        <v>1</v>
      </c>
      <c r="BE67">
        <v>1</v>
      </c>
      <c r="BF67">
        <v>0.99990000000000001</v>
      </c>
      <c r="BG67">
        <v>1</v>
      </c>
      <c r="BH67">
        <v>1</v>
      </c>
      <c r="BI67">
        <v>0.99</v>
      </c>
      <c r="BJ67">
        <v>0.999</v>
      </c>
      <c r="BK67">
        <v>0.998</v>
      </c>
      <c r="BL67">
        <v>0.99850000000000005</v>
      </c>
      <c r="BM67">
        <v>0.99850000000000005</v>
      </c>
      <c r="BN67">
        <v>0.97199999999999998</v>
      </c>
      <c r="BO67">
        <v>0.99990000000000001</v>
      </c>
      <c r="BP67">
        <v>0.99990000000000001</v>
      </c>
      <c r="BQ67">
        <v>1</v>
      </c>
      <c r="BR67">
        <v>1.0815326000000001</v>
      </c>
      <c r="BS67">
        <v>1.1013999999999999</v>
      </c>
      <c r="BT67">
        <v>1.0827</v>
      </c>
      <c r="BU67">
        <v>1.0109999999999999</v>
      </c>
      <c r="BV67">
        <v>1</v>
      </c>
      <c r="BW67">
        <v>2.0670000000000002</v>
      </c>
      <c r="BX67">
        <v>2.2607663329999999</v>
      </c>
      <c r="BY67">
        <v>1.0619499999999999</v>
      </c>
      <c r="BZ67">
        <v>1.2885</v>
      </c>
      <c r="CA67">
        <v>2.0009999999999999</v>
      </c>
      <c r="CB67">
        <v>1.4955050000000001</v>
      </c>
      <c r="CC67">
        <v>1.4955050000000001</v>
      </c>
      <c r="CD67">
        <v>1.2508049999999999</v>
      </c>
      <c r="CE67">
        <v>1.06463</v>
      </c>
      <c r="CF67">
        <v>1.4106050000000001</v>
      </c>
      <c r="CG67" s="332"/>
      <c r="CH67">
        <v>1.0951550000000001</v>
      </c>
      <c r="CI67" s="332"/>
      <c r="CJ67" s="332"/>
      <c r="CK67" s="332"/>
      <c r="CL67" s="332"/>
      <c r="CM67" s="332"/>
      <c r="CN67" s="332"/>
      <c r="CO67" s="332"/>
      <c r="CP67">
        <v>0.86499999999999999</v>
      </c>
      <c r="CQ67">
        <v>0.89</v>
      </c>
      <c r="CR67">
        <v>0.91</v>
      </c>
      <c r="CS67">
        <v>0.93500000000000005</v>
      </c>
      <c r="CT67">
        <v>0.99895</v>
      </c>
      <c r="CU67">
        <v>0.54</v>
      </c>
      <c r="CV67">
        <v>0.45</v>
      </c>
      <c r="CW67">
        <v>0.875</v>
      </c>
      <c r="CX67">
        <v>0.81499999999999995</v>
      </c>
      <c r="CY67">
        <v>0.51500000000000001</v>
      </c>
      <c r="CZ67">
        <v>0.78500000000000003</v>
      </c>
      <c r="DA67">
        <v>0.8175</v>
      </c>
      <c r="DB67">
        <v>0.8</v>
      </c>
      <c r="DC67">
        <v>0.9</v>
      </c>
      <c r="DD67">
        <v>0.83</v>
      </c>
      <c r="DE67">
        <v>0.89</v>
      </c>
      <c r="DF67">
        <v>0.98499999999999999</v>
      </c>
      <c r="DG67">
        <v>0.97</v>
      </c>
      <c r="DH67">
        <v>0.99</v>
      </c>
      <c r="DI67">
        <v>0.97750000000000004</v>
      </c>
      <c r="DN67" s="332">
        <v>2.8499999999999999E-4</v>
      </c>
      <c r="DO67" s="332">
        <v>2.0000000000000001E-4</v>
      </c>
      <c r="DP67" s="332">
        <v>0</v>
      </c>
      <c r="DQ67" s="332">
        <v>1E-4</v>
      </c>
      <c r="DR67" s="332">
        <v>0</v>
      </c>
      <c r="DS67" s="332">
        <v>3.5999999999999999E-3</v>
      </c>
      <c r="DT67" s="332">
        <v>4.6999999999999999E-4</v>
      </c>
      <c r="DU67" s="332">
        <v>6.9999999999999999E-4</v>
      </c>
      <c r="DV67" s="332">
        <v>0</v>
      </c>
      <c r="DW67" s="332">
        <v>0</v>
      </c>
      <c r="DX67" s="332">
        <v>5.0000000000000001E-4</v>
      </c>
      <c r="DY67" s="332">
        <v>5.0000000000000001E-4</v>
      </c>
      <c r="DZ67" s="332">
        <v>2.9999999999999997E-4</v>
      </c>
      <c r="EA67" s="332">
        <v>2.7500000000000002E-4</v>
      </c>
      <c r="EB67" s="332">
        <v>4.0000000000000002E-4</v>
      </c>
      <c r="ED67" s="332">
        <v>6.4999999999999994E-5</v>
      </c>
      <c r="EF67">
        <v>1</v>
      </c>
    </row>
    <row r="68" spans="1:136" x14ac:dyDescent="0.25">
      <c r="A68" s="66">
        <v>38443</v>
      </c>
      <c r="B68">
        <v>0.98</v>
      </c>
      <c r="C68">
        <v>0.98799999999999999</v>
      </c>
      <c r="D68">
        <v>0.96499999999999997</v>
      </c>
      <c r="E68">
        <f t="shared" ref="E68:E74" si="6">E57</f>
        <v>0.97799999999999998</v>
      </c>
      <c r="F68">
        <v>0.97699999999999998</v>
      </c>
      <c r="G68">
        <v>0.98750000000000004</v>
      </c>
      <c r="H68">
        <v>0.94971925999999995</v>
      </c>
      <c r="I68">
        <v>0.98750000000000004</v>
      </c>
      <c r="J68">
        <v>0.98499999999999999</v>
      </c>
      <c r="K68">
        <v>0.98499999999999999</v>
      </c>
      <c r="L68" s="333">
        <v>0.98750000000000004</v>
      </c>
      <c r="M68" s="333">
        <v>0.98750000000000004</v>
      </c>
      <c r="N68">
        <v>0.98</v>
      </c>
      <c r="O68">
        <v>0.96160921499999996</v>
      </c>
      <c r="P68">
        <v>0.98</v>
      </c>
      <c r="Q68" s="328">
        <v>0.98750000000000004</v>
      </c>
      <c r="R68">
        <v>0.98750000000000004</v>
      </c>
      <c r="S68" s="333">
        <v>0.98750000000000004</v>
      </c>
      <c r="T68">
        <v>0.98</v>
      </c>
      <c r="U68">
        <v>0.98</v>
      </c>
      <c r="V68">
        <v>0.98</v>
      </c>
      <c r="W68">
        <v>0.98</v>
      </c>
      <c r="X68">
        <v>0.96160921499999996</v>
      </c>
      <c r="Y68">
        <v>0.96160921499999996</v>
      </c>
      <c r="Z68">
        <v>0.96160921499999996</v>
      </c>
      <c r="AA68">
        <v>0.96160921499999996</v>
      </c>
      <c r="AB68">
        <v>0.98</v>
      </c>
      <c r="AC68">
        <v>0.98</v>
      </c>
      <c r="AD68">
        <v>0.96160921499999996</v>
      </c>
      <c r="AE68">
        <v>0.96160921499999996</v>
      </c>
      <c r="AF68">
        <v>0.98</v>
      </c>
      <c r="AG68">
        <v>0.99</v>
      </c>
      <c r="AH68">
        <v>0.9747458</v>
      </c>
      <c r="AI68">
        <v>0.9747458</v>
      </c>
      <c r="AJ68">
        <v>0.98</v>
      </c>
      <c r="AK68">
        <v>1</v>
      </c>
      <c r="AL68">
        <v>0.98499999999999999</v>
      </c>
      <c r="AM68">
        <v>0.98499999999999999</v>
      </c>
      <c r="AN68" s="328">
        <v>0.99580000000000002</v>
      </c>
      <c r="AO68" s="328">
        <v>0.99</v>
      </c>
      <c r="AP68" s="328">
        <v>0.99</v>
      </c>
      <c r="AQ68">
        <v>0.98499999999999999</v>
      </c>
      <c r="AR68">
        <v>0.9747458</v>
      </c>
      <c r="AS68">
        <v>0.97699999999999998</v>
      </c>
      <c r="AT68" s="328">
        <v>0.97750000000000004</v>
      </c>
      <c r="AU68">
        <v>0.9747458</v>
      </c>
      <c r="AV68">
        <v>0.98499999999999999</v>
      </c>
      <c r="AW68">
        <v>0.98499999999999999</v>
      </c>
      <c r="AX68">
        <v>0.98499999999999999</v>
      </c>
      <c r="AY68">
        <v>0.9747458</v>
      </c>
      <c r="AZ68">
        <v>0.9747458</v>
      </c>
      <c r="BA68">
        <v>0.98499999999999999</v>
      </c>
      <c r="BB68" s="446">
        <v>1</v>
      </c>
      <c r="BC68">
        <v>1</v>
      </c>
      <c r="BD68">
        <v>1</v>
      </c>
      <c r="BE68">
        <v>1</v>
      </c>
      <c r="BF68">
        <v>0.99990000000000001</v>
      </c>
      <c r="BG68">
        <v>1</v>
      </c>
      <c r="BH68">
        <v>1</v>
      </c>
      <c r="BI68">
        <v>0.99</v>
      </c>
      <c r="BJ68">
        <v>0.999</v>
      </c>
      <c r="BK68">
        <v>0.998</v>
      </c>
      <c r="BL68">
        <v>0.99850000000000005</v>
      </c>
      <c r="BM68">
        <v>0.99850000000000005</v>
      </c>
      <c r="BN68">
        <v>0.97199999999999998</v>
      </c>
      <c r="BO68">
        <v>0.99990000000000001</v>
      </c>
      <c r="BP68">
        <v>0.99990000000000001</v>
      </c>
      <c r="BQ68">
        <v>1</v>
      </c>
      <c r="BR68">
        <v>1.0818175999999999</v>
      </c>
      <c r="BS68">
        <v>1.1015999999999999</v>
      </c>
      <c r="BT68">
        <v>1.0827</v>
      </c>
      <c r="BU68">
        <v>1.0111000000000001</v>
      </c>
      <c r="BV68">
        <v>1</v>
      </c>
      <c r="BW68">
        <v>2.0706000000000002</v>
      </c>
      <c r="BX68">
        <v>2.2612363329999998</v>
      </c>
      <c r="BY68">
        <v>1.0626500000000001</v>
      </c>
      <c r="BZ68">
        <v>1.2885</v>
      </c>
      <c r="CA68">
        <v>2.0009999999999999</v>
      </c>
      <c r="CB68">
        <v>1.496005</v>
      </c>
      <c r="CC68">
        <v>1.496005</v>
      </c>
      <c r="CD68">
        <v>1.2511049999999999</v>
      </c>
      <c r="CE68">
        <v>1.064905</v>
      </c>
      <c r="CF68">
        <v>1.4110050000000001</v>
      </c>
      <c r="CG68" s="332"/>
      <c r="CH68">
        <v>1.0952200000000001</v>
      </c>
      <c r="CI68" s="332"/>
      <c r="CJ68" s="332"/>
      <c r="CK68" s="332"/>
      <c r="CL68" s="332"/>
      <c r="CM68" s="332"/>
      <c r="CN68" s="332"/>
      <c r="CO68" s="332"/>
      <c r="CP68">
        <v>0.89500000000000002</v>
      </c>
      <c r="CQ68">
        <v>0.9</v>
      </c>
      <c r="CR68">
        <v>0.91</v>
      </c>
      <c r="CS68">
        <v>0.96</v>
      </c>
      <c r="CT68">
        <v>0.99895</v>
      </c>
      <c r="CU68">
        <v>0.48</v>
      </c>
      <c r="CV68">
        <v>0.42</v>
      </c>
      <c r="CW68">
        <v>0.93500000000000005</v>
      </c>
      <c r="CX68">
        <v>0.80500000000000005</v>
      </c>
      <c r="CY68">
        <v>0.57499999999999996</v>
      </c>
      <c r="CZ68">
        <v>0.89500000000000002</v>
      </c>
      <c r="DA68">
        <v>0.92749999999999999</v>
      </c>
      <c r="DB68">
        <v>0.85</v>
      </c>
      <c r="DC68">
        <v>0.90300000000000002</v>
      </c>
      <c r="DD68">
        <v>0.92</v>
      </c>
      <c r="DE68">
        <v>0.89</v>
      </c>
      <c r="DF68">
        <v>0.98499999999999999</v>
      </c>
      <c r="DG68">
        <v>0.99</v>
      </c>
      <c r="DH68">
        <v>0.99</v>
      </c>
      <c r="DI68">
        <v>0.97750000000000004</v>
      </c>
      <c r="DN68" s="332">
        <v>2.8499999999999999E-4</v>
      </c>
      <c r="DO68" s="332">
        <v>2.0000000000000001E-4</v>
      </c>
      <c r="DP68" s="332">
        <v>0</v>
      </c>
      <c r="DQ68" s="332">
        <v>1E-4</v>
      </c>
      <c r="DR68" s="332">
        <v>0</v>
      </c>
      <c r="DS68" s="332">
        <v>3.5999999999999999E-3</v>
      </c>
      <c r="DT68" s="332">
        <v>4.6999999999999999E-4</v>
      </c>
      <c r="DU68" s="332">
        <v>6.9999999999999999E-4</v>
      </c>
      <c r="DV68" s="332">
        <v>0</v>
      </c>
      <c r="DW68" s="332">
        <v>0</v>
      </c>
      <c r="DX68" s="332">
        <v>5.0000000000000001E-4</v>
      </c>
      <c r="DY68" s="332">
        <v>5.0000000000000001E-4</v>
      </c>
      <c r="DZ68" s="332">
        <v>2.9999999999999997E-4</v>
      </c>
      <c r="EA68" s="332">
        <v>2.7500000000000002E-4</v>
      </c>
      <c r="EB68" s="332">
        <v>4.0000000000000002E-4</v>
      </c>
      <c r="ED68" s="332">
        <v>6.4999999999999994E-5</v>
      </c>
      <c r="EF68">
        <v>1</v>
      </c>
    </row>
    <row r="69" spans="1:136" x14ac:dyDescent="0.25">
      <c r="A69" s="66">
        <v>38473</v>
      </c>
      <c r="B69">
        <v>0.98</v>
      </c>
      <c r="C69">
        <v>0.98799999999999999</v>
      </c>
      <c r="D69">
        <v>0.96499999999999997</v>
      </c>
      <c r="E69">
        <f t="shared" si="6"/>
        <v>0.97799999999999998</v>
      </c>
      <c r="F69">
        <v>0.97699999999999998</v>
      </c>
      <c r="G69">
        <v>0.70522799999999997</v>
      </c>
      <c r="H69">
        <v>0.94991665999999997</v>
      </c>
      <c r="I69">
        <v>0.98750000000000004</v>
      </c>
      <c r="J69">
        <v>0.90839250000000005</v>
      </c>
      <c r="K69">
        <v>0.98499999999999999</v>
      </c>
      <c r="L69" s="333">
        <v>0.98750000000000004</v>
      </c>
      <c r="M69" s="333">
        <v>0.98750000000000004</v>
      </c>
      <c r="N69">
        <v>0.98</v>
      </c>
      <c r="O69">
        <v>0.95866200000000001</v>
      </c>
      <c r="P69">
        <v>0.98</v>
      </c>
      <c r="Q69" s="328">
        <v>0.98750000000000004</v>
      </c>
      <c r="R69">
        <v>0.98750000000000004</v>
      </c>
      <c r="S69" s="333">
        <v>0.98750000000000004</v>
      </c>
      <c r="T69">
        <v>0.98</v>
      </c>
      <c r="U69">
        <v>0.98</v>
      </c>
      <c r="V69">
        <v>0.98</v>
      </c>
      <c r="W69">
        <v>0.98</v>
      </c>
      <c r="X69">
        <v>0.95866200000000001</v>
      </c>
      <c r="Y69">
        <v>0.95866200000000001</v>
      </c>
      <c r="Z69">
        <v>0.95866200000000001</v>
      </c>
      <c r="AA69">
        <v>0.95866200000000001</v>
      </c>
      <c r="AB69">
        <v>0.98</v>
      </c>
      <c r="AC69">
        <v>0.98</v>
      </c>
      <c r="AD69">
        <v>0.95866200000000001</v>
      </c>
      <c r="AE69">
        <v>0.95866200000000001</v>
      </c>
      <c r="AF69">
        <v>0.98</v>
      </c>
      <c r="AG69">
        <v>0.99</v>
      </c>
      <c r="AH69">
        <v>0.97480365000000002</v>
      </c>
      <c r="AI69">
        <v>0.97480365000000002</v>
      </c>
      <c r="AJ69">
        <v>0.98</v>
      </c>
      <c r="AK69">
        <v>1</v>
      </c>
      <c r="AL69">
        <v>0.98499999999999999</v>
      </c>
      <c r="AM69">
        <v>0.98499999999999999</v>
      </c>
      <c r="AN69" s="328">
        <v>0.99580000000000002</v>
      </c>
      <c r="AO69" s="328">
        <v>0.99</v>
      </c>
      <c r="AP69" s="328">
        <v>0.99</v>
      </c>
      <c r="AQ69">
        <v>0.98499999999999999</v>
      </c>
      <c r="AR69">
        <v>0.97480365000000002</v>
      </c>
      <c r="AS69">
        <v>0.97699999999999998</v>
      </c>
      <c r="AT69" s="328">
        <v>0.97750000000000004</v>
      </c>
      <c r="AU69">
        <v>0.97480365000000002</v>
      </c>
      <c r="AV69">
        <v>0.98499999999999999</v>
      </c>
      <c r="AW69">
        <v>0.98499999999999999</v>
      </c>
      <c r="AX69">
        <v>0.98499999999999999</v>
      </c>
      <c r="AY69">
        <v>0.97480365000000002</v>
      </c>
      <c r="AZ69">
        <v>0.97480365000000002</v>
      </c>
      <c r="BA69">
        <v>0.98499999999999999</v>
      </c>
      <c r="BB69" s="446">
        <v>1</v>
      </c>
      <c r="BC69">
        <v>1</v>
      </c>
      <c r="BD69">
        <v>1</v>
      </c>
      <c r="BE69">
        <v>1</v>
      </c>
      <c r="BF69">
        <v>0.99990000000000001</v>
      </c>
      <c r="BG69">
        <v>1</v>
      </c>
      <c r="BH69">
        <v>1</v>
      </c>
      <c r="BI69">
        <v>0.99</v>
      </c>
      <c r="BJ69">
        <v>0.999</v>
      </c>
      <c r="BK69">
        <v>0.998</v>
      </c>
      <c r="BL69">
        <v>0.99850000000000005</v>
      </c>
      <c r="BM69">
        <v>0.99850000000000005</v>
      </c>
      <c r="BN69">
        <v>0.97199999999999998</v>
      </c>
      <c r="BO69">
        <v>0.99990000000000001</v>
      </c>
      <c r="BP69">
        <v>0.99990000000000001</v>
      </c>
      <c r="BQ69">
        <v>1</v>
      </c>
      <c r="BR69">
        <v>1.0821026</v>
      </c>
      <c r="BS69">
        <v>1.1017999999999999</v>
      </c>
      <c r="BT69">
        <v>1.0827</v>
      </c>
      <c r="BU69">
        <v>1.0112000000000001</v>
      </c>
      <c r="BV69">
        <v>1</v>
      </c>
      <c r="BW69">
        <v>2.0741999999999998</v>
      </c>
      <c r="BX69">
        <v>2.2617063329999998</v>
      </c>
      <c r="BY69">
        <v>1.06335</v>
      </c>
      <c r="BZ69">
        <v>1.2885</v>
      </c>
      <c r="CA69">
        <v>2.0009999999999999</v>
      </c>
      <c r="CB69">
        <v>1.496505</v>
      </c>
      <c r="CC69">
        <v>1.496505</v>
      </c>
      <c r="CD69">
        <v>1.2514050000000001</v>
      </c>
      <c r="CE69">
        <v>1.06518</v>
      </c>
      <c r="CF69">
        <v>1.411405</v>
      </c>
      <c r="CG69" s="332"/>
      <c r="CH69">
        <v>1.0952850000000001</v>
      </c>
      <c r="CI69" s="332"/>
      <c r="CJ69" s="332"/>
      <c r="CK69" s="332"/>
      <c r="CL69" s="332"/>
      <c r="CM69" s="332"/>
      <c r="CN69" s="332"/>
      <c r="CO69" s="332"/>
      <c r="CP69">
        <v>0.96499999999999997</v>
      </c>
      <c r="CQ69">
        <v>0.91</v>
      </c>
      <c r="CR69">
        <v>0.91</v>
      </c>
      <c r="CS69">
        <v>0.97</v>
      </c>
      <c r="CT69">
        <v>0.99895</v>
      </c>
      <c r="CU69">
        <v>0.34</v>
      </c>
      <c r="CV69">
        <v>0.42</v>
      </c>
      <c r="CW69">
        <v>0.93500000000000005</v>
      </c>
      <c r="CX69">
        <v>0.70499999999999996</v>
      </c>
      <c r="CY69">
        <v>0.625</v>
      </c>
      <c r="CZ69">
        <v>0.91749999999999998</v>
      </c>
      <c r="DA69">
        <v>0.95</v>
      </c>
      <c r="DB69">
        <v>0.88</v>
      </c>
      <c r="DC69">
        <v>0.9</v>
      </c>
      <c r="DD69">
        <v>0.93500000000000005</v>
      </c>
      <c r="DE69">
        <v>0.89</v>
      </c>
      <c r="DF69">
        <v>0.98499999999999999</v>
      </c>
      <c r="DG69">
        <v>0.99</v>
      </c>
      <c r="DH69">
        <v>0.99</v>
      </c>
      <c r="DI69">
        <v>0.97750000000000004</v>
      </c>
      <c r="DN69" s="332">
        <v>2.8499999999999999E-4</v>
      </c>
      <c r="DO69" s="332">
        <v>2.0000000000000001E-4</v>
      </c>
      <c r="DP69" s="332">
        <v>0</v>
      </c>
      <c r="DQ69" s="332">
        <v>1E-4</v>
      </c>
      <c r="DR69" s="332">
        <v>0</v>
      </c>
      <c r="DS69" s="332">
        <v>3.5999999999999999E-3</v>
      </c>
      <c r="DT69" s="332">
        <v>4.6999999999999999E-4</v>
      </c>
      <c r="DU69" s="332">
        <v>6.9999999999999999E-4</v>
      </c>
      <c r="DV69" s="332">
        <v>0</v>
      </c>
      <c r="DW69" s="332">
        <v>0</v>
      </c>
      <c r="DX69" s="332">
        <v>5.0000000000000001E-4</v>
      </c>
      <c r="DY69" s="332">
        <v>5.0000000000000001E-4</v>
      </c>
      <c r="DZ69" s="332">
        <v>2.9999999999999997E-4</v>
      </c>
      <c r="EA69" s="332">
        <v>2.7500000000000002E-4</v>
      </c>
      <c r="EB69" s="332">
        <v>4.0000000000000002E-4</v>
      </c>
      <c r="ED69" s="332">
        <v>6.4999999999999994E-5</v>
      </c>
      <c r="EF69">
        <v>1</v>
      </c>
    </row>
    <row r="70" spans="1:136" x14ac:dyDescent="0.25">
      <c r="A70" s="66">
        <v>38504</v>
      </c>
      <c r="B70">
        <v>0.98</v>
      </c>
      <c r="C70">
        <v>0.98799999999999999</v>
      </c>
      <c r="D70">
        <v>0.96499999999999997</v>
      </c>
      <c r="E70">
        <f t="shared" si="6"/>
        <v>0.97799999999999998</v>
      </c>
      <c r="F70">
        <v>0.97699999999999998</v>
      </c>
      <c r="G70">
        <v>0.70645199999999997</v>
      </c>
      <c r="H70">
        <v>0.98750000000000004</v>
      </c>
      <c r="I70">
        <v>0.98750000000000004</v>
      </c>
      <c r="J70">
        <v>0.79242749999999995</v>
      </c>
      <c r="K70">
        <v>0.98499999999999999</v>
      </c>
      <c r="L70" s="333">
        <v>0.98750000000000004</v>
      </c>
      <c r="M70" s="333">
        <v>0.98750000000000004</v>
      </c>
      <c r="N70">
        <v>0.98</v>
      </c>
      <c r="O70">
        <v>0.96157313799999999</v>
      </c>
      <c r="P70">
        <v>0.98</v>
      </c>
      <c r="Q70" s="328">
        <v>0.98750000000000004</v>
      </c>
      <c r="R70">
        <v>0.98750000000000004</v>
      </c>
      <c r="S70" s="333">
        <v>0.98750000000000004</v>
      </c>
      <c r="T70">
        <v>0.98</v>
      </c>
      <c r="U70">
        <v>0.98</v>
      </c>
      <c r="V70">
        <v>0.98</v>
      </c>
      <c r="W70">
        <v>0.98</v>
      </c>
      <c r="X70">
        <v>0.96157313799999999</v>
      </c>
      <c r="Y70">
        <v>0.96157313799999999</v>
      </c>
      <c r="Z70">
        <v>0.96157313799999999</v>
      </c>
      <c r="AA70">
        <v>0.96157313799999999</v>
      </c>
      <c r="AB70">
        <v>0.98</v>
      </c>
      <c r="AC70">
        <v>0.98</v>
      </c>
      <c r="AD70">
        <v>0.96157313799999999</v>
      </c>
      <c r="AE70">
        <v>0.96157313799999999</v>
      </c>
      <c r="AF70">
        <v>0.98</v>
      </c>
      <c r="AG70">
        <v>0.99</v>
      </c>
      <c r="AH70">
        <v>0.97486150000000005</v>
      </c>
      <c r="AI70">
        <v>0.97486150000000005</v>
      </c>
      <c r="AJ70">
        <v>0.98</v>
      </c>
      <c r="AK70">
        <v>1</v>
      </c>
      <c r="AL70">
        <v>0.98499999999999999</v>
      </c>
      <c r="AM70">
        <v>0.98499999999999999</v>
      </c>
      <c r="AN70" s="328">
        <v>0.99580000000000002</v>
      </c>
      <c r="AO70" s="328">
        <v>0.99</v>
      </c>
      <c r="AP70" s="328">
        <v>0.99</v>
      </c>
      <c r="AQ70">
        <v>0.98499999999999999</v>
      </c>
      <c r="AR70">
        <v>0.97486150000000005</v>
      </c>
      <c r="AS70">
        <v>0.97699999999999998</v>
      </c>
      <c r="AT70" s="328">
        <v>0.97750000000000004</v>
      </c>
      <c r="AU70">
        <v>0.97486150000000005</v>
      </c>
      <c r="AV70">
        <v>0.98499999999999999</v>
      </c>
      <c r="AW70">
        <v>0.98499999999999999</v>
      </c>
      <c r="AX70">
        <v>0.98499999999999999</v>
      </c>
      <c r="AY70">
        <v>0.97486150000000005</v>
      </c>
      <c r="AZ70">
        <v>0.97486150000000005</v>
      </c>
      <c r="BA70">
        <v>0.98499999999999999</v>
      </c>
      <c r="BB70" s="446">
        <v>1</v>
      </c>
      <c r="BC70">
        <v>1</v>
      </c>
      <c r="BD70">
        <v>1</v>
      </c>
      <c r="BE70">
        <v>1</v>
      </c>
      <c r="BF70">
        <v>0.99990000000000001</v>
      </c>
      <c r="BG70">
        <v>1</v>
      </c>
      <c r="BH70">
        <v>1</v>
      </c>
      <c r="BI70">
        <v>0.99</v>
      </c>
      <c r="BJ70">
        <v>0.999</v>
      </c>
      <c r="BK70">
        <v>0.998</v>
      </c>
      <c r="BL70">
        <v>0.99850000000000005</v>
      </c>
      <c r="BM70">
        <v>0.99850000000000005</v>
      </c>
      <c r="BN70">
        <v>0.97199999999999998</v>
      </c>
      <c r="BO70">
        <v>0.99990000000000001</v>
      </c>
      <c r="BP70">
        <v>0.99990000000000001</v>
      </c>
      <c r="BQ70">
        <v>1</v>
      </c>
      <c r="BR70">
        <v>1.0823875999999999</v>
      </c>
      <c r="BS70">
        <v>1.1020000000000001</v>
      </c>
      <c r="BT70">
        <v>1.0827</v>
      </c>
      <c r="BU70">
        <v>1.0113000000000001</v>
      </c>
      <c r="BV70">
        <v>1</v>
      </c>
      <c r="BW70">
        <v>2.0777999999999999</v>
      </c>
      <c r="BX70">
        <v>2.2621763330000002</v>
      </c>
      <c r="BY70">
        <v>1.0640499999999999</v>
      </c>
      <c r="BZ70">
        <v>1.2885</v>
      </c>
      <c r="CA70">
        <v>2.0009999999999999</v>
      </c>
      <c r="CB70">
        <v>1.4970049999999999</v>
      </c>
      <c r="CC70">
        <v>1.4970049999999999</v>
      </c>
      <c r="CD70">
        <v>1.2517050000000001</v>
      </c>
      <c r="CE70">
        <v>1.065455</v>
      </c>
      <c r="CF70">
        <v>1.411805</v>
      </c>
      <c r="CG70" s="332"/>
      <c r="CH70">
        <v>1.09535</v>
      </c>
      <c r="CI70" s="332"/>
      <c r="CJ70" s="332"/>
      <c r="CK70" s="332"/>
      <c r="CL70" s="332"/>
      <c r="CM70" s="332"/>
      <c r="CN70" s="332"/>
      <c r="CO70" s="332"/>
      <c r="CP70">
        <v>0.96499999999999997</v>
      </c>
      <c r="CQ70">
        <v>0.91</v>
      </c>
      <c r="CR70">
        <v>0.91</v>
      </c>
      <c r="CS70">
        <v>0.98</v>
      </c>
      <c r="CT70">
        <v>0.99895</v>
      </c>
      <c r="CU70">
        <v>0.34</v>
      </c>
      <c r="CV70">
        <v>0.47</v>
      </c>
      <c r="CW70">
        <v>0.93500000000000005</v>
      </c>
      <c r="CX70">
        <v>0.61499999999999999</v>
      </c>
      <c r="CY70">
        <v>0.72499999999999998</v>
      </c>
      <c r="CZ70">
        <v>0.88249999999999995</v>
      </c>
      <c r="DA70">
        <v>0.91500000000000004</v>
      </c>
      <c r="DB70">
        <v>0.88</v>
      </c>
      <c r="DC70">
        <v>0.90249999999999997</v>
      </c>
      <c r="DD70">
        <v>0.91500000000000004</v>
      </c>
      <c r="DE70">
        <v>0.89</v>
      </c>
      <c r="DF70">
        <v>0.98499999999999999</v>
      </c>
      <c r="DG70">
        <v>0.99</v>
      </c>
      <c r="DH70">
        <v>0.99</v>
      </c>
      <c r="DI70">
        <v>0.97750000000000004</v>
      </c>
      <c r="DN70" s="332">
        <v>2.8499999999999999E-4</v>
      </c>
      <c r="DO70" s="332">
        <v>2.0000000000000001E-4</v>
      </c>
      <c r="DP70" s="332">
        <v>0</v>
      </c>
      <c r="DQ70" s="332">
        <v>1E-4</v>
      </c>
      <c r="DR70" s="332">
        <v>0</v>
      </c>
      <c r="DS70" s="332">
        <v>3.5999999999999999E-3</v>
      </c>
      <c r="DT70" s="332">
        <v>4.6999999999999999E-4</v>
      </c>
      <c r="DU70" s="332">
        <v>6.9999999999999999E-4</v>
      </c>
      <c r="DV70" s="332">
        <v>0</v>
      </c>
      <c r="DW70" s="332">
        <v>0</v>
      </c>
      <c r="DX70" s="332">
        <v>5.0000000000000001E-4</v>
      </c>
      <c r="DY70" s="332">
        <v>5.0000000000000001E-4</v>
      </c>
      <c r="DZ70" s="332">
        <v>2.9999999999999997E-4</v>
      </c>
      <c r="EA70" s="332">
        <v>2.7500000000000002E-4</v>
      </c>
      <c r="EB70" s="332">
        <v>4.0000000000000002E-4</v>
      </c>
      <c r="ED70" s="332">
        <v>6.4999999999999994E-5</v>
      </c>
      <c r="EF70">
        <v>1</v>
      </c>
    </row>
    <row r="71" spans="1:136" x14ac:dyDescent="0.25">
      <c r="A71" s="66">
        <v>38534</v>
      </c>
      <c r="B71">
        <v>0.98</v>
      </c>
      <c r="C71">
        <v>0.98799999999999999</v>
      </c>
      <c r="D71">
        <v>0.96499999999999997</v>
      </c>
      <c r="E71">
        <f t="shared" si="6"/>
        <v>0.97799999999999998</v>
      </c>
      <c r="F71">
        <v>0.97699999999999998</v>
      </c>
      <c r="G71">
        <v>0.85337399999999997</v>
      </c>
      <c r="H71">
        <v>0.98750000000000004</v>
      </c>
      <c r="I71">
        <v>0.98750000000000004</v>
      </c>
      <c r="J71">
        <v>0.81819750000000002</v>
      </c>
      <c r="K71">
        <v>0.98499999999999999</v>
      </c>
      <c r="L71" s="333">
        <v>0.98750000000000004</v>
      </c>
      <c r="M71" s="333">
        <v>0.98750000000000004</v>
      </c>
      <c r="N71">
        <v>0.98</v>
      </c>
      <c r="O71">
        <v>0.967149975</v>
      </c>
      <c r="P71">
        <v>0.98</v>
      </c>
      <c r="Q71" s="328">
        <v>0.98750000000000004</v>
      </c>
      <c r="R71">
        <v>0.98750000000000004</v>
      </c>
      <c r="S71" s="333">
        <v>0.98750000000000004</v>
      </c>
      <c r="T71">
        <v>0.98</v>
      </c>
      <c r="U71">
        <v>0.98</v>
      </c>
      <c r="V71">
        <v>0.98</v>
      </c>
      <c r="W71">
        <v>0.98</v>
      </c>
      <c r="X71">
        <v>0.967149975</v>
      </c>
      <c r="Y71">
        <v>0.967149975</v>
      </c>
      <c r="Z71">
        <v>0.967149975</v>
      </c>
      <c r="AA71">
        <v>0.967149975</v>
      </c>
      <c r="AB71">
        <v>0.98</v>
      </c>
      <c r="AC71">
        <v>0.98</v>
      </c>
      <c r="AD71">
        <v>0.967149975</v>
      </c>
      <c r="AE71">
        <v>0.967149975</v>
      </c>
      <c r="AF71">
        <v>0.98</v>
      </c>
      <c r="AG71">
        <v>0.99</v>
      </c>
      <c r="AH71">
        <v>0.97491934999999996</v>
      </c>
      <c r="AI71">
        <v>0.97491934999999996</v>
      </c>
      <c r="AJ71">
        <v>0.98</v>
      </c>
      <c r="AK71">
        <v>1</v>
      </c>
      <c r="AL71">
        <v>0.98499999999999999</v>
      </c>
      <c r="AM71">
        <v>0.98499999999999999</v>
      </c>
      <c r="AN71" s="328">
        <v>0.99580000000000002</v>
      </c>
      <c r="AO71" s="328">
        <v>0.99</v>
      </c>
      <c r="AP71" s="328">
        <v>0.99</v>
      </c>
      <c r="AQ71">
        <v>0.98499999999999999</v>
      </c>
      <c r="AR71">
        <v>0.97491934999999996</v>
      </c>
      <c r="AS71">
        <v>0.97699999999999998</v>
      </c>
      <c r="AT71" s="328">
        <v>0.97750000000000004</v>
      </c>
      <c r="AU71">
        <v>0.97491934999999996</v>
      </c>
      <c r="AV71">
        <v>0.98499999999999999</v>
      </c>
      <c r="AW71">
        <v>0.98499999999999999</v>
      </c>
      <c r="AX71">
        <v>0.98499999999999999</v>
      </c>
      <c r="AY71">
        <v>0.97491934999999996</v>
      </c>
      <c r="AZ71">
        <v>0.97491934999999996</v>
      </c>
      <c r="BA71">
        <v>0.98499999999999999</v>
      </c>
      <c r="BB71" s="446">
        <v>1</v>
      </c>
      <c r="BC71">
        <v>1</v>
      </c>
      <c r="BD71">
        <v>1</v>
      </c>
      <c r="BE71">
        <v>1</v>
      </c>
      <c r="BF71">
        <v>0.99990000000000001</v>
      </c>
      <c r="BG71">
        <v>1</v>
      </c>
      <c r="BH71">
        <v>1</v>
      </c>
      <c r="BI71">
        <v>0.99</v>
      </c>
      <c r="BJ71">
        <v>0.999</v>
      </c>
      <c r="BK71">
        <v>0.998</v>
      </c>
      <c r="BL71">
        <v>0.99850000000000005</v>
      </c>
      <c r="BM71">
        <v>0.99850000000000005</v>
      </c>
      <c r="BN71">
        <v>0.97199999999999998</v>
      </c>
      <c r="BO71">
        <v>0.99990000000000001</v>
      </c>
      <c r="BP71">
        <v>0.99990000000000001</v>
      </c>
      <c r="BQ71">
        <v>1</v>
      </c>
      <c r="BR71">
        <v>1.0826726</v>
      </c>
      <c r="BS71">
        <v>1.1022000000000001</v>
      </c>
      <c r="BT71">
        <v>1.0827</v>
      </c>
      <c r="BU71">
        <v>1.0114000000000001</v>
      </c>
      <c r="BV71">
        <v>1</v>
      </c>
      <c r="BW71">
        <v>2.0813999999999999</v>
      </c>
      <c r="BX71">
        <v>2.2626463330000002</v>
      </c>
      <c r="BY71">
        <v>1.0647500000000001</v>
      </c>
      <c r="BZ71">
        <v>1.2885</v>
      </c>
      <c r="CA71">
        <v>2.0009999999999999</v>
      </c>
      <c r="CB71">
        <v>1.4975050000000001</v>
      </c>
      <c r="CC71">
        <v>1.4975050000000001</v>
      </c>
      <c r="CD71">
        <v>1.252005</v>
      </c>
      <c r="CE71">
        <v>1.0657300000000001</v>
      </c>
      <c r="CF71">
        <v>1.4122049999999999</v>
      </c>
      <c r="CG71" s="332"/>
      <c r="CH71">
        <v>1.095415</v>
      </c>
      <c r="CI71" s="332"/>
      <c r="CJ71" s="332"/>
      <c r="CK71" s="332"/>
      <c r="CL71" s="332"/>
      <c r="CM71" s="332"/>
      <c r="CN71" s="332"/>
      <c r="CO71" s="332"/>
      <c r="CP71">
        <v>0.97499999999999998</v>
      </c>
      <c r="CQ71">
        <v>0.91</v>
      </c>
      <c r="CR71">
        <v>0.91</v>
      </c>
      <c r="CS71">
        <v>0.97</v>
      </c>
      <c r="CT71">
        <v>0.99895</v>
      </c>
      <c r="CU71">
        <v>0.41</v>
      </c>
      <c r="CV71">
        <v>0.47</v>
      </c>
      <c r="CW71">
        <v>0.93500000000000005</v>
      </c>
      <c r="CX71">
        <v>0.63500000000000001</v>
      </c>
      <c r="CY71">
        <v>0.72499999999999998</v>
      </c>
      <c r="CZ71">
        <v>0.87749999999999995</v>
      </c>
      <c r="DA71">
        <v>0.91</v>
      </c>
      <c r="DB71">
        <v>0.89</v>
      </c>
      <c r="DC71">
        <v>0.90749999999999997</v>
      </c>
      <c r="DD71">
        <v>0.91500000000000004</v>
      </c>
      <c r="DE71">
        <v>0.89</v>
      </c>
      <c r="DF71">
        <v>0.98499999999999999</v>
      </c>
      <c r="DG71">
        <v>0.99</v>
      </c>
      <c r="DH71">
        <v>0.99</v>
      </c>
      <c r="DI71">
        <v>0.97750000000000004</v>
      </c>
      <c r="DN71" s="332">
        <v>2.8499999999999999E-4</v>
      </c>
      <c r="DO71" s="332">
        <v>2.0000000000000001E-4</v>
      </c>
      <c r="DP71" s="332">
        <v>0</v>
      </c>
      <c r="DQ71" s="332">
        <v>1E-4</v>
      </c>
      <c r="DR71" s="332">
        <v>0</v>
      </c>
      <c r="DS71" s="332">
        <v>3.5999999999999999E-3</v>
      </c>
      <c r="DT71" s="332">
        <v>4.6999999999999999E-4</v>
      </c>
      <c r="DU71" s="332">
        <v>6.9999999999999999E-4</v>
      </c>
      <c r="DV71" s="332">
        <v>0</v>
      </c>
      <c r="DW71" s="332">
        <v>0</v>
      </c>
      <c r="DX71" s="332">
        <v>5.0000000000000001E-4</v>
      </c>
      <c r="DY71" s="332">
        <v>5.0000000000000001E-4</v>
      </c>
      <c r="DZ71" s="332">
        <v>2.9999999999999997E-4</v>
      </c>
      <c r="EA71" s="332">
        <v>2.7500000000000002E-4</v>
      </c>
      <c r="EB71" s="332">
        <v>4.0000000000000002E-4</v>
      </c>
      <c r="ED71" s="332">
        <v>6.4999999999999994E-5</v>
      </c>
      <c r="EF71">
        <v>1</v>
      </c>
    </row>
    <row r="72" spans="1:136" x14ac:dyDescent="0.25">
      <c r="A72" s="66">
        <v>38565</v>
      </c>
      <c r="B72">
        <v>0.98</v>
      </c>
      <c r="C72">
        <v>0.98799999999999999</v>
      </c>
      <c r="D72">
        <v>0.96499999999999997</v>
      </c>
      <c r="E72">
        <f t="shared" si="6"/>
        <v>0.97799999999999998</v>
      </c>
      <c r="F72">
        <v>0.97699999999999998</v>
      </c>
      <c r="G72">
        <v>0.89654999999999996</v>
      </c>
      <c r="H72">
        <v>0.98750000000000004</v>
      </c>
      <c r="I72">
        <v>0.98554125000000004</v>
      </c>
      <c r="J72">
        <v>0.93416250000000001</v>
      </c>
      <c r="K72">
        <v>0.98499999999999999</v>
      </c>
      <c r="L72" s="333">
        <v>0.98750000000000004</v>
      </c>
      <c r="M72" s="333">
        <v>0.98750000000000004</v>
      </c>
      <c r="N72">
        <v>0.98</v>
      </c>
      <c r="O72">
        <v>0.98750000000000004</v>
      </c>
      <c r="P72">
        <v>0.98</v>
      </c>
      <c r="Q72" s="328">
        <v>0.98750000000000004</v>
      </c>
      <c r="R72">
        <v>0.98750000000000004</v>
      </c>
      <c r="S72" s="333">
        <v>0.98750000000000004</v>
      </c>
      <c r="T72">
        <v>0.98</v>
      </c>
      <c r="U72">
        <v>0.98</v>
      </c>
      <c r="V72">
        <v>0.98</v>
      </c>
      <c r="W72">
        <v>0.98</v>
      </c>
      <c r="X72">
        <v>0.98750000000000004</v>
      </c>
      <c r="Y72">
        <v>0.98750000000000004</v>
      </c>
      <c r="Z72">
        <v>0.98750000000000004</v>
      </c>
      <c r="AA72">
        <v>0.98750000000000004</v>
      </c>
      <c r="AB72">
        <v>0.98</v>
      </c>
      <c r="AC72">
        <v>0.98</v>
      </c>
      <c r="AD72">
        <v>0.98750000000000004</v>
      </c>
      <c r="AE72">
        <v>0.98750000000000004</v>
      </c>
      <c r="AF72">
        <v>0.98</v>
      </c>
      <c r="AG72">
        <v>0.99</v>
      </c>
      <c r="AH72">
        <v>0.97497719999999999</v>
      </c>
      <c r="AI72">
        <v>0.97497719999999999</v>
      </c>
      <c r="AJ72">
        <v>0.98</v>
      </c>
      <c r="AK72">
        <v>1</v>
      </c>
      <c r="AL72">
        <v>0.98499999999999999</v>
      </c>
      <c r="AM72">
        <v>0.98499999999999999</v>
      </c>
      <c r="AN72" s="328">
        <v>0.99580000000000002</v>
      </c>
      <c r="AO72" s="328">
        <v>0.99</v>
      </c>
      <c r="AP72" s="328">
        <v>0.99</v>
      </c>
      <c r="AQ72">
        <v>0.98499999999999999</v>
      </c>
      <c r="AR72">
        <v>0.97497719999999999</v>
      </c>
      <c r="AS72">
        <v>0.97699999999999998</v>
      </c>
      <c r="AT72" s="328">
        <v>0.97750000000000004</v>
      </c>
      <c r="AU72">
        <v>0.97497719999999999</v>
      </c>
      <c r="AV72">
        <v>0.98499999999999999</v>
      </c>
      <c r="AW72">
        <v>0.98499999999999999</v>
      </c>
      <c r="AX72">
        <v>0.98499999999999999</v>
      </c>
      <c r="AY72">
        <v>0.97497719999999999</v>
      </c>
      <c r="AZ72">
        <v>0.97497719999999999</v>
      </c>
      <c r="BA72">
        <v>0.98499999999999999</v>
      </c>
      <c r="BB72" s="446">
        <v>1</v>
      </c>
      <c r="BC72">
        <v>1</v>
      </c>
      <c r="BD72">
        <v>1</v>
      </c>
      <c r="BE72">
        <v>1</v>
      </c>
      <c r="BF72">
        <v>0.99990000000000001</v>
      </c>
      <c r="BG72">
        <v>1</v>
      </c>
      <c r="BH72">
        <v>1</v>
      </c>
      <c r="BI72">
        <v>0.99</v>
      </c>
      <c r="BJ72">
        <v>0.999</v>
      </c>
      <c r="BK72">
        <v>0.998</v>
      </c>
      <c r="BL72">
        <v>0.99850000000000005</v>
      </c>
      <c r="BM72">
        <v>0.99850000000000005</v>
      </c>
      <c r="BN72">
        <v>0.97199999999999998</v>
      </c>
      <c r="BO72">
        <v>0.99990000000000001</v>
      </c>
      <c r="BP72">
        <v>0.99990000000000001</v>
      </c>
      <c r="BQ72">
        <v>1</v>
      </c>
      <c r="BR72">
        <v>1.0829576000000001</v>
      </c>
      <c r="BS72">
        <v>1.1024</v>
      </c>
      <c r="BT72">
        <v>1.0827</v>
      </c>
      <c r="BU72">
        <v>1.0115000000000001</v>
      </c>
      <c r="BV72">
        <v>1</v>
      </c>
      <c r="BW72">
        <v>2.085</v>
      </c>
      <c r="BX72">
        <v>2.2631163330000001</v>
      </c>
      <c r="BY72">
        <v>1.06545</v>
      </c>
      <c r="BZ72">
        <v>1.2885</v>
      </c>
      <c r="CA72">
        <v>2.0009999999999999</v>
      </c>
      <c r="CB72">
        <v>1.498005</v>
      </c>
      <c r="CC72">
        <v>1.498005</v>
      </c>
      <c r="CD72">
        <v>1.252305</v>
      </c>
      <c r="CE72">
        <v>1.0660050000000001</v>
      </c>
      <c r="CF72">
        <v>1.4126050000000001</v>
      </c>
      <c r="CG72" s="332"/>
      <c r="CH72">
        <v>1.09548</v>
      </c>
      <c r="CI72" s="332"/>
      <c r="CJ72" s="332"/>
      <c r="CK72" s="332"/>
      <c r="CL72" s="332"/>
      <c r="CM72" s="332"/>
      <c r="CN72" s="332"/>
      <c r="CO72" s="332"/>
      <c r="CP72">
        <v>0.97499999999999998</v>
      </c>
      <c r="CQ72">
        <v>0.91</v>
      </c>
      <c r="CR72">
        <v>0.91</v>
      </c>
      <c r="CS72">
        <v>0.97</v>
      </c>
      <c r="CT72">
        <v>0.99895</v>
      </c>
      <c r="CU72">
        <v>0.43</v>
      </c>
      <c r="CV72">
        <v>0.52</v>
      </c>
      <c r="CW72">
        <v>0.92500000000000004</v>
      </c>
      <c r="CX72">
        <v>0.72499999999999998</v>
      </c>
      <c r="CY72">
        <v>0.72499999999999998</v>
      </c>
      <c r="CZ72">
        <v>0.89</v>
      </c>
      <c r="DA72">
        <v>0.92249999999999999</v>
      </c>
      <c r="DB72">
        <v>0.91500000000000004</v>
      </c>
      <c r="DC72">
        <v>0.92749999999999999</v>
      </c>
      <c r="DD72">
        <v>0.91500000000000004</v>
      </c>
      <c r="DE72">
        <v>0.89</v>
      </c>
      <c r="DF72">
        <v>0.98499999999999999</v>
      </c>
      <c r="DG72">
        <v>0.99</v>
      </c>
      <c r="DH72">
        <v>0.99</v>
      </c>
      <c r="DI72">
        <v>0.97750000000000004</v>
      </c>
      <c r="DN72" s="332">
        <v>2.8499999999999999E-4</v>
      </c>
      <c r="DO72" s="332">
        <v>2.0000000000000001E-4</v>
      </c>
      <c r="DP72" s="332">
        <v>0</v>
      </c>
      <c r="DQ72" s="332">
        <v>1E-4</v>
      </c>
      <c r="DR72" s="332">
        <v>0</v>
      </c>
      <c r="DS72" s="332">
        <v>3.5999999999999999E-3</v>
      </c>
      <c r="DT72" s="332">
        <v>4.6999999999999999E-4</v>
      </c>
      <c r="DU72" s="332">
        <v>6.9999999999999999E-4</v>
      </c>
      <c r="DV72" s="332">
        <v>0</v>
      </c>
      <c r="DW72" s="332">
        <v>0</v>
      </c>
      <c r="DX72" s="332">
        <v>5.0000000000000001E-4</v>
      </c>
      <c r="DY72" s="332">
        <v>5.0000000000000001E-4</v>
      </c>
      <c r="DZ72" s="332">
        <v>2.9999999999999997E-4</v>
      </c>
      <c r="EA72" s="332">
        <v>2.7500000000000002E-4</v>
      </c>
      <c r="EB72" s="332">
        <v>4.0000000000000002E-4</v>
      </c>
      <c r="ED72" s="332">
        <v>6.4999999999999994E-5</v>
      </c>
      <c r="EF72">
        <v>1</v>
      </c>
    </row>
    <row r="73" spans="1:136" x14ac:dyDescent="0.25">
      <c r="A73" s="66">
        <v>38596</v>
      </c>
      <c r="B73">
        <v>0.98</v>
      </c>
      <c r="C73">
        <v>0.98799999999999999</v>
      </c>
      <c r="D73">
        <v>0.96499999999999997</v>
      </c>
      <c r="E73">
        <f t="shared" si="6"/>
        <v>0.97799999999999998</v>
      </c>
      <c r="F73">
        <v>0.97699999999999998</v>
      </c>
      <c r="G73">
        <v>0.96075600000000005</v>
      </c>
      <c r="H73">
        <v>0.98750000000000004</v>
      </c>
      <c r="I73">
        <v>0.98618874999999995</v>
      </c>
      <c r="J73">
        <v>0.75377249999999996</v>
      </c>
      <c r="K73">
        <v>0.98499999999999999</v>
      </c>
      <c r="L73" s="333">
        <v>0.98750000000000004</v>
      </c>
      <c r="M73" s="333">
        <v>0.98750000000000004</v>
      </c>
      <c r="N73">
        <v>0.98</v>
      </c>
      <c r="O73">
        <v>0.98097760000000001</v>
      </c>
      <c r="P73">
        <v>0.98</v>
      </c>
      <c r="Q73" s="328">
        <v>0.98750000000000004</v>
      </c>
      <c r="R73">
        <v>0.98750000000000004</v>
      </c>
      <c r="S73" s="333">
        <v>0.98750000000000004</v>
      </c>
      <c r="T73">
        <v>0.98</v>
      </c>
      <c r="U73">
        <v>0.98</v>
      </c>
      <c r="V73">
        <v>0.98</v>
      </c>
      <c r="W73">
        <v>0.98</v>
      </c>
      <c r="X73">
        <v>0.98097760000000001</v>
      </c>
      <c r="Y73">
        <v>0.98097760000000001</v>
      </c>
      <c r="Z73">
        <v>0.98097760000000001</v>
      </c>
      <c r="AA73">
        <v>0.98097760000000001</v>
      </c>
      <c r="AB73">
        <v>0.98</v>
      </c>
      <c r="AC73">
        <v>0.98</v>
      </c>
      <c r="AD73">
        <v>0.98097760000000001</v>
      </c>
      <c r="AE73">
        <v>0.98097760000000001</v>
      </c>
      <c r="AF73">
        <v>0.98</v>
      </c>
      <c r="AG73">
        <v>0.99</v>
      </c>
      <c r="AH73">
        <v>0.97503505000000001</v>
      </c>
      <c r="AI73">
        <v>0.97503505000000001</v>
      </c>
      <c r="AJ73">
        <v>0.98</v>
      </c>
      <c r="AK73">
        <v>1</v>
      </c>
      <c r="AL73">
        <v>0.98499999999999999</v>
      </c>
      <c r="AM73">
        <v>0.98499999999999999</v>
      </c>
      <c r="AN73" s="328">
        <v>0.99580000000000002</v>
      </c>
      <c r="AO73" s="328">
        <v>0.99</v>
      </c>
      <c r="AP73" s="328">
        <v>0.99</v>
      </c>
      <c r="AQ73">
        <v>0.98499999999999999</v>
      </c>
      <c r="AR73">
        <v>0.97503505000000001</v>
      </c>
      <c r="AS73">
        <v>0.97699999999999998</v>
      </c>
      <c r="AT73" s="328">
        <v>0.97750000000000004</v>
      </c>
      <c r="AU73">
        <v>0.97503505000000001</v>
      </c>
      <c r="AV73">
        <v>0.98499999999999999</v>
      </c>
      <c r="AW73">
        <v>0.98499999999999999</v>
      </c>
      <c r="AX73">
        <v>0.98499999999999999</v>
      </c>
      <c r="AY73">
        <v>0.97503505000000001</v>
      </c>
      <c r="AZ73">
        <v>0.97503505000000001</v>
      </c>
      <c r="BA73">
        <v>0.98499999999999999</v>
      </c>
      <c r="BB73" s="446">
        <v>1</v>
      </c>
      <c r="BC73">
        <v>1</v>
      </c>
      <c r="BD73">
        <v>1</v>
      </c>
      <c r="BE73">
        <v>1</v>
      </c>
      <c r="BF73">
        <v>0.99990000000000001</v>
      </c>
      <c r="BG73">
        <v>1</v>
      </c>
      <c r="BH73">
        <v>1</v>
      </c>
      <c r="BI73">
        <v>0.99</v>
      </c>
      <c r="BJ73">
        <v>0.999</v>
      </c>
      <c r="BK73">
        <v>0.998</v>
      </c>
      <c r="BL73">
        <v>0.99850000000000005</v>
      </c>
      <c r="BM73">
        <v>0.99850000000000005</v>
      </c>
      <c r="BN73">
        <v>0.97199999999999998</v>
      </c>
      <c r="BO73">
        <v>0.99990000000000001</v>
      </c>
      <c r="BP73">
        <v>0.99990000000000001</v>
      </c>
      <c r="BQ73">
        <v>1</v>
      </c>
      <c r="BR73">
        <v>1.0832425999999999</v>
      </c>
      <c r="BS73">
        <v>1.1026</v>
      </c>
      <c r="BT73">
        <v>1.0827</v>
      </c>
      <c r="BU73">
        <v>1.0116000000000001</v>
      </c>
      <c r="BV73">
        <v>1</v>
      </c>
      <c r="BW73">
        <v>2.0886</v>
      </c>
      <c r="BX73">
        <v>2.2635863330000001</v>
      </c>
      <c r="BY73">
        <v>1.0661499999999999</v>
      </c>
      <c r="BZ73">
        <v>1.2885</v>
      </c>
      <c r="CA73">
        <v>2.0009999999999999</v>
      </c>
      <c r="CB73">
        <v>1.498505</v>
      </c>
      <c r="CC73">
        <v>1.498505</v>
      </c>
      <c r="CD73">
        <v>1.252605</v>
      </c>
      <c r="CE73">
        <v>1.0662799999999999</v>
      </c>
      <c r="CF73">
        <v>1.4130050000000001</v>
      </c>
      <c r="CG73" s="332"/>
      <c r="CH73">
        <v>1.095545</v>
      </c>
      <c r="CI73" s="332"/>
      <c r="CJ73" s="332"/>
      <c r="CK73" s="332"/>
      <c r="CL73" s="332"/>
      <c r="CM73" s="332"/>
      <c r="CN73" s="332"/>
      <c r="CO73" s="332"/>
      <c r="CP73">
        <v>0.97499999999999998</v>
      </c>
      <c r="CQ73">
        <v>0.91</v>
      </c>
      <c r="CR73">
        <v>0.91</v>
      </c>
      <c r="CS73">
        <v>0.95</v>
      </c>
      <c r="CT73">
        <v>0.99895</v>
      </c>
      <c r="CU73">
        <v>0.46</v>
      </c>
      <c r="CV73">
        <v>0.55000000000000004</v>
      </c>
      <c r="CW73">
        <v>0.92500000000000004</v>
      </c>
      <c r="CX73">
        <v>0.58499999999999996</v>
      </c>
      <c r="CY73">
        <v>0.57499999999999996</v>
      </c>
      <c r="CZ73">
        <v>0.94499999999999995</v>
      </c>
      <c r="DA73">
        <v>0.97750000000000004</v>
      </c>
      <c r="DB73">
        <v>0.94499999999999995</v>
      </c>
      <c r="DC73">
        <v>0.92</v>
      </c>
      <c r="DD73">
        <v>0.91500000000000004</v>
      </c>
      <c r="DE73">
        <v>0.89</v>
      </c>
      <c r="DF73">
        <v>0.98499999999999999</v>
      </c>
      <c r="DG73">
        <v>0.99</v>
      </c>
      <c r="DH73">
        <v>0.99</v>
      </c>
      <c r="DI73">
        <v>0.97750000000000004</v>
      </c>
      <c r="DN73" s="332">
        <v>2.8499999999999999E-4</v>
      </c>
      <c r="DO73" s="332">
        <v>2.0000000000000001E-4</v>
      </c>
      <c r="DP73" s="332">
        <v>0</v>
      </c>
      <c r="DQ73" s="332">
        <v>1E-4</v>
      </c>
      <c r="DR73" s="332">
        <v>0</v>
      </c>
      <c r="DS73" s="332">
        <v>3.5999999999999999E-3</v>
      </c>
      <c r="DT73" s="332">
        <v>4.6999999999999999E-4</v>
      </c>
      <c r="DU73" s="332">
        <v>6.9999999999999999E-4</v>
      </c>
      <c r="DV73" s="332">
        <v>0</v>
      </c>
      <c r="DW73" s="332">
        <v>0</v>
      </c>
      <c r="DX73" s="332">
        <v>5.0000000000000001E-4</v>
      </c>
      <c r="DY73" s="332">
        <v>5.0000000000000001E-4</v>
      </c>
      <c r="DZ73" s="332">
        <v>2.9999999999999997E-4</v>
      </c>
      <c r="EA73" s="332">
        <v>2.7500000000000002E-4</v>
      </c>
      <c r="EB73" s="332">
        <v>4.0000000000000002E-4</v>
      </c>
      <c r="ED73" s="332">
        <v>6.4999999999999994E-5</v>
      </c>
      <c r="EF73">
        <v>1</v>
      </c>
    </row>
    <row r="74" spans="1:136" x14ac:dyDescent="0.25">
      <c r="A74" s="66">
        <v>38626</v>
      </c>
      <c r="B74">
        <v>0.98</v>
      </c>
      <c r="C74">
        <v>0.98799999999999999</v>
      </c>
      <c r="D74">
        <v>0.96499999999999997</v>
      </c>
      <c r="E74">
        <f t="shared" si="6"/>
        <v>0.99399999999999999</v>
      </c>
      <c r="F74">
        <v>0.97699999999999998</v>
      </c>
      <c r="G74">
        <v>0.96241200000000005</v>
      </c>
      <c r="H74">
        <v>0.98750000000000004</v>
      </c>
      <c r="I74">
        <v>0.98683624999999997</v>
      </c>
      <c r="J74">
        <v>0.74088750000000003</v>
      </c>
      <c r="K74">
        <v>0.98499999999999999</v>
      </c>
      <c r="L74" s="333">
        <v>0.98750000000000004</v>
      </c>
      <c r="M74" s="333">
        <v>0.98750000000000004</v>
      </c>
      <c r="N74">
        <v>0.98</v>
      </c>
      <c r="O74">
        <v>0.96256588799999998</v>
      </c>
      <c r="P74">
        <v>0.98</v>
      </c>
      <c r="Q74" s="328">
        <v>0.98750000000000004</v>
      </c>
      <c r="R74">
        <v>0.98750000000000004</v>
      </c>
      <c r="S74" s="333">
        <v>0.98750000000000004</v>
      </c>
      <c r="T74">
        <v>0.98</v>
      </c>
      <c r="U74">
        <v>0.98</v>
      </c>
      <c r="V74">
        <v>0.98</v>
      </c>
      <c r="W74">
        <v>0.98</v>
      </c>
      <c r="X74">
        <v>0.96256588799999998</v>
      </c>
      <c r="Y74">
        <v>0.96256588799999998</v>
      </c>
      <c r="Z74">
        <v>0.96256588799999998</v>
      </c>
      <c r="AA74">
        <v>0.96256588799999998</v>
      </c>
      <c r="AB74">
        <v>0.98</v>
      </c>
      <c r="AC74">
        <v>0.98</v>
      </c>
      <c r="AD74">
        <v>0.96256588799999998</v>
      </c>
      <c r="AE74">
        <v>0.96256588799999998</v>
      </c>
      <c r="AF74">
        <v>0.98</v>
      </c>
      <c r="AG74">
        <v>0.99</v>
      </c>
      <c r="AH74">
        <v>0.97509290000000004</v>
      </c>
      <c r="AI74">
        <v>0.97509290000000004</v>
      </c>
      <c r="AJ74">
        <v>0.98</v>
      </c>
      <c r="AK74">
        <v>1</v>
      </c>
      <c r="AL74">
        <v>0.98499999999999999</v>
      </c>
      <c r="AM74">
        <v>0.98499999999999999</v>
      </c>
      <c r="AN74" s="328">
        <v>0.99580000000000002</v>
      </c>
      <c r="AO74" s="328">
        <v>0.98</v>
      </c>
      <c r="AP74" s="328">
        <v>0.99</v>
      </c>
      <c r="AQ74">
        <v>0.98499999999999999</v>
      </c>
      <c r="AR74">
        <v>0.97509290000000004</v>
      </c>
      <c r="AS74">
        <v>0.97699999999999998</v>
      </c>
      <c r="AT74" s="328">
        <v>0.97750000000000004</v>
      </c>
      <c r="AU74">
        <v>0.97509290000000004</v>
      </c>
      <c r="AV74">
        <v>0.98499999999999999</v>
      </c>
      <c r="AW74">
        <v>0.98499999999999999</v>
      </c>
      <c r="AX74">
        <v>0.98499999999999999</v>
      </c>
      <c r="AY74">
        <v>0.97509290000000004</v>
      </c>
      <c r="AZ74">
        <v>0.97509290000000004</v>
      </c>
      <c r="BA74">
        <v>0.98499999999999999</v>
      </c>
      <c r="BB74" s="446">
        <v>1</v>
      </c>
      <c r="BC74">
        <v>1</v>
      </c>
      <c r="BD74">
        <v>1</v>
      </c>
      <c r="BE74">
        <v>1</v>
      </c>
      <c r="BF74">
        <v>0.99990000000000001</v>
      </c>
      <c r="BG74">
        <v>1</v>
      </c>
      <c r="BH74">
        <v>1</v>
      </c>
      <c r="BI74">
        <v>0.99</v>
      </c>
      <c r="BJ74">
        <v>0.999</v>
      </c>
      <c r="BK74">
        <v>0.998</v>
      </c>
      <c r="BL74">
        <v>0.99850000000000005</v>
      </c>
      <c r="BM74">
        <v>0.99850000000000005</v>
      </c>
      <c r="BN74">
        <v>0.97199999999999998</v>
      </c>
      <c r="BO74">
        <v>0.99990000000000001</v>
      </c>
      <c r="BP74">
        <v>0.99990000000000001</v>
      </c>
      <c r="BQ74">
        <v>1</v>
      </c>
      <c r="BR74">
        <v>1.0835276</v>
      </c>
      <c r="BS74">
        <v>1.1028</v>
      </c>
      <c r="BT74">
        <v>1.0827</v>
      </c>
      <c r="BU74">
        <v>1.0117</v>
      </c>
      <c r="BV74">
        <v>1</v>
      </c>
      <c r="BW74">
        <v>2.0922000000000001</v>
      </c>
      <c r="BX74">
        <v>2.2640563330000001</v>
      </c>
      <c r="BY74">
        <v>1.0668500000000001</v>
      </c>
      <c r="BZ74">
        <v>1.2885</v>
      </c>
      <c r="CA74">
        <v>2.0009999999999999</v>
      </c>
      <c r="CB74">
        <v>1.4990049999999999</v>
      </c>
      <c r="CC74">
        <v>1.4990049999999999</v>
      </c>
      <c r="CD74">
        <v>1.2529049999999999</v>
      </c>
      <c r="CE74">
        <v>1.0665549999999999</v>
      </c>
      <c r="CF74">
        <v>1.413405</v>
      </c>
      <c r="CG74" s="332"/>
      <c r="CH74">
        <v>1.09561</v>
      </c>
      <c r="CI74" s="332"/>
      <c r="CJ74" s="332"/>
      <c r="CK74" s="332"/>
      <c r="CL74" s="332"/>
      <c r="CM74" s="332"/>
      <c r="CN74" s="332"/>
      <c r="CO74" s="332"/>
      <c r="CP74">
        <v>0.95499999999999996</v>
      </c>
      <c r="CQ74">
        <v>0.9</v>
      </c>
      <c r="CR74">
        <v>0.91</v>
      </c>
      <c r="CS74">
        <v>0.94</v>
      </c>
      <c r="CT74">
        <v>0.99895</v>
      </c>
      <c r="CU74">
        <v>0.46</v>
      </c>
      <c r="CV74">
        <v>0.45</v>
      </c>
      <c r="CW74">
        <v>0.92500000000000004</v>
      </c>
      <c r="CX74">
        <v>0.57499999999999996</v>
      </c>
      <c r="CY74">
        <v>0.505</v>
      </c>
      <c r="CZ74">
        <v>0.80500000000000005</v>
      </c>
      <c r="DA74">
        <v>0.83750000000000002</v>
      </c>
      <c r="DB74">
        <v>0.875</v>
      </c>
      <c r="DC74">
        <v>0.90249999999999997</v>
      </c>
      <c r="DD74">
        <v>0.82</v>
      </c>
      <c r="DE74">
        <v>0.89</v>
      </c>
      <c r="DF74">
        <v>0.98499999999999999</v>
      </c>
      <c r="DG74">
        <v>0.98</v>
      </c>
      <c r="DH74">
        <v>0.99</v>
      </c>
      <c r="DI74">
        <v>0.97750000000000004</v>
      </c>
      <c r="DN74" s="332">
        <v>2.8499999999999999E-4</v>
      </c>
      <c r="DO74" s="332">
        <v>2.0000000000000001E-4</v>
      </c>
      <c r="DP74" s="332">
        <v>0</v>
      </c>
      <c r="DQ74" s="332">
        <v>1E-4</v>
      </c>
      <c r="DR74" s="332">
        <v>0</v>
      </c>
      <c r="DS74" s="332">
        <v>3.5999999999999999E-3</v>
      </c>
      <c r="DT74" s="332">
        <v>4.6999999999999999E-4</v>
      </c>
      <c r="DU74" s="332">
        <v>6.9999999999999999E-4</v>
      </c>
      <c r="DV74" s="332">
        <v>0</v>
      </c>
      <c r="DW74" s="332">
        <v>0</v>
      </c>
      <c r="DX74" s="332">
        <v>5.0000000000000001E-4</v>
      </c>
      <c r="DY74" s="332">
        <v>5.0000000000000001E-4</v>
      </c>
      <c r="DZ74" s="332">
        <v>2.9999999999999997E-4</v>
      </c>
      <c r="EA74" s="332">
        <v>2.7500000000000002E-4</v>
      </c>
      <c r="EB74" s="332">
        <v>4.0000000000000002E-4</v>
      </c>
      <c r="ED74" s="332">
        <v>6.4999999999999994E-5</v>
      </c>
      <c r="EF74">
        <v>1</v>
      </c>
    </row>
    <row r="75" spans="1:136" x14ac:dyDescent="0.25">
      <c r="A75" s="66">
        <v>38657</v>
      </c>
      <c r="B75">
        <v>0.98</v>
      </c>
      <c r="C75">
        <v>0.98799999999999999</v>
      </c>
      <c r="D75">
        <v>0.96499999999999997</v>
      </c>
      <c r="E75">
        <f t="shared" ref="E75:E80" si="7">E63</f>
        <v>0.99399999999999999</v>
      </c>
      <c r="F75">
        <v>0.97699999999999998</v>
      </c>
      <c r="G75">
        <v>0.98750000000000004</v>
      </c>
      <c r="H75">
        <v>0.98750000000000004</v>
      </c>
      <c r="I75">
        <v>0.96613274999999998</v>
      </c>
      <c r="J75">
        <v>0.6893475</v>
      </c>
      <c r="K75">
        <v>0.97048500000000004</v>
      </c>
      <c r="L75" s="333">
        <v>0.98750000000000004</v>
      </c>
      <c r="M75" s="333">
        <v>0.98750000000000004</v>
      </c>
      <c r="N75">
        <v>0.98</v>
      </c>
      <c r="O75">
        <v>0.96281407500000005</v>
      </c>
      <c r="P75">
        <v>0.98</v>
      </c>
      <c r="Q75" s="328">
        <v>0.98750000000000004</v>
      </c>
      <c r="R75">
        <v>0.98750000000000004</v>
      </c>
      <c r="S75" s="333">
        <v>0.98750000000000004</v>
      </c>
      <c r="T75">
        <v>0.98</v>
      </c>
      <c r="U75">
        <v>0.98</v>
      </c>
      <c r="V75">
        <v>0.98</v>
      </c>
      <c r="W75">
        <v>0.98</v>
      </c>
      <c r="X75">
        <v>0.96281407500000005</v>
      </c>
      <c r="Y75">
        <v>0.96281407500000005</v>
      </c>
      <c r="Z75">
        <v>0.96281407500000005</v>
      </c>
      <c r="AA75">
        <v>0.96281407500000005</v>
      </c>
      <c r="AB75">
        <v>0.98</v>
      </c>
      <c r="AC75">
        <v>0.98</v>
      </c>
      <c r="AD75">
        <v>0.96281407500000005</v>
      </c>
      <c r="AE75">
        <v>0.96281407500000005</v>
      </c>
      <c r="AF75">
        <v>0.98</v>
      </c>
      <c r="AG75">
        <v>0.99</v>
      </c>
      <c r="AH75">
        <v>0.97515074999999996</v>
      </c>
      <c r="AI75">
        <v>0.97515074999999996</v>
      </c>
      <c r="AJ75">
        <v>0.98</v>
      </c>
      <c r="AK75">
        <v>1</v>
      </c>
      <c r="AL75">
        <v>0.97048500000000004</v>
      </c>
      <c r="AM75">
        <v>0.97443000000000002</v>
      </c>
      <c r="AN75" s="328">
        <v>0.99580000000000002</v>
      </c>
      <c r="AO75" s="328">
        <v>0.97</v>
      </c>
      <c r="AP75" s="328">
        <v>0.99</v>
      </c>
      <c r="AQ75">
        <v>0.97443000000000002</v>
      </c>
      <c r="AR75">
        <v>0.97515074999999996</v>
      </c>
      <c r="AS75">
        <v>0.97699999999999998</v>
      </c>
      <c r="AT75" s="328">
        <v>0.97750000000000004</v>
      </c>
      <c r="AU75">
        <v>0.97515074999999996</v>
      </c>
      <c r="AV75">
        <v>0.97443000000000002</v>
      </c>
      <c r="AW75">
        <v>0.97443000000000002</v>
      </c>
      <c r="AX75">
        <v>0.97443000000000002</v>
      </c>
      <c r="AY75">
        <v>0.97515074999999996</v>
      </c>
      <c r="AZ75">
        <v>0.97515074999999996</v>
      </c>
      <c r="BA75">
        <v>0.97443000000000002</v>
      </c>
      <c r="BB75" s="446">
        <v>1</v>
      </c>
      <c r="BC75">
        <v>1</v>
      </c>
      <c r="BD75">
        <v>1</v>
      </c>
      <c r="BE75">
        <v>1</v>
      </c>
      <c r="BF75">
        <v>0.99990000000000001</v>
      </c>
      <c r="BG75">
        <v>1</v>
      </c>
      <c r="BH75">
        <v>1</v>
      </c>
      <c r="BI75">
        <v>0.99</v>
      </c>
      <c r="BJ75">
        <v>0.999</v>
      </c>
      <c r="BK75">
        <v>0.998</v>
      </c>
      <c r="BL75">
        <v>0.99850000000000005</v>
      </c>
      <c r="BM75">
        <v>0.99850000000000005</v>
      </c>
      <c r="BN75">
        <v>0.97199999999999998</v>
      </c>
      <c r="BO75">
        <v>0.99990000000000001</v>
      </c>
      <c r="BP75">
        <v>0.99990000000000001</v>
      </c>
      <c r="BQ75">
        <v>1</v>
      </c>
      <c r="BR75">
        <v>1.0838125999999999</v>
      </c>
      <c r="BS75">
        <v>1.103</v>
      </c>
      <c r="BT75">
        <v>1.0827</v>
      </c>
      <c r="BU75">
        <v>1.0118</v>
      </c>
      <c r="BV75">
        <v>1</v>
      </c>
      <c r="BW75">
        <v>2.0958000000000001</v>
      </c>
      <c r="BX75">
        <v>2.2645263330000001</v>
      </c>
      <c r="BY75">
        <v>1.06755</v>
      </c>
      <c r="BZ75">
        <v>1.2885</v>
      </c>
      <c r="CA75">
        <v>2.0009999999999999</v>
      </c>
      <c r="CB75">
        <v>1.4995050000000001</v>
      </c>
      <c r="CC75">
        <v>1.4995050000000001</v>
      </c>
      <c r="CD75">
        <v>1.2532049999999999</v>
      </c>
      <c r="CE75">
        <v>1.0668299999999999</v>
      </c>
      <c r="CF75">
        <v>1.413805</v>
      </c>
      <c r="CG75" s="332"/>
      <c r="CH75">
        <v>1.095675</v>
      </c>
      <c r="CI75" s="332"/>
      <c r="CJ75" s="332"/>
      <c r="CK75" s="332"/>
      <c r="CL75" s="332"/>
      <c r="CM75" s="332"/>
      <c r="CN75" s="332"/>
      <c r="CO75" s="332"/>
      <c r="CP75">
        <v>0.95499999999999996</v>
      </c>
      <c r="CQ75">
        <v>0.9</v>
      </c>
      <c r="CR75">
        <v>0.9</v>
      </c>
      <c r="CS75">
        <v>0.94</v>
      </c>
      <c r="CT75">
        <v>0.999</v>
      </c>
      <c r="CU75">
        <v>0.48</v>
      </c>
      <c r="CV75">
        <v>0.46</v>
      </c>
      <c r="CW75">
        <v>0.90500000000000003</v>
      </c>
      <c r="CX75">
        <v>0.53500000000000003</v>
      </c>
      <c r="CY75">
        <v>0.48499999999999999</v>
      </c>
      <c r="CZ75">
        <v>0.79500000000000004</v>
      </c>
      <c r="DA75">
        <v>0.82750000000000001</v>
      </c>
      <c r="DB75">
        <v>0.85</v>
      </c>
      <c r="DC75">
        <v>0.90249999999999997</v>
      </c>
      <c r="DD75">
        <v>0.82</v>
      </c>
      <c r="DE75">
        <v>0.89</v>
      </c>
      <c r="DF75">
        <v>0.98499999999999999</v>
      </c>
      <c r="DG75">
        <v>0.97</v>
      </c>
      <c r="DH75">
        <v>0.99</v>
      </c>
      <c r="DI75">
        <v>0.97750000000000004</v>
      </c>
      <c r="DN75" s="332">
        <v>2.8499999999999999E-4</v>
      </c>
      <c r="DO75" s="332">
        <v>2.0000000000000001E-4</v>
      </c>
      <c r="DP75" s="332">
        <v>0</v>
      </c>
      <c r="DQ75" s="332">
        <v>1E-4</v>
      </c>
      <c r="DR75" s="332">
        <v>0</v>
      </c>
      <c r="DS75" s="332">
        <v>3.5999999999999999E-3</v>
      </c>
      <c r="DT75" s="332">
        <v>4.6999999999999999E-4</v>
      </c>
      <c r="DU75" s="332">
        <v>6.9999999999999999E-4</v>
      </c>
      <c r="DV75" s="332">
        <v>0</v>
      </c>
      <c r="DW75" s="332">
        <v>0</v>
      </c>
      <c r="DX75" s="332">
        <v>5.0000000000000001E-4</v>
      </c>
      <c r="DY75" s="332">
        <v>5.0000000000000001E-4</v>
      </c>
      <c r="DZ75" s="332">
        <v>2.9999999999999997E-4</v>
      </c>
      <c r="EA75" s="332">
        <v>2.7500000000000002E-4</v>
      </c>
      <c r="EB75" s="332">
        <v>4.0000000000000002E-4</v>
      </c>
      <c r="ED75" s="332">
        <v>6.4999999999999994E-5</v>
      </c>
      <c r="EF75">
        <v>1</v>
      </c>
    </row>
    <row r="76" spans="1:136" x14ac:dyDescent="0.25">
      <c r="A76" s="66">
        <v>38687</v>
      </c>
      <c r="B76">
        <v>0.98</v>
      </c>
      <c r="C76">
        <v>0.98184800000000005</v>
      </c>
      <c r="D76">
        <v>0.96499999999999997</v>
      </c>
      <c r="E76">
        <f t="shared" si="7"/>
        <v>0.99399999999999999</v>
      </c>
      <c r="F76">
        <v>0.97699999999999998</v>
      </c>
      <c r="G76">
        <v>0.98750000000000004</v>
      </c>
      <c r="H76">
        <v>0.98750000000000004</v>
      </c>
      <c r="I76">
        <v>0.93471875000000004</v>
      </c>
      <c r="J76">
        <v>0.69579000000000002</v>
      </c>
      <c r="K76">
        <v>0.97048500000000004</v>
      </c>
      <c r="L76" s="333">
        <v>0.88500294999999995</v>
      </c>
      <c r="M76" s="333">
        <v>0.933753112</v>
      </c>
      <c r="N76">
        <v>0.86491845000000001</v>
      </c>
      <c r="O76">
        <v>0.95239121299999996</v>
      </c>
      <c r="P76">
        <v>0.86491845000000001</v>
      </c>
      <c r="Q76" s="328">
        <v>0.88500294999999995</v>
      </c>
      <c r="R76">
        <v>0.88500294999999995</v>
      </c>
      <c r="S76" s="333">
        <v>0.88500294999999995</v>
      </c>
      <c r="T76">
        <v>0.86491845000000001</v>
      </c>
      <c r="U76">
        <v>0.86491845000000001</v>
      </c>
      <c r="V76">
        <v>0.86491845000000001</v>
      </c>
      <c r="W76">
        <v>0.86491845000000001</v>
      </c>
      <c r="X76">
        <v>0.95239121299999996</v>
      </c>
      <c r="Y76">
        <v>0.95239121299999996</v>
      </c>
      <c r="Z76">
        <v>0.95239121299999996</v>
      </c>
      <c r="AA76">
        <v>0.95239121299999996</v>
      </c>
      <c r="AB76">
        <v>0.86491845000000001</v>
      </c>
      <c r="AC76">
        <v>0.86491845000000001</v>
      </c>
      <c r="AD76">
        <v>0.95239121299999996</v>
      </c>
      <c r="AE76">
        <v>0.95239121299999996</v>
      </c>
      <c r="AF76">
        <v>0.86491845000000001</v>
      </c>
      <c r="AG76">
        <v>0.98</v>
      </c>
      <c r="AH76">
        <v>0.97520859999999998</v>
      </c>
      <c r="AI76">
        <v>0.97520859999999998</v>
      </c>
      <c r="AJ76">
        <v>0.86491845000000001</v>
      </c>
      <c r="AK76">
        <v>1</v>
      </c>
      <c r="AL76">
        <v>0.97048500000000004</v>
      </c>
      <c r="AM76">
        <v>0.95277599999999996</v>
      </c>
      <c r="AN76" s="328">
        <v>0.99580000000000002</v>
      </c>
      <c r="AO76" s="328">
        <v>0.97</v>
      </c>
      <c r="AP76" s="328">
        <v>0.99</v>
      </c>
      <c r="AQ76">
        <v>0.95277599999999996</v>
      </c>
      <c r="AR76">
        <v>0.97520859999999998</v>
      </c>
      <c r="AS76">
        <v>0.97699999999999998</v>
      </c>
      <c r="AT76" s="328">
        <v>0.97750000000000004</v>
      </c>
      <c r="AU76">
        <v>0.97520859999999998</v>
      </c>
      <c r="AV76">
        <v>0.95277599999999996</v>
      </c>
      <c r="AW76">
        <v>0.95277599999999996</v>
      </c>
      <c r="AX76">
        <v>0.95277599999999996</v>
      </c>
      <c r="AY76">
        <v>0.97520859999999998</v>
      </c>
      <c r="AZ76">
        <v>0.97520859999999998</v>
      </c>
      <c r="BA76">
        <v>0.95277599999999996</v>
      </c>
      <c r="BB76" s="446">
        <v>1</v>
      </c>
      <c r="BC76">
        <v>1</v>
      </c>
      <c r="BD76">
        <v>1</v>
      </c>
      <c r="BE76">
        <v>1</v>
      </c>
      <c r="BF76">
        <v>0.99990000000000001</v>
      </c>
      <c r="BG76">
        <v>1</v>
      </c>
      <c r="BH76">
        <v>1</v>
      </c>
      <c r="BI76">
        <v>0.99</v>
      </c>
      <c r="BJ76">
        <v>0.999</v>
      </c>
      <c r="BK76">
        <v>0.998</v>
      </c>
      <c r="BL76">
        <v>0.99850000000000005</v>
      </c>
      <c r="BM76">
        <v>0.99850000000000005</v>
      </c>
      <c r="BN76">
        <v>0.97199999999999998</v>
      </c>
      <c r="BO76">
        <v>0.99990000000000001</v>
      </c>
      <c r="BP76">
        <v>0.99990000000000001</v>
      </c>
      <c r="BQ76">
        <v>1</v>
      </c>
      <c r="BR76">
        <v>1.0840976</v>
      </c>
      <c r="BS76">
        <v>1.1032</v>
      </c>
      <c r="BT76">
        <v>1.0827</v>
      </c>
      <c r="BU76">
        <v>1.0119</v>
      </c>
      <c r="BV76">
        <v>1</v>
      </c>
      <c r="BW76">
        <v>2.0994000000000002</v>
      </c>
      <c r="BX76">
        <v>2.264996333</v>
      </c>
      <c r="BY76">
        <v>1.0682499999999999</v>
      </c>
      <c r="BZ76">
        <v>1.2885</v>
      </c>
      <c r="CA76">
        <v>2.0009999999999999</v>
      </c>
      <c r="CB76">
        <v>1.500005</v>
      </c>
      <c r="CC76">
        <v>1.500005</v>
      </c>
      <c r="CD76">
        <v>1.2535050000000001</v>
      </c>
      <c r="CE76">
        <v>1.067105</v>
      </c>
      <c r="CF76">
        <v>1.4142049999999999</v>
      </c>
      <c r="CG76" s="332"/>
      <c r="CH76">
        <v>1.0957399999999999</v>
      </c>
      <c r="CI76" s="332"/>
      <c r="CJ76" s="332"/>
      <c r="CK76" s="332"/>
      <c r="CL76" s="332"/>
      <c r="CM76" s="332"/>
      <c r="CN76" s="332"/>
      <c r="CO76" s="332"/>
      <c r="CP76">
        <v>0.93500000000000005</v>
      </c>
      <c r="CQ76">
        <v>0.89</v>
      </c>
      <c r="CR76">
        <v>0.88</v>
      </c>
      <c r="CS76">
        <v>0.92</v>
      </c>
      <c r="CT76">
        <v>0.999</v>
      </c>
      <c r="CU76">
        <v>0.51</v>
      </c>
      <c r="CV76">
        <v>0.48</v>
      </c>
      <c r="CW76">
        <v>0.875</v>
      </c>
      <c r="CX76">
        <v>0.54</v>
      </c>
      <c r="CY76">
        <v>0.48499999999999999</v>
      </c>
      <c r="CZ76">
        <v>0.59</v>
      </c>
      <c r="DA76">
        <v>0.62250000000000005</v>
      </c>
      <c r="DB76">
        <v>0.69</v>
      </c>
      <c r="DC76">
        <v>0.89249999999999996</v>
      </c>
      <c r="DD76">
        <v>0.71499999999999997</v>
      </c>
      <c r="DE76">
        <v>0.89</v>
      </c>
      <c r="DF76">
        <v>0.98499999999999999</v>
      </c>
      <c r="DG76">
        <v>0.97</v>
      </c>
      <c r="DH76">
        <v>0.99</v>
      </c>
      <c r="DI76">
        <v>0.97750000000000004</v>
      </c>
      <c r="DN76" s="332">
        <v>2.8499999999999999E-4</v>
      </c>
      <c r="DO76" s="332">
        <v>2.0000000000000001E-4</v>
      </c>
      <c r="DP76" s="332">
        <v>0</v>
      </c>
      <c r="DQ76" s="332">
        <v>1E-4</v>
      </c>
      <c r="DR76" s="332">
        <v>0</v>
      </c>
      <c r="DS76" s="332">
        <v>3.5999999999999999E-3</v>
      </c>
      <c r="DT76" s="332">
        <v>4.6999999999999999E-4</v>
      </c>
      <c r="DU76" s="332">
        <v>6.9999999999999999E-4</v>
      </c>
      <c r="DV76" s="332">
        <v>0</v>
      </c>
      <c r="DW76" s="332">
        <v>0</v>
      </c>
      <c r="DX76" s="332">
        <v>5.0000000000000001E-4</v>
      </c>
      <c r="DY76" s="332">
        <v>5.0000000000000001E-4</v>
      </c>
      <c r="DZ76" s="332">
        <v>2.9999999999999997E-4</v>
      </c>
      <c r="EA76" s="332">
        <v>2.7500000000000002E-4</v>
      </c>
      <c r="EB76" s="332">
        <v>4.0000000000000002E-4</v>
      </c>
      <c r="ED76" s="332">
        <v>6.4999999999999994E-5</v>
      </c>
      <c r="EF76">
        <v>1</v>
      </c>
    </row>
    <row r="77" spans="1:136" x14ac:dyDescent="0.25">
      <c r="A77" s="66">
        <v>38718</v>
      </c>
      <c r="B77">
        <v>0.98</v>
      </c>
      <c r="C77">
        <v>0.94892399999999999</v>
      </c>
      <c r="D77">
        <v>0.96499999999999997</v>
      </c>
      <c r="E77">
        <f t="shared" si="7"/>
        <v>0.99399999999999999</v>
      </c>
      <c r="F77">
        <v>0.97699999999999998</v>
      </c>
      <c r="G77">
        <v>0.98750000000000004</v>
      </c>
      <c r="H77">
        <v>0.98750000000000004</v>
      </c>
      <c r="I77">
        <v>0.86050475000000004</v>
      </c>
      <c r="J77">
        <v>0.70867500000000005</v>
      </c>
      <c r="K77">
        <v>0.98499999999999999</v>
      </c>
      <c r="L77" s="333">
        <v>0.907805525</v>
      </c>
      <c r="M77" s="333">
        <v>0.95657193699999998</v>
      </c>
      <c r="N77">
        <v>0.86512544999999996</v>
      </c>
      <c r="O77">
        <v>0.93929439999999997</v>
      </c>
      <c r="P77">
        <v>0.86512544999999996</v>
      </c>
      <c r="Q77" s="328">
        <v>0.907805525</v>
      </c>
      <c r="R77">
        <v>0.907805525</v>
      </c>
      <c r="S77" s="333">
        <v>0.907805525</v>
      </c>
      <c r="T77">
        <v>0.86512544999999996</v>
      </c>
      <c r="U77">
        <v>0.86512544999999996</v>
      </c>
      <c r="V77">
        <v>0.86512544999999996</v>
      </c>
      <c r="W77">
        <v>0.86512544999999996</v>
      </c>
      <c r="X77">
        <v>0.93929439999999997</v>
      </c>
      <c r="Y77">
        <v>0.93929439999999997</v>
      </c>
      <c r="Z77">
        <v>0.93929439999999997</v>
      </c>
      <c r="AA77">
        <v>0.93929439999999997</v>
      </c>
      <c r="AB77">
        <v>0.86512544999999996</v>
      </c>
      <c r="AC77">
        <v>0.86512544999999996</v>
      </c>
      <c r="AD77">
        <v>0.93929439999999997</v>
      </c>
      <c r="AE77">
        <v>0.93929439999999997</v>
      </c>
      <c r="AF77">
        <v>0.86512544999999996</v>
      </c>
      <c r="AG77">
        <v>0.98</v>
      </c>
      <c r="AH77">
        <v>0.97526645000000001</v>
      </c>
      <c r="AI77">
        <v>0.97526645000000001</v>
      </c>
      <c r="AJ77">
        <v>0.86512544999999996</v>
      </c>
      <c r="AK77">
        <v>1</v>
      </c>
      <c r="AL77">
        <v>0.98499999999999999</v>
      </c>
      <c r="AM77">
        <v>0.94194900000000004</v>
      </c>
      <c r="AN77" s="328">
        <v>0.99580000000000002</v>
      </c>
      <c r="AO77" s="328">
        <v>0.96</v>
      </c>
      <c r="AP77" s="328">
        <v>0.99</v>
      </c>
      <c r="AQ77">
        <v>0.94194900000000004</v>
      </c>
      <c r="AR77">
        <v>0.97526645000000001</v>
      </c>
      <c r="AS77">
        <v>0.97699999999999998</v>
      </c>
      <c r="AT77" s="328">
        <v>0.97750000000000004</v>
      </c>
      <c r="AU77">
        <v>0.97526645000000001</v>
      </c>
      <c r="AV77">
        <v>0.94194900000000004</v>
      </c>
      <c r="AW77">
        <v>0.94194900000000004</v>
      </c>
      <c r="AX77">
        <v>0.94194900000000004</v>
      </c>
      <c r="AY77">
        <v>0.97526645000000001</v>
      </c>
      <c r="AZ77">
        <v>0.97526645000000001</v>
      </c>
      <c r="BA77">
        <v>0.94194900000000004</v>
      </c>
      <c r="BB77" s="446">
        <v>1</v>
      </c>
      <c r="BC77">
        <v>1</v>
      </c>
      <c r="BD77">
        <v>1</v>
      </c>
      <c r="BE77">
        <v>1</v>
      </c>
      <c r="BF77">
        <v>0.99990000000000001</v>
      </c>
      <c r="BG77">
        <v>1</v>
      </c>
      <c r="BH77">
        <v>1</v>
      </c>
      <c r="BI77">
        <v>0.99</v>
      </c>
      <c r="BJ77">
        <v>0.999</v>
      </c>
      <c r="BK77">
        <v>0.998</v>
      </c>
      <c r="BL77">
        <v>0.99850000000000005</v>
      </c>
      <c r="BM77">
        <v>0.99850000000000005</v>
      </c>
      <c r="BN77">
        <v>0.97199999999999998</v>
      </c>
      <c r="BO77">
        <v>0.99990000000000001</v>
      </c>
      <c r="BP77">
        <v>0.99990000000000001</v>
      </c>
      <c r="BQ77">
        <v>1</v>
      </c>
      <c r="BR77">
        <v>1.0843826000000001</v>
      </c>
      <c r="BS77">
        <v>1.1033999999999999</v>
      </c>
      <c r="BT77">
        <v>1.0827</v>
      </c>
      <c r="BU77">
        <v>1.012</v>
      </c>
      <c r="BV77">
        <v>1</v>
      </c>
      <c r="BW77">
        <v>2.1030000000000002</v>
      </c>
      <c r="BX77">
        <v>2.265466333</v>
      </c>
      <c r="BY77">
        <v>1.0689500000000001</v>
      </c>
      <c r="BZ77">
        <v>1.2885</v>
      </c>
      <c r="CA77">
        <v>2.0009999999999999</v>
      </c>
      <c r="CB77">
        <v>1.500505</v>
      </c>
      <c r="CC77">
        <v>1.500505</v>
      </c>
      <c r="CD77">
        <v>1.2538050000000001</v>
      </c>
      <c r="CE77">
        <v>1.06738</v>
      </c>
      <c r="CF77">
        <v>1.4146049999999999</v>
      </c>
      <c r="CG77" s="332"/>
      <c r="CH77">
        <v>1.0958049999999999</v>
      </c>
      <c r="CI77" s="332"/>
      <c r="CJ77" s="332"/>
      <c r="CK77" s="332"/>
      <c r="CL77" s="332"/>
      <c r="CM77" s="332"/>
      <c r="CN77" s="332"/>
      <c r="CO77" s="332"/>
      <c r="CP77">
        <v>0.89500000000000002</v>
      </c>
      <c r="CQ77">
        <v>0.86</v>
      </c>
      <c r="CR77">
        <v>0.87</v>
      </c>
      <c r="CS77">
        <v>0.92</v>
      </c>
      <c r="CT77">
        <v>0.999</v>
      </c>
      <c r="CU77">
        <v>0.57999999999999996</v>
      </c>
      <c r="CV77">
        <v>0.45</v>
      </c>
      <c r="CW77">
        <v>0.80500000000000005</v>
      </c>
      <c r="CX77">
        <v>0.55000000000000004</v>
      </c>
      <c r="CY77">
        <v>0.505</v>
      </c>
      <c r="CZ77">
        <v>0.60499999999999998</v>
      </c>
      <c r="DA77">
        <v>0.63749999999999996</v>
      </c>
      <c r="DB77">
        <v>0.69</v>
      </c>
      <c r="DC77">
        <v>0.88</v>
      </c>
      <c r="DD77">
        <v>0.64</v>
      </c>
      <c r="DE77">
        <v>0.89</v>
      </c>
      <c r="DF77">
        <v>0.98499999999999999</v>
      </c>
      <c r="DG77">
        <v>0.96</v>
      </c>
      <c r="DH77">
        <v>0.99</v>
      </c>
      <c r="DI77">
        <v>0.97750000000000004</v>
      </c>
      <c r="DN77" s="332">
        <v>2.8499999999999999E-4</v>
      </c>
      <c r="DO77" s="332">
        <v>2.0000000000000001E-4</v>
      </c>
      <c r="DP77" s="332">
        <v>0</v>
      </c>
      <c r="DQ77" s="332">
        <v>1E-4</v>
      </c>
      <c r="DR77" s="332">
        <v>0</v>
      </c>
      <c r="DS77" s="332">
        <v>3.5999999999999999E-3</v>
      </c>
      <c r="DT77" s="332">
        <v>4.6999999999999999E-4</v>
      </c>
      <c r="DU77" s="332">
        <v>6.9999999999999999E-4</v>
      </c>
      <c r="DV77" s="332">
        <v>0</v>
      </c>
      <c r="DW77" s="332">
        <v>0</v>
      </c>
      <c r="DX77" s="332">
        <v>5.0000000000000001E-4</v>
      </c>
      <c r="DY77" s="332">
        <v>5.0000000000000001E-4</v>
      </c>
      <c r="DZ77" s="332">
        <v>2.9999999999999997E-4</v>
      </c>
      <c r="EA77" s="332">
        <v>2.7500000000000002E-4</v>
      </c>
      <c r="EB77" s="332">
        <v>4.0000000000000002E-4</v>
      </c>
      <c r="ED77" s="332">
        <v>6.4999999999999994E-5</v>
      </c>
      <c r="EF77">
        <v>1</v>
      </c>
    </row>
    <row r="78" spans="1:136" x14ac:dyDescent="0.25">
      <c r="A78" s="66">
        <v>38749</v>
      </c>
      <c r="B78">
        <v>0.98</v>
      </c>
      <c r="C78">
        <v>0.94909600000000005</v>
      </c>
      <c r="D78">
        <v>0.96499999999999997</v>
      </c>
      <c r="E78">
        <f t="shared" si="7"/>
        <v>0.99399999999999999</v>
      </c>
      <c r="F78">
        <v>0.97699999999999998</v>
      </c>
      <c r="G78">
        <v>0.98750000000000004</v>
      </c>
      <c r="H78">
        <v>0.98750000000000004</v>
      </c>
      <c r="I78">
        <v>0.90385424999999997</v>
      </c>
      <c r="J78">
        <v>0.84396749999999998</v>
      </c>
      <c r="K78">
        <v>0.98499999999999999</v>
      </c>
      <c r="L78" s="333">
        <v>0.95313817499999998</v>
      </c>
      <c r="M78" s="333">
        <v>0.98750000000000004</v>
      </c>
      <c r="N78">
        <v>0.89041455000000003</v>
      </c>
      <c r="O78">
        <v>0.93686726300000001</v>
      </c>
      <c r="P78">
        <v>0.89041455000000003</v>
      </c>
      <c r="Q78" s="328">
        <v>0.95313817499999998</v>
      </c>
      <c r="R78">
        <v>0.95313817499999998</v>
      </c>
      <c r="S78" s="333">
        <v>0.95313817499999998</v>
      </c>
      <c r="T78">
        <v>0.89041455000000003</v>
      </c>
      <c r="U78">
        <v>0.89041455000000003</v>
      </c>
      <c r="V78">
        <v>0.89041455000000003</v>
      </c>
      <c r="W78">
        <v>0.89041455000000003</v>
      </c>
      <c r="X78">
        <v>0.93686726300000001</v>
      </c>
      <c r="Y78">
        <v>0.93686726300000001</v>
      </c>
      <c r="Z78">
        <v>0.93686726300000001</v>
      </c>
      <c r="AA78">
        <v>0.93686726300000001</v>
      </c>
      <c r="AB78">
        <v>0.89041455000000003</v>
      </c>
      <c r="AC78">
        <v>0.89041455000000003</v>
      </c>
      <c r="AD78">
        <v>0.93686726300000001</v>
      </c>
      <c r="AE78">
        <v>0.93686726300000001</v>
      </c>
      <c r="AF78">
        <v>0.89041455000000003</v>
      </c>
      <c r="AG78">
        <v>0.98</v>
      </c>
      <c r="AH78">
        <v>0.97532430000000003</v>
      </c>
      <c r="AI78">
        <v>0.97532430000000003</v>
      </c>
      <c r="AJ78">
        <v>0.89041455000000003</v>
      </c>
      <c r="AK78">
        <v>1</v>
      </c>
      <c r="AL78">
        <v>0.98499999999999999</v>
      </c>
      <c r="AM78">
        <v>0.96360299999999999</v>
      </c>
      <c r="AN78" s="328">
        <v>0.99580000000000002</v>
      </c>
      <c r="AO78" s="328">
        <v>0.97</v>
      </c>
      <c r="AP78" s="328">
        <v>0.99</v>
      </c>
      <c r="AQ78">
        <v>0.96360299999999999</v>
      </c>
      <c r="AR78">
        <v>0.97532430000000003</v>
      </c>
      <c r="AS78">
        <v>0.97699999999999998</v>
      </c>
      <c r="AT78" s="328">
        <v>0.97750000000000004</v>
      </c>
      <c r="AU78">
        <v>0.97532430000000003</v>
      </c>
      <c r="AV78">
        <v>0.96360299999999999</v>
      </c>
      <c r="AW78">
        <v>0.96360299999999999</v>
      </c>
      <c r="AX78">
        <v>0.96360299999999999</v>
      </c>
      <c r="AY78">
        <v>0.97532430000000003</v>
      </c>
      <c r="AZ78">
        <v>0.97532430000000003</v>
      </c>
      <c r="BA78">
        <v>0.96360299999999999</v>
      </c>
      <c r="BB78" s="446">
        <v>1</v>
      </c>
      <c r="BC78">
        <v>1</v>
      </c>
      <c r="BD78">
        <v>1</v>
      </c>
      <c r="BE78">
        <v>1</v>
      </c>
      <c r="BF78">
        <v>0.99990000000000001</v>
      </c>
      <c r="BG78">
        <v>1</v>
      </c>
      <c r="BH78">
        <v>1</v>
      </c>
      <c r="BI78">
        <v>0.99</v>
      </c>
      <c r="BJ78">
        <v>0.999</v>
      </c>
      <c r="BK78">
        <v>0.998</v>
      </c>
      <c r="BL78">
        <v>0.99850000000000005</v>
      </c>
      <c r="BM78">
        <v>0.99850000000000005</v>
      </c>
      <c r="BN78">
        <v>0.97199999999999998</v>
      </c>
      <c r="BO78">
        <v>0.99990000000000001</v>
      </c>
      <c r="BP78">
        <v>0.99990000000000001</v>
      </c>
      <c r="BQ78">
        <v>1</v>
      </c>
      <c r="BR78">
        <v>1.0846676</v>
      </c>
      <c r="BS78">
        <v>1.1035999999999999</v>
      </c>
      <c r="BT78">
        <v>1.0827</v>
      </c>
      <c r="BU78">
        <v>1.0121</v>
      </c>
      <c r="BV78">
        <v>1</v>
      </c>
      <c r="BW78">
        <v>2.1065999999999998</v>
      </c>
      <c r="BX78">
        <v>2.265936333</v>
      </c>
      <c r="BY78">
        <v>1.06965</v>
      </c>
      <c r="BZ78">
        <v>1.2885</v>
      </c>
      <c r="CA78">
        <v>2.0009999999999999</v>
      </c>
      <c r="CB78">
        <v>1.5010049999999999</v>
      </c>
      <c r="CC78">
        <v>1.5010049999999999</v>
      </c>
      <c r="CD78">
        <v>1.254105</v>
      </c>
      <c r="CE78">
        <v>1.067655</v>
      </c>
      <c r="CF78">
        <v>1.4150050000000001</v>
      </c>
      <c r="CG78" s="332"/>
      <c r="CH78">
        <v>1.0958699999999999</v>
      </c>
      <c r="CI78" s="332"/>
      <c r="CJ78" s="332"/>
      <c r="CK78" s="332"/>
      <c r="CL78" s="332"/>
      <c r="CM78" s="332"/>
      <c r="CN78" s="332"/>
      <c r="CO78" s="332"/>
      <c r="CP78">
        <v>0.86499999999999999</v>
      </c>
      <c r="CQ78">
        <v>0.86</v>
      </c>
      <c r="CR78">
        <v>0.89</v>
      </c>
      <c r="CS78">
        <v>0.93500000000000005</v>
      </c>
      <c r="CT78">
        <v>0.99895</v>
      </c>
      <c r="CU78">
        <v>0.57999999999999996</v>
      </c>
      <c r="CV78">
        <v>0.45</v>
      </c>
      <c r="CW78">
        <v>0.84499999999999997</v>
      </c>
      <c r="CX78">
        <v>0.65500000000000003</v>
      </c>
      <c r="CY78">
        <v>0.505</v>
      </c>
      <c r="CZ78">
        <v>0.63500000000000001</v>
      </c>
      <c r="DA78">
        <v>0.66749999999999998</v>
      </c>
      <c r="DB78">
        <v>0.71</v>
      </c>
      <c r="DC78">
        <v>0.87749999999999995</v>
      </c>
      <c r="DD78">
        <v>0.67</v>
      </c>
      <c r="DE78">
        <v>0.89</v>
      </c>
      <c r="DF78">
        <v>0.98499999999999999</v>
      </c>
      <c r="DG78">
        <v>0.97</v>
      </c>
      <c r="DH78">
        <v>0.99</v>
      </c>
      <c r="DI78">
        <v>0.97750000000000004</v>
      </c>
      <c r="DN78" s="332">
        <v>2.8499999999999999E-4</v>
      </c>
      <c r="DO78" s="332">
        <v>2.0000000000000001E-4</v>
      </c>
      <c r="DP78" s="332">
        <v>0</v>
      </c>
      <c r="DQ78" s="332">
        <v>1E-4</v>
      </c>
      <c r="DR78" s="332">
        <v>0</v>
      </c>
      <c r="DS78" s="332">
        <v>3.5999999999999999E-3</v>
      </c>
      <c r="DT78" s="332">
        <v>4.6999999999999999E-4</v>
      </c>
      <c r="DU78" s="332">
        <v>6.9999999999999999E-4</v>
      </c>
      <c r="DV78" s="332">
        <v>0</v>
      </c>
      <c r="DW78" s="332">
        <v>0</v>
      </c>
      <c r="DX78" s="332">
        <v>5.0000000000000001E-4</v>
      </c>
      <c r="DY78" s="332">
        <v>5.0000000000000001E-4</v>
      </c>
      <c r="DZ78" s="332">
        <v>2.9999999999999997E-4</v>
      </c>
      <c r="EA78" s="332">
        <v>2.7500000000000002E-4</v>
      </c>
      <c r="EB78" s="332">
        <v>4.0000000000000002E-4</v>
      </c>
      <c r="ED78" s="332">
        <v>6.4999999999999994E-5</v>
      </c>
      <c r="EF78">
        <v>1</v>
      </c>
    </row>
    <row r="79" spans="1:136" x14ac:dyDescent="0.25">
      <c r="A79" s="66">
        <v>38777</v>
      </c>
      <c r="B79">
        <v>0.98</v>
      </c>
      <c r="C79">
        <v>0.98238199999999998</v>
      </c>
      <c r="D79">
        <v>0.96499999999999997</v>
      </c>
      <c r="E79">
        <f t="shared" si="7"/>
        <v>0.99399999999999999</v>
      </c>
      <c r="F79">
        <v>0.97699999999999998</v>
      </c>
      <c r="G79">
        <v>0.98750000000000004</v>
      </c>
      <c r="H79">
        <v>0.98750000000000004</v>
      </c>
      <c r="I79">
        <v>0.93655624999999998</v>
      </c>
      <c r="J79">
        <v>0.98499999999999999</v>
      </c>
      <c r="K79">
        <v>0.98499999999999999</v>
      </c>
      <c r="L79" s="333">
        <v>0.98750000000000004</v>
      </c>
      <c r="M79" s="333">
        <v>0.98750000000000004</v>
      </c>
      <c r="N79">
        <v>0.98</v>
      </c>
      <c r="O79">
        <v>0.96113700000000002</v>
      </c>
      <c r="P79">
        <v>0.98</v>
      </c>
      <c r="Q79" s="328">
        <v>0.98750000000000004</v>
      </c>
      <c r="R79">
        <v>0.98750000000000004</v>
      </c>
      <c r="S79" s="333">
        <v>0.98750000000000004</v>
      </c>
      <c r="T79">
        <v>0.98</v>
      </c>
      <c r="U79">
        <v>0.98</v>
      </c>
      <c r="V79">
        <v>0.98</v>
      </c>
      <c r="W79">
        <v>0.98</v>
      </c>
      <c r="X79">
        <v>0.96113700000000002</v>
      </c>
      <c r="Y79">
        <v>0.96113700000000002</v>
      </c>
      <c r="Z79">
        <v>0.96113700000000002</v>
      </c>
      <c r="AA79">
        <v>0.96113700000000002</v>
      </c>
      <c r="AB79">
        <v>0.98</v>
      </c>
      <c r="AC79">
        <v>0.98</v>
      </c>
      <c r="AD79">
        <v>0.96113700000000002</v>
      </c>
      <c r="AE79">
        <v>0.96113700000000002</v>
      </c>
      <c r="AF79">
        <v>0.98</v>
      </c>
      <c r="AG79">
        <v>0.99</v>
      </c>
      <c r="AH79">
        <v>0.97538214999999995</v>
      </c>
      <c r="AI79">
        <v>0.97538214999999995</v>
      </c>
      <c r="AJ79">
        <v>0.98</v>
      </c>
      <c r="AK79">
        <v>1</v>
      </c>
      <c r="AL79">
        <v>0.98499999999999999</v>
      </c>
      <c r="AM79">
        <v>0.98499999999999999</v>
      </c>
      <c r="AN79" s="328">
        <v>0.99580000000000002</v>
      </c>
      <c r="AO79" s="328">
        <v>0.97</v>
      </c>
      <c r="AP79" s="328">
        <v>0.99</v>
      </c>
      <c r="AQ79">
        <v>0.98499999999999999</v>
      </c>
      <c r="AR79">
        <v>0.97538214999999995</v>
      </c>
      <c r="AS79">
        <v>0.97699999999999998</v>
      </c>
      <c r="AT79" s="328">
        <v>0.97750000000000004</v>
      </c>
      <c r="AU79">
        <v>0.97538214999999995</v>
      </c>
      <c r="AV79">
        <v>0.98499999999999999</v>
      </c>
      <c r="AW79">
        <v>0.98499999999999999</v>
      </c>
      <c r="AX79">
        <v>0.98499999999999999</v>
      </c>
      <c r="AY79">
        <v>0.97538214999999995</v>
      </c>
      <c r="AZ79">
        <v>0.97538214999999995</v>
      </c>
      <c r="BA79">
        <v>0.98499999999999999</v>
      </c>
      <c r="BB79" s="446">
        <v>1</v>
      </c>
      <c r="BC79">
        <v>1</v>
      </c>
      <c r="BD79">
        <v>1</v>
      </c>
      <c r="BE79">
        <v>1</v>
      </c>
      <c r="BF79">
        <v>0.99990000000000001</v>
      </c>
      <c r="BG79">
        <v>1</v>
      </c>
      <c r="BH79">
        <v>1</v>
      </c>
      <c r="BI79">
        <v>0.99</v>
      </c>
      <c r="BJ79">
        <v>0.999</v>
      </c>
      <c r="BK79">
        <v>0.998</v>
      </c>
      <c r="BL79">
        <v>0.99850000000000005</v>
      </c>
      <c r="BM79">
        <v>0.99850000000000005</v>
      </c>
      <c r="BN79">
        <v>0.97199999999999998</v>
      </c>
      <c r="BO79">
        <v>0.99990000000000001</v>
      </c>
      <c r="BP79">
        <v>0.99990000000000001</v>
      </c>
      <c r="BQ79">
        <v>1</v>
      </c>
      <c r="BR79">
        <v>1.0849526</v>
      </c>
      <c r="BS79">
        <v>1.1037999999999999</v>
      </c>
      <c r="BT79">
        <v>1.0827</v>
      </c>
      <c r="BU79">
        <v>1.0122</v>
      </c>
      <c r="BV79">
        <v>1</v>
      </c>
      <c r="BW79">
        <v>2.1101999999999999</v>
      </c>
      <c r="BX79">
        <v>2.2664063329999999</v>
      </c>
      <c r="BY79">
        <v>1.0703499999999999</v>
      </c>
      <c r="BZ79">
        <v>1.2885</v>
      </c>
      <c r="CA79">
        <v>2.0009999999999999</v>
      </c>
      <c r="CB79">
        <v>1.5015050000000001</v>
      </c>
      <c r="CC79">
        <v>1.5015050000000001</v>
      </c>
      <c r="CD79">
        <v>1.254405</v>
      </c>
      <c r="CE79">
        <v>1.06793</v>
      </c>
      <c r="CF79">
        <v>1.415405</v>
      </c>
      <c r="CG79" s="332"/>
      <c r="CH79">
        <v>1.0959350000000001</v>
      </c>
      <c r="CI79" s="332"/>
      <c r="CJ79" s="332"/>
      <c r="CK79" s="332"/>
      <c r="CL79" s="332"/>
      <c r="CM79" s="332"/>
      <c r="CN79" s="332"/>
      <c r="CO79" s="332"/>
      <c r="CP79">
        <v>0.86499999999999999</v>
      </c>
      <c r="CQ79">
        <v>0.89</v>
      </c>
      <c r="CR79">
        <v>0.91</v>
      </c>
      <c r="CS79">
        <v>0.93500000000000005</v>
      </c>
      <c r="CT79">
        <v>0.99895</v>
      </c>
      <c r="CU79">
        <v>0.54</v>
      </c>
      <c r="CV79">
        <v>0.45</v>
      </c>
      <c r="CW79">
        <v>0.875</v>
      </c>
      <c r="CX79">
        <v>0.82499999999999996</v>
      </c>
      <c r="CY79">
        <v>0.51500000000000001</v>
      </c>
      <c r="CZ79">
        <v>0.78500000000000003</v>
      </c>
      <c r="DA79">
        <v>0.8175</v>
      </c>
      <c r="DB79">
        <v>0.8</v>
      </c>
      <c r="DC79">
        <v>0.9</v>
      </c>
      <c r="DD79">
        <v>0.83</v>
      </c>
      <c r="DE79">
        <v>0.89</v>
      </c>
      <c r="DF79">
        <v>0.98499999999999999</v>
      </c>
      <c r="DG79">
        <v>0.97</v>
      </c>
      <c r="DH79">
        <v>0.99</v>
      </c>
      <c r="DI79">
        <v>0.97750000000000004</v>
      </c>
      <c r="DN79" s="332">
        <v>2.8499999999999999E-4</v>
      </c>
      <c r="DO79" s="332">
        <v>2.0000000000000001E-4</v>
      </c>
      <c r="DP79" s="332">
        <v>0</v>
      </c>
      <c r="DQ79" s="332">
        <v>1E-4</v>
      </c>
      <c r="DR79" s="332">
        <v>0</v>
      </c>
      <c r="DS79" s="332">
        <v>3.5999999999999999E-3</v>
      </c>
      <c r="DT79" s="332">
        <v>4.6999999999999999E-4</v>
      </c>
      <c r="DU79" s="332">
        <v>6.9999999999999999E-4</v>
      </c>
      <c r="DV79" s="332">
        <v>0</v>
      </c>
      <c r="DW79" s="332">
        <v>0</v>
      </c>
      <c r="DX79" s="332">
        <v>5.0000000000000001E-4</v>
      </c>
      <c r="DY79" s="332">
        <v>5.0000000000000001E-4</v>
      </c>
      <c r="DZ79" s="332">
        <v>2.9999999999999997E-4</v>
      </c>
      <c r="EA79" s="332">
        <v>2.7500000000000002E-4</v>
      </c>
      <c r="EB79" s="332">
        <v>4.0000000000000002E-4</v>
      </c>
      <c r="ED79" s="332">
        <v>6.4999999999999994E-5</v>
      </c>
      <c r="EF79">
        <v>1</v>
      </c>
    </row>
    <row r="80" spans="1:136" x14ac:dyDescent="0.25">
      <c r="A80" s="66">
        <v>38808</v>
      </c>
      <c r="B80">
        <v>0.98</v>
      </c>
      <c r="C80">
        <v>0.98799999999999999</v>
      </c>
      <c r="D80">
        <v>0.96499999999999997</v>
      </c>
      <c r="E80">
        <f t="shared" si="7"/>
        <v>0.97799999999999998</v>
      </c>
      <c r="F80">
        <v>0.97699999999999998</v>
      </c>
      <c r="G80">
        <v>0.98750000000000004</v>
      </c>
      <c r="H80">
        <v>0.95208806000000001</v>
      </c>
      <c r="I80">
        <v>0.98750000000000004</v>
      </c>
      <c r="J80">
        <v>0.98499999999999999</v>
      </c>
      <c r="K80">
        <v>0.98499999999999999</v>
      </c>
      <c r="L80" s="333">
        <v>0.98750000000000004</v>
      </c>
      <c r="M80" s="333">
        <v>0.98750000000000004</v>
      </c>
      <c r="N80">
        <v>0.98</v>
      </c>
      <c r="O80">
        <v>0.964589115</v>
      </c>
      <c r="P80">
        <v>0.98</v>
      </c>
      <c r="Q80" s="328">
        <v>0.98750000000000004</v>
      </c>
      <c r="R80">
        <v>0.98750000000000004</v>
      </c>
      <c r="S80" s="333">
        <v>0.98750000000000004</v>
      </c>
      <c r="T80">
        <v>0.98</v>
      </c>
      <c r="U80">
        <v>0.98</v>
      </c>
      <c r="V80">
        <v>0.98</v>
      </c>
      <c r="W80">
        <v>0.98</v>
      </c>
      <c r="X80">
        <v>0.964589115</v>
      </c>
      <c r="Y80">
        <v>0.964589115</v>
      </c>
      <c r="Z80">
        <v>0.964589115</v>
      </c>
      <c r="AA80">
        <v>0.964589115</v>
      </c>
      <c r="AB80">
        <v>0.98</v>
      </c>
      <c r="AC80">
        <v>0.98</v>
      </c>
      <c r="AD80">
        <v>0.964589115</v>
      </c>
      <c r="AE80">
        <v>0.964589115</v>
      </c>
      <c r="AF80">
        <v>0.98</v>
      </c>
      <c r="AG80">
        <v>0.99</v>
      </c>
      <c r="AH80">
        <v>0.97543999999999997</v>
      </c>
      <c r="AI80">
        <v>0.97543999999999997</v>
      </c>
      <c r="AJ80">
        <v>0.98</v>
      </c>
      <c r="AK80">
        <v>1</v>
      </c>
      <c r="AL80">
        <v>0.98499999999999999</v>
      </c>
      <c r="AM80">
        <v>0.98499999999999999</v>
      </c>
      <c r="AS80">
        <v>0.97699999999999998</v>
      </c>
      <c r="AT80" s="328">
        <v>0.97750000000000004</v>
      </c>
      <c r="AU80">
        <v>0.97543999999999997</v>
      </c>
      <c r="AV80">
        <v>0.98499999999999999</v>
      </c>
      <c r="AW80">
        <v>0.98499999999999999</v>
      </c>
      <c r="AX80">
        <v>0.98499999999999999</v>
      </c>
      <c r="AY80">
        <v>0.97543999999999997</v>
      </c>
      <c r="AZ80">
        <v>0.97543999999999997</v>
      </c>
      <c r="BA80">
        <v>0.98499999999999999</v>
      </c>
      <c r="BB80" s="446">
        <v>1</v>
      </c>
      <c r="BC80">
        <v>1</v>
      </c>
      <c r="BD80">
        <v>1</v>
      </c>
      <c r="BE80">
        <v>1</v>
      </c>
      <c r="BF80">
        <v>0.99990000000000001</v>
      </c>
      <c r="BG80">
        <v>1</v>
      </c>
      <c r="BH80">
        <v>1</v>
      </c>
      <c r="BI80">
        <v>0.99</v>
      </c>
      <c r="BJ80">
        <v>0.999</v>
      </c>
      <c r="BK80">
        <v>0.998</v>
      </c>
      <c r="BL80">
        <v>0.99850000000000005</v>
      </c>
      <c r="BM80">
        <v>0.99850000000000005</v>
      </c>
      <c r="BN80">
        <v>0.97199999999999998</v>
      </c>
      <c r="BO80">
        <v>0.99990000000000001</v>
      </c>
      <c r="BP80">
        <v>0.99990000000000001</v>
      </c>
      <c r="BQ80">
        <v>1</v>
      </c>
      <c r="BR80">
        <v>1.0852375999999999</v>
      </c>
      <c r="BS80">
        <v>1.1040000000000001</v>
      </c>
      <c r="BT80">
        <v>1.0827</v>
      </c>
      <c r="BU80">
        <v>1.0123</v>
      </c>
      <c r="BV80">
        <v>1</v>
      </c>
      <c r="BW80">
        <v>2.1137999999999999</v>
      </c>
      <c r="BX80">
        <v>2.2668763329999999</v>
      </c>
      <c r="BY80">
        <v>1.0710500000000001</v>
      </c>
      <c r="BZ80">
        <v>1.2885</v>
      </c>
      <c r="CA80">
        <v>2.0009999999999999</v>
      </c>
      <c r="CB80">
        <v>1.502005</v>
      </c>
      <c r="CC80">
        <v>1.502005</v>
      </c>
      <c r="CD80">
        <v>1.254705</v>
      </c>
      <c r="CE80">
        <v>1.0682050000000001</v>
      </c>
      <c r="CF80">
        <v>1.415805</v>
      </c>
      <c r="CG80" s="332"/>
      <c r="CH80">
        <v>1.0960000000000001</v>
      </c>
      <c r="CI80" s="332"/>
      <c r="CJ80" s="332"/>
      <c r="CK80" s="332"/>
      <c r="CL80" s="332"/>
      <c r="CM80" s="332"/>
      <c r="CN80" s="332"/>
      <c r="CO80" s="332"/>
      <c r="CP80">
        <v>0.89500000000000002</v>
      </c>
      <c r="CQ80">
        <v>0.9</v>
      </c>
      <c r="CR80">
        <v>0.91</v>
      </c>
      <c r="CS80">
        <v>0.96</v>
      </c>
      <c r="CT80">
        <v>0.99895</v>
      </c>
      <c r="CU80">
        <v>0.48</v>
      </c>
      <c r="CV80">
        <v>0.42</v>
      </c>
      <c r="CW80">
        <v>0.93500000000000005</v>
      </c>
      <c r="CX80">
        <v>0.81499999999999995</v>
      </c>
      <c r="CY80">
        <v>0.57499999999999996</v>
      </c>
      <c r="CZ80">
        <v>0.89500000000000002</v>
      </c>
      <c r="DA80">
        <v>0.92749999999999999</v>
      </c>
      <c r="DB80">
        <v>0.85</v>
      </c>
      <c r="DC80">
        <v>0.90300000000000002</v>
      </c>
      <c r="DD80">
        <v>0.92</v>
      </c>
      <c r="DE80">
        <v>0.89</v>
      </c>
      <c r="DI80">
        <v>0.97750000000000004</v>
      </c>
      <c r="DN80" s="332">
        <v>2.8499999999999999E-4</v>
      </c>
      <c r="DO80" s="332">
        <v>2.0000000000000001E-4</v>
      </c>
      <c r="DP80" s="332">
        <v>0</v>
      </c>
      <c r="DQ80" s="332">
        <v>1E-4</v>
      </c>
      <c r="DR80" s="332">
        <v>0</v>
      </c>
      <c r="DS80" s="332">
        <v>3.5999999999999999E-3</v>
      </c>
      <c r="DT80" s="332">
        <v>4.6999999999999999E-4</v>
      </c>
      <c r="DU80" s="332">
        <v>6.9999999999999999E-4</v>
      </c>
      <c r="DV80" s="332">
        <v>0</v>
      </c>
      <c r="DW80" s="332">
        <v>0</v>
      </c>
      <c r="DX80" s="332">
        <v>5.0000000000000001E-4</v>
      </c>
      <c r="DY80" s="332">
        <v>5.0000000000000001E-4</v>
      </c>
      <c r="DZ80" s="332">
        <v>2.9999999999999997E-4</v>
      </c>
      <c r="EA80" s="332">
        <v>2.7500000000000002E-4</v>
      </c>
      <c r="EB80" s="332">
        <v>4.0000000000000002E-4</v>
      </c>
      <c r="ED80" s="332">
        <v>6.4999999999999994E-5</v>
      </c>
      <c r="EF80">
        <v>1</v>
      </c>
    </row>
    <row r="81" spans="1:136" x14ac:dyDescent="0.25">
      <c r="A81" s="66">
        <v>38838</v>
      </c>
      <c r="B81">
        <v>0.98</v>
      </c>
      <c r="C81">
        <v>0.98799999999999999</v>
      </c>
      <c r="D81">
        <v>0.96499999999999997</v>
      </c>
      <c r="E81">
        <f t="shared" ref="E81:E86" si="8">E69</f>
        <v>0.97799999999999998</v>
      </c>
      <c r="F81">
        <v>0.97699999999999998</v>
      </c>
      <c r="G81">
        <v>0.719916</v>
      </c>
      <c r="H81">
        <v>0.95228546000000003</v>
      </c>
      <c r="I81">
        <v>0.98750000000000004</v>
      </c>
      <c r="J81">
        <v>0.92127749999999997</v>
      </c>
      <c r="K81">
        <v>0.98499999999999999</v>
      </c>
      <c r="L81" s="333">
        <v>0.98750000000000004</v>
      </c>
      <c r="M81" s="333">
        <v>0.98750000000000004</v>
      </c>
      <c r="N81">
        <v>0.98</v>
      </c>
      <c r="O81">
        <v>0.96163200000000004</v>
      </c>
      <c r="P81">
        <v>0.98</v>
      </c>
      <c r="Q81" s="328">
        <v>0.98750000000000004</v>
      </c>
      <c r="R81">
        <v>0.98750000000000004</v>
      </c>
      <c r="S81" s="333">
        <v>0.98750000000000004</v>
      </c>
      <c r="T81">
        <v>0.98</v>
      </c>
      <c r="U81">
        <v>0.98</v>
      </c>
      <c r="V81">
        <v>0.98</v>
      </c>
      <c r="W81">
        <v>0.98</v>
      </c>
      <c r="X81">
        <v>0.96163200000000004</v>
      </c>
      <c r="Y81">
        <v>0.96163200000000004</v>
      </c>
      <c r="Z81">
        <v>0.96163200000000004</v>
      </c>
      <c r="AA81">
        <v>0.96163200000000004</v>
      </c>
      <c r="AB81">
        <v>0.98</v>
      </c>
      <c r="AC81">
        <v>0.98</v>
      </c>
      <c r="AD81">
        <v>0.96163200000000004</v>
      </c>
      <c r="AE81">
        <v>0.96163200000000004</v>
      </c>
      <c r="AF81">
        <v>0.98</v>
      </c>
      <c r="AG81">
        <v>0.99</v>
      </c>
      <c r="AH81">
        <v>0.97549785</v>
      </c>
      <c r="AI81">
        <v>0.97549785</v>
      </c>
      <c r="AJ81">
        <v>0.98</v>
      </c>
      <c r="AK81">
        <v>1</v>
      </c>
      <c r="AL81">
        <v>0.98499999999999999</v>
      </c>
      <c r="AM81">
        <v>0.98499999999999999</v>
      </c>
      <c r="AS81">
        <v>0.97699999999999998</v>
      </c>
      <c r="AT81" s="328">
        <v>0.97750000000000004</v>
      </c>
      <c r="AU81">
        <v>0.97549785</v>
      </c>
      <c r="AV81">
        <v>0.98499999999999999</v>
      </c>
      <c r="AW81">
        <v>0.98499999999999999</v>
      </c>
      <c r="AX81">
        <v>0.98499999999999999</v>
      </c>
      <c r="AY81">
        <v>0.97549785</v>
      </c>
      <c r="AZ81">
        <v>0.97549785</v>
      </c>
      <c r="BA81">
        <v>0.98499999999999999</v>
      </c>
      <c r="BB81" s="446">
        <v>1</v>
      </c>
      <c r="BC81">
        <v>1</v>
      </c>
      <c r="BD81">
        <v>1</v>
      </c>
      <c r="BE81">
        <v>1</v>
      </c>
      <c r="BF81">
        <v>0.99990000000000001</v>
      </c>
      <c r="BG81">
        <v>1</v>
      </c>
      <c r="BH81">
        <v>1</v>
      </c>
      <c r="BI81">
        <v>0.99</v>
      </c>
      <c r="BJ81">
        <v>0.999</v>
      </c>
      <c r="BK81">
        <v>0.998</v>
      </c>
      <c r="BL81">
        <v>0.99850000000000005</v>
      </c>
      <c r="BM81">
        <v>0.99850000000000005</v>
      </c>
      <c r="BN81">
        <v>0.97199999999999998</v>
      </c>
      <c r="BO81">
        <v>0.99990000000000001</v>
      </c>
      <c r="BP81">
        <v>0.99990000000000001</v>
      </c>
      <c r="BQ81">
        <v>1</v>
      </c>
      <c r="BR81">
        <v>1.0855226</v>
      </c>
      <c r="BS81">
        <v>1.1042000000000001</v>
      </c>
      <c r="BT81">
        <v>1.0827</v>
      </c>
      <c r="BU81">
        <v>1.0124</v>
      </c>
      <c r="BV81">
        <v>1</v>
      </c>
      <c r="BW81">
        <v>2.1173999999999999</v>
      </c>
      <c r="BX81">
        <v>2.2673463329999999</v>
      </c>
      <c r="BY81">
        <v>1.07175</v>
      </c>
      <c r="BZ81">
        <v>1.2885</v>
      </c>
      <c r="CA81">
        <v>2.0009999999999999</v>
      </c>
      <c r="CB81">
        <v>1.502505</v>
      </c>
      <c r="CC81">
        <v>1.502505</v>
      </c>
      <c r="CD81">
        <v>1.2550049999999999</v>
      </c>
      <c r="CE81">
        <v>1.0684800000000001</v>
      </c>
      <c r="CF81">
        <v>1.4162049999999999</v>
      </c>
      <c r="CG81" s="332"/>
      <c r="CH81">
        <v>1.0960650000000001</v>
      </c>
      <c r="CI81" s="332"/>
      <c r="CJ81" s="332"/>
      <c r="CK81" s="332"/>
      <c r="CL81" s="332"/>
      <c r="CM81" s="332"/>
      <c r="CN81" s="332"/>
      <c r="CO81" s="332"/>
      <c r="CP81">
        <v>0.96499999999999997</v>
      </c>
      <c r="CQ81">
        <v>0.91</v>
      </c>
      <c r="CR81">
        <v>0.91</v>
      </c>
      <c r="CS81">
        <v>0.97</v>
      </c>
      <c r="CT81">
        <v>0.99895</v>
      </c>
      <c r="CU81">
        <v>0.34</v>
      </c>
      <c r="CV81">
        <v>0.42</v>
      </c>
      <c r="CW81">
        <v>0.93500000000000005</v>
      </c>
      <c r="CX81">
        <v>0.71499999999999997</v>
      </c>
      <c r="CY81">
        <v>0.625</v>
      </c>
      <c r="CZ81">
        <v>0.91749999999999998</v>
      </c>
      <c r="DA81">
        <v>0.95</v>
      </c>
      <c r="DB81">
        <v>0.88</v>
      </c>
      <c r="DC81">
        <v>0.9</v>
      </c>
      <c r="DD81">
        <v>0.93500000000000005</v>
      </c>
      <c r="DE81">
        <v>0.89</v>
      </c>
      <c r="DI81">
        <v>0.97750000000000004</v>
      </c>
      <c r="DN81" s="332">
        <v>2.8499999999999999E-4</v>
      </c>
      <c r="DO81" s="332">
        <v>2.0000000000000001E-4</v>
      </c>
      <c r="DP81" s="332">
        <v>0</v>
      </c>
      <c r="DQ81" s="332">
        <v>1E-4</v>
      </c>
      <c r="DR81" s="332">
        <v>0</v>
      </c>
      <c r="DS81" s="332">
        <v>3.5999999999999999E-3</v>
      </c>
      <c r="DT81" s="332">
        <v>4.6999999999999999E-4</v>
      </c>
      <c r="DU81" s="332">
        <v>6.9999999999999999E-4</v>
      </c>
      <c r="DV81" s="332">
        <v>0</v>
      </c>
      <c r="DW81" s="332">
        <v>0</v>
      </c>
      <c r="DX81" s="332">
        <v>5.0000000000000001E-4</v>
      </c>
      <c r="DY81" s="332">
        <v>5.0000000000000001E-4</v>
      </c>
      <c r="DZ81" s="332">
        <v>2.9999999999999997E-4</v>
      </c>
      <c r="EA81" s="332">
        <v>2.7500000000000002E-4</v>
      </c>
      <c r="EB81" s="332">
        <v>4.0000000000000002E-4</v>
      </c>
      <c r="ED81" s="332">
        <v>6.4999999999999994E-5</v>
      </c>
      <c r="EF81">
        <v>1</v>
      </c>
    </row>
    <row r="82" spans="1:136" x14ac:dyDescent="0.25">
      <c r="A82" s="66">
        <v>38869</v>
      </c>
      <c r="B82">
        <v>0.98</v>
      </c>
      <c r="C82">
        <v>0.98799999999999999</v>
      </c>
      <c r="D82">
        <v>0.96499999999999997</v>
      </c>
      <c r="E82">
        <f t="shared" si="8"/>
        <v>0.97799999999999998</v>
      </c>
      <c r="F82">
        <v>0.97699999999999998</v>
      </c>
      <c r="G82">
        <v>0.72114</v>
      </c>
      <c r="H82">
        <v>0.98750000000000004</v>
      </c>
      <c r="I82">
        <v>0.98750000000000004</v>
      </c>
      <c r="J82">
        <v>0.80531249999999999</v>
      </c>
      <c r="K82">
        <v>0.98499999999999999</v>
      </c>
      <c r="L82" s="333">
        <v>0.98750000000000004</v>
      </c>
      <c r="M82" s="333">
        <v>0.98750000000000004</v>
      </c>
      <c r="N82">
        <v>0.98</v>
      </c>
      <c r="O82">
        <v>0.96455138799999995</v>
      </c>
      <c r="P82">
        <v>0.98</v>
      </c>
      <c r="Q82" s="328">
        <v>0.98750000000000004</v>
      </c>
      <c r="R82">
        <v>0.98750000000000004</v>
      </c>
      <c r="S82" s="333">
        <v>0.98750000000000004</v>
      </c>
      <c r="T82">
        <v>0.98</v>
      </c>
      <c r="U82">
        <v>0.98</v>
      </c>
      <c r="V82">
        <v>0.98</v>
      </c>
      <c r="W82">
        <v>0.98</v>
      </c>
      <c r="X82">
        <v>0.96455138799999995</v>
      </c>
      <c r="Y82">
        <v>0.96455138799999995</v>
      </c>
      <c r="Z82">
        <v>0.96455138799999995</v>
      </c>
      <c r="AA82">
        <v>0.96455138799999995</v>
      </c>
      <c r="AB82">
        <v>0.98</v>
      </c>
      <c r="AC82">
        <v>0.98</v>
      </c>
      <c r="AD82">
        <v>0.96455138799999995</v>
      </c>
      <c r="AE82">
        <v>0.96455138799999995</v>
      </c>
      <c r="AF82">
        <v>0.98</v>
      </c>
      <c r="AG82">
        <v>0.99</v>
      </c>
      <c r="AH82">
        <v>0.97555570000000003</v>
      </c>
      <c r="AI82">
        <v>0.97555570000000003</v>
      </c>
      <c r="AJ82">
        <v>0.98</v>
      </c>
      <c r="AK82">
        <v>1</v>
      </c>
      <c r="AL82">
        <v>0.98499999999999999</v>
      </c>
      <c r="AM82">
        <v>0.98499999999999999</v>
      </c>
      <c r="AS82">
        <v>0.97699999999999998</v>
      </c>
      <c r="AT82" s="328">
        <v>0.97750000000000004</v>
      </c>
      <c r="AU82">
        <v>0.97555570000000003</v>
      </c>
      <c r="AV82">
        <v>0.98499999999999999</v>
      </c>
      <c r="AW82">
        <v>0.98499999999999999</v>
      </c>
      <c r="AX82">
        <v>0.98499999999999999</v>
      </c>
      <c r="AY82">
        <v>0.97555570000000003</v>
      </c>
      <c r="AZ82">
        <v>0.97555570000000003</v>
      </c>
      <c r="BA82">
        <v>0.98499999999999999</v>
      </c>
      <c r="BB82" s="446">
        <v>1</v>
      </c>
      <c r="BC82">
        <v>1</v>
      </c>
      <c r="BD82">
        <v>1</v>
      </c>
      <c r="BE82">
        <v>1</v>
      </c>
      <c r="BF82">
        <v>0.99990000000000001</v>
      </c>
      <c r="BG82">
        <v>1</v>
      </c>
      <c r="BH82">
        <v>1</v>
      </c>
      <c r="BI82">
        <v>0.99</v>
      </c>
      <c r="BJ82">
        <v>0.999</v>
      </c>
      <c r="BK82">
        <v>0.998</v>
      </c>
      <c r="BL82">
        <v>0.99850000000000005</v>
      </c>
      <c r="BM82">
        <v>0.99850000000000005</v>
      </c>
      <c r="BN82">
        <v>0.97199999999999998</v>
      </c>
      <c r="BO82">
        <v>0.99990000000000001</v>
      </c>
      <c r="BP82">
        <v>0.99990000000000001</v>
      </c>
      <c r="BQ82">
        <v>1</v>
      </c>
      <c r="BR82">
        <v>1.0858076000000001</v>
      </c>
      <c r="BS82">
        <v>1.1044</v>
      </c>
      <c r="BT82">
        <v>1.0827</v>
      </c>
      <c r="BU82">
        <v>1.0125</v>
      </c>
      <c r="BV82">
        <v>1</v>
      </c>
      <c r="BW82">
        <v>2.121</v>
      </c>
      <c r="BX82">
        <v>2.2678163329999999</v>
      </c>
      <c r="BY82">
        <v>1.0724499999999999</v>
      </c>
      <c r="BZ82">
        <v>1.2885</v>
      </c>
      <c r="CA82">
        <v>2.0009999999999999</v>
      </c>
      <c r="CB82">
        <v>1.5030049999999999</v>
      </c>
      <c r="CC82">
        <v>1.5030049999999999</v>
      </c>
      <c r="CD82">
        <v>1.2553049999999999</v>
      </c>
      <c r="CE82">
        <v>1.0687549999999999</v>
      </c>
      <c r="CF82">
        <v>1.4166049999999999</v>
      </c>
      <c r="CG82" s="332"/>
      <c r="CH82">
        <v>1.09613</v>
      </c>
      <c r="CI82" s="332"/>
      <c r="CJ82" s="332"/>
      <c r="CK82" s="332"/>
      <c r="CL82" s="332"/>
      <c r="CM82" s="332"/>
      <c r="CN82" s="332"/>
      <c r="CO82" s="332"/>
      <c r="CP82">
        <v>0.96499999999999997</v>
      </c>
      <c r="CQ82">
        <v>0.91</v>
      </c>
      <c r="CR82">
        <v>0.91</v>
      </c>
      <c r="CS82">
        <v>0.98</v>
      </c>
      <c r="CT82">
        <v>0.99895</v>
      </c>
      <c r="CU82">
        <v>0.34</v>
      </c>
      <c r="CV82">
        <v>0.47</v>
      </c>
      <c r="CW82">
        <v>0.93500000000000005</v>
      </c>
      <c r="CX82">
        <v>0.625</v>
      </c>
      <c r="CY82">
        <v>0.72499999999999998</v>
      </c>
      <c r="CZ82">
        <v>0.88249999999999995</v>
      </c>
      <c r="DA82">
        <v>0.91500000000000004</v>
      </c>
      <c r="DB82">
        <v>0.88</v>
      </c>
      <c r="DC82">
        <v>0.90249999999999997</v>
      </c>
      <c r="DD82">
        <v>0.91500000000000004</v>
      </c>
      <c r="DE82">
        <v>0.89</v>
      </c>
      <c r="DI82">
        <v>0.97750000000000004</v>
      </c>
      <c r="DN82" s="332">
        <v>2.8499999999999999E-4</v>
      </c>
      <c r="DO82" s="332">
        <v>2.0000000000000001E-4</v>
      </c>
      <c r="DP82" s="332">
        <v>0</v>
      </c>
      <c r="DQ82" s="332">
        <v>1E-4</v>
      </c>
      <c r="DR82" s="332">
        <v>0</v>
      </c>
      <c r="DS82" s="332">
        <v>3.5999999999999999E-3</v>
      </c>
      <c r="DT82" s="332">
        <v>4.6999999999999999E-4</v>
      </c>
      <c r="DU82" s="332">
        <v>6.9999999999999999E-4</v>
      </c>
      <c r="DV82" s="332">
        <v>0</v>
      </c>
      <c r="DW82" s="332">
        <v>0</v>
      </c>
      <c r="DX82" s="332">
        <v>5.0000000000000001E-4</v>
      </c>
      <c r="DY82" s="332">
        <v>5.0000000000000001E-4</v>
      </c>
      <c r="DZ82" s="332">
        <v>2.9999999999999997E-4</v>
      </c>
      <c r="EA82" s="332">
        <v>2.7500000000000002E-4</v>
      </c>
      <c r="EB82" s="332">
        <v>4.0000000000000002E-4</v>
      </c>
      <c r="ED82" s="332">
        <v>6.4999999999999994E-5</v>
      </c>
      <c r="EF82">
        <v>1</v>
      </c>
    </row>
    <row r="83" spans="1:136" x14ac:dyDescent="0.25">
      <c r="A83" s="66">
        <v>38899</v>
      </c>
      <c r="B83">
        <v>0.98</v>
      </c>
      <c r="C83">
        <v>0.98799999999999999</v>
      </c>
      <c r="D83">
        <v>0.96499999999999997</v>
      </c>
      <c r="E83">
        <f t="shared" si="8"/>
        <v>0.97799999999999998</v>
      </c>
      <c r="F83">
        <v>0.97699999999999998</v>
      </c>
      <c r="G83">
        <v>0.87108600000000003</v>
      </c>
      <c r="H83">
        <v>0.98750000000000004</v>
      </c>
      <c r="I83">
        <v>0.98750000000000004</v>
      </c>
      <c r="J83">
        <v>0.83108249999999995</v>
      </c>
      <c r="K83">
        <v>0.98499999999999999</v>
      </c>
      <c r="L83" s="333">
        <v>0.98750000000000004</v>
      </c>
      <c r="M83" s="333">
        <v>0.98750000000000004</v>
      </c>
      <c r="N83">
        <v>0.98</v>
      </c>
      <c r="O83">
        <v>0.97014472500000004</v>
      </c>
      <c r="P83">
        <v>0.98</v>
      </c>
      <c r="Q83" s="328">
        <v>0.98750000000000004</v>
      </c>
      <c r="R83">
        <v>0.98750000000000004</v>
      </c>
      <c r="S83" s="333">
        <v>0.98750000000000004</v>
      </c>
      <c r="T83">
        <v>0.98</v>
      </c>
      <c r="U83">
        <v>0.98</v>
      </c>
      <c r="V83">
        <v>0.98</v>
      </c>
      <c r="W83">
        <v>0.98</v>
      </c>
      <c r="X83">
        <v>0.97014472500000004</v>
      </c>
      <c r="Y83">
        <v>0.97014472500000004</v>
      </c>
      <c r="Z83">
        <v>0.97014472500000004</v>
      </c>
      <c r="AA83">
        <v>0.97014472500000004</v>
      </c>
      <c r="AB83">
        <v>0.98</v>
      </c>
      <c r="AC83">
        <v>0.98</v>
      </c>
      <c r="AD83">
        <v>0.97014472500000004</v>
      </c>
      <c r="AE83">
        <v>0.97014472500000004</v>
      </c>
      <c r="AF83">
        <v>0.98</v>
      </c>
      <c r="AG83">
        <v>0.99</v>
      </c>
      <c r="AH83">
        <v>0.97561355000000005</v>
      </c>
      <c r="AI83">
        <v>0.97561355000000005</v>
      </c>
      <c r="AJ83">
        <v>0.98</v>
      </c>
      <c r="AK83">
        <v>1</v>
      </c>
      <c r="AL83">
        <v>0.98499999999999999</v>
      </c>
      <c r="AM83">
        <v>0.98499999999999999</v>
      </c>
      <c r="AS83">
        <v>0.97699999999999998</v>
      </c>
      <c r="AT83" s="328">
        <v>0.97750000000000004</v>
      </c>
      <c r="AU83">
        <v>0.97561355000000005</v>
      </c>
      <c r="AV83">
        <v>0.98499999999999999</v>
      </c>
      <c r="AW83">
        <v>0.98499999999999999</v>
      </c>
      <c r="AX83">
        <v>0.98499999999999999</v>
      </c>
      <c r="AY83">
        <v>0.97561355000000005</v>
      </c>
      <c r="AZ83">
        <v>0.97561355000000005</v>
      </c>
      <c r="BA83">
        <v>0.98499999999999999</v>
      </c>
      <c r="BB83" s="446">
        <v>1</v>
      </c>
      <c r="BC83">
        <v>1</v>
      </c>
      <c r="BD83">
        <v>1</v>
      </c>
      <c r="BE83">
        <v>1</v>
      </c>
      <c r="BF83">
        <v>0.99990000000000001</v>
      </c>
      <c r="BG83">
        <v>1</v>
      </c>
      <c r="BH83">
        <v>1</v>
      </c>
      <c r="BI83">
        <v>0.99</v>
      </c>
      <c r="BJ83">
        <v>0.999</v>
      </c>
      <c r="BK83">
        <v>0.998</v>
      </c>
      <c r="BL83">
        <v>0.99850000000000005</v>
      </c>
      <c r="BM83">
        <v>0.99850000000000005</v>
      </c>
      <c r="BN83">
        <v>0.97199999999999998</v>
      </c>
      <c r="BO83">
        <v>0.99990000000000001</v>
      </c>
      <c r="BP83">
        <v>0.99990000000000001</v>
      </c>
      <c r="BQ83">
        <v>1</v>
      </c>
      <c r="BR83">
        <v>1.0860926</v>
      </c>
      <c r="BS83">
        <v>1.1046</v>
      </c>
      <c r="BT83">
        <v>1.0827</v>
      </c>
      <c r="BU83">
        <v>1.0125999999999999</v>
      </c>
      <c r="BV83">
        <v>1</v>
      </c>
      <c r="BW83">
        <v>2.1246</v>
      </c>
      <c r="BX83">
        <v>2.2682863329999998</v>
      </c>
      <c r="BY83">
        <v>1.07315</v>
      </c>
      <c r="BZ83">
        <v>1.2885</v>
      </c>
      <c r="CA83">
        <v>2.0009999999999999</v>
      </c>
      <c r="CB83">
        <v>1.5035050000000001</v>
      </c>
      <c r="CC83">
        <v>1.5035050000000001</v>
      </c>
      <c r="CD83">
        <v>1.2556050000000001</v>
      </c>
      <c r="CE83">
        <v>1.0690299999999999</v>
      </c>
      <c r="CF83">
        <v>1.4170050000000001</v>
      </c>
      <c r="CG83" s="332"/>
      <c r="CH83">
        <v>1.096195</v>
      </c>
      <c r="CI83" s="332"/>
      <c r="CJ83" s="332"/>
      <c r="CK83" s="332"/>
      <c r="CL83" s="332"/>
      <c r="CM83" s="332"/>
      <c r="CN83" s="332"/>
      <c r="CO83" s="332"/>
      <c r="CP83">
        <v>0.97499999999999998</v>
      </c>
      <c r="CQ83">
        <v>0.91</v>
      </c>
      <c r="CR83">
        <v>0.91</v>
      </c>
      <c r="CS83">
        <v>0.97</v>
      </c>
      <c r="CT83">
        <v>0.99895</v>
      </c>
      <c r="CU83">
        <v>0.41</v>
      </c>
      <c r="CV83">
        <v>0.47</v>
      </c>
      <c r="CW83">
        <v>0.93500000000000005</v>
      </c>
      <c r="CX83">
        <v>0.64500000000000002</v>
      </c>
      <c r="CY83">
        <v>0.72499999999999998</v>
      </c>
      <c r="CZ83">
        <v>0.87749999999999995</v>
      </c>
      <c r="DA83">
        <v>0.91</v>
      </c>
      <c r="DB83">
        <v>0.89</v>
      </c>
      <c r="DC83">
        <v>0.90749999999999997</v>
      </c>
      <c r="DD83">
        <v>0.91500000000000004</v>
      </c>
      <c r="DE83">
        <v>0.89</v>
      </c>
      <c r="DI83">
        <v>0.97750000000000004</v>
      </c>
      <c r="DN83" s="332">
        <v>2.8499999999999999E-4</v>
      </c>
      <c r="DO83" s="332">
        <v>2.0000000000000001E-4</v>
      </c>
      <c r="DP83" s="332">
        <v>0</v>
      </c>
      <c r="DQ83" s="332">
        <v>1E-4</v>
      </c>
      <c r="DR83" s="332">
        <v>0</v>
      </c>
      <c r="DS83" s="332">
        <v>3.5999999999999999E-3</v>
      </c>
      <c r="DT83" s="332">
        <v>4.6999999999999999E-4</v>
      </c>
      <c r="DU83" s="332">
        <v>6.9999999999999999E-4</v>
      </c>
      <c r="DV83" s="332">
        <v>0</v>
      </c>
      <c r="DW83" s="332">
        <v>0</v>
      </c>
      <c r="DX83" s="332">
        <v>5.0000000000000001E-4</v>
      </c>
      <c r="DY83" s="332">
        <v>5.0000000000000001E-4</v>
      </c>
      <c r="DZ83" s="332">
        <v>2.9999999999999997E-4</v>
      </c>
      <c r="EA83" s="332">
        <v>2.7500000000000002E-4</v>
      </c>
      <c r="EB83" s="332">
        <v>4.0000000000000002E-4</v>
      </c>
      <c r="ED83" s="332">
        <v>6.4999999999999994E-5</v>
      </c>
      <c r="EF83">
        <v>1</v>
      </c>
    </row>
    <row r="84" spans="1:136" x14ac:dyDescent="0.25">
      <c r="A84" s="66">
        <v>38930</v>
      </c>
      <c r="B84">
        <v>0.98</v>
      </c>
      <c r="C84">
        <v>0.98799999999999999</v>
      </c>
      <c r="D84">
        <v>0.96499999999999997</v>
      </c>
      <c r="E84">
        <f t="shared" si="8"/>
        <v>0.97799999999999998</v>
      </c>
      <c r="F84">
        <v>0.97699999999999998</v>
      </c>
      <c r="G84">
        <v>0.915126</v>
      </c>
      <c r="H84">
        <v>0.98750000000000004</v>
      </c>
      <c r="I84">
        <v>0.98750000000000004</v>
      </c>
      <c r="J84">
        <v>0.94704750000000004</v>
      </c>
      <c r="K84">
        <v>0.98499999999999999</v>
      </c>
      <c r="L84" s="333">
        <v>0.98750000000000004</v>
      </c>
      <c r="M84" s="333">
        <v>0.98750000000000004</v>
      </c>
      <c r="N84">
        <v>0.98</v>
      </c>
      <c r="O84">
        <v>0.98750000000000004</v>
      </c>
      <c r="P84">
        <v>0.98</v>
      </c>
      <c r="Q84" s="328">
        <v>0.98750000000000004</v>
      </c>
      <c r="R84">
        <v>0.98750000000000004</v>
      </c>
      <c r="S84" s="333">
        <v>0.98750000000000004</v>
      </c>
      <c r="T84">
        <v>0.98</v>
      </c>
      <c r="U84">
        <v>0.98</v>
      </c>
      <c r="V84">
        <v>0.98</v>
      </c>
      <c r="W84">
        <v>0.98</v>
      </c>
      <c r="X84">
        <v>0.98750000000000004</v>
      </c>
      <c r="Y84">
        <v>0.98750000000000004</v>
      </c>
      <c r="Z84">
        <v>0.98750000000000004</v>
      </c>
      <c r="AA84">
        <v>0.98750000000000004</v>
      </c>
      <c r="AB84">
        <v>0.98</v>
      </c>
      <c r="AC84">
        <v>0.98</v>
      </c>
      <c r="AD84">
        <v>0.98750000000000004</v>
      </c>
      <c r="AE84">
        <v>0.98750000000000004</v>
      </c>
      <c r="AF84">
        <v>0.98</v>
      </c>
      <c r="AG84">
        <v>0.99</v>
      </c>
      <c r="AH84">
        <v>0.97567139999999997</v>
      </c>
      <c r="AI84">
        <v>0.97567139999999997</v>
      </c>
      <c r="AJ84">
        <v>0.98</v>
      </c>
      <c r="AK84">
        <v>1</v>
      </c>
      <c r="AL84">
        <v>0.98499999999999999</v>
      </c>
      <c r="AM84">
        <v>0.98499999999999999</v>
      </c>
      <c r="AS84">
        <v>0.97699999999999998</v>
      </c>
      <c r="AT84" s="328">
        <v>0.97750000000000004</v>
      </c>
      <c r="AU84">
        <v>0.97567139999999997</v>
      </c>
      <c r="AV84">
        <v>0.98499999999999999</v>
      </c>
      <c r="AW84">
        <v>0.98499999999999999</v>
      </c>
      <c r="AX84">
        <v>0.98499999999999999</v>
      </c>
      <c r="AY84">
        <v>0.97567139999999997</v>
      </c>
      <c r="AZ84">
        <v>0.97567139999999997</v>
      </c>
      <c r="BA84">
        <v>0.98499999999999999</v>
      </c>
      <c r="BB84" s="446">
        <v>1</v>
      </c>
      <c r="BC84">
        <v>1</v>
      </c>
      <c r="BD84">
        <v>1</v>
      </c>
      <c r="BE84">
        <v>1</v>
      </c>
      <c r="BF84">
        <v>0.99990000000000001</v>
      </c>
      <c r="BG84">
        <v>1</v>
      </c>
      <c r="BH84">
        <v>1</v>
      </c>
      <c r="BI84">
        <v>0.99</v>
      </c>
      <c r="BJ84">
        <v>0.999</v>
      </c>
      <c r="BK84">
        <v>0.998</v>
      </c>
      <c r="BL84">
        <v>0.99850000000000005</v>
      </c>
      <c r="BM84">
        <v>0.99850000000000005</v>
      </c>
      <c r="BN84">
        <v>0.97199999999999998</v>
      </c>
      <c r="BO84">
        <v>0.99990000000000001</v>
      </c>
      <c r="BP84">
        <v>0.99990000000000001</v>
      </c>
      <c r="BQ84">
        <v>1</v>
      </c>
      <c r="BR84">
        <v>1.0863776000000001</v>
      </c>
      <c r="BS84">
        <v>1.1048</v>
      </c>
      <c r="BT84">
        <v>1.0827</v>
      </c>
      <c r="BU84">
        <v>1.0126999999999999</v>
      </c>
      <c r="BV84">
        <v>1</v>
      </c>
      <c r="BW84">
        <v>2.1282000000000001</v>
      </c>
      <c r="BX84">
        <v>2.2687563329999998</v>
      </c>
      <c r="BY84">
        <v>1.07385</v>
      </c>
      <c r="BZ84">
        <v>1.2885</v>
      </c>
      <c r="CA84">
        <v>2.0009999999999999</v>
      </c>
      <c r="CB84">
        <v>1.504005</v>
      </c>
      <c r="CC84">
        <v>1.504005</v>
      </c>
      <c r="CD84">
        <v>1.255905</v>
      </c>
      <c r="CE84">
        <v>1.0693049999999999</v>
      </c>
      <c r="CF84">
        <v>1.417405</v>
      </c>
      <c r="CG84" s="332"/>
      <c r="CH84">
        <v>1.09626</v>
      </c>
      <c r="CI84" s="332"/>
      <c r="CJ84" s="332"/>
      <c r="CK84" s="332"/>
      <c r="CL84" s="332"/>
      <c r="CM84" s="332"/>
      <c r="CN84" s="332"/>
      <c r="CO84" s="332"/>
      <c r="CP84">
        <v>0.97499999999999998</v>
      </c>
      <c r="CQ84">
        <v>0.91</v>
      </c>
      <c r="CR84">
        <v>0.91</v>
      </c>
      <c r="CS84">
        <v>0.97</v>
      </c>
      <c r="CT84">
        <v>0.99895</v>
      </c>
      <c r="CU84">
        <v>0.43</v>
      </c>
      <c r="CV84">
        <v>0.52</v>
      </c>
      <c r="CW84">
        <v>0.92500000000000004</v>
      </c>
      <c r="CX84">
        <v>0.73499999999999999</v>
      </c>
      <c r="CY84">
        <v>0.72499999999999998</v>
      </c>
      <c r="CZ84">
        <v>0.89</v>
      </c>
      <c r="DA84">
        <v>0.92249999999999999</v>
      </c>
      <c r="DB84">
        <v>0.91500000000000004</v>
      </c>
      <c r="DC84">
        <v>0.92749999999999999</v>
      </c>
      <c r="DD84">
        <v>0.91500000000000004</v>
      </c>
      <c r="DE84">
        <v>0.89</v>
      </c>
      <c r="DI84">
        <v>0.97750000000000004</v>
      </c>
      <c r="DN84" s="332">
        <v>2.8499999999999999E-4</v>
      </c>
      <c r="DO84" s="332">
        <v>2.0000000000000001E-4</v>
      </c>
      <c r="DP84" s="332">
        <v>0</v>
      </c>
      <c r="DQ84" s="332">
        <v>1E-4</v>
      </c>
      <c r="DR84" s="332">
        <v>0</v>
      </c>
      <c r="DS84" s="332">
        <v>3.5999999999999999E-3</v>
      </c>
      <c r="DT84" s="332">
        <v>4.6999999999999999E-4</v>
      </c>
      <c r="DU84" s="332">
        <v>6.9999999999999999E-4</v>
      </c>
      <c r="DV84" s="332">
        <v>0</v>
      </c>
      <c r="DW84" s="332">
        <v>0</v>
      </c>
      <c r="DX84" s="332">
        <v>5.0000000000000001E-4</v>
      </c>
      <c r="DY84" s="332">
        <v>5.0000000000000001E-4</v>
      </c>
      <c r="DZ84" s="332">
        <v>2.9999999999999997E-4</v>
      </c>
      <c r="EA84" s="332">
        <v>2.7500000000000002E-4</v>
      </c>
      <c r="EB84" s="332">
        <v>4.0000000000000002E-4</v>
      </c>
      <c r="ED84" s="332">
        <v>6.4999999999999994E-5</v>
      </c>
      <c r="EF84">
        <v>1</v>
      </c>
    </row>
    <row r="85" spans="1:136" x14ac:dyDescent="0.25">
      <c r="A85" s="66">
        <v>38961</v>
      </c>
      <c r="B85">
        <v>0.98</v>
      </c>
      <c r="C85">
        <v>0.98799999999999999</v>
      </c>
      <c r="D85">
        <v>0.96499999999999997</v>
      </c>
      <c r="E85">
        <f t="shared" si="8"/>
        <v>0.97799999999999998</v>
      </c>
      <c r="F85">
        <v>0.97699999999999998</v>
      </c>
      <c r="G85">
        <v>0.98062800000000006</v>
      </c>
      <c r="H85">
        <v>0.98750000000000004</v>
      </c>
      <c r="I85">
        <v>0.98750000000000004</v>
      </c>
      <c r="J85">
        <v>0.76665749999999999</v>
      </c>
      <c r="K85">
        <v>0.98499999999999999</v>
      </c>
      <c r="L85" s="333">
        <v>0.98750000000000004</v>
      </c>
      <c r="M85" s="333">
        <v>0.98750000000000004</v>
      </c>
      <c r="N85">
        <v>0.98</v>
      </c>
      <c r="O85">
        <v>0.98401360000000004</v>
      </c>
      <c r="P85">
        <v>0.98</v>
      </c>
      <c r="Q85" s="328">
        <v>0.98750000000000004</v>
      </c>
      <c r="R85">
        <v>0.98750000000000004</v>
      </c>
      <c r="S85" s="333">
        <v>0.98750000000000004</v>
      </c>
      <c r="T85">
        <v>0.98</v>
      </c>
      <c r="U85">
        <v>0.98</v>
      </c>
      <c r="V85">
        <v>0.98</v>
      </c>
      <c r="W85">
        <v>0.98</v>
      </c>
      <c r="X85">
        <v>0.98401360000000004</v>
      </c>
      <c r="Y85">
        <v>0.98401360000000004</v>
      </c>
      <c r="Z85">
        <v>0.98401360000000004</v>
      </c>
      <c r="AA85">
        <v>0.98401360000000004</v>
      </c>
      <c r="AB85">
        <v>0.98</v>
      </c>
      <c r="AC85">
        <v>0.98</v>
      </c>
      <c r="AD85">
        <v>0.98401360000000004</v>
      </c>
      <c r="AE85">
        <v>0.98401360000000004</v>
      </c>
      <c r="AF85">
        <v>0.98</v>
      </c>
      <c r="AG85">
        <v>0.99</v>
      </c>
      <c r="AH85">
        <v>0.97572924999999999</v>
      </c>
      <c r="AI85">
        <v>0.97572924999999999</v>
      </c>
      <c r="AJ85">
        <v>0.98</v>
      </c>
      <c r="AK85">
        <v>1</v>
      </c>
      <c r="AL85">
        <v>0.98499999999999999</v>
      </c>
      <c r="AM85">
        <v>0.98499999999999999</v>
      </c>
      <c r="AS85">
        <v>0.97699999999999998</v>
      </c>
      <c r="AT85" s="328">
        <v>0.97750000000000004</v>
      </c>
      <c r="AU85">
        <v>0.97572924999999999</v>
      </c>
      <c r="AV85">
        <v>0.98499999999999999</v>
      </c>
      <c r="AW85">
        <v>0.98499999999999999</v>
      </c>
      <c r="AX85">
        <v>0.98499999999999999</v>
      </c>
      <c r="AY85">
        <v>0.97572924999999999</v>
      </c>
      <c r="AZ85">
        <v>0.97572924999999999</v>
      </c>
      <c r="BA85">
        <v>0.98499999999999999</v>
      </c>
      <c r="BB85" s="446">
        <v>1</v>
      </c>
      <c r="BC85">
        <v>1</v>
      </c>
      <c r="BD85">
        <v>1</v>
      </c>
      <c r="BE85">
        <v>1</v>
      </c>
      <c r="BF85">
        <v>0.99990000000000001</v>
      </c>
      <c r="BG85">
        <v>1</v>
      </c>
      <c r="BH85">
        <v>1</v>
      </c>
      <c r="BI85">
        <v>0.99</v>
      </c>
      <c r="BJ85">
        <v>0.999</v>
      </c>
      <c r="BK85">
        <v>0.998</v>
      </c>
      <c r="BL85">
        <v>0.99850000000000005</v>
      </c>
      <c r="BM85">
        <v>0.99850000000000005</v>
      </c>
      <c r="BN85">
        <v>0.97199999999999998</v>
      </c>
      <c r="BO85">
        <v>0.99990000000000001</v>
      </c>
      <c r="BP85">
        <v>0.99990000000000001</v>
      </c>
      <c r="BQ85">
        <v>1</v>
      </c>
      <c r="BR85">
        <v>1.0866625999999999</v>
      </c>
      <c r="BS85">
        <v>1.105</v>
      </c>
      <c r="BT85">
        <v>1.0827</v>
      </c>
      <c r="BU85">
        <v>1.0127999999999999</v>
      </c>
      <c r="BV85">
        <v>1</v>
      </c>
      <c r="BW85">
        <v>2.1318000000000001</v>
      </c>
      <c r="BX85">
        <v>2.2692263330000002</v>
      </c>
      <c r="BY85">
        <v>1.0745499999999999</v>
      </c>
      <c r="BZ85">
        <v>1.2885</v>
      </c>
      <c r="CA85">
        <v>2.0009999999999999</v>
      </c>
      <c r="CB85">
        <v>1.504505</v>
      </c>
      <c r="CC85">
        <v>1.504505</v>
      </c>
      <c r="CD85">
        <v>1.256205</v>
      </c>
      <c r="CE85">
        <v>1.06958</v>
      </c>
      <c r="CF85">
        <v>1.417805</v>
      </c>
      <c r="CG85" s="332"/>
      <c r="CH85">
        <v>1.096325</v>
      </c>
      <c r="CI85" s="332"/>
      <c r="CJ85" s="332"/>
      <c r="CK85" s="332"/>
      <c r="CL85" s="332"/>
      <c r="CM85" s="332"/>
      <c r="CN85" s="332"/>
      <c r="CO85" s="332"/>
      <c r="CP85">
        <v>0.97499999999999998</v>
      </c>
      <c r="CQ85">
        <v>0.91</v>
      </c>
      <c r="CR85">
        <v>0.91</v>
      </c>
      <c r="CS85">
        <v>0.95</v>
      </c>
      <c r="CT85">
        <v>0.99895</v>
      </c>
      <c r="CU85">
        <v>0.46</v>
      </c>
      <c r="CV85">
        <v>0.55000000000000004</v>
      </c>
      <c r="CW85">
        <v>0.92500000000000004</v>
      </c>
      <c r="CX85">
        <v>0.59499999999999997</v>
      </c>
      <c r="CY85">
        <v>0.57499999999999996</v>
      </c>
      <c r="CZ85">
        <v>0.94499999999999995</v>
      </c>
      <c r="DA85">
        <v>0.97750000000000004</v>
      </c>
      <c r="DB85">
        <v>0.94499999999999995</v>
      </c>
      <c r="DC85">
        <v>0.92</v>
      </c>
      <c r="DD85">
        <v>0.91500000000000004</v>
      </c>
      <c r="DE85">
        <v>0.89</v>
      </c>
      <c r="DI85">
        <v>0.97750000000000004</v>
      </c>
      <c r="DN85" s="332">
        <v>2.8499999999999999E-4</v>
      </c>
      <c r="DO85" s="332">
        <v>2.0000000000000001E-4</v>
      </c>
      <c r="DP85" s="332">
        <v>0</v>
      </c>
      <c r="DQ85" s="332">
        <v>1E-4</v>
      </c>
      <c r="DR85" s="332">
        <v>0</v>
      </c>
      <c r="DS85" s="332">
        <v>3.5999999999999999E-3</v>
      </c>
      <c r="DT85" s="332">
        <v>4.6999999999999999E-4</v>
      </c>
      <c r="DU85" s="332">
        <v>6.9999999999999999E-4</v>
      </c>
      <c r="DV85" s="332">
        <v>0</v>
      </c>
      <c r="DW85" s="332">
        <v>0</v>
      </c>
      <c r="DX85" s="332">
        <v>5.0000000000000001E-4</v>
      </c>
      <c r="DY85" s="332">
        <v>5.0000000000000001E-4</v>
      </c>
      <c r="DZ85" s="332">
        <v>2.9999999999999997E-4</v>
      </c>
      <c r="EA85" s="332">
        <v>2.7500000000000002E-4</v>
      </c>
      <c r="EB85" s="332">
        <v>4.0000000000000002E-4</v>
      </c>
      <c r="ED85" s="332">
        <v>6.4999999999999994E-5</v>
      </c>
      <c r="EF85">
        <v>1</v>
      </c>
    </row>
    <row r="86" spans="1:136" x14ac:dyDescent="0.25">
      <c r="A86" s="66">
        <v>38991</v>
      </c>
      <c r="B86">
        <v>0.98</v>
      </c>
      <c r="C86">
        <v>0.98799999999999999</v>
      </c>
      <c r="D86">
        <v>0.96</v>
      </c>
      <c r="E86">
        <f t="shared" si="8"/>
        <v>0.99399999999999999</v>
      </c>
      <c r="F86">
        <v>0.97699999999999998</v>
      </c>
      <c r="G86">
        <v>0.98228400000000005</v>
      </c>
      <c r="H86">
        <v>0.98750000000000004</v>
      </c>
      <c r="I86">
        <v>0.98750000000000004</v>
      </c>
      <c r="J86">
        <v>0.75377249999999996</v>
      </c>
      <c r="K86">
        <v>0.98499999999999999</v>
      </c>
      <c r="L86" s="333">
        <v>0.98750000000000004</v>
      </c>
      <c r="M86" s="333">
        <v>0.98750000000000004</v>
      </c>
      <c r="N86">
        <v>0.98</v>
      </c>
      <c r="O86">
        <v>0.96554413800000005</v>
      </c>
      <c r="P86">
        <v>0.98</v>
      </c>
      <c r="Q86" s="328">
        <v>0.98750000000000004</v>
      </c>
      <c r="R86">
        <v>0.98750000000000004</v>
      </c>
      <c r="S86" s="333">
        <v>0.98750000000000004</v>
      </c>
      <c r="T86">
        <v>0.98</v>
      </c>
      <c r="U86">
        <v>0.98</v>
      </c>
      <c r="V86">
        <v>0.98</v>
      </c>
      <c r="W86">
        <v>0.98</v>
      </c>
      <c r="X86">
        <v>0.96554413800000005</v>
      </c>
      <c r="Y86">
        <v>0.96554413800000005</v>
      </c>
      <c r="Z86">
        <v>0.96554413800000005</v>
      </c>
      <c r="AA86">
        <v>0.96554413800000005</v>
      </c>
      <c r="AB86">
        <v>0.98</v>
      </c>
      <c r="AC86">
        <v>0.98</v>
      </c>
      <c r="AD86">
        <v>0.96554413800000005</v>
      </c>
      <c r="AE86">
        <v>0.96554413800000005</v>
      </c>
      <c r="AF86">
        <v>0.98</v>
      </c>
      <c r="AG86">
        <v>0.99</v>
      </c>
      <c r="AH86">
        <v>0.97578710000000002</v>
      </c>
      <c r="AI86">
        <v>0.97578710000000002</v>
      </c>
      <c r="AJ86">
        <v>0.98</v>
      </c>
      <c r="AK86">
        <v>1</v>
      </c>
      <c r="AL86">
        <v>0.98499999999999999</v>
      </c>
      <c r="AM86">
        <v>0.98499999999999999</v>
      </c>
      <c r="AS86">
        <v>0.97699999999999998</v>
      </c>
      <c r="AT86" s="328">
        <v>0.97750000000000004</v>
      </c>
      <c r="AU86">
        <v>0.97578710000000002</v>
      </c>
      <c r="AV86">
        <v>0.98499999999999999</v>
      </c>
      <c r="AW86">
        <v>0.98499999999999999</v>
      </c>
      <c r="AX86">
        <v>0.98499999999999999</v>
      </c>
      <c r="AY86">
        <v>0.97578710000000002</v>
      </c>
      <c r="AZ86">
        <v>0.97578710000000002</v>
      </c>
      <c r="BA86">
        <v>0.98499999999999999</v>
      </c>
      <c r="BB86" s="446">
        <v>1</v>
      </c>
      <c r="BC86">
        <v>1</v>
      </c>
      <c r="BD86">
        <v>1</v>
      </c>
      <c r="BE86">
        <v>1</v>
      </c>
      <c r="BF86">
        <v>0.99990000000000001</v>
      </c>
      <c r="BG86">
        <v>1</v>
      </c>
      <c r="BH86">
        <v>1</v>
      </c>
      <c r="BI86">
        <v>0.99</v>
      </c>
      <c r="BJ86">
        <v>0.999</v>
      </c>
      <c r="BK86">
        <v>0.998</v>
      </c>
      <c r="BL86">
        <v>0.99850000000000005</v>
      </c>
      <c r="BM86">
        <v>0.99850000000000005</v>
      </c>
      <c r="BN86">
        <v>0.97199999999999998</v>
      </c>
      <c r="BO86">
        <v>0.99990000000000001</v>
      </c>
      <c r="BP86">
        <v>0.99990000000000001</v>
      </c>
      <c r="BQ86">
        <v>1</v>
      </c>
      <c r="BR86">
        <v>1.0869476</v>
      </c>
      <c r="BS86">
        <v>1.1052</v>
      </c>
      <c r="BT86">
        <v>1.0827</v>
      </c>
      <c r="BU86">
        <v>1.0128999999999999</v>
      </c>
      <c r="BV86">
        <v>1</v>
      </c>
      <c r="BW86">
        <v>2.1354000000000002</v>
      </c>
      <c r="BX86">
        <v>2.2696963330000002</v>
      </c>
      <c r="BY86">
        <v>1.07525</v>
      </c>
      <c r="BZ86">
        <v>1.2885</v>
      </c>
      <c r="CA86">
        <v>2.0009999999999999</v>
      </c>
      <c r="CB86">
        <v>1.5050049999999999</v>
      </c>
      <c r="CC86">
        <v>1.5050049999999999</v>
      </c>
      <c r="CD86">
        <v>1.256505</v>
      </c>
      <c r="CE86">
        <v>1.069855</v>
      </c>
      <c r="CF86">
        <v>1.4182049999999999</v>
      </c>
      <c r="CG86" s="332"/>
      <c r="CH86">
        <v>1.09639</v>
      </c>
      <c r="CI86" s="332"/>
      <c r="CJ86" s="332"/>
      <c r="CK86" s="332"/>
      <c r="CL86" s="332"/>
      <c r="CM86" s="332"/>
      <c r="CN86" s="332"/>
      <c r="CO86" s="332"/>
      <c r="CP86">
        <v>0.95499999999999996</v>
      </c>
      <c r="CQ86">
        <v>0.9</v>
      </c>
      <c r="CR86">
        <v>0.91</v>
      </c>
      <c r="CS86">
        <v>0.94</v>
      </c>
      <c r="CT86">
        <v>0.99895</v>
      </c>
      <c r="CU86">
        <v>0.46</v>
      </c>
      <c r="CV86">
        <v>0.45</v>
      </c>
      <c r="CW86">
        <v>0.92500000000000004</v>
      </c>
      <c r="CX86">
        <v>0.58499999999999996</v>
      </c>
      <c r="CY86">
        <v>0.505</v>
      </c>
      <c r="CZ86">
        <v>0.80500000000000005</v>
      </c>
      <c r="DA86">
        <v>0.83750000000000002</v>
      </c>
      <c r="DB86">
        <v>0.875</v>
      </c>
      <c r="DC86">
        <v>0.90249999999999997</v>
      </c>
      <c r="DD86">
        <v>0.82</v>
      </c>
      <c r="DE86">
        <v>0.89</v>
      </c>
      <c r="DI86">
        <v>0.97750000000000004</v>
      </c>
      <c r="DN86" s="332">
        <v>2.8499999999999999E-4</v>
      </c>
      <c r="DO86" s="332">
        <v>2.0000000000000001E-4</v>
      </c>
      <c r="DP86" s="332">
        <v>0</v>
      </c>
      <c r="DQ86" s="332">
        <v>1E-4</v>
      </c>
      <c r="DR86" s="332">
        <v>0</v>
      </c>
      <c r="DS86" s="332">
        <v>3.5999999999999999E-3</v>
      </c>
      <c r="DT86" s="332">
        <v>4.6999999999999999E-4</v>
      </c>
      <c r="DU86" s="332">
        <v>6.9999999999999999E-4</v>
      </c>
      <c r="DV86" s="332">
        <v>0</v>
      </c>
      <c r="DW86" s="332">
        <v>0</v>
      </c>
      <c r="DX86" s="332">
        <v>5.0000000000000001E-4</v>
      </c>
      <c r="DY86" s="332">
        <v>5.0000000000000001E-4</v>
      </c>
      <c r="DZ86" s="332">
        <v>2.9999999999999997E-4</v>
      </c>
      <c r="EA86" s="332">
        <v>2.7500000000000002E-4</v>
      </c>
      <c r="EB86" s="332">
        <v>4.0000000000000002E-4</v>
      </c>
      <c r="ED86" s="332">
        <v>6.4999999999999994E-5</v>
      </c>
      <c r="EF86">
        <v>1</v>
      </c>
    </row>
    <row r="87" spans="1:136" x14ac:dyDescent="0.25">
      <c r="A87" s="66">
        <v>39022</v>
      </c>
      <c r="B87">
        <v>0.98</v>
      </c>
      <c r="C87">
        <v>0.98799999999999999</v>
      </c>
      <c r="D87">
        <v>0.96</v>
      </c>
      <c r="E87">
        <f t="shared" ref="E87:E92" si="9">E75</f>
        <v>0.99399999999999999</v>
      </c>
      <c r="F87">
        <v>0.97699999999999998</v>
      </c>
      <c r="G87">
        <v>0.98750000000000004</v>
      </c>
      <c r="H87">
        <v>0.98750000000000004</v>
      </c>
      <c r="I87">
        <v>0.97373474999999998</v>
      </c>
      <c r="J87">
        <v>0.70223250000000004</v>
      </c>
      <c r="K87">
        <v>0.97048500000000004</v>
      </c>
      <c r="L87" s="333">
        <v>0.98750000000000004</v>
      </c>
      <c r="M87" s="333">
        <v>0.98750000000000004</v>
      </c>
      <c r="N87">
        <v>0.98</v>
      </c>
      <c r="O87">
        <v>0.96579232500000001</v>
      </c>
      <c r="P87">
        <v>0.98</v>
      </c>
      <c r="Q87" s="328">
        <v>0.98750000000000004</v>
      </c>
      <c r="R87">
        <v>0.98750000000000004</v>
      </c>
      <c r="S87" s="333">
        <v>0.98750000000000004</v>
      </c>
      <c r="T87">
        <v>0.98</v>
      </c>
      <c r="U87">
        <v>0.98</v>
      </c>
      <c r="V87">
        <v>0.98</v>
      </c>
      <c r="W87">
        <v>0.98</v>
      </c>
      <c r="X87">
        <v>0.96579232500000001</v>
      </c>
      <c r="Y87">
        <v>0.96579232500000001</v>
      </c>
      <c r="Z87">
        <v>0.96579232500000001</v>
      </c>
      <c r="AA87">
        <v>0.96579232500000001</v>
      </c>
      <c r="AB87">
        <v>0.98</v>
      </c>
      <c r="AC87">
        <v>0.98</v>
      </c>
      <c r="AD87">
        <v>0.96579232500000001</v>
      </c>
      <c r="AE87">
        <v>0.96579232500000001</v>
      </c>
      <c r="AF87">
        <v>0.98</v>
      </c>
      <c r="AG87">
        <v>0.99</v>
      </c>
      <c r="AH87">
        <v>0.97584495000000004</v>
      </c>
      <c r="AI87">
        <v>0.97584495000000004</v>
      </c>
      <c r="AJ87">
        <v>0.98</v>
      </c>
      <c r="AK87">
        <v>1</v>
      </c>
      <c r="AL87">
        <v>0.97048500000000004</v>
      </c>
      <c r="AM87">
        <v>0.97443000000000002</v>
      </c>
      <c r="AS87">
        <v>0.97699999999999998</v>
      </c>
      <c r="AT87" s="328">
        <v>0.97750000000000004</v>
      </c>
      <c r="AU87">
        <v>0.97584495000000004</v>
      </c>
      <c r="AV87">
        <v>0.97443000000000002</v>
      </c>
      <c r="AW87">
        <v>0.97443000000000002</v>
      </c>
      <c r="AX87">
        <v>0.97443000000000002</v>
      </c>
      <c r="AY87">
        <v>0.97584495000000004</v>
      </c>
      <c r="AZ87">
        <v>0.97584495000000004</v>
      </c>
      <c r="BA87">
        <v>0.97443000000000002</v>
      </c>
      <c r="BB87" s="446">
        <v>1</v>
      </c>
      <c r="BC87">
        <v>1</v>
      </c>
      <c r="BD87">
        <v>1</v>
      </c>
      <c r="BE87">
        <v>1</v>
      </c>
      <c r="BF87">
        <v>0.99990000000000001</v>
      </c>
      <c r="BG87">
        <v>1</v>
      </c>
      <c r="BH87">
        <v>1</v>
      </c>
      <c r="BI87">
        <v>0.99</v>
      </c>
      <c r="BJ87">
        <v>0.999</v>
      </c>
      <c r="BK87">
        <v>0.998</v>
      </c>
      <c r="BL87">
        <v>0.99850000000000005</v>
      </c>
      <c r="BM87">
        <v>0.99850000000000005</v>
      </c>
      <c r="BN87">
        <v>0.97199999999999998</v>
      </c>
      <c r="BO87">
        <v>0.99990000000000001</v>
      </c>
      <c r="BP87">
        <v>0.99990000000000001</v>
      </c>
      <c r="BQ87">
        <v>1</v>
      </c>
      <c r="BR87">
        <v>1.0872326000000001</v>
      </c>
      <c r="BS87">
        <v>1.1053999999999999</v>
      </c>
      <c r="BT87">
        <v>1.0827</v>
      </c>
      <c r="BU87">
        <v>1.0129999999999999</v>
      </c>
      <c r="BV87">
        <v>1</v>
      </c>
      <c r="BW87">
        <v>2.1389999999999998</v>
      </c>
      <c r="BX87">
        <v>2.2701663330000001</v>
      </c>
      <c r="BY87">
        <v>1.07595</v>
      </c>
      <c r="BZ87">
        <v>1.2885</v>
      </c>
      <c r="CA87">
        <v>2.0009999999999999</v>
      </c>
      <c r="CB87">
        <v>1.5055050000000001</v>
      </c>
      <c r="CC87">
        <v>1.5055050000000001</v>
      </c>
      <c r="CD87">
        <v>1.2568049999999999</v>
      </c>
      <c r="CE87">
        <v>1.07013</v>
      </c>
      <c r="CF87">
        <v>1.4186049999999999</v>
      </c>
      <c r="CG87" s="332"/>
      <c r="CH87">
        <v>1.096455</v>
      </c>
      <c r="CI87" s="332"/>
      <c r="CJ87" s="332"/>
      <c r="CK87" s="332"/>
      <c r="CL87" s="332"/>
      <c r="CM87" s="332"/>
      <c r="CN87" s="332"/>
      <c r="CO87" s="332"/>
      <c r="CP87">
        <v>0.95499999999999996</v>
      </c>
      <c r="CQ87">
        <v>0.9</v>
      </c>
      <c r="CR87">
        <v>0.9</v>
      </c>
      <c r="CS87">
        <v>0.94</v>
      </c>
      <c r="CT87">
        <v>0.999</v>
      </c>
      <c r="CU87">
        <v>0.48</v>
      </c>
      <c r="CV87">
        <v>0.46</v>
      </c>
      <c r="CW87">
        <v>0.90500000000000003</v>
      </c>
      <c r="CX87">
        <v>0.54500000000000004</v>
      </c>
      <c r="CY87">
        <v>0.48499999999999999</v>
      </c>
      <c r="CZ87">
        <v>0.79500000000000004</v>
      </c>
      <c r="DA87">
        <v>0.82750000000000001</v>
      </c>
      <c r="DB87">
        <v>0.85</v>
      </c>
      <c r="DC87">
        <v>0.90249999999999997</v>
      </c>
      <c r="DD87">
        <v>0.82</v>
      </c>
      <c r="DE87">
        <v>0.89</v>
      </c>
      <c r="DI87">
        <v>0.97750000000000004</v>
      </c>
      <c r="DN87" s="332">
        <v>2.8499999999999999E-4</v>
      </c>
      <c r="DO87" s="332">
        <v>2.0000000000000001E-4</v>
      </c>
      <c r="DP87" s="332">
        <v>0</v>
      </c>
      <c r="DQ87" s="332">
        <v>1E-4</v>
      </c>
      <c r="DR87" s="332">
        <v>0</v>
      </c>
      <c r="DS87" s="332">
        <v>3.5999999999999999E-3</v>
      </c>
      <c r="DT87" s="332">
        <v>4.6999999999999999E-4</v>
      </c>
      <c r="DU87" s="332">
        <v>6.9999999999999999E-4</v>
      </c>
      <c r="DV87" s="332">
        <v>0</v>
      </c>
      <c r="DW87" s="332">
        <v>0</v>
      </c>
      <c r="DX87" s="332">
        <v>5.0000000000000001E-4</v>
      </c>
      <c r="DY87" s="332">
        <v>5.0000000000000001E-4</v>
      </c>
      <c r="DZ87" s="332">
        <v>2.9999999999999997E-4</v>
      </c>
      <c r="EA87" s="332">
        <v>2.7500000000000002E-4</v>
      </c>
      <c r="EB87" s="332">
        <v>4.0000000000000002E-4</v>
      </c>
      <c r="ED87" s="332">
        <v>6.4999999999999994E-5</v>
      </c>
      <c r="EF87">
        <v>1</v>
      </c>
    </row>
    <row r="88" spans="1:136" x14ac:dyDescent="0.25">
      <c r="A88" s="66">
        <v>39052</v>
      </c>
      <c r="B88">
        <v>0.98</v>
      </c>
      <c r="C88">
        <v>0.98398399999999997</v>
      </c>
      <c r="D88">
        <v>0.96</v>
      </c>
      <c r="E88">
        <f t="shared" si="9"/>
        <v>0.99399999999999999</v>
      </c>
      <c r="F88">
        <v>0.97699999999999998</v>
      </c>
      <c r="G88">
        <v>0.98750000000000004</v>
      </c>
      <c r="H88">
        <v>0.98750000000000004</v>
      </c>
      <c r="I88">
        <v>0.94206875000000001</v>
      </c>
      <c r="J88">
        <v>0.70867500000000005</v>
      </c>
      <c r="K88">
        <v>0.97048500000000004</v>
      </c>
      <c r="L88" s="333">
        <v>0.88854295000000005</v>
      </c>
      <c r="M88" s="333">
        <v>0.93748811200000004</v>
      </c>
      <c r="N88">
        <v>0.86740245000000005</v>
      </c>
      <c r="O88">
        <v>0.95533646299999997</v>
      </c>
      <c r="P88">
        <v>0.86740245000000005</v>
      </c>
      <c r="Q88" s="328">
        <v>0.88854295000000005</v>
      </c>
      <c r="R88">
        <v>0.88854295000000005</v>
      </c>
      <c r="S88" s="333">
        <v>0.88854295000000005</v>
      </c>
      <c r="T88">
        <v>0.86740245000000005</v>
      </c>
      <c r="U88">
        <v>0.86740245000000005</v>
      </c>
      <c r="V88">
        <v>0.86740245000000005</v>
      </c>
      <c r="W88">
        <v>0.86740245000000005</v>
      </c>
      <c r="X88">
        <v>0.95533646299999997</v>
      </c>
      <c r="Y88">
        <v>0.95533646299999997</v>
      </c>
      <c r="Z88">
        <v>0.95533646299999997</v>
      </c>
      <c r="AA88">
        <v>0.95533646299999997</v>
      </c>
      <c r="AB88">
        <v>0.86740245000000005</v>
      </c>
      <c r="AC88">
        <v>0.86740245000000005</v>
      </c>
      <c r="AD88">
        <v>0.95533646299999997</v>
      </c>
      <c r="AE88">
        <v>0.95533646299999997</v>
      </c>
      <c r="AF88">
        <v>0.86740245000000005</v>
      </c>
      <c r="AG88">
        <v>0.98</v>
      </c>
      <c r="AH88">
        <v>0.97590279999999996</v>
      </c>
      <c r="AI88">
        <v>0.97590279999999996</v>
      </c>
      <c r="AJ88">
        <v>0.86740245000000005</v>
      </c>
      <c r="AK88">
        <v>1</v>
      </c>
      <c r="AL88">
        <v>0.97048500000000004</v>
      </c>
      <c r="AM88">
        <v>0.95277599999999996</v>
      </c>
      <c r="AS88">
        <v>0.97699999999999998</v>
      </c>
      <c r="AT88" s="328">
        <v>0.97750000000000004</v>
      </c>
      <c r="AU88">
        <v>0.97590279999999996</v>
      </c>
      <c r="AV88">
        <v>0.95277599999999996</v>
      </c>
      <c r="AW88">
        <v>0.95277599999999996</v>
      </c>
      <c r="AX88">
        <v>0.95277599999999996</v>
      </c>
      <c r="AY88">
        <v>0.97590279999999996</v>
      </c>
      <c r="AZ88">
        <v>0.97590279999999996</v>
      </c>
      <c r="BA88">
        <v>0.95277599999999996</v>
      </c>
      <c r="BB88" s="446">
        <v>1</v>
      </c>
      <c r="BC88">
        <v>1</v>
      </c>
      <c r="BD88">
        <v>1</v>
      </c>
      <c r="BE88">
        <v>1</v>
      </c>
      <c r="BF88">
        <v>0.99990000000000001</v>
      </c>
      <c r="BG88">
        <v>1</v>
      </c>
      <c r="BH88">
        <v>1</v>
      </c>
      <c r="BI88">
        <v>0.99</v>
      </c>
      <c r="BJ88">
        <v>0.999</v>
      </c>
      <c r="BK88">
        <v>0.998</v>
      </c>
      <c r="BL88">
        <v>0.99850000000000005</v>
      </c>
      <c r="BM88">
        <v>0.99850000000000005</v>
      </c>
      <c r="BN88">
        <v>0.97199999999999998</v>
      </c>
      <c r="BO88">
        <v>0.99990000000000001</v>
      </c>
      <c r="BP88">
        <v>0.99990000000000001</v>
      </c>
      <c r="BQ88">
        <v>1</v>
      </c>
      <c r="BR88">
        <v>1.0875176</v>
      </c>
      <c r="BS88">
        <v>1.1055999999999999</v>
      </c>
      <c r="BT88">
        <v>1.0827</v>
      </c>
      <c r="BU88">
        <v>1.0130999999999999</v>
      </c>
      <c r="BV88">
        <v>1</v>
      </c>
      <c r="BW88">
        <v>2.1425999999999998</v>
      </c>
      <c r="BX88">
        <v>2.2706363330000001</v>
      </c>
      <c r="BY88">
        <v>1.0766500000000001</v>
      </c>
      <c r="BZ88">
        <v>1.2885</v>
      </c>
      <c r="CA88">
        <v>2.0009999999999999</v>
      </c>
      <c r="CB88">
        <v>1.506005</v>
      </c>
      <c r="CC88">
        <v>1.506005</v>
      </c>
      <c r="CD88">
        <v>1.2571049999999999</v>
      </c>
      <c r="CE88">
        <v>1.0704050000000001</v>
      </c>
      <c r="CF88">
        <v>1.4190050000000001</v>
      </c>
      <c r="CG88" s="332"/>
      <c r="CH88">
        <v>1.0965199999999999</v>
      </c>
      <c r="CI88" s="332"/>
      <c r="CJ88" s="332"/>
      <c r="CK88" s="332"/>
      <c r="CL88" s="332"/>
      <c r="CM88" s="332"/>
      <c r="CN88" s="332"/>
      <c r="CO88" s="332"/>
      <c r="CP88">
        <v>0.93500000000000005</v>
      </c>
      <c r="CQ88">
        <v>0.89</v>
      </c>
      <c r="CR88">
        <v>0.88</v>
      </c>
      <c r="CS88">
        <v>0.92</v>
      </c>
      <c r="CT88">
        <v>0.999</v>
      </c>
      <c r="CU88">
        <v>0.51</v>
      </c>
      <c r="CV88">
        <v>0.48</v>
      </c>
      <c r="CW88">
        <v>0.875</v>
      </c>
      <c r="CX88">
        <v>0.55000000000000004</v>
      </c>
      <c r="CY88">
        <v>0.48499999999999999</v>
      </c>
      <c r="CZ88">
        <v>0.59</v>
      </c>
      <c r="DA88">
        <v>0.62250000000000005</v>
      </c>
      <c r="DB88">
        <v>0.69</v>
      </c>
      <c r="DC88">
        <v>0.89249999999999996</v>
      </c>
      <c r="DD88">
        <v>0.71499999999999997</v>
      </c>
      <c r="DE88">
        <v>0.89</v>
      </c>
      <c r="DI88">
        <v>0.97750000000000004</v>
      </c>
      <c r="DN88" s="332">
        <v>2.8499999999999999E-4</v>
      </c>
      <c r="DO88" s="332">
        <v>2.0000000000000001E-4</v>
      </c>
      <c r="DP88" s="332">
        <v>0</v>
      </c>
      <c r="DQ88" s="332">
        <v>1E-4</v>
      </c>
      <c r="DR88" s="332">
        <v>0</v>
      </c>
      <c r="DS88" s="332">
        <v>3.5999999999999999E-3</v>
      </c>
      <c r="DT88" s="332">
        <v>4.6999999999999999E-4</v>
      </c>
      <c r="DU88" s="332">
        <v>6.9999999999999999E-4</v>
      </c>
      <c r="DV88" s="332">
        <v>0</v>
      </c>
      <c r="DW88" s="332">
        <v>0</v>
      </c>
      <c r="DX88" s="332">
        <v>5.0000000000000001E-4</v>
      </c>
      <c r="DY88" s="332">
        <v>5.0000000000000001E-4</v>
      </c>
      <c r="DZ88" s="332">
        <v>2.9999999999999997E-4</v>
      </c>
      <c r="EA88" s="332">
        <v>2.7500000000000002E-4</v>
      </c>
      <c r="EB88" s="332">
        <v>4.0000000000000002E-4</v>
      </c>
      <c r="ED88" s="332">
        <v>6.4999999999999994E-5</v>
      </c>
      <c r="EF88">
        <v>1</v>
      </c>
    </row>
    <row r="89" spans="1:136" x14ac:dyDescent="0.25">
      <c r="A89" s="66">
        <v>39083</v>
      </c>
      <c r="B89">
        <v>0.98</v>
      </c>
      <c r="C89">
        <v>0.95098800000000006</v>
      </c>
      <c r="D89">
        <v>0.96</v>
      </c>
      <c r="E89">
        <f t="shared" si="9"/>
        <v>0.99399999999999999</v>
      </c>
      <c r="F89">
        <v>0.97699999999999998</v>
      </c>
      <c r="G89">
        <v>0.98750000000000004</v>
      </c>
      <c r="H89">
        <v>0.98750000000000004</v>
      </c>
      <c r="I89">
        <v>0.86726674999999998</v>
      </c>
      <c r="J89">
        <v>0.72155999999999998</v>
      </c>
      <c r="K89">
        <v>0.98499999999999999</v>
      </c>
      <c r="L89" s="333">
        <v>0.91143552500000002</v>
      </c>
      <c r="M89" s="333">
        <v>0.96039693699999995</v>
      </c>
      <c r="N89">
        <v>0.86760945</v>
      </c>
      <c r="O89">
        <v>0.94219839999999999</v>
      </c>
      <c r="P89">
        <v>0.86760945</v>
      </c>
      <c r="Q89" s="328">
        <v>0.91143552500000002</v>
      </c>
      <c r="R89">
        <v>0.91143552500000002</v>
      </c>
      <c r="S89" s="333">
        <v>0.91143552500000002</v>
      </c>
      <c r="T89">
        <v>0.86760945</v>
      </c>
      <c r="U89">
        <v>0.86760945</v>
      </c>
      <c r="V89">
        <v>0.86760945</v>
      </c>
      <c r="W89">
        <v>0.86760945</v>
      </c>
      <c r="X89">
        <v>0.94219839999999999</v>
      </c>
      <c r="Y89">
        <v>0.94219839999999999</v>
      </c>
      <c r="Z89">
        <v>0.94219839999999999</v>
      </c>
      <c r="AA89">
        <v>0.94219839999999999</v>
      </c>
      <c r="AB89">
        <v>0.86760945</v>
      </c>
      <c r="AC89">
        <v>0.86760945</v>
      </c>
      <c r="AD89">
        <v>0.94219839999999999</v>
      </c>
      <c r="AE89">
        <v>0.94219839999999999</v>
      </c>
      <c r="AF89">
        <v>0.86760945</v>
      </c>
      <c r="AG89">
        <v>0.98</v>
      </c>
      <c r="AH89">
        <v>0.97596064999999999</v>
      </c>
      <c r="AI89">
        <v>0.97596064999999999</v>
      </c>
      <c r="AJ89">
        <v>0.86760945</v>
      </c>
      <c r="AK89">
        <v>1</v>
      </c>
      <c r="AL89">
        <v>0.98499999999999999</v>
      </c>
      <c r="AM89">
        <v>0.94194900000000004</v>
      </c>
      <c r="AS89">
        <v>0.97699999999999998</v>
      </c>
      <c r="AT89" s="328">
        <v>0.97750000000000004</v>
      </c>
      <c r="AU89">
        <v>0.97596064999999999</v>
      </c>
      <c r="AV89">
        <v>0.94194900000000004</v>
      </c>
      <c r="AW89">
        <v>0.94194900000000004</v>
      </c>
      <c r="AX89">
        <v>0.94194900000000004</v>
      </c>
      <c r="AY89">
        <v>0.97596064999999999</v>
      </c>
      <c r="AZ89">
        <v>0.97596064999999999</v>
      </c>
      <c r="BA89">
        <v>0.94194900000000004</v>
      </c>
      <c r="BB89" s="446">
        <v>1</v>
      </c>
      <c r="BC89">
        <v>1</v>
      </c>
      <c r="BD89">
        <v>1</v>
      </c>
      <c r="BE89">
        <v>1</v>
      </c>
      <c r="BF89">
        <v>0.99990000000000001</v>
      </c>
      <c r="BG89">
        <v>1</v>
      </c>
      <c r="BH89">
        <v>1</v>
      </c>
      <c r="BI89">
        <v>0.99</v>
      </c>
      <c r="BJ89">
        <v>0.999</v>
      </c>
      <c r="BK89">
        <v>0.998</v>
      </c>
      <c r="BL89">
        <v>0.99850000000000005</v>
      </c>
      <c r="BM89">
        <v>0.99850000000000005</v>
      </c>
      <c r="BN89">
        <v>0.97199999999999998</v>
      </c>
      <c r="BO89">
        <v>0.99990000000000001</v>
      </c>
      <c r="BP89">
        <v>0.99990000000000001</v>
      </c>
      <c r="BQ89">
        <v>1</v>
      </c>
      <c r="BR89">
        <v>1.0878026000000001</v>
      </c>
      <c r="BS89">
        <v>1.1057999999999999</v>
      </c>
      <c r="BT89">
        <v>1.0827</v>
      </c>
      <c r="BU89">
        <v>1.0132000000000001</v>
      </c>
      <c r="BV89">
        <v>1</v>
      </c>
      <c r="BW89">
        <v>2.1461999999999999</v>
      </c>
      <c r="BX89">
        <v>2.2711063330000001</v>
      </c>
      <c r="BY89">
        <v>1.07735</v>
      </c>
      <c r="BZ89">
        <v>1.2885</v>
      </c>
      <c r="CA89">
        <v>2.0009999999999999</v>
      </c>
      <c r="CB89">
        <v>1.506505</v>
      </c>
      <c r="CC89">
        <v>1.506505</v>
      </c>
      <c r="CD89">
        <v>1.2574050000000001</v>
      </c>
      <c r="CE89">
        <v>1.0706800000000001</v>
      </c>
      <c r="CF89">
        <v>1.419405</v>
      </c>
      <c r="CG89" s="332"/>
      <c r="CH89">
        <v>1.0965849999999999</v>
      </c>
      <c r="CI89" s="332"/>
      <c r="CJ89" s="332"/>
      <c r="CK89" s="332"/>
      <c r="CL89" s="332"/>
      <c r="CM89" s="332"/>
      <c r="CN89" s="332"/>
      <c r="CO89" s="332"/>
      <c r="CP89">
        <v>0.89500000000000002</v>
      </c>
      <c r="CQ89">
        <v>0.86</v>
      </c>
      <c r="CR89">
        <v>0.87</v>
      </c>
      <c r="CS89">
        <v>0.92</v>
      </c>
      <c r="CT89">
        <v>0.999</v>
      </c>
      <c r="CU89">
        <v>0.57999999999999996</v>
      </c>
      <c r="CV89">
        <v>0.45</v>
      </c>
      <c r="CW89">
        <v>0.80500000000000005</v>
      </c>
      <c r="CX89">
        <v>0.56000000000000005</v>
      </c>
      <c r="CY89">
        <v>0.505</v>
      </c>
      <c r="CZ89">
        <v>0.60499999999999998</v>
      </c>
      <c r="DA89">
        <v>0.63749999999999996</v>
      </c>
      <c r="DB89">
        <v>0.69</v>
      </c>
      <c r="DC89">
        <v>0.88</v>
      </c>
      <c r="DD89">
        <v>0.64</v>
      </c>
      <c r="DE89">
        <v>0.89</v>
      </c>
      <c r="DI89">
        <v>0.97750000000000004</v>
      </c>
      <c r="DN89" s="332">
        <v>2.8499999999999999E-4</v>
      </c>
      <c r="DO89" s="332">
        <v>2.0000000000000001E-4</v>
      </c>
      <c r="DP89" s="332">
        <v>0</v>
      </c>
      <c r="DQ89" s="332">
        <v>1E-4</v>
      </c>
      <c r="DR89" s="332">
        <v>0</v>
      </c>
      <c r="DS89" s="332">
        <v>3.5999999999999999E-3</v>
      </c>
      <c r="DT89" s="332">
        <v>4.6999999999999999E-4</v>
      </c>
      <c r="DU89" s="332">
        <v>6.9999999999999999E-4</v>
      </c>
      <c r="DV89" s="332">
        <v>0</v>
      </c>
      <c r="DW89" s="332">
        <v>0</v>
      </c>
      <c r="DX89" s="332">
        <v>5.0000000000000001E-4</v>
      </c>
      <c r="DY89" s="332">
        <v>5.0000000000000001E-4</v>
      </c>
      <c r="DZ89" s="332">
        <v>2.9999999999999997E-4</v>
      </c>
      <c r="EA89" s="332">
        <v>2.7500000000000002E-4</v>
      </c>
      <c r="EB89" s="332">
        <v>4.0000000000000002E-4</v>
      </c>
      <c r="ED89" s="332">
        <v>6.4999999999999994E-5</v>
      </c>
      <c r="EF89">
        <v>1</v>
      </c>
    </row>
    <row r="90" spans="1:136" x14ac:dyDescent="0.25">
      <c r="A90" s="66">
        <v>39114</v>
      </c>
      <c r="B90">
        <v>0.98</v>
      </c>
      <c r="C90">
        <v>0.95116000000000001</v>
      </c>
      <c r="D90">
        <v>0.96</v>
      </c>
      <c r="E90">
        <f t="shared" si="9"/>
        <v>0.99399999999999999</v>
      </c>
      <c r="F90">
        <v>0.97699999999999998</v>
      </c>
      <c r="G90">
        <v>0.98750000000000004</v>
      </c>
      <c r="H90">
        <v>0.98750000000000004</v>
      </c>
      <c r="I90">
        <v>0.91095225000000002</v>
      </c>
      <c r="J90">
        <v>0.85685250000000002</v>
      </c>
      <c r="K90">
        <v>0.98499999999999999</v>
      </c>
      <c r="L90" s="333">
        <v>0.95694817499999996</v>
      </c>
      <c r="M90" s="333">
        <v>0.98750000000000004</v>
      </c>
      <c r="N90">
        <v>0.89297055000000003</v>
      </c>
      <c r="O90">
        <v>0.93976301299999998</v>
      </c>
      <c r="P90">
        <v>0.89297055000000003</v>
      </c>
      <c r="Q90" s="328">
        <v>0.95694817499999996</v>
      </c>
      <c r="R90">
        <v>0.95694817499999996</v>
      </c>
      <c r="S90" s="333">
        <v>0.95694817499999996</v>
      </c>
      <c r="T90">
        <v>0.89297055000000003</v>
      </c>
      <c r="U90">
        <v>0.89297055000000003</v>
      </c>
      <c r="V90">
        <v>0.89297055000000003</v>
      </c>
      <c r="W90">
        <v>0.89297055000000003</v>
      </c>
      <c r="X90">
        <v>0.93976301299999998</v>
      </c>
      <c r="Y90">
        <v>0.93976301299999998</v>
      </c>
      <c r="Z90">
        <v>0.93976301299999998</v>
      </c>
      <c r="AA90">
        <v>0.93976301299999998</v>
      </c>
      <c r="AB90">
        <v>0.89297055000000003</v>
      </c>
      <c r="AC90">
        <v>0.89297055000000003</v>
      </c>
      <c r="AD90">
        <v>0.93976301299999998</v>
      </c>
      <c r="AE90">
        <v>0.93976301299999998</v>
      </c>
      <c r="AF90">
        <v>0.89297055000000003</v>
      </c>
      <c r="AG90">
        <v>0.98</v>
      </c>
      <c r="AH90">
        <v>0.97601850000000001</v>
      </c>
      <c r="AI90">
        <v>0.97601850000000001</v>
      </c>
      <c r="AJ90">
        <v>0.89297055000000003</v>
      </c>
      <c r="AK90">
        <v>1</v>
      </c>
      <c r="AL90">
        <v>0.98499999999999999</v>
      </c>
      <c r="AM90">
        <v>0.96360299999999999</v>
      </c>
      <c r="AS90">
        <v>0.97699999999999998</v>
      </c>
      <c r="AT90" s="328">
        <v>0.97750000000000004</v>
      </c>
      <c r="AU90">
        <v>0.97601850000000001</v>
      </c>
      <c r="AV90">
        <v>0.96360299999999999</v>
      </c>
      <c r="AW90">
        <v>0.96360299999999999</v>
      </c>
      <c r="AX90">
        <v>0.96360299999999999</v>
      </c>
      <c r="AY90">
        <v>0.97601850000000001</v>
      </c>
      <c r="AZ90">
        <v>0.97601850000000001</v>
      </c>
      <c r="BA90">
        <v>0.96360299999999999</v>
      </c>
      <c r="BB90" s="446">
        <v>1</v>
      </c>
      <c r="BC90">
        <v>1</v>
      </c>
      <c r="BD90">
        <v>1</v>
      </c>
      <c r="BE90">
        <v>1</v>
      </c>
      <c r="BF90">
        <v>0.99990000000000001</v>
      </c>
      <c r="BG90">
        <v>1</v>
      </c>
      <c r="BH90">
        <v>1</v>
      </c>
      <c r="BI90">
        <v>0.99</v>
      </c>
      <c r="BJ90">
        <v>0.999</v>
      </c>
      <c r="BK90">
        <v>0.998</v>
      </c>
      <c r="BL90">
        <v>0.99850000000000005</v>
      </c>
      <c r="BM90">
        <v>0.99850000000000005</v>
      </c>
      <c r="BN90">
        <v>0.97199999999999998</v>
      </c>
      <c r="BO90">
        <v>0.99990000000000001</v>
      </c>
      <c r="BP90">
        <v>0.99990000000000001</v>
      </c>
      <c r="BQ90">
        <v>1</v>
      </c>
      <c r="BR90">
        <v>1.0880875999999999</v>
      </c>
      <c r="BS90">
        <v>1.1060000000000001</v>
      </c>
      <c r="BT90">
        <v>1.0827</v>
      </c>
      <c r="BU90">
        <v>1.0133000000000001</v>
      </c>
      <c r="BV90">
        <v>1</v>
      </c>
      <c r="BW90">
        <v>2.1497999999999999</v>
      </c>
      <c r="BX90">
        <v>2.2715763330000001</v>
      </c>
      <c r="BY90">
        <v>1.07805</v>
      </c>
      <c r="BZ90">
        <v>1.2885</v>
      </c>
      <c r="CA90">
        <v>2.0009999999999999</v>
      </c>
      <c r="CB90">
        <v>1.5070049999999999</v>
      </c>
      <c r="CC90">
        <v>1.5070049999999999</v>
      </c>
      <c r="CD90">
        <v>1.2577050000000001</v>
      </c>
      <c r="CE90">
        <v>1.0709550000000001</v>
      </c>
      <c r="CF90">
        <v>1.419805</v>
      </c>
      <c r="CG90" s="332"/>
      <c r="CH90">
        <v>1.0966499999999999</v>
      </c>
      <c r="CI90" s="332"/>
      <c r="CJ90" s="332"/>
      <c r="CK90" s="332"/>
      <c r="CL90" s="332"/>
      <c r="CM90" s="332"/>
      <c r="CN90" s="332"/>
      <c r="CO90" s="332"/>
      <c r="CP90">
        <v>0.86499999999999999</v>
      </c>
      <c r="CQ90">
        <v>0.86</v>
      </c>
      <c r="CR90">
        <v>0.89</v>
      </c>
      <c r="CS90">
        <v>0.93500000000000005</v>
      </c>
      <c r="CT90">
        <v>0.99895</v>
      </c>
      <c r="CU90">
        <v>0.57999999999999996</v>
      </c>
      <c r="CV90">
        <v>0.45</v>
      </c>
      <c r="CW90">
        <v>0.84499999999999997</v>
      </c>
      <c r="CX90">
        <v>0.66500000000000004</v>
      </c>
      <c r="CY90">
        <v>0.505</v>
      </c>
      <c r="CZ90">
        <v>0.63500000000000001</v>
      </c>
      <c r="DA90">
        <v>0.66749999999999998</v>
      </c>
      <c r="DB90">
        <v>0.71</v>
      </c>
      <c r="DC90">
        <v>0.87749999999999995</v>
      </c>
      <c r="DD90">
        <v>0.67</v>
      </c>
      <c r="DE90">
        <v>0.89</v>
      </c>
      <c r="DI90">
        <v>0.97750000000000004</v>
      </c>
      <c r="DN90" s="332">
        <v>2.8499999999999999E-4</v>
      </c>
      <c r="DO90" s="332">
        <v>2.0000000000000001E-4</v>
      </c>
      <c r="DP90" s="332">
        <v>0</v>
      </c>
      <c r="DQ90" s="332">
        <v>1E-4</v>
      </c>
      <c r="DR90" s="332">
        <v>0</v>
      </c>
      <c r="DS90" s="332">
        <v>3.5999999999999999E-3</v>
      </c>
      <c r="DT90" s="332">
        <v>4.6999999999999999E-4</v>
      </c>
      <c r="DU90" s="332">
        <v>6.9999999999999999E-4</v>
      </c>
      <c r="DV90" s="332">
        <v>0</v>
      </c>
      <c r="DW90" s="332">
        <v>0</v>
      </c>
      <c r="DX90" s="332">
        <v>5.0000000000000001E-4</v>
      </c>
      <c r="DY90" s="332">
        <v>5.0000000000000001E-4</v>
      </c>
      <c r="DZ90" s="332">
        <v>2.9999999999999997E-4</v>
      </c>
      <c r="EA90" s="332">
        <v>2.7500000000000002E-4</v>
      </c>
      <c r="EB90" s="332">
        <v>4.0000000000000002E-4</v>
      </c>
      <c r="ED90" s="332">
        <v>6.4999999999999994E-5</v>
      </c>
      <c r="EF90">
        <v>1</v>
      </c>
    </row>
    <row r="91" spans="1:136" x14ac:dyDescent="0.25">
      <c r="A91" s="66">
        <v>39142</v>
      </c>
      <c r="B91">
        <v>0.98</v>
      </c>
      <c r="C91">
        <v>0.984518</v>
      </c>
      <c r="D91">
        <v>0.96</v>
      </c>
      <c r="E91">
        <f t="shared" si="9"/>
        <v>0.99399999999999999</v>
      </c>
      <c r="F91">
        <v>0.97699999999999998</v>
      </c>
      <c r="G91">
        <v>0.98750000000000004</v>
      </c>
      <c r="H91">
        <v>0.98750000000000004</v>
      </c>
      <c r="I91">
        <v>0.94390624999999995</v>
      </c>
      <c r="J91">
        <v>0.98499999999999999</v>
      </c>
      <c r="K91">
        <v>0.98499999999999999</v>
      </c>
      <c r="L91" s="333">
        <v>0.98750000000000004</v>
      </c>
      <c r="M91" s="333">
        <v>0.98750000000000004</v>
      </c>
      <c r="N91">
        <v>0.98</v>
      </c>
      <c r="O91">
        <v>0.96410700000000005</v>
      </c>
      <c r="P91">
        <v>0.98</v>
      </c>
      <c r="Q91" s="328">
        <v>0.98750000000000004</v>
      </c>
      <c r="R91">
        <v>0.98750000000000004</v>
      </c>
      <c r="S91" s="333">
        <v>0.98750000000000004</v>
      </c>
      <c r="T91">
        <v>0.98</v>
      </c>
      <c r="U91">
        <v>0.98</v>
      </c>
      <c r="V91">
        <v>0.98</v>
      </c>
      <c r="W91">
        <v>0.98</v>
      </c>
      <c r="X91">
        <v>0.96410700000000005</v>
      </c>
      <c r="Y91">
        <v>0.96410700000000005</v>
      </c>
      <c r="Z91">
        <v>0.96410700000000005</v>
      </c>
      <c r="AA91">
        <v>0.96410700000000005</v>
      </c>
      <c r="AB91">
        <v>0.98</v>
      </c>
      <c r="AC91">
        <v>0.98</v>
      </c>
      <c r="AD91">
        <v>0.96410700000000005</v>
      </c>
      <c r="AE91">
        <v>0.96410700000000005</v>
      </c>
      <c r="AF91">
        <v>0.98</v>
      </c>
      <c r="AG91">
        <v>0.99</v>
      </c>
      <c r="AH91">
        <v>0.97607635000000004</v>
      </c>
      <c r="AI91">
        <v>0.97607635000000004</v>
      </c>
      <c r="AJ91">
        <v>0.98</v>
      </c>
      <c r="AK91">
        <v>1</v>
      </c>
      <c r="AL91">
        <v>0.98499999999999999</v>
      </c>
      <c r="AM91">
        <v>0.98499999999999999</v>
      </c>
      <c r="AS91">
        <v>0.97699999999999998</v>
      </c>
      <c r="AT91" s="328">
        <v>0.97750000000000004</v>
      </c>
      <c r="AU91">
        <v>0.97607635000000004</v>
      </c>
      <c r="AV91">
        <v>0.98499999999999999</v>
      </c>
      <c r="AW91">
        <v>0.98499999999999999</v>
      </c>
      <c r="AX91">
        <v>0.98499999999999999</v>
      </c>
      <c r="AY91">
        <v>0.97607635000000004</v>
      </c>
      <c r="AZ91">
        <v>0.97607635000000004</v>
      </c>
      <c r="BA91">
        <v>0.98499999999999999</v>
      </c>
      <c r="BB91" s="446">
        <v>1</v>
      </c>
      <c r="BC91">
        <v>1</v>
      </c>
      <c r="BD91">
        <v>1</v>
      </c>
      <c r="BE91">
        <v>1</v>
      </c>
      <c r="BF91">
        <v>0.99990000000000001</v>
      </c>
      <c r="BG91">
        <v>1</v>
      </c>
      <c r="BH91">
        <v>1</v>
      </c>
      <c r="BI91">
        <v>0.99</v>
      </c>
      <c r="BJ91">
        <v>0.999</v>
      </c>
      <c r="BK91">
        <v>0.998</v>
      </c>
      <c r="BL91">
        <v>0.99850000000000005</v>
      </c>
      <c r="BM91">
        <v>0.99850000000000005</v>
      </c>
      <c r="BN91">
        <v>0.97199999999999998</v>
      </c>
      <c r="BO91">
        <v>0.99990000000000001</v>
      </c>
      <c r="BP91">
        <v>0.99990000000000001</v>
      </c>
      <c r="BQ91">
        <v>1</v>
      </c>
      <c r="BR91">
        <v>1.0883726</v>
      </c>
      <c r="BS91">
        <v>1.1062000000000001</v>
      </c>
      <c r="BT91">
        <v>1.0827</v>
      </c>
      <c r="BU91">
        <v>1.0134000000000001</v>
      </c>
      <c r="BV91">
        <v>1</v>
      </c>
      <c r="BW91">
        <v>2.1534</v>
      </c>
      <c r="BX91">
        <v>2.272046333</v>
      </c>
      <c r="BY91">
        <v>1.0787500000000001</v>
      </c>
      <c r="BZ91">
        <v>1.2885</v>
      </c>
      <c r="CA91">
        <v>2.0009999999999999</v>
      </c>
      <c r="CB91">
        <v>1.5075050000000001</v>
      </c>
      <c r="CC91">
        <v>1.5075050000000001</v>
      </c>
      <c r="CD91">
        <v>1.258005</v>
      </c>
      <c r="CE91">
        <v>1.0712299999999999</v>
      </c>
      <c r="CF91">
        <v>1.4202049999999999</v>
      </c>
      <c r="CG91" s="332"/>
      <c r="CH91">
        <v>1.0967150000000001</v>
      </c>
      <c r="CI91" s="332"/>
      <c r="CJ91" s="332"/>
      <c r="CK91" s="332"/>
      <c r="CL91" s="332"/>
      <c r="CM91" s="332"/>
      <c r="CN91" s="332"/>
      <c r="CO91" s="332"/>
      <c r="CP91">
        <v>0.86499999999999999</v>
      </c>
      <c r="CQ91">
        <v>0.89</v>
      </c>
      <c r="CR91">
        <v>0.91</v>
      </c>
      <c r="CS91">
        <v>0.93500000000000005</v>
      </c>
      <c r="CT91">
        <v>0.99895</v>
      </c>
      <c r="CU91">
        <v>0.54</v>
      </c>
      <c r="CV91">
        <v>0.45</v>
      </c>
      <c r="CW91">
        <v>0.875</v>
      </c>
      <c r="CX91">
        <v>0.83499999999999996</v>
      </c>
      <c r="CY91">
        <v>0.51500000000000001</v>
      </c>
      <c r="CZ91">
        <v>0.78500000000000003</v>
      </c>
      <c r="DA91">
        <v>0.8175</v>
      </c>
      <c r="DB91">
        <v>0.8</v>
      </c>
      <c r="DC91">
        <v>0.9</v>
      </c>
      <c r="DD91">
        <v>0.83</v>
      </c>
      <c r="DE91">
        <v>0.89</v>
      </c>
      <c r="DI91">
        <v>0.97750000000000004</v>
      </c>
      <c r="DN91" s="332">
        <v>2.8499999999999999E-4</v>
      </c>
      <c r="DO91" s="332">
        <v>2.0000000000000001E-4</v>
      </c>
      <c r="DP91" s="332">
        <v>0</v>
      </c>
      <c r="DQ91" s="332">
        <v>1E-4</v>
      </c>
      <c r="DR91" s="332">
        <v>0</v>
      </c>
      <c r="DS91" s="332">
        <v>3.5999999999999999E-3</v>
      </c>
      <c r="DT91" s="332">
        <v>4.6999999999999999E-4</v>
      </c>
      <c r="DU91" s="332">
        <v>6.9999999999999999E-4</v>
      </c>
      <c r="DV91" s="332">
        <v>0</v>
      </c>
      <c r="DW91" s="332">
        <v>0</v>
      </c>
      <c r="DX91" s="332">
        <v>5.0000000000000001E-4</v>
      </c>
      <c r="DY91" s="332">
        <v>5.0000000000000001E-4</v>
      </c>
      <c r="DZ91" s="332">
        <v>2.9999999999999997E-4</v>
      </c>
      <c r="EA91" s="332">
        <v>2.7500000000000002E-4</v>
      </c>
      <c r="EB91" s="332">
        <v>4.0000000000000002E-4</v>
      </c>
      <c r="ED91" s="332">
        <v>6.4999999999999994E-5</v>
      </c>
      <c r="EF91">
        <v>1</v>
      </c>
    </row>
    <row r="92" spans="1:136" x14ac:dyDescent="0.25">
      <c r="A92" s="66">
        <v>39173</v>
      </c>
      <c r="B92">
        <v>0.98</v>
      </c>
      <c r="C92">
        <v>0.98799999999999999</v>
      </c>
      <c r="D92">
        <v>0.96</v>
      </c>
      <c r="E92">
        <f t="shared" si="9"/>
        <v>0.97799999999999998</v>
      </c>
      <c r="F92">
        <v>0.97699999999999998</v>
      </c>
      <c r="G92">
        <v>0.98750000000000004</v>
      </c>
      <c r="H92">
        <v>0.95445685999999996</v>
      </c>
      <c r="I92">
        <v>0.98750000000000004</v>
      </c>
      <c r="J92">
        <v>0.98499999999999999</v>
      </c>
      <c r="K92">
        <v>0.98499999999999999</v>
      </c>
      <c r="L92" s="333">
        <v>0.98750000000000004</v>
      </c>
      <c r="M92" s="333">
        <v>0.98750000000000004</v>
      </c>
      <c r="N92">
        <v>0.98</v>
      </c>
      <c r="O92">
        <v>0.96756901500000003</v>
      </c>
      <c r="P92">
        <v>0.98</v>
      </c>
      <c r="Q92" s="328">
        <v>0.98750000000000004</v>
      </c>
      <c r="R92">
        <v>0.98750000000000004</v>
      </c>
      <c r="S92" s="333">
        <v>0.98750000000000004</v>
      </c>
      <c r="T92">
        <v>0.98</v>
      </c>
      <c r="U92">
        <v>0.98</v>
      </c>
      <c r="V92">
        <v>0.98</v>
      </c>
      <c r="W92">
        <v>0.98</v>
      </c>
      <c r="X92">
        <v>0.96756901500000003</v>
      </c>
      <c r="Y92">
        <v>0.96756901500000003</v>
      </c>
      <c r="Z92">
        <v>0.96756901500000003</v>
      </c>
      <c r="AA92">
        <v>0.96756901500000003</v>
      </c>
      <c r="AB92">
        <v>0.98</v>
      </c>
      <c r="AC92">
        <v>0.98</v>
      </c>
      <c r="AD92">
        <v>0.96756901500000003</v>
      </c>
      <c r="AE92">
        <v>0.96756901500000003</v>
      </c>
      <c r="AF92">
        <v>0.98</v>
      </c>
      <c r="AG92">
        <v>0.99</v>
      </c>
      <c r="AH92">
        <v>0.97613419999999995</v>
      </c>
      <c r="AI92">
        <v>0.97613419999999995</v>
      </c>
      <c r="AJ92">
        <v>0.98</v>
      </c>
      <c r="AK92">
        <v>1</v>
      </c>
      <c r="AL92">
        <v>0.98499999999999999</v>
      </c>
      <c r="AM92">
        <v>0.98499999999999999</v>
      </c>
      <c r="AS92">
        <v>0.97699999999999998</v>
      </c>
      <c r="AT92" s="328">
        <v>0.97750000000000004</v>
      </c>
      <c r="AU92">
        <v>0.97613419999999995</v>
      </c>
      <c r="AV92">
        <v>0.98499999999999999</v>
      </c>
      <c r="AW92">
        <v>0.98499999999999999</v>
      </c>
      <c r="AX92">
        <v>0.98499999999999999</v>
      </c>
      <c r="AY92">
        <v>0.97613419999999995</v>
      </c>
      <c r="AZ92">
        <v>0.97613419999999995</v>
      </c>
      <c r="BA92">
        <v>0.98499999999999999</v>
      </c>
      <c r="BB92" s="446">
        <v>1</v>
      </c>
      <c r="BC92">
        <v>1</v>
      </c>
      <c r="BD92">
        <v>1</v>
      </c>
      <c r="BE92">
        <v>1</v>
      </c>
      <c r="BF92">
        <v>0.99990000000000001</v>
      </c>
      <c r="BG92">
        <v>1</v>
      </c>
      <c r="BH92">
        <v>1</v>
      </c>
      <c r="BI92">
        <v>0.99</v>
      </c>
      <c r="BJ92">
        <v>0.999</v>
      </c>
      <c r="BK92">
        <v>0.998</v>
      </c>
      <c r="BL92">
        <v>0.99850000000000005</v>
      </c>
      <c r="BM92">
        <v>0.99850000000000005</v>
      </c>
      <c r="BN92">
        <v>0.97199999999999998</v>
      </c>
      <c r="BO92">
        <v>0.99990000000000001</v>
      </c>
      <c r="BP92">
        <v>0.99990000000000001</v>
      </c>
      <c r="BQ92">
        <v>1</v>
      </c>
      <c r="BR92">
        <v>1.0886575999999999</v>
      </c>
      <c r="BS92">
        <v>1.1064000000000001</v>
      </c>
      <c r="BT92">
        <v>1.0827</v>
      </c>
      <c r="BU92">
        <v>1.0135000000000001</v>
      </c>
      <c r="BV92">
        <v>1</v>
      </c>
      <c r="BW92">
        <v>2.157</v>
      </c>
      <c r="BX92">
        <v>2.272516333</v>
      </c>
      <c r="BY92">
        <v>1.07945</v>
      </c>
      <c r="BZ92">
        <v>1.2885</v>
      </c>
      <c r="CA92">
        <v>2.0009999999999999</v>
      </c>
      <c r="CB92">
        <v>1.508005</v>
      </c>
      <c r="CC92">
        <v>1.508005</v>
      </c>
      <c r="CD92">
        <v>1.258305</v>
      </c>
      <c r="CE92">
        <v>1.0715049999999999</v>
      </c>
      <c r="CF92">
        <v>1.4206049999999999</v>
      </c>
      <c r="CG92" s="332"/>
      <c r="CH92">
        <v>1.0967800000000001</v>
      </c>
      <c r="CI92" s="332"/>
      <c r="CJ92" s="332"/>
      <c r="CK92" s="332"/>
      <c r="CL92" s="332"/>
      <c r="CM92" s="332"/>
      <c r="CN92" s="332"/>
      <c r="CO92" s="332"/>
      <c r="CP92">
        <v>0.89500000000000002</v>
      </c>
      <c r="CQ92">
        <v>0.9</v>
      </c>
      <c r="CR92">
        <v>0.91</v>
      </c>
      <c r="CS92">
        <v>0.96</v>
      </c>
      <c r="CT92">
        <v>0.99895</v>
      </c>
      <c r="CU92">
        <v>0.48</v>
      </c>
      <c r="CV92">
        <v>0.42</v>
      </c>
      <c r="CW92">
        <v>0.93500000000000005</v>
      </c>
      <c r="CX92">
        <v>0.82499999999999996</v>
      </c>
      <c r="CY92">
        <v>0.57499999999999996</v>
      </c>
      <c r="CZ92">
        <v>0.89500000000000002</v>
      </c>
      <c r="DA92">
        <v>0.92749999999999999</v>
      </c>
      <c r="DB92">
        <v>0.85</v>
      </c>
      <c r="DC92">
        <v>0.90300000000000002</v>
      </c>
      <c r="DD92">
        <v>0.92</v>
      </c>
      <c r="DE92">
        <v>0.89</v>
      </c>
      <c r="DI92">
        <v>0.97750000000000004</v>
      </c>
      <c r="DN92" s="332">
        <v>2.8499999999999999E-4</v>
      </c>
      <c r="DO92" s="332">
        <v>2.0000000000000001E-4</v>
      </c>
      <c r="DP92" s="332">
        <v>0</v>
      </c>
      <c r="DQ92" s="332">
        <v>1E-4</v>
      </c>
      <c r="DR92" s="332">
        <v>0</v>
      </c>
      <c r="DS92" s="332">
        <v>3.5999999999999999E-3</v>
      </c>
      <c r="DT92" s="332">
        <v>4.6999999999999999E-4</v>
      </c>
      <c r="DU92" s="332">
        <v>6.9999999999999999E-4</v>
      </c>
      <c r="DV92" s="332">
        <v>0</v>
      </c>
      <c r="DW92" s="332">
        <v>0</v>
      </c>
      <c r="DX92" s="332">
        <v>5.0000000000000001E-4</v>
      </c>
      <c r="DY92" s="332">
        <v>5.0000000000000001E-4</v>
      </c>
      <c r="DZ92" s="332">
        <v>2.9999999999999997E-4</v>
      </c>
      <c r="EA92" s="332">
        <v>2.7500000000000002E-4</v>
      </c>
      <c r="EB92" s="332">
        <v>4.0000000000000002E-4</v>
      </c>
      <c r="ED92" s="332">
        <v>6.4999999999999994E-5</v>
      </c>
      <c r="EF92">
        <v>1</v>
      </c>
    </row>
    <row r="93" spans="1:136" x14ac:dyDescent="0.25">
      <c r="A93" s="66">
        <v>39203</v>
      </c>
      <c r="B93">
        <v>0.98</v>
      </c>
      <c r="C93">
        <v>0.98799999999999999</v>
      </c>
      <c r="D93">
        <v>0.96</v>
      </c>
      <c r="E93">
        <f t="shared" ref="E93:E98" si="10">E81</f>
        <v>0.97799999999999998</v>
      </c>
      <c r="F93">
        <v>0.97699999999999998</v>
      </c>
      <c r="G93">
        <v>0.73460400000000003</v>
      </c>
      <c r="H93">
        <v>0.95465425999999998</v>
      </c>
      <c r="I93">
        <v>0.98750000000000004</v>
      </c>
      <c r="J93">
        <v>0.93416250000000001</v>
      </c>
      <c r="K93">
        <v>0.98499999999999999</v>
      </c>
      <c r="L93" s="333">
        <v>0.98750000000000004</v>
      </c>
      <c r="M93" s="333">
        <v>0.98750000000000004</v>
      </c>
      <c r="N93">
        <v>0.98</v>
      </c>
      <c r="O93">
        <v>0.96460199999999996</v>
      </c>
      <c r="P93">
        <v>0.98</v>
      </c>
      <c r="Q93" s="328">
        <v>0.98750000000000004</v>
      </c>
      <c r="R93">
        <v>0.98750000000000004</v>
      </c>
      <c r="S93" s="333">
        <v>0.98750000000000004</v>
      </c>
      <c r="T93">
        <v>0.98</v>
      </c>
      <c r="U93">
        <v>0.98</v>
      </c>
      <c r="V93">
        <v>0.98</v>
      </c>
      <c r="W93">
        <v>0.98</v>
      </c>
      <c r="X93">
        <v>0.96460199999999996</v>
      </c>
      <c r="Y93">
        <v>0.96460199999999996</v>
      </c>
      <c r="Z93">
        <v>0.96460199999999996</v>
      </c>
      <c r="AA93">
        <v>0.96460199999999996</v>
      </c>
      <c r="AB93">
        <v>0.98</v>
      </c>
      <c r="AC93">
        <v>0.98</v>
      </c>
      <c r="AD93">
        <v>0.96460199999999996</v>
      </c>
      <c r="AE93">
        <v>0.96460199999999996</v>
      </c>
      <c r="AF93">
        <v>0.98</v>
      </c>
      <c r="AG93">
        <v>0.99</v>
      </c>
      <c r="AH93">
        <v>0.97619204999999998</v>
      </c>
      <c r="AI93">
        <v>0.97619204999999998</v>
      </c>
      <c r="AJ93">
        <v>0.98</v>
      </c>
      <c r="AK93">
        <v>1</v>
      </c>
      <c r="AL93">
        <v>0.98499999999999999</v>
      </c>
      <c r="AM93">
        <v>0.98499999999999999</v>
      </c>
      <c r="AS93">
        <v>0.97699999999999998</v>
      </c>
      <c r="AT93" s="328">
        <v>0.97750000000000004</v>
      </c>
      <c r="AU93">
        <v>0.97619204999999998</v>
      </c>
      <c r="AV93">
        <v>0.98499999999999999</v>
      </c>
      <c r="AW93">
        <v>0.98499999999999999</v>
      </c>
      <c r="AX93">
        <v>0.98499999999999999</v>
      </c>
      <c r="AY93">
        <v>0.97619204999999998</v>
      </c>
      <c r="AZ93">
        <v>0.97619204999999998</v>
      </c>
      <c r="BA93">
        <v>0.98499999999999999</v>
      </c>
      <c r="BB93" s="446">
        <v>1</v>
      </c>
      <c r="BC93">
        <v>1</v>
      </c>
      <c r="BD93">
        <v>1</v>
      </c>
      <c r="BE93">
        <v>1</v>
      </c>
      <c r="BF93">
        <v>0.99990000000000001</v>
      </c>
      <c r="BG93">
        <v>1</v>
      </c>
      <c r="BH93">
        <v>1</v>
      </c>
      <c r="BI93">
        <v>0.99</v>
      </c>
      <c r="BJ93">
        <v>0.999</v>
      </c>
      <c r="BK93">
        <v>0.998</v>
      </c>
      <c r="BL93">
        <v>0.99850000000000005</v>
      </c>
      <c r="BM93">
        <v>0.99850000000000005</v>
      </c>
      <c r="BN93">
        <v>0.97199999999999998</v>
      </c>
      <c r="BO93">
        <v>0.99990000000000001</v>
      </c>
      <c r="BP93">
        <v>0.99990000000000001</v>
      </c>
      <c r="BQ93">
        <v>1</v>
      </c>
      <c r="BR93">
        <v>1.0889426</v>
      </c>
      <c r="BS93">
        <v>1.1066</v>
      </c>
      <c r="BT93">
        <v>1.0827</v>
      </c>
      <c r="BU93">
        <v>1.0136000000000001</v>
      </c>
      <c r="BV93">
        <v>1</v>
      </c>
      <c r="BW93">
        <v>2.1606000000000001</v>
      </c>
      <c r="BX93">
        <v>2.272986333</v>
      </c>
      <c r="BY93">
        <v>1.0801499999999999</v>
      </c>
      <c r="BZ93">
        <v>1.2885</v>
      </c>
      <c r="CA93">
        <v>2.0009999999999999</v>
      </c>
      <c r="CB93">
        <v>1.508505</v>
      </c>
      <c r="CC93">
        <v>1.508505</v>
      </c>
      <c r="CD93">
        <v>1.258605</v>
      </c>
      <c r="CE93">
        <v>1.07178</v>
      </c>
      <c r="CF93">
        <v>1.4210050000000001</v>
      </c>
      <c r="CG93" s="332"/>
      <c r="CH93">
        <v>1.0968450000000001</v>
      </c>
      <c r="CI93" s="332"/>
      <c r="CJ93" s="332"/>
      <c r="CK93" s="332"/>
      <c r="CL93" s="332"/>
      <c r="CM93" s="332"/>
      <c r="CN93" s="332"/>
      <c r="CO93" s="332"/>
      <c r="CP93">
        <v>0.96499999999999997</v>
      </c>
      <c r="CQ93">
        <v>0.91</v>
      </c>
      <c r="CR93">
        <v>0.91</v>
      </c>
      <c r="CS93">
        <v>0.97</v>
      </c>
      <c r="CT93">
        <v>0.99895</v>
      </c>
      <c r="CU93">
        <v>0.34</v>
      </c>
      <c r="CV93">
        <v>0.42</v>
      </c>
      <c r="CW93">
        <v>0.93500000000000005</v>
      </c>
      <c r="CX93">
        <v>0.72499999999999998</v>
      </c>
      <c r="CY93">
        <v>0.625</v>
      </c>
      <c r="CZ93">
        <v>0.91749999999999998</v>
      </c>
      <c r="DA93">
        <v>0.95</v>
      </c>
      <c r="DB93">
        <v>0.88</v>
      </c>
      <c r="DC93">
        <v>0.9</v>
      </c>
      <c r="DD93">
        <v>0.93500000000000005</v>
      </c>
      <c r="DE93">
        <v>0.89</v>
      </c>
      <c r="DI93">
        <v>0.97750000000000004</v>
      </c>
      <c r="DN93" s="332">
        <v>2.8499999999999999E-4</v>
      </c>
      <c r="DO93" s="332">
        <v>2.0000000000000001E-4</v>
      </c>
      <c r="DP93" s="332">
        <v>0</v>
      </c>
      <c r="DQ93" s="332">
        <v>1E-4</v>
      </c>
      <c r="DR93" s="332">
        <v>0</v>
      </c>
      <c r="DS93" s="332">
        <v>3.5999999999999999E-3</v>
      </c>
      <c r="DT93" s="332">
        <v>4.6999999999999999E-4</v>
      </c>
      <c r="DU93" s="332">
        <v>6.9999999999999999E-4</v>
      </c>
      <c r="DV93" s="332">
        <v>0</v>
      </c>
      <c r="DW93" s="332">
        <v>0</v>
      </c>
      <c r="DX93" s="332">
        <v>5.0000000000000001E-4</v>
      </c>
      <c r="DY93" s="332">
        <v>5.0000000000000001E-4</v>
      </c>
      <c r="DZ93" s="332">
        <v>2.9999999999999997E-4</v>
      </c>
      <c r="EA93" s="332">
        <v>2.7500000000000002E-4</v>
      </c>
      <c r="EB93" s="332">
        <v>4.0000000000000002E-4</v>
      </c>
      <c r="ED93" s="332">
        <v>6.4999999999999994E-5</v>
      </c>
      <c r="EF93">
        <v>1</v>
      </c>
    </row>
    <row r="94" spans="1:136" x14ac:dyDescent="0.25">
      <c r="A94" s="66">
        <v>39234</v>
      </c>
      <c r="B94">
        <v>0.98</v>
      </c>
      <c r="C94">
        <v>0.98799999999999999</v>
      </c>
      <c r="D94">
        <v>0.96</v>
      </c>
      <c r="E94">
        <f t="shared" si="10"/>
        <v>0.97799999999999998</v>
      </c>
      <c r="F94">
        <v>0.97699999999999998</v>
      </c>
      <c r="G94">
        <v>0.73582800000000004</v>
      </c>
      <c r="H94">
        <v>0.98750000000000004</v>
      </c>
      <c r="I94">
        <v>0.98750000000000004</v>
      </c>
      <c r="J94">
        <v>0.81819750000000002</v>
      </c>
      <c r="K94">
        <v>0.98499999999999999</v>
      </c>
      <c r="L94" s="333">
        <v>0.98750000000000004</v>
      </c>
      <c r="M94" s="333">
        <v>0.98750000000000004</v>
      </c>
      <c r="N94">
        <v>0.98</v>
      </c>
      <c r="O94">
        <v>0.96752963800000003</v>
      </c>
      <c r="P94">
        <v>0.98</v>
      </c>
      <c r="Q94" s="328">
        <v>0.98750000000000004</v>
      </c>
      <c r="R94">
        <v>0.98750000000000004</v>
      </c>
      <c r="S94" s="333">
        <v>0.98750000000000004</v>
      </c>
      <c r="T94">
        <v>0.98</v>
      </c>
      <c r="U94">
        <v>0.98</v>
      </c>
      <c r="V94">
        <v>0.98</v>
      </c>
      <c r="W94">
        <v>0.98</v>
      </c>
      <c r="X94">
        <v>0.96752963800000003</v>
      </c>
      <c r="Y94">
        <v>0.96752963800000003</v>
      </c>
      <c r="Z94">
        <v>0.96752963800000003</v>
      </c>
      <c r="AA94">
        <v>0.96752963800000003</v>
      </c>
      <c r="AB94">
        <v>0.98</v>
      </c>
      <c r="AC94">
        <v>0.98</v>
      </c>
      <c r="AD94">
        <v>0.96752963800000003</v>
      </c>
      <c r="AE94">
        <v>0.96752963800000003</v>
      </c>
      <c r="AF94">
        <v>0.98</v>
      </c>
      <c r="AG94">
        <v>0.99</v>
      </c>
      <c r="AH94">
        <v>0.9762499</v>
      </c>
      <c r="AI94">
        <v>0.9762499</v>
      </c>
      <c r="AJ94">
        <v>0.98</v>
      </c>
      <c r="AK94">
        <v>1</v>
      </c>
      <c r="AL94">
        <v>0.98499999999999999</v>
      </c>
      <c r="AM94">
        <v>0.98499999999999999</v>
      </c>
      <c r="AS94">
        <v>0.97699999999999998</v>
      </c>
      <c r="AT94" s="328">
        <v>0.97750000000000004</v>
      </c>
      <c r="AU94">
        <v>0.9762499</v>
      </c>
      <c r="AV94">
        <v>0.98499999999999999</v>
      </c>
      <c r="AW94">
        <v>0.98499999999999999</v>
      </c>
      <c r="AX94">
        <v>0.98499999999999999</v>
      </c>
      <c r="AY94">
        <v>0.9762499</v>
      </c>
      <c r="AZ94">
        <v>0.9762499</v>
      </c>
      <c r="BA94">
        <v>0.98499999999999999</v>
      </c>
      <c r="BB94" s="446">
        <v>1</v>
      </c>
      <c r="BC94">
        <v>1</v>
      </c>
      <c r="BD94">
        <v>1</v>
      </c>
      <c r="BE94">
        <v>1</v>
      </c>
      <c r="BF94">
        <v>0.99990000000000001</v>
      </c>
      <c r="BG94">
        <v>1</v>
      </c>
      <c r="BH94">
        <v>1</v>
      </c>
      <c r="BI94">
        <v>0.99</v>
      </c>
      <c r="BJ94">
        <v>0.999</v>
      </c>
      <c r="BK94">
        <v>0.998</v>
      </c>
      <c r="BL94">
        <v>0.99850000000000005</v>
      </c>
      <c r="BM94">
        <v>0.99850000000000005</v>
      </c>
      <c r="BN94">
        <v>0.97199999999999998</v>
      </c>
      <c r="BO94">
        <v>0.99990000000000001</v>
      </c>
      <c r="BP94">
        <v>0.99990000000000001</v>
      </c>
      <c r="BQ94">
        <v>1</v>
      </c>
      <c r="BR94">
        <v>1.0892276000000001</v>
      </c>
      <c r="BS94">
        <v>1.1068</v>
      </c>
      <c r="BT94">
        <v>1.0827</v>
      </c>
      <c r="BU94">
        <v>1.0137</v>
      </c>
      <c r="BV94">
        <v>1</v>
      </c>
      <c r="BW94">
        <v>2.1642000000000001</v>
      </c>
      <c r="BX94">
        <v>2.2734563329999999</v>
      </c>
      <c r="BY94">
        <v>1.0808500000000001</v>
      </c>
      <c r="BZ94">
        <v>1.2885</v>
      </c>
      <c r="CA94">
        <v>2.0009999999999999</v>
      </c>
      <c r="CB94">
        <v>1.5090049999999999</v>
      </c>
      <c r="CC94">
        <v>1.5090049999999999</v>
      </c>
      <c r="CD94">
        <v>1.2589049999999999</v>
      </c>
      <c r="CE94">
        <v>1.072055</v>
      </c>
      <c r="CF94">
        <v>1.421405</v>
      </c>
      <c r="CG94" s="332"/>
      <c r="CH94">
        <v>1.0969100000000001</v>
      </c>
      <c r="CI94" s="332"/>
      <c r="CJ94" s="332"/>
      <c r="CK94" s="332"/>
      <c r="CL94" s="332"/>
      <c r="CM94" s="332"/>
      <c r="CN94" s="332"/>
      <c r="CO94" s="332"/>
      <c r="CP94">
        <v>0.96499999999999997</v>
      </c>
      <c r="CQ94">
        <v>0.91</v>
      </c>
      <c r="CR94">
        <v>0.91</v>
      </c>
      <c r="CS94">
        <v>0.98</v>
      </c>
      <c r="CT94">
        <v>0.99895</v>
      </c>
      <c r="CU94">
        <v>0.34</v>
      </c>
      <c r="CV94">
        <v>0.47</v>
      </c>
      <c r="CW94">
        <v>0.93500000000000005</v>
      </c>
      <c r="CX94">
        <v>0.63500000000000001</v>
      </c>
      <c r="CY94">
        <v>0.72499999999999998</v>
      </c>
      <c r="CZ94">
        <v>0.88249999999999995</v>
      </c>
      <c r="DA94">
        <v>0.91500000000000004</v>
      </c>
      <c r="DB94">
        <v>0.88</v>
      </c>
      <c r="DC94">
        <v>0.90249999999999997</v>
      </c>
      <c r="DD94">
        <v>0.91500000000000004</v>
      </c>
      <c r="DE94">
        <v>0.89</v>
      </c>
      <c r="DI94">
        <v>0.97750000000000004</v>
      </c>
      <c r="DN94" s="332">
        <v>2.8499999999999999E-4</v>
      </c>
      <c r="DO94" s="332">
        <v>2.0000000000000001E-4</v>
      </c>
      <c r="DP94" s="332">
        <v>0</v>
      </c>
      <c r="DQ94" s="332">
        <v>1E-4</v>
      </c>
      <c r="DR94" s="332">
        <v>0</v>
      </c>
      <c r="DS94" s="332">
        <v>3.5999999999999999E-3</v>
      </c>
      <c r="DT94" s="332">
        <v>4.6999999999999999E-4</v>
      </c>
      <c r="DU94" s="332">
        <v>6.9999999999999999E-4</v>
      </c>
      <c r="DV94" s="332">
        <v>0</v>
      </c>
      <c r="DW94" s="332">
        <v>0</v>
      </c>
      <c r="DX94" s="332">
        <v>5.0000000000000001E-4</v>
      </c>
      <c r="DY94" s="332">
        <v>5.0000000000000001E-4</v>
      </c>
      <c r="DZ94" s="332">
        <v>2.9999999999999997E-4</v>
      </c>
      <c r="EA94" s="332">
        <v>2.7500000000000002E-4</v>
      </c>
      <c r="EB94" s="332">
        <v>4.0000000000000002E-4</v>
      </c>
      <c r="ED94" s="332">
        <v>6.4999999999999994E-5</v>
      </c>
      <c r="EF94">
        <v>1</v>
      </c>
    </row>
    <row r="95" spans="1:136" x14ac:dyDescent="0.25">
      <c r="A95" s="66">
        <v>39264</v>
      </c>
      <c r="B95">
        <v>0.98</v>
      </c>
      <c r="C95">
        <v>0.98799999999999999</v>
      </c>
      <c r="D95">
        <v>0.96</v>
      </c>
      <c r="E95">
        <f t="shared" si="10"/>
        <v>0.97799999999999998</v>
      </c>
      <c r="F95">
        <v>0.97699999999999998</v>
      </c>
      <c r="G95">
        <v>0.88879799999999998</v>
      </c>
      <c r="H95">
        <v>0.98750000000000004</v>
      </c>
      <c r="I95">
        <v>0.98750000000000004</v>
      </c>
      <c r="J95">
        <v>0.84396749999999998</v>
      </c>
      <c r="K95">
        <v>0.98499999999999999</v>
      </c>
      <c r="L95" s="333">
        <v>0.98750000000000004</v>
      </c>
      <c r="M95" s="333">
        <v>0.98750000000000004</v>
      </c>
      <c r="N95">
        <v>0.98</v>
      </c>
      <c r="O95">
        <v>0.97313947499999998</v>
      </c>
      <c r="P95">
        <v>0.98</v>
      </c>
      <c r="Q95" s="328">
        <v>0.98750000000000004</v>
      </c>
      <c r="R95">
        <v>0.98750000000000004</v>
      </c>
      <c r="S95" s="333">
        <v>0.98750000000000004</v>
      </c>
      <c r="T95">
        <v>0.98</v>
      </c>
      <c r="U95">
        <v>0.98</v>
      </c>
      <c r="V95">
        <v>0.98</v>
      </c>
      <c r="W95">
        <v>0.98</v>
      </c>
      <c r="X95">
        <v>0.97313947499999998</v>
      </c>
      <c r="Y95">
        <v>0.97313947499999998</v>
      </c>
      <c r="Z95">
        <v>0.97313947499999998</v>
      </c>
      <c r="AA95">
        <v>0.97313947499999998</v>
      </c>
      <c r="AB95">
        <v>0.98</v>
      </c>
      <c r="AC95">
        <v>0.98</v>
      </c>
      <c r="AD95">
        <v>0.97313947499999998</v>
      </c>
      <c r="AE95">
        <v>0.97313947499999998</v>
      </c>
      <c r="AF95">
        <v>0.98</v>
      </c>
      <c r="AG95">
        <v>0.99</v>
      </c>
      <c r="AH95">
        <v>0.97630775000000003</v>
      </c>
      <c r="AI95">
        <v>0.97630775000000003</v>
      </c>
      <c r="AJ95">
        <v>0.98</v>
      </c>
      <c r="AK95">
        <v>1</v>
      </c>
      <c r="AL95">
        <v>0.98499999999999999</v>
      </c>
      <c r="AM95">
        <v>0.98499999999999999</v>
      </c>
      <c r="AS95">
        <v>0.97699999999999998</v>
      </c>
      <c r="AT95" s="328">
        <v>0.97750000000000004</v>
      </c>
      <c r="AU95">
        <v>0.97630775000000003</v>
      </c>
      <c r="AV95">
        <v>0.98499999999999999</v>
      </c>
      <c r="AW95">
        <v>0.98499999999999999</v>
      </c>
      <c r="AX95">
        <v>0.98499999999999999</v>
      </c>
      <c r="AY95">
        <v>0.97630775000000003</v>
      </c>
      <c r="AZ95">
        <v>0.97630775000000003</v>
      </c>
      <c r="BA95">
        <v>0.98499999999999999</v>
      </c>
      <c r="BB95" s="446">
        <v>1</v>
      </c>
      <c r="BC95">
        <v>1</v>
      </c>
      <c r="BD95">
        <v>1</v>
      </c>
      <c r="BE95">
        <v>1</v>
      </c>
      <c r="BF95">
        <v>0.99990000000000001</v>
      </c>
      <c r="BG95">
        <v>1</v>
      </c>
      <c r="BH95">
        <v>1</v>
      </c>
      <c r="BI95">
        <v>0.99</v>
      </c>
      <c r="BJ95">
        <v>0.999</v>
      </c>
      <c r="BK95">
        <v>0.998</v>
      </c>
      <c r="BL95">
        <v>0.99850000000000005</v>
      </c>
      <c r="BM95">
        <v>0.99850000000000005</v>
      </c>
      <c r="BN95">
        <v>0.97199999999999998</v>
      </c>
      <c r="BO95">
        <v>0.99990000000000001</v>
      </c>
      <c r="BP95">
        <v>0.99990000000000001</v>
      </c>
      <c r="BQ95">
        <v>1</v>
      </c>
      <c r="BR95">
        <v>1.0895125999999999</v>
      </c>
      <c r="BS95">
        <v>1.107</v>
      </c>
      <c r="BT95">
        <v>1.0827</v>
      </c>
      <c r="BU95">
        <v>1.0138</v>
      </c>
      <c r="BV95">
        <v>1</v>
      </c>
      <c r="BW95">
        <v>2.1678000000000002</v>
      </c>
      <c r="BX95">
        <v>2.2739263329999999</v>
      </c>
      <c r="BY95">
        <v>1.08155</v>
      </c>
      <c r="BZ95">
        <v>1.2885</v>
      </c>
      <c r="CA95">
        <v>2.0009999999999999</v>
      </c>
      <c r="CB95">
        <v>1.5095050000000001</v>
      </c>
      <c r="CC95">
        <v>1.5095050000000001</v>
      </c>
      <c r="CD95">
        <v>1.2592049999999999</v>
      </c>
      <c r="CE95">
        <v>1.07233</v>
      </c>
      <c r="CF95">
        <v>1.421805</v>
      </c>
      <c r="CG95" s="332"/>
      <c r="CH95">
        <v>1.096975</v>
      </c>
      <c r="CI95" s="332"/>
      <c r="CJ95" s="332"/>
      <c r="CK95" s="332"/>
      <c r="CL95" s="332"/>
      <c r="CM95" s="332"/>
      <c r="CN95" s="332"/>
      <c r="CO95" s="332"/>
      <c r="CP95">
        <v>0.97499999999999998</v>
      </c>
      <c r="CQ95">
        <v>0.91</v>
      </c>
      <c r="CR95">
        <v>0.91</v>
      </c>
      <c r="CS95">
        <v>0.97</v>
      </c>
      <c r="CT95">
        <v>0.99895</v>
      </c>
      <c r="CU95">
        <v>0.41</v>
      </c>
      <c r="CV95">
        <v>0.47</v>
      </c>
      <c r="CW95">
        <v>0.93500000000000005</v>
      </c>
      <c r="CX95">
        <v>0.65500000000000003</v>
      </c>
      <c r="CY95">
        <v>0.72499999999999998</v>
      </c>
      <c r="CZ95">
        <v>0.87749999999999995</v>
      </c>
      <c r="DA95">
        <v>0.91</v>
      </c>
      <c r="DB95">
        <v>0.89</v>
      </c>
      <c r="DC95">
        <v>0.90749999999999997</v>
      </c>
      <c r="DD95">
        <v>0.91500000000000004</v>
      </c>
      <c r="DE95">
        <v>0.89</v>
      </c>
      <c r="DI95">
        <v>0.97750000000000004</v>
      </c>
      <c r="DN95" s="332">
        <v>2.8499999999999999E-4</v>
      </c>
      <c r="DO95" s="332">
        <v>2.0000000000000001E-4</v>
      </c>
      <c r="DP95" s="332">
        <v>0</v>
      </c>
      <c r="DQ95" s="332">
        <v>1E-4</v>
      </c>
      <c r="DR95" s="332">
        <v>0</v>
      </c>
      <c r="DS95" s="332">
        <v>3.5999999999999999E-3</v>
      </c>
      <c r="DT95" s="332">
        <v>4.6999999999999999E-4</v>
      </c>
      <c r="DU95" s="332">
        <v>6.9999999999999999E-4</v>
      </c>
      <c r="DV95" s="332">
        <v>0</v>
      </c>
      <c r="DW95" s="332">
        <v>0</v>
      </c>
      <c r="DX95" s="332">
        <v>5.0000000000000001E-4</v>
      </c>
      <c r="DY95" s="332">
        <v>5.0000000000000001E-4</v>
      </c>
      <c r="DZ95" s="332">
        <v>2.9999999999999997E-4</v>
      </c>
      <c r="EA95" s="332">
        <v>2.7500000000000002E-4</v>
      </c>
      <c r="EB95" s="332">
        <v>4.0000000000000002E-4</v>
      </c>
      <c r="ED95" s="332">
        <v>6.4999999999999994E-5</v>
      </c>
      <c r="EF95">
        <v>1</v>
      </c>
    </row>
    <row r="96" spans="1:136" x14ac:dyDescent="0.25">
      <c r="A96" s="66">
        <v>39295</v>
      </c>
      <c r="B96">
        <v>0.98</v>
      </c>
      <c r="C96">
        <v>0.98799999999999999</v>
      </c>
      <c r="D96">
        <v>0.96</v>
      </c>
      <c r="E96">
        <f t="shared" si="10"/>
        <v>0.97799999999999998</v>
      </c>
      <c r="F96">
        <v>0.97699999999999998</v>
      </c>
      <c r="G96">
        <v>0.93370200000000003</v>
      </c>
      <c r="H96">
        <v>0.98750000000000004</v>
      </c>
      <c r="I96">
        <v>0.98750000000000004</v>
      </c>
      <c r="J96">
        <v>0.95993249999999997</v>
      </c>
      <c r="K96">
        <v>0.98499999999999999</v>
      </c>
      <c r="L96" s="333">
        <v>0.98750000000000004</v>
      </c>
      <c r="M96" s="333">
        <v>0.98750000000000004</v>
      </c>
      <c r="N96">
        <v>0.98</v>
      </c>
      <c r="O96">
        <v>0.98750000000000004</v>
      </c>
      <c r="P96">
        <v>0.98</v>
      </c>
      <c r="Q96" s="328">
        <v>0.98750000000000004</v>
      </c>
      <c r="R96">
        <v>0.98750000000000004</v>
      </c>
      <c r="S96" s="333">
        <v>0.98750000000000004</v>
      </c>
      <c r="T96">
        <v>0.98</v>
      </c>
      <c r="U96">
        <v>0.98</v>
      </c>
      <c r="V96">
        <v>0.98</v>
      </c>
      <c r="W96">
        <v>0.98</v>
      </c>
      <c r="X96">
        <v>0.98750000000000004</v>
      </c>
      <c r="Y96">
        <v>0.98750000000000004</v>
      </c>
      <c r="Z96">
        <v>0.98750000000000004</v>
      </c>
      <c r="AA96">
        <v>0.98750000000000004</v>
      </c>
      <c r="AB96">
        <v>0.98</v>
      </c>
      <c r="AC96">
        <v>0.98</v>
      </c>
      <c r="AD96">
        <v>0.98750000000000004</v>
      </c>
      <c r="AE96">
        <v>0.98750000000000004</v>
      </c>
      <c r="AF96">
        <v>0.98</v>
      </c>
      <c r="AG96">
        <v>0.99</v>
      </c>
      <c r="AH96">
        <v>0.97636559999999994</v>
      </c>
      <c r="AI96">
        <v>0.97636559999999994</v>
      </c>
      <c r="AJ96">
        <v>0.98</v>
      </c>
      <c r="AK96">
        <v>1</v>
      </c>
      <c r="AL96">
        <v>0.98499999999999999</v>
      </c>
      <c r="AM96">
        <v>0.98499999999999999</v>
      </c>
      <c r="AS96">
        <v>0.97699999999999998</v>
      </c>
      <c r="AT96" s="328">
        <v>0.97750000000000004</v>
      </c>
      <c r="AU96">
        <v>0.97636559999999994</v>
      </c>
      <c r="AV96">
        <v>0.98499999999999999</v>
      </c>
      <c r="AW96">
        <v>0.98499999999999999</v>
      </c>
      <c r="AX96">
        <v>0.98499999999999999</v>
      </c>
      <c r="AY96">
        <v>0.97636559999999994</v>
      </c>
      <c r="AZ96">
        <v>0.97636559999999994</v>
      </c>
      <c r="BA96">
        <v>0.98499999999999999</v>
      </c>
      <c r="BB96" s="446">
        <v>1</v>
      </c>
      <c r="BC96">
        <v>1</v>
      </c>
      <c r="BD96">
        <v>1</v>
      </c>
      <c r="BE96">
        <v>1</v>
      </c>
      <c r="BF96">
        <v>0.99990000000000001</v>
      </c>
      <c r="BG96">
        <v>1</v>
      </c>
      <c r="BH96">
        <v>1</v>
      </c>
      <c r="BI96">
        <v>0.99</v>
      </c>
      <c r="BJ96">
        <v>0.999</v>
      </c>
      <c r="BK96">
        <v>0.998</v>
      </c>
      <c r="BL96">
        <v>0.99850000000000005</v>
      </c>
      <c r="BM96">
        <v>0.99850000000000005</v>
      </c>
      <c r="BN96">
        <v>0.97199999999999998</v>
      </c>
      <c r="BO96">
        <v>0.99990000000000001</v>
      </c>
      <c r="BP96">
        <v>0.99990000000000001</v>
      </c>
      <c r="BQ96">
        <v>1</v>
      </c>
      <c r="BR96">
        <v>1.0897976</v>
      </c>
      <c r="BS96">
        <v>1.1072</v>
      </c>
      <c r="BT96">
        <v>1.0827</v>
      </c>
      <c r="BU96">
        <v>1.0139</v>
      </c>
      <c r="BV96">
        <v>1</v>
      </c>
      <c r="BW96">
        <v>2.1714000000000002</v>
      </c>
      <c r="BX96">
        <v>2.2743963329999999</v>
      </c>
      <c r="BY96">
        <v>1.0822499999999999</v>
      </c>
      <c r="BZ96">
        <v>1.2885</v>
      </c>
      <c r="CA96">
        <v>2.0009999999999999</v>
      </c>
      <c r="CB96">
        <v>1.510005</v>
      </c>
      <c r="CC96">
        <v>1.510005</v>
      </c>
      <c r="CD96">
        <v>1.2595050000000001</v>
      </c>
      <c r="CE96">
        <v>1.072605</v>
      </c>
      <c r="CF96">
        <v>1.4222049999999999</v>
      </c>
      <c r="CG96" s="332"/>
      <c r="CH96">
        <v>1.09704</v>
      </c>
      <c r="CI96" s="332"/>
      <c r="CJ96" s="332"/>
      <c r="CK96" s="332"/>
      <c r="CL96" s="332"/>
      <c r="CM96" s="332"/>
      <c r="CN96" s="332"/>
      <c r="CO96" s="332"/>
      <c r="CP96">
        <v>0.97499999999999998</v>
      </c>
      <c r="CQ96">
        <v>0.91</v>
      </c>
      <c r="CR96">
        <v>0.91</v>
      </c>
      <c r="CS96">
        <v>0.97</v>
      </c>
      <c r="CT96">
        <v>0.99895</v>
      </c>
      <c r="CU96">
        <v>0.43</v>
      </c>
      <c r="CV96">
        <v>0.52</v>
      </c>
      <c r="CW96">
        <v>0.92500000000000004</v>
      </c>
      <c r="CX96">
        <v>0.745</v>
      </c>
      <c r="CY96">
        <v>0.72499999999999998</v>
      </c>
      <c r="CZ96">
        <v>0.89</v>
      </c>
      <c r="DA96">
        <v>0.92249999999999999</v>
      </c>
      <c r="DB96">
        <v>0.91500000000000004</v>
      </c>
      <c r="DC96">
        <v>0.92749999999999999</v>
      </c>
      <c r="DD96">
        <v>0.91500000000000004</v>
      </c>
      <c r="DE96">
        <v>0.89</v>
      </c>
      <c r="DI96">
        <v>0.97750000000000004</v>
      </c>
      <c r="DN96" s="332">
        <v>2.8499999999999999E-4</v>
      </c>
      <c r="DO96" s="332">
        <v>2.0000000000000001E-4</v>
      </c>
      <c r="DP96" s="332">
        <v>0</v>
      </c>
      <c r="DQ96" s="332">
        <v>1E-4</v>
      </c>
      <c r="DR96" s="332">
        <v>0</v>
      </c>
      <c r="DS96" s="332">
        <v>3.5999999999999999E-3</v>
      </c>
      <c r="DT96" s="332">
        <v>4.6999999999999999E-4</v>
      </c>
      <c r="DU96" s="332">
        <v>6.9999999999999999E-4</v>
      </c>
      <c r="DV96" s="332">
        <v>0</v>
      </c>
      <c r="DW96" s="332">
        <v>0</v>
      </c>
      <c r="DX96" s="332">
        <v>5.0000000000000001E-4</v>
      </c>
      <c r="DY96" s="332">
        <v>5.0000000000000001E-4</v>
      </c>
      <c r="DZ96" s="332">
        <v>2.9999999999999997E-4</v>
      </c>
      <c r="EA96" s="332">
        <v>2.7500000000000002E-4</v>
      </c>
      <c r="EB96" s="332">
        <v>4.0000000000000002E-4</v>
      </c>
      <c r="ED96" s="332">
        <v>6.4999999999999994E-5</v>
      </c>
      <c r="EF96">
        <v>1</v>
      </c>
    </row>
    <row r="97" spans="1:136" x14ac:dyDescent="0.25">
      <c r="A97" s="66">
        <v>39326</v>
      </c>
      <c r="B97">
        <v>0.98</v>
      </c>
      <c r="C97">
        <v>0.98799999999999999</v>
      </c>
      <c r="D97">
        <v>0.96</v>
      </c>
      <c r="E97">
        <f t="shared" si="10"/>
        <v>0.97799999999999998</v>
      </c>
      <c r="F97">
        <v>0.97699999999999998</v>
      </c>
      <c r="G97">
        <v>0.98750000000000004</v>
      </c>
      <c r="H97">
        <v>0.98750000000000004</v>
      </c>
      <c r="I97">
        <v>0.98750000000000004</v>
      </c>
      <c r="J97">
        <v>0.77954250000000003</v>
      </c>
      <c r="K97">
        <v>0.98499999999999999</v>
      </c>
      <c r="L97" s="333">
        <v>0.98750000000000004</v>
      </c>
      <c r="M97" s="333">
        <v>0.98750000000000004</v>
      </c>
      <c r="N97">
        <v>0.98</v>
      </c>
      <c r="O97">
        <v>0.98704959999999997</v>
      </c>
      <c r="P97">
        <v>0.98</v>
      </c>
      <c r="Q97" s="328">
        <v>0.98750000000000004</v>
      </c>
      <c r="R97">
        <v>0.98750000000000004</v>
      </c>
      <c r="S97" s="333">
        <v>0.98750000000000004</v>
      </c>
      <c r="T97">
        <v>0.98</v>
      </c>
      <c r="U97">
        <v>0.98</v>
      </c>
      <c r="V97">
        <v>0.98</v>
      </c>
      <c r="W97">
        <v>0.98</v>
      </c>
      <c r="X97">
        <v>0.98704959999999997</v>
      </c>
      <c r="Y97">
        <v>0.98704959999999997</v>
      </c>
      <c r="Z97">
        <v>0.98704959999999997</v>
      </c>
      <c r="AA97">
        <v>0.98704959999999997</v>
      </c>
      <c r="AB97">
        <v>0.98</v>
      </c>
      <c r="AC97">
        <v>0.98</v>
      </c>
      <c r="AD97">
        <v>0.98704959999999997</v>
      </c>
      <c r="AE97">
        <v>0.98704959999999997</v>
      </c>
      <c r="AF97">
        <v>0.98</v>
      </c>
      <c r="AG97">
        <v>0.99</v>
      </c>
      <c r="AH97">
        <v>0.97642344999999997</v>
      </c>
      <c r="AI97">
        <v>0.97642344999999997</v>
      </c>
      <c r="AJ97">
        <v>0.98</v>
      </c>
      <c r="AK97">
        <v>1</v>
      </c>
      <c r="AL97">
        <v>0.98499999999999999</v>
      </c>
      <c r="AM97">
        <v>0.98499999999999999</v>
      </c>
      <c r="AS97">
        <v>0.97699999999999998</v>
      </c>
      <c r="AT97" s="328">
        <v>0.97750000000000004</v>
      </c>
      <c r="AU97">
        <v>0.97642344999999997</v>
      </c>
      <c r="AV97">
        <v>0.98499999999999999</v>
      </c>
      <c r="AW97">
        <v>0.98499999999999999</v>
      </c>
      <c r="AX97">
        <v>0.98499999999999999</v>
      </c>
      <c r="AY97">
        <v>0.97642344999999997</v>
      </c>
      <c r="AZ97">
        <v>0.97642344999999997</v>
      </c>
      <c r="BA97">
        <v>0.98499999999999999</v>
      </c>
      <c r="BB97" s="446">
        <v>1</v>
      </c>
      <c r="BC97">
        <v>1</v>
      </c>
      <c r="BD97">
        <v>1</v>
      </c>
      <c r="BE97">
        <v>1</v>
      </c>
      <c r="BF97">
        <v>0.99990000000000001</v>
      </c>
      <c r="BG97">
        <v>1</v>
      </c>
      <c r="BH97">
        <v>1</v>
      </c>
      <c r="BI97">
        <v>0.99</v>
      </c>
      <c r="BJ97">
        <v>0.999</v>
      </c>
      <c r="BK97">
        <v>0.998</v>
      </c>
      <c r="BL97">
        <v>0.99850000000000005</v>
      </c>
      <c r="BM97">
        <v>0.99850000000000005</v>
      </c>
      <c r="BN97">
        <v>0.97199999999999998</v>
      </c>
      <c r="BO97">
        <v>0.99990000000000001</v>
      </c>
      <c r="BP97">
        <v>0.99990000000000001</v>
      </c>
      <c r="BQ97">
        <v>1</v>
      </c>
      <c r="BR97">
        <v>1.0900825999999999</v>
      </c>
      <c r="BS97">
        <v>1.1073999999999999</v>
      </c>
      <c r="BT97">
        <v>1.0827</v>
      </c>
      <c r="BU97">
        <v>1.014</v>
      </c>
      <c r="BV97">
        <v>1</v>
      </c>
      <c r="BW97">
        <v>2.1749999999999998</v>
      </c>
      <c r="BX97">
        <v>2.2748663329999999</v>
      </c>
      <c r="BY97">
        <v>1.0829500000000001</v>
      </c>
      <c r="BZ97">
        <v>1.2885</v>
      </c>
      <c r="CA97">
        <v>2.0009999999999999</v>
      </c>
      <c r="CB97">
        <v>1.510505</v>
      </c>
      <c r="CC97">
        <v>1.510505</v>
      </c>
      <c r="CD97">
        <v>1.2598050000000001</v>
      </c>
      <c r="CE97">
        <v>1.0728800000000001</v>
      </c>
      <c r="CF97">
        <v>1.4226049999999999</v>
      </c>
      <c r="CG97" s="332"/>
      <c r="CH97">
        <v>1.097105</v>
      </c>
      <c r="CI97" s="332"/>
      <c r="CJ97" s="332"/>
      <c r="CK97" s="332"/>
      <c r="CL97" s="332"/>
      <c r="CM97" s="332"/>
      <c r="CN97" s="332"/>
      <c r="CO97" s="332"/>
      <c r="CP97">
        <v>0.97499999999999998</v>
      </c>
      <c r="CQ97">
        <v>0.91</v>
      </c>
      <c r="CR97">
        <v>0.91</v>
      </c>
      <c r="CS97">
        <v>0.95</v>
      </c>
      <c r="CT97">
        <v>0.99895</v>
      </c>
      <c r="CU97">
        <v>0.46</v>
      </c>
      <c r="CV97">
        <v>0.55000000000000004</v>
      </c>
      <c r="CW97">
        <v>0.92500000000000004</v>
      </c>
      <c r="CX97">
        <v>0.60499999999999998</v>
      </c>
      <c r="CY97">
        <v>0.57499999999999996</v>
      </c>
      <c r="CZ97">
        <v>0.94499999999999995</v>
      </c>
      <c r="DA97">
        <v>0.97750000000000004</v>
      </c>
      <c r="DB97">
        <v>0.94499999999999995</v>
      </c>
      <c r="DC97">
        <v>0.92</v>
      </c>
      <c r="DD97">
        <v>0.91500000000000004</v>
      </c>
      <c r="DE97">
        <v>0.89</v>
      </c>
      <c r="DI97">
        <v>0.97750000000000004</v>
      </c>
      <c r="DN97" s="332">
        <v>2.8499999999999999E-4</v>
      </c>
      <c r="DO97" s="332">
        <v>2.0000000000000001E-4</v>
      </c>
      <c r="DP97" s="332">
        <v>0</v>
      </c>
      <c r="DQ97" s="332">
        <v>1E-4</v>
      </c>
      <c r="DR97" s="332">
        <v>0</v>
      </c>
      <c r="DS97" s="332">
        <v>3.5999999999999999E-3</v>
      </c>
      <c r="DT97" s="332">
        <v>4.6999999999999999E-4</v>
      </c>
      <c r="DU97" s="332">
        <v>6.9999999999999999E-4</v>
      </c>
      <c r="DV97" s="332">
        <v>0</v>
      </c>
      <c r="DW97" s="332">
        <v>0</v>
      </c>
      <c r="DX97" s="332">
        <v>5.0000000000000001E-4</v>
      </c>
      <c r="DY97" s="332">
        <v>5.0000000000000001E-4</v>
      </c>
      <c r="DZ97" s="332">
        <v>2.9999999999999997E-4</v>
      </c>
      <c r="EA97" s="332">
        <v>2.7500000000000002E-4</v>
      </c>
      <c r="EB97" s="332">
        <v>4.0000000000000002E-4</v>
      </c>
      <c r="ED97" s="332">
        <v>6.4999999999999994E-5</v>
      </c>
      <c r="EF97">
        <v>1</v>
      </c>
    </row>
    <row r="98" spans="1:136" x14ac:dyDescent="0.25">
      <c r="A98" s="66">
        <v>39356</v>
      </c>
      <c r="B98">
        <v>0.98</v>
      </c>
      <c r="C98">
        <v>0.98799999999999999</v>
      </c>
      <c r="D98">
        <v>0.96</v>
      </c>
      <c r="E98">
        <f t="shared" si="10"/>
        <v>0.99399999999999999</v>
      </c>
      <c r="F98">
        <v>0.97699999999999998</v>
      </c>
      <c r="G98">
        <v>0.98750000000000004</v>
      </c>
      <c r="H98">
        <v>0.98750000000000004</v>
      </c>
      <c r="I98">
        <v>0.98750000000000004</v>
      </c>
      <c r="J98">
        <v>0.76665749999999999</v>
      </c>
      <c r="K98">
        <v>0.98499999999999999</v>
      </c>
      <c r="L98" s="333">
        <v>0.98750000000000004</v>
      </c>
      <c r="M98" s="333">
        <v>0.98750000000000004</v>
      </c>
      <c r="N98">
        <v>0.98</v>
      </c>
      <c r="O98">
        <v>0.96852238800000001</v>
      </c>
      <c r="P98">
        <v>0.98</v>
      </c>
      <c r="Q98" s="328">
        <v>0.98750000000000004</v>
      </c>
      <c r="R98">
        <v>0.98750000000000004</v>
      </c>
      <c r="S98" s="333">
        <v>0.98750000000000004</v>
      </c>
      <c r="T98">
        <v>0.98</v>
      </c>
      <c r="U98">
        <v>0.98</v>
      </c>
      <c r="V98">
        <v>0.98</v>
      </c>
      <c r="W98">
        <v>0.98</v>
      </c>
      <c r="X98">
        <v>0.96852238800000001</v>
      </c>
      <c r="Y98">
        <v>0.96852238800000001</v>
      </c>
      <c r="Z98">
        <v>0.96852238800000001</v>
      </c>
      <c r="AA98">
        <v>0.96852238800000001</v>
      </c>
      <c r="AB98">
        <v>0.98</v>
      </c>
      <c r="AC98">
        <v>0.98</v>
      </c>
      <c r="AD98">
        <v>0.96852238800000001</v>
      </c>
      <c r="AE98">
        <v>0.96852238800000001</v>
      </c>
      <c r="AF98">
        <v>0.98</v>
      </c>
      <c r="AG98">
        <v>0.99</v>
      </c>
      <c r="AH98">
        <v>0.9764813</v>
      </c>
      <c r="AI98">
        <v>0.9764813</v>
      </c>
      <c r="AJ98">
        <v>0.98</v>
      </c>
      <c r="AK98">
        <v>1</v>
      </c>
      <c r="AL98">
        <v>0.98499999999999999</v>
      </c>
      <c r="AM98">
        <v>0.98499999999999999</v>
      </c>
      <c r="AS98">
        <v>0.97699999999999998</v>
      </c>
      <c r="AT98" s="328">
        <v>0.97750000000000004</v>
      </c>
      <c r="AU98">
        <v>0.9764813</v>
      </c>
      <c r="AV98">
        <v>0.98499999999999999</v>
      </c>
      <c r="AW98">
        <v>0.98499999999999999</v>
      </c>
      <c r="AX98">
        <v>0.98499999999999999</v>
      </c>
      <c r="AY98">
        <v>0.9764813</v>
      </c>
      <c r="AZ98">
        <v>0.9764813</v>
      </c>
      <c r="BA98">
        <v>0.98499999999999999</v>
      </c>
      <c r="BB98" s="446">
        <v>1</v>
      </c>
      <c r="BC98">
        <v>1</v>
      </c>
      <c r="BD98">
        <v>1</v>
      </c>
      <c r="BE98">
        <v>1</v>
      </c>
      <c r="BF98">
        <v>0.99990000000000001</v>
      </c>
      <c r="BG98">
        <v>1</v>
      </c>
      <c r="BH98">
        <v>1</v>
      </c>
      <c r="BI98">
        <v>0.99</v>
      </c>
      <c r="BJ98">
        <v>0.999</v>
      </c>
      <c r="BK98">
        <v>0.998</v>
      </c>
      <c r="BL98">
        <v>0.99850000000000005</v>
      </c>
      <c r="BM98">
        <v>0.99850000000000005</v>
      </c>
      <c r="BN98">
        <v>0.97199999999999998</v>
      </c>
      <c r="BO98">
        <v>0.99990000000000001</v>
      </c>
      <c r="BP98">
        <v>0.99990000000000001</v>
      </c>
      <c r="BQ98">
        <v>1</v>
      </c>
      <c r="BR98">
        <v>1.0903676</v>
      </c>
      <c r="BS98">
        <v>1.1075999999999999</v>
      </c>
      <c r="BT98">
        <v>1.0827</v>
      </c>
      <c r="BU98">
        <v>1.0141</v>
      </c>
      <c r="BV98">
        <v>1</v>
      </c>
      <c r="BW98">
        <v>2.1785999999999999</v>
      </c>
      <c r="BX98">
        <v>2.2753363329999998</v>
      </c>
      <c r="BY98">
        <v>1.08365</v>
      </c>
      <c r="BZ98">
        <v>1.2885</v>
      </c>
      <c r="CA98">
        <v>2.0009999999999999</v>
      </c>
      <c r="CB98">
        <v>1.5110049999999999</v>
      </c>
      <c r="CC98">
        <v>1.5110049999999999</v>
      </c>
      <c r="CD98">
        <v>1.260105</v>
      </c>
      <c r="CE98">
        <v>1.0731550000000001</v>
      </c>
      <c r="CF98">
        <v>1.4230050000000001</v>
      </c>
      <c r="CG98" s="332"/>
      <c r="CH98">
        <v>1.09717</v>
      </c>
      <c r="CI98" s="332"/>
      <c r="CJ98" s="332"/>
      <c r="CK98" s="332"/>
      <c r="CL98" s="332"/>
      <c r="CM98" s="332"/>
      <c r="CN98" s="332"/>
      <c r="CO98" s="332"/>
      <c r="CP98">
        <v>0.95499999999999996</v>
      </c>
      <c r="CQ98">
        <v>0.9</v>
      </c>
      <c r="CR98">
        <v>0.91</v>
      </c>
      <c r="CS98">
        <v>0.94</v>
      </c>
      <c r="CT98">
        <v>0.99895</v>
      </c>
      <c r="CU98">
        <v>0.46</v>
      </c>
      <c r="CV98">
        <v>0.45</v>
      </c>
      <c r="CW98">
        <v>0.92500000000000004</v>
      </c>
      <c r="CX98">
        <v>0.59499999999999997</v>
      </c>
      <c r="CY98">
        <v>0.505</v>
      </c>
      <c r="CZ98">
        <v>0.80500000000000005</v>
      </c>
      <c r="DA98">
        <v>0.83750000000000002</v>
      </c>
      <c r="DB98">
        <v>0.875</v>
      </c>
      <c r="DC98">
        <v>0.90249999999999997</v>
      </c>
      <c r="DD98">
        <v>0.82</v>
      </c>
      <c r="DE98">
        <v>0.89</v>
      </c>
      <c r="DI98">
        <v>0.97750000000000004</v>
      </c>
      <c r="DN98" s="332">
        <v>2.8499999999999999E-4</v>
      </c>
      <c r="DO98" s="332">
        <v>2.0000000000000001E-4</v>
      </c>
      <c r="DP98" s="332">
        <v>0</v>
      </c>
      <c r="DQ98" s="332">
        <v>1E-4</v>
      </c>
      <c r="DR98" s="332">
        <v>0</v>
      </c>
      <c r="DS98" s="332">
        <v>3.5999999999999999E-3</v>
      </c>
      <c r="DT98" s="332">
        <v>4.6999999999999999E-4</v>
      </c>
      <c r="DU98" s="332">
        <v>6.9999999999999999E-4</v>
      </c>
      <c r="DV98" s="332">
        <v>0</v>
      </c>
      <c r="DW98" s="332">
        <v>0</v>
      </c>
      <c r="DX98" s="332">
        <v>5.0000000000000001E-4</v>
      </c>
      <c r="DY98" s="332">
        <v>5.0000000000000001E-4</v>
      </c>
      <c r="DZ98" s="332">
        <v>2.9999999999999997E-4</v>
      </c>
      <c r="EA98" s="332">
        <v>2.7500000000000002E-4</v>
      </c>
      <c r="EB98" s="332">
        <v>4.0000000000000002E-4</v>
      </c>
      <c r="ED98" s="332">
        <v>6.4999999999999994E-5</v>
      </c>
      <c r="EF98">
        <v>1</v>
      </c>
    </row>
    <row r="99" spans="1:136" x14ac:dyDescent="0.25">
      <c r="A99" s="66">
        <v>39387</v>
      </c>
      <c r="B99">
        <v>0.98</v>
      </c>
      <c r="C99">
        <v>0.98799999999999999</v>
      </c>
      <c r="D99">
        <v>0.96</v>
      </c>
      <c r="E99">
        <f t="shared" ref="E99:E104" si="11">E87</f>
        <v>0.99399999999999999</v>
      </c>
      <c r="F99">
        <v>0.97699999999999998</v>
      </c>
      <c r="G99">
        <v>0.98750000000000004</v>
      </c>
      <c r="H99">
        <v>0.98750000000000004</v>
      </c>
      <c r="I99">
        <v>0.98133674999999998</v>
      </c>
      <c r="J99">
        <v>0.71511749999999996</v>
      </c>
      <c r="K99">
        <v>0.97048500000000004</v>
      </c>
      <c r="L99" s="333">
        <v>0.98750000000000004</v>
      </c>
      <c r="M99" s="333">
        <v>0.98750000000000004</v>
      </c>
      <c r="N99">
        <v>0.98</v>
      </c>
      <c r="O99">
        <v>0.96877057499999997</v>
      </c>
      <c r="P99">
        <v>0.98</v>
      </c>
      <c r="Q99" s="328">
        <v>0.98750000000000004</v>
      </c>
      <c r="R99">
        <v>0.98750000000000004</v>
      </c>
      <c r="S99" s="333">
        <v>0.98750000000000004</v>
      </c>
      <c r="T99">
        <v>0.98</v>
      </c>
      <c r="U99">
        <v>0.98</v>
      </c>
      <c r="V99">
        <v>0.98</v>
      </c>
      <c r="W99">
        <v>0.98</v>
      </c>
      <c r="X99">
        <v>0.96877057499999997</v>
      </c>
      <c r="Y99">
        <v>0.96877057499999997</v>
      </c>
      <c r="Z99">
        <v>0.96877057499999997</v>
      </c>
      <c r="AA99">
        <v>0.96877057499999997</v>
      </c>
      <c r="AB99">
        <v>0.98</v>
      </c>
      <c r="AC99">
        <v>0.98</v>
      </c>
      <c r="AD99">
        <v>0.96877057499999997</v>
      </c>
      <c r="AE99">
        <v>0.96877057499999997</v>
      </c>
      <c r="AF99">
        <v>0.98</v>
      </c>
      <c r="AG99">
        <v>0.99</v>
      </c>
      <c r="AH99">
        <v>0.97653915000000002</v>
      </c>
      <c r="AI99">
        <v>0.97653915000000002</v>
      </c>
      <c r="AJ99">
        <v>0.98</v>
      </c>
      <c r="AK99">
        <v>1</v>
      </c>
      <c r="AL99">
        <v>0.97048500000000004</v>
      </c>
      <c r="AM99">
        <v>0.97443000000000002</v>
      </c>
      <c r="AS99">
        <v>0.97699999999999998</v>
      </c>
      <c r="AT99" s="328">
        <v>0.97750000000000004</v>
      </c>
      <c r="AU99">
        <v>0.97653915000000002</v>
      </c>
      <c r="AV99">
        <v>0.97443000000000002</v>
      </c>
      <c r="AW99">
        <v>0.97443000000000002</v>
      </c>
      <c r="AX99">
        <v>0.97443000000000002</v>
      </c>
      <c r="AY99">
        <v>0.97653915000000002</v>
      </c>
      <c r="AZ99">
        <v>0.97653915000000002</v>
      </c>
      <c r="BA99">
        <v>0.97443000000000002</v>
      </c>
      <c r="BB99" s="446">
        <v>1</v>
      </c>
      <c r="BC99">
        <v>1</v>
      </c>
      <c r="BD99">
        <v>1</v>
      </c>
      <c r="BE99">
        <v>1</v>
      </c>
      <c r="BF99">
        <v>0.99990000000000001</v>
      </c>
      <c r="BG99">
        <v>1</v>
      </c>
      <c r="BH99">
        <v>1</v>
      </c>
      <c r="BI99">
        <v>0.99</v>
      </c>
      <c r="BJ99">
        <v>0.999</v>
      </c>
      <c r="BK99">
        <v>0.998</v>
      </c>
      <c r="BL99">
        <v>0.99850000000000005</v>
      </c>
      <c r="BM99">
        <v>0.99850000000000005</v>
      </c>
      <c r="BN99">
        <v>0.97199999999999998</v>
      </c>
      <c r="BO99">
        <v>0.99990000000000001</v>
      </c>
      <c r="BP99">
        <v>0.99990000000000001</v>
      </c>
      <c r="BQ99">
        <v>1</v>
      </c>
      <c r="BR99">
        <v>1.0906526000000001</v>
      </c>
      <c r="BS99">
        <v>1.1077999999999999</v>
      </c>
      <c r="BT99">
        <v>1.0827</v>
      </c>
      <c r="BU99">
        <v>1.0142</v>
      </c>
      <c r="BV99">
        <v>1</v>
      </c>
      <c r="BW99">
        <v>2.1821999999999999</v>
      </c>
      <c r="BX99">
        <v>2.2758063329999998</v>
      </c>
      <c r="BY99">
        <v>1.0843499999999999</v>
      </c>
      <c r="BZ99">
        <v>1.2885</v>
      </c>
      <c r="CA99">
        <v>2.0009999999999999</v>
      </c>
      <c r="CB99">
        <v>1.5115050000000001</v>
      </c>
      <c r="CC99">
        <v>1.5115050000000001</v>
      </c>
      <c r="CD99">
        <v>1.260405</v>
      </c>
      <c r="CE99">
        <v>1.0734300000000001</v>
      </c>
      <c r="CF99">
        <v>1.423405</v>
      </c>
      <c r="CG99" s="332"/>
      <c r="CH99">
        <v>1.097235</v>
      </c>
      <c r="CI99" s="332"/>
      <c r="CJ99" s="332"/>
      <c r="CK99" s="332"/>
      <c r="CL99" s="332"/>
      <c r="CM99" s="332"/>
      <c r="CN99" s="332"/>
      <c r="CO99" s="332"/>
      <c r="CP99">
        <v>0.95499999999999996</v>
      </c>
      <c r="CQ99">
        <v>0.9</v>
      </c>
      <c r="CR99">
        <v>0.9</v>
      </c>
      <c r="CS99">
        <v>0.94</v>
      </c>
      <c r="CT99">
        <v>0.999</v>
      </c>
      <c r="CU99">
        <v>0.48</v>
      </c>
      <c r="CV99">
        <v>0.46</v>
      </c>
      <c r="CW99">
        <v>0.90500000000000003</v>
      </c>
      <c r="CX99">
        <v>0.55500000000000005</v>
      </c>
      <c r="CY99">
        <v>0.48499999999999999</v>
      </c>
      <c r="CZ99">
        <v>0.79500000000000004</v>
      </c>
      <c r="DA99">
        <v>0.82750000000000001</v>
      </c>
      <c r="DB99">
        <v>0.85</v>
      </c>
      <c r="DC99">
        <v>0.90249999999999997</v>
      </c>
      <c r="DD99">
        <v>0.82</v>
      </c>
      <c r="DE99">
        <v>0.89</v>
      </c>
      <c r="DI99">
        <v>0.97750000000000004</v>
      </c>
      <c r="DN99" s="332">
        <v>2.8499999999999999E-4</v>
      </c>
      <c r="DO99" s="332">
        <v>2.0000000000000001E-4</v>
      </c>
      <c r="DP99" s="332">
        <v>0</v>
      </c>
      <c r="DQ99" s="332">
        <v>1E-4</v>
      </c>
      <c r="DR99" s="332">
        <v>0</v>
      </c>
      <c r="DS99" s="332">
        <v>3.5999999999999999E-3</v>
      </c>
      <c r="DT99" s="332">
        <v>4.6999999999999999E-4</v>
      </c>
      <c r="DU99" s="332">
        <v>6.9999999999999999E-4</v>
      </c>
      <c r="DV99" s="332">
        <v>0</v>
      </c>
      <c r="DW99" s="332">
        <v>0</v>
      </c>
      <c r="DX99" s="332">
        <v>5.0000000000000001E-4</v>
      </c>
      <c r="DY99" s="332">
        <v>5.0000000000000001E-4</v>
      </c>
      <c r="DZ99" s="332">
        <v>2.9999999999999997E-4</v>
      </c>
      <c r="EA99" s="332">
        <v>2.7500000000000002E-4</v>
      </c>
      <c r="EB99" s="332">
        <v>4.0000000000000002E-4</v>
      </c>
      <c r="ED99" s="332">
        <v>6.4999999999999994E-5</v>
      </c>
      <c r="EF99">
        <v>1</v>
      </c>
    </row>
    <row r="100" spans="1:136" x14ac:dyDescent="0.25">
      <c r="A100" s="66">
        <v>39417</v>
      </c>
      <c r="B100">
        <v>0.98</v>
      </c>
      <c r="C100">
        <v>0.98612</v>
      </c>
      <c r="D100">
        <v>0.96</v>
      </c>
      <c r="E100">
        <f t="shared" si="11"/>
        <v>0.99399999999999999</v>
      </c>
      <c r="F100">
        <v>0.97699999999999998</v>
      </c>
      <c r="G100">
        <v>0.98750000000000004</v>
      </c>
      <c r="H100">
        <v>0.98750000000000004</v>
      </c>
      <c r="I100">
        <v>0.94941874999999998</v>
      </c>
      <c r="J100">
        <v>0.72155999999999998</v>
      </c>
      <c r="K100">
        <v>0.97048500000000004</v>
      </c>
      <c r="L100" s="333">
        <v>0.89208295000000004</v>
      </c>
      <c r="M100" s="333">
        <v>0.94122311199999997</v>
      </c>
      <c r="N100">
        <v>0.86988644999999998</v>
      </c>
      <c r="O100">
        <v>0.95828171299999998</v>
      </c>
      <c r="P100">
        <v>0.86988644999999998</v>
      </c>
      <c r="Q100" s="328">
        <v>0.89208295000000004</v>
      </c>
      <c r="R100">
        <v>0.89208295000000004</v>
      </c>
      <c r="S100" s="333">
        <v>0.89208295000000004</v>
      </c>
      <c r="T100">
        <v>0.86988644999999998</v>
      </c>
      <c r="U100">
        <v>0.86988644999999998</v>
      </c>
      <c r="V100">
        <v>0.86988644999999998</v>
      </c>
      <c r="W100">
        <v>0.86988644999999998</v>
      </c>
      <c r="X100">
        <v>0.95828171299999998</v>
      </c>
      <c r="Y100">
        <v>0.95828171299999998</v>
      </c>
      <c r="Z100">
        <v>0.95828171299999998</v>
      </c>
      <c r="AA100">
        <v>0.95828171299999998</v>
      </c>
      <c r="AB100">
        <v>0.86988644999999998</v>
      </c>
      <c r="AC100">
        <v>0.86988644999999998</v>
      </c>
      <c r="AD100">
        <v>0.95828171299999998</v>
      </c>
      <c r="AE100">
        <v>0.95828171299999998</v>
      </c>
      <c r="AF100">
        <v>0.86988644999999998</v>
      </c>
      <c r="AG100">
        <v>0.98</v>
      </c>
      <c r="AH100">
        <v>0.97659700000000005</v>
      </c>
      <c r="AI100">
        <v>0.97659700000000005</v>
      </c>
      <c r="AJ100">
        <v>0.86988644999999998</v>
      </c>
      <c r="AK100">
        <v>1</v>
      </c>
      <c r="AL100">
        <v>0.97048500000000004</v>
      </c>
      <c r="AM100">
        <v>0.95277599999999996</v>
      </c>
      <c r="AS100">
        <v>0.97699999999999998</v>
      </c>
      <c r="AT100" s="328">
        <v>0.97750000000000004</v>
      </c>
      <c r="AU100">
        <v>0.97659700000000005</v>
      </c>
      <c r="AV100">
        <v>0.95277599999999996</v>
      </c>
      <c r="AW100">
        <v>0.95277599999999996</v>
      </c>
      <c r="AX100">
        <v>0.95277599999999996</v>
      </c>
      <c r="AY100">
        <v>0.97659700000000005</v>
      </c>
      <c r="AZ100">
        <v>0.97659700000000005</v>
      </c>
      <c r="BA100">
        <v>0.95277599999999996</v>
      </c>
      <c r="BB100" s="446">
        <v>1</v>
      </c>
      <c r="BC100">
        <v>1</v>
      </c>
      <c r="BD100">
        <v>1</v>
      </c>
      <c r="BE100">
        <v>1</v>
      </c>
      <c r="BF100">
        <v>0.99990000000000001</v>
      </c>
      <c r="BG100">
        <v>1</v>
      </c>
      <c r="BH100">
        <v>1</v>
      </c>
      <c r="BI100">
        <v>0.99</v>
      </c>
      <c r="BJ100">
        <v>0.999</v>
      </c>
      <c r="BK100">
        <v>0.998</v>
      </c>
      <c r="BL100">
        <v>0.99850000000000005</v>
      </c>
      <c r="BM100">
        <v>0.99850000000000005</v>
      </c>
      <c r="BN100">
        <v>0.97199999999999998</v>
      </c>
      <c r="BO100">
        <v>0.99990000000000001</v>
      </c>
      <c r="BP100">
        <v>0.99990000000000001</v>
      </c>
      <c r="BQ100">
        <v>1</v>
      </c>
      <c r="BR100">
        <v>1.0909376</v>
      </c>
      <c r="BS100">
        <v>1.1080000000000001</v>
      </c>
      <c r="BT100">
        <v>1.0827</v>
      </c>
      <c r="BU100">
        <v>1.0143</v>
      </c>
      <c r="BV100">
        <v>1</v>
      </c>
      <c r="BW100">
        <v>2.1858</v>
      </c>
      <c r="BX100">
        <v>2.2762763330000002</v>
      </c>
      <c r="BY100">
        <v>1.0850500000000001</v>
      </c>
      <c r="BZ100">
        <v>1.2885</v>
      </c>
      <c r="CA100">
        <v>2.0009999999999999</v>
      </c>
      <c r="CB100">
        <v>1.512005</v>
      </c>
      <c r="CC100">
        <v>1.512005</v>
      </c>
      <c r="CD100">
        <v>1.260705</v>
      </c>
      <c r="CE100">
        <v>1.0737049999999999</v>
      </c>
      <c r="CF100">
        <v>1.423805</v>
      </c>
      <c r="CG100" s="332"/>
      <c r="CH100">
        <v>1.0972999999999999</v>
      </c>
      <c r="CI100" s="332"/>
      <c r="CJ100" s="332"/>
      <c r="CK100" s="332"/>
      <c r="CL100" s="332"/>
      <c r="CM100" s="332"/>
      <c r="CN100" s="332"/>
      <c r="CO100" s="332"/>
      <c r="CP100">
        <v>0.93500000000000005</v>
      </c>
      <c r="CQ100">
        <v>0.89</v>
      </c>
      <c r="CR100">
        <v>0.88</v>
      </c>
      <c r="CS100">
        <v>0.92</v>
      </c>
      <c r="CT100">
        <v>0.999</v>
      </c>
      <c r="CU100">
        <v>0.51</v>
      </c>
      <c r="CV100">
        <v>0.48</v>
      </c>
      <c r="CW100">
        <v>0.875</v>
      </c>
      <c r="CX100">
        <v>0.56000000000000005</v>
      </c>
      <c r="CY100">
        <v>0.48499999999999999</v>
      </c>
      <c r="CZ100">
        <v>0.59</v>
      </c>
      <c r="DA100">
        <v>0.62250000000000005</v>
      </c>
      <c r="DB100">
        <v>0.69</v>
      </c>
      <c r="DC100">
        <v>0.89249999999999996</v>
      </c>
      <c r="DD100">
        <v>0.71499999999999997</v>
      </c>
      <c r="DE100">
        <v>0.89</v>
      </c>
      <c r="DI100">
        <v>0.97750000000000004</v>
      </c>
      <c r="DN100" s="332">
        <v>2.8499999999999999E-4</v>
      </c>
      <c r="DO100" s="332">
        <v>2.0000000000000001E-4</v>
      </c>
      <c r="DP100" s="332">
        <v>0</v>
      </c>
      <c r="DQ100" s="332">
        <v>1E-4</v>
      </c>
      <c r="DR100" s="332">
        <v>0</v>
      </c>
      <c r="DS100" s="332">
        <v>3.5999999999999999E-3</v>
      </c>
      <c r="DT100" s="332">
        <v>4.6999999999999999E-4</v>
      </c>
      <c r="DU100" s="332">
        <v>6.9999999999999999E-4</v>
      </c>
      <c r="DV100" s="332">
        <v>0</v>
      </c>
      <c r="DW100" s="332">
        <v>0</v>
      </c>
      <c r="DX100" s="332">
        <v>5.0000000000000001E-4</v>
      </c>
      <c r="DY100" s="332">
        <v>5.0000000000000001E-4</v>
      </c>
      <c r="DZ100" s="332">
        <v>2.9999999999999997E-4</v>
      </c>
      <c r="EA100" s="332">
        <v>2.7500000000000002E-4</v>
      </c>
      <c r="EB100" s="332">
        <v>4.0000000000000002E-4</v>
      </c>
      <c r="ED100" s="332">
        <v>6.4999999999999994E-5</v>
      </c>
      <c r="EF100">
        <v>1</v>
      </c>
    </row>
    <row r="101" spans="1:136" x14ac:dyDescent="0.25">
      <c r="A101" s="66">
        <v>39448</v>
      </c>
      <c r="B101">
        <v>0.98</v>
      </c>
      <c r="C101">
        <v>0.95305200000000001</v>
      </c>
      <c r="D101">
        <v>0.96</v>
      </c>
      <c r="E101">
        <f t="shared" si="11"/>
        <v>0.99399999999999999</v>
      </c>
      <c r="F101">
        <v>0.97699999999999998</v>
      </c>
      <c r="G101">
        <v>0.98750000000000004</v>
      </c>
      <c r="H101">
        <v>0.98750000000000004</v>
      </c>
      <c r="I101">
        <v>0.87402875000000002</v>
      </c>
      <c r="J101">
        <v>0.99990000000000001</v>
      </c>
      <c r="K101">
        <v>0.98499999999999999</v>
      </c>
      <c r="L101" s="333">
        <v>0.91506552500000005</v>
      </c>
      <c r="M101" s="333">
        <v>0.96422193700000003</v>
      </c>
      <c r="N101">
        <v>0.87009345000000005</v>
      </c>
      <c r="O101">
        <v>0.94510240000000001</v>
      </c>
      <c r="P101">
        <v>0.87009345000000005</v>
      </c>
      <c r="Q101" s="328">
        <v>0.91506552500000005</v>
      </c>
      <c r="R101">
        <v>0.91506552500000005</v>
      </c>
      <c r="S101" s="333">
        <v>0.91506552500000005</v>
      </c>
      <c r="T101">
        <v>0.87009345000000005</v>
      </c>
      <c r="U101">
        <v>0.87009345000000005</v>
      </c>
      <c r="V101">
        <v>0.87009345000000005</v>
      </c>
      <c r="W101">
        <v>0.87009345000000005</v>
      </c>
      <c r="X101">
        <v>0.94510240000000001</v>
      </c>
      <c r="Y101">
        <v>0.94510240000000001</v>
      </c>
      <c r="Z101">
        <v>0.94510240000000001</v>
      </c>
      <c r="AA101">
        <v>0.94510240000000001</v>
      </c>
      <c r="AB101">
        <v>0.87009345000000005</v>
      </c>
      <c r="AC101">
        <v>0.87009345000000005</v>
      </c>
      <c r="AD101">
        <v>0.94510240000000001</v>
      </c>
      <c r="AE101">
        <v>0.94510240000000001</v>
      </c>
      <c r="AF101">
        <v>0.87009345000000005</v>
      </c>
      <c r="AG101">
        <v>0.98</v>
      </c>
      <c r="AH101">
        <v>0.97665484999999996</v>
      </c>
      <c r="AI101">
        <v>0.97665484999999996</v>
      </c>
      <c r="AJ101">
        <v>0.87009345000000005</v>
      </c>
      <c r="AK101">
        <v>1</v>
      </c>
      <c r="AL101">
        <v>0.98499999999999999</v>
      </c>
      <c r="AM101">
        <v>0.94194900000000004</v>
      </c>
      <c r="AS101">
        <v>0.97699999999999998</v>
      </c>
      <c r="AT101" s="328">
        <v>0.97750000000000004</v>
      </c>
      <c r="AU101">
        <v>0.97665484999999996</v>
      </c>
      <c r="AV101">
        <v>0.94194900000000004</v>
      </c>
      <c r="AW101">
        <v>0.94194900000000004</v>
      </c>
      <c r="AX101">
        <v>0.94194900000000004</v>
      </c>
      <c r="AY101">
        <v>0.97665484999999996</v>
      </c>
      <c r="AZ101">
        <v>0.97665484999999996</v>
      </c>
      <c r="BA101">
        <v>0.94194900000000004</v>
      </c>
      <c r="BB101" s="446">
        <v>1</v>
      </c>
      <c r="BC101">
        <v>1</v>
      </c>
      <c r="BD101">
        <v>1</v>
      </c>
      <c r="BE101">
        <v>1</v>
      </c>
      <c r="BF101">
        <v>0.99990000000000001</v>
      </c>
      <c r="BG101">
        <v>1</v>
      </c>
      <c r="BH101">
        <v>1</v>
      </c>
      <c r="BI101">
        <v>0.99</v>
      </c>
      <c r="BJ101">
        <v>0.999</v>
      </c>
      <c r="BK101">
        <v>0.998</v>
      </c>
      <c r="BL101">
        <v>0.99850000000000005</v>
      </c>
      <c r="BM101">
        <v>0.99850000000000005</v>
      </c>
      <c r="BN101">
        <v>0.97199999999999998</v>
      </c>
      <c r="BO101">
        <v>0.99990000000000001</v>
      </c>
      <c r="BP101">
        <v>0.99990000000000001</v>
      </c>
      <c r="BQ101">
        <v>1</v>
      </c>
      <c r="BR101">
        <v>1.0912226</v>
      </c>
      <c r="BS101">
        <v>1.1082000000000001</v>
      </c>
      <c r="BT101">
        <v>1.0827</v>
      </c>
      <c r="BU101">
        <v>1.0144</v>
      </c>
      <c r="BV101">
        <v>1</v>
      </c>
      <c r="BW101">
        <v>2.1894</v>
      </c>
      <c r="BX101">
        <v>2.2767463330000002</v>
      </c>
      <c r="BY101">
        <v>1.08575</v>
      </c>
      <c r="BZ101">
        <v>1.2885</v>
      </c>
      <c r="CA101">
        <v>2.0009999999999999</v>
      </c>
      <c r="CB101">
        <v>1.512505</v>
      </c>
      <c r="CC101">
        <v>1.512505</v>
      </c>
      <c r="CD101">
        <v>1.2610049999999999</v>
      </c>
      <c r="CE101">
        <v>1.0739799999999999</v>
      </c>
      <c r="CF101">
        <v>1.4242049999999999</v>
      </c>
      <c r="CG101" s="332"/>
      <c r="CH101">
        <v>1.0973649999999999</v>
      </c>
      <c r="CI101" s="332"/>
      <c r="CJ101" s="332"/>
      <c r="CK101" s="332"/>
      <c r="CL101" s="332"/>
      <c r="CM101" s="332"/>
      <c r="CN101" s="332"/>
      <c r="CO101" s="332"/>
      <c r="CP101">
        <v>0.89500000000000002</v>
      </c>
      <c r="CQ101">
        <v>0.86</v>
      </c>
      <c r="CR101">
        <v>0.87</v>
      </c>
      <c r="CS101">
        <v>0.92</v>
      </c>
      <c r="CT101">
        <v>0.999</v>
      </c>
      <c r="CU101">
        <v>0.57999999999999996</v>
      </c>
      <c r="CV101">
        <v>0.45</v>
      </c>
      <c r="CW101">
        <v>0.80500000000000005</v>
      </c>
      <c r="CX101">
        <v>0.56999999999999995</v>
      </c>
      <c r="CY101">
        <v>0.505</v>
      </c>
      <c r="CZ101">
        <v>0.60499999999999998</v>
      </c>
      <c r="DA101">
        <v>0.63749999999999996</v>
      </c>
      <c r="DB101">
        <v>0.69</v>
      </c>
      <c r="DC101">
        <v>0.88</v>
      </c>
      <c r="DD101">
        <v>0.64</v>
      </c>
      <c r="DE101">
        <v>0.89</v>
      </c>
      <c r="DI101">
        <v>0.97750000000000004</v>
      </c>
      <c r="DN101" s="332">
        <v>2.8499999999999999E-4</v>
      </c>
      <c r="DO101" s="332">
        <v>2.0000000000000001E-4</v>
      </c>
      <c r="DP101" s="332">
        <v>0</v>
      </c>
      <c r="DQ101" s="332">
        <v>1E-4</v>
      </c>
      <c r="DR101" s="332">
        <v>0</v>
      </c>
      <c r="DS101" s="332">
        <v>3.5999999999999999E-3</v>
      </c>
      <c r="DT101" s="332">
        <v>4.6999999999999999E-4</v>
      </c>
      <c r="DU101" s="332">
        <v>6.9999999999999999E-4</v>
      </c>
      <c r="DV101" s="332">
        <v>0</v>
      </c>
      <c r="DW101" s="332">
        <v>0</v>
      </c>
      <c r="DX101" s="332">
        <v>5.0000000000000001E-4</v>
      </c>
      <c r="DY101" s="332">
        <v>5.0000000000000001E-4</v>
      </c>
      <c r="DZ101" s="332">
        <v>2.9999999999999997E-4</v>
      </c>
      <c r="EA101" s="332">
        <v>2.7500000000000002E-4</v>
      </c>
      <c r="EB101" s="332">
        <v>4.0000000000000002E-4</v>
      </c>
      <c r="ED101" s="332">
        <v>6.4999999999999994E-5</v>
      </c>
      <c r="EF101">
        <v>1</v>
      </c>
    </row>
    <row r="102" spans="1:136" x14ac:dyDescent="0.25">
      <c r="A102" s="66">
        <v>39479</v>
      </c>
      <c r="B102">
        <v>0.98</v>
      </c>
      <c r="C102">
        <v>0.95322399999999996</v>
      </c>
      <c r="D102">
        <v>0.96</v>
      </c>
      <c r="E102">
        <f t="shared" si="11"/>
        <v>0.99399999999999999</v>
      </c>
      <c r="F102">
        <v>0.97699999999999998</v>
      </c>
      <c r="G102">
        <v>0.98750000000000004</v>
      </c>
      <c r="H102">
        <v>0.98750000000000004</v>
      </c>
      <c r="I102">
        <v>0.91805024999999996</v>
      </c>
      <c r="J102">
        <v>0.99990000000000001</v>
      </c>
      <c r="K102">
        <v>0.98499999999999999</v>
      </c>
      <c r="L102" s="333">
        <v>0.96075817500000005</v>
      </c>
      <c r="M102" s="333">
        <v>0.98750000000000004</v>
      </c>
      <c r="N102">
        <v>0.89552655000000003</v>
      </c>
      <c r="O102">
        <v>0.94265876299999996</v>
      </c>
      <c r="P102">
        <v>0.89552655000000003</v>
      </c>
      <c r="Q102" s="328">
        <v>0.96075817500000005</v>
      </c>
      <c r="R102">
        <v>0.96075817500000005</v>
      </c>
      <c r="S102" s="333">
        <v>0.96075817500000005</v>
      </c>
      <c r="T102">
        <v>0.89552655000000003</v>
      </c>
      <c r="U102">
        <v>0.89552655000000003</v>
      </c>
      <c r="V102">
        <v>0.89552655000000003</v>
      </c>
      <c r="W102">
        <v>0.89552655000000003</v>
      </c>
      <c r="X102">
        <v>0.94265876299999996</v>
      </c>
      <c r="Y102">
        <v>0.94265876299999996</v>
      </c>
      <c r="Z102">
        <v>0.94265876299999996</v>
      </c>
      <c r="AA102">
        <v>0.94265876299999996</v>
      </c>
      <c r="AB102">
        <v>0.89552655000000003</v>
      </c>
      <c r="AC102">
        <v>0.89552655000000003</v>
      </c>
      <c r="AD102">
        <v>0.94265876299999996</v>
      </c>
      <c r="AE102">
        <v>0.94265876299999996</v>
      </c>
      <c r="AF102">
        <v>0.89552655000000003</v>
      </c>
      <c r="AG102">
        <v>0.98</v>
      </c>
      <c r="AH102">
        <v>0.97671269999999999</v>
      </c>
      <c r="AI102">
        <v>0.97671269999999999</v>
      </c>
      <c r="AJ102">
        <v>0.89552655000000003</v>
      </c>
      <c r="AK102">
        <v>1</v>
      </c>
      <c r="AL102">
        <v>0.98499999999999999</v>
      </c>
      <c r="AM102">
        <v>0.96360299999999999</v>
      </c>
      <c r="AS102">
        <v>0.97699999999999998</v>
      </c>
      <c r="AT102" s="328">
        <v>0.97750000000000004</v>
      </c>
      <c r="AU102">
        <v>0.97671269999999999</v>
      </c>
      <c r="AV102">
        <v>0.96360299999999999</v>
      </c>
      <c r="AW102">
        <v>0.96360299999999999</v>
      </c>
      <c r="AX102">
        <v>0.96360299999999999</v>
      </c>
      <c r="AY102">
        <v>0.97671269999999999</v>
      </c>
      <c r="AZ102">
        <v>0.97671269999999999</v>
      </c>
      <c r="BA102">
        <v>0.96360299999999999</v>
      </c>
      <c r="BB102" s="446">
        <v>1</v>
      </c>
      <c r="BC102">
        <v>1</v>
      </c>
      <c r="BD102">
        <v>1</v>
      </c>
      <c r="BE102">
        <v>1</v>
      </c>
      <c r="BF102">
        <v>0.99990000000000001</v>
      </c>
      <c r="BG102">
        <v>1</v>
      </c>
      <c r="BH102">
        <v>1</v>
      </c>
      <c r="BI102">
        <v>0.99</v>
      </c>
      <c r="BJ102">
        <v>0.999</v>
      </c>
      <c r="BK102">
        <v>0.998</v>
      </c>
      <c r="BL102">
        <v>0.99850000000000005</v>
      </c>
      <c r="BM102">
        <v>0.99850000000000005</v>
      </c>
      <c r="BN102">
        <v>0.97199999999999998</v>
      </c>
      <c r="BO102">
        <v>0.99990000000000001</v>
      </c>
      <c r="BP102">
        <v>0.99990000000000001</v>
      </c>
      <c r="BQ102">
        <v>1</v>
      </c>
      <c r="BR102">
        <v>1.0915075999999999</v>
      </c>
      <c r="BS102">
        <v>1.1084000000000001</v>
      </c>
      <c r="BT102">
        <v>1.0827</v>
      </c>
      <c r="BU102">
        <v>1.0145</v>
      </c>
      <c r="BV102">
        <v>1</v>
      </c>
      <c r="BW102">
        <v>2.1930000000000001</v>
      </c>
      <c r="BX102">
        <v>2.2772163330000001</v>
      </c>
      <c r="BY102">
        <v>1.0864499999999999</v>
      </c>
      <c r="BZ102">
        <v>1.2885</v>
      </c>
      <c r="CA102">
        <v>2.0009999999999999</v>
      </c>
      <c r="CB102">
        <v>1.5130049999999999</v>
      </c>
      <c r="CC102">
        <v>1.5130049999999999</v>
      </c>
      <c r="CD102">
        <v>1.2613049999999999</v>
      </c>
      <c r="CE102">
        <v>1.074255</v>
      </c>
      <c r="CF102">
        <v>1.4246049999999999</v>
      </c>
      <c r="CG102" s="332"/>
      <c r="CH102">
        <v>1.0974299999999999</v>
      </c>
      <c r="CI102" s="332"/>
      <c r="CJ102" s="332"/>
      <c r="CK102" s="332"/>
      <c r="CL102" s="332"/>
      <c r="CM102" s="332"/>
      <c r="CN102" s="332"/>
      <c r="CO102" s="332"/>
      <c r="CP102">
        <v>0.86499999999999999</v>
      </c>
      <c r="CQ102">
        <v>0.86</v>
      </c>
      <c r="CR102">
        <v>0.89</v>
      </c>
      <c r="CS102">
        <v>0.93500000000000005</v>
      </c>
      <c r="CT102">
        <v>0.99895</v>
      </c>
      <c r="CU102">
        <v>0.57999999999999996</v>
      </c>
      <c r="CV102">
        <v>0.45</v>
      </c>
      <c r="CW102">
        <v>0.84499999999999997</v>
      </c>
      <c r="CX102">
        <v>0.67500000000000004</v>
      </c>
      <c r="CY102">
        <v>0.505</v>
      </c>
      <c r="CZ102">
        <v>0.63500000000000001</v>
      </c>
      <c r="DA102">
        <v>0.66749999999999998</v>
      </c>
      <c r="DB102">
        <v>0.71</v>
      </c>
      <c r="DC102">
        <v>0.87749999999999995</v>
      </c>
      <c r="DD102">
        <v>0.67</v>
      </c>
      <c r="DE102">
        <v>0.89</v>
      </c>
      <c r="DI102">
        <v>0.97750000000000004</v>
      </c>
      <c r="DN102" s="332">
        <v>2.8499999999999999E-4</v>
      </c>
      <c r="DO102" s="332">
        <v>2.0000000000000001E-4</v>
      </c>
      <c r="DP102" s="332">
        <v>0</v>
      </c>
      <c r="DQ102" s="332">
        <v>1E-4</v>
      </c>
      <c r="DR102" s="332">
        <v>0</v>
      </c>
      <c r="DS102" s="332">
        <v>3.5999999999999999E-3</v>
      </c>
      <c r="DT102" s="332">
        <v>4.6999999999999999E-4</v>
      </c>
      <c r="DU102" s="332">
        <v>6.9999999999999999E-4</v>
      </c>
      <c r="DV102" s="332">
        <v>0</v>
      </c>
      <c r="DW102" s="332">
        <v>0</v>
      </c>
      <c r="DX102" s="332">
        <v>5.0000000000000001E-4</v>
      </c>
      <c r="DY102" s="332">
        <v>5.0000000000000001E-4</v>
      </c>
      <c r="DZ102" s="332">
        <v>2.9999999999999997E-4</v>
      </c>
      <c r="EA102" s="332">
        <v>2.7500000000000002E-4</v>
      </c>
      <c r="EB102" s="332">
        <v>4.0000000000000002E-4</v>
      </c>
      <c r="ED102" s="332">
        <v>6.4999999999999994E-5</v>
      </c>
      <c r="EF102">
        <v>1</v>
      </c>
    </row>
    <row r="103" spans="1:136" x14ac:dyDescent="0.25">
      <c r="A103" s="66">
        <v>39508</v>
      </c>
      <c r="B103">
        <v>0.98</v>
      </c>
      <c r="C103">
        <v>0.98665400000000003</v>
      </c>
      <c r="D103">
        <v>0.96</v>
      </c>
      <c r="E103">
        <f t="shared" si="11"/>
        <v>0.99399999999999999</v>
      </c>
      <c r="F103">
        <v>0.97699999999999998</v>
      </c>
      <c r="G103">
        <v>0.98750000000000004</v>
      </c>
      <c r="H103">
        <v>0.98750000000000004</v>
      </c>
      <c r="I103">
        <v>0.95125625000000003</v>
      </c>
      <c r="J103">
        <v>0.99990000000000001</v>
      </c>
      <c r="K103">
        <v>0.98499999999999999</v>
      </c>
      <c r="L103" s="333">
        <v>0.98750000000000004</v>
      </c>
      <c r="M103" s="333">
        <v>0.98750000000000004</v>
      </c>
      <c r="N103">
        <v>0.98</v>
      </c>
      <c r="O103">
        <v>0.96707699999999996</v>
      </c>
      <c r="P103">
        <v>0.98</v>
      </c>
      <c r="Q103" s="328">
        <v>0.98750000000000004</v>
      </c>
      <c r="R103">
        <v>0.98750000000000004</v>
      </c>
      <c r="S103" s="333">
        <v>0.98750000000000004</v>
      </c>
      <c r="T103">
        <v>0.98</v>
      </c>
      <c r="U103">
        <v>0.98</v>
      </c>
      <c r="V103">
        <v>0.98</v>
      </c>
      <c r="W103">
        <v>0.98</v>
      </c>
      <c r="X103">
        <v>0.96707699999999996</v>
      </c>
      <c r="Y103">
        <v>0.96707699999999996</v>
      </c>
      <c r="Z103">
        <v>0.96707699999999996</v>
      </c>
      <c r="AA103">
        <v>0.96707699999999996</v>
      </c>
      <c r="AB103">
        <v>0.98</v>
      </c>
      <c r="AC103">
        <v>0.98</v>
      </c>
      <c r="AD103">
        <v>0.96707699999999996</v>
      </c>
      <c r="AE103">
        <v>0.96707699999999996</v>
      </c>
      <c r="AF103">
        <v>0.98</v>
      </c>
      <c r="AG103">
        <v>0.99</v>
      </c>
      <c r="AH103">
        <v>0.97677055000000002</v>
      </c>
      <c r="AI103">
        <v>0.97677055000000002</v>
      </c>
      <c r="AJ103">
        <v>0.98</v>
      </c>
      <c r="AK103">
        <v>1</v>
      </c>
      <c r="AL103">
        <v>0.98499999999999999</v>
      </c>
      <c r="AM103">
        <v>0.98499999999999999</v>
      </c>
      <c r="AS103">
        <v>0.97699999999999998</v>
      </c>
      <c r="AT103" s="328">
        <v>0.97750000000000004</v>
      </c>
      <c r="AU103">
        <v>0.97677055000000002</v>
      </c>
      <c r="AV103">
        <v>0.98499999999999999</v>
      </c>
      <c r="AW103">
        <v>0.98499999999999999</v>
      </c>
      <c r="AX103">
        <v>0.98499999999999999</v>
      </c>
      <c r="AY103">
        <v>0.97677055000000002</v>
      </c>
      <c r="AZ103">
        <v>0.97677055000000002</v>
      </c>
      <c r="BA103">
        <v>0.98499999999999999</v>
      </c>
      <c r="BB103" s="446">
        <v>1</v>
      </c>
      <c r="BC103">
        <v>1</v>
      </c>
      <c r="BD103">
        <v>1</v>
      </c>
      <c r="BE103">
        <v>1</v>
      </c>
      <c r="BF103">
        <v>0.99990000000000001</v>
      </c>
      <c r="BG103">
        <v>1</v>
      </c>
      <c r="BH103">
        <v>1</v>
      </c>
      <c r="BI103">
        <v>0.99</v>
      </c>
      <c r="BJ103">
        <v>0.999</v>
      </c>
      <c r="BK103">
        <v>0.998</v>
      </c>
      <c r="BL103">
        <v>0.99850000000000005</v>
      </c>
      <c r="BM103">
        <v>0.99850000000000005</v>
      </c>
      <c r="BN103">
        <v>0.97199999999999998</v>
      </c>
      <c r="BO103">
        <v>0.99990000000000001</v>
      </c>
      <c r="BP103">
        <v>0.99990000000000001</v>
      </c>
      <c r="BQ103">
        <v>1</v>
      </c>
      <c r="BR103">
        <v>1.0917926</v>
      </c>
      <c r="BS103">
        <v>1.1086</v>
      </c>
      <c r="BT103">
        <v>1.0827</v>
      </c>
      <c r="BU103">
        <v>1.0145999999999999</v>
      </c>
      <c r="BV103">
        <v>1</v>
      </c>
      <c r="BW103">
        <v>2.1966000000000001</v>
      </c>
      <c r="BX103">
        <v>2.2776863330000001</v>
      </c>
      <c r="BY103">
        <v>1.0871500000000001</v>
      </c>
      <c r="BZ103">
        <v>1.2885</v>
      </c>
      <c r="CA103">
        <v>2.0009999999999999</v>
      </c>
      <c r="CB103">
        <v>1.5135050000000001</v>
      </c>
      <c r="CC103">
        <v>1.5135050000000001</v>
      </c>
      <c r="CD103">
        <v>1.2616050000000001</v>
      </c>
      <c r="CE103">
        <v>1.07453</v>
      </c>
      <c r="CF103">
        <v>1.4250050000000001</v>
      </c>
      <c r="CG103" s="332"/>
      <c r="CH103">
        <v>1.0974950000000001</v>
      </c>
      <c r="CI103" s="332"/>
      <c r="CJ103" s="332"/>
      <c r="CK103" s="332"/>
      <c r="CL103" s="332"/>
      <c r="CM103" s="332"/>
      <c r="CN103" s="332"/>
      <c r="CO103" s="332"/>
      <c r="CP103">
        <v>0.86499999999999999</v>
      </c>
      <c r="CQ103">
        <v>0.89</v>
      </c>
      <c r="CR103">
        <v>0.91</v>
      </c>
      <c r="CS103">
        <v>0.93500000000000005</v>
      </c>
      <c r="CT103">
        <v>0.99895</v>
      </c>
      <c r="CU103">
        <v>0.54</v>
      </c>
      <c r="CV103">
        <v>0.45</v>
      </c>
      <c r="CW103">
        <v>0.875</v>
      </c>
      <c r="CX103">
        <v>0.84499999999999997</v>
      </c>
      <c r="CY103">
        <v>0.51500000000000001</v>
      </c>
      <c r="CZ103">
        <v>0.78500000000000003</v>
      </c>
      <c r="DA103">
        <v>0.8175</v>
      </c>
      <c r="DB103">
        <v>0.8</v>
      </c>
      <c r="DC103">
        <v>0.9</v>
      </c>
      <c r="DD103">
        <v>0.83</v>
      </c>
      <c r="DE103">
        <v>0.89</v>
      </c>
      <c r="DI103">
        <v>0.97750000000000004</v>
      </c>
      <c r="DN103" s="332">
        <v>2.8499999999999999E-4</v>
      </c>
      <c r="DO103" s="332">
        <v>2.0000000000000001E-4</v>
      </c>
      <c r="DP103" s="332">
        <v>0</v>
      </c>
      <c r="DQ103" s="332">
        <v>1E-4</v>
      </c>
      <c r="DR103" s="332">
        <v>0</v>
      </c>
      <c r="DS103" s="332">
        <v>3.5999999999999999E-3</v>
      </c>
      <c r="DT103" s="332">
        <v>4.6999999999999999E-4</v>
      </c>
      <c r="DU103" s="332">
        <v>6.9999999999999999E-4</v>
      </c>
      <c r="DV103" s="332">
        <v>0</v>
      </c>
      <c r="DW103" s="332">
        <v>0</v>
      </c>
      <c r="DX103" s="332">
        <v>5.0000000000000001E-4</v>
      </c>
      <c r="DY103" s="332">
        <v>5.0000000000000001E-4</v>
      </c>
      <c r="DZ103" s="332">
        <v>2.9999999999999997E-4</v>
      </c>
      <c r="EA103" s="332">
        <v>2.7500000000000002E-4</v>
      </c>
      <c r="EB103" s="332">
        <v>4.0000000000000002E-4</v>
      </c>
      <c r="ED103" s="332">
        <v>6.4999999999999994E-5</v>
      </c>
      <c r="EF103">
        <v>1</v>
      </c>
    </row>
    <row r="104" spans="1:136" x14ac:dyDescent="0.25">
      <c r="A104" s="66">
        <v>39539</v>
      </c>
      <c r="B104">
        <v>0.98</v>
      </c>
      <c r="C104">
        <v>0.98799999999999999</v>
      </c>
      <c r="D104">
        <v>0.96</v>
      </c>
      <c r="E104">
        <f t="shared" si="11"/>
        <v>0.97799999999999998</v>
      </c>
      <c r="F104">
        <v>0.97699999999999998</v>
      </c>
      <c r="G104">
        <v>0.98750000000000004</v>
      </c>
      <c r="H104">
        <v>0.95682566000000002</v>
      </c>
      <c r="I104">
        <v>0.98750000000000004</v>
      </c>
      <c r="J104">
        <v>0.99990000000000001</v>
      </c>
      <c r="K104">
        <v>0.98499999999999999</v>
      </c>
      <c r="L104" s="333">
        <v>0.98750000000000004</v>
      </c>
      <c r="M104" s="333">
        <v>0.98750000000000004</v>
      </c>
      <c r="N104">
        <v>0.98</v>
      </c>
      <c r="O104">
        <v>0.97054891499999996</v>
      </c>
      <c r="P104">
        <v>0.98</v>
      </c>
      <c r="Q104" s="328">
        <v>0.98750000000000004</v>
      </c>
      <c r="R104">
        <v>0.98750000000000004</v>
      </c>
      <c r="S104" s="333">
        <v>0.98750000000000004</v>
      </c>
      <c r="T104">
        <v>0.98</v>
      </c>
      <c r="U104">
        <v>0.98</v>
      </c>
      <c r="V104">
        <v>0.98</v>
      </c>
      <c r="W104">
        <v>0.98</v>
      </c>
      <c r="X104">
        <v>0.97054891499999996</v>
      </c>
      <c r="Y104">
        <v>0.97054891499999996</v>
      </c>
      <c r="Z104">
        <v>0.97054891499999996</v>
      </c>
      <c r="AA104">
        <v>0.97054891499999996</v>
      </c>
      <c r="AB104">
        <v>0.98</v>
      </c>
      <c r="AC104">
        <v>0.98</v>
      </c>
      <c r="AD104">
        <v>0.97054891499999996</v>
      </c>
      <c r="AE104">
        <v>0.97054891499999996</v>
      </c>
      <c r="AF104">
        <v>0.98</v>
      </c>
      <c r="AG104">
        <v>0.99</v>
      </c>
      <c r="AH104">
        <v>0.97682840000000004</v>
      </c>
      <c r="AI104">
        <v>0.97682840000000004</v>
      </c>
      <c r="AJ104">
        <v>0.98</v>
      </c>
      <c r="AK104">
        <v>1</v>
      </c>
      <c r="AL104">
        <v>0.98499999999999999</v>
      </c>
      <c r="AM104">
        <v>0.98499999999999999</v>
      </c>
      <c r="AS104">
        <v>0.97699999999999998</v>
      </c>
      <c r="AT104" s="328">
        <v>0.97750000000000004</v>
      </c>
      <c r="AU104">
        <v>0.97682840000000004</v>
      </c>
      <c r="AV104">
        <v>0.98499999999999999</v>
      </c>
      <c r="AW104">
        <v>0.98499999999999999</v>
      </c>
      <c r="AX104">
        <v>0.98499999999999999</v>
      </c>
      <c r="AY104">
        <v>0.97682840000000004</v>
      </c>
      <c r="AZ104">
        <v>0.97682840000000004</v>
      </c>
      <c r="BA104">
        <v>0.98499999999999999</v>
      </c>
      <c r="BB104" s="446">
        <v>1</v>
      </c>
      <c r="BC104">
        <v>1</v>
      </c>
      <c r="BD104">
        <v>1</v>
      </c>
      <c r="BE104">
        <v>1</v>
      </c>
      <c r="BF104">
        <v>0.99990000000000001</v>
      </c>
      <c r="BG104">
        <v>1</v>
      </c>
      <c r="BH104">
        <v>1</v>
      </c>
      <c r="BI104">
        <v>0.99</v>
      </c>
      <c r="BJ104">
        <v>0.999</v>
      </c>
      <c r="BK104">
        <v>0.998</v>
      </c>
      <c r="BL104">
        <v>0.99850000000000005</v>
      </c>
      <c r="BM104">
        <v>0.99850000000000005</v>
      </c>
      <c r="BN104">
        <v>0.97199999999999998</v>
      </c>
      <c r="BO104">
        <v>0.99990000000000001</v>
      </c>
      <c r="BP104">
        <v>0.99990000000000001</v>
      </c>
      <c r="BQ104">
        <v>1</v>
      </c>
      <c r="BR104">
        <v>1.0920776000000001</v>
      </c>
      <c r="BS104">
        <v>1.1088</v>
      </c>
      <c r="BT104">
        <v>1.0827</v>
      </c>
      <c r="BU104">
        <v>1.0146999999999999</v>
      </c>
      <c r="BV104">
        <v>1</v>
      </c>
      <c r="BW104">
        <v>2.2002000000000002</v>
      </c>
      <c r="BX104">
        <v>2.2781563330000001</v>
      </c>
      <c r="BY104">
        <v>1.08785</v>
      </c>
      <c r="BZ104">
        <v>1.2885</v>
      </c>
      <c r="CA104">
        <v>2.0009999999999999</v>
      </c>
      <c r="CB104">
        <v>1.514005</v>
      </c>
      <c r="CC104">
        <v>1.514005</v>
      </c>
      <c r="CD104">
        <v>1.2619050000000001</v>
      </c>
      <c r="CE104">
        <v>1.074805</v>
      </c>
      <c r="CF104">
        <v>1.425405</v>
      </c>
      <c r="CG104" s="332"/>
      <c r="CH104">
        <v>1.0975600000000001</v>
      </c>
      <c r="CI104" s="332"/>
      <c r="CJ104" s="332"/>
      <c r="CK104" s="332"/>
      <c r="CL104" s="332"/>
      <c r="CM104" s="332"/>
      <c r="CN104" s="332"/>
      <c r="CO104" s="332"/>
      <c r="CP104">
        <v>0.89500000000000002</v>
      </c>
      <c r="CQ104">
        <v>0.9</v>
      </c>
      <c r="CR104">
        <v>0.91</v>
      </c>
      <c r="CS104">
        <v>0.96</v>
      </c>
      <c r="CT104">
        <v>0.99895</v>
      </c>
      <c r="CU104">
        <v>0.48</v>
      </c>
      <c r="CV104">
        <v>0.42</v>
      </c>
      <c r="CW104">
        <v>0.93500000000000005</v>
      </c>
      <c r="CX104">
        <v>0.83499999999999996</v>
      </c>
      <c r="CY104">
        <v>0.57499999999999996</v>
      </c>
      <c r="CZ104">
        <v>0.89500000000000002</v>
      </c>
      <c r="DA104">
        <v>0.92749999999999999</v>
      </c>
      <c r="DB104">
        <v>0.85</v>
      </c>
      <c r="DC104">
        <v>0.90300000000000002</v>
      </c>
      <c r="DD104">
        <v>0.92</v>
      </c>
      <c r="DE104">
        <v>0.89</v>
      </c>
      <c r="DI104">
        <v>0.97750000000000004</v>
      </c>
      <c r="DN104" s="332">
        <v>2.8499999999999999E-4</v>
      </c>
      <c r="DO104" s="332">
        <v>2.0000000000000001E-4</v>
      </c>
      <c r="DP104" s="332">
        <v>0</v>
      </c>
      <c r="DQ104" s="332">
        <v>1E-4</v>
      </c>
      <c r="DR104" s="332">
        <v>0</v>
      </c>
      <c r="DS104" s="332">
        <v>3.5999999999999999E-3</v>
      </c>
      <c r="DT104" s="332">
        <v>4.6999999999999999E-4</v>
      </c>
      <c r="DU104" s="332">
        <v>6.9999999999999999E-4</v>
      </c>
      <c r="DV104" s="332">
        <v>0</v>
      </c>
      <c r="DW104" s="332">
        <v>0</v>
      </c>
      <c r="DX104" s="332">
        <v>5.0000000000000001E-4</v>
      </c>
      <c r="DY104" s="332">
        <v>5.0000000000000001E-4</v>
      </c>
      <c r="DZ104" s="332">
        <v>2.9999999999999997E-4</v>
      </c>
      <c r="EA104" s="332">
        <v>2.7500000000000002E-4</v>
      </c>
      <c r="EB104" s="332">
        <v>4.0000000000000002E-4</v>
      </c>
      <c r="ED104" s="332">
        <v>6.4999999999999994E-5</v>
      </c>
      <c r="EF104">
        <v>1</v>
      </c>
    </row>
    <row r="105" spans="1:136" x14ac:dyDescent="0.25">
      <c r="A105" s="66">
        <v>39569</v>
      </c>
      <c r="B105">
        <v>0.98</v>
      </c>
      <c r="C105">
        <v>0.98799999999999999</v>
      </c>
      <c r="D105">
        <v>0.96</v>
      </c>
      <c r="E105">
        <f t="shared" ref="E105:E110" si="12">E93</f>
        <v>0.97799999999999998</v>
      </c>
      <c r="F105">
        <v>0.97699999999999998</v>
      </c>
      <c r="G105">
        <v>0.74929199999999996</v>
      </c>
      <c r="H105">
        <v>0.95702306000000004</v>
      </c>
      <c r="I105">
        <v>0.98750000000000004</v>
      </c>
      <c r="J105">
        <v>0.99990000000000001</v>
      </c>
      <c r="K105">
        <v>0.98499999999999999</v>
      </c>
      <c r="L105" s="333">
        <v>0.98750000000000004</v>
      </c>
      <c r="M105" s="333">
        <v>0.98750000000000004</v>
      </c>
      <c r="N105">
        <v>0.98</v>
      </c>
      <c r="O105">
        <v>0.96757199999999999</v>
      </c>
      <c r="P105">
        <v>0.98</v>
      </c>
      <c r="Q105" s="328">
        <v>0.98750000000000004</v>
      </c>
      <c r="R105">
        <v>0.98750000000000004</v>
      </c>
      <c r="S105" s="333">
        <v>0.98750000000000004</v>
      </c>
      <c r="T105">
        <v>0.98</v>
      </c>
      <c r="U105">
        <v>0.98</v>
      </c>
      <c r="V105">
        <v>0.98</v>
      </c>
      <c r="W105">
        <v>0.98</v>
      </c>
      <c r="X105">
        <v>0.96757199999999999</v>
      </c>
      <c r="Y105">
        <v>0.96757199999999999</v>
      </c>
      <c r="Z105">
        <v>0.96757199999999999</v>
      </c>
      <c r="AA105">
        <v>0.96757199999999999</v>
      </c>
      <c r="AB105">
        <v>0.98</v>
      </c>
      <c r="AC105">
        <v>0.98</v>
      </c>
      <c r="AD105">
        <v>0.96757199999999999</v>
      </c>
      <c r="AE105">
        <v>0.96757199999999999</v>
      </c>
      <c r="AF105">
        <v>0.98</v>
      </c>
      <c r="AG105">
        <v>0.99</v>
      </c>
      <c r="AH105">
        <v>0.97688624999999996</v>
      </c>
      <c r="AI105">
        <v>0.97688624999999996</v>
      </c>
      <c r="AJ105">
        <v>0.98</v>
      </c>
      <c r="AK105">
        <v>1</v>
      </c>
      <c r="AL105">
        <v>0.98499999999999999</v>
      </c>
      <c r="AM105">
        <v>0.98499999999999999</v>
      </c>
      <c r="AS105">
        <v>0.97699999999999998</v>
      </c>
      <c r="AT105" s="328">
        <v>0.97750000000000004</v>
      </c>
      <c r="AU105">
        <v>0.97688624999999996</v>
      </c>
      <c r="AV105">
        <v>0.98499999999999999</v>
      </c>
      <c r="AW105">
        <v>0.98499999999999999</v>
      </c>
      <c r="AX105">
        <v>0.98499999999999999</v>
      </c>
      <c r="AY105">
        <v>0.97688624999999996</v>
      </c>
      <c r="AZ105">
        <v>0.97688624999999996</v>
      </c>
      <c r="BA105">
        <v>0.98499999999999999</v>
      </c>
      <c r="BB105" s="446">
        <v>1</v>
      </c>
      <c r="BC105">
        <v>1</v>
      </c>
      <c r="BD105">
        <v>1</v>
      </c>
      <c r="BE105">
        <v>1</v>
      </c>
      <c r="BF105">
        <v>0.99990000000000001</v>
      </c>
      <c r="BG105">
        <v>1</v>
      </c>
      <c r="BH105">
        <v>1</v>
      </c>
      <c r="BI105">
        <v>0.99</v>
      </c>
      <c r="BJ105">
        <v>0.999</v>
      </c>
      <c r="BK105">
        <v>0.998</v>
      </c>
      <c r="BL105">
        <v>0.99850000000000005</v>
      </c>
      <c r="BM105">
        <v>0.99850000000000005</v>
      </c>
      <c r="BN105">
        <v>0.97199999999999998</v>
      </c>
      <c r="BO105">
        <v>0.99990000000000001</v>
      </c>
      <c r="BP105">
        <v>0.99990000000000001</v>
      </c>
      <c r="BQ105">
        <v>1</v>
      </c>
      <c r="BR105">
        <v>1.0923626</v>
      </c>
      <c r="BS105">
        <v>1.109</v>
      </c>
      <c r="BT105">
        <v>1.0827</v>
      </c>
      <c r="BU105">
        <v>1.0147999999999999</v>
      </c>
      <c r="BV105">
        <v>1</v>
      </c>
      <c r="BW105">
        <v>2.2038000000000002</v>
      </c>
      <c r="BX105">
        <v>2.2786263330000001</v>
      </c>
      <c r="BY105">
        <v>1.0885499999999999</v>
      </c>
      <c r="BZ105">
        <v>1.2885</v>
      </c>
      <c r="CA105">
        <v>2.0009999999999999</v>
      </c>
      <c r="CB105">
        <v>1.514505</v>
      </c>
      <c r="CC105">
        <v>1.514505</v>
      </c>
      <c r="CD105">
        <v>1.262205</v>
      </c>
      <c r="CE105">
        <v>1.07508</v>
      </c>
      <c r="CF105">
        <v>1.425805</v>
      </c>
      <c r="CG105" s="332"/>
      <c r="CH105">
        <v>1.0976250000000001</v>
      </c>
      <c r="CI105" s="332"/>
      <c r="CJ105" s="332"/>
      <c r="CK105" s="332"/>
      <c r="CL105" s="332"/>
      <c r="CM105" s="332"/>
      <c r="CN105" s="332"/>
      <c r="CO105" s="332"/>
      <c r="CP105">
        <v>0.96499999999999997</v>
      </c>
      <c r="CQ105">
        <v>0.91</v>
      </c>
      <c r="CR105">
        <v>0.91</v>
      </c>
      <c r="CS105">
        <v>0.97</v>
      </c>
      <c r="CT105">
        <v>0.99895</v>
      </c>
      <c r="CU105">
        <v>0.34</v>
      </c>
      <c r="CV105">
        <v>0.42</v>
      </c>
      <c r="CW105">
        <v>0.93500000000000005</v>
      </c>
      <c r="CX105">
        <v>0.73499999999999999</v>
      </c>
      <c r="CY105">
        <v>0.625</v>
      </c>
      <c r="CZ105">
        <v>0.91749999999999998</v>
      </c>
      <c r="DA105">
        <v>0.95</v>
      </c>
      <c r="DB105">
        <v>0.88</v>
      </c>
      <c r="DC105">
        <v>0.9</v>
      </c>
      <c r="DD105">
        <v>0.93500000000000005</v>
      </c>
      <c r="DE105">
        <v>0.89</v>
      </c>
      <c r="DI105">
        <v>0.97750000000000004</v>
      </c>
      <c r="DN105" s="332">
        <v>2.8499999999999999E-4</v>
      </c>
      <c r="DO105" s="332">
        <v>2.0000000000000001E-4</v>
      </c>
      <c r="DP105" s="332">
        <v>0</v>
      </c>
      <c r="DQ105" s="332">
        <v>1E-4</v>
      </c>
      <c r="DR105" s="332">
        <v>0</v>
      </c>
      <c r="DS105" s="332">
        <v>3.5999999999999999E-3</v>
      </c>
      <c r="DT105" s="332">
        <v>4.6999999999999999E-4</v>
      </c>
      <c r="DU105" s="332">
        <v>6.9999999999999999E-4</v>
      </c>
      <c r="DV105" s="332">
        <v>0</v>
      </c>
      <c r="DW105" s="332">
        <v>0</v>
      </c>
      <c r="DX105" s="332">
        <v>5.0000000000000001E-4</v>
      </c>
      <c r="DY105" s="332">
        <v>5.0000000000000001E-4</v>
      </c>
      <c r="DZ105" s="332">
        <v>2.9999999999999997E-4</v>
      </c>
      <c r="EA105" s="332">
        <v>2.7500000000000002E-4</v>
      </c>
      <c r="EB105" s="332">
        <v>4.0000000000000002E-4</v>
      </c>
      <c r="ED105" s="332">
        <v>6.4999999999999994E-5</v>
      </c>
      <c r="EF105">
        <v>1</v>
      </c>
    </row>
    <row r="106" spans="1:136" x14ac:dyDescent="0.25">
      <c r="A106" s="66">
        <v>39600</v>
      </c>
      <c r="B106">
        <v>0.98</v>
      </c>
      <c r="C106">
        <v>0.98799999999999999</v>
      </c>
      <c r="D106">
        <v>0.96</v>
      </c>
      <c r="E106">
        <f t="shared" si="12"/>
        <v>0.97799999999999998</v>
      </c>
      <c r="F106">
        <v>0.97699999999999998</v>
      </c>
      <c r="G106">
        <v>0.75051599999999996</v>
      </c>
      <c r="H106">
        <v>0.98750000000000004</v>
      </c>
      <c r="I106">
        <v>0.98750000000000004</v>
      </c>
      <c r="J106">
        <v>0.99990000000000001</v>
      </c>
      <c r="K106">
        <v>0.98499999999999999</v>
      </c>
      <c r="L106" s="333">
        <v>0.98750000000000004</v>
      </c>
      <c r="M106" s="333">
        <v>0.98750000000000004</v>
      </c>
      <c r="N106">
        <v>0.98</v>
      </c>
      <c r="O106">
        <v>0.97050788799999999</v>
      </c>
      <c r="P106">
        <v>0.98</v>
      </c>
      <c r="Q106" s="328">
        <v>0.98750000000000004</v>
      </c>
      <c r="R106">
        <v>0.98750000000000004</v>
      </c>
      <c r="S106" s="333">
        <v>0.98750000000000004</v>
      </c>
      <c r="T106">
        <v>0.98</v>
      </c>
      <c r="U106">
        <v>0.98</v>
      </c>
      <c r="V106">
        <v>0.98</v>
      </c>
      <c r="W106">
        <v>0.98</v>
      </c>
      <c r="X106">
        <v>0.97050788799999999</v>
      </c>
      <c r="Y106">
        <v>0.97050788799999999</v>
      </c>
      <c r="Z106">
        <v>0.97050788799999999</v>
      </c>
      <c r="AA106">
        <v>0.97050788799999999</v>
      </c>
      <c r="AB106">
        <v>0.98</v>
      </c>
      <c r="AC106">
        <v>0.98</v>
      </c>
      <c r="AD106">
        <v>0.97050788799999999</v>
      </c>
      <c r="AE106">
        <v>0.97050788799999999</v>
      </c>
      <c r="AF106">
        <v>0.98</v>
      </c>
      <c r="AG106">
        <v>0.99</v>
      </c>
      <c r="AH106">
        <v>0.97694409999999998</v>
      </c>
      <c r="AI106">
        <v>0.97694409999999998</v>
      </c>
      <c r="AJ106">
        <v>0.98</v>
      </c>
      <c r="AK106">
        <v>1</v>
      </c>
      <c r="AL106">
        <v>0.98499999999999999</v>
      </c>
      <c r="AM106">
        <v>0.98499999999999999</v>
      </c>
      <c r="AS106">
        <v>0.97699999999999998</v>
      </c>
      <c r="AT106" s="328">
        <v>0.97750000000000004</v>
      </c>
      <c r="AU106">
        <v>0.97694409999999998</v>
      </c>
      <c r="AV106">
        <v>0.98499999999999999</v>
      </c>
      <c r="AW106">
        <v>0.98499999999999999</v>
      </c>
      <c r="AX106">
        <v>0.98499999999999999</v>
      </c>
      <c r="AY106">
        <v>0.97694409999999998</v>
      </c>
      <c r="AZ106">
        <v>0.97694409999999998</v>
      </c>
      <c r="BA106">
        <v>0.98499999999999999</v>
      </c>
      <c r="BB106" s="446">
        <v>1</v>
      </c>
      <c r="BC106">
        <v>1</v>
      </c>
      <c r="BD106">
        <v>1</v>
      </c>
      <c r="BE106">
        <v>1</v>
      </c>
      <c r="BF106">
        <v>0.99990000000000001</v>
      </c>
      <c r="BG106">
        <v>1</v>
      </c>
      <c r="BH106">
        <v>1</v>
      </c>
      <c r="BI106">
        <v>0.99</v>
      </c>
      <c r="BJ106">
        <v>0.999</v>
      </c>
      <c r="BK106">
        <v>0.998</v>
      </c>
      <c r="BL106">
        <v>0.99850000000000005</v>
      </c>
      <c r="BM106">
        <v>0.99850000000000005</v>
      </c>
      <c r="BN106">
        <v>0.97199999999999998</v>
      </c>
      <c r="BO106">
        <v>0.99990000000000001</v>
      </c>
      <c r="BP106">
        <v>0.99990000000000001</v>
      </c>
      <c r="BQ106">
        <v>1</v>
      </c>
      <c r="BR106">
        <v>1.0926476000000001</v>
      </c>
      <c r="BS106">
        <v>1.1092</v>
      </c>
      <c r="BT106">
        <v>1.0827</v>
      </c>
      <c r="BU106">
        <v>1.0148999999999999</v>
      </c>
      <c r="BV106">
        <v>1</v>
      </c>
      <c r="BW106">
        <v>2.2073999999999998</v>
      </c>
      <c r="BX106">
        <v>2.279096333</v>
      </c>
      <c r="BY106">
        <v>1.0892500000000001</v>
      </c>
      <c r="BZ106">
        <v>1.2885</v>
      </c>
      <c r="CA106">
        <v>2.0009999999999999</v>
      </c>
      <c r="CB106">
        <v>1.5150049999999999</v>
      </c>
      <c r="CC106">
        <v>1.5150049999999999</v>
      </c>
      <c r="CD106">
        <v>1.262505</v>
      </c>
      <c r="CE106">
        <v>1.0753550000000001</v>
      </c>
      <c r="CF106">
        <v>1.4262049999999999</v>
      </c>
      <c r="CG106" s="332"/>
      <c r="CH106">
        <v>1.0976900000000001</v>
      </c>
      <c r="CI106" s="332"/>
      <c r="CJ106" s="332"/>
      <c r="CK106" s="332"/>
      <c r="CL106" s="332"/>
      <c r="CM106" s="332"/>
      <c r="CN106" s="332"/>
      <c r="CO106" s="332"/>
      <c r="CP106">
        <v>0.96499999999999997</v>
      </c>
      <c r="CQ106">
        <v>0.91</v>
      </c>
      <c r="CR106">
        <v>0.91</v>
      </c>
      <c r="CS106">
        <v>0.98</v>
      </c>
      <c r="CT106">
        <v>0.99895</v>
      </c>
      <c r="CU106">
        <v>0.34</v>
      </c>
      <c r="CV106">
        <v>0.47</v>
      </c>
      <c r="CW106">
        <v>0.93500000000000005</v>
      </c>
      <c r="CX106">
        <v>0.64500000000000002</v>
      </c>
      <c r="CY106">
        <v>0.72499999999999998</v>
      </c>
      <c r="CZ106">
        <v>0.88249999999999995</v>
      </c>
      <c r="DA106">
        <v>0.91500000000000004</v>
      </c>
      <c r="DB106">
        <v>0.88</v>
      </c>
      <c r="DC106">
        <v>0.90249999999999997</v>
      </c>
      <c r="DD106">
        <v>0.91500000000000004</v>
      </c>
      <c r="DE106">
        <v>0.89</v>
      </c>
      <c r="DI106">
        <v>0.97750000000000004</v>
      </c>
      <c r="DN106" s="332">
        <v>2.8499999999999999E-4</v>
      </c>
      <c r="DO106" s="332">
        <v>2.0000000000000001E-4</v>
      </c>
      <c r="DP106" s="332">
        <v>0</v>
      </c>
      <c r="DQ106" s="332">
        <v>1E-4</v>
      </c>
      <c r="DR106" s="332">
        <v>0</v>
      </c>
      <c r="DS106" s="332">
        <v>3.5999999999999999E-3</v>
      </c>
      <c r="DT106" s="332">
        <v>4.6999999999999999E-4</v>
      </c>
      <c r="DU106" s="332">
        <v>6.9999999999999999E-4</v>
      </c>
      <c r="DV106" s="332">
        <v>0</v>
      </c>
      <c r="DW106" s="332">
        <v>0</v>
      </c>
      <c r="DX106" s="332">
        <v>5.0000000000000001E-4</v>
      </c>
      <c r="DY106" s="332">
        <v>5.0000000000000001E-4</v>
      </c>
      <c r="DZ106" s="332">
        <v>2.9999999999999997E-4</v>
      </c>
      <c r="EA106" s="332">
        <v>2.7500000000000002E-4</v>
      </c>
      <c r="EB106" s="332">
        <v>4.0000000000000002E-4</v>
      </c>
      <c r="ED106" s="332">
        <v>6.4999999999999994E-5</v>
      </c>
      <c r="EF106">
        <v>1</v>
      </c>
    </row>
    <row r="107" spans="1:136" x14ac:dyDescent="0.25">
      <c r="A107" s="66">
        <v>39630</v>
      </c>
      <c r="B107">
        <v>0.98</v>
      </c>
      <c r="C107">
        <v>0.98799999999999999</v>
      </c>
      <c r="D107">
        <v>0.96</v>
      </c>
      <c r="E107">
        <f t="shared" si="12"/>
        <v>0.97799999999999998</v>
      </c>
      <c r="F107">
        <v>0.97699999999999998</v>
      </c>
      <c r="G107">
        <v>0.90651000000000004</v>
      </c>
      <c r="H107">
        <v>0.98750000000000004</v>
      </c>
      <c r="I107">
        <v>0.98750000000000004</v>
      </c>
      <c r="J107">
        <v>0.99990000000000001</v>
      </c>
      <c r="K107">
        <v>0.98499999999999999</v>
      </c>
      <c r="L107" s="333">
        <v>0.98750000000000004</v>
      </c>
      <c r="M107" s="333">
        <v>0.98750000000000004</v>
      </c>
      <c r="N107">
        <v>0.98</v>
      </c>
      <c r="O107">
        <v>0.97613422500000002</v>
      </c>
      <c r="P107">
        <v>0.98</v>
      </c>
      <c r="Q107" s="328">
        <v>0.98750000000000004</v>
      </c>
      <c r="R107">
        <v>0.98750000000000004</v>
      </c>
      <c r="S107" s="333">
        <v>0.98750000000000004</v>
      </c>
      <c r="T107">
        <v>0.98</v>
      </c>
      <c r="U107">
        <v>0.98</v>
      </c>
      <c r="V107">
        <v>0.98</v>
      </c>
      <c r="W107">
        <v>0.98</v>
      </c>
      <c r="X107">
        <v>0.97613422500000002</v>
      </c>
      <c r="Y107">
        <v>0.97613422500000002</v>
      </c>
      <c r="Z107">
        <v>0.97613422500000002</v>
      </c>
      <c r="AA107">
        <v>0.97613422500000002</v>
      </c>
      <c r="AB107">
        <v>0.98</v>
      </c>
      <c r="AC107">
        <v>0.98</v>
      </c>
      <c r="AD107">
        <v>0.97613422500000002</v>
      </c>
      <c r="AE107">
        <v>0.97613422500000002</v>
      </c>
      <c r="AF107">
        <v>0.98</v>
      </c>
      <c r="AG107">
        <v>0.99</v>
      </c>
      <c r="AH107">
        <v>0.97700195000000001</v>
      </c>
      <c r="AI107">
        <v>0.97700195000000001</v>
      </c>
      <c r="AJ107">
        <v>0.98</v>
      </c>
      <c r="AK107">
        <v>1</v>
      </c>
      <c r="AL107">
        <v>0.98499999999999999</v>
      </c>
      <c r="AM107">
        <v>0.98499999999999999</v>
      </c>
      <c r="AS107">
        <v>0.97699999999999998</v>
      </c>
      <c r="AT107" s="328">
        <v>0.97750000000000004</v>
      </c>
      <c r="AU107">
        <v>0.97700195000000001</v>
      </c>
      <c r="AV107">
        <v>0.98499999999999999</v>
      </c>
      <c r="AW107">
        <v>0.98499999999999999</v>
      </c>
      <c r="AX107">
        <v>0.98499999999999999</v>
      </c>
      <c r="AY107">
        <v>0.97700195000000001</v>
      </c>
      <c r="AZ107">
        <v>0.97700195000000001</v>
      </c>
      <c r="BA107">
        <v>0.98499999999999999</v>
      </c>
      <c r="BB107" s="446">
        <v>1</v>
      </c>
      <c r="BC107">
        <v>1</v>
      </c>
      <c r="BD107">
        <v>1</v>
      </c>
      <c r="BE107">
        <v>1</v>
      </c>
      <c r="BF107">
        <v>0.99990000000000001</v>
      </c>
      <c r="BG107">
        <v>1</v>
      </c>
      <c r="BH107">
        <v>1</v>
      </c>
      <c r="BI107">
        <v>0.99</v>
      </c>
      <c r="BJ107">
        <v>0.999</v>
      </c>
      <c r="BK107">
        <v>0.998</v>
      </c>
      <c r="BL107">
        <v>0.99850000000000005</v>
      </c>
      <c r="BM107">
        <v>0.99850000000000005</v>
      </c>
      <c r="BN107">
        <v>0.97199999999999998</v>
      </c>
      <c r="BO107">
        <v>0.99990000000000001</v>
      </c>
      <c r="BP107">
        <v>0.99990000000000001</v>
      </c>
      <c r="BQ107">
        <v>1</v>
      </c>
      <c r="BR107">
        <v>1.0929325999999999</v>
      </c>
      <c r="BS107">
        <v>1.1093999999999999</v>
      </c>
      <c r="BT107">
        <v>1.0827</v>
      </c>
      <c r="BU107">
        <v>1.0149999999999999</v>
      </c>
      <c r="BV107">
        <v>1</v>
      </c>
      <c r="BW107">
        <v>2.2109999999999999</v>
      </c>
      <c r="BX107">
        <v>2.279566333</v>
      </c>
      <c r="BY107">
        <v>1.08995</v>
      </c>
      <c r="BZ107">
        <v>1.2885</v>
      </c>
      <c r="CA107">
        <v>2.0009999999999999</v>
      </c>
      <c r="CB107">
        <v>1.5155050000000001</v>
      </c>
      <c r="CC107">
        <v>1.5155050000000001</v>
      </c>
      <c r="CD107">
        <v>1.262805</v>
      </c>
      <c r="CE107">
        <v>1.0756300000000001</v>
      </c>
      <c r="CF107">
        <v>1.4266049999999999</v>
      </c>
      <c r="CG107" s="332"/>
      <c r="CH107">
        <v>1.097755</v>
      </c>
      <c r="CI107" s="332"/>
      <c r="CJ107" s="332"/>
      <c r="CK107" s="332"/>
      <c r="CL107" s="332"/>
      <c r="CM107" s="332"/>
      <c r="CN107" s="332"/>
      <c r="CO107" s="332"/>
      <c r="CP107">
        <v>0.97499999999999998</v>
      </c>
      <c r="CQ107">
        <v>0.91</v>
      </c>
      <c r="CR107">
        <v>0.91</v>
      </c>
      <c r="CS107">
        <v>0.97</v>
      </c>
      <c r="CT107">
        <v>0.99895</v>
      </c>
      <c r="CU107">
        <v>0.41</v>
      </c>
      <c r="CV107">
        <v>0.47</v>
      </c>
      <c r="CW107">
        <v>0.93500000000000005</v>
      </c>
      <c r="CX107">
        <v>0.66500000000000004</v>
      </c>
      <c r="CY107">
        <v>0.72499999999999998</v>
      </c>
      <c r="CZ107">
        <v>0.87749999999999995</v>
      </c>
      <c r="DA107">
        <v>0.91</v>
      </c>
      <c r="DB107">
        <v>0.89</v>
      </c>
      <c r="DC107">
        <v>0.90749999999999997</v>
      </c>
      <c r="DD107">
        <v>0.91500000000000004</v>
      </c>
      <c r="DE107">
        <v>0.89</v>
      </c>
      <c r="DI107">
        <v>0.97750000000000004</v>
      </c>
      <c r="DN107" s="332">
        <v>2.8499999999999999E-4</v>
      </c>
      <c r="DO107" s="332">
        <v>2.0000000000000001E-4</v>
      </c>
      <c r="DP107" s="332">
        <v>0</v>
      </c>
      <c r="DQ107" s="332">
        <v>1E-4</v>
      </c>
      <c r="DR107" s="332">
        <v>0</v>
      </c>
      <c r="DS107" s="332">
        <v>3.5999999999999999E-3</v>
      </c>
      <c r="DT107" s="332">
        <v>4.6999999999999999E-4</v>
      </c>
      <c r="DU107" s="332">
        <v>6.9999999999999999E-4</v>
      </c>
      <c r="DV107" s="332">
        <v>0</v>
      </c>
      <c r="DW107" s="332">
        <v>0</v>
      </c>
      <c r="DX107" s="332">
        <v>5.0000000000000001E-4</v>
      </c>
      <c r="DY107" s="332">
        <v>5.0000000000000001E-4</v>
      </c>
      <c r="DZ107" s="332">
        <v>2.9999999999999997E-4</v>
      </c>
      <c r="EA107" s="332">
        <v>2.7500000000000002E-4</v>
      </c>
      <c r="EB107" s="332">
        <v>4.0000000000000002E-4</v>
      </c>
      <c r="ED107" s="332">
        <v>6.4999999999999994E-5</v>
      </c>
      <c r="EF107">
        <v>1</v>
      </c>
    </row>
    <row r="108" spans="1:136" x14ac:dyDescent="0.25">
      <c r="A108" s="66">
        <v>39661</v>
      </c>
      <c r="B108">
        <v>0.98</v>
      </c>
      <c r="C108">
        <v>0.98799999999999999</v>
      </c>
      <c r="D108">
        <v>0.96</v>
      </c>
      <c r="E108">
        <f t="shared" si="12"/>
        <v>0.97799999999999998</v>
      </c>
      <c r="F108">
        <v>0.97699999999999998</v>
      </c>
      <c r="G108">
        <v>0.95227799999999996</v>
      </c>
      <c r="H108">
        <v>0.98750000000000004</v>
      </c>
      <c r="I108">
        <v>0.98750000000000004</v>
      </c>
      <c r="J108">
        <v>0.99990000000000001</v>
      </c>
      <c r="K108">
        <v>0.98499999999999999</v>
      </c>
      <c r="L108" s="333">
        <v>0.98750000000000004</v>
      </c>
      <c r="M108" s="333">
        <v>0.98750000000000004</v>
      </c>
      <c r="N108">
        <v>0.98</v>
      </c>
      <c r="O108">
        <v>0.98750000000000004</v>
      </c>
      <c r="P108">
        <v>0.98</v>
      </c>
      <c r="Q108" s="328">
        <v>0.98750000000000004</v>
      </c>
      <c r="R108">
        <v>0.98750000000000004</v>
      </c>
      <c r="S108" s="333">
        <v>0.98750000000000004</v>
      </c>
      <c r="T108">
        <v>0.98</v>
      </c>
      <c r="U108">
        <v>0.98</v>
      </c>
      <c r="V108">
        <v>0.98</v>
      </c>
      <c r="W108">
        <v>0.98</v>
      </c>
      <c r="X108">
        <v>0.98750000000000004</v>
      </c>
      <c r="Y108">
        <v>0.98750000000000004</v>
      </c>
      <c r="Z108">
        <v>0.98750000000000004</v>
      </c>
      <c r="AA108">
        <v>0.98750000000000004</v>
      </c>
      <c r="AB108">
        <v>0.98</v>
      </c>
      <c r="AC108">
        <v>0.98</v>
      </c>
      <c r="AD108">
        <v>0.98750000000000004</v>
      </c>
      <c r="AE108">
        <v>0.98750000000000004</v>
      </c>
      <c r="AF108">
        <v>0.98</v>
      </c>
      <c r="AG108">
        <v>0.99</v>
      </c>
      <c r="AH108">
        <v>0.97705980000000003</v>
      </c>
      <c r="AI108">
        <v>0.97705980000000003</v>
      </c>
      <c r="AJ108">
        <v>0.98</v>
      </c>
      <c r="AK108">
        <v>1</v>
      </c>
      <c r="AL108">
        <v>0.98499999999999999</v>
      </c>
      <c r="AM108">
        <v>0.98499999999999999</v>
      </c>
      <c r="AS108">
        <v>0.97699999999999998</v>
      </c>
      <c r="AT108" s="328">
        <v>0.97750000000000004</v>
      </c>
      <c r="AU108">
        <v>0.97705980000000003</v>
      </c>
      <c r="AV108">
        <v>0.98499999999999999</v>
      </c>
      <c r="AW108">
        <v>0.98499999999999999</v>
      </c>
      <c r="AX108">
        <v>0.98499999999999999</v>
      </c>
      <c r="AY108">
        <v>0.97705980000000003</v>
      </c>
      <c r="AZ108">
        <v>0.97705980000000003</v>
      </c>
      <c r="BA108">
        <v>0.98499999999999999</v>
      </c>
      <c r="BB108" s="446">
        <v>1</v>
      </c>
      <c r="BC108">
        <v>1</v>
      </c>
      <c r="BD108">
        <v>1</v>
      </c>
      <c r="BE108">
        <v>1</v>
      </c>
      <c r="BF108">
        <v>0.99990000000000001</v>
      </c>
      <c r="BG108">
        <v>1</v>
      </c>
      <c r="BH108">
        <v>1</v>
      </c>
      <c r="BI108">
        <v>0.99</v>
      </c>
      <c r="BJ108">
        <v>0.999</v>
      </c>
      <c r="BK108">
        <v>0.998</v>
      </c>
      <c r="BL108">
        <v>0.99850000000000005</v>
      </c>
      <c r="BM108">
        <v>0.99850000000000005</v>
      </c>
      <c r="BN108">
        <v>0.97199999999999998</v>
      </c>
      <c r="BO108">
        <v>0.99990000000000001</v>
      </c>
      <c r="BP108">
        <v>0.99990000000000001</v>
      </c>
      <c r="BQ108">
        <v>1</v>
      </c>
      <c r="BR108">
        <v>1.0932176</v>
      </c>
      <c r="BS108">
        <v>1.1095999999999999</v>
      </c>
      <c r="BT108">
        <v>1.0827</v>
      </c>
      <c r="BU108">
        <v>1.0150999999999999</v>
      </c>
      <c r="BV108">
        <v>1</v>
      </c>
      <c r="BW108">
        <v>2.2145999999999999</v>
      </c>
      <c r="BX108">
        <v>2.280036333</v>
      </c>
      <c r="BY108">
        <v>1.0906499999999999</v>
      </c>
      <c r="BZ108">
        <v>1.2885</v>
      </c>
      <c r="CA108">
        <v>2.0009999999999999</v>
      </c>
      <c r="CB108">
        <v>1.516005</v>
      </c>
      <c r="CC108">
        <v>1.516005</v>
      </c>
      <c r="CD108">
        <v>1.2631049999999999</v>
      </c>
      <c r="CE108">
        <v>1.0759049999999999</v>
      </c>
      <c r="CF108">
        <v>1.4270050000000001</v>
      </c>
      <c r="CG108" s="332"/>
      <c r="CH108">
        <v>1.09782</v>
      </c>
      <c r="CI108" s="332"/>
      <c r="CJ108" s="332"/>
      <c r="CK108" s="332"/>
      <c r="CL108" s="332"/>
      <c r="CM108" s="332"/>
      <c r="CN108" s="332"/>
      <c r="CO108" s="332"/>
      <c r="CP108">
        <v>0.97499999999999998</v>
      </c>
      <c r="CQ108">
        <v>0.91</v>
      </c>
      <c r="CR108">
        <v>0.91</v>
      </c>
      <c r="CS108">
        <v>0.97</v>
      </c>
      <c r="CT108">
        <v>0.99895</v>
      </c>
      <c r="CU108">
        <v>0.43</v>
      </c>
      <c r="CV108">
        <v>0.52</v>
      </c>
      <c r="CW108">
        <v>0.92500000000000004</v>
      </c>
      <c r="CX108">
        <v>0.755</v>
      </c>
      <c r="CY108">
        <v>0.72499999999999998</v>
      </c>
      <c r="CZ108">
        <v>0.89</v>
      </c>
      <c r="DA108">
        <v>0.92249999999999999</v>
      </c>
      <c r="DB108">
        <v>0.91500000000000004</v>
      </c>
      <c r="DC108">
        <v>0.92749999999999999</v>
      </c>
      <c r="DD108">
        <v>0.91500000000000004</v>
      </c>
      <c r="DE108">
        <v>0.89</v>
      </c>
      <c r="DI108">
        <v>0.97750000000000004</v>
      </c>
      <c r="DN108" s="332">
        <v>2.8499999999999999E-4</v>
      </c>
      <c r="DO108" s="332">
        <v>2.0000000000000001E-4</v>
      </c>
      <c r="DP108" s="332">
        <v>0</v>
      </c>
      <c r="DQ108" s="332">
        <v>1E-4</v>
      </c>
      <c r="DR108" s="332">
        <v>0</v>
      </c>
      <c r="DS108" s="332">
        <v>3.5999999999999999E-3</v>
      </c>
      <c r="DT108" s="332">
        <v>4.6999999999999999E-4</v>
      </c>
      <c r="DU108" s="332">
        <v>6.9999999999999999E-4</v>
      </c>
      <c r="DV108" s="332">
        <v>0</v>
      </c>
      <c r="DW108" s="332">
        <v>0</v>
      </c>
      <c r="DX108" s="332">
        <v>5.0000000000000001E-4</v>
      </c>
      <c r="DY108" s="332">
        <v>5.0000000000000001E-4</v>
      </c>
      <c r="DZ108" s="332">
        <v>2.9999999999999997E-4</v>
      </c>
      <c r="EA108" s="332">
        <v>2.7500000000000002E-4</v>
      </c>
      <c r="EB108" s="332">
        <v>4.0000000000000002E-4</v>
      </c>
      <c r="ED108" s="332">
        <v>6.4999999999999994E-5</v>
      </c>
      <c r="EF108">
        <v>1</v>
      </c>
    </row>
    <row r="109" spans="1:136" x14ac:dyDescent="0.25">
      <c r="A109" s="66">
        <v>39692</v>
      </c>
      <c r="B109">
        <v>0.98</v>
      </c>
      <c r="C109">
        <v>0.98799999999999999</v>
      </c>
      <c r="D109">
        <v>0.96</v>
      </c>
      <c r="E109">
        <f t="shared" si="12"/>
        <v>0.97799999999999998</v>
      </c>
      <c r="F109">
        <v>0.97699999999999998</v>
      </c>
      <c r="G109">
        <v>0.98750000000000004</v>
      </c>
      <c r="H109">
        <v>0.98750000000000004</v>
      </c>
      <c r="I109">
        <v>0.98750000000000004</v>
      </c>
      <c r="J109">
        <v>0.99990000000000001</v>
      </c>
      <c r="K109">
        <v>0.98499999999999999</v>
      </c>
      <c r="L109" s="333">
        <v>0.98750000000000004</v>
      </c>
      <c r="M109" s="333">
        <v>0.98750000000000004</v>
      </c>
      <c r="N109">
        <v>0.98</v>
      </c>
      <c r="O109">
        <v>0.98750000000000004</v>
      </c>
      <c r="P109">
        <v>0.98</v>
      </c>
      <c r="Q109" s="328">
        <v>0.98750000000000004</v>
      </c>
      <c r="R109">
        <v>0.98750000000000004</v>
      </c>
      <c r="S109" s="333">
        <v>0.98750000000000004</v>
      </c>
      <c r="T109">
        <v>0.98</v>
      </c>
      <c r="U109">
        <v>0.98</v>
      </c>
      <c r="V109">
        <v>0.98</v>
      </c>
      <c r="W109">
        <v>0.98</v>
      </c>
      <c r="X109">
        <v>0.98750000000000004</v>
      </c>
      <c r="Y109">
        <v>0.98750000000000004</v>
      </c>
      <c r="Z109">
        <v>0.98750000000000004</v>
      </c>
      <c r="AA109">
        <v>0.98750000000000004</v>
      </c>
      <c r="AB109">
        <v>0.98</v>
      </c>
      <c r="AC109">
        <v>0.98</v>
      </c>
      <c r="AD109">
        <v>0.98750000000000004</v>
      </c>
      <c r="AE109">
        <v>0.98750000000000004</v>
      </c>
      <c r="AF109">
        <v>0.98</v>
      </c>
      <c r="AG109">
        <v>0.99</v>
      </c>
      <c r="AH109">
        <v>0.97711764999999995</v>
      </c>
      <c r="AI109">
        <v>0.97711764999999995</v>
      </c>
      <c r="AJ109">
        <v>0.98</v>
      </c>
      <c r="AK109">
        <v>1</v>
      </c>
      <c r="AL109">
        <v>0.98499999999999999</v>
      </c>
      <c r="AM109">
        <v>0.98499999999999999</v>
      </c>
      <c r="AS109">
        <v>0.97699999999999998</v>
      </c>
      <c r="AT109" s="328">
        <v>0.97750000000000004</v>
      </c>
      <c r="AU109">
        <v>0.97711764999999995</v>
      </c>
      <c r="AV109">
        <v>0.98499999999999999</v>
      </c>
      <c r="AW109">
        <v>0.98499999999999999</v>
      </c>
      <c r="AX109">
        <v>0.98499999999999999</v>
      </c>
      <c r="AY109">
        <v>0.97711764999999995</v>
      </c>
      <c r="AZ109">
        <v>0.97711764999999995</v>
      </c>
      <c r="BA109">
        <v>0.98499999999999999</v>
      </c>
      <c r="BB109" s="446">
        <v>1</v>
      </c>
      <c r="BC109">
        <v>1</v>
      </c>
      <c r="BD109">
        <v>1</v>
      </c>
      <c r="BE109">
        <v>1</v>
      </c>
      <c r="BF109">
        <v>0.99990000000000001</v>
      </c>
      <c r="BG109">
        <v>1</v>
      </c>
      <c r="BH109">
        <v>1</v>
      </c>
      <c r="BI109">
        <v>0.99</v>
      </c>
      <c r="BJ109">
        <v>0.999</v>
      </c>
      <c r="BK109">
        <v>0.998</v>
      </c>
      <c r="BL109">
        <v>0.99850000000000005</v>
      </c>
      <c r="BM109">
        <v>0.99850000000000005</v>
      </c>
      <c r="BN109">
        <v>0.97199999999999998</v>
      </c>
      <c r="BO109">
        <v>0.99990000000000001</v>
      </c>
      <c r="BP109">
        <v>0.99990000000000001</v>
      </c>
      <c r="BQ109">
        <v>1</v>
      </c>
      <c r="BR109">
        <v>1.0935026000000001</v>
      </c>
      <c r="BS109">
        <v>1.1097999999999999</v>
      </c>
      <c r="BT109">
        <v>1.0827</v>
      </c>
      <c r="BU109">
        <v>1.0152000000000001</v>
      </c>
      <c r="BV109">
        <v>1</v>
      </c>
      <c r="BW109">
        <v>2.2181999999999999</v>
      </c>
      <c r="BX109">
        <v>2.2805063329999999</v>
      </c>
      <c r="BY109">
        <v>1.09135</v>
      </c>
      <c r="BZ109">
        <v>1.2885</v>
      </c>
      <c r="CA109">
        <v>2.0009999999999999</v>
      </c>
      <c r="CB109">
        <v>1.516505</v>
      </c>
      <c r="CC109">
        <v>1.516505</v>
      </c>
      <c r="CD109">
        <v>1.2634049999999999</v>
      </c>
      <c r="CE109">
        <v>1.0761799999999999</v>
      </c>
      <c r="CF109">
        <v>1.427405</v>
      </c>
      <c r="CG109" s="332"/>
      <c r="CH109">
        <v>1.097885</v>
      </c>
      <c r="CI109" s="332"/>
      <c r="CJ109" s="332"/>
      <c r="CK109" s="332"/>
      <c r="CL109" s="332"/>
      <c r="CM109" s="332"/>
      <c r="CN109" s="332"/>
      <c r="CO109" s="332"/>
      <c r="CP109">
        <v>0.97499999999999998</v>
      </c>
      <c r="CQ109">
        <v>0.91</v>
      </c>
      <c r="CR109">
        <v>0.91</v>
      </c>
      <c r="CS109">
        <v>0.95</v>
      </c>
      <c r="CT109">
        <v>0.99895</v>
      </c>
      <c r="CU109">
        <v>0.46</v>
      </c>
      <c r="CV109">
        <v>0.55000000000000004</v>
      </c>
      <c r="CW109">
        <v>0.92500000000000004</v>
      </c>
      <c r="CX109">
        <v>0.61499999999999999</v>
      </c>
      <c r="CY109">
        <v>0.57499999999999996</v>
      </c>
      <c r="CZ109">
        <v>0.94499999999999995</v>
      </c>
      <c r="DA109">
        <v>0.97750000000000004</v>
      </c>
      <c r="DB109">
        <v>0.94499999999999995</v>
      </c>
      <c r="DC109">
        <v>0.92</v>
      </c>
      <c r="DD109">
        <v>0.91500000000000004</v>
      </c>
      <c r="DE109">
        <v>0.89</v>
      </c>
      <c r="DI109">
        <v>0.97750000000000004</v>
      </c>
      <c r="DN109" s="332">
        <v>2.8499999999999999E-4</v>
      </c>
      <c r="DO109" s="332">
        <v>2.0000000000000001E-4</v>
      </c>
      <c r="DP109" s="332">
        <v>0</v>
      </c>
      <c r="DQ109" s="332">
        <v>1E-4</v>
      </c>
      <c r="DR109" s="332">
        <v>0</v>
      </c>
      <c r="DS109" s="332">
        <v>3.5999999999999999E-3</v>
      </c>
      <c r="DT109" s="332">
        <v>4.6999999999999999E-4</v>
      </c>
      <c r="DU109" s="332">
        <v>6.9999999999999999E-4</v>
      </c>
      <c r="DV109" s="332">
        <v>0</v>
      </c>
      <c r="DW109" s="332">
        <v>0</v>
      </c>
      <c r="DX109" s="332">
        <v>5.0000000000000001E-4</v>
      </c>
      <c r="DY109" s="332">
        <v>5.0000000000000001E-4</v>
      </c>
      <c r="DZ109" s="332">
        <v>2.9999999999999997E-4</v>
      </c>
      <c r="EA109" s="332">
        <v>2.7500000000000002E-4</v>
      </c>
      <c r="EB109" s="332">
        <v>4.0000000000000002E-4</v>
      </c>
      <c r="ED109" s="332">
        <v>6.4999999999999994E-5</v>
      </c>
      <c r="EF109">
        <v>1</v>
      </c>
    </row>
    <row r="110" spans="1:136" x14ac:dyDescent="0.25">
      <c r="A110" s="66">
        <v>39722</v>
      </c>
      <c r="B110">
        <v>0.98</v>
      </c>
      <c r="C110">
        <v>0.98799999999999999</v>
      </c>
      <c r="D110">
        <v>0.96</v>
      </c>
      <c r="E110">
        <f t="shared" si="12"/>
        <v>0.99399999999999999</v>
      </c>
      <c r="F110">
        <v>0.97699999999999998</v>
      </c>
      <c r="G110">
        <v>0.98750000000000004</v>
      </c>
      <c r="H110">
        <v>0.98750000000000004</v>
      </c>
      <c r="I110">
        <v>0.98750000000000004</v>
      </c>
      <c r="J110">
        <v>0.99990000000000001</v>
      </c>
      <c r="K110">
        <v>0.98499999999999999</v>
      </c>
      <c r="L110" s="333">
        <v>0.98750000000000004</v>
      </c>
      <c r="M110" s="333">
        <v>0.98750000000000004</v>
      </c>
      <c r="N110">
        <v>0.98</v>
      </c>
      <c r="O110">
        <v>0.97150063799999997</v>
      </c>
      <c r="P110">
        <v>0.98</v>
      </c>
      <c r="Q110" s="328">
        <v>0.98750000000000004</v>
      </c>
      <c r="R110">
        <v>0.98750000000000004</v>
      </c>
      <c r="S110" s="333">
        <v>0.98750000000000004</v>
      </c>
      <c r="T110">
        <v>0.98</v>
      </c>
      <c r="U110">
        <v>0.98</v>
      </c>
      <c r="V110">
        <v>0.98</v>
      </c>
      <c r="W110">
        <v>0.98</v>
      </c>
      <c r="X110">
        <v>0.97150063799999997</v>
      </c>
      <c r="Y110">
        <v>0.97150063799999997</v>
      </c>
      <c r="Z110">
        <v>0.97150063799999997</v>
      </c>
      <c r="AA110">
        <v>0.97150063799999997</v>
      </c>
      <c r="AB110">
        <v>0.98</v>
      </c>
      <c r="AC110">
        <v>0.98</v>
      </c>
      <c r="AD110">
        <v>0.97150063799999997</v>
      </c>
      <c r="AE110">
        <v>0.97150063799999997</v>
      </c>
      <c r="AF110">
        <v>0.98</v>
      </c>
      <c r="AG110">
        <v>0.99</v>
      </c>
      <c r="AH110">
        <v>0.97717549999999997</v>
      </c>
      <c r="AI110">
        <v>0.97717549999999997</v>
      </c>
      <c r="AJ110">
        <v>0.98</v>
      </c>
      <c r="AK110">
        <v>1</v>
      </c>
      <c r="AL110">
        <v>0.98499999999999999</v>
      </c>
      <c r="AM110">
        <v>0.98499999999999999</v>
      </c>
      <c r="AS110">
        <v>0.97699999999999998</v>
      </c>
      <c r="AT110" s="328">
        <v>0.97750000000000004</v>
      </c>
      <c r="AU110">
        <v>0.97717549999999997</v>
      </c>
      <c r="AV110">
        <v>0.98499999999999999</v>
      </c>
      <c r="AW110">
        <v>0.98499999999999999</v>
      </c>
      <c r="AX110">
        <v>0.98499999999999999</v>
      </c>
      <c r="AY110">
        <v>0.97717549999999997</v>
      </c>
      <c r="AZ110">
        <v>0.97717549999999997</v>
      </c>
      <c r="BA110">
        <v>0.98499999999999999</v>
      </c>
      <c r="BB110" s="446">
        <v>1</v>
      </c>
      <c r="BC110">
        <v>1</v>
      </c>
      <c r="BD110">
        <v>1</v>
      </c>
      <c r="BE110">
        <v>1</v>
      </c>
      <c r="BF110">
        <v>0.99990000000000001</v>
      </c>
      <c r="BG110">
        <v>1</v>
      </c>
      <c r="BH110">
        <v>1</v>
      </c>
      <c r="BI110">
        <v>0.99</v>
      </c>
      <c r="BJ110">
        <v>0.999</v>
      </c>
      <c r="BK110">
        <v>0.998</v>
      </c>
      <c r="BL110">
        <v>0.99850000000000005</v>
      </c>
      <c r="BM110">
        <v>0.99850000000000005</v>
      </c>
      <c r="BN110">
        <v>0.97199999999999998</v>
      </c>
      <c r="BO110">
        <v>0.99990000000000001</v>
      </c>
      <c r="BP110">
        <v>0.99990000000000001</v>
      </c>
      <c r="BQ110">
        <v>1</v>
      </c>
      <c r="BR110">
        <v>1.0937876</v>
      </c>
      <c r="BS110">
        <v>1.1100000000000001</v>
      </c>
      <c r="BT110">
        <v>1.0827</v>
      </c>
      <c r="BU110">
        <v>1.0153000000000001</v>
      </c>
      <c r="BV110">
        <v>1</v>
      </c>
      <c r="BW110">
        <v>2.2218</v>
      </c>
      <c r="BX110">
        <v>2.2809763329999999</v>
      </c>
      <c r="BY110">
        <v>1.09205</v>
      </c>
      <c r="BZ110">
        <v>1.2885</v>
      </c>
      <c r="CA110">
        <v>2.0009999999999999</v>
      </c>
      <c r="CB110">
        <v>1.5170049999999999</v>
      </c>
      <c r="CC110">
        <v>1.5170049999999999</v>
      </c>
      <c r="CD110">
        <v>1.2637050000000001</v>
      </c>
      <c r="CE110">
        <v>1.0764549999999999</v>
      </c>
      <c r="CF110">
        <v>1.427805</v>
      </c>
      <c r="CG110" s="332"/>
      <c r="CH110">
        <v>1.09795</v>
      </c>
      <c r="CI110" s="332"/>
      <c r="CJ110" s="332"/>
      <c r="CK110" s="332"/>
      <c r="CL110" s="332"/>
      <c r="CM110" s="332"/>
      <c r="CN110" s="332"/>
      <c r="CO110" s="332"/>
      <c r="CP110">
        <v>0.95499999999999996</v>
      </c>
      <c r="CQ110">
        <v>0.9</v>
      </c>
      <c r="CR110">
        <v>0.91</v>
      </c>
      <c r="CS110">
        <v>0.94</v>
      </c>
      <c r="CT110">
        <v>0.99895</v>
      </c>
      <c r="CU110">
        <v>0.46</v>
      </c>
      <c r="CV110">
        <v>0.45</v>
      </c>
      <c r="CW110">
        <v>0.92500000000000004</v>
      </c>
      <c r="CX110">
        <v>0.60499999999999998</v>
      </c>
      <c r="CY110">
        <v>0.505</v>
      </c>
      <c r="CZ110">
        <v>0.80500000000000005</v>
      </c>
      <c r="DA110">
        <v>0.83750000000000002</v>
      </c>
      <c r="DB110">
        <v>0.875</v>
      </c>
      <c r="DC110">
        <v>0.90249999999999997</v>
      </c>
      <c r="DD110">
        <v>0.82</v>
      </c>
      <c r="DE110">
        <v>0.89</v>
      </c>
      <c r="DI110">
        <v>0.97750000000000004</v>
      </c>
      <c r="DN110" s="332">
        <v>2.8499999999999999E-4</v>
      </c>
      <c r="DO110" s="332">
        <v>2.0000000000000001E-4</v>
      </c>
      <c r="DP110" s="332">
        <v>0</v>
      </c>
      <c r="DQ110" s="332">
        <v>1E-4</v>
      </c>
      <c r="DR110" s="332">
        <v>0</v>
      </c>
      <c r="DS110" s="332">
        <v>3.5999999999999999E-3</v>
      </c>
      <c r="DT110" s="332">
        <v>4.6999999999999999E-4</v>
      </c>
      <c r="DU110" s="332">
        <v>6.9999999999999999E-4</v>
      </c>
      <c r="DV110" s="332">
        <v>0</v>
      </c>
      <c r="DW110" s="332">
        <v>0</v>
      </c>
      <c r="DX110" s="332">
        <v>5.0000000000000001E-4</v>
      </c>
      <c r="DY110" s="332">
        <v>5.0000000000000001E-4</v>
      </c>
      <c r="DZ110" s="332">
        <v>2.9999999999999997E-4</v>
      </c>
      <c r="EA110" s="332">
        <v>2.7500000000000002E-4</v>
      </c>
      <c r="EB110" s="332">
        <v>4.0000000000000002E-4</v>
      </c>
      <c r="ED110" s="332">
        <v>6.4999999999999994E-5</v>
      </c>
      <c r="EF110">
        <v>1</v>
      </c>
    </row>
    <row r="111" spans="1:136" x14ac:dyDescent="0.25">
      <c r="A111" s="66">
        <v>39753</v>
      </c>
      <c r="B111">
        <v>0.98</v>
      </c>
      <c r="C111">
        <v>0.98799999999999999</v>
      </c>
      <c r="D111">
        <v>0.96</v>
      </c>
      <c r="E111">
        <f t="shared" ref="E111:E116" si="13">E99</f>
        <v>0.99399999999999999</v>
      </c>
      <c r="F111">
        <v>0.97699999999999998</v>
      </c>
      <c r="G111">
        <v>0.98750000000000004</v>
      </c>
      <c r="H111">
        <v>0.98750000000000004</v>
      </c>
      <c r="I111">
        <v>0.98750000000000004</v>
      </c>
      <c r="J111">
        <v>0.98050000000000004</v>
      </c>
      <c r="K111">
        <v>0.97048500000000004</v>
      </c>
      <c r="L111" s="333">
        <v>0.98750000000000004</v>
      </c>
      <c r="M111" s="333">
        <v>0.98750000000000004</v>
      </c>
      <c r="N111">
        <v>0.98</v>
      </c>
      <c r="O111">
        <v>0.97174882500000004</v>
      </c>
      <c r="P111">
        <v>0.98</v>
      </c>
      <c r="Q111" s="328">
        <v>0.98750000000000004</v>
      </c>
      <c r="R111">
        <v>0.98750000000000004</v>
      </c>
      <c r="S111" s="333">
        <v>0.98750000000000004</v>
      </c>
      <c r="T111">
        <v>0.98</v>
      </c>
      <c r="U111">
        <v>0.98</v>
      </c>
      <c r="V111">
        <v>0.98</v>
      </c>
      <c r="W111">
        <v>0.98</v>
      </c>
      <c r="X111">
        <v>0.97174882500000004</v>
      </c>
      <c r="Y111">
        <v>0.97174882500000004</v>
      </c>
      <c r="Z111">
        <v>0.97174882500000004</v>
      </c>
      <c r="AA111">
        <v>0.97174882500000004</v>
      </c>
      <c r="AB111">
        <v>0.98</v>
      </c>
      <c r="AC111">
        <v>0.98</v>
      </c>
      <c r="AD111">
        <v>0.97174882500000004</v>
      </c>
      <c r="AE111">
        <v>0.97174882500000004</v>
      </c>
      <c r="AF111">
        <v>0.98</v>
      </c>
      <c r="AG111">
        <v>0.99</v>
      </c>
      <c r="AH111">
        <v>0.97723335</v>
      </c>
      <c r="AI111">
        <v>0.97723335</v>
      </c>
      <c r="AJ111">
        <v>0.98</v>
      </c>
      <c r="AK111">
        <v>1</v>
      </c>
      <c r="AL111">
        <v>0.97048500000000004</v>
      </c>
      <c r="AM111">
        <v>0.97443000000000002</v>
      </c>
      <c r="AS111">
        <v>0.97699999999999998</v>
      </c>
      <c r="AT111" s="328">
        <v>0.97750000000000004</v>
      </c>
      <c r="AU111">
        <v>0.97723335</v>
      </c>
      <c r="AV111">
        <v>0.97443000000000002</v>
      </c>
      <c r="AW111">
        <v>0.97443000000000002</v>
      </c>
      <c r="AX111">
        <v>0.97443000000000002</v>
      </c>
      <c r="AY111">
        <v>0.97723335</v>
      </c>
      <c r="AZ111">
        <v>0.97723335</v>
      </c>
      <c r="BA111">
        <v>0.97443000000000002</v>
      </c>
      <c r="BB111" s="446">
        <v>1</v>
      </c>
      <c r="BC111">
        <v>1</v>
      </c>
      <c r="BD111">
        <v>1</v>
      </c>
      <c r="BE111">
        <v>1</v>
      </c>
      <c r="BF111">
        <v>0.99990000000000001</v>
      </c>
      <c r="BG111">
        <v>1</v>
      </c>
      <c r="BH111">
        <v>1</v>
      </c>
      <c r="BI111">
        <v>0.99</v>
      </c>
      <c r="BJ111">
        <v>0.999</v>
      </c>
      <c r="BK111">
        <v>0.998</v>
      </c>
      <c r="BL111">
        <v>0.99850000000000005</v>
      </c>
      <c r="BM111">
        <v>0.99850000000000005</v>
      </c>
      <c r="BN111">
        <v>0.97199999999999998</v>
      </c>
      <c r="BO111">
        <v>0.99990000000000001</v>
      </c>
      <c r="BP111">
        <v>0.99990000000000001</v>
      </c>
      <c r="BQ111">
        <v>1</v>
      </c>
      <c r="BR111">
        <v>1.0940726000000001</v>
      </c>
      <c r="BS111">
        <v>1.1102000000000001</v>
      </c>
      <c r="BT111">
        <v>1.0827</v>
      </c>
      <c r="BU111">
        <v>1.0154000000000001</v>
      </c>
      <c r="BV111">
        <v>1</v>
      </c>
      <c r="BW111">
        <v>2.2254</v>
      </c>
      <c r="BX111">
        <v>2.2814463329999999</v>
      </c>
      <c r="BY111">
        <v>1.0927500000000001</v>
      </c>
      <c r="BZ111">
        <v>1.2885</v>
      </c>
      <c r="CA111">
        <v>2.0009999999999999</v>
      </c>
      <c r="CB111">
        <v>1.5175050000000001</v>
      </c>
      <c r="CC111">
        <v>1.5175050000000001</v>
      </c>
      <c r="CD111">
        <v>1.264005</v>
      </c>
      <c r="CE111">
        <v>1.07673</v>
      </c>
      <c r="CF111">
        <v>1.4282049999999999</v>
      </c>
      <c r="CG111" s="332"/>
      <c r="CH111">
        <v>1.098015</v>
      </c>
      <c r="CI111" s="332"/>
      <c r="CJ111" s="332"/>
      <c r="CK111" s="332"/>
      <c r="CL111" s="332"/>
      <c r="CM111" s="332"/>
      <c r="CN111" s="332"/>
      <c r="CO111" s="332"/>
      <c r="CP111">
        <v>0.95499999999999996</v>
      </c>
      <c r="CQ111">
        <v>0.9</v>
      </c>
      <c r="CR111">
        <v>0.9</v>
      </c>
      <c r="CS111">
        <v>0.94</v>
      </c>
      <c r="CT111">
        <v>0.999</v>
      </c>
      <c r="CU111">
        <v>0.48</v>
      </c>
      <c r="CV111">
        <v>0.46</v>
      </c>
      <c r="CW111">
        <v>0.90500000000000003</v>
      </c>
      <c r="CX111">
        <v>0.56499999999999995</v>
      </c>
      <c r="CY111">
        <v>0.48499999999999999</v>
      </c>
      <c r="CZ111">
        <v>0.79500000000000004</v>
      </c>
      <c r="DA111">
        <v>0.82750000000000001</v>
      </c>
      <c r="DB111">
        <v>0.85</v>
      </c>
      <c r="DC111">
        <v>0.90249999999999997</v>
      </c>
      <c r="DD111">
        <v>0.82</v>
      </c>
      <c r="DE111">
        <v>0.89</v>
      </c>
      <c r="DI111">
        <v>0.97750000000000004</v>
      </c>
      <c r="DN111" s="332">
        <v>2.8499999999999999E-4</v>
      </c>
      <c r="DO111" s="332">
        <v>2.0000000000000001E-4</v>
      </c>
      <c r="DP111" s="332">
        <v>0</v>
      </c>
      <c r="DQ111" s="332">
        <v>1E-4</v>
      </c>
      <c r="DR111" s="332">
        <v>0</v>
      </c>
      <c r="DS111" s="332">
        <v>3.5999999999999999E-3</v>
      </c>
      <c r="DT111" s="332">
        <v>4.6999999999999999E-4</v>
      </c>
      <c r="DU111" s="332">
        <v>6.9999999999999999E-4</v>
      </c>
      <c r="DV111" s="332">
        <v>0</v>
      </c>
      <c r="DW111" s="332">
        <v>0</v>
      </c>
      <c r="DX111" s="332">
        <v>5.0000000000000001E-4</v>
      </c>
      <c r="DY111" s="332">
        <v>5.0000000000000001E-4</v>
      </c>
      <c r="DZ111" s="332">
        <v>2.9999999999999997E-4</v>
      </c>
      <c r="EA111" s="332">
        <v>2.7500000000000002E-4</v>
      </c>
      <c r="EB111" s="332">
        <v>4.0000000000000002E-4</v>
      </c>
      <c r="ED111" s="332">
        <v>6.4999999999999994E-5</v>
      </c>
      <c r="EF111">
        <v>1</v>
      </c>
    </row>
    <row r="112" spans="1:136" x14ac:dyDescent="0.25">
      <c r="A112" s="66">
        <v>39783</v>
      </c>
      <c r="B112">
        <v>0.98</v>
      </c>
      <c r="C112">
        <v>0.98799999999999999</v>
      </c>
      <c r="D112">
        <v>0.96</v>
      </c>
      <c r="E112">
        <f t="shared" si="13"/>
        <v>0.99399999999999999</v>
      </c>
      <c r="F112">
        <v>0.97699999999999998</v>
      </c>
      <c r="G112">
        <v>0.98750000000000004</v>
      </c>
      <c r="H112">
        <v>0.98750000000000004</v>
      </c>
      <c r="I112">
        <v>0.95676874999999995</v>
      </c>
      <c r="J112">
        <v>0.98050000000000004</v>
      </c>
      <c r="K112">
        <v>0.97048500000000004</v>
      </c>
      <c r="L112" s="333">
        <v>0.89562295000000003</v>
      </c>
      <c r="M112" s="333">
        <v>0.94495811200000002</v>
      </c>
      <c r="N112">
        <v>0.87237045000000002</v>
      </c>
      <c r="O112">
        <v>0.96122696299999999</v>
      </c>
      <c r="P112">
        <v>0.87237045000000002</v>
      </c>
      <c r="Q112" s="328">
        <v>0.89562295000000003</v>
      </c>
      <c r="R112">
        <v>0.89562295000000003</v>
      </c>
      <c r="S112" s="333">
        <v>0.89562295000000003</v>
      </c>
      <c r="T112">
        <v>0.87237045000000002</v>
      </c>
      <c r="U112">
        <v>0.87237045000000002</v>
      </c>
      <c r="V112">
        <v>0.87237045000000002</v>
      </c>
      <c r="W112">
        <v>0.87237045000000002</v>
      </c>
      <c r="X112">
        <v>0.96122696299999999</v>
      </c>
      <c r="Y112">
        <v>0.96122696299999999</v>
      </c>
      <c r="Z112">
        <v>0.96122696299999999</v>
      </c>
      <c r="AA112">
        <v>0.96122696299999999</v>
      </c>
      <c r="AB112">
        <v>0.87237045000000002</v>
      </c>
      <c r="AC112">
        <v>0.87237045000000002</v>
      </c>
      <c r="AD112">
        <v>0.96122696299999999</v>
      </c>
      <c r="AE112">
        <v>0.96122696299999999</v>
      </c>
      <c r="AF112">
        <v>0.87237045000000002</v>
      </c>
      <c r="AG112">
        <v>0.98</v>
      </c>
      <c r="AH112">
        <v>0.97729120000000003</v>
      </c>
      <c r="AI112">
        <v>0.97729120000000003</v>
      </c>
      <c r="AJ112">
        <v>0.87237045000000002</v>
      </c>
      <c r="AK112">
        <v>1</v>
      </c>
      <c r="AL112">
        <v>0.97048500000000004</v>
      </c>
      <c r="AM112">
        <v>0.95277599999999996</v>
      </c>
      <c r="AS112">
        <v>0.97699999999999998</v>
      </c>
      <c r="AT112" s="328">
        <v>0.97750000000000004</v>
      </c>
      <c r="AU112">
        <v>0.97729120000000003</v>
      </c>
      <c r="AV112">
        <v>0.95277599999999996</v>
      </c>
      <c r="AW112">
        <v>0.95277599999999996</v>
      </c>
      <c r="AX112">
        <v>0.95277599999999996</v>
      </c>
      <c r="AY112">
        <v>0.97729120000000003</v>
      </c>
      <c r="AZ112">
        <v>0.97729120000000003</v>
      </c>
      <c r="BA112">
        <v>0.95277599999999996</v>
      </c>
      <c r="BB112" s="446">
        <v>1</v>
      </c>
      <c r="BC112">
        <v>1</v>
      </c>
      <c r="BD112">
        <v>1</v>
      </c>
      <c r="BE112">
        <v>1</v>
      </c>
      <c r="BF112">
        <v>0.99990000000000001</v>
      </c>
      <c r="BG112">
        <v>1</v>
      </c>
      <c r="BH112">
        <v>1</v>
      </c>
      <c r="BI112">
        <v>0.99</v>
      </c>
      <c r="BJ112">
        <v>0.999</v>
      </c>
      <c r="BK112">
        <v>0.998</v>
      </c>
      <c r="BL112">
        <v>0.99850000000000005</v>
      </c>
      <c r="BM112">
        <v>0.99850000000000005</v>
      </c>
      <c r="BN112">
        <v>0.97199999999999998</v>
      </c>
      <c r="BO112">
        <v>0.99990000000000001</v>
      </c>
      <c r="BP112">
        <v>0.99990000000000001</v>
      </c>
      <c r="BQ112">
        <v>1</v>
      </c>
      <c r="BR112">
        <v>1.0943575999999999</v>
      </c>
      <c r="BS112">
        <v>1.1104000000000001</v>
      </c>
      <c r="BT112">
        <v>1.0827</v>
      </c>
      <c r="BU112">
        <v>1.0155000000000001</v>
      </c>
      <c r="BV112">
        <v>1</v>
      </c>
      <c r="BW112">
        <v>2.2290000000000001</v>
      </c>
      <c r="BX112">
        <v>2.2819163329999999</v>
      </c>
      <c r="BY112">
        <v>1.09345</v>
      </c>
      <c r="BZ112">
        <v>1.2885</v>
      </c>
      <c r="CA112">
        <v>2.0009999999999999</v>
      </c>
      <c r="CB112">
        <v>1.518005</v>
      </c>
      <c r="CC112">
        <v>1.518005</v>
      </c>
      <c r="CD112">
        <v>1.264305</v>
      </c>
      <c r="CE112">
        <v>1.077005</v>
      </c>
      <c r="CF112">
        <v>1.4286049999999999</v>
      </c>
      <c r="CG112" s="332"/>
      <c r="CH112">
        <v>1.0980799999999999</v>
      </c>
      <c r="CI112" s="332"/>
      <c r="CJ112" s="332"/>
      <c r="CK112" s="332"/>
      <c r="CL112" s="332"/>
      <c r="CM112" s="332"/>
      <c r="CN112" s="332"/>
      <c r="CO112" s="332"/>
      <c r="CP112">
        <v>0.93500000000000005</v>
      </c>
      <c r="CQ112">
        <v>0.89</v>
      </c>
      <c r="CR112">
        <v>0.88</v>
      </c>
      <c r="CS112">
        <v>0.92</v>
      </c>
      <c r="CT112">
        <v>0.999</v>
      </c>
      <c r="CU112">
        <v>0.51</v>
      </c>
      <c r="CV112">
        <v>0.48</v>
      </c>
      <c r="CW112">
        <v>0.875</v>
      </c>
      <c r="CX112">
        <v>0.56999999999999995</v>
      </c>
      <c r="CY112">
        <v>0.48499999999999999</v>
      </c>
      <c r="CZ112">
        <v>0.59</v>
      </c>
      <c r="DA112">
        <v>0.62250000000000005</v>
      </c>
      <c r="DB112">
        <v>0.69</v>
      </c>
      <c r="DC112">
        <v>0.89249999999999996</v>
      </c>
      <c r="DD112">
        <v>0.71499999999999997</v>
      </c>
      <c r="DE112">
        <v>0.89</v>
      </c>
      <c r="DI112">
        <v>0.97750000000000004</v>
      </c>
      <c r="DN112" s="332">
        <v>2.8499999999999999E-4</v>
      </c>
      <c r="DO112" s="332">
        <v>2.0000000000000001E-4</v>
      </c>
      <c r="DP112" s="332">
        <v>0</v>
      </c>
      <c r="DQ112" s="332">
        <v>1E-4</v>
      </c>
      <c r="DR112" s="332">
        <v>0</v>
      </c>
      <c r="DS112" s="332">
        <v>3.5999999999999999E-3</v>
      </c>
      <c r="DT112" s="332">
        <v>4.6999999999999999E-4</v>
      </c>
      <c r="DU112" s="332">
        <v>6.9999999999999999E-4</v>
      </c>
      <c r="DV112" s="332">
        <v>0</v>
      </c>
      <c r="DW112" s="332">
        <v>0</v>
      </c>
      <c r="DX112" s="332">
        <v>5.0000000000000001E-4</v>
      </c>
      <c r="DY112" s="332">
        <v>5.0000000000000001E-4</v>
      </c>
      <c r="DZ112" s="332">
        <v>2.9999999999999997E-4</v>
      </c>
      <c r="EA112" s="332">
        <v>2.7500000000000002E-4</v>
      </c>
      <c r="EB112" s="332">
        <v>4.0000000000000002E-4</v>
      </c>
      <c r="ED112" s="332">
        <v>6.4999999999999994E-5</v>
      </c>
      <c r="EF112">
        <v>1</v>
      </c>
    </row>
    <row r="113" spans="1:136" x14ac:dyDescent="0.25">
      <c r="A113" s="66">
        <v>39814</v>
      </c>
      <c r="B113">
        <v>0.98</v>
      </c>
      <c r="C113">
        <v>0.95511599999999997</v>
      </c>
      <c r="D113">
        <v>0.96</v>
      </c>
      <c r="E113">
        <f t="shared" si="13"/>
        <v>0.99399999999999999</v>
      </c>
      <c r="F113">
        <v>0.97699999999999998</v>
      </c>
      <c r="G113">
        <v>0.98750000000000004</v>
      </c>
      <c r="H113">
        <v>0.98750000000000004</v>
      </c>
      <c r="I113">
        <v>0.88079074999999996</v>
      </c>
      <c r="J113">
        <v>0.98050000000000004</v>
      </c>
      <c r="K113">
        <v>0.98499999999999999</v>
      </c>
      <c r="L113" s="333">
        <v>0.91869552499999996</v>
      </c>
      <c r="M113" s="333">
        <v>0.968046937</v>
      </c>
      <c r="N113">
        <v>0.87257744999999998</v>
      </c>
      <c r="O113">
        <v>0.94800640000000003</v>
      </c>
      <c r="P113">
        <v>0.87257744999999998</v>
      </c>
      <c r="Q113" s="328">
        <v>0.91869552499999996</v>
      </c>
      <c r="R113">
        <v>0.91869552499999996</v>
      </c>
      <c r="S113" s="333">
        <v>0.91869552499999996</v>
      </c>
      <c r="T113">
        <v>0.87257744999999998</v>
      </c>
      <c r="U113">
        <v>0.87257744999999998</v>
      </c>
      <c r="V113">
        <v>0.87257744999999998</v>
      </c>
      <c r="W113">
        <v>0.87257744999999998</v>
      </c>
      <c r="X113">
        <v>0.94800640000000003</v>
      </c>
      <c r="Y113">
        <v>0.94800640000000003</v>
      </c>
      <c r="Z113">
        <v>0.94800640000000003</v>
      </c>
      <c r="AA113">
        <v>0.94800640000000003</v>
      </c>
      <c r="AB113">
        <v>0.87257744999999998</v>
      </c>
      <c r="AC113">
        <v>0.87257744999999998</v>
      </c>
      <c r="AD113">
        <v>0.94800640000000003</v>
      </c>
      <c r="AE113">
        <v>0.94800640000000003</v>
      </c>
      <c r="AF113">
        <v>0.87257744999999998</v>
      </c>
      <c r="AG113">
        <v>0.98</v>
      </c>
      <c r="AH113">
        <v>0.97734905000000005</v>
      </c>
      <c r="AI113">
        <v>0.97734905000000005</v>
      </c>
      <c r="AJ113">
        <v>0.87257744999999998</v>
      </c>
      <c r="AK113">
        <v>1</v>
      </c>
      <c r="AL113">
        <v>0.98499999999999999</v>
      </c>
      <c r="AM113">
        <v>0.94194900000000004</v>
      </c>
      <c r="AS113">
        <v>0.97699999999999998</v>
      </c>
      <c r="AT113" s="328">
        <v>0.97750000000000004</v>
      </c>
      <c r="AU113">
        <v>0.97734905000000005</v>
      </c>
      <c r="AV113">
        <v>0.94194900000000004</v>
      </c>
      <c r="AW113">
        <v>0.94194900000000004</v>
      </c>
      <c r="AX113">
        <v>0.94194900000000004</v>
      </c>
      <c r="AY113">
        <v>0.97734905000000005</v>
      </c>
      <c r="AZ113">
        <v>0.97734905000000005</v>
      </c>
      <c r="BA113">
        <v>0.94194900000000004</v>
      </c>
      <c r="BB113" s="446">
        <v>1</v>
      </c>
      <c r="BC113">
        <v>1</v>
      </c>
      <c r="BD113">
        <v>1</v>
      </c>
      <c r="BE113">
        <v>1</v>
      </c>
      <c r="BF113">
        <v>0.99990000000000001</v>
      </c>
      <c r="BG113">
        <v>1</v>
      </c>
      <c r="BH113">
        <v>1</v>
      </c>
      <c r="BI113">
        <v>0.99</v>
      </c>
      <c r="BJ113">
        <v>0.999</v>
      </c>
      <c r="BK113">
        <v>0.998</v>
      </c>
      <c r="BL113">
        <v>0.99850000000000005</v>
      </c>
      <c r="BM113">
        <v>0.99850000000000005</v>
      </c>
      <c r="BN113">
        <v>0.97199999999999998</v>
      </c>
      <c r="BO113">
        <v>0.99990000000000001</v>
      </c>
      <c r="BP113">
        <v>0.99990000000000001</v>
      </c>
      <c r="BQ113">
        <v>1</v>
      </c>
      <c r="BR113">
        <v>1.0946426</v>
      </c>
      <c r="BS113">
        <v>1.1106</v>
      </c>
      <c r="BT113">
        <v>1.0827</v>
      </c>
      <c r="BU113">
        <v>1.0156000000000001</v>
      </c>
      <c r="BV113">
        <v>1</v>
      </c>
      <c r="BW113">
        <v>2.2326000000000001</v>
      </c>
      <c r="BX113">
        <v>2.2823863329999998</v>
      </c>
      <c r="BY113">
        <v>1.09415</v>
      </c>
      <c r="BZ113">
        <v>1.2885</v>
      </c>
      <c r="CA113">
        <v>2.0009999999999999</v>
      </c>
      <c r="CB113">
        <v>1.518505</v>
      </c>
      <c r="CC113">
        <v>1.518505</v>
      </c>
      <c r="CD113">
        <v>1.264605</v>
      </c>
      <c r="CE113">
        <v>1.07728</v>
      </c>
      <c r="CF113">
        <v>1.4290050000000001</v>
      </c>
      <c r="CG113" s="332"/>
      <c r="CH113">
        <v>1.0981449999999999</v>
      </c>
      <c r="CI113" s="332"/>
      <c r="CJ113" s="332"/>
      <c r="CK113" s="332"/>
      <c r="CL113" s="332"/>
      <c r="CM113" s="332"/>
      <c r="CN113" s="332"/>
      <c r="CO113" s="332"/>
      <c r="CP113">
        <v>0.89500000000000002</v>
      </c>
      <c r="CQ113">
        <v>0.86</v>
      </c>
      <c r="CR113">
        <v>0.87</v>
      </c>
      <c r="CS113">
        <v>0.92</v>
      </c>
      <c r="CT113">
        <v>0.999</v>
      </c>
      <c r="CU113">
        <v>0.57999999999999996</v>
      </c>
      <c r="CV113">
        <v>0.45</v>
      </c>
      <c r="CW113">
        <v>0.80500000000000005</v>
      </c>
      <c r="CX113">
        <v>0.57999999999999996</v>
      </c>
      <c r="CY113">
        <v>0.505</v>
      </c>
      <c r="CZ113">
        <v>0.60499999999999998</v>
      </c>
      <c r="DA113">
        <v>0.63749999999999996</v>
      </c>
      <c r="DB113">
        <v>0.69</v>
      </c>
      <c r="DC113">
        <v>0.88</v>
      </c>
      <c r="DD113">
        <v>0.64</v>
      </c>
      <c r="DE113">
        <v>0.89</v>
      </c>
      <c r="DI113">
        <v>0.97750000000000004</v>
      </c>
      <c r="DN113" s="332">
        <v>2.8499999999999999E-4</v>
      </c>
      <c r="DO113" s="332">
        <v>2.0000000000000001E-4</v>
      </c>
      <c r="DP113" s="332">
        <v>0</v>
      </c>
      <c r="DQ113" s="332">
        <v>1E-4</v>
      </c>
      <c r="DR113" s="332">
        <v>0</v>
      </c>
      <c r="DS113" s="332">
        <v>3.5999999999999999E-3</v>
      </c>
      <c r="DT113" s="332">
        <v>4.6999999999999999E-4</v>
      </c>
      <c r="DU113" s="332">
        <v>6.9999999999999999E-4</v>
      </c>
      <c r="DV113" s="332">
        <v>0</v>
      </c>
      <c r="DW113" s="332">
        <v>0</v>
      </c>
      <c r="DX113" s="332">
        <v>5.0000000000000001E-4</v>
      </c>
      <c r="DY113" s="332">
        <v>5.0000000000000001E-4</v>
      </c>
      <c r="DZ113" s="332">
        <v>2.9999999999999997E-4</v>
      </c>
      <c r="EA113" s="332">
        <v>2.7500000000000002E-4</v>
      </c>
      <c r="EB113" s="332">
        <v>4.0000000000000002E-4</v>
      </c>
      <c r="ED113" s="332">
        <v>6.4999999999999994E-5</v>
      </c>
      <c r="EF113">
        <v>1</v>
      </c>
    </row>
    <row r="114" spans="1:136" x14ac:dyDescent="0.25">
      <c r="A114" s="66">
        <v>39845</v>
      </c>
      <c r="B114">
        <v>0.98</v>
      </c>
      <c r="C114">
        <v>0.95528800000000003</v>
      </c>
      <c r="D114">
        <v>0.96</v>
      </c>
      <c r="E114">
        <f t="shared" si="13"/>
        <v>0.99399999999999999</v>
      </c>
      <c r="F114">
        <v>0.97699999999999998</v>
      </c>
      <c r="G114">
        <v>0.98750000000000004</v>
      </c>
      <c r="H114">
        <v>0.98750000000000004</v>
      </c>
      <c r="I114">
        <v>0.92514825000000001</v>
      </c>
      <c r="J114">
        <v>0.98050000000000004</v>
      </c>
      <c r="K114">
        <v>0.98499999999999999</v>
      </c>
      <c r="L114" s="333">
        <v>0.96456817500000003</v>
      </c>
      <c r="M114" s="333">
        <v>0.98750000000000004</v>
      </c>
      <c r="N114">
        <v>0.89808255000000003</v>
      </c>
      <c r="O114">
        <v>0.94555451300000004</v>
      </c>
      <c r="P114">
        <v>0.89808255000000003</v>
      </c>
      <c r="Q114" s="328">
        <v>0.96456817500000003</v>
      </c>
      <c r="R114">
        <v>0.96456817500000003</v>
      </c>
      <c r="S114" s="333">
        <v>0.96456817500000003</v>
      </c>
      <c r="T114">
        <v>0.89808255000000003</v>
      </c>
      <c r="U114">
        <v>0.89808255000000003</v>
      </c>
      <c r="V114">
        <v>0.89808255000000003</v>
      </c>
      <c r="W114">
        <v>0.89808255000000003</v>
      </c>
      <c r="X114">
        <v>0.94555451300000004</v>
      </c>
      <c r="Y114">
        <v>0.94555451300000004</v>
      </c>
      <c r="Z114">
        <v>0.94555451300000004</v>
      </c>
      <c r="AA114">
        <v>0.94555451300000004</v>
      </c>
      <c r="AB114">
        <v>0.89808255000000003</v>
      </c>
      <c r="AC114">
        <v>0.89808255000000003</v>
      </c>
      <c r="AD114">
        <v>0.94555451300000004</v>
      </c>
      <c r="AE114">
        <v>0.94555451300000004</v>
      </c>
      <c r="AF114">
        <v>0.89808255000000003</v>
      </c>
      <c r="AG114">
        <v>0.98</v>
      </c>
      <c r="AH114">
        <v>0.97740689999999997</v>
      </c>
      <c r="AI114">
        <v>0.97740689999999997</v>
      </c>
      <c r="AJ114">
        <v>0.89808255000000003</v>
      </c>
      <c r="AK114">
        <v>1</v>
      </c>
      <c r="AL114">
        <v>0.98499999999999999</v>
      </c>
      <c r="AM114">
        <v>0.96360299999999999</v>
      </c>
      <c r="AS114">
        <v>0.97699999999999998</v>
      </c>
      <c r="AT114" s="328">
        <v>0.97750000000000004</v>
      </c>
      <c r="AU114">
        <v>0.97740689999999997</v>
      </c>
      <c r="AV114">
        <v>0.96360299999999999</v>
      </c>
      <c r="AW114">
        <v>0.96360299999999999</v>
      </c>
      <c r="AX114">
        <v>0.96360299999999999</v>
      </c>
      <c r="AY114">
        <v>0.97740689999999997</v>
      </c>
      <c r="AZ114">
        <v>0.97740689999999997</v>
      </c>
      <c r="BA114">
        <v>0.96360299999999999</v>
      </c>
      <c r="BB114" s="446">
        <v>1</v>
      </c>
      <c r="BC114">
        <v>1</v>
      </c>
      <c r="BD114">
        <v>1</v>
      </c>
      <c r="BE114">
        <v>1</v>
      </c>
      <c r="BF114">
        <v>0.99990000000000001</v>
      </c>
      <c r="BG114">
        <v>1</v>
      </c>
      <c r="BH114">
        <v>1</v>
      </c>
      <c r="BI114">
        <v>0.99</v>
      </c>
      <c r="BJ114">
        <v>0.999</v>
      </c>
      <c r="BK114">
        <v>0.998</v>
      </c>
      <c r="BL114">
        <v>0.99850000000000005</v>
      </c>
      <c r="BM114">
        <v>0.99850000000000005</v>
      </c>
      <c r="BN114">
        <v>0.97199999999999998</v>
      </c>
      <c r="BO114">
        <v>0.99990000000000001</v>
      </c>
      <c r="BP114">
        <v>0.99990000000000001</v>
      </c>
      <c r="BQ114">
        <v>1</v>
      </c>
      <c r="BR114">
        <v>1.0949275999999999</v>
      </c>
      <c r="BS114">
        <v>1.1108</v>
      </c>
      <c r="BT114">
        <v>1.0827</v>
      </c>
      <c r="BU114">
        <v>1.0157</v>
      </c>
      <c r="BV114">
        <v>1</v>
      </c>
      <c r="BW114">
        <v>2.2362000000000002</v>
      </c>
      <c r="BX114">
        <v>2.2828563329999998</v>
      </c>
      <c r="BY114">
        <v>1.0948500000000001</v>
      </c>
      <c r="BZ114">
        <v>1.2885</v>
      </c>
      <c r="CA114">
        <v>2.0009999999999999</v>
      </c>
      <c r="CB114">
        <v>1.5190049999999999</v>
      </c>
      <c r="CC114">
        <v>1.5190049999999999</v>
      </c>
      <c r="CD114">
        <v>1.2649049999999999</v>
      </c>
      <c r="CE114">
        <v>1.077555</v>
      </c>
      <c r="CF114">
        <v>1.429405</v>
      </c>
      <c r="CG114" s="332"/>
      <c r="CH114">
        <v>1.0982099999999999</v>
      </c>
      <c r="CI114" s="332"/>
      <c r="CJ114" s="332"/>
      <c r="CK114" s="332"/>
      <c r="CL114" s="332"/>
      <c r="CM114" s="332"/>
      <c r="CN114" s="332"/>
      <c r="CO114" s="332"/>
      <c r="CP114">
        <v>0.86499999999999999</v>
      </c>
      <c r="CQ114">
        <v>0.86</v>
      </c>
      <c r="CR114">
        <v>0.89</v>
      </c>
      <c r="CS114">
        <v>0.93500000000000005</v>
      </c>
      <c r="CT114">
        <v>0.99895</v>
      </c>
      <c r="CU114">
        <v>0.57999999999999996</v>
      </c>
      <c r="CV114">
        <v>0.45</v>
      </c>
      <c r="CW114">
        <v>0.84499999999999997</v>
      </c>
      <c r="CX114">
        <v>0.68500000000000005</v>
      </c>
      <c r="CY114">
        <v>0.505</v>
      </c>
      <c r="CZ114">
        <v>0.63500000000000001</v>
      </c>
      <c r="DA114">
        <v>0.66749999999999998</v>
      </c>
      <c r="DB114">
        <v>0.71</v>
      </c>
      <c r="DC114">
        <v>0.87749999999999995</v>
      </c>
      <c r="DD114">
        <v>0.67</v>
      </c>
      <c r="DE114">
        <v>0.89</v>
      </c>
      <c r="DI114">
        <v>0.97750000000000004</v>
      </c>
      <c r="DN114" s="332">
        <v>2.8499999999999999E-4</v>
      </c>
      <c r="DO114" s="332">
        <v>2.0000000000000001E-4</v>
      </c>
      <c r="DP114" s="332">
        <v>0</v>
      </c>
      <c r="DQ114" s="332">
        <v>1E-4</v>
      </c>
      <c r="DR114" s="332">
        <v>0</v>
      </c>
      <c r="DS114" s="332">
        <v>3.5999999999999999E-3</v>
      </c>
      <c r="DT114" s="332">
        <v>4.6999999999999999E-4</v>
      </c>
      <c r="DU114" s="332">
        <v>6.9999999999999999E-4</v>
      </c>
      <c r="DV114" s="332">
        <v>0</v>
      </c>
      <c r="DW114" s="332">
        <v>0</v>
      </c>
      <c r="DX114" s="332">
        <v>5.0000000000000001E-4</v>
      </c>
      <c r="DY114" s="332">
        <v>5.0000000000000001E-4</v>
      </c>
      <c r="DZ114" s="332">
        <v>2.9999999999999997E-4</v>
      </c>
      <c r="EA114" s="332">
        <v>2.7500000000000002E-4</v>
      </c>
      <c r="EB114" s="332">
        <v>4.0000000000000002E-4</v>
      </c>
      <c r="ED114" s="332">
        <v>6.4999999999999994E-5</v>
      </c>
      <c r="EF114">
        <v>1</v>
      </c>
    </row>
    <row r="115" spans="1:136" x14ac:dyDescent="0.25">
      <c r="A115" s="66">
        <v>39873</v>
      </c>
      <c r="B115">
        <v>0.98</v>
      </c>
      <c r="C115">
        <v>0.98799999999999999</v>
      </c>
      <c r="D115">
        <v>0.96</v>
      </c>
      <c r="E115">
        <f t="shared" si="13"/>
        <v>0.99399999999999999</v>
      </c>
      <c r="F115">
        <v>0.97699999999999998</v>
      </c>
      <c r="G115">
        <v>0.98750000000000004</v>
      </c>
      <c r="H115">
        <v>0.98750000000000004</v>
      </c>
      <c r="I115">
        <v>0.95860624999999999</v>
      </c>
      <c r="J115">
        <v>0.98050000000000004</v>
      </c>
      <c r="K115">
        <v>0.98499999999999999</v>
      </c>
      <c r="L115" s="333">
        <v>0.98750000000000004</v>
      </c>
      <c r="M115" s="333">
        <v>0.98750000000000004</v>
      </c>
      <c r="N115">
        <v>0.98</v>
      </c>
      <c r="O115">
        <v>0.97004699999999999</v>
      </c>
      <c r="P115">
        <v>0.98</v>
      </c>
      <c r="Q115" s="328">
        <v>0.98750000000000004</v>
      </c>
      <c r="R115">
        <v>0.98750000000000004</v>
      </c>
      <c r="S115" s="333">
        <v>0.98750000000000004</v>
      </c>
      <c r="T115">
        <v>0.98</v>
      </c>
      <c r="U115">
        <v>0.98</v>
      </c>
      <c r="V115">
        <v>0.98</v>
      </c>
      <c r="W115">
        <v>0.98</v>
      </c>
      <c r="X115">
        <v>0.97004699999999999</v>
      </c>
      <c r="Y115">
        <v>0.97004699999999999</v>
      </c>
      <c r="Z115">
        <v>0.97004699999999999</v>
      </c>
      <c r="AA115">
        <v>0.97004699999999999</v>
      </c>
      <c r="AB115">
        <v>0.98</v>
      </c>
      <c r="AC115">
        <v>0.98</v>
      </c>
      <c r="AD115">
        <v>0.97004699999999999</v>
      </c>
      <c r="AE115">
        <v>0.97004699999999999</v>
      </c>
      <c r="AF115">
        <v>0.98</v>
      </c>
      <c r="AG115">
        <v>0.99</v>
      </c>
      <c r="AH115">
        <v>0.97746474999999999</v>
      </c>
      <c r="AI115">
        <v>0.97746474999999999</v>
      </c>
      <c r="AJ115">
        <v>0.98</v>
      </c>
      <c r="AK115">
        <v>1</v>
      </c>
      <c r="AL115">
        <v>0.98499999999999999</v>
      </c>
      <c r="AM115">
        <v>0.98499999999999999</v>
      </c>
      <c r="AS115">
        <v>0.97699999999999998</v>
      </c>
      <c r="AT115" s="328">
        <v>0.97750000000000004</v>
      </c>
      <c r="AU115">
        <v>0.97746474999999999</v>
      </c>
      <c r="AV115">
        <v>0.98499999999999999</v>
      </c>
      <c r="AW115">
        <v>0.98499999999999999</v>
      </c>
      <c r="AX115">
        <v>0.98499999999999999</v>
      </c>
      <c r="AY115">
        <v>0.97746474999999999</v>
      </c>
      <c r="AZ115">
        <v>0.97746474999999999</v>
      </c>
      <c r="BA115">
        <v>0.98499999999999999</v>
      </c>
      <c r="BB115" s="446">
        <v>1</v>
      </c>
      <c r="BC115">
        <v>1</v>
      </c>
      <c r="BD115">
        <v>1</v>
      </c>
      <c r="BE115">
        <v>1</v>
      </c>
      <c r="BF115">
        <v>0.99990000000000001</v>
      </c>
      <c r="BG115">
        <v>1</v>
      </c>
      <c r="BH115">
        <v>1</v>
      </c>
      <c r="BI115">
        <v>0.99</v>
      </c>
      <c r="BJ115">
        <v>0.999</v>
      </c>
      <c r="BK115">
        <v>0.998</v>
      </c>
      <c r="BL115">
        <v>0.99850000000000005</v>
      </c>
      <c r="BM115">
        <v>0.99850000000000005</v>
      </c>
      <c r="BN115">
        <v>0.97199999999999998</v>
      </c>
      <c r="BO115">
        <v>0.99990000000000001</v>
      </c>
      <c r="BP115">
        <v>0.99990000000000001</v>
      </c>
      <c r="BQ115">
        <v>1</v>
      </c>
      <c r="BR115">
        <v>1.0952126</v>
      </c>
      <c r="BS115">
        <v>1.111</v>
      </c>
      <c r="BT115">
        <v>1.0827</v>
      </c>
      <c r="BU115">
        <v>1.0158</v>
      </c>
      <c r="BV115">
        <v>1</v>
      </c>
      <c r="BW115">
        <v>2.2397999999999998</v>
      </c>
      <c r="BX115">
        <v>2.2833263330000002</v>
      </c>
      <c r="BY115">
        <v>1.09555</v>
      </c>
      <c r="BZ115">
        <v>1.2885</v>
      </c>
      <c r="CA115">
        <v>2.0009999999999999</v>
      </c>
      <c r="CB115">
        <v>1.5195050000000001</v>
      </c>
      <c r="CC115">
        <v>1.5195050000000001</v>
      </c>
      <c r="CD115">
        <v>1.2652049999999999</v>
      </c>
      <c r="CE115">
        <v>1.0778300000000001</v>
      </c>
      <c r="CF115">
        <v>1.429805</v>
      </c>
      <c r="CG115" s="332"/>
      <c r="CH115">
        <v>1.0982749999999999</v>
      </c>
      <c r="CI115" s="332"/>
      <c r="CJ115" s="332"/>
      <c r="CK115" s="332"/>
      <c r="CL115" s="332"/>
      <c r="CM115" s="332"/>
      <c r="CN115" s="332"/>
      <c r="CO115" s="332"/>
      <c r="CP115">
        <v>0.86499999999999999</v>
      </c>
      <c r="CQ115">
        <v>0.89</v>
      </c>
      <c r="CR115">
        <v>0.91</v>
      </c>
      <c r="CS115">
        <v>0.93500000000000005</v>
      </c>
      <c r="CT115">
        <v>0.99895</v>
      </c>
      <c r="CU115">
        <v>0.54</v>
      </c>
      <c r="CV115">
        <v>0.45</v>
      </c>
      <c r="CW115">
        <v>0.875</v>
      </c>
      <c r="CX115">
        <v>0.85499999999999998</v>
      </c>
      <c r="CY115">
        <v>0.51500000000000001</v>
      </c>
      <c r="CZ115">
        <v>0.78500000000000003</v>
      </c>
      <c r="DA115">
        <v>0.8175</v>
      </c>
      <c r="DB115">
        <v>0.8</v>
      </c>
      <c r="DC115">
        <v>0.9</v>
      </c>
      <c r="DD115">
        <v>0.83</v>
      </c>
      <c r="DE115">
        <v>0.89</v>
      </c>
      <c r="DI115">
        <v>0.97750000000000004</v>
      </c>
      <c r="DN115" s="332">
        <v>2.8499999999999999E-4</v>
      </c>
      <c r="DO115" s="332">
        <v>2.0000000000000001E-4</v>
      </c>
      <c r="DP115" s="332">
        <v>0</v>
      </c>
      <c r="DQ115" s="332">
        <v>1E-4</v>
      </c>
      <c r="DR115" s="332">
        <v>0</v>
      </c>
      <c r="DS115" s="332">
        <v>3.5999999999999999E-3</v>
      </c>
      <c r="DT115" s="332">
        <v>4.6999999999999999E-4</v>
      </c>
      <c r="DU115" s="332">
        <v>6.9999999999999999E-4</v>
      </c>
      <c r="DV115" s="332">
        <v>0</v>
      </c>
      <c r="DW115" s="332">
        <v>0</v>
      </c>
      <c r="DX115" s="332">
        <v>5.0000000000000001E-4</v>
      </c>
      <c r="DY115" s="332">
        <v>5.0000000000000001E-4</v>
      </c>
      <c r="DZ115" s="332">
        <v>2.9999999999999997E-4</v>
      </c>
      <c r="EA115" s="332">
        <v>2.7500000000000002E-4</v>
      </c>
      <c r="EB115" s="332">
        <v>4.0000000000000002E-4</v>
      </c>
      <c r="ED115" s="332">
        <v>6.4999999999999994E-5</v>
      </c>
      <c r="EF115">
        <v>1</v>
      </c>
    </row>
    <row r="116" spans="1:136" x14ac:dyDescent="0.25">
      <c r="A116" s="66">
        <v>39904</v>
      </c>
      <c r="B116">
        <v>0.98</v>
      </c>
      <c r="C116">
        <v>0.98799999999999999</v>
      </c>
      <c r="D116">
        <v>0.96</v>
      </c>
      <c r="E116">
        <f t="shared" si="13"/>
        <v>0.97799999999999998</v>
      </c>
      <c r="F116">
        <v>0.97699999999999998</v>
      </c>
      <c r="G116">
        <v>0.98750000000000004</v>
      </c>
      <c r="H116">
        <v>0.95919445999999997</v>
      </c>
      <c r="I116">
        <v>0.98750000000000004</v>
      </c>
      <c r="J116">
        <v>0.98050000000000004</v>
      </c>
      <c r="K116">
        <v>0.98499999999999999</v>
      </c>
      <c r="L116" s="333">
        <v>0.98750000000000004</v>
      </c>
      <c r="M116" s="333">
        <v>0.98750000000000004</v>
      </c>
      <c r="N116">
        <v>0.98</v>
      </c>
      <c r="O116">
        <v>0.97352881499999999</v>
      </c>
      <c r="P116">
        <v>0.98</v>
      </c>
      <c r="Q116" s="328">
        <v>0.98750000000000004</v>
      </c>
      <c r="R116">
        <v>0.98750000000000004</v>
      </c>
      <c r="S116" s="333">
        <v>0.98750000000000004</v>
      </c>
      <c r="T116">
        <v>0.98</v>
      </c>
      <c r="U116">
        <v>0.98</v>
      </c>
      <c r="V116">
        <v>0.98</v>
      </c>
      <c r="W116">
        <v>0.98</v>
      </c>
      <c r="X116">
        <v>0.97352881499999999</v>
      </c>
      <c r="Y116">
        <v>0.97352881499999999</v>
      </c>
      <c r="Z116">
        <v>0.97352881499999999</v>
      </c>
      <c r="AA116">
        <v>0.97352881499999999</v>
      </c>
      <c r="AB116">
        <v>0.98</v>
      </c>
      <c r="AC116">
        <v>0.98</v>
      </c>
      <c r="AD116">
        <v>0.97352881499999999</v>
      </c>
      <c r="AE116">
        <v>0.97352881499999999</v>
      </c>
      <c r="AF116">
        <v>0.98</v>
      </c>
      <c r="AG116">
        <v>0.99</v>
      </c>
      <c r="AH116">
        <v>0.97752260000000002</v>
      </c>
      <c r="AI116">
        <v>0.97752260000000002</v>
      </c>
      <c r="AJ116">
        <v>0.98</v>
      </c>
      <c r="AK116">
        <v>1</v>
      </c>
      <c r="AL116">
        <v>0.98499999999999999</v>
      </c>
      <c r="AM116">
        <v>0.98499999999999999</v>
      </c>
      <c r="AS116">
        <v>0.97699999999999998</v>
      </c>
      <c r="AT116" s="328">
        <v>0.97750000000000004</v>
      </c>
      <c r="AU116">
        <v>0.97752260000000002</v>
      </c>
      <c r="AV116">
        <v>0.98499999999999999</v>
      </c>
      <c r="AW116">
        <v>0.98499999999999999</v>
      </c>
      <c r="AX116">
        <v>0.98499999999999999</v>
      </c>
      <c r="AY116">
        <v>0.97752260000000002</v>
      </c>
      <c r="AZ116">
        <v>0.97752260000000002</v>
      </c>
      <c r="BA116">
        <v>0.98499999999999999</v>
      </c>
      <c r="BB116" s="446">
        <v>1</v>
      </c>
      <c r="BC116">
        <v>1</v>
      </c>
      <c r="BD116">
        <v>1</v>
      </c>
      <c r="BE116">
        <v>1</v>
      </c>
      <c r="BF116">
        <v>0.99990000000000001</v>
      </c>
      <c r="BG116">
        <v>1</v>
      </c>
      <c r="BH116">
        <v>1</v>
      </c>
      <c r="BI116">
        <v>0.99</v>
      </c>
      <c r="BJ116">
        <v>0.999</v>
      </c>
      <c r="BK116">
        <v>0.998</v>
      </c>
      <c r="BL116">
        <v>0.99850000000000005</v>
      </c>
      <c r="BM116">
        <v>0.99850000000000005</v>
      </c>
      <c r="BN116">
        <v>0.97199999999999998</v>
      </c>
      <c r="BO116">
        <v>0.99990000000000001</v>
      </c>
      <c r="BP116">
        <v>0.99990000000000001</v>
      </c>
      <c r="BQ116">
        <v>1</v>
      </c>
      <c r="BR116">
        <v>1.0954976000000001</v>
      </c>
      <c r="BS116">
        <v>1.1112</v>
      </c>
      <c r="BT116">
        <v>1.0827</v>
      </c>
      <c r="BU116">
        <v>1.0159</v>
      </c>
      <c r="BV116">
        <v>1</v>
      </c>
      <c r="BW116">
        <v>2.2433999999999998</v>
      </c>
      <c r="BX116">
        <v>2.2837963330000002</v>
      </c>
      <c r="BY116">
        <v>1.0962499999999999</v>
      </c>
      <c r="BZ116">
        <v>1.2885</v>
      </c>
      <c r="CA116">
        <v>2.0009999999999999</v>
      </c>
      <c r="CB116">
        <v>1.5200050000000001</v>
      </c>
      <c r="CC116">
        <v>1.5200050000000001</v>
      </c>
      <c r="CD116">
        <v>1.2655050000000001</v>
      </c>
      <c r="CE116">
        <v>1.0781050000000001</v>
      </c>
      <c r="CF116">
        <v>1.4302049999999999</v>
      </c>
      <c r="CG116" s="332"/>
      <c r="CH116">
        <v>1.0983400000000001</v>
      </c>
      <c r="CI116" s="332"/>
      <c r="CJ116" s="332"/>
      <c r="CK116" s="332"/>
      <c r="CL116" s="332"/>
      <c r="CM116" s="332"/>
      <c r="CN116" s="332"/>
      <c r="CO116" s="332"/>
      <c r="CP116">
        <v>0.89500000000000002</v>
      </c>
      <c r="CQ116">
        <v>0.9</v>
      </c>
      <c r="CR116">
        <v>0.91</v>
      </c>
      <c r="CS116">
        <v>0.96</v>
      </c>
      <c r="CT116">
        <v>0.99895</v>
      </c>
      <c r="CU116">
        <v>0.48</v>
      </c>
      <c r="CV116">
        <v>0.42</v>
      </c>
      <c r="CW116">
        <v>0.93500000000000005</v>
      </c>
      <c r="CX116">
        <v>0.84499999999999997</v>
      </c>
      <c r="CY116">
        <v>0.57499999999999996</v>
      </c>
      <c r="CZ116">
        <v>0.89500000000000002</v>
      </c>
      <c r="DA116">
        <v>0.92749999999999999</v>
      </c>
      <c r="DB116">
        <v>0.85</v>
      </c>
      <c r="DC116">
        <v>0.90300000000000002</v>
      </c>
      <c r="DD116">
        <v>0.92</v>
      </c>
      <c r="DE116">
        <v>0.89</v>
      </c>
      <c r="DI116">
        <v>0.97750000000000004</v>
      </c>
      <c r="DN116" s="332">
        <v>2.8499999999999999E-4</v>
      </c>
      <c r="DO116" s="332">
        <v>2.0000000000000001E-4</v>
      </c>
      <c r="DP116" s="332">
        <v>0</v>
      </c>
      <c r="DQ116" s="332">
        <v>1E-4</v>
      </c>
      <c r="DR116" s="332">
        <v>0</v>
      </c>
      <c r="DS116" s="332">
        <v>3.5999999999999999E-3</v>
      </c>
      <c r="DT116" s="332">
        <v>4.6999999999999999E-4</v>
      </c>
      <c r="DU116" s="332">
        <v>6.9999999999999999E-4</v>
      </c>
      <c r="DV116" s="332">
        <v>0</v>
      </c>
      <c r="DW116" s="332">
        <v>0</v>
      </c>
      <c r="DX116" s="332">
        <v>5.0000000000000001E-4</v>
      </c>
      <c r="DY116" s="332">
        <v>5.0000000000000001E-4</v>
      </c>
      <c r="DZ116" s="332">
        <v>2.9999999999999997E-4</v>
      </c>
      <c r="EA116" s="332">
        <v>2.7500000000000002E-4</v>
      </c>
      <c r="EB116" s="332">
        <v>4.0000000000000002E-4</v>
      </c>
      <c r="ED116" s="332">
        <v>6.4999999999999994E-5</v>
      </c>
      <c r="EF116">
        <v>1</v>
      </c>
    </row>
    <row r="117" spans="1:136" x14ac:dyDescent="0.25">
      <c r="A117" s="66">
        <v>39934</v>
      </c>
      <c r="B117">
        <v>0.98</v>
      </c>
      <c r="C117">
        <v>0.98799999999999999</v>
      </c>
      <c r="D117">
        <v>0.96</v>
      </c>
      <c r="E117">
        <f t="shared" ref="E117:E122" si="14">E105</f>
        <v>0.97799999999999998</v>
      </c>
      <c r="F117">
        <v>0.97699999999999998</v>
      </c>
      <c r="G117">
        <v>0.76397999999999999</v>
      </c>
      <c r="H117">
        <v>0.95939185999999999</v>
      </c>
      <c r="I117">
        <v>0.98750000000000004</v>
      </c>
      <c r="J117">
        <v>0.98050000000000004</v>
      </c>
      <c r="K117">
        <v>0.98499999999999999</v>
      </c>
      <c r="L117" s="333">
        <v>0.98750000000000004</v>
      </c>
      <c r="M117" s="333">
        <v>0.98750000000000004</v>
      </c>
      <c r="N117">
        <v>0.98</v>
      </c>
      <c r="O117">
        <v>0.97054200000000002</v>
      </c>
      <c r="P117">
        <v>0.98</v>
      </c>
      <c r="Q117" s="328">
        <v>0.98750000000000004</v>
      </c>
      <c r="R117">
        <v>0.98750000000000004</v>
      </c>
      <c r="S117" s="333">
        <v>0.98750000000000004</v>
      </c>
      <c r="T117">
        <v>0.98</v>
      </c>
      <c r="U117">
        <v>0.98</v>
      </c>
      <c r="V117">
        <v>0.98</v>
      </c>
      <c r="W117">
        <v>0.98</v>
      </c>
      <c r="X117">
        <v>0.97054200000000002</v>
      </c>
      <c r="Y117">
        <v>0.97054200000000002</v>
      </c>
      <c r="Z117">
        <v>0.97054200000000002</v>
      </c>
      <c r="AA117">
        <v>0.97054200000000002</v>
      </c>
      <c r="AB117">
        <v>0.98</v>
      </c>
      <c r="AC117">
        <v>0.98</v>
      </c>
      <c r="AD117">
        <v>0.97054200000000002</v>
      </c>
      <c r="AE117">
        <v>0.97054200000000002</v>
      </c>
      <c r="AF117">
        <v>0.98</v>
      </c>
      <c r="AG117">
        <v>0.99</v>
      </c>
      <c r="AH117">
        <v>0.97758045000000005</v>
      </c>
      <c r="AI117">
        <v>0.97758045000000005</v>
      </c>
      <c r="AJ117">
        <v>0.98</v>
      </c>
      <c r="AK117">
        <v>1</v>
      </c>
      <c r="AL117">
        <v>0.98499999999999999</v>
      </c>
      <c r="AM117">
        <v>0.98499999999999999</v>
      </c>
      <c r="AS117">
        <v>0.97699999999999998</v>
      </c>
      <c r="AT117" s="328">
        <v>0.97750000000000004</v>
      </c>
      <c r="AU117">
        <v>0.97758045000000005</v>
      </c>
      <c r="AV117">
        <v>0.98499999999999999</v>
      </c>
      <c r="AW117">
        <v>0.98499999999999999</v>
      </c>
      <c r="AX117">
        <v>0.98499999999999999</v>
      </c>
      <c r="AY117">
        <v>0.97758045000000005</v>
      </c>
      <c r="AZ117">
        <v>0.97758045000000005</v>
      </c>
      <c r="BA117">
        <v>0.98499999999999999</v>
      </c>
      <c r="BB117" s="446">
        <v>1</v>
      </c>
      <c r="BC117">
        <v>1</v>
      </c>
      <c r="BD117">
        <v>1</v>
      </c>
      <c r="BE117">
        <v>1</v>
      </c>
      <c r="BF117">
        <v>0.99990000000000001</v>
      </c>
      <c r="BG117">
        <v>1</v>
      </c>
      <c r="BH117">
        <v>1</v>
      </c>
      <c r="BI117">
        <v>0.99</v>
      </c>
      <c r="BJ117">
        <v>0.999</v>
      </c>
      <c r="BK117">
        <v>0.998</v>
      </c>
      <c r="BL117">
        <v>0.99850000000000005</v>
      </c>
      <c r="BM117">
        <v>0.99850000000000005</v>
      </c>
      <c r="BN117">
        <v>0.97199999999999998</v>
      </c>
      <c r="BO117">
        <v>0.99990000000000001</v>
      </c>
      <c r="BP117">
        <v>0.99990000000000001</v>
      </c>
      <c r="BQ117">
        <v>1</v>
      </c>
      <c r="BR117">
        <v>1.0957825999999999</v>
      </c>
      <c r="BS117">
        <v>1.1113999999999999</v>
      </c>
      <c r="BT117">
        <v>1.0827</v>
      </c>
      <c r="BU117">
        <v>1.016</v>
      </c>
      <c r="BV117">
        <v>1</v>
      </c>
      <c r="BW117">
        <v>2.2469999999999999</v>
      </c>
      <c r="BX117">
        <v>2.2842663330000001</v>
      </c>
      <c r="BY117">
        <v>1.0969500000000001</v>
      </c>
      <c r="BZ117">
        <v>1.2885</v>
      </c>
      <c r="CA117">
        <v>2.0009999999999999</v>
      </c>
      <c r="CB117">
        <v>1.520505</v>
      </c>
      <c r="CC117">
        <v>1.520505</v>
      </c>
      <c r="CD117">
        <v>1.2658050000000001</v>
      </c>
      <c r="CE117">
        <v>1.0783799999999999</v>
      </c>
      <c r="CF117">
        <v>1.4306049999999999</v>
      </c>
      <c r="CG117" s="332"/>
      <c r="CH117">
        <v>1.0984050000000001</v>
      </c>
      <c r="CI117" s="332"/>
      <c r="CJ117" s="332"/>
      <c r="CK117" s="332"/>
      <c r="CL117" s="332"/>
      <c r="CM117" s="332"/>
      <c r="CN117" s="332"/>
      <c r="CO117" s="332"/>
      <c r="CP117">
        <v>0.96499999999999997</v>
      </c>
      <c r="CQ117">
        <v>0.91</v>
      </c>
      <c r="CR117">
        <v>0.91</v>
      </c>
      <c r="CS117">
        <v>0.97</v>
      </c>
      <c r="CT117">
        <v>0.99895</v>
      </c>
      <c r="CU117">
        <v>0.34</v>
      </c>
      <c r="CV117">
        <v>0.42</v>
      </c>
      <c r="CW117">
        <v>0.93500000000000005</v>
      </c>
      <c r="CX117">
        <v>0.745</v>
      </c>
      <c r="CY117">
        <v>0.625</v>
      </c>
      <c r="CZ117">
        <v>0.91749999999999998</v>
      </c>
      <c r="DA117">
        <v>0.95</v>
      </c>
      <c r="DB117">
        <v>0.88</v>
      </c>
      <c r="DC117">
        <v>0.9</v>
      </c>
      <c r="DD117">
        <v>0.93500000000000005</v>
      </c>
      <c r="DE117">
        <v>0.89</v>
      </c>
      <c r="DI117">
        <v>0.97750000000000004</v>
      </c>
      <c r="DN117" s="332">
        <v>2.8499999999999999E-4</v>
      </c>
      <c r="DO117" s="332">
        <v>2.0000000000000001E-4</v>
      </c>
      <c r="DP117" s="332">
        <v>0</v>
      </c>
      <c r="DQ117" s="332">
        <v>1E-4</v>
      </c>
      <c r="DR117" s="332">
        <v>0</v>
      </c>
      <c r="DS117" s="332">
        <v>3.5999999999999999E-3</v>
      </c>
      <c r="DT117" s="332">
        <v>4.6999999999999999E-4</v>
      </c>
      <c r="DU117" s="332">
        <v>6.9999999999999999E-4</v>
      </c>
      <c r="DV117" s="332">
        <v>0</v>
      </c>
      <c r="DW117" s="332">
        <v>0</v>
      </c>
      <c r="DX117" s="332">
        <v>5.0000000000000001E-4</v>
      </c>
      <c r="DY117" s="332">
        <v>5.0000000000000001E-4</v>
      </c>
      <c r="DZ117" s="332">
        <v>2.9999999999999997E-4</v>
      </c>
      <c r="EA117" s="332">
        <v>2.7500000000000002E-4</v>
      </c>
      <c r="EB117" s="332">
        <v>4.0000000000000002E-4</v>
      </c>
      <c r="ED117" s="332">
        <v>6.4999999999999994E-5</v>
      </c>
      <c r="EF117">
        <v>1</v>
      </c>
    </row>
    <row r="118" spans="1:136" x14ac:dyDescent="0.25">
      <c r="A118" s="66">
        <v>39965</v>
      </c>
      <c r="B118">
        <v>0.98</v>
      </c>
      <c r="C118">
        <v>0.98799999999999999</v>
      </c>
      <c r="D118">
        <v>0.96</v>
      </c>
      <c r="E118">
        <f t="shared" si="14"/>
        <v>0.97799999999999998</v>
      </c>
      <c r="F118">
        <v>0.97699999999999998</v>
      </c>
      <c r="G118">
        <v>0.765204</v>
      </c>
      <c r="H118">
        <v>0.98750000000000004</v>
      </c>
      <c r="I118">
        <v>0.98750000000000004</v>
      </c>
      <c r="J118">
        <v>0.98050000000000004</v>
      </c>
      <c r="K118">
        <v>0.98499999999999999</v>
      </c>
      <c r="L118" s="333">
        <v>0.98750000000000004</v>
      </c>
      <c r="M118" s="333">
        <v>0.98750000000000004</v>
      </c>
      <c r="N118">
        <v>0.98</v>
      </c>
      <c r="O118">
        <v>0.97348613799999995</v>
      </c>
      <c r="P118">
        <v>0.98</v>
      </c>
      <c r="Q118" s="328">
        <v>0.98750000000000004</v>
      </c>
      <c r="R118">
        <v>0.98750000000000004</v>
      </c>
      <c r="S118" s="333">
        <v>0.98750000000000004</v>
      </c>
      <c r="T118">
        <v>0.98</v>
      </c>
      <c r="U118">
        <v>0.98</v>
      </c>
      <c r="V118">
        <v>0.98</v>
      </c>
      <c r="W118">
        <v>0.98</v>
      </c>
      <c r="X118">
        <v>0.97348613799999995</v>
      </c>
      <c r="Y118">
        <v>0.97348613799999995</v>
      </c>
      <c r="Z118">
        <v>0.97348613799999995</v>
      </c>
      <c r="AA118">
        <v>0.97348613799999995</v>
      </c>
      <c r="AB118">
        <v>0.98</v>
      </c>
      <c r="AC118">
        <v>0.98</v>
      </c>
      <c r="AD118">
        <v>0.97348613799999995</v>
      </c>
      <c r="AE118">
        <v>0.97348613799999995</v>
      </c>
      <c r="AF118">
        <v>0.98</v>
      </c>
      <c r="AG118">
        <v>0.99</v>
      </c>
      <c r="AH118">
        <v>0.97763829999999996</v>
      </c>
      <c r="AI118">
        <v>0.97763829999999996</v>
      </c>
      <c r="AJ118">
        <v>0.98</v>
      </c>
      <c r="AK118">
        <v>1</v>
      </c>
      <c r="AL118">
        <v>0.98499999999999999</v>
      </c>
      <c r="AM118">
        <v>0.98499999999999999</v>
      </c>
      <c r="AS118">
        <v>0.97699999999999998</v>
      </c>
      <c r="AT118" s="328">
        <v>0.97750000000000004</v>
      </c>
      <c r="AU118">
        <v>0.97763829999999996</v>
      </c>
      <c r="AV118">
        <v>0.98499999999999999</v>
      </c>
      <c r="AW118">
        <v>0.98499999999999999</v>
      </c>
      <c r="AX118">
        <v>0.98499999999999999</v>
      </c>
      <c r="AY118">
        <v>0.97763829999999996</v>
      </c>
      <c r="AZ118">
        <v>0.97763829999999996</v>
      </c>
      <c r="BA118">
        <v>0.98499999999999999</v>
      </c>
      <c r="BB118" s="446">
        <v>1</v>
      </c>
      <c r="BC118">
        <v>1</v>
      </c>
      <c r="BD118">
        <v>1</v>
      </c>
      <c r="BE118">
        <v>1</v>
      </c>
      <c r="BF118">
        <v>0.99990000000000001</v>
      </c>
      <c r="BG118">
        <v>1</v>
      </c>
      <c r="BH118">
        <v>1</v>
      </c>
      <c r="BI118">
        <v>0.99</v>
      </c>
      <c r="BJ118">
        <v>0.999</v>
      </c>
      <c r="BK118">
        <v>0.998</v>
      </c>
      <c r="BL118">
        <v>0.99850000000000005</v>
      </c>
      <c r="BM118">
        <v>0.99850000000000005</v>
      </c>
      <c r="BN118">
        <v>0.97199999999999998</v>
      </c>
      <c r="BO118">
        <v>0.99990000000000001</v>
      </c>
      <c r="BP118">
        <v>0.99990000000000001</v>
      </c>
      <c r="BQ118">
        <v>1</v>
      </c>
      <c r="BR118">
        <v>1.0960676</v>
      </c>
      <c r="BS118">
        <v>1.1115999999999999</v>
      </c>
      <c r="BT118">
        <v>1.0827</v>
      </c>
      <c r="BU118">
        <v>1.0161</v>
      </c>
      <c r="BV118">
        <v>1</v>
      </c>
      <c r="BW118">
        <v>2.2505999999999999</v>
      </c>
      <c r="BX118">
        <v>2.2847363330000001</v>
      </c>
      <c r="BY118">
        <v>1.09765</v>
      </c>
      <c r="BZ118">
        <v>1.2885</v>
      </c>
      <c r="CA118">
        <v>2.0009999999999999</v>
      </c>
      <c r="CB118">
        <v>1.5210049999999999</v>
      </c>
      <c r="CC118">
        <v>1.5210049999999999</v>
      </c>
      <c r="CD118">
        <v>1.266105</v>
      </c>
      <c r="CE118">
        <v>1.0786549999999999</v>
      </c>
      <c r="CF118">
        <v>1.4310050000000001</v>
      </c>
      <c r="CG118" s="332"/>
      <c r="CH118">
        <v>1.0984700000000001</v>
      </c>
      <c r="CI118" s="332"/>
      <c r="CJ118" s="332"/>
      <c r="CK118" s="332"/>
      <c r="CL118" s="332"/>
      <c r="CM118" s="332"/>
      <c r="CN118" s="332"/>
      <c r="CO118" s="332"/>
      <c r="CP118">
        <v>0.96499999999999997</v>
      </c>
      <c r="CQ118">
        <v>0.91</v>
      </c>
      <c r="CR118">
        <v>0.91</v>
      </c>
      <c r="CS118">
        <v>0.98</v>
      </c>
      <c r="CT118">
        <v>0.99895</v>
      </c>
      <c r="CU118">
        <v>0.34</v>
      </c>
      <c r="CV118">
        <v>0.47</v>
      </c>
      <c r="CW118">
        <v>0.93500000000000005</v>
      </c>
      <c r="CX118">
        <v>0.65500000000000003</v>
      </c>
      <c r="CY118">
        <v>0.72499999999999998</v>
      </c>
      <c r="CZ118">
        <v>0.88249999999999995</v>
      </c>
      <c r="DA118">
        <v>0.91500000000000004</v>
      </c>
      <c r="DB118">
        <v>0.88</v>
      </c>
      <c r="DC118">
        <v>0.90249999999999997</v>
      </c>
      <c r="DD118">
        <v>0.91500000000000004</v>
      </c>
      <c r="DE118">
        <v>0.89</v>
      </c>
      <c r="DI118">
        <v>0.97750000000000004</v>
      </c>
      <c r="DN118" s="332">
        <v>2.8499999999999999E-4</v>
      </c>
      <c r="DO118" s="332">
        <v>2.0000000000000001E-4</v>
      </c>
      <c r="DP118" s="332">
        <v>0</v>
      </c>
      <c r="DQ118" s="332">
        <v>1E-4</v>
      </c>
      <c r="DR118" s="332">
        <v>0</v>
      </c>
      <c r="DS118" s="332">
        <v>3.5999999999999999E-3</v>
      </c>
      <c r="DT118" s="332">
        <v>4.6999999999999999E-4</v>
      </c>
      <c r="DU118" s="332">
        <v>6.9999999999999999E-4</v>
      </c>
      <c r="DV118" s="332">
        <v>0</v>
      </c>
      <c r="DW118" s="332">
        <v>0</v>
      </c>
      <c r="DX118" s="332">
        <v>5.0000000000000001E-4</v>
      </c>
      <c r="DY118" s="332">
        <v>5.0000000000000001E-4</v>
      </c>
      <c r="DZ118" s="332">
        <v>2.9999999999999997E-4</v>
      </c>
      <c r="EA118" s="332">
        <v>2.7500000000000002E-4</v>
      </c>
      <c r="EB118" s="332">
        <v>4.0000000000000002E-4</v>
      </c>
      <c r="ED118" s="332">
        <v>6.4999999999999994E-5</v>
      </c>
      <c r="EF118">
        <v>1</v>
      </c>
    </row>
    <row r="119" spans="1:136" x14ac:dyDescent="0.25">
      <c r="A119" s="66">
        <v>39995</v>
      </c>
      <c r="B119">
        <v>0.98</v>
      </c>
      <c r="C119">
        <v>0.98799999999999999</v>
      </c>
      <c r="D119">
        <v>0.96</v>
      </c>
      <c r="E119">
        <f t="shared" si="14"/>
        <v>0.97799999999999998</v>
      </c>
      <c r="F119">
        <v>0.97699999999999998</v>
      </c>
      <c r="G119">
        <v>0.92422199999999999</v>
      </c>
      <c r="H119">
        <v>0.98750000000000004</v>
      </c>
      <c r="I119">
        <v>0.98750000000000004</v>
      </c>
      <c r="J119">
        <v>0.98050000000000004</v>
      </c>
      <c r="K119">
        <v>0.98499999999999999</v>
      </c>
      <c r="L119" s="333">
        <v>0.98750000000000004</v>
      </c>
      <c r="M119" s="333">
        <v>0.98750000000000004</v>
      </c>
      <c r="N119">
        <v>0.98</v>
      </c>
      <c r="O119">
        <v>0.97912897499999996</v>
      </c>
      <c r="P119">
        <v>0.98</v>
      </c>
      <c r="Q119" s="328">
        <v>0.98750000000000004</v>
      </c>
      <c r="R119">
        <v>0.98750000000000004</v>
      </c>
      <c r="S119" s="333">
        <v>0.98750000000000004</v>
      </c>
      <c r="T119">
        <v>0.98</v>
      </c>
      <c r="U119">
        <v>0.98</v>
      </c>
      <c r="V119">
        <v>0.98</v>
      </c>
      <c r="W119">
        <v>0.98</v>
      </c>
      <c r="X119">
        <v>0.97912897499999996</v>
      </c>
      <c r="Y119">
        <v>0.97912897499999996</v>
      </c>
      <c r="Z119">
        <v>0.97912897499999996</v>
      </c>
      <c r="AA119">
        <v>0.97912897499999996</v>
      </c>
      <c r="AB119">
        <v>0.98</v>
      </c>
      <c r="AC119">
        <v>0.98</v>
      </c>
      <c r="AD119">
        <v>0.97912897499999996</v>
      </c>
      <c r="AE119">
        <v>0.97912897499999996</v>
      </c>
      <c r="AF119">
        <v>0.98</v>
      </c>
      <c r="AG119">
        <v>0.99</v>
      </c>
      <c r="AH119">
        <v>0.97769614999999999</v>
      </c>
      <c r="AI119">
        <v>0.97769614999999999</v>
      </c>
      <c r="AJ119">
        <v>0.98</v>
      </c>
      <c r="AK119">
        <v>1</v>
      </c>
      <c r="AL119">
        <v>0.98499999999999999</v>
      </c>
      <c r="AM119">
        <v>0.98499999999999999</v>
      </c>
      <c r="AS119">
        <v>0.97699999999999998</v>
      </c>
      <c r="AT119" s="328">
        <v>0.97750000000000004</v>
      </c>
      <c r="AU119">
        <v>0.97769614999999999</v>
      </c>
      <c r="AV119">
        <v>0.98499999999999999</v>
      </c>
      <c r="AW119">
        <v>0.98499999999999999</v>
      </c>
      <c r="AX119">
        <v>0.98499999999999999</v>
      </c>
      <c r="AY119">
        <v>0.97769614999999999</v>
      </c>
      <c r="AZ119">
        <v>0.97769614999999999</v>
      </c>
      <c r="BA119">
        <v>0.98499999999999999</v>
      </c>
      <c r="BB119" s="446">
        <v>1</v>
      </c>
      <c r="BC119">
        <v>1</v>
      </c>
      <c r="BD119">
        <v>1</v>
      </c>
      <c r="BE119">
        <v>1</v>
      </c>
      <c r="BF119">
        <v>0.99990000000000001</v>
      </c>
      <c r="BG119">
        <v>1</v>
      </c>
      <c r="BH119">
        <v>1</v>
      </c>
      <c r="BI119">
        <v>0.99</v>
      </c>
      <c r="BJ119">
        <v>0.999</v>
      </c>
      <c r="BK119">
        <v>0.998</v>
      </c>
      <c r="BL119">
        <v>0.99850000000000005</v>
      </c>
      <c r="BM119">
        <v>0.99850000000000005</v>
      </c>
      <c r="BN119">
        <v>0.97199999999999998</v>
      </c>
      <c r="BO119">
        <v>0.99990000000000001</v>
      </c>
      <c r="BP119">
        <v>0.99990000000000001</v>
      </c>
      <c r="BQ119">
        <v>1</v>
      </c>
      <c r="BR119">
        <v>1.0963525999999999</v>
      </c>
      <c r="BS119">
        <v>1.1117999999999999</v>
      </c>
      <c r="BT119">
        <v>1.0827</v>
      </c>
      <c r="BU119">
        <v>1.0162</v>
      </c>
      <c r="BV119">
        <v>1</v>
      </c>
      <c r="BW119">
        <v>2.2542</v>
      </c>
      <c r="BX119">
        <v>2.2852063330000001</v>
      </c>
      <c r="BY119">
        <v>1.0983499999999999</v>
      </c>
      <c r="BZ119">
        <v>1.2885</v>
      </c>
      <c r="CA119">
        <v>2.0009999999999999</v>
      </c>
      <c r="CB119">
        <v>1.5215050000000001</v>
      </c>
      <c r="CC119">
        <v>1.5215050000000001</v>
      </c>
      <c r="CD119">
        <v>1.266405</v>
      </c>
      <c r="CE119">
        <v>1.0789299999999999</v>
      </c>
      <c r="CF119">
        <v>1.431405</v>
      </c>
      <c r="CG119" s="332"/>
      <c r="CH119">
        <v>1.098535</v>
      </c>
      <c r="CI119" s="332"/>
      <c r="CJ119" s="332"/>
      <c r="CK119" s="332"/>
      <c r="CL119" s="332"/>
      <c r="CM119" s="332"/>
      <c r="CN119" s="332"/>
      <c r="CO119" s="332"/>
      <c r="CP119">
        <v>0.97499999999999998</v>
      </c>
      <c r="CQ119">
        <v>0.91</v>
      </c>
      <c r="CR119">
        <v>0.91</v>
      </c>
      <c r="CS119">
        <v>0.97</v>
      </c>
      <c r="CT119">
        <v>0.99895</v>
      </c>
      <c r="CU119">
        <v>0.41</v>
      </c>
      <c r="CV119">
        <v>0.47</v>
      </c>
      <c r="CW119">
        <v>0.93500000000000005</v>
      </c>
      <c r="CX119">
        <v>0.67500000000000004</v>
      </c>
      <c r="CY119">
        <v>0.72499999999999998</v>
      </c>
      <c r="CZ119">
        <v>0.87749999999999995</v>
      </c>
      <c r="DA119">
        <v>0.91</v>
      </c>
      <c r="DB119">
        <v>0.89</v>
      </c>
      <c r="DC119">
        <v>0.90749999999999997</v>
      </c>
      <c r="DD119">
        <v>0.91500000000000004</v>
      </c>
      <c r="DE119">
        <v>0.89</v>
      </c>
      <c r="DI119">
        <v>0.97750000000000004</v>
      </c>
      <c r="DN119" s="332">
        <v>2.8499999999999999E-4</v>
      </c>
      <c r="DO119" s="332">
        <v>2.0000000000000001E-4</v>
      </c>
      <c r="DP119" s="332">
        <v>0</v>
      </c>
      <c r="DQ119" s="332">
        <v>1E-4</v>
      </c>
      <c r="DR119" s="332">
        <v>0</v>
      </c>
      <c r="DS119" s="332">
        <v>3.5999999999999999E-3</v>
      </c>
      <c r="DT119" s="332">
        <v>4.6999999999999999E-4</v>
      </c>
      <c r="DU119" s="332">
        <v>6.9999999999999999E-4</v>
      </c>
      <c r="DV119" s="332">
        <v>0</v>
      </c>
      <c r="DW119" s="332">
        <v>0</v>
      </c>
      <c r="DX119" s="332">
        <v>5.0000000000000001E-4</v>
      </c>
      <c r="DY119" s="332">
        <v>5.0000000000000001E-4</v>
      </c>
      <c r="DZ119" s="332">
        <v>2.9999999999999997E-4</v>
      </c>
      <c r="EA119" s="332">
        <v>2.7500000000000002E-4</v>
      </c>
      <c r="EB119" s="332">
        <v>4.0000000000000002E-4</v>
      </c>
      <c r="ED119" s="332">
        <v>6.4999999999999994E-5</v>
      </c>
      <c r="EF119">
        <v>1</v>
      </c>
    </row>
    <row r="120" spans="1:136" x14ac:dyDescent="0.25">
      <c r="A120" s="66">
        <v>40026</v>
      </c>
      <c r="B120">
        <v>0.98</v>
      </c>
      <c r="C120">
        <v>0.98799999999999999</v>
      </c>
      <c r="D120">
        <v>0.96</v>
      </c>
      <c r="E120">
        <f t="shared" si="14"/>
        <v>0.97799999999999998</v>
      </c>
      <c r="F120">
        <v>0.97699999999999998</v>
      </c>
      <c r="G120">
        <v>0.97085399999999999</v>
      </c>
      <c r="H120">
        <v>0.98750000000000004</v>
      </c>
      <c r="I120">
        <v>0.98750000000000004</v>
      </c>
      <c r="J120">
        <v>0.98050000000000004</v>
      </c>
      <c r="K120">
        <v>0.98499999999999999</v>
      </c>
      <c r="L120" s="333">
        <v>0.98750000000000004</v>
      </c>
      <c r="M120" s="333">
        <v>0.98750000000000004</v>
      </c>
      <c r="N120">
        <v>0.98</v>
      </c>
      <c r="O120">
        <v>0.98750000000000004</v>
      </c>
      <c r="P120">
        <v>0.98</v>
      </c>
      <c r="Q120" s="328">
        <v>0.98750000000000004</v>
      </c>
      <c r="R120">
        <v>0.98750000000000004</v>
      </c>
      <c r="S120" s="333">
        <v>0.98750000000000004</v>
      </c>
      <c r="T120">
        <v>0.98</v>
      </c>
      <c r="U120">
        <v>0.98</v>
      </c>
      <c r="V120">
        <v>0.98</v>
      </c>
      <c r="W120">
        <v>0.98</v>
      </c>
      <c r="X120">
        <v>0.98750000000000004</v>
      </c>
      <c r="Y120">
        <v>0.98750000000000004</v>
      </c>
      <c r="Z120">
        <v>0.98750000000000004</v>
      </c>
      <c r="AA120">
        <v>0.98750000000000004</v>
      </c>
      <c r="AB120">
        <v>0.98</v>
      </c>
      <c r="AC120">
        <v>0.98</v>
      </c>
      <c r="AD120">
        <v>0.98750000000000004</v>
      </c>
      <c r="AE120">
        <v>0.98750000000000004</v>
      </c>
      <c r="AF120">
        <v>0.98</v>
      </c>
      <c r="AG120">
        <v>0.99</v>
      </c>
      <c r="AH120">
        <v>0.97775400000000001</v>
      </c>
      <c r="AI120">
        <v>0.97775400000000001</v>
      </c>
      <c r="AJ120">
        <v>0.98</v>
      </c>
      <c r="AK120">
        <v>1</v>
      </c>
      <c r="AL120">
        <v>0.98499999999999999</v>
      </c>
      <c r="AM120">
        <v>0.98499999999999999</v>
      </c>
      <c r="AS120">
        <v>0.97699999999999998</v>
      </c>
      <c r="AT120" s="328">
        <v>0.97750000000000004</v>
      </c>
      <c r="AU120">
        <v>0.97775400000000001</v>
      </c>
      <c r="AV120">
        <v>0.98499999999999999</v>
      </c>
      <c r="AW120">
        <v>0.98499999999999999</v>
      </c>
      <c r="AX120">
        <v>0.98499999999999999</v>
      </c>
      <c r="AY120">
        <v>0.97775400000000001</v>
      </c>
      <c r="AZ120">
        <v>0.97775400000000001</v>
      </c>
      <c r="BA120">
        <v>0.98499999999999999</v>
      </c>
      <c r="BB120" s="446">
        <v>1</v>
      </c>
      <c r="BC120">
        <v>1</v>
      </c>
      <c r="BD120">
        <v>1</v>
      </c>
      <c r="BE120">
        <v>1</v>
      </c>
      <c r="BF120">
        <v>0.99990000000000001</v>
      </c>
      <c r="BG120">
        <v>1</v>
      </c>
      <c r="BH120">
        <v>1</v>
      </c>
      <c r="BI120">
        <v>0.99</v>
      </c>
      <c r="BJ120">
        <v>0.999</v>
      </c>
      <c r="BK120">
        <v>0.998</v>
      </c>
      <c r="BL120">
        <v>0.99850000000000005</v>
      </c>
      <c r="BM120">
        <v>0.99850000000000005</v>
      </c>
      <c r="BN120">
        <v>0.97199999999999998</v>
      </c>
      <c r="BO120">
        <v>0.99990000000000001</v>
      </c>
      <c r="BP120">
        <v>0.99990000000000001</v>
      </c>
      <c r="BQ120">
        <v>1</v>
      </c>
      <c r="BR120">
        <v>1.0966376</v>
      </c>
      <c r="BS120">
        <v>1.1120000000000001</v>
      </c>
      <c r="BT120">
        <v>1.0827</v>
      </c>
      <c r="BU120">
        <v>1.0163</v>
      </c>
      <c r="BV120">
        <v>1</v>
      </c>
      <c r="BW120">
        <v>2.2578</v>
      </c>
      <c r="BX120">
        <v>2.2856763330000001</v>
      </c>
      <c r="BY120">
        <v>1.0990500000000001</v>
      </c>
      <c r="BZ120">
        <v>1.2885</v>
      </c>
      <c r="CA120">
        <v>2.0009999999999999</v>
      </c>
      <c r="CB120">
        <v>1.5220050000000001</v>
      </c>
      <c r="CC120">
        <v>1.5220050000000001</v>
      </c>
      <c r="CD120">
        <v>1.266705</v>
      </c>
      <c r="CE120">
        <v>1.079205</v>
      </c>
      <c r="CF120">
        <v>1.431805</v>
      </c>
      <c r="CG120" s="332"/>
      <c r="CH120">
        <v>1.0986</v>
      </c>
      <c r="CI120" s="332"/>
      <c r="CJ120" s="332"/>
      <c r="CK120" s="332"/>
      <c r="CL120" s="332"/>
      <c r="CM120" s="332"/>
      <c r="CN120" s="332"/>
      <c r="CO120" s="332"/>
      <c r="CP120">
        <v>0.97499999999999998</v>
      </c>
      <c r="CQ120">
        <v>0.91</v>
      </c>
      <c r="CR120">
        <v>0.91</v>
      </c>
      <c r="CS120">
        <v>0.97</v>
      </c>
      <c r="CT120">
        <v>0.99895</v>
      </c>
      <c r="CU120">
        <v>0.43</v>
      </c>
      <c r="CV120">
        <v>0.52</v>
      </c>
      <c r="CW120">
        <v>0.92500000000000004</v>
      </c>
      <c r="CX120">
        <v>0.76500000000000001</v>
      </c>
      <c r="CY120">
        <v>0.72499999999999998</v>
      </c>
      <c r="CZ120">
        <v>0.89</v>
      </c>
      <c r="DA120">
        <v>0.92249999999999999</v>
      </c>
      <c r="DB120">
        <v>0.91500000000000004</v>
      </c>
      <c r="DC120">
        <v>0.92749999999999999</v>
      </c>
      <c r="DD120">
        <v>0.91500000000000004</v>
      </c>
      <c r="DE120">
        <v>0.89</v>
      </c>
      <c r="DI120">
        <v>0.97750000000000004</v>
      </c>
      <c r="DN120" s="332">
        <v>2.8499999999999999E-4</v>
      </c>
      <c r="DO120" s="332">
        <v>2.0000000000000001E-4</v>
      </c>
      <c r="DP120" s="332">
        <v>0</v>
      </c>
      <c r="DQ120" s="332">
        <v>1E-4</v>
      </c>
      <c r="DR120" s="332">
        <v>0</v>
      </c>
      <c r="DS120" s="332">
        <v>3.5999999999999999E-3</v>
      </c>
      <c r="DT120" s="332">
        <v>4.6999999999999999E-4</v>
      </c>
      <c r="DU120" s="332">
        <v>6.9999999999999999E-4</v>
      </c>
      <c r="DV120" s="332">
        <v>0</v>
      </c>
      <c r="DW120" s="332">
        <v>0</v>
      </c>
      <c r="DX120" s="332">
        <v>5.0000000000000001E-4</v>
      </c>
      <c r="DY120" s="332">
        <v>5.0000000000000001E-4</v>
      </c>
      <c r="DZ120" s="332">
        <v>2.9999999999999997E-4</v>
      </c>
      <c r="EA120" s="332">
        <v>2.7500000000000002E-4</v>
      </c>
      <c r="EB120" s="332">
        <v>4.0000000000000002E-4</v>
      </c>
      <c r="ED120" s="332">
        <v>6.4999999999999994E-5</v>
      </c>
      <c r="EF120">
        <v>1</v>
      </c>
    </row>
    <row r="121" spans="1:136" x14ac:dyDescent="0.25">
      <c r="A121" s="66">
        <v>40057</v>
      </c>
      <c r="B121">
        <v>0.98</v>
      </c>
      <c r="C121">
        <v>0.98799999999999999</v>
      </c>
      <c r="D121">
        <v>0.96</v>
      </c>
      <c r="E121">
        <f t="shared" si="14"/>
        <v>0.97799999999999998</v>
      </c>
      <c r="F121">
        <v>0.97699999999999998</v>
      </c>
      <c r="G121">
        <v>0.98750000000000004</v>
      </c>
      <c r="H121">
        <v>0.98750000000000004</v>
      </c>
      <c r="I121">
        <v>0.98750000000000004</v>
      </c>
      <c r="J121">
        <v>0.98050000000000004</v>
      </c>
      <c r="K121">
        <v>0.98499999999999999</v>
      </c>
      <c r="L121" s="333">
        <v>0.98750000000000004</v>
      </c>
      <c r="M121" s="333">
        <v>0.98750000000000004</v>
      </c>
      <c r="N121">
        <v>0.98</v>
      </c>
      <c r="O121">
        <v>0.98750000000000004</v>
      </c>
      <c r="P121">
        <v>0.98</v>
      </c>
      <c r="Q121" s="328">
        <v>0.98750000000000004</v>
      </c>
      <c r="R121">
        <v>0.98750000000000004</v>
      </c>
      <c r="S121" s="333">
        <v>0.98750000000000004</v>
      </c>
      <c r="T121">
        <v>0.98</v>
      </c>
      <c r="U121">
        <v>0.98</v>
      </c>
      <c r="V121">
        <v>0.98</v>
      </c>
      <c r="W121">
        <v>0.98</v>
      </c>
      <c r="X121">
        <v>0.98750000000000004</v>
      </c>
      <c r="Y121">
        <v>0.98750000000000004</v>
      </c>
      <c r="Z121">
        <v>0.98750000000000004</v>
      </c>
      <c r="AA121">
        <v>0.98750000000000004</v>
      </c>
      <c r="AB121">
        <v>0.98</v>
      </c>
      <c r="AC121">
        <v>0.98</v>
      </c>
      <c r="AD121">
        <v>0.98750000000000004</v>
      </c>
      <c r="AE121">
        <v>0.98750000000000004</v>
      </c>
      <c r="AF121">
        <v>0.98</v>
      </c>
      <c r="AG121">
        <v>0.99</v>
      </c>
      <c r="AH121">
        <v>0.97781185000000004</v>
      </c>
      <c r="AI121">
        <v>0.97781185000000004</v>
      </c>
      <c r="AJ121">
        <v>0.98</v>
      </c>
      <c r="AK121">
        <v>1</v>
      </c>
      <c r="AL121">
        <v>0.98499999999999999</v>
      </c>
      <c r="AM121">
        <v>0.98499999999999999</v>
      </c>
      <c r="AS121">
        <v>0.97699999999999998</v>
      </c>
      <c r="AT121" s="328">
        <v>0.97750000000000004</v>
      </c>
      <c r="AU121">
        <v>0.97781185000000004</v>
      </c>
      <c r="AV121">
        <v>0.98499999999999999</v>
      </c>
      <c r="AW121">
        <v>0.98499999999999999</v>
      </c>
      <c r="AX121">
        <v>0.98499999999999999</v>
      </c>
      <c r="AY121">
        <v>0.97781185000000004</v>
      </c>
      <c r="AZ121">
        <v>0.97781185000000004</v>
      </c>
      <c r="BA121">
        <v>0.98499999999999999</v>
      </c>
      <c r="BB121" s="446">
        <v>1</v>
      </c>
      <c r="BC121">
        <v>1</v>
      </c>
      <c r="BD121">
        <v>1</v>
      </c>
      <c r="BE121">
        <v>1</v>
      </c>
      <c r="BF121">
        <v>0.99990000000000001</v>
      </c>
      <c r="BG121">
        <v>1</v>
      </c>
      <c r="BH121">
        <v>1</v>
      </c>
      <c r="BI121">
        <v>0.99</v>
      </c>
      <c r="BJ121">
        <v>0.999</v>
      </c>
      <c r="BK121">
        <v>0.998</v>
      </c>
      <c r="BL121">
        <v>0.99850000000000005</v>
      </c>
      <c r="BM121">
        <v>0.99850000000000005</v>
      </c>
      <c r="BN121">
        <v>0.97199999999999998</v>
      </c>
      <c r="BO121">
        <v>0.99990000000000001</v>
      </c>
      <c r="BP121">
        <v>0.99990000000000001</v>
      </c>
      <c r="BQ121">
        <v>1</v>
      </c>
      <c r="BR121">
        <v>1.0969226000000001</v>
      </c>
      <c r="BS121">
        <v>1.1122000000000001</v>
      </c>
      <c r="BT121">
        <v>1.0827</v>
      </c>
      <c r="BU121">
        <v>1.0164</v>
      </c>
      <c r="BV121">
        <v>1</v>
      </c>
      <c r="BW121">
        <v>2.2614000000000001</v>
      </c>
      <c r="BX121">
        <v>2.286146333</v>
      </c>
      <c r="BY121">
        <v>1.09975</v>
      </c>
      <c r="BZ121">
        <v>1.2885</v>
      </c>
      <c r="CA121">
        <v>2.0009999999999999</v>
      </c>
      <c r="CB121">
        <v>1.522505</v>
      </c>
      <c r="CC121">
        <v>1.522505</v>
      </c>
      <c r="CD121">
        <v>1.2670049999999999</v>
      </c>
      <c r="CE121">
        <v>1.07948</v>
      </c>
      <c r="CF121">
        <v>1.432205</v>
      </c>
      <c r="CG121" s="332"/>
      <c r="CH121">
        <v>1.098665</v>
      </c>
      <c r="CI121" s="332"/>
      <c r="CJ121" s="332"/>
      <c r="CK121" s="332"/>
      <c r="CL121" s="332"/>
      <c r="CM121" s="332"/>
      <c r="CN121" s="332"/>
      <c r="CO121" s="332"/>
      <c r="CP121">
        <v>0.97499999999999998</v>
      </c>
      <c r="CQ121">
        <v>0.91</v>
      </c>
      <c r="CR121">
        <v>0.91</v>
      </c>
      <c r="CS121">
        <v>0.95</v>
      </c>
      <c r="CT121">
        <v>0.99895</v>
      </c>
      <c r="CU121">
        <v>0.46</v>
      </c>
      <c r="CV121">
        <v>0.55000000000000004</v>
      </c>
      <c r="CW121">
        <v>0.92500000000000004</v>
      </c>
      <c r="CX121">
        <v>0.625</v>
      </c>
      <c r="CY121">
        <v>0.57499999999999996</v>
      </c>
      <c r="CZ121">
        <v>0.94499999999999995</v>
      </c>
      <c r="DA121">
        <v>0.97750000000000004</v>
      </c>
      <c r="DB121">
        <v>0.94499999999999995</v>
      </c>
      <c r="DC121">
        <v>0.92</v>
      </c>
      <c r="DD121">
        <v>0.91500000000000004</v>
      </c>
      <c r="DE121">
        <v>0.89</v>
      </c>
      <c r="DI121">
        <v>0.97750000000000004</v>
      </c>
      <c r="DN121" s="332">
        <v>2.8499999999999999E-4</v>
      </c>
      <c r="DO121" s="332">
        <v>2.0000000000000001E-4</v>
      </c>
      <c r="DP121" s="332">
        <v>0</v>
      </c>
      <c r="DQ121" s="332">
        <v>1E-4</v>
      </c>
      <c r="DR121" s="332">
        <v>0</v>
      </c>
      <c r="DS121" s="332">
        <v>3.5999999999999999E-3</v>
      </c>
      <c r="DT121" s="332">
        <v>4.6999999999999999E-4</v>
      </c>
      <c r="DU121" s="332">
        <v>6.9999999999999999E-4</v>
      </c>
      <c r="DV121" s="332">
        <v>0</v>
      </c>
      <c r="DW121" s="332">
        <v>0</v>
      </c>
      <c r="DX121" s="332">
        <v>5.0000000000000001E-4</v>
      </c>
      <c r="DY121" s="332">
        <v>5.0000000000000001E-4</v>
      </c>
      <c r="DZ121" s="332">
        <v>2.9999999999999997E-4</v>
      </c>
      <c r="EA121" s="332">
        <v>2.7500000000000002E-4</v>
      </c>
      <c r="EB121" s="332">
        <v>4.0000000000000002E-4</v>
      </c>
      <c r="ED121" s="332">
        <v>6.4999999999999994E-5</v>
      </c>
      <c r="EF121">
        <v>1</v>
      </c>
    </row>
    <row r="122" spans="1:136" x14ac:dyDescent="0.25">
      <c r="A122" s="66">
        <v>40087</v>
      </c>
      <c r="B122">
        <v>0.98</v>
      </c>
      <c r="C122">
        <v>0.98799999999999999</v>
      </c>
      <c r="D122">
        <v>0.96</v>
      </c>
      <c r="E122">
        <f t="shared" si="14"/>
        <v>0.99399999999999999</v>
      </c>
      <c r="F122">
        <v>0.97699999999999998</v>
      </c>
      <c r="G122">
        <v>0.98750000000000004</v>
      </c>
      <c r="H122">
        <v>0.98750000000000004</v>
      </c>
      <c r="I122">
        <v>0.98750000000000004</v>
      </c>
      <c r="J122">
        <v>0.98050000000000004</v>
      </c>
      <c r="K122">
        <v>0.98499999999999999</v>
      </c>
      <c r="L122" s="333">
        <v>0.98750000000000004</v>
      </c>
      <c r="M122" s="333">
        <v>0.98750000000000004</v>
      </c>
      <c r="N122">
        <v>0.98</v>
      </c>
      <c r="O122">
        <v>0.97447888800000004</v>
      </c>
      <c r="P122">
        <v>0.98</v>
      </c>
      <c r="Q122" s="328">
        <v>0.98750000000000004</v>
      </c>
      <c r="R122">
        <v>0.98750000000000004</v>
      </c>
      <c r="S122" s="333">
        <v>0.98750000000000004</v>
      </c>
      <c r="T122">
        <v>0.98</v>
      </c>
      <c r="U122">
        <v>0.98</v>
      </c>
      <c r="V122">
        <v>0.98</v>
      </c>
      <c r="W122">
        <v>0.98</v>
      </c>
      <c r="X122">
        <v>0.97447888800000004</v>
      </c>
      <c r="Y122">
        <v>0.97447888800000004</v>
      </c>
      <c r="Z122">
        <v>0.97447888800000004</v>
      </c>
      <c r="AA122">
        <v>0.97447888800000004</v>
      </c>
      <c r="AB122">
        <v>0.98</v>
      </c>
      <c r="AC122">
        <v>0.98</v>
      </c>
      <c r="AD122">
        <v>0.97447888800000004</v>
      </c>
      <c r="AE122">
        <v>0.97447888800000004</v>
      </c>
      <c r="AF122">
        <v>0.98</v>
      </c>
      <c r="AG122">
        <v>0.99</v>
      </c>
      <c r="AH122">
        <v>0.97786969999999995</v>
      </c>
      <c r="AI122">
        <v>0.97786969999999995</v>
      </c>
      <c r="AJ122">
        <v>0.98</v>
      </c>
      <c r="AK122">
        <v>1</v>
      </c>
      <c r="AL122">
        <v>0.98499999999999999</v>
      </c>
      <c r="AM122">
        <v>0.98499999999999999</v>
      </c>
      <c r="AS122">
        <v>0.97699999999999998</v>
      </c>
      <c r="AT122" s="328">
        <v>0.97750000000000004</v>
      </c>
      <c r="AU122">
        <v>0.97786969999999995</v>
      </c>
      <c r="AV122">
        <v>0.98499999999999999</v>
      </c>
      <c r="AW122">
        <v>0.98499999999999999</v>
      </c>
      <c r="AX122">
        <v>0.98499999999999999</v>
      </c>
      <c r="AY122">
        <v>0.97786969999999995</v>
      </c>
      <c r="AZ122">
        <v>0.97786969999999995</v>
      </c>
      <c r="BA122">
        <v>0.98499999999999999</v>
      </c>
      <c r="BB122" s="446">
        <v>1</v>
      </c>
      <c r="BC122">
        <v>1</v>
      </c>
      <c r="BD122">
        <v>1</v>
      </c>
      <c r="BE122">
        <v>1</v>
      </c>
      <c r="BF122">
        <v>0.99990000000000001</v>
      </c>
      <c r="BG122">
        <v>1</v>
      </c>
      <c r="BH122">
        <v>1</v>
      </c>
      <c r="BI122">
        <v>0.99</v>
      </c>
      <c r="BJ122">
        <v>0.999</v>
      </c>
      <c r="BK122">
        <v>0.998</v>
      </c>
      <c r="BL122">
        <v>0.99850000000000005</v>
      </c>
      <c r="BM122">
        <v>0.99850000000000005</v>
      </c>
      <c r="BN122">
        <v>0.97199999999999998</v>
      </c>
      <c r="BO122">
        <v>0.99990000000000001</v>
      </c>
      <c r="BP122">
        <v>0.99990000000000001</v>
      </c>
      <c r="BQ122">
        <v>1</v>
      </c>
      <c r="BR122">
        <v>1.0972075999999999</v>
      </c>
      <c r="BS122">
        <v>1.1124000000000001</v>
      </c>
      <c r="BT122">
        <v>1.0827</v>
      </c>
      <c r="BU122">
        <v>1.0165</v>
      </c>
      <c r="BV122">
        <v>1</v>
      </c>
      <c r="BW122">
        <v>2.2650000000000001</v>
      </c>
      <c r="BX122">
        <v>2.286616333</v>
      </c>
      <c r="BY122">
        <v>1.1004499999999999</v>
      </c>
      <c r="BZ122">
        <v>1.2885</v>
      </c>
      <c r="CA122">
        <v>2.0009999999999999</v>
      </c>
      <c r="CB122">
        <v>1.5230049999999999</v>
      </c>
      <c r="CC122">
        <v>1.5230049999999999</v>
      </c>
      <c r="CD122">
        <v>1.2673049999999999</v>
      </c>
      <c r="CE122">
        <v>1.079755</v>
      </c>
      <c r="CF122">
        <v>1.4326049999999999</v>
      </c>
      <c r="CG122" s="332"/>
      <c r="CH122">
        <v>1.09873</v>
      </c>
      <c r="CI122" s="332"/>
      <c r="CJ122" s="332"/>
      <c r="CK122" s="332"/>
      <c r="CL122" s="332"/>
      <c r="CM122" s="332"/>
      <c r="CN122" s="332"/>
      <c r="CO122" s="332"/>
      <c r="CP122">
        <v>0.95499999999999996</v>
      </c>
      <c r="CQ122">
        <v>0.9</v>
      </c>
      <c r="CR122">
        <v>0.91</v>
      </c>
      <c r="CS122">
        <v>0.94</v>
      </c>
      <c r="CT122">
        <v>0.99895</v>
      </c>
      <c r="CU122">
        <v>0.46</v>
      </c>
      <c r="CV122">
        <v>0.45</v>
      </c>
      <c r="CW122">
        <v>0.92500000000000004</v>
      </c>
      <c r="CX122">
        <v>0.61499999999999999</v>
      </c>
      <c r="CY122">
        <v>0.505</v>
      </c>
      <c r="CZ122">
        <v>0.80500000000000005</v>
      </c>
      <c r="DA122">
        <v>0.83750000000000002</v>
      </c>
      <c r="DB122">
        <v>0.875</v>
      </c>
      <c r="DC122">
        <v>0.90249999999999997</v>
      </c>
      <c r="DD122">
        <v>0.82</v>
      </c>
      <c r="DE122">
        <v>0.89</v>
      </c>
      <c r="DI122">
        <v>0.97750000000000004</v>
      </c>
      <c r="DN122" s="332">
        <v>2.8499999999999999E-4</v>
      </c>
      <c r="DO122" s="332">
        <v>2.0000000000000001E-4</v>
      </c>
      <c r="DP122" s="332">
        <v>0</v>
      </c>
      <c r="DQ122" s="332">
        <v>1E-4</v>
      </c>
      <c r="DR122" s="332">
        <v>0</v>
      </c>
      <c r="DS122" s="332">
        <v>3.5999999999999999E-3</v>
      </c>
      <c r="DT122" s="332">
        <v>4.6999999999999999E-4</v>
      </c>
      <c r="DU122" s="332">
        <v>6.9999999999999999E-4</v>
      </c>
      <c r="DV122" s="332">
        <v>0</v>
      </c>
      <c r="DW122" s="332">
        <v>0</v>
      </c>
      <c r="DX122" s="332">
        <v>5.0000000000000001E-4</v>
      </c>
      <c r="DY122" s="332">
        <v>5.0000000000000001E-4</v>
      </c>
      <c r="DZ122" s="332">
        <v>2.9999999999999997E-4</v>
      </c>
      <c r="EA122" s="332">
        <v>2.7500000000000002E-4</v>
      </c>
      <c r="EB122" s="332">
        <v>4.0000000000000002E-4</v>
      </c>
      <c r="ED122" s="332">
        <v>6.4999999999999994E-5</v>
      </c>
      <c r="EF122">
        <v>1</v>
      </c>
    </row>
    <row r="123" spans="1:136" x14ac:dyDescent="0.25">
      <c r="A123" s="66">
        <v>40118</v>
      </c>
      <c r="B123">
        <v>0.98</v>
      </c>
      <c r="C123">
        <v>0.98799999999999999</v>
      </c>
      <c r="D123">
        <v>0.96</v>
      </c>
      <c r="E123">
        <f>E111</f>
        <v>0.99399999999999999</v>
      </c>
      <c r="F123">
        <v>0.97699999999999998</v>
      </c>
      <c r="G123">
        <v>0.98750000000000004</v>
      </c>
      <c r="H123">
        <v>0.98750000000000004</v>
      </c>
      <c r="I123">
        <v>0.98750000000000004</v>
      </c>
      <c r="J123">
        <v>0.98050000000000004</v>
      </c>
      <c r="K123">
        <v>0.97048500000000004</v>
      </c>
      <c r="L123" s="333">
        <v>0.98750000000000004</v>
      </c>
      <c r="M123" s="333">
        <v>0.98750000000000004</v>
      </c>
      <c r="N123">
        <v>0.98</v>
      </c>
      <c r="O123">
        <v>0.974727075</v>
      </c>
      <c r="P123">
        <v>0.98</v>
      </c>
      <c r="Q123" s="328">
        <v>0.98750000000000004</v>
      </c>
      <c r="R123">
        <v>0.98750000000000004</v>
      </c>
      <c r="S123" s="333">
        <v>0.98750000000000004</v>
      </c>
      <c r="T123">
        <v>0.98</v>
      </c>
      <c r="U123">
        <v>0.98</v>
      </c>
      <c r="V123">
        <v>0.98</v>
      </c>
      <c r="W123">
        <v>0.98</v>
      </c>
      <c r="X123">
        <v>0.974727075</v>
      </c>
      <c r="Y123">
        <v>0.974727075</v>
      </c>
      <c r="Z123">
        <v>0.974727075</v>
      </c>
      <c r="AA123">
        <v>0.974727075</v>
      </c>
      <c r="AB123">
        <v>0.98</v>
      </c>
      <c r="AC123">
        <v>0.98</v>
      </c>
      <c r="AD123">
        <v>0.974727075</v>
      </c>
      <c r="AE123">
        <v>0.974727075</v>
      </c>
      <c r="AF123">
        <v>0.98</v>
      </c>
      <c r="AG123">
        <v>0.99</v>
      </c>
      <c r="AH123">
        <v>0.97792754999999998</v>
      </c>
      <c r="AI123">
        <v>0.97792754999999998</v>
      </c>
      <c r="AJ123">
        <v>0.98</v>
      </c>
      <c r="AK123">
        <v>1</v>
      </c>
      <c r="AL123">
        <v>0.97048500000000004</v>
      </c>
      <c r="AM123">
        <v>0.97443000000000002</v>
      </c>
      <c r="AS123">
        <v>0.97699999999999998</v>
      </c>
      <c r="AT123" s="328">
        <v>0.97750000000000004</v>
      </c>
      <c r="AU123">
        <v>0.97792754999999998</v>
      </c>
      <c r="AV123">
        <v>0.97443000000000002</v>
      </c>
      <c r="AW123">
        <v>0.97443000000000002</v>
      </c>
      <c r="AX123">
        <v>0.97443000000000002</v>
      </c>
      <c r="AY123">
        <v>0.97792754999999998</v>
      </c>
      <c r="AZ123">
        <v>0.97792754999999998</v>
      </c>
      <c r="BA123">
        <v>0.97443000000000002</v>
      </c>
      <c r="BB123" s="446">
        <v>1</v>
      </c>
      <c r="BC123">
        <v>1</v>
      </c>
      <c r="BD123">
        <v>1</v>
      </c>
      <c r="BE123">
        <v>1</v>
      </c>
      <c r="BF123">
        <v>0.99990000000000001</v>
      </c>
      <c r="BG123">
        <v>1</v>
      </c>
      <c r="BH123">
        <v>1</v>
      </c>
      <c r="BI123">
        <v>0.99</v>
      </c>
      <c r="BJ123">
        <v>0.999</v>
      </c>
      <c r="BK123">
        <v>0.998</v>
      </c>
      <c r="BL123">
        <v>0.99850000000000005</v>
      </c>
      <c r="BM123">
        <v>0.99850000000000005</v>
      </c>
      <c r="BN123">
        <v>0.97199999999999998</v>
      </c>
      <c r="BO123">
        <v>0.99990000000000001</v>
      </c>
      <c r="BP123">
        <v>0.99990000000000001</v>
      </c>
      <c r="BQ123">
        <v>1</v>
      </c>
      <c r="BR123">
        <v>1.0974926</v>
      </c>
      <c r="BS123">
        <v>1.1126</v>
      </c>
      <c r="BT123">
        <v>1.0827</v>
      </c>
      <c r="BU123">
        <v>1.0165999999999999</v>
      </c>
      <c r="BV123">
        <v>1</v>
      </c>
      <c r="BW123">
        <v>2.2686000000000002</v>
      </c>
      <c r="BX123">
        <v>2.287086333</v>
      </c>
      <c r="BY123">
        <v>1.1011500000000001</v>
      </c>
      <c r="BZ123">
        <v>1.2885</v>
      </c>
      <c r="CA123">
        <v>2.0009999999999999</v>
      </c>
      <c r="CB123">
        <v>1.5235050000000001</v>
      </c>
      <c r="CC123">
        <v>1.5235050000000001</v>
      </c>
      <c r="CD123">
        <v>1.2676050000000001</v>
      </c>
      <c r="CE123">
        <v>1.08003</v>
      </c>
      <c r="CF123">
        <v>1.4330050000000001</v>
      </c>
      <c r="CG123" s="332"/>
      <c r="CH123">
        <v>1.098795</v>
      </c>
      <c r="CI123" s="332"/>
      <c r="CJ123" s="332"/>
      <c r="CK123" s="332"/>
      <c r="CL123" s="332"/>
      <c r="CM123" s="332"/>
      <c r="CN123" s="332"/>
      <c r="CO123" s="332"/>
      <c r="CP123">
        <v>0.95499999999999996</v>
      </c>
      <c r="CQ123">
        <v>0.9</v>
      </c>
      <c r="CR123">
        <v>0.9</v>
      </c>
      <c r="CS123">
        <v>0.94</v>
      </c>
      <c r="CT123">
        <v>0.999</v>
      </c>
      <c r="CU123">
        <v>0.48</v>
      </c>
      <c r="CV123">
        <v>0.46</v>
      </c>
      <c r="CW123">
        <v>0.90500000000000003</v>
      </c>
      <c r="CX123">
        <v>0.57499999999999996</v>
      </c>
      <c r="CY123">
        <v>0.48499999999999999</v>
      </c>
      <c r="CZ123">
        <v>0.79500000000000004</v>
      </c>
      <c r="DA123">
        <v>0.82750000000000001</v>
      </c>
      <c r="DB123">
        <v>0.85</v>
      </c>
      <c r="DC123">
        <v>0.90249999999999997</v>
      </c>
      <c r="DD123">
        <v>0.82</v>
      </c>
      <c r="DE123">
        <v>0.89</v>
      </c>
      <c r="DI123">
        <v>0.97750000000000004</v>
      </c>
      <c r="DN123" s="332">
        <v>2.8499999999999999E-4</v>
      </c>
      <c r="DO123" s="332">
        <v>2.0000000000000001E-4</v>
      </c>
      <c r="DP123" s="332">
        <v>0</v>
      </c>
      <c r="DQ123" s="332">
        <v>1E-4</v>
      </c>
      <c r="DR123" s="332">
        <v>0</v>
      </c>
      <c r="DS123" s="332">
        <v>3.5999999999999999E-3</v>
      </c>
      <c r="DT123" s="332">
        <v>4.6999999999999999E-4</v>
      </c>
      <c r="DU123" s="332">
        <v>6.9999999999999999E-4</v>
      </c>
      <c r="DV123" s="332">
        <v>0</v>
      </c>
      <c r="DW123" s="332">
        <v>0</v>
      </c>
      <c r="DX123" s="332">
        <v>5.0000000000000001E-4</v>
      </c>
      <c r="DY123" s="332">
        <v>5.0000000000000001E-4</v>
      </c>
      <c r="DZ123" s="332">
        <v>2.9999999999999997E-4</v>
      </c>
      <c r="EA123" s="332">
        <v>2.7500000000000002E-4</v>
      </c>
      <c r="EB123" s="332">
        <v>4.0000000000000002E-4</v>
      </c>
      <c r="ED123" s="332">
        <v>6.4999999999999994E-5</v>
      </c>
      <c r="EF123">
        <v>1</v>
      </c>
    </row>
    <row r="124" spans="1:136" x14ac:dyDescent="0.25">
      <c r="A124" s="66">
        <v>40148</v>
      </c>
      <c r="B124">
        <v>0.98</v>
      </c>
      <c r="C124">
        <v>0.98799999999999999</v>
      </c>
      <c r="D124">
        <v>0.96</v>
      </c>
      <c r="E124">
        <f>E112</f>
        <v>0.99399999999999999</v>
      </c>
      <c r="F124">
        <v>0.97699999999999998</v>
      </c>
      <c r="G124">
        <v>0.98750000000000004</v>
      </c>
      <c r="H124">
        <v>0.98750000000000004</v>
      </c>
      <c r="I124">
        <v>0.96411875000000002</v>
      </c>
      <c r="J124">
        <v>0.98050000000000004</v>
      </c>
      <c r="K124">
        <v>0.97048500000000004</v>
      </c>
      <c r="L124" s="333">
        <v>0.89916295000000002</v>
      </c>
      <c r="M124" s="333">
        <v>0.94869311199999995</v>
      </c>
      <c r="N124">
        <v>0.87485444999999995</v>
      </c>
      <c r="O124">
        <v>0.964172213</v>
      </c>
      <c r="P124">
        <v>0.87485444999999995</v>
      </c>
      <c r="Q124" s="328">
        <v>0.89916295000000002</v>
      </c>
      <c r="R124">
        <v>0.89916295000000002</v>
      </c>
      <c r="S124" s="333">
        <v>0.89916295000000002</v>
      </c>
      <c r="T124">
        <v>0.87485444999999995</v>
      </c>
      <c r="U124">
        <v>0.87485444999999995</v>
      </c>
      <c r="V124">
        <v>0.87485444999999995</v>
      </c>
      <c r="W124">
        <v>0.87485444999999995</v>
      </c>
      <c r="X124">
        <v>0.964172213</v>
      </c>
      <c r="Y124">
        <v>0.964172213</v>
      </c>
      <c r="Z124">
        <v>0.964172213</v>
      </c>
      <c r="AA124">
        <v>0.964172213</v>
      </c>
      <c r="AB124">
        <v>0.87485444999999995</v>
      </c>
      <c r="AC124">
        <v>0.87485444999999995</v>
      </c>
      <c r="AD124">
        <v>0.964172213</v>
      </c>
      <c r="AE124">
        <v>0.964172213</v>
      </c>
      <c r="AF124">
        <v>0.87485444999999995</v>
      </c>
      <c r="AG124">
        <v>0.98</v>
      </c>
      <c r="AH124">
        <v>0.9779854</v>
      </c>
      <c r="AI124">
        <v>0.9779854</v>
      </c>
      <c r="AJ124">
        <v>0.87485444999999995</v>
      </c>
      <c r="AK124">
        <v>1</v>
      </c>
      <c r="AL124">
        <v>0.97048500000000004</v>
      </c>
      <c r="AM124">
        <v>0.95277599999999996</v>
      </c>
      <c r="AS124">
        <v>0.97699999999999998</v>
      </c>
      <c r="AT124" s="328">
        <v>0.97750000000000004</v>
      </c>
      <c r="AU124">
        <v>0.9779854</v>
      </c>
      <c r="AV124">
        <v>0.95277599999999996</v>
      </c>
      <c r="AW124">
        <v>0.95277599999999996</v>
      </c>
      <c r="AX124">
        <v>0.95277599999999996</v>
      </c>
      <c r="AY124">
        <v>0.9779854</v>
      </c>
      <c r="AZ124">
        <v>0.9779854</v>
      </c>
      <c r="BA124">
        <v>0.95277599999999996</v>
      </c>
      <c r="BB124" s="446">
        <v>1</v>
      </c>
      <c r="BC124">
        <v>1</v>
      </c>
      <c r="BD124">
        <v>1</v>
      </c>
      <c r="BE124">
        <v>1</v>
      </c>
      <c r="BF124">
        <v>0.99990000000000001</v>
      </c>
      <c r="BG124">
        <v>1</v>
      </c>
      <c r="BH124">
        <v>1</v>
      </c>
      <c r="BI124">
        <v>0.99</v>
      </c>
      <c r="BJ124">
        <v>0.999</v>
      </c>
      <c r="BK124">
        <v>0.998</v>
      </c>
      <c r="BL124">
        <v>0.99850000000000005</v>
      </c>
      <c r="BM124">
        <v>0.99850000000000005</v>
      </c>
      <c r="BN124">
        <v>0.97199999999999998</v>
      </c>
      <c r="BO124">
        <v>0.99990000000000001</v>
      </c>
      <c r="BP124">
        <v>0.99990000000000001</v>
      </c>
      <c r="BQ124">
        <v>1</v>
      </c>
      <c r="BR124">
        <v>1.0977775999999999</v>
      </c>
      <c r="BS124">
        <v>1.1128</v>
      </c>
      <c r="BT124">
        <v>1.0827</v>
      </c>
      <c r="BU124">
        <v>1.0166999999999999</v>
      </c>
      <c r="BV124">
        <v>1</v>
      </c>
      <c r="BW124">
        <v>2.2722000000000002</v>
      </c>
      <c r="BX124">
        <v>2.2875563329999999</v>
      </c>
      <c r="BY124">
        <v>1.10185</v>
      </c>
      <c r="BZ124">
        <v>1.2885</v>
      </c>
      <c r="CA124">
        <v>2.0009999999999999</v>
      </c>
      <c r="CB124">
        <v>1.5240050000000001</v>
      </c>
      <c r="CC124">
        <v>1.5240050000000001</v>
      </c>
      <c r="CD124">
        <v>1.2679050000000001</v>
      </c>
      <c r="CE124">
        <v>1.0803050000000001</v>
      </c>
      <c r="CF124">
        <v>1.433405</v>
      </c>
      <c r="CG124" s="332"/>
      <c r="CH124">
        <v>1.0988599999999999</v>
      </c>
      <c r="CI124" s="332"/>
      <c r="CJ124" s="332"/>
      <c r="CK124" s="332"/>
      <c r="CL124" s="332"/>
      <c r="CM124" s="332"/>
      <c r="CN124" s="332"/>
      <c r="CO124" s="332"/>
      <c r="CP124">
        <v>0.93500000000000005</v>
      </c>
      <c r="CQ124">
        <v>0.89</v>
      </c>
      <c r="CR124">
        <v>0.88</v>
      </c>
      <c r="CS124">
        <v>0.92</v>
      </c>
      <c r="CT124">
        <v>0.999</v>
      </c>
      <c r="CU124">
        <v>0.51</v>
      </c>
      <c r="CV124">
        <v>0.48</v>
      </c>
      <c r="CW124">
        <v>0.875</v>
      </c>
      <c r="CX124">
        <v>0.57999999999999996</v>
      </c>
      <c r="CY124">
        <v>0.48499999999999999</v>
      </c>
      <c r="CZ124">
        <v>0.59</v>
      </c>
      <c r="DA124">
        <v>0.62250000000000005</v>
      </c>
      <c r="DB124">
        <v>0.69</v>
      </c>
      <c r="DC124">
        <v>0.89249999999999996</v>
      </c>
      <c r="DD124">
        <v>0.71499999999999997</v>
      </c>
      <c r="DE124">
        <v>0.89</v>
      </c>
      <c r="DI124">
        <v>0.97750000000000004</v>
      </c>
      <c r="DN124" s="332">
        <v>2.8499999999999999E-4</v>
      </c>
      <c r="DO124" s="332">
        <v>2.0000000000000001E-4</v>
      </c>
      <c r="DP124" s="332">
        <v>0</v>
      </c>
      <c r="DQ124" s="332">
        <v>1E-4</v>
      </c>
      <c r="DR124" s="332">
        <v>0</v>
      </c>
      <c r="DS124" s="332">
        <v>3.5999999999999999E-3</v>
      </c>
      <c r="DT124" s="332">
        <v>4.6999999999999999E-4</v>
      </c>
      <c r="DU124" s="332">
        <v>6.9999999999999999E-4</v>
      </c>
      <c r="DV124" s="332">
        <v>0</v>
      </c>
      <c r="DW124" s="332">
        <v>0</v>
      </c>
      <c r="DX124" s="332">
        <v>5.0000000000000001E-4</v>
      </c>
      <c r="DY124" s="332">
        <v>5.0000000000000001E-4</v>
      </c>
      <c r="DZ124" s="332">
        <v>2.9999999999999997E-4</v>
      </c>
      <c r="EA124" s="332">
        <v>2.7500000000000002E-4</v>
      </c>
      <c r="EB124" s="332">
        <v>4.0000000000000002E-4</v>
      </c>
      <c r="ED124" s="332">
        <v>6.4999999999999994E-5</v>
      </c>
      <c r="EF124">
        <v>1</v>
      </c>
    </row>
    <row r="125" spans="1:136" x14ac:dyDescent="0.25">
      <c r="A125" s="66">
        <v>40179</v>
      </c>
      <c r="B125">
        <v>0.98</v>
      </c>
      <c r="C125">
        <v>0.95718000000000003</v>
      </c>
      <c r="D125">
        <v>0.96</v>
      </c>
      <c r="E125">
        <f>E113</f>
        <v>0.99399999999999999</v>
      </c>
      <c r="F125">
        <v>0.97699999999999998</v>
      </c>
      <c r="G125">
        <v>0.98750000000000004</v>
      </c>
      <c r="H125">
        <v>0.98750000000000004</v>
      </c>
      <c r="I125">
        <v>0.88755275</v>
      </c>
      <c r="J125">
        <v>0.98050000000000004</v>
      </c>
      <c r="K125">
        <v>0.98499999999999999</v>
      </c>
      <c r="L125" s="333">
        <v>0.92232552499999998</v>
      </c>
      <c r="M125" s="333">
        <v>0.97187193699999996</v>
      </c>
      <c r="N125">
        <v>0.87506145000000002</v>
      </c>
      <c r="O125">
        <v>0.95091040000000004</v>
      </c>
      <c r="P125">
        <v>0.87506145000000002</v>
      </c>
      <c r="Q125" s="328">
        <v>0.92232552499999998</v>
      </c>
      <c r="R125">
        <v>0.92232552499999998</v>
      </c>
      <c r="S125" s="333">
        <v>0.92232552499999998</v>
      </c>
      <c r="T125">
        <v>0.87506145000000002</v>
      </c>
      <c r="U125">
        <v>0.87506145000000002</v>
      </c>
      <c r="V125">
        <v>0.87506145000000002</v>
      </c>
      <c r="W125">
        <v>0.87506145000000002</v>
      </c>
      <c r="X125">
        <v>0.95091040000000004</v>
      </c>
      <c r="Y125">
        <v>0.95091040000000004</v>
      </c>
      <c r="Z125">
        <v>0.95091040000000004</v>
      </c>
      <c r="AA125">
        <v>0.95091040000000004</v>
      </c>
      <c r="AB125">
        <v>0.87506145000000002</v>
      </c>
      <c r="AC125">
        <v>0.87506145000000002</v>
      </c>
      <c r="AD125">
        <v>0.95091040000000004</v>
      </c>
      <c r="AE125">
        <v>0.95091040000000004</v>
      </c>
      <c r="AF125">
        <v>0.87506145000000002</v>
      </c>
      <c r="AG125">
        <v>0.98</v>
      </c>
      <c r="AH125">
        <v>0.97804325000000003</v>
      </c>
      <c r="AI125">
        <v>0.97804325000000003</v>
      </c>
      <c r="AJ125">
        <v>0.87506145000000002</v>
      </c>
      <c r="AK125">
        <v>1</v>
      </c>
      <c r="AL125">
        <v>0.98499999999999999</v>
      </c>
      <c r="AM125">
        <v>0.94194900000000004</v>
      </c>
      <c r="AS125">
        <v>0.97699999999999998</v>
      </c>
      <c r="AT125" s="328">
        <v>0.97750000000000004</v>
      </c>
      <c r="AU125">
        <v>0.97804325000000003</v>
      </c>
      <c r="AV125">
        <v>0.94194900000000004</v>
      </c>
      <c r="AW125">
        <v>0.94194900000000004</v>
      </c>
      <c r="AX125">
        <v>0.94194900000000004</v>
      </c>
      <c r="AY125">
        <v>0.97804325000000003</v>
      </c>
      <c r="AZ125">
        <v>0.97804325000000003</v>
      </c>
      <c r="BA125">
        <v>0.94194900000000004</v>
      </c>
      <c r="BB125" s="446">
        <v>1</v>
      </c>
      <c r="BC125">
        <v>1</v>
      </c>
      <c r="BD125">
        <v>1</v>
      </c>
      <c r="BE125">
        <v>1</v>
      </c>
      <c r="BF125">
        <v>0.99990000000000001</v>
      </c>
      <c r="BG125">
        <v>1</v>
      </c>
      <c r="BH125">
        <v>1</v>
      </c>
      <c r="BI125">
        <v>0.99</v>
      </c>
      <c r="BJ125">
        <v>0.999</v>
      </c>
      <c r="BK125">
        <v>0.998</v>
      </c>
      <c r="BL125">
        <v>0.99850000000000005</v>
      </c>
      <c r="BM125">
        <v>0.99850000000000005</v>
      </c>
      <c r="BN125">
        <v>0.97199999999999998</v>
      </c>
      <c r="BO125">
        <v>0.99990000000000001</v>
      </c>
      <c r="BP125">
        <v>0.99990000000000001</v>
      </c>
      <c r="BQ125">
        <v>1</v>
      </c>
      <c r="BR125">
        <v>1.0980626</v>
      </c>
      <c r="BS125">
        <v>1.113</v>
      </c>
      <c r="BT125">
        <v>1.0827</v>
      </c>
      <c r="BU125">
        <v>1.0167999999999999</v>
      </c>
      <c r="BV125">
        <v>1</v>
      </c>
      <c r="BW125">
        <v>2.2757999999999998</v>
      </c>
      <c r="BX125">
        <v>2.2880263329999999</v>
      </c>
      <c r="BY125">
        <v>1.1025499999999999</v>
      </c>
      <c r="BZ125">
        <v>1.2885</v>
      </c>
      <c r="CA125">
        <v>2.0009999999999999</v>
      </c>
      <c r="CB125">
        <v>1.524505</v>
      </c>
      <c r="CC125">
        <v>1.524505</v>
      </c>
      <c r="CD125">
        <v>1.268205</v>
      </c>
      <c r="CE125">
        <v>1.0805800000000001</v>
      </c>
      <c r="CF125">
        <v>1.433805</v>
      </c>
      <c r="CG125" s="332"/>
      <c r="CH125">
        <v>1.0989249999999999</v>
      </c>
      <c r="CI125" s="332"/>
      <c r="CJ125" s="332"/>
      <c r="CK125" s="332"/>
      <c r="CL125" s="332"/>
      <c r="CM125" s="332"/>
      <c r="CN125" s="332"/>
      <c r="CO125" s="332"/>
      <c r="CP125">
        <v>0.89500000000000002</v>
      </c>
      <c r="CQ125">
        <v>0.86</v>
      </c>
      <c r="CR125">
        <v>0.87</v>
      </c>
      <c r="CS125">
        <v>0.92</v>
      </c>
      <c r="CT125">
        <v>0.999</v>
      </c>
      <c r="CU125">
        <v>0.57999999999999996</v>
      </c>
      <c r="CV125">
        <v>0.45</v>
      </c>
      <c r="CW125">
        <v>0.80500000000000005</v>
      </c>
      <c r="CX125">
        <v>0.59</v>
      </c>
      <c r="CY125">
        <v>0.505</v>
      </c>
      <c r="CZ125">
        <v>0.60499999999999998</v>
      </c>
      <c r="DA125">
        <v>0.63749999999999996</v>
      </c>
      <c r="DB125">
        <v>0.69</v>
      </c>
      <c r="DC125">
        <v>0.88</v>
      </c>
      <c r="DD125">
        <v>0.64</v>
      </c>
      <c r="DE125">
        <v>0.89</v>
      </c>
      <c r="DI125">
        <v>0.97750000000000004</v>
      </c>
      <c r="DN125" s="332">
        <v>2.8499999999999999E-4</v>
      </c>
      <c r="DO125" s="332">
        <v>2.0000000000000001E-4</v>
      </c>
      <c r="DP125" s="332">
        <v>0</v>
      </c>
      <c r="DQ125" s="332">
        <v>1E-4</v>
      </c>
      <c r="DR125" s="332">
        <v>0</v>
      </c>
      <c r="DS125" s="332">
        <v>3.5999999999999999E-3</v>
      </c>
      <c r="DT125" s="332">
        <v>4.6999999999999999E-4</v>
      </c>
      <c r="DU125" s="332">
        <v>6.9999999999999999E-4</v>
      </c>
      <c r="DV125" s="332">
        <v>0</v>
      </c>
      <c r="DW125" s="332">
        <v>0</v>
      </c>
      <c r="DX125" s="332">
        <v>5.0000000000000001E-4</v>
      </c>
      <c r="DY125" s="332">
        <v>5.0000000000000001E-4</v>
      </c>
      <c r="DZ125" s="332">
        <v>2.9999999999999997E-4</v>
      </c>
      <c r="EA125" s="332">
        <v>2.7500000000000002E-4</v>
      </c>
      <c r="EB125" s="332">
        <v>4.0000000000000002E-4</v>
      </c>
      <c r="ED125" s="332">
        <v>6.4999999999999994E-5</v>
      </c>
      <c r="EF125">
        <v>1</v>
      </c>
    </row>
    <row r="126" spans="1:136" x14ac:dyDescent="0.25">
      <c r="A126" s="66">
        <v>40210</v>
      </c>
      <c r="B126">
        <v>0.98</v>
      </c>
      <c r="C126">
        <v>0.95735199999999998</v>
      </c>
      <c r="D126">
        <v>0.96</v>
      </c>
      <c r="E126">
        <f>E114</f>
        <v>0.99399999999999999</v>
      </c>
      <c r="F126">
        <v>0.97699999999999998</v>
      </c>
      <c r="G126">
        <v>0.98750000000000004</v>
      </c>
      <c r="H126">
        <v>0.98750000000000004</v>
      </c>
      <c r="I126">
        <v>0.93224625000000005</v>
      </c>
      <c r="J126">
        <v>0.98050000000000004</v>
      </c>
      <c r="K126">
        <v>0.98499999999999999</v>
      </c>
      <c r="L126" s="333">
        <v>0.96837817500000001</v>
      </c>
      <c r="M126" s="333">
        <v>0.98750000000000004</v>
      </c>
      <c r="N126">
        <v>0.90063855000000004</v>
      </c>
      <c r="O126">
        <v>0.94845026300000002</v>
      </c>
      <c r="P126">
        <v>0.90063855000000004</v>
      </c>
      <c r="Q126" s="328">
        <v>0.96837817500000001</v>
      </c>
      <c r="R126">
        <v>0.96837817500000001</v>
      </c>
      <c r="S126" s="333">
        <v>0.96837817500000001</v>
      </c>
      <c r="T126">
        <v>0.90063855000000004</v>
      </c>
      <c r="U126">
        <v>0.90063855000000004</v>
      </c>
      <c r="V126">
        <v>0.90063855000000004</v>
      </c>
      <c r="W126">
        <v>0.90063855000000004</v>
      </c>
      <c r="X126">
        <v>0.94845026300000002</v>
      </c>
      <c r="Y126">
        <v>0.94845026300000002</v>
      </c>
      <c r="Z126">
        <v>0.94845026300000002</v>
      </c>
      <c r="AA126">
        <v>0.94845026300000002</v>
      </c>
      <c r="AB126">
        <v>0.90063855000000004</v>
      </c>
      <c r="AC126">
        <v>0.90063855000000004</v>
      </c>
      <c r="AD126">
        <v>0.94845026300000002</v>
      </c>
      <c r="AE126">
        <v>0.94845026300000002</v>
      </c>
      <c r="AF126">
        <v>0.90063855000000004</v>
      </c>
      <c r="AG126">
        <v>0.98</v>
      </c>
      <c r="AH126">
        <v>0.97810109999999995</v>
      </c>
      <c r="AI126">
        <v>0.97810109999999995</v>
      </c>
      <c r="AJ126">
        <v>0.90063855000000004</v>
      </c>
      <c r="AK126">
        <v>1</v>
      </c>
      <c r="AL126">
        <v>0.98499999999999999</v>
      </c>
      <c r="AM126">
        <v>0.96360299999999999</v>
      </c>
      <c r="AS126">
        <v>0.97699999999999998</v>
      </c>
      <c r="AT126" s="328">
        <v>0.97750000000000004</v>
      </c>
      <c r="AU126">
        <v>0.97810109999999995</v>
      </c>
      <c r="AV126">
        <v>0.96360299999999999</v>
      </c>
      <c r="AW126">
        <v>0.96360299999999999</v>
      </c>
      <c r="AX126">
        <v>0.96360299999999999</v>
      </c>
      <c r="AY126">
        <v>0.97810109999999995</v>
      </c>
      <c r="AZ126">
        <v>0.97810109999999995</v>
      </c>
      <c r="BA126">
        <v>0.96360299999999999</v>
      </c>
      <c r="BB126" s="446">
        <v>1</v>
      </c>
      <c r="BC126">
        <v>1</v>
      </c>
      <c r="BD126">
        <v>1</v>
      </c>
      <c r="BE126">
        <v>1</v>
      </c>
      <c r="BF126">
        <v>0.99990000000000001</v>
      </c>
      <c r="BG126">
        <v>1</v>
      </c>
      <c r="BH126">
        <v>1</v>
      </c>
      <c r="BI126">
        <v>0.99</v>
      </c>
      <c r="BJ126">
        <v>0.999</v>
      </c>
      <c r="BK126">
        <v>0.998</v>
      </c>
      <c r="BL126">
        <v>0.99850000000000005</v>
      </c>
      <c r="BM126">
        <v>0.99850000000000005</v>
      </c>
      <c r="BN126">
        <v>0.97199999999999998</v>
      </c>
      <c r="BO126">
        <v>0.99990000000000001</v>
      </c>
      <c r="BP126">
        <v>0.99990000000000001</v>
      </c>
      <c r="BQ126">
        <v>1</v>
      </c>
      <c r="BR126">
        <v>1.0983476000000001</v>
      </c>
      <c r="BS126">
        <v>1.1132</v>
      </c>
      <c r="BT126">
        <v>1.0827</v>
      </c>
      <c r="BU126">
        <v>1.0168999999999999</v>
      </c>
      <c r="BV126">
        <v>1</v>
      </c>
      <c r="BW126">
        <v>2.2793999999999999</v>
      </c>
      <c r="BX126">
        <v>2.2884963329999999</v>
      </c>
      <c r="BY126">
        <v>1.1032500000000001</v>
      </c>
      <c r="BZ126">
        <v>1.2885</v>
      </c>
      <c r="CA126">
        <v>2.0009999999999999</v>
      </c>
      <c r="CB126">
        <v>1.5250049999999999</v>
      </c>
      <c r="CC126">
        <v>1.5250049999999999</v>
      </c>
      <c r="CD126">
        <v>1.268505</v>
      </c>
      <c r="CE126">
        <v>1.0808549999999999</v>
      </c>
      <c r="CF126">
        <v>1.434205</v>
      </c>
      <c r="CG126" s="332"/>
      <c r="CH126">
        <v>1.0989899999999999</v>
      </c>
      <c r="CI126" s="332"/>
      <c r="CJ126" s="332"/>
      <c r="CK126" s="332"/>
      <c r="CL126" s="332"/>
      <c r="CM126" s="332"/>
      <c r="CN126" s="332"/>
      <c r="CO126" s="332"/>
      <c r="CP126">
        <v>0.86499999999999999</v>
      </c>
      <c r="CQ126">
        <v>0.86</v>
      </c>
      <c r="CR126">
        <v>0.89</v>
      </c>
      <c r="CS126">
        <v>0.93500000000000005</v>
      </c>
      <c r="CT126">
        <v>0.99895</v>
      </c>
      <c r="CU126">
        <v>0.57999999999999996</v>
      </c>
      <c r="CV126">
        <v>0.45</v>
      </c>
      <c r="CW126">
        <v>0.84499999999999997</v>
      </c>
      <c r="CX126">
        <v>0.69499999999999995</v>
      </c>
      <c r="CY126">
        <v>0.505</v>
      </c>
      <c r="CZ126">
        <v>0.63500000000000001</v>
      </c>
      <c r="DA126">
        <v>0.66749999999999998</v>
      </c>
      <c r="DB126">
        <v>0.71</v>
      </c>
      <c r="DC126">
        <v>0.87749999999999995</v>
      </c>
      <c r="DD126">
        <v>0.67</v>
      </c>
      <c r="DE126">
        <v>0.89</v>
      </c>
      <c r="DI126">
        <v>0.97750000000000004</v>
      </c>
      <c r="DN126" s="332">
        <v>2.8499999999999999E-4</v>
      </c>
      <c r="DO126" s="332">
        <v>2.0000000000000001E-4</v>
      </c>
      <c r="DP126" s="332">
        <v>0</v>
      </c>
      <c r="DQ126" s="332">
        <v>1E-4</v>
      </c>
      <c r="DR126" s="332">
        <v>0</v>
      </c>
      <c r="DS126" s="332">
        <v>3.5999999999999999E-3</v>
      </c>
      <c r="DT126" s="332">
        <v>4.6999999999999999E-4</v>
      </c>
      <c r="DU126" s="332">
        <v>6.9999999999999999E-4</v>
      </c>
      <c r="DV126" s="332">
        <v>0</v>
      </c>
      <c r="DW126" s="332">
        <v>0</v>
      </c>
      <c r="DX126" s="332">
        <v>5.0000000000000001E-4</v>
      </c>
      <c r="DY126" s="332">
        <v>5.0000000000000001E-4</v>
      </c>
      <c r="DZ126" s="332">
        <v>2.9999999999999997E-4</v>
      </c>
      <c r="EA126" s="332">
        <v>2.7500000000000002E-4</v>
      </c>
      <c r="EB126" s="332">
        <v>4.0000000000000002E-4</v>
      </c>
      <c r="ED126" s="332">
        <v>6.4999999999999994E-5</v>
      </c>
      <c r="EF126">
        <v>1</v>
      </c>
    </row>
    <row r="127" spans="1:136" x14ac:dyDescent="0.25">
      <c r="A127" s="66">
        <v>40238</v>
      </c>
      <c r="B127">
        <v>0.98</v>
      </c>
      <c r="C127">
        <v>0.98799999999999999</v>
      </c>
      <c r="D127">
        <v>0.96</v>
      </c>
      <c r="E127">
        <f>E115</f>
        <v>0.99399999999999999</v>
      </c>
      <c r="F127">
        <v>0.97699999999999998</v>
      </c>
      <c r="G127">
        <v>0.98750000000000004</v>
      </c>
      <c r="H127">
        <v>0.98750000000000004</v>
      </c>
      <c r="I127">
        <v>0.96595624999999996</v>
      </c>
      <c r="J127">
        <v>0.98050000000000004</v>
      </c>
      <c r="K127">
        <v>0.98499999999999999</v>
      </c>
      <c r="L127" s="333">
        <v>0.98750000000000004</v>
      </c>
      <c r="M127" s="333">
        <v>0.98750000000000004</v>
      </c>
      <c r="N127">
        <v>0.98</v>
      </c>
      <c r="O127">
        <v>0.97301700000000002</v>
      </c>
      <c r="P127">
        <v>0.98</v>
      </c>
      <c r="Q127" s="328">
        <v>0.98750000000000004</v>
      </c>
      <c r="R127">
        <v>0.98750000000000004</v>
      </c>
      <c r="S127" s="333">
        <v>0.98750000000000004</v>
      </c>
      <c r="T127">
        <v>0.98</v>
      </c>
      <c r="U127">
        <v>0.98</v>
      </c>
      <c r="V127">
        <v>0.98</v>
      </c>
      <c r="W127">
        <v>0.98</v>
      </c>
      <c r="X127">
        <v>0.97301700000000002</v>
      </c>
      <c r="Y127">
        <v>0.97301700000000002</v>
      </c>
      <c r="Z127">
        <v>0.97301700000000002</v>
      </c>
      <c r="AA127">
        <v>0.97301700000000002</v>
      </c>
      <c r="AB127">
        <v>0.98</v>
      </c>
      <c r="AC127">
        <v>0.98</v>
      </c>
      <c r="AD127">
        <v>0.97301700000000002</v>
      </c>
      <c r="AE127">
        <v>0.97301700000000002</v>
      </c>
      <c r="AF127">
        <v>0.98</v>
      </c>
      <c r="AG127">
        <v>0.99</v>
      </c>
      <c r="AH127">
        <v>0.97815894999999997</v>
      </c>
      <c r="AI127">
        <v>0.97815894999999997</v>
      </c>
      <c r="AJ127">
        <v>0.98</v>
      </c>
      <c r="AK127">
        <v>1</v>
      </c>
      <c r="AL127">
        <v>0.98499999999999999</v>
      </c>
      <c r="AM127">
        <v>0.98499999999999999</v>
      </c>
      <c r="AS127">
        <v>0.97699999999999998</v>
      </c>
      <c r="AT127" s="328">
        <v>0.97750000000000004</v>
      </c>
      <c r="AU127">
        <v>0.97815894999999997</v>
      </c>
      <c r="AV127">
        <v>0.98499999999999999</v>
      </c>
      <c r="AW127">
        <v>0.98499999999999999</v>
      </c>
      <c r="AX127">
        <v>0.98499999999999999</v>
      </c>
      <c r="AY127">
        <v>0.97815894999999997</v>
      </c>
      <c r="AZ127">
        <v>0.97815894999999997</v>
      </c>
      <c r="BA127">
        <v>0.98499999999999999</v>
      </c>
      <c r="BB127" s="446">
        <v>1</v>
      </c>
      <c r="BC127">
        <v>1</v>
      </c>
      <c r="BD127">
        <v>1</v>
      </c>
      <c r="BE127">
        <v>1</v>
      </c>
      <c r="BF127">
        <v>0.99990000000000001</v>
      </c>
      <c r="BG127">
        <v>1</v>
      </c>
      <c r="BH127">
        <v>1</v>
      </c>
      <c r="BI127">
        <v>0.99</v>
      </c>
      <c r="BJ127">
        <v>0.999</v>
      </c>
      <c r="BK127">
        <v>0.998</v>
      </c>
      <c r="BL127">
        <v>0.99850000000000005</v>
      </c>
      <c r="BM127">
        <v>0.99850000000000005</v>
      </c>
      <c r="BN127">
        <v>0.97199999999999998</v>
      </c>
      <c r="BO127">
        <v>0.99990000000000001</v>
      </c>
      <c r="BP127">
        <v>0.99990000000000001</v>
      </c>
      <c r="BQ127">
        <v>1</v>
      </c>
      <c r="BR127">
        <v>1.0986326</v>
      </c>
      <c r="BS127">
        <v>1.1133999999999999</v>
      </c>
      <c r="BT127">
        <v>1.0827</v>
      </c>
      <c r="BU127">
        <v>1.0169999999999999</v>
      </c>
      <c r="BV127">
        <v>1</v>
      </c>
      <c r="BW127">
        <v>2.2829999999999999</v>
      </c>
      <c r="BX127">
        <v>2.2889663329999999</v>
      </c>
      <c r="BY127">
        <v>1.10395</v>
      </c>
      <c r="BZ127">
        <v>1.2885</v>
      </c>
      <c r="CA127">
        <v>2.0009999999999999</v>
      </c>
      <c r="CB127">
        <v>1.5255050000000001</v>
      </c>
      <c r="CC127">
        <v>1.5255050000000001</v>
      </c>
      <c r="CD127">
        <v>1.268805</v>
      </c>
      <c r="CE127">
        <v>1.0811299999999999</v>
      </c>
      <c r="CF127">
        <v>1.4346049999999999</v>
      </c>
      <c r="CG127" s="332"/>
      <c r="CH127">
        <v>1.0990549999999999</v>
      </c>
      <c r="CI127" s="332"/>
      <c r="CJ127" s="332"/>
      <c r="CK127" s="332"/>
      <c r="CL127" s="332"/>
      <c r="CM127" s="332"/>
      <c r="CN127" s="332"/>
      <c r="CO127" s="332"/>
      <c r="CP127">
        <v>0.86499999999999999</v>
      </c>
      <c r="CQ127">
        <v>0.89</v>
      </c>
      <c r="CR127">
        <v>0.91</v>
      </c>
      <c r="CS127">
        <v>0.93500000000000005</v>
      </c>
      <c r="CT127">
        <v>0.99895</v>
      </c>
      <c r="CU127">
        <v>0.54</v>
      </c>
      <c r="CV127">
        <v>0.45</v>
      </c>
      <c r="CW127">
        <v>0.875</v>
      </c>
      <c r="CX127">
        <v>0.86499999999999999</v>
      </c>
      <c r="CY127">
        <v>0.51500000000000001</v>
      </c>
      <c r="CZ127">
        <v>0.78500000000000003</v>
      </c>
      <c r="DA127">
        <v>0.8175</v>
      </c>
      <c r="DB127">
        <v>0.8</v>
      </c>
      <c r="DC127">
        <v>0.9</v>
      </c>
      <c r="DD127">
        <v>0.83</v>
      </c>
      <c r="DE127">
        <v>0.89</v>
      </c>
      <c r="DI127">
        <v>0.97750000000000004</v>
      </c>
      <c r="DN127" s="332">
        <v>2.8499999999999999E-4</v>
      </c>
      <c r="DO127" s="332">
        <v>2.0000000000000001E-4</v>
      </c>
      <c r="DP127" s="332">
        <v>0</v>
      </c>
      <c r="DQ127" s="332">
        <v>1E-4</v>
      </c>
      <c r="DR127" s="332">
        <v>0</v>
      </c>
      <c r="DS127" s="332">
        <v>3.5999999999999999E-3</v>
      </c>
      <c r="DT127" s="332">
        <v>4.6999999999999999E-4</v>
      </c>
      <c r="DU127" s="332">
        <v>6.9999999999999999E-4</v>
      </c>
      <c r="DV127" s="332">
        <v>0</v>
      </c>
      <c r="DW127" s="332">
        <v>0</v>
      </c>
      <c r="DX127" s="332">
        <v>5.0000000000000001E-4</v>
      </c>
      <c r="DY127" s="332">
        <v>5.0000000000000001E-4</v>
      </c>
      <c r="DZ127" s="332">
        <v>2.9999999999999997E-4</v>
      </c>
      <c r="EA127" s="332">
        <v>2.7500000000000002E-4</v>
      </c>
      <c r="EB127" s="332">
        <v>4.0000000000000002E-4</v>
      </c>
      <c r="ED127" s="332">
        <v>6.4999999999999994E-5</v>
      </c>
      <c r="EF127">
        <v>1</v>
      </c>
    </row>
    <row r="128" spans="1:136" x14ac:dyDescent="0.25">
      <c r="A128" s="66">
        <v>40269</v>
      </c>
      <c r="B128">
        <v>0.98</v>
      </c>
      <c r="C128">
        <v>0.98799999999999999</v>
      </c>
      <c r="D128">
        <v>0.96</v>
      </c>
      <c r="E128">
        <v>0.98499999999999999</v>
      </c>
      <c r="F128">
        <v>0.97699999999999998</v>
      </c>
      <c r="G128">
        <v>0.98750000000000004</v>
      </c>
      <c r="H128">
        <v>0.96156326000000003</v>
      </c>
      <c r="I128">
        <v>0.98750000000000004</v>
      </c>
      <c r="J128">
        <v>0.98050000000000004</v>
      </c>
      <c r="K128">
        <v>0.98499999999999999</v>
      </c>
      <c r="L128" s="333">
        <v>0.98750000000000004</v>
      </c>
      <c r="M128" s="333">
        <v>0.98750000000000004</v>
      </c>
      <c r="N128">
        <v>0.98</v>
      </c>
      <c r="O128">
        <v>0.97650871500000003</v>
      </c>
      <c r="P128">
        <v>0.98</v>
      </c>
      <c r="Q128" s="328">
        <v>0.98750000000000004</v>
      </c>
      <c r="R128">
        <v>0.98750000000000004</v>
      </c>
      <c r="S128" s="333">
        <v>0.98750000000000004</v>
      </c>
      <c r="T128">
        <v>0.98</v>
      </c>
      <c r="U128">
        <v>0.98</v>
      </c>
      <c r="V128">
        <v>0.98</v>
      </c>
      <c r="W128">
        <v>0.98</v>
      </c>
      <c r="X128">
        <v>0.97650871500000003</v>
      </c>
      <c r="Y128">
        <v>0.97650871500000003</v>
      </c>
      <c r="Z128">
        <v>0.97650871500000003</v>
      </c>
      <c r="AA128">
        <v>0.97650871500000003</v>
      </c>
      <c r="AB128">
        <v>0.98</v>
      </c>
      <c r="AC128">
        <v>0.98</v>
      </c>
      <c r="AD128">
        <v>0.97650871500000003</v>
      </c>
      <c r="AE128">
        <v>0.97650871500000003</v>
      </c>
      <c r="AF128">
        <v>0.98</v>
      </c>
      <c r="AG128">
        <v>0.99</v>
      </c>
      <c r="AH128">
        <v>0.9782168</v>
      </c>
      <c r="AI128">
        <v>0.9782168</v>
      </c>
      <c r="AJ128">
        <v>0.98</v>
      </c>
      <c r="AK128">
        <v>1</v>
      </c>
      <c r="AL128">
        <v>0.98499999999999999</v>
      </c>
      <c r="AM128">
        <v>0.98499999999999999</v>
      </c>
      <c r="AS128">
        <v>0.97699999999999998</v>
      </c>
      <c r="AT128" s="328">
        <v>0.97750000000000004</v>
      </c>
      <c r="AU128">
        <v>0.9782168</v>
      </c>
      <c r="AV128">
        <v>0.98499999999999999</v>
      </c>
      <c r="AW128">
        <v>0.98499999999999999</v>
      </c>
      <c r="AX128">
        <v>0.98499999999999999</v>
      </c>
      <c r="AY128">
        <v>0.9782168</v>
      </c>
      <c r="AZ128">
        <v>0.9782168</v>
      </c>
      <c r="BA128">
        <v>0.98499999999999999</v>
      </c>
      <c r="BB128" s="446">
        <v>1</v>
      </c>
      <c r="BC128">
        <v>1</v>
      </c>
      <c r="BD128">
        <v>1</v>
      </c>
      <c r="BE128">
        <v>1</v>
      </c>
      <c r="BF128">
        <v>0.99990000000000001</v>
      </c>
      <c r="BG128">
        <v>1</v>
      </c>
      <c r="BH128">
        <v>1</v>
      </c>
      <c r="BI128">
        <v>0.99</v>
      </c>
      <c r="BJ128">
        <v>0.999</v>
      </c>
      <c r="BK128">
        <v>0.998</v>
      </c>
      <c r="BL128">
        <v>0.99850000000000005</v>
      </c>
      <c r="BM128">
        <v>0.99850000000000005</v>
      </c>
      <c r="BN128">
        <v>0.97199999999999998</v>
      </c>
      <c r="BO128">
        <v>0.99990000000000001</v>
      </c>
      <c r="BP128">
        <v>0.99990000000000001</v>
      </c>
      <c r="BQ128">
        <v>1</v>
      </c>
      <c r="BR128">
        <v>1.0989176</v>
      </c>
      <c r="BS128">
        <v>1.1135999999999999</v>
      </c>
      <c r="BT128">
        <v>1.0827</v>
      </c>
      <c r="BU128">
        <v>1.0170999999999999</v>
      </c>
      <c r="BV128">
        <v>1</v>
      </c>
      <c r="BW128">
        <v>2.2866</v>
      </c>
      <c r="BX128">
        <v>2.2894363329999998</v>
      </c>
      <c r="BY128">
        <v>1.1046499999999999</v>
      </c>
      <c r="BZ128">
        <v>1.2885</v>
      </c>
      <c r="CA128">
        <v>2.0009999999999999</v>
      </c>
      <c r="CB128">
        <v>1.5260050000000001</v>
      </c>
      <c r="CC128">
        <v>1.5260050000000001</v>
      </c>
      <c r="CD128">
        <v>1.2691049999999999</v>
      </c>
      <c r="CE128">
        <v>1.0814049999999999</v>
      </c>
      <c r="CF128">
        <v>1.4350050000000001</v>
      </c>
      <c r="CG128" s="332"/>
      <c r="CH128">
        <v>1.0991200000000001</v>
      </c>
      <c r="CI128" s="332"/>
      <c r="CJ128" s="332"/>
      <c r="CK128" s="332"/>
      <c r="CL128" s="332"/>
      <c r="CM128" s="332"/>
      <c r="CN128" s="332"/>
      <c r="CO128" s="332"/>
      <c r="CP128">
        <v>0.89500000000000002</v>
      </c>
      <c r="CQ128">
        <v>0.9</v>
      </c>
      <c r="CR128">
        <v>0.91</v>
      </c>
      <c r="CS128">
        <v>0.96</v>
      </c>
      <c r="CT128">
        <v>0.99895</v>
      </c>
      <c r="CU128">
        <v>0.48</v>
      </c>
      <c r="CV128">
        <v>0.42</v>
      </c>
      <c r="CW128">
        <v>0.93500000000000005</v>
      </c>
      <c r="CX128">
        <v>0.85499999999999998</v>
      </c>
      <c r="CY128">
        <v>0.57499999999999996</v>
      </c>
      <c r="CZ128">
        <v>0.89500000000000002</v>
      </c>
      <c r="DA128">
        <v>0.92749999999999999</v>
      </c>
      <c r="DB128">
        <v>0.85</v>
      </c>
      <c r="DC128">
        <v>0.90300000000000002</v>
      </c>
      <c r="DD128">
        <v>0.92</v>
      </c>
      <c r="DE128">
        <v>0.89</v>
      </c>
      <c r="DI128">
        <v>0.97750000000000004</v>
      </c>
      <c r="DN128" s="332">
        <v>2.8499999999999999E-4</v>
      </c>
      <c r="DO128" s="332">
        <v>2.0000000000000001E-4</v>
      </c>
      <c r="DP128" s="332">
        <v>0</v>
      </c>
      <c r="DQ128" s="332">
        <v>1E-4</v>
      </c>
      <c r="DR128" s="332">
        <v>0</v>
      </c>
      <c r="DS128" s="332">
        <v>3.5999999999999999E-3</v>
      </c>
      <c r="DT128" s="332">
        <v>4.6999999999999999E-4</v>
      </c>
      <c r="DU128" s="332">
        <v>6.9999999999999999E-4</v>
      </c>
      <c r="DV128" s="332">
        <v>0</v>
      </c>
      <c r="DW128" s="332">
        <v>0</v>
      </c>
      <c r="DX128" s="332">
        <v>5.0000000000000001E-4</v>
      </c>
      <c r="DY128" s="332">
        <v>5.0000000000000001E-4</v>
      </c>
      <c r="DZ128" s="332">
        <v>2.9999999999999997E-4</v>
      </c>
      <c r="EA128" s="332">
        <v>2.7500000000000002E-4</v>
      </c>
      <c r="EB128" s="332">
        <v>4.0000000000000002E-4</v>
      </c>
      <c r="ED128" s="332">
        <v>6.4999999999999994E-5</v>
      </c>
      <c r="EF128">
        <v>1</v>
      </c>
    </row>
    <row r="129" spans="1:136" x14ac:dyDescent="0.25">
      <c r="A129" s="66">
        <v>40299</v>
      </c>
      <c r="B129">
        <v>0.98</v>
      </c>
      <c r="C129">
        <v>0.98799999999999999</v>
      </c>
      <c r="D129">
        <v>0.96</v>
      </c>
      <c r="E129">
        <v>0.98499999999999999</v>
      </c>
      <c r="F129">
        <v>0.97699999999999998</v>
      </c>
      <c r="G129">
        <v>0.77866800000000003</v>
      </c>
      <c r="H129">
        <v>0.96176066000000004</v>
      </c>
      <c r="I129">
        <v>0.98750000000000004</v>
      </c>
      <c r="J129">
        <v>0.98050000000000004</v>
      </c>
      <c r="K129">
        <v>0.98499999999999999</v>
      </c>
      <c r="L129" s="333">
        <v>0.98750000000000004</v>
      </c>
      <c r="M129" s="333">
        <v>0.98750000000000004</v>
      </c>
      <c r="N129">
        <v>0.98</v>
      </c>
      <c r="O129">
        <v>0.97351200000000004</v>
      </c>
      <c r="P129">
        <v>0.98</v>
      </c>
      <c r="Q129" s="328">
        <v>0.98750000000000004</v>
      </c>
      <c r="R129">
        <v>0.98750000000000004</v>
      </c>
      <c r="S129" s="333">
        <v>0.98750000000000004</v>
      </c>
      <c r="T129">
        <v>0.98</v>
      </c>
      <c r="U129">
        <v>0.98</v>
      </c>
      <c r="V129">
        <v>0.98</v>
      </c>
      <c r="W129">
        <v>0.98</v>
      </c>
      <c r="X129">
        <v>0.97351200000000004</v>
      </c>
      <c r="Y129">
        <v>0.97351200000000004</v>
      </c>
      <c r="Z129">
        <v>0.97351200000000004</v>
      </c>
      <c r="AA129">
        <v>0.97351200000000004</v>
      </c>
      <c r="AB129">
        <v>0.98</v>
      </c>
      <c r="AC129">
        <v>0.98</v>
      </c>
      <c r="AD129">
        <v>0.97351200000000004</v>
      </c>
      <c r="AE129">
        <v>0.97351200000000004</v>
      </c>
      <c r="AF129">
        <v>0.98</v>
      </c>
      <c r="AG129">
        <v>0.99</v>
      </c>
      <c r="AH129">
        <v>0.97827465000000002</v>
      </c>
      <c r="AI129">
        <v>0.97827465000000002</v>
      </c>
      <c r="AJ129">
        <v>0.98</v>
      </c>
      <c r="AK129">
        <v>1</v>
      </c>
      <c r="AL129">
        <v>0.98499999999999999</v>
      </c>
      <c r="AM129">
        <v>0.98499999999999999</v>
      </c>
      <c r="AS129">
        <v>0.97699999999999998</v>
      </c>
      <c r="AT129" s="328">
        <v>0.97750000000000004</v>
      </c>
      <c r="AU129">
        <v>0.97827465000000002</v>
      </c>
      <c r="AV129">
        <v>0.98499999999999999</v>
      </c>
      <c r="AW129">
        <v>0.98499999999999999</v>
      </c>
      <c r="AX129">
        <v>0.98499999999999999</v>
      </c>
      <c r="AY129">
        <v>0.97827465000000002</v>
      </c>
      <c r="AZ129">
        <v>0.97827465000000002</v>
      </c>
      <c r="BA129">
        <v>0.98499999999999999</v>
      </c>
      <c r="BB129" s="446">
        <v>1</v>
      </c>
      <c r="BC129">
        <v>1</v>
      </c>
      <c r="BD129">
        <v>1</v>
      </c>
      <c r="BE129">
        <v>1</v>
      </c>
      <c r="BF129">
        <v>0.99990000000000001</v>
      </c>
      <c r="BG129">
        <v>1</v>
      </c>
      <c r="BH129">
        <v>1</v>
      </c>
      <c r="BI129">
        <v>0.99</v>
      </c>
      <c r="BJ129">
        <v>0.999</v>
      </c>
      <c r="BK129">
        <v>0.998</v>
      </c>
      <c r="BL129">
        <v>0.99850000000000005</v>
      </c>
      <c r="BM129">
        <v>0.99850000000000005</v>
      </c>
      <c r="BN129">
        <v>0.97199999999999998</v>
      </c>
      <c r="BO129">
        <v>0.99990000000000001</v>
      </c>
      <c r="BP129">
        <v>0.99990000000000001</v>
      </c>
      <c r="BQ129">
        <v>1</v>
      </c>
      <c r="BR129">
        <v>1.0992025999999999</v>
      </c>
      <c r="BS129">
        <v>1.1137999999999999</v>
      </c>
      <c r="BT129">
        <v>1.0827</v>
      </c>
      <c r="BU129">
        <v>1.0172000000000001</v>
      </c>
      <c r="BV129">
        <v>1</v>
      </c>
      <c r="BW129">
        <v>2.2902</v>
      </c>
      <c r="BX129">
        <v>2.2899063329999998</v>
      </c>
      <c r="BY129">
        <v>1.1053500000000001</v>
      </c>
      <c r="BZ129">
        <v>1.2885</v>
      </c>
      <c r="CA129">
        <v>2.0009999999999999</v>
      </c>
      <c r="CB129">
        <v>1.526505</v>
      </c>
      <c r="CC129">
        <v>1.526505</v>
      </c>
      <c r="CD129">
        <v>1.2694049999999999</v>
      </c>
      <c r="CE129">
        <v>1.08168</v>
      </c>
      <c r="CF129">
        <v>1.435405</v>
      </c>
      <c r="CG129" s="332"/>
      <c r="CH129">
        <v>1.0991850000000001</v>
      </c>
      <c r="CI129" s="332"/>
      <c r="CJ129" s="332"/>
      <c r="CK129" s="332"/>
      <c r="CL129" s="332"/>
      <c r="CM129" s="332"/>
      <c r="CN129" s="332"/>
      <c r="CO129" s="332"/>
      <c r="CP129">
        <v>0.96499999999999997</v>
      </c>
      <c r="CQ129">
        <v>0.91</v>
      </c>
      <c r="CR129">
        <v>0.91</v>
      </c>
      <c r="CS129">
        <v>0.97</v>
      </c>
      <c r="CT129">
        <v>0.99895</v>
      </c>
      <c r="CU129">
        <v>0.34</v>
      </c>
      <c r="CV129">
        <v>0.42</v>
      </c>
      <c r="CW129">
        <v>0.93500000000000005</v>
      </c>
      <c r="CX129">
        <v>0.755</v>
      </c>
      <c r="CY129">
        <v>0.625</v>
      </c>
      <c r="CZ129">
        <v>0.91749999999999998</v>
      </c>
      <c r="DA129">
        <v>0.95</v>
      </c>
      <c r="DB129">
        <v>0.88</v>
      </c>
      <c r="DC129">
        <v>0.9</v>
      </c>
      <c r="DD129">
        <v>0.93500000000000005</v>
      </c>
      <c r="DE129">
        <v>0.89</v>
      </c>
      <c r="DI129">
        <v>0.97750000000000004</v>
      </c>
      <c r="DN129" s="332">
        <v>2.8499999999999999E-4</v>
      </c>
      <c r="DO129" s="332">
        <v>2.0000000000000001E-4</v>
      </c>
      <c r="DP129" s="332">
        <v>0</v>
      </c>
      <c r="DQ129" s="332">
        <v>1E-4</v>
      </c>
      <c r="DR129" s="332">
        <v>0</v>
      </c>
      <c r="DS129" s="332">
        <v>3.5999999999999999E-3</v>
      </c>
      <c r="DT129" s="332">
        <v>4.6999999999999999E-4</v>
      </c>
      <c r="DU129" s="332">
        <v>6.9999999999999999E-4</v>
      </c>
      <c r="DV129" s="332">
        <v>0</v>
      </c>
      <c r="DW129" s="332">
        <v>0</v>
      </c>
      <c r="DX129" s="332">
        <v>5.0000000000000001E-4</v>
      </c>
      <c r="DY129" s="332">
        <v>5.0000000000000001E-4</v>
      </c>
      <c r="DZ129" s="332">
        <v>2.9999999999999997E-4</v>
      </c>
      <c r="EA129" s="332">
        <v>2.7500000000000002E-4</v>
      </c>
      <c r="EB129" s="332">
        <v>4.0000000000000002E-4</v>
      </c>
      <c r="ED129" s="332">
        <v>6.4999999999999994E-5</v>
      </c>
      <c r="EF129">
        <v>1</v>
      </c>
    </row>
    <row r="130" spans="1:136" x14ac:dyDescent="0.25">
      <c r="A130" s="66">
        <v>40330</v>
      </c>
      <c r="B130">
        <v>0.98</v>
      </c>
      <c r="C130">
        <v>0.98799999999999999</v>
      </c>
      <c r="D130">
        <v>0.96</v>
      </c>
      <c r="E130">
        <v>0.98499999999999999</v>
      </c>
      <c r="F130">
        <v>0.97699999999999998</v>
      </c>
      <c r="G130">
        <v>0.77989200000000003</v>
      </c>
      <c r="H130">
        <v>0.98750000000000004</v>
      </c>
      <c r="I130">
        <v>0.98750000000000004</v>
      </c>
      <c r="J130">
        <v>0.98050000000000004</v>
      </c>
      <c r="K130">
        <v>0.98499999999999999</v>
      </c>
      <c r="L130" s="333">
        <v>0.98750000000000004</v>
      </c>
      <c r="M130" s="333">
        <v>0.98750000000000004</v>
      </c>
      <c r="N130">
        <v>0.98</v>
      </c>
      <c r="O130">
        <v>0.97646438800000002</v>
      </c>
      <c r="P130">
        <v>0.98</v>
      </c>
      <c r="Q130" s="328">
        <v>0.98750000000000004</v>
      </c>
      <c r="R130">
        <v>0.98750000000000004</v>
      </c>
      <c r="S130" s="333">
        <v>0.98750000000000004</v>
      </c>
      <c r="T130">
        <v>0.98</v>
      </c>
      <c r="U130">
        <v>0.98</v>
      </c>
      <c r="V130">
        <v>0.98</v>
      </c>
      <c r="W130">
        <v>0.98</v>
      </c>
      <c r="X130">
        <v>0.97646438800000002</v>
      </c>
      <c r="Y130">
        <v>0.97646438800000002</v>
      </c>
      <c r="Z130">
        <v>0.97646438800000002</v>
      </c>
      <c r="AA130">
        <v>0.97646438800000002</v>
      </c>
      <c r="AB130">
        <v>0.98</v>
      </c>
      <c r="AC130">
        <v>0.98</v>
      </c>
      <c r="AD130">
        <v>0.97646438800000002</v>
      </c>
      <c r="AE130">
        <v>0.97646438800000002</v>
      </c>
      <c r="AF130">
        <v>0.98</v>
      </c>
      <c r="AG130">
        <v>0.99</v>
      </c>
      <c r="AH130">
        <v>0.97833250000000005</v>
      </c>
      <c r="AI130">
        <v>0.97833250000000005</v>
      </c>
      <c r="AJ130">
        <v>0.98</v>
      </c>
      <c r="AK130">
        <v>1</v>
      </c>
      <c r="AL130">
        <v>0.98499999999999999</v>
      </c>
      <c r="AM130">
        <v>0.98499999999999999</v>
      </c>
      <c r="AS130">
        <v>0.97699999999999998</v>
      </c>
      <c r="AT130" s="328">
        <v>0.97750000000000004</v>
      </c>
      <c r="AU130">
        <v>0.97833250000000005</v>
      </c>
      <c r="AV130">
        <v>0.98499999999999999</v>
      </c>
      <c r="AW130">
        <v>0.98499999999999999</v>
      </c>
      <c r="AX130">
        <v>0.98499999999999999</v>
      </c>
      <c r="AY130">
        <v>0.97833250000000005</v>
      </c>
      <c r="AZ130">
        <v>0.97833250000000005</v>
      </c>
      <c r="BA130">
        <v>0.98499999999999999</v>
      </c>
      <c r="BB130" s="446">
        <v>1</v>
      </c>
      <c r="BC130">
        <v>1</v>
      </c>
      <c r="BD130">
        <v>1</v>
      </c>
      <c r="BE130">
        <v>1</v>
      </c>
      <c r="BF130">
        <v>0.99990000000000001</v>
      </c>
      <c r="BG130">
        <v>1</v>
      </c>
      <c r="BH130">
        <v>1</v>
      </c>
      <c r="BI130">
        <v>0.99</v>
      </c>
      <c r="BJ130">
        <v>0.999</v>
      </c>
      <c r="BK130">
        <v>0.998</v>
      </c>
      <c r="BL130">
        <v>0.99850000000000005</v>
      </c>
      <c r="BM130">
        <v>0.99850000000000005</v>
      </c>
      <c r="BN130">
        <v>0.97199999999999998</v>
      </c>
      <c r="BO130">
        <v>0.99990000000000001</v>
      </c>
      <c r="BP130">
        <v>0.99990000000000001</v>
      </c>
      <c r="BQ130">
        <v>1</v>
      </c>
      <c r="BR130">
        <v>1.0994876</v>
      </c>
      <c r="BS130">
        <v>1.1140000000000001</v>
      </c>
      <c r="BT130">
        <v>1.0827</v>
      </c>
      <c r="BU130">
        <v>1.0173000000000001</v>
      </c>
      <c r="BV130">
        <v>1</v>
      </c>
      <c r="BW130">
        <v>2.2938000000000001</v>
      </c>
      <c r="BX130">
        <v>2.2903763330000002</v>
      </c>
      <c r="BY130">
        <v>1.10605</v>
      </c>
      <c r="BZ130">
        <v>1.2885</v>
      </c>
      <c r="CA130">
        <v>2.0009999999999999</v>
      </c>
      <c r="CB130">
        <v>1.5270049999999999</v>
      </c>
      <c r="CC130">
        <v>1.5270049999999999</v>
      </c>
      <c r="CD130">
        <v>1.2697050000000001</v>
      </c>
      <c r="CE130">
        <v>1.081955</v>
      </c>
      <c r="CF130">
        <v>1.435805</v>
      </c>
      <c r="CG130" s="332"/>
      <c r="CH130">
        <v>1.0992500000000001</v>
      </c>
      <c r="CI130" s="332"/>
      <c r="CJ130" s="332"/>
      <c r="CK130" s="332"/>
      <c r="CL130" s="332"/>
      <c r="CM130" s="332"/>
      <c r="CN130" s="332"/>
      <c r="CO130" s="332"/>
      <c r="CP130">
        <v>0.96499999999999997</v>
      </c>
      <c r="CQ130">
        <v>0.91</v>
      </c>
      <c r="CR130">
        <v>0.91</v>
      </c>
      <c r="CS130">
        <v>0.98</v>
      </c>
      <c r="CT130">
        <v>0.99895</v>
      </c>
      <c r="CU130">
        <v>0.34</v>
      </c>
      <c r="CV130">
        <v>0.47</v>
      </c>
      <c r="CW130">
        <v>0.93500000000000005</v>
      </c>
      <c r="CX130">
        <v>0.66500000000000004</v>
      </c>
      <c r="CY130">
        <v>0.72499999999999998</v>
      </c>
      <c r="CZ130">
        <v>0.88249999999999995</v>
      </c>
      <c r="DA130">
        <v>0.91500000000000004</v>
      </c>
      <c r="DB130">
        <v>0.88</v>
      </c>
      <c r="DC130">
        <v>0.90249999999999997</v>
      </c>
      <c r="DD130">
        <v>0.91500000000000004</v>
      </c>
      <c r="DE130">
        <v>0.89</v>
      </c>
      <c r="DI130">
        <v>0.97750000000000004</v>
      </c>
      <c r="DN130" s="332">
        <v>2.8499999999999999E-4</v>
      </c>
      <c r="DO130" s="332">
        <v>2.0000000000000001E-4</v>
      </c>
      <c r="DP130" s="332">
        <v>0</v>
      </c>
      <c r="DQ130" s="332">
        <v>1E-4</v>
      </c>
      <c r="DR130" s="332">
        <v>0</v>
      </c>
      <c r="DS130" s="332">
        <v>3.5999999999999999E-3</v>
      </c>
      <c r="DT130" s="332">
        <v>4.6999999999999999E-4</v>
      </c>
      <c r="DU130" s="332">
        <v>6.9999999999999999E-4</v>
      </c>
      <c r="DV130" s="332">
        <v>0</v>
      </c>
      <c r="DW130" s="332">
        <v>0</v>
      </c>
      <c r="DX130" s="332">
        <v>5.0000000000000001E-4</v>
      </c>
      <c r="DY130" s="332">
        <v>5.0000000000000001E-4</v>
      </c>
      <c r="DZ130" s="332">
        <v>2.9999999999999997E-4</v>
      </c>
      <c r="EA130" s="332">
        <v>2.7500000000000002E-4</v>
      </c>
      <c r="EB130" s="332">
        <v>4.0000000000000002E-4</v>
      </c>
      <c r="ED130" s="332">
        <v>6.4999999999999994E-5</v>
      </c>
      <c r="EF130">
        <v>1</v>
      </c>
    </row>
    <row r="131" spans="1:136" x14ac:dyDescent="0.25">
      <c r="A131" s="66">
        <v>40360</v>
      </c>
      <c r="B131">
        <v>0.98</v>
      </c>
      <c r="C131">
        <v>0.98799999999999999</v>
      </c>
      <c r="D131">
        <v>0.96</v>
      </c>
      <c r="E131">
        <v>0.98499999999999999</v>
      </c>
      <c r="F131">
        <v>0.97699999999999998</v>
      </c>
      <c r="G131">
        <v>0.94193400000000005</v>
      </c>
      <c r="H131">
        <v>0.98750000000000004</v>
      </c>
      <c r="I131">
        <v>0.98750000000000004</v>
      </c>
      <c r="J131">
        <v>0.98050000000000004</v>
      </c>
      <c r="K131">
        <v>0.98499999999999999</v>
      </c>
      <c r="L131" s="333">
        <v>0.98750000000000004</v>
      </c>
      <c r="M131" s="333">
        <v>0.98750000000000004</v>
      </c>
      <c r="N131">
        <v>0.98</v>
      </c>
      <c r="O131">
        <v>0.982123725</v>
      </c>
      <c r="P131">
        <v>0.98</v>
      </c>
      <c r="Q131" s="328">
        <v>0.98750000000000004</v>
      </c>
      <c r="R131">
        <v>0.98750000000000004</v>
      </c>
      <c r="S131" s="333">
        <v>0.98750000000000004</v>
      </c>
      <c r="T131">
        <v>0.98</v>
      </c>
      <c r="U131">
        <v>0.98</v>
      </c>
      <c r="V131">
        <v>0.98</v>
      </c>
      <c r="W131">
        <v>0.98</v>
      </c>
      <c r="X131">
        <v>0.982123725</v>
      </c>
      <c r="Y131">
        <v>0.982123725</v>
      </c>
      <c r="Z131">
        <v>0.982123725</v>
      </c>
      <c r="AA131">
        <v>0.982123725</v>
      </c>
      <c r="AB131">
        <v>0.98</v>
      </c>
      <c r="AC131">
        <v>0.98</v>
      </c>
      <c r="AD131">
        <v>0.982123725</v>
      </c>
      <c r="AE131">
        <v>0.982123725</v>
      </c>
      <c r="AF131">
        <v>0.98</v>
      </c>
      <c r="AG131">
        <v>0.99</v>
      </c>
      <c r="AH131">
        <v>0.97839034999999996</v>
      </c>
      <c r="AI131">
        <v>0.97839034999999996</v>
      </c>
      <c r="AJ131">
        <v>0.98</v>
      </c>
      <c r="AK131">
        <v>1</v>
      </c>
      <c r="AL131">
        <v>0.98499999999999999</v>
      </c>
      <c r="AM131">
        <v>0.98499999999999999</v>
      </c>
      <c r="AS131">
        <v>0.97699999999999998</v>
      </c>
      <c r="AT131" s="328">
        <v>0.97750000000000004</v>
      </c>
      <c r="AU131">
        <v>0.97839034999999996</v>
      </c>
      <c r="AV131">
        <v>0.98499999999999999</v>
      </c>
      <c r="AW131">
        <v>0.98499999999999999</v>
      </c>
      <c r="AX131">
        <v>0.98499999999999999</v>
      </c>
      <c r="AY131">
        <v>0.97839034999999996</v>
      </c>
      <c r="AZ131">
        <v>0.97839034999999996</v>
      </c>
      <c r="BA131">
        <v>0.98499999999999999</v>
      </c>
      <c r="BB131" s="446">
        <v>1</v>
      </c>
      <c r="BC131">
        <v>1</v>
      </c>
      <c r="BD131">
        <v>1</v>
      </c>
      <c r="BE131">
        <v>1</v>
      </c>
      <c r="BF131">
        <v>0.99990000000000001</v>
      </c>
      <c r="BG131">
        <v>1</v>
      </c>
      <c r="BH131">
        <v>1</v>
      </c>
      <c r="BI131">
        <v>0.99</v>
      </c>
      <c r="BJ131">
        <v>0.999</v>
      </c>
      <c r="BK131">
        <v>0.998</v>
      </c>
      <c r="BL131">
        <v>0.99850000000000005</v>
      </c>
      <c r="BM131">
        <v>0.99850000000000005</v>
      </c>
      <c r="BN131">
        <v>0.97199999999999998</v>
      </c>
      <c r="BO131">
        <v>0.99990000000000001</v>
      </c>
      <c r="BP131">
        <v>0.99990000000000001</v>
      </c>
      <c r="BQ131">
        <v>1</v>
      </c>
      <c r="BR131">
        <v>1.0997726000000001</v>
      </c>
      <c r="BS131">
        <v>1.1142000000000001</v>
      </c>
      <c r="BT131">
        <v>1.0827</v>
      </c>
      <c r="BU131">
        <v>1.0174000000000001</v>
      </c>
      <c r="BV131">
        <v>1</v>
      </c>
      <c r="BW131">
        <v>2.2974000000000001</v>
      </c>
      <c r="BX131">
        <v>2.2908463330000002</v>
      </c>
      <c r="BY131">
        <v>1.1067499999999999</v>
      </c>
      <c r="BZ131">
        <v>1.2885</v>
      </c>
      <c r="CA131">
        <v>2.0009999999999999</v>
      </c>
      <c r="CB131">
        <v>1.5275049999999999</v>
      </c>
      <c r="CC131">
        <v>1.5275049999999999</v>
      </c>
      <c r="CD131">
        <v>1.2700050000000001</v>
      </c>
      <c r="CE131">
        <v>1.08223</v>
      </c>
      <c r="CF131">
        <v>1.436205</v>
      </c>
      <c r="CG131" s="332"/>
      <c r="CH131">
        <v>1.099315</v>
      </c>
      <c r="CI131" s="332"/>
      <c r="CJ131" s="332"/>
      <c r="CK131" s="332"/>
      <c r="CL131" s="332"/>
      <c r="CM131" s="332"/>
      <c r="CN131" s="332"/>
      <c r="CO131" s="332"/>
      <c r="CP131">
        <v>0.97499999999999998</v>
      </c>
      <c r="CQ131">
        <v>0.91</v>
      </c>
      <c r="CR131">
        <v>0.91</v>
      </c>
      <c r="CS131">
        <v>0.97</v>
      </c>
      <c r="CT131">
        <v>0.99895</v>
      </c>
      <c r="CU131">
        <v>0.41</v>
      </c>
      <c r="CV131">
        <v>0.47</v>
      </c>
      <c r="CW131">
        <v>0.93500000000000005</v>
      </c>
      <c r="CX131">
        <v>0.68500000000000005</v>
      </c>
      <c r="CY131">
        <v>0.72499999999999998</v>
      </c>
      <c r="CZ131">
        <v>0.87749999999999995</v>
      </c>
      <c r="DA131">
        <v>0.91</v>
      </c>
      <c r="DB131">
        <v>0.89</v>
      </c>
      <c r="DC131">
        <v>0.90749999999999997</v>
      </c>
      <c r="DD131">
        <v>0.91500000000000004</v>
      </c>
      <c r="DE131">
        <v>0.89</v>
      </c>
      <c r="DI131">
        <v>0.97750000000000004</v>
      </c>
      <c r="DN131" s="332">
        <v>2.8499999999999999E-4</v>
      </c>
      <c r="DO131" s="332">
        <v>2.0000000000000001E-4</v>
      </c>
      <c r="DP131" s="332">
        <v>0</v>
      </c>
      <c r="DQ131" s="332">
        <v>1E-4</v>
      </c>
      <c r="DR131" s="332">
        <v>0</v>
      </c>
      <c r="DS131" s="332">
        <v>3.5999999999999999E-3</v>
      </c>
      <c r="DT131" s="332">
        <v>4.6999999999999999E-4</v>
      </c>
      <c r="DU131" s="332">
        <v>6.9999999999999999E-4</v>
      </c>
      <c r="DV131" s="332">
        <v>0</v>
      </c>
      <c r="DW131" s="332">
        <v>0</v>
      </c>
      <c r="DX131" s="332">
        <v>5.0000000000000001E-4</v>
      </c>
      <c r="DY131" s="332">
        <v>5.0000000000000001E-4</v>
      </c>
      <c r="DZ131" s="332">
        <v>2.9999999999999997E-4</v>
      </c>
      <c r="EA131" s="332">
        <v>2.7500000000000002E-4</v>
      </c>
      <c r="EB131" s="332">
        <v>4.0000000000000002E-4</v>
      </c>
      <c r="ED131" s="332">
        <v>6.4999999999999994E-5</v>
      </c>
      <c r="EF131">
        <v>1</v>
      </c>
    </row>
    <row r="132" spans="1:136" x14ac:dyDescent="0.25">
      <c r="A132" s="66">
        <v>40391</v>
      </c>
      <c r="B132">
        <v>0.98</v>
      </c>
      <c r="C132">
        <v>0.98799999999999999</v>
      </c>
      <c r="D132">
        <v>0.96</v>
      </c>
      <c r="E132">
        <v>0.98499999999999999</v>
      </c>
      <c r="F132">
        <v>0.97699999999999998</v>
      </c>
      <c r="G132">
        <v>0.98750000000000004</v>
      </c>
      <c r="H132">
        <v>0.98750000000000004</v>
      </c>
      <c r="I132">
        <v>0.98750000000000004</v>
      </c>
      <c r="J132">
        <v>0.98050000000000004</v>
      </c>
      <c r="K132">
        <v>0.98499999999999999</v>
      </c>
      <c r="L132" s="333">
        <v>0.98750000000000004</v>
      </c>
      <c r="M132" s="333">
        <v>0.98750000000000004</v>
      </c>
      <c r="N132">
        <v>0.98</v>
      </c>
      <c r="O132">
        <v>0.98750000000000004</v>
      </c>
      <c r="P132">
        <v>0.98</v>
      </c>
      <c r="Q132" s="328">
        <v>0.98750000000000004</v>
      </c>
      <c r="R132">
        <v>0.98750000000000004</v>
      </c>
      <c r="S132" s="333">
        <v>0.98750000000000004</v>
      </c>
      <c r="T132">
        <v>0.98</v>
      </c>
      <c r="U132">
        <v>0.98</v>
      </c>
      <c r="V132">
        <v>0.98</v>
      </c>
      <c r="W132">
        <v>0.98</v>
      </c>
      <c r="X132">
        <v>0.98750000000000004</v>
      </c>
      <c r="Y132">
        <v>0.98750000000000004</v>
      </c>
      <c r="Z132">
        <v>0.98750000000000004</v>
      </c>
      <c r="AA132">
        <v>0.98750000000000004</v>
      </c>
      <c r="AB132">
        <v>0.98</v>
      </c>
      <c r="AC132">
        <v>0.98</v>
      </c>
      <c r="AD132">
        <v>0.98750000000000004</v>
      </c>
      <c r="AE132">
        <v>0.98750000000000004</v>
      </c>
      <c r="AF132">
        <v>0.98</v>
      </c>
      <c r="AG132">
        <v>0.99</v>
      </c>
      <c r="AH132">
        <v>0.97844819999999999</v>
      </c>
      <c r="AI132">
        <v>0.97844819999999999</v>
      </c>
      <c r="AJ132">
        <v>0.98</v>
      </c>
      <c r="AK132">
        <v>1</v>
      </c>
      <c r="AL132">
        <v>0.98499999999999999</v>
      </c>
      <c r="AM132">
        <v>0.98499999999999999</v>
      </c>
      <c r="AS132">
        <v>0.97699999999999998</v>
      </c>
      <c r="AT132" s="328">
        <v>0.97750000000000004</v>
      </c>
      <c r="AU132">
        <v>0.97844819999999999</v>
      </c>
      <c r="AV132">
        <v>0.98499999999999999</v>
      </c>
      <c r="AW132">
        <v>0.98499999999999999</v>
      </c>
      <c r="AX132">
        <v>0.98499999999999999</v>
      </c>
      <c r="AY132">
        <v>0.97844819999999999</v>
      </c>
      <c r="AZ132">
        <v>0.97844819999999999</v>
      </c>
      <c r="BA132">
        <v>0.98499999999999999</v>
      </c>
      <c r="BB132" s="446">
        <v>1</v>
      </c>
      <c r="BC132">
        <v>1</v>
      </c>
      <c r="BD132">
        <v>1</v>
      </c>
      <c r="BE132">
        <v>1</v>
      </c>
      <c r="BF132">
        <v>0.99990000000000001</v>
      </c>
      <c r="BG132">
        <v>1</v>
      </c>
      <c r="BH132">
        <v>1</v>
      </c>
      <c r="BI132">
        <v>0.99</v>
      </c>
      <c r="BJ132">
        <v>0.999</v>
      </c>
      <c r="BK132">
        <v>0.998</v>
      </c>
      <c r="BL132">
        <v>0.99850000000000005</v>
      </c>
      <c r="BM132">
        <v>0.99850000000000005</v>
      </c>
      <c r="BN132">
        <v>0.97199999999999998</v>
      </c>
      <c r="BO132">
        <v>0.99990000000000001</v>
      </c>
      <c r="BP132">
        <v>0.99990000000000001</v>
      </c>
      <c r="BQ132">
        <v>1</v>
      </c>
      <c r="BR132">
        <v>1.1000576</v>
      </c>
      <c r="BS132">
        <v>1.1144000000000001</v>
      </c>
      <c r="BT132">
        <v>1.0827</v>
      </c>
      <c r="BU132">
        <v>1.0175000000000001</v>
      </c>
      <c r="BV132">
        <v>1</v>
      </c>
      <c r="BW132">
        <v>2.3010000000000002</v>
      </c>
      <c r="BX132">
        <v>2.2913163330000001</v>
      </c>
      <c r="BY132">
        <v>1.10745</v>
      </c>
      <c r="BZ132">
        <v>1.2885</v>
      </c>
      <c r="CA132">
        <v>2.0009999999999999</v>
      </c>
      <c r="CB132">
        <v>1.5280050000000001</v>
      </c>
      <c r="CC132">
        <v>1.5280050000000001</v>
      </c>
      <c r="CD132">
        <v>1.270305</v>
      </c>
      <c r="CE132">
        <v>1.0825050000000001</v>
      </c>
      <c r="CF132">
        <v>1.4366049999999999</v>
      </c>
      <c r="CG132" s="332"/>
      <c r="CH132">
        <v>1.09938</v>
      </c>
      <c r="CI132" s="332"/>
      <c r="CJ132" s="332"/>
      <c r="CK132" s="332"/>
      <c r="CL132" s="332"/>
      <c r="CM132" s="332"/>
      <c r="CN132" s="332"/>
      <c r="CO132" s="332"/>
      <c r="CP132">
        <v>0.97499999999999998</v>
      </c>
      <c r="CQ132">
        <v>0.91</v>
      </c>
      <c r="CR132">
        <v>0.91</v>
      </c>
      <c r="CS132">
        <v>0.97</v>
      </c>
      <c r="CT132">
        <v>0.99895</v>
      </c>
      <c r="CU132">
        <v>0.43</v>
      </c>
      <c r="CV132">
        <v>0.52</v>
      </c>
      <c r="CW132">
        <v>0.92500000000000004</v>
      </c>
      <c r="CX132">
        <v>0.77500000000000002</v>
      </c>
      <c r="CY132">
        <v>0.72499999999999998</v>
      </c>
      <c r="CZ132">
        <v>0.89</v>
      </c>
      <c r="DA132">
        <v>0.92249999999999999</v>
      </c>
      <c r="DB132">
        <v>0.91500000000000004</v>
      </c>
      <c r="DC132">
        <v>0.92749999999999999</v>
      </c>
      <c r="DD132">
        <v>0.91500000000000004</v>
      </c>
      <c r="DE132">
        <v>0.89</v>
      </c>
      <c r="DI132">
        <v>0.97750000000000004</v>
      </c>
      <c r="DN132" s="332">
        <v>2.8499999999999999E-4</v>
      </c>
      <c r="DO132" s="332">
        <v>2.0000000000000001E-4</v>
      </c>
      <c r="DP132" s="332">
        <v>0</v>
      </c>
      <c r="DQ132" s="332">
        <v>1E-4</v>
      </c>
      <c r="DR132" s="332">
        <v>0</v>
      </c>
      <c r="DS132" s="332">
        <v>3.5999999999999999E-3</v>
      </c>
      <c r="DT132" s="332">
        <v>4.6999999999999999E-4</v>
      </c>
      <c r="DU132" s="332">
        <v>6.9999999999999999E-4</v>
      </c>
      <c r="DV132" s="332">
        <v>0</v>
      </c>
      <c r="DW132" s="332">
        <v>0</v>
      </c>
      <c r="DX132" s="332">
        <v>5.0000000000000001E-4</v>
      </c>
      <c r="DY132" s="332">
        <v>5.0000000000000001E-4</v>
      </c>
      <c r="DZ132" s="332">
        <v>2.9999999999999997E-4</v>
      </c>
      <c r="EA132" s="332">
        <v>2.7500000000000002E-4</v>
      </c>
      <c r="EB132" s="332">
        <v>4.0000000000000002E-4</v>
      </c>
      <c r="ED132" s="332">
        <v>6.4999999999999994E-5</v>
      </c>
      <c r="EF132">
        <v>1</v>
      </c>
    </row>
    <row r="133" spans="1:136" x14ac:dyDescent="0.25">
      <c r="A133" s="66">
        <v>40422</v>
      </c>
      <c r="B133">
        <v>0.98</v>
      </c>
      <c r="C133">
        <v>0.98799999999999999</v>
      </c>
      <c r="D133">
        <v>0.96</v>
      </c>
      <c r="E133">
        <v>0.98499999999999999</v>
      </c>
      <c r="F133">
        <v>0.97699999999999998</v>
      </c>
      <c r="G133">
        <v>0.98750000000000004</v>
      </c>
      <c r="H133">
        <v>0.98750000000000004</v>
      </c>
      <c r="I133">
        <v>0.98750000000000004</v>
      </c>
      <c r="J133">
        <v>0.98050000000000004</v>
      </c>
      <c r="K133">
        <v>0.98499999999999999</v>
      </c>
      <c r="L133" s="333">
        <v>0.98750000000000004</v>
      </c>
      <c r="M133" s="333">
        <v>0.98750000000000004</v>
      </c>
      <c r="N133">
        <v>0.98</v>
      </c>
      <c r="O133">
        <v>0.98750000000000004</v>
      </c>
      <c r="P133">
        <v>0.98</v>
      </c>
      <c r="Q133" s="328">
        <v>0.98750000000000004</v>
      </c>
      <c r="R133">
        <v>0.98750000000000004</v>
      </c>
      <c r="S133" s="333">
        <v>0.98750000000000004</v>
      </c>
      <c r="T133">
        <v>0.98</v>
      </c>
      <c r="U133">
        <v>0.98</v>
      </c>
      <c r="V133">
        <v>0.98</v>
      </c>
      <c r="W133">
        <v>0.98</v>
      </c>
      <c r="X133">
        <v>0.98750000000000004</v>
      </c>
      <c r="Y133">
        <v>0.98750000000000004</v>
      </c>
      <c r="Z133">
        <v>0.98750000000000004</v>
      </c>
      <c r="AA133">
        <v>0.98750000000000004</v>
      </c>
      <c r="AB133">
        <v>0.98</v>
      </c>
      <c r="AC133">
        <v>0.98</v>
      </c>
      <c r="AD133">
        <v>0.98750000000000004</v>
      </c>
      <c r="AE133">
        <v>0.98750000000000004</v>
      </c>
      <c r="AF133">
        <v>0.98</v>
      </c>
      <c r="AG133">
        <v>0.99</v>
      </c>
      <c r="AH133">
        <v>0.97850605000000002</v>
      </c>
      <c r="AI133">
        <v>0.97850605000000002</v>
      </c>
      <c r="AJ133">
        <v>0.98</v>
      </c>
      <c r="AK133">
        <v>1</v>
      </c>
      <c r="AL133">
        <v>0.98499999999999999</v>
      </c>
      <c r="AM133">
        <v>0.98499999999999999</v>
      </c>
      <c r="AS133">
        <v>0.97699999999999998</v>
      </c>
      <c r="AT133" s="328">
        <v>0.97750000000000004</v>
      </c>
      <c r="AU133">
        <v>0.97850605000000002</v>
      </c>
      <c r="AV133">
        <v>0.98499999999999999</v>
      </c>
      <c r="AW133">
        <v>0.98499999999999999</v>
      </c>
      <c r="AX133">
        <v>0.98499999999999999</v>
      </c>
      <c r="AY133">
        <v>0.97850605000000002</v>
      </c>
      <c r="AZ133">
        <v>0.97850605000000002</v>
      </c>
      <c r="BA133">
        <v>0.98499999999999999</v>
      </c>
      <c r="BB133" s="446">
        <v>1</v>
      </c>
      <c r="BC133">
        <v>1</v>
      </c>
      <c r="BD133">
        <v>1</v>
      </c>
      <c r="BE133">
        <v>1</v>
      </c>
      <c r="BF133">
        <v>0.99990000000000001</v>
      </c>
      <c r="BG133">
        <v>1</v>
      </c>
      <c r="BH133">
        <v>1</v>
      </c>
      <c r="BI133">
        <v>0.99</v>
      </c>
      <c r="BJ133">
        <v>0.999</v>
      </c>
      <c r="BK133">
        <v>0.998</v>
      </c>
      <c r="BL133">
        <v>0.99850000000000005</v>
      </c>
      <c r="BM133">
        <v>0.99850000000000005</v>
      </c>
      <c r="BN133">
        <v>0.97199999999999998</v>
      </c>
      <c r="BO133">
        <v>0.99990000000000001</v>
      </c>
      <c r="BP133">
        <v>0.99990000000000001</v>
      </c>
      <c r="BQ133">
        <v>1</v>
      </c>
      <c r="BR133">
        <v>1.1003426000000001</v>
      </c>
      <c r="BS133">
        <v>1.1146</v>
      </c>
      <c r="BT133">
        <v>1.0827</v>
      </c>
      <c r="BU133">
        <v>1.0176000000000001</v>
      </c>
      <c r="BV133">
        <v>1</v>
      </c>
      <c r="BW133">
        <v>2.3046000000000002</v>
      </c>
      <c r="BX133">
        <v>2.2917863330000001</v>
      </c>
      <c r="BY133">
        <v>1.10815</v>
      </c>
      <c r="BZ133">
        <v>1.2885</v>
      </c>
      <c r="CA133">
        <v>2.0009999999999999</v>
      </c>
      <c r="CB133">
        <v>1.528505</v>
      </c>
      <c r="CC133">
        <v>1.528505</v>
      </c>
      <c r="CD133">
        <v>1.270605</v>
      </c>
      <c r="CE133">
        <v>1.0827800000000001</v>
      </c>
      <c r="CF133">
        <v>1.4370050000000001</v>
      </c>
      <c r="CG133" s="332"/>
      <c r="CH133">
        <v>1.099445</v>
      </c>
      <c r="CI133" s="332"/>
      <c r="CJ133" s="332"/>
      <c r="CK133" s="332"/>
      <c r="CL133" s="332"/>
      <c r="CM133" s="332"/>
      <c r="CN133" s="332"/>
      <c r="CO133" s="332"/>
      <c r="CP133">
        <v>0.97499999999999998</v>
      </c>
      <c r="CQ133">
        <v>0.91</v>
      </c>
      <c r="CR133">
        <v>0.91</v>
      </c>
      <c r="CS133">
        <v>0.95</v>
      </c>
      <c r="CT133">
        <v>0.99895</v>
      </c>
      <c r="CU133">
        <v>0.46</v>
      </c>
      <c r="CV133">
        <v>0.55000000000000004</v>
      </c>
      <c r="CW133">
        <v>0.92500000000000004</v>
      </c>
      <c r="CX133">
        <v>0.63500000000000001</v>
      </c>
      <c r="CY133">
        <v>0.57499999999999996</v>
      </c>
      <c r="CZ133">
        <v>0.94499999999999995</v>
      </c>
      <c r="DA133">
        <v>0.97750000000000004</v>
      </c>
      <c r="DB133">
        <v>0.94499999999999995</v>
      </c>
      <c r="DC133">
        <v>0.92</v>
      </c>
      <c r="DD133">
        <v>0.91500000000000004</v>
      </c>
      <c r="DE133">
        <v>0.89</v>
      </c>
      <c r="DI133">
        <v>0.97750000000000004</v>
      </c>
      <c r="DN133" s="332">
        <v>2.8499999999999999E-4</v>
      </c>
      <c r="DO133" s="332">
        <v>2.0000000000000001E-4</v>
      </c>
      <c r="DP133" s="332">
        <v>0</v>
      </c>
      <c r="DQ133" s="332">
        <v>1E-4</v>
      </c>
      <c r="DR133" s="332">
        <v>0</v>
      </c>
      <c r="DS133" s="332">
        <v>3.5999999999999999E-3</v>
      </c>
      <c r="DT133" s="332">
        <v>4.6999999999999999E-4</v>
      </c>
      <c r="DU133" s="332">
        <v>6.9999999999999999E-4</v>
      </c>
      <c r="DV133" s="332">
        <v>0</v>
      </c>
      <c r="DW133" s="332">
        <v>0</v>
      </c>
      <c r="DX133" s="332">
        <v>5.0000000000000001E-4</v>
      </c>
      <c r="DY133" s="332">
        <v>5.0000000000000001E-4</v>
      </c>
      <c r="DZ133" s="332">
        <v>2.9999999999999997E-4</v>
      </c>
      <c r="EA133" s="332">
        <v>2.7500000000000002E-4</v>
      </c>
      <c r="EB133" s="332">
        <v>4.0000000000000002E-4</v>
      </c>
      <c r="ED133" s="332">
        <v>6.4999999999999994E-5</v>
      </c>
      <c r="EF133">
        <v>1</v>
      </c>
    </row>
    <row r="134" spans="1:136" x14ac:dyDescent="0.25">
      <c r="A134" s="66">
        <v>40452</v>
      </c>
      <c r="B134">
        <v>0.98</v>
      </c>
      <c r="C134">
        <v>0.98799999999999999</v>
      </c>
      <c r="D134">
        <v>0.96</v>
      </c>
      <c r="E134">
        <v>0.98499999999999999</v>
      </c>
      <c r="F134">
        <v>0.97699999999999998</v>
      </c>
      <c r="G134">
        <v>0.98750000000000004</v>
      </c>
      <c r="H134">
        <v>0.98750000000000004</v>
      </c>
      <c r="I134">
        <v>0.98750000000000004</v>
      </c>
      <c r="J134">
        <v>0.98050000000000004</v>
      </c>
      <c r="K134">
        <v>0.98499999999999999</v>
      </c>
      <c r="L134" s="333">
        <v>0.98750000000000004</v>
      </c>
      <c r="M134" s="333">
        <v>0.98750000000000004</v>
      </c>
      <c r="N134">
        <v>0.98</v>
      </c>
      <c r="O134">
        <v>0.977457138</v>
      </c>
      <c r="P134">
        <v>0.98</v>
      </c>
      <c r="Q134" s="328">
        <v>0.98750000000000004</v>
      </c>
      <c r="R134">
        <v>0.98750000000000004</v>
      </c>
      <c r="S134" s="333">
        <v>0.98750000000000004</v>
      </c>
      <c r="T134">
        <v>0.98</v>
      </c>
      <c r="U134">
        <v>0.98</v>
      </c>
      <c r="V134">
        <v>0.98</v>
      </c>
      <c r="W134">
        <v>0.98</v>
      </c>
      <c r="X134">
        <v>0.977457138</v>
      </c>
      <c r="Y134">
        <v>0.977457138</v>
      </c>
      <c r="Z134">
        <v>0.977457138</v>
      </c>
      <c r="AA134">
        <v>0.977457138</v>
      </c>
      <c r="AB134">
        <v>0.98</v>
      </c>
      <c r="AC134">
        <v>0.98</v>
      </c>
      <c r="AD134">
        <v>0.977457138</v>
      </c>
      <c r="AE134">
        <v>0.977457138</v>
      </c>
      <c r="AF134">
        <v>0.98</v>
      </c>
      <c r="AG134">
        <v>0.99</v>
      </c>
      <c r="AH134">
        <v>0.97856390000000004</v>
      </c>
      <c r="AI134">
        <v>0.97856390000000004</v>
      </c>
      <c r="AJ134">
        <v>0.98</v>
      </c>
      <c r="AK134">
        <v>1</v>
      </c>
      <c r="AL134">
        <v>0.98499999999999999</v>
      </c>
      <c r="AM134">
        <v>0.98499999999999999</v>
      </c>
      <c r="AS134">
        <v>0.97699999999999998</v>
      </c>
      <c r="AT134" s="328">
        <v>0.97750000000000004</v>
      </c>
      <c r="AU134">
        <v>0.97856390000000004</v>
      </c>
      <c r="AV134">
        <v>0.98499999999999999</v>
      </c>
      <c r="AW134">
        <v>0.98499999999999999</v>
      </c>
      <c r="AX134">
        <v>0.98499999999999999</v>
      </c>
      <c r="AY134">
        <v>0.97856390000000004</v>
      </c>
      <c r="AZ134">
        <v>0.97856390000000004</v>
      </c>
      <c r="BA134">
        <v>0.98499999999999999</v>
      </c>
      <c r="BB134" s="446">
        <v>1</v>
      </c>
      <c r="BC134">
        <v>1</v>
      </c>
      <c r="BD134">
        <v>1</v>
      </c>
      <c r="BE134">
        <v>1</v>
      </c>
      <c r="BF134">
        <v>0.99990000000000001</v>
      </c>
      <c r="BG134">
        <v>1</v>
      </c>
      <c r="BH134">
        <v>1</v>
      </c>
      <c r="BI134">
        <v>0.99</v>
      </c>
      <c r="BJ134">
        <v>0.999</v>
      </c>
      <c r="BK134">
        <v>0.998</v>
      </c>
      <c r="BL134">
        <v>0.99850000000000005</v>
      </c>
      <c r="BM134">
        <v>0.99850000000000005</v>
      </c>
      <c r="BN134">
        <v>0.97199999999999998</v>
      </c>
      <c r="BO134">
        <v>0.99990000000000001</v>
      </c>
      <c r="BP134">
        <v>0.99990000000000001</v>
      </c>
      <c r="BQ134">
        <v>1</v>
      </c>
      <c r="BR134">
        <v>1.1006275999999999</v>
      </c>
      <c r="BS134">
        <v>1.1148</v>
      </c>
      <c r="BT134">
        <v>1.0827</v>
      </c>
      <c r="BU134">
        <v>1.0177</v>
      </c>
      <c r="BV134">
        <v>1</v>
      </c>
      <c r="BW134">
        <v>2.3081999999999998</v>
      </c>
      <c r="BX134">
        <v>2.2922563330000001</v>
      </c>
      <c r="BY134">
        <v>1.1088499999999999</v>
      </c>
      <c r="BZ134">
        <v>1.2885</v>
      </c>
      <c r="CA134">
        <v>2.0009999999999999</v>
      </c>
      <c r="CB134">
        <v>1.5290049999999999</v>
      </c>
      <c r="CC134">
        <v>1.5290049999999999</v>
      </c>
      <c r="CD134">
        <v>1.270905</v>
      </c>
      <c r="CE134">
        <v>1.0830550000000001</v>
      </c>
      <c r="CF134">
        <v>1.437405</v>
      </c>
      <c r="CG134" s="332"/>
      <c r="CH134">
        <v>1.09951</v>
      </c>
      <c r="CI134" s="332"/>
      <c r="CJ134" s="332"/>
      <c r="CK134" s="332"/>
      <c r="CL134" s="332"/>
      <c r="CM134" s="332"/>
      <c r="CN134" s="332"/>
      <c r="CO134" s="332"/>
      <c r="CP134">
        <v>0.95499999999999996</v>
      </c>
      <c r="CQ134">
        <v>0.9</v>
      </c>
      <c r="CR134">
        <v>0.91</v>
      </c>
      <c r="CS134">
        <v>0.94</v>
      </c>
      <c r="CT134">
        <v>0.99895</v>
      </c>
      <c r="CU134">
        <v>0.46</v>
      </c>
      <c r="CV134">
        <v>0.45</v>
      </c>
      <c r="CW134">
        <v>0.92500000000000004</v>
      </c>
      <c r="CX134">
        <v>0.625</v>
      </c>
      <c r="CY134">
        <v>0.505</v>
      </c>
      <c r="CZ134">
        <v>0.80500000000000005</v>
      </c>
      <c r="DA134">
        <v>0.83750000000000002</v>
      </c>
      <c r="DB134">
        <v>0.875</v>
      </c>
      <c r="DC134">
        <v>0.90249999999999997</v>
      </c>
      <c r="DD134">
        <v>0.82</v>
      </c>
      <c r="DE134">
        <v>0.89</v>
      </c>
      <c r="DI134">
        <v>0.97750000000000004</v>
      </c>
      <c r="DN134" s="332">
        <v>2.8499999999999999E-4</v>
      </c>
      <c r="DO134" s="332">
        <v>2.0000000000000001E-4</v>
      </c>
      <c r="DP134" s="332">
        <v>0</v>
      </c>
      <c r="DQ134" s="332">
        <v>1E-4</v>
      </c>
      <c r="DR134" s="332">
        <v>0</v>
      </c>
      <c r="DS134" s="332">
        <v>3.5999999999999999E-3</v>
      </c>
      <c r="DT134" s="332">
        <v>4.6999999999999999E-4</v>
      </c>
      <c r="DU134" s="332">
        <v>6.9999999999999999E-4</v>
      </c>
      <c r="DV134" s="332">
        <v>0</v>
      </c>
      <c r="DW134" s="332">
        <v>0</v>
      </c>
      <c r="DX134" s="332">
        <v>5.0000000000000001E-4</v>
      </c>
      <c r="DY134" s="332">
        <v>5.0000000000000001E-4</v>
      </c>
      <c r="DZ134" s="332">
        <v>2.9999999999999997E-4</v>
      </c>
      <c r="EA134" s="332">
        <v>2.7500000000000002E-4</v>
      </c>
      <c r="EB134" s="332">
        <v>4.0000000000000002E-4</v>
      </c>
      <c r="ED134" s="332">
        <v>6.4999999999999994E-5</v>
      </c>
      <c r="EF134">
        <v>1</v>
      </c>
    </row>
    <row r="135" spans="1:136" x14ac:dyDescent="0.25">
      <c r="A135" s="66">
        <v>40483</v>
      </c>
      <c r="B135">
        <v>0.98</v>
      </c>
      <c r="C135">
        <v>0.98799999999999999</v>
      </c>
      <c r="D135">
        <v>0.96</v>
      </c>
      <c r="E135">
        <v>0.97443000000000002</v>
      </c>
      <c r="F135">
        <v>0.97699999999999998</v>
      </c>
      <c r="G135">
        <v>0.98750000000000004</v>
      </c>
      <c r="H135">
        <v>0.98750000000000004</v>
      </c>
      <c r="I135">
        <v>0.98750000000000004</v>
      </c>
      <c r="J135">
        <v>0.98050000000000004</v>
      </c>
      <c r="K135">
        <v>0.97048500000000004</v>
      </c>
      <c r="L135" s="333">
        <v>0.98750000000000004</v>
      </c>
      <c r="M135" s="333">
        <v>0.98750000000000004</v>
      </c>
      <c r="N135">
        <v>0.98</v>
      </c>
      <c r="O135">
        <v>0.97770532499999996</v>
      </c>
      <c r="P135">
        <v>0.98</v>
      </c>
      <c r="Q135" s="328">
        <v>0.98750000000000004</v>
      </c>
      <c r="R135">
        <v>0.98750000000000004</v>
      </c>
      <c r="S135" s="333">
        <v>0.98750000000000004</v>
      </c>
      <c r="T135">
        <v>0.98</v>
      </c>
      <c r="U135">
        <v>0.98</v>
      </c>
      <c r="V135">
        <v>0.98</v>
      </c>
      <c r="W135">
        <v>0.98</v>
      </c>
      <c r="X135">
        <v>0.97770532499999996</v>
      </c>
      <c r="Y135">
        <v>0.97770532499999996</v>
      </c>
      <c r="Z135">
        <v>0.97770532499999996</v>
      </c>
      <c r="AA135">
        <v>0.97770532499999996</v>
      </c>
      <c r="AB135">
        <v>0.98</v>
      </c>
      <c r="AC135">
        <v>0.98</v>
      </c>
      <c r="AD135">
        <v>0.97770532499999996</v>
      </c>
      <c r="AE135">
        <v>0.97770532499999996</v>
      </c>
      <c r="AF135">
        <v>0.98</v>
      </c>
      <c r="AG135">
        <v>0.99</v>
      </c>
      <c r="AH135">
        <v>0.97862174999999996</v>
      </c>
      <c r="AI135">
        <v>0.97862174999999996</v>
      </c>
      <c r="AJ135">
        <v>0.98</v>
      </c>
      <c r="AK135">
        <v>1</v>
      </c>
      <c r="AL135">
        <v>0.97048500000000004</v>
      </c>
      <c r="AM135">
        <v>0.97443000000000002</v>
      </c>
      <c r="AS135">
        <v>0.97699999999999998</v>
      </c>
      <c r="AT135" s="328">
        <v>0.97750000000000004</v>
      </c>
      <c r="AU135">
        <v>0.97862174999999996</v>
      </c>
      <c r="AV135">
        <v>0.97443000000000002</v>
      </c>
      <c r="AW135">
        <v>0.97443000000000002</v>
      </c>
      <c r="AX135">
        <v>0.97443000000000002</v>
      </c>
      <c r="AY135">
        <v>0.97862174999999996</v>
      </c>
      <c r="AZ135">
        <v>0.97862174999999996</v>
      </c>
      <c r="BA135">
        <v>0.97443000000000002</v>
      </c>
      <c r="BB135" s="446">
        <v>1</v>
      </c>
      <c r="BC135">
        <v>1</v>
      </c>
      <c r="BD135">
        <v>1</v>
      </c>
      <c r="BE135">
        <v>1</v>
      </c>
      <c r="BF135">
        <v>0.99990000000000001</v>
      </c>
      <c r="BG135">
        <v>1</v>
      </c>
      <c r="BH135">
        <v>1</v>
      </c>
      <c r="BI135">
        <v>0.99</v>
      </c>
      <c r="BJ135">
        <v>0.999</v>
      </c>
      <c r="BK135">
        <v>0.998</v>
      </c>
      <c r="BL135">
        <v>0.99850000000000005</v>
      </c>
      <c r="BM135">
        <v>0.99850000000000005</v>
      </c>
      <c r="BN135">
        <v>0.97199999999999998</v>
      </c>
      <c r="BO135">
        <v>0.99990000000000001</v>
      </c>
      <c r="BP135">
        <v>0.99990000000000001</v>
      </c>
      <c r="BQ135">
        <v>1</v>
      </c>
      <c r="BR135">
        <v>1.1009126</v>
      </c>
      <c r="BS135">
        <v>1.115</v>
      </c>
      <c r="BT135">
        <v>1.0827</v>
      </c>
      <c r="BU135">
        <v>1.0178</v>
      </c>
      <c r="BV135">
        <v>1</v>
      </c>
      <c r="BW135">
        <v>2.3117999999999999</v>
      </c>
      <c r="BX135">
        <v>2.2927263330000001</v>
      </c>
      <c r="BY135">
        <v>1.10955</v>
      </c>
      <c r="BZ135">
        <v>1.2885</v>
      </c>
      <c r="CA135">
        <v>2.0009999999999999</v>
      </c>
      <c r="CB135">
        <v>1.5295049999999999</v>
      </c>
      <c r="CC135">
        <v>1.5295049999999999</v>
      </c>
      <c r="CD135">
        <v>1.2712049999999999</v>
      </c>
      <c r="CE135">
        <v>1.0833299999999999</v>
      </c>
      <c r="CF135">
        <v>1.437805</v>
      </c>
      <c r="CG135" s="332"/>
      <c r="CH135">
        <v>1.099575</v>
      </c>
      <c r="CI135" s="332"/>
      <c r="CJ135" s="332"/>
      <c r="CK135" s="332"/>
      <c r="CL135" s="332"/>
      <c r="CM135" s="332"/>
      <c r="CN135" s="332"/>
      <c r="CO135" s="332"/>
      <c r="CP135">
        <v>0.95499999999999996</v>
      </c>
      <c r="CQ135">
        <v>0.9</v>
      </c>
      <c r="CR135">
        <v>0.9</v>
      </c>
      <c r="CS135">
        <v>0.94</v>
      </c>
      <c r="CT135">
        <v>0.999</v>
      </c>
      <c r="CU135">
        <v>0.48</v>
      </c>
      <c r="CV135">
        <v>0.46</v>
      </c>
      <c r="CW135">
        <v>0.90500000000000003</v>
      </c>
      <c r="CX135">
        <v>0.58499999999999996</v>
      </c>
      <c r="CY135">
        <v>0.48499999999999999</v>
      </c>
      <c r="CZ135">
        <v>0.79500000000000004</v>
      </c>
      <c r="DA135">
        <v>0.82750000000000001</v>
      </c>
      <c r="DB135">
        <v>0.85</v>
      </c>
      <c r="DC135">
        <v>0.90249999999999997</v>
      </c>
      <c r="DD135">
        <v>0.82</v>
      </c>
      <c r="DE135">
        <v>0.89</v>
      </c>
      <c r="DI135">
        <v>0.97750000000000004</v>
      </c>
      <c r="DN135" s="332">
        <v>2.8499999999999999E-4</v>
      </c>
      <c r="DO135" s="332">
        <v>2.0000000000000001E-4</v>
      </c>
      <c r="DP135" s="332">
        <v>0</v>
      </c>
      <c r="DQ135" s="332">
        <v>1E-4</v>
      </c>
      <c r="DR135" s="332">
        <v>0</v>
      </c>
      <c r="DS135" s="332">
        <v>3.5999999999999999E-3</v>
      </c>
      <c r="DT135" s="332">
        <v>4.6999999999999999E-4</v>
      </c>
      <c r="DU135" s="332">
        <v>6.9999999999999999E-4</v>
      </c>
      <c r="DV135" s="332">
        <v>0</v>
      </c>
      <c r="DW135" s="332">
        <v>0</v>
      </c>
      <c r="DX135" s="332">
        <v>5.0000000000000001E-4</v>
      </c>
      <c r="DY135" s="332">
        <v>5.0000000000000001E-4</v>
      </c>
      <c r="DZ135" s="332">
        <v>2.9999999999999997E-4</v>
      </c>
      <c r="EA135" s="332">
        <v>2.7500000000000002E-4</v>
      </c>
      <c r="EB135" s="332">
        <v>4.0000000000000002E-4</v>
      </c>
      <c r="ED135" s="332">
        <v>6.4999999999999994E-5</v>
      </c>
      <c r="EF135">
        <v>1</v>
      </c>
    </row>
    <row r="136" spans="1:136" x14ac:dyDescent="0.25">
      <c r="A136" s="66">
        <v>40513</v>
      </c>
      <c r="B136">
        <v>0.98</v>
      </c>
      <c r="C136">
        <v>0.98799999999999999</v>
      </c>
      <c r="D136">
        <v>0.96</v>
      </c>
      <c r="E136">
        <v>0.95277599999999996</v>
      </c>
      <c r="F136">
        <v>0.97699999999999998</v>
      </c>
      <c r="G136">
        <v>0.98750000000000004</v>
      </c>
      <c r="H136">
        <v>0.98750000000000004</v>
      </c>
      <c r="I136">
        <v>0.97146874999999999</v>
      </c>
      <c r="J136">
        <v>0.98050000000000004</v>
      </c>
      <c r="K136">
        <v>0.97048500000000004</v>
      </c>
      <c r="L136" s="333">
        <v>0.90270295</v>
      </c>
      <c r="M136" s="333">
        <v>0.95242811199999999</v>
      </c>
      <c r="N136">
        <v>0.87733844999999999</v>
      </c>
      <c r="O136">
        <v>0.96711746300000001</v>
      </c>
      <c r="P136">
        <v>0.87733844999999999</v>
      </c>
      <c r="Q136" s="328">
        <v>0.90270295</v>
      </c>
      <c r="R136">
        <v>0.90270295</v>
      </c>
      <c r="S136" s="333">
        <v>0.90270295</v>
      </c>
      <c r="T136">
        <v>0.87733844999999999</v>
      </c>
      <c r="U136">
        <v>0.87733844999999999</v>
      </c>
      <c r="V136">
        <v>0.87733844999999999</v>
      </c>
      <c r="W136">
        <v>0.87733844999999999</v>
      </c>
      <c r="X136">
        <v>0.96711746300000001</v>
      </c>
      <c r="Y136">
        <v>0.96711746300000001</v>
      </c>
      <c r="Z136">
        <v>0.96711746300000001</v>
      </c>
      <c r="AA136">
        <v>0.96711746300000001</v>
      </c>
      <c r="AB136">
        <v>0.87733844999999999</v>
      </c>
      <c r="AC136">
        <v>0.87733844999999999</v>
      </c>
      <c r="AD136">
        <v>0.96711746300000001</v>
      </c>
      <c r="AE136">
        <v>0.96711746300000001</v>
      </c>
      <c r="AF136">
        <v>0.87733844999999999</v>
      </c>
      <c r="AG136">
        <v>0.98</v>
      </c>
      <c r="AH136">
        <v>0.97867959999999998</v>
      </c>
      <c r="AI136">
        <v>0.97867959999999998</v>
      </c>
      <c r="AJ136">
        <v>0.87733844999999999</v>
      </c>
      <c r="AK136">
        <v>1</v>
      </c>
      <c r="AL136">
        <v>0.97048500000000004</v>
      </c>
      <c r="AM136">
        <v>0.95277599999999996</v>
      </c>
      <c r="AS136">
        <v>0.97699999999999998</v>
      </c>
      <c r="AT136" s="328">
        <v>0.97750000000000004</v>
      </c>
      <c r="AU136">
        <v>0.97867959999999998</v>
      </c>
      <c r="AV136">
        <v>0.95277599999999996</v>
      </c>
      <c r="AW136">
        <v>0.95277599999999996</v>
      </c>
      <c r="AX136">
        <v>0.95277599999999996</v>
      </c>
      <c r="AY136">
        <v>0.97867959999999998</v>
      </c>
      <c r="AZ136">
        <v>0.97867959999999998</v>
      </c>
      <c r="BA136">
        <v>0.95277599999999996</v>
      </c>
      <c r="BB136" s="446">
        <v>1</v>
      </c>
      <c r="BC136">
        <v>1</v>
      </c>
      <c r="BD136">
        <v>1</v>
      </c>
      <c r="BE136">
        <v>1</v>
      </c>
      <c r="BF136">
        <v>0.99990000000000001</v>
      </c>
      <c r="BG136">
        <v>1</v>
      </c>
      <c r="BH136">
        <v>1</v>
      </c>
      <c r="BI136">
        <v>0.99</v>
      </c>
      <c r="BJ136">
        <v>0.999</v>
      </c>
      <c r="BK136">
        <v>0.998</v>
      </c>
      <c r="BL136">
        <v>0.99850000000000005</v>
      </c>
      <c r="BM136">
        <v>0.99850000000000005</v>
      </c>
      <c r="BN136">
        <v>0.97199999999999998</v>
      </c>
      <c r="BO136">
        <v>0.99990000000000001</v>
      </c>
      <c r="BP136">
        <v>0.99990000000000001</v>
      </c>
      <c r="BQ136">
        <v>1</v>
      </c>
      <c r="BR136">
        <v>1.1011976000000001</v>
      </c>
      <c r="BS136">
        <v>1.1152</v>
      </c>
      <c r="BT136">
        <v>1.0827</v>
      </c>
      <c r="BU136">
        <v>1.0179</v>
      </c>
      <c r="BV136">
        <v>1</v>
      </c>
      <c r="BW136">
        <v>2.3153999999999999</v>
      </c>
      <c r="BX136">
        <v>2.293196333</v>
      </c>
      <c r="BY136">
        <v>1.11025</v>
      </c>
      <c r="BZ136">
        <v>1.2885</v>
      </c>
      <c r="CA136">
        <v>2.0009999999999999</v>
      </c>
      <c r="CB136">
        <v>1.5300050000000001</v>
      </c>
      <c r="CC136">
        <v>1.5300050000000001</v>
      </c>
      <c r="CD136">
        <v>1.2715050000000001</v>
      </c>
      <c r="CE136">
        <v>1.0836049999999999</v>
      </c>
      <c r="CF136">
        <v>1.438205</v>
      </c>
      <c r="CG136" s="332"/>
      <c r="CH136">
        <v>1.09964</v>
      </c>
      <c r="CI136" s="332"/>
      <c r="CJ136" s="332"/>
      <c r="CK136" s="332"/>
      <c r="CL136" s="332"/>
      <c r="CM136" s="332"/>
      <c r="CN136" s="332"/>
      <c r="CO136" s="332"/>
      <c r="CP136">
        <v>0.93500000000000005</v>
      </c>
      <c r="CQ136">
        <v>0.89</v>
      </c>
      <c r="CR136">
        <v>0.88</v>
      </c>
      <c r="CS136">
        <v>0.92</v>
      </c>
      <c r="CT136">
        <v>0.999</v>
      </c>
      <c r="CU136">
        <v>0.51</v>
      </c>
      <c r="CV136">
        <v>0.48</v>
      </c>
      <c r="CW136">
        <v>0.875</v>
      </c>
      <c r="CX136">
        <v>0.59</v>
      </c>
      <c r="CY136">
        <v>0.48499999999999999</v>
      </c>
      <c r="CZ136">
        <v>0.59</v>
      </c>
      <c r="DA136">
        <v>0.62250000000000005</v>
      </c>
      <c r="DB136">
        <v>0.69</v>
      </c>
      <c r="DC136">
        <v>0.89249999999999996</v>
      </c>
      <c r="DD136">
        <v>0.71499999999999997</v>
      </c>
      <c r="DE136">
        <v>0.89</v>
      </c>
      <c r="DI136">
        <v>0.97750000000000004</v>
      </c>
      <c r="DN136" s="332">
        <v>2.8499999999999999E-4</v>
      </c>
      <c r="DO136" s="332">
        <v>2.0000000000000001E-4</v>
      </c>
      <c r="DP136" s="332">
        <v>0</v>
      </c>
      <c r="DQ136" s="332">
        <v>1E-4</v>
      </c>
      <c r="DR136" s="332">
        <v>0</v>
      </c>
      <c r="DS136" s="332">
        <v>3.5999999999999999E-3</v>
      </c>
      <c r="DT136" s="332">
        <v>4.6999999999999999E-4</v>
      </c>
      <c r="DU136" s="332">
        <v>6.9999999999999999E-4</v>
      </c>
      <c r="DV136" s="332">
        <v>0</v>
      </c>
      <c r="DW136" s="332">
        <v>0</v>
      </c>
      <c r="DX136" s="332">
        <v>5.0000000000000001E-4</v>
      </c>
      <c r="DY136" s="332">
        <v>5.0000000000000001E-4</v>
      </c>
      <c r="DZ136" s="332">
        <v>2.9999999999999997E-4</v>
      </c>
      <c r="EA136" s="332">
        <v>2.7500000000000002E-4</v>
      </c>
      <c r="EB136" s="332">
        <v>4.0000000000000002E-4</v>
      </c>
      <c r="ED136" s="332">
        <v>6.4999999999999994E-5</v>
      </c>
      <c r="EF136">
        <v>1</v>
      </c>
    </row>
    <row r="137" spans="1:136" x14ac:dyDescent="0.25">
      <c r="A137" s="66">
        <v>40544</v>
      </c>
      <c r="B137">
        <v>0.98</v>
      </c>
      <c r="C137">
        <v>0.95924399999999999</v>
      </c>
      <c r="D137">
        <v>0.96</v>
      </c>
      <c r="E137">
        <v>0</v>
      </c>
      <c r="F137">
        <v>0.97699999999999998</v>
      </c>
      <c r="G137">
        <v>0.98750000000000004</v>
      </c>
      <c r="H137">
        <v>0.98750000000000004</v>
      </c>
      <c r="I137">
        <v>0.89431475000000005</v>
      </c>
      <c r="J137">
        <v>0.98050000000000004</v>
      </c>
      <c r="K137">
        <v>0.98499999999999999</v>
      </c>
      <c r="L137" s="333">
        <v>0.925955525</v>
      </c>
      <c r="M137" s="333">
        <v>0.97569693700000004</v>
      </c>
      <c r="N137">
        <v>0.87754544999999995</v>
      </c>
      <c r="O137">
        <v>0.95381439999999995</v>
      </c>
      <c r="P137">
        <v>0.87754544999999995</v>
      </c>
      <c r="Q137" s="328">
        <v>0.925955525</v>
      </c>
      <c r="R137">
        <v>0.925955525</v>
      </c>
      <c r="S137" s="333">
        <v>0.925955525</v>
      </c>
      <c r="T137">
        <v>0.87754544999999995</v>
      </c>
      <c r="U137">
        <v>0.87754544999999995</v>
      </c>
      <c r="V137">
        <v>0.87754544999999995</v>
      </c>
      <c r="W137">
        <v>0.87754544999999995</v>
      </c>
      <c r="X137">
        <v>0.95381439999999995</v>
      </c>
      <c r="Y137">
        <v>0.95381439999999995</v>
      </c>
      <c r="Z137">
        <v>0.95381439999999995</v>
      </c>
      <c r="AA137">
        <v>0.95381439999999995</v>
      </c>
      <c r="AB137">
        <v>0.87754544999999995</v>
      </c>
      <c r="AC137">
        <v>0.87754544999999995</v>
      </c>
      <c r="AD137">
        <v>0.95381439999999995</v>
      </c>
      <c r="AE137">
        <v>0.95381439999999995</v>
      </c>
      <c r="AF137">
        <v>0.87754544999999995</v>
      </c>
      <c r="AG137">
        <v>0.98</v>
      </c>
      <c r="AH137">
        <v>0.97873745000000001</v>
      </c>
      <c r="AI137">
        <v>0.97873745000000001</v>
      </c>
      <c r="AJ137">
        <v>0.87754544999999995</v>
      </c>
      <c r="AK137">
        <v>1</v>
      </c>
      <c r="AL137">
        <v>0.98499999999999999</v>
      </c>
      <c r="AM137">
        <v>0</v>
      </c>
      <c r="BB137" s="446">
        <v>1</v>
      </c>
      <c r="BC137">
        <v>1</v>
      </c>
      <c r="BD137">
        <v>1</v>
      </c>
      <c r="BE137">
        <v>1</v>
      </c>
      <c r="BF137">
        <v>0.99990000000000001</v>
      </c>
      <c r="BG137">
        <v>1</v>
      </c>
      <c r="BH137">
        <v>1</v>
      </c>
      <c r="BI137">
        <v>0.99</v>
      </c>
      <c r="BJ137">
        <v>0.999</v>
      </c>
      <c r="BK137">
        <v>0.998</v>
      </c>
      <c r="BL137">
        <v>0.99850000000000005</v>
      </c>
      <c r="BM137">
        <v>0.99850000000000005</v>
      </c>
      <c r="BN137">
        <v>0.97199999999999998</v>
      </c>
      <c r="BO137">
        <v>0.99990000000000001</v>
      </c>
      <c r="BP137">
        <v>0.99990000000000001</v>
      </c>
      <c r="BQ137">
        <v>1</v>
      </c>
      <c r="BR137">
        <v>1.1014826</v>
      </c>
      <c r="BS137">
        <v>1.1153999999999999</v>
      </c>
      <c r="BT137">
        <v>1.0827</v>
      </c>
      <c r="BU137">
        <v>1.018</v>
      </c>
      <c r="BV137">
        <v>1</v>
      </c>
      <c r="BW137">
        <v>2.319</v>
      </c>
      <c r="BX137">
        <v>2.293666333</v>
      </c>
      <c r="BY137">
        <v>1.1109500000000001</v>
      </c>
      <c r="BZ137">
        <v>1.2885</v>
      </c>
      <c r="CA137">
        <v>2.0009999999999999</v>
      </c>
      <c r="CB137">
        <v>1.530505</v>
      </c>
      <c r="CC137">
        <v>1.530505</v>
      </c>
      <c r="CD137">
        <v>1.2718050000000001</v>
      </c>
      <c r="CE137">
        <v>1.08388</v>
      </c>
      <c r="CF137">
        <v>1.4386049999999999</v>
      </c>
      <c r="CG137" s="332"/>
      <c r="CH137">
        <v>1.0997049999999999</v>
      </c>
      <c r="CI137" s="332"/>
      <c r="CJ137" s="332"/>
      <c r="CK137" s="332"/>
      <c r="CL137" s="332"/>
      <c r="CM137" s="332"/>
      <c r="CN137" s="332"/>
      <c r="CO137" s="332"/>
      <c r="CP137">
        <v>0.89500000000000002</v>
      </c>
      <c r="CQ137">
        <v>0.86</v>
      </c>
      <c r="CT137">
        <v>0.999</v>
      </c>
      <c r="CU137">
        <v>0.57999999999999996</v>
      </c>
      <c r="CV137">
        <v>0.45</v>
      </c>
      <c r="CW137">
        <v>0.80500000000000005</v>
      </c>
      <c r="CX137">
        <v>0.6</v>
      </c>
      <c r="CY137">
        <v>0.505</v>
      </c>
      <c r="CZ137">
        <v>0.60499999999999998</v>
      </c>
      <c r="DA137">
        <v>0.63749999999999996</v>
      </c>
      <c r="DB137">
        <v>0.69</v>
      </c>
      <c r="DC137">
        <v>0.88</v>
      </c>
      <c r="DD137">
        <v>0.64</v>
      </c>
      <c r="DE137">
        <v>0.89</v>
      </c>
      <c r="DN137" s="332">
        <v>2.8499999999999999E-4</v>
      </c>
      <c r="DO137" s="332">
        <v>2.0000000000000001E-4</v>
      </c>
      <c r="DP137" s="332">
        <v>0</v>
      </c>
      <c r="DQ137" s="332">
        <v>1E-4</v>
      </c>
      <c r="DR137" s="332">
        <v>0</v>
      </c>
      <c r="DS137" s="332">
        <v>3.5999999999999999E-3</v>
      </c>
      <c r="DT137" s="332">
        <v>4.6999999999999999E-4</v>
      </c>
      <c r="DU137" s="332">
        <v>6.9999999999999999E-4</v>
      </c>
      <c r="DV137" s="332">
        <v>0</v>
      </c>
      <c r="DW137" s="332">
        <v>0</v>
      </c>
      <c r="DX137" s="332">
        <v>5.0000000000000001E-4</v>
      </c>
      <c r="DY137" s="332">
        <v>5.0000000000000001E-4</v>
      </c>
      <c r="DZ137" s="332">
        <v>2.9999999999999997E-4</v>
      </c>
      <c r="EA137" s="332">
        <v>2.7500000000000002E-4</v>
      </c>
      <c r="EB137" s="332">
        <v>4.0000000000000002E-4</v>
      </c>
      <c r="ED137" s="332">
        <v>6.4999999999999994E-5</v>
      </c>
      <c r="EF137">
        <v>1</v>
      </c>
    </row>
    <row r="138" spans="1:136" x14ac:dyDescent="0.25">
      <c r="A138" s="66">
        <v>40575</v>
      </c>
      <c r="B138">
        <v>0.98</v>
      </c>
      <c r="C138">
        <v>0.95941600000000005</v>
      </c>
      <c r="D138">
        <v>0.96</v>
      </c>
      <c r="E138">
        <v>0</v>
      </c>
      <c r="F138">
        <v>0.97699999999999998</v>
      </c>
      <c r="G138">
        <v>0.98750000000000004</v>
      </c>
      <c r="H138">
        <v>0.98750000000000004</v>
      </c>
      <c r="I138">
        <v>0.93934424999999999</v>
      </c>
      <c r="J138">
        <v>0.98050000000000004</v>
      </c>
      <c r="K138">
        <v>0.98499999999999999</v>
      </c>
      <c r="L138" s="333">
        <v>0.97218817499999999</v>
      </c>
      <c r="M138" s="333">
        <v>0.98750000000000004</v>
      </c>
      <c r="N138">
        <v>0.90319455000000004</v>
      </c>
      <c r="O138">
        <v>0.95134601299999999</v>
      </c>
      <c r="P138">
        <v>0.90319455000000004</v>
      </c>
      <c r="Q138" s="328">
        <v>0.97218817499999999</v>
      </c>
      <c r="R138">
        <v>0.97218817499999999</v>
      </c>
      <c r="S138" s="333">
        <v>0.97218817499999999</v>
      </c>
      <c r="T138">
        <v>0.90319455000000004</v>
      </c>
      <c r="U138">
        <v>0.90319455000000004</v>
      </c>
      <c r="V138">
        <v>0.90319455000000004</v>
      </c>
      <c r="W138">
        <v>0.90319455000000004</v>
      </c>
      <c r="X138">
        <v>0.95134601299999999</v>
      </c>
      <c r="Y138">
        <v>0.95134601299999999</v>
      </c>
      <c r="Z138">
        <v>0.95134601299999999</v>
      </c>
      <c r="AA138">
        <v>0.95134601299999999</v>
      </c>
      <c r="AB138">
        <v>0.90319455000000004</v>
      </c>
      <c r="AC138">
        <v>0.90319455000000004</v>
      </c>
      <c r="AD138">
        <v>0.95134601299999999</v>
      </c>
      <c r="AE138">
        <v>0.95134601299999999</v>
      </c>
      <c r="AF138">
        <v>0.90319455000000004</v>
      </c>
      <c r="AG138">
        <v>0.98</v>
      </c>
      <c r="AH138">
        <v>0.97879530000000003</v>
      </c>
      <c r="AI138">
        <v>0.97879530000000003</v>
      </c>
      <c r="AJ138">
        <v>0.90319455000000004</v>
      </c>
      <c r="AK138">
        <v>1</v>
      </c>
      <c r="AL138">
        <v>0.98499999999999999</v>
      </c>
      <c r="AM138">
        <v>0</v>
      </c>
      <c r="BB138" s="446">
        <v>1</v>
      </c>
      <c r="BC138">
        <v>1</v>
      </c>
      <c r="BD138">
        <v>1</v>
      </c>
      <c r="BE138">
        <v>1</v>
      </c>
      <c r="BF138">
        <v>0.99990000000000001</v>
      </c>
      <c r="BG138">
        <v>1</v>
      </c>
      <c r="BH138">
        <v>1</v>
      </c>
      <c r="BI138">
        <v>0.99</v>
      </c>
      <c r="BJ138">
        <v>0.999</v>
      </c>
      <c r="BK138">
        <v>0.998</v>
      </c>
      <c r="BL138">
        <v>0.99850000000000005</v>
      </c>
      <c r="BM138">
        <v>0.99850000000000005</v>
      </c>
      <c r="BN138">
        <v>0.97199999999999998</v>
      </c>
      <c r="BO138">
        <v>0.99990000000000001</v>
      </c>
      <c r="BP138">
        <v>0.99990000000000001</v>
      </c>
      <c r="BQ138">
        <v>1</v>
      </c>
      <c r="BR138">
        <v>1.1017676000000001</v>
      </c>
      <c r="BS138">
        <v>1.1155999999999999</v>
      </c>
      <c r="BT138">
        <v>1.0827</v>
      </c>
      <c r="BU138">
        <v>1.0181</v>
      </c>
      <c r="BV138">
        <v>1</v>
      </c>
      <c r="BW138">
        <v>2.3226</v>
      </c>
      <c r="BX138">
        <v>2.294136333</v>
      </c>
      <c r="BY138">
        <v>1.11165</v>
      </c>
      <c r="BZ138">
        <v>1.2885</v>
      </c>
      <c r="CA138">
        <v>2.0009999999999999</v>
      </c>
      <c r="CB138">
        <v>1.5310049999999999</v>
      </c>
      <c r="CC138">
        <v>1.5310049999999999</v>
      </c>
      <c r="CD138">
        <v>1.272105</v>
      </c>
      <c r="CE138">
        <v>1.084155</v>
      </c>
      <c r="CF138">
        <v>1.4390050000000001</v>
      </c>
      <c r="CG138" s="332"/>
      <c r="CH138">
        <v>1.0997699999999999</v>
      </c>
      <c r="CI138" s="332"/>
      <c r="CJ138" s="332"/>
      <c r="CK138" s="332"/>
      <c r="CL138" s="332"/>
      <c r="CM138" s="332"/>
      <c r="CN138" s="332"/>
      <c r="CO138" s="332"/>
      <c r="CP138">
        <v>0.86499999999999999</v>
      </c>
      <c r="CQ138">
        <v>0.86</v>
      </c>
      <c r="CT138">
        <v>0.99895</v>
      </c>
      <c r="CU138">
        <v>0.57999999999999996</v>
      </c>
      <c r="CV138">
        <v>0.45</v>
      </c>
      <c r="CW138">
        <v>0.84499999999999997</v>
      </c>
      <c r="CX138">
        <v>0.70499999999999996</v>
      </c>
      <c r="CY138">
        <v>0.505</v>
      </c>
      <c r="CZ138">
        <v>0.63500000000000001</v>
      </c>
      <c r="DA138">
        <v>0.66749999999999998</v>
      </c>
      <c r="DB138">
        <v>0.71</v>
      </c>
      <c r="DC138">
        <v>0.87749999999999995</v>
      </c>
      <c r="DD138">
        <v>0.67</v>
      </c>
      <c r="DE138">
        <v>0.89</v>
      </c>
      <c r="DN138" s="332">
        <v>2.8499999999999999E-4</v>
      </c>
      <c r="DO138" s="332">
        <v>2.0000000000000001E-4</v>
      </c>
      <c r="DP138" s="332">
        <v>0</v>
      </c>
      <c r="DQ138" s="332">
        <v>1E-4</v>
      </c>
      <c r="DR138" s="332">
        <v>0</v>
      </c>
      <c r="DS138" s="332">
        <v>3.5999999999999999E-3</v>
      </c>
      <c r="DT138" s="332">
        <v>4.6999999999999999E-4</v>
      </c>
      <c r="DU138" s="332">
        <v>6.9999999999999999E-4</v>
      </c>
      <c r="DV138" s="332">
        <v>0</v>
      </c>
      <c r="DW138" s="332">
        <v>0</v>
      </c>
      <c r="DX138" s="332">
        <v>5.0000000000000001E-4</v>
      </c>
      <c r="DY138" s="332">
        <v>5.0000000000000001E-4</v>
      </c>
      <c r="DZ138" s="332">
        <v>2.9999999999999997E-4</v>
      </c>
      <c r="EA138" s="332">
        <v>2.7500000000000002E-4</v>
      </c>
      <c r="EB138" s="332">
        <v>4.0000000000000002E-4</v>
      </c>
      <c r="ED138" s="332">
        <v>6.4999999999999994E-5</v>
      </c>
      <c r="EF138">
        <v>1</v>
      </c>
    </row>
    <row r="139" spans="1:136" x14ac:dyDescent="0.25">
      <c r="A139" s="66">
        <v>40603</v>
      </c>
      <c r="B139">
        <v>0.98</v>
      </c>
      <c r="C139">
        <v>0.98799999999999999</v>
      </c>
      <c r="D139">
        <v>0.96</v>
      </c>
      <c r="E139">
        <v>0</v>
      </c>
      <c r="F139">
        <v>0.97699999999999998</v>
      </c>
      <c r="G139">
        <v>0.98750000000000004</v>
      </c>
      <c r="H139">
        <v>0.98750000000000004</v>
      </c>
      <c r="I139">
        <v>0.97330625000000004</v>
      </c>
      <c r="J139">
        <v>0.98050000000000004</v>
      </c>
      <c r="K139">
        <v>0.98499999999999999</v>
      </c>
      <c r="L139" s="333">
        <v>0.98750000000000004</v>
      </c>
      <c r="M139" s="333">
        <v>0.98750000000000004</v>
      </c>
      <c r="N139">
        <v>0.98</v>
      </c>
      <c r="O139">
        <v>0.97598700000000005</v>
      </c>
      <c r="P139">
        <v>0.98</v>
      </c>
      <c r="Q139" s="328">
        <v>0.98750000000000004</v>
      </c>
      <c r="R139">
        <v>0.98750000000000004</v>
      </c>
      <c r="S139" s="333">
        <v>0.98750000000000004</v>
      </c>
      <c r="T139">
        <v>0.98</v>
      </c>
      <c r="U139">
        <v>0.98</v>
      </c>
      <c r="V139">
        <v>0.98</v>
      </c>
      <c r="W139">
        <v>0.98</v>
      </c>
      <c r="X139">
        <v>0.97598700000000005</v>
      </c>
      <c r="Y139">
        <v>0.97598700000000005</v>
      </c>
      <c r="Z139">
        <v>0.97598700000000005</v>
      </c>
      <c r="AA139">
        <v>0.97598700000000005</v>
      </c>
      <c r="AB139">
        <v>0.98</v>
      </c>
      <c r="AC139">
        <v>0.98</v>
      </c>
      <c r="AD139">
        <v>0.97598700000000005</v>
      </c>
      <c r="AE139">
        <v>0.97598700000000005</v>
      </c>
      <c r="AF139">
        <v>0.98</v>
      </c>
      <c r="AG139">
        <v>0.99</v>
      </c>
      <c r="AH139">
        <v>0.97885314999999995</v>
      </c>
      <c r="AI139">
        <v>0.97885314999999995</v>
      </c>
      <c r="AJ139">
        <v>0.98</v>
      </c>
      <c r="AK139">
        <v>1</v>
      </c>
      <c r="AL139">
        <v>0.98499999999999999</v>
      </c>
      <c r="AM139">
        <v>0</v>
      </c>
      <c r="BB139" s="446">
        <v>1</v>
      </c>
      <c r="BC139">
        <v>1</v>
      </c>
      <c r="BD139">
        <v>1</v>
      </c>
      <c r="BE139">
        <v>1</v>
      </c>
      <c r="BF139">
        <v>0.99990000000000001</v>
      </c>
      <c r="BG139">
        <v>1</v>
      </c>
      <c r="BH139">
        <v>1</v>
      </c>
      <c r="BI139">
        <v>0.99</v>
      </c>
      <c r="BJ139">
        <v>0.999</v>
      </c>
      <c r="BK139">
        <v>0.998</v>
      </c>
      <c r="BL139">
        <v>0.99850000000000005</v>
      </c>
      <c r="BM139">
        <v>0.99850000000000005</v>
      </c>
      <c r="BN139">
        <v>0.97199999999999998</v>
      </c>
      <c r="BO139">
        <v>0.99990000000000001</v>
      </c>
      <c r="BP139">
        <v>0.99990000000000001</v>
      </c>
      <c r="BQ139">
        <v>1</v>
      </c>
      <c r="BR139">
        <v>1.1020525999999999</v>
      </c>
      <c r="BS139">
        <v>1.1157999999999999</v>
      </c>
      <c r="BT139">
        <v>1.0827</v>
      </c>
      <c r="BU139">
        <v>1.0182</v>
      </c>
      <c r="BV139">
        <v>1</v>
      </c>
      <c r="BW139">
        <v>2.3262</v>
      </c>
      <c r="BX139">
        <v>2.2946063329999999</v>
      </c>
      <c r="BY139">
        <v>1.1123499999999999</v>
      </c>
      <c r="BZ139">
        <v>1.2885</v>
      </c>
      <c r="CA139">
        <v>2.0009999999999999</v>
      </c>
      <c r="CB139">
        <v>1.5315049999999999</v>
      </c>
      <c r="CC139">
        <v>1.5315049999999999</v>
      </c>
      <c r="CD139">
        <v>1.272405</v>
      </c>
      <c r="CE139">
        <v>1.08443</v>
      </c>
      <c r="CF139">
        <v>1.439405</v>
      </c>
      <c r="CG139" s="332"/>
      <c r="CH139">
        <v>1.0998349999999999</v>
      </c>
      <c r="CI139" s="332"/>
      <c r="CJ139" s="332"/>
      <c r="CK139" s="332"/>
      <c r="CL139" s="332"/>
      <c r="CM139" s="332"/>
      <c r="CN139" s="332"/>
      <c r="CO139" s="332"/>
      <c r="CP139">
        <v>0.86499999999999999</v>
      </c>
      <c r="CQ139">
        <v>0.89</v>
      </c>
      <c r="CT139">
        <v>0.99895</v>
      </c>
      <c r="CU139">
        <v>0.54</v>
      </c>
      <c r="CV139">
        <v>0.45</v>
      </c>
      <c r="CW139">
        <v>0.875</v>
      </c>
      <c r="CX139">
        <v>0.875</v>
      </c>
      <c r="CY139">
        <v>0.51500000000000001</v>
      </c>
      <c r="CZ139">
        <v>0.78500000000000003</v>
      </c>
      <c r="DA139">
        <v>0.8175</v>
      </c>
      <c r="DB139">
        <v>0.8</v>
      </c>
      <c r="DC139">
        <v>0.9</v>
      </c>
      <c r="DD139">
        <v>0.83</v>
      </c>
      <c r="DE139">
        <v>0.89</v>
      </c>
      <c r="DN139" s="332">
        <v>2.8499999999999999E-4</v>
      </c>
      <c r="DO139" s="332">
        <v>2.0000000000000001E-4</v>
      </c>
      <c r="DP139" s="332">
        <v>0</v>
      </c>
      <c r="DQ139" s="332">
        <v>1E-4</v>
      </c>
      <c r="DR139" s="332">
        <v>0</v>
      </c>
      <c r="DS139" s="332">
        <v>3.5999999999999999E-3</v>
      </c>
      <c r="DT139" s="332">
        <v>4.6999999999999999E-4</v>
      </c>
      <c r="DU139" s="332">
        <v>6.9999999999999999E-4</v>
      </c>
      <c r="DV139" s="332">
        <v>0</v>
      </c>
      <c r="DW139" s="332">
        <v>0</v>
      </c>
      <c r="DX139" s="332">
        <v>5.0000000000000001E-4</v>
      </c>
      <c r="DY139" s="332">
        <v>5.0000000000000001E-4</v>
      </c>
      <c r="DZ139" s="332">
        <v>2.9999999999999997E-4</v>
      </c>
      <c r="EA139" s="332">
        <v>2.7500000000000002E-4</v>
      </c>
      <c r="EB139" s="332">
        <v>4.0000000000000002E-4</v>
      </c>
      <c r="ED139" s="332">
        <v>6.4999999999999994E-5</v>
      </c>
      <c r="EF139">
        <v>1</v>
      </c>
    </row>
    <row r="140" spans="1:136" x14ac:dyDescent="0.25">
      <c r="A140" s="66">
        <v>40634</v>
      </c>
      <c r="B140">
        <v>0.98</v>
      </c>
      <c r="C140">
        <v>0.98799999999999999</v>
      </c>
      <c r="D140">
        <v>0.96</v>
      </c>
      <c r="E140">
        <v>0</v>
      </c>
      <c r="F140">
        <v>0.97699999999999998</v>
      </c>
      <c r="G140">
        <v>0.98750000000000004</v>
      </c>
      <c r="H140">
        <v>0.96393205999999998</v>
      </c>
      <c r="I140">
        <v>0.98750000000000004</v>
      </c>
      <c r="J140">
        <v>0.98050000000000004</v>
      </c>
      <c r="K140">
        <v>0.98499999999999999</v>
      </c>
      <c r="L140" s="333">
        <v>0.98750000000000004</v>
      </c>
      <c r="M140" s="333">
        <v>0.98750000000000004</v>
      </c>
      <c r="N140">
        <v>0.98</v>
      </c>
      <c r="O140">
        <v>0.97948861499999995</v>
      </c>
      <c r="P140">
        <v>0.98</v>
      </c>
      <c r="Q140" s="328">
        <v>0.98750000000000004</v>
      </c>
      <c r="R140">
        <v>0.98750000000000004</v>
      </c>
      <c r="S140" s="333">
        <v>0.98750000000000004</v>
      </c>
      <c r="T140">
        <v>0.98</v>
      </c>
      <c r="U140">
        <v>0.98</v>
      </c>
      <c r="V140">
        <v>0.98</v>
      </c>
      <c r="W140">
        <v>0.98</v>
      </c>
      <c r="X140">
        <v>0.97948861499999995</v>
      </c>
      <c r="Y140">
        <v>0.97948861499999995</v>
      </c>
      <c r="Z140">
        <v>0.97948861499999995</v>
      </c>
      <c r="AA140">
        <v>0.97948861499999995</v>
      </c>
      <c r="AB140">
        <v>0.98</v>
      </c>
      <c r="AC140">
        <v>0.98</v>
      </c>
      <c r="AD140">
        <v>0.97948861499999995</v>
      </c>
      <c r="AE140">
        <v>0.97948861499999995</v>
      </c>
      <c r="AF140">
        <v>0.98</v>
      </c>
      <c r="AG140">
        <v>0.99</v>
      </c>
      <c r="AH140">
        <v>0.97891099999999998</v>
      </c>
      <c r="AI140">
        <v>0.97891099999999998</v>
      </c>
      <c r="AJ140">
        <v>0.98</v>
      </c>
      <c r="AK140">
        <v>1</v>
      </c>
      <c r="AL140">
        <v>0.98499999999999999</v>
      </c>
      <c r="AM140">
        <v>0</v>
      </c>
      <c r="BB140" s="446">
        <v>1</v>
      </c>
      <c r="BC140">
        <v>1</v>
      </c>
      <c r="BD140">
        <v>1</v>
      </c>
      <c r="BE140">
        <v>1</v>
      </c>
      <c r="BF140">
        <v>0.99990000000000001</v>
      </c>
      <c r="BG140">
        <v>1</v>
      </c>
      <c r="BH140">
        <v>1</v>
      </c>
      <c r="BI140">
        <v>0.99</v>
      </c>
      <c r="BJ140">
        <v>0.999</v>
      </c>
      <c r="BK140">
        <v>0.998</v>
      </c>
      <c r="BL140">
        <v>0.99850000000000005</v>
      </c>
      <c r="BM140">
        <v>0.99850000000000005</v>
      </c>
      <c r="BN140">
        <v>0.97199999999999998</v>
      </c>
      <c r="BO140">
        <v>0.99990000000000001</v>
      </c>
      <c r="BP140">
        <v>0.99990000000000001</v>
      </c>
      <c r="BQ140">
        <v>1</v>
      </c>
      <c r="BR140">
        <v>1.1023376</v>
      </c>
      <c r="BS140">
        <v>1.1160000000000001</v>
      </c>
      <c r="BT140">
        <v>1.0827</v>
      </c>
      <c r="BU140">
        <v>1.0183</v>
      </c>
      <c r="BV140">
        <v>1</v>
      </c>
      <c r="BW140">
        <v>2.3298000000000001</v>
      </c>
      <c r="BX140">
        <v>2.2950763329999999</v>
      </c>
      <c r="BY140">
        <v>1.1130500000000001</v>
      </c>
      <c r="BZ140">
        <v>1.2885</v>
      </c>
      <c r="CA140">
        <v>2.0009999999999999</v>
      </c>
      <c r="CB140">
        <v>1.5320050000000001</v>
      </c>
      <c r="CC140">
        <v>1.5320050000000001</v>
      </c>
      <c r="CD140">
        <v>1.272705</v>
      </c>
      <c r="CE140">
        <v>1.084705</v>
      </c>
      <c r="CF140">
        <v>1.439805</v>
      </c>
      <c r="CG140" s="332"/>
      <c r="CH140">
        <v>1.0999000000000001</v>
      </c>
      <c r="CI140" s="332"/>
      <c r="CJ140" s="332"/>
      <c r="CK140" s="332"/>
      <c r="CL140" s="332"/>
      <c r="CM140" s="332"/>
      <c r="CN140" s="332"/>
      <c r="CO140" s="332"/>
      <c r="CP140">
        <v>0.89500000000000002</v>
      </c>
      <c r="CQ140">
        <v>0.9</v>
      </c>
      <c r="CT140">
        <v>0.99895</v>
      </c>
      <c r="CU140">
        <v>0.48</v>
      </c>
      <c r="CV140">
        <v>0.42</v>
      </c>
      <c r="CW140">
        <v>0.93500000000000005</v>
      </c>
      <c r="CX140">
        <v>0.86499999999999999</v>
      </c>
      <c r="CY140">
        <v>0.57499999999999996</v>
      </c>
      <c r="CZ140">
        <v>0.89500000000000002</v>
      </c>
      <c r="DA140">
        <v>0.92749999999999999</v>
      </c>
      <c r="DB140">
        <v>0.85</v>
      </c>
      <c r="DC140">
        <v>0.90300000000000002</v>
      </c>
      <c r="DD140">
        <v>0.92</v>
      </c>
      <c r="DE140">
        <v>0.89</v>
      </c>
      <c r="DN140" s="332">
        <v>2.8499999999999999E-4</v>
      </c>
      <c r="DO140" s="332">
        <v>2.0000000000000001E-4</v>
      </c>
      <c r="DP140" s="332">
        <v>0</v>
      </c>
      <c r="DQ140" s="332">
        <v>1E-4</v>
      </c>
      <c r="DR140" s="332">
        <v>0</v>
      </c>
      <c r="DS140" s="332">
        <v>3.5999999999999999E-3</v>
      </c>
      <c r="DT140" s="332">
        <v>4.6999999999999999E-4</v>
      </c>
      <c r="DU140" s="332">
        <v>6.9999999999999999E-4</v>
      </c>
      <c r="DV140" s="332">
        <v>0</v>
      </c>
      <c r="DW140" s="332">
        <v>0</v>
      </c>
      <c r="DX140" s="332">
        <v>5.0000000000000001E-4</v>
      </c>
      <c r="DY140" s="332">
        <v>5.0000000000000001E-4</v>
      </c>
      <c r="DZ140" s="332">
        <v>2.9999999999999997E-4</v>
      </c>
      <c r="EA140" s="332">
        <v>2.7500000000000002E-4</v>
      </c>
      <c r="EB140" s="332">
        <v>4.0000000000000002E-4</v>
      </c>
      <c r="ED140" s="332">
        <v>6.4999999999999994E-5</v>
      </c>
      <c r="EF140">
        <v>1</v>
      </c>
    </row>
    <row r="141" spans="1:136" x14ac:dyDescent="0.25">
      <c r="A141" s="66">
        <v>40664</v>
      </c>
      <c r="B141">
        <v>0.98</v>
      </c>
      <c r="C141">
        <v>0.98799999999999999</v>
      </c>
      <c r="D141">
        <v>0.96</v>
      </c>
      <c r="E141">
        <v>0</v>
      </c>
      <c r="F141">
        <v>0.97699999999999998</v>
      </c>
      <c r="G141">
        <v>0.79335599999999995</v>
      </c>
      <c r="H141">
        <v>0.96412945999999999</v>
      </c>
      <c r="I141">
        <v>0.98750000000000004</v>
      </c>
      <c r="J141">
        <v>0.98050000000000004</v>
      </c>
      <c r="K141">
        <v>0.98499999999999999</v>
      </c>
      <c r="L141" s="333">
        <v>0.98750000000000004</v>
      </c>
      <c r="M141" s="333">
        <v>0.98750000000000004</v>
      </c>
      <c r="N141">
        <v>0.98</v>
      </c>
      <c r="O141">
        <v>0.97648199999999996</v>
      </c>
      <c r="P141">
        <v>0.98</v>
      </c>
      <c r="Q141" s="328">
        <v>0.98750000000000004</v>
      </c>
      <c r="R141">
        <v>0.98750000000000004</v>
      </c>
      <c r="S141" s="333">
        <v>0.98750000000000004</v>
      </c>
      <c r="T141">
        <v>0.98</v>
      </c>
      <c r="U141">
        <v>0.98</v>
      </c>
      <c r="V141">
        <v>0.98</v>
      </c>
      <c r="W141">
        <v>0.98</v>
      </c>
      <c r="X141">
        <v>0.97648199999999996</v>
      </c>
      <c r="Y141">
        <v>0.97648199999999996</v>
      </c>
      <c r="Z141">
        <v>0.97648199999999996</v>
      </c>
      <c r="AA141">
        <v>0.97648199999999996</v>
      </c>
      <c r="AB141">
        <v>0.98</v>
      </c>
      <c r="AC141">
        <v>0.98</v>
      </c>
      <c r="AD141">
        <v>0.97648199999999996</v>
      </c>
      <c r="AE141">
        <v>0.97648199999999996</v>
      </c>
      <c r="AF141">
        <v>0.98</v>
      </c>
      <c r="AG141">
        <v>0.99</v>
      </c>
      <c r="AH141">
        <v>0.97896885</v>
      </c>
      <c r="AI141">
        <v>0.97896885</v>
      </c>
      <c r="AJ141">
        <v>0.98</v>
      </c>
      <c r="AK141">
        <v>1</v>
      </c>
      <c r="AL141">
        <v>0.98499999999999999</v>
      </c>
      <c r="AM141">
        <v>0</v>
      </c>
      <c r="BB141" s="446">
        <v>1</v>
      </c>
      <c r="BC141">
        <v>1</v>
      </c>
      <c r="BD141">
        <v>1</v>
      </c>
      <c r="BE141">
        <v>1</v>
      </c>
      <c r="BF141">
        <v>0.99990000000000001</v>
      </c>
      <c r="BG141">
        <v>1</v>
      </c>
      <c r="BH141">
        <v>1</v>
      </c>
      <c r="BI141">
        <v>0.99</v>
      </c>
      <c r="BJ141">
        <v>0.999</v>
      </c>
      <c r="BK141">
        <v>0.998</v>
      </c>
      <c r="BL141">
        <v>0.99850000000000005</v>
      </c>
      <c r="BM141">
        <v>0.99850000000000005</v>
      </c>
      <c r="BN141">
        <v>0.97199999999999998</v>
      </c>
      <c r="BO141">
        <v>0.99990000000000001</v>
      </c>
      <c r="BP141">
        <v>0.99990000000000001</v>
      </c>
      <c r="BQ141">
        <v>1</v>
      </c>
      <c r="BR141">
        <v>1.1026225999999999</v>
      </c>
      <c r="BS141">
        <v>1.1162000000000001</v>
      </c>
      <c r="BT141">
        <v>1.0827</v>
      </c>
      <c r="BU141">
        <v>1.0184</v>
      </c>
      <c r="BV141">
        <v>1</v>
      </c>
      <c r="BW141">
        <v>2.3334000000000001</v>
      </c>
      <c r="BX141">
        <v>2.2955463329999999</v>
      </c>
      <c r="BY141">
        <v>1.11375</v>
      </c>
      <c r="BZ141">
        <v>1.2885</v>
      </c>
      <c r="CA141">
        <v>2.0009999999999999</v>
      </c>
      <c r="CB141">
        <v>1.532505</v>
      </c>
      <c r="CC141">
        <v>1.532505</v>
      </c>
      <c r="CD141">
        <v>1.2730049999999999</v>
      </c>
      <c r="CE141">
        <v>1.0849800000000001</v>
      </c>
      <c r="CF141">
        <v>1.440205</v>
      </c>
      <c r="CG141" s="332"/>
      <c r="CH141">
        <v>1.0999650000000001</v>
      </c>
      <c r="CI141" s="332"/>
      <c r="CJ141" s="332"/>
      <c r="CK141" s="332"/>
      <c r="CL141" s="332"/>
      <c r="CM141" s="332"/>
      <c r="CN141" s="332"/>
      <c r="CO141" s="332"/>
      <c r="CP141">
        <v>0.96499999999999997</v>
      </c>
      <c r="CQ141">
        <v>0.91</v>
      </c>
      <c r="CT141">
        <v>0.99895</v>
      </c>
      <c r="CU141">
        <v>0.34</v>
      </c>
      <c r="CV141">
        <v>0.42</v>
      </c>
      <c r="CW141">
        <v>0.93500000000000005</v>
      </c>
      <c r="CX141">
        <v>0.76500000000000001</v>
      </c>
      <c r="CY141">
        <v>0.625</v>
      </c>
      <c r="CZ141">
        <v>0.91749999999999998</v>
      </c>
      <c r="DA141">
        <v>0.95</v>
      </c>
      <c r="DB141">
        <v>0.88</v>
      </c>
      <c r="DC141">
        <v>0.9</v>
      </c>
      <c r="DD141">
        <v>0.93500000000000005</v>
      </c>
      <c r="DE141">
        <v>0.89</v>
      </c>
      <c r="DN141" s="332">
        <v>2.8499999999999999E-4</v>
      </c>
      <c r="DO141" s="332">
        <v>2.0000000000000001E-4</v>
      </c>
      <c r="DP141" s="332">
        <v>0</v>
      </c>
      <c r="DQ141" s="332">
        <v>1E-4</v>
      </c>
      <c r="DR141" s="332">
        <v>0</v>
      </c>
      <c r="DS141" s="332">
        <v>3.5999999999999999E-3</v>
      </c>
      <c r="DT141" s="332">
        <v>4.6999999999999999E-4</v>
      </c>
      <c r="DU141" s="332">
        <v>6.9999999999999999E-4</v>
      </c>
      <c r="DV141" s="332">
        <v>0</v>
      </c>
      <c r="DW141" s="332">
        <v>0</v>
      </c>
      <c r="DX141" s="332">
        <v>5.0000000000000001E-4</v>
      </c>
      <c r="DY141" s="332">
        <v>5.0000000000000001E-4</v>
      </c>
      <c r="DZ141" s="332">
        <v>2.9999999999999997E-4</v>
      </c>
      <c r="EA141" s="332">
        <v>2.7500000000000002E-4</v>
      </c>
      <c r="EB141" s="332">
        <v>4.0000000000000002E-4</v>
      </c>
      <c r="ED141" s="332">
        <v>6.4999999999999994E-5</v>
      </c>
      <c r="EF141">
        <v>1</v>
      </c>
    </row>
    <row r="142" spans="1:136" x14ac:dyDescent="0.25">
      <c r="A142" s="66">
        <v>40695</v>
      </c>
      <c r="B142">
        <v>0.98</v>
      </c>
      <c r="C142">
        <v>0.98799999999999999</v>
      </c>
      <c r="D142">
        <v>0.96</v>
      </c>
      <c r="E142">
        <v>0</v>
      </c>
      <c r="F142">
        <v>0.97699999999999998</v>
      </c>
      <c r="G142">
        <v>0.79457999999999995</v>
      </c>
      <c r="H142">
        <v>0.98750000000000004</v>
      </c>
      <c r="I142">
        <v>0.98750000000000004</v>
      </c>
      <c r="J142">
        <v>0.98050000000000004</v>
      </c>
      <c r="K142">
        <v>0.98499999999999999</v>
      </c>
      <c r="L142" s="333">
        <v>0.98750000000000004</v>
      </c>
      <c r="M142" s="333">
        <v>0.98750000000000004</v>
      </c>
      <c r="N142">
        <v>0.98</v>
      </c>
      <c r="O142">
        <v>0.97944263799999998</v>
      </c>
      <c r="P142">
        <v>0.98</v>
      </c>
      <c r="Q142" s="328">
        <v>0.98750000000000004</v>
      </c>
      <c r="R142">
        <v>0.98750000000000004</v>
      </c>
      <c r="S142" s="333">
        <v>0.98750000000000004</v>
      </c>
      <c r="T142">
        <v>0.98</v>
      </c>
      <c r="U142">
        <v>0.98</v>
      </c>
      <c r="V142">
        <v>0.98</v>
      </c>
      <c r="W142">
        <v>0.98</v>
      </c>
      <c r="X142">
        <v>0.97944263799999998</v>
      </c>
      <c r="Y142">
        <v>0.97944263799999998</v>
      </c>
      <c r="Z142">
        <v>0.97944263799999998</v>
      </c>
      <c r="AA142">
        <v>0.97944263799999998</v>
      </c>
      <c r="AB142">
        <v>0.98</v>
      </c>
      <c r="AC142">
        <v>0.98</v>
      </c>
      <c r="AD142">
        <v>0.97944263799999998</v>
      </c>
      <c r="AE142">
        <v>0.97944263799999998</v>
      </c>
      <c r="AF142">
        <v>0.98</v>
      </c>
      <c r="AG142">
        <v>0.99</v>
      </c>
      <c r="AH142">
        <v>0.97902670000000003</v>
      </c>
      <c r="AI142">
        <v>0.97902670000000003</v>
      </c>
      <c r="AJ142">
        <v>0.98</v>
      </c>
      <c r="AK142">
        <v>1</v>
      </c>
      <c r="AL142">
        <v>0.98499999999999999</v>
      </c>
      <c r="AM142">
        <v>0</v>
      </c>
      <c r="BB142" s="446">
        <v>1</v>
      </c>
      <c r="BC142">
        <v>1</v>
      </c>
      <c r="BD142">
        <v>1</v>
      </c>
      <c r="BE142">
        <v>1</v>
      </c>
      <c r="BF142">
        <v>0.99990000000000001</v>
      </c>
      <c r="BG142">
        <v>1</v>
      </c>
      <c r="BH142">
        <v>1</v>
      </c>
      <c r="BI142">
        <v>0.99</v>
      </c>
      <c r="BJ142">
        <v>0.999</v>
      </c>
      <c r="BK142">
        <v>0.998</v>
      </c>
      <c r="BL142">
        <v>0.99850000000000005</v>
      </c>
      <c r="BM142">
        <v>0.99850000000000005</v>
      </c>
      <c r="BN142">
        <v>0.97199999999999998</v>
      </c>
      <c r="BO142">
        <v>0.99990000000000001</v>
      </c>
      <c r="BP142">
        <v>0.99990000000000001</v>
      </c>
      <c r="BQ142">
        <v>1</v>
      </c>
      <c r="BR142">
        <v>1.1029076</v>
      </c>
      <c r="BS142">
        <v>1.1164000000000001</v>
      </c>
      <c r="BT142">
        <v>1.0827</v>
      </c>
      <c r="BU142">
        <v>1.0185</v>
      </c>
      <c r="BV142">
        <v>1</v>
      </c>
      <c r="BW142">
        <v>2.3370000000000002</v>
      </c>
      <c r="BX142">
        <v>2.2960163329999999</v>
      </c>
      <c r="BY142">
        <v>1.1144499999999999</v>
      </c>
      <c r="BZ142">
        <v>1.2885</v>
      </c>
      <c r="CA142">
        <v>2.0009999999999999</v>
      </c>
      <c r="CB142">
        <v>1.533005</v>
      </c>
      <c r="CC142">
        <v>1.533005</v>
      </c>
      <c r="CD142">
        <v>1.2733049999999999</v>
      </c>
      <c r="CE142">
        <v>1.0852550000000001</v>
      </c>
      <c r="CF142">
        <v>1.4406049999999999</v>
      </c>
      <c r="CG142" s="332"/>
      <c r="CH142">
        <v>1.1000300000000001</v>
      </c>
      <c r="CI142" s="332"/>
      <c r="CJ142" s="332"/>
      <c r="CK142" s="332"/>
      <c r="CL142" s="332"/>
      <c r="CM142" s="332"/>
      <c r="CN142" s="332"/>
      <c r="CO142" s="332"/>
      <c r="CP142">
        <v>0.96499999999999997</v>
      </c>
      <c r="CQ142">
        <v>0.91</v>
      </c>
      <c r="CT142">
        <v>0.99895</v>
      </c>
      <c r="CU142">
        <v>0.34</v>
      </c>
      <c r="CV142">
        <v>0.47</v>
      </c>
      <c r="CW142">
        <v>0.93500000000000005</v>
      </c>
      <c r="CX142">
        <v>0.67500000000000004</v>
      </c>
      <c r="CY142">
        <v>0.72499999999999998</v>
      </c>
      <c r="CZ142">
        <v>0.88249999999999995</v>
      </c>
      <c r="DA142">
        <v>0.91500000000000004</v>
      </c>
      <c r="DB142">
        <v>0.88</v>
      </c>
      <c r="DC142">
        <v>0.90249999999999997</v>
      </c>
      <c r="DD142">
        <v>0.91500000000000004</v>
      </c>
      <c r="DE142">
        <v>0.89</v>
      </c>
      <c r="DN142" s="332">
        <v>2.8499999999999999E-4</v>
      </c>
      <c r="DO142" s="332">
        <v>2.0000000000000001E-4</v>
      </c>
      <c r="DP142" s="332">
        <v>0</v>
      </c>
      <c r="DQ142" s="332">
        <v>1E-4</v>
      </c>
      <c r="DR142" s="332">
        <v>0</v>
      </c>
      <c r="DS142" s="332">
        <v>3.5999999999999999E-3</v>
      </c>
      <c r="DT142" s="332">
        <v>4.6999999999999999E-4</v>
      </c>
      <c r="DU142" s="332">
        <v>6.9999999999999999E-4</v>
      </c>
      <c r="DV142" s="332">
        <v>0</v>
      </c>
      <c r="DW142" s="332">
        <v>0</v>
      </c>
      <c r="DX142" s="332">
        <v>5.0000000000000001E-4</v>
      </c>
      <c r="DY142" s="332">
        <v>5.0000000000000001E-4</v>
      </c>
      <c r="DZ142" s="332">
        <v>2.9999999999999997E-4</v>
      </c>
      <c r="EA142" s="332">
        <v>2.7500000000000002E-4</v>
      </c>
      <c r="EB142" s="332">
        <v>4.0000000000000002E-4</v>
      </c>
      <c r="ED142" s="332">
        <v>6.4999999999999994E-5</v>
      </c>
      <c r="EF142">
        <v>1</v>
      </c>
    </row>
    <row r="143" spans="1:136" x14ac:dyDescent="0.25">
      <c r="A143" s="66">
        <v>40725</v>
      </c>
      <c r="B143">
        <v>0.98</v>
      </c>
      <c r="C143">
        <v>0.98799999999999999</v>
      </c>
      <c r="D143">
        <v>0.96</v>
      </c>
      <c r="E143">
        <v>0</v>
      </c>
      <c r="F143">
        <v>0.97699999999999998</v>
      </c>
      <c r="G143">
        <v>0.959646</v>
      </c>
      <c r="H143">
        <v>0.98750000000000004</v>
      </c>
      <c r="I143">
        <v>0.98750000000000004</v>
      </c>
      <c r="J143">
        <v>0.98050000000000004</v>
      </c>
      <c r="K143">
        <v>0.98499999999999999</v>
      </c>
      <c r="L143" s="333">
        <v>0.98750000000000004</v>
      </c>
      <c r="M143" s="333">
        <v>0.98750000000000004</v>
      </c>
      <c r="N143">
        <v>0.98</v>
      </c>
      <c r="O143">
        <v>0.98511847500000005</v>
      </c>
      <c r="P143">
        <v>0.98</v>
      </c>
      <c r="Q143" s="328">
        <v>0.98750000000000004</v>
      </c>
      <c r="R143">
        <v>0.98750000000000004</v>
      </c>
      <c r="S143" s="333">
        <v>0.98750000000000004</v>
      </c>
      <c r="T143">
        <v>0.98</v>
      </c>
      <c r="U143">
        <v>0.98</v>
      </c>
      <c r="V143">
        <v>0.98</v>
      </c>
      <c r="W143">
        <v>0.98</v>
      </c>
      <c r="X143">
        <v>0.98511847500000005</v>
      </c>
      <c r="Y143">
        <v>0.98511847500000005</v>
      </c>
      <c r="Z143">
        <v>0.98511847500000005</v>
      </c>
      <c r="AA143">
        <v>0.98511847500000005</v>
      </c>
      <c r="AB143">
        <v>0.98</v>
      </c>
      <c r="AC143">
        <v>0.98</v>
      </c>
      <c r="AD143">
        <v>0.98511847500000005</v>
      </c>
      <c r="AE143">
        <v>0.98511847500000005</v>
      </c>
      <c r="AF143">
        <v>0.98</v>
      </c>
      <c r="AG143">
        <v>0.99</v>
      </c>
      <c r="AH143">
        <v>0.97908455000000005</v>
      </c>
      <c r="AI143">
        <v>0.97908455000000005</v>
      </c>
      <c r="AJ143">
        <v>0.98</v>
      </c>
      <c r="AK143">
        <v>1</v>
      </c>
      <c r="AL143">
        <v>0.98499999999999999</v>
      </c>
      <c r="AM143">
        <v>0</v>
      </c>
      <c r="BB143" s="446">
        <v>1</v>
      </c>
      <c r="BC143">
        <v>1</v>
      </c>
      <c r="BD143">
        <v>1</v>
      </c>
      <c r="BE143">
        <v>1</v>
      </c>
      <c r="BF143">
        <v>0.99990000000000001</v>
      </c>
      <c r="BG143">
        <v>1</v>
      </c>
      <c r="BH143">
        <v>1</v>
      </c>
      <c r="BI143">
        <v>0.99</v>
      </c>
      <c r="BJ143">
        <v>0.999</v>
      </c>
      <c r="BK143">
        <v>0.998</v>
      </c>
      <c r="BL143">
        <v>0.99850000000000005</v>
      </c>
      <c r="BM143">
        <v>0.99850000000000005</v>
      </c>
      <c r="BN143">
        <v>0.97199999999999998</v>
      </c>
      <c r="BO143">
        <v>0.99990000000000001</v>
      </c>
      <c r="BP143">
        <v>0.99990000000000001</v>
      </c>
      <c r="BQ143">
        <v>1</v>
      </c>
      <c r="BR143">
        <v>1.1031926000000001</v>
      </c>
      <c r="BS143">
        <v>1.1166</v>
      </c>
      <c r="BT143">
        <v>1.0827</v>
      </c>
      <c r="BU143">
        <v>1.0185999999999999</v>
      </c>
      <c r="BV143">
        <v>1</v>
      </c>
      <c r="BW143">
        <v>2.3405999999999998</v>
      </c>
      <c r="BX143">
        <v>2.2964863329999998</v>
      </c>
      <c r="BY143">
        <v>1.1151500000000001</v>
      </c>
      <c r="BZ143">
        <v>1.2885</v>
      </c>
      <c r="CA143">
        <v>2.0009999999999999</v>
      </c>
      <c r="CB143">
        <v>1.5335049999999999</v>
      </c>
      <c r="CC143">
        <v>1.5335049999999999</v>
      </c>
      <c r="CD143">
        <v>1.2736050000000001</v>
      </c>
      <c r="CE143">
        <v>1.0855300000000001</v>
      </c>
      <c r="CF143">
        <v>1.4410050000000001</v>
      </c>
      <c r="CG143" s="332"/>
      <c r="CH143">
        <v>1.100095</v>
      </c>
      <c r="CI143" s="332"/>
      <c r="CJ143" s="332"/>
      <c r="CK143" s="332"/>
      <c r="CL143" s="332"/>
      <c r="CM143" s="332"/>
      <c r="CN143" s="332"/>
      <c r="CO143" s="332"/>
      <c r="CP143">
        <v>0.97499999999999998</v>
      </c>
      <c r="CQ143">
        <v>0.91</v>
      </c>
      <c r="CT143">
        <v>0.99895</v>
      </c>
      <c r="CU143">
        <v>0.41</v>
      </c>
      <c r="CV143">
        <v>0.47</v>
      </c>
      <c r="CW143">
        <v>0.93500000000000005</v>
      </c>
      <c r="CX143">
        <v>0.69499999999999995</v>
      </c>
      <c r="CY143">
        <v>0.72499999999999998</v>
      </c>
      <c r="CZ143">
        <v>0.87749999999999995</v>
      </c>
      <c r="DA143">
        <v>0.91</v>
      </c>
      <c r="DB143">
        <v>0.89</v>
      </c>
      <c r="DC143">
        <v>0.90749999999999997</v>
      </c>
      <c r="DD143">
        <v>0.91500000000000004</v>
      </c>
      <c r="DE143">
        <v>0.89</v>
      </c>
      <c r="DN143" s="332">
        <v>2.8499999999999999E-4</v>
      </c>
      <c r="DO143" s="332">
        <v>2.0000000000000001E-4</v>
      </c>
      <c r="DP143" s="332">
        <v>0</v>
      </c>
      <c r="DQ143" s="332">
        <v>1E-4</v>
      </c>
      <c r="DR143" s="332">
        <v>0</v>
      </c>
      <c r="DS143" s="332">
        <v>3.5999999999999999E-3</v>
      </c>
      <c r="DT143" s="332">
        <v>4.6999999999999999E-4</v>
      </c>
      <c r="DU143" s="332">
        <v>6.9999999999999999E-4</v>
      </c>
      <c r="DV143" s="332">
        <v>0</v>
      </c>
      <c r="DW143" s="332">
        <v>0</v>
      </c>
      <c r="DX143" s="332">
        <v>5.0000000000000001E-4</v>
      </c>
      <c r="DY143" s="332">
        <v>5.0000000000000001E-4</v>
      </c>
      <c r="DZ143" s="332">
        <v>2.9999999999999997E-4</v>
      </c>
      <c r="EA143" s="332">
        <v>2.7500000000000002E-4</v>
      </c>
      <c r="EB143" s="332">
        <v>4.0000000000000002E-4</v>
      </c>
      <c r="ED143" s="332">
        <v>6.4999999999999994E-5</v>
      </c>
      <c r="EF143">
        <v>1</v>
      </c>
    </row>
    <row r="144" spans="1:136" x14ac:dyDescent="0.25">
      <c r="A144" s="66">
        <v>40756</v>
      </c>
      <c r="B144">
        <v>0.98</v>
      </c>
      <c r="C144">
        <v>0.98799999999999999</v>
      </c>
      <c r="D144">
        <v>0.96</v>
      </c>
      <c r="E144">
        <v>0</v>
      </c>
      <c r="F144">
        <v>0.97699999999999998</v>
      </c>
      <c r="G144">
        <v>0.98750000000000004</v>
      </c>
      <c r="H144">
        <v>0.98750000000000004</v>
      </c>
      <c r="I144">
        <v>0.98750000000000004</v>
      </c>
      <c r="J144">
        <v>0.98050000000000004</v>
      </c>
      <c r="K144">
        <v>0.98499999999999999</v>
      </c>
      <c r="L144" s="333">
        <v>0.98750000000000004</v>
      </c>
      <c r="M144" s="333">
        <v>0.98750000000000004</v>
      </c>
      <c r="N144">
        <v>0.98</v>
      </c>
      <c r="O144">
        <v>0.98750000000000004</v>
      </c>
      <c r="P144">
        <v>0.98</v>
      </c>
      <c r="Q144" s="328">
        <v>0.98750000000000004</v>
      </c>
      <c r="R144">
        <v>0.98750000000000004</v>
      </c>
      <c r="S144" s="333">
        <v>0.98750000000000004</v>
      </c>
      <c r="T144">
        <v>0.98</v>
      </c>
      <c r="U144">
        <v>0.98</v>
      </c>
      <c r="V144">
        <v>0.98</v>
      </c>
      <c r="W144">
        <v>0.98</v>
      </c>
      <c r="X144">
        <v>0.98750000000000004</v>
      </c>
      <c r="Y144">
        <v>0.98750000000000004</v>
      </c>
      <c r="Z144">
        <v>0.98750000000000004</v>
      </c>
      <c r="AA144">
        <v>0.98750000000000004</v>
      </c>
      <c r="AB144">
        <v>0.98</v>
      </c>
      <c r="AC144">
        <v>0.98</v>
      </c>
      <c r="AD144">
        <v>0.98750000000000004</v>
      </c>
      <c r="AE144">
        <v>0.98750000000000004</v>
      </c>
      <c r="AF144">
        <v>0.98</v>
      </c>
      <c r="AG144">
        <v>0.99</v>
      </c>
      <c r="AH144">
        <v>0.97914239999999997</v>
      </c>
      <c r="AI144">
        <v>0.97914239999999997</v>
      </c>
      <c r="AJ144">
        <v>0.98</v>
      </c>
      <c r="AK144">
        <v>1</v>
      </c>
      <c r="AL144">
        <v>0.98499999999999999</v>
      </c>
      <c r="AM144">
        <v>0</v>
      </c>
      <c r="BB144" s="446">
        <v>1</v>
      </c>
      <c r="BC144">
        <v>1</v>
      </c>
      <c r="BD144">
        <v>1</v>
      </c>
      <c r="BE144">
        <v>1</v>
      </c>
      <c r="BF144">
        <v>0.99990000000000001</v>
      </c>
      <c r="BG144">
        <v>1</v>
      </c>
      <c r="BH144">
        <v>1</v>
      </c>
      <c r="BI144">
        <v>0.99</v>
      </c>
      <c r="BJ144">
        <v>0.999</v>
      </c>
      <c r="BK144">
        <v>0.998</v>
      </c>
      <c r="BL144">
        <v>0.99850000000000005</v>
      </c>
      <c r="BM144">
        <v>0.99850000000000005</v>
      </c>
      <c r="BN144">
        <v>0.97199999999999998</v>
      </c>
      <c r="BO144">
        <v>0.99990000000000001</v>
      </c>
      <c r="BP144">
        <v>0.99990000000000001</v>
      </c>
      <c r="BQ144">
        <v>1</v>
      </c>
      <c r="BR144">
        <v>1.1034775999999999</v>
      </c>
      <c r="BS144">
        <v>1.1168</v>
      </c>
      <c r="BT144">
        <v>1.0827</v>
      </c>
      <c r="BU144">
        <v>1.0186999999999999</v>
      </c>
      <c r="BV144">
        <v>1</v>
      </c>
      <c r="BW144">
        <v>2.3441999999999998</v>
      </c>
      <c r="BX144">
        <v>2.2969563329999998</v>
      </c>
      <c r="BY144">
        <v>1.11585</v>
      </c>
      <c r="BZ144">
        <v>1.2885</v>
      </c>
      <c r="CA144">
        <v>2.0009999999999999</v>
      </c>
      <c r="CB144">
        <v>1.5340050000000001</v>
      </c>
      <c r="CC144">
        <v>1.5340050000000001</v>
      </c>
      <c r="CD144">
        <v>1.2739050000000001</v>
      </c>
      <c r="CE144">
        <v>1.0858049999999999</v>
      </c>
      <c r="CF144">
        <v>1.441405</v>
      </c>
      <c r="CG144" s="332"/>
      <c r="CH144">
        <v>1.10016</v>
      </c>
      <c r="CI144" s="332"/>
      <c r="CJ144" s="332"/>
      <c r="CK144" s="332"/>
      <c r="CL144" s="332"/>
      <c r="CM144" s="332"/>
      <c r="CN144" s="332"/>
      <c r="CO144" s="332"/>
      <c r="CP144">
        <v>0.97499999999999998</v>
      </c>
      <c r="CQ144">
        <v>0.91</v>
      </c>
      <c r="CT144">
        <v>0.99895</v>
      </c>
      <c r="CU144">
        <v>0.43</v>
      </c>
      <c r="CV144">
        <v>0.52</v>
      </c>
      <c r="CW144">
        <v>0.92500000000000004</v>
      </c>
      <c r="CX144">
        <v>0.78500000000000003</v>
      </c>
      <c r="CY144">
        <v>0.72499999999999998</v>
      </c>
      <c r="CZ144">
        <v>0.89</v>
      </c>
      <c r="DA144">
        <v>0.92249999999999999</v>
      </c>
      <c r="DB144">
        <v>0.91500000000000004</v>
      </c>
      <c r="DC144">
        <v>0.92749999999999999</v>
      </c>
      <c r="DD144">
        <v>0.91500000000000004</v>
      </c>
      <c r="DE144">
        <v>0.89</v>
      </c>
      <c r="DN144" s="332">
        <v>2.8499999999999999E-4</v>
      </c>
      <c r="DO144" s="332">
        <v>2.0000000000000001E-4</v>
      </c>
      <c r="DP144" s="332">
        <v>0</v>
      </c>
      <c r="DQ144" s="332">
        <v>1E-4</v>
      </c>
      <c r="DR144" s="332">
        <v>0</v>
      </c>
      <c r="DS144" s="332">
        <v>3.5999999999999999E-3</v>
      </c>
      <c r="DT144" s="332">
        <v>4.6999999999999999E-4</v>
      </c>
      <c r="DU144" s="332">
        <v>6.9999999999999999E-4</v>
      </c>
      <c r="DV144" s="332">
        <v>0</v>
      </c>
      <c r="DW144" s="332">
        <v>0</v>
      </c>
      <c r="DX144" s="332">
        <v>5.0000000000000001E-4</v>
      </c>
      <c r="DY144" s="332">
        <v>5.0000000000000001E-4</v>
      </c>
      <c r="DZ144" s="332">
        <v>2.9999999999999997E-4</v>
      </c>
      <c r="EA144" s="332">
        <v>2.7500000000000002E-4</v>
      </c>
      <c r="EB144" s="332">
        <v>4.0000000000000002E-4</v>
      </c>
      <c r="ED144" s="332">
        <v>6.4999999999999994E-5</v>
      </c>
      <c r="EF144">
        <v>1</v>
      </c>
    </row>
    <row r="145" spans="1:136" x14ac:dyDescent="0.25">
      <c r="A145" s="66">
        <v>40787</v>
      </c>
      <c r="B145">
        <v>0.98</v>
      </c>
      <c r="C145">
        <v>0.98799999999999999</v>
      </c>
      <c r="D145">
        <v>0.96</v>
      </c>
      <c r="E145">
        <v>0</v>
      </c>
      <c r="F145">
        <v>0.97699999999999998</v>
      </c>
      <c r="G145">
        <v>0.98750000000000004</v>
      </c>
      <c r="H145">
        <v>0.98750000000000004</v>
      </c>
      <c r="I145">
        <v>0.98750000000000004</v>
      </c>
      <c r="J145">
        <v>0.98050000000000004</v>
      </c>
      <c r="K145">
        <v>0.98499999999999999</v>
      </c>
      <c r="L145" s="333">
        <v>0.98750000000000004</v>
      </c>
      <c r="M145" s="333">
        <v>0.98750000000000004</v>
      </c>
      <c r="N145">
        <v>0.98</v>
      </c>
      <c r="O145">
        <v>0.98750000000000004</v>
      </c>
      <c r="P145">
        <v>0.98</v>
      </c>
      <c r="Q145" s="328">
        <v>0.98750000000000004</v>
      </c>
      <c r="R145">
        <v>0.98750000000000004</v>
      </c>
      <c r="S145" s="333">
        <v>0.98750000000000004</v>
      </c>
      <c r="T145">
        <v>0.98</v>
      </c>
      <c r="U145">
        <v>0.98</v>
      </c>
      <c r="V145">
        <v>0.98</v>
      </c>
      <c r="W145">
        <v>0.98</v>
      </c>
      <c r="X145">
        <v>0.98750000000000004</v>
      </c>
      <c r="Y145">
        <v>0.98750000000000004</v>
      </c>
      <c r="Z145">
        <v>0.98750000000000004</v>
      </c>
      <c r="AA145">
        <v>0.98750000000000004</v>
      </c>
      <c r="AB145">
        <v>0.98</v>
      </c>
      <c r="AC145">
        <v>0.98</v>
      </c>
      <c r="AD145">
        <v>0.98750000000000004</v>
      </c>
      <c r="AE145">
        <v>0.98750000000000004</v>
      </c>
      <c r="AF145">
        <v>0.98</v>
      </c>
      <c r="AG145">
        <v>0.99</v>
      </c>
      <c r="AH145">
        <v>0.97920024999999999</v>
      </c>
      <c r="AI145">
        <v>0.97920024999999999</v>
      </c>
      <c r="AJ145">
        <v>0.98</v>
      </c>
      <c r="AK145">
        <v>1</v>
      </c>
      <c r="AL145">
        <v>0.98499999999999999</v>
      </c>
      <c r="AM145">
        <v>0</v>
      </c>
      <c r="BB145" s="446">
        <v>1</v>
      </c>
      <c r="BC145">
        <v>1</v>
      </c>
      <c r="BD145">
        <v>1</v>
      </c>
      <c r="BE145">
        <v>1</v>
      </c>
      <c r="BF145">
        <v>0.99990000000000001</v>
      </c>
      <c r="BG145">
        <v>1</v>
      </c>
      <c r="BH145">
        <v>1</v>
      </c>
      <c r="BI145">
        <v>0.99</v>
      </c>
      <c r="BJ145">
        <v>0.999</v>
      </c>
      <c r="BK145">
        <v>0.998</v>
      </c>
      <c r="BL145">
        <v>0.99850000000000005</v>
      </c>
      <c r="BM145">
        <v>0.99850000000000005</v>
      </c>
      <c r="BN145">
        <v>0.97199999999999998</v>
      </c>
      <c r="BO145">
        <v>0.99990000000000001</v>
      </c>
      <c r="BP145">
        <v>0.99990000000000001</v>
      </c>
      <c r="BQ145">
        <v>1</v>
      </c>
      <c r="BR145">
        <v>1.1037626</v>
      </c>
      <c r="BS145">
        <v>1.117</v>
      </c>
      <c r="BT145">
        <v>1.0827</v>
      </c>
      <c r="BU145">
        <v>1.0187999999999999</v>
      </c>
      <c r="BV145">
        <v>1</v>
      </c>
      <c r="BW145">
        <v>2.3477999999999999</v>
      </c>
      <c r="BX145">
        <v>2.2974263330000002</v>
      </c>
      <c r="BY145">
        <v>1.1165499999999999</v>
      </c>
      <c r="BZ145">
        <v>1.2885</v>
      </c>
      <c r="CA145">
        <v>2.0009999999999999</v>
      </c>
      <c r="CB145">
        <v>1.534505</v>
      </c>
      <c r="CC145">
        <v>1.534505</v>
      </c>
      <c r="CD145">
        <v>1.274205</v>
      </c>
      <c r="CE145">
        <v>1.0860799999999999</v>
      </c>
      <c r="CF145">
        <v>1.441805</v>
      </c>
      <c r="CG145" s="332"/>
      <c r="CH145">
        <v>1.100225</v>
      </c>
      <c r="CI145" s="332"/>
      <c r="CJ145" s="332"/>
      <c r="CK145" s="332"/>
      <c r="CL145" s="332"/>
      <c r="CM145" s="332"/>
      <c r="CN145" s="332"/>
      <c r="CO145" s="332"/>
      <c r="CP145">
        <v>0.97499999999999998</v>
      </c>
      <c r="CQ145">
        <v>0.91</v>
      </c>
      <c r="CT145">
        <v>0.99895</v>
      </c>
      <c r="CU145">
        <v>0.46</v>
      </c>
      <c r="CV145">
        <v>0.55000000000000004</v>
      </c>
      <c r="CW145">
        <v>0.92500000000000004</v>
      </c>
      <c r="CX145">
        <v>0.64500000000000002</v>
      </c>
      <c r="CY145">
        <v>0.57499999999999996</v>
      </c>
      <c r="CZ145">
        <v>0.94499999999999995</v>
      </c>
      <c r="DA145">
        <v>0.97750000000000004</v>
      </c>
      <c r="DB145">
        <v>0.94499999999999995</v>
      </c>
      <c r="DC145">
        <v>0.92</v>
      </c>
      <c r="DD145">
        <v>0.91500000000000004</v>
      </c>
      <c r="DE145">
        <v>0.89</v>
      </c>
      <c r="DN145" s="332">
        <v>2.8499999999999999E-4</v>
      </c>
      <c r="DO145" s="332">
        <v>2.0000000000000001E-4</v>
      </c>
      <c r="DP145" s="332">
        <v>0</v>
      </c>
      <c r="DQ145" s="332">
        <v>1E-4</v>
      </c>
      <c r="DR145" s="332">
        <v>0</v>
      </c>
      <c r="DS145" s="332">
        <v>3.5999999999999999E-3</v>
      </c>
      <c r="DT145" s="332">
        <v>4.6999999999999999E-4</v>
      </c>
      <c r="DU145" s="332">
        <v>6.9999999999999999E-4</v>
      </c>
      <c r="DV145" s="332">
        <v>0</v>
      </c>
      <c r="DW145" s="332">
        <v>0</v>
      </c>
      <c r="DX145" s="332">
        <v>5.0000000000000001E-4</v>
      </c>
      <c r="DY145" s="332">
        <v>5.0000000000000001E-4</v>
      </c>
      <c r="DZ145" s="332">
        <v>2.9999999999999997E-4</v>
      </c>
      <c r="EA145" s="332">
        <v>2.7500000000000002E-4</v>
      </c>
      <c r="EB145" s="332">
        <v>4.0000000000000002E-4</v>
      </c>
      <c r="ED145" s="332">
        <v>6.4999999999999994E-5</v>
      </c>
      <c r="EF145">
        <v>1</v>
      </c>
    </row>
    <row r="146" spans="1:136" x14ac:dyDescent="0.25">
      <c r="A146" s="66">
        <v>40817</v>
      </c>
      <c r="B146">
        <v>0.98</v>
      </c>
      <c r="C146">
        <v>0.98799999999999999</v>
      </c>
      <c r="D146">
        <v>0.96</v>
      </c>
      <c r="E146">
        <v>0</v>
      </c>
      <c r="F146">
        <v>0.97699999999999998</v>
      </c>
      <c r="G146">
        <v>0.98750000000000004</v>
      </c>
      <c r="H146">
        <v>0.98750000000000004</v>
      </c>
      <c r="I146">
        <v>0.98750000000000004</v>
      </c>
      <c r="J146">
        <v>0.98050000000000004</v>
      </c>
      <c r="K146">
        <v>0.98499999999999999</v>
      </c>
      <c r="L146" s="333">
        <v>0.98750000000000004</v>
      </c>
      <c r="M146" s="333">
        <v>0.98750000000000004</v>
      </c>
      <c r="N146">
        <v>0.98</v>
      </c>
      <c r="O146">
        <v>0.98043538799999996</v>
      </c>
      <c r="P146">
        <v>0.98</v>
      </c>
      <c r="Q146" s="328">
        <v>0.98750000000000004</v>
      </c>
      <c r="R146">
        <v>0.98750000000000004</v>
      </c>
      <c r="S146" s="333">
        <v>0.98750000000000004</v>
      </c>
      <c r="T146">
        <v>0.98</v>
      </c>
      <c r="U146">
        <v>0.98</v>
      </c>
      <c r="V146">
        <v>0.98</v>
      </c>
      <c r="W146">
        <v>0.98</v>
      </c>
      <c r="X146">
        <v>0.98043538799999996</v>
      </c>
      <c r="Y146">
        <v>0.98043538799999996</v>
      </c>
      <c r="Z146">
        <v>0.98043538799999996</v>
      </c>
      <c r="AA146">
        <v>0.98043538799999996</v>
      </c>
      <c r="AB146">
        <v>0.98</v>
      </c>
      <c r="AC146">
        <v>0.98</v>
      </c>
      <c r="AD146">
        <v>0.98043538799999996</v>
      </c>
      <c r="AE146">
        <v>0.98043538799999996</v>
      </c>
      <c r="AF146">
        <v>0.98</v>
      </c>
      <c r="AG146">
        <v>0.99</v>
      </c>
      <c r="AH146">
        <v>0.97925810000000002</v>
      </c>
      <c r="AI146">
        <v>0.97925810000000002</v>
      </c>
      <c r="AJ146">
        <v>0.98</v>
      </c>
      <c r="AK146">
        <v>1</v>
      </c>
      <c r="AL146">
        <v>0.98499999999999999</v>
      </c>
      <c r="AM146">
        <v>0</v>
      </c>
      <c r="BB146" s="446">
        <v>1</v>
      </c>
      <c r="BC146">
        <v>1</v>
      </c>
      <c r="BD146">
        <v>1</v>
      </c>
      <c r="BE146">
        <v>1</v>
      </c>
      <c r="BF146">
        <v>0.99990000000000001</v>
      </c>
      <c r="BG146">
        <v>1</v>
      </c>
      <c r="BH146">
        <v>1</v>
      </c>
      <c r="BI146">
        <v>0.99</v>
      </c>
      <c r="BJ146">
        <v>0.999</v>
      </c>
      <c r="BK146">
        <v>0.998</v>
      </c>
      <c r="BL146">
        <v>0.99850000000000005</v>
      </c>
      <c r="BM146">
        <v>0.99850000000000005</v>
      </c>
      <c r="BN146">
        <v>0.97199999999999998</v>
      </c>
      <c r="BO146">
        <v>0.99990000000000001</v>
      </c>
      <c r="BP146">
        <v>0.99990000000000001</v>
      </c>
      <c r="BQ146">
        <v>1</v>
      </c>
      <c r="BR146">
        <v>1.1040475999999999</v>
      </c>
      <c r="BS146">
        <v>1.1172</v>
      </c>
      <c r="BT146">
        <v>1.0827</v>
      </c>
      <c r="BU146">
        <v>1.0188999999999999</v>
      </c>
      <c r="BV146">
        <v>1</v>
      </c>
      <c r="BW146">
        <v>2.3513999999999999</v>
      </c>
      <c r="BX146">
        <v>2.2978963330000002</v>
      </c>
      <c r="BY146">
        <v>1.1172500000000001</v>
      </c>
      <c r="BZ146">
        <v>1.2885</v>
      </c>
      <c r="CA146">
        <v>2.0009999999999999</v>
      </c>
      <c r="CB146">
        <v>1.535005</v>
      </c>
      <c r="CC146">
        <v>1.535005</v>
      </c>
      <c r="CD146">
        <v>1.274505</v>
      </c>
      <c r="CE146">
        <v>1.086355</v>
      </c>
      <c r="CF146">
        <v>1.442205</v>
      </c>
      <c r="CG146" s="332"/>
      <c r="CH146">
        <v>1.10029</v>
      </c>
      <c r="CI146" s="332"/>
      <c r="CJ146" s="332"/>
      <c r="CK146" s="332"/>
      <c r="CL146" s="332"/>
      <c r="CM146" s="332"/>
      <c r="CN146" s="332"/>
      <c r="CO146" s="332"/>
      <c r="CP146">
        <v>0.95499999999999996</v>
      </c>
      <c r="CQ146">
        <v>0.9</v>
      </c>
      <c r="CT146">
        <v>0.99895</v>
      </c>
      <c r="CU146">
        <v>0.46</v>
      </c>
      <c r="CV146">
        <v>0.45</v>
      </c>
      <c r="CW146">
        <v>0.92500000000000004</v>
      </c>
      <c r="CX146">
        <v>0.63500000000000001</v>
      </c>
      <c r="CY146">
        <v>0.505</v>
      </c>
      <c r="CZ146">
        <v>0.80500000000000005</v>
      </c>
      <c r="DA146">
        <v>0.83750000000000002</v>
      </c>
      <c r="DB146">
        <v>0.875</v>
      </c>
      <c r="DC146">
        <v>0.90249999999999997</v>
      </c>
      <c r="DD146">
        <v>0.82</v>
      </c>
      <c r="DE146">
        <v>0.89</v>
      </c>
      <c r="DN146" s="332">
        <v>2.8499999999999999E-4</v>
      </c>
      <c r="DO146" s="332">
        <v>2.0000000000000001E-4</v>
      </c>
      <c r="DP146" s="332">
        <v>0</v>
      </c>
      <c r="DQ146" s="332">
        <v>1E-4</v>
      </c>
      <c r="DR146" s="332">
        <v>0</v>
      </c>
      <c r="DS146" s="332">
        <v>3.5999999999999999E-3</v>
      </c>
      <c r="DT146" s="332">
        <v>4.6999999999999999E-4</v>
      </c>
      <c r="DU146" s="332">
        <v>6.9999999999999999E-4</v>
      </c>
      <c r="DV146" s="332">
        <v>0</v>
      </c>
      <c r="DW146" s="332">
        <v>0</v>
      </c>
      <c r="DX146" s="332">
        <v>5.0000000000000001E-4</v>
      </c>
      <c r="DY146" s="332">
        <v>5.0000000000000001E-4</v>
      </c>
      <c r="DZ146" s="332">
        <v>2.9999999999999997E-4</v>
      </c>
      <c r="EA146" s="332">
        <v>2.7500000000000002E-4</v>
      </c>
      <c r="EB146" s="332">
        <v>4.0000000000000002E-4</v>
      </c>
      <c r="ED146" s="332">
        <v>6.4999999999999994E-5</v>
      </c>
      <c r="EF146">
        <v>1</v>
      </c>
    </row>
    <row r="147" spans="1:136" x14ac:dyDescent="0.25">
      <c r="A147" s="66">
        <v>40848</v>
      </c>
      <c r="B147">
        <v>0.98</v>
      </c>
      <c r="C147">
        <v>0.98799999999999999</v>
      </c>
      <c r="D147">
        <v>0.96</v>
      </c>
      <c r="E147">
        <v>0</v>
      </c>
      <c r="F147">
        <v>0.97699999999999998</v>
      </c>
      <c r="G147">
        <v>0.98750000000000004</v>
      </c>
      <c r="H147">
        <v>0.98750000000000004</v>
      </c>
      <c r="I147">
        <v>0.98750000000000004</v>
      </c>
      <c r="J147">
        <v>0.98050000000000004</v>
      </c>
      <c r="K147">
        <v>0.97048500000000004</v>
      </c>
      <c r="L147" s="333">
        <v>0.98750000000000004</v>
      </c>
      <c r="M147" s="333">
        <v>0.98750000000000004</v>
      </c>
      <c r="N147">
        <v>0.98</v>
      </c>
      <c r="O147">
        <v>0.98068357500000003</v>
      </c>
      <c r="P147">
        <v>0.98</v>
      </c>
      <c r="Q147" s="328">
        <v>0.98750000000000004</v>
      </c>
      <c r="R147">
        <v>0.98750000000000004</v>
      </c>
      <c r="S147" s="333">
        <v>0.98750000000000004</v>
      </c>
      <c r="T147">
        <v>0.98</v>
      </c>
      <c r="U147">
        <v>0.98</v>
      </c>
      <c r="V147">
        <v>0.98</v>
      </c>
      <c r="W147">
        <v>0.98</v>
      </c>
      <c r="X147">
        <v>0.98068357500000003</v>
      </c>
      <c r="Y147">
        <v>0.98068357500000003</v>
      </c>
      <c r="Z147">
        <v>0.98068357500000003</v>
      </c>
      <c r="AA147">
        <v>0.98068357500000003</v>
      </c>
      <c r="AB147">
        <v>0.98</v>
      </c>
      <c r="AC147">
        <v>0.98</v>
      </c>
      <c r="AD147">
        <v>0.98068357500000003</v>
      </c>
      <c r="AE147">
        <v>0.98068357500000003</v>
      </c>
      <c r="AF147">
        <v>0.98</v>
      </c>
      <c r="AG147">
        <v>0.99</v>
      </c>
      <c r="AH147">
        <v>0.97931595000000005</v>
      </c>
      <c r="AI147">
        <v>0.97931595000000005</v>
      </c>
      <c r="AJ147">
        <v>0.98</v>
      </c>
      <c r="AK147">
        <v>1</v>
      </c>
      <c r="AL147">
        <v>0.97048500000000004</v>
      </c>
      <c r="AM147">
        <v>0</v>
      </c>
      <c r="BB147" s="446">
        <v>1</v>
      </c>
      <c r="BC147">
        <v>1</v>
      </c>
      <c r="BD147">
        <v>1</v>
      </c>
      <c r="BE147">
        <v>1</v>
      </c>
      <c r="BF147">
        <v>0.99990000000000001</v>
      </c>
      <c r="BG147">
        <v>1</v>
      </c>
      <c r="BH147">
        <v>1</v>
      </c>
      <c r="BI147">
        <v>0.99</v>
      </c>
      <c r="BJ147">
        <v>0.999</v>
      </c>
      <c r="BK147">
        <v>0.998</v>
      </c>
      <c r="BL147">
        <v>0.99850000000000005</v>
      </c>
      <c r="BM147">
        <v>0.99850000000000005</v>
      </c>
      <c r="BN147">
        <v>0.97199999999999998</v>
      </c>
      <c r="BO147">
        <v>0.99990000000000001</v>
      </c>
      <c r="BP147">
        <v>0.99990000000000001</v>
      </c>
      <c r="BQ147">
        <v>1</v>
      </c>
      <c r="BR147">
        <v>1.1043326</v>
      </c>
      <c r="BS147">
        <v>1.1173999999999999</v>
      </c>
      <c r="BT147">
        <v>1.0827</v>
      </c>
      <c r="BU147">
        <v>1.0189999999999999</v>
      </c>
      <c r="BV147">
        <v>1</v>
      </c>
      <c r="BW147">
        <v>2.355</v>
      </c>
      <c r="BX147">
        <v>2.2983663330000002</v>
      </c>
      <c r="BY147">
        <v>1.11795</v>
      </c>
      <c r="BZ147">
        <v>1.2885</v>
      </c>
      <c r="CA147">
        <v>2.0009999999999999</v>
      </c>
      <c r="CB147">
        <v>1.5355049999999999</v>
      </c>
      <c r="CC147">
        <v>1.5355049999999999</v>
      </c>
      <c r="CD147">
        <v>1.274805</v>
      </c>
      <c r="CE147">
        <v>1.08663</v>
      </c>
      <c r="CF147">
        <v>1.4426049999999999</v>
      </c>
      <c r="CG147" s="332"/>
      <c r="CH147">
        <v>1.100355</v>
      </c>
      <c r="CI147" s="332"/>
      <c r="CJ147" s="332"/>
      <c r="CK147" s="332"/>
      <c r="CL147" s="332"/>
      <c r="CM147" s="332"/>
      <c r="CN147" s="332"/>
      <c r="CO147" s="332"/>
      <c r="CP147">
        <v>0.95499999999999996</v>
      </c>
      <c r="CQ147">
        <v>0.9</v>
      </c>
      <c r="CT147">
        <v>0.999</v>
      </c>
      <c r="CU147">
        <v>0.48</v>
      </c>
      <c r="CV147">
        <v>0.46</v>
      </c>
      <c r="CW147">
        <v>0.90500000000000003</v>
      </c>
      <c r="CX147">
        <v>0.59499999999999997</v>
      </c>
      <c r="CY147">
        <v>0.48499999999999999</v>
      </c>
      <c r="CZ147">
        <v>0.79500000000000004</v>
      </c>
      <c r="DA147">
        <v>0.82750000000000001</v>
      </c>
      <c r="DB147">
        <v>0.85</v>
      </c>
      <c r="DC147">
        <v>0.90249999999999997</v>
      </c>
      <c r="DD147">
        <v>0.82</v>
      </c>
      <c r="DE147">
        <v>0.89</v>
      </c>
      <c r="DN147" s="332">
        <v>2.8499999999999999E-4</v>
      </c>
      <c r="DO147" s="332">
        <v>2.0000000000000001E-4</v>
      </c>
      <c r="DP147" s="332">
        <v>0</v>
      </c>
      <c r="DQ147" s="332">
        <v>1E-4</v>
      </c>
      <c r="DR147" s="332">
        <v>0</v>
      </c>
      <c r="DS147" s="332">
        <v>3.5999999999999999E-3</v>
      </c>
      <c r="DT147" s="332">
        <v>4.6999999999999999E-4</v>
      </c>
      <c r="DU147" s="332">
        <v>6.9999999999999999E-4</v>
      </c>
      <c r="DV147" s="332">
        <v>0</v>
      </c>
      <c r="DW147" s="332">
        <v>0</v>
      </c>
      <c r="DX147" s="332">
        <v>5.0000000000000001E-4</v>
      </c>
      <c r="DY147" s="332">
        <v>5.0000000000000001E-4</v>
      </c>
      <c r="DZ147" s="332">
        <v>2.9999999999999997E-4</v>
      </c>
      <c r="EA147" s="332">
        <v>2.7500000000000002E-4</v>
      </c>
      <c r="EB147" s="332">
        <v>4.0000000000000002E-4</v>
      </c>
      <c r="ED147" s="332">
        <v>6.4999999999999994E-5</v>
      </c>
      <c r="EF147">
        <v>1</v>
      </c>
    </row>
    <row r="148" spans="1:136" x14ac:dyDescent="0.25">
      <c r="A148" s="66">
        <v>40878</v>
      </c>
      <c r="B148">
        <v>0.98</v>
      </c>
      <c r="C148">
        <v>0.98799999999999999</v>
      </c>
      <c r="D148">
        <v>0.96</v>
      </c>
      <c r="E148">
        <v>0</v>
      </c>
      <c r="F148">
        <v>0.97699999999999998</v>
      </c>
      <c r="G148">
        <v>0.98750000000000004</v>
      </c>
      <c r="H148">
        <v>0.98750000000000004</v>
      </c>
      <c r="I148">
        <v>0.97881874999999996</v>
      </c>
      <c r="J148">
        <v>0.98050000000000004</v>
      </c>
      <c r="K148">
        <v>0.97048500000000004</v>
      </c>
      <c r="L148" s="333">
        <v>0.90624294999999999</v>
      </c>
      <c r="M148" s="333">
        <v>0.95616311200000004</v>
      </c>
      <c r="N148">
        <v>0.87982245000000003</v>
      </c>
      <c r="O148">
        <v>0.97006271300000002</v>
      </c>
      <c r="P148">
        <v>0.87982245000000003</v>
      </c>
      <c r="Q148" s="328">
        <v>0.90624294999999999</v>
      </c>
      <c r="R148">
        <v>0.90624294999999999</v>
      </c>
      <c r="S148" s="333">
        <v>0.90624294999999999</v>
      </c>
      <c r="T148">
        <v>0.87982245000000003</v>
      </c>
      <c r="U148">
        <v>0.87982245000000003</v>
      </c>
      <c r="V148">
        <v>0.87982245000000003</v>
      </c>
      <c r="W148">
        <v>0.87982245000000003</v>
      </c>
      <c r="X148">
        <v>0.97006271300000002</v>
      </c>
      <c r="Y148">
        <v>0.97006271300000002</v>
      </c>
      <c r="Z148">
        <v>0.97006271300000002</v>
      </c>
      <c r="AA148">
        <v>0.97006271300000002</v>
      </c>
      <c r="AB148">
        <v>0.87982245000000003</v>
      </c>
      <c r="AC148">
        <v>0.87982245000000003</v>
      </c>
      <c r="AD148">
        <v>0.97006271300000002</v>
      </c>
      <c r="AE148">
        <v>0.97006271300000002</v>
      </c>
      <c r="AF148">
        <v>0.87982245000000003</v>
      </c>
      <c r="AG148">
        <v>0.98</v>
      </c>
      <c r="AH148">
        <v>0.97937379999999996</v>
      </c>
      <c r="AI148">
        <v>0.97937379999999996</v>
      </c>
      <c r="AJ148">
        <v>0.87982245000000003</v>
      </c>
      <c r="AK148">
        <v>1</v>
      </c>
      <c r="AL148">
        <v>0.97048500000000004</v>
      </c>
      <c r="AM148">
        <v>0</v>
      </c>
      <c r="BB148" s="446">
        <v>1</v>
      </c>
      <c r="BC148">
        <v>1</v>
      </c>
      <c r="BD148">
        <v>1</v>
      </c>
      <c r="BE148">
        <v>1</v>
      </c>
      <c r="BF148">
        <v>0.99990000000000001</v>
      </c>
      <c r="BG148">
        <v>1</v>
      </c>
      <c r="BH148">
        <v>1</v>
      </c>
      <c r="BI148">
        <v>0.99</v>
      </c>
      <c r="BJ148">
        <v>0.999</v>
      </c>
      <c r="BK148">
        <v>0.998</v>
      </c>
      <c r="BL148">
        <v>0.99850000000000005</v>
      </c>
      <c r="BM148">
        <v>0.99850000000000005</v>
      </c>
      <c r="BN148">
        <v>0.97199999999999998</v>
      </c>
      <c r="BO148">
        <v>0.99990000000000001</v>
      </c>
      <c r="BP148">
        <v>0.99990000000000001</v>
      </c>
      <c r="BQ148">
        <v>1</v>
      </c>
      <c r="BR148">
        <v>1.1046176000000001</v>
      </c>
      <c r="BS148">
        <v>1.1175999999999999</v>
      </c>
      <c r="BT148">
        <v>1.0827</v>
      </c>
      <c r="BU148">
        <v>1.0190999999999999</v>
      </c>
      <c r="BV148">
        <v>1</v>
      </c>
      <c r="BW148">
        <v>2.3586</v>
      </c>
      <c r="BX148">
        <v>2.2988363330000001</v>
      </c>
      <c r="BY148">
        <v>1.1186499999999999</v>
      </c>
      <c r="BZ148">
        <v>1.2885</v>
      </c>
      <c r="CA148">
        <v>2.0009999999999999</v>
      </c>
      <c r="CB148">
        <v>1.5360050000000001</v>
      </c>
      <c r="CC148">
        <v>1.5360050000000001</v>
      </c>
      <c r="CD148">
        <v>1.2751049999999999</v>
      </c>
      <c r="CE148">
        <v>1.086905</v>
      </c>
      <c r="CF148">
        <v>1.4430050000000001</v>
      </c>
      <c r="CG148" s="332"/>
      <c r="CH148">
        <v>1.10042</v>
      </c>
      <c r="CI148" s="332"/>
      <c r="CJ148" s="332"/>
      <c r="CK148" s="332"/>
      <c r="CL148" s="332"/>
      <c r="CM148" s="332"/>
      <c r="CN148" s="332"/>
      <c r="CO148" s="332"/>
      <c r="CP148">
        <v>0.93500000000000005</v>
      </c>
      <c r="CQ148">
        <v>0.89</v>
      </c>
      <c r="CT148">
        <v>0.999</v>
      </c>
      <c r="CU148">
        <v>0.51</v>
      </c>
      <c r="CV148">
        <v>0.48</v>
      </c>
      <c r="CW148">
        <v>0.875</v>
      </c>
      <c r="CX148">
        <v>0.6</v>
      </c>
      <c r="CY148">
        <v>0.48499999999999999</v>
      </c>
      <c r="CZ148">
        <v>0.59</v>
      </c>
      <c r="DA148">
        <v>0.62250000000000005</v>
      </c>
      <c r="DB148">
        <v>0.69</v>
      </c>
      <c r="DC148">
        <v>0.89249999999999996</v>
      </c>
      <c r="DD148">
        <v>0.71499999999999997</v>
      </c>
      <c r="DE148">
        <v>0.89</v>
      </c>
      <c r="DN148" s="332">
        <v>2.8499999999999999E-4</v>
      </c>
      <c r="DO148" s="332">
        <v>2.0000000000000001E-4</v>
      </c>
      <c r="DP148" s="332">
        <v>0</v>
      </c>
      <c r="DQ148" s="332">
        <v>1E-4</v>
      </c>
      <c r="DR148" s="332">
        <v>0</v>
      </c>
      <c r="DS148" s="332">
        <v>3.5999999999999999E-3</v>
      </c>
      <c r="DT148" s="332">
        <v>4.6999999999999999E-4</v>
      </c>
      <c r="DU148" s="332">
        <v>6.9999999999999999E-4</v>
      </c>
      <c r="DV148" s="332">
        <v>0</v>
      </c>
      <c r="DW148" s="332">
        <v>0</v>
      </c>
      <c r="DX148" s="332">
        <v>5.0000000000000001E-4</v>
      </c>
      <c r="DY148" s="332">
        <v>5.0000000000000001E-4</v>
      </c>
      <c r="DZ148" s="332">
        <v>2.9999999999999997E-4</v>
      </c>
      <c r="EA148" s="332">
        <v>2.7500000000000002E-4</v>
      </c>
      <c r="EB148" s="332">
        <v>4.0000000000000002E-4</v>
      </c>
      <c r="ED148" s="332">
        <v>6.4999999999999994E-5</v>
      </c>
      <c r="EF148">
        <v>1</v>
      </c>
    </row>
    <row r="149" spans="1:136" x14ac:dyDescent="0.25">
      <c r="A149" s="66">
        <v>40909</v>
      </c>
      <c r="B149">
        <v>0.98</v>
      </c>
      <c r="C149">
        <v>0</v>
      </c>
      <c r="E149">
        <v>0</v>
      </c>
      <c r="F149">
        <v>0.97699999999999998</v>
      </c>
      <c r="G149">
        <v>0.98750000000000004</v>
      </c>
      <c r="H149">
        <v>0.98750000000000004</v>
      </c>
      <c r="I149">
        <v>0.90107674999999998</v>
      </c>
      <c r="J149">
        <v>0.98050000000000004</v>
      </c>
      <c r="K149">
        <v>0.98499999999999999</v>
      </c>
      <c r="L149" s="333">
        <v>0.92958552500000002</v>
      </c>
      <c r="M149" s="333">
        <v>0.97952193700000001</v>
      </c>
      <c r="N149">
        <v>0.88002944999999999</v>
      </c>
      <c r="O149">
        <v>0.95671839999999997</v>
      </c>
      <c r="P149">
        <v>0.88002944999999999</v>
      </c>
      <c r="Q149" s="328">
        <v>0.92958552500000002</v>
      </c>
      <c r="R149">
        <v>0.92958552500000002</v>
      </c>
      <c r="S149" s="333">
        <v>0.92958552500000002</v>
      </c>
      <c r="T149">
        <v>0.88002944999999999</v>
      </c>
      <c r="U149">
        <v>0.88002944999999999</v>
      </c>
      <c r="V149">
        <v>0.88002944999999999</v>
      </c>
      <c r="W149">
        <v>0.88002944999999999</v>
      </c>
      <c r="X149">
        <v>0.95671839999999997</v>
      </c>
      <c r="Y149">
        <v>0.95671839999999997</v>
      </c>
      <c r="Z149">
        <v>0.95671839999999997</v>
      </c>
      <c r="AA149">
        <v>0.95671839999999997</v>
      </c>
      <c r="AB149">
        <v>0.88002944999999999</v>
      </c>
      <c r="AC149">
        <v>0.88002944999999999</v>
      </c>
      <c r="AD149">
        <v>0.95671839999999997</v>
      </c>
      <c r="AE149">
        <v>0.95671839999999997</v>
      </c>
      <c r="AF149">
        <v>0.88002944999999999</v>
      </c>
      <c r="AG149">
        <v>0.98</v>
      </c>
      <c r="AH149">
        <v>0.97943164999999999</v>
      </c>
      <c r="AI149">
        <v>0.97943164999999999</v>
      </c>
      <c r="AJ149">
        <v>0.88002944999999999</v>
      </c>
      <c r="AK149">
        <v>1</v>
      </c>
      <c r="AL149">
        <v>0.98499999999999999</v>
      </c>
      <c r="AM149">
        <v>0</v>
      </c>
      <c r="BB149" s="446">
        <v>1</v>
      </c>
      <c r="BC149">
        <v>1</v>
      </c>
      <c r="BD149">
        <v>1</v>
      </c>
      <c r="BE149">
        <v>1</v>
      </c>
      <c r="BF149">
        <v>0.99990000000000001</v>
      </c>
      <c r="BG149">
        <v>1</v>
      </c>
      <c r="BH149">
        <v>1</v>
      </c>
      <c r="BI149">
        <v>0.99</v>
      </c>
      <c r="BJ149">
        <v>0.999</v>
      </c>
      <c r="BK149">
        <v>0.998</v>
      </c>
      <c r="BL149">
        <v>0.99850000000000005</v>
      </c>
      <c r="BM149">
        <v>0.99850000000000005</v>
      </c>
      <c r="BN149">
        <v>0.97199999999999998</v>
      </c>
      <c r="BO149">
        <v>0.99990000000000001</v>
      </c>
      <c r="BP149">
        <v>0.99990000000000001</v>
      </c>
      <c r="BQ149">
        <v>1</v>
      </c>
      <c r="BR149">
        <v>1.1049026</v>
      </c>
      <c r="BS149">
        <v>1.1177999999999999</v>
      </c>
      <c r="BT149">
        <v>1.0827</v>
      </c>
      <c r="BU149">
        <v>1.0192000000000001</v>
      </c>
      <c r="BV149">
        <v>1</v>
      </c>
      <c r="BW149">
        <v>2.3622000000000001</v>
      </c>
      <c r="BX149">
        <v>2.2993063330000001</v>
      </c>
      <c r="BY149">
        <v>1.1193500000000001</v>
      </c>
      <c r="BZ149">
        <v>1.2885</v>
      </c>
      <c r="CA149">
        <v>2.0009999999999999</v>
      </c>
      <c r="CB149">
        <v>1.536505</v>
      </c>
      <c r="CC149">
        <v>1.536505</v>
      </c>
      <c r="CD149">
        <v>1.2754049999999999</v>
      </c>
      <c r="CE149">
        <v>1.08718</v>
      </c>
      <c r="CF149">
        <v>1.443405</v>
      </c>
      <c r="CG149" s="332"/>
      <c r="CH149">
        <v>1.1004849999999999</v>
      </c>
      <c r="CI149" s="332"/>
      <c r="CJ149" s="332"/>
      <c r="CK149" s="332"/>
      <c r="CL149" s="332"/>
      <c r="CM149" s="332"/>
      <c r="CN149" s="332"/>
      <c r="CO149" s="332"/>
      <c r="CP149">
        <v>0.89500000000000002</v>
      </c>
      <c r="CT149">
        <v>0.999</v>
      </c>
      <c r="CU149">
        <v>0.57999999999999996</v>
      </c>
      <c r="CV149">
        <v>0.45</v>
      </c>
      <c r="CW149">
        <v>0.80500000000000005</v>
      </c>
      <c r="CX149">
        <v>0.61</v>
      </c>
      <c r="CY149">
        <v>0.505</v>
      </c>
      <c r="CZ149">
        <v>0.60499999999999998</v>
      </c>
      <c r="DA149">
        <v>0.63749999999999996</v>
      </c>
      <c r="DB149">
        <v>0.69</v>
      </c>
      <c r="DC149">
        <v>0.88</v>
      </c>
      <c r="DD149">
        <v>0.64</v>
      </c>
      <c r="DE149">
        <v>0.89</v>
      </c>
      <c r="DN149" s="332">
        <v>2.8499999999999999E-4</v>
      </c>
      <c r="DO149" s="332">
        <v>2.0000000000000001E-4</v>
      </c>
      <c r="DP149" s="332">
        <v>0</v>
      </c>
      <c r="DQ149" s="332">
        <v>1E-4</v>
      </c>
      <c r="DR149" s="332">
        <v>0</v>
      </c>
      <c r="DS149" s="332">
        <v>3.5999999999999999E-3</v>
      </c>
      <c r="DT149" s="332">
        <v>4.6999999999999999E-4</v>
      </c>
      <c r="DU149" s="332">
        <v>6.9999999999999999E-4</v>
      </c>
      <c r="DV149" s="332">
        <v>0</v>
      </c>
      <c r="DW149" s="332">
        <v>0</v>
      </c>
      <c r="DX149" s="332">
        <v>5.0000000000000001E-4</v>
      </c>
      <c r="DY149" s="332">
        <v>5.0000000000000001E-4</v>
      </c>
      <c r="DZ149" s="332">
        <v>2.9999999999999997E-4</v>
      </c>
      <c r="EA149" s="332">
        <v>2.7500000000000002E-4</v>
      </c>
      <c r="EB149" s="332">
        <v>4.0000000000000002E-4</v>
      </c>
      <c r="ED149" s="332">
        <v>6.4999999999999994E-5</v>
      </c>
      <c r="EF149">
        <v>1</v>
      </c>
    </row>
    <row r="150" spans="1:136" x14ac:dyDescent="0.25">
      <c r="A150" s="66">
        <v>40940</v>
      </c>
      <c r="B150">
        <v>0.98</v>
      </c>
      <c r="C150">
        <v>0</v>
      </c>
      <c r="E150">
        <v>0</v>
      </c>
      <c r="F150">
        <v>0.97699999999999998</v>
      </c>
      <c r="G150">
        <v>0.98750000000000004</v>
      </c>
      <c r="H150">
        <v>0.98750000000000004</v>
      </c>
      <c r="I150">
        <v>0.94644225000000004</v>
      </c>
      <c r="J150">
        <v>0.98050000000000004</v>
      </c>
      <c r="K150">
        <v>0.98499999999999999</v>
      </c>
      <c r="L150" s="333">
        <v>0.97599817499999997</v>
      </c>
      <c r="M150" s="333">
        <v>0.98750000000000004</v>
      </c>
      <c r="N150">
        <v>0.90575055000000004</v>
      </c>
      <c r="O150">
        <v>0.95424176299999997</v>
      </c>
      <c r="P150">
        <v>0.90575055000000004</v>
      </c>
      <c r="Q150" s="328">
        <v>0.97599817499999997</v>
      </c>
      <c r="R150">
        <v>0.97599817499999997</v>
      </c>
      <c r="S150" s="333">
        <v>0.97599817499999997</v>
      </c>
      <c r="T150">
        <v>0.90575055000000004</v>
      </c>
      <c r="U150">
        <v>0.90575055000000004</v>
      </c>
      <c r="V150">
        <v>0.90575055000000004</v>
      </c>
      <c r="W150">
        <v>0.90575055000000004</v>
      </c>
      <c r="X150">
        <v>0.95424176299999997</v>
      </c>
      <c r="Y150">
        <v>0.95424176299999997</v>
      </c>
      <c r="Z150">
        <v>0.95424176299999997</v>
      </c>
      <c r="AA150">
        <v>0.95424176299999997</v>
      </c>
      <c r="AB150">
        <v>0.90575055000000004</v>
      </c>
      <c r="AC150">
        <v>0.90575055000000004</v>
      </c>
      <c r="AD150">
        <v>0.95424176299999997</v>
      </c>
      <c r="AE150">
        <v>0.95424176299999997</v>
      </c>
      <c r="AF150">
        <v>0.90575055000000004</v>
      </c>
      <c r="AG150">
        <v>0.98</v>
      </c>
      <c r="AH150">
        <v>0.97948950000000001</v>
      </c>
      <c r="AI150">
        <v>0.97948950000000001</v>
      </c>
      <c r="AJ150">
        <v>0.90575055000000004</v>
      </c>
      <c r="AK150">
        <v>1</v>
      </c>
      <c r="AL150">
        <v>0.98499999999999999</v>
      </c>
      <c r="AM150">
        <v>0</v>
      </c>
      <c r="BB150" s="446">
        <v>1</v>
      </c>
      <c r="BC150">
        <v>1</v>
      </c>
      <c r="BD150">
        <v>1</v>
      </c>
      <c r="BE150">
        <v>1</v>
      </c>
      <c r="BF150">
        <v>0.99990000000000001</v>
      </c>
      <c r="BG150">
        <v>1</v>
      </c>
      <c r="BH150">
        <v>1</v>
      </c>
      <c r="BI150">
        <v>0.99</v>
      </c>
      <c r="BJ150">
        <v>0.999</v>
      </c>
      <c r="BK150">
        <v>0.998</v>
      </c>
      <c r="BL150">
        <v>0.99850000000000005</v>
      </c>
      <c r="BM150">
        <v>0.99850000000000005</v>
      </c>
      <c r="BN150">
        <v>0.97199999999999998</v>
      </c>
      <c r="BO150">
        <v>0.99990000000000001</v>
      </c>
      <c r="BP150">
        <v>0.99990000000000001</v>
      </c>
      <c r="BQ150">
        <v>1</v>
      </c>
      <c r="BR150">
        <v>1.1051876</v>
      </c>
      <c r="BS150">
        <v>1.1180000000000001</v>
      </c>
      <c r="BT150">
        <v>1.0827</v>
      </c>
      <c r="BU150">
        <v>1.0193000000000001</v>
      </c>
      <c r="BV150">
        <v>1</v>
      </c>
      <c r="BW150">
        <v>2.3658000000000001</v>
      </c>
      <c r="BX150">
        <v>2.2997763330000001</v>
      </c>
      <c r="BY150">
        <v>1.12005</v>
      </c>
      <c r="BZ150">
        <v>1.2885</v>
      </c>
      <c r="CA150">
        <v>2.0009999999999999</v>
      </c>
      <c r="CB150">
        <v>1.537005</v>
      </c>
      <c r="CC150">
        <v>1.537005</v>
      </c>
      <c r="CD150">
        <v>1.2757050000000001</v>
      </c>
      <c r="CE150">
        <v>1.0874550000000001</v>
      </c>
      <c r="CF150">
        <v>1.443805</v>
      </c>
      <c r="CG150" s="332"/>
      <c r="CH150">
        <v>1.1005499999999999</v>
      </c>
      <c r="CI150" s="332"/>
      <c r="CJ150" s="332"/>
      <c r="CK150" s="332"/>
      <c r="CL150" s="332"/>
      <c r="CM150" s="332"/>
      <c r="CN150" s="332"/>
      <c r="CO150" s="332"/>
      <c r="CP150">
        <v>0.86499999999999999</v>
      </c>
      <c r="CT150">
        <v>0.99895</v>
      </c>
      <c r="CU150">
        <v>0.57999999999999996</v>
      </c>
      <c r="CV150">
        <v>0.45</v>
      </c>
      <c r="CW150">
        <v>0.84499999999999997</v>
      </c>
      <c r="CX150">
        <v>0.71499999999999997</v>
      </c>
      <c r="CY150">
        <v>0.505</v>
      </c>
      <c r="CZ150">
        <v>0.63500000000000001</v>
      </c>
      <c r="DA150">
        <v>0.66749999999999998</v>
      </c>
      <c r="DB150">
        <v>0.71</v>
      </c>
      <c r="DC150">
        <v>0.87749999999999995</v>
      </c>
      <c r="DD150">
        <v>0.67</v>
      </c>
      <c r="DE150">
        <v>0.89</v>
      </c>
      <c r="DN150" s="332">
        <v>2.8499999999999999E-4</v>
      </c>
      <c r="DO150" s="332">
        <v>2.0000000000000001E-4</v>
      </c>
      <c r="DP150" s="332">
        <v>0</v>
      </c>
      <c r="DQ150" s="332">
        <v>1E-4</v>
      </c>
      <c r="DR150" s="332">
        <v>0</v>
      </c>
      <c r="DS150" s="332">
        <v>3.5999999999999999E-3</v>
      </c>
      <c r="DT150" s="332">
        <v>4.6999999999999999E-4</v>
      </c>
      <c r="DU150" s="332">
        <v>6.9999999999999999E-4</v>
      </c>
      <c r="DV150" s="332">
        <v>0</v>
      </c>
      <c r="DW150" s="332">
        <v>0</v>
      </c>
      <c r="DX150" s="332">
        <v>5.0000000000000001E-4</v>
      </c>
      <c r="DY150" s="332">
        <v>5.0000000000000001E-4</v>
      </c>
      <c r="DZ150" s="332">
        <v>2.9999999999999997E-4</v>
      </c>
      <c r="EA150" s="332">
        <v>2.7500000000000002E-4</v>
      </c>
      <c r="EB150" s="332">
        <v>4.0000000000000002E-4</v>
      </c>
      <c r="ED150" s="332">
        <v>6.4999999999999994E-5</v>
      </c>
      <c r="EF150">
        <v>1</v>
      </c>
    </row>
    <row r="151" spans="1:136" x14ac:dyDescent="0.25">
      <c r="A151" s="66">
        <v>40969</v>
      </c>
      <c r="B151">
        <v>0.98</v>
      </c>
      <c r="C151">
        <v>0</v>
      </c>
      <c r="E151">
        <v>0</v>
      </c>
      <c r="F151">
        <v>0.97699999999999998</v>
      </c>
      <c r="G151">
        <v>0.98750000000000004</v>
      </c>
      <c r="H151">
        <v>0.98750000000000004</v>
      </c>
      <c r="I151">
        <v>0.98065625000000001</v>
      </c>
      <c r="J151">
        <v>0.98050000000000004</v>
      </c>
      <c r="K151">
        <v>0.98499999999999999</v>
      </c>
      <c r="L151" s="333">
        <v>0.98750000000000004</v>
      </c>
      <c r="M151" s="333">
        <v>0.98750000000000004</v>
      </c>
      <c r="N151">
        <v>0.98</v>
      </c>
      <c r="O151">
        <v>0.97895699999999997</v>
      </c>
      <c r="P151">
        <v>0.98</v>
      </c>
      <c r="Q151" s="328">
        <v>0.98750000000000004</v>
      </c>
      <c r="R151">
        <v>0.98750000000000004</v>
      </c>
      <c r="S151" s="333">
        <v>0.98750000000000004</v>
      </c>
      <c r="T151">
        <v>0.98</v>
      </c>
      <c r="U151">
        <v>0.98</v>
      </c>
      <c r="V151">
        <v>0.98</v>
      </c>
      <c r="W151">
        <v>0.98</v>
      </c>
      <c r="X151">
        <v>0.97895699999999997</v>
      </c>
      <c r="Y151">
        <v>0.97895699999999997</v>
      </c>
      <c r="Z151">
        <v>0.97895699999999997</v>
      </c>
      <c r="AA151">
        <v>0.97895699999999997</v>
      </c>
      <c r="AB151">
        <v>0.98</v>
      </c>
      <c r="AC151">
        <v>0.98</v>
      </c>
      <c r="AD151">
        <v>0.97895699999999997</v>
      </c>
      <c r="AE151">
        <v>0.97895699999999997</v>
      </c>
      <c r="AF151">
        <v>0.98</v>
      </c>
      <c r="AG151">
        <v>0.99</v>
      </c>
      <c r="AH151">
        <v>0.97954735000000004</v>
      </c>
      <c r="AI151">
        <v>0.97954735000000004</v>
      </c>
      <c r="AJ151">
        <v>0.98</v>
      </c>
      <c r="AK151">
        <v>1</v>
      </c>
      <c r="AL151">
        <v>0.98499999999999999</v>
      </c>
      <c r="AM151">
        <v>0</v>
      </c>
      <c r="BB151" s="446">
        <v>1</v>
      </c>
      <c r="BC151">
        <v>1</v>
      </c>
      <c r="BD151">
        <v>1</v>
      </c>
      <c r="BE151">
        <v>1</v>
      </c>
      <c r="BF151">
        <v>0.99990000000000001</v>
      </c>
      <c r="BG151">
        <v>1</v>
      </c>
      <c r="BH151">
        <v>1</v>
      </c>
      <c r="BI151">
        <v>0.99</v>
      </c>
      <c r="BJ151">
        <v>0.999</v>
      </c>
      <c r="BK151">
        <v>0.998</v>
      </c>
      <c r="BL151">
        <v>0.99850000000000005</v>
      </c>
      <c r="BM151">
        <v>0.99850000000000005</v>
      </c>
      <c r="BN151">
        <v>0.97199999999999998</v>
      </c>
      <c r="BO151">
        <v>0.99990000000000001</v>
      </c>
      <c r="BP151">
        <v>0.99990000000000001</v>
      </c>
      <c r="BQ151">
        <v>1</v>
      </c>
      <c r="BR151">
        <v>1.1054725999999999</v>
      </c>
      <c r="BS151">
        <v>1.1182000000000001</v>
      </c>
      <c r="BT151">
        <v>1.0827</v>
      </c>
      <c r="BU151">
        <v>1.0194000000000001</v>
      </c>
      <c r="BV151">
        <v>1</v>
      </c>
      <c r="BW151">
        <v>2.3694000000000002</v>
      </c>
      <c r="BX151">
        <v>2.300246333</v>
      </c>
      <c r="BY151">
        <v>1.1207499999999999</v>
      </c>
      <c r="BZ151">
        <v>1.2885</v>
      </c>
      <c r="CA151">
        <v>2.0009999999999999</v>
      </c>
      <c r="CB151">
        <v>1.5375049999999999</v>
      </c>
      <c r="CC151">
        <v>1.5375049999999999</v>
      </c>
      <c r="CD151">
        <v>1.2760050000000001</v>
      </c>
      <c r="CE151">
        <v>1.0877300000000001</v>
      </c>
      <c r="CF151">
        <v>1.444205</v>
      </c>
      <c r="CG151" s="332"/>
      <c r="CH151">
        <v>1.1006149999999999</v>
      </c>
      <c r="CI151" s="332"/>
      <c r="CJ151" s="332"/>
      <c r="CK151" s="332"/>
      <c r="CL151" s="332"/>
      <c r="CM151" s="332"/>
      <c r="CN151" s="332"/>
      <c r="CO151" s="332"/>
      <c r="CP151">
        <v>0.86499999999999999</v>
      </c>
      <c r="CT151">
        <v>0.99895</v>
      </c>
      <c r="CU151">
        <v>0.54</v>
      </c>
      <c r="CV151">
        <v>0.45</v>
      </c>
      <c r="CW151">
        <v>0.875</v>
      </c>
      <c r="CX151">
        <v>0.88500000000000001</v>
      </c>
      <c r="CY151">
        <v>0.51500000000000001</v>
      </c>
      <c r="CZ151">
        <v>0.78500000000000003</v>
      </c>
      <c r="DA151">
        <v>0.8175</v>
      </c>
      <c r="DB151">
        <v>0.8</v>
      </c>
      <c r="DC151">
        <v>0.9</v>
      </c>
      <c r="DD151">
        <v>0.83</v>
      </c>
      <c r="DE151">
        <v>0.89</v>
      </c>
      <c r="DN151" s="332">
        <v>2.8499999999999999E-4</v>
      </c>
      <c r="DO151" s="332">
        <v>2.0000000000000001E-4</v>
      </c>
      <c r="DP151" s="332">
        <v>0</v>
      </c>
      <c r="DQ151" s="332">
        <v>1E-4</v>
      </c>
      <c r="DR151" s="332">
        <v>0</v>
      </c>
      <c r="DS151" s="332">
        <v>3.5999999999999999E-3</v>
      </c>
      <c r="DT151" s="332">
        <v>4.6999999999999999E-4</v>
      </c>
      <c r="DU151" s="332">
        <v>6.9999999999999999E-4</v>
      </c>
      <c r="DV151" s="332">
        <v>0</v>
      </c>
      <c r="DW151" s="332">
        <v>0</v>
      </c>
      <c r="DX151" s="332">
        <v>5.0000000000000001E-4</v>
      </c>
      <c r="DY151" s="332">
        <v>5.0000000000000001E-4</v>
      </c>
      <c r="DZ151" s="332">
        <v>2.9999999999999997E-4</v>
      </c>
      <c r="EA151" s="332">
        <v>2.7500000000000002E-4</v>
      </c>
      <c r="EB151" s="332">
        <v>4.0000000000000002E-4</v>
      </c>
      <c r="ED151" s="332">
        <v>6.4999999999999994E-5</v>
      </c>
      <c r="EF151">
        <v>1</v>
      </c>
    </row>
    <row r="152" spans="1:136" x14ac:dyDescent="0.25">
      <c r="A152" s="66">
        <v>41000</v>
      </c>
      <c r="B152">
        <v>0.98</v>
      </c>
      <c r="C152">
        <v>0</v>
      </c>
      <c r="E152">
        <v>0</v>
      </c>
      <c r="F152">
        <v>0.97699999999999998</v>
      </c>
      <c r="G152">
        <v>0.98750000000000004</v>
      </c>
      <c r="H152">
        <v>0.96630086000000004</v>
      </c>
      <c r="I152">
        <v>0.98750000000000004</v>
      </c>
      <c r="J152">
        <v>0.98050000000000004</v>
      </c>
      <c r="K152">
        <v>0.98499999999999999</v>
      </c>
      <c r="L152" s="333">
        <v>0.98750000000000004</v>
      </c>
      <c r="M152" s="333">
        <v>0.98750000000000004</v>
      </c>
      <c r="N152">
        <v>0.98</v>
      </c>
      <c r="O152">
        <v>0.98246851499999999</v>
      </c>
      <c r="P152">
        <v>0.98</v>
      </c>
      <c r="Q152" s="328">
        <v>0.98750000000000004</v>
      </c>
      <c r="R152">
        <v>0.98750000000000004</v>
      </c>
      <c r="S152" s="333">
        <v>0.98750000000000004</v>
      </c>
      <c r="T152">
        <v>0.98</v>
      </c>
      <c r="U152">
        <v>0.98</v>
      </c>
      <c r="V152">
        <v>0.98</v>
      </c>
      <c r="W152">
        <v>0.98</v>
      </c>
      <c r="X152">
        <v>0.98246851499999999</v>
      </c>
      <c r="Y152">
        <v>0.98246851499999999</v>
      </c>
      <c r="Z152">
        <v>0.98246851499999999</v>
      </c>
      <c r="AA152">
        <v>0.98246851499999999</v>
      </c>
      <c r="AB152">
        <v>0.98</v>
      </c>
      <c r="AC152">
        <v>0.98</v>
      </c>
      <c r="AD152">
        <v>0.98246851499999999</v>
      </c>
      <c r="AE152">
        <v>0.98246851499999999</v>
      </c>
      <c r="AF152">
        <v>0.98</v>
      </c>
      <c r="AG152">
        <v>0.99</v>
      </c>
      <c r="AH152">
        <v>0.97960519999999995</v>
      </c>
      <c r="AI152">
        <v>0.97960519999999995</v>
      </c>
      <c r="AJ152">
        <v>0.98</v>
      </c>
      <c r="AK152">
        <v>1</v>
      </c>
      <c r="AL152">
        <v>0.98499999999999999</v>
      </c>
      <c r="AM152">
        <v>0</v>
      </c>
      <c r="BB152" s="446">
        <v>1</v>
      </c>
      <c r="BC152">
        <v>1</v>
      </c>
      <c r="BD152">
        <v>1</v>
      </c>
      <c r="BE152">
        <v>1</v>
      </c>
      <c r="BF152">
        <v>0.99990000000000001</v>
      </c>
      <c r="BG152">
        <v>1</v>
      </c>
      <c r="BH152">
        <v>1</v>
      </c>
      <c r="BI152">
        <v>0.99</v>
      </c>
      <c r="BJ152">
        <v>0.999</v>
      </c>
      <c r="BK152">
        <v>0.998</v>
      </c>
      <c r="BL152">
        <v>0.99850000000000005</v>
      </c>
      <c r="BM152">
        <v>0.99850000000000005</v>
      </c>
      <c r="BN152">
        <v>0.97199999999999998</v>
      </c>
      <c r="BO152">
        <v>0.99990000000000001</v>
      </c>
      <c r="BP152">
        <v>0.99990000000000001</v>
      </c>
      <c r="BQ152">
        <v>1</v>
      </c>
      <c r="BR152">
        <v>1.1057576</v>
      </c>
      <c r="BS152">
        <v>1.1184000000000001</v>
      </c>
      <c r="BT152">
        <v>1.0827</v>
      </c>
      <c r="BU152">
        <v>1.0195000000000001</v>
      </c>
      <c r="BV152">
        <v>1</v>
      </c>
      <c r="BW152">
        <v>2.3730000000000002</v>
      </c>
      <c r="BX152">
        <v>2.300716333</v>
      </c>
      <c r="BY152">
        <v>1.1214500000000001</v>
      </c>
      <c r="BZ152">
        <v>1.2885</v>
      </c>
      <c r="CA152">
        <v>2.0009999999999999</v>
      </c>
      <c r="CB152">
        <v>1.5380050000000001</v>
      </c>
      <c r="CC152">
        <v>1.5380050000000001</v>
      </c>
      <c r="CD152">
        <v>1.276305</v>
      </c>
      <c r="CE152">
        <v>1.0880050000000001</v>
      </c>
      <c r="CF152">
        <v>1.4446049999999999</v>
      </c>
      <c r="CG152" s="332"/>
      <c r="CH152">
        <v>1.1006800000000001</v>
      </c>
      <c r="CI152" s="332"/>
      <c r="CJ152" s="332"/>
      <c r="CK152" s="332"/>
      <c r="CL152" s="332"/>
      <c r="CM152" s="332"/>
      <c r="CN152" s="332"/>
      <c r="CO152" s="332"/>
      <c r="CP152">
        <v>0.89500000000000002</v>
      </c>
      <c r="CT152">
        <v>0.99895</v>
      </c>
      <c r="CU152">
        <v>0.48</v>
      </c>
      <c r="CV152">
        <v>0.42</v>
      </c>
      <c r="CW152">
        <v>0.93500000000000005</v>
      </c>
      <c r="CX152">
        <v>0.875</v>
      </c>
      <c r="CY152">
        <v>0.57499999999999996</v>
      </c>
      <c r="CZ152">
        <v>0.89500000000000002</v>
      </c>
      <c r="DA152">
        <v>0.92749999999999999</v>
      </c>
      <c r="DB152">
        <v>0.85</v>
      </c>
      <c r="DC152">
        <v>0.90300000000000002</v>
      </c>
      <c r="DD152">
        <v>0.92</v>
      </c>
      <c r="DE152">
        <v>0.89</v>
      </c>
      <c r="DN152" s="332">
        <v>2.8499999999999999E-4</v>
      </c>
      <c r="DO152" s="332">
        <v>2.0000000000000001E-4</v>
      </c>
      <c r="DP152" s="332">
        <v>0</v>
      </c>
      <c r="DQ152" s="332">
        <v>1E-4</v>
      </c>
      <c r="DR152" s="332">
        <v>0</v>
      </c>
      <c r="DS152" s="332">
        <v>3.5999999999999999E-3</v>
      </c>
      <c r="DT152" s="332">
        <v>4.6999999999999999E-4</v>
      </c>
      <c r="DU152" s="332">
        <v>6.9999999999999999E-4</v>
      </c>
      <c r="DV152" s="332">
        <v>0</v>
      </c>
      <c r="DW152" s="332">
        <v>0</v>
      </c>
      <c r="DX152" s="332">
        <v>5.0000000000000001E-4</v>
      </c>
      <c r="DY152" s="332">
        <v>5.0000000000000001E-4</v>
      </c>
      <c r="DZ152" s="332">
        <v>2.9999999999999997E-4</v>
      </c>
      <c r="EA152" s="332">
        <v>2.7500000000000002E-4</v>
      </c>
      <c r="EB152" s="332">
        <v>4.0000000000000002E-4</v>
      </c>
      <c r="ED152" s="332">
        <v>6.4999999999999994E-5</v>
      </c>
      <c r="EF152">
        <v>1</v>
      </c>
    </row>
    <row r="153" spans="1:136" x14ac:dyDescent="0.25">
      <c r="A153" s="66">
        <v>41030</v>
      </c>
      <c r="B153">
        <v>0.98</v>
      </c>
      <c r="C153">
        <v>0</v>
      </c>
      <c r="E153">
        <v>0</v>
      </c>
      <c r="F153">
        <v>0.97699999999999998</v>
      </c>
      <c r="G153">
        <v>0.80804399999999998</v>
      </c>
      <c r="H153">
        <v>0.96649826000000005</v>
      </c>
      <c r="I153">
        <v>0.98750000000000004</v>
      </c>
      <c r="J153">
        <v>0.98050000000000004</v>
      </c>
      <c r="K153">
        <v>0.98499999999999999</v>
      </c>
      <c r="L153" s="333">
        <v>0.98750000000000004</v>
      </c>
      <c r="M153" s="333">
        <v>0.98750000000000004</v>
      </c>
      <c r="N153">
        <v>0.98</v>
      </c>
      <c r="O153">
        <v>0.97945199999999999</v>
      </c>
      <c r="P153">
        <v>0.98</v>
      </c>
      <c r="Q153" s="328">
        <v>0.98750000000000004</v>
      </c>
      <c r="R153">
        <v>0.98750000000000004</v>
      </c>
      <c r="S153" s="333">
        <v>0.98750000000000004</v>
      </c>
      <c r="T153">
        <v>0.98</v>
      </c>
      <c r="U153">
        <v>0.98</v>
      </c>
      <c r="V153">
        <v>0.98</v>
      </c>
      <c r="W153">
        <v>0.98</v>
      </c>
      <c r="X153">
        <v>0.97945199999999999</v>
      </c>
      <c r="Y153">
        <v>0.97945199999999999</v>
      </c>
      <c r="Z153">
        <v>0.97945199999999999</v>
      </c>
      <c r="AA153">
        <v>0.97945199999999999</v>
      </c>
      <c r="AB153">
        <v>0.98</v>
      </c>
      <c r="AC153">
        <v>0.98</v>
      </c>
      <c r="AD153">
        <v>0.97945199999999999</v>
      </c>
      <c r="AE153">
        <v>0.97945199999999999</v>
      </c>
      <c r="AF153">
        <v>0.98</v>
      </c>
      <c r="AG153">
        <v>0.99</v>
      </c>
      <c r="AH153">
        <v>0.97966304999999998</v>
      </c>
      <c r="AI153">
        <v>0.97966304999999998</v>
      </c>
      <c r="AJ153">
        <v>0.98</v>
      </c>
      <c r="AK153">
        <v>1</v>
      </c>
      <c r="AL153">
        <v>0.98499999999999999</v>
      </c>
      <c r="AM153">
        <v>0</v>
      </c>
      <c r="BB153" s="446">
        <v>1</v>
      </c>
      <c r="BC153">
        <v>1</v>
      </c>
      <c r="BD153">
        <v>1</v>
      </c>
      <c r="BE153">
        <v>1</v>
      </c>
      <c r="BF153">
        <v>0.99990000000000001</v>
      </c>
      <c r="BG153">
        <v>1</v>
      </c>
      <c r="BH153">
        <v>1</v>
      </c>
      <c r="BI153">
        <v>0.99</v>
      </c>
      <c r="BJ153">
        <v>0.999</v>
      </c>
      <c r="BK153">
        <v>0.998</v>
      </c>
      <c r="BL153">
        <v>0.99850000000000005</v>
      </c>
      <c r="BM153">
        <v>0.99850000000000005</v>
      </c>
      <c r="BN153">
        <v>0.97199999999999998</v>
      </c>
      <c r="BO153">
        <v>0.99990000000000001</v>
      </c>
      <c r="BP153">
        <v>0.99990000000000001</v>
      </c>
      <c r="BQ153">
        <v>1</v>
      </c>
      <c r="BR153">
        <v>1.1060426000000001</v>
      </c>
      <c r="BS153">
        <v>1.1186</v>
      </c>
      <c r="BT153">
        <v>1.0827</v>
      </c>
      <c r="BU153">
        <v>1.0196000000000001</v>
      </c>
      <c r="BV153">
        <v>1</v>
      </c>
      <c r="BW153">
        <v>2.3765999999999998</v>
      </c>
      <c r="BX153">
        <v>2.301186333</v>
      </c>
      <c r="BY153">
        <v>1.12215</v>
      </c>
      <c r="BZ153">
        <v>1.2885</v>
      </c>
      <c r="CA153">
        <v>2.0009999999999999</v>
      </c>
      <c r="CB153">
        <v>1.538505</v>
      </c>
      <c r="CC153">
        <v>1.538505</v>
      </c>
      <c r="CD153">
        <v>1.276605</v>
      </c>
      <c r="CE153">
        <v>1.0882799999999999</v>
      </c>
      <c r="CF153">
        <v>1.4450050000000001</v>
      </c>
      <c r="CG153" s="332"/>
      <c r="CH153">
        <v>1.1007450000000001</v>
      </c>
      <c r="CI153" s="332"/>
      <c r="CJ153" s="332"/>
      <c r="CK153" s="332"/>
      <c r="CL153" s="332"/>
      <c r="CM153" s="332"/>
      <c r="CN153" s="332"/>
      <c r="CO153" s="332"/>
      <c r="CP153">
        <v>0.96499999999999997</v>
      </c>
      <c r="CT153">
        <v>0.99895</v>
      </c>
      <c r="CU153">
        <v>0.34</v>
      </c>
      <c r="CV153">
        <v>0.42</v>
      </c>
      <c r="CW153">
        <v>0.93500000000000005</v>
      </c>
      <c r="CX153">
        <v>0.77500000000000002</v>
      </c>
      <c r="CY153">
        <v>0.625</v>
      </c>
      <c r="CZ153">
        <v>0.91749999999999998</v>
      </c>
      <c r="DA153">
        <v>0.95</v>
      </c>
      <c r="DB153">
        <v>0.88</v>
      </c>
      <c r="DC153">
        <v>0.9</v>
      </c>
      <c r="DD153">
        <v>0.93500000000000005</v>
      </c>
      <c r="DE153">
        <v>0.89</v>
      </c>
      <c r="DN153" s="332">
        <v>2.8499999999999999E-4</v>
      </c>
      <c r="DO153" s="332">
        <v>2.0000000000000001E-4</v>
      </c>
      <c r="DP153" s="332">
        <v>0</v>
      </c>
      <c r="DQ153" s="332">
        <v>1E-4</v>
      </c>
      <c r="DR153" s="332">
        <v>0</v>
      </c>
      <c r="DS153" s="332">
        <v>3.5999999999999999E-3</v>
      </c>
      <c r="DT153" s="332">
        <v>4.6999999999999999E-4</v>
      </c>
      <c r="DU153" s="332">
        <v>6.9999999999999999E-4</v>
      </c>
      <c r="DV153" s="332">
        <v>0</v>
      </c>
      <c r="DW153" s="332">
        <v>0</v>
      </c>
      <c r="DX153" s="332">
        <v>5.0000000000000001E-4</v>
      </c>
      <c r="DY153" s="332">
        <v>5.0000000000000001E-4</v>
      </c>
      <c r="DZ153" s="332">
        <v>2.9999999999999997E-4</v>
      </c>
      <c r="EA153" s="332">
        <v>2.7500000000000002E-4</v>
      </c>
      <c r="EB153" s="332">
        <v>4.0000000000000002E-4</v>
      </c>
      <c r="ED153" s="332">
        <v>6.4999999999999994E-5</v>
      </c>
      <c r="EF153">
        <v>1</v>
      </c>
    </row>
    <row r="154" spans="1:136" x14ac:dyDescent="0.25">
      <c r="A154" s="66">
        <v>41061</v>
      </c>
      <c r="B154">
        <v>0.98</v>
      </c>
      <c r="C154">
        <v>0</v>
      </c>
      <c r="E154">
        <v>0</v>
      </c>
      <c r="F154">
        <v>0.97699999999999998</v>
      </c>
      <c r="G154">
        <v>0.80926799999999999</v>
      </c>
      <c r="H154">
        <v>0.98750000000000004</v>
      </c>
      <c r="I154">
        <v>0.98750000000000004</v>
      </c>
      <c r="J154">
        <v>0.98050000000000004</v>
      </c>
      <c r="K154">
        <v>0.98499999999999999</v>
      </c>
      <c r="L154" s="333">
        <v>0.98750000000000004</v>
      </c>
      <c r="M154" s="333">
        <v>0.98750000000000004</v>
      </c>
      <c r="N154">
        <v>0.98</v>
      </c>
      <c r="O154">
        <v>0.98242088800000005</v>
      </c>
      <c r="P154">
        <v>0.98</v>
      </c>
      <c r="Q154" s="328">
        <v>0.98750000000000004</v>
      </c>
      <c r="R154">
        <v>0.98750000000000004</v>
      </c>
      <c r="S154" s="333">
        <v>0.98750000000000004</v>
      </c>
      <c r="T154">
        <v>0.98</v>
      </c>
      <c r="U154">
        <v>0.98</v>
      </c>
      <c r="V154">
        <v>0.98</v>
      </c>
      <c r="W154">
        <v>0.98</v>
      </c>
      <c r="X154">
        <v>0.98242088800000005</v>
      </c>
      <c r="Y154">
        <v>0.98242088800000005</v>
      </c>
      <c r="Z154">
        <v>0.98242088800000005</v>
      </c>
      <c r="AA154">
        <v>0.98242088800000005</v>
      </c>
      <c r="AB154">
        <v>0.98</v>
      </c>
      <c r="AC154">
        <v>0.98</v>
      </c>
      <c r="AD154">
        <v>0.98242088800000005</v>
      </c>
      <c r="AE154">
        <v>0.98242088800000005</v>
      </c>
      <c r="AF154">
        <v>0.98</v>
      </c>
      <c r="AG154">
        <v>0.99</v>
      </c>
      <c r="AH154">
        <v>0.97972090000000001</v>
      </c>
      <c r="AI154">
        <v>0.97972090000000001</v>
      </c>
      <c r="AJ154">
        <v>0.98</v>
      </c>
      <c r="AK154">
        <v>1</v>
      </c>
      <c r="AL154">
        <v>0.98499999999999999</v>
      </c>
      <c r="AM154">
        <v>0</v>
      </c>
      <c r="BB154" s="446">
        <v>1</v>
      </c>
      <c r="BC154">
        <v>1</v>
      </c>
      <c r="BD154">
        <v>1</v>
      </c>
      <c r="BE154">
        <v>1</v>
      </c>
      <c r="BF154">
        <v>0.99990000000000001</v>
      </c>
      <c r="BG154">
        <v>1</v>
      </c>
      <c r="BH154">
        <v>1</v>
      </c>
      <c r="BI154">
        <v>0.99</v>
      </c>
      <c r="BJ154">
        <v>0.999</v>
      </c>
      <c r="BK154">
        <v>0.998</v>
      </c>
      <c r="BL154">
        <v>0.99850000000000005</v>
      </c>
      <c r="BM154">
        <v>0.99850000000000005</v>
      </c>
      <c r="BN154">
        <v>0.97199999999999998</v>
      </c>
      <c r="BO154">
        <v>0.99990000000000001</v>
      </c>
      <c r="BP154">
        <v>0.99990000000000001</v>
      </c>
      <c r="BQ154">
        <v>1</v>
      </c>
      <c r="BR154">
        <v>1.1063276</v>
      </c>
      <c r="BS154">
        <v>1.1188</v>
      </c>
      <c r="BT154">
        <v>1.0827</v>
      </c>
      <c r="BU154">
        <v>1.0197000000000001</v>
      </c>
      <c r="BV154">
        <v>1</v>
      </c>
      <c r="BW154">
        <v>2.3801999999999999</v>
      </c>
      <c r="BX154">
        <v>2.3016563329999999</v>
      </c>
      <c r="BY154">
        <v>1.1228499999999999</v>
      </c>
      <c r="BZ154">
        <v>1.2885</v>
      </c>
      <c r="CA154">
        <v>2.0009999999999999</v>
      </c>
      <c r="CB154">
        <v>1.539005</v>
      </c>
      <c r="CC154">
        <v>1.539005</v>
      </c>
      <c r="CD154">
        <v>1.276905</v>
      </c>
      <c r="CE154">
        <v>1.0885549999999999</v>
      </c>
      <c r="CF154">
        <v>1.4454050000000001</v>
      </c>
      <c r="CG154" s="332"/>
      <c r="CH154">
        <v>1.1008100000000001</v>
      </c>
      <c r="CI154" s="332"/>
      <c r="CJ154" s="332"/>
      <c r="CK154" s="332"/>
      <c r="CL154" s="332"/>
      <c r="CM154" s="332"/>
      <c r="CN154" s="332"/>
      <c r="CO154" s="332"/>
      <c r="CP154">
        <v>0.96499999999999997</v>
      </c>
      <c r="CT154">
        <v>0.99895</v>
      </c>
      <c r="CU154">
        <v>0.34</v>
      </c>
      <c r="CV154">
        <v>0.47</v>
      </c>
      <c r="CW154">
        <v>0.93500000000000005</v>
      </c>
      <c r="CX154">
        <v>0.68500000000000005</v>
      </c>
      <c r="CY154">
        <v>0.72499999999999998</v>
      </c>
      <c r="CZ154">
        <v>0.88249999999999995</v>
      </c>
      <c r="DA154">
        <v>0.91500000000000004</v>
      </c>
      <c r="DB154">
        <v>0.88</v>
      </c>
      <c r="DC154">
        <v>0.90249999999999997</v>
      </c>
      <c r="DD154">
        <v>0.91500000000000004</v>
      </c>
      <c r="DE154">
        <v>0.89</v>
      </c>
      <c r="DN154" s="332">
        <v>2.8499999999999999E-4</v>
      </c>
      <c r="DO154" s="332">
        <v>2.0000000000000001E-4</v>
      </c>
      <c r="DP154" s="332">
        <v>0</v>
      </c>
      <c r="DQ154" s="332">
        <v>1E-4</v>
      </c>
      <c r="DR154" s="332">
        <v>0</v>
      </c>
      <c r="DS154" s="332">
        <v>3.5999999999999999E-3</v>
      </c>
      <c r="DT154" s="332">
        <v>4.6999999999999999E-4</v>
      </c>
      <c r="DU154" s="332">
        <v>6.9999999999999999E-4</v>
      </c>
      <c r="DV154" s="332">
        <v>0</v>
      </c>
      <c r="DW154" s="332">
        <v>0</v>
      </c>
      <c r="DX154" s="332">
        <v>5.0000000000000001E-4</v>
      </c>
      <c r="DY154" s="332">
        <v>5.0000000000000001E-4</v>
      </c>
      <c r="DZ154" s="332">
        <v>2.9999999999999997E-4</v>
      </c>
      <c r="EA154" s="332">
        <v>2.7500000000000002E-4</v>
      </c>
      <c r="EB154" s="332">
        <v>4.0000000000000002E-4</v>
      </c>
      <c r="ED154" s="332">
        <v>6.4999999999999994E-5</v>
      </c>
      <c r="EF154">
        <v>1</v>
      </c>
    </row>
    <row r="155" spans="1:136" x14ac:dyDescent="0.25">
      <c r="A155" s="66">
        <v>41091</v>
      </c>
      <c r="B155">
        <v>0.98</v>
      </c>
      <c r="C155">
        <v>0</v>
      </c>
      <c r="E155">
        <v>0</v>
      </c>
      <c r="F155">
        <v>0.97699999999999998</v>
      </c>
      <c r="G155">
        <v>0.97735799999999995</v>
      </c>
      <c r="H155">
        <v>0.98750000000000004</v>
      </c>
      <c r="I155">
        <v>0.98750000000000004</v>
      </c>
      <c r="J155">
        <v>0.98050000000000004</v>
      </c>
      <c r="K155">
        <v>0.98499999999999999</v>
      </c>
      <c r="L155" s="333">
        <v>0.98750000000000004</v>
      </c>
      <c r="M155" s="333">
        <v>0.98750000000000004</v>
      </c>
      <c r="N155">
        <v>0.98</v>
      </c>
      <c r="O155">
        <v>0.98750000000000004</v>
      </c>
      <c r="P155">
        <v>0.98</v>
      </c>
      <c r="Q155" s="328">
        <v>0.98750000000000004</v>
      </c>
      <c r="R155">
        <v>0.98750000000000004</v>
      </c>
      <c r="S155" s="333">
        <v>0.98750000000000004</v>
      </c>
      <c r="T155">
        <v>0.98</v>
      </c>
      <c r="U155">
        <v>0.98</v>
      </c>
      <c r="V155">
        <v>0.98</v>
      </c>
      <c r="W155">
        <v>0.98</v>
      </c>
      <c r="X155">
        <v>0.98750000000000004</v>
      </c>
      <c r="Y155">
        <v>0.98750000000000004</v>
      </c>
      <c r="Z155">
        <v>0.98750000000000004</v>
      </c>
      <c r="AA155">
        <v>0.98750000000000004</v>
      </c>
      <c r="AB155">
        <v>0.98</v>
      </c>
      <c r="AC155">
        <v>0.98</v>
      </c>
      <c r="AD155">
        <v>0.98750000000000004</v>
      </c>
      <c r="AE155">
        <v>0.98750000000000004</v>
      </c>
      <c r="AF155">
        <v>0.98</v>
      </c>
      <c r="AG155">
        <v>0.99</v>
      </c>
      <c r="AH155">
        <v>0.97977875000000003</v>
      </c>
      <c r="AI155">
        <v>0.97977875000000003</v>
      </c>
      <c r="AJ155">
        <v>0.98</v>
      </c>
      <c r="AK155">
        <v>1</v>
      </c>
      <c r="AL155">
        <v>0.98499999999999999</v>
      </c>
      <c r="AM155">
        <v>0</v>
      </c>
      <c r="BB155" s="446">
        <v>1</v>
      </c>
      <c r="BC155">
        <v>1</v>
      </c>
      <c r="BD155">
        <v>1</v>
      </c>
      <c r="BE155">
        <v>1</v>
      </c>
      <c r="BF155">
        <v>0.99990000000000001</v>
      </c>
      <c r="BG155">
        <v>1</v>
      </c>
      <c r="BH155">
        <v>1</v>
      </c>
      <c r="BI155">
        <v>0.99</v>
      </c>
      <c r="BJ155">
        <v>0.999</v>
      </c>
      <c r="BK155">
        <v>0.998</v>
      </c>
      <c r="BL155">
        <v>0.99850000000000005</v>
      </c>
      <c r="BM155">
        <v>0.99850000000000005</v>
      </c>
      <c r="BN155">
        <v>0.97199999999999998</v>
      </c>
      <c r="BO155">
        <v>0.99990000000000001</v>
      </c>
      <c r="BP155">
        <v>0.99990000000000001</v>
      </c>
      <c r="BQ155">
        <v>1</v>
      </c>
      <c r="BR155">
        <v>1.1066126000000001</v>
      </c>
      <c r="BS155">
        <v>1.119</v>
      </c>
      <c r="BT155">
        <v>1.0827</v>
      </c>
      <c r="BU155">
        <v>1.0198</v>
      </c>
      <c r="BV155">
        <v>1</v>
      </c>
      <c r="BW155">
        <v>2.3837999999999999</v>
      </c>
      <c r="BX155">
        <v>2.3021263329999999</v>
      </c>
      <c r="BY155">
        <v>1.12355</v>
      </c>
      <c r="BZ155">
        <v>1.2885</v>
      </c>
      <c r="CA155">
        <v>2.0009999999999999</v>
      </c>
      <c r="CB155">
        <v>1.5395049999999999</v>
      </c>
      <c r="CC155">
        <v>1.5395049999999999</v>
      </c>
      <c r="CD155">
        <v>1.2772049999999999</v>
      </c>
      <c r="CE155">
        <v>1.08883</v>
      </c>
      <c r="CF155">
        <v>1.445805</v>
      </c>
      <c r="CG155" s="332"/>
      <c r="CH155">
        <v>1.100875</v>
      </c>
      <c r="CI155" s="332"/>
      <c r="CJ155" s="332"/>
      <c r="CK155" s="332"/>
      <c r="CL155" s="332"/>
      <c r="CM155" s="332"/>
      <c r="CN155" s="332"/>
      <c r="CO155" s="332"/>
      <c r="CP155">
        <v>0.97499999999999998</v>
      </c>
      <c r="CT155">
        <v>0.99895</v>
      </c>
      <c r="CU155">
        <v>0.41</v>
      </c>
      <c r="CV155">
        <v>0.47</v>
      </c>
      <c r="CW155">
        <v>0.93500000000000005</v>
      </c>
      <c r="CX155">
        <v>0.70499999999999996</v>
      </c>
      <c r="CY155">
        <v>0.72499999999999998</v>
      </c>
      <c r="CZ155">
        <v>0.87749999999999995</v>
      </c>
      <c r="DA155">
        <v>0.91</v>
      </c>
      <c r="DB155">
        <v>0.89</v>
      </c>
      <c r="DC155">
        <v>0.90749999999999997</v>
      </c>
      <c r="DD155">
        <v>0.91500000000000004</v>
      </c>
      <c r="DE155">
        <v>0.89</v>
      </c>
      <c r="DN155" s="332">
        <v>2.8499999999999999E-4</v>
      </c>
      <c r="DO155" s="332">
        <v>2.0000000000000001E-4</v>
      </c>
      <c r="DP155" s="332">
        <v>0</v>
      </c>
      <c r="DQ155" s="332">
        <v>1E-4</v>
      </c>
      <c r="DR155" s="332">
        <v>0</v>
      </c>
      <c r="DS155" s="332">
        <v>3.5999999999999999E-3</v>
      </c>
      <c r="DT155" s="332">
        <v>4.6999999999999999E-4</v>
      </c>
      <c r="DU155" s="332">
        <v>6.9999999999999999E-4</v>
      </c>
      <c r="DV155" s="332">
        <v>0</v>
      </c>
      <c r="DW155" s="332">
        <v>0</v>
      </c>
      <c r="DX155" s="332">
        <v>5.0000000000000001E-4</v>
      </c>
      <c r="DY155" s="332">
        <v>5.0000000000000001E-4</v>
      </c>
      <c r="DZ155" s="332">
        <v>2.9999999999999997E-4</v>
      </c>
      <c r="EA155" s="332">
        <v>2.7500000000000002E-4</v>
      </c>
      <c r="EB155" s="332">
        <v>4.0000000000000002E-4</v>
      </c>
      <c r="ED155" s="332">
        <v>6.4999999999999994E-5</v>
      </c>
      <c r="EF155">
        <v>1</v>
      </c>
    </row>
    <row r="156" spans="1:136" x14ac:dyDescent="0.25">
      <c r="A156" s="66">
        <v>41122</v>
      </c>
      <c r="B156">
        <v>0.98</v>
      </c>
      <c r="C156">
        <v>0</v>
      </c>
      <c r="E156">
        <v>0</v>
      </c>
      <c r="F156">
        <v>0.97699999999999998</v>
      </c>
      <c r="G156">
        <v>0.98750000000000004</v>
      </c>
      <c r="H156">
        <v>0.98750000000000004</v>
      </c>
      <c r="I156">
        <v>0.98750000000000004</v>
      </c>
      <c r="J156">
        <v>0.98050000000000004</v>
      </c>
      <c r="K156">
        <v>0.98499999999999999</v>
      </c>
      <c r="L156" s="333">
        <v>0.98750000000000004</v>
      </c>
      <c r="M156" s="333">
        <v>0.98750000000000004</v>
      </c>
      <c r="N156">
        <v>0.98</v>
      </c>
      <c r="O156">
        <v>0.98750000000000004</v>
      </c>
      <c r="P156">
        <v>0.98</v>
      </c>
      <c r="Q156" s="328">
        <v>0.98750000000000004</v>
      </c>
      <c r="R156">
        <v>0.98750000000000004</v>
      </c>
      <c r="S156" s="333">
        <v>0.98750000000000004</v>
      </c>
      <c r="T156">
        <v>0.98</v>
      </c>
      <c r="U156">
        <v>0.98</v>
      </c>
      <c r="V156">
        <v>0.98</v>
      </c>
      <c r="W156">
        <v>0.98</v>
      </c>
      <c r="X156">
        <v>0.98750000000000004</v>
      </c>
      <c r="Y156">
        <v>0.98750000000000004</v>
      </c>
      <c r="Z156">
        <v>0.98750000000000004</v>
      </c>
      <c r="AA156">
        <v>0.98750000000000004</v>
      </c>
      <c r="AB156">
        <v>0.98</v>
      </c>
      <c r="AC156">
        <v>0.98</v>
      </c>
      <c r="AD156">
        <v>0.98750000000000004</v>
      </c>
      <c r="AE156">
        <v>0.98750000000000004</v>
      </c>
      <c r="AF156">
        <v>0.98</v>
      </c>
      <c r="AG156">
        <v>0.99</v>
      </c>
      <c r="AH156">
        <v>0.97983659999999995</v>
      </c>
      <c r="AI156">
        <v>0.97983659999999995</v>
      </c>
      <c r="AJ156">
        <v>0.98</v>
      </c>
      <c r="AK156">
        <v>1</v>
      </c>
      <c r="AL156">
        <v>0.98499999999999999</v>
      </c>
      <c r="AM156">
        <v>0</v>
      </c>
      <c r="BB156" s="446">
        <v>1</v>
      </c>
      <c r="BC156">
        <v>1</v>
      </c>
      <c r="BD156">
        <v>1</v>
      </c>
      <c r="BE156">
        <v>1</v>
      </c>
      <c r="BF156">
        <v>0.99990000000000001</v>
      </c>
      <c r="BG156">
        <v>1</v>
      </c>
      <c r="BH156">
        <v>1</v>
      </c>
      <c r="BI156">
        <v>0.99</v>
      </c>
      <c r="BJ156">
        <v>0.999</v>
      </c>
      <c r="BK156">
        <v>0.998</v>
      </c>
      <c r="BL156">
        <v>0.99850000000000005</v>
      </c>
      <c r="BM156">
        <v>0.99850000000000005</v>
      </c>
      <c r="BN156">
        <v>0.97199999999999998</v>
      </c>
      <c r="BO156">
        <v>0.99990000000000001</v>
      </c>
      <c r="BP156">
        <v>0.99990000000000001</v>
      </c>
      <c r="BQ156">
        <v>1</v>
      </c>
      <c r="BR156">
        <v>1.1068975999999999</v>
      </c>
      <c r="BS156">
        <v>1.1192</v>
      </c>
      <c r="BT156">
        <v>1.0827</v>
      </c>
      <c r="BU156">
        <v>1.0199</v>
      </c>
      <c r="BV156">
        <v>1</v>
      </c>
      <c r="BW156">
        <v>2.3874</v>
      </c>
      <c r="BX156">
        <v>2.3025963329999999</v>
      </c>
      <c r="BY156">
        <v>1.12425</v>
      </c>
      <c r="BZ156">
        <v>1.2885</v>
      </c>
      <c r="CA156">
        <v>2.0009999999999999</v>
      </c>
      <c r="CB156">
        <v>1.5400050000000001</v>
      </c>
      <c r="CC156">
        <v>1.5400050000000001</v>
      </c>
      <c r="CD156">
        <v>1.2775049999999999</v>
      </c>
      <c r="CE156">
        <v>1.089105</v>
      </c>
      <c r="CF156">
        <v>1.446205</v>
      </c>
      <c r="CG156" s="332"/>
      <c r="CH156">
        <v>1.10094</v>
      </c>
      <c r="CI156" s="332"/>
      <c r="CJ156" s="332"/>
      <c r="CK156" s="332"/>
      <c r="CL156" s="332"/>
      <c r="CM156" s="332"/>
      <c r="CN156" s="332"/>
      <c r="CO156" s="332"/>
      <c r="CP156">
        <v>0.97499999999999998</v>
      </c>
      <c r="CT156">
        <v>0.99895</v>
      </c>
      <c r="CU156">
        <v>0.43</v>
      </c>
      <c r="CV156">
        <v>0.52</v>
      </c>
      <c r="CW156">
        <v>0.92500000000000004</v>
      </c>
      <c r="CX156">
        <v>0.79500000000000004</v>
      </c>
      <c r="CY156">
        <v>0.72499999999999998</v>
      </c>
      <c r="CZ156">
        <v>0.89</v>
      </c>
      <c r="DA156">
        <v>0.92249999999999999</v>
      </c>
      <c r="DB156">
        <v>0.91500000000000004</v>
      </c>
      <c r="DC156">
        <v>0.92749999999999999</v>
      </c>
      <c r="DD156">
        <v>0.91500000000000004</v>
      </c>
      <c r="DE156">
        <v>0.89</v>
      </c>
      <c r="DN156" s="332">
        <v>2.8499999999999999E-4</v>
      </c>
      <c r="DO156" s="332">
        <v>2.0000000000000001E-4</v>
      </c>
      <c r="DP156" s="332">
        <v>0</v>
      </c>
      <c r="DQ156" s="332">
        <v>1E-4</v>
      </c>
      <c r="DR156" s="332">
        <v>0</v>
      </c>
      <c r="DS156" s="332">
        <v>3.5999999999999999E-3</v>
      </c>
      <c r="DT156" s="332">
        <v>4.6999999999999999E-4</v>
      </c>
      <c r="DU156" s="332">
        <v>6.9999999999999999E-4</v>
      </c>
      <c r="DV156" s="332">
        <v>0</v>
      </c>
      <c r="DW156" s="332">
        <v>0</v>
      </c>
      <c r="DX156" s="332">
        <v>5.0000000000000001E-4</v>
      </c>
      <c r="DY156" s="332">
        <v>5.0000000000000001E-4</v>
      </c>
      <c r="DZ156" s="332">
        <v>2.9999999999999997E-4</v>
      </c>
      <c r="EA156" s="332">
        <v>2.7500000000000002E-4</v>
      </c>
      <c r="EB156" s="332">
        <v>4.0000000000000002E-4</v>
      </c>
      <c r="ED156" s="332">
        <v>6.4999999999999994E-5</v>
      </c>
      <c r="EF156">
        <v>1</v>
      </c>
    </row>
    <row r="157" spans="1:136" x14ac:dyDescent="0.25">
      <c r="A157" s="66">
        <v>41153</v>
      </c>
      <c r="B157">
        <v>0.98</v>
      </c>
      <c r="C157">
        <v>0</v>
      </c>
      <c r="E157">
        <v>0</v>
      </c>
      <c r="F157">
        <v>0.97699999999999998</v>
      </c>
      <c r="G157">
        <v>0.98750000000000004</v>
      </c>
      <c r="H157">
        <v>0.98750000000000004</v>
      </c>
      <c r="I157">
        <v>0.98750000000000004</v>
      </c>
      <c r="J157">
        <v>0.98050000000000004</v>
      </c>
      <c r="K157">
        <v>0.98499999999999999</v>
      </c>
      <c r="L157" s="333">
        <v>0.98750000000000004</v>
      </c>
      <c r="M157" s="333">
        <v>0.98750000000000004</v>
      </c>
      <c r="N157">
        <v>0.98</v>
      </c>
      <c r="O157">
        <v>0.98750000000000004</v>
      </c>
      <c r="P157">
        <v>0.98</v>
      </c>
      <c r="Q157" s="328">
        <v>0.98750000000000004</v>
      </c>
      <c r="R157">
        <v>0.98750000000000004</v>
      </c>
      <c r="S157" s="333">
        <v>0.98750000000000004</v>
      </c>
      <c r="T157">
        <v>0.98</v>
      </c>
      <c r="U157">
        <v>0.98</v>
      </c>
      <c r="V157">
        <v>0.98</v>
      </c>
      <c r="W157">
        <v>0.98</v>
      </c>
      <c r="X157">
        <v>0.98750000000000004</v>
      </c>
      <c r="Y157">
        <v>0.98750000000000004</v>
      </c>
      <c r="Z157">
        <v>0.98750000000000004</v>
      </c>
      <c r="AA157">
        <v>0.98750000000000004</v>
      </c>
      <c r="AB157">
        <v>0.98</v>
      </c>
      <c r="AC157">
        <v>0.98</v>
      </c>
      <c r="AD157">
        <v>0.98750000000000004</v>
      </c>
      <c r="AE157">
        <v>0.98750000000000004</v>
      </c>
      <c r="AF157">
        <v>0.98</v>
      </c>
      <c r="AG157">
        <v>0.99</v>
      </c>
      <c r="AH157">
        <v>0.97989444999999997</v>
      </c>
      <c r="AI157">
        <v>0.97989444999999997</v>
      </c>
      <c r="AJ157">
        <v>0.98</v>
      </c>
      <c r="AK157">
        <v>1</v>
      </c>
      <c r="AL157">
        <v>0.98499999999999999</v>
      </c>
      <c r="AM157">
        <v>0</v>
      </c>
      <c r="BB157" s="446">
        <v>1</v>
      </c>
      <c r="BC157">
        <v>1</v>
      </c>
      <c r="BD157">
        <v>1</v>
      </c>
      <c r="BE157">
        <v>1</v>
      </c>
      <c r="BF157">
        <v>0.99990000000000001</v>
      </c>
      <c r="BG157">
        <v>1</v>
      </c>
      <c r="BH157">
        <v>1</v>
      </c>
      <c r="BI157">
        <v>0.99</v>
      </c>
      <c r="BJ157">
        <v>0.999</v>
      </c>
      <c r="BK157">
        <v>0.998</v>
      </c>
      <c r="BL157">
        <v>0.99850000000000005</v>
      </c>
      <c r="BM157">
        <v>0.99850000000000005</v>
      </c>
      <c r="BN157">
        <v>0.97199999999999998</v>
      </c>
      <c r="BO157">
        <v>0.99990000000000001</v>
      </c>
      <c r="BP157">
        <v>0.99990000000000001</v>
      </c>
      <c r="BQ157">
        <v>1</v>
      </c>
      <c r="BR157">
        <v>1.1071826</v>
      </c>
      <c r="BS157">
        <v>1.1194</v>
      </c>
      <c r="BT157">
        <v>1.0827</v>
      </c>
      <c r="BU157">
        <v>1.02</v>
      </c>
      <c r="BV157">
        <v>1</v>
      </c>
      <c r="BW157">
        <v>2.391</v>
      </c>
      <c r="BX157">
        <v>2.3030663329999999</v>
      </c>
      <c r="BY157">
        <v>1.1249499999999999</v>
      </c>
      <c r="BZ157">
        <v>1.2885</v>
      </c>
      <c r="CA157">
        <v>2.0009999999999999</v>
      </c>
      <c r="CB157">
        <v>1.540505</v>
      </c>
      <c r="CC157">
        <v>1.540505</v>
      </c>
      <c r="CD157">
        <v>1.2778050000000001</v>
      </c>
      <c r="CE157">
        <v>1.08938</v>
      </c>
      <c r="CF157">
        <v>1.4466049999999999</v>
      </c>
      <c r="CG157" s="332"/>
      <c r="CH157">
        <v>1.101005</v>
      </c>
      <c r="CI157" s="332"/>
      <c r="CJ157" s="332"/>
      <c r="CK157" s="332"/>
      <c r="CL157" s="332"/>
      <c r="CM157" s="332"/>
      <c r="CN157" s="332"/>
      <c r="CO157" s="332"/>
      <c r="CP157">
        <v>0.97499999999999998</v>
      </c>
      <c r="CT157">
        <v>0.99895</v>
      </c>
      <c r="CU157">
        <v>0.46</v>
      </c>
      <c r="CV157">
        <v>0.55000000000000004</v>
      </c>
      <c r="CW157">
        <v>0.92500000000000004</v>
      </c>
      <c r="CX157">
        <v>0.65500000000000003</v>
      </c>
      <c r="CY157">
        <v>0.57499999999999996</v>
      </c>
      <c r="CZ157">
        <v>0.94499999999999995</v>
      </c>
      <c r="DA157">
        <v>0.97750000000000004</v>
      </c>
      <c r="DB157">
        <v>0.94499999999999995</v>
      </c>
      <c r="DC157">
        <v>0.92</v>
      </c>
      <c r="DD157">
        <v>0.91500000000000004</v>
      </c>
      <c r="DE157">
        <v>0.89</v>
      </c>
      <c r="DN157" s="332">
        <v>2.8499999999999999E-4</v>
      </c>
      <c r="DO157" s="332">
        <v>2.0000000000000001E-4</v>
      </c>
      <c r="DP157" s="332">
        <v>0</v>
      </c>
      <c r="DQ157" s="332">
        <v>1E-4</v>
      </c>
      <c r="DR157" s="332">
        <v>0</v>
      </c>
      <c r="DS157" s="332">
        <v>3.5999999999999999E-3</v>
      </c>
      <c r="DT157" s="332">
        <v>4.6999999999999999E-4</v>
      </c>
      <c r="DU157" s="332">
        <v>6.9999999999999999E-4</v>
      </c>
      <c r="DV157" s="332">
        <v>0</v>
      </c>
      <c r="DW157" s="332">
        <v>0</v>
      </c>
      <c r="DX157" s="332">
        <v>5.0000000000000001E-4</v>
      </c>
      <c r="DY157" s="332">
        <v>5.0000000000000001E-4</v>
      </c>
      <c r="DZ157" s="332">
        <v>2.9999999999999997E-4</v>
      </c>
      <c r="EA157" s="332">
        <v>2.7500000000000002E-4</v>
      </c>
      <c r="EB157" s="332">
        <v>4.0000000000000002E-4</v>
      </c>
      <c r="ED157" s="332">
        <v>6.4999999999999994E-5</v>
      </c>
      <c r="EF157">
        <v>1</v>
      </c>
    </row>
    <row r="158" spans="1:136" x14ac:dyDescent="0.25">
      <c r="A158" s="66">
        <v>41183</v>
      </c>
      <c r="B158">
        <v>0.98</v>
      </c>
      <c r="C158">
        <v>0</v>
      </c>
      <c r="E158">
        <v>0</v>
      </c>
      <c r="F158">
        <v>0.97699999999999998</v>
      </c>
      <c r="G158">
        <v>0.98750000000000004</v>
      </c>
      <c r="H158">
        <v>0.98750000000000004</v>
      </c>
      <c r="I158">
        <v>0.98750000000000004</v>
      </c>
      <c r="J158">
        <v>0.98050000000000004</v>
      </c>
      <c r="K158">
        <v>0.98499999999999999</v>
      </c>
      <c r="L158" s="333">
        <v>0.98750000000000004</v>
      </c>
      <c r="M158" s="333">
        <v>0.98750000000000004</v>
      </c>
      <c r="N158">
        <v>0.98</v>
      </c>
      <c r="O158">
        <v>0.98341363800000003</v>
      </c>
      <c r="P158">
        <v>0.98</v>
      </c>
      <c r="Q158" s="328">
        <v>0.98750000000000004</v>
      </c>
      <c r="R158">
        <v>0.98750000000000004</v>
      </c>
      <c r="S158" s="333">
        <v>0.98750000000000004</v>
      </c>
      <c r="T158">
        <v>0.98</v>
      </c>
      <c r="U158">
        <v>0.98</v>
      </c>
      <c r="V158">
        <v>0.98</v>
      </c>
      <c r="W158">
        <v>0.98</v>
      </c>
      <c r="X158">
        <v>0.98341363800000003</v>
      </c>
      <c r="Y158">
        <v>0.98341363800000003</v>
      </c>
      <c r="Z158">
        <v>0.98341363800000003</v>
      </c>
      <c r="AA158">
        <v>0.98341363800000003</v>
      </c>
      <c r="AB158">
        <v>0.98</v>
      </c>
      <c r="AC158">
        <v>0.98</v>
      </c>
      <c r="AD158">
        <v>0.98341363800000003</v>
      </c>
      <c r="AE158">
        <v>0.98341363800000003</v>
      </c>
      <c r="AF158">
        <v>0.98</v>
      </c>
      <c r="AG158">
        <v>0.99</v>
      </c>
      <c r="AH158">
        <v>0.9799523</v>
      </c>
      <c r="AI158">
        <v>0.9799523</v>
      </c>
      <c r="AJ158">
        <v>0.98</v>
      </c>
      <c r="AK158">
        <v>1</v>
      </c>
      <c r="AL158">
        <v>0.98499999999999999</v>
      </c>
      <c r="AM158">
        <v>0</v>
      </c>
      <c r="BB158" s="446">
        <v>1</v>
      </c>
      <c r="BC158">
        <v>1</v>
      </c>
      <c r="BD158">
        <v>1</v>
      </c>
      <c r="BE158">
        <v>1</v>
      </c>
      <c r="BF158">
        <v>0.99990000000000001</v>
      </c>
      <c r="BG158">
        <v>1</v>
      </c>
      <c r="BH158">
        <v>1</v>
      </c>
      <c r="BI158">
        <v>0.99</v>
      </c>
      <c r="BJ158">
        <v>0.999</v>
      </c>
      <c r="BK158">
        <v>0.998</v>
      </c>
      <c r="BL158">
        <v>0.99850000000000005</v>
      </c>
      <c r="BM158">
        <v>0.99850000000000005</v>
      </c>
      <c r="BN158">
        <v>0.97199999999999998</v>
      </c>
      <c r="BO158">
        <v>0.99990000000000001</v>
      </c>
      <c r="BP158">
        <v>0.99990000000000001</v>
      </c>
      <c r="BQ158">
        <v>1</v>
      </c>
      <c r="BR158">
        <v>1.1074676000000001</v>
      </c>
      <c r="BS158">
        <v>1.1195999999999999</v>
      </c>
      <c r="BT158">
        <v>1.0827</v>
      </c>
      <c r="BU158">
        <v>1.0201</v>
      </c>
      <c r="BV158">
        <v>1</v>
      </c>
      <c r="BW158">
        <v>2.3946000000000001</v>
      </c>
      <c r="BX158">
        <v>2.3035363329999998</v>
      </c>
      <c r="BY158">
        <v>1.12565</v>
      </c>
      <c r="BZ158">
        <v>1.2885</v>
      </c>
      <c r="CA158">
        <v>2.0009999999999999</v>
      </c>
      <c r="CB158">
        <v>1.541005</v>
      </c>
      <c r="CC158">
        <v>1.541005</v>
      </c>
      <c r="CD158">
        <v>1.278105</v>
      </c>
      <c r="CE158">
        <v>1.089655</v>
      </c>
      <c r="CF158">
        <v>1.4470050000000001</v>
      </c>
      <c r="CG158" s="332"/>
      <c r="CH158">
        <v>1.10107</v>
      </c>
      <c r="CI158" s="332"/>
      <c r="CJ158" s="332"/>
      <c r="CK158" s="332"/>
      <c r="CL158" s="332"/>
      <c r="CM158" s="332"/>
      <c r="CN158" s="332"/>
      <c r="CO158" s="332"/>
      <c r="CP158">
        <v>0.95499999999999996</v>
      </c>
      <c r="CT158">
        <v>0.99895</v>
      </c>
      <c r="CU158">
        <v>0.46</v>
      </c>
      <c r="CV158">
        <v>0.45</v>
      </c>
      <c r="CW158">
        <v>0.92500000000000004</v>
      </c>
      <c r="CX158">
        <v>0.64500000000000002</v>
      </c>
      <c r="CY158">
        <v>0.505</v>
      </c>
      <c r="CZ158">
        <v>0.80500000000000005</v>
      </c>
      <c r="DA158">
        <v>0.83750000000000002</v>
      </c>
      <c r="DB158">
        <v>0.875</v>
      </c>
      <c r="DC158">
        <v>0.90249999999999997</v>
      </c>
      <c r="DD158">
        <v>0.82</v>
      </c>
      <c r="DE158">
        <v>0.89</v>
      </c>
      <c r="DN158" s="332">
        <v>2.8499999999999999E-4</v>
      </c>
      <c r="DO158" s="332">
        <v>2.0000000000000001E-4</v>
      </c>
      <c r="DP158" s="332">
        <v>0</v>
      </c>
      <c r="DQ158" s="332">
        <v>1E-4</v>
      </c>
      <c r="DR158" s="332">
        <v>0</v>
      </c>
      <c r="DS158" s="332">
        <v>3.5999999999999999E-3</v>
      </c>
      <c r="DT158" s="332">
        <v>4.6999999999999999E-4</v>
      </c>
      <c r="DU158" s="332">
        <v>6.9999999999999999E-4</v>
      </c>
      <c r="DV158" s="332">
        <v>0</v>
      </c>
      <c r="DW158" s="332">
        <v>0</v>
      </c>
      <c r="DX158" s="332">
        <v>5.0000000000000001E-4</v>
      </c>
      <c r="DY158" s="332">
        <v>5.0000000000000001E-4</v>
      </c>
      <c r="DZ158" s="332">
        <v>2.9999999999999997E-4</v>
      </c>
      <c r="EA158" s="332">
        <v>2.7500000000000002E-4</v>
      </c>
      <c r="EB158" s="332">
        <v>4.0000000000000002E-4</v>
      </c>
      <c r="ED158" s="332">
        <v>6.4999999999999994E-5</v>
      </c>
      <c r="EF158">
        <v>1</v>
      </c>
    </row>
    <row r="159" spans="1:136" x14ac:dyDescent="0.25">
      <c r="A159" s="66">
        <v>41214</v>
      </c>
      <c r="B159">
        <v>0.98</v>
      </c>
      <c r="C159">
        <v>0</v>
      </c>
      <c r="E159">
        <v>0</v>
      </c>
      <c r="F159">
        <v>0.97699999999999998</v>
      </c>
      <c r="G159">
        <v>0.98750000000000004</v>
      </c>
      <c r="H159">
        <v>0.98750000000000004</v>
      </c>
      <c r="I159">
        <v>0.98750000000000004</v>
      </c>
      <c r="J159">
        <v>0.98050000000000004</v>
      </c>
      <c r="K159">
        <v>0.97048500000000004</v>
      </c>
      <c r="L159" s="333">
        <v>0.98750000000000004</v>
      </c>
      <c r="M159" s="333">
        <v>0.98750000000000004</v>
      </c>
      <c r="N159">
        <v>0.98</v>
      </c>
      <c r="O159">
        <v>0.98366182499999999</v>
      </c>
      <c r="P159">
        <v>0.98</v>
      </c>
      <c r="Q159" s="328">
        <v>0.98750000000000004</v>
      </c>
      <c r="R159">
        <v>0.98750000000000004</v>
      </c>
      <c r="S159" s="333">
        <v>0.98750000000000004</v>
      </c>
      <c r="T159">
        <v>0.98</v>
      </c>
      <c r="U159">
        <v>0.98</v>
      </c>
      <c r="V159">
        <v>0.98</v>
      </c>
      <c r="W159">
        <v>0.98</v>
      </c>
      <c r="X159">
        <v>0.98366182499999999</v>
      </c>
      <c r="Y159">
        <v>0.98366182499999999</v>
      </c>
      <c r="Z159">
        <v>0.98366182499999999</v>
      </c>
      <c r="AA159">
        <v>0.98366182499999999</v>
      </c>
      <c r="AB159">
        <v>0.98</v>
      </c>
      <c r="AC159">
        <v>0.98</v>
      </c>
      <c r="AD159">
        <v>0.98366182499999999</v>
      </c>
      <c r="AE159">
        <v>0.98366182499999999</v>
      </c>
      <c r="AF159">
        <v>0.98</v>
      </c>
      <c r="AG159">
        <v>0.99</v>
      </c>
      <c r="AH159">
        <v>0.98001015000000002</v>
      </c>
      <c r="AI159">
        <v>0.98001015000000002</v>
      </c>
      <c r="AJ159">
        <v>0.98</v>
      </c>
      <c r="AK159">
        <v>1</v>
      </c>
      <c r="AL159">
        <v>0.97048500000000004</v>
      </c>
      <c r="AM159">
        <v>0</v>
      </c>
      <c r="BB159" s="446">
        <v>1</v>
      </c>
      <c r="BC159">
        <v>1</v>
      </c>
      <c r="BD159">
        <v>1</v>
      </c>
      <c r="BE159">
        <v>1</v>
      </c>
      <c r="BF159">
        <v>0.99990000000000001</v>
      </c>
      <c r="BG159">
        <v>1</v>
      </c>
      <c r="BH159">
        <v>1</v>
      </c>
      <c r="BI159">
        <v>0.99</v>
      </c>
      <c r="BJ159">
        <v>0.999</v>
      </c>
      <c r="BK159">
        <v>0.998</v>
      </c>
      <c r="BL159">
        <v>0.99850000000000005</v>
      </c>
      <c r="BM159">
        <v>0.99850000000000005</v>
      </c>
      <c r="BN159">
        <v>0.97199999999999998</v>
      </c>
      <c r="BO159">
        <v>0.99990000000000001</v>
      </c>
      <c r="BP159">
        <v>0.99990000000000001</v>
      </c>
      <c r="BQ159">
        <v>1</v>
      </c>
      <c r="BR159">
        <v>1.1077526</v>
      </c>
      <c r="BS159">
        <v>1.1197999999999999</v>
      </c>
      <c r="BT159">
        <v>1.0827</v>
      </c>
      <c r="BU159">
        <v>1.0202</v>
      </c>
      <c r="BV159">
        <v>1</v>
      </c>
      <c r="BW159">
        <v>2.3982000000000001</v>
      </c>
      <c r="BX159">
        <v>2.3040063329999998</v>
      </c>
      <c r="BY159">
        <v>1.12635</v>
      </c>
      <c r="BZ159">
        <v>1.2885</v>
      </c>
      <c r="CA159">
        <v>2.0009999999999999</v>
      </c>
      <c r="CB159">
        <v>1.5415049999999999</v>
      </c>
      <c r="CC159">
        <v>1.5415049999999999</v>
      </c>
      <c r="CD159">
        <v>1.278405</v>
      </c>
      <c r="CE159">
        <v>1.0899300000000001</v>
      </c>
      <c r="CF159">
        <v>1.4474050000000001</v>
      </c>
      <c r="CG159" s="332"/>
      <c r="CH159">
        <v>1.101135</v>
      </c>
      <c r="CI159" s="332"/>
      <c r="CJ159" s="332"/>
      <c r="CK159" s="332"/>
      <c r="CL159" s="332"/>
      <c r="CM159" s="332"/>
      <c r="CN159" s="332"/>
      <c r="CO159" s="332"/>
      <c r="CP159">
        <v>0.95499999999999996</v>
      </c>
      <c r="CT159">
        <v>0.999</v>
      </c>
      <c r="CU159">
        <v>0.48</v>
      </c>
      <c r="CV159">
        <v>0.46</v>
      </c>
      <c r="CW159">
        <v>0.90500000000000003</v>
      </c>
      <c r="CX159">
        <v>0.60499999999999998</v>
      </c>
      <c r="CY159">
        <v>0.48499999999999999</v>
      </c>
      <c r="CZ159">
        <v>0.79500000000000004</v>
      </c>
      <c r="DA159">
        <v>0.82750000000000001</v>
      </c>
      <c r="DB159">
        <v>0.85</v>
      </c>
      <c r="DC159">
        <v>0.90249999999999997</v>
      </c>
      <c r="DD159">
        <v>0.82</v>
      </c>
      <c r="DE159">
        <v>0.89</v>
      </c>
      <c r="DN159" s="332">
        <v>2.8499999999999999E-4</v>
      </c>
      <c r="DO159" s="332">
        <v>2.0000000000000001E-4</v>
      </c>
      <c r="DP159" s="332">
        <v>0</v>
      </c>
      <c r="DQ159" s="332">
        <v>1E-4</v>
      </c>
      <c r="DR159" s="332">
        <v>0</v>
      </c>
      <c r="DS159" s="332">
        <v>3.5999999999999999E-3</v>
      </c>
      <c r="DT159" s="332">
        <v>4.6999999999999999E-4</v>
      </c>
      <c r="DU159" s="332">
        <v>6.9999999999999999E-4</v>
      </c>
      <c r="DV159" s="332">
        <v>0</v>
      </c>
      <c r="DW159" s="332">
        <v>0</v>
      </c>
      <c r="DX159" s="332">
        <v>5.0000000000000001E-4</v>
      </c>
      <c r="DY159" s="332">
        <v>5.0000000000000001E-4</v>
      </c>
      <c r="DZ159" s="332">
        <v>2.9999999999999997E-4</v>
      </c>
      <c r="EA159" s="332">
        <v>2.7500000000000002E-4</v>
      </c>
      <c r="EB159" s="332">
        <v>4.0000000000000002E-4</v>
      </c>
      <c r="ED159" s="332">
        <v>6.4999999999999994E-5</v>
      </c>
      <c r="EF159">
        <v>1</v>
      </c>
    </row>
    <row r="160" spans="1:136" x14ac:dyDescent="0.25">
      <c r="A160" s="66">
        <v>41244</v>
      </c>
      <c r="B160">
        <v>0.98</v>
      </c>
      <c r="C160">
        <v>0</v>
      </c>
      <c r="E160">
        <v>0</v>
      </c>
      <c r="F160">
        <v>0.97699999999999998</v>
      </c>
      <c r="G160">
        <v>0.98750000000000004</v>
      </c>
      <c r="H160">
        <v>0.98750000000000004</v>
      </c>
      <c r="I160">
        <v>0.98616875000000004</v>
      </c>
      <c r="J160">
        <v>0.98050000000000004</v>
      </c>
      <c r="K160">
        <v>0.97048500000000004</v>
      </c>
      <c r="L160" s="333">
        <v>0.90978294999999998</v>
      </c>
      <c r="M160" s="333">
        <v>0.95989811199999997</v>
      </c>
      <c r="N160">
        <v>0.88230644999999996</v>
      </c>
      <c r="O160">
        <v>0.97300796300000003</v>
      </c>
      <c r="P160">
        <v>0.88230644999999996</v>
      </c>
      <c r="Q160" s="328">
        <v>0.90978294999999998</v>
      </c>
      <c r="R160">
        <v>0.90978294999999998</v>
      </c>
      <c r="S160" s="333">
        <v>0.90978294999999998</v>
      </c>
      <c r="T160">
        <v>0.88230644999999996</v>
      </c>
      <c r="U160">
        <v>0.88230644999999996</v>
      </c>
      <c r="V160">
        <v>0.88230644999999996</v>
      </c>
      <c r="W160">
        <v>0.88230644999999996</v>
      </c>
      <c r="X160">
        <v>0.97300796300000003</v>
      </c>
      <c r="Y160">
        <v>0.97300796300000003</v>
      </c>
      <c r="Z160">
        <v>0.97300796300000003</v>
      </c>
      <c r="AA160">
        <v>0.97300796300000003</v>
      </c>
      <c r="AB160">
        <v>0.88230644999999996</v>
      </c>
      <c r="AC160">
        <v>0.88230644999999996</v>
      </c>
      <c r="AD160">
        <v>0.97300796300000003</v>
      </c>
      <c r="AE160">
        <v>0.97300796300000003</v>
      </c>
      <c r="AF160">
        <v>0.88230644999999996</v>
      </c>
      <c r="AG160">
        <v>0.98</v>
      </c>
      <c r="AH160">
        <v>0.98006800000000005</v>
      </c>
      <c r="AI160">
        <v>0.98006800000000005</v>
      </c>
      <c r="AJ160">
        <v>0.88230644999999996</v>
      </c>
      <c r="AK160">
        <v>1</v>
      </c>
      <c r="AL160">
        <v>0.97048500000000004</v>
      </c>
      <c r="AM160">
        <v>0</v>
      </c>
      <c r="BB160" s="446">
        <v>1</v>
      </c>
      <c r="BC160">
        <v>1</v>
      </c>
      <c r="BD160">
        <v>1</v>
      </c>
      <c r="BE160">
        <v>1</v>
      </c>
      <c r="BF160">
        <v>0.99990000000000001</v>
      </c>
      <c r="BG160">
        <v>1</v>
      </c>
      <c r="BH160">
        <v>1</v>
      </c>
      <c r="BI160">
        <v>0.99</v>
      </c>
      <c r="BJ160">
        <v>0.999</v>
      </c>
      <c r="BK160">
        <v>0.998</v>
      </c>
      <c r="BL160">
        <v>0.99850000000000005</v>
      </c>
      <c r="BM160">
        <v>0.99850000000000005</v>
      </c>
      <c r="BN160">
        <v>0.97199999999999998</v>
      </c>
      <c r="BO160">
        <v>0.99990000000000001</v>
      </c>
      <c r="BP160">
        <v>0.99990000000000001</v>
      </c>
      <c r="BQ160">
        <v>1</v>
      </c>
      <c r="BR160">
        <v>1.1080376000000001</v>
      </c>
      <c r="BS160">
        <v>1.1200000000000001</v>
      </c>
      <c r="BT160">
        <v>1.0827</v>
      </c>
      <c r="BU160">
        <v>1.0203</v>
      </c>
      <c r="BV160">
        <v>1</v>
      </c>
      <c r="BW160">
        <v>2.4018000000000002</v>
      </c>
      <c r="BX160">
        <v>2.3044763330000002</v>
      </c>
      <c r="BY160">
        <v>1.1270500000000001</v>
      </c>
      <c r="BZ160">
        <v>1.2885</v>
      </c>
      <c r="CA160">
        <v>2.0009999999999999</v>
      </c>
      <c r="CB160">
        <v>1.5420050000000001</v>
      </c>
      <c r="CC160">
        <v>1.5420050000000001</v>
      </c>
      <c r="CD160">
        <v>1.278705</v>
      </c>
      <c r="CE160">
        <v>1.0902050000000001</v>
      </c>
      <c r="CF160">
        <v>1.447805</v>
      </c>
      <c r="CG160" s="332"/>
      <c r="CH160">
        <v>1.1012</v>
      </c>
      <c r="CI160" s="332"/>
      <c r="CJ160" s="332"/>
      <c r="CK160" s="332"/>
      <c r="CL160" s="332"/>
      <c r="CM160" s="332"/>
      <c r="CN160" s="332"/>
      <c r="CO160" s="332"/>
      <c r="CP160">
        <v>0.93500000000000005</v>
      </c>
      <c r="CT160">
        <v>0.999</v>
      </c>
      <c r="CU160">
        <v>0.51</v>
      </c>
      <c r="CV160">
        <v>0.48</v>
      </c>
      <c r="CW160">
        <v>0.875</v>
      </c>
      <c r="CX160">
        <v>0.61</v>
      </c>
      <c r="CY160">
        <v>0.48499999999999999</v>
      </c>
      <c r="CZ160">
        <v>0.59</v>
      </c>
      <c r="DA160">
        <v>0.62250000000000005</v>
      </c>
      <c r="DB160">
        <v>0.69</v>
      </c>
      <c r="DC160">
        <v>0.89249999999999996</v>
      </c>
      <c r="DD160">
        <v>0.71499999999999997</v>
      </c>
      <c r="DE160">
        <v>0.89</v>
      </c>
      <c r="DN160" s="332">
        <v>2.8499999999999999E-4</v>
      </c>
      <c r="DO160" s="332">
        <v>2.0000000000000001E-4</v>
      </c>
      <c r="DP160" s="332">
        <v>0</v>
      </c>
      <c r="DQ160" s="332">
        <v>1E-4</v>
      </c>
      <c r="DR160" s="332">
        <v>0</v>
      </c>
      <c r="DS160" s="332">
        <v>3.5999999999999999E-3</v>
      </c>
      <c r="DT160" s="332">
        <v>4.6999999999999999E-4</v>
      </c>
      <c r="DU160" s="332">
        <v>6.9999999999999999E-4</v>
      </c>
      <c r="DV160" s="332">
        <v>0</v>
      </c>
      <c r="DW160" s="332">
        <v>0</v>
      </c>
      <c r="DX160" s="332">
        <v>5.0000000000000001E-4</v>
      </c>
      <c r="DY160" s="332">
        <v>5.0000000000000001E-4</v>
      </c>
      <c r="DZ160" s="332">
        <v>2.9999999999999997E-4</v>
      </c>
      <c r="EA160" s="332">
        <v>2.7500000000000002E-4</v>
      </c>
      <c r="EB160" s="332">
        <v>4.0000000000000002E-4</v>
      </c>
      <c r="ED160" s="332">
        <v>6.4999999999999994E-5</v>
      </c>
      <c r="EF160">
        <v>1</v>
      </c>
    </row>
    <row r="161" spans="1:136" x14ac:dyDescent="0.25">
      <c r="A161" s="66">
        <v>41275</v>
      </c>
      <c r="B161">
        <v>0.98</v>
      </c>
      <c r="C161">
        <v>0</v>
      </c>
      <c r="E161">
        <v>0</v>
      </c>
      <c r="F161">
        <v>0</v>
      </c>
      <c r="G161">
        <v>0.98750000000000004</v>
      </c>
      <c r="H161">
        <v>0.98750000000000004</v>
      </c>
      <c r="I161">
        <v>0.90783875000000003</v>
      </c>
      <c r="J161">
        <v>0.98050000000000004</v>
      </c>
      <c r="K161">
        <v>0.98499999999999999</v>
      </c>
      <c r="L161" s="333">
        <v>0.93321552500000005</v>
      </c>
      <c r="M161" s="333">
        <v>0.98334693699999998</v>
      </c>
      <c r="N161">
        <v>0.88251345000000003</v>
      </c>
      <c r="O161">
        <v>0.95962239999999999</v>
      </c>
      <c r="P161">
        <v>0.88251345000000003</v>
      </c>
      <c r="Q161" s="328">
        <v>0.93321552500000005</v>
      </c>
      <c r="R161">
        <v>0.93321552500000005</v>
      </c>
      <c r="S161" s="333">
        <v>0.93321552500000005</v>
      </c>
      <c r="T161">
        <v>0.88251345000000003</v>
      </c>
      <c r="U161">
        <v>0.88251345000000003</v>
      </c>
      <c r="V161">
        <v>0.88251345000000003</v>
      </c>
      <c r="W161">
        <v>0.88251345000000003</v>
      </c>
      <c r="X161">
        <v>0.95962239999999999</v>
      </c>
      <c r="Y161">
        <v>0.95962239999999999</v>
      </c>
      <c r="Z161">
        <v>0.95962239999999999</v>
      </c>
      <c r="AA161">
        <v>0.95962239999999999</v>
      </c>
      <c r="AB161">
        <v>0.88251345000000003</v>
      </c>
      <c r="AC161">
        <v>0.88251345000000003</v>
      </c>
      <c r="AD161">
        <v>0.95962239999999999</v>
      </c>
      <c r="AE161">
        <v>0.95962239999999999</v>
      </c>
      <c r="AF161">
        <v>0.88251345000000003</v>
      </c>
      <c r="AG161">
        <v>0.98</v>
      </c>
      <c r="AH161">
        <v>0.98012584999999997</v>
      </c>
      <c r="AI161">
        <v>0.98012584999999997</v>
      </c>
      <c r="AJ161">
        <v>0.88251345000000003</v>
      </c>
      <c r="AK161">
        <v>1</v>
      </c>
      <c r="AL161">
        <v>0.98499999999999999</v>
      </c>
      <c r="AM161">
        <v>0</v>
      </c>
      <c r="BB161" s="446">
        <v>1</v>
      </c>
      <c r="BC161">
        <v>1</v>
      </c>
      <c r="BD161">
        <v>1</v>
      </c>
      <c r="BE161">
        <v>1</v>
      </c>
      <c r="BF161">
        <v>0.99990000000000001</v>
      </c>
      <c r="BG161">
        <v>1</v>
      </c>
      <c r="BH161">
        <v>1</v>
      </c>
      <c r="BI161">
        <v>0.99</v>
      </c>
      <c r="BJ161">
        <v>0.999</v>
      </c>
      <c r="BK161">
        <v>0.998</v>
      </c>
      <c r="BL161">
        <v>0.99850000000000005</v>
      </c>
      <c r="BM161">
        <v>0.99850000000000005</v>
      </c>
      <c r="BN161">
        <v>0.97199999999999998</v>
      </c>
      <c r="BO161">
        <v>0.99990000000000001</v>
      </c>
      <c r="BP161">
        <v>0.99990000000000001</v>
      </c>
      <c r="BQ161">
        <v>1</v>
      </c>
      <c r="BR161">
        <v>1.1083225999999999</v>
      </c>
      <c r="BS161">
        <v>1.1202000000000001</v>
      </c>
      <c r="BT161">
        <v>1.0827</v>
      </c>
      <c r="BU161">
        <v>1.0204</v>
      </c>
      <c r="BV161">
        <v>1</v>
      </c>
      <c r="BW161">
        <v>2.4054000000000002</v>
      </c>
      <c r="BX161">
        <v>2.3049463330000002</v>
      </c>
      <c r="BY161">
        <v>1.12775</v>
      </c>
      <c r="BZ161">
        <v>1.2885</v>
      </c>
      <c r="CA161">
        <v>2.0009999999999999</v>
      </c>
      <c r="CB161">
        <v>1.542505</v>
      </c>
      <c r="CC161">
        <v>1.542505</v>
      </c>
      <c r="CD161">
        <v>1.2790049999999999</v>
      </c>
      <c r="CE161">
        <v>1.0904799999999999</v>
      </c>
      <c r="CF161">
        <v>1.448205</v>
      </c>
      <c r="CG161" s="332"/>
      <c r="CH161">
        <v>1.1012649999999999</v>
      </c>
      <c r="CI161" s="332"/>
      <c r="CJ161" s="332"/>
      <c r="CK161" s="332"/>
      <c r="CL161" s="332"/>
      <c r="CM161" s="332"/>
      <c r="CN161" s="332"/>
      <c r="CO161" s="332"/>
      <c r="CP161">
        <v>0.89500000000000002</v>
      </c>
      <c r="CU161">
        <v>0.57999999999999996</v>
      </c>
      <c r="CV161">
        <v>0.45</v>
      </c>
      <c r="CW161">
        <v>0.80500000000000005</v>
      </c>
      <c r="CX161">
        <v>0.62</v>
      </c>
      <c r="CY161">
        <v>0.505</v>
      </c>
      <c r="CZ161">
        <v>0.60499999999999998</v>
      </c>
      <c r="DA161">
        <v>0.63749999999999996</v>
      </c>
      <c r="DB161">
        <v>0.69</v>
      </c>
      <c r="DC161">
        <v>0.88</v>
      </c>
      <c r="DD161">
        <v>0.64</v>
      </c>
      <c r="DE161">
        <v>0.89</v>
      </c>
      <c r="DN161" s="332">
        <v>2.8499999999999999E-4</v>
      </c>
      <c r="DO161" s="332">
        <v>2.0000000000000001E-4</v>
      </c>
      <c r="DP161" s="332">
        <v>0</v>
      </c>
      <c r="DQ161" s="332">
        <v>1E-4</v>
      </c>
      <c r="DR161" s="332">
        <v>0</v>
      </c>
      <c r="DS161" s="332">
        <v>3.5999999999999999E-3</v>
      </c>
      <c r="DT161" s="332">
        <v>4.6999999999999999E-4</v>
      </c>
      <c r="DU161" s="332">
        <v>6.9999999999999999E-4</v>
      </c>
      <c r="DV161" s="332">
        <v>0</v>
      </c>
      <c r="DW161" s="332">
        <v>0</v>
      </c>
      <c r="DX161" s="332">
        <v>5.0000000000000001E-4</v>
      </c>
      <c r="DY161" s="332">
        <v>5.0000000000000001E-4</v>
      </c>
      <c r="DZ161" s="332">
        <v>2.9999999999999997E-4</v>
      </c>
      <c r="EA161" s="332">
        <v>2.7500000000000002E-4</v>
      </c>
      <c r="EB161" s="332">
        <v>4.0000000000000002E-4</v>
      </c>
      <c r="ED161" s="332">
        <v>6.4999999999999994E-5</v>
      </c>
      <c r="EF161">
        <v>1</v>
      </c>
    </row>
    <row r="162" spans="1:136" x14ac:dyDescent="0.25">
      <c r="A162" s="66">
        <v>41306</v>
      </c>
      <c r="B162">
        <v>0.98</v>
      </c>
      <c r="C162">
        <v>0</v>
      </c>
      <c r="E162">
        <v>0</v>
      </c>
      <c r="F162">
        <v>0</v>
      </c>
      <c r="G162">
        <v>0.98750000000000004</v>
      </c>
      <c r="H162">
        <v>0.98750000000000004</v>
      </c>
      <c r="I162">
        <v>0.95354024999999998</v>
      </c>
      <c r="J162">
        <v>0.98050000000000004</v>
      </c>
      <c r="K162">
        <v>0.98499999999999999</v>
      </c>
      <c r="L162" s="333">
        <v>0.97980817499999995</v>
      </c>
      <c r="M162" s="333">
        <v>0.98750000000000004</v>
      </c>
      <c r="N162">
        <v>0.90830655000000005</v>
      </c>
      <c r="O162">
        <v>0.95713751300000005</v>
      </c>
      <c r="P162">
        <v>0.90830655000000005</v>
      </c>
      <c r="Q162" s="328">
        <v>0.97980817499999995</v>
      </c>
      <c r="R162">
        <v>0.97980817499999995</v>
      </c>
      <c r="S162" s="333">
        <v>0.97980817499999995</v>
      </c>
      <c r="T162">
        <v>0.90830655000000005</v>
      </c>
      <c r="U162">
        <v>0.90830655000000005</v>
      </c>
      <c r="V162">
        <v>0.90830655000000005</v>
      </c>
      <c r="W162">
        <v>0.90830655000000005</v>
      </c>
      <c r="X162">
        <v>0.95713751300000005</v>
      </c>
      <c r="Y162">
        <v>0.95713751300000005</v>
      </c>
      <c r="Z162">
        <v>0.95713751300000005</v>
      </c>
      <c r="AA162">
        <v>0.95713751300000005</v>
      </c>
      <c r="AB162">
        <v>0.90830655000000005</v>
      </c>
      <c r="AC162">
        <v>0.90830655000000005</v>
      </c>
      <c r="AD162">
        <v>0.95713751300000005</v>
      </c>
      <c r="AE162">
        <v>0.95713751300000005</v>
      </c>
      <c r="AF162">
        <v>0.90830655000000005</v>
      </c>
      <c r="AG162">
        <v>0.98</v>
      </c>
      <c r="AH162">
        <v>0.98018369999999999</v>
      </c>
      <c r="AI162">
        <v>0.98018369999999999</v>
      </c>
      <c r="AJ162">
        <v>0.90830655000000005</v>
      </c>
      <c r="AK162">
        <v>1</v>
      </c>
      <c r="AL162">
        <v>0.98499999999999999</v>
      </c>
      <c r="AM162">
        <v>0</v>
      </c>
      <c r="BB162" s="446">
        <v>1</v>
      </c>
      <c r="BC162">
        <v>1</v>
      </c>
      <c r="BD162">
        <v>1</v>
      </c>
      <c r="BE162">
        <v>1</v>
      </c>
      <c r="BF162">
        <v>0.99990000000000001</v>
      </c>
      <c r="BG162">
        <v>1</v>
      </c>
      <c r="BH162">
        <v>1</v>
      </c>
      <c r="BI162">
        <v>0.99</v>
      </c>
      <c r="BJ162">
        <v>0.999</v>
      </c>
      <c r="BK162">
        <v>0.998</v>
      </c>
      <c r="BL162">
        <v>0.99850000000000005</v>
      </c>
      <c r="BM162">
        <v>0.99850000000000005</v>
      </c>
      <c r="BN162">
        <v>0.97199999999999998</v>
      </c>
      <c r="BO162">
        <v>0.99990000000000001</v>
      </c>
      <c r="BP162">
        <v>0.99990000000000001</v>
      </c>
      <c r="BQ162">
        <v>1</v>
      </c>
      <c r="BR162">
        <v>1.1086076</v>
      </c>
      <c r="BS162">
        <v>1.1204000000000001</v>
      </c>
      <c r="BT162">
        <v>1.0827</v>
      </c>
      <c r="BU162">
        <v>1.0205</v>
      </c>
      <c r="BV162">
        <v>1</v>
      </c>
      <c r="BW162">
        <v>2.4089999999999998</v>
      </c>
      <c r="BX162">
        <v>2.3054163330000002</v>
      </c>
      <c r="BY162">
        <v>1.12845</v>
      </c>
      <c r="BZ162">
        <v>1.2885</v>
      </c>
      <c r="CA162">
        <v>2.0009999999999999</v>
      </c>
      <c r="CB162">
        <v>1.543005</v>
      </c>
      <c r="CC162">
        <v>1.543005</v>
      </c>
      <c r="CD162">
        <v>1.2793049999999999</v>
      </c>
      <c r="CE162">
        <v>1.0907549999999999</v>
      </c>
      <c r="CF162">
        <v>1.4486049999999999</v>
      </c>
      <c r="CG162" s="332"/>
      <c r="CH162">
        <v>1.1013299999999999</v>
      </c>
      <c r="CI162" s="332"/>
      <c r="CJ162" s="332"/>
      <c r="CK162" s="332"/>
      <c r="CL162" s="332"/>
      <c r="CM162" s="332"/>
      <c r="CN162" s="332"/>
      <c r="CO162" s="332"/>
      <c r="CP162">
        <v>0.86499999999999999</v>
      </c>
      <c r="CU162">
        <v>0.57999999999999996</v>
      </c>
      <c r="CV162">
        <v>0.45</v>
      </c>
      <c r="CW162">
        <v>0.84499999999999997</v>
      </c>
      <c r="CX162">
        <v>0.72499999999999998</v>
      </c>
      <c r="CY162">
        <v>0.505</v>
      </c>
      <c r="CZ162">
        <v>0.63500000000000001</v>
      </c>
      <c r="DA162">
        <v>0.66749999999999998</v>
      </c>
      <c r="DB162">
        <v>0.71</v>
      </c>
      <c r="DC162">
        <v>0.87749999999999995</v>
      </c>
      <c r="DD162">
        <v>0.67</v>
      </c>
      <c r="DE162">
        <v>0.89</v>
      </c>
      <c r="DN162" s="332">
        <v>2.8499999999999999E-4</v>
      </c>
      <c r="DO162" s="332">
        <v>2.0000000000000001E-4</v>
      </c>
      <c r="DP162" s="332">
        <v>0</v>
      </c>
      <c r="DQ162" s="332">
        <v>1E-4</v>
      </c>
      <c r="DR162" s="332">
        <v>0</v>
      </c>
      <c r="DS162" s="332">
        <v>3.5999999999999999E-3</v>
      </c>
      <c r="DT162" s="332">
        <v>4.6999999999999999E-4</v>
      </c>
      <c r="DU162" s="332">
        <v>6.9999999999999999E-4</v>
      </c>
      <c r="DV162" s="332">
        <v>0</v>
      </c>
      <c r="DW162" s="332">
        <v>0</v>
      </c>
      <c r="DX162" s="332">
        <v>5.0000000000000001E-4</v>
      </c>
      <c r="DY162" s="332">
        <v>5.0000000000000001E-4</v>
      </c>
      <c r="DZ162" s="332">
        <v>2.9999999999999997E-4</v>
      </c>
      <c r="EA162" s="332">
        <v>2.7500000000000002E-4</v>
      </c>
      <c r="EB162" s="332">
        <v>4.0000000000000002E-4</v>
      </c>
      <c r="ED162" s="332">
        <v>6.4999999999999994E-5</v>
      </c>
      <c r="EF162">
        <v>1</v>
      </c>
    </row>
    <row r="163" spans="1:136" x14ac:dyDescent="0.25">
      <c r="A163" s="66">
        <v>41334</v>
      </c>
      <c r="B163">
        <v>0.98</v>
      </c>
      <c r="C163">
        <v>0</v>
      </c>
      <c r="E163">
        <v>0</v>
      </c>
      <c r="F163">
        <v>0</v>
      </c>
      <c r="G163">
        <v>0.98750000000000004</v>
      </c>
      <c r="H163">
        <v>0.98750000000000004</v>
      </c>
      <c r="I163">
        <v>0.98750000000000004</v>
      </c>
      <c r="J163">
        <v>0.98050000000000004</v>
      </c>
      <c r="K163">
        <v>0.98499999999999999</v>
      </c>
      <c r="L163" s="333">
        <v>0.98750000000000004</v>
      </c>
      <c r="M163" s="333">
        <v>0.98750000000000004</v>
      </c>
      <c r="N163">
        <v>0.98</v>
      </c>
      <c r="O163">
        <v>0.98192699999999999</v>
      </c>
      <c r="P163">
        <v>0.98</v>
      </c>
      <c r="Q163" s="328">
        <v>0.98750000000000004</v>
      </c>
      <c r="R163">
        <v>0.98750000000000004</v>
      </c>
      <c r="S163" s="333">
        <v>0.98750000000000004</v>
      </c>
      <c r="T163">
        <v>0.98</v>
      </c>
      <c r="U163">
        <v>0.98</v>
      </c>
      <c r="V163">
        <v>0.98</v>
      </c>
      <c r="W163">
        <v>0.98</v>
      </c>
      <c r="X163">
        <v>0.98192699999999999</v>
      </c>
      <c r="Y163">
        <v>0.98192699999999999</v>
      </c>
      <c r="Z163">
        <v>0.98192699999999999</v>
      </c>
      <c r="AA163">
        <v>0.98192699999999999</v>
      </c>
      <c r="AB163">
        <v>0.98</v>
      </c>
      <c r="AC163">
        <v>0.98</v>
      </c>
      <c r="AD163">
        <v>0.98192699999999999</v>
      </c>
      <c r="AE163">
        <v>0.98192699999999999</v>
      </c>
      <c r="AF163">
        <v>0.98</v>
      </c>
      <c r="AG163">
        <v>0.99</v>
      </c>
      <c r="AH163">
        <v>0.98024155000000002</v>
      </c>
      <c r="AI163">
        <v>0.98024155000000002</v>
      </c>
      <c r="AJ163">
        <v>0.98</v>
      </c>
      <c r="AK163">
        <v>1</v>
      </c>
      <c r="AL163">
        <v>0.98499999999999999</v>
      </c>
      <c r="AM163">
        <v>0</v>
      </c>
      <c r="BB163" s="446">
        <v>1</v>
      </c>
      <c r="BC163">
        <v>1</v>
      </c>
      <c r="BD163">
        <v>1</v>
      </c>
      <c r="BE163">
        <v>1</v>
      </c>
      <c r="BF163">
        <v>0.99990000000000001</v>
      </c>
      <c r="BG163">
        <v>1</v>
      </c>
      <c r="BH163">
        <v>1</v>
      </c>
      <c r="BI163">
        <v>0.99</v>
      </c>
      <c r="BJ163">
        <v>0.999</v>
      </c>
      <c r="BK163">
        <v>0.998</v>
      </c>
      <c r="BL163">
        <v>0.99850000000000005</v>
      </c>
      <c r="BM163">
        <v>0.99850000000000005</v>
      </c>
      <c r="BN163">
        <v>0.97199999999999998</v>
      </c>
      <c r="BO163">
        <v>0.99990000000000001</v>
      </c>
      <c r="BP163">
        <v>0.99990000000000001</v>
      </c>
      <c r="BQ163">
        <v>1</v>
      </c>
      <c r="BR163">
        <v>1.1088925999999999</v>
      </c>
      <c r="BS163">
        <v>1.1206</v>
      </c>
      <c r="BT163">
        <v>1.0827</v>
      </c>
      <c r="BU163">
        <v>1.0206</v>
      </c>
      <c r="BV163">
        <v>1</v>
      </c>
      <c r="BW163">
        <v>2.4125999999999999</v>
      </c>
      <c r="BX163">
        <v>2.3058863330000001</v>
      </c>
      <c r="BY163">
        <v>1.1291500000000001</v>
      </c>
      <c r="BZ163">
        <v>1.2885</v>
      </c>
      <c r="CA163">
        <v>2.0009999999999999</v>
      </c>
      <c r="CB163">
        <v>1.5435049999999999</v>
      </c>
      <c r="CC163">
        <v>1.5435049999999999</v>
      </c>
      <c r="CD163">
        <v>1.2796050000000001</v>
      </c>
      <c r="CE163">
        <v>1.0910299999999999</v>
      </c>
      <c r="CF163">
        <v>1.4490050000000001</v>
      </c>
      <c r="CG163" s="332"/>
      <c r="CH163">
        <v>1.1013949999999999</v>
      </c>
      <c r="CI163" s="332"/>
      <c r="CJ163" s="332"/>
      <c r="CK163" s="332"/>
      <c r="CL163" s="332"/>
      <c r="CM163" s="332"/>
      <c r="CN163" s="332"/>
      <c r="CO163" s="332"/>
      <c r="CP163">
        <v>0.86499999999999999</v>
      </c>
      <c r="CU163">
        <v>0.54</v>
      </c>
      <c r="CV163">
        <v>0.45</v>
      </c>
      <c r="CW163">
        <v>0.875</v>
      </c>
      <c r="CX163">
        <v>0.89500000000000002</v>
      </c>
      <c r="CY163">
        <v>0.51500000000000001</v>
      </c>
      <c r="CZ163">
        <v>0.78500000000000003</v>
      </c>
      <c r="DA163">
        <v>0.8175</v>
      </c>
      <c r="DB163">
        <v>0.8</v>
      </c>
      <c r="DC163">
        <v>0.9</v>
      </c>
      <c r="DD163">
        <v>0.83</v>
      </c>
      <c r="DE163">
        <v>0.89</v>
      </c>
      <c r="DN163" s="332">
        <v>2.8499999999999999E-4</v>
      </c>
      <c r="DO163" s="332">
        <v>2.0000000000000001E-4</v>
      </c>
      <c r="DP163" s="332">
        <v>0</v>
      </c>
      <c r="DQ163" s="332">
        <v>1E-4</v>
      </c>
      <c r="DR163" s="332">
        <v>0</v>
      </c>
      <c r="DS163" s="332">
        <v>3.5999999999999999E-3</v>
      </c>
      <c r="DT163" s="332">
        <v>4.6999999999999999E-4</v>
      </c>
      <c r="DU163" s="332">
        <v>6.9999999999999999E-4</v>
      </c>
      <c r="DV163" s="332">
        <v>0</v>
      </c>
      <c r="DW163" s="332">
        <v>0</v>
      </c>
      <c r="DX163" s="332">
        <v>5.0000000000000001E-4</v>
      </c>
      <c r="DY163" s="332">
        <v>5.0000000000000001E-4</v>
      </c>
      <c r="DZ163" s="332">
        <v>2.9999999999999997E-4</v>
      </c>
      <c r="EA163" s="332">
        <v>2.7500000000000002E-4</v>
      </c>
      <c r="EB163" s="332">
        <v>4.0000000000000002E-4</v>
      </c>
      <c r="ED163" s="332">
        <v>6.4999999999999994E-5</v>
      </c>
      <c r="EF163">
        <v>1</v>
      </c>
    </row>
    <row r="164" spans="1:136" x14ac:dyDescent="0.25">
      <c r="A164" s="66">
        <v>41365</v>
      </c>
      <c r="B164">
        <v>0.98</v>
      </c>
      <c r="C164">
        <v>0</v>
      </c>
      <c r="E164">
        <v>0</v>
      </c>
      <c r="F164">
        <v>0</v>
      </c>
      <c r="G164">
        <v>0.98750000000000004</v>
      </c>
      <c r="H164">
        <v>0.96866965999999999</v>
      </c>
      <c r="I164">
        <v>0.98750000000000004</v>
      </c>
      <c r="J164">
        <v>0.98050000000000004</v>
      </c>
      <c r="K164">
        <v>0.98499999999999999</v>
      </c>
      <c r="L164" s="333">
        <v>0.98750000000000004</v>
      </c>
      <c r="M164" s="333">
        <v>0.98750000000000004</v>
      </c>
      <c r="N164">
        <v>0.98</v>
      </c>
      <c r="O164">
        <v>0.98544841500000002</v>
      </c>
      <c r="P164">
        <v>0.98</v>
      </c>
      <c r="Q164" s="328">
        <v>0.98750000000000004</v>
      </c>
      <c r="R164">
        <v>0.98750000000000004</v>
      </c>
      <c r="S164" s="333">
        <v>0.98750000000000004</v>
      </c>
      <c r="T164">
        <v>0.98</v>
      </c>
      <c r="U164">
        <v>0.98</v>
      </c>
      <c r="V164">
        <v>0.98</v>
      </c>
      <c r="W164">
        <v>0.98</v>
      </c>
      <c r="X164">
        <v>0.98544841500000002</v>
      </c>
      <c r="Y164">
        <v>0.98544841500000002</v>
      </c>
      <c r="Z164">
        <v>0.98544841500000002</v>
      </c>
      <c r="AA164">
        <v>0.98544841500000002</v>
      </c>
      <c r="AB164">
        <v>0.98</v>
      </c>
      <c r="AC164">
        <v>0.98</v>
      </c>
      <c r="AD164">
        <v>0.98544841500000002</v>
      </c>
      <c r="AE164">
        <v>0.98544841500000002</v>
      </c>
      <c r="AF164">
        <v>0.98</v>
      </c>
      <c r="AG164">
        <v>0.99</v>
      </c>
      <c r="AH164">
        <v>0.98029940000000004</v>
      </c>
      <c r="AI164">
        <v>0.98029940000000004</v>
      </c>
      <c r="AJ164">
        <v>0.98</v>
      </c>
      <c r="AK164">
        <v>1</v>
      </c>
      <c r="AL164">
        <v>0.98499999999999999</v>
      </c>
      <c r="AM164">
        <v>0</v>
      </c>
      <c r="BB164" s="446">
        <v>1</v>
      </c>
      <c r="BC164">
        <v>1</v>
      </c>
      <c r="BD164">
        <v>1</v>
      </c>
      <c r="BE164">
        <v>1</v>
      </c>
      <c r="BF164">
        <v>0.99990000000000001</v>
      </c>
      <c r="BG164">
        <v>1</v>
      </c>
      <c r="BH164">
        <v>1</v>
      </c>
      <c r="BI164">
        <v>0.99</v>
      </c>
      <c r="BJ164">
        <v>0.999</v>
      </c>
      <c r="BK164">
        <v>0.998</v>
      </c>
      <c r="BL164">
        <v>0.99850000000000005</v>
      </c>
      <c r="BM164">
        <v>0.99850000000000005</v>
      </c>
      <c r="BN164">
        <v>0.97199999999999998</v>
      </c>
      <c r="BO164">
        <v>0.99990000000000001</v>
      </c>
      <c r="BP164">
        <v>0.99990000000000001</v>
      </c>
      <c r="BQ164">
        <v>1</v>
      </c>
      <c r="BR164">
        <v>1.1091776</v>
      </c>
      <c r="BS164">
        <v>1.1208</v>
      </c>
      <c r="BT164">
        <v>1.0827</v>
      </c>
      <c r="BU164">
        <v>1.0206999999999999</v>
      </c>
      <c r="BV164">
        <v>1</v>
      </c>
      <c r="BW164">
        <v>2.4161999999999999</v>
      </c>
      <c r="BX164">
        <v>2.3063563330000001</v>
      </c>
      <c r="BY164">
        <v>1.12985</v>
      </c>
      <c r="BZ164">
        <v>1.2885</v>
      </c>
      <c r="CA164">
        <v>2.0009999999999999</v>
      </c>
      <c r="CB164">
        <v>1.5440050000000001</v>
      </c>
      <c r="CC164">
        <v>1.5440050000000001</v>
      </c>
      <c r="CD164">
        <v>1.2799050000000001</v>
      </c>
      <c r="CE164">
        <v>1.091305</v>
      </c>
      <c r="CF164">
        <v>1.4494050000000001</v>
      </c>
      <c r="CG164" s="332"/>
      <c r="CH164">
        <v>1.1014600000000001</v>
      </c>
      <c r="CI164" s="332"/>
      <c r="CJ164" s="332"/>
      <c r="CK164" s="332"/>
      <c r="CL164" s="332"/>
      <c r="CM164" s="332"/>
      <c r="CN164" s="332"/>
      <c r="CO164" s="332"/>
      <c r="CP164">
        <v>0.89500000000000002</v>
      </c>
      <c r="CU164">
        <v>0.48</v>
      </c>
      <c r="CV164">
        <v>0.42</v>
      </c>
      <c r="CW164">
        <v>0.93500000000000005</v>
      </c>
      <c r="CX164">
        <v>0.88500000000000001</v>
      </c>
      <c r="CY164">
        <v>0.57499999999999996</v>
      </c>
      <c r="CZ164">
        <v>0.89500000000000002</v>
      </c>
      <c r="DA164">
        <v>0.92749999999999999</v>
      </c>
      <c r="DB164">
        <v>0.85</v>
      </c>
      <c r="DC164">
        <v>0.90300000000000002</v>
      </c>
      <c r="DD164">
        <v>0.92</v>
      </c>
      <c r="DE164">
        <v>0.89</v>
      </c>
      <c r="DN164" s="332">
        <v>2.8499999999999999E-4</v>
      </c>
      <c r="DO164" s="332">
        <v>2.0000000000000001E-4</v>
      </c>
      <c r="DP164" s="332">
        <v>0</v>
      </c>
      <c r="DQ164" s="332">
        <v>1E-4</v>
      </c>
      <c r="DR164" s="332">
        <v>0</v>
      </c>
      <c r="DS164" s="332">
        <v>3.5999999999999999E-3</v>
      </c>
      <c r="DT164" s="332">
        <v>4.6999999999999999E-4</v>
      </c>
      <c r="DU164" s="332">
        <v>6.9999999999999999E-4</v>
      </c>
      <c r="DV164" s="332">
        <v>0</v>
      </c>
      <c r="DW164" s="332">
        <v>0</v>
      </c>
      <c r="DX164" s="332">
        <v>5.0000000000000001E-4</v>
      </c>
      <c r="DY164" s="332">
        <v>5.0000000000000001E-4</v>
      </c>
      <c r="DZ164" s="332">
        <v>2.9999999999999997E-4</v>
      </c>
      <c r="EA164" s="332">
        <v>2.7500000000000002E-4</v>
      </c>
      <c r="EB164" s="332">
        <v>4.0000000000000002E-4</v>
      </c>
      <c r="ED164" s="332">
        <v>6.4999999999999994E-5</v>
      </c>
      <c r="EF164">
        <v>1</v>
      </c>
    </row>
    <row r="165" spans="1:136" x14ac:dyDescent="0.25">
      <c r="A165" s="66">
        <v>41395</v>
      </c>
      <c r="B165">
        <v>0.98</v>
      </c>
      <c r="C165">
        <v>0</v>
      </c>
      <c r="E165">
        <v>0</v>
      </c>
      <c r="F165">
        <v>0</v>
      </c>
      <c r="G165">
        <v>0.82273200000000002</v>
      </c>
      <c r="H165">
        <v>0.96886706</v>
      </c>
      <c r="I165">
        <v>0.98750000000000004</v>
      </c>
      <c r="J165">
        <v>0.98050000000000004</v>
      </c>
      <c r="K165">
        <v>0.98499999999999999</v>
      </c>
      <c r="L165" s="333">
        <v>0.98750000000000004</v>
      </c>
      <c r="M165" s="333">
        <v>0.98750000000000004</v>
      </c>
      <c r="N165">
        <v>0.98</v>
      </c>
      <c r="O165">
        <v>0.98242200000000002</v>
      </c>
      <c r="P165">
        <v>0.98</v>
      </c>
      <c r="Q165" s="328">
        <v>0.98750000000000004</v>
      </c>
      <c r="R165">
        <v>0.98750000000000004</v>
      </c>
      <c r="S165" s="333">
        <v>0.98750000000000004</v>
      </c>
      <c r="T165">
        <v>0.98</v>
      </c>
      <c r="U165">
        <v>0.98</v>
      </c>
      <c r="V165">
        <v>0.98</v>
      </c>
      <c r="W165">
        <v>0.98</v>
      </c>
      <c r="X165">
        <v>0.98242200000000002</v>
      </c>
      <c r="Y165">
        <v>0.98242200000000002</v>
      </c>
      <c r="Z165">
        <v>0.98242200000000002</v>
      </c>
      <c r="AA165">
        <v>0.98242200000000002</v>
      </c>
      <c r="AB165">
        <v>0.98</v>
      </c>
      <c r="AC165">
        <v>0.98</v>
      </c>
      <c r="AD165">
        <v>0.98242200000000002</v>
      </c>
      <c r="AE165">
        <v>0.98242200000000002</v>
      </c>
      <c r="AF165">
        <v>0.98</v>
      </c>
      <c r="AG165">
        <v>0.99</v>
      </c>
      <c r="AH165">
        <v>0.98035724999999996</v>
      </c>
      <c r="AI165">
        <v>0.98035724999999996</v>
      </c>
      <c r="AJ165">
        <v>0.98</v>
      </c>
      <c r="AK165">
        <v>1</v>
      </c>
      <c r="AL165">
        <v>0.98499999999999999</v>
      </c>
      <c r="AM165">
        <v>0</v>
      </c>
      <c r="BB165" s="446">
        <v>1</v>
      </c>
      <c r="BC165">
        <v>1</v>
      </c>
      <c r="BD165">
        <v>1</v>
      </c>
      <c r="BE165">
        <v>1</v>
      </c>
      <c r="BF165">
        <v>0.99990000000000001</v>
      </c>
      <c r="BG165">
        <v>1</v>
      </c>
      <c r="BH165">
        <v>1</v>
      </c>
      <c r="BI165">
        <v>0.99</v>
      </c>
      <c r="BJ165">
        <v>0.999</v>
      </c>
      <c r="BK165">
        <v>0.998</v>
      </c>
      <c r="BL165">
        <v>0.99850000000000005</v>
      </c>
      <c r="BM165">
        <v>0.99850000000000005</v>
      </c>
      <c r="BN165">
        <v>0.97199999999999998</v>
      </c>
      <c r="BO165">
        <v>0.99990000000000001</v>
      </c>
      <c r="BP165">
        <v>0.99990000000000001</v>
      </c>
      <c r="BQ165">
        <v>1</v>
      </c>
      <c r="BR165">
        <v>1.1094626000000001</v>
      </c>
      <c r="BS165">
        <v>1.121</v>
      </c>
      <c r="BT165">
        <v>1.0827</v>
      </c>
      <c r="BU165">
        <v>1.0207999999999999</v>
      </c>
      <c r="BV165">
        <v>1</v>
      </c>
      <c r="BW165">
        <v>2.4198</v>
      </c>
      <c r="BX165">
        <v>2.3068263330000001</v>
      </c>
      <c r="BY165">
        <v>1.1305499999999999</v>
      </c>
      <c r="BZ165">
        <v>1.2885</v>
      </c>
      <c r="CA165">
        <v>2.0009999999999999</v>
      </c>
      <c r="CB165">
        <v>1.544505</v>
      </c>
      <c r="CC165">
        <v>1.544505</v>
      </c>
      <c r="CD165">
        <v>1.280205</v>
      </c>
      <c r="CE165">
        <v>1.09158</v>
      </c>
      <c r="CF165">
        <v>1.449805</v>
      </c>
      <c r="CG165" s="332"/>
      <c r="CH165">
        <v>1.1015250000000001</v>
      </c>
      <c r="CI165" s="332"/>
      <c r="CJ165" s="332"/>
      <c r="CK165" s="332"/>
      <c r="CL165" s="332"/>
      <c r="CM165" s="332"/>
      <c r="CN165" s="332"/>
      <c r="CO165" s="332"/>
      <c r="CP165">
        <v>0.96499999999999997</v>
      </c>
      <c r="CU165">
        <v>0.34</v>
      </c>
      <c r="CV165">
        <v>0.42</v>
      </c>
      <c r="CW165">
        <v>0.93500000000000005</v>
      </c>
      <c r="CX165">
        <v>0.78500000000000003</v>
      </c>
      <c r="CY165">
        <v>0.625</v>
      </c>
      <c r="CZ165">
        <v>0.91749999999999998</v>
      </c>
      <c r="DA165">
        <v>0.95</v>
      </c>
      <c r="DB165">
        <v>0.88</v>
      </c>
      <c r="DC165">
        <v>0.9</v>
      </c>
      <c r="DD165">
        <v>0.93500000000000005</v>
      </c>
      <c r="DE165">
        <v>0.89</v>
      </c>
      <c r="DN165" s="332">
        <v>2.8499999999999999E-4</v>
      </c>
      <c r="DO165" s="332">
        <v>2.0000000000000001E-4</v>
      </c>
      <c r="DP165" s="332">
        <v>0</v>
      </c>
      <c r="DQ165" s="332">
        <v>1E-4</v>
      </c>
      <c r="DR165" s="332">
        <v>0</v>
      </c>
      <c r="DS165" s="332">
        <v>3.5999999999999999E-3</v>
      </c>
      <c r="DT165" s="332">
        <v>4.6999999999999999E-4</v>
      </c>
      <c r="DU165" s="332">
        <v>6.9999999999999999E-4</v>
      </c>
      <c r="DV165" s="332">
        <v>0</v>
      </c>
      <c r="DW165" s="332">
        <v>0</v>
      </c>
      <c r="DX165" s="332">
        <v>5.0000000000000001E-4</v>
      </c>
      <c r="DY165" s="332">
        <v>5.0000000000000001E-4</v>
      </c>
      <c r="DZ165" s="332">
        <v>2.9999999999999997E-4</v>
      </c>
      <c r="EA165" s="332">
        <v>2.7500000000000002E-4</v>
      </c>
      <c r="EB165" s="332">
        <v>4.0000000000000002E-4</v>
      </c>
      <c r="ED165" s="332">
        <v>6.4999999999999994E-5</v>
      </c>
      <c r="EF165">
        <v>1</v>
      </c>
    </row>
    <row r="166" spans="1:136" x14ac:dyDescent="0.25">
      <c r="A166" s="66">
        <v>41426</v>
      </c>
      <c r="B166">
        <v>0.98</v>
      </c>
      <c r="C166">
        <v>0</v>
      </c>
      <c r="E166">
        <v>0</v>
      </c>
      <c r="F166">
        <v>0</v>
      </c>
      <c r="G166">
        <v>0.82395600000000002</v>
      </c>
      <c r="H166">
        <v>0.98750000000000004</v>
      </c>
      <c r="I166">
        <v>0.98750000000000004</v>
      </c>
      <c r="J166">
        <v>0.98050000000000004</v>
      </c>
      <c r="K166">
        <v>0.98499999999999999</v>
      </c>
      <c r="L166" s="333">
        <v>0.98750000000000004</v>
      </c>
      <c r="M166" s="333">
        <v>0.98750000000000004</v>
      </c>
      <c r="N166">
        <v>0.98</v>
      </c>
      <c r="O166">
        <v>0.98539913800000001</v>
      </c>
      <c r="P166">
        <v>0.98</v>
      </c>
      <c r="Q166" s="328">
        <v>0.98750000000000004</v>
      </c>
      <c r="R166">
        <v>0.98750000000000004</v>
      </c>
      <c r="S166" s="333">
        <v>0.98750000000000004</v>
      </c>
      <c r="T166">
        <v>0.98</v>
      </c>
      <c r="U166">
        <v>0.98</v>
      </c>
      <c r="V166">
        <v>0.98</v>
      </c>
      <c r="W166">
        <v>0.98</v>
      </c>
      <c r="X166">
        <v>0.98539913800000001</v>
      </c>
      <c r="Y166">
        <v>0.98539913800000001</v>
      </c>
      <c r="Z166">
        <v>0.98539913800000001</v>
      </c>
      <c r="AA166">
        <v>0.98539913800000001</v>
      </c>
      <c r="AB166">
        <v>0.98</v>
      </c>
      <c r="AC166">
        <v>0.98</v>
      </c>
      <c r="AD166">
        <v>0.98539913800000001</v>
      </c>
      <c r="AE166">
        <v>0.98539913800000001</v>
      </c>
      <c r="AF166">
        <v>0.98</v>
      </c>
      <c r="AG166">
        <v>0.99</v>
      </c>
      <c r="AH166">
        <v>0.98041509999999998</v>
      </c>
      <c r="AI166">
        <v>0.98041509999999998</v>
      </c>
      <c r="AJ166">
        <v>0.98</v>
      </c>
      <c r="AK166">
        <v>1</v>
      </c>
      <c r="AL166">
        <v>0.98499999999999999</v>
      </c>
      <c r="AM166">
        <v>0</v>
      </c>
      <c r="BB166" s="446">
        <v>1</v>
      </c>
      <c r="BC166">
        <v>1</v>
      </c>
      <c r="BD166">
        <v>1</v>
      </c>
      <c r="BE166">
        <v>1</v>
      </c>
      <c r="BF166">
        <v>0.99990000000000001</v>
      </c>
      <c r="BG166">
        <v>1</v>
      </c>
      <c r="BH166">
        <v>1</v>
      </c>
      <c r="BI166">
        <v>0.99</v>
      </c>
      <c r="BJ166">
        <v>0.999</v>
      </c>
      <c r="BK166">
        <v>0.998</v>
      </c>
      <c r="BL166">
        <v>0.99850000000000005</v>
      </c>
      <c r="BM166">
        <v>0.99850000000000005</v>
      </c>
      <c r="BN166">
        <v>0.97199999999999998</v>
      </c>
      <c r="BO166">
        <v>0.99990000000000001</v>
      </c>
      <c r="BP166">
        <v>0.99990000000000001</v>
      </c>
      <c r="BQ166">
        <v>1</v>
      </c>
      <c r="BR166">
        <v>1.1097475999999999</v>
      </c>
      <c r="BS166">
        <v>1.1212</v>
      </c>
      <c r="BT166">
        <v>1.0827</v>
      </c>
      <c r="BU166">
        <v>1.0208999999999999</v>
      </c>
      <c r="BV166">
        <v>1</v>
      </c>
      <c r="BW166">
        <v>2.4234</v>
      </c>
      <c r="BX166">
        <v>2.307296333</v>
      </c>
      <c r="BY166">
        <v>1.1312500000000001</v>
      </c>
      <c r="BZ166">
        <v>1.2885</v>
      </c>
      <c r="CA166">
        <v>2.0009999999999999</v>
      </c>
      <c r="CB166">
        <v>1.545005</v>
      </c>
      <c r="CC166">
        <v>1.545005</v>
      </c>
      <c r="CD166">
        <v>1.280505</v>
      </c>
      <c r="CE166">
        <v>1.091855</v>
      </c>
      <c r="CF166">
        <v>1.450205</v>
      </c>
      <c r="CG166" s="332"/>
      <c r="CH166">
        <v>1.1015900000000001</v>
      </c>
      <c r="CI166" s="332"/>
      <c r="CJ166" s="332"/>
      <c r="CK166" s="332"/>
      <c r="CL166" s="332"/>
      <c r="CM166" s="332"/>
      <c r="CN166" s="332"/>
      <c r="CO166" s="332"/>
      <c r="CP166">
        <v>0.96499999999999997</v>
      </c>
      <c r="CU166">
        <v>0.34</v>
      </c>
      <c r="CV166">
        <v>0.47</v>
      </c>
      <c r="CW166">
        <v>0.93500000000000005</v>
      </c>
      <c r="CX166">
        <v>0.69499999999999995</v>
      </c>
      <c r="CY166">
        <v>0.72499999999999998</v>
      </c>
      <c r="CZ166">
        <v>0.88249999999999995</v>
      </c>
      <c r="DA166">
        <v>0.91500000000000004</v>
      </c>
      <c r="DB166">
        <v>0.88</v>
      </c>
      <c r="DC166">
        <v>0.90249999999999997</v>
      </c>
      <c r="DD166">
        <v>0.91500000000000004</v>
      </c>
      <c r="DE166">
        <v>0.89</v>
      </c>
      <c r="DN166" s="332">
        <v>2.8499999999999999E-4</v>
      </c>
      <c r="DO166" s="332">
        <v>2.0000000000000001E-4</v>
      </c>
      <c r="DP166" s="332">
        <v>0</v>
      </c>
      <c r="DQ166" s="332">
        <v>1E-4</v>
      </c>
      <c r="DR166" s="332">
        <v>0</v>
      </c>
      <c r="DS166" s="332">
        <v>3.5999999999999999E-3</v>
      </c>
      <c r="DT166" s="332">
        <v>4.6999999999999999E-4</v>
      </c>
      <c r="DU166" s="332">
        <v>6.9999999999999999E-4</v>
      </c>
      <c r="DV166" s="332">
        <v>0</v>
      </c>
      <c r="DW166" s="332">
        <v>0</v>
      </c>
      <c r="DX166" s="332">
        <v>5.0000000000000001E-4</v>
      </c>
      <c r="DY166" s="332">
        <v>5.0000000000000001E-4</v>
      </c>
      <c r="DZ166" s="332">
        <v>2.9999999999999997E-4</v>
      </c>
      <c r="EA166" s="332">
        <v>2.7500000000000002E-4</v>
      </c>
      <c r="EB166" s="332">
        <v>4.0000000000000002E-4</v>
      </c>
      <c r="ED166" s="332">
        <v>6.4999999999999994E-5</v>
      </c>
      <c r="EF166">
        <v>1</v>
      </c>
    </row>
    <row r="167" spans="1:136" x14ac:dyDescent="0.25">
      <c r="A167" s="66">
        <v>41456</v>
      </c>
      <c r="B167">
        <v>0.98</v>
      </c>
      <c r="C167">
        <v>0</v>
      </c>
      <c r="E167">
        <v>0</v>
      </c>
      <c r="F167">
        <v>0</v>
      </c>
      <c r="G167">
        <v>0.98750000000000004</v>
      </c>
      <c r="H167">
        <v>0.98750000000000004</v>
      </c>
      <c r="I167">
        <v>0.98750000000000004</v>
      </c>
      <c r="J167">
        <v>0.98050000000000004</v>
      </c>
      <c r="K167">
        <v>0.98499999999999999</v>
      </c>
      <c r="L167" s="333">
        <v>0.98750000000000004</v>
      </c>
      <c r="M167" s="333">
        <v>0.98750000000000004</v>
      </c>
      <c r="N167">
        <v>0.98</v>
      </c>
      <c r="O167">
        <v>0.98750000000000004</v>
      </c>
      <c r="P167">
        <v>0.98</v>
      </c>
      <c r="Q167" s="328">
        <v>0.98750000000000004</v>
      </c>
      <c r="R167">
        <v>0.98750000000000004</v>
      </c>
      <c r="S167" s="333">
        <v>0.98750000000000004</v>
      </c>
      <c r="T167">
        <v>0.98</v>
      </c>
      <c r="U167">
        <v>0.98</v>
      </c>
      <c r="V167">
        <v>0.98</v>
      </c>
      <c r="W167">
        <v>0.98</v>
      </c>
      <c r="X167">
        <v>0.98750000000000004</v>
      </c>
      <c r="Y167">
        <v>0.98750000000000004</v>
      </c>
      <c r="Z167">
        <v>0.98750000000000004</v>
      </c>
      <c r="AA167">
        <v>0.98750000000000004</v>
      </c>
      <c r="AB167">
        <v>0.98</v>
      </c>
      <c r="AC167">
        <v>0.98</v>
      </c>
      <c r="AD167">
        <v>0.98750000000000004</v>
      </c>
      <c r="AE167">
        <v>0.98750000000000004</v>
      </c>
      <c r="AF167">
        <v>0.98</v>
      </c>
      <c r="AG167">
        <v>0.99</v>
      </c>
      <c r="AH167">
        <v>0.98047295000000001</v>
      </c>
      <c r="AI167">
        <v>0.98047295000000001</v>
      </c>
      <c r="AJ167">
        <v>0.98</v>
      </c>
      <c r="AK167">
        <v>1</v>
      </c>
      <c r="AL167">
        <v>0.98499999999999999</v>
      </c>
      <c r="AM167">
        <v>0</v>
      </c>
      <c r="BB167" s="446">
        <v>1</v>
      </c>
      <c r="BC167">
        <v>1</v>
      </c>
      <c r="BD167">
        <v>1</v>
      </c>
      <c r="BE167">
        <v>1</v>
      </c>
      <c r="BF167">
        <v>0.99990000000000001</v>
      </c>
      <c r="BG167">
        <v>1</v>
      </c>
      <c r="BH167">
        <v>1</v>
      </c>
      <c r="BI167">
        <v>0.99</v>
      </c>
      <c r="BJ167">
        <v>0.999</v>
      </c>
      <c r="BK167">
        <v>0.998</v>
      </c>
      <c r="BL167">
        <v>0.99850000000000005</v>
      </c>
      <c r="BM167">
        <v>0.99850000000000005</v>
      </c>
      <c r="BN167">
        <v>0.97199999999999998</v>
      </c>
      <c r="BO167">
        <v>0.99990000000000001</v>
      </c>
      <c r="BP167">
        <v>0.99990000000000001</v>
      </c>
      <c r="BQ167">
        <v>1</v>
      </c>
      <c r="BR167">
        <v>1.1100326</v>
      </c>
      <c r="BS167">
        <v>1.1214</v>
      </c>
      <c r="BT167">
        <v>1.0827</v>
      </c>
      <c r="BU167">
        <v>1.0209999999999999</v>
      </c>
      <c r="BV167">
        <v>1</v>
      </c>
      <c r="BW167">
        <v>2.427</v>
      </c>
      <c r="BX167">
        <v>2.307766333</v>
      </c>
      <c r="BY167">
        <v>1.13195</v>
      </c>
      <c r="BZ167">
        <v>1.2885</v>
      </c>
      <c r="CA167">
        <v>2.0009999999999999</v>
      </c>
      <c r="CB167">
        <v>1.5455049999999999</v>
      </c>
      <c r="CC167">
        <v>1.5455049999999999</v>
      </c>
      <c r="CD167">
        <v>1.280805</v>
      </c>
      <c r="CE167">
        <v>1.09213</v>
      </c>
      <c r="CF167">
        <v>1.4506049999999999</v>
      </c>
      <c r="CG167" s="332"/>
      <c r="CH167">
        <v>1.1016550000000001</v>
      </c>
      <c r="CI167" s="332"/>
      <c r="CJ167" s="332"/>
      <c r="CK167" s="332"/>
      <c r="CL167" s="332"/>
      <c r="CM167" s="332"/>
      <c r="CN167" s="332"/>
      <c r="CO167" s="332"/>
      <c r="CP167">
        <v>0.97499999999999998</v>
      </c>
      <c r="CU167">
        <v>0.41</v>
      </c>
      <c r="CV167">
        <v>0.47</v>
      </c>
      <c r="CW167">
        <v>0.93500000000000005</v>
      </c>
      <c r="CX167">
        <v>0.71499999999999997</v>
      </c>
      <c r="CY167">
        <v>0.72499999999999998</v>
      </c>
      <c r="CZ167">
        <v>0.87749999999999995</v>
      </c>
      <c r="DA167">
        <v>0.91</v>
      </c>
      <c r="DB167">
        <v>0.89</v>
      </c>
      <c r="DC167">
        <v>0.90749999999999997</v>
      </c>
      <c r="DD167">
        <v>0.91500000000000004</v>
      </c>
      <c r="DE167">
        <v>0.89</v>
      </c>
      <c r="DN167" s="332">
        <v>2.8499999999999999E-4</v>
      </c>
      <c r="DO167" s="332">
        <v>2.0000000000000001E-4</v>
      </c>
      <c r="DP167" s="332">
        <v>0</v>
      </c>
      <c r="DQ167" s="332">
        <v>1E-4</v>
      </c>
      <c r="DR167" s="332">
        <v>0</v>
      </c>
      <c r="DS167" s="332">
        <v>3.5999999999999999E-3</v>
      </c>
      <c r="DT167" s="332">
        <v>4.6999999999999999E-4</v>
      </c>
      <c r="DU167" s="332">
        <v>6.9999999999999999E-4</v>
      </c>
      <c r="DV167" s="332">
        <v>0</v>
      </c>
      <c r="DW167" s="332">
        <v>0</v>
      </c>
      <c r="DX167" s="332">
        <v>5.0000000000000001E-4</v>
      </c>
      <c r="DY167" s="332">
        <v>5.0000000000000001E-4</v>
      </c>
      <c r="DZ167" s="332">
        <v>2.9999999999999997E-4</v>
      </c>
      <c r="EA167" s="332">
        <v>2.7500000000000002E-4</v>
      </c>
      <c r="EB167" s="332">
        <v>4.0000000000000002E-4</v>
      </c>
      <c r="ED167" s="332">
        <v>6.4999999999999994E-5</v>
      </c>
      <c r="EF167">
        <v>1</v>
      </c>
    </row>
    <row r="168" spans="1:136" x14ac:dyDescent="0.25">
      <c r="A168" s="66">
        <v>41487</v>
      </c>
      <c r="B168">
        <v>0.98</v>
      </c>
      <c r="C168">
        <v>0</v>
      </c>
      <c r="E168">
        <v>0</v>
      </c>
      <c r="F168">
        <v>0</v>
      </c>
      <c r="G168">
        <v>0.98750000000000004</v>
      </c>
      <c r="H168">
        <v>0.98750000000000004</v>
      </c>
      <c r="I168">
        <v>0.98750000000000004</v>
      </c>
      <c r="J168">
        <v>0.98050000000000004</v>
      </c>
      <c r="K168">
        <v>0.98499999999999999</v>
      </c>
      <c r="L168" s="333">
        <v>0.98750000000000004</v>
      </c>
      <c r="M168" s="333">
        <v>0.98750000000000004</v>
      </c>
      <c r="N168">
        <v>0.98</v>
      </c>
      <c r="O168">
        <v>0.98750000000000004</v>
      </c>
      <c r="P168">
        <v>0.98</v>
      </c>
      <c r="Q168" s="328">
        <v>0.98750000000000004</v>
      </c>
      <c r="R168">
        <v>0.98750000000000004</v>
      </c>
      <c r="S168" s="333">
        <v>0.98750000000000004</v>
      </c>
      <c r="T168">
        <v>0.98</v>
      </c>
      <c r="U168">
        <v>0.98</v>
      </c>
      <c r="V168">
        <v>0.98</v>
      </c>
      <c r="W168">
        <v>0.98</v>
      </c>
      <c r="X168">
        <v>0.98750000000000004</v>
      </c>
      <c r="Y168">
        <v>0.98750000000000004</v>
      </c>
      <c r="Z168">
        <v>0.98750000000000004</v>
      </c>
      <c r="AA168">
        <v>0.98750000000000004</v>
      </c>
      <c r="AB168">
        <v>0.98</v>
      </c>
      <c r="AC168">
        <v>0.98</v>
      </c>
      <c r="AD168">
        <v>0.98750000000000004</v>
      </c>
      <c r="AE168">
        <v>0.98750000000000004</v>
      </c>
      <c r="AF168">
        <v>0.98</v>
      </c>
      <c r="AG168">
        <v>0.99</v>
      </c>
      <c r="AH168">
        <v>0.98053080000000004</v>
      </c>
      <c r="AI168">
        <v>0.98053080000000004</v>
      </c>
      <c r="AJ168">
        <v>0.98</v>
      </c>
      <c r="AK168">
        <v>1</v>
      </c>
      <c r="AL168">
        <v>0.98499999999999999</v>
      </c>
      <c r="AM168">
        <v>0</v>
      </c>
      <c r="BB168" s="446">
        <v>1</v>
      </c>
      <c r="BC168">
        <v>1</v>
      </c>
      <c r="BD168">
        <v>1</v>
      </c>
      <c r="BE168">
        <v>1</v>
      </c>
      <c r="BF168">
        <v>0.99990000000000001</v>
      </c>
      <c r="BG168">
        <v>1</v>
      </c>
      <c r="BH168">
        <v>1</v>
      </c>
      <c r="BI168">
        <v>0.99</v>
      </c>
      <c r="BJ168">
        <v>0.999</v>
      </c>
      <c r="BK168">
        <v>0.998</v>
      </c>
      <c r="BL168">
        <v>0.99850000000000005</v>
      </c>
      <c r="BM168">
        <v>0.99850000000000005</v>
      </c>
      <c r="BN168">
        <v>0.97199999999999998</v>
      </c>
      <c r="BO168">
        <v>0.99990000000000001</v>
      </c>
      <c r="BP168">
        <v>0.99990000000000001</v>
      </c>
      <c r="BQ168">
        <v>1</v>
      </c>
      <c r="BR168">
        <v>1.1103175999999999</v>
      </c>
      <c r="BS168">
        <v>1.1215999999999999</v>
      </c>
      <c r="BT168">
        <v>1.0827</v>
      </c>
      <c r="BU168">
        <v>1.0210999999999999</v>
      </c>
      <c r="BV168">
        <v>1</v>
      </c>
      <c r="BW168">
        <v>2.4306000000000001</v>
      </c>
      <c r="BX168">
        <v>2.308236333</v>
      </c>
      <c r="BY168">
        <v>1.1326499999999999</v>
      </c>
      <c r="BZ168">
        <v>1.2885</v>
      </c>
      <c r="CA168">
        <v>2.0009999999999999</v>
      </c>
      <c r="CB168">
        <v>1.5460050000000001</v>
      </c>
      <c r="CC168">
        <v>1.5460050000000001</v>
      </c>
      <c r="CD168">
        <v>1.2811049999999999</v>
      </c>
      <c r="CE168">
        <v>1.0924050000000001</v>
      </c>
      <c r="CF168">
        <v>1.4510050000000001</v>
      </c>
      <c r="CG168" s="332"/>
      <c r="CH168">
        <v>1.10172</v>
      </c>
      <c r="CI168" s="332"/>
      <c r="CJ168" s="332"/>
      <c r="CK168" s="332"/>
      <c r="CL168" s="332"/>
      <c r="CM168" s="332"/>
      <c r="CN168" s="332"/>
      <c r="CO168" s="332"/>
      <c r="CP168">
        <v>0.97499999999999998</v>
      </c>
      <c r="CU168">
        <v>0.43</v>
      </c>
      <c r="CV168">
        <v>0.52</v>
      </c>
      <c r="CW168">
        <v>0.92500000000000004</v>
      </c>
      <c r="CX168">
        <v>0.80500000000000005</v>
      </c>
      <c r="CY168">
        <v>0.72499999999999998</v>
      </c>
      <c r="CZ168">
        <v>0.89</v>
      </c>
      <c r="DA168">
        <v>0.92249999999999999</v>
      </c>
      <c r="DB168">
        <v>0.91500000000000004</v>
      </c>
      <c r="DC168">
        <v>0.92749999999999999</v>
      </c>
      <c r="DD168">
        <v>0.91500000000000004</v>
      </c>
      <c r="DE168">
        <v>0.89</v>
      </c>
      <c r="DN168" s="332">
        <v>2.8499999999999999E-4</v>
      </c>
      <c r="DO168" s="332">
        <v>2.0000000000000001E-4</v>
      </c>
      <c r="DP168" s="332">
        <v>0</v>
      </c>
      <c r="DQ168" s="332">
        <v>1E-4</v>
      </c>
      <c r="DR168" s="332">
        <v>0</v>
      </c>
      <c r="DS168" s="332">
        <v>3.5999999999999999E-3</v>
      </c>
      <c r="DT168" s="332">
        <v>4.6999999999999999E-4</v>
      </c>
      <c r="DU168" s="332">
        <v>6.9999999999999999E-4</v>
      </c>
      <c r="DV168" s="332">
        <v>0</v>
      </c>
      <c r="DW168" s="332">
        <v>0</v>
      </c>
      <c r="DX168" s="332">
        <v>5.0000000000000001E-4</v>
      </c>
      <c r="DY168" s="332">
        <v>5.0000000000000001E-4</v>
      </c>
      <c r="DZ168" s="332">
        <v>2.9999999999999997E-4</v>
      </c>
      <c r="EA168" s="332">
        <v>2.7500000000000002E-4</v>
      </c>
      <c r="EB168" s="332">
        <v>4.0000000000000002E-4</v>
      </c>
      <c r="ED168" s="332">
        <v>6.4999999999999994E-5</v>
      </c>
      <c r="EF168">
        <v>1</v>
      </c>
    </row>
    <row r="169" spans="1:136" x14ac:dyDescent="0.25">
      <c r="A169" s="66">
        <v>41518</v>
      </c>
      <c r="B169">
        <v>0.98</v>
      </c>
      <c r="C169">
        <v>0</v>
      </c>
      <c r="E169">
        <v>0</v>
      </c>
      <c r="F169">
        <v>0</v>
      </c>
      <c r="G169">
        <v>0.98750000000000004</v>
      </c>
      <c r="H169">
        <v>0.98750000000000004</v>
      </c>
      <c r="I169">
        <v>0.98750000000000004</v>
      </c>
      <c r="J169">
        <v>0.98050000000000004</v>
      </c>
      <c r="K169">
        <v>0.98499999999999999</v>
      </c>
      <c r="L169" s="333">
        <v>0.98750000000000004</v>
      </c>
      <c r="M169" s="333">
        <v>0.98750000000000004</v>
      </c>
      <c r="N169">
        <v>0.98</v>
      </c>
      <c r="O169">
        <v>0.98750000000000004</v>
      </c>
      <c r="P169">
        <v>0.98</v>
      </c>
      <c r="Q169" s="328">
        <v>0.98750000000000004</v>
      </c>
      <c r="R169">
        <v>0.98750000000000004</v>
      </c>
      <c r="S169" s="333">
        <v>0.98750000000000004</v>
      </c>
      <c r="T169">
        <v>0.98</v>
      </c>
      <c r="U169">
        <v>0.98</v>
      </c>
      <c r="V169">
        <v>0.98</v>
      </c>
      <c r="W169">
        <v>0.98</v>
      </c>
      <c r="X169">
        <v>0.98750000000000004</v>
      </c>
      <c r="Y169">
        <v>0.98750000000000004</v>
      </c>
      <c r="Z169">
        <v>0.98750000000000004</v>
      </c>
      <c r="AA169">
        <v>0.98750000000000004</v>
      </c>
      <c r="AB169">
        <v>0.98</v>
      </c>
      <c r="AC169">
        <v>0.98</v>
      </c>
      <c r="AD169">
        <v>0.98750000000000004</v>
      </c>
      <c r="AE169">
        <v>0.98750000000000004</v>
      </c>
      <c r="AF169">
        <v>0.98</v>
      </c>
      <c r="AG169">
        <v>0.99</v>
      </c>
      <c r="AH169">
        <v>0.98058864999999995</v>
      </c>
      <c r="AI169">
        <v>0.98058864999999995</v>
      </c>
      <c r="AJ169">
        <v>0.98</v>
      </c>
      <c r="AK169">
        <v>1</v>
      </c>
      <c r="AL169">
        <v>0.98499999999999999</v>
      </c>
      <c r="AM169">
        <v>0</v>
      </c>
      <c r="BB169" s="446">
        <v>1</v>
      </c>
      <c r="BC169">
        <v>1</v>
      </c>
      <c r="BD169">
        <v>1</v>
      </c>
      <c r="BE169">
        <v>1</v>
      </c>
      <c r="BF169">
        <v>0.99990000000000001</v>
      </c>
      <c r="BG169">
        <v>1</v>
      </c>
      <c r="BH169">
        <v>1</v>
      </c>
      <c r="BI169">
        <v>0.99</v>
      </c>
      <c r="BJ169">
        <v>0.999</v>
      </c>
      <c r="BK169">
        <v>0.998</v>
      </c>
      <c r="BL169">
        <v>0.99850000000000005</v>
      </c>
      <c r="BM169">
        <v>0.99850000000000005</v>
      </c>
      <c r="BN169">
        <v>0.97199999999999998</v>
      </c>
      <c r="BO169">
        <v>0.99990000000000001</v>
      </c>
      <c r="BP169">
        <v>0.99990000000000001</v>
      </c>
      <c r="BQ169">
        <v>1</v>
      </c>
      <c r="BR169">
        <v>1.1106026</v>
      </c>
      <c r="BS169">
        <v>1.1217999999999999</v>
      </c>
      <c r="BT169">
        <v>1.0827</v>
      </c>
      <c r="BU169">
        <v>1.0212000000000001</v>
      </c>
      <c r="BV169">
        <v>1</v>
      </c>
      <c r="BW169">
        <v>2.4342000000000001</v>
      </c>
      <c r="BX169">
        <v>2.3087063329999999</v>
      </c>
      <c r="BY169">
        <v>1.1333500000000001</v>
      </c>
      <c r="BZ169">
        <v>1.2885</v>
      </c>
      <c r="CA169">
        <v>2.0009999999999999</v>
      </c>
      <c r="CB169">
        <v>1.546505</v>
      </c>
      <c r="CC169">
        <v>1.546505</v>
      </c>
      <c r="CD169">
        <v>1.2814049999999999</v>
      </c>
      <c r="CE169">
        <v>1.0926800000000001</v>
      </c>
      <c r="CF169">
        <v>1.4514050000000001</v>
      </c>
      <c r="CG169" s="332"/>
      <c r="CH169">
        <v>1.101785</v>
      </c>
      <c r="CI169" s="332"/>
      <c r="CJ169" s="332"/>
      <c r="CK169" s="332"/>
      <c r="CL169" s="332"/>
      <c r="CM169" s="332"/>
      <c r="CN169" s="332"/>
      <c r="CO169" s="332"/>
      <c r="CP169">
        <v>0.97499999999999998</v>
      </c>
      <c r="CU169">
        <v>0.46</v>
      </c>
      <c r="CV169">
        <v>0.55000000000000004</v>
      </c>
      <c r="CW169">
        <v>0.92500000000000004</v>
      </c>
      <c r="CX169">
        <v>0.66500000000000004</v>
      </c>
      <c r="CY169">
        <v>0.57499999999999996</v>
      </c>
      <c r="CZ169">
        <v>0.94499999999999995</v>
      </c>
      <c r="DA169">
        <v>0.97750000000000004</v>
      </c>
      <c r="DB169">
        <v>0.94499999999999995</v>
      </c>
      <c r="DC169">
        <v>0.92</v>
      </c>
      <c r="DD169">
        <v>0.91500000000000004</v>
      </c>
      <c r="DE169">
        <v>0.89</v>
      </c>
      <c r="DN169" s="332">
        <v>2.8499999999999999E-4</v>
      </c>
      <c r="DO169" s="332">
        <v>2.0000000000000001E-4</v>
      </c>
      <c r="DP169" s="332">
        <v>0</v>
      </c>
      <c r="DQ169" s="332">
        <v>1E-4</v>
      </c>
      <c r="DR169" s="332">
        <v>0</v>
      </c>
      <c r="DS169" s="332">
        <v>3.5999999999999999E-3</v>
      </c>
      <c r="DT169" s="332">
        <v>4.6999999999999999E-4</v>
      </c>
      <c r="DU169" s="332">
        <v>6.9999999999999999E-4</v>
      </c>
      <c r="DV169" s="332">
        <v>0</v>
      </c>
      <c r="DW169" s="332">
        <v>0</v>
      </c>
      <c r="DX169" s="332">
        <v>5.0000000000000001E-4</v>
      </c>
      <c r="DY169" s="332">
        <v>5.0000000000000001E-4</v>
      </c>
      <c r="DZ169" s="332">
        <v>2.9999999999999997E-4</v>
      </c>
      <c r="EA169" s="332">
        <v>2.7500000000000002E-4</v>
      </c>
      <c r="EB169" s="332">
        <v>4.0000000000000002E-4</v>
      </c>
      <c r="ED169" s="332">
        <v>6.4999999999999994E-5</v>
      </c>
      <c r="EF169">
        <v>1</v>
      </c>
    </row>
    <row r="170" spans="1:136" x14ac:dyDescent="0.25">
      <c r="A170" s="66">
        <v>41548</v>
      </c>
      <c r="B170">
        <v>0.98</v>
      </c>
      <c r="C170">
        <v>0</v>
      </c>
      <c r="E170">
        <v>0</v>
      </c>
      <c r="F170">
        <v>0</v>
      </c>
      <c r="G170">
        <v>0.98750000000000004</v>
      </c>
      <c r="H170">
        <v>0.98750000000000004</v>
      </c>
      <c r="I170">
        <v>0.98750000000000004</v>
      </c>
      <c r="J170">
        <v>0.98050000000000004</v>
      </c>
      <c r="K170">
        <v>0.98499999999999999</v>
      </c>
      <c r="L170" s="333">
        <v>0.98750000000000004</v>
      </c>
      <c r="M170" s="333">
        <v>0.98750000000000004</v>
      </c>
      <c r="N170">
        <v>0.98</v>
      </c>
      <c r="O170">
        <v>0.98639188799999999</v>
      </c>
      <c r="P170">
        <v>0.98</v>
      </c>
      <c r="Q170" s="328">
        <v>0.98750000000000004</v>
      </c>
      <c r="R170">
        <v>0.98750000000000004</v>
      </c>
      <c r="S170" s="333">
        <v>0.98750000000000004</v>
      </c>
      <c r="T170">
        <v>0.98</v>
      </c>
      <c r="U170">
        <v>0.98</v>
      </c>
      <c r="V170">
        <v>0.98</v>
      </c>
      <c r="W170">
        <v>0.98</v>
      </c>
      <c r="X170">
        <v>0.98639188799999999</v>
      </c>
      <c r="Y170">
        <v>0.98639188799999999</v>
      </c>
      <c r="Z170">
        <v>0.98639188799999999</v>
      </c>
      <c r="AA170">
        <v>0.98639188799999999</v>
      </c>
      <c r="AB170">
        <v>0.98</v>
      </c>
      <c r="AC170">
        <v>0.98</v>
      </c>
      <c r="AD170">
        <v>0.98639188799999999</v>
      </c>
      <c r="AE170">
        <v>0.98639188799999999</v>
      </c>
      <c r="AF170">
        <v>0.98</v>
      </c>
      <c r="AG170">
        <v>0.99</v>
      </c>
      <c r="AH170">
        <v>0.98064649999999998</v>
      </c>
      <c r="AI170">
        <v>0.98064649999999998</v>
      </c>
      <c r="AJ170">
        <v>0.98</v>
      </c>
      <c r="AK170">
        <v>1</v>
      </c>
      <c r="AL170">
        <v>0.98499999999999999</v>
      </c>
      <c r="AM170">
        <v>0</v>
      </c>
      <c r="BB170" s="446">
        <v>1</v>
      </c>
      <c r="BC170">
        <v>1</v>
      </c>
      <c r="BD170">
        <v>1</v>
      </c>
      <c r="BE170">
        <v>1</v>
      </c>
      <c r="BF170">
        <v>0.99990000000000001</v>
      </c>
      <c r="BG170">
        <v>1</v>
      </c>
      <c r="BH170">
        <v>1</v>
      </c>
      <c r="BI170">
        <v>0.99</v>
      </c>
      <c r="BJ170">
        <v>0.999</v>
      </c>
      <c r="BK170">
        <v>0.998</v>
      </c>
      <c r="BL170">
        <v>0.99850000000000005</v>
      </c>
      <c r="BM170">
        <v>0.99850000000000005</v>
      </c>
      <c r="BN170">
        <v>0.97199999999999998</v>
      </c>
      <c r="BO170">
        <v>0.99990000000000001</v>
      </c>
      <c r="BP170">
        <v>0.99990000000000001</v>
      </c>
      <c r="BQ170">
        <v>1</v>
      </c>
      <c r="BR170">
        <v>1.1108876000000001</v>
      </c>
      <c r="BS170">
        <v>1.1220000000000001</v>
      </c>
      <c r="BT170">
        <v>1.0827</v>
      </c>
      <c r="BU170">
        <v>1.0213000000000001</v>
      </c>
      <c r="BV170">
        <v>1</v>
      </c>
      <c r="BW170">
        <v>2.4378000000000002</v>
      </c>
      <c r="BX170">
        <v>2.3091763329999999</v>
      </c>
      <c r="BY170">
        <v>1.13405</v>
      </c>
      <c r="BZ170">
        <v>1.2885</v>
      </c>
      <c r="CA170">
        <v>2.0009999999999999</v>
      </c>
      <c r="CB170">
        <v>1.547005</v>
      </c>
      <c r="CC170">
        <v>1.547005</v>
      </c>
      <c r="CD170">
        <v>1.2817050000000001</v>
      </c>
      <c r="CE170">
        <v>1.0929549999999999</v>
      </c>
      <c r="CF170">
        <v>1.451805</v>
      </c>
      <c r="CG170" s="332"/>
      <c r="CH170">
        <v>1.10185</v>
      </c>
      <c r="CI170" s="332"/>
      <c r="CJ170" s="332"/>
      <c r="CK170" s="332"/>
      <c r="CL170" s="332"/>
      <c r="CM170" s="332"/>
      <c r="CN170" s="332"/>
      <c r="CO170" s="332"/>
      <c r="CP170">
        <v>0.95499999999999996</v>
      </c>
      <c r="CU170">
        <v>0.46</v>
      </c>
      <c r="CV170">
        <v>0.45</v>
      </c>
      <c r="CW170">
        <v>0.92500000000000004</v>
      </c>
      <c r="CX170">
        <v>0.65500000000000003</v>
      </c>
      <c r="CY170">
        <v>0.505</v>
      </c>
      <c r="CZ170">
        <v>0.80500000000000005</v>
      </c>
      <c r="DA170">
        <v>0.83750000000000002</v>
      </c>
      <c r="DB170">
        <v>0.875</v>
      </c>
      <c r="DC170">
        <v>0.90249999999999997</v>
      </c>
      <c r="DD170">
        <v>0.82</v>
      </c>
      <c r="DE170">
        <v>0.89</v>
      </c>
      <c r="DN170" s="332">
        <v>2.8499999999999999E-4</v>
      </c>
      <c r="DO170" s="332">
        <v>2.0000000000000001E-4</v>
      </c>
      <c r="DP170" s="332">
        <v>0</v>
      </c>
      <c r="DQ170" s="332">
        <v>1E-4</v>
      </c>
      <c r="DR170" s="332">
        <v>0</v>
      </c>
      <c r="DS170" s="332">
        <v>3.5999999999999999E-3</v>
      </c>
      <c r="DT170" s="332">
        <v>4.6999999999999999E-4</v>
      </c>
      <c r="DU170" s="332">
        <v>6.9999999999999999E-4</v>
      </c>
      <c r="DV170" s="332">
        <v>0</v>
      </c>
      <c r="DW170" s="332">
        <v>0</v>
      </c>
      <c r="DX170" s="332">
        <v>5.0000000000000001E-4</v>
      </c>
      <c r="DY170" s="332">
        <v>5.0000000000000001E-4</v>
      </c>
      <c r="DZ170" s="332">
        <v>2.9999999999999997E-4</v>
      </c>
      <c r="EA170" s="332">
        <v>2.7500000000000002E-4</v>
      </c>
      <c r="EB170" s="332">
        <v>4.0000000000000002E-4</v>
      </c>
      <c r="ED170" s="332">
        <v>6.4999999999999994E-5</v>
      </c>
      <c r="EF170">
        <v>1</v>
      </c>
    </row>
    <row r="171" spans="1:136" x14ac:dyDescent="0.25">
      <c r="A171" s="66">
        <v>41579</v>
      </c>
      <c r="B171">
        <v>0.98</v>
      </c>
      <c r="C171">
        <v>0</v>
      </c>
      <c r="E171">
        <v>0</v>
      </c>
      <c r="F171">
        <v>0</v>
      </c>
      <c r="G171">
        <v>0.98750000000000004</v>
      </c>
      <c r="H171">
        <v>0.98750000000000004</v>
      </c>
      <c r="I171">
        <v>0.98750000000000004</v>
      </c>
      <c r="J171">
        <v>0.98050000000000004</v>
      </c>
      <c r="K171">
        <v>0.97048500000000004</v>
      </c>
      <c r="L171" s="333">
        <v>0.98750000000000004</v>
      </c>
      <c r="M171" s="333">
        <v>0.98750000000000004</v>
      </c>
      <c r="N171">
        <v>0.98</v>
      </c>
      <c r="O171">
        <v>0.98664007499999995</v>
      </c>
      <c r="P171">
        <v>0.98</v>
      </c>
      <c r="Q171" s="328">
        <v>0.98750000000000004</v>
      </c>
      <c r="R171">
        <v>0.98750000000000004</v>
      </c>
      <c r="S171" s="333">
        <v>0.98750000000000004</v>
      </c>
      <c r="T171">
        <v>0.98</v>
      </c>
      <c r="U171">
        <v>0.98</v>
      </c>
      <c r="V171">
        <v>0.98</v>
      </c>
      <c r="W171">
        <v>0.98</v>
      </c>
      <c r="X171">
        <v>0.98664007499999995</v>
      </c>
      <c r="Y171">
        <v>0.98664007499999995</v>
      </c>
      <c r="Z171">
        <v>0.98664007499999995</v>
      </c>
      <c r="AA171">
        <v>0.98664007499999995</v>
      </c>
      <c r="AB171">
        <v>0.98</v>
      </c>
      <c r="AC171">
        <v>0.98</v>
      </c>
      <c r="AD171">
        <v>0.98664007499999995</v>
      </c>
      <c r="AE171">
        <v>0.98664007499999995</v>
      </c>
      <c r="AF171">
        <v>0.98</v>
      </c>
      <c r="AG171">
        <v>0.99</v>
      </c>
      <c r="AH171">
        <v>0.98070435</v>
      </c>
      <c r="AI171">
        <v>0.98070435</v>
      </c>
      <c r="AJ171">
        <v>0.98</v>
      </c>
      <c r="AK171">
        <v>1</v>
      </c>
      <c r="AL171">
        <v>0.97048500000000004</v>
      </c>
      <c r="AM171">
        <v>0</v>
      </c>
      <c r="BB171" s="446">
        <v>1</v>
      </c>
      <c r="BC171">
        <v>1</v>
      </c>
      <c r="BD171">
        <v>1</v>
      </c>
      <c r="BE171">
        <v>1</v>
      </c>
      <c r="BF171">
        <v>0.99990000000000001</v>
      </c>
      <c r="BG171">
        <v>1</v>
      </c>
      <c r="BH171">
        <v>1</v>
      </c>
      <c r="BI171">
        <v>0.99</v>
      </c>
      <c r="BJ171">
        <v>0.999</v>
      </c>
      <c r="BK171">
        <v>0.998</v>
      </c>
      <c r="BL171">
        <v>0.99850000000000005</v>
      </c>
      <c r="BM171">
        <v>0.99850000000000005</v>
      </c>
      <c r="BN171">
        <v>0.97199999999999998</v>
      </c>
      <c r="BO171">
        <v>0.99990000000000001</v>
      </c>
      <c r="BP171">
        <v>0.99990000000000001</v>
      </c>
      <c r="BQ171">
        <v>1</v>
      </c>
      <c r="BR171">
        <v>1.1111726</v>
      </c>
      <c r="BS171">
        <v>1.1222000000000001</v>
      </c>
      <c r="BT171">
        <v>1.0827</v>
      </c>
      <c r="BU171">
        <v>1.0214000000000001</v>
      </c>
      <c r="BV171">
        <v>1</v>
      </c>
      <c r="BW171">
        <v>2.4413999999999998</v>
      </c>
      <c r="BX171">
        <v>2.3096463329999999</v>
      </c>
      <c r="BY171">
        <v>1.1347499999999999</v>
      </c>
      <c r="BZ171">
        <v>1.2885</v>
      </c>
      <c r="CA171">
        <v>2.0009999999999999</v>
      </c>
      <c r="CB171">
        <v>1.5475049999999999</v>
      </c>
      <c r="CC171">
        <v>1.5475049999999999</v>
      </c>
      <c r="CD171">
        <v>1.2820050000000001</v>
      </c>
      <c r="CE171">
        <v>1.0932299999999999</v>
      </c>
      <c r="CF171">
        <v>1.452205</v>
      </c>
      <c r="CG171" s="332"/>
      <c r="CH171">
        <v>1.101915</v>
      </c>
      <c r="CI171" s="332"/>
      <c r="CJ171" s="332"/>
      <c r="CK171" s="332"/>
      <c r="CL171" s="332"/>
      <c r="CM171" s="332"/>
      <c r="CN171" s="332"/>
      <c r="CO171" s="332"/>
      <c r="CP171">
        <v>0.95499999999999996</v>
      </c>
      <c r="CU171">
        <v>0.48</v>
      </c>
      <c r="CV171">
        <v>0.46</v>
      </c>
      <c r="CW171">
        <v>0.90500000000000003</v>
      </c>
      <c r="CX171">
        <v>0.61499999999999999</v>
      </c>
      <c r="CY171">
        <v>0.48499999999999999</v>
      </c>
      <c r="CZ171">
        <v>0.79500000000000004</v>
      </c>
      <c r="DA171">
        <v>0.82750000000000001</v>
      </c>
      <c r="DB171">
        <v>0.85</v>
      </c>
      <c r="DC171">
        <v>0.90249999999999997</v>
      </c>
      <c r="DD171">
        <v>0.82</v>
      </c>
      <c r="DE171">
        <v>0.89</v>
      </c>
      <c r="DN171" s="332">
        <v>2.8499999999999999E-4</v>
      </c>
      <c r="DO171" s="332">
        <v>2.0000000000000001E-4</v>
      </c>
      <c r="DP171" s="332">
        <v>0</v>
      </c>
      <c r="DQ171" s="332">
        <v>1E-4</v>
      </c>
      <c r="DR171" s="332">
        <v>0</v>
      </c>
      <c r="DS171" s="332">
        <v>3.5999999999999999E-3</v>
      </c>
      <c r="DT171" s="332">
        <v>4.6999999999999999E-4</v>
      </c>
      <c r="DU171" s="332">
        <v>6.9999999999999999E-4</v>
      </c>
      <c r="DV171" s="332">
        <v>0</v>
      </c>
      <c r="DW171" s="332">
        <v>0</v>
      </c>
      <c r="DX171" s="332">
        <v>5.0000000000000001E-4</v>
      </c>
      <c r="DY171" s="332">
        <v>5.0000000000000001E-4</v>
      </c>
      <c r="DZ171" s="332">
        <v>2.9999999999999997E-4</v>
      </c>
      <c r="EA171" s="332">
        <v>2.7500000000000002E-4</v>
      </c>
      <c r="EB171" s="332">
        <v>4.0000000000000002E-4</v>
      </c>
      <c r="ED171" s="332">
        <v>6.4999999999999994E-5</v>
      </c>
      <c r="EF171">
        <v>1</v>
      </c>
    </row>
    <row r="172" spans="1:136" x14ac:dyDescent="0.25">
      <c r="A172" s="66">
        <v>41609</v>
      </c>
      <c r="B172">
        <v>0.98</v>
      </c>
      <c r="C172">
        <v>0</v>
      </c>
      <c r="E172">
        <v>0</v>
      </c>
      <c r="F172">
        <v>0</v>
      </c>
      <c r="G172">
        <v>0.98750000000000004</v>
      </c>
      <c r="H172">
        <v>0.98750000000000004</v>
      </c>
      <c r="I172">
        <v>0.98750000000000004</v>
      </c>
      <c r="J172">
        <v>0.98050000000000004</v>
      </c>
      <c r="K172">
        <v>0.97048500000000004</v>
      </c>
      <c r="L172" s="333">
        <v>0.91332294999999997</v>
      </c>
      <c r="M172" s="333">
        <v>0.96363311200000001</v>
      </c>
      <c r="N172">
        <v>0.88479045000000001</v>
      </c>
      <c r="O172">
        <v>0.97595321300000004</v>
      </c>
      <c r="P172">
        <v>0.88479045000000001</v>
      </c>
      <c r="Q172" s="328">
        <v>0.91332294999999997</v>
      </c>
      <c r="R172">
        <v>0.91332294999999997</v>
      </c>
      <c r="S172" s="333">
        <v>0.91332294999999997</v>
      </c>
      <c r="T172">
        <v>0.88479045000000001</v>
      </c>
      <c r="U172">
        <v>0.88479045000000001</v>
      </c>
      <c r="V172">
        <v>0.88479045000000001</v>
      </c>
      <c r="W172">
        <v>0.88479045000000001</v>
      </c>
      <c r="X172">
        <v>0.97595321300000004</v>
      </c>
      <c r="Y172">
        <v>0.97595321300000004</v>
      </c>
      <c r="Z172">
        <v>0.97595321300000004</v>
      </c>
      <c r="AA172">
        <v>0.97595321300000004</v>
      </c>
      <c r="AB172">
        <v>0.88479045000000001</v>
      </c>
      <c r="AC172">
        <v>0.88479045000000001</v>
      </c>
      <c r="AD172">
        <v>0.97595321300000004</v>
      </c>
      <c r="AE172">
        <v>0.97595321300000004</v>
      </c>
      <c r="AF172">
        <v>0.88479045000000001</v>
      </c>
      <c r="AG172">
        <v>0.98</v>
      </c>
      <c r="AH172">
        <v>0.98076220000000003</v>
      </c>
      <c r="AI172">
        <v>0.98076220000000003</v>
      </c>
      <c r="AJ172">
        <v>0.88479045000000001</v>
      </c>
      <c r="AK172">
        <v>1</v>
      </c>
      <c r="AL172">
        <v>0.97048500000000004</v>
      </c>
      <c r="AM172">
        <v>0</v>
      </c>
      <c r="BB172" s="446">
        <v>1</v>
      </c>
      <c r="BC172">
        <v>1</v>
      </c>
      <c r="BD172">
        <v>1</v>
      </c>
      <c r="BE172">
        <v>1</v>
      </c>
      <c r="BF172">
        <v>0.99990000000000001</v>
      </c>
      <c r="BG172">
        <v>1</v>
      </c>
      <c r="BH172">
        <v>1</v>
      </c>
      <c r="BI172">
        <v>0.99</v>
      </c>
      <c r="BJ172">
        <v>0.999</v>
      </c>
      <c r="BK172">
        <v>0.998</v>
      </c>
      <c r="BL172">
        <v>0.99850000000000005</v>
      </c>
      <c r="BM172">
        <v>0.99850000000000005</v>
      </c>
      <c r="BN172">
        <v>0.97199999999999998</v>
      </c>
      <c r="BO172">
        <v>0.99990000000000001</v>
      </c>
      <c r="BP172">
        <v>0.99990000000000001</v>
      </c>
      <c r="BQ172">
        <v>1</v>
      </c>
      <c r="BR172">
        <v>1.1114576</v>
      </c>
      <c r="BS172">
        <v>1.1224000000000001</v>
      </c>
      <c r="BT172">
        <v>1.0827</v>
      </c>
      <c r="BU172">
        <v>1.0215000000000001</v>
      </c>
      <c r="BV172">
        <v>1</v>
      </c>
      <c r="BW172">
        <v>2.4449999999999998</v>
      </c>
      <c r="BX172">
        <v>2.3101163329999999</v>
      </c>
      <c r="BY172">
        <v>1.1354500000000001</v>
      </c>
      <c r="BZ172">
        <v>1.2885</v>
      </c>
      <c r="CA172">
        <v>2.0009999999999999</v>
      </c>
      <c r="CB172">
        <v>1.5480050000000001</v>
      </c>
      <c r="CC172">
        <v>1.5480050000000001</v>
      </c>
      <c r="CD172">
        <v>1.282305</v>
      </c>
      <c r="CE172">
        <v>1.0935049999999999</v>
      </c>
      <c r="CF172">
        <v>1.4526049999999999</v>
      </c>
      <c r="CG172" s="332"/>
      <c r="CH172">
        <v>1.10198</v>
      </c>
      <c r="CI172" s="332"/>
      <c r="CJ172" s="332"/>
      <c r="CK172" s="332"/>
      <c r="CL172" s="332"/>
      <c r="CM172" s="332"/>
      <c r="CN172" s="332"/>
      <c r="CO172" s="332"/>
      <c r="CP172">
        <v>0.93500000000000005</v>
      </c>
      <c r="CU172">
        <v>0.51</v>
      </c>
      <c r="CV172">
        <v>0.48</v>
      </c>
      <c r="CW172">
        <v>0.875</v>
      </c>
      <c r="CX172">
        <v>0.62</v>
      </c>
      <c r="CY172">
        <v>0.48499999999999999</v>
      </c>
      <c r="CZ172">
        <v>0.59</v>
      </c>
      <c r="DA172">
        <v>0.62250000000000005</v>
      </c>
      <c r="DB172">
        <v>0.69</v>
      </c>
      <c r="DC172">
        <v>0.89249999999999996</v>
      </c>
      <c r="DD172">
        <v>0.71499999999999997</v>
      </c>
      <c r="DE172">
        <v>0.89</v>
      </c>
      <c r="DN172" s="332">
        <v>2.8499999999999999E-4</v>
      </c>
      <c r="DO172" s="332">
        <v>2.0000000000000001E-4</v>
      </c>
      <c r="DP172" s="332">
        <v>0</v>
      </c>
      <c r="DQ172" s="332">
        <v>1E-4</v>
      </c>
      <c r="DR172" s="332">
        <v>0</v>
      </c>
      <c r="DS172" s="332">
        <v>3.5999999999999999E-3</v>
      </c>
      <c r="DT172" s="332">
        <v>4.6999999999999999E-4</v>
      </c>
      <c r="DU172" s="332">
        <v>6.9999999999999999E-4</v>
      </c>
      <c r="DV172" s="332">
        <v>0</v>
      </c>
      <c r="DW172" s="332">
        <v>0</v>
      </c>
      <c r="DX172" s="332">
        <v>5.0000000000000001E-4</v>
      </c>
      <c r="DY172" s="332">
        <v>5.0000000000000001E-4</v>
      </c>
      <c r="DZ172" s="332">
        <v>2.9999999999999997E-4</v>
      </c>
      <c r="EA172" s="332">
        <v>2.7500000000000002E-4</v>
      </c>
      <c r="EB172" s="332">
        <v>4.0000000000000002E-4</v>
      </c>
      <c r="ED172" s="332">
        <v>6.4999999999999994E-5</v>
      </c>
      <c r="EF172">
        <v>1</v>
      </c>
    </row>
    <row r="173" spans="1:136" x14ac:dyDescent="0.25">
      <c r="A173" s="66">
        <v>41640</v>
      </c>
      <c r="B173">
        <v>0.98</v>
      </c>
      <c r="C173">
        <v>0</v>
      </c>
      <c r="E173">
        <v>0</v>
      </c>
      <c r="F173">
        <v>0</v>
      </c>
      <c r="G173">
        <v>0.98750000000000004</v>
      </c>
      <c r="H173">
        <v>0.98750000000000004</v>
      </c>
      <c r="I173">
        <v>0.91460074999999996</v>
      </c>
      <c r="J173">
        <v>0.98050000000000004</v>
      </c>
      <c r="K173">
        <v>0.98499999999999999</v>
      </c>
      <c r="L173" s="333">
        <v>0.93684552499999996</v>
      </c>
      <c r="M173" s="333">
        <v>0.98717193700000005</v>
      </c>
      <c r="N173">
        <v>0.88499744999999996</v>
      </c>
      <c r="O173">
        <v>0.9625264</v>
      </c>
      <c r="P173">
        <v>0.88499744999999996</v>
      </c>
      <c r="Q173" s="328">
        <v>0.93684552499999996</v>
      </c>
      <c r="R173">
        <v>0.93684552499999996</v>
      </c>
      <c r="S173" s="333">
        <v>0.93684552499999996</v>
      </c>
      <c r="T173">
        <v>0.88499744999999996</v>
      </c>
      <c r="U173">
        <v>0.88499744999999996</v>
      </c>
      <c r="V173">
        <v>0.88499744999999996</v>
      </c>
      <c r="W173">
        <v>0.88499744999999996</v>
      </c>
      <c r="X173">
        <v>0.9625264</v>
      </c>
      <c r="Y173">
        <v>0.9625264</v>
      </c>
      <c r="Z173">
        <v>0.9625264</v>
      </c>
      <c r="AA173">
        <v>0.9625264</v>
      </c>
      <c r="AB173">
        <v>0.88499744999999996</v>
      </c>
      <c r="AC173">
        <v>0.88499744999999996</v>
      </c>
      <c r="AD173">
        <v>0.9625264</v>
      </c>
      <c r="AE173">
        <v>0.9625264</v>
      </c>
      <c r="AF173">
        <v>0.88499744999999996</v>
      </c>
      <c r="AG173">
        <v>0.98</v>
      </c>
      <c r="AH173">
        <v>0.98082005000000005</v>
      </c>
      <c r="AI173">
        <v>0.98082005000000005</v>
      </c>
      <c r="AJ173">
        <v>0.88499744999999996</v>
      </c>
      <c r="AK173">
        <v>1</v>
      </c>
      <c r="AL173">
        <v>0.98499999999999999</v>
      </c>
      <c r="AM173">
        <v>0</v>
      </c>
      <c r="BB173" s="446">
        <v>1</v>
      </c>
      <c r="BC173">
        <v>1</v>
      </c>
      <c r="BD173">
        <v>1</v>
      </c>
      <c r="BE173">
        <v>1</v>
      </c>
      <c r="BF173">
        <v>0.99990000000000001</v>
      </c>
      <c r="BG173">
        <v>1</v>
      </c>
      <c r="BH173">
        <v>1</v>
      </c>
      <c r="BI173">
        <v>0.99</v>
      </c>
      <c r="BJ173">
        <v>0.999</v>
      </c>
      <c r="BK173">
        <v>0.998</v>
      </c>
      <c r="BL173">
        <v>0.99850000000000005</v>
      </c>
      <c r="BM173">
        <v>0.99850000000000005</v>
      </c>
      <c r="BN173">
        <v>0.97199999999999998</v>
      </c>
      <c r="BO173">
        <v>0.99990000000000001</v>
      </c>
      <c r="BP173">
        <v>0.99990000000000001</v>
      </c>
      <c r="BQ173">
        <v>1</v>
      </c>
      <c r="BR173">
        <v>1.1117425999999999</v>
      </c>
      <c r="BS173">
        <v>1.1226</v>
      </c>
      <c r="BT173">
        <v>1.0827</v>
      </c>
      <c r="BU173">
        <v>1.0216000000000001</v>
      </c>
      <c r="BV173">
        <v>1</v>
      </c>
      <c r="BW173">
        <v>2.4485999999999999</v>
      </c>
      <c r="BX173">
        <v>2.3105863329999998</v>
      </c>
      <c r="BY173">
        <v>1.13615</v>
      </c>
      <c r="BZ173">
        <v>1.2885</v>
      </c>
      <c r="CA173">
        <v>2.0009999999999999</v>
      </c>
      <c r="CB173">
        <v>1.548505</v>
      </c>
      <c r="CC173">
        <v>1.548505</v>
      </c>
      <c r="CD173">
        <v>1.282605</v>
      </c>
      <c r="CE173">
        <v>1.09378</v>
      </c>
      <c r="CF173">
        <v>1.4530050000000001</v>
      </c>
      <c r="CG173" s="332"/>
      <c r="CH173">
        <v>1.1020449999999999</v>
      </c>
      <c r="CI173" s="332"/>
      <c r="CJ173" s="332"/>
      <c r="CK173" s="332"/>
      <c r="CL173" s="332"/>
      <c r="CM173" s="332"/>
      <c r="CN173" s="332"/>
      <c r="CO173" s="332"/>
      <c r="CP173">
        <v>0.89500000000000002</v>
      </c>
      <c r="CU173">
        <v>0.57999999999999996</v>
      </c>
      <c r="CV173">
        <v>0.45</v>
      </c>
      <c r="CW173">
        <v>0.80500000000000005</v>
      </c>
      <c r="CX173">
        <v>0.63</v>
      </c>
      <c r="CY173">
        <v>0.505</v>
      </c>
      <c r="CZ173">
        <v>0.60499999999999998</v>
      </c>
      <c r="DA173">
        <v>0.63749999999999996</v>
      </c>
      <c r="DB173">
        <v>0.69</v>
      </c>
      <c r="DC173">
        <v>0.88</v>
      </c>
      <c r="DD173">
        <v>0.64</v>
      </c>
      <c r="DE173">
        <v>0.89</v>
      </c>
      <c r="DN173" s="332">
        <v>2.8499999999999999E-4</v>
      </c>
      <c r="DO173" s="332">
        <v>2.0000000000000001E-4</v>
      </c>
      <c r="DP173" s="332">
        <v>0</v>
      </c>
      <c r="DQ173" s="332">
        <v>1E-4</v>
      </c>
      <c r="DR173" s="332">
        <v>0</v>
      </c>
      <c r="DS173" s="332">
        <v>3.5999999999999999E-3</v>
      </c>
      <c r="DT173" s="332">
        <v>4.6999999999999999E-4</v>
      </c>
      <c r="DU173" s="332">
        <v>6.9999999999999999E-4</v>
      </c>
      <c r="DV173" s="332">
        <v>0</v>
      </c>
      <c r="DW173" s="332">
        <v>0</v>
      </c>
      <c r="DX173" s="332">
        <v>5.0000000000000001E-4</v>
      </c>
      <c r="DY173" s="332">
        <v>5.0000000000000001E-4</v>
      </c>
      <c r="DZ173" s="332">
        <v>2.9999999999999997E-4</v>
      </c>
      <c r="EA173" s="332">
        <v>2.7500000000000002E-4</v>
      </c>
      <c r="EB173" s="332">
        <v>4.0000000000000002E-4</v>
      </c>
      <c r="ED173" s="332">
        <v>6.4999999999999994E-5</v>
      </c>
      <c r="EF173">
        <v>1</v>
      </c>
    </row>
    <row r="174" spans="1:136" x14ac:dyDescent="0.25">
      <c r="A174" s="66">
        <v>41671</v>
      </c>
      <c r="B174">
        <v>0.98</v>
      </c>
      <c r="C174">
        <v>0</v>
      </c>
      <c r="E174">
        <v>0</v>
      </c>
      <c r="F174">
        <v>0</v>
      </c>
      <c r="G174">
        <v>0.98750000000000004</v>
      </c>
      <c r="H174">
        <v>0.98750000000000004</v>
      </c>
      <c r="I174">
        <v>0.96063825000000003</v>
      </c>
      <c r="J174">
        <v>0.98050000000000004</v>
      </c>
      <c r="K174">
        <v>0.98499999999999999</v>
      </c>
      <c r="L174" s="333">
        <v>0.98361817500000004</v>
      </c>
      <c r="M174" s="333">
        <v>0.98750000000000004</v>
      </c>
      <c r="N174">
        <v>0.91086255000000005</v>
      </c>
      <c r="O174">
        <v>0.96003326300000003</v>
      </c>
      <c r="P174">
        <v>0.91086255000000005</v>
      </c>
      <c r="Q174" s="328">
        <v>0.98361817500000004</v>
      </c>
      <c r="R174">
        <v>0.98361817500000004</v>
      </c>
      <c r="S174" s="333">
        <v>0.98361817500000004</v>
      </c>
      <c r="T174">
        <v>0.91086255000000005</v>
      </c>
      <c r="U174">
        <v>0.91086255000000005</v>
      </c>
      <c r="V174">
        <v>0.91086255000000005</v>
      </c>
      <c r="W174">
        <v>0.91086255000000005</v>
      </c>
      <c r="X174">
        <v>0.96003326300000003</v>
      </c>
      <c r="Y174">
        <v>0.96003326300000003</v>
      </c>
      <c r="Z174">
        <v>0.96003326300000003</v>
      </c>
      <c r="AA174">
        <v>0.96003326300000003</v>
      </c>
      <c r="AB174">
        <v>0.91086255000000005</v>
      </c>
      <c r="AC174">
        <v>0.91086255000000005</v>
      </c>
      <c r="AD174">
        <v>0.96003326300000003</v>
      </c>
      <c r="AE174">
        <v>0.96003326300000003</v>
      </c>
      <c r="AF174">
        <v>0.91086255000000005</v>
      </c>
      <c r="AG174">
        <v>0.98</v>
      </c>
      <c r="AH174">
        <v>0.98087789999999997</v>
      </c>
      <c r="AI174">
        <v>0.98087789999999997</v>
      </c>
      <c r="AJ174">
        <v>0.91086255000000005</v>
      </c>
      <c r="AK174">
        <v>1</v>
      </c>
      <c r="AL174">
        <v>0.98499999999999999</v>
      </c>
      <c r="AM174">
        <v>0</v>
      </c>
      <c r="BB174" s="446">
        <v>1</v>
      </c>
      <c r="BC174">
        <v>1</v>
      </c>
      <c r="BD174">
        <v>1</v>
      </c>
      <c r="BE174">
        <v>1</v>
      </c>
      <c r="BF174">
        <v>0.99990000000000001</v>
      </c>
      <c r="BG174">
        <v>1</v>
      </c>
      <c r="BH174">
        <v>1</v>
      </c>
      <c r="BI174">
        <v>0.99</v>
      </c>
      <c r="BJ174">
        <v>0.999</v>
      </c>
      <c r="BK174">
        <v>0.998</v>
      </c>
      <c r="BL174">
        <v>0.99850000000000005</v>
      </c>
      <c r="BM174">
        <v>0.99850000000000005</v>
      </c>
      <c r="BN174">
        <v>0.97199999999999998</v>
      </c>
      <c r="BO174">
        <v>0.99990000000000001</v>
      </c>
      <c r="BP174">
        <v>0.99990000000000001</v>
      </c>
      <c r="BQ174">
        <v>1</v>
      </c>
      <c r="BR174">
        <v>1.1120276</v>
      </c>
      <c r="BS174">
        <v>1.1228</v>
      </c>
      <c r="BT174">
        <v>1.0827</v>
      </c>
      <c r="BU174">
        <v>1.0217000000000001</v>
      </c>
      <c r="BV174">
        <v>1</v>
      </c>
      <c r="BW174">
        <v>2.4521999999999999</v>
      </c>
      <c r="BX174">
        <v>2.3110563329999998</v>
      </c>
      <c r="BY174">
        <v>1.1368499999999999</v>
      </c>
      <c r="BZ174">
        <v>1.2885</v>
      </c>
      <c r="CA174">
        <v>2.0009999999999999</v>
      </c>
      <c r="CB174">
        <v>1.549005</v>
      </c>
      <c r="CC174">
        <v>1.549005</v>
      </c>
      <c r="CD174">
        <v>1.282905</v>
      </c>
      <c r="CE174">
        <v>1.094055</v>
      </c>
      <c r="CF174">
        <v>1.4534050000000001</v>
      </c>
      <c r="CG174" s="332"/>
      <c r="CH174">
        <v>1.1021099999999999</v>
      </c>
      <c r="CI174" s="332"/>
      <c r="CJ174" s="332"/>
      <c r="CK174" s="332"/>
      <c r="CL174" s="332"/>
      <c r="CM174" s="332"/>
      <c r="CN174" s="332"/>
      <c r="CO174" s="332"/>
      <c r="CP174">
        <v>0.86499999999999999</v>
      </c>
      <c r="CU174">
        <v>0.57999999999999996</v>
      </c>
      <c r="CV174">
        <v>0.45</v>
      </c>
      <c r="CW174">
        <v>0.84499999999999997</v>
      </c>
      <c r="CX174">
        <v>0.73499999999999999</v>
      </c>
      <c r="CY174">
        <v>0.505</v>
      </c>
      <c r="CZ174">
        <v>0.63500000000000001</v>
      </c>
      <c r="DA174">
        <v>0.66749999999999998</v>
      </c>
      <c r="DB174">
        <v>0.71</v>
      </c>
      <c r="DC174">
        <v>0.87749999999999995</v>
      </c>
      <c r="DD174">
        <v>0.67</v>
      </c>
      <c r="DE174">
        <v>0.89</v>
      </c>
      <c r="DN174" s="332">
        <v>2.8499999999999999E-4</v>
      </c>
      <c r="DO174" s="332">
        <v>2.0000000000000001E-4</v>
      </c>
      <c r="DP174" s="332">
        <v>0</v>
      </c>
      <c r="DQ174" s="332">
        <v>1E-4</v>
      </c>
      <c r="DR174" s="332">
        <v>0</v>
      </c>
      <c r="DS174" s="332">
        <v>3.5999999999999999E-3</v>
      </c>
      <c r="DT174" s="332">
        <v>4.6999999999999999E-4</v>
      </c>
      <c r="DU174" s="332">
        <v>6.9999999999999999E-4</v>
      </c>
      <c r="DV174" s="332">
        <v>0</v>
      </c>
      <c r="DW174" s="332">
        <v>0</v>
      </c>
      <c r="DX174" s="332">
        <v>5.0000000000000001E-4</v>
      </c>
      <c r="DY174" s="332">
        <v>5.0000000000000001E-4</v>
      </c>
      <c r="DZ174" s="332">
        <v>2.9999999999999997E-4</v>
      </c>
      <c r="EA174" s="332">
        <v>2.7500000000000002E-4</v>
      </c>
      <c r="EB174" s="332">
        <v>4.0000000000000002E-4</v>
      </c>
      <c r="ED174" s="332">
        <v>6.4999999999999994E-5</v>
      </c>
      <c r="EF174">
        <v>1</v>
      </c>
    </row>
    <row r="175" spans="1:136" x14ac:dyDescent="0.25">
      <c r="A175" s="66">
        <v>41699</v>
      </c>
      <c r="B175">
        <v>0.98</v>
      </c>
      <c r="C175">
        <v>0</v>
      </c>
      <c r="E175">
        <v>0</v>
      </c>
      <c r="F175">
        <v>0</v>
      </c>
      <c r="G175">
        <v>0.98750000000000004</v>
      </c>
      <c r="H175">
        <v>0.98750000000000004</v>
      </c>
      <c r="I175">
        <v>0.98750000000000004</v>
      </c>
      <c r="J175">
        <v>0.98050000000000004</v>
      </c>
      <c r="K175">
        <v>0.98499999999999999</v>
      </c>
      <c r="L175" s="333">
        <v>0.98750000000000004</v>
      </c>
      <c r="M175" s="333">
        <v>0.98750000000000004</v>
      </c>
      <c r="N175">
        <v>0.98</v>
      </c>
      <c r="O175">
        <v>0.98489700000000002</v>
      </c>
      <c r="P175">
        <v>0.98</v>
      </c>
      <c r="Q175" s="328">
        <v>0.98750000000000004</v>
      </c>
      <c r="R175">
        <v>0.98750000000000004</v>
      </c>
      <c r="S175" s="333">
        <v>0.98750000000000004</v>
      </c>
      <c r="T175">
        <v>0.98</v>
      </c>
      <c r="U175">
        <v>0.98</v>
      </c>
      <c r="V175">
        <v>0.98</v>
      </c>
      <c r="W175">
        <v>0.98</v>
      </c>
      <c r="X175">
        <v>0.98489700000000002</v>
      </c>
      <c r="Y175">
        <v>0.98489700000000002</v>
      </c>
      <c r="Z175">
        <v>0.98489700000000002</v>
      </c>
      <c r="AA175">
        <v>0.98489700000000002</v>
      </c>
      <c r="AB175">
        <v>0.98</v>
      </c>
      <c r="AC175">
        <v>0.98</v>
      </c>
      <c r="AD175">
        <v>0.98489700000000002</v>
      </c>
      <c r="AE175">
        <v>0.98489700000000002</v>
      </c>
      <c r="AF175">
        <v>0.98</v>
      </c>
      <c r="AG175">
        <v>0.99</v>
      </c>
      <c r="AH175">
        <v>0.98093575</v>
      </c>
      <c r="AI175">
        <v>0.98093575</v>
      </c>
      <c r="AJ175">
        <v>0.98</v>
      </c>
      <c r="AK175">
        <v>1</v>
      </c>
      <c r="AL175">
        <v>0.98499999999999999</v>
      </c>
      <c r="AM175">
        <v>0</v>
      </c>
      <c r="BB175" s="446">
        <v>1</v>
      </c>
      <c r="BC175">
        <v>1</v>
      </c>
      <c r="BD175">
        <v>1</v>
      </c>
      <c r="BE175">
        <v>1</v>
      </c>
      <c r="BF175">
        <v>0.99990000000000001</v>
      </c>
      <c r="BG175">
        <v>1</v>
      </c>
      <c r="BH175">
        <v>1</v>
      </c>
      <c r="BI175">
        <v>0.99</v>
      </c>
      <c r="BJ175">
        <v>0.999</v>
      </c>
      <c r="BK175">
        <v>0.998</v>
      </c>
      <c r="BL175">
        <v>0.99850000000000005</v>
      </c>
      <c r="BM175">
        <v>0.99850000000000005</v>
      </c>
      <c r="BN175">
        <v>0.97199999999999998</v>
      </c>
      <c r="BO175">
        <v>0.99990000000000001</v>
      </c>
      <c r="BP175">
        <v>0.99990000000000001</v>
      </c>
      <c r="BQ175">
        <v>1</v>
      </c>
      <c r="BR175">
        <v>1.1123126000000001</v>
      </c>
      <c r="BS175">
        <v>1.123</v>
      </c>
      <c r="BT175">
        <v>1.0827</v>
      </c>
      <c r="BU175">
        <v>1.0218</v>
      </c>
      <c r="BV175">
        <v>1</v>
      </c>
      <c r="BW175">
        <v>2.4558</v>
      </c>
      <c r="BX175">
        <v>2.3115263330000002</v>
      </c>
      <c r="BY175">
        <v>1.1375500000000001</v>
      </c>
      <c r="BZ175">
        <v>1.2885</v>
      </c>
      <c r="CA175">
        <v>2.0009999999999999</v>
      </c>
      <c r="CB175">
        <v>1.5495049999999999</v>
      </c>
      <c r="CC175">
        <v>1.5495049999999999</v>
      </c>
      <c r="CD175">
        <v>1.2832049999999999</v>
      </c>
      <c r="CE175">
        <v>1.09433</v>
      </c>
      <c r="CF175">
        <v>1.453805</v>
      </c>
      <c r="CG175" s="332"/>
      <c r="CH175">
        <v>1.1021749999999999</v>
      </c>
      <c r="CI175" s="332"/>
      <c r="CJ175" s="332"/>
      <c r="CK175" s="332"/>
      <c r="CL175" s="332"/>
      <c r="CM175" s="332"/>
      <c r="CN175" s="332"/>
      <c r="CO175" s="332"/>
      <c r="CP175">
        <v>0.86499999999999999</v>
      </c>
      <c r="CU175">
        <v>0.54</v>
      </c>
      <c r="CV175">
        <v>0.45</v>
      </c>
      <c r="CW175">
        <v>0.875</v>
      </c>
      <c r="CX175">
        <v>0.90500000000000003</v>
      </c>
      <c r="CY175">
        <v>0.51500000000000001</v>
      </c>
      <c r="CZ175">
        <v>0.78500000000000003</v>
      </c>
      <c r="DA175">
        <v>0.8175</v>
      </c>
      <c r="DB175">
        <v>0.8</v>
      </c>
      <c r="DC175">
        <v>0.9</v>
      </c>
      <c r="DD175">
        <v>0.83</v>
      </c>
      <c r="DE175">
        <v>0.89</v>
      </c>
      <c r="DN175" s="332">
        <v>2.8499999999999999E-4</v>
      </c>
      <c r="DO175" s="332">
        <v>2.0000000000000001E-4</v>
      </c>
      <c r="DP175" s="332">
        <v>0</v>
      </c>
      <c r="DQ175" s="332">
        <v>1E-4</v>
      </c>
      <c r="DR175" s="332">
        <v>0</v>
      </c>
      <c r="DS175" s="332">
        <v>3.5999999999999999E-3</v>
      </c>
      <c r="DT175" s="332">
        <v>4.6999999999999999E-4</v>
      </c>
      <c r="DU175" s="332">
        <v>6.9999999999999999E-4</v>
      </c>
      <c r="DV175" s="332">
        <v>0</v>
      </c>
      <c r="DW175" s="332">
        <v>0</v>
      </c>
      <c r="DX175" s="332">
        <v>5.0000000000000001E-4</v>
      </c>
      <c r="DY175" s="332">
        <v>5.0000000000000001E-4</v>
      </c>
      <c r="DZ175" s="332">
        <v>2.9999999999999997E-4</v>
      </c>
      <c r="EA175" s="332">
        <v>2.7500000000000002E-4</v>
      </c>
      <c r="EB175" s="332">
        <v>4.0000000000000002E-4</v>
      </c>
      <c r="ED175" s="332">
        <v>6.4999999999999994E-5</v>
      </c>
      <c r="EF175">
        <v>1</v>
      </c>
    </row>
    <row r="176" spans="1:136" x14ac:dyDescent="0.25">
      <c r="A176" s="66">
        <v>41730</v>
      </c>
      <c r="B176">
        <v>0.98</v>
      </c>
      <c r="C176">
        <v>0</v>
      </c>
      <c r="E176">
        <v>0</v>
      </c>
      <c r="F176">
        <v>0</v>
      </c>
      <c r="G176">
        <v>0.98750000000000004</v>
      </c>
      <c r="H176">
        <v>0.97103846000000005</v>
      </c>
      <c r="I176">
        <v>0.98750000000000004</v>
      </c>
      <c r="J176">
        <v>0.98050000000000004</v>
      </c>
      <c r="K176">
        <v>0.98499999999999999</v>
      </c>
      <c r="L176" s="333">
        <v>0.98750000000000004</v>
      </c>
      <c r="M176" s="333">
        <v>0.98750000000000004</v>
      </c>
      <c r="N176">
        <v>0.98</v>
      </c>
      <c r="O176">
        <v>0.98750000000000004</v>
      </c>
      <c r="P176">
        <v>0.98</v>
      </c>
      <c r="Q176" s="328">
        <v>0.98750000000000004</v>
      </c>
      <c r="R176">
        <v>0.98750000000000004</v>
      </c>
      <c r="S176" s="333">
        <v>0.98750000000000004</v>
      </c>
      <c r="T176">
        <v>0.98</v>
      </c>
      <c r="U176">
        <v>0.98</v>
      </c>
      <c r="V176">
        <v>0.98</v>
      </c>
      <c r="W176">
        <v>0.98</v>
      </c>
      <c r="X176">
        <v>0.98750000000000004</v>
      </c>
      <c r="Y176">
        <v>0.98750000000000004</v>
      </c>
      <c r="Z176">
        <v>0.98750000000000004</v>
      </c>
      <c r="AA176">
        <v>0.98750000000000004</v>
      </c>
      <c r="AB176">
        <v>0.98</v>
      </c>
      <c r="AC176">
        <v>0.98</v>
      </c>
      <c r="AD176">
        <v>0.98750000000000004</v>
      </c>
      <c r="AE176">
        <v>0.98750000000000004</v>
      </c>
      <c r="AF176">
        <v>0.98</v>
      </c>
      <c r="AG176">
        <v>0.99</v>
      </c>
      <c r="AH176">
        <v>0.98099360000000002</v>
      </c>
      <c r="AI176">
        <v>0.98099360000000002</v>
      </c>
      <c r="AJ176">
        <v>0.98</v>
      </c>
      <c r="AK176">
        <v>1</v>
      </c>
      <c r="AL176">
        <v>0.98499999999999999</v>
      </c>
      <c r="AM176">
        <v>0</v>
      </c>
      <c r="BB176" s="446">
        <v>1</v>
      </c>
      <c r="BC176">
        <v>1</v>
      </c>
      <c r="BD176">
        <v>1</v>
      </c>
      <c r="BE176">
        <v>1</v>
      </c>
      <c r="BF176">
        <v>0.99990000000000001</v>
      </c>
      <c r="BG176">
        <v>1</v>
      </c>
      <c r="BH176">
        <v>1</v>
      </c>
      <c r="BI176">
        <v>0.99</v>
      </c>
      <c r="BJ176">
        <v>0.999</v>
      </c>
      <c r="BK176">
        <v>0.998</v>
      </c>
      <c r="BL176">
        <v>0.99850000000000005</v>
      </c>
      <c r="BM176">
        <v>0.99850000000000005</v>
      </c>
      <c r="BN176">
        <v>0.97199999999999998</v>
      </c>
      <c r="BO176">
        <v>0.99990000000000001</v>
      </c>
      <c r="BP176">
        <v>0.99990000000000001</v>
      </c>
      <c r="BQ176">
        <v>1</v>
      </c>
      <c r="BR176">
        <v>1.1125976</v>
      </c>
      <c r="BS176">
        <v>1.1232</v>
      </c>
      <c r="BT176">
        <v>1.0827</v>
      </c>
      <c r="BU176">
        <v>1.0219</v>
      </c>
      <c r="BV176">
        <v>1</v>
      </c>
      <c r="BW176">
        <v>2.4594</v>
      </c>
      <c r="BX176">
        <v>2.3119963330000002</v>
      </c>
      <c r="BY176">
        <v>1.13825</v>
      </c>
      <c r="BZ176">
        <v>1.2885</v>
      </c>
      <c r="CA176">
        <v>2.0009999999999999</v>
      </c>
      <c r="CB176">
        <v>1.5500050000000001</v>
      </c>
      <c r="CC176">
        <v>1.5500050000000001</v>
      </c>
      <c r="CD176">
        <v>1.2835049999999999</v>
      </c>
      <c r="CE176">
        <v>1.0946050000000001</v>
      </c>
      <c r="CF176">
        <v>1.454205</v>
      </c>
      <c r="CG176" s="332"/>
      <c r="CH176">
        <v>1.1022400000000001</v>
      </c>
      <c r="CI176" s="332"/>
      <c r="CJ176" s="332"/>
      <c r="CK176" s="332"/>
      <c r="CL176" s="332"/>
      <c r="CM176" s="332"/>
      <c r="CN176" s="332"/>
      <c r="CO176" s="332"/>
      <c r="CP176">
        <v>0.89500000000000002</v>
      </c>
      <c r="CU176">
        <v>0.48</v>
      </c>
      <c r="CV176">
        <v>0.42</v>
      </c>
      <c r="CW176">
        <v>0.93500000000000005</v>
      </c>
      <c r="CX176">
        <v>0.89500000000000002</v>
      </c>
      <c r="CY176">
        <v>0.57499999999999996</v>
      </c>
      <c r="CZ176">
        <v>0.89500000000000002</v>
      </c>
      <c r="DA176">
        <v>0.92749999999999999</v>
      </c>
      <c r="DB176">
        <v>0.85</v>
      </c>
      <c r="DC176">
        <v>0.90300000000000002</v>
      </c>
      <c r="DD176">
        <v>0.92</v>
      </c>
      <c r="DE176">
        <v>0.89</v>
      </c>
      <c r="DN176" s="332">
        <v>2.8499999999999999E-4</v>
      </c>
      <c r="DO176" s="332">
        <v>2.0000000000000001E-4</v>
      </c>
      <c r="DP176" s="332">
        <v>0</v>
      </c>
      <c r="DQ176" s="332">
        <v>1E-4</v>
      </c>
      <c r="DR176" s="332">
        <v>0</v>
      </c>
      <c r="DS176" s="332">
        <v>3.5999999999999999E-3</v>
      </c>
      <c r="DT176" s="332">
        <v>4.6999999999999999E-4</v>
      </c>
      <c r="DU176" s="332">
        <v>6.9999999999999999E-4</v>
      </c>
      <c r="DV176" s="332">
        <v>0</v>
      </c>
      <c r="DW176" s="332">
        <v>0</v>
      </c>
      <c r="DX176" s="332">
        <v>5.0000000000000001E-4</v>
      </c>
      <c r="DY176" s="332">
        <v>5.0000000000000001E-4</v>
      </c>
      <c r="DZ176" s="332">
        <v>2.9999999999999997E-4</v>
      </c>
      <c r="EA176" s="332">
        <v>2.7500000000000002E-4</v>
      </c>
      <c r="EB176" s="332">
        <v>4.0000000000000002E-4</v>
      </c>
      <c r="ED176" s="332">
        <v>6.4999999999999994E-5</v>
      </c>
      <c r="EF176">
        <v>1</v>
      </c>
    </row>
    <row r="177" spans="1:136" x14ac:dyDescent="0.25">
      <c r="A177" s="66">
        <v>41760</v>
      </c>
      <c r="B177">
        <v>0.98</v>
      </c>
      <c r="C177">
        <v>0</v>
      </c>
      <c r="E177">
        <v>0</v>
      </c>
      <c r="F177">
        <v>0</v>
      </c>
      <c r="G177">
        <v>0.83742000000000005</v>
      </c>
      <c r="H177">
        <v>0.97123585999999995</v>
      </c>
      <c r="I177">
        <v>0.98750000000000004</v>
      </c>
      <c r="J177">
        <v>0.98050000000000004</v>
      </c>
      <c r="K177">
        <v>0.98499999999999999</v>
      </c>
      <c r="L177" s="333">
        <v>0.98750000000000004</v>
      </c>
      <c r="M177" s="333">
        <v>0.98750000000000004</v>
      </c>
      <c r="N177">
        <v>0.98</v>
      </c>
      <c r="O177">
        <v>0.98539200000000005</v>
      </c>
      <c r="P177">
        <v>0.98</v>
      </c>
      <c r="Q177" s="328">
        <v>0.98750000000000004</v>
      </c>
      <c r="R177">
        <v>0.98750000000000004</v>
      </c>
      <c r="S177" s="333">
        <v>0.98750000000000004</v>
      </c>
      <c r="T177">
        <v>0.98</v>
      </c>
      <c r="U177">
        <v>0.98</v>
      </c>
      <c r="V177">
        <v>0.98</v>
      </c>
      <c r="W177">
        <v>0.98</v>
      </c>
      <c r="X177">
        <v>0.98539200000000005</v>
      </c>
      <c r="Y177">
        <v>0.98539200000000005</v>
      </c>
      <c r="Z177">
        <v>0.98539200000000005</v>
      </c>
      <c r="AA177">
        <v>0.98539200000000005</v>
      </c>
      <c r="AB177">
        <v>0.98</v>
      </c>
      <c r="AC177">
        <v>0.98</v>
      </c>
      <c r="AD177">
        <v>0.98539200000000005</v>
      </c>
      <c r="AE177">
        <v>0.98539200000000005</v>
      </c>
      <c r="AF177">
        <v>0.98</v>
      </c>
      <c r="AG177">
        <v>0.99</v>
      </c>
      <c r="AH177">
        <v>0.98105145000000005</v>
      </c>
      <c r="AI177">
        <v>0.98105145000000005</v>
      </c>
      <c r="AJ177">
        <v>0.98</v>
      </c>
      <c r="AK177">
        <v>1</v>
      </c>
      <c r="AL177">
        <v>0.98499999999999999</v>
      </c>
      <c r="AM177">
        <v>0</v>
      </c>
      <c r="BB177" s="446">
        <v>1</v>
      </c>
      <c r="BC177">
        <v>1</v>
      </c>
      <c r="BD177">
        <v>1</v>
      </c>
      <c r="BE177">
        <v>1</v>
      </c>
      <c r="BF177">
        <v>0.99990000000000001</v>
      </c>
      <c r="BG177">
        <v>1</v>
      </c>
      <c r="BH177">
        <v>1</v>
      </c>
      <c r="BI177">
        <v>0.99</v>
      </c>
      <c r="BJ177">
        <v>0.999</v>
      </c>
      <c r="BK177">
        <v>0.998</v>
      </c>
      <c r="BL177">
        <v>0.99850000000000005</v>
      </c>
      <c r="BM177">
        <v>0.99850000000000005</v>
      </c>
      <c r="BN177">
        <v>0.97199999999999998</v>
      </c>
      <c r="BO177">
        <v>0.99990000000000001</v>
      </c>
      <c r="BP177">
        <v>0.99990000000000001</v>
      </c>
      <c r="BQ177">
        <v>1</v>
      </c>
      <c r="BR177">
        <v>1.1128826000000001</v>
      </c>
      <c r="BS177">
        <v>1.1234</v>
      </c>
      <c r="BT177">
        <v>1.0827</v>
      </c>
      <c r="BU177">
        <v>1.022</v>
      </c>
      <c r="BV177">
        <v>1</v>
      </c>
      <c r="BW177">
        <v>2.4630000000000001</v>
      </c>
      <c r="BX177">
        <v>2.3124663330000002</v>
      </c>
      <c r="BY177">
        <v>1.1389499999999999</v>
      </c>
      <c r="BZ177">
        <v>1.2885</v>
      </c>
      <c r="CA177">
        <v>2.0009999999999999</v>
      </c>
      <c r="CB177">
        <v>1.550505</v>
      </c>
      <c r="CC177">
        <v>1.550505</v>
      </c>
      <c r="CD177">
        <v>1.2838050000000001</v>
      </c>
      <c r="CE177">
        <v>1.0948800000000001</v>
      </c>
      <c r="CF177">
        <v>1.4546049999999999</v>
      </c>
      <c r="CG177" s="332"/>
      <c r="CH177">
        <v>1.1023050000000001</v>
      </c>
      <c r="CI177" s="332"/>
      <c r="CJ177" s="332"/>
      <c r="CK177" s="332"/>
      <c r="CL177" s="332"/>
      <c r="CM177" s="332"/>
      <c r="CN177" s="332"/>
      <c r="CO177" s="332"/>
      <c r="CP177">
        <v>0.96499999999999997</v>
      </c>
      <c r="CU177">
        <v>0.34</v>
      </c>
      <c r="CV177">
        <v>0.42</v>
      </c>
      <c r="CW177">
        <v>0.93500000000000005</v>
      </c>
      <c r="CX177">
        <v>0.79500000000000004</v>
      </c>
      <c r="CY177">
        <v>0.625</v>
      </c>
      <c r="CZ177">
        <v>0.91749999999999998</v>
      </c>
      <c r="DA177">
        <v>0.95</v>
      </c>
      <c r="DB177">
        <v>0.88</v>
      </c>
      <c r="DC177">
        <v>0.9</v>
      </c>
      <c r="DD177">
        <v>0.93500000000000005</v>
      </c>
      <c r="DE177">
        <v>0.89</v>
      </c>
      <c r="DN177" s="332">
        <v>2.8499999999999999E-4</v>
      </c>
      <c r="DO177" s="332">
        <v>2.0000000000000001E-4</v>
      </c>
      <c r="DP177" s="332">
        <v>0</v>
      </c>
      <c r="DQ177" s="332">
        <v>1E-4</v>
      </c>
      <c r="DR177" s="332">
        <v>0</v>
      </c>
      <c r="DS177" s="332">
        <v>3.5999999999999999E-3</v>
      </c>
      <c r="DT177" s="332">
        <v>4.6999999999999999E-4</v>
      </c>
      <c r="DU177" s="332">
        <v>6.9999999999999999E-4</v>
      </c>
      <c r="DV177" s="332">
        <v>0</v>
      </c>
      <c r="DW177" s="332">
        <v>0</v>
      </c>
      <c r="DX177" s="332">
        <v>5.0000000000000001E-4</v>
      </c>
      <c r="DY177" s="332">
        <v>5.0000000000000001E-4</v>
      </c>
      <c r="DZ177" s="332">
        <v>2.9999999999999997E-4</v>
      </c>
      <c r="EA177" s="332">
        <v>2.7500000000000002E-4</v>
      </c>
      <c r="EB177" s="332">
        <v>4.0000000000000002E-4</v>
      </c>
      <c r="ED177" s="332">
        <v>6.4999999999999994E-5</v>
      </c>
      <c r="EF177">
        <v>1</v>
      </c>
    </row>
    <row r="178" spans="1:136" x14ac:dyDescent="0.25">
      <c r="A178" s="66">
        <v>41791</v>
      </c>
      <c r="B178">
        <v>0.98</v>
      </c>
      <c r="C178">
        <v>0</v>
      </c>
      <c r="E178">
        <v>0</v>
      </c>
      <c r="F178">
        <v>0</v>
      </c>
      <c r="G178">
        <v>0.83864399999999995</v>
      </c>
      <c r="H178">
        <v>0.98750000000000004</v>
      </c>
      <c r="I178">
        <v>0.98750000000000004</v>
      </c>
      <c r="J178">
        <v>0.98050000000000004</v>
      </c>
      <c r="K178">
        <v>0.98499999999999999</v>
      </c>
      <c r="L178" s="333">
        <v>0.98750000000000004</v>
      </c>
      <c r="M178" s="333">
        <v>0.98750000000000004</v>
      </c>
      <c r="N178">
        <v>0.98</v>
      </c>
      <c r="O178">
        <v>0.98750000000000004</v>
      </c>
      <c r="P178">
        <v>0.98</v>
      </c>
      <c r="Q178" s="328">
        <v>0.98750000000000004</v>
      </c>
      <c r="R178">
        <v>0.98750000000000004</v>
      </c>
      <c r="S178" s="333">
        <v>0.98750000000000004</v>
      </c>
      <c r="T178">
        <v>0.98</v>
      </c>
      <c r="U178">
        <v>0.98</v>
      </c>
      <c r="V178">
        <v>0.98</v>
      </c>
      <c r="W178">
        <v>0.98</v>
      </c>
      <c r="X178">
        <v>0.98750000000000004</v>
      </c>
      <c r="Y178">
        <v>0.98750000000000004</v>
      </c>
      <c r="Z178">
        <v>0.98750000000000004</v>
      </c>
      <c r="AA178">
        <v>0.98750000000000004</v>
      </c>
      <c r="AB178">
        <v>0.98</v>
      </c>
      <c r="AC178">
        <v>0.98</v>
      </c>
      <c r="AD178">
        <v>0.98750000000000004</v>
      </c>
      <c r="AE178">
        <v>0.98750000000000004</v>
      </c>
      <c r="AF178">
        <v>0.98</v>
      </c>
      <c r="AG178">
        <v>0.99</v>
      </c>
      <c r="AH178">
        <v>0.98110929999999996</v>
      </c>
      <c r="AI178">
        <v>0.98110929999999996</v>
      </c>
      <c r="AJ178">
        <v>0.98</v>
      </c>
      <c r="AK178">
        <v>1</v>
      </c>
      <c r="AL178">
        <v>0.98499999999999999</v>
      </c>
      <c r="AM178">
        <v>0</v>
      </c>
      <c r="BB178" s="446">
        <v>1</v>
      </c>
      <c r="BC178">
        <v>1</v>
      </c>
      <c r="BD178">
        <v>1</v>
      </c>
      <c r="BE178">
        <v>1</v>
      </c>
      <c r="BF178">
        <v>0.99990000000000001</v>
      </c>
      <c r="BG178">
        <v>1</v>
      </c>
      <c r="BH178">
        <v>1</v>
      </c>
      <c r="BI178">
        <v>0.99</v>
      </c>
      <c r="BJ178">
        <v>0.999</v>
      </c>
      <c r="BK178">
        <v>0.998</v>
      </c>
      <c r="BL178">
        <v>0.99850000000000005</v>
      </c>
      <c r="BM178">
        <v>0.99850000000000005</v>
      </c>
      <c r="BN178">
        <v>0.97199999999999998</v>
      </c>
      <c r="BO178">
        <v>0.99990000000000001</v>
      </c>
      <c r="BP178">
        <v>0.99990000000000001</v>
      </c>
      <c r="BQ178">
        <v>1</v>
      </c>
      <c r="BR178">
        <v>1.1131675999999999</v>
      </c>
      <c r="BS178">
        <v>1.1235999999999999</v>
      </c>
      <c r="BT178">
        <v>1.0827</v>
      </c>
      <c r="BU178">
        <v>1.0221</v>
      </c>
      <c r="BV178">
        <v>1</v>
      </c>
      <c r="BW178">
        <v>2.4666000000000001</v>
      </c>
      <c r="BX178">
        <v>2.3129363330000001</v>
      </c>
      <c r="BY178">
        <v>1.1396500000000001</v>
      </c>
      <c r="BZ178">
        <v>1.2885</v>
      </c>
      <c r="CA178">
        <v>2.0009999999999999</v>
      </c>
      <c r="CB178">
        <v>1.551005</v>
      </c>
      <c r="CC178">
        <v>1.551005</v>
      </c>
      <c r="CD178">
        <v>1.2841050000000001</v>
      </c>
      <c r="CE178">
        <v>1.0951550000000001</v>
      </c>
      <c r="CF178">
        <v>1.4550050000000001</v>
      </c>
      <c r="CG178" s="332"/>
      <c r="CH178">
        <v>1.1023700000000001</v>
      </c>
      <c r="CI178" s="332"/>
      <c r="CJ178" s="332"/>
      <c r="CK178" s="332"/>
      <c r="CL178" s="332"/>
      <c r="CM178" s="332"/>
      <c r="CN178" s="332"/>
      <c r="CO178" s="332"/>
      <c r="CP178">
        <v>0.96499999999999997</v>
      </c>
      <c r="CU178">
        <v>0.34</v>
      </c>
      <c r="CV178">
        <v>0.47</v>
      </c>
      <c r="CW178">
        <v>0.93500000000000005</v>
      </c>
      <c r="CX178">
        <v>0.70499999999999996</v>
      </c>
      <c r="CY178">
        <v>0.72499999999999998</v>
      </c>
      <c r="CZ178">
        <v>0.88249999999999995</v>
      </c>
      <c r="DA178">
        <v>0.91500000000000004</v>
      </c>
      <c r="DB178">
        <v>0.88</v>
      </c>
      <c r="DC178">
        <v>0.90249999999999997</v>
      </c>
      <c r="DD178">
        <v>0.91500000000000004</v>
      </c>
      <c r="DE178">
        <v>0.89</v>
      </c>
      <c r="DN178" s="332">
        <v>2.8499999999999999E-4</v>
      </c>
      <c r="DO178" s="332">
        <v>2.0000000000000001E-4</v>
      </c>
      <c r="DP178" s="332">
        <v>0</v>
      </c>
      <c r="DQ178" s="332">
        <v>1E-4</v>
      </c>
      <c r="DR178" s="332">
        <v>0</v>
      </c>
      <c r="DS178" s="332">
        <v>3.5999999999999999E-3</v>
      </c>
      <c r="DT178" s="332">
        <v>4.6999999999999999E-4</v>
      </c>
      <c r="DU178" s="332">
        <v>6.9999999999999999E-4</v>
      </c>
      <c r="DV178" s="332">
        <v>0</v>
      </c>
      <c r="DW178" s="332">
        <v>0</v>
      </c>
      <c r="DX178" s="332">
        <v>5.0000000000000001E-4</v>
      </c>
      <c r="DY178" s="332">
        <v>5.0000000000000001E-4</v>
      </c>
      <c r="DZ178" s="332">
        <v>2.9999999999999997E-4</v>
      </c>
      <c r="EA178" s="332">
        <v>2.7500000000000002E-4</v>
      </c>
      <c r="EB178" s="332">
        <v>4.0000000000000002E-4</v>
      </c>
      <c r="ED178" s="332">
        <v>6.4999999999999994E-5</v>
      </c>
      <c r="EF178">
        <v>1</v>
      </c>
    </row>
    <row r="179" spans="1:136" x14ac:dyDescent="0.25">
      <c r="A179" s="66">
        <v>41821</v>
      </c>
      <c r="B179">
        <v>0.98</v>
      </c>
      <c r="C179">
        <v>0</v>
      </c>
      <c r="E179">
        <v>0</v>
      </c>
      <c r="F179">
        <v>0</v>
      </c>
      <c r="G179">
        <v>0.98750000000000004</v>
      </c>
      <c r="H179">
        <v>0.98750000000000004</v>
      </c>
      <c r="I179">
        <v>0.98750000000000004</v>
      </c>
      <c r="J179">
        <v>0.98050000000000004</v>
      </c>
      <c r="K179">
        <v>0.98499999999999999</v>
      </c>
      <c r="L179" s="333">
        <v>0.98750000000000004</v>
      </c>
      <c r="M179" s="333">
        <v>0.98750000000000004</v>
      </c>
      <c r="N179">
        <v>0.98</v>
      </c>
      <c r="O179">
        <v>0.98750000000000004</v>
      </c>
      <c r="P179">
        <v>0.98</v>
      </c>
      <c r="Q179" s="328">
        <v>0.98750000000000004</v>
      </c>
      <c r="R179">
        <v>0.98750000000000004</v>
      </c>
      <c r="S179" s="333">
        <v>0.98750000000000004</v>
      </c>
      <c r="T179">
        <v>0.98</v>
      </c>
      <c r="U179">
        <v>0.98</v>
      </c>
      <c r="V179">
        <v>0.98</v>
      </c>
      <c r="W179">
        <v>0.98</v>
      </c>
      <c r="X179">
        <v>0.98750000000000004</v>
      </c>
      <c r="Y179">
        <v>0.98750000000000004</v>
      </c>
      <c r="Z179">
        <v>0.98750000000000004</v>
      </c>
      <c r="AA179">
        <v>0.98750000000000004</v>
      </c>
      <c r="AB179">
        <v>0.98</v>
      </c>
      <c r="AC179">
        <v>0.98</v>
      </c>
      <c r="AD179">
        <v>0.98750000000000004</v>
      </c>
      <c r="AE179">
        <v>0.98750000000000004</v>
      </c>
      <c r="AF179">
        <v>0.98</v>
      </c>
      <c r="AG179">
        <v>0.99</v>
      </c>
      <c r="AH179">
        <v>0.98116714999999999</v>
      </c>
      <c r="AI179">
        <v>0.98116714999999999</v>
      </c>
      <c r="AJ179">
        <v>0.98</v>
      </c>
      <c r="AK179">
        <v>1</v>
      </c>
      <c r="AL179">
        <v>0.98499999999999999</v>
      </c>
      <c r="AM179">
        <v>0</v>
      </c>
      <c r="BB179" s="446">
        <v>1</v>
      </c>
      <c r="BC179">
        <v>1</v>
      </c>
      <c r="BD179">
        <v>1</v>
      </c>
      <c r="BE179">
        <v>1</v>
      </c>
      <c r="BF179">
        <v>0.99990000000000001</v>
      </c>
      <c r="BG179">
        <v>1</v>
      </c>
      <c r="BH179">
        <v>1</v>
      </c>
      <c r="BI179">
        <v>0.99</v>
      </c>
      <c r="BJ179">
        <v>0.999</v>
      </c>
      <c r="BK179">
        <v>0.998</v>
      </c>
      <c r="BL179">
        <v>0.99850000000000005</v>
      </c>
      <c r="BM179">
        <v>0.99850000000000005</v>
      </c>
      <c r="BN179">
        <v>0.97199999999999998</v>
      </c>
      <c r="BO179">
        <v>0.99990000000000001</v>
      </c>
      <c r="BP179">
        <v>0.99990000000000001</v>
      </c>
      <c r="BQ179">
        <v>1</v>
      </c>
      <c r="BR179">
        <v>1.1134526</v>
      </c>
      <c r="BS179">
        <v>1.1237999999999999</v>
      </c>
      <c r="BT179">
        <v>1.0827</v>
      </c>
      <c r="BU179">
        <v>1.0222</v>
      </c>
      <c r="BV179">
        <v>1</v>
      </c>
      <c r="BW179">
        <v>2.4702000000000002</v>
      </c>
      <c r="BX179">
        <v>2.3134063330000001</v>
      </c>
      <c r="BY179">
        <v>1.14035</v>
      </c>
      <c r="BZ179">
        <v>1.2885</v>
      </c>
      <c r="CA179">
        <v>2.0009999999999999</v>
      </c>
      <c r="CB179">
        <v>1.5515049999999999</v>
      </c>
      <c r="CC179">
        <v>1.5515049999999999</v>
      </c>
      <c r="CD179">
        <v>1.284405</v>
      </c>
      <c r="CE179">
        <v>1.0954299999999999</v>
      </c>
      <c r="CF179">
        <v>1.4554050000000001</v>
      </c>
      <c r="CG179" s="332"/>
      <c r="CH179">
        <v>1.1024350000000001</v>
      </c>
      <c r="CI179" s="332"/>
      <c r="CJ179" s="332"/>
      <c r="CK179" s="332"/>
      <c r="CL179" s="332"/>
      <c r="CM179" s="332"/>
      <c r="CN179" s="332"/>
      <c r="CO179" s="332"/>
      <c r="CP179">
        <v>0.97499999999999998</v>
      </c>
      <c r="CU179">
        <v>0.41</v>
      </c>
      <c r="CV179">
        <v>0.47</v>
      </c>
      <c r="CW179">
        <v>0.93500000000000005</v>
      </c>
      <c r="CX179">
        <v>0.72499999999999998</v>
      </c>
      <c r="CY179">
        <v>0.72499999999999998</v>
      </c>
      <c r="CZ179">
        <v>0.87749999999999995</v>
      </c>
      <c r="DA179">
        <v>0.91</v>
      </c>
      <c r="DB179">
        <v>0.89</v>
      </c>
      <c r="DC179">
        <v>0.90749999999999997</v>
      </c>
      <c r="DD179">
        <v>0.91500000000000004</v>
      </c>
      <c r="DE179">
        <v>0.89</v>
      </c>
      <c r="DN179" s="332">
        <v>2.8499999999999999E-4</v>
      </c>
      <c r="DO179" s="332">
        <v>2.0000000000000001E-4</v>
      </c>
      <c r="DP179" s="332">
        <v>0</v>
      </c>
      <c r="DQ179" s="332">
        <v>1E-4</v>
      </c>
      <c r="DR179" s="332">
        <v>0</v>
      </c>
      <c r="DS179" s="332">
        <v>3.5999999999999999E-3</v>
      </c>
      <c r="DT179" s="332">
        <v>4.6999999999999999E-4</v>
      </c>
      <c r="DU179" s="332">
        <v>6.9999999999999999E-4</v>
      </c>
      <c r="DV179" s="332">
        <v>0</v>
      </c>
      <c r="DW179" s="332">
        <v>0</v>
      </c>
      <c r="DX179" s="332">
        <v>5.0000000000000001E-4</v>
      </c>
      <c r="DY179" s="332">
        <v>5.0000000000000001E-4</v>
      </c>
      <c r="DZ179" s="332">
        <v>2.9999999999999997E-4</v>
      </c>
      <c r="EA179" s="332">
        <v>2.7500000000000002E-4</v>
      </c>
      <c r="EB179" s="332">
        <v>4.0000000000000002E-4</v>
      </c>
      <c r="ED179" s="332">
        <v>6.4999999999999994E-5</v>
      </c>
      <c r="EF179">
        <v>1</v>
      </c>
    </row>
    <row r="180" spans="1:136" x14ac:dyDescent="0.25">
      <c r="A180" s="66">
        <v>41852</v>
      </c>
      <c r="B180">
        <v>0.98</v>
      </c>
      <c r="C180">
        <v>0</v>
      </c>
      <c r="E180">
        <v>0</v>
      </c>
      <c r="F180">
        <v>0</v>
      </c>
      <c r="G180">
        <v>0.98750000000000004</v>
      </c>
      <c r="H180">
        <v>0.98750000000000004</v>
      </c>
      <c r="I180">
        <v>0.98750000000000004</v>
      </c>
      <c r="J180">
        <v>0.98050000000000004</v>
      </c>
      <c r="K180">
        <v>0.98499999999999999</v>
      </c>
      <c r="L180" s="333">
        <v>0.98750000000000004</v>
      </c>
      <c r="M180" s="333">
        <v>0.98750000000000004</v>
      </c>
      <c r="N180">
        <v>0.98</v>
      </c>
      <c r="O180">
        <v>0.98750000000000004</v>
      </c>
      <c r="P180">
        <v>0.98</v>
      </c>
      <c r="Q180" s="328">
        <v>0.98750000000000004</v>
      </c>
      <c r="R180">
        <v>0.98750000000000004</v>
      </c>
      <c r="S180" s="333">
        <v>0.98750000000000004</v>
      </c>
      <c r="T180">
        <v>0.98</v>
      </c>
      <c r="U180">
        <v>0.98</v>
      </c>
      <c r="V180">
        <v>0.98</v>
      </c>
      <c r="W180">
        <v>0.98</v>
      </c>
      <c r="X180">
        <v>0.98750000000000004</v>
      </c>
      <c r="Y180">
        <v>0.98750000000000004</v>
      </c>
      <c r="Z180">
        <v>0.98750000000000004</v>
      </c>
      <c r="AA180">
        <v>0.98750000000000004</v>
      </c>
      <c r="AB180">
        <v>0.98</v>
      </c>
      <c r="AC180">
        <v>0.98</v>
      </c>
      <c r="AD180">
        <v>0.98750000000000004</v>
      </c>
      <c r="AE180">
        <v>0.98750000000000004</v>
      </c>
      <c r="AF180">
        <v>0.98</v>
      </c>
      <c r="AG180">
        <v>0.99</v>
      </c>
      <c r="AH180">
        <v>0.98122500000000001</v>
      </c>
      <c r="AI180">
        <v>0.98122500000000001</v>
      </c>
      <c r="AJ180">
        <v>0.98</v>
      </c>
      <c r="AK180">
        <v>1</v>
      </c>
      <c r="AL180">
        <v>0.98499999999999999</v>
      </c>
      <c r="AM180">
        <v>0</v>
      </c>
      <c r="BB180" s="446">
        <v>1</v>
      </c>
      <c r="BC180">
        <v>1</v>
      </c>
      <c r="BD180">
        <v>1</v>
      </c>
      <c r="BE180">
        <v>1</v>
      </c>
      <c r="BF180">
        <v>0.99990000000000001</v>
      </c>
      <c r="BG180">
        <v>1</v>
      </c>
      <c r="BH180">
        <v>1</v>
      </c>
      <c r="BI180">
        <v>0.99</v>
      </c>
      <c r="BJ180">
        <v>0.999</v>
      </c>
      <c r="BK180">
        <v>0.998</v>
      </c>
      <c r="BL180">
        <v>0.99850000000000005</v>
      </c>
      <c r="BM180">
        <v>0.99850000000000005</v>
      </c>
      <c r="BN180">
        <v>0.97199999999999998</v>
      </c>
      <c r="BO180">
        <v>0.99990000000000001</v>
      </c>
      <c r="BP180">
        <v>0.99990000000000001</v>
      </c>
      <c r="BQ180">
        <v>1</v>
      </c>
      <c r="BR180">
        <v>1.1137376000000001</v>
      </c>
      <c r="BS180">
        <v>1.1240000000000001</v>
      </c>
      <c r="BT180">
        <v>1.0827</v>
      </c>
      <c r="BU180">
        <v>1.0223</v>
      </c>
      <c r="BV180">
        <v>1</v>
      </c>
      <c r="BW180">
        <v>2.4738000000000002</v>
      </c>
      <c r="BX180">
        <v>2.3138763330000001</v>
      </c>
      <c r="BY180">
        <v>1.1410499999999999</v>
      </c>
      <c r="BZ180">
        <v>1.2885</v>
      </c>
      <c r="CA180">
        <v>2.0009999999999999</v>
      </c>
      <c r="CB180">
        <v>1.5520050000000001</v>
      </c>
      <c r="CC180">
        <v>1.5520050000000001</v>
      </c>
      <c r="CD180">
        <v>1.284705</v>
      </c>
      <c r="CE180">
        <v>1.0957049999999999</v>
      </c>
      <c r="CF180">
        <v>1.455805</v>
      </c>
      <c r="CG180" s="332"/>
      <c r="CH180">
        <v>1.1025</v>
      </c>
      <c r="CI180" s="332"/>
      <c r="CJ180" s="332"/>
      <c r="CK180" s="332"/>
      <c r="CL180" s="332"/>
      <c r="CM180" s="332"/>
      <c r="CN180" s="332"/>
      <c r="CO180" s="332"/>
      <c r="CP180">
        <v>0.97499999999999998</v>
      </c>
      <c r="CU180">
        <v>0.43</v>
      </c>
      <c r="CV180">
        <v>0.52</v>
      </c>
      <c r="CW180">
        <v>0.92500000000000004</v>
      </c>
      <c r="CX180">
        <v>0.81499999999999995</v>
      </c>
      <c r="CY180">
        <v>0.72499999999999998</v>
      </c>
      <c r="CZ180">
        <v>0.89</v>
      </c>
      <c r="DA180">
        <v>0.92249999999999999</v>
      </c>
      <c r="DB180">
        <v>0.91500000000000004</v>
      </c>
      <c r="DC180">
        <v>0.92749999999999999</v>
      </c>
      <c r="DD180">
        <v>0.91500000000000004</v>
      </c>
      <c r="DE180">
        <v>0.89</v>
      </c>
      <c r="DN180" s="332">
        <v>2.8499999999999999E-4</v>
      </c>
      <c r="DO180" s="332">
        <v>2.0000000000000001E-4</v>
      </c>
      <c r="DP180" s="332">
        <v>0</v>
      </c>
      <c r="DQ180" s="332">
        <v>1E-4</v>
      </c>
      <c r="DR180" s="332">
        <v>0</v>
      </c>
      <c r="DS180" s="332">
        <v>3.5999999999999999E-3</v>
      </c>
      <c r="DT180" s="332">
        <v>4.6999999999999999E-4</v>
      </c>
      <c r="DU180" s="332">
        <v>6.9999999999999999E-4</v>
      </c>
      <c r="DV180" s="332">
        <v>0</v>
      </c>
      <c r="DW180" s="332">
        <v>0</v>
      </c>
      <c r="DX180" s="332">
        <v>5.0000000000000001E-4</v>
      </c>
      <c r="DY180" s="332">
        <v>5.0000000000000001E-4</v>
      </c>
      <c r="DZ180" s="332">
        <v>2.9999999999999997E-4</v>
      </c>
      <c r="EA180" s="332">
        <v>2.7500000000000002E-4</v>
      </c>
      <c r="EB180" s="332">
        <v>4.0000000000000002E-4</v>
      </c>
      <c r="ED180" s="332">
        <v>6.4999999999999994E-5</v>
      </c>
      <c r="EF180">
        <v>1</v>
      </c>
    </row>
    <row r="181" spans="1:136" x14ac:dyDescent="0.25">
      <c r="A181" s="66">
        <v>41883</v>
      </c>
      <c r="B181">
        <v>0.98</v>
      </c>
      <c r="C181">
        <v>0</v>
      </c>
      <c r="E181">
        <v>0</v>
      </c>
      <c r="F181">
        <v>0</v>
      </c>
      <c r="G181">
        <v>0.98750000000000004</v>
      </c>
      <c r="H181">
        <v>0.98750000000000004</v>
      </c>
      <c r="I181">
        <v>0.98750000000000004</v>
      </c>
      <c r="J181">
        <v>0.98050000000000004</v>
      </c>
      <c r="K181">
        <v>0.98499999999999999</v>
      </c>
      <c r="L181" s="333">
        <v>0.98750000000000004</v>
      </c>
      <c r="M181" s="333">
        <v>0.98750000000000004</v>
      </c>
      <c r="N181">
        <v>0.98</v>
      </c>
      <c r="O181">
        <v>0.98750000000000004</v>
      </c>
      <c r="P181">
        <v>0.98</v>
      </c>
      <c r="Q181" s="328">
        <v>0.98750000000000004</v>
      </c>
      <c r="R181">
        <v>0.98750000000000004</v>
      </c>
      <c r="S181" s="333">
        <v>0.98750000000000004</v>
      </c>
      <c r="T181">
        <v>0.98</v>
      </c>
      <c r="U181">
        <v>0.98</v>
      </c>
      <c r="V181">
        <v>0.98</v>
      </c>
      <c r="W181">
        <v>0.98</v>
      </c>
      <c r="X181">
        <v>0.98750000000000004</v>
      </c>
      <c r="Y181">
        <v>0.98750000000000004</v>
      </c>
      <c r="Z181">
        <v>0.98750000000000004</v>
      </c>
      <c r="AA181">
        <v>0.98750000000000004</v>
      </c>
      <c r="AB181">
        <v>0.98</v>
      </c>
      <c r="AC181">
        <v>0.98</v>
      </c>
      <c r="AD181">
        <v>0.98750000000000004</v>
      </c>
      <c r="AE181">
        <v>0.98750000000000004</v>
      </c>
      <c r="AF181">
        <v>0.98</v>
      </c>
      <c r="AG181">
        <v>0.99</v>
      </c>
      <c r="AH181">
        <v>0.98128285000000004</v>
      </c>
      <c r="AI181">
        <v>0.98128285000000004</v>
      </c>
      <c r="AJ181">
        <v>0.98</v>
      </c>
      <c r="AK181">
        <v>1</v>
      </c>
      <c r="AL181">
        <v>0.98499999999999999</v>
      </c>
      <c r="AM181">
        <v>0</v>
      </c>
      <c r="BB181" s="446">
        <v>1</v>
      </c>
      <c r="BC181">
        <v>1</v>
      </c>
      <c r="BD181">
        <v>1</v>
      </c>
      <c r="BE181">
        <v>1</v>
      </c>
      <c r="BF181">
        <v>0.99990000000000001</v>
      </c>
      <c r="BG181">
        <v>1</v>
      </c>
      <c r="BH181">
        <v>1</v>
      </c>
      <c r="BI181">
        <v>0.99</v>
      </c>
      <c r="BJ181">
        <v>0.999</v>
      </c>
      <c r="BK181">
        <v>0.998</v>
      </c>
      <c r="BL181">
        <v>0.99850000000000005</v>
      </c>
      <c r="BM181">
        <v>0.99850000000000005</v>
      </c>
      <c r="BN181">
        <v>0.97199999999999998</v>
      </c>
      <c r="BO181">
        <v>0.99990000000000001</v>
      </c>
      <c r="BP181">
        <v>0.99990000000000001</v>
      </c>
      <c r="BQ181">
        <v>1</v>
      </c>
      <c r="BR181">
        <v>1.1140226</v>
      </c>
      <c r="BS181">
        <v>1.1242000000000001</v>
      </c>
      <c r="BT181">
        <v>1.0827</v>
      </c>
      <c r="BU181">
        <v>1.0224</v>
      </c>
      <c r="BV181">
        <v>1</v>
      </c>
      <c r="BW181">
        <v>2.4773999999999998</v>
      </c>
      <c r="BX181">
        <v>2.314346333</v>
      </c>
      <c r="BY181">
        <v>1.14175</v>
      </c>
      <c r="BZ181">
        <v>1.2885</v>
      </c>
      <c r="CA181">
        <v>2.0009999999999999</v>
      </c>
      <c r="CB181">
        <v>1.552505</v>
      </c>
      <c r="CC181">
        <v>1.552505</v>
      </c>
      <c r="CD181">
        <v>1.285005</v>
      </c>
      <c r="CE181">
        <v>1.09598</v>
      </c>
      <c r="CF181">
        <v>1.456205</v>
      </c>
      <c r="CG181" s="332"/>
      <c r="CH181">
        <v>1.102565</v>
      </c>
      <c r="CI181" s="332"/>
      <c r="CJ181" s="332"/>
      <c r="CK181" s="332"/>
      <c r="CL181" s="332"/>
      <c r="CM181" s="332"/>
      <c r="CN181" s="332"/>
      <c r="CO181" s="332"/>
      <c r="CP181">
        <v>0.97499999999999998</v>
      </c>
      <c r="CU181">
        <v>0.46</v>
      </c>
      <c r="CV181">
        <v>0.55000000000000004</v>
      </c>
      <c r="CW181">
        <v>0.92500000000000004</v>
      </c>
      <c r="CX181">
        <v>0.67500000000000004</v>
      </c>
      <c r="CY181">
        <v>0.57499999999999996</v>
      </c>
      <c r="CZ181">
        <v>0.94499999999999995</v>
      </c>
      <c r="DA181">
        <v>0.97750000000000004</v>
      </c>
      <c r="DB181">
        <v>0.94499999999999995</v>
      </c>
      <c r="DC181">
        <v>0.92</v>
      </c>
      <c r="DD181">
        <v>0.91500000000000004</v>
      </c>
      <c r="DE181">
        <v>0.89</v>
      </c>
      <c r="DN181" s="332">
        <v>2.8499999999999999E-4</v>
      </c>
      <c r="DO181" s="332">
        <v>2.0000000000000001E-4</v>
      </c>
      <c r="DP181" s="332">
        <v>0</v>
      </c>
      <c r="DQ181" s="332">
        <v>1E-4</v>
      </c>
      <c r="DR181" s="332">
        <v>0</v>
      </c>
      <c r="DS181" s="332">
        <v>3.5999999999999999E-3</v>
      </c>
      <c r="DT181" s="332">
        <v>4.6999999999999999E-4</v>
      </c>
      <c r="DU181" s="332">
        <v>6.9999999999999999E-4</v>
      </c>
      <c r="DV181" s="332">
        <v>0</v>
      </c>
      <c r="DW181" s="332">
        <v>0</v>
      </c>
      <c r="DX181" s="332">
        <v>5.0000000000000001E-4</v>
      </c>
      <c r="DY181" s="332">
        <v>5.0000000000000001E-4</v>
      </c>
      <c r="DZ181" s="332">
        <v>2.9999999999999997E-4</v>
      </c>
      <c r="EA181" s="332">
        <v>2.7500000000000002E-4</v>
      </c>
      <c r="EB181" s="332">
        <v>4.0000000000000002E-4</v>
      </c>
      <c r="ED181" s="332">
        <v>6.4999999999999994E-5</v>
      </c>
      <c r="EF181">
        <v>1</v>
      </c>
    </row>
    <row r="182" spans="1:136" x14ac:dyDescent="0.25">
      <c r="A182" s="66">
        <v>41913</v>
      </c>
      <c r="B182">
        <v>0.98</v>
      </c>
      <c r="C182">
        <v>0</v>
      </c>
      <c r="E182">
        <v>0</v>
      </c>
      <c r="F182">
        <v>0</v>
      </c>
      <c r="G182">
        <v>0.98750000000000004</v>
      </c>
      <c r="H182">
        <v>0.98750000000000004</v>
      </c>
      <c r="I182">
        <v>0.98750000000000004</v>
      </c>
      <c r="J182">
        <v>0.98050000000000004</v>
      </c>
      <c r="K182">
        <v>0.98499999999999999</v>
      </c>
      <c r="L182" s="333">
        <v>0.98750000000000004</v>
      </c>
      <c r="M182" s="333">
        <v>0.98750000000000004</v>
      </c>
      <c r="N182">
        <v>0.98</v>
      </c>
      <c r="O182">
        <v>0.98750000000000004</v>
      </c>
      <c r="P182">
        <v>0.98</v>
      </c>
      <c r="Q182" s="328">
        <v>0.98750000000000004</v>
      </c>
      <c r="R182">
        <v>0.98750000000000004</v>
      </c>
      <c r="S182" s="333">
        <v>0.98750000000000004</v>
      </c>
      <c r="T182">
        <v>0.98</v>
      </c>
      <c r="U182">
        <v>0.98</v>
      </c>
      <c r="V182">
        <v>0.98</v>
      </c>
      <c r="W182">
        <v>0.98</v>
      </c>
      <c r="X182">
        <v>0.98750000000000004</v>
      </c>
      <c r="Y182">
        <v>0.98750000000000004</v>
      </c>
      <c r="Z182">
        <v>0.98750000000000004</v>
      </c>
      <c r="AA182">
        <v>0.98750000000000004</v>
      </c>
      <c r="AB182">
        <v>0.98</v>
      </c>
      <c r="AC182">
        <v>0.98</v>
      </c>
      <c r="AD182">
        <v>0.98750000000000004</v>
      </c>
      <c r="AE182">
        <v>0.98750000000000004</v>
      </c>
      <c r="AF182">
        <v>0.98</v>
      </c>
      <c r="AG182">
        <v>0.99</v>
      </c>
      <c r="AH182">
        <v>0.98134069999999995</v>
      </c>
      <c r="AI182">
        <v>0.98134069999999995</v>
      </c>
      <c r="AJ182">
        <v>0.98</v>
      </c>
      <c r="AK182">
        <v>1</v>
      </c>
      <c r="AL182">
        <v>0.98499999999999999</v>
      </c>
      <c r="AM182">
        <v>0</v>
      </c>
      <c r="BB182" s="446">
        <v>1</v>
      </c>
      <c r="BC182">
        <v>1</v>
      </c>
      <c r="BD182">
        <v>1</v>
      </c>
      <c r="BE182">
        <v>1</v>
      </c>
      <c r="BF182">
        <v>0.99990000000000001</v>
      </c>
      <c r="BG182">
        <v>1</v>
      </c>
      <c r="BH182">
        <v>1</v>
      </c>
      <c r="BI182">
        <v>0.99</v>
      </c>
      <c r="BJ182">
        <v>0.999</v>
      </c>
      <c r="BK182">
        <v>0.998</v>
      </c>
      <c r="BL182">
        <v>0.99850000000000005</v>
      </c>
      <c r="BM182">
        <v>0.99850000000000005</v>
      </c>
      <c r="BN182">
        <v>0.97199999999999998</v>
      </c>
      <c r="BO182">
        <v>0.99990000000000001</v>
      </c>
      <c r="BP182">
        <v>0.99990000000000001</v>
      </c>
      <c r="BQ182">
        <v>1</v>
      </c>
      <c r="BR182">
        <v>1.1143076000000001</v>
      </c>
      <c r="BS182">
        <v>1.1244000000000001</v>
      </c>
      <c r="BT182">
        <v>1.0827</v>
      </c>
      <c r="BU182">
        <v>1.0225</v>
      </c>
      <c r="BV182">
        <v>1</v>
      </c>
      <c r="BW182">
        <v>2.4809999999999999</v>
      </c>
      <c r="BX182">
        <v>2.314816333</v>
      </c>
      <c r="BY182">
        <v>1.14245</v>
      </c>
      <c r="BZ182">
        <v>1.2885</v>
      </c>
      <c r="CA182">
        <v>2.0009999999999999</v>
      </c>
      <c r="CB182">
        <v>1.553005</v>
      </c>
      <c r="CC182">
        <v>1.553005</v>
      </c>
      <c r="CD182">
        <v>1.2853049999999999</v>
      </c>
      <c r="CE182">
        <v>1.096255</v>
      </c>
      <c r="CF182">
        <v>1.4566049999999999</v>
      </c>
      <c r="CG182" s="332"/>
      <c r="CH182">
        <v>1.10263</v>
      </c>
      <c r="CI182" s="332"/>
      <c r="CJ182" s="332"/>
      <c r="CK182" s="332"/>
      <c r="CL182" s="332"/>
      <c r="CM182" s="332"/>
      <c r="CN182" s="332"/>
      <c r="CO182" s="332"/>
      <c r="CP182">
        <v>0.95499999999999996</v>
      </c>
      <c r="CU182">
        <v>0.46</v>
      </c>
      <c r="CV182">
        <v>0.45</v>
      </c>
      <c r="CW182">
        <v>0.92500000000000004</v>
      </c>
      <c r="CX182">
        <v>0.66500000000000004</v>
      </c>
      <c r="CY182">
        <v>0.505</v>
      </c>
      <c r="CZ182">
        <v>0.80500000000000005</v>
      </c>
      <c r="DA182">
        <v>0.83750000000000002</v>
      </c>
      <c r="DB182">
        <v>0.875</v>
      </c>
      <c r="DC182">
        <v>0.90249999999999997</v>
      </c>
      <c r="DD182">
        <v>0.82</v>
      </c>
      <c r="DE182">
        <v>0.89</v>
      </c>
      <c r="DN182" s="332">
        <v>2.8499999999999999E-4</v>
      </c>
      <c r="DO182" s="332">
        <v>2.0000000000000001E-4</v>
      </c>
      <c r="DP182" s="332">
        <v>0</v>
      </c>
      <c r="DQ182" s="332">
        <v>1E-4</v>
      </c>
      <c r="DR182" s="332">
        <v>0</v>
      </c>
      <c r="DS182" s="332">
        <v>3.5999999999999999E-3</v>
      </c>
      <c r="DT182" s="332">
        <v>4.6999999999999999E-4</v>
      </c>
      <c r="DU182" s="332">
        <v>6.9999999999999999E-4</v>
      </c>
      <c r="DV182" s="332">
        <v>0</v>
      </c>
      <c r="DW182" s="332">
        <v>0</v>
      </c>
      <c r="DX182" s="332">
        <v>5.0000000000000001E-4</v>
      </c>
      <c r="DY182" s="332">
        <v>5.0000000000000001E-4</v>
      </c>
      <c r="DZ182" s="332">
        <v>2.9999999999999997E-4</v>
      </c>
      <c r="EA182" s="332">
        <v>2.7500000000000002E-4</v>
      </c>
      <c r="EB182" s="332">
        <v>4.0000000000000002E-4</v>
      </c>
      <c r="ED182" s="332">
        <v>6.4999999999999994E-5</v>
      </c>
      <c r="EF182">
        <v>1</v>
      </c>
    </row>
    <row r="183" spans="1:136" x14ac:dyDescent="0.25">
      <c r="A183" s="66">
        <v>41944</v>
      </c>
      <c r="B183">
        <v>0.98</v>
      </c>
      <c r="C183">
        <v>0</v>
      </c>
      <c r="E183">
        <v>0</v>
      </c>
      <c r="F183">
        <v>0</v>
      </c>
      <c r="G183">
        <v>0.98750000000000004</v>
      </c>
      <c r="H183">
        <v>0.98750000000000004</v>
      </c>
      <c r="I183">
        <v>0.98750000000000004</v>
      </c>
      <c r="J183">
        <v>0.98050000000000004</v>
      </c>
      <c r="K183">
        <v>0.97048500000000004</v>
      </c>
      <c r="L183" s="333">
        <v>0.98750000000000004</v>
      </c>
      <c r="M183" s="333">
        <v>0.98750000000000004</v>
      </c>
      <c r="N183">
        <v>0.98</v>
      </c>
      <c r="O183">
        <v>0.98750000000000004</v>
      </c>
      <c r="P183">
        <v>0.98</v>
      </c>
      <c r="Q183" s="328">
        <v>0.98750000000000004</v>
      </c>
      <c r="R183">
        <v>0.98750000000000004</v>
      </c>
      <c r="S183" s="333">
        <v>0.98750000000000004</v>
      </c>
      <c r="T183">
        <v>0.98</v>
      </c>
      <c r="U183">
        <v>0.98</v>
      </c>
      <c r="V183">
        <v>0.98</v>
      </c>
      <c r="W183">
        <v>0.98</v>
      </c>
      <c r="X183">
        <v>0.98750000000000004</v>
      </c>
      <c r="Y183">
        <v>0.98750000000000004</v>
      </c>
      <c r="Z183">
        <v>0.98750000000000004</v>
      </c>
      <c r="AA183">
        <v>0.98750000000000004</v>
      </c>
      <c r="AB183">
        <v>0.98</v>
      </c>
      <c r="AC183">
        <v>0.98</v>
      </c>
      <c r="AD183">
        <v>0.98750000000000004</v>
      </c>
      <c r="AE183">
        <v>0.98750000000000004</v>
      </c>
      <c r="AF183">
        <v>0.98</v>
      </c>
      <c r="AG183">
        <v>0.99</v>
      </c>
      <c r="AH183">
        <v>0.98139854999999998</v>
      </c>
      <c r="AI183">
        <v>0.98139854999999998</v>
      </c>
      <c r="AJ183">
        <v>0.98</v>
      </c>
      <c r="AK183">
        <v>1</v>
      </c>
      <c r="AL183">
        <v>0.97048500000000004</v>
      </c>
      <c r="AM183">
        <v>0</v>
      </c>
      <c r="BB183" s="446">
        <v>1</v>
      </c>
      <c r="BC183">
        <v>1</v>
      </c>
      <c r="BD183">
        <v>1</v>
      </c>
      <c r="BE183">
        <v>1</v>
      </c>
      <c r="BF183">
        <v>0.99990000000000001</v>
      </c>
      <c r="BG183">
        <v>1</v>
      </c>
      <c r="BH183">
        <v>1</v>
      </c>
      <c r="BI183">
        <v>0.99</v>
      </c>
      <c r="BJ183">
        <v>0.999</v>
      </c>
      <c r="BK183">
        <v>0.998</v>
      </c>
      <c r="BL183">
        <v>0.99850000000000005</v>
      </c>
      <c r="BM183">
        <v>0.99850000000000005</v>
      </c>
      <c r="BN183">
        <v>0.97199999999999998</v>
      </c>
      <c r="BO183">
        <v>0.99990000000000001</v>
      </c>
      <c r="BP183">
        <v>0.99990000000000001</v>
      </c>
      <c r="BQ183">
        <v>1</v>
      </c>
      <c r="BR183">
        <v>1.1145925999999999</v>
      </c>
      <c r="BS183">
        <v>1.1246</v>
      </c>
      <c r="BT183">
        <v>1.0827</v>
      </c>
      <c r="BU183">
        <v>1.0226</v>
      </c>
      <c r="BV183">
        <v>1</v>
      </c>
      <c r="BW183">
        <v>2.4845999999999999</v>
      </c>
      <c r="BX183">
        <v>2.315286333</v>
      </c>
      <c r="BY183">
        <v>1.1431500000000001</v>
      </c>
      <c r="BZ183">
        <v>1.2885</v>
      </c>
      <c r="CA183">
        <v>2.0009999999999999</v>
      </c>
      <c r="CB183">
        <v>1.5535049999999999</v>
      </c>
      <c r="CC183">
        <v>1.5535049999999999</v>
      </c>
      <c r="CD183">
        <v>1.2856050000000001</v>
      </c>
      <c r="CE183">
        <v>1.09653</v>
      </c>
      <c r="CF183">
        <v>1.4570050000000001</v>
      </c>
      <c r="CG183" s="332"/>
      <c r="CH183">
        <v>1.102695</v>
      </c>
      <c r="CI183" s="332"/>
      <c r="CJ183" s="332"/>
      <c r="CK183" s="332"/>
      <c r="CL183" s="332"/>
      <c r="CM183" s="332"/>
      <c r="CN183" s="332"/>
      <c r="CO183" s="332"/>
      <c r="CP183">
        <v>0.95499999999999996</v>
      </c>
      <c r="CU183">
        <v>0.48</v>
      </c>
      <c r="CV183">
        <v>0.46</v>
      </c>
      <c r="CW183">
        <v>0.90500000000000003</v>
      </c>
      <c r="CX183">
        <v>0.625</v>
      </c>
      <c r="CY183">
        <v>0.48499999999999999</v>
      </c>
      <c r="CZ183">
        <v>0.79500000000000004</v>
      </c>
      <c r="DA183">
        <v>0.82750000000000001</v>
      </c>
      <c r="DB183">
        <v>0.85</v>
      </c>
      <c r="DC183">
        <v>0.90249999999999997</v>
      </c>
      <c r="DD183">
        <v>0.82</v>
      </c>
      <c r="DE183">
        <v>0.89</v>
      </c>
      <c r="DN183" s="332">
        <v>2.8499999999999999E-4</v>
      </c>
      <c r="DO183" s="332">
        <v>2.0000000000000001E-4</v>
      </c>
      <c r="DP183" s="332">
        <v>0</v>
      </c>
      <c r="DQ183" s="332">
        <v>1E-4</v>
      </c>
      <c r="DR183" s="332">
        <v>0</v>
      </c>
      <c r="DS183" s="332">
        <v>3.5999999999999999E-3</v>
      </c>
      <c r="DT183" s="332">
        <v>4.6999999999999999E-4</v>
      </c>
      <c r="DU183" s="332">
        <v>6.9999999999999999E-4</v>
      </c>
      <c r="DV183" s="332">
        <v>0</v>
      </c>
      <c r="DW183" s="332">
        <v>0</v>
      </c>
      <c r="DX183" s="332">
        <v>5.0000000000000001E-4</v>
      </c>
      <c r="DY183" s="332">
        <v>5.0000000000000001E-4</v>
      </c>
      <c r="DZ183" s="332">
        <v>2.9999999999999997E-4</v>
      </c>
      <c r="EA183" s="332">
        <v>2.7500000000000002E-4</v>
      </c>
      <c r="EB183" s="332">
        <v>4.0000000000000002E-4</v>
      </c>
      <c r="ED183" s="332">
        <v>6.4999999999999994E-5</v>
      </c>
      <c r="EF183">
        <v>1</v>
      </c>
    </row>
    <row r="184" spans="1:136" x14ac:dyDescent="0.25">
      <c r="A184" s="66">
        <v>41974</v>
      </c>
      <c r="B184">
        <v>0.98</v>
      </c>
      <c r="C184">
        <v>0</v>
      </c>
      <c r="E184">
        <v>0</v>
      </c>
      <c r="F184">
        <v>0</v>
      </c>
      <c r="G184">
        <v>0.98750000000000004</v>
      </c>
      <c r="H184">
        <v>0.98750000000000004</v>
      </c>
      <c r="I184">
        <v>0.98750000000000004</v>
      </c>
      <c r="J184">
        <v>0.98050000000000004</v>
      </c>
      <c r="K184">
        <v>0.97048500000000004</v>
      </c>
      <c r="L184" s="333">
        <v>0.91686294999999995</v>
      </c>
      <c r="M184" s="333">
        <v>0.96736811199999995</v>
      </c>
      <c r="N184">
        <v>0.88727445000000005</v>
      </c>
      <c r="O184">
        <v>0.97889846300000005</v>
      </c>
      <c r="P184">
        <v>0.88727445000000005</v>
      </c>
      <c r="Q184" s="328">
        <v>0.91686294999999995</v>
      </c>
      <c r="R184">
        <v>0.91686294999999995</v>
      </c>
      <c r="S184" s="333">
        <v>0.91686294999999995</v>
      </c>
      <c r="T184">
        <v>0.88727445000000005</v>
      </c>
      <c r="U184">
        <v>0.88727445000000005</v>
      </c>
      <c r="V184">
        <v>0.88727445000000005</v>
      </c>
      <c r="W184">
        <v>0.88727445000000005</v>
      </c>
      <c r="X184">
        <v>0.97889846300000005</v>
      </c>
      <c r="Y184">
        <v>0.97889846300000005</v>
      </c>
      <c r="Z184">
        <v>0.97889846300000005</v>
      </c>
      <c r="AA184">
        <v>0.97889846300000005</v>
      </c>
      <c r="AB184">
        <v>0.88727445000000005</v>
      </c>
      <c r="AC184">
        <v>0.88727445000000005</v>
      </c>
      <c r="AD184">
        <v>0.97889846300000005</v>
      </c>
      <c r="AE184">
        <v>0.97889846300000005</v>
      </c>
      <c r="AF184">
        <v>0.88727445000000005</v>
      </c>
      <c r="AG184">
        <v>0.98</v>
      </c>
      <c r="AH184">
        <v>0.98145640000000001</v>
      </c>
      <c r="AI184">
        <v>0.98145640000000001</v>
      </c>
      <c r="AJ184">
        <v>0.88727445000000005</v>
      </c>
      <c r="AK184">
        <v>1</v>
      </c>
      <c r="AL184">
        <v>0.97048500000000004</v>
      </c>
      <c r="AM184">
        <v>0</v>
      </c>
      <c r="BB184" s="446">
        <v>1</v>
      </c>
      <c r="BC184">
        <v>1</v>
      </c>
      <c r="BD184">
        <v>1</v>
      </c>
      <c r="BE184">
        <v>1</v>
      </c>
      <c r="BF184">
        <v>0.99990000000000001</v>
      </c>
      <c r="BG184">
        <v>1</v>
      </c>
      <c r="BH184">
        <v>1</v>
      </c>
      <c r="BI184">
        <v>0.99</v>
      </c>
      <c r="BJ184">
        <v>0.999</v>
      </c>
      <c r="BK184">
        <v>0.998</v>
      </c>
      <c r="BL184">
        <v>0.99850000000000005</v>
      </c>
      <c r="BM184">
        <v>0.99850000000000005</v>
      </c>
      <c r="BN184">
        <v>0.97199999999999998</v>
      </c>
      <c r="BO184">
        <v>0.99990000000000001</v>
      </c>
      <c r="BP184">
        <v>0.99990000000000001</v>
      </c>
      <c r="BQ184">
        <v>1</v>
      </c>
      <c r="BR184">
        <v>1.1148776</v>
      </c>
      <c r="BS184">
        <v>1.1248</v>
      </c>
      <c r="BT184">
        <v>1.0827</v>
      </c>
      <c r="BU184">
        <v>1.0226999999999999</v>
      </c>
      <c r="BV184">
        <v>1</v>
      </c>
      <c r="BW184">
        <v>2.4882</v>
      </c>
      <c r="BX184">
        <v>2.3157563329999999</v>
      </c>
      <c r="BY184">
        <v>1.14385</v>
      </c>
      <c r="BZ184">
        <v>1.2885</v>
      </c>
      <c r="CA184">
        <v>2.0009999999999999</v>
      </c>
      <c r="CB184">
        <v>1.5540050000000001</v>
      </c>
      <c r="CC184">
        <v>1.5540050000000001</v>
      </c>
      <c r="CD184">
        <v>1.2859050000000001</v>
      </c>
      <c r="CE184">
        <v>1.096805</v>
      </c>
      <c r="CF184">
        <v>1.4574050000000001</v>
      </c>
      <c r="CG184" s="332"/>
      <c r="CH184">
        <v>1.10276</v>
      </c>
      <c r="CI184" s="332"/>
      <c r="CJ184" s="332"/>
      <c r="CK184" s="332"/>
      <c r="CL184" s="332"/>
      <c r="CM184" s="332"/>
      <c r="CN184" s="332"/>
      <c r="CO184" s="332"/>
      <c r="CP184">
        <v>0.93500000000000005</v>
      </c>
      <c r="CU184">
        <v>0.51</v>
      </c>
      <c r="CV184">
        <v>0.48</v>
      </c>
      <c r="CW184">
        <v>0.875</v>
      </c>
      <c r="CX184">
        <v>0.63</v>
      </c>
      <c r="CY184">
        <v>0.48499999999999999</v>
      </c>
      <c r="CZ184">
        <v>0.59</v>
      </c>
      <c r="DA184">
        <v>0.62250000000000005</v>
      </c>
      <c r="DB184">
        <v>0.69</v>
      </c>
      <c r="DC184">
        <v>0.89249999999999996</v>
      </c>
      <c r="DD184">
        <v>0.71499999999999997</v>
      </c>
      <c r="DE184">
        <v>0.89</v>
      </c>
      <c r="DN184" s="332">
        <v>2.8499999999999999E-4</v>
      </c>
      <c r="DO184" s="332">
        <v>2.0000000000000001E-4</v>
      </c>
      <c r="DP184" s="332">
        <v>0</v>
      </c>
      <c r="DQ184" s="332">
        <v>1E-4</v>
      </c>
      <c r="DR184" s="332">
        <v>0</v>
      </c>
      <c r="DS184" s="332">
        <v>3.5999999999999999E-3</v>
      </c>
      <c r="DT184" s="332">
        <v>4.6999999999999999E-4</v>
      </c>
      <c r="DU184" s="332">
        <v>6.9999999999999999E-4</v>
      </c>
      <c r="DV184" s="332">
        <v>0</v>
      </c>
      <c r="DW184" s="332">
        <v>0</v>
      </c>
      <c r="DX184" s="332">
        <v>5.0000000000000001E-4</v>
      </c>
      <c r="DY184" s="332">
        <v>5.0000000000000001E-4</v>
      </c>
      <c r="DZ184" s="332">
        <v>2.9999999999999997E-4</v>
      </c>
      <c r="EA184" s="332">
        <v>2.7500000000000002E-4</v>
      </c>
      <c r="EB184" s="332">
        <v>4.0000000000000002E-4</v>
      </c>
      <c r="ED184" s="332">
        <v>6.4999999999999994E-5</v>
      </c>
      <c r="EF184">
        <v>1</v>
      </c>
    </row>
    <row r="185" spans="1:136" x14ac:dyDescent="0.25">
      <c r="A185" s="66">
        <v>42005</v>
      </c>
      <c r="B185">
        <v>0.98</v>
      </c>
      <c r="C185">
        <v>0</v>
      </c>
      <c r="E185">
        <v>0</v>
      </c>
      <c r="F185">
        <v>0</v>
      </c>
      <c r="G185">
        <v>0.98750000000000004</v>
      </c>
      <c r="H185">
        <v>0.98750000000000004</v>
      </c>
      <c r="I185">
        <v>0.92136275000000001</v>
      </c>
      <c r="J185">
        <v>0.98050000000000004</v>
      </c>
      <c r="K185">
        <v>0.98499999999999999</v>
      </c>
      <c r="L185" s="333">
        <v>0.94047552499999998</v>
      </c>
      <c r="M185" s="333">
        <v>0.98750000000000004</v>
      </c>
      <c r="N185">
        <v>0.88748145000000001</v>
      </c>
      <c r="O185">
        <v>0.96543040000000002</v>
      </c>
      <c r="P185">
        <v>0.88748145000000001</v>
      </c>
      <c r="Q185" s="328">
        <v>0.94047552499999998</v>
      </c>
      <c r="R185">
        <v>0.94047552499999998</v>
      </c>
      <c r="S185" s="333">
        <v>0.94047552499999998</v>
      </c>
      <c r="T185">
        <v>0.88748145000000001</v>
      </c>
      <c r="U185">
        <v>0.88748145000000001</v>
      </c>
      <c r="V185">
        <v>0.88748145000000001</v>
      </c>
      <c r="W185">
        <v>0.88748145000000001</v>
      </c>
      <c r="X185">
        <v>0.96543040000000002</v>
      </c>
      <c r="Y185">
        <v>0.96543040000000002</v>
      </c>
      <c r="Z185">
        <v>0.96543040000000002</v>
      </c>
      <c r="AA185">
        <v>0.96543040000000002</v>
      </c>
      <c r="AB185">
        <v>0.88748145000000001</v>
      </c>
      <c r="AC185">
        <v>0.88748145000000001</v>
      </c>
      <c r="AD185">
        <v>0.96543040000000002</v>
      </c>
      <c r="AE185">
        <v>0.96543040000000002</v>
      </c>
      <c r="AF185">
        <v>0.88748145000000001</v>
      </c>
      <c r="AG185">
        <v>0.98</v>
      </c>
      <c r="AH185">
        <v>0.98151425000000003</v>
      </c>
      <c r="AI185">
        <v>0.98151425000000003</v>
      </c>
      <c r="AJ185">
        <v>0.88748145000000001</v>
      </c>
      <c r="AK185">
        <v>1</v>
      </c>
      <c r="AL185">
        <v>0.98499999999999999</v>
      </c>
      <c r="AM185">
        <v>0</v>
      </c>
      <c r="BB185" s="446">
        <v>1</v>
      </c>
      <c r="BC185">
        <v>1</v>
      </c>
      <c r="BD185">
        <v>1</v>
      </c>
      <c r="BE185">
        <v>1</v>
      </c>
      <c r="BF185">
        <v>0.99990000000000001</v>
      </c>
      <c r="BG185">
        <v>1</v>
      </c>
      <c r="BH185">
        <v>1</v>
      </c>
      <c r="BI185">
        <v>0.99</v>
      </c>
      <c r="BJ185">
        <v>0.999</v>
      </c>
      <c r="BK185">
        <v>0.998</v>
      </c>
      <c r="BL185">
        <v>0.99850000000000005</v>
      </c>
      <c r="BM185">
        <v>0.99850000000000005</v>
      </c>
      <c r="BN185">
        <v>0.97199999999999998</v>
      </c>
      <c r="BO185">
        <v>0.99990000000000001</v>
      </c>
      <c r="BP185">
        <v>0.99990000000000001</v>
      </c>
      <c r="BQ185">
        <v>1</v>
      </c>
      <c r="BR185">
        <v>1.1151625999999999</v>
      </c>
      <c r="BS185">
        <v>1.125</v>
      </c>
      <c r="BT185">
        <v>1.0827</v>
      </c>
      <c r="BU185">
        <v>1.0227999999999999</v>
      </c>
      <c r="BV185">
        <v>1</v>
      </c>
      <c r="BW185">
        <v>2.4918</v>
      </c>
      <c r="BX185">
        <v>2.3162263329999999</v>
      </c>
      <c r="BY185">
        <v>1.14455</v>
      </c>
      <c r="BZ185">
        <v>1.2885</v>
      </c>
      <c r="CA185">
        <v>2.0009999999999999</v>
      </c>
      <c r="CB185">
        <v>1.554505</v>
      </c>
      <c r="CC185">
        <v>1.554505</v>
      </c>
      <c r="CD185">
        <v>1.286205</v>
      </c>
      <c r="CE185">
        <v>1.0970800000000001</v>
      </c>
      <c r="CF185">
        <v>1.457805</v>
      </c>
      <c r="CG185" s="332"/>
      <c r="CH185">
        <v>1.1028249999999999</v>
      </c>
      <c r="CI185" s="332"/>
      <c r="CJ185" s="332"/>
      <c r="CK185" s="332"/>
      <c r="CL185" s="332"/>
      <c r="CM185" s="332"/>
      <c r="CN185" s="332"/>
      <c r="CO185" s="332"/>
      <c r="CP185">
        <v>0.89500000000000002</v>
      </c>
      <c r="CU185">
        <v>0.57999999999999996</v>
      </c>
      <c r="CV185">
        <v>0.45</v>
      </c>
      <c r="CW185">
        <v>0.80500000000000005</v>
      </c>
      <c r="CX185">
        <v>0.64</v>
      </c>
      <c r="CY185">
        <v>0.505</v>
      </c>
      <c r="CZ185">
        <v>0.60499999999999998</v>
      </c>
      <c r="DA185">
        <v>0.63749999999999996</v>
      </c>
      <c r="DB185">
        <v>0.69</v>
      </c>
      <c r="DC185">
        <v>0.88</v>
      </c>
      <c r="DD185">
        <v>0.64</v>
      </c>
      <c r="DE185">
        <v>0.89</v>
      </c>
      <c r="DN185" s="332">
        <v>2.8499999999999999E-4</v>
      </c>
      <c r="DO185" s="332">
        <v>2.0000000000000001E-4</v>
      </c>
      <c r="DP185" s="332">
        <v>0</v>
      </c>
      <c r="DQ185" s="332">
        <v>1E-4</v>
      </c>
      <c r="DR185" s="332">
        <v>0</v>
      </c>
      <c r="DS185" s="332">
        <v>3.5999999999999999E-3</v>
      </c>
      <c r="DT185" s="332">
        <v>4.6999999999999999E-4</v>
      </c>
      <c r="DU185" s="332">
        <v>6.9999999999999999E-4</v>
      </c>
      <c r="DV185" s="332">
        <v>0</v>
      </c>
      <c r="DW185" s="332">
        <v>0</v>
      </c>
      <c r="DX185" s="332">
        <v>5.0000000000000001E-4</v>
      </c>
      <c r="DY185" s="332">
        <v>5.0000000000000001E-4</v>
      </c>
      <c r="DZ185" s="332">
        <v>2.9999999999999997E-4</v>
      </c>
      <c r="EA185" s="332">
        <v>2.7500000000000002E-4</v>
      </c>
      <c r="EB185" s="332">
        <v>4.0000000000000002E-4</v>
      </c>
      <c r="ED185" s="332">
        <v>6.4999999999999994E-5</v>
      </c>
      <c r="EF185">
        <v>1</v>
      </c>
    </row>
    <row r="186" spans="1:136" x14ac:dyDescent="0.25">
      <c r="A186" s="66">
        <v>42036</v>
      </c>
      <c r="B186">
        <v>0.98</v>
      </c>
      <c r="C186">
        <v>0</v>
      </c>
      <c r="E186">
        <v>0</v>
      </c>
      <c r="F186">
        <v>0</v>
      </c>
      <c r="G186">
        <v>0.98750000000000004</v>
      </c>
      <c r="H186">
        <v>0.98750000000000004</v>
      </c>
      <c r="I186">
        <v>0.96773624999999996</v>
      </c>
      <c r="J186">
        <v>0.98050000000000004</v>
      </c>
      <c r="K186">
        <v>0.98499999999999999</v>
      </c>
      <c r="L186" s="333">
        <v>0.98742817500000002</v>
      </c>
      <c r="M186" s="333">
        <v>0.98750000000000004</v>
      </c>
      <c r="N186">
        <v>0.91341855000000005</v>
      </c>
      <c r="O186">
        <v>0.962929013</v>
      </c>
      <c r="P186">
        <v>0.91341855000000005</v>
      </c>
      <c r="Q186" s="328">
        <v>0.98742817500000002</v>
      </c>
      <c r="R186">
        <v>0.98742817500000002</v>
      </c>
      <c r="S186" s="333">
        <v>0.98742817500000002</v>
      </c>
      <c r="T186">
        <v>0.91341855000000005</v>
      </c>
      <c r="U186">
        <v>0.91341855000000005</v>
      </c>
      <c r="V186">
        <v>0.91341855000000005</v>
      </c>
      <c r="W186">
        <v>0.91341855000000005</v>
      </c>
      <c r="X186">
        <v>0.962929013</v>
      </c>
      <c r="Y186">
        <v>0.962929013</v>
      </c>
      <c r="Z186">
        <v>0.962929013</v>
      </c>
      <c r="AA186">
        <v>0.962929013</v>
      </c>
      <c r="AB186">
        <v>0.91341855000000005</v>
      </c>
      <c r="AC186">
        <v>0.91341855000000005</v>
      </c>
      <c r="AD186">
        <v>0.962929013</v>
      </c>
      <c r="AE186">
        <v>0.962929013</v>
      </c>
      <c r="AF186">
        <v>0.91341855000000005</v>
      </c>
      <c r="AG186">
        <v>0.98</v>
      </c>
      <c r="AH186">
        <v>0.98157209999999995</v>
      </c>
      <c r="AI186">
        <v>0.98157209999999995</v>
      </c>
      <c r="AJ186">
        <v>0.91341855000000005</v>
      </c>
      <c r="AK186">
        <v>1</v>
      </c>
      <c r="AL186">
        <v>0.98499999999999999</v>
      </c>
      <c r="AM186">
        <v>0</v>
      </c>
      <c r="BB186" s="446">
        <v>1</v>
      </c>
      <c r="BC186">
        <v>1</v>
      </c>
      <c r="BD186">
        <v>1</v>
      </c>
      <c r="BE186">
        <v>1</v>
      </c>
      <c r="BF186">
        <v>0.99990000000000001</v>
      </c>
      <c r="BG186">
        <v>1</v>
      </c>
      <c r="BH186">
        <v>1</v>
      </c>
      <c r="BI186">
        <v>0.99</v>
      </c>
      <c r="BJ186">
        <v>0.999</v>
      </c>
      <c r="BK186">
        <v>0.998</v>
      </c>
      <c r="BL186">
        <v>0.99850000000000005</v>
      </c>
      <c r="BM186">
        <v>0.99850000000000005</v>
      </c>
      <c r="BN186">
        <v>0.97199999999999998</v>
      </c>
      <c r="BO186">
        <v>0.99990000000000001</v>
      </c>
      <c r="BP186">
        <v>0.99990000000000001</v>
      </c>
      <c r="BQ186">
        <v>1</v>
      </c>
      <c r="BR186">
        <v>1.1154476</v>
      </c>
      <c r="BS186">
        <v>1.1252</v>
      </c>
      <c r="BT186">
        <v>1.0827</v>
      </c>
      <c r="BU186">
        <v>1.0228999999999999</v>
      </c>
      <c r="BV186">
        <v>1</v>
      </c>
      <c r="BW186">
        <v>2.4954000000000001</v>
      </c>
      <c r="BX186">
        <v>2.3166963329999999</v>
      </c>
      <c r="BY186">
        <v>1.1452500000000001</v>
      </c>
      <c r="BZ186">
        <v>1.2885</v>
      </c>
      <c r="CA186">
        <v>2.0009999999999999</v>
      </c>
      <c r="CB186">
        <v>1.555005</v>
      </c>
      <c r="CC186">
        <v>1.555005</v>
      </c>
      <c r="CD186">
        <v>1.286505</v>
      </c>
      <c r="CE186">
        <v>1.0973550000000001</v>
      </c>
      <c r="CF186">
        <v>1.458205</v>
      </c>
      <c r="CG186" s="332"/>
      <c r="CH186">
        <v>1.1028899999999999</v>
      </c>
      <c r="CI186" s="332"/>
      <c r="CJ186" s="332"/>
      <c r="CK186" s="332"/>
      <c r="CL186" s="332"/>
      <c r="CM186" s="332"/>
      <c r="CN186" s="332"/>
      <c r="CO186" s="332"/>
      <c r="CP186">
        <v>0.86499999999999999</v>
      </c>
      <c r="CU186">
        <v>0.57999999999999996</v>
      </c>
      <c r="CV186">
        <v>0.45</v>
      </c>
      <c r="CW186">
        <v>0.84499999999999997</v>
      </c>
      <c r="CX186">
        <v>0.745</v>
      </c>
      <c r="CY186">
        <v>0.505</v>
      </c>
      <c r="CZ186">
        <v>0.63500000000000001</v>
      </c>
      <c r="DA186">
        <v>0.66749999999999998</v>
      </c>
      <c r="DB186">
        <v>0.71</v>
      </c>
      <c r="DC186">
        <v>0.87749999999999995</v>
      </c>
      <c r="DD186">
        <v>0.67</v>
      </c>
      <c r="DE186">
        <v>0.89</v>
      </c>
      <c r="DN186" s="332">
        <v>2.8499999999999999E-4</v>
      </c>
      <c r="DO186" s="332">
        <v>2.0000000000000001E-4</v>
      </c>
      <c r="DP186" s="332">
        <v>0</v>
      </c>
      <c r="DQ186" s="332">
        <v>1E-4</v>
      </c>
      <c r="DR186" s="332">
        <v>0</v>
      </c>
      <c r="DS186" s="332">
        <v>3.5999999999999999E-3</v>
      </c>
      <c r="DT186" s="332">
        <v>4.6999999999999999E-4</v>
      </c>
      <c r="DU186" s="332">
        <v>6.9999999999999999E-4</v>
      </c>
      <c r="DV186" s="332">
        <v>0</v>
      </c>
      <c r="DW186" s="332">
        <v>0</v>
      </c>
      <c r="DX186" s="332">
        <v>5.0000000000000001E-4</v>
      </c>
      <c r="DY186" s="332">
        <v>5.0000000000000001E-4</v>
      </c>
      <c r="DZ186" s="332">
        <v>2.9999999999999997E-4</v>
      </c>
      <c r="EA186" s="332">
        <v>2.7500000000000002E-4</v>
      </c>
      <c r="EB186" s="332">
        <v>4.0000000000000002E-4</v>
      </c>
      <c r="ED186" s="332">
        <v>6.4999999999999994E-5</v>
      </c>
      <c r="EF186">
        <v>1</v>
      </c>
    </row>
    <row r="187" spans="1:136" x14ac:dyDescent="0.25">
      <c r="A187" s="66">
        <v>42064</v>
      </c>
      <c r="B187">
        <v>0.98</v>
      </c>
      <c r="C187">
        <v>0</v>
      </c>
      <c r="E187">
        <v>0</v>
      </c>
      <c r="F187">
        <v>0</v>
      </c>
      <c r="G187">
        <v>0.98750000000000004</v>
      </c>
      <c r="H187">
        <v>0.98750000000000004</v>
      </c>
      <c r="I187">
        <v>0.98750000000000004</v>
      </c>
      <c r="J187">
        <v>0.98050000000000004</v>
      </c>
      <c r="K187">
        <v>0.98499999999999999</v>
      </c>
      <c r="L187" s="333">
        <v>0.98750000000000004</v>
      </c>
      <c r="M187" s="333">
        <v>0.98750000000000004</v>
      </c>
      <c r="N187">
        <v>0.98</v>
      </c>
      <c r="O187">
        <v>0.98750000000000004</v>
      </c>
      <c r="P187">
        <v>0.98</v>
      </c>
      <c r="Q187" s="328">
        <v>0.98750000000000004</v>
      </c>
      <c r="R187">
        <v>0.98750000000000004</v>
      </c>
      <c r="S187" s="333">
        <v>0.98750000000000004</v>
      </c>
      <c r="T187">
        <v>0.98</v>
      </c>
      <c r="U187">
        <v>0.98</v>
      </c>
      <c r="V187">
        <v>0.98</v>
      </c>
      <c r="W187">
        <v>0.98</v>
      </c>
      <c r="X187">
        <v>0.98750000000000004</v>
      </c>
      <c r="Y187">
        <v>0.98750000000000004</v>
      </c>
      <c r="Z187">
        <v>0.98750000000000004</v>
      </c>
      <c r="AA187">
        <v>0.98750000000000004</v>
      </c>
      <c r="AB187">
        <v>0.98</v>
      </c>
      <c r="AC187">
        <v>0.98</v>
      </c>
      <c r="AD187">
        <v>0.98750000000000004</v>
      </c>
      <c r="AE187">
        <v>0.98750000000000004</v>
      </c>
      <c r="AF187">
        <v>0.98</v>
      </c>
      <c r="AG187">
        <v>0.99</v>
      </c>
      <c r="AH187">
        <v>0.98162994999999997</v>
      </c>
      <c r="AI187">
        <v>0.98162994999999997</v>
      </c>
      <c r="AJ187">
        <v>0.98</v>
      </c>
      <c r="AK187">
        <v>1</v>
      </c>
      <c r="AL187">
        <v>0.98499999999999999</v>
      </c>
      <c r="AM187">
        <v>0</v>
      </c>
      <c r="BB187" s="446">
        <v>1</v>
      </c>
      <c r="BC187">
        <v>1</v>
      </c>
      <c r="BD187">
        <v>1</v>
      </c>
      <c r="BE187">
        <v>1</v>
      </c>
      <c r="BF187">
        <v>0.99990000000000001</v>
      </c>
      <c r="BG187">
        <v>1</v>
      </c>
      <c r="BH187">
        <v>1</v>
      </c>
      <c r="BI187">
        <v>0.99</v>
      </c>
      <c r="BJ187">
        <v>0.999</v>
      </c>
      <c r="BK187">
        <v>0.998</v>
      </c>
      <c r="BL187">
        <v>0.99850000000000005</v>
      </c>
      <c r="BM187">
        <v>0.99850000000000005</v>
      </c>
      <c r="BN187">
        <v>0.97199999999999998</v>
      </c>
      <c r="BO187">
        <v>0.99990000000000001</v>
      </c>
      <c r="BP187">
        <v>0.99990000000000001</v>
      </c>
      <c r="BQ187">
        <v>1</v>
      </c>
      <c r="BR187">
        <v>1.1157326000000001</v>
      </c>
      <c r="BS187">
        <v>1.1254</v>
      </c>
      <c r="BT187">
        <v>1.0827</v>
      </c>
      <c r="BU187">
        <v>1.0229999999999999</v>
      </c>
      <c r="BV187">
        <v>1</v>
      </c>
      <c r="BW187">
        <v>2.4990000000000001</v>
      </c>
      <c r="BX187">
        <v>2.3171663329999999</v>
      </c>
      <c r="BY187">
        <v>1.14595</v>
      </c>
      <c r="BZ187">
        <v>1.2885</v>
      </c>
      <c r="CA187">
        <v>2.0009999999999999</v>
      </c>
      <c r="CB187">
        <v>1.5555049999999999</v>
      </c>
      <c r="CC187">
        <v>1.5555049999999999</v>
      </c>
      <c r="CD187">
        <v>1.286805</v>
      </c>
      <c r="CE187">
        <v>1.0976300000000001</v>
      </c>
      <c r="CF187">
        <v>1.4586049999999999</v>
      </c>
      <c r="CG187" s="332"/>
      <c r="CH187">
        <v>1.1029549999999999</v>
      </c>
      <c r="CI187" s="332"/>
      <c r="CJ187" s="332"/>
      <c r="CK187" s="332"/>
      <c r="CL187" s="332"/>
      <c r="CM187" s="332"/>
      <c r="CN187" s="332"/>
      <c r="CO187" s="332"/>
      <c r="CP187">
        <v>0.86499999999999999</v>
      </c>
      <c r="CU187">
        <v>0.54</v>
      </c>
      <c r="CV187">
        <v>0.45</v>
      </c>
      <c r="CW187">
        <v>0.875</v>
      </c>
      <c r="CX187">
        <v>0.91500000000000004</v>
      </c>
      <c r="CY187">
        <v>0.51500000000000001</v>
      </c>
      <c r="CZ187">
        <v>0.78500000000000003</v>
      </c>
      <c r="DA187">
        <v>0.8175</v>
      </c>
      <c r="DB187">
        <v>0.8</v>
      </c>
      <c r="DC187">
        <v>0.9</v>
      </c>
      <c r="DD187">
        <v>0.83</v>
      </c>
      <c r="DE187">
        <v>0.89</v>
      </c>
      <c r="DN187" s="332">
        <v>2.8499999999999999E-4</v>
      </c>
      <c r="DO187" s="332">
        <v>2.0000000000000001E-4</v>
      </c>
      <c r="DP187" s="332">
        <v>0</v>
      </c>
      <c r="DQ187" s="332">
        <v>1E-4</v>
      </c>
      <c r="DR187" s="332">
        <v>0</v>
      </c>
      <c r="DS187" s="332">
        <v>3.5999999999999999E-3</v>
      </c>
      <c r="DT187" s="332">
        <v>4.6999999999999999E-4</v>
      </c>
      <c r="DU187" s="332">
        <v>6.9999999999999999E-4</v>
      </c>
      <c r="DV187" s="332">
        <v>0</v>
      </c>
      <c r="DW187" s="332">
        <v>0</v>
      </c>
      <c r="DX187" s="332">
        <v>5.0000000000000001E-4</v>
      </c>
      <c r="DY187" s="332">
        <v>5.0000000000000001E-4</v>
      </c>
      <c r="DZ187" s="332">
        <v>2.9999999999999997E-4</v>
      </c>
      <c r="EA187" s="332">
        <v>2.7500000000000002E-4</v>
      </c>
      <c r="EB187" s="332">
        <v>4.0000000000000002E-4</v>
      </c>
      <c r="ED187" s="332">
        <v>6.4999999999999994E-5</v>
      </c>
      <c r="EF187">
        <v>1</v>
      </c>
    </row>
    <row r="188" spans="1:136" x14ac:dyDescent="0.25">
      <c r="A188" s="66">
        <v>42095</v>
      </c>
      <c r="B188">
        <v>0.98</v>
      </c>
      <c r="C188">
        <v>0</v>
      </c>
      <c r="E188">
        <v>0</v>
      </c>
      <c r="F188">
        <v>0</v>
      </c>
      <c r="G188">
        <v>0.98750000000000004</v>
      </c>
      <c r="H188">
        <v>0.97340726</v>
      </c>
      <c r="I188">
        <v>0.98750000000000004</v>
      </c>
      <c r="J188">
        <v>0.98050000000000004</v>
      </c>
      <c r="K188">
        <v>0.98499999999999999</v>
      </c>
      <c r="L188" s="333">
        <v>0.98750000000000004</v>
      </c>
      <c r="M188" s="333">
        <v>0.98750000000000004</v>
      </c>
      <c r="N188">
        <v>0.98</v>
      </c>
      <c r="O188">
        <v>0.98750000000000004</v>
      </c>
      <c r="P188">
        <v>0.98</v>
      </c>
      <c r="Q188" s="328">
        <v>0.98750000000000004</v>
      </c>
      <c r="R188">
        <v>0.98750000000000004</v>
      </c>
      <c r="S188" s="333">
        <v>0.98750000000000004</v>
      </c>
      <c r="T188">
        <v>0.98</v>
      </c>
      <c r="U188">
        <v>0.98</v>
      </c>
      <c r="V188">
        <v>0.98</v>
      </c>
      <c r="W188">
        <v>0.98</v>
      </c>
      <c r="X188">
        <v>0.98750000000000004</v>
      </c>
      <c r="Y188">
        <v>0.98750000000000004</v>
      </c>
      <c r="Z188">
        <v>0.98750000000000004</v>
      </c>
      <c r="AA188">
        <v>0.98750000000000004</v>
      </c>
      <c r="AB188">
        <v>0.98</v>
      </c>
      <c r="AC188">
        <v>0.98</v>
      </c>
      <c r="AD188">
        <v>0.98750000000000004</v>
      </c>
      <c r="AE188">
        <v>0.98750000000000004</v>
      </c>
      <c r="AF188">
        <v>0.98</v>
      </c>
      <c r="AG188">
        <v>0.99</v>
      </c>
      <c r="AH188">
        <v>0.9816878</v>
      </c>
      <c r="AI188">
        <v>0.9816878</v>
      </c>
      <c r="AJ188">
        <v>0.98</v>
      </c>
      <c r="AK188">
        <v>1</v>
      </c>
      <c r="AL188">
        <v>0.98499999999999999</v>
      </c>
      <c r="AM188">
        <v>0</v>
      </c>
      <c r="BB188" s="446">
        <v>1</v>
      </c>
      <c r="BC188">
        <v>1</v>
      </c>
      <c r="BD188">
        <v>1</v>
      </c>
      <c r="BE188">
        <v>1</v>
      </c>
      <c r="BF188">
        <v>0.99990000000000001</v>
      </c>
      <c r="BG188">
        <v>1</v>
      </c>
      <c r="BH188">
        <v>1</v>
      </c>
      <c r="BI188">
        <v>0.99</v>
      </c>
      <c r="BJ188">
        <v>0.999</v>
      </c>
      <c r="BK188">
        <v>0.998</v>
      </c>
      <c r="BL188">
        <v>0.99850000000000005</v>
      </c>
      <c r="BM188">
        <v>0.99850000000000005</v>
      </c>
      <c r="BN188">
        <v>0.97199999999999998</v>
      </c>
      <c r="BO188">
        <v>0.99990000000000001</v>
      </c>
      <c r="BP188">
        <v>0.99990000000000001</v>
      </c>
      <c r="BQ188">
        <v>1</v>
      </c>
      <c r="BR188">
        <v>1.1160175999999999</v>
      </c>
      <c r="BS188">
        <v>1.1255999999999999</v>
      </c>
      <c r="BT188">
        <v>1.0827</v>
      </c>
      <c r="BU188">
        <v>1.0230999999999999</v>
      </c>
      <c r="BV188">
        <v>1</v>
      </c>
      <c r="BW188">
        <v>2.5026000000000002</v>
      </c>
      <c r="BX188">
        <v>2.3176363329999998</v>
      </c>
      <c r="BY188">
        <v>1.1466499999999999</v>
      </c>
      <c r="BZ188">
        <v>1.2885</v>
      </c>
      <c r="CA188">
        <v>2.0009999999999999</v>
      </c>
      <c r="CB188">
        <v>1.5560050000000001</v>
      </c>
      <c r="CC188">
        <v>1.5560050000000001</v>
      </c>
      <c r="CD188">
        <v>1.2871049999999999</v>
      </c>
      <c r="CE188">
        <v>1.0979049999999999</v>
      </c>
      <c r="CF188">
        <v>1.4590050000000001</v>
      </c>
      <c r="CG188" s="332"/>
      <c r="CH188">
        <v>1.1030199999999999</v>
      </c>
      <c r="CI188" s="332"/>
      <c r="CJ188" s="332"/>
      <c r="CK188" s="332"/>
      <c r="CL188" s="332"/>
      <c r="CM188" s="332"/>
      <c r="CN188" s="332"/>
      <c r="CO188" s="332"/>
      <c r="CP188">
        <v>0.89500000000000002</v>
      </c>
      <c r="CU188">
        <v>0.48</v>
      </c>
      <c r="CV188">
        <v>0.42</v>
      </c>
      <c r="CW188">
        <v>0.93500000000000005</v>
      </c>
      <c r="CX188">
        <v>0.90500000000000003</v>
      </c>
      <c r="CY188">
        <v>0.57499999999999996</v>
      </c>
      <c r="CZ188">
        <v>0.89500000000000002</v>
      </c>
      <c r="DA188">
        <v>0.92749999999999999</v>
      </c>
      <c r="DB188">
        <v>0.85</v>
      </c>
      <c r="DC188">
        <v>0.90300000000000002</v>
      </c>
      <c r="DD188">
        <v>0.92</v>
      </c>
      <c r="DE188">
        <v>0.89</v>
      </c>
      <c r="DN188" s="332">
        <v>2.8499999999999999E-4</v>
      </c>
      <c r="DO188" s="332">
        <v>2.0000000000000001E-4</v>
      </c>
      <c r="DP188" s="332">
        <v>0</v>
      </c>
      <c r="DQ188" s="332">
        <v>1E-4</v>
      </c>
      <c r="DR188" s="332">
        <v>0</v>
      </c>
      <c r="DS188" s="332">
        <v>3.5999999999999999E-3</v>
      </c>
      <c r="DT188" s="332">
        <v>4.6999999999999999E-4</v>
      </c>
      <c r="DU188" s="332">
        <v>6.9999999999999999E-4</v>
      </c>
      <c r="DV188" s="332">
        <v>0</v>
      </c>
      <c r="DW188" s="332">
        <v>0</v>
      </c>
      <c r="DX188" s="332">
        <v>5.0000000000000001E-4</v>
      </c>
      <c r="DY188" s="332">
        <v>5.0000000000000001E-4</v>
      </c>
      <c r="DZ188" s="332">
        <v>2.9999999999999997E-4</v>
      </c>
      <c r="EA188" s="332">
        <v>2.7500000000000002E-4</v>
      </c>
      <c r="EB188" s="332">
        <v>4.0000000000000002E-4</v>
      </c>
      <c r="ED188" s="332">
        <v>6.4999999999999994E-5</v>
      </c>
      <c r="EF188">
        <v>1</v>
      </c>
    </row>
    <row r="189" spans="1:136" x14ac:dyDescent="0.25">
      <c r="A189" s="66">
        <v>42125</v>
      </c>
      <c r="B189">
        <v>0.98</v>
      </c>
      <c r="C189">
        <v>0</v>
      </c>
      <c r="E189">
        <v>0</v>
      </c>
      <c r="F189">
        <v>0</v>
      </c>
      <c r="G189">
        <v>0.85210799999999998</v>
      </c>
      <c r="H189">
        <v>0.97360466000000001</v>
      </c>
      <c r="I189">
        <v>0.98750000000000004</v>
      </c>
      <c r="J189">
        <v>0.98050000000000004</v>
      </c>
      <c r="K189">
        <v>0.98499999999999999</v>
      </c>
      <c r="L189" s="333">
        <v>0.98750000000000004</v>
      </c>
      <c r="M189" s="333">
        <v>0.98750000000000004</v>
      </c>
      <c r="N189">
        <v>0.98</v>
      </c>
      <c r="O189">
        <v>0.98750000000000004</v>
      </c>
      <c r="P189">
        <v>0.98</v>
      </c>
      <c r="Q189" s="328">
        <v>0.98750000000000004</v>
      </c>
      <c r="R189">
        <v>0.98750000000000004</v>
      </c>
      <c r="S189" s="333">
        <v>0.98750000000000004</v>
      </c>
      <c r="T189">
        <v>0.98</v>
      </c>
      <c r="U189">
        <v>0.98</v>
      </c>
      <c r="V189">
        <v>0.98</v>
      </c>
      <c r="W189">
        <v>0.98</v>
      </c>
      <c r="X189">
        <v>0.98750000000000004</v>
      </c>
      <c r="Y189">
        <v>0.98750000000000004</v>
      </c>
      <c r="Z189">
        <v>0.98750000000000004</v>
      </c>
      <c r="AA189">
        <v>0.98750000000000004</v>
      </c>
      <c r="AB189">
        <v>0.98</v>
      </c>
      <c r="AC189">
        <v>0.98</v>
      </c>
      <c r="AD189">
        <v>0.98750000000000004</v>
      </c>
      <c r="AE189">
        <v>0.98750000000000004</v>
      </c>
      <c r="AF189">
        <v>0.98</v>
      </c>
      <c r="AG189">
        <v>0.99</v>
      </c>
      <c r="AH189">
        <v>0.98174565000000003</v>
      </c>
      <c r="AI189">
        <v>0.98174565000000003</v>
      </c>
      <c r="AJ189">
        <v>0.98</v>
      </c>
      <c r="AK189">
        <v>1</v>
      </c>
      <c r="AL189">
        <v>0.98499999999999999</v>
      </c>
      <c r="AM189">
        <v>0</v>
      </c>
      <c r="BB189" s="446">
        <v>1</v>
      </c>
      <c r="BC189">
        <v>1</v>
      </c>
      <c r="BD189">
        <v>1</v>
      </c>
      <c r="BE189">
        <v>1</v>
      </c>
      <c r="BF189">
        <v>0.99990000000000001</v>
      </c>
      <c r="BG189">
        <v>1</v>
      </c>
      <c r="BH189">
        <v>1</v>
      </c>
      <c r="BI189">
        <v>0.99</v>
      </c>
      <c r="BJ189">
        <v>0.999</v>
      </c>
      <c r="BK189">
        <v>0.998</v>
      </c>
      <c r="BL189">
        <v>0.99850000000000005</v>
      </c>
      <c r="BM189">
        <v>0.99850000000000005</v>
      </c>
      <c r="BN189">
        <v>0.97199999999999998</v>
      </c>
      <c r="BO189">
        <v>0.99990000000000001</v>
      </c>
      <c r="BP189">
        <v>0.99990000000000001</v>
      </c>
      <c r="BQ189">
        <v>1</v>
      </c>
      <c r="BR189">
        <v>1.1163026</v>
      </c>
      <c r="BS189">
        <v>1.1257999999999999</v>
      </c>
      <c r="BT189">
        <v>1.0827</v>
      </c>
      <c r="BU189">
        <v>1.0232000000000001</v>
      </c>
      <c r="BV189">
        <v>1</v>
      </c>
      <c r="BW189">
        <v>2.5062000000000002</v>
      </c>
      <c r="BX189">
        <v>2.3181063329999998</v>
      </c>
      <c r="BY189">
        <v>1.1473500000000001</v>
      </c>
      <c r="BZ189">
        <v>1.2885</v>
      </c>
      <c r="CA189">
        <v>2.0009999999999999</v>
      </c>
      <c r="CB189">
        <v>1.556505</v>
      </c>
      <c r="CC189">
        <v>1.556505</v>
      </c>
      <c r="CD189">
        <v>1.2874049999999999</v>
      </c>
      <c r="CE189">
        <v>1.0981799999999999</v>
      </c>
      <c r="CF189">
        <v>1.4594050000000001</v>
      </c>
      <c r="CG189" s="332"/>
      <c r="CH189">
        <v>1.1030850000000001</v>
      </c>
      <c r="CI189" s="332"/>
      <c r="CJ189" s="332"/>
      <c r="CK189" s="332"/>
      <c r="CL189" s="332"/>
      <c r="CM189" s="332"/>
      <c r="CN189" s="332"/>
      <c r="CO189" s="332"/>
      <c r="CP189">
        <v>0.96499999999999997</v>
      </c>
      <c r="CU189">
        <v>0.34</v>
      </c>
      <c r="CV189">
        <v>0.42</v>
      </c>
      <c r="CW189">
        <v>0.93500000000000005</v>
      </c>
      <c r="CX189">
        <v>0.80500000000000005</v>
      </c>
      <c r="CY189">
        <v>0.625</v>
      </c>
      <c r="CZ189">
        <v>0.91749999999999998</v>
      </c>
      <c r="DA189">
        <v>0.95</v>
      </c>
      <c r="DB189">
        <v>0.88</v>
      </c>
      <c r="DC189">
        <v>0.9</v>
      </c>
      <c r="DD189">
        <v>0.93500000000000005</v>
      </c>
      <c r="DE189">
        <v>0.89</v>
      </c>
      <c r="DN189" s="332">
        <v>2.8499999999999999E-4</v>
      </c>
      <c r="DO189" s="332">
        <v>2.0000000000000001E-4</v>
      </c>
      <c r="DP189" s="332">
        <v>0</v>
      </c>
      <c r="DQ189" s="332">
        <v>1E-4</v>
      </c>
      <c r="DR189" s="332">
        <v>0</v>
      </c>
      <c r="DS189" s="332">
        <v>3.5999999999999999E-3</v>
      </c>
      <c r="DT189" s="332">
        <v>4.6999999999999999E-4</v>
      </c>
      <c r="DU189" s="332">
        <v>6.9999999999999999E-4</v>
      </c>
      <c r="DV189" s="332">
        <v>0</v>
      </c>
      <c r="DW189" s="332">
        <v>0</v>
      </c>
      <c r="DX189" s="332">
        <v>5.0000000000000001E-4</v>
      </c>
      <c r="DY189" s="332">
        <v>5.0000000000000001E-4</v>
      </c>
      <c r="DZ189" s="332">
        <v>2.9999999999999997E-4</v>
      </c>
      <c r="EA189" s="332">
        <v>2.7500000000000002E-4</v>
      </c>
      <c r="EB189" s="332">
        <v>4.0000000000000002E-4</v>
      </c>
      <c r="ED189" s="332">
        <v>6.4999999999999994E-5</v>
      </c>
      <c r="EF189">
        <v>1</v>
      </c>
    </row>
    <row r="190" spans="1:136" x14ac:dyDescent="0.25">
      <c r="A190" s="66">
        <v>42156</v>
      </c>
      <c r="B190">
        <v>0.98</v>
      </c>
      <c r="C190">
        <v>0</v>
      </c>
      <c r="E190">
        <v>0</v>
      </c>
      <c r="F190">
        <v>0</v>
      </c>
      <c r="G190">
        <v>0.85333199999999998</v>
      </c>
      <c r="H190">
        <v>0.98750000000000004</v>
      </c>
      <c r="I190">
        <v>0.98750000000000004</v>
      </c>
      <c r="J190">
        <v>0.98050000000000004</v>
      </c>
      <c r="K190">
        <v>0.98499999999999999</v>
      </c>
      <c r="L190" s="333">
        <v>0.98750000000000004</v>
      </c>
      <c r="M190" s="333">
        <v>0.98750000000000004</v>
      </c>
      <c r="N190">
        <v>0.98</v>
      </c>
      <c r="O190">
        <v>0.98750000000000004</v>
      </c>
      <c r="P190">
        <v>0.98</v>
      </c>
      <c r="Q190" s="328">
        <v>0.98750000000000004</v>
      </c>
      <c r="R190">
        <v>0.98750000000000004</v>
      </c>
      <c r="S190" s="333">
        <v>0.98750000000000004</v>
      </c>
      <c r="T190">
        <v>0.98</v>
      </c>
      <c r="U190">
        <v>0.98</v>
      </c>
      <c r="V190">
        <v>0.98</v>
      </c>
      <c r="W190">
        <v>0.98</v>
      </c>
      <c r="X190">
        <v>0.98750000000000004</v>
      </c>
      <c r="Y190">
        <v>0.98750000000000004</v>
      </c>
      <c r="Z190">
        <v>0.98750000000000004</v>
      </c>
      <c r="AA190">
        <v>0.98750000000000004</v>
      </c>
      <c r="AB190">
        <v>0.98</v>
      </c>
      <c r="AC190">
        <v>0.98</v>
      </c>
      <c r="AD190">
        <v>0.98750000000000004</v>
      </c>
      <c r="AE190">
        <v>0.98750000000000004</v>
      </c>
      <c r="AF190">
        <v>0.98</v>
      </c>
      <c r="AG190">
        <v>0.99</v>
      </c>
      <c r="AH190">
        <v>0.98180350000000005</v>
      </c>
      <c r="AI190">
        <v>0.98180350000000005</v>
      </c>
      <c r="AJ190">
        <v>0.98</v>
      </c>
      <c r="AK190">
        <v>1</v>
      </c>
      <c r="AL190">
        <v>0.98499999999999999</v>
      </c>
      <c r="AM190">
        <v>0</v>
      </c>
      <c r="BB190" s="446">
        <v>1</v>
      </c>
      <c r="BC190">
        <v>1</v>
      </c>
      <c r="BD190">
        <v>1</v>
      </c>
      <c r="BE190">
        <v>1</v>
      </c>
      <c r="BF190">
        <v>0.99990000000000001</v>
      </c>
      <c r="BG190">
        <v>1</v>
      </c>
      <c r="BH190">
        <v>1</v>
      </c>
      <c r="BI190">
        <v>0.99</v>
      </c>
      <c r="BJ190">
        <v>0.999</v>
      </c>
      <c r="BK190">
        <v>0.998</v>
      </c>
      <c r="BL190">
        <v>0.99850000000000005</v>
      </c>
      <c r="BM190">
        <v>0.99850000000000005</v>
      </c>
      <c r="BN190">
        <v>0.97199999999999998</v>
      </c>
      <c r="BO190">
        <v>0.99990000000000001</v>
      </c>
      <c r="BP190">
        <v>0.99990000000000001</v>
      </c>
      <c r="BQ190">
        <v>1</v>
      </c>
      <c r="BR190">
        <v>1.1165875999999999</v>
      </c>
      <c r="BS190">
        <v>1.1259999999999999</v>
      </c>
      <c r="BT190">
        <v>1.0827</v>
      </c>
      <c r="BU190">
        <v>1.0233000000000001</v>
      </c>
      <c r="BV190">
        <v>1</v>
      </c>
      <c r="BW190">
        <v>2.5097999999999998</v>
      </c>
      <c r="BX190">
        <v>2.3185763330000002</v>
      </c>
      <c r="BY190">
        <v>1.14805</v>
      </c>
      <c r="BZ190">
        <v>1.2885</v>
      </c>
      <c r="CA190">
        <v>2.0009999999999999</v>
      </c>
      <c r="CB190">
        <v>1.557005</v>
      </c>
      <c r="CC190">
        <v>1.557005</v>
      </c>
      <c r="CD190">
        <v>1.2877050000000001</v>
      </c>
      <c r="CE190">
        <v>1.098455</v>
      </c>
      <c r="CF190">
        <v>1.459805</v>
      </c>
      <c r="CG190" s="332"/>
      <c r="CH190">
        <v>1.1031500000000001</v>
      </c>
      <c r="CI190" s="332"/>
      <c r="CJ190" s="332"/>
      <c r="CK190" s="332"/>
      <c r="CL190" s="332"/>
      <c r="CM190" s="332"/>
      <c r="CN190" s="332"/>
      <c r="CO190" s="332"/>
      <c r="CP190">
        <v>0.96499999999999997</v>
      </c>
      <c r="CU190">
        <v>0.34</v>
      </c>
      <c r="CV190">
        <v>0.47</v>
      </c>
      <c r="CW190">
        <v>0.93500000000000005</v>
      </c>
      <c r="CX190">
        <v>0.71499999999999997</v>
      </c>
      <c r="CY190">
        <v>0.72499999999999998</v>
      </c>
      <c r="CZ190">
        <v>0.88249999999999995</v>
      </c>
      <c r="DA190">
        <v>0.91500000000000004</v>
      </c>
      <c r="DB190">
        <v>0.88</v>
      </c>
      <c r="DC190">
        <v>0.90249999999999997</v>
      </c>
      <c r="DD190">
        <v>0.91500000000000004</v>
      </c>
      <c r="DE190">
        <v>0.89</v>
      </c>
      <c r="DN190" s="332">
        <v>2.8499999999999999E-4</v>
      </c>
      <c r="DO190" s="332">
        <v>2.0000000000000001E-4</v>
      </c>
      <c r="DP190" s="332">
        <v>0</v>
      </c>
      <c r="DQ190" s="332">
        <v>1E-4</v>
      </c>
      <c r="DR190" s="332">
        <v>0</v>
      </c>
      <c r="DS190" s="332">
        <v>3.5999999999999999E-3</v>
      </c>
      <c r="DT190" s="332">
        <v>4.6999999999999999E-4</v>
      </c>
      <c r="DU190" s="332">
        <v>6.9999999999999999E-4</v>
      </c>
      <c r="DV190" s="332">
        <v>0</v>
      </c>
      <c r="DW190" s="332">
        <v>0</v>
      </c>
      <c r="DX190" s="332">
        <v>5.0000000000000001E-4</v>
      </c>
      <c r="DY190" s="332">
        <v>5.0000000000000001E-4</v>
      </c>
      <c r="DZ190" s="332">
        <v>2.9999999999999997E-4</v>
      </c>
      <c r="EA190" s="332">
        <v>2.7500000000000002E-4</v>
      </c>
      <c r="EB190" s="332">
        <v>4.0000000000000002E-4</v>
      </c>
      <c r="ED190" s="332">
        <v>6.4999999999999994E-5</v>
      </c>
      <c r="EF190">
        <v>1</v>
      </c>
    </row>
    <row r="191" spans="1:136" x14ac:dyDescent="0.25">
      <c r="A191" s="66">
        <v>42186</v>
      </c>
      <c r="B191">
        <v>0.98</v>
      </c>
      <c r="C191">
        <v>0</v>
      </c>
      <c r="E191">
        <v>0</v>
      </c>
      <c r="F191">
        <v>0</v>
      </c>
      <c r="G191">
        <v>0.98750000000000004</v>
      </c>
      <c r="H191">
        <v>0.98750000000000004</v>
      </c>
      <c r="I191">
        <v>0.98750000000000004</v>
      </c>
      <c r="J191">
        <v>0.98050000000000004</v>
      </c>
      <c r="K191">
        <v>0.98499999999999999</v>
      </c>
      <c r="L191" s="333">
        <v>0.98750000000000004</v>
      </c>
      <c r="M191" s="333">
        <v>0.98750000000000004</v>
      </c>
      <c r="N191">
        <v>0.98</v>
      </c>
      <c r="O191">
        <v>0.98750000000000004</v>
      </c>
      <c r="P191">
        <v>0.98</v>
      </c>
      <c r="Q191" s="328">
        <v>0.98750000000000004</v>
      </c>
      <c r="R191">
        <v>0.98750000000000004</v>
      </c>
      <c r="S191" s="333">
        <v>0.98750000000000004</v>
      </c>
      <c r="T191">
        <v>0.98</v>
      </c>
      <c r="U191">
        <v>0.98</v>
      </c>
      <c r="V191">
        <v>0.98</v>
      </c>
      <c r="W191">
        <v>0.98</v>
      </c>
      <c r="X191">
        <v>0.98750000000000004</v>
      </c>
      <c r="Y191">
        <v>0.98750000000000004</v>
      </c>
      <c r="Z191">
        <v>0.98750000000000004</v>
      </c>
      <c r="AA191">
        <v>0.98750000000000004</v>
      </c>
      <c r="AB191">
        <v>0.98</v>
      </c>
      <c r="AC191">
        <v>0.98</v>
      </c>
      <c r="AD191">
        <v>0.98750000000000004</v>
      </c>
      <c r="AE191">
        <v>0.98750000000000004</v>
      </c>
      <c r="AF191">
        <v>0.98</v>
      </c>
      <c r="AG191">
        <v>0.99</v>
      </c>
      <c r="AH191">
        <v>0.98186134999999997</v>
      </c>
      <c r="AI191">
        <v>0.98186134999999997</v>
      </c>
      <c r="AJ191">
        <v>0.98</v>
      </c>
      <c r="AK191">
        <v>1</v>
      </c>
      <c r="AL191">
        <v>0.98499999999999999</v>
      </c>
      <c r="AM191">
        <v>0</v>
      </c>
      <c r="BB191" s="446">
        <v>1</v>
      </c>
      <c r="BC191">
        <v>1</v>
      </c>
      <c r="BD191">
        <v>1</v>
      </c>
      <c r="BE191">
        <v>1</v>
      </c>
      <c r="BF191">
        <v>0.99990000000000001</v>
      </c>
      <c r="BG191">
        <v>1</v>
      </c>
      <c r="BH191">
        <v>1</v>
      </c>
      <c r="BI191">
        <v>0.99</v>
      </c>
      <c r="BJ191">
        <v>0.999</v>
      </c>
      <c r="BK191">
        <v>0.998</v>
      </c>
      <c r="BL191">
        <v>0.99850000000000005</v>
      </c>
      <c r="BM191">
        <v>0.99850000000000005</v>
      </c>
      <c r="BN191">
        <v>0.97199999999999998</v>
      </c>
      <c r="BO191">
        <v>0.99990000000000001</v>
      </c>
      <c r="BP191">
        <v>0.99990000000000001</v>
      </c>
      <c r="BQ191">
        <v>1</v>
      </c>
      <c r="BR191">
        <v>1.1168726</v>
      </c>
      <c r="BS191">
        <v>1.1262000000000001</v>
      </c>
      <c r="BT191">
        <v>1.0827</v>
      </c>
      <c r="BU191">
        <v>1.0234000000000001</v>
      </c>
      <c r="BV191">
        <v>1</v>
      </c>
      <c r="BW191">
        <v>2.5133999999999999</v>
      </c>
      <c r="BX191">
        <v>2.3190463330000002</v>
      </c>
      <c r="BY191">
        <v>1.1487499999999999</v>
      </c>
      <c r="BZ191">
        <v>1.2885</v>
      </c>
      <c r="CA191">
        <v>2.0009999999999999</v>
      </c>
      <c r="CB191">
        <v>1.5575049999999999</v>
      </c>
      <c r="CC191">
        <v>1.5575049999999999</v>
      </c>
      <c r="CD191">
        <v>1.2880050000000001</v>
      </c>
      <c r="CE191">
        <v>1.09873</v>
      </c>
      <c r="CF191">
        <v>1.460205</v>
      </c>
      <c r="CG191" s="332"/>
      <c r="CH191">
        <v>1.1032150000000001</v>
      </c>
      <c r="CI191" s="332"/>
      <c r="CJ191" s="332"/>
      <c r="CK191" s="332"/>
      <c r="CL191" s="332"/>
      <c r="CM191" s="332"/>
      <c r="CN191" s="332"/>
      <c r="CO191" s="332"/>
      <c r="CP191">
        <v>0.97499999999999998</v>
      </c>
      <c r="CU191">
        <v>0.41</v>
      </c>
      <c r="CV191">
        <v>0.47</v>
      </c>
      <c r="CW191">
        <v>0.93500000000000005</v>
      </c>
      <c r="CX191">
        <v>0.73499999999999999</v>
      </c>
      <c r="CY191">
        <v>0.72499999999999998</v>
      </c>
      <c r="CZ191">
        <v>0.87749999999999995</v>
      </c>
      <c r="DA191">
        <v>0.91</v>
      </c>
      <c r="DB191">
        <v>0.89</v>
      </c>
      <c r="DC191">
        <v>0.90749999999999997</v>
      </c>
      <c r="DD191">
        <v>0.91500000000000004</v>
      </c>
      <c r="DE191">
        <v>0.89</v>
      </c>
      <c r="DN191" s="332">
        <v>2.8499999999999999E-4</v>
      </c>
      <c r="DO191" s="332">
        <v>2.0000000000000001E-4</v>
      </c>
      <c r="DP191" s="332">
        <v>0</v>
      </c>
      <c r="DQ191" s="332">
        <v>1E-4</v>
      </c>
      <c r="DR191" s="332">
        <v>0</v>
      </c>
      <c r="DS191" s="332">
        <v>3.5999999999999999E-3</v>
      </c>
      <c r="DT191" s="332">
        <v>4.6999999999999999E-4</v>
      </c>
      <c r="DU191" s="332">
        <v>6.9999999999999999E-4</v>
      </c>
      <c r="DV191" s="332">
        <v>0</v>
      </c>
      <c r="DW191" s="332">
        <v>0</v>
      </c>
      <c r="DX191" s="332">
        <v>5.0000000000000001E-4</v>
      </c>
      <c r="DY191" s="332">
        <v>5.0000000000000001E-4</v>
      </c>
      <c r="DZ191" s="332">
        <v>2.9999999999999997E-4</v>
      </c>
      <c r="EA191" s="332">
        <v>2.7500000000000002E-4</v>
      </c>
      <c r="EB191" s="332">
        <v>4.0000000000000002E-4</v>
      </c>
      <c r="ED191" s="332">
        <v>6.4999999999999994E-5</v>
      </c>
      <c r="EF191">
        <v>1</v>
      </c>
    </row>
    <row r="192" spans="1:136" x14ac:dyDescent="0.25">
      <c r="A192" s="66">
        <v>42217</v>
      </c>
      <c r="B192">
        <v>0.98</v>
      </c>
      <c r="C192">
        <v>0</v>
      </c>
      <c r="E192">
        <v>0</v>
      </c>
      <c r="F192">
        <v>0</v>
      </c>
      <c r="G192">
        <v>0.98750000000000004</v>
      </c>
      <c r="H192">
        <v>0.98750000000000004</v>
      </c>
      <c r="I192">
        <v>0.98750000000000004</v>
      </c>
      <c r="J192">
        <v>0.98050000000000004</v>
      </c>
      <c r="K192">
        <v>0.98499999999999999</v>
      </c>
      <c r="L192" s="333">
        <v>0.98750000000000004</v>
      </c>
      <c r="M192" s="333">
        <v>0.98750000000000004</v>
      </c>
      <c r="N192">
        <v>0.98</v>
      </c>
      <c r="O192">
        <v>0.98750000000000004</v>
      </c>
      <c r="P192">
        <v>0.98</v>
      </c>
      <c r="Q192" s="328">
        <v>0.98750000000000004</v>
      </c>
      <c r="R192">
        <v>0.98750000000000004</v>
      </c>
      <c r="S192" s="333">
        <v>0.98750000000000004</v>
      </c>
      <c r="T192">
        <v>0.98</v>
      </c>
      <c r="U192">
        <v>0.98</v>
      </c>
      <c r="V192">
        <v>0.98</v>
      </c>
      <c r="W192">
        <v>0.98</v>
      </c>
      <c r="X192">
        <v>0.98750000000000004</v>
      </c>
      <c r="Y192">
        <v>0.98750000000000004</v>
      </c>
      <c r="Z192">
        <v>0.98750000000000004</v>
      </c>
      <c r="AA192">
        <v>0.98750000000000004</v>
      </c>
      <c r="AB192">
        <v>0.98</v>
      </c>
      <c r="AC192">
        <v>0.98</v>
      </c>
      <c r="AD192">
        <v>0.98750000000000004</v>
      </c>
      <c r="AE192">
        <v>0.98750000000000004</v>
      </c>
      <c r="AF192">
        <v>0.98</v>
      </c>
      <c r="AG192">
        <v>0.99</v>
      </c>
      <c r="AH192">
        <v>0.98191919999999999</v>
      </c>
      <c r="AI192">
        <v>0.98191919999999999</v>
      </c>
      <c r="AJ192">
        <v>0.98</v>
      </c>
      <c r="AK192">
        <v>1</v>
      </c>
      <c r="AL192">
        <v>0.98499999999999999</v>
      </c>
      <c r="AM192">
        <v>0</v>
      </c>
      <c r="BB192" s="446">
        <v>1</v>
      </c>
      <c r="BC192">
        <v>1</v>
      </c>
      <c r="BD192">
        <v>1</v>
      </c>
      <c r="BE192">
        <v>1</v>
      </c>
      <c r="BF192">
        <v>0.99990000000000001</v>
      </c>
      <c r="BG192">
        <v>1</v>
      </c>
      <c r="BH192">
        <v>1</v>
      </c>
      <c r="BI192">
        <v>0.99</v>
      </c>
      <c r="BJ192">
        <v>0.999</v>
      </c>
      <c r="BK192">
        <v>0.998</v>
      </c>
      <c r="BL192">
        <v>0.99850000000000005</v>
      </c>
      <c r="BM192">
        <v>0.99850000000000005</v>
      </c>
      <c r="BN192">
        <v>0.97199999999999998</v>
      </c>
      <c r="BO192">
        <v>0.99990000000000001</v>
      </c>
      <c r="BP192">
        <v>0.99990000000000001</v>
      </c>
      <c r="BQ192">
        <v>1</v>
      </c>
      <c r="BR192">
        <v>1.1171576000000001</v>
      </c>
      <c r="BS192">
        <v>1.1264000000000001</v>
      </c>
      <c r="BT192">
        <v>1.0827</v>
      </c>
      <c r="BU192">
        <v>1.0235000000000001</v>
      </c>
      <c r="BV192">
        <v>1</v>
      </c>
      <c r="BW192">
        <v>2.5169999999999999</v>
      </c>
      <c r="BX192">
        <v>2.3195163330000002</v>
      </c>
      <c r="BY192">
        <v>1.1494500000000001</v>
      </c>
      <c r="BZ192">
        <v>1.2885</v>
      </c>
      <c r="CA192">
        <v>2.0009999999999999</v>
      </c>
      <c r="CB192">
        <v>1.5580050000000001</v>
      </c>
      <c r="CC192">
        <v>1.5580050000000001</v>
      </c>
      <c r="CD192">
        <v>1.288305</v>
      </c>
      <c r="CE192">
        <v>1.099005</v>
      </c>
      <c r="CF192">
        <v>1.4606049999999999</v>
      </c>
      <c r="CG192" s="332"/>
      <c r="CH192">
        <v>1.10328</v>
      </c>
      <c r="CI192" s="332"/>
      <c r="CJ192" s="332"/>
      <c r="CK192" s="332"/>
      <c r="CL192" s="332"/>
      <c r="CM192" s="332"/>
      <c r="CN192" s="332"/>
      <c r="CO192" s="332"/>
      <c r="CP192">
        <v>0.97499999999999998</v>
      </c>
      <c r="CU192">
        <v>0.43</v>
      </c>
      <c r="CV192">
        <v>0.52</v>
      </c>
      <c r="CW192">
        <v>0.92500000000000004</v>
      </c>
      <c r="CX192">
        <v>0.82499999999999996</v>
      </c>
      <c r="CY192">
        <v>0.72499999999999998</v>
      </c>
      <c r="CZ192">
        <v>0.89</v>
      </c>
      <c r="DA192">
        <v>0.92249999999999999</v>
      </c>
      <c r="DB192">
        <v>0.91500000000000004</v>
      </c>
      <c r="DC192">
        <v>0.92749999999999999</v>
      </c>
      <c r="DD192">
        <v>0.91500000000000004</v>
      </c>
      <c r="DE192">
        <v>0.89</v>
      </c>
      <c r="DN192" s="332">
        <v>2.8499999999999999E-4</v>
      </c>
      <c r="DO192" s="332">
        <v>2.0000000000000001E-4</v>
      </c>
      <c r="DP192" s="332">
        <v>0</v>
      </c>
      <c r="DQ192" s="332">
        <v>1E-4</v>
      </c>
      <c r="DR192" s="332">
        <v>0</v>
      </c>
      <c r="DS192" s="332">
        <v>3.5999999999999999E-3</v>
      </c>
      <c r="DT192" s="332">
        <v>4.6999999999999999E-4</v>
      </c>
      <c r="DU192" s="332">
        <v>6.9999999999999999E-4</v>
      </c>
      <c r="DV192" s="332">
        <v>0</v>
      </c>
      <c r="DW192" s="332">
        <v>0</v>
      </c>
      <c r="DX192" s="332">
        <v>5.0000000000000001E-4</v>
      </c>
      <c r="DY192" s="332">
        <v>5.0000000000000001E-4</v>
      </c>
      <c r="DZ192" s="332">
        <v>2.9999999999999997E-4</v>
      </c>
      <c r="EA192" s="332">
        <v>2.7500000000000002E-4</v>
      </c>
      <c r="EB192" s="332">
        <v>4.0000000000000002E-4</v>
      </c>
      <c r="ED192" s="332">
        <v>6.4999999999999994E-5</v>
      </c>
      <c r="EF192">
        <v>1</v>
      </c>
    </row>
    <row r="193" spans="1:136" x14ac:dyDescent="0.25">
      <c r="A193" s="66">
        <v>42248</v>
      </c>
      <c r="B193">
        <v>0.98</v>
      </c>
      <c r="C193">
        <v>0</v>
      </c>
      <c r="E193">
        <v>0</v>
      </c>
      <c r="F193">
        <v>0</v>
      </c>
      <c r="G193">
        <v>0.98750000000000004</v>
      </c>
      <c r="H193">
        <v>0.98750000000000004</v>
      </c>
      <c r="I193">
        <v>0.98750000000000004</v>
      </c>
      <c r="J193">
        <v>0.98050000000000004</v>
      </c>
      <c r="K193">
        <v>0.98499999999999999</v>
      </c>
      <c r="L193" s="333">
        <v>0.98750000000000004</v>
      </c>
      <c r="M193" s="333">
        <v>0.98750000000000004</v>
      </c>
      <c r="N193">
        <v>0.98</v>
      </c>
      <c r="O193">
        <v>0.98750000000000004</v>
      </c>
      <c r="P193">
        <v>0.98</v>
      </c>
      <c r="Q193" s="328">
        <v>0.98750000000000004</v>
      </c>
      <c r="R193">
        <v>0.98750000000000004</v>
      </c>
      <c r="S193" s="333">
        <v>0.98750000000000004</v>
      </c>
      <c r="T193">
        <v>0.98</v>
      </c>
      <c r="U193">
        <v>0.98</v>
      </c>
      <c r="V193">
        <v>0.98</v>
      </c>
      <c r="W193">
        <v>0.98</v>
      </c>
      <c r="X193">
        <v>0.98750000000000004</v>
      </c>
      <c r="Y193">
        <v>0.98750000000000004</v>
      </c>
      <c r="Z193">
        <v>0.98750000000000004</v>
      </c>
      <c r="AA193">
        <v>0.98750000000000004</v>
      </c>
      <c r="AB193">
        <v>0.98</v>
      </c>
      <c r="AC193">
        <v>0.98</v>
      </c>
      <c r="AD193">
        <v>0.98750000000000004</v>
      </c>
      <c r="AE193">
        <v>0.98750000000000004</v>
      </c>
      <c r="AF193">
        <v>0.98</v>
      </c>
      <c r="AG193">
        <v>0.99</v>
      </c>
      <c r="AH193">
        <v>0.98197705000000002</v>
      </c>
      <c r="AI193">
        <v>0.98197705000000002</v>
      </c>
      <c r="AJ193">
        <v>0.98</v>
      </c>
      <c r="AK193">
        <v>1</v>
      </c>
      <c r="AL193">
        <v>0.98499999999999999</v>
      </c>
      <c r="AM193">
        <v>0</v>
      </c>
      <c r="BB193" s="446">
        <v>1</v>
      </c>
      <c r="BC193">
        <v>1</v>
      </c>
      <c r="BD193">
        <v>1</v>
      </c>
      <c r="BE193">
        <v>1</v>
      </c>
      <c r="BF193">
        <v>0.99990000000000001</v>
      </c>
      <c r="BG193">
        <v>1</v>
      </c>
      <c r="BH193">
        <v>1</v>
      </c>
      <c r="BI193">
        <v>0.99</v>
      </c>
      <c r="BJ193">
        <v>0.999</v>
      </c>
      <c r="BK193">
        <v>0.998</v>
      </c>
      <c r="BL193">
        <v>0.99850000000000005</v>
      </c>
      <c r="BM193">
        <v>0.99850000000000005</v>
      </c>
      <c r="BN193">
        <v>0.97199999999999998</v>
      </c>
      <c r="BO193">
        <v>0.99990000000000001</v>
      </c>
      <c r="BP193">
        <v>0.99990000000000001</v>
      </c>
      <c r="BQ193">
        <v>1</v>
      </c>
      <c r="BR193">
        <v>1.1174426</v>
      </c>
      <c r="BS193">
        <v>1.1266</v>
      </c>
      <c r="BT193">
        <v>1.0827</v>
      </c>
      <c r="BU193">
        <v>1.0236000000000001</v>
      </c>
      <c r="BV193">
        <v>1</v>
      </c>
      <c r="BW193">
        <v>2.5206</v>
      </c>
      <c r="BX193">
        <v>2.3199863330000001</v>
      </c>
      <c r="BY193">
        <v>1.15015</v>
      </c>
      <c r="BZ193">
        <v>1.2885</v>
      </c>
      <c r="CA193">
        <v>2.0009999999999999</v>
      </c>
      <c r="CB193">
        <v>1.558505</v>
      </c>
      <c r="CC193">
        <v>1.558505</v>
      </c>
      <c r="CD193">
        <v>1.288605</v>
      </c>
      <c r="CE193">
        <v>1.09928</v>
      </c>
      <c r="CF193">
        <v>1.4610050000000001</v>
      </c>
      <c r="CG193" s="332"/>
      <c r="CH193">
        <v>1.103345</v>
      </c>
      <c r="CI193" s="332"/>
      <c r="CJ193" s="332"/>
      <c r="CK193" s="332"/>
      <c r="CL193" s="332"/>
      <c r="CM193" s="332"/>
      <c r="CN193" s="332"/>
      <c r="CO193" s="332"/>
      <c r="CP193">
        <v>0.97499999999999998</v>
      </c>
      <c r="CU193">
        <v>0.46</v>
      </c>
      <c r="CV193">
        <v>0.55000000000000004</v>
      </c>
      <c r="CW193">
        <v>0.92500000000000004</v>
      </c>
      <c r="CX193">
        <v>0.68500000000000005</v>
      </c>
      <c r="CY193">
        <v>0.57499999999999996</v>
      </c>
      <c r="CZ193">
        <v>0.94499999999999995</v>
      </c>
      <c r="DA193">
        <v>0.97750000000000004</v>
      </c>
      <c r="DB193">
        <v>0.94499999999999995</v>
      </c>
      <c r="DC193">
        <v>0.92</v>
      </c>
      <c r="DD193">
        <v>0.91500000000000004</v>
      </c>
      <c r="DE193">
        <v>0.89</v>
      </c>
      <c r="DN193" s="332">
        <v>2.8499999999999999E-4</v>
      </c>
      <c r="DO193" s="332">
        <v>2.0000000000000001E-4</v>
      </c>
      <c r="DP193" s="332">
        <v>0</v>
      </c>
      <c r="DQ193" s="332">
        <v>1E-4</v>
      </c>
      <c r="DR193" s="332">
        <v>0</v>
      </c>
      <c r="DS193" s="332">
        <v>3.5999999999999999E-3</v>
      </c>
      <c r="DT193" s="332">
        <v>4.6999999999999999E-4</v>
      </c>
      <c r="DU193" s="332">
        <v>6.9999999999999999E-4</v>
      </c>
      <c r="DV193" s="332">
        <v>0</v>
      </c>
      <c r="DW193" s="332">
        <v>0</v>
      </c>
      <c r="DX193" s="332">
        <v>5.0000000000000001E-4</v>
      </c>
      <c r="DY193" s="332">
        <v>5.0000000000000001E-4</v>
      </c>
      <c r="DZ193" s="332">
        <v>2.9999999999999997E-4</v>
      </c>
      <c r="EA193" s="332">
        <v>2.7500000000000002E-4</v>
      </c>
      <c r="EB193" s="332">
        <v>4.0000000000000002E-4</v>
      </c>
      <c r="ED193" s="332">
        <v>6.4999999999999994E-5</v>
      </c>
      <c r="EF193">
        <v>1</v>
      </c>
    </row>
    <row r="194" spans="1:136" x14ac:dyDescent="0.25">
      <c r="A194" s="66">
        <v>42278</v>
      </c>
      <c r="B194">
        <v>0.98</v>
      </c>
      <c r="C194">
        <v>0</v>
      </c>
      <c r="E194">
        <v>0</v>
      </c>
      <c r="F194">
        <v>0</v>
      </c>
      <c r="G194">
        <v>0.98750000000000004</v>
      </c>
      <c r="H194">
        <v>0.98750000000000004</v>
      </c>
      <c r="I194">
        <v>0.98750000000000004</v>
      </c>
      <c r="J194">
        <v>0.98050000000000004</v>
      </c>
      <c r="K194">
        <v>0.98499999999999999</v>
      </c>
      <c r="L194" s="333">
        <v>0.98750000000000004</v>
      </c>
      <c r="M194" s="333">
        <v>0.98750000000000004</v>
      </c>
      <c r="N194">
        <v>0.98</v>
      </c>
      <c r="O194">
        <v>0.98750000000000004</v>
      </c>
      <c r="P194">
        <v>0.98</v>
      </c>
      <c r="Q194" s="328">
        <v>0.98750000000000004</v>
      </c>
      <c r="R194">
        <v>0.98750000000000004</v>
      </c>
      <c r="S194" s="333">
        <v>0.98750000000000004</v>
      </c>
      <c r="T194">
        <v>0.98</v>
      </c>
      <c r="U194">
        <v>0.98</v>
      </c>
      <c r="V194">
        <v>0.98</v>
      </c>
      <c r="W194">
        <v>0.98</v>
      </c>
      <c r="X194">
        <v>0.98750000000000004</v>
      </c>
      <c r="Y194">
        <v>0.98750000000000004</v>
      </c>
      <c r="Z194">
        <v>0.98750000000000004</v>
      </c>
      <c r="AA194">
        <v>0.98750000000000004</v>
      </c>
      <c r="AB194">
        <v>0.98</v>
      </c>
      <c r="AC194">
        <v>0.98</v>
      </c>
      <c r="AD194">
        <v>0.98750000000000004</v>
      </c>
      <c r="AE194">
        <v>0.98750000000000004</v>
      </c>
      <c r="AF194">
        <v>0.98</v>
      </c>
      <c r="AG194">
        <v>0.99</v>
      </c>
      <c r="AH194">
        <v>0.98203490000000004</v>
      </c>
      <c r="AI194">
        <v>0.98203490000000004</v>
      </c>
      <c r="AJ194">
        <v>0.98</v>
      </c>
      <c r="AK194">
        <v>1</v>
      </c>
      <c r="AL194">
        <v>0.98499999999999999</v>
      </c>
      <c r="AM194">
        <v>0</v>
      </c>
      <c r="BB194" s="446">
        <v>1</v>
      </c>
      <c r="BC194">
        <v>1</v>
      </c>
      <c r="BD194">
        <v>1</v>
      </c>
      <c r="BE194">
        <v>1</v>
      </c>
      <c r="BF194">
        <v>0.99990000000000001</v>
      </c>
      <c r="BG194">
        <v>1</v>
      </c>
      <c r="BH194">
        <v>1</v>
      </c>
      <c r="BI194">
        <v>0.99</v>
      </c>
      <c r="BJ194">
        <v>0.999</v>
      </c>
      <c r="BK194">
        <v>0.998</v>
      </c>
      <c r="BL194">
        <v>0.99850000000000005</v>
      </c>
      <c r="BM194">
        <v>0.99850000000000005</v>
      </c>
      <c r="BN194">
        <v>0.97199999999999998</v>
      </c>
      <c r="BO194">
        <v>0.99990000000000001</v>
      </c>
      <c r="BP194">
        <v>0.99990000000000001</v>
      </c>
      <c r="BQ194">
        <v>1</v>
      </c>
      <c r="BR194">
        <v>1.1177276</v>
      </c>
      <c r="BS194">
        <v>1.1268</v>
      </c>
      <c r="BT194">
        <v>1.0827</v>
      </c>
      <c r="BU194">
        <v>1.0237000000000001</v>
      </c>
      <c r="BV194">
        <v>1</v>
      </c>
      <c r="BW194">
        <v>2.5242</v>
      </c>
      <c r="BX194">
        <v>2.3204563330000001</v>
      </c>
      <c r="BY194">
        <v>1.1508499999999999</v>
      </c>
      <c r="BZ194">
        <v>1.2885</v>
      </c>
      <c r="CA194">
        <v>2.0009999999999999</v>
      </c>
      <c r="CB194">
        <v>1.559005</v>
      </c>
      <c r="CC194">
        <v>1.559005</v>
      </c>
      <c r="CD194">
        <v>1.288905</v>
      </c>
      <c r="CE194">
        <v>1.0995550000000001</v>
      </c>
      <c r="CF194">
        <v>1.4614050000000001</v>
      </c>
      <c r="CG194" s="332"/>
      <c r="CH194">
        <v>1.10341</v>
      </c>
      <c r="CI194" s="332"/>
      <c r="CJ194" s="332"/>
      <c r="CK194" s="332"/>
      <c r="CL194" s="332"/>
      <c r="CM194" s="332"/>
      <c r="CN194" s="332"/>
      <c r="CO194" s="332"/>
      <c r="CP194">
        <v>0.95499999999999996</v>
      </c>
      <c r="CU194">
        <v>0.46</v>
      </c>
      <c r="CV194">
        <v>0.45</v>
      </c>
      <c r="CW194">
        <v>0.92500000000000004</v>
      </c>
      <c r="CX194">
        <v>0.67500000000000004</v>
      </c>
      <c r="CY194">
        <v>0.505</v>
      </c>
      <c r="CZ194">
        <v>0.80500000000000005</v>
      </c>
      <c r="DA194">
        <v>0.83750000000000002</v>
      </c>
      <c r="DB194">
        <v>0.875</v>
      </c>
      <c r="DC194">
        <v>0.90249999999999997</v>
      </c>
      <c r="DD194">
        <v>0.82</v>
      </c>
      <c r="DE194">
        <v>0.89</v>
      </c>
      <c r="DN194" s="332">
        <v>2.8499999999999999E-4</v>
      </c>
      <c r="DO194" s="332">
        <v>2.0000000000000001E-4</v>
      </c>
      <c r="DP194" s="332">
        <v>0</v>
      </c>
      <c r="DQ194" s="332">
        <v>1E-4</v>
      </c>
      <c r="DR194" s="332">
        <v>0</v>
      </c>
      <c r="DS194" s="332">
        <v>3.5999999999999999E-3</v>
      </c>
      <c r="DT194" s="332">
        <v>4.6999999999999999E-4</v>
      </c>
      <c r="DU194" s="332">
        <v>6.9999999999999999E-4</v>
      </c>
      <c r="DV194" s="332">
        <v>0</v>
      </c>
      <c r="DW194" s="332">
        <v>0</v>
      </c>
      <c r="DX194" s="332">
        <v>5.0000000000000001E-4</v>
      </c>
      <c r="DY194" s="332">
        <v>5.0000000000000001E-4</v>
      </c>
      <c r="DZ194" s="332">
        <v>2.9999999999999997E-4</v>
      </c>
      <c r="EA194" s="332">
        <v>2.7500000000000002E-4</v>
      </c>
      <c r="EB194" s="332">
        <v>4.0000000000000002E-4</v>
      </c>
      <c r="ED194" s="332">
        <v>6.4999999999999994E-5</v>
      </c>
      <c r="EF194">
        <v>1</v>
      </c>
    </row>
    <row r="195" spans="1:136" x14ac:dyDescent="0.25">
      <c r="A195" s="66">
        <v>42309</v>
      </c>
      <c r="B195">
        <v>0.98</v>
      </c>
      <c r="C195">
        <v>0</v>
      </c>
      <c r="E195">
        <v>0</v>
      </c>
      <c r="F195">
        <v>0</v>
      </c>
      <c r="G195">
        <v>0.98750000000000004</v>
      </c>
      <c r="H195">
        <v>0.98750000000000004</v>
      </c>
      <c r="I195">
        <v>0.98750000000000004</v>
      </c>
      <c r="J195">
        <v>0.98050000000000004</v>
      </c>
      <c r="K195">
        <v>0.97048500000000004</v>
      </c>
      <c r="L195" s="333">
        <v>0.98750000000000004</v>
      </c>
      <c r="M195" s="333">
        <v>0.98750000000000004</v>
      </c>
      <c r="N195">
        <v>0.98</v>
      </c>
      <c r="O195">
        <v>0.98750000000000004</v>
      </c>
      <c r="P195">
        <v>0.98</v>
      </c>
      <c r="Q195" s="328">
        <v>0.98750000000000004</v>
      </c>
      <c r="R195">
        <v>0.98750000000000004</v>
      </c>
      <c r="S195" s="333">
        <v>0.98750000000000004</v>
      </c>
      <c r="T195">
        <v>0.98</v>
      </c>
      <c r="U195">
        <v>0.98</v>
      </c>
      <c r="V195">
        <v>0.98</v>
      </c>
      <c r="W195">
        <v>0.98</v>
      </c>
      <c r="X195">
        <v>0.98750000000000004</v>
      </c>
      <c r="Y195">
        <v>0.98750000000000004</v>
      </c>
      <c r="Z195">
        <v>0.98750000000000004</v>
      </c>
      <c r="AA195">
        <v>0.98750000000000004</v>
      </c>
      <c r="AB195">
        <v>0.98</v>
      </c>
      <c r="AC195">
        <v>0.98</v>
      </c>
      <c r="AD195">
        <v>0.98750000000000004</v>
      </c>
      <c r="AE195">
        <v>0.98750000000000004</v>
      </c>
      <c r="AF195">
        <v>0.98</v>
      </c>
      <c r="AG195">
        <v>0.99</v>
      </c>
      <c r="AH195">
        <v>0.98209274999999996</v>
      </c>
      <c r="AI195">
        <v>0.98209274999999996</v>
      </c>
      <c r="AJ195">
        <v>0.98</v>
      </c>
      <c r="AK195">
        <v>1</v>
      </c>
      <c r="AL195">
        <v>0.97048500000000004</v>
      </c>
      <c r="AM195">
        <v>0</v>
      </c>
      <c r="BB195" s="446">
        <v>1</v>
      </c>
      <c r="BC195">
        <v>1</v>
      </c>
      <c r="BD195">
        <v>1</v>
      </c>
      <c r="BE195">
        <v>1</v>
      </c>
      <c r="BF195">
        <v>0.99990000000000001</v>
      </c>
      <c r="BG195">
        <v>1</v>
      </c>
      <c r="BH195">
        <v>1</v>
      </c>
      <c r="BI195">
        <v>0.99</v>
      </c>
      <c r="BJ195">
        <v>0.999</v>
      </c>
      <c r="BK195">
        <v>0.998</v>
      </c>
      <c r="BL195">
        <v>0.99850000000000005</v>
      </c>
      <c r="BM195">
        <v>0.99850000000000005</v>
      </c>
      <c r="BN195">
        <v>0.97199999999999998</v>
      </c>
      <c r="BO195">
        <v>0.99990000000000001</v>
      </c>
      <c r="BP195">
        <v>0.99990000000000001</v>
      </c>
      <c r="BQ195">
        <v>1</v>
      </c>
      <c r="BR195">
        <v>1.1180125999999999</v>
      </c>
      <c r="BS195">
        <v>1.127</v>
      </c>
      <c r="BT195">
        <v>1.0827</v>
      </c>
      <c r="BU195">
        <v>1.0238</v>
      </c>
      <c r="BV195">
        <v>1</v>
      </c>
      <c r="BW195">
        <v>2.5278</v>
      </c>
      <c r="BX195">
        <v>2.3209263330000001</v>
      </c>
      <c r="BY195">
        <v>1.1515500000000001</v>
      </c>
      <c r="BZ195">
        <v>1.2885</v>
      </c>
      <c r="CA195">
        <v>2.0009999999999999</v>
      </c>
      <c r="CB195">
        <v>1.5595049999999999</v>
      </c>
      <c r="CC195">
        <v>1.5595049999999999</v>
      </c>
      <c r="CD195">
        <v>1.2892049999999999</v>
      </c>
      <c r="CE195">
        <v>1.0998300000000001</v>
      </c>
      <c r="CF195">
        <v>1.461805</v>
      </c>
      <c r="CG195" s="332"/>
      <c r="CH195">
        <v>1.103475</v>
      </c>
      <c r="CI195" s="332"/>
      <c r="CJ195" s="332"/>
      <c r="CK195" s="332"/>
      <c r="CL195" s="332"/>
      <c r="CM195" s="332"/>
      <c r="CN195" s="332"/>
      <c r="CO195" s="332"/>
      <c r="CP195">
        <v>0.95499999999999996</v>
      </c>
      <c r="CU195">
        <v>0.48</v>
      </c>
      <c r="CV195">
        <v>0.46</v>
      </c>
      <c r="CW195">
        <v>0.90500000000000003</v>
      </c>
      <c r="CX195">
        <v>0.63500000000000001</v>
      </c>
      <c r="CY195">
        <v>0.48499999999999999</v>
      </c>
      <c r="CZ195">
        <v>0.79500000000000004</v>
      </c>
      <c r="DA195">
        <v>0.82750000000000001</v>
      </c>
      <c r="DB195">
        <v>0.85</v>
      </c>
      <c r="DC195">
        <v>0.90249999999999997</v>
      </c>
      <c r="DD195">
        <v>0.82</v>
      </c>
      <c r="DE195">
        <v>0.89</v>
      </c>
      <c r="DN195" s="332">
        <v>2.8499999999999999E-4</v>
      </c>
      <c r="DO195" s="332">
        <v>2.0000000000000001E-4</v>
      </c>
      <c r="DP195" s="332">
        <v>0</v>
      </c>
      <c r="DQ195" s="332">
        <v>1E-4</v>
      </c>
      <c r="DR195" s="332">
        <v>0</v>
      </c>
      <c r="DS195" s="332">
        <v>3.5999999999999999E-3</v>
      </c>
      <c r="DT195" s="332">
        <v>4.6999999999999999E-4</v>
      </c>
      <c r="DU195" s="332">
        <v>6.9999999999999999E-4</v>
      </c>
      <c r="DV195" s="332">
        <v>0</v>
      </c>
      <c r="DW195" s="332">
        <v>0</v>
      </c>
      <c r="DX195" s="332">
        <v>5.0000000000000001E-4</v>
      </c>
      <c r="DY195" s="332">
        <v>5.0000000000000001E-4</v>
      </c>
      <c r="DZ195" s="332">
        <v>2.9999999999999997E-4</v>
      </c>
      <c r="EA195" s="332">
        <v>2.7500000000000002E-4</v>
      </c>
      <c r="EB195" s="332">
        <v>4.0000000000000002E-4</v>
      </c>
      <c r="ED195" s="332">
        <v>6.4999999999999994E-5</v>
      </c>
      <c r="EF195">
        <v>1</v>
      </c>
    </row>
    <row r="196" spans="1:136" x14ac:dyDescent="0.25">
      <c r="A196" s="66">
        <v>42339</v>
      </c>
      <c r="B196">
        <v>0.98</v>
      </c>
      <c r="C196">
        <v>0</v>
      </c>
      <c r="E196">
        <v>0</v>
      </c>
      <c r="F196">
        <v>0</v>
      </c>
      <c r="G196">
        <v>0.98750000000000004</v>
      </c>
      <c r="H196">
        <v>0.98750000000000004</v>
      </c>
      <c r="I196">
        <v>0.98750000000000004</v>
      </c>
      <c r="J196">
        <v>0.98050000000000004</v>
      </c>
      <c r="K196">
        <v>0.97048500000000004</v>
      </c>
      <c r="L196" s="333">
        <v>0.92040295000000005</v>
      </c>
      <c r="M196" s="333">
        <v>0.97110311199999999</v>
      </c>
      <c r="N196">
        <v>0.88975844999999998</v>
      </c>
      <c r="O196">
        <v>0.98184371299999995</v>
      </c>
      <c r="P196">
        <v>0.88975844999999998</v>
      </c>
      <c r="Q196" s="328">
        <v>0.92040295000000005</v>
      </c>
      <c r="R196">
        <v>0.92040295000000005</v>
      </c>
      <c r="S196" s="333">
        <v>0.92040295000000005</v>
      </c>
      <c r="T196">
        <v>0.88975844999999998</v>
      </c>
      <c r="U196">
        <v>0.88975844999999998</v>
      </c>
      <c r="V196">
        <v>0.88975844999999998</v>
      </c>
      <c r="W196">
        <v>0.88975844999999998</v>
      </c>
      <c r="X196">
        <v>0.98184371299999995</v>
      </c>
      <c r="Y196">
        <v>0.98184371299999995</v>
      </c>
      <c r="Z196">
        <v>0.98184371299999995</v>
      </c>
      <c r="AA196">
        <v>0.98184371299999995</v>
      </c>
      <c r="AB196">
        <v>0.88975844999999998</v>
      </c>
      <c r="AC196">
        <v>0.88975844999999998</v>
      </c>
      <c r="AD196">
        <v>0.98184371299999995</v>
      </c>
      <c r="AE196">
        <v>0.98184371299999995</v>
      </c>
      <c r="AF196">
        <v>0.88975844999999998</v>
      </c>
      <c r="AG196">
        <v>0.98</v>
      </c>
      <c r="AH196">
        <v>0.98215059999999998</v>
      </c>
      <c r="AI196">
        <v>0.98215059999999998</v>
      </c>
      <c r="AJ196">
        <v>0.88975844999999998</v>
      </c>
      <c r="AK196">
        <v>1</v>
      </c>
      <c r="AL196">
        <v>0.97048500000000004</v>
      </c>
      <c r="AM196">
        <v>0</v>
      </c>
      <c r="BB196" s="446">
        <v>1</v>
      </c>
      <c r="BC196">
        <v>1</v>
      </c>
      <c r="BD196">
        <v>1</v>
      </c>
      <c r="BE196">
        <v>1</v>
      </c>
      <c r="BF196">
        <v>0.99990000000000001</v>
      </c>
      <c r="BG196">
        <v>1</v>
      </c>
      <c r="BH196">
        <v>1</v>
      </c>
      <c r="BI196">
        <v>0.99</v>
      </c>
      <c r="BJ196">
        <v>0.999</v>
      </c>
      <c r="BK196">
        <v>0.998</v>
      </c>
      <c r="BL196">
        <v>0.99850000000000005</v>
      </c>
      <c r="BM196">
        <v>0.99850000000000005</v>
      </c>
      <c r="BN196">
        <v>0.97199999999999998</v>
      </c>
      <c r="BO196">
        <v>0.99990000000000001</v>
      </c>
      <c r="BP196">
        <v>0.99990000000000001</v>
      </c>
      <c r="BQ196">
        <v>1</v>
      </c>
      <c r="BR196">
        <v>1.1182976</v>
      </c>
      <c r="BS196">
        <v>1.1272</v>
      </c>
      <c r="BT196">
        <v>1.0827</v>
      </c>
      <c r="BU196">
        <v>1.0239</v>
      </c>
      <c r="BV196">
        <v>1</v>
      </c>
      <c r="BW196">
        <v>2.5314000000000001</v>
      </c>
      <c r="BX196">
        <v>2.321396333</v>
      </c>
      <c r="BY196">
        <v>1.15225</v>
      </c>
      <c r="BZ196">
        <v>1.2885</v>
      </c>
      <c r="CA196">
        <v>2.0009999999999999</v>
      </c>
      <c r="CB196">
        <v>1.5600050000000001</v>
      </c>
      <c r="CC196">
        <v>1.5600050000000001</v>
      </c>
      <c r="CD196">
        <v>1.2895049999999999</v>
      </c>
      <c r="CE196">
        <v>1.1001050000000001</v>
      </c>
      <c r="CF196">
        <v>1.462205</v>
      </c>
      <c r="CG196" s="332"/>
      <c r="CH196">
        <v>1.10354</v>
      </c>
      <c r="CI196" s="332"/>
      <c r="CJ196" s="332"/>
      <c r="CK196" s="332"/>
      <c r="CL196" s="332"/>
      <c r="CM196" s="332"/>
      <c r="CN196" s="332"/>
      <c r="CO196" s="332"/>
      <c r="CP196">
        <v>0.93500000000000005</v>
      </c>
      <c r="CU196">
        <v>0.51</v>
      </c>
      <c r="CV196">
        <v>0.48</v>
      </c>
      <c r="CW196">
        <v>0.875</v>
      </c>
      <c r="CX196">
        <v>0.64</v>
      </c>
      <c r="CY196">
        <v>0.48499999999999999</v>
      </c>
      <c r="CZ196">
        <v>0.59</v>
      </c>
      <c r="DA196">
        <v>0.62250000000000005</v>
      </c>
      <c r="DB196">
        <v>0.69</v>
      </c>
      <c r="DC196">
        <v>0.89249999999999996</v>
      </c>
      <c r="DD196">
        <v>0.71499999999999997</v>
      </c>
      <c r="DE196">
        <v>0.89</v>
      </c>
      <c r="DN196" s="332">
        <v>2.8499999999999999E-4</v>
      </c>
      <c r="DO196" s="332">
        <v>2.0000000000000001E-4</v>
      </c>
      <c r="DP196" s="332">
        <v>0</v>
      </c>
      <c r="DQ196" s="332">
        <v>1E-4</v>
      </c>
      <c r="DR196" s="332">
        <v>0</v>
      </c>
      <c r="DS196" s="332">
        <v>3.5999999999999999E-3</v>
      </c>
      <c r="DT196" s="332">
        <v>4.6999999999999999E-4</v>
      </c>
      <c r="DU196" s="332">
        <v>6.9999999999999999E-4</v>
      </c>
      <c r="DV196" s="332">
        <v>0</v>
      </c>
      <c r="DW196" s="332">
        <v>0</v>
      </c>
      <c r="DX196" s="332">
        <v>5.0000000000000001E-4</v>
      </c>
      <c r="DY196" s="332">
        <v>5.0000000000000001E-4</v>
      </c>
      <c r="DZ196" s="332">
        <v>2.9999999999999997E-4</v>
      </c>
      <c r="EA196" s="332">
        <v>2.7500000000000002E-4</v>
      </c>
      <c r="EB196" s="332">
        <v>4.0000000000000002E-4</v>
      </c>
      <c r="ED196" s="332">
        <v>6.4999999999999994E-5</v>
      </c>
      <c r="EF196">
        <v>1</v>
      </c>
    </row>
    <row r="197" spans="1:136" x14ac:dyDescent="0.25">
      <c r="A197" s="66">
        <v>42370</v>
      </c>
      <c r="B197">
        <v>0.98</v>
      </c>
      <c r="C197">
        <v>0</v>
      </c>
      <c r="E197">
        <v>0</v>
      </c>
      <c r="F197">
        <v>0</v>
      </c>
      <c r="G197">
        <v>0</v>
      </c>
      <c r="H197">
        <v>0.98750000000000004</v>
      </c>
      <c r="I197">
        <v>0.92812475000000005</v>
      </c>
      <c r="J197">
        <v>0.98050000000000004</v>
      </c>
      <c r="K197">
        <v>0</v>
      </c>
      <c r="L197" s="333">
        <v>0.944105525</v>
      </c>
      <c r="M197" s="333">
        <v>0.98750000000000004</v>
      </c>
      <c r="N197">
        <v>0.88996545000000005</v>
      </c>
      <c r="O197">
        <v>0.96833440000000004</v>
      </c>
      <c r="P197">
        <v>0.88996545000000005</v>
      </c>
      <c r="Q197" s="328">
        <v>0.944105525</v>
      </c>
      <c r="R197">
        <v>0.944105525</v>
      </c>
      <c r="S197" s="333">
        <v>0.944105525</v>
      </c>
      <c r="T197">
        <v>0.88996545000000005</v>
      </c>
      <c r="U197">
        <v>0.88996545000000005</v>
      </c>
      <c r="V197">
        <v>0.88996545000000005</v>
      </c>
      <c r="W197">
        <v>0.88996545000000005</v>
      </c>
      <c r="X197">
        <v>0.96833440000000004</v>
      </c>
      <c r="Y197">
        <v>0.96833440000000004</v>
      </c>
      <c r="Z197">
        <v>0.96833440000000004</v>
      </c>
      <c r="AA197">
        <v>0.96833440000000004</v>
      </c>
      <c r="AB197">
        <v>0.88996545000000005</v>
      </c>
      <c r="AC197">
        <v>0.88996545000000005</v>
      </c>
      <c r="AD197">
        <v>0.96833440000000004</v>
      </c>
      <c r="AE197">
        <v>0.96833440000000004</v>
      </c>
      <c r="AF197">
        <v>0.88996545000000005</v>
      </c>
      <c r="AG197">
        <v>0.98</v>
      </c>
      <c r="AH197">
        <v>0.98220845000000001</v>
      </c>
      <c r="AI197">
        <v>0.98220845000000001</v>
      </c>
      <c r="AJ197">
        <v>0.88996545000000005</v>
      </c>
      <c r="AK197">
        <v>1</v>
      </c>
      <c r="AL197">
        <v>0</v>
      </c>
      <c r="AM197">
        <v>0</v>
      </c>
      <c r="BB197" s="446">
        <v>1</v>
      </c>
      <c r="BC197">
        <v>1</v>
      </c>
      <c r="BD197">
        <v>1</v>
      </c>
      <c r="BE197">
        <v>1</v>
      </c>
      <c r="BF197">
        <v>0.99990000000000001</v>
      </c>
      <c r="BG197">
        <v>1</v>
      </c>
      <c r="BH197">
        <v>1</v>
      </c>
      <c r="BI197">
        <v>0.99</v>
      </c>
      <c r="BJ197">
        <v>0.999</v>
      </c>
      <c r="BK197">
        <v>0.998</v>
      </c>
      <c r="BL197">
        <v>0.99850000000000005</v>
      </c>
      <c r="BM197">
        <v>0.99850000000000005</v>
      </c>
      <c r="BN197">
        <v>0.97199999999999998</v>
      </c>
      <c r="BO197">
        <v>0.99990000000000001</v>
      </c>
      <c r="BP197">
        <v>0.99990000000000001</v>
      </c>
      <c r="BQ197">
        <v>1</v>
      </c>
      <c r="BR197">
        <v>1.1185826000000001</v>
      </c>
      <c r="BS197">
        <v>1.1274</v>
      </c>
      <c r="BT197">
        <v>1.0827</v>
      </c>
      <c r="BU197">
        <v>1.024</v>
      </c>
      <c r="BV197">
        <v>1</v>
      </c>
      <c r="BW197">
        <v>2.5350000000000001</v>
      </c>
      <c r="BX197">
        <v>2.321866333</v>
      </c>
      <c r="BY197">
        <v>1.1529499999999999</v>
      </c>
      <c r="BZ197">
        <v>1.2885</v>
      </c>
      <c r="CA197">
        <v>2.0009999999999999</v>
      </c>
      <c r="CB197">
        <v>1.560505</v>
      </c>
      <c r="CC197">
        <v>1.560505</v>
      </c>
      <c r="CD197">
        <v>1.2898050000000001</v>
      </c>
      <c r="CE197">
        <v>1.1003799999999999</v>
      </c>
      <c r="CF197">
        <v>1.4626049999999999</v>
      </c>
      <c r="CG197" s="332"/>
      <c r="CH197">
        <v>1.1036049999999999</v>
      </c>
      <c r="CI197" s="332"/>
      <c r="CJ197" s="332"/>
      <c r="CK197" s="332"/>
      <c r="CL197" s="332"/>
      <c r="CM197" s="332"/>
      <c r="CN197" s="332"/>
      <c r="CO197" s="332"/>
      <c r="CP197">
        <v>0.89500000000000002</v>
      </c>
      <c r="CV197">
        <v>0.45</v>
      </c>
      <c r="CW197">
        <v>0.80500000000000005</v>
      </c>
      <c r="CX197">
        <v>0.65</v>
      </c>
      <c r="CZ197">
        <v>0.60499999999999998</v>
      </c>
      <c r="DA197">
        <v>0.63749999999999996</v>
      </c>
      <c r="DB197">
        <v>0.69</v>
      </c>
      <c r="DC197">
        <v>0.88</v>
      </c>
      <c r="DD197">
        <v>0.64</v>
      </c>
      <c r="DE197">
        <v>0.89</v>
      </c>
      <c r="DN197" s="332">
        <v>2.8499999999999999E-4</v>
      </c>
      <c r="DO197" s="332">
        <v>2.0000000000000001E-4</v>
      </c>
      <c r="DP197" s="332">
        <v>0</v>
      </c>
      <c r="DQ197" s="332">
        <v>1E-4</v>
      </c>
      <c r="DR197" s="332">
        <v>0</v>
      </c>
      <c r="DS197" s="332">
        <v>3.5999999999999999E-3</v>
      </c>
      <c r="DT197" s="332">
        <v>4.6999999999999999E-4</v>
      </c>
      <c r="DU197" s="332">
        <v>6.9999999999999999E-4</v>
      </c>
      <c r="DV197" s="332">
        <v>0</v>
      </c>
      <c r="DW197" s="332">
        <v>0</v>
      </c>
      <c r="DX197" s="332">
        <v>5.0000000000000001E-4</v>
      </c>
      <c r="DY197" s="332">
        <v>5.0000000000000001E-4</v>
      </c>
      <c r="DZ197" s="332">
        <v>2.9999999999999997E-4</v>
      </c>
      <c r="EA197" s="332">
        <v>2.7500000000000002E-4</v>
      </c>
      <c r="EB197" s="332">
        <v>4.0000000000000002E-4</v>
      </c>
      <c r="ED197" s="332">
        <v>6.4999999999999994E-5</v>
      </c>
      <c r="EF197">
        <v>1</v>
      </c>
    </row>
    <row r="198" spans="1:136" x14ac:dyDescent="0.25">
      <c r="A198" s="66">
        <v>42401</v>
      </c>
      <c r="B198">
        <v>0.98</v>
      </c>
      <c r="C198">
        <v>0</v>
      </c>
      <c r="E198">
        <v>0</v>
      </c>
      <c r="F198">
        <v>0</v>
      </c>
      <c r="G198">
        <v>0</v>
      </c>
      <c r="H198">
        <v>0.98750000000000004</v>
      </c>
      <c r="I198">
        <v>0.97483425000000001</v>
      </c>
      <c r="J198">
        <v>0.98050000000000004</v>
      </c>
      <c r="K198">
        <v>0</v>
      </c>
      <c r="L198" s="333">
        <v>0.98750000000000004</v>
      </c>
      <c r="M198" s="333">
        <v>0.98750000000000004</v>
      </c>
      <c r="N198">
        <v>0.91597455000000005</v>
      </c>
      <c r="O198">
        <v>0.96582476299999998</v>
      </c>
      <c r="P198">
        <v>0.91597455000000005</v>
      </c>
      <c r="Q198" s="328">
        <v>0.98750000000000004</v>
      </c>
      <c r="R198">
        <v>0.98750000000000004</v>
      </c>
      <c r="S198" s="333">
        <v>0.98750000000000004</v>
      </c>
      <c r="T198">
        <v>0.91597455000000005</v>
      </c>
      <c r="U198">
        <v>0.91597455000000005</v>
      </c>
      <c r="V198">
        <v>0.91597455000000005</v>
      </c>
      <c r="W198">
        <v>0.91597455000000005</v>
      </c>
      <c r="X198">
        <v>0.96582476299999998</v>
      </c>
      <c r="Y198">
        <v>0.96582476299999998</v>
      </c>
      <c r="Z198">
        <v>0.96582476299999998</v>
      </c>
      <c r="AA198">
        <v>0.96582476299999998</v>
      </c>
      <c r="AB198">
        <v>0.91597455000000005</v>
      </c>
      <c r="AC198">
        <v>0.91597455000000005</v>
      </c>
      <c r="AD198">
        <v>0.96582476299999998</v>
      </c>
      <c r="AE198">
        <v>0.96582476299999998</v>
      </c>
      <c r="AF198">
        <v>0.91597455000000005</v>
      </c>
      <c r="AG198">
        <v>0.98</v>
      </c>
      <c r="AH198">
        <v>0.98226630000000004</v>
      </c>
      <c r="AI198">
        <v>0.98226630000000004</v>
      </c>
      <c r="AJ198">
        <v>0.91597455000000005</v>
      </c>
      <c r="AK198">
        <v>1</v>
      </c>
      <c r="AL198">
        <v>0</v>
      </c>
      <c r="AM198">
        <v>0</v>
      </c>
      <c r="BB198" s="446">
        <v>1</v>
      </c>
      <c r="BC198">
        <v>1</v>
      </c>
      <c r="BD198">
        <v>1</v>
      </c>
      <c r="BE198">
        <v>1</v>
      </c>
      <c r="BF198">
        <v>0.99990000000000001</v>
      </c>
      <c r="BG198">
        <v>1</v>
      </c>
      <c r="BH198">
        <v>1</v>
      </c>
      <c r="BI198">
        <v>0.99</v>
      </c>
      <c r="BJ198">
        <v>0.999</v>
      </c>
      <c r="BK198">
        <v>0.998</v>
      </c>
      <c r="BL198">
        <v>0.99850000000000005</v>
      </c>
      <c r="BM198">
        <v>0.99850000000000005</v>
      </c>
      <c r="BN198">
        <v>0.97199999999999998</v>
      </c>
      <c r="BO198">
        <v>0.99990000000000001</v>
      </c>
      <c r="BP198">
        <v>0.99990000000000001</v>
      </c>
      <c r="BQ198">
        <v>1</v>
      </c>
      <c r="BR198">
        <v>1.1188676</v>
      </c>
      <c r="BS198">
        <v>1.1275999999999999</v>
      </c>
      <c r="BT198">
        <v>1.0827</v>
      </c>
      <c r="BU198">
        <v>1.0241</v>
      </c>
      <c r="BV198">
        <v>1</v>
      </c>
      <c r="BW198">
        <v>2.5386000000000002</v>
      </c>
      <c r="BX198">
        <v>2.322336333</v>
      </c>
      <c r="BY198">
        <v>1.1536500000000001</v>
      </c>
      <c r="BZ198">
        <v>1.2885</v>
      </c>
      <c r="CA198">
        <v>2.0009999999999999</v>
      </c>
      <c r="CB198">
        <v>1.561005</v>
      </c>
      <c r="CC198">
        <v>1.561005</v>
      </c>
      <c r="CD198">
        <v>1.2901050000000001</v>
      </c>
      <c r="CE198">
        <v>1.1006549999999999</v>
      </c>
      <c r="CF198">
        <v>1.4630050000000001</v>
      </c>
      <c r="CG198" s="332"/>
      <c r="CH198">
        <v>1.1036699999999999</v>
      </c>
      <c r="CI198" s="332"/>
      <c r="CJ198" s="332"/>
      <c r="CK198" s="332"/>
      <c r="CL198" s="332"/>
      <c r="CM198" s="332"/>
      <c r="CN198" s="332"/>
      <c r="CO198" s="332"/>
      <c r="CP198">
        <v>0.86499999999999999</v>
      </c>
      <c r="CV198">
        <v>0.45</v>
      </c>
      <c r="CW198">
        <v>0.84499999999999997</v>
      </c>
      <c r="CX198">
        <v>0.755</v>
      </c>
      <c r="CZ198">
        <v>0.63500000000000001</v>
      </c>
      <c r="DA198">
        <v>0.66749999999999998</v>
      </c>
      <c r="DB198">
        <v>0.71</v>
      </c>
      <c r="DC198">
        <v>0.87749999999999995</v>
      </c>
      <c r="DD198">
        <v>0.67</v>
      </c>
      <c r="DE198">
        <v>0.89</v>
      </c>
      <c r="DN198" s="332">
        <v>2.8499999999999999E-4</v>
      </c>
      <c r="DO198" s="332">
        <v>2.0000000000000001E-4</v>
      </c>
      <c r="DP198" s="332">
        <v>0</v>
      </c>
      <c r="DQ198" s="332">
        <v>1E-4</v>
      </c>
      <c r="DR198" s="332">
        <v>0</v>
      </c>
      <c r="DS198" s="332">
        <v>3.5999999999999999E-3</v>
      </c>
      <c r="DT198" s="332">
        <v>4.6999999999999999E-4</v>
      </c>
      <c r="DU198" s="332">
        <v>6.9999999999999999E-4</v>
      </c>
      <c r="DV198" s="332">
        <v>0</v>
      </c>
      <c r="DW198" s="332">
        <v>0</v>
      </c>
      <c r="DX198" s="332">
        <v>5.0000000000000001E-4</v>
      </c>
      <c r="DY198" s="332">
        <v>5.0000000000000001E-4</v>
      </c>
      <c r="DZ198" s="332">
        <v>2.9999999999999997E-4</v>
      </c>
      <c r="EA198" s="332">
        <v>2.7500000000000002E-4</v>
      </c>
      <c r="EB198" s="332">
        <v>4.0000000000000002E-4</v>
      </c>
      <c r="ED198" s="332">
        <v>6.4999999999999994E-5</v>
      </c>
      <c r="EF198">
        <v>1</v>
      </c>
    </row>
    <row r="199" spans="1:136" x14ac:dyDescent="0.25">
      <c r="A199" s="66">
        <v>42430</v>
      </c>
      <c r="B199">
        <v>0.98</v>
      </c>
      <c r="C199">
        <v>0</v>
      </c>
      <c r="E199">
        <v>0</v>
      </c>
      <c r="F199">
        <v>0</v>
      </c>
      <c r="G199">
        <v>0</v>
      </c>
      <c r="H199">
        <v>0.98750000000000004</v>
      </c>
      <c r="I199">
        <v>0.98750000000000004</v>
      </c>
      <c r="J199">
        <v>0.98050000000000004</v>
      </c>
      <c r="K199">
        <v>0</v>
      </c>
      <c r="L199" s="333">
        <v>0.98750000000000004</v>
      </c>
      <c r="M199" s="333">
        <v>0.98750000000000004</v>
      </c>
      <c r="N199">
        <v>0.98</v>
      </c>
      <c r="O199">
        <v>0.98750000000000004</v>
      </c>
      <c r="P199">
        <v>0.98</v>
      </c>
      <c r="Q199" s="328">
        <v>0.98750000000000004</v>
      </c>
      <c r="R199">
        <v>0.98750000000000004</v>
      </c>
      <c r="S199" s="333">
        <v>0.98750000000000004</v>
      </c>
      <c r="T199">
        <v>0.98</v>
      </c>
      <c r="U199">
        <v>0.98</v>
      </c>
      <c r="V199">
        <v>0.98</v>
      </c>
      <c r="W199">
        <v>0.98</v>
      </c>
      <c r="X199">
        <v>0.98750000000000004</v>
      </c>
      <c r="Y199">
        <v>0.98750000000000004</v>
      </c>
      <c r="Z199">
        <v>0.98750000000000004</v>
      </c>
      <c r="AA199">
        <v>0.98750000000000004</v>
      </c>
      <c r="AB199">
        <v>0.98</v>
      </c>
      <c r="AC199">
        <v>0.98</v>
      </c>
      <c r="AD199">
        <v>0.98750000000000004</v>
      </c>
      <c r="AE199">
        <v>0.98750000000000004</v>
      </c>
      <c r="AF199">
        <v>0.98</v>
      </c>
      <c r="AG199">
        <v>0.99</v>
      </c>
      <c r="AH199">
        <v>0.98232414999999995</v>
      </c>
      <c r="AI199">
        <v>0.98232414999999995</v>
      </c>
      <c r="AJ199">
        <v>0.98</v>
      </c>
      <c r="AK199">
        <v>1</v>
      </c>
      <c r="AL199">
        <v>0</v>
      </c>
      <c r="AM199">
        <v>0</v>
      </c>
      <c r="BB199" s="446">
        <v>1</v>
      </c>
      <c r="BC199">
        <v>1</v>
      </c>
      <c r="BD199">
        <v>1</v>
      </c>
      <c r="BE199">
        <v>1</v>
      </c>
      <c r="BF199">
        <v>0.99990000000000001</v>
      </c>
      <c r="BG199">
        <v>1</v>
      </c>
      <c r="BH199">
        <v>1</v>
      </c>
      <c r="BI199">
        <v>0.99</v>
      </c>
      <c r="BJ199">
        <v>0.999</v>
      </c>
      <c r="BK199">
        <v>0.998</v>
      </c>
      <c r="BL199">
        <v>0.99850000000000005</v>
      </c>
      <c r="BM199">
        <v>0.99850000000000005</v>
      </c>
      <c r="BN199">
        <v>0.97199999999999998</v>
      </c>
      <c r="BO199">
        <v>0.99990000000000001</v>
      </c>
      <c r="BP199">
        <v>0.99990000000000001</v>
      </c>
      <c r="BQ199">
        <v>1</v>
      </c>
      <c r="BR199">
        <v>1.1191526000000001</v>
      </c>
      <c r="BS199">
        <v>1.1277999999999999</v>
      </c>
      <c r="BT199">
        <v>1.0827</v>
      </c>
      <c r="BU199">
        <v>1.0242</v>
      </c>
      <c r="BV199">
        <v>1</v>
      </c>
      <c r="BW199">
        <v>2.5421999999999998</v>
      </c>
      <c r="BX199">
        <v>2.3228063329999999</v>
      </c>
      <c r="BY199">
        <v>1.15435</v>
      </c>
      <c r="BZ199">
        <v>1.2885</v>
      </c>
      <c r="CA199">
        <v>2.0009999999999999</v>
      </c>
      <c r="CB199">
        <v>1.5615049999999999</v>
      </c>
      <c r="CC199">
        <v>1.5615049999999999</v>
      </c>
      <c r="CD199">
        <v>1.290405</v>
      </c>
      <c r="CE199">
        <v>1.10093</v>
      </c>
      <c r="CF199">
        <v>1.4634050000000001</v>
      </c>
      <c r="CG199" s="332"/>
      <c r="CH199">
        <v>1.1037349999999999</v>
      </c>
      <c r="CI199" s="332"/>
      <c r="CJ199" s="332"/>
      <c r="CK199" s="332"/>
      <c r="CL199" s="332"/>
      <c r="CM199" s="332"/>
      <c r="CN199" s="332"/>
      <c r="CO199" s="332"/>
      <c r="CP199">
        <v>0.86499999999999999</v>
      </c>
      <c r="CV199">
        <v>0.45</v>
      </c>
      <c r="CW199">
        <v>0.875</v>
      </c>
      <c r="CX199">
        <v>0.92500000000000004</v>
      </c>
      <c r="CZ199">
        <v>0.78500000000000003</v>
      </c>
      <c r="DA199">
        <v>0.8175</v>
      </c>
      <c r="DB199">
        <v>0.8</v>
      </c>
      <c r="DC199">
        <v>0.9</v>
      </c>
      <c r="DD199">
        <v>0.83</v>
      </c>
      <c r="DE199">
        <v>0.89</v>
      </c>
      <c r="DN199" s="332">
        <v>2.8499999999999999E-4</v>
      </c>
      <c r="DO199" s="332">
        <v>2.0000000000000001E-4</v>
      </c>
      <c r="DP199" s="332">
        <v>0</v>
      </c>
      <c r="DQ199" s="332">
        <v>1E-4</v>
      </c>
      <c r="DR199" s="332">
        <v>0</v>
      </c>
      <c r="DS199" s="332">
        <v>3.5999999999999999E-3</v>
      </c>
      <c r="DT199" s="332">
        <v>4.6999999999999999E-4</v>
      </c>
      <c r="DU199" s="332">
        <v>6.9999999999999999E-4</v>
      </c>
      <c r="DV199" s="332">
        <v>0</v>
      </c>
      <c r="DW199" s="332">
        <v>0</v>
      </c>
      <c r="DX199" s="332">
        <v>5.0000000000000001E-4</v>
      </c>
      <c r="DY199" s="332">
        <v>5.0000000000000001E-4</v>
      </c>
      <c r="DZ199" s="332">
        <v>2.9999999999999997E-4</v>
      </c>
      <c r="EA199" s="332">
        <v>2.7500000000000002E-4</v>
      </c>
      <c r="EB199" s="332">
        <v>4.0000000000000002E-4</v>
      </c>
      <c r="ED199" s="332">
        <v>6.4999999999999994E-5</v>
      </c>
      <c r="EF199">
        <v>1</v>
      </c>
    </row>
    <row r="200" spans="1:136" x14ac:dyDescent="0.25">
      <c r="A200" s="66">
        <v>42461</v>
      </c>
      <c r="B200">
        <v>0.98</v>
      </c>
      <c r="C200">
        <v>0</v>
      </c>
      <c r="E200">
        <v>0</v>
      </c>
      <c r="F200">
        <v>0</v>
      </c>
      <c r="G200">
        <v>0</v>
      </c>
      <c r="H200">
        <v>0.97577605999999995</v>
      </c>
      <c r="I200">
        <v>0.98750000000000004</v>
      </c>
      <c r="J200">
        <v>0.98050000000000004</v>
      </c>
      <c r="K200">
        <v>0</v>
      </c>
      <c r="L200" s="333">
        <v>0.98750000000000004</v>
      </c>
      <c r="M200" s="333">
        <v>0.98750000000000004</v>
      </c>
      <c r="N200">
        <v>0.98</v>
      </c>
      <c r="O200">
        <v>0.98750000000000004</v>
      </c>
      <c r="P200">
        <v>0.98</v>
      </c>
      <c r="Q200" s="328">
        <v>0.98750000000000004</v>
      </c>
      <c r="R200">
        <v>0.98750000000000004</v>
      </c>
      <c r="S200" s="333">
        <v>0.98750000000000004</v>
      </c>
      <c r="T200">
        <v>0.98</v>
      </c>
      <c r="U200">
        <v>0.98</v>
      </c>
      <c r="V200">
        <v>0.98</v>
      </c>
      <c r="W200">
        <v>0.98</v>
      </c>
      <c r="X200">
        <v>0.98750000000000004</v>
      </c>
      <c r="Y200">
        <v>0.98750000000000004</v>
      </c>
      <c r="Z200">
        <v>0.98750000000000004</v>
      </c>
      <c r="AA200">
        <v>0.98750000000000004</v>
      </c>
      <c r="AB200">
        <v>0.98</v>
      </c>
      <c r="AC200">
        <v>0.98</v>
      </c>
      <c r="AD200">
        <v>0.98750000000000004</v>
      </c>
      <c r="AE200">
        <v>0.98750000000000004</v>
      </c>
      <c r="AF200">
        <v>0.98</v>
      </c>
      <c r="AG200">
        <v>0.99</v>
      </c>
      <c r="AH200">
        <v>0.98238199999999998</v>
      </c>
      <c r="AI200">
        <v>0.98238199999999998</v>
      </c>
      <c r="AJ200">
        <v>0.98</v>
      </c>
      <c r="AK200">
        <v>1</v>
      </c>
      <c r="AL200">
        <v>0</v>
      </c>
      <c r="AM200">
        <v>0</v>
      </c>
      <c r="BB200" s="446">
        <v>1</v>
      </c>
      <c r="BC200">
        <v>1</v>
      </c>
      <c r="BD200">
        <v>1</v>
      </c>
      <c r="BE200">
        <v>1</v>
      </c>
      <c r="BF200">
        <v>0.99990000000000001</v>
      </c>
      <c r="BG200">
        <v>1</v>
      </c>
      <c r="BH200">
        <v>1</v>
      </c>
      <c r="BI200">
        <v>0.99</v>
      </c>
      <c r="BJ200">
        <v>0.999</v>
      </c>
      <c r="BK200">
        <v>0.998</v>
      </c>
      <c r="BL200">
        <v>0.99850000000000005</v>
      </c>
      <c r="BM200">
        <v>0.99850000000000005</v>
      </c>
      <c r="BN200">
        <v>0.97199999999999998</v>
      </c>
      <c r="BO200">
        <v>0.99990000000000001</v>
      </c>
      <c r="BP200">
        <v>0.99990000000000001</v>
      </c>
      <c r="BQ200">
        <v>1</v>
      </c>
      <c r="BR200">
        <v>1.1194375999999999</v>
      </c>
      <c r="BS200">
        <v>1.1279999999999999</v>
      </c>
      <c r="BT200">
        <v>1.0827</v>
      </c>
      <c r="BU200">
        <v>1.0243</v>
      </c>
      <c r="BV200">
        <v>1</v>
      </c>
      <c r="BW200">
        <v>2.5457999999999998</v>
      </c>
      <c r="BX200">
        <v>2.3232763329999999</v>
      </c>
      <c r="BY200">
        <v>1.1550499999999999</v>
      </c>
      <c r="BZ200">
        <v>1.2885</v>
      </c>
      <c r="CA200">
        <v>2.0009999999999999</v>
      </c>
      <c r="CB200">
        <v>1.5620050000000001</v>
      </c>
      <c r="CC200">
        <v>1.5620050000000001</v>
      </c>
      <c r="CD200">
        <v>1.290705</v>
      </c>
      <c r="CE200">
        <v>1.101205</v>
      </c>
      <c r="CF200">
        <v>1.463805</v>
      </c>
      <c r="CG200" s="332"/>
      <c r="CH200">
        <v>1.1037999999999999</v>
      </c>
      <c r="CI200" s="332"/>
      <c r="CJ200" s="332"/>
      <c r="CK200" s="332"/>
      <c r="CL200" s="332"/>
      <c r="CM200" s="332"/>
      <c r="CN200" s="332"/>
      <c r="CO200" s="332"/>
      <c r="CP200">
        <v>0.89500000000000002</v>
      </c>
      <c r="CV200">
        <v>0.42</v>
      </c>
      <c r="CW200">
        <v>0.93500000000000005</v>
      </c>
      <c r="CX200">
        <v>0.91500000000000004</v>
      </c>
      <c r="CZ200">
        <v>0.89500000000000002</v>
      </c>
      <c r="DA200">
        <v>0.92749999999999999</v>
      </c>
      <c r="DB200">
        <v>0.85</v>
      </c>
      <c r="DC200">
        <v>0.90300000000000002</v>
      </c>
      <c r="DD200">
        <v>0.92</v>
      </c>
      <c r="DE200">
        <v>0.89</v>
      </c>
      <c r="DN200" s="332">
        <v>2.8499999999999999E-4</v>
      </c>
      <c r="DO200" s="332">
        <v>2.0000000000000001E-4</v>
      </c>
      <c r="DP200" s="332">
        <v>0</v>
      </c>
      <c r="DQ200" s="332">
        <v>1E-4</v>
      </c>
      <c r="DR200" s="332">
        <v>0</v>
      </c>
      <c r="DS200" s="332">
        <v>3.5999999999999999E-3</v>
      </c>
      <c r="DT200" s="332">
        <v>4.6999999999999999E-4</v>
      </c>
      <c r="DU200" s="332">
        <v>6.9999999999999999E-4</v>
      </c>
      <c r="DV200" s="332">
        <v>0</v>
      </c>
      <c r="DW200" s="332">
        <v>0</v>
      </c>
      <c r="DX200" s="332">
        <v>5.0000000000000001E-4</v>
      </c>
      <c r="DY200" s="332">
        <v>5.0000000000000001E-4</v>
      </c>
      <c r="DZ200" s="332">
        <v>2.9999999999999997E-4</v>
      </c>
      <c r="EA200" s="332">
        <v>2.7500000000000002E-4</v>
      </c>
      <c r="EB200" s="332">
        <v>4.0000000000000002E-4</v>
      </c>
      <c r="ED200" s="332">
        <v>6.4999999999999994E-5</v>
      </c>
      <c r="EF200">
        <v>1</v>
      </c>
    </row>
    <row r="201" spans="1:136" x14ac:dyDescent="0.25">
      <c r="A201" s="66">
        <v>42491</v>
      </c>
      <c r="B201">
        <v>0.98</v>
      </c>
      <c r="C201">
        <v>0</v>
      </c>
      <c r="E201">
        <v>0</v>
      </c>
      <c r="F201">
        <v>0</v>
      </c>
      <c r="G201">
        <v>0</v>
      </c>
      <c r="H201">
        <v>0.97597345999999996</v>
      </c>
      <c r="I201">
        <v>0.98750000000000004</v>
      </c>
      <c r="J201">
        <v>0.98050000000000004</v>
      </c>
      <c r="K201">
        <v>0</v>
      </c>
      <c r="L201" s="333">
        <v>0.98750000000000004</v>
      </c>
      <c r="M201" s="333">
        <v>0.98750000000000004</v>
      </c>
      <c r="N201">
        <v>0.98</v>
      </c>
      <c r="O201">
        <v>0.98750000000000004</v>
      </c>
      <c r="P201">
        <v>0.98</v>
      </c>
      <c r="Q201" s="328">
        <v>0.98750000000000004</v>
      </c>
      <c r="R201">
        <v>0.98750000000000004</v>
      </c>
      <c r="S201" s="333">
        <v>0.98750000000000004</v>
      </c>
      <c r="T201">
        <v>0.98</v>
      </c>
      <c r="U201">
        <v>0.98</v>
      </c>
      <c r="V201">
        <v>0.98</v>
      </c>
      <c r="W201">
        <v>0.98</v>
      </c>
      <c r="X201">
        <v>0.98750000000000004</v>
      </c>
      <c r="Y201">
        <v>0.98750000000000004</v>
      </c>
      <c r="Z201">
        <v>0.98750000000000004</v>
      </c>
      <c r="AA201">
        <v>0.98750000000000004</v>
      </c>
      <c r="AB201">
        <v>0.98</v>
      </c>
      <c r="AC201">
        <v>0.98</v>
      </c>
      <c r="AD201">
        <v>0.98750000000000004</v>
      </c>
      <c r="AE201">
        <v>0.98750000000000004</v>
      </c>
      <c r="AF201">
        <v>0.98</v>
      </c>
      <c r="AG201">
        <v>0.99</v>
      </c>
      <c r="AH201">
        <v>0.98243985</v>
      </c>
      <c r="AI201">
        <v>0.98243985</v>
      </c>
      <c r="AJ201">
        <v>0.98</v>
      </c>
      <c r="AK201">
        <v>1</v>
      </c>
      <c r="AL201">
        <v>0</v>
      </c>
      <c r="AM201">
        <v>0</v>
      </c>
      <c r="BB201" s="446">
        <v>1</v>
      </c>
      <c r="BC201">
        <v>1</v>
      </c>
      <c r="BD201">
        <v>1</v>
      </c>
      <c r="BE201">
        <v>1</v>
      </c>
      <c r="BF201">
        <v>0.99990000000000001</v>
      </c>
      <c r="BG201">
        <v>1</v>
      </c>
      <c r="BH201">
        <v>1</v>
      </c>
      <c r="BI201">
        <v>0.99</v>
      </c>
      <c r="BJ201">
        <v>0.999</v>
      </c>
      <c r="BK201">
        <v>0.998</v>
      </c>
      <c r="BL201">
        <v>0.99850000000000005</v>
      </c>
      <c r="BM201">
        <v>0.99850000000000005</v>
      </c>
      <c r="BN201">
        <v>0.97199999999999998</v>
      </c>
      <c r="BO201">
        <v>0.99990000000000001</v>
      </c>
      <c r="BP201">
        <v>0.99990000000000001</v>
      </c>
      <c r="BQ201">
        <v>1</v>
      </c>
      <c r="BR201">
        <v>1.1197226</v>
      </c>
      <c r="BS201">
        <v>1.1282000000000001</v>
      </c>
      <c r="BT201">
        <v>1.0827</v>
      </c>
      <c r="BU201">
        <v>1.0244</v>
      </c>
      <c r="BV201">
        <v>1</v>
      </c>
      <c r="BW201">
        <v>2.5493999999999999</v>
      </c>
      <c r="BX201">
        <v>2.3237463329999999</v>
      </c>
      <c r="BY201">
        <v>1.1557500000000001</v>
      </c>
      <c r="BZ201">
        <v>1.2885</v>
      </c>
      <c r="CA201">
        <v>2.0009999999999999</v>
      </c>
      <c r="CB201">
        <v>1.562505</v>
      </c>
      <c r="CC201">
        <v>1.562505</v>
      </c>
      <c r="CD201">
        <v>1.291005</v>
      </c>
      <c r="CE201">
        <v>1.10148</v>
      </c>
      <c r="CF201">
        <v>1.464205</v>
      </c>
      <c r="CG201" s="332"/>
      <c r="CH201">
        <v>1.1038650000000001</v>
      </c>
      <c r="CI201" s="332"/>
      <c r="CJ201" s="332"/>
      <c r="CK201" s="332"/>
      <c r="CL201" s="332"/>
      <c r="CM201" s="332"/>
      <c r="CN201" s="332"/>
      <c r="CO201" s="332"/>
      <c r="CP201">
        <v>0.96499999999999997</v>
      </c>
      <c r="CV201">
        <v>0.42</v>
      </c>
      <c r="CW201">
        <v>0.93500000000000005</v>
      </c>
      <c r="CX201">
        <v>0.81499999999999995</v>
      </c>
      <c r="CZ201">
        <v>0.91749999999999998</v>
      </c>
      <c r="DA201">
        <v>0.95</v>
      </c>
      <c r="DB201">
        <v>0.88</v>
      </c>
      <c r="DC201">
        <v>0.9</v>
      </c>
      <c r="DD201">
        <v>0.93500000000000005</v>
      </c>
      <c r="DE201">
        <v>0.89</v>
      </c>
      <c r="DN201" s="332">
        <v>2.8499999999999999E-4</v>
      </c>
      <c r="DO201" s="332">
        <v>2.0000000000000001E-4</v>
      </c>
      <c r="DP201" s="332">
        <v>0</v>
      </c>
      <c r="DQ201" s="332">
        <v>1E-4</v>
      </c>
      <c r="DR201" s="332">
        <v>0</v>
      </c>
      <c r="DS201" s="332">
        <v>3.5999999999999999E-3</v>
      </c>
      <c r="DT201" s="332">
        <v>4.6999999999999999E-4</v>
      </c>
      <c r="DU201" s="332">
        <v>6.9999999999999999E-4</v>
      </c>
      <c r="DV201" s="332">
        <v>0</v>
      </c>
      <c r="DW201" s="332">
        <v>0</v>
      </c>
      <c r="DX201" s="332">
        <v>5.0000000000000001E-4</v>
      </c>
      <c r="DY201" s="332">
        <v>5.0000000000000001E-4</v>
      </c>
      <c r="DZ201" s="332">
        <v>2.9999999999999997E-4</v>
      </c>
      <c r="EA201" s="332">
        <v>2.7500000000000002E-4</v>
      </c>
      <c r="EB201" s="332">
        <v>4.0000000000000002E-4</v>
      </c>
      <c r="ED201" s="332">
        <v>6.4999999999999994E-5</v>
      </c>
      <c r="EF201">
        <v>1</v>
      </c>
    </row>
    <row r="202" spans="1:136" x14ac:dyDescent="0.25">
      <c r="A202" s="66">
        <v>42522</v>
      </c>
      <c r="B202">
        <v>0.98</v>
      </c>
      <c r="C202">
        <v>0</v>
      </c>
      <c r="E202">
        <v>0</v>
      </c>
      <c r="F202">
        <v>0</v>
      </c>
      <c r="G202">
        <v>0</v>
      </c>
      <c r="H202">
        <v>0.98750000000000004</v>
      </c>
      <c r="I202">
        <v>0.98750000000000004</v>
      </c>
      <c r="J202">
        <v>0.98050000000000004</v>
      </c>
      <c r="K202">
        <v>0</v>
      </c>
      <c r="L202" s="333">
        <v>0.98750000000000004</v>
      </c>
      <c r="M202" s="333">
        <v>0.98750000000000004</v>
      </c>
      <c r="N202">
        <v>0.98</v>
      </c>
      <c r="O202">
        <v>0.98750000000000004</v>
      </c>
      <c r="P202">
        <v>0.98</v>
      </c>
      <c r="Q202" s="328">
        <v>0.98750000000000004</v>
      </c>
      <c r="R202">
        <v>0.98750000000000004</v>
      </c>
      <c r="S202" s="333">
        <v>0.98750000000000004</v>
      </c>
      <c r="T202">
        <v>0.98</v>
      </c>
      <c r="U202">
        <v>0.98</v>
      </c>
      <c r="V202">
        <v>0.98</v>
      </c>
      <c r="W202">
        <v>0.98</v>
      </c>
      <c r="X202">
        <v>0.98750000000000004</v>
      </c>
      <c r="Y202">
        <v>0.98750000000000004</v>
      </c>
      <c r="Z202">
        <v>0.98750000000000004</v>
      </c>
      <c r="AA202">
        <v>0.98750000000000004</v>
      </c>
      <c r="AB202">
        <v>0.98</v>
      </c>
      <c r="AC202">
        <v>0.98</v>
      </c>
      <c r="AD202">
        <v>0.98750000000000004</v>
      </c>
      <c r="AE202">
        <v>0.98750000000000004</v>
      </c>
      <c r="AF202">
        <v>0.98</v>
      </c>
      <c r="AG202">
        <v>0.99</v>
      </c>
      <c r="AH202">
        <v>0.98249770000000003</v>
      </c>
      <c r="AI202">
        <v>0.98249770000000003</v>
      </c>
      <c r="AJ202">
        <v>0.98</v>
      </c>
      <c r="AK202">
        <v>1</v>
      </c>
      <c r="AL202">
        <v>0</v>
      </c>
      <c r="AM202">
        <v>0</v>
      </c>
      <c r="BB202" s="446">
        <v>1</v>
      </c>
      <c r="BC202">
        <v>1</v>
      </c>
      <c r="BD202">
        <v>1</v>
      </c>
      <c r="BE202">
        <v>1</v>
      </c>
      <c r="BF202">
        <v>0.99990000000000001</v>
      </c>
      <c r="BG202">
        <v>1</v>
      </c>
      <c r="BH202">
        <v>1</v>
      </c>
      <c r="BI202">
        <v>0.99</v>
      </c>
      <c r="BJ202">
        <v>0.999</v>
      </c>
      <c r="BK202">
        <v>0.998</v>
      </c>
      <c r="BL202">
        <v>0.99850000000000005</v>
      </c>
      <c r="BM202">
        <v>0.99850000000000005</v>
      </c>
      <c r="BN202">
        <v>0.97199999999999998</v>
      </c>
      <c r="BO202">
        <v>0.99990000000000001</v>
      </c>
      <c r="BP202">
        <v>0.99990000000000001</v>
      </c>
      <c r="BQ202">
        <v>1</v>
      </c>
      <c r="BR202">
        <v>1.1200076000000001</v>
      </c>
      <c r="BS202">
        <v>1.1284000000000001</v>
      </c>
      <c r="BT202">
        <v>1.0827</v>
      </c>
      <c r="BU202">
        <v>1.0245</v>
      </c>
      <c r="BV202">
        <v>1</v>
      </c>
      <c r="BW202">
        <v>2.5529999999999999</v>
      </c>
      <c r="BX202">
        <v>2.3242163329999999</v>
      </c>
      <c r="BY202">
        <v>1.15645</v>
      </c>
      <c r="BZ202">
        <v>1.2885</v>
      </c>
      <c r="CA202">
        <v>2.0009999999999999</v>
      </c>
      <c r="CB202">
        <v>1.563005</v>
      </c>
      <c r="CC202">
        <v>1.563005</v>
      </c>
      <c r="CD202">
        <v>1.2913049999999999</v>
      </c>
      <c r="CE202">
        <v>1.101755</v>
      </c>
      <c r="CF202">
        <v>1.4646049999999999</v>
      </c>
      <c r="CG202" s="332"/>
      <c r="CH202">
        <v>1.1039300000000001</v>
      </c>
      <c r="CI202" s="332"/>
      <c r="CJ202" s="332"/>
      <c r="CK202" s="332"/>
      <c r="CL202" s="332"/>
      <c r="CM202" s="332"/>
      <c r="CN202" s="332"/>
      <c r="CO202" s="332"/>
      <c r="CP202">
        <v>0.96499999999999997</v>
      </c>
      <c r="CV202">
        <v>0.47</v>
      </c>
      <c r="CW202">
        <v>0.93500000000000005</v>
      </c>
      <c r="CX202">
        <v>0.72499999999999998</v>
      </c>
      <c r="CZ202">
        <v>0.88249999999999995</v>
      </c>
      <c r="DA202">
        <v>0.91500000000000004</v>
      </c>
      <c r="DB202">
        <v>0.88</v>
      </c>
      <c r="DC202">
        <v>0.90249999999999997</v>
      </c>
      <c r="DD202">
        <v>0.91500000000000004</v>
      </c>
      <c r="DE202">
        <v>0.89</v>
      </c>
      <c r="DN202" s="332">
        <v>2.8499999999999999E-4</v>
      </c>
      <c r="DO202" s="332">
        <v>2.0000000000000001E-4</v>
      </c>
      <c r="DP202" s="332">
        <v>0</v>
      </c>
      <c r="DQ202" s="332">
        <v>1E-4</v>
      </c>
      <c r="DR202" s="332">
        <v>0</v>
      </c>
      <c r="DS202" s="332">
        <v>3.5999999999999999E-3</v>
      </c>
      <c r="DT202" s="332">
        <v>4.6999999999999999E-4</v>
      </c>
      <c r="DU202" s="332">
        <v>6.9999999999999999E-4</v>
      </c>
      <c r="DV202" s="332">
        <v>0</v>
      </c>
      <c r="DW202" s="332">
        <v>0</v>
      </c>
      <c r="DX202" s="332">
        <v>5.0000000000000001E-4</v>
      </c>
      <c r="DY202" s="332">
        <v>5.0000000000000001E-4</v>
      </c>
      <c r="DZ202" s="332">
        <v>2.9999999999999997E-4</v>
      </c>
      <c r="EA202" s="332">
        <v>2.7500000000000002E-4</v>
      </c>
      <c r="EB202" s="332">
        <v>4.0000000000000002E-4</v>
      </c>
      <c r="ED202" s="332">
        <v>6.4999999999999994E-5</v>
      </c>
      <c r="EF202">
        <v>1</v>
      </c>
    </row>
    <row r="203" spans="1:136" x14ac:dyDescent="0.25">
      <c r="A203" s="66">
        <v>42552</v>
      </c>
      <c r="B203">
        <v>0.98</v>
      </c>
      <c r="C203">
        <v>0</v>
      </c>
      <c r="E203">
        <v>0</v>
      </c>
      <c r="F203">
        <v>0</v>
      </c>
      <c r="G203">
        <v>0</v>
      </c>
      <c r="H203">
        <v>0.98750000000000004</v>
      </c>
      <c r="I203">
        <v>0.98750000000000004</v>
      </c>
      <c r="J203">
        <v>0.98050000000000004</v>
      </c>
      <c r="K203">
        <v>0</v>
      </c>
      <c r="L203" s="333">
        <v>0.98750000000000004</v>
      </c>
      <c r="M203" s="333">
        <v>0.98750000000000004</v>
      </c>
      <c r="N203">
        <v>0.98</v>
      </c>
      <c r="O203">
        <v>0.98750000000000004</v>
      </c>
      <c r="P203">
        <v>0.98</v>
      </c>
      <c r="Q203" s="328">
        <v>0.98750000000000004</v>
      </c>
      <c r="R203">
        <v>0.98750000000000004</v>
      </c>
      <c r="S203" s="333">
        <v>0.98750000000000004</v>
      </c>
      <c r="T203">
        <v>0.98</v>
      </c>
      <c r="U203">
        <v>0.98</v>
      </c>
      <c r="V203">
        <v>0.98</v>
      </c>
      <c r="W203">
        <v>0.98</v>
      </c>
      <c r="X203">
        <v>0.98750000000000004</v>
      </c>
      <c r="Y203">
        <v>0.98750000000000004</v>
      </c>
      <c r="Z203">
        <v>0.98750000000000004</v>
      </c>
      <c r="AA203">
        <v>0.98750000000000004</v>
      </c>
      <c r="AB203">
        <v>0.98</v>
      </c>
      <c r="AC203">
        <v>0.98</v>
      </c>
      <c r="AD203">
        <v>0.98750000000000004</v>
      </c>
      <c r="AE203">
        <v>0.98750000000000004</v>
      </c>
      <c r="AF203">
        <v>0.98</v>
      </c>
      <c r="AG203">
        <v>0.99</v>
      </c>
      <c r="AH203">
        <v>0.98255555000000006</v>
      </c>
      <c r="AI203">
        <v>0.98255555000000006</v>
      </c>
      <c r="AJ203">
        <v>0.98</v>
      </c>
      <c r="AK203">
        <v>1</v>
      </c>
      <c r="AL203">
        <v>0</v>
      </c>
      <c r="AM203">
        <v>0</v>
      </c>
      <c r="BB203" s="446">
        <v>1</v>
      </c>
      <c r="BC203">
        <v>1</v>
      </c>
      <c r="BD203">
        <v>1</v>
      </c>
      <c r="BE203">
        <v>1</v>
      </c>
      <c r="BF203">
        <v>0.99990000000000001</v>
      </c>
      <c r="BG203">
        <v>1</v>
      </c>
      <c r="BH203">
        <v>1</v>
      </c>
      <c r="BI203">
        <v>0.99</v>
      </c>
      <c r="BJ203">
        <v>0.999</v>
      </c>
      <c r="BK203">
        <v>0.998</v>
      </c>
      <c r="BL203">
        <v>0.99850000000000005</v>
      </c>
      <c r="BM203">
        <v>0.99850000000000005</v>
      </c>
      <c r="BN203">
        <v>0.97199999999999998</v>
      </c>
      <c r="BO203">
        <v>0.99990000000000001</v>
      </c>
      <c r="BP203">
        <v>0.99990000000000001</v>
      </c>
      <c r="BQ203">
        <v>1</v>
      </c>
      <c r="BR203">
        <v>1.1202926</v>
      </c>
      <c r="BS203">
        <v>1.1286</v>
      </c>
      <c r="BT203">
        <v>1.0827</v>
      </c>
      <c r="BU203">
        <v>1.0246</v>
      </c>
      <c r="BV203">
        <v>1</v>
      </c>
      <c r="BW203">
        <v>2.5566</v>
      </c>
      <c r="BX203">
        <v>2.3246863329999998</v>
      </c>
      <c r="BY203">
        <v>1.1571499999999999</v>
      </c>
      <c r="BZ203">
        <v>1.2885</v>
      </c>
      <c r="CA203">
        <v>2.0009999999999999</v>
      </c>
      <c r="CB203">
        <v>1.5635049999999999</v>
      </c>
      <c r="CC203">
        <v>1.5635049999999999</v>
      </c>
      <c r="CD203">
        <v>1.2916049999999999</v>
      </c>
      <c r="CE203">
        <v>1.1020300000000001</v>
      </c>
      <c r="CF203">
        <v>1.4650049999999999</v>
      </c>
      <c r="CG203" s="332"/>
      <c r="CH203">
        <v>1.1039950000000001</v>
      </c>
      <c r="CI203" s="332"/>
      <c r="CJ203" s="332"/>
      <c r="CK203" s="332"/>
      <c r="CL203" s="332"/>
      <c r="CM203" s="332"/>
      <c r="CN203" s="332"/>
      <c r="CO203" s="332"/>
      <c r="CP203">
        <v>0.97499999999999998</v>
      </c>
      <c r="CV203">
        <v>0.47</v>
      </c>
      <c r="CW203">
        <v>0.93500000000000005</v>
      </c>
      <c r="CX203">
        <v>0.745</v>
      </c>
      <c r="CZ203">
        <v>0.87749999999999995</v>
      </c>
      <c r="DA203">
        <v>0.91</v>
      </c>
      <c r="DB203">
        <v>0.89</v>
      </c>
      <c r="DC203">
        <v>0.90749999999999997</v>
      </c>
      <c r="DD203">
        <v>0.91500000000000004</v>
      </c>
      <c r="DE203">
        <v>0.89</v>
      </c>
      <c r="DN203" s="332">
        <v>2.8499999999999999E-4</v>
      </c>
      <c r="DO203" s="332">
        <v>2.0000000000000001E-4</v>
      </c>
      <c r="DP203" s="332">
        <v>0</v>
      </c>
      <c r="DQ203" s="332">
        <v>1E-4</v>
      </c>
      <c r="DR203" s="332">
        <v>0</v>
      </c>
      <c r="DS203" s="332">
        <v>3.5999999999999999E-3</v>
      </c>
      <c r="DT203" s="332">
        <v>4.6999999999999999E-4</v>
      </c>
      <c r="DU203" s="332">
        <v>6.9999999999999999E-4</v>
      </c>
      <c r="DV203" s="332">
        <v>0</v>
      </c>
      <c r="DW203" s="332">
        <v>0</v>
      </c>
      <c r="DX203" s="332">
        <v>5.0000000000000001E-4</v>
      </c>
      <c r="DY203" s="332">
        <v>5.0000000000000001E-4</v>
      </c>
      <c r="DZ203" s="332">
        <v>2.9999999999999997E-4</v>
      </c>
      <c r="EA203" s="332">
        <v>2.7500000000000002E-4</v>
      </c>
      <c r="EB203" s="332">
        <v>4.0000000000000002E-4</v>
      </c>
      <c r="ED203" s="332">
        <v>6.4999999999999994E-5</v>
      </c>
      <c r="EF203">
        <v>1</v>
      </c>
    </row>
    <row r="204" spans="1:136" x14ac:dyDescent="0.25">
      <c r="A204" s="66">
        <v>42583</v>
      </c>
      <c r="B204">
        <v>0.98</v>
      </c>
      <c r="C204">
        <v>0</v>
      </c>
      <c r="E204">
        <v>0</v>
      </c>
      <c r="F204">
        <v>0</v>
      </c>
      <c r="G204">
        <v>0</v>
      </c>
      <c r="H204">
        <v>0.98750000000000004</v>
      </c>
      <c r="I204">
        <v>0.98750000000000004</v>
      </c>
      <c r="J204">
        <v>0.98050000000000004</v>
      </c>
      <c r="K204">
        <v>0</v>
      </c>
      <c r="L204" s="333">
        <v>0.98750000000000004</v>
      </c>
      <c r="M204" s="333">
        <v>0.98750000000000004</v>
      </c>
      <c r="N204">
        <v>0.98</v>
      </c>
      <c r="O204">
        <v>0.98750000000000004</v>
      </c>
      <c r="P204">
        <v>0.98</v>
      </c>
      <c r="Q204" s="328">
        <v>0.98750000000000004</v>
      </c>
      <c r="R204">
        <v>0.98750000000000004</v>
      </c>
      <c r="S204" s="333">
        <v>0.98750000000000004</v>
      </c>
      <c r="T204">
        <v>0.98</v>
      </c>
      <c r="U204">
        <v>0.98</v>
      </c>
      <c r="V204">
        <v>0.98</v>
      </c>
      <c r="W204">
        <v>0.98</v>
      </c>
      <c r="X204">
        <v>0.98750000000000004</v>
      </c>
      <c r="Y204">
        <v>0.98750000000000004</v>
      </c>
      <c r="Z204">
        <v>0.98750000000000004</v>
      </c>
      <c r="AA204">
        <v>0.98750000000000004</v>
      </c>
      <c r="AB204">
        <v>0.98</v>
      </c>
      <c r="AC204">
        <v>0.98</v>
      </c>
      <c r="AD204">
        <v>0.98750000000000004</v>
      </c>
      <c r="AE204">
        <v>0.98750000000000004</v>
      </c>
      <c r="AF204">
        <v>0.98</v>
      </c>
      <c r="AG204">
        <v>0.99</v>
      </c>
      <c r="AH204">
        <v>0.98261339999999997</v>
      </c>
      <c r="AI204">
        <v>0.98261339999999997</v>
      </c>
      <c r="AJ204">
        <v>0.98</v>
      </c>
      <c r="AK204">
        <v>1</v>
      </c>
      <c r="AL204">
        <v>0</v>
      </c>
      <c r="AM204">
        <v>0</v>
      </c>
      <c r="BB204" s="446">
        <v>1</v>
      </c>
      <c r="BC204">
        <v>1</v>
      </c>
      <c r="BD204">
        <v>1</v>
      </c>
      <c r="BE204">
        <v>1</v>
      </c>
      <c r="BF204">
        <v>0.99990000000000001</v>
      </c>
      <c r="BG204">
        <v>1</v>
      </c>
      <c r="BH204">
        <v>1</v>
      </c>
      <c r="BI204">
        <v>0.99</v>
      </c>
      <c r="BJ204">
        <v>0.999</v>
      </c>
      <c r="BK204">
        <v>0.998</v>
      </c>
      <c r="BL204">
        <v>0.99850000000000005</v>
      </c>
      <c r="BM204">
        <v>0.99850000000000005</v>
      </c>
      <c r="BN204">
        <v>0.97199999999999998</v>
      </c>
      <c r="BO204">
        <v>0.99990000000000001</v>
      </c>
      <c r="BP204">
        <v>0.99990000000000001</v>
      </c>
      <c r="BQ204">
        <v>1</v>
      </c>
      <c r="BR204">
        <v>1.1205776000000001</v>
      </c>
      <c r="BS204">
        <v>1.1288</v>
      </c>
      <c r="BT204">
        <v>1.0827</v>
      </c>
      <c r="BU204">
        <v>1.0246999999999999</v>
      </c>
      <c r="BV204">
        <v>1</v>
      </c>
      <c r="BW204">
        <v>2.5602</v>
      </c>
      <c r="BX204">
        <v>2.3251563329999998</v>
      </c>
      <c r="BY204">
        <v>1.15785</v>
      </c>
      <c r="BZ204">
        <v>1.2885</v>
      </c>
      <c r="CA204">
        <v>2.0009999999999999</v>
      </c>
      <c r="CB204">
        <v>1.5640050000000001</v>
      </c>
      <c r="CC204">
        <v>1.5640050000000001</v>
      </c>
      <c r="CD204">
        <v>1.2919050000000001</v>
      </c>
      <c r="CE204">
        <v>1.1023050000000001</v>
      </c>
      <c r="CF204">
        <v>1.4654050000000001</v>
      </c>
      <c r="CG204" s="332"/>
      <c r="CH204">
        <v>1.10406</v>
      </c>
      <c r="CI204" s="332"/>
      <c r="CJ204" s="332"/>
      <c r="CK204" s="332"/>
      <c r="CL204" s="332"/>
      <c r="CM204" s="332"/>
      <c r="CN204" s="332"/>
      <c r="CO204" s="332"/>
      <c r="CP204">
        <v>0.97499999999999998</v>
      </c>
      <c r="CV204">
        <v>0.52</v>
      </c>
      <c r="CW204">
        <v>0.92500000000000004</v>
      </c>
      <c r="CX204">
        <v>0.83499999999999996</v>
      </c>
      <c r="CZ204">
        <v>0.89</v>
      </c>
      <c r="DA204">
        <v>0.92249999999999999</v>
      </c>
      <c r="DB204">
        <v>0.91500000000000004</v>
      </c>
      <c r="DC204">
        <v>0.92749999999999999</v>
      </c>
      <c r="DD204">
        <v>0.91500000000000004</v>
      </c>
      <c r="DE204">
        <v>0.89</v>
      </c>
      <c r="DN204" s="332">
        <v>2.8499999999999999E-4</v>
      </c>
      <c r="DO204" s="332">
        <v>2.0000000000000001E-4</v>
      </c>
      <c r="DP204" s="332">
        <v>0</v>
      </c>
      <c r="DQ204" s="332">
        <v>1E-4</v>
      </c>
      <c r="DR204" s="332">
        <v>0</v>
      </c>
      <c r="DS204" s="332">
        <v>3.5999999999999999E-3</v>
      </c>
      <c r="DT204" s="332">
        <v>4.6999999999999999E-4</v>
      </c>
      <c r="DU204" s="332">
        <v>6.9999999999999999E-4</v>
      </c>
      <c r="DV204" s="332">
        <v>0</v>
      </c>
      <c r="DW204" s="332">
        <v>0</v>
      </c>
      <c r="DX204" s="332">
        <v>5.0000000000000001E-4</v>
      </c>
      <c r="DY204" s="332">
        <v>5.0000000000000001E-4</v>
      </c>
      <c r="DZ204" s="332">
        <v>2.9999999999999997E-4</v>
      </c>
      <c r="EA204" s="332">
        <v>2.7500000000000002E-4</v>
      </c>
      <c r="EB204" s="332">
        <v>4.0000000000000002E-4</v>
      </c>
      <c r="ED204" s="332">
        <v>6.4999999999999994E-5</v>
      </c>
      <c r="EF204">
        <v>1</v>
      </c>
    </row>
    <row r="205" spans="1:136" x14ac:dyDescent="0.25">
      <c r="A205" s="66">
        <v>42614</v>
      </c>
      <c r="B205">
        <v>0.98</v>
      </c>
      <c r="C205">
        <v>0</v>
      </c>
      <c r="E205">
        <v>0</v>
      </c>
      <c r="F205">
        <v>0</v>
      </c>
      <c r="G205">
        <v>0</v>
      </c>
      <c r="H205">
        <v>0.98750000000000004</v>
      </c>
      <c r="I205">
        <v>0.98750000000000004</v>
      </c>
      <c r="J205">
        <v>0.98050000000000004</v>
      </c>
      <c r="K205">
        <v>0</v>
      </c>
      <c r="L205" s="333">
        <v>0.98750000000000004</v>
      </c>
      <c r="M205" s="333">
        <v>0.98750000000000004</v>
      </c>
      <c r="N205">
        <v>0.98</v>
      </c>
      <c r="O205">
        <v>0.98750000000000004</v>
      </c>
      <c r="P205">
        <v>0.98</v>
      </c>
      <c r="Q205" s="328">
        <v>0.98750000000000004</v>
      </c>
      <c r="R205">
        <v>0.98750000000000004</v>
      </c>
      <c r="S205" s="333">
        <v>0.98750000000000004</v>
      </c>
      <c r="T205">
        <v>0.98</v>
      </c>
      <c r="U205">
        <v>0.98</v>
      </c>
      <c r="V205">
        <v>0.98</v>
      </c>
      <c r="W205">
        <v>0.98</v>
      </c>
      <c r="X205">
        <v>0.98750000000000004</v>
      </c>
      <c r="Y205">
        <v>0.98750000000000004</v>
      </c>
      <c r="Z205">
        <v>0.98750000000000004</v>
      </c>
      <c r="AA205">
        <v>0.98750000000000004</v>
      </c>
      <c r="AB205">
        <v>0.98</v>
      </c>
      <c r="AC205">
        <v>0.98</v>
      </c>
      <c r="AD205">
        <v>0.98750000000000004</v>
      </c>
      <c r="AE205">
        <v>0.98750000000000004</v>
      </c>
      <c r="AF205">
        <v>0.98</v>
      </c>
      <c r="AG205">
        <v>0.99</v>
      </c>
      <c r="AH205">
        <v>0.98267125</v>
      </c>
      <c r="AI205">
        <v>0.98267125</v>
      </c>
      <c r="AJ205">
        <v>0.98</v>
      </c>
      <c r="AK205">
        <v>1</v>
      </c>
      <c r="AL205">
        <v>0</v>
      </c>
      <c r="AM205">
        <v>0</v>
      </c>
      <c r="BB205" s="446">
        <v>1</v>
      </c>
      <c r="BC205">
        <v>1</v>
      </c>
      <c r="BD205">
        <v>1</v>
      </c>
      <c r="BE205">
        <v>1</v>
      </c>
      <c r="BF205">
        <v>0.99990000000000001</v>
      </c>
      <c r="BG205">
        <v>1</v>
      </c>
      <c r="BH205">
        <v>1</v>
      </c>
      <c r="BI205">
        <v>0.99</v>
      </c>
      <c r="BJ205">
        <v>0.999</v>
      </c>
      <c r="BK205">
        <v>0.998</v>
      </c>
      <c r="BL205">
        <v>0.99850000000000005</v>
      </c>
      <c r="BM205">
        <v>0.99850000000000005</v>
      </c>
      <c r="BN205">
        <v>0.97199999999999998</v>
      </c>
      <c r="BO205">
        <v>0.99990000000000001</v>
      </c>
      <c r="BP205">
        <v>0.99990000000000001</v>
      </c>
      <c r="BQ205">
        <v>1</v>
      </c>
      <c r="BR205">
        <v>1.1208625999999999</v>
      </c>
      <c r="BS205">
        <v>1.129</v>
      </c>
      <c r="BT205">
        <v>1.0827</v>
      </c>
      <c r="BU205">
        <v>1.0247999999999999</v>
      </c>
      <c r="BV205">
        <v>1</v>
      </c>
      <c r="BW205">
        <v>2.5638000000000001</v>
      </c>
      <c r="BX205">
        <v>2.3256263330000002</v>
      </c>
      <c r="BY205">
        <v>1.15855</v>
      </c>
      <c r="BZ205">
        <v>1.2885</v>
      </c>
      <c r="CA205">
        <v>2.0009999999999999</v>
      </c>
      <c r="CB205">
        <v>1.564505</v>
      </c>
      <c r="CC205">
        <v>1.564505</v>
      </c>
      <c r="CD205">
        <v>1.292205</v>
      </c>
      <c r="CE205">
        <v>1.1025799999999999</v>
      </c>
      <c r="CF205">
        <v>1.465805</v>
      </c>
      <c r="CG205" s="332"/>
      <c r="CH205">
        <v>1.104125</v>
      </c>
      <c r="CI205" s="332"/>
      <c r="CJ205" s="332"/>
      <c r="CK205" s="332"/>
      <c r="CL205" s="332"/>
      <c r="CM205" s="332"/>
      <c r="CN205" s="332"/>
      <c r="CO205" s="332"/>
      <c r="CP205">
        <v>0.97499999999999998</v>
      </c>
      <c r="CV205">
        <v>0.55000000000000004</v>
      </c>
      <c r="CW205">
        <v>0.92500000000000004</v>
      </c>
      <c r="CX205">
        <v>0.69499999999999995</v>
      </c>
      <c r="CZ205">
        <v>0.94499999999999995</v>
      </c>
      <c r="DA205">
        <v>0.97750000000000004</v>
      </c>
      <c r="DB205">
        <v>0.94499999999999995</v>
      </c>
      <c r="DC205">
        <v>0.92</v>
      </c>
      <c r="DD205">
        <v>0.91500000000000004</v>
      </c>
      <c r="DE205">
        <v>0.89</v>
      </c>
      <c r="DN205" s="332">
        <v>2.8499999999999999E-4</v>
      </c>
      <c r="DO205" s="332">
        <v>2.0000000000000001E-4</v>
      </c>
      <c r="DP205" s="332">
        <v>0</v>
      </c>
      <c r="DQ205" s="332">
        <v>1E-4</v>
      </c>
      <c r="DR205" s="332">
        <v>0</v>
      </c>
      <c r="DS205" s="332">
        <v>3.5999999999999999E-3</v>
      </c>
      <c r="DT205" s="332">
        <v>4.6999999999999999E-4</v>
      </c>
      <c r="DU205" s="332">
        <v>6.9999999999999999E-4</v>
      </c>
      <c r="DV205" s="332">
        <v>0</v>
      </c>
      <c r="DW205" s="332">
        <v>0</v>
      </c>
      <c r="DX205" s="332">
        <v>5.0000000000000001E-4</v>
      </c>
      <c r="DY205" s="332">
        <v>5.0000000000000001E-4</v>
      </c>
      <c r="DZ205" s="332">
        <v>2.9999999999999997E-4</v>
      </c>
      <c r="EA205" s="332">
        <v>2.7500000000000002E-4</v>
      </c>
      <c r="EB205" s="332">
        <v>4.0000000000000002E-4</v>
      </c>
      <c r="ED205" s="332">
        <v>6.4999999999999994E-5</v>
      </c>
      <c r="EF205">
        <v>1</v>
      </c>
    </row>
    <row r="206" spans="1:136" x14ac:dyDescent="0.25">
      <c r="A206" s="66">
        <v>42644</v>
      </c>
      <c r="B206">
        <v>0.98</v>
      </c>
      <c r="C206">
        <v>0</v>
      </c>
      <c r="E206">
        <v>0</v>
      </c>
      <c r="F206">
        <v>0</v>
      </c>
      <c r="G206">
        <v>0</v>
      </c>
      <c r="H206">
        <v>0.98750000000000004</v>
      </c>
      <c r="I206">
        <v>0.98750000000000004</v>
      </c>
      <c r="J206">
        <v>0.98050000000000004</v>
      </c>
      <c r="K206">
        <v>0</v>
      </c>
      <c r="L206" s="333">
        <v>0.98750000000000004</v>
      </c>
      <c r="M206" s="333">
        <v>0.98750000000000004</v>
      </c>
      <c r="N206">
        <v>0.98</v>
      </c>
      <c r="O206">
        <v>0.98750000000000004</v>
      </c>
      <c r="P206">
        <v>0.98</v>
      </c>
      <c r="Q206" s="328">
        <v>0.98750000000000004</v>
      </c>
      <c r="R206">
        <v>0.98750000000000004</v>
      </c>
      <c r="S206" s="333">
        <v>0.98750000000000004</v>
      </c>
      <c r="T206">
        <v>0.98</v>
      </c>
      <c r="U206">
        <v>0.98</v>
      </c>
      <c r="V206">
        <v>0.98</v>
      </c>
      <c r="W206">
        <v>0.98</v>
      </c>
      <c r="X206">
        <v>0.98750000000000004</v>
      </c>
      <c r="Y206">
        <v>0.98750000000000004</v>
      </c>
      <c r="Z206">
        <v>0.98750000000000004</v>
      </c>
      <c r="AA206">
        <v>0.98750000000000004</v>
      </c>
      <c r="AB206">
        <v>0.98</v>
      </c>
      <c r="AC206">
        <v>0.98</v>
      </c>
      <c r="AD206">
        <v>0.98750000000000004</v>
      </c>
      <c r="AE206">
        <v>0.98750000000000004</v>
      </c>
      <c r="AF206">
        <v>0.98</v>
      </c>
      <c r="AG206">
        <v>0.99</v>
      </c>
      <c r="AH206">
        <v>0.98272910000000002</v>
      </c>
      <c r="AI206">
        <v>0.98272910000000002</v>
      </c>
      <c r="AJ206">
        <v>0.98</v>
      </c>
      <c r="AK206">
        <v>1</v>
      </c>
      <c r="AL206">
        <v>0</v>
      </c>
      <c r="AM206">
        <v>0</v>
      </c>
      <c r="BB206" s="446">
        <v>1</v>
      </c>
      <c r="BC206">
        <v>1</v>
      </c>
      <c r="BD206">
        <v>1</v>
      </c>
      <c r="BE206">
        <v>1</v>
      </c>
      <c r="BF206">
        <v>0.99990000000000001</v>
      </c>
      <c r="BG206">
        <v>1</v>
      </c>
      <c r="BH206">
        <v>1</v>
      </c>
      <c r="BI206">
        <v>0.99</v>
      </c>
      <c r="BJ206">
        <v>0.999</v>
      </c>
      <c r="BK206">
        <v>0.998</v>
      </c>
      <c r="BL206">
        <v>0.99850000000000005</v>
      </c>
      <c r="BM206">
        <v>0.99850000000000005</v>
      </c>
      <c r="BN206">
        <v>0.97199999999999998</v>
      </c>
      <c r="BO206">
        <v>0.99990000000000001</v>
      </c>
      <c r="BP206">
        <v>0.99990000000000001</v>
      </c>
      <c r="BQ206">
        <v>1</v>
      </c>
      <c r="BR206">
        <v>1.1211476</v>
      </c>
      <c r="BS206">
        <v>1.1292</v>
      </c>
      <c r="BT206">
        <v>1.0827</v>
      </c>
      <c r="BU206">
        <v>1.0248999999999999</v>
      </c>
      <c r="BV206">
        <v>1</v>
      </c>
      <c r="BW206">
        <v>2.5674000000000001</v>
      </c>
      <c r="BX206">
        <v>2.3260963330000002</v>
      </c>
      <c r="BY206">
        <v>1.1592499999999999</v>
      </c>
      <c r="BZ206">
        <v>1.2885</v>
      </c>
      <c r="CA206">
        <v>2.0009999999999999</v>
      </c>
      <c r="CB206">
        <v>1.565005</v>
      </c>
      <c r="CC206">
        <v>1.565005</v>
      </c>
      <c r="CD206">
        <v>1.292505</v>
      </c>
      <c r="CE206">
        <v>1.1028549999999999</v>
      </c>
      <c r="CF206">
        <v>1.466205</v>
      </c>
      <c r="CG206" s="332"/>
      <c r="CH206">
        <v>1.10419</v>
      </c>
      <c r="CI206" s="332"/>
      <c r="CJ206" s="332"/>
      <c r="CK206" s="332"/>
      <c r="CL206" s="332"/>
      <c r="CM206" s="332"/>
      <c r="CN206" s="332"/>
      <c r="CO206" s="332"/>
      <c r="CP206">
        <v>0.95499999999999996</v>
      </c>
      <c r="CV206">
        <v>0.45</v>
      </c>
      <c r="CW206">
        <v>0.92500000000000004</v>
      </c>
      <c r="CX206">
        <v>0.68500000000000005</v>
      </c>
      <c r="CZ206">
        <v>0.80500000000000005</v>
      </c>
      <c r="DA206">
        <v>0.83750000000000002</v>
      </c>
      <c r="DB206">
        <v>0.875</v>
      </c>
      <c r="DC206">
        <v>0.90249999999999997</v>
      </c>
      <c r="DD206">
        <v>0.82</v>
      </c>
      <c r="DE206">
        <v>0.89</v>
      </c>
      <c r="DN206" s="332">
        <v>2.8499999999999999E-4</v>
      </c>
      <c r="DO206" s="332">
        <v>2.0000000000000001E-4</v>
      </c>
      <c r="DP206" s="332">
        <v>0</v>
      </c>
      <c r="DQ206" s="332">
        <v>1E-4</v>
      </c>
      <c r="DR206" s="332">
        <v>0</v>
      </c>
      <c r="DS206" s="332">
        <v>3.5999999999999999E-3</v>
      </c>
      <c r="DT206" s="332">
        <v>4.6999999999999999E-4</v>
      </c>
      <c r="DU206" s="332">
        <v>6.9999999999999999E-4</v>
      </c>
      <c r="DV206" s="332">
        <v>0</v>
      </c>
      <c r="DW206" s="332">
        <v>0</v>
      </c>
      <c r="DX206" s="332">
        <v>5.0000000000000001E-4</v>
      </c>
      <c r="DY206" s="332">
        <v>5.0000000000000001E-4</v>
      </c>
      <c r="DZ206" s="332">
        <v>2.9999999999999997E-4</v>
      </c>
      <c r="EA206" s="332">
        <v>2.7500000000000002E-4</v>
      </c>
      <c r="EB206" s="332">
        <v>4.0000000000000002E-4</v>
      </c>
      <c r="ED206" s="332">
        <v>6.4999999999999994E-5</v>
      </c>
      <c r="EF206">
        <v>1</v>
      </c>
    </row>
    <row r="207" spans="1:136" x14ac:dyDescent="0.25">
      <c r="A207" s="66">
        <v>42675</v>
      </c>
      <c r="B207">
        <v>0.98</v>
      </c>
      <c r="C207">
        <v>0</v>
      </c>
      <c r="E207">
        <v>0</v>
      </c>
      <c r="F207">
        <v>0</v>
      </c>
      <c r="G207">
        <v>0</v>
      </c>
      <c r="H207">
        <v>0.98750000000000004</v>
      </c>
      <c r="I207">
        <v>0.98750000000000004</v>
      </c>
      <c r="J207">
        <v>0.98050000000000004</v>
      </c>
      <c r="K207">
        <v>0</v>
      </c>
      <c r="L207" s="333">
        <v>0.98750000000000004</v>
      </c>
      <c r="M207" s="333">
        <v>0.98750000000000004</v>
      </c>
      <c r="N207">
        <v>0.98</v>
      </c>
      <c r="O207">
        <v>0.98750000000000004</v>
      </c>
      <c r="P207">
        <v>0.98</v>
      </c>
      <c r="Q207" s="328">
        <v>0.98750000000000004</v>
      </c>
      <c r="R207">
        <v>0.98750000000000004</v>
      </c>
      <c r="S207" s="333">
        <v>0.98750000000000004</v>
      </c>
      <c r="T207">
        <v>0.98</v>
      </c>
      <c r="U207">
        <v>0.98</v>
      </c>
      <c r="V207">
        <v>0.98</v>
      </c>
      <c r="W207">
        <v>0.98</v>
      </c>
      <c r="X207">
        <v>0.98750000000000004</v>
      </c>
      <c r="Y207">
        <v>0.98750000000000004</v>
      </c>
      <c r="Z207">
        <v>0.98750000000000004</v>
      </c>
      <c r="AA207">
        <v>0.98750000000000004</v>
      </c>
      <c r="AB207">
        <v>0.98</v>
      </c>
      <c r="AC207">
        <v>0.98</v>
      </c>
      <c r="AD207">
        <v>0.98750000000000004</v>
      </c>
      <c r="AE207">
        <v>0.98750000000000004</v>
      </c>
      <c r="AF207">
        <v>0.98</v>
      </c>
      <c r="AG207">
        <v>0.99</v>
      </c>
      <c r="AH207">
        <v>0.98278695000000005</v>
      </c>
      <c r="AI207">
        <v>0.98278695000000005</v>
      </c>
      <c r="AJ207">
        <v>0.98</v>
      </c>
      <c r="AK207">
        <v>1</v>
      </c>
      <c r="AL207">
        <v>0</v>
      </c>
      <c r="AM207">
        <v>0</v>
      </c>
      <c r="BB207" s="446">
        <v>1</v>
      </c>
      <c r="BC207">
        <v>1</v>
      </c>
      <c r="BD207">
        <v>1</v>
      </c>
      <c r="BE207">
        <v>1</v>
      </c>
      <c r="BF207">
        <v>0.99990000000000001</v>
      </c>
      <c r="BG207">
        <v>1</v>
      </c>
      <c r="BH207">
        <v>1</v>
      </c>
      <c r="BI207">
        <v>0.99</v>
      </c>
      <c r="BJ207">
        <v>0.999</v>
      </c>
      <c r="BK207">
        <v>0.998</v>
      </c>
      <c r="BL207">
        <v>0.99850000000000005</v>
      </c>
      <c r="BM207">
        <v>0.99850000000000005</v>
      </c>
      <c r="BN207">
        <v>0.97199999999999998</v>
      </c>
      <c r="BO207">
        <v>0.99990000000000001</v>
      </c>
      <c r="BP207">
        <v>0.99990000000000001</v>
      </c>
      <c r="BQ207">
        <v>1</v>
      </c>
      <c r="BR207">
        <v>1.1214325999999999</v>
      </c>
      <c r="BS207">
        <v>1.1294</v>
      </c>
      <c r="BT207">
        <v>1.0827</v>
      </c>
      <c r="BU207">
        <v>1.0249999999999999</v>
      </c>
      <c r="BV207">
        <v>1</v>
      </c>
      <c r="BW207">
        <v>2.5710000000000002</v>
      </c>
      <c r="BX207">
        <v>2.3265663330000002</v>
      </c>
      <c r="BY207">
        <v>1.15995</v>
      </c>
      <c r="BZ207">
        <v>1.2885</v>
      </c>
      <c r="CA207">
        <v>2.0009999999999999</v>
      </c>
      <c r="CB207">
        <v>1.5655049999999999</v>
      </c>
      <c r="CC207">
        <v>1.5655049999999999</v>
      </c>
      <c r="CD207">
        <v>1.292805</v>
      </c>
      <c r="CE207">
        <v>1.1031299999999999</v>
      </c>
      <c r="CF207">
        <v>1.4666049999999999</v>
      </c>
      <c r="CG207" s="332"/>
      <c r="CH207">
        <v>1.104255</v>
      </c>
      <c r="CI207" s="332"/>
      <c r="CJ207" s="332"/>
      <c r="CK207" s="332"/>
      <c r="CL207" s="332"/>
      <c r="CM207" s="332"/>
      <c r="CN207" s="332"/>
      <c r="CO207" s="332"/>
      <c r="CP207">
        <v>0.95499999999999996</v>
      </c>
      <c r="CV207">
        <v>0.46</v>
      </c>
      <c r="CW207">
        <v>0.90500000000000003</v>
      </c>
      <c r="CX207">
        <v>0.64500000000000002</v>
      </c>
      <c r="CZ207">
        <v>0.79500000000000004</v>
      </c>
      <c r="DA207">
        <v>0.82750000000000001</v>
      </c>
      <c r="DB207">
        <v>0.85</v>
      </c>
      <c r="DC207">
        <v>0.90249999999999997</v>
      </c>
      <c r="DD207">
        <v>0.82</v>
      </c>
      <c r="DE207">
        <v>0.89</v>
      </c>
      <c r="DN207" s="332">
        <v>2.8499999999999999E-4</v>
      </c>
      <c r="DO207" s="332">
        <v>2.0000000000000001E-4</v>
      </c>
      <c r="DP207" s="332">
        <v>0</v>
      </c>
      <c r="DQ207" s="332">
        <v>1E-4</v>
      </c>
      <c r="DR207" s="332">
        <v>0</v>
      </c>
      <c r="DS207" s="332">
        <v>3.5999999999999999E-3</v>
      </c>
      <c r="DT207" s="332">
        <v>4.6999999999999999E-4</v>
      </c>
      <c r="DU207" s="332">
        <v>6.9999999999999999E-4</v>
      </c>
      <c r="DV207" s="332">
        <v>0</v>
      </c>
      <c r="DW207" s="332">
        <v>0</v>
      </c>
      <c r="DX207" s="332">
        <v>5.0000000000000001E-4</v>
      </c>
      <c r="DY207" s="332">
        <v>5.0000000000000001E-4</v>
      </c>
      <c r="DZ207" s="332">
        <v>2.9999999999999997E-4</v>
      </c>
      <c r="EA207" s="332">
        <v>2.7500000000000002E-4</v>
      </c>
      <c r="EB207" s="332">
        <v>4.0000000000000002E-4</v>
      </c>
      <c r="ED207" s="332">
        <v>6.4999999999999994E-5</v>
      </c>
      <c r="EF207">
        <v>1</v>
      </c>
    </row>
    <row r="208" spans="1:136" x14ac:dyDescent="0.25">
      <c r="A208" s="66">
        <v>42705</v>
      </c>
      <c r="B208">
        <v>0.98</v>
      </c>
      <c r="C208">
        <v>0</v>
      </c>
      <c r="E208">
        <v>0</v>
      </c>
      <c r="F208">
        <v>0</v>
      </c>
      <c r="G208">
        <v>0</v>
      </c>
      <c r="H208">
        <v>0.98750000000000004</v>
      </c>
      <c r="I208">
        <v>0.98750000000000004</v>
      </c>
      <c r="J208">
        <v>0.98050000000000004</v>
      </c>
      <c r="K208">
        <v>0</v>
      </c>
      <c r="L208" s="333">
        <v>0.92394295000000004</v>
      </c>
      <c r="M208" s="333">
        <v>0.97483811200000003</v>
      </c>
      <c r="N208">
        <v>0.89224245000000002</v>
      </c>
      <c r="O208">
        <v>0.98478896299999996</v>
      </c>
      <c r="P208">
        <v>0.89224245000000002</v>
      </c>
      <c r="Q208" s="328">
        <v>0.92394295000000004</v>
      </c>
      <c r="R208">
        <v>0.92394295000000004</v>
      </c>
      <c r="S208" s="333">
        <v>0.92394295000000004</v>
      </c>
      <c r="T208">
        <v>0.89224245000000002</v>
      </c>
      <c r="U208">
        <v>0.89224245000000002</v>
      </c>
      <c r="V208">
        <v>0.89224245000000002</v>
      </c>
      <c r="W208">
        <v>0.89224245000000002</v>
      </c>
      <c r="X208">
        <v>0.98478896299999996</v>
      </c>
      <c r="Y208">
        <v>0.98478896299999996</v>
      </c>
      <c r="Z208">
        <v>0.98478896299999996</v>
      </c>
      <c r="AA208">
        <v>0.98478896299999996</v>
      </c>
      <c r="AB208">
        <v>0.89224245000000002</v>
      </c>
      <c r="AC208">
        <v>0.89224245000000002</v>
      </c>
      <c r="AD208">
        <v>0.98478896299999996</v>
      </c>
      <c r="AE208">
        <v>0.98478896299999996</v>
      </c>
      <c r="AF208">
        <v>0.89224245000000002</v>
      </c>
      <c r="AG208">
        <v>0.98</v>
      </c>
      <c r="AH208">
        <v>0.98284479999999996</v>
      </c>
      <c r="AI208">
        <v>0.98284479999999996</v>
      </c>
      <c r="AJ208">
        <v>0.89224245000000002</v>
      </c>
      <c r="AK208">
        <v>1</v>
      </c>
      <c r="AL208">
        <v>0</v>
      </c>
      <c r="AM208">
        <v>0</v>
      </c>
      <c r="BB208" s="446">
        <v>1</v>
      </c>
      <c r="BC208">
        <v>1</v>
      </c>
      <c r="BD208">
        <v>1</v>
      </c>
      <c r="BE208">
        <v>1</v>
      </c>
      <c r="BF208">
        <v>0.99990000000000001</v>
      </c>
      <c r="BG208">
        <v>1</v>
      </c>
      <c r="BH208">
        <v>1</v>
      </c>
      <c r="BI208">
        <v>0.99</v>
      </c>
      <c r="BJ208">
        <v>0.999</v>
      </c>
      <c r="BK208">
        <v>0.998</v>
      </c>
      <c r="BL208">
        <v>0.99850000000000005</v>
      </c>
      <c r="BM208">
        <v>0.99850000000000005</v>
      </c>
      <c r="BN208">
        <v>0.97199999999999998</v>
      </c>
      <c r="BO208">
        <v>0.99990000000000001</v>
      </c>
      <c r="BP208">
        <v>0.99990000000000001</v>
      </c>
      <c r="BQ208">
        <v>1</v>
      </c>
      <c r="BR208">
        <v>1.1217176</v>
      </c>
      <c r="BS208">
        <v>1.1295999999999999</v>
      </c>
      <c r="BT208">
        <v>1.0827</v>
      </c>
      <c r="BU208">
        <v>1.0250999999999999</v>
      </c>
      <c r="BV208">
        <v>1</v>
      </c>
      <c r="BW208">
        <v>2.5746000000000002</v>
      </c>
      <c r="BX208">
        <v>2.3270363330000001</v>
      </c>
      <c r="BY208">
        <v>1.16065</v>
      </c>
      <c r="BZ208">
        <v>1.2885</v>
      </c>
      <c r="CA208">
        <v>2.0009999999999999</v>
      </c>
      <c r="CB208">
        <v>1.5660050000000001</v>
      </c>
      <c r="CC208">
        <v>1.5660050000000001</v>
      </c>
      <c r="CD208">
        <v>1.2931049999999999</v>
      </c>
      <c r="CE208">
        <v>1.103405</v>
      </c>
      <c r="CF208">
        <v>1.4670049999999999</v>
      </c>
      <c r="CG208" s="332"/>
      <c r="CH208">
        <v>1.10432</v>
      </c>
      <c r="CI208" s="332"/>
      <c r="CJ208" s="332"/>
      <c r="CK208" s="332"/>
      <c r="CL208" s="332"/>
      <c r="CM208" s="332"/>
      <c r="CN208" s="332"/>
      <c r="CO208" s="332"/>
      <c r="CP208">
        <v>0.93500000000000005</v>
      </c>
      <c r="CV208">
        <v>0.48</v>
      </c>
      <c r="CW208">
        <v>0.875</v>
      </c>
      <c r="CX208">
        <v>0.65</v>
      </c>
      <c r="CZ208">
        <v>0.59</v>
      </c>
      <c r="DA208">
        <v>0.62250000000000005</v>
      </c>
      <c r="DB208">
        <v>0.69</v>
      </c>
      <c r="DC208">
        <v>0.89249999999999996</v>
      </c>
      <c r="DD208">
        <v>0.71499999999999997</v>
      </c>
      <c r="DE208">
        <v>0.89</v>
      </c>
      <c r="DN208" s="332">
        <v>2.8499999999999999E-4</v>
      </c>
      <c r="DO208" s="332">
        <v>2.0000000000000001E-4</v>
      </c>
      <c r="DP208" s="332">
        <v>0</v>
      </c>
      <c r="DQ208" s="332">
        <v>1E-4</v>
      </c>
      <c r="DR208" s="332">
        <v>0</v>
      </c>
      <c r="DS208" s="332">
        <v>3.5999999999999999E-3</v>
      </c>
      <c r="DT208" s="332">
        <v>4.6999999999999999E-4</v>
      </c>
      <c r="DU208" s="332">
        <v>6.9999999999999999E-4</v>
      </c>
      <c r="DV208" s="332">
        <v>0</v>
      </c>
      <c r="DW208" s="332">
        <v>0</v>
      </c>
      <c r="DX208" s="332">
        <v>5.0000000000000001E-4</v>
      </c>
      <c r="DY208" s="332">
        <v>5.0000000000000001E-4</v>
      </c>
      <c r="DZ208" s="332">
        <v>2.9999999999999997E-4</v>
      </c>
      <c r="EA208" s="332">
        <v>2.7500000000000002E-4</v>
      </c>
      <c r="EB208" s="332">
        <v>4.0000000000000002E-4</v>
      </c>
      <c r="ED208" s="332">
        <v>6.4999999999999994E-5</v>
      </c>
      <c r="EF208">
        <v>1</v>
      </c>
    </row>
    <row r="209" spans="1:136" x14ac:dyDescent="0.25">
      <c r="A209" s="66">
        <v>42736</v>
      </c>
      <c r="B209">
        <v>0.98</v>
      </c>
      <c r="C209">
        <v>0</v>
      </c>
      <c r="E209">
        <v>0</v>
      </c>
      <c r="F209">
        <v>0</v>
      </c>
      <c r="G209">
        <v>0</v>
      </c>
      <c r="H209">
        <v>0.98750000000000004</v>
      </c>
      <c r="I209">
        <v>0.93488674999999999</v>
      </c>
      <c r="J209">
        <v>0.98050000000000004</v>
      </c>
      <c r="K209">
        <v>0</v>
      </c>
      <c r="L209" s="333">
        <v>0.94773552500000002</v>
      </c>
      <c r="M209" s="333">
        <v>0.98750000000000004</v>
      </c>
      <c r="N209">
        <v>0.89244944999999998</v>
      </c>
      <c r="O209">
        <v>0.97123839999999995</v>
      </c>
      <c r="P209">
        <v>0.89244944999999998</v>
      </c>
      <c r="Q209" s="328">
        <v>0.94773552500000002</v>
      </c>
      <c r="R209">
        <v>0.94773552500000002</v>
      </c>
      <c r="S209" s="333">
        <v>0.94773552500000002</v>
      </c>
      <c r="T209">
        <v>0.89244944999999998</v>
      </c>
      <c r="U209">
        <v>0.89244944999999998</v>
      </c>
      <c r="V209">
        <v>0.89244944999999998</v>
      </c>
      <c r="W209">
        <v>0.89244944999999998</v>
      </c>
      <c r="X209">
        <v>0.97123839999999995</v>
      </c>
      <c r="Y209">
        <v>0.97123839999999995</v>
      </c>
      <c r="Z209">
        <v>0.97123839999999995</v>
      </c>
      <c r="AA209">
        <v>0.97123839999999995</v>
      </c>
      <c r="AB209">
        <v>0.89244944999999998</v>
      </c>
      <c r="AC209">
        <v>0.89244944999999998</v>
      </c>
      <c r="AD209">
        <v>0.97123839999999995</v>
      </c>
      <c r="AE209">
        <v>0.97123839999999995</v>
      </c>
      <c r="AF209">
        <v>0.89244944999999998</v>
      </c>
      <c r="AG209">
        <v>0.98</v>
      </c>
      <c r="AH209">
        <v>0.98290264999999999</v>
      </c>
      <c r="AI209">
        <v>0.98290264999999999</v>
      </c>
      <c r="AJ209">
        <v>0.89244944999999998</v>
      </c>
      <c r="AK209">
        <v>1</v>
      </c>
      <c r="AL209">
        <v>0</v>
      </c>
      <c r="AM209">
        <v>0</v>
      </c>
      <c r="BB209" s="446">
        <v>1</v>
      </c>
      <c r="BC209">
        <v>1</v>
      </c>
      <c r="BD209">
        <v>1</v>
      </c>
      <c r="BE209">
        <v>1</v>
      </c>
      <c r="BF209">
        <v>0.99990000000000001</v>
      </c>
      <c r="BG209">
        <v>1</v>
      </c>
      <c r="BH209">
        <v>1</v>
      </c>
      <c r="BI209">
        <v>0.99</v>
      </c>
      <c r="BJ209">
        <v>0.999</v>
      </c>
      <c r="BK209">
        <v>0.998</v>
      </c>
      <c r="BL209">
        <v>0.99850000000000005</v>
      </c>
      <c r="BM209">
        <v>0.99850000000000005</v>
      </c>
      <c r="BN209">
        <v>0.97199999999999998</v>
      </c>
      <c r="BO209">
        <v>0.99990000000000001</v>
      </c>
      <c r="BP209">
        <v>0.99990000000000001</v>
      </c>
      <c r="BQ209">
        <v>1</v>
      </c>
      <c r="BR209">
        <v>1.1220026000000001</v>
      </c>
      <c r="BS209">
        <v>1.1297999999999999</v>
      </c>
      <c r="BT209">
        <v>1.0827</v>
      </c>
      <c r="BU209">
        <v>1.0251999999999999</v>
      </c>
      <c r="BV209">
        <v>1</v>
      </c>
      <c r="BW209">
        <v>2.5781999999999998</v>
      </c>
      <c r="BX209">
        <v>2.3275063330000001</v>
      </c>
      <c r="BY209">
        <v>1.1613500000000001</v>
      </c>
      <c r="BZ209">
        <v>1.2885</v>
      </c>
      <c r="CA209">
        <v>2.0009999999999999</v>
      </c>
      <c r="CB209">
        <v>1.566505</v>
      </c>
      <c r="CC209">
        <v>1.566505</v>
      </c>
      <c r="CD209">
        <v>1.2934049999999999</v>
      </c>
      <c r="CE209">
        <v>1.10368</v>
      </c>
      <c r="CF209">
        <v>1.4674050000000001</v>
      </c>
      <c r="CG209" s="332"/>
      <c r="CH209">
        <v>1.104385</v>
      </c>
      <c r="CI209" s="332"/>
      <c r="CJ209" s="332"/>
      <c r="CK209" s="332"/>
      <c r="CL209" s="332"/>
      <c r="CM209" s="332"/>
      <c r="CN209" s="332"/>
      <c r="CO209" s="332"/>
      <c r="CP209">
        <v>0.89500000000000002</v>
      </c>
      <c r="CV209">
        <v>0.45</v>
      </c>
      <c r="CW209">
        <v>0.80500000000000005</v>
      </c>
      <c r="CX209">
        <v>0.66</v>
      </c>
      <c r="CZ209">
        <v>0.60499999999999998</v>
      </c>
      <c r="DA209">
        <v>0.63749999999999996</v>
      </c>
      <c r="DB209">
        <v>0.69</v>
      </c>
      <c r="DC209">
        <v>0.88</v>
      </c>
      <c r="DD209">
        <v>0.64</v>
      </c>
      <c r="DE209">
        <v>0.89</v>
      </c>
      <c r="DN209" s="332">
        <v>2.8499999999999999E-4</v>
      </c>
      <c r="DO209" s="332">
        <v>2.0000000000000001E-4</v>
      </c>
      <c r="DP209" s="332">
        <v>0</v>
      </c>
      <c r="DQ209" s="332">
        <v>1E-4</v>
      </c>
      <c r="DR209" s="332">
        <v>0</v>
      </c>
      <c r="DS209" s="332">
        <v>3.5999999999999999E-3</v>
      </c>
      <c r="DT209" s="332">
        <v>4.6999999999999999E-4</v>
      </c>
      <c r="DU209" s="332">
        <v>6.9999999999999999E-4</v>
      </c>
      <c r="DV209" s="332">
        <v>0</v>
      </c>
      <c r="DW209" s="332">
        <v>0</v>
      </c>
      <c r="DX209" s="332">
        <v>5.0000000000000001E-4</v>
      </c>
      <c r="DY209" s="332">
        <v>5.0000000000000001E-4</v>
      </c>
      <c r="DZ209" s="332">
        <v>2.9999999999999997E-4</v>
      </c>
      <c r="EA209" s="332">
        <v>2.7500000000000002E-4</v>
      </c>
      <c r="EB209" s="332">
        <v>4.0000000000000002E-4</v>
      </c>
      <c r="ED209" s="332">
        <v>6.4999999999999994E-5</v>
      </c>
      <c r="EF209">
        <v>1</v>
      </c>
    </row>
    <row r="210" spans="1:136" x14ac:dyDescent="0.25">
      <c r="A210" s="66">
        <v>42767</v>
      </c>
      <c r="B210">
        <v>0.98</v>
      </c>
      <c r="C210">
        <v>0</v>
      </c>
      <c r="E210">
        <v>0</v>
      </c>
      <c r="F210">
        <v>0</v>
      </c>
      <c r="G210">
        <v>0</v>
      </c>
      <c r="H210">
        <v>0.98750000000000004</v>
      </c>
      <c r="I210">
        <v>0.98193224999999995</v>
      </c>
      <c r="J210">
        <v>0.98050000000000004</v>
      </c>
      <c r="K210">
        <v>0</v>
      </c>
      <c r="L210" s="333">
        <v>0.98750000000000004</v>
      </c>
      <c r="M210" s="333">
        <v>0.98750000000000004</v>
      </c>
      <c r="N210">
        <v>0.91853054999999995</v>
      </c>
      <c r="O210">
        <v>0.96872051299999995</v>
      </c>
      <c r="P210">
        <v>0.91853054999999995</v>
      </c>
      <c r="Q210" s="328">
        <v>0.98750000000000004</v>
      </c>
      <c r="R210">
        <v>0.98750000000000004</v>
      </c>
      <c r="S210" s="333">
        <v>0.98750000000000004</v>
      </c>
      <c r="T210">
        <v>0.91853054999999995</v>
      </c>
      <c r="U210">
        <v>0.91853054999999995</v>
      </c>
      <c r="V210">
        <v>0.91853054999999995</v>
      </c>
      <c r="W210">
        <v>0.91853054999999995</v>
      </c>
      <c r="X210">
        <v>0.96872051299999995</v>
      </c>
      <c r="Y210">
        <v>0.96872051299999995</v>
      </c>
      <c r="Z210">
        <v>0.96872051299999995</v>
      </c>
      <c r="AA210">
        <v>0.96872051299999995</v>
      </c>
      <c r="AB210">
        <v>0.91853054999999995</v>
      </c>
      <c r="AC210">
        <v>0.91853054999999995</v>
      </c>
      <c r="AD210">
        <v>0.96872051299999995</v>
      </c>
      <c r="AE210">
        <v>0.96872051299999995</v>
      </c>
      <c r="AF210">
        <v>0.91853054999999995</v>
      </c>
      <c r="AG210">
        <v>0.98</v>
      </c>
      <c r="AH210">
        <v>0.98296050000000001</v>
      </c>
      <c r="AI210">
        <v>0.98296050000000001</v>
      </c>
      <c r="AJ210">
        <v>0.91853054999999995</v>
      </c>
      <c r="AK210">
        <v>1</v>
      </c>
      <c r="AL210">
        <v>0</v>
      </c>
      <c r="AM210">
        <v>0</v>
      </c>
      <c r="BB210" s="446">
        <v>1</v>
      </c>
      <c r="BC210">
        <v>1</v>
      </c>
      <c r="BD210">
        <v>1</v>
      </c>
      <c r="BE210">
        <v>1</v>
      </c>
      <c r="BF210">
        <v>0.99990000000000001</v>
      </c>
      <c r="BG210">
        <v>1</v>
      </c>
      <c r="BH210">
        <v>1</v>
      </c>
      <c r="BI210">
        <v>0.99</v>
      </c>
      <c r="BJ210">
        <v>0.999</v>
      </c>
      <c r="BK210">
        <v>0.998</v>
      </c>
      <c r="BL210">
        <v>0.99850000000000005</v>
      </c>
      <c r="BM210">
        <v>0.99850000000000005</v>
      </c>
      <c r="BN210">
        <v>0.97199999999999998</v>
      </c>
      <c r="BO210">
        <v>0.99990000000000001</v>
      </c>
      <c r="BP210">
        <v>0.99990000000000001</v>
      </c>
      <c r="BQ210">
        <v>1</v>
      </c>
      <c r="BR210">
        <v>1.1222875999999999</v>
      </c>
      <c r="BS210">
        <v>1.1299999999999999</v>
      </c>
      <c r="BT210">
        <v>1.0827</v>
      </c>
      <c r="BU210">
        <v>1.0253000000000001</v>
      </c>
      <c r="BV210">
        <v>1</v>
      </c>
      <c r="BW210">
        <v>2.5817999999999999</v>
      </c>
      <c r="BX210">
        <v>2.3279763330000001</v>
      </c>
      <c r="BY210">
        <v>1.16205</v>
      </c>
      <c r="BZ210">
        <v>1.2885</v>
      </c>
      <c r="CA210">
        <v>2.0009999999999999</v>
      </c>
      <c r="CB210">
        <v>1.567005</v>
      </c>
      <c r="CC210">
        <v>1.567005</v>
      </c>
      <c r="CD210">
        <v>1.2937050000000001</v>
      </c>
      <c r="CE210">
        <v>1.103955</v>
      </c>
      <c r="CF210">
        <v>1.467805</v>
      </c>
      <c r="CG210" s="332"/>
      <c r="CH210">
        <v>1.1044499999999999</v>
      </c>
      <c r="CI210" s="332"/>
      <c r="CJ210" s="332"/>
      <c r="CK210" s="332"/>
      <c r="CL210" s="332"/>
      <c r="CM210" s="332"/>
      <c r="CN210" s="332"/>
      <c r="CO210" s="332"/>
      <c r="CP210">
        <v>0.86499999999999999</v>
      </c>
      <c r="CV210">
        <v>0.45</v>
      </c>
      <c r="CW210">
        <v>0.84499999999999997</v>
      </c>
      <c r="CX210">
        <v>0.76500000000000001</v>
      </c>
      <c r="CZ210">
        <v>0.63500000000000001</v>
      </c>
      <c r="DA210">
        <v>0.66749999999999998</v>
      </c>
      <c r="DB210">
        <v>0.71</v>
      </c>
      <c r="DC210">
        <v>0.87749999999999995</v>
      </c>
      <c r="DD210">
        <v>0.67</v>
      </c>
      <c r="DE210">
        <v>0.89</v>
      </c>
      <c r="DN210" s="332">
        <v>2.8499999999999999E-4</v>
      </c>
      <c r="DO210" s="332">
        <v>2.0000000000000001E-4</v>
      </c>
      <c r="DP210" s="332">
        <v>0</v>
      </c>
      <c r="DQ210" s="332">
        <v>1E-4</v>
      </c>
      <c r="DR210" s="332">
        <v>0</v>
      </c>
      <c r="DS210" s="332">
        <v>3.5999999999999999E-3</v>
      </c>
      <c r="DT210" s="332">
        <v>4.6999999999999999E-4</v>
      </c>
      <c r="DU210" s="332">
        <v>6.9999999999999999E-4</v>
      </c>
      <c r="DV210" s="332">
        <v>0</v>
      </c>
      <c r="DW210" s="332">
        <v>0</v>
      </c>
      <c r="DX210" s="332">
        <v>5.0000000000000001E-4</v>
      </c>
      <c r="DY210" s="332">
        <v>5.0000000000000001E-4</v>
      </c>
      <c r="DZ210" s="332">
        <v>2.9999999999999997E-4</v>
      </c>
      <c r="EA210" s="332">
        <v>2.7500000000000002E-4</v>
      </c>
      <c r="EB210" s="332">
        <v>4.0000000000000002E-4</v>
      </c>
      <c r="ED210" s="332">
        <v>6.4999999999999994E-5</v>
      </c>
      <c r="EF210">
        <v>1</v>
      </c>
    </row>
    <row r="211" spans="1:136" x14ac:dyDescent="0.25">
      <c r="A211" s="66">
        <v>42795</v>
      </c>
      <c r="B211">
        <v>0.98</v>
      </c>
      <c r="C211">
        <v>0</v>
      </c>
      <c r="E211">
        <v>0</v>
      </c>
      <c r="F211">
        <v>0</v>
      </c>
      <c r="G211">
        <v>0</v>
      </c>
      <c r="H211">
        <v>0.98750000000000004</v>
      </c>
      <c r="I211">
        <v>0.98750000000000004</v>
      </c>
      <c r="J211">
        <v>0.98050000000000004</v>
      </c>
      <c r="K211">
        <v>0</v>
      </c>
      <c r="L211" s="333">
        <v>0.98750000000000004</v>
      </c>
      <c r="M211" s="333">
        <v>0.98750000000000004</v>
      </c>
      <c r="N211">
        <v>0.98</v>
      </c>
      <c r="O211">
        <v>0.98750000000000004</v>
      </c>
      <c r="P211">
        <v>0.98</v>
      </c>
      <c r="Q211" s="328">
        <v>0.98750000000000004</v>
      </c>
      <c r="R211">
        <v>0.98750000000000004</v>
      </c>
      <c r="S211" s="333">
        <v>0.98750000000000004</v>
      </c>
      <c r="T211">
        <v>0.98</v>
      </c>
      <c r="U211">
        <v>0.98</v>
      </c>
      <c r="V211">
        <v>0.98</v>
      </c>
      <c r="W211">
        <v>0.98</v>
      </c>
      <c r="X211">
        <v>0.98750000000000004</v>
      </c>
      <c r="Y211">
        <v>0.98750000000000004</v>
      </c>
      <c r="Z211">
        <v>0.98750000000000004</v>
      </c>
      <c r="AA211">
        <v>0.98750000000000004</v>
      </c>
      <c r="AB211">
        <v>0.98</v>
      </c>
      <c r="AC211">
        <v>0.98</v>
      </c>
      <c r="AD211">
        <v>0.98750000000000004</v>
      </c>
      <c r="AE211">
        <v>0.98750000000000004</v>
      </c>
      <c r="AF211">
        <v>0.98</v>
      </c>
      <c r="AG211">
        <v>0.99</v>
      </c>
      <c r="AH211">
        <v>0.98301835000000004</v>
      </c>
      <c r="AI211">
        <v>0.98301835000000004</v>
      </c>
      <c r="AJ211">
        <v>0.98</v>
      </c>
      <c r="AK211">
        <v>1</v>
      </c>
      <c r="AL211">
        <v>0</v>
      </c>
      <c r="AM211">
        <v>0</v>
      </c>
      <c r="BB211" s="446">
        <v>1</v>
      </c>
      <c r="BC211">
        <v>1</v>
      </c>
      <c r="BD211">
        <v>1</v>
      </c>
      <c r="BE211">
        <v>1</v>
      </c>
      <c r="BF211">
        <v>0.99990000000000001</v>
      </c>
      <c r="BG211">
        <v>1</v>
      </c>
      <c r="BH211">
        <v>1</v>
      </c>
      <c r="BI211">
        <v>0.99</v>
      </c>
      <c r="BJ211">
        <v>0.999</v>
      </c>
      <c r="BK211">
        <v>0.998</v>
      </c>
      <c r="BL211">
        <v>0.99850000000000005</v>
      </c>
      <c r="BM211">
        <v>0.99850000000000005</v>
      </c>
      <c r="BN211">
        <v>0.97199999999999998</v>
      </c>
      <c r="BO211">
        <v>0.99990000000000001</v>
      </c>
      <c r="BP211">
        <v>0.99990000000000001</v>
      </c>
      <c r="BQ211">
        <v>1</v>
      </c>
      <c r="BR211">
        <v>1.1225726</v>
      </c>
      <c r="BS211">
        <v>1.1302000000000001</v>
      </c>
      <c r="BT211">
        <v>1.0827</v>
      </c>
      <c r="BU211">
        <v>1.0254000000000001</v>
      </c>
      <c r="BV211">
        <v>1</v>
      </c>
      <c r="BW211">
        <v>2.5853999999999999</v>
      </c>
      <c r="BX211">
        <v>2.328446333</v>
      </c>
      <c r="BY211">
        <v>1.16275</v>
      </c>
      <c r="BZ211">
        <v>1.2885</v>
      </c>
      <c r="CA211">
        <v>2.0009999999999999</v>
      </c>
      <c r="CB211">
        <v>1.5675049999999999</v>
      </c>
      <c r="CC211">
        <v>1.5675049999999999</v>
      </c>
      <c r="CD211">
        <v>1.2940050000000001</v>
      </c>
      <c r="CE211">
        <v>1.10423</v>
      </c>
      <c r="CF211">
        <v>1.468205</v>
      </c>
      <c r="CG211" s="332"/>
      <c r="CH211">
        <v>1.1045149999999999</v>
      </c>
      <c r="CI211" s="332"/>
      <c r="CJ211" s="332"/>
      <c r="CK211" s="332"/>
      <c r="CL211" s="332"/>
      <c r="CM211" s="332"/>
      <c r="CN211" s="332"/>
      <c r="CO211" s="332"/>
      <c r="CP211">
        <v>0.86499999999999999</v>
      </c>
      <c r="CV211">
        <v>0.45</v>
      </c>
      <c r="CW211">
        <v>0.875</v>
      </c>
      <c r="CX211">
        <v>0.93500000000000005</v>
      </c>
      <c r="CZ211">
        <v>0.78500000000000003</v>
      </c>
      <c r="DA211">
        <v>0.8175</v>
      </c>
      <c r="DB211">
        <v>0.8</v>
      </c>
      <c r="DC211">
        <v>0.9</v>
      </c>
      <c r="DD211">
        <v>0.83</v>
      </c>
      <c r="DE211">
        <v>0.89</v>
      </c>
      <c r="DN211" s="332">
        <v>2.8499999999999999E-4</v>
      </c>
      <c r="DO211" s="332">
        <v>2.0000000000000001E-4</v>
      </c>
      <c r="DP211" s="332">
        <v>0</v>
      </c>
      <c r="DQ211" s="332">
        <v>1E-4</v>
      </c>
      <c r="DR211" s="332">
        <v>0</v>
      </c>
      <c r="DS211" s="332">
        <v>3.5999999999999999E-3</v>
      </c>
      <c r="DT211" s="332">
        <v>4.6999999999999999E-4</v>
      </c>
      <c r="DU211" s="332">
        <v>6.9999999999999999E-4</v>
      </c>
      <c r="DV211" s="332">
        <v>0</v>
      </c>
      <c r="DW211" s="332">
        <v>0</v>
      </c>
      <c r="DX211" s="332">
        <v>5.0000000000000001E-4</v>
      </c>
      <c r="DY211" s="332">
        <v>5.0000000000000001E-4</v>
      </c>
      <c r="DZ211" s="332">
        <v>2.9999999999999997E-4</v>
      </c>
      <c r="EA211" s="332">
        <v>2.7500000000000002E-4</v>
      </c>
      <c r="EB211" s="332">
        <v>4.0000000000000002E-4</v>
      </c>
      <c r="ED211" s="332">
        <v>6.4999999999999994E-5</v>
      </c>
      <c r="EF211">
        <v>1</v>
      </c>
    </row>
    <row r="212" spans="1:136" x14ac:dyDescent="0.25">
      <c r="A212" s="66">
        <v>42826</v>
      </c>
      <c r="B212">
        <v>0.98</v>
      </c>
      <c r="C212">
        <v>0</v>
      </c>
      <c r="E212">
        <v>0</v>
      </c>
      <c r="F212">
        <v>0</v>
      </c>
      <c r="G212">
        <v>0</v>
      </c>
      <c r="H212">
        <v>0.97814486</v>
      </c>
      <c r="I212">
        <v>0.98750000000000004</v>
      </c>
      <c r="J212">
        <v>0.98050000000000004</v>
      </c>
      <c r="K212">
        <v>0</v>
      </c>
      <c r="L212" s="333">
        <v>0.98750000000000004</v>
      </c>
      <c r="M212" s="333">
        <v>0.98750000000000004</v>
      </c>
      <c r="N212">
        <v>0.98</v>
      </c>
      <c r="O212">
        <v>0.98750000000000004</v>
      </c>
      <c r="P212">
        <v>0.98</v>
      </c>
      <c r="Q212" s="328">
        <v>0.98750000000000004</v>
      </c>
      <c r="R212">
        <v>0.98750000000000004</v>
      </c>
      <c r="S212" s="333">
        <v>0.98750000000000004</v>
      </c>
      <c r="T212">
        <v>0.98</v>
      </c>
      <c r="U212">
        <v>0.98</v>
      </c>
      <c r="V212">
        <v>0.98</v>
      </c>
      <c r="W212">
        <v>0.98</v>
      </c>
      <c r="X212">
        <v>0.98750000000000004</v>
      </c>
      <c r="Y212">
        <v>0.98750000000000004</v>
      </c>
      <c r="Z212">
        <v>0.98750000000000004</v>
      </c>
      <c r="AA212">
        <v>0.98750000000000004</v>
      </c>
      <c r="AB212">
        <v>0.98</v>
      </c>
      <c r="AC212">
        <v>0.98</v>
      </c>
      <c r="AD212">
        <v>0.98750000000000004</v>
      </c>
      <c r="AE212">
        <v>0.98750000000000004</v>
      </c>
      <c r="AF212">
        <v>0.98</v>
      </c>
      <c r="AG212">
        <v>0.99</v>
      </c>
      <c r="AH212">
        <v>0.98307619999999996</v>
      </c>
      <c r="AI212">
        <v>0.98307619999999996</v>
      </c>
      <c r="AJ212">
        <v>0.98</v>
      </c>
      <c r="AK212">
        <v>1</v>
      </c>
      <c r="AL212">
        <v>0</v>
      </c>
      <c r="AM212">
        <v>0</v>
      </c>
      <c r="BB212" s="446">
        <v>1</v>
      </c>
      <c r="BC212">
        <v>1</v>
      </c>
      <c r="BD212">
        <v>1</v>
      </c>
      <c r="BE212">
        <v>1</v>
      </c>
      <c r="BF212">
        <v>0.99990000000000001</v>
      </c>
      <c r="BG212">
        <v>1</v>
      </c>
      <c r="BH212">
        <v>1</v>
      </c>
      <c r="BI212">
        <v>0.99</v>
      </c>
      <c r="BJ212">
        <v>0.999</v>
      </c>
      <c r="BK212">
        <v>0.998</v>
      </c>
      <c r="BL212">
        <v>0.99850000000000005</v>
      </c>
      <c r="BM212">
        <v>0.99850000000000005</v>
      </c>
      <c r="BN212">
        <v>0.97199999999999998</v>
      </c>
      <c r="BO212">
        <v>0.99990000000000001</v>
      </c>
      <c r="BP212">
        <v>0.99990000000000001</v>
      </c>
      <c r="BQ212">
        <v>1</v>
      </c>
      <c r="BR212">
        <v>1.1228575999999999</v>
      </c>
      <c r="BS212">
        <v>1.1304000000000001</v>
      </c>
      <c r="BT212">
        <v>1.0827</v>
      </c>
      <c r="BU212">
        <v>1.0255000000000001</v>
      </c>
      <c r="BV212">
        <v>1</v>
      </c>
      <c r="BW212">
        <v>2.589</v>
      </c>
      <c r="BX212">
        <v>2.328916333</v>
      </c>
      <c r="BY212">
        <v>1.1634500000000001</v>
      </c>
      <c r="BZ212">
        <v>1.2885</v>
      </c>
      <c r="CA212">
        <v>2.0009999999999999</v>
      </c>
      <c r="CB212">
        <v>1.5680050000000001</v>
      </c>
      <c r="CC212">
        <v>1.5680050000000001</v>
      </c>
      <c r="CD212">
        <v>1.294305</v>
      </c>
      <c r="CE212">
        <v>1.1045050000000001</v>
      </c>
      <c r="CF212">
        <v>1.4686049999999999</v>
      </c>
      <c r="CG212" s="332"/>
      <c r="CH212">
        <v>1.1045799999999999</v>
      </c>
      <c r="CI212" s="332"/>
      <c r="CJ212" s="332"/>
      <c r="CK212" s="332"/>
      <c r="CL212" s="332"/>
      <c r="CM212" s="332"/>
      <c r="CN212" s="332"/>
      <c r="CO212" s="332"/>
      <c r="CP212">
        <v>0.89500000000000002</v>
      </c>
      <c r="CV212">
        <v>0.42</v>
      </c>
      <c r="CW212">
        <v>0.93500000000000005</v>
      </c>
      <c r="CX212">
        <v>0.92500000000000004</v>
      </c>
      <c r="CZ212">
        <v>0.89500000000000002</v>
      </c>
      <c r="DA212">
        <v>0.92749999999999999</v>
      </c>
      <c r="DB212">
        <v>0.85</v>
      </c>
      <c r="DC212">
        <v>0.90300000000000002</v>
      </c>
      <c r="DD212">
        <v>0.92</v>
      </c>
      <c r="DE212">
        <v>0.89</v>
      </c>
      <c r="DN212" s="332">
        <v>2.8499999999999999E-4</v>
      </c>
      <c r="DO212" s="332">
        <v>2.0000000000000001E-4</v>
      </c>
      <c r="DP212" s="332">
        <v>0</v>
      </c>
      <c r="DQ212" s="332">
        <v>1E-4</v>
      </c>
      <c r="DR212" s="332">
        <v>0</v>
      </c>
      <c r="DS212" s="332">
        <v>3.5999999999999999E-3</v>
      </c>
      <c r="DT212" s="332">
        <v>4.6999999999999999E-4</v>
      </c>
      <c r="DU212" s="332">
        <v>6.9999999999999999E-4</v>
      </c>
      <c r="DV212" s="332">
        <v>0</v>
      </c>
      <c r="DW212" s="332">
        <v>0</v>
      </c>
      <c r="DX212" s="332">
        <v>5.0000000000000001E-4</v>
      </c>
      <c r="DY212" s="332">
        <v>5.0000000000000001E-4</v>
      </c>
      <c r="DZ212" s="332">
        <v>2.9999999999999997E-4</v>
      </c>
      <c r="EA212" s="332">
        <v>2.7500000000000002E-4</v>
      </c>
      <c r="EB212" s="332">
        <v>4.0000000000000002E-4</v>
      </c>
      <c r="ED212" s="332">
        <v>6.4999999999999994E-5</v>
      </c>
      <c r="EF212">
        <v>1</v>
      </c>
    </row>
    <row r="213" spans="1:136" x14ac:dyDescent="0.25">
      <c r="A213" s="66">
        <v>42856</v>
      </c>
      <c r="B213">
        <v>0.98</v>
      </c>
      <c r="C213">
        <v>0</v>
      </c>
      <c r="E213">
        <v>0</v>
      </c>
      <c r="F213">
        <v>0</v>
      </c>
      <c r="G213">
        <v>0</v>
      </c>
      <c r="H213">
        <v>0.97834226000000002</v>
      </c>
      <c r="I213">
        <v>0.98750000000000004</v>
      </c>
      <c r="J213">
        <v>0.98050000000000004</v>
      </c>
      <c r="K213">
        <v>0</v>
      </c>
      <c r="L213" s="333">
        <v>0.98750000000000004</v>
      </c>
      <c r="M213" s="333">
        <v>0.98750000000000004</v>
      </c>
      <c r="N213">
        <v>0.98</v>
      </c>
      <c r="O213">
        <v>0.98750000000000004</v>
      </c>
      <c r="P213">
        <v>0.98</v>
      </c>
      <c r="Q213" s="328">
        <v>0.98750000000000004</v>
      </c>
      <c r="R213">
        <v>0.98750000000000004</v>
      </c>
      <c r="S213" s="333">
        <v>0.98750000000000004</v>
      </c>
      <c r="T213">
        <v>0.98</v>
      </c>
      <c r="U213">
        <v>0.98</v>
      </c>
      <c r="V213">
        <v>0.98</v>
      </c>
      <c r="W213">
        <v>0.98</v>
      </c>
      <c r="X213">
        <v>0.98750000000000004</v>
      </c>
      <c r="Y213">
        <v>0.98750000000000004</v>
      </c>
      <c r="Z213">
        <v>0.98750000000000004</v>
      </c>
      <c r="AA213">
        <v>0.98750000000000004</v>
      </c>
      <c r="AB213">
        <v>0.98</v>
      </c>
      <c r="AC213">
        <v>0.98</v>
      </c>
      <c r="AD213">
        <v>0.98750000000000004</v>
      </c>
      <c r="AE213">
        <v>0.98750000000000004</v>
      </c>
      <c r="AF213">
        <v>0.98</v>
      </c>
      <c r="AG213">
        <v>0.99</v>
      </c>
      <c r="AH213">
        <v>0.98313404999999998</v>
      </c>
      <c r="AI213">
        <v>0.98313404999999998</v>
      </c>
      <c r="AJ213">
        <v>0.98</v>
      </c>
      <c r="AK213">
        <v>1</v>
      </c>
      <c r="AL213">
        <v>0</v>
      </c>
      <c r="AM213">
        <v>0</v>
      </c>
      <c r="BB213" s="446">
        <v>1</v>
      </c>
      <c r="BC213">
        <v>1</v>
      </c>
      <c r="BD213">
        <v>1</v>
      </c>
      <c r="BE213">
        <v>1</v>
      </c>
      <c r="BF213">
        <v>0.99990000000000001</v>
      </c>
      <c r="BG213">
        <v>1</v>
      </c>
      <c r="BH213">
        <v>1</v>
      </c>
      <c r="BI213">
        <v>0.99</v>
      </c>
      <c r="BJ213">
        <v>0.999</v>
      </c>
      <c r="BK213">
        <v>0.998</v>
      </c>
      <c r="BL213">
        <v>0.99850000000000005</v>
      </c>
      <c r="BM213">
        <v>0.99850000000000005</v>
      </c>
      <c r="BN213">
        <v>0.97199999999999998</v>
      </c>
      <c r="BO213">
        <v>0.99990000000000001</v>
      </c>
      <c r="BP213">
        <v>0.99990000000000001</v>
      </c>
      <c r="BQ213">
        <v>1</v>
      </c>
      <c r="BR213">
        <v>1.1231426</v>
      </c>
      <c r="BS213">
        <v>1.1306</v>
      </c>
      <c r="BT213">
        <v>1.0827</v>
      </c>
      <c r="BU213">
        <v>1.0256000000000001</v>
      </c>
      <c r="BV213">
        <v>1</v>
      </c>
      <c r="BW213">
        <v>2.5926</v>
      </c>
      <c r="BX213">
        <v>2.329386333</v>
      </c>
      <c r="BY213">
        <v>1.16415</v>
      </c>
      <c r="BZ213">
        <v>1.2885</v>
      </c>
      <c r="CA213">
        <v>2.0009999999999999</v>
      </c>
      <c r="CB213">
        <v>1.568505</v>
      </c>
      <c r="CC213">
        <v>1.568505</v>
      </c>
      <c r="CD213">
        <v>1.294605</v>
      </c>
      <c r="CE213">
        <v>1.1047800000000001</v>
      </c>
      <c r="CF213">
        <v>1.4690049999999999</v>
      </c>
      <c r="CG213" s="332"/>
      <c r="CH213">
        <v>1.1046450000000001</v>
      </c>
      <c r="CI213" s="332"/>
      <c r="CJ213" s="332"/>
      <c r="CK213" s="332"/>
      <c r="CL213" s="332"/>
      <c r="CM213" s="332"/>
      <c r="CN213" s="332"/>
      <c r="CO213" s="332"/>
      <c r="CP213">
        <v>0.96499999999999997</v>
      </c>
      <c r="CV213">
        <v>0.42</v>
      </c>
      <c r="CW213">
        <v>0.93500000000000005</v>
      </c>
      <c r="CX213">
        <v>0.82499999999999996</v>
      </c>
      <c r="CZ213">
        <v>0.91749999999999998</v>
      </c>
      <c r="DA213">
        <v>0.95</v>
      </c>
      <c r="DB213">
        <v>0.88</v>
      </c>
      <c r="DC213">
        <v>0.9</v>
      </c>
      <c r="DD213">
        <v>0.93500000000000005</v>
      </c>
      <c r="DE213">
        <v>0.89</v>
      </c>
      <c r="DN213" s="332">
        <v>2.8499999999999999E-4</v>
      </c>
      <c r="DO213" s="332">
        <v>2.0000000000000001E-4</v>
      </c>
      <c r="DP213" s="332">
        <v>0</v>
      </c>
      <c r="DQ213" s="332">
        <v>1E-4</v>
      </c>
      <c r="DR213" s="332">
        <v>0</v>
      </c>
      <c r="DS213" s="332">
        <v>3.5999999999999999E-3</v>
      </c>
      <c r="DT213" s="332">
        <v>4.6999999999999999E-4</v>
      </c>
      <c r="DU213" s="332">
        <v>6.9999999999999999E-4</v>
      </c>
      <c r="DV213" s="332">
        <v>0</v>
      </c>
      <c r="DW213" s="332">
        <v>0</v>
      </c>
      <c r="DX213" s="332">
        <v>5.0000000000000001E-4</v>
      </c>
      <c r="DY213" s="332">
        <v>5.0000000000000001E-4</v>
      </c>
      <c r="DZ213" s="332">
        <v>2.9999999999999997E-4</v>
      </c>
      <c r="EA213" s="332">
        <v>2.7500000000000002E-4</v>
      </c>
      <c r="EB213" s="332">
        <v>4.0000000000000002E-4</v>
      </c>
      <c r="ED213" s="332">
        <v>6.4999999999999994E-5</v>
      </c>
      <c r="EF213">
        <v>1</v>
      </c>
    </row>
    <row r="214" spans="1:136" x14ac:dyDescent="0.25">
      <c r="A214" s="66">
        <v>42887</v>
      </c>
      <c r="B214">
        <v>0.98</v>
      </c>
      <c r="C214">
        <v>0</v>
      </c>
      <c r="E214">
        <v>0</v>
      </c>
      <c r="F214">
        <v>0</v>
      </c>
      <c r="G214">
        <v>0</v>
      </c>
      <c r="H214">
        <v>0.98750000000000004</v>
      </c>
      <c r="I214">
        <v>0.98750000000000004</v>
      </c>
      <c r="J214">
        <v>0.98050000000000004</v>
      </c>
      <c r="K214">
        <v>0</v>
      </c>
      <c r="L214" s="333">
        <v>0.98750000000000004</v>
      </c>
      <c r="M214" s="333">
        <v>0.98750000000000004</v>
      </c>
      <c r="N214">
        <v>0.98</v>
      </c>
      <c r="O214">
        <v>0.98750000000000004</v>
      </c>
      <c r="P214">
        <v>0.98</v>
      </c>
      <c r="Q214" s="328">
        <v>0.98750000000000004</v>
      </c>
      <c r="R214">
        <v>0.98750000000000004</v>
      </c>
      <c r="S214" s="333">
        <v>0.98750000000000004</v>
      </c>
      <c r="T214">
        <v>0.98</v>
      </c>
      <c r="U214">
        <v>0.98</v>
      </c>
      <c r="V214">
        <v>0.98</v>
      </c>
      <c r="W214">
        <v>0.98</v>
      </c>
      <c r="X214">
        <v>0.98750000000000004</v>
      </c>
      <c r="Y214">
        <v>0.98750000000000004</v>
      </c>
      <c r="Z214">
        <v>0.98750000000000004</v>
      </c>
      <c r="AA214">
        <v>0.98750000000000004</v>
      </c>
      <c r="AB214">
        <v>0.98</v>
      </c>
      <c r="AC214">
        <v>0.98</v>
      </c>
      <c r="AD214">
        <v>0.98750000000000004</v>
      </c>
      <c r="AE214">
        <v>0.98750000000000004</v>
      </c>
      <c r="AF214">
        <v>0.98</v>
      </c>
      <c r="AG214">
        <v>0.99</v>
      </c>
      <c r="AH214">
        <v>0.98319190000000001</v>
      </c>
      <c r="AI214">
        <v>0.98319190000000001</v>
      </c>
      <c r="AJ214">
        <v>0.98</v>
      </c>
      <c r="AK214">
        <v>1</v>
      </c>
      <c r="AL214">
        <v>0</v>
      </c>
      <c r="AM214">
        <v>0</v>
      </c>
      <c r="BB214" s="446">
        <v>1</v>
      </c>
      <c r="BC214">
        <v>1</v>
      </c>
      <c r="BD214">
        <v>1</v>
      </c>
      <c r="BE214">
        <v>1</v>
      </c>
      <c r="BF214">
        <v>0.99990000000000001</v>
      </c>
      <c r="BG214">
        <v>1</v>
      </c>
      <c r="BH214">
        <v>1</v>
      </c>
      <c r="BI214">
        <v>0.99</v>
      </c>
      <c r="BJ214">
        <v>0.999</v>
      </c>
      <c r="BK214">
        <v>0.998</v>
      </c>
      <c r="BL214">
        <v>0.99850000000000005</v>
      </c>
      <c r="BM214">
        <v>0.99850000000000005</v>
      </c>
      <c r="BN214">
        <v>0.97199999999999998</v>
      </c>
      <c r="BO214">
        <v>0.99990000000000001</v>
      </c>
      <c r="BP214">
        <v>0.99990000000000001</v>
      </c>
      <c r="BQ214">
        <v>1</v>
      </c>
      <c r="BR214">
        <v>1.1234276000000001</v>
      </c>
      <c r="BS214">
        <v>1.1308</v>
      </c>
      <c r="BT214">
        <v>1.0827</v>
      </c>
      <c r="BU214">
        <v>1.0257000000000001</v>
      </c>
      <c r="BV214">
        <v>1</v>
      </c>
      <c r="BW214">
        <v>2.5962000000000001</v>
      </c>
      <c r="BX214">
        <v>2.3298563329999999</v>
      </c>
      <c r="BY214">
        <v>1.1648499999999999</v>
      </c>
      <c r="BZ214">
        <v>1.2885</v>
      </c>
      <c r="CA214">
        <v>2.0009999999999999</v>
      </c>
      <c r="CB214">
        <v>1.569005</v>
      </c>
      <c r="CC214">
        <v>1.569005</v>
      </c>
      <c r="CD214">
        <v>1.294905</v>
      </c>
      <c r="CE214">
        <v>1.1050549999999999</v>
      </c>
      <c r="CF214">
        <v>1.4694050000000001</v>
      </c>
      <c r="CG214" s="332"/>
      <c r="CH214">
        <v>1.1047100000000001</v>
      </c>
      <c r="CI214" s="332"/>
      <c r="CJ214" s="332"/>
      <c r="CK214" s="332"/>
      <c r="CL214" s="332"/>
      <c r="CM214" s="332"/>
      <c r="CN214" s="332"/>
      <c r="CO214" s="332"/>
      <c r="CP214">
        <v>0.96499999999999997</v>
      </c>
      <c r="CV214">
        <v>0.47</v>
      </c>
      <c r="CW214">
        <v>0.93500000000000005</v>
      </c>
      <c r="CX214">
        <v>0.73499999999999999</v>
      </c>
      <c r="CZ214">
        <v>0.88249999999999995</v>
      </c>
      <c r="DA214">
        <v>0.91500000000000004</v>
      </c>
      <c r="DB214">
        <v>0.88</v>
      </c>
      <c r="DC214">
        <v>0.90249999999999997</v>
      </c>
      <c r="DD214">
        <v>0.91500000000000004</v>
      </c>
      <c r="DE214">
        <v>0.89</v>
      </c>
      <c r="DN214" s="332">
        <v>2.8499999999999999E-4</v>
      </c>
      <c r="DO214" s="332">
        <v>2.0000000000000001E-4</v>
      </c>
      <c r="DP214" s="332">
        <v>0</v>
      </c>
      <c r="DQ214" s="332">
        <v>1E-4</v>
      </c>
      <c r="DR214" s="332">
        <v>0</v>
      </c>
      <c r="DS214" s="332">
        <v>3.5999999999999999E-3</v>
      </c>
      <c r="DT214" s="332">
        <v>4.6999999999999999E-4</v>
      </c>
      <c r="DU214" s="332">
        <v>6.9999999999999999E-4</v>
      </c>
      <c r="DV214" s="332">
        <v>0</v>
      </c>
      <c r="DW214" s="332">
        <v>0</v>
      </c>
      <c r="DX214" s="332">
        <v>5.0000000000000001E-4</v>
      </c>
      <c r="DY214" s="332">
        <v>5.0000000000000001E-4</v>
      </c>
      <c r="DZ214" s="332">
        <v>2.9999999999999997E-4</v>
      </c>
      <c r="EA214" s="332">
        <v>2.7500000000000002E-4</v>
      </c>
      <c r="EB214" s="332">
        <v>4.0000000000000002E-4</v>
      </c>
      <c r="ED214" s="332">
        <v>6.4999999999999994E-5</v>
      </c>
      <c r="EF214">
        <v>1</v>
      </c>
    </row>
    <row r="215" spans="1:136" x14ac:dyDescent="0.25">
      <c r="A215" s="66">
        <v>42917</v>
      </c>
      <c r="B215">
        <v>0.98</v>
      </c>
      <c r="C215">
        <v>0</v>
      </c>
      <c r="E215">
        <v>0</v>
      </c>
      <c r="F215">
        <v>0</v>
      </c>
      <c r="G215">
        <v>0</v>
      </c>
      <c r="H215">
        <v>0.98750000000000004</v>
      </c>
      <c r="I215">
        <v>0.98750000000000004</v>
      </c>
      <c r="J215">
        <v>0.98050000000000004</v>
      </c>
      <c r="K215">
        <v>0</v>
      </c>
      <c r="L215" s="333">
        <v>0.98750000000000004</v>
      </c>
      <c r="M215" s="333">
        <v>0.98750000000000004</v>
      </c>
      <c r="N215">
        <v>0.98</v>
      </c>
      <c r="O215">
        <v>0.98750000000000004</v>
      </c>
      <c r="P215">
        <v>0.98</v>
      </c>
      <c r="Q215" s="328">
        <v>0.98750000000000004</v>
      </c>
      <c r="R215">
        <v>0.98750000000000004</v>
      </c>
      <c r="S215" s="333">
        <v>0.98750000000000004</v>
      </c>
      <c r="T215">
        <v>0.98</v>
      </c>
      <c r="U215">
        <v>0.98</v>
      </c>
      <c r="V215">
        <v>0.98</v>
      </c>
      <c r="W215">
        <v>0.98</v>
      </c>
      <c r="X215">
        <v>0.98750000000000004</v>
      </c>
      <c r="Y215">
        <v>0.98750000000000004</v>
      </c>
      <c r="Z215">
        <v>0.98750000000000004</v>
      </c>
      <c r="AA215">
        <v>0.98750000000000004</v>
      </c>
      <c r="AB215">
        <v>0.98</v>
      </c>
      <c r="AC215">
        <v>0.98</v>
      </c>
      <c r="AD215">
        <v>0.98750000000000004</v>
      </c>
      <c r="AE215">
        <v>0.98750000000000004</v>
      </c>
      <c r="AF215">
        <v>0.98</v>
      </c>
      <c r="AG215">
        <v>0.99</v>
      </c>
      <c r="AH215">
        <v>0.98324975000000003</v>
      </c>
      <c r="AI215">
        <v>0.98324975000000003</v>
      </c>
      <c r="AJ215">
        <v>0.98</v>
      </c>
      <c r="AK215">
        <v>1</v>
      </c>
      <c r="AL215">
        <v>0</v>
      </c>
      <c r="AM215">
        <v>0</v>
      </c>
      <c r="BB215" s="446">
        <v>1</v>
      </c>
      <c r="BC215">
        <v>1</v>
      </c>
      <c r="BD215">
        <v>1</v>
      </c>
      <c r="BE215">
        <v>1</v>
      </c>
      <c r="BF215">
        <v>0.99990000000000001</v>
      </c>
      <c r="BG215">
        <v>1</v>
      </c>
      <c r="BH215">
        <v>1</v>
      </c>
      <c r="BI215">
        <v>0.99</v>
      </c>
      <c r="BJ215">
        <v>0.999</v>
      </c>
      <c r="BK215">
        <v>0.998</v>
      </c>
      <c r="BL215">
        <v>0.99850000000000005</v>
      </c>
      <c r="BM215">
        <v>0.99850000000000005</v>
      </c>
      <c r="BN215">
        <v>0.97199999999999998</v>
      </c>
      <c r="BO215">
        <v>0.99990000000000001</v>
      </c>
      <c r="BP215">
        <v>0.99990000000000001</v>
      </c>
      <c r="BQ215">
        <v>1</v>
      </c>
      <c r="BR215">
        <v>1.1237126</v>
      </c>
      <c r="BS215">
        <v>1.131</v>
      </c>
      <c r="BT215">
        <v>1.0827</v>
      </c>
      <c r="BU215">
        <v>1.0258</v>
      </c>
      <c r="BV215">
        <v>1</v>
      </c>
      <c r="BW215">
        <v>2.5998000000000001</v>
      </c>
      <c r="BX215">
        <v>2.3303263329999999</v>
      </c>
      <c r="BY215">
        <v>1.1655500000000001</v>
      </c>
      <c r="BZ215">
        <v>1.2885</v>
      </c>
      <c r="CA215">
        <v>2.0009999999999999</v>
      </c>
      <c r="CB215">
        <v>1.5695049999999999</v>
      </c>
      <c r="CC215">
        <v>1.5695049999999999</v>
      </c>
      <c r="CD215">
        <v>1.2952049999999999</v>
      </c>
      <c r="CE215">
        <v>1.1053299999999999</v>
      </c>
      <c r="CF215">
        <v>1.469805</v>
      </c>
      <c r="CG215" s="332"/>
      <c r="CH215">
        <v>1.1047750000000001</v>
      </c>
      <c r="CI215" s="332"/>
      <c r="CJ215" s="332"/>
      <c r="CK215" s="332"/>
      <c r="CL215" s="332"/>
      <c r="CM215" s="332"/>
      <c r="CN215" s="332"/>
      <c r="CO215" s="332"/>
      <c r="CP215">
        <v>0.97499999999999998</v>
      </c>
      <c r="CV215">
        <v>0.47</v>
      </c>
      <c r="CW215">
        <v>0.93500000000000005</v>
      </c>
      <c r="CX215">
        <v>0.755</v>
      </c>
      <c r="CZ215">
        <v>0.87749999999999995</v>
      </c>
      <c r="DA215">
        <v>0.91</v>
      </c>
      <c r="DB215">
        <v>0.89</v>
      </c>
      <c r="DC215">
        <v>0.90749999999999997</v>
      </c>
      <c r="DD215">
        <v>0.91500000000000004</v>
      </c>
      <c r="DE215">
        <v>0.89</v>
      </c>
      <c r="DN215" s="332">
        <v>2.8499999999999999E-4</v>
      </c>
      <c r="DO215" s="332">
        <v>2.0000000000000001E-4</v>
      </c>
      <c r="DP215" s="332">
        <v>0</v>
      </c>
      <c r="DQ215" s="332">
        <v>1E-4</v>
      </c>
      <c r="DR215" s="332">
        <v>0</v>
      </c>
      <c r="DS215" s="332">
        <v>3.5999999999999999E-3</v>
      </c>
      <c r="DT215" s="332">
        <v>4.6999999999999999E-4</v>
      </c>
      <c r="DU215" s="332">
        <v>6.9999999999999999E-4</v>
      </c>
      <c r="DV215" s="332">
        <v>0</v>
      </c>
      <c r="DW215" s="332">
        <v>0</v>
      </c>
      <c r="DX215" s="332">
        <v>5.0000000000000001E-4</v>
      </c>
      <c r="DY215" s="332">
        <v>5.0000000000000001E-4</v>
      </c>
      <c r="DZ215" s="332">
        <v>2.9999999999999997E-4</v>
      </c>
      <c r="EA215" s="332">
        <v>2.7500000000000002E-4</v>
      </c>
      <c r="EB215" s="332">
        <v>4.0000000000000002E-4</v>
      </c>
      <c r="ED215" s="332">
        <v>6.4999999999999994E-5</v>
      </c>
      <c r="EF215">
        <v>1</v>
      </c>
    </row>
    <row r="216" spans="1:136" x14ac:dyDescent="0.25">
      <c r="A216" s="66">
        <v>42948</v>
      </c>
      <c r="B216">
        <v>0.98</v>
      </c>
      <c r="C216">
        <v>0</v>
      </c>
      <c r="E216">
        <v>0</v>
      </c>
      <c r="F216">
        <v>0</v>
      </c>
      <c r="G216">
        <v>0</v>
      </c>
      <c r="H216">
        <v>0.98750000000000004</v>
      </c>
      <c r="I216">
        <v>0.98750000000000004</v>
      </c>
      <c r="J216">
        <v>0.98050000000000004</v>
      </c>
      <c r="K216">
        <v>0</v>
      </c>
      <c r="L216" s="333">
        <v>0.98750000000000004</v>
      </c>
      <c r="M216" s="333">
        <v>0.98750000000000004</v>
      </c>
      <c r="N216">
        <v>0.98</v>
      </c>
      <c r="O216">
        <v>0.98750000000000004</v>
      </c>
      <c r="P216">
        <v>0.98</v>
      </c>
      <c r="Q216" s="328">
        <v>0.98750000000000004</v>
      </c>
      <c r="R216">
        <v>0.98750000000000004</v>
      </c>
      <c r="S216" s="333">
        <v>0.98750000000000004</v>
      </c>
      <c r="T216">
        <v>0.98</v>
      </c>
      <c r="U216">
        <v>0.98</v>
      </c>
      <c r="V216">
        <v>0.98</v>
      </c>
      <c r="W216">
        <v>0.98</v>
      </c>
      <c r="X216">
        <v>0.98750000000000004</v>
      </c>
      <c r="Y216">
        <v>0.98750000000000004</v>
      </c>
      <c r="Z216">
        <v>0.98750000000000004</v>
      </c>
      <c r="AA216">
        <v>0.98750000000000004</v>
      </c>
      <c r="AB216">
        <v>0.98</v>
      </c>
      <c r="AC216">
        <v>0.98</v>
      </c>
      <c r="AD216">
        <v>0.98750000000000004</v>
      </c>
      <c r="AE216">
        <v>0.98750000000000004</v>
      </c>
      <c r="AF216">
        <v>0.98</v>
      </c>
      <c r="AG216">
        <v>0.99</v>
      </c>
      <c r="AH216">
        <v>0.98330759999999995</v>
      </c>
      <c r="AI216">
        <v>0.98330759999999995</v>
      </c>
      <c r="AJ216">
        <v>0.98</v>
      </c>
      <c r="AK216">
        <v>1</v>
      </c>
      <c r="AL216">
        <v>0</v>
      </c>
      <c r="AM216">
        <v>0</v>
      </c>
      <c r="BB216" s="446">
        <v>1</v>
      </c>
      <c r="BC216">
        <v>1</v>
      </c>
      <c r="BD216">
        <v>1</v>
      </c>
      <c r="BE216">
        <v>1</v>
      </c>
      <c r="BF216">
        <v>0.99990000000000001</v>
      </c>
      <c r="BG216">
        <v>1</v>
      </c>
      <c r="BH216">
        <v>1</v>
      </c>
      <c r="BI216">
        <v>0.99</v>
      </c>
      <c r="BJ216">
        <v>0.999</v>
      </c>
      <c r="BK216">
        <v>0.998</v>
      </c>
      <c r="BL216">
        <v>0.99850000000000005</v>
      </c>
      <c r="BM216">
        <v>0.99850000000000005</v>
      </c>
      <c r="BN216">
        <v>0.97199999999999998</v>
      </c>
      <c r="BO216">
        <v>0.99990000000000001</v>
      </c>
      <c r="BP216">
        <v>0.99990000000000001</v>
      </c>
      <c r="BQ216">
        <v>1</v>
      </c>
      <c r="BR216">
        <v>1.1239976</v>
      </c>
      <c r="BS216">
        <v>1.1312</v>
      </c>
      <c r="BT216">
        <v>1.0827</v>
      </c>
      <c r="BU216">
        <v>1.0259</v>
      </c>
      <c r="BV216">
        <v>1</v>
      </c>
      <c r="BW216">
        <v>2.6034000000000002</v>
      </c>
      <c r="BX216">
        <v>2.3307963329999999</v>
      </c>
      <c r="BY216">
        <v>1.16625</v>
      </c>
      <c r="BZ216">
        <v>1.2885</v>
      </c>
      <c r="CA216">
        <v>2.0009999999999999</v>
      </c>
      <c r="CB216">
        <v>1.5700050000000001</v>
      </c>
      <c r="CC216">
        <v>1.5700050000000001</v>
      </c>
      <c r="CD216">
        <v>1.2955049999999999</v>
      </c>
      <c r="CE216">
        <v>1.1056049999999999</v>
      </c>
      <c r="CF216">
        <v>1.470205</v>
      </c>
      <c r="CG216" s="332"/>
      <c r="CH216">
        <v>1.10484</v>
      </c>
      <c r="CI216" s="332"/>
      <c r="CJ216" s="332"/>
      <c r="CK216" s="332"/>
      <c r="CL216" s="332"/>
      <c r="CM216" s="332"/>
      <c r="CN216" s="332"/>
      <c r="CO216" s="332"/>
      <c r="CP216">
        <v>0.97499999999999998</v>
      </c>
      <c r="CV216">
        <v>0.52</v>
      </c>
      <c r="CW216">
        <v>0.92500000000000004</v>
      </c>
      <c r="CX216">
        <v>0.84499999999999997</v>
      </c>
      <c r="CZ216">
        <v>0.89</v>
      </c>
      <c r="DA216">
        <v>0.92249999999999999</v>
      </c>
      <c r="DB216">
        <v>0.91500000000000004</v>
      </c>
      <c r="DC216">
        <v>0.92749999999999999</v>
      </c>
      <c r="DD216">
        <v>0.91500000000000004</v>
      </c>
      <c r="DE216">
        <v>0.89</v>
      </c>
      <c r="DN216" s="332">
        <v>2.8499999999999999E-4</v>
      </c>
      <c r="DO216" s="332">
        <v>2.0000000000000001E-4</v>
      </c>
      <c r="DP216" s="332">
        <v>0</v>
      </c>
      <c r="DQ216" s="332">
        <v>1E-4</v>
      </c>
      <c r="DR216" s="332">
        <v>0</v>
      </c>
      <c r="DS216" s="332">
        <v>3.5999999999999999E-3</v>
      </c>
      <c r="DT216" s="332">
        <v>4.6999999999999999E-4</v>
      </c>
      <c r="DU216" s="332">
        <v>6.9999999999999999E-4</v>
      </c>
      <c r="DV216" s="332">
        <v>0</v>
      </c>
      <c r="DW216" s="332">
        <v>0</v>
      </c>
      <c r="DX216" s="332">
        <v>5.0000000000000001E-4</v>
      </c>
      <c r="DY216" s="332">
        <v>5.0000000000000001E-4</v>
      </c>
      <c r="DZ216" s="332">
        <v>2.9999999999999997E-4</v>
      </c>
      <c r="EA216" s="332">
        <v>2.7500000000000002E-4</v>
      </c>
      <c r="EB216" s="332">
        <v>4.0000000000000002E-4</v>
      </c>
      <c r="ED216" s="332">
        <v>6.4999999999999994E-5</v>
      </c>
      <c r="EF216">
        <v>1</v>
      </c>
    </row>
    <row r="217" spans="1:136" x14ac:dyDescent="0.25">
      <c r="A217" s="66">
        <v>42979</v>
      </c>
      <c r="B217">
        <v>0.98</v>
      </c>
      <c r="C217">
        <v>0</v>
      </c>
      <c r="E217">
        <v>0</v>
      </c>
      <c r="F217">
        <v>0</v>
      </c>
      <c r="G217">
        <v>0</v>
      </c>
      <c r="H217">
        <v>0.98750000000000004</v>
      </c>
      <c r="I217">
        <v>0.98750000000000004</v>
      </c>
      <c r="J217">
        <v>0.98050000000000004</v>
      </c>
      <c r="K217">
        <v>0</v>
      </c>
      <c r="L217" s="333">
        <v>0.98750000000000004</v>
      </c>
      <c r="M217" s="333">
        <v>0.98750000000000004</v>
      </c>
      <c r="N217">
        <v>0.98</v>
      </c>
      <c r="O217">
        <v>0.98750000000000004</v>
      </c>
      <c r="P217">
        <v>0.98</v>
      </c>
      <c r="Q217" s="328">
        <v>0.98750000000000004</v>
      </c>
      <c r="R217">
        <v>0.98750000000000004</v>
      </c>
      <c r="S217" s="333">
        <v>0.98750000000000004</v>
      </c>
      <c r="T217">
        <v>0.98</v>
      </c>
      <c r="U217">
        <v>0.98</v>
      </c>
      <c r="V217">
        <v>0.98</v>
      </c>
      <c r="W217">
        <v>0.98</v>
      </c>
      <c r="X217">
        <v>0.98750000000000004</v>
      </c>
      <c r="Y217">
        <v>0.98750000000000004</v>
      </c>
      <c r="Z217">
        <v>0.98750000000000004</v>
      </c>
      <c r="AA217">
        <v>0.98750000000000004</v>
      </c>
      <c r="AB217">
        <v>0.98</v>
      </c>
      <c r="AC217">
        <v>0.98</v>
      </c>
      <c r="AD217">
        <v>0.98750000000000004</v>
      </c>
      <c r="AE217">
        <v>0.98750000000000004</v>
      </c>
      <c r="AF217">
        <v>0.98</v>
      </c>
      <c r="AG217">
        <v>0.99</v>
      </c>
      <c r="AH217">
        <v>0.98336544999999997</v>
      </c>
      <c r="AI217">
        <v>0.98336544999999997</v>
      </c>
      <c r="AJ217">
        <v>0.98</v>
      </c>
      <c r="AK217">
        <v>1</v>
      </c>
      <c r="AL217">
        <v>0</v>
      </c>
      <c r="AM217">
        <v>0</v>
      </c>
      <c r="BB217" s="446">
        <v>1</v>
      </c>
      <c r="BC217">
        <v>1</v>
      </c>
      <c r="BD217">
        <v>1</v>
      </c>
      <c r="BE217">
        <v>1</v>
      </c>
      <c r="BF217">
        <v>0.99990000000000001</v>
      </c>
      <c r="BG217">
        <v>1</v>
      </c>
      <c r="BH217">
        <v>1</v>
      </c>
      <c r="BI217">
        <v>0.99</v>
      </c>
      <c r="BJ217">
        <v>0.999</v>
      </c>
      <c r="BK217">
        <v>0.998</v>
      </c>
      <c r="BL217">
        <v>0.99850000000000005</v>
      </c>
      <c r="BM217">
        <v>0.99850000000000005</v>
      </c>
      <c r="BN217">
        <v>0.97199999999999998</v>
      </c>
      <c r="BO217">
        <v>0.99990000000000001</v>
      </c>
      <c r="BP217">
        <v>0.99990000000000001</v>
      </c>
      <c r="BQ217">
        <v>1</v>
      </c>
      <c r="BR217">
        <v>1.1242825999999999</v>
      </c>
      <c r="BS217">
        <v>1.1314</v>
      </c>
      <c r="BT217">
        <v>1.0827</v>
      </c>
      <c r="BU217">
        <v>1.026</v>
      </c>
      <c r="BV217">
        <v>1</v>
      </c>
      <c r="BW217">
        <v>2.6070000000000002</v>
      </c>
      <c r="BX217">
        <v>2.3312663329999999</v>
      </c>
      <c r="BY217">
        <v>1.1669499999999999</v>
      </c>
      <c r="BZ217">
        <v>1.2885</v>
      </c>
      <c r="CA217">
        <v>2.0009999999999999</v>
      </c>
      <c r="CB217">
        <v>1.570505</v>
      </c>
      <c r="CC217">
        <v>1.570505</v>
      </c>
      <c r="CD217">
        <v>1.2958050000000001</v>
      </c>
      <c r="CE217">
        <v>1.10588</v>
      </c>
      <c r="CF217">
        <v>1.4706049999999999</v>
      </c>
      <c r="CG217" s="332"/>
      <c r="CH217">
        <v>1.104905</v>
      </c>
      <c r="CI217" s="332"/>
      <c r="CJ217" s="332"/>
      <c r="CK217" s="332"/>
      <c r="CL217" s="332"/>
      <c r="CM217" s="332"/>
      <c r="CN217" s="332"/>
      <c r="CO217" s="332"/>
      <c r="CP217">
        <v>0.97499999999999998</v>
      </c>
      <c r="CV217">
        <v>0.55000000000000004</v>
      </c>
      <c r="CW217">
        <v>0.92500000000000004</v>
      </c>
      <c r="CX217">
        <v>0.70499999999999996</v>
      </c>
      <c r="CZ217">
        <v>0.94499999999999995</v>
      </c>
      <c r="DA217">
        <v>0.97750000000000004</v>
      </c>
      <c r="DB217">
        <v>0.94499999999999995</v>
      </c>
      <c r="DC217">
        <v>0.92</v>
      </c>
      <c r="DD217">
        <v>0.91500000000000004</v>
      </c>
      <c r="DE217">
        <v>0.89</v>
      </c>
      <c r="DN217" s="332">
        <v>2.8499999999999999E-4</v>
      </c>
      <c r="DO217" s="332">
        <v>2.0000000000000001E-4</v>
      </c>
      <c r="DP217" s="332">
        <v>0</v>
      </c>
      <c r="DQ217" s="332">
        <v>1E-4</v>
      </c>
      <c r="DR217" s="332">
        <v>0</v>
      </c>
      <c r="DS217" s="332">
        <v>3.5999999999999999E-3</v>
      </c>
      <c r="DT217" s="332">
        <v>4.6999999999999999E-4</v>
      </c>
      <c r="DU217" s="332">
        <v>6.9999999999999999E-4</v>
      </c>
      <c r="DV217" s="332">
        <v>0</v>
      </c>
      <c r="DW217" s="332">
        <v>0</v>
      </c>
      <c r="DX217" s="332">
        <v>5.0000000000000001E-4</v>
      </c>
      <c r="DY217" s="332">
        <v>5.0000000000000001E-4</v>
      </c>
      <c r="DZ217" s="332">
        <v>2.9999999999999997E-4</v>
      </c>
      <c r="EA217" s="332">
        <v>2.7500000000000002E-4</v>
      </c>
      <c r="EB217" s="332">
        <v>4.0000000000000002E-4</v>
      </c>
      <c r="ED217" s="332">
        <v>6.4999999999999994E-5</v>
      </c>
      <c r="EF217">
        <v>1</v>
      </c>
    </row>
    <row r="218" spans="1:136" x14ac:dyDescent="0.25">
      <c r="A218" s="66">
        <v>43009</v>
      </c>
      <c r="B218">
        <v>0.98</v>
      </c>
      <c r="C218">
        <v>0</v>
      </c>
      <c r="E218">
        <v>0</v>
      </c>
      <c r="F218">
        <v>0</v>
      </c>
      <c r="G218">
        <v>0</v>
      </c>
      <c r="H218">
        <v>0.98750000000000004</v>
      </c>
      <c r="I218">
        <v>0.98750000000000004</v>
      </c>
      <c r="J218">
        <v>0.98050000000000004</v>
      </c>
      <c r="K218">
        <v>0</v>
      </c>
      <c r="L218" s="333">
        <v>0.98750000000000004</v>
      </c>
      <c r="M218" s="333">
        <v>0.98750000000000004</v>
      </c>
      <c r="N218">
        <v>0.98</v>
      </c>
      <c r="O218">
        <v>0.98750000000000004</v>
      </c>
      <c r="P218">
        <v>0.98</v>
      </c>
      <c r="Q218" s="328">
        <v>0.98750000000000004</v>
      </c>
      <c r="R218">
        <v>0.98750000000000004</v>
      </c>
      <c r="S218" s="333">
        <v>0.98750000000000004</v>
      </c>
      <c r="T218">
        <v>0.98</v>
      </c>
      <c r="U218">
        <v>0.98</v>
      </c>
      <c r="V218">
        <v>0.98</v>
      </c>
      <c r="W218">
        <v>0.98</v>
      </c>
      <c r="X218">
        <v>0.98750000000000004</v>
      </c>
      <c r="Y218">
        <v>0.98750000000000004</v>
      </c>
      <c r="Z218">
        <v>0.98750000000000004</v>
      </c>
      <c r="AA218">
        <v>0.98750000000000004</v>
      </c>
      <c r="AB218">
        <v>0.98</v>
      </c>
      <c r="AC218">
        <v>0.98</v>
      </c>
      <c r="AD218">
        <v>0.98750000000000004</v>
      </c>
      <c r="AE218">
        <v>0.98750000000000004</v>
      </c>
      <c r="AF218">
        <v>0.98</v>
      </c>
      <c r="AG218">
        <v>0.99</v>
      </c>
      <c r="AH218">
        <v>0.9834233</v>
      </c>
      <c r="AI218">
        <v>0.9834233</v>
      </c>
      <c r="AJ218">
        <v>0.98</v>
      </c>
      <c r="AK218">
        <v>1</v>
      </c>
      <c r="AL218">
        <v>0</v>
      </c>
      <c r="AM218">
        <v>0</v>
      </c>
      <c r="BB218" s="446">
        <v>1</v>
      </c>
      <c r="BC218">
        <v>1</v>
      </c>
      <c r="BD218">
        <v>1</v>
      </c>
      <c r="BE218">
        <v>1</v>
      </c>
      <c r="BF218">
        <v>0.99990000000000001</v>
      </c>
      <c r="BG218">
        <v>1</v>
      </c>
      <c r="BH218">
        <v>1</v>
      </c>
      <c r="BI218">
        <v>0.99</v>
      </c>
      <c r="BJ218">
        <v>0.999</v>
      </c>
      <c r="BK218">
        <v>0.998</v>
      </c>
      <c r="BL218">
        <v>0.99850000000000005</v>
      </c>
      <c r="BM218">
        <v>0.99850000000000005</v>
      </c>
      <c r="BN218">
        <v>0.97199999999999998</v>
      </c>
      <c r="BO218">
        <v>0.99990000000000001</v>
      </c>
      <c r="BP218">
        <v>0.99990000000000001</v>
      </c>
      <c r="BQ218">
        <v>1</v>
      </c>
      <c r="BR218">
        <v>1.1245676</v>
      </c>
      <c r="BS218">
        <v>1.1315999999999999</v>
      </c>
      <c r="BT218">
        <v>1.0827</v>
      </c>
      <c r="BU218">
        <v>1.0261</v>
      </c>
      <c r="BV218">
        <v>1</v>
      </c>
      <c r="BW218">
        <v>2.6105999999999998</v>
      </c>
      <c r="BX218">
        <v>2.3317363329999998</v>
      </c>
      <c r="BY218">
        <v>1.1676500000000001</v>
      </c>
      <c r="BZ218">
        <v>1.2885</v>
      </c>
      <c r="CA218">
        <v>2.0009999999999999</v>
      </c>
      <c r="CB218">
        <v>1.571005</v>
      </c>
      <c r="CC218">
        <v>1.571005</v>
      </c>
      <c r="CD218">
        <v>1.2961050000000001</v>
      </c>
      <c r="CE218">
        <v>1.106155</v>
      </c>
      <c r="CF218">
        <v>1.4710049999999999</v>
      </c>
      <c r="CG218" s="332"/>
      <c r="CH218">
        <v>1.10497</v>
      </c>
      <c r="CI218" s="332"/>
      <c r="CJ218" s="332"/>
      <c r="CK218" s="332"/>
      <c r="CL218" s="332"/>
      <c r="CM218" s="332"/>
      <c r="CN218" s="332"/>
      <c r="CO218" s="332"/>
      <c r="CP218">
        <v>0.95499999999999996</v>
      </c>
      <c r="CV218">
        <v>0.45</v>
      </c>
      <c r="CW218">
        <v>0.92500000000000004</v>
      </c>
      <c r="CX218">
        <v>0.69499999999999995</v>
      </c>
      <c r="CZ218">
        <v>0.80500000000000005</v>
      </c>
      <c r="DA218">
        <v>0.83750000000000002</v>
      </c>
      <c r="DB218">
        <v>0.875</v>
      </c>
      <c r="DC218">
        <v>0.90249999999999997</v>
      </c>
      <c r="DD218">
        <v>0.82</v>
      </c>
      <c r="DE218">
        <v>0.89</v>
      </c>
      <c r="DN218" s="332">
        <v>2.8499999999999999E-4</v>
      </c>
      <c r="DO218" s="332">
        <v>2.0000000000000001E-4</v>
      </c>
      <c r="DP218" s="332">
        <v>0</v>
      </c>
      <c r="DQ218" s="332">
        <v>1E-4</v>
      </c>
      <c r="DR218" s="332">
        <v>0</v>
      </c>
      <c r="DS218" s="332">
        <v>3.5999999999999999E-3</v>
      </c>
      <c r="DT218" s="332">
        <v>4.6999999999999999E-4</v>
      </c>
      <c r="DU218" s="332">
        <v>6.9999999999999999E-4</v>
      </c>
      <c r="DV218" s="332">
        <v>0</v>
      </c>
      <c r="DW218" s="332">
        <v>0</v>
      </c>
      <c r="DX218" s="332">
        <v>5.0000000000000001E-4</v>
      </c>
      <c r="DY218" s="332">
        <v>5.0000000000000001E-4</v>
      </c>
      <c r="DZ218" s="332">
        <v>2.9999999999999997E-4</v>
      </c>
      <c r="EA218" s="332">
        <v>2.7500000000000002E-4</v>
      </c>
      <c r="EB218" s="332">
        <v>4.0000000000000002E-4</v>
      </c>
      <c r="ED218" s="332">
        <v>6.4999999999999994E-5</v>
      </c>
      <c r="EF218">
        <v>1</v>
      </c>
    </row>
    <row r="219" spans="1:136" x14ac:dyDescent="0.25">
      <c r="A219" s="66">
        <v>43040</v>
      </c>
      <c r="B219">
        <v>0.98</v>
      </c>
      <c r="C219">
        <v>0</v>
      </c>
      <c r="E219">
        <v>0</v>
      </c>
      <c r="F219">
        <v>0</v>
      </c>
      <c r="G219">
        <v>0</v>
      </c>
      <c r="H219">
        <v>0.98750000000000004</v>
      </c>
      <c r="I219">
        <v>0.98750000000000004</v>
      </c>
      <c r="J219">
        <v>0.98050000000000004</v>
      </c>
      <c r="K219">
        <v>0</v>
      </c>
      <c r="L219" s="333">
        <v>0.98750000000000004</v>
      </c>
      <c r="M219" s="333">
        <v>0.98750000000000004</v>
      </c>
      <c r="N219">
        <v>0.98</v>
      </c>
      <c r="O219">
        <v>0.98750000000000004</v>
      </c>
      <c r="P219">
        <v>0.98</v>
      </c>
      <c r="Q219" s="328">
        <v>0.98750000000000004</v>
      </c>
      <c r="R219">
        <v>0.98750000000000004</v>
      </c>
      <c r="S219" s="333">
        <v>0.98750000000000004</v>
      </c>
      <c r="T219">
        <v>0.98</v>
      </c>
      <c r="U219">
        <v>0.98</v>
      </c>
      <c r="V219">
        <v>0.98</v>
      </c>
      <c r="W219">
        <v>0.98</v>
      </c>
      <c r="X219">
        <v>0.98750000000000004</v>
      </c>
      <c r="Y219">
        <v>0.98750000000000004</v>
      </c>
      <c r="Z219">
        <v>0.98750000000000004</v>
      </c>
      <c r="AA219">
        <v>0.98750000000000004</v>
      </c>
      <c r="AB219">
        <v>0.98</v>
      </c>
      <c r="AC219">
        <v>0.98</v>
      </c>
      <c r="AD219">
        <v>0.98750000000000004</v>
      </c>
      <c r="AE219">
        <v>0.98750000000000004</v>
      </c>
      <c r="AF219">
        <v>0.98</v>
      </c>
      <c r="AG219">
        <v>0.99</v>
      </c>
      <c r="AH219">
        <v>0.98348115000000003</v>
      </c>
      <c r="AI219">
        <v>0.98348115000000003</v>
      </c>
      <c r="AJ219">
        <v>0.98</v>
      </c>
      <c r="AK219">
        <v>1</v>
      </c>
      <c r="AL219">
        <v>0</v>
      </c>
      <c r="AM219">
        <v>0</v>
      </c>
      <c r="BB219" s="446">
        <v>1</v>
      </c>
      <c r="BC219">
        <v>1</v>
      </c>
      <c r="BD219">
        <v>1</v>
      </c>
      <c r="BE219">
        <v>1</v>
      </c>
      <c r="BF219">
        <v>0.99990000000000001</v>
      </c>
      <c r="BG219">
        <v>1</v>
      </c>
      <c r="BH219">
        <v>1</v>
      </c>
      <c r="BI219">
        <v>0.99</v>
      </c>
      <c r="BJ219">
        <v>0.999</v>
      </c>
      <c r="BK219">
        <v>0.998</v>
      </c>
      <c r="BL219">
        <v>0.99850000000000005</v>
      </c>
      <c r="BM219">
        <v>0.99850000000000005</v>
      </c>
      <c r="BN219">
        <v>0.97199999999999998</v>
      </c>
      <c r="BO219">
        <v>0.99990000000000001</v>
      </c>
      <c r="BP219">
        <v>0.99990000000000001</v>
      </c>
      <c r="BQ219">
        <v>1</v>
      </c>
      <c r="BR219">
        <v>1.1248526000000001</v>
      </c>
      <c r="BS219">
        <v>1.1317999999999999</v>
      </c>
      <c r="BT219">
        <v>1.0827</v>
      </c>
      <c r="BU219">
        <v>1.0262</v>
      </c>
      <c r="BV219">
        <v>1</v>
      </c>
      <c r="BW219">
        <v>2.6141999999999999</v>
      </c>
      <c r="BX219">
        <v>2.3322063329999998</v>
      </c>
      <c r="BY219">
        <v>1.16835</v>
      </c>
      <c r="BZ219">
        <v>1.2885</v>
      </c>
      <c r="CA219">
        <v>2.0009999999999999</v>
      </c>
      <c r="CB219">
        <v>1.5715049999999999</v>
      </c>
      <c r="CC219">
        <v>1.5715049999999999</v>
      </c>
      <c r="CD219">
        <v>1.296405</v>
      </c>
      <c r="CE219">
        <v>1.10643</v>
      </c>
      <c r="CF219">
        <v>1.4714050000000001</v>
      </c>
      <c r="CG219" s="332"/>
      <c r="CH219">
        <v>1.105035</v>
      </c>
      <c r="CI219" s="332"/>
      <c r="CJ219" s="332"/>
      <c r="CK219" s="332"/>
      <c r="CL219" s="332"/>
      <c r="CM219" s="332"/>
      <c r="CN219" s="332"/>
      <c r="CO219" s="332"/>
      <c r="CP219">
        <v>0.95499999999999996</v>
      </c>
      <c r="CV219">
        <v>0.46</v>
      </c>
      <c r="CW219">
        <v>0.90500000000000003</v>
      </c>
      <c r="CX219">
        <v>0.65500000000000003</v>
      </c>
      <c r="CZ219">
        <v>0.79500000000000004</v>
      </c>
      <c r="DA219">
        <v>0.82750000000000001</v>
      </c>
      <c r="DB219">
        <v>0.85</v>
      </c>
      <c r="DC219">
        <v>0.90249999999999997</v>
      </c>
      <c r="DD219">
        <v>0.82</v>
      </c>
      <c r="DE219">
        <v>0.89</v>
      </c>
      <c r="DN219" s="332">
        <v>2.8499999999999999E-4</v>
      </c>
      <c r="DO219" s="332">
        <v>2.0000000000000001E-4</v>
      </c>
      <c r="DP219" s="332">
        <v>0</v>
      </c>
      <c r="DQ219" s="332">
        <v>1E-4</v>
      </c>
      <c r="DR219" s="332">
        <v>0</v>
      </c>
      <c r="DS219" s="332">
        <v>3.5999999999999999E-3</v>
      </c>
      <c r="DT219" s="332">
        <v>4.6999999999999999E-4</v>
      </c>
      <c r="DU219" s="332">
        <v>6.9999999999999999E-4</v>
      </c>
      <c r="DV219" s="332">
        <v>0</v>
      </c>
      <c r="DW219" s="332">
        <v>0</v>
      </c>
      <c r="DX219" s="332">
        <v>5.0000000000000001E-4</v>
      </c>
      <c r="DY219" s="332">
        <v>5.0000000000000001E-4</v>
      </c>
      <c r="DZ219" s="332">
        <v>2.9999999999999997E-4</v>
      </c>
      <c r="EA219" s="332">
        <v>2.7500000000000002E-4</v>
      </c>
      <c r="EB219" s="332">
        <v>4.0000000000000002E-4</v>
      </c>
      <c r="ED219" s="332">
        <v>6.4999999999999994E-5</v>
      </c>
      <c r="EF219">
        <v>1</v>
      </c>
    </row>
    <row r="220" spans="1:136" x14ac:dyDescent="0.25">
      <c r="A220" s="66">
        <v>43070</v>
      </c>
      <c r="B220">
        <v>0.98</v>
      </c>
      <c r="C220">
        <v>0</v>
      </c>
      <c r="E220">
        <v>0</v>
      </c>
      <c r="F220">
        <v>0</v>
      </c>
      <c r="G220">
        <v>0</v>
      </c>
      <c r="H220">
        <v>0.98750000000000004</v>
      </c>
      <c r="I220">
        <v>0.98750000000000004</v>
      </c>
      <c r="J220">
        <v>0.98050000000000004</v>
      </c>
      <c r="K220">
        <v>0</v>
      </c>
      <c r="L220" s="333">
        <v>0.92748295000000003</v>
      </c>
      <c r="M220" s="333">
        <v>0.97857311199999997</v>
      </c>
      <c r="N220">
        <v>0.89472644999999995</v>
      </c>
      <c r="O220">
        <v>0.98750000000000004</v>
      </c>
      <c r="P220">
        <v>0.89472644999999995</v>
      </c>
      <c r="Q220" s="328">
        <v>0.92748295000000003</v>
      </c>
      <c r="R220">
        <v>0.92748295000000003</v>
      </c>
      <c r="S220" s="333">
        <v>0.92748295000000003</v>
      </c>
      <c r="T220">
        <v>0.89472644999999995</v>
      </c>
      <c r="U220">
        <v>0.89472644999999995</v>
      </c>
      <c r="V220">
        <v>0.89472644999999995</v>
      </c>
      <c r="W220">
        <v>0.89472644999999995</v>
      </c>
      <c r="X220">
        <v>0.98750000000000004</v>
      </c>
      <c r="Y220">
        <v>0.98750000000000004</v>
      </c>
      <c r="Z220">
        <v>0.98750000000000004</v>
      </c>
      <c r="AA220">
        <v>0.98750000000000004</v>
      </c>
      <c r="AB220">
        <v>0.89472644999999995</v>
      </c>
      <c r="AC220">
        <v>0.89472644999999995</v>
      </c>
      <c r="AD220">
        <v>0.98750000000000004</v>
      </c>
      <c r="AE220">
        <v>0.98750000000000004</v>
      </c>
      <c r="AF220">
        <v>0.89472644999999995</v>
      </c>
      <c r="AG220">
        <v>0.98</v>
      </c>
      <c r="AH220">
        <v>0.98353900000000005</v>
      </c>
      <c r="AI220">
        <v>0.98353900000000005</v>
      </c>
      <c r="AJ220">
        <v>0.89472644999999995</v>
      </c>
      <c r="AK220">
        <v>1</v>
      </c>
      <c r="AL220">
        <v>0</v>
      </c>
      <c r="AM220">
        <v>0</v>
      </c>
      <c r="BB220" s="446">
        <v>1</v>
      </c>
      <c r="BC220">
        <v>1</v>
      </c>
      <c r="BD220">
        <v>1</v>
      </c>
      <c r="BE220">
        <v>1</v>
      </c>
      <c r="BF220">
        <v>0.99990000000000001</v>
      </c>
      <c r="BG220">
        <v>1</v>
      </c>
      <c r="BH220">
        <v>1</v>
      </c>
      <c r="BI220">
        <v>0.99</v>
      </c>
      <c r="BJ220">
        <v>0.999</v>
      </c>
      <c r="BK220">
        <v>0.998</v>
      </c>
      <c r="BL220">
        <v>0.99850000000000005</v>
      </c>
      <c r="BM220">
        <v>0.99850000000000005</v>
      </c>
      <c r="BN220">
        <v>0.97199999999999998</v>
      </c>
      <c r="BO220">
        <v>0.99990000000000001</v>
      </c>
      <c r="BP220">
        <v>0.99990000000000001</v>
      </c>
      <c r="BQ220">
        <v>1</v>
      </c>
      <c r="BR220">
        <v>1.1251376</v>
      </c>
      <c r="BS220">
        <v>1.1319999999999999</v>
      </c>
      <c r="BT220">
        <v>1.0827</v>
      </c>
      <c r="BU220">
        <v>1.0263</v>
      </c>
      <c r="BV220">
        <v>1</v>
      </c>
      <c r="BW220">
        <v>2.6177999999999999</v>
      </c>
      <c r="BX220">
        <v>2.3326763330000002</v>
      </c>
      <c r="BY220">
        <v>1.1690499999999999</v>
      </c>
      <c r="BZ220">
        <v>1.2885</v>
      </c>
      <c r="CA220">
        <v>2.0009999999999999</v>
      </c>
      <c r="CB220">
        <v>1.5720050000000001</v>
      </c>
      <c r="CC220">
        <v>1.5720050000000001</v>
      </c>
      <c r="CD220">
        <v>1.296705</v>
      </c>
      <c r="CE220">
        <v>1.106705</v>
      </c>
      <c r="CF220">
        <v>1.471805</v>
      </c>
      <c r="CG220" s="332"/>
      <c r="CH220">
        <v>1.1051</v>
      </c>
      <c r="CI220" s="332"/>
      <c r="CJ220" s="332"/>
      <c r="CK220" s="332"/>
      <c r="CL220" s="332"/>
      <c r="CM220" s="332"/>
      <c r="CN220" s="332"/>
      <c r="CO220" s="332"/>
      <c r="CP220">
        <v>0.93500000000000005</v>
      </c>
      <c r="CV220">
        <v>0.48</v>
      </c>
      <c r="CW220">
        <v>0.875</v>
      </c>
      <c r="CX220">
        <v>0.66</v>
      </c>
      <c r="CZ220">
        <v>0.59</v>
      </c>
      <c r="DA220">
        <v>0.62250000000000005</v>
      </c>
      <c r="DB220">
        <v>0.69</v>
      </c>
      <c r="DC220">
        <v>0.89249999999999996</v>
      </c>
      <c r="DD220">
        <v>0.71499999999999997</v>
      </c>
      <c r="DE220">
        <v>0.89</v>
      </c>
      <c r="DN220" s="332">
        <v>2.8499999999999999E-4</v>
      </c>
      <c r="DO220" s="332">
        <v>2.0000000000000001E-4</v>
      </c>
      <c r="DP220" s="332">
        <v>0</v>
      </c>
      <c r="DQ220" s="332">
        <v>1E-4</v>
      </c>
      <c r="DR220" s="332">
        <v>0</v>
      </c>
      <c r="DS220" s="332">
        <v>3.5999999999999999E-3</v>
      </c>
      <c r="DT220" s="332">
        <v>4.6999999999999999E-4</v>
      </c>
      <c r="DU220" s="332">
        <v>6.9999999999999999E-4</v>
      </c>
      <c r="DV220" s="332">
        <v>0</v>
      </c>
      <c r="DW220" s="332">
        <v>0</v>
      </c>
      <c r="DX220" s="332">
        <v>5.0000000000000001E-4</v>
      </c>
      <c r="DY220" s="332">
        <v>5.0000000000000001E-4</v>
      </c>
      <c r="DZ220" s="332">
        <v>2.9999999999999997E-4</v>
      </c>
      <c r="EA220" s="332">
        <v>2.7500000000000002E-4</v>
      </c>
      <c r="EB220" s="332">
        <v>4.0000000000000002E-4</v>
      </c>
      <c r="ED220" s="332">
        <v>6.4999999999999994E-5</v>
      </c>
      <c r="EF220">
        <v>1</v>
      </c>
    </row>
    <row r="221" spans="1:136" x14ac:dyDescent="0.25">
      <c r="A221" s="66">
        <v>43101</v>
      </c>
      <c r="B221">
        <v>0.98</v>
      </c>
      <c r="C221">
        <v>0</v>
      </c>
      <c r="E221">
        <v>0</v>
      </c>
      <c r="F221">
        <v>0</v>
      </c>
      <c r="G221">
        <v>0</v>
      </c>
      <c r="H221">
        <v>0.98750000000000004</v>
      </c>
      <c r="I221">
        <v>0.94164875000000003</v>
      </c>
      <c r="J221">
        <v>0.98050000000000004</v>
      </c>
      <c r="K221">
        <v>0</v>
      </c>
      <c r="L221" s="333">
        <v>0.95136552500000005</v>
      </c>
      <c r="M221" s="333">
        <v>0.98750000000000004</v>
      </c>
      <c r="N221">
        <v>0.89493345000000002</v>
      </c>
      <c r="O221">
        <v>0.97414239999999996</v>
      </c>
      <c r="P221">
        <v>0.89493345000000002</v>
      </c>
      <c r="Q221" s="328">
        <v>0.95136552500000005</v>
      </c>
      <c r="R221">
        <v>0.95136552500000005</v>
      </c>
      <c r="S221" s="333">
        <v>0.95136552500000005</v>
      </c>
      <c r="T221">
        <v>0.89493345000000002</v>
      </c>
      <c r="U221">
        <v>0.89493345000000002</v>
      </c>
      <c r="V221">
        <v>0.89493345000000002</v>
      </c>
      <c r="W221">
        <v>0.89493345000000002</v>
      </c>
      <c r="X221">
        <v>0.97414239999999996</v>
      </c>
      <c r="Y221">
        <v>0.97414239999999996</v>
      </c>
      <c r="Z221">
        <v>0.97414239999999996</v>
      </c>
      <c r="AA221">
        <v>0.97414239999999996</v>
      </c>
      <c r="AB221">
        <v>0.89493345000000002</v>
      </c>
      <c r="AC221">
        <v>0.89493345000000002</v>
      </c>
      <c r="AD221">
        <v>0.97414239999999996</v>
      </c>
      <c r="AE221">
        <v>0.97414239999999996</v>
      </c>
      <c r="AF221">
        <v>0.89493345000000002</v>
      </c>
      <c r="AG221">
        <v>0.98</v>
      </c>
      <c r="AH221">
        <v>0.98359684999999997</v>
      </c>
      <c r="AI221">
        <v>0.98359684999999997</v>
      </c>
      <c r="AJ221">
        <v>0.89493345000000002</v>
      </c>
      <c r="AK221">
        <v>1</v>
      </c>
      <c r="AL221">
        <v>0</v>
      </c>
      <c r="AM221">
        <v>0</v>
      </c>
      <c r="BB221" s="446">
        <v>1</v>
      </c>
      <c r="BC221">
        <v>1</v>
      </c>
      <c r="BD221">
        <v>1</v>
      </c>
      <c r="BE221">
        <v>1</v>
      </c>
      <c r="BF221">
        <v>0.99990000000000001</v>
      </c>
      <c r="BG221">
        <v>1</v>
      </c>
      <c r="BH221">
        <v>1</v>
      </c>
      <c r="BI221">
        <v>0.99</v>
      </c>
      <c r="BJ221">
        <v>0.999</v>
      </c>
      <c r="BK221">
        <v>0.998</v>
      </c>
      <c r="BL221">
        <v>0.99850000000000005</v>
      </c>
      <c r="BM221">
        <v>0.99850000000000005</v>
      </c>
      <c r="BN221">
        <v>0.97199999999999998</v>
      </c>
      <c r="BO221">
        <v>0.99990000000000001</v>
      </c>
      <c r="BP221">
        <v>0.99990000000000001</v>
      </c>
      <c r="BQ221">
        <v>1</v>
      </c>
      <c r="BR221">
        <v>1.1254226000000001</v>
      </c>
      <c r="BS221">
        <v>1.1322000000000001</v>
      </c>
      <c r="BT221">
        <v>1.0827</v>
      </c>
      <c r="BU221">
        <v>1.0264</v>
      </c>
      <c r="BV221">
        <v>1</v>
      </c>
      <c r="BW221">
        <v>2.6214</v>
      </c>
      <c r="BX221">
        <v>2.3331463330000002</v>
      </c>
      <c r="BY221">
        <v>1.1697500000000001</v>
      </c>
      <c r="BZ221">
        <v>1.2885</v>
      </c>
      <c r="CA221">
        <v>2.0009999999999999</v>
      </c>
      <c r="CB221">
        <v>1.572505</v>
      </c>
      <c r="CC221">
        <v>1.572505</v>
      </c>
      <c r="CD221">
        <v>1.297005</v>
      </c>
      <c r="CE221">
        <v>1.1069800000000001</v>
      </c>
      <c r="CF221">
        <v>1.472205</v>
      </c>
      <c r="CG221" s="332"/>
      <c r="CH221">
        <v>1.105165</v>
      </c>
      <c r="CI221" s="332"/>
      <c r="CJ221" s="332"/>
      <c r="CK221" s="332"/>
      <c r="CL221" s="332"/>
      <c r="CM221" s="332"/>
      <c r="CN221" s="332"/>
      <c r="CO221" s="332"/>
      <c r="CP221">
        <v>0.89500000000000002</v>
      </c>
      <c r="CV221">
        <v>0.45</v>
      </c>
      <c r="CW221">
        <v>0.80500000000000005</v>
      </c>
      <c r="CX221">
        <v>0.67</v>
      </c>
      <c r="CZ221">
        <v>0.60499999999999998</v>
      </c>
      <c r="DA221">
        <v>0.63749999999999996</v>
      </c>
      <c r="DB221">
        <v>0.69</v>
      </c>
      <c r="DC221">
        <v>0.88</v>
      </c>
      <c r="DD221">
        <v>0.64</v>
      </c>
      <c r="DE221">
        <v>0.89</v>
      </c>
      <c r="DN221" s="332">
        <v>2.8499999999999999E-4</v>
      </c>
      <c r="DO221" s="332">
        <v>2.0000000000000001E-4</v>
      </c>
      <c r="DP221" s="332">
        <v>0</v>
      </c>
      <c r="DQ221" s="332">
        <v>1E-4</v>
      </c>
      <c r="DR221" s="332">
        <v>0</v>
      </c>
      <c r="DS221" s="332">
        <v>3.5999999999999999E-3</v>
      </c>
      <c r="DT221" s="332">
        <v>4.6999999999999999E-4</v>
      </c>
      <c r="DU221" s="332">
        <v>6.9999999999999999E-4</v>
      </c>
      <c r="DV221" s="332">
        <v>0</v>
      </c>
      <c r="DW221" s="332">
        <v>0</v>
      </c>
      <c r="DX221" s="332">
        <v>5.0000000000000001E-4</v>
      </c>
      <c r="DY221" s="332">
        <v>5.0000000000000001E-4</v>
      </c>
      <c r="DZ221" s="332">
        <v>2.9999999999999997E-4</v>
      </c>
      <c r="EA221" s="332">
        <v>2.7500000000000002E-4</v>
      </c>
      <c r="EB221" s="332">
        <v>4.0000000000000002E-4</v>
      </c>
      <c r="ED221" s="332">
        <v>6.4999999999999994E-5</v>
      </c>
      <c r="EF221">
        <v>1</v>
      </c>
    </row>
    <row r="222" spans="1:136" x14ac:dyDescent="0.25">
      <c r="A222" s="66">
        <v>43132</v>
      </c>
      <c r="B222">
        <v>0.98</v>
      </c>
      <c r="C222">
        <v>0</v>
      </c>
      <c r="E222">
        <v>0</v>
      </c>
      <c r="F222">
        <v>0</v>
      </c>
      <c r="G222">
        <v>0</v>
      </c>
      <c r="H222">
        <v>0.98750000000000004</v>
      </c>
      <c r="I222">
        <v>0.98750000000000004</v>
      </c>
      <c r="J222">
        <v>0.98050000000000004</v>
      </c>
      <c r="K222">
        <v>0</v>
      </c>
      <c r="L222" s="333">
        <v>0.98750000000000004</v>
      </c>
      <c r="M222" s="333">
        <v>0.98750000000000004</v>
      </c>
      <c r="N222">
        <v>0.92108654999999995</v>
      </c>
      <c r="O222">
        <v>0.97161626300000004</v>
      </c>
      <c r="P222">
        <v>0.92108654999999995</v>
      </c>
      <c r="Q222" s="328">
        <v>0.98750000000000004</v>
      </c>
      <c r="R222">
        <v>0.98750000000000004</v>
      </c>
      <c r="S222" s="333">
        <v>0.98750000000000004</v>
      </c>
      <c r="T222">
        <v>0.92108654999999995</v>
      </c>
      <c r="U222">
        <v>0.92108654999999995</v>
      </c>
      <c r="V222">
        <v>0.92108654999999995</v>
      </c>
      <c r="W222">
        <v>0.92108654999999995</v>
      </c>
      <c r="X222">
        <v>0.97161626300000004</v>
      </c>
      <c r="Y222">
        <v>0.97161626300000004</v>
      </c>
      <c r="Z222">
        <v>0.97161626300000004</v>
      </c>
      <c r="AA222">
        <v>0.97161626300000004</v>
      </c>
      <c r="AB222">
        <v>0.92108654999999995</v>
      </c>
      <c r="AC222">
        <v>0.92108654999999995</v>
      </c>
      <c r="AD222">
        <v>0.97161626300000004</v>
      </c>
      <c r="AE222">
        <v>0.97161626300000004</v>
      </c>
      <c r="AF222">
        <v>0.92108654999999995</v>
      </c>
      <c r="AG222">
        <v>0.98</v>
      </c>
      <c r="AH222">
        <v>0.98365469999999999</v>
      </c>
      <c r="AI222">
        <v>0.98365469999999999</v>
      </c>
      <c r="AJ222">
        <v>0.92108654999999995</v>
      </c>
      <c r="AK222">
        <v>1</v>
      </c>
      <c r="AL222">
        <v>0</v>
      </c>
      <c r="AM222">
        <v>0</v>
      </c>
      <c r="BB222" s="446">
        <v>1</v>
      </c>
      <c r="BC222">
        <v>1</v>
      </c>
      <c r="BD222">
        <v>1</v>
      </c>
      <c r="BE222">
        <v>1</v>
      </c>
      <c r="BF222">
        <v>0.99990000000000001</v>
      </c>
      <c r="BG222">
        <v>1</v>
      </c>
      <c r="BH222">
        <v>1</v>
      </c>
      <c r="BI222">
        <v>0.99</v>
      </c>
      <c r="BJ222">
        <v>0.999</v>
      </c>
      <c r="BK222">
        <v>0.998</v>
      </c>
      <c r="BL222">
        <v>0.99850000000000005</v>
      </c>
      <c r="BM222">
        <v>0.99850000000000005</v>
      </c>
      <c r="BN222">
        <v>0.97199999999999998</v>
      </c>
      <c r="BO222">
        <v>0.99990000000000001</v>
      </c>
      <c r="BP222">
        <v>0.99990000000000001</v>
      </c>
      <c r="BQ222">
        <v>1</v>
      </c>
      <c r="BR222">
        <v>1.1257075999999999</v>
      </c>
      <c r="BS222">
        <v>1.1324000000000001</v>
      </c>
      <c r="BT222">
        <v>1.0827</v>
      </c>
      <c r="BU222">
        <v>1.0265</v>
      </c>
      <c r="BV222">
        <v>1</v>
      </c>
      <c r="BW222">
        <v>2.625</v>
      </c>
      <c r="BX222">
        <v>2.3336163330000002</v>
      </c>
      <c r="BY222">
        <v>1.17045</v>
      </c>
      <c r="BZ222">
        <v>1.2885</v>
      </c>
      <c r="CA222">
        <v>2.0009999999999999</v>
      </c>
      <c r="CB222">
        <v>1.573005</v>
      </c>
      <c r="CC222">
        <v>1.573005</v>
      </c>
      <c r="CD222">
        <v>1.2973049999999999</v>
      </c>
      <c r="CE222">
        <v>1.1072550000000001</v>
      </c>
      <c r="CF222">
        <v>1.4726049999999999</v>
      </c>
      <c r="CG222" s="332"/>
      <c r="CH222">
        <v>1.1052299999999999</v>
      </c>
      <c r="CI222" s="332"/>
      <c r="CJ222" s="332"/>
      <c r="CK222" s="332"/>
      <c r="CL222" s="332"/>
      <c r="CM222" s="332"/>
      <c r="CN222" s="332"/>
      <c r="CO222" s="332"/>
      <c r="CP222">
        <v>0.86499999999999999</v>
      </c>
      <c r="CV222">
        <v>0.45</v>
      </c>
      <c r="CW222">
        <v>0.84499999999999997</v>
      </c>
      <c r="CX222">
        <v>0.77500000000000002</v>
      </c>
      <c r="CZ222">
        <v>0.63500000000000001</v>
      </c>
      <c r="DA222">
        <v>0.66749999999999998</v>
      </c>
      <c r="DB222">
        <v>0.71</v>
      </c>
      <c r="DC222">
        <v>0.87749999999999995</v>
      </c>
      <c r="DD222">
        <v>0.67</v>
      </c>
      <c r="DE222">
        <v>0.89</v>
      </c>
      <c r="DN222" s="332">
        <v>2.8499999999999999E-4</v>
      </c>
      <c r="DO222" s="332">
        <v>2.0000000000000001E-4</v>
      </c>
      <c r="DP222" s="332">
        <v>0</v>
      </c>
      <c r="DQ222" s="332">
        <v>1E-4</v>
      </c>
      <c r="DR222" s="332">
        <v>0</v>
      </c>
      <c r="DS222" s="332">
        <v>3.5999999999999999E-3</v>
      </c>
      <c r="DT222" s="332">
        <v>4.6999999999999999E-4</v>
      </c>
      <c r="DU222" s="332">
        <v>6.9999999999999999E-4</v>
      </c>
      <c r="DV222" s="332">
        <v>0</v>
      </c>
      <c r="DW222" s="332">
        <v>0</v>
      </c>
      <c r="DX222" s="332">
        <v>5.0000000000000001E-4</v>
      </c>
      <c r="DY222" s="332">
        <v>5.0000000000000001E-4</v>
      </c>
      <c r="DZ222" s="332">
        <v>2.9999999999999997E-4</v>
      </c>
      <c r="EA222" s="332">
        <v>2.7500000000000002E-4</v>
      </c>
      <c r="EB222" s="332">
        <v>4.0000000000000002E-4</v>
      </c>
      <c r="ED222" s="332">
        <v>6.4999999999999994E-5</v>
      </c>
      <c r="EF222">
        <v>1</v>
      </c>
    </row>
    <row r="223" spans="1:136" x14ac:dyDescent="0.25">
      <c r="A223" s="66">
        <v>43160</v>
      </c>
      <c r="B223">
        <v>0.98</v>
      </c>
      <c r="C223">
        <v>0</v>
      </c>
      <c r="E223">
        <v>0</v>
      </c>
      <c r="F223">
        <v>0</v>
      </c>
      <c r="G223">
        <v>0</v>
      </c>
      <c r="H223">
        <v>0.98750000000000004</v>
      </c>
      <c r="I223">
        <v>0.98750000000000004</v>
      </c>
      <c r="J223">
        <v>0.98050000000000004</v>
      </c>
      <c r="K223">
        <v>0</v>
      </c>
      <c r="L223" s="333">
        <v>0.98750000000000004</v>
      </c>
      <c r="M223" s="333">
        <v>0.98750000000000004</v>
      </c>
      <c r="N223">
        <v>0.98</v>
      </c>
      <c r="O223">
        <v>0.98750000000000004</v>
      </c>
      <c r="P223">
        <v>0.98</v>
      </c>
      <c r="Q223" s="328">
        <v>0.98750000000000004</v>
      </c>
      <c r="R223">
        <v>0.98750000000000004</v>
      </c>
      <c r="S223" s="333">
        <v>0.98750000000000004</v>
      </c>
      <c r="T223">
        <v>0.98</v>
      </c>
      <c r="U223">
        <v>0.98</v>
      </c>
      <c r="V223">
        <v>0.98</v>
      </c>
      <c r="W223">
        <v>0.98</v>
      </c>
      <c r="X223">
        <v>0.98750000000000004</v>
      </c>
      <c r="Y223">
        <v>0.98750000000000004</v>
      </c>
      <c r="Z223">
        <v>0.98750000000000004</v>
      </c>
      <c r="AA223">
        <v>0.98750000000000004</v>
      </c>
      <c r="AB223">
        <v>0.98</v>
      </c>
      <c r="AC223">
        <v>0.98</v>
      </c>
      <c r="AD223">
        <v>0.98750000000000004</v>
      </c>
      <c r="AE223">
        <v>0.98750000000000004</v>
      </c>
      <c r="AF223">
        <v>0.98</v>
      </c>
      <c r="AG223">
        <v>0.99</v>
      </c>
      <c r="AH223">
        <v>0.98371255000000002</v>
      </c>
      <c r="AI223">
        <v>0.98371255000000002</v>
      </c>
      <c r="AJ223">
        <v>0.98</v>
      </c>
      <c r="AK223">
        <v>1</v>
      </c>
      <c r="AL223">
        <v>0</v>
      </c>
      <c r="AM223">
        <v>0</v>
      </c>
      <c r="BB223" s="446">
        <v>1</v>
      </c>
      <c r="BC223">
        <v>1</v>
      </c>
      <c r="BD223">
        <v>1</v>
      </c>
      <c r="BE223">
        <v>1</v>
      </c>
      <c r="BF223">
        <v>0.99990000000000001</v>
      </c>
      <c r="BG223">
        <v>1</v>
      </c>
      <c r="BH223">
        <v>1</v>
      </c>
      <c r="BI223">
        <v>0.99</v>
      </c>
      <c r="BJ223">
        <v>0.999</v>
      </c>
      <c r="BK223">
        <v>0.998</v>
      </c>
      <c r="BL223">
        <v>0.99850000000000005</v>
      </c>
      <c r="BM223">
        <v>0.99850000000000005</v>
      </c>
      <c r="BN223">
        <v>0.97199999999999998</v>
      </c>
      <c r="BO223">
        <v>0.99990000000000001</v>
      </c>
      <c r="BP223">
        <v>0.99990000000000001</v>
      </c>
      <c r="BQ223">
        <v>1</v>
      </c>
      <c r="BR223">
        <v>1.1259926</v>
      </c>
      <c r="BS223">
        <v>1.1326000000000001</v>
      </c>
      <c r="BT223">
        <v>1.0827</v>
      </c>
      <c r="BU223">
        <v>1.0266</v>
      </c>
      <c r="BV223">
        <v>1</v>
      </c>
      <c r="BW223">
        <v>2.6286</v>
      </c>
      <c r="BX223">
        <v>2.3340863330000001</v>
      </c>
      <c r="BY223">
        <v>1.1711499999999999</v>
      </c>
      <c r="BZ223">
        <v>1.2885</v>
      </c>
      <c r="CA223">
        <v>2.0009999999999999</v>
      </c>
      <c r="CB223">
        <v>1.5735049999999999</v>
      </c>
      <c r="CC223">
        <v>1.5735049999999999</v>
      </c>
      <c r="CD223">
        <v>1.2976049999999999</v>
      </c>
      <c r="CE223">
        <v>1.1075299999999999</v>
      </c>
      <c r="CF223">
        <v>1.4730049999999999</v>
      </c>
      <c r="CG223" s="332"/>
      <c r="CH223">
        <v>1.1052949999999999</v>
      </c>
      <c r="CI223" s="332"/>
      <c r="CJ223" s="332"/>
      <c r="CK223" s="332"/>
      <c r="CL223" s="332"/>
      <c r="CM223" s="332"/>
      <c r="CN223" s="332"/>
      <c r="CO223" s="332"/>
      <c r="CP223">
        <v>0.86499999999999999</v>
      </c>
      <c r="CV223">
        <v>0.45</v>
      </c>
      <c r="CW223">
        <v>0.875</v>
      </c>
      <c r="CX223">
        <v>0.94499999999999995</v>
      </c>
      <c r="CZ223">
        <v>0.78500000000000003</v>
      </c>
      <c r="DA223">
        <v>0.8175</v>
      </c>
      <c r="DB223">
        <v>0.8</v>
      </c>
      <c r="DC223">
        <v>0.9</v>
      </c>
      <c r="DD223">
        <v>0.83</v>
      </c>
      <c r="DE223">
        <v>0.89</v>
      </c>
      <c r="DN223" s="332">
        <v>2.8499999999999999E-4</v>
      </c>
      <c r="DO223" s="332">
        <v>2.0000000000000001E-4</v>
      </c>
      <c r="DP223" s="332">
        <v>0</v>
      </c>
      <c r="DQ223" s="332">
        <v>1E-4</v>
      </c>
      <c r="DR223" s="332">
        <v>0</v>
      </c>
      <c r="DS223" s="332">
        <v>3.5999999999999999E-3</v>
      </c>
      <c r="DT223" s="332">
        <v>4.6999999999999999E-4</v>
      </c>
      <c r="DU223" s="332">
        <v>6.9999999999999999E-4</v>
      </c>
      <c r="DV223" s="332">
        <v>0</v>
      </c>
      <c r="DW223" s="332">
        <v>0</v>
      </c>
      <c r="DX223" s="332">
        <v>5.0000000000000001E-4</v>
      </c>
      <c r="DY223" s="332">
        <v>5.0000000000000001E-4</v>
      </c>
      <c r="DZ223" s="332">
        <v>2.9999999999999997E-4</v>
      </c>
      <c r="EA223" s="332">
        <v>2.7500000000000002E-4</v>
      </c>
      <c r="EB223" s="332">
        <v>4.0000000000000002E-4</v>
      </c>
      <c r="ED223" s="332">
        <v>6.4999999999999994E-5</v>
      </c>
      <c r="EF223">
        <v>1</v>
      </c>
    </row>
    <row r="224" spans="1:136" x14ac:dyDescent="0.25">
      <c r="A224" s="66">
        <v>43191</v>
      </c>
      <c r="B224">
        <v>0.98</v>
      </c>
      <c r="C224">
        <v>0</v>
      </c>
      <c r="E224">
        <v>0</v>
      </c>
      <c r="F224">
        <v>0</v>
      </c>
      <c r="G224">
        <v>0</v>
      </c>
      <c r="H224">
        <v>0.98051365999999995</v>
      </c>
      <c r="I224">
        <v>0.98750000000000004</v>
      </c>
      <c r="J224">
        <v>0.98050000000000004</v>
      </c>
      <c r="K224">
        <v>0</v>
      </c>
      <c r="L224" s="333">
        <v>0.98750000000000004</v>
      </c>
      <c r="M224" s="333">
        <v>0.98750000000000004</v>
      </c>
      <c r="N224">
        <v>0.98</v>
      </c>
      <c r="O224">
        <v>0.98750000000000004</v>
      </c>
      <c r="P224">
        <v>0.98</v>
      </c>
      <c r="Q224" s="328">
        <v>0.98750000000000004</v>
      </c>
      <c r="R224">
        <v>0.98750000000000004</v>
      </c>
      <c r="S224" s="333">
        <v>0.98750000000000004</v>
      </c>
      <c r="T224">
        <v>0.98</v>
      </c>
      <c r="U224">
        <v>0.98</v>
      </c>
      <c r="V224">
        <v>0.98</v>
      </c>
      <c r="W224">
        <v>0.98</v>
      </c>
      <c r="X224">
        <v>0.98750000000000004</v>
      </c>
      <c r="Y224">
        <v>0.98750000000000004</v>
      </c>
      <c r="Z224">
        <v>0.98750000000000004</v>
      </c>
      <c r="AA224">
        <v>0.98750000000000004</v>
      </c>
      <c r="AB224">
        <v>0.98</v>
      </c>
      <c r="AC224">
        <v>0.98</v>
      </c>
      <c r="AD224">
        <v>0.98750000000000004</v>
      </c>
      <c r="AE224">
        <v>0.98750000000000004</v>
      </c>
      <c r="AF224">
        <v>0.98</v>
      </c>
      <c r="AG224">
        <v>0.99</v>
      </c>
      <c r="AH224">
        <v>0.98377040000000004</v>
      </c>
      <c r="AI224">
        <v>0.98377040000000004</v>
      </c>
      <c r="AJ224">
        <v>0.98</v>
      </c>
      <c r="AK224">
        <v>1</v>
      </c>
      <c r="AL224">
        <v>0</v>
      </c>
      <c r="AM224">
        <v>0</v>
      </c>
      <c r="BB224" s="446">
        <v>1</v>
      </c>
      <c r="BC224">
        <v>1</v>
      </c>
      <c r="BD224">
        <v>1</v>
      </c>
      <c r="BE224">
        <v>1</v>
      </c>
      <c r="BF224">
        <v>0.99990000000000001</v>
      </c>
      <c r="BG224">
        <v>1</v>
      </c>
      <c r="BH224">
        <v>1</v>
      </c>
      <c r="BI224">
        <v>0.99</v>
      </c>
      <c r="BJ224">
        <v>0.999</v>
      </c>
      <c r="BK224">
        <v>0.998</v>
      </c>
      <c r="BL224">
        <v>0.99850000000000005</v>
      </c>
      <c r="BM224">
        <v>0.99850000000000005</v>
      </c>
      <c r="BN224">
        <v>0.97199999999999998</v>
      </c>
      <c r="BO224">
        <v>0.99990000000000001</v>
      </c>
      <c r="BP224">
        <v>0.99990000000000001</v>
      </c>
      <c r="BQ224">
        <v>1</v>
      </c>
      <c r="BR224">
        <v>1.1262776000000001</v>
      </c>
      <c r="BS224">
        <v>1.1328</v>
      </c>
      <c r="BT224">
        <v>1.0827</v>
      </c>
      <c r="BU224">
        <v>1.0266999999999999</v>
      </c>
      <c r="BV224">
        <v>1</v>
      </c>
      <c r="BW224">
        <v>2.6322000000000001</v>
      </c>
      <c r="BX224">
        <v>2.3345563330000001</v>
      </c>
      <c r="BY224">
        <v>1.1718500000000001</v>
      </c>
      <c r="BZ224">
        <v>1.2885</v>
      </c>
      <c r="CA224">
        <v>2.0009999999999999</v>
      </c>
      <c r="CB224">
        <v>1.5740050000000001</v>
      </c>
      <c r="CC224">
        <v>1.5740050000000001</v>
      </c>
      <c r="CD224">
        <v>1.2979050000000001</v>
      </c>
      <c r="CE224">
        <v>1.1078049999999999</v>
      </c>
      <c r="CF224">
        <v>1.4734050000000001</v>
      </c>
      <c r="CG224" s="332"/>
      <c r="CH224">
        <v>1.1053599999999999</v>
      </c>
      <c r="CI224" s="332"/>
      <c r="CJ224" s="332"/>
      <c r="CK224" s="332"/>
      <c r="CL224" s="332"/>
      <c r="CM224" s="332"/>
      <c r="CN224" s="332"/>
      <c r="CO224" s="332"/>
      <c r="CP224">
        <v>0.89500000000000002</v>
      </c>
      <c r="CV224">
        <v>0.42</v>
      </c>
      <c r="CW224">
        <v>0.93500000000000005</v>
      </c>
      <c r="CX224">
        <v>0.93500000000000005</v>
      </c>
      <c r="CZ224">
        <v>0.89500000000000002</v>
      </c>
      <c r="DA224">
        <v>0.92749999999999999</v>
      </c>
      <c r="DB224">
        <v>0.85</v>
      </c>
      <c r="DC224">
        <v>0.90300000000000002</v>
      </c>
      <c r="DD224">
        <v>0.92</v>
      </c>
      <c r="DE224">
        <v>0.89</v>
      </c>
      <c r="DN224" s="332">
        <v>2.8499999999999999E-4</v>
      </c>
      <c r="DO224" s="332">
        <v>2.0000000000000001E-4</v>
      </c>
      <c r="DP224" s="332">
        <v>0</v>
      </c>
      <c r="DQ224" s="332">
        <v>1E-4</v>
      </c>
      <c r="DR224" s="332">
        <v>0</v>
      </c>
      <c r="DS224" s="332">
        <v>3.5999999999999999E-3</v>
      </c>
      <c r="DT224" s="332">
        <v>4.6999999999999999E-4</v>
      </c>
      <c r="DU224" s="332">
        <v>6.9999999999999999E-4</v>
      </c>
      <c r="DV224" s="332">
        <v>0</v>
      </c>
      <c r="DW224" s="332">
        <v>0</v>
      </c>
      <c r="DX224" s="332">
        <v>5.0000000000000001E-4</v>
      </c>
      <c r="DY224" s="332">
        <v>5.0000000000000001E-4</v>
      </c>
      <c r="DZ224" s="332">
        <v>2.9999999999999997E-4</v>
      </c>
      <c r="EA224" s="332">
        <v>2.7500000000000002E-4</v>
      </c>
      <c r="EB224" s="332">
        <v>4.0000000000000002E-4</v>
      </c>
      <c r="ED224" s="332">
        <v>6.4999999999999994E-5</v>
      </c>
      <c r="EF224">
        <v>1</v>
      </c>
    </row>
    <row r="225" spans="1:136" x14ac:dyDescent="0.25">
      <c r="A225" s="66">
        <v>43221</v>
      </c>
      <c r="B225">
        <v>0.98</v>
      </c>
      <c r="C225">
        <v>0</v>
      </c>
      <c r="E225">
        <v>0</v>
      </c>
      <c r="F225">
        <v>0</v>
      </c>
      <c r="G225">
        <v>0</v>
      </c>
      <c r="H225">
        <v>0.98071105999999997</v>
      </c>
      <c r="I225">
        <v>0.98750000000000004</v>
      </c>
      <c r="J225">
        <v>0.98050000000000004</v>
      </c>
      <c r="K225">
        <v>0</v>
      </c>
      <c r="L225" s="333">
        <v>0.98750000000000004</v>
      </c>
      <c r="M225" s="333">
        <v>0.98750000000000004</v>
      </c>
      <c r="N225">
        <v>0.98</v>
      </c>
      <c r="O225">
        <v>0.98750000000000004</v>
      </c>
      <c r="P225">
        <v>0.98</v>
      </c>
      <c r="Q225" s="328">
        <v>0.98750000000000004</v>
      </c>
      <c r="R225">
        <v>0.98750000000000004</v>
      </c>
      <c r="S225" s="333">
        <v>0.98750000000000004</v>
      </c>
      <c r="T225">
        <v>0.98</v>
      </c>
      <c r="U225">
        <v>0.98</v>
      </c>
      <c r="V225">
        <v>0.98</v>
      </c>
      <c r="W225">
        <v>0.98</v>
      </c>
      <c r="X225">
        <v>0.98750000000000004</v>
      </c>
      <c r="Y225">
        <v>0.98750000000000004</v>
      </c>
      <c r="Z225">
        <v>0.98750000000000004</v>
      </c>
      <c r="AA225">
        <v>0.98750000000000004</v>
      </c>
      <c r="AB225">
        <v>0.98</v>
      </c>
      <c r="AC225">
        <v>0.98</v>
      </c>
      <c r="AD225">
        <v>0.98750000000000004</v>
      </c>
      <c r="AE225">
        <v>0.98750000000000004</v>
      </c>
      <c r="AF225">
        <v>0.98</v>
      </c>
      <c r="AG225">
        <v>0.99</v>
      </c>
      <c r="AH225">
        <v>0.98382824999999996</v>
      </c>
      <c r="AI225">
        <v>0.98382824999999996</v>
      </c>
      <c r="AJ225">
        <v>0.98</v>
      </c>
      <c r="AK225">
        <v>1</v>
      </c>
      <c r="AL225">
        <v>0</v>
      </c>
      <c r="AM225">
        <v>0</v>
      </c>
      <c r="BB225" s="446">
        <v>1</v>
      </c>
      <c r="BC225">
        <v>1</v>
      </c>
      <c r="BD225">
        <v>1</v>
      </c>
      <c r="BE225">
        <v>1</v>
      </c>
      <c r="BF225">
        <v>0.99990000000000001</v>
      </c>
      <c r="BG225">
        <v>1</v>
      </c>
      <c r="BH225">
        <v>1</v>
      </c>
      <c r="BI225">
        <v>0.99</v>
      </c>
      <c r="BJ225">
        <v>0.999</v>
      </c>
      <c r="BK225">
        <v>0.998</v>
      </c>
      <c r="BL225">
        <v>0.99850000000000005</v>
      </c>
      <c r="BM225">
        <v>0.99850000000000005</v>
      </c>
      <c r="BN225">
        <v>0.97199999999999998</v>
      </c>
      <c r="BO225">
        <v>0.99990000000000001</v>
      </c>
      <c r="BP225">
        <v>0.99990000000000001</v>
      </c>
      <c r="BQ225">
        <v>1</v>
      </c>
      <c r="BR225">
        <v>1.1265626</v>
      </c>
      <c r="BS225">
        <v>1.133</v>
      </c>
      <c r="BT225">
        <v>1.0827</v>
      </c>
      <c r="BU225">
        <v>1.0267999999999999</v>
      </c>
      <c r="BV225">
        <v>1</v>
      </c>
      <c r="BW225">
        <v>2.6358000000000001</v>
      </c>
      <c r="BX225">
        <v>2.3350263330000001</v>
      </c>
      <c r="BY225">
        <v>1.17255</v>
      </c>
      <c r="BZ225">
        <v>1.2885</v>
      </c>
      <c r="CA225">
        <v>2.0009999999999999</v>
      </c>
      <c r="CB225">
        <v>1.574505</v>
      </c>
      <c r="CC225">
        <v>1.574505</v>
      </c>
      <c r="CD225">
        <v>1.2982050000000001</v>
      </c>
      <c r="CE225">
        <v>1.10808</v>
      </c>
      <c r="CF225">
        <v>1.473805</v>
      </c>
      <c r="CG225" s="332"/>
      <c r="CH225">
        <v>1.1054250000000001</v>
      </c>
      <c r="CI225" s="332"/>
      <c r="CJ225" s="332"/>
      <c r="CK225" s="332"/>
      <c r="CL225" s="332"/>
      <c r="CM225" s="332"/>
      <c r="CN225" s="332"/>
      <c r="CO225" s="332"/>
      <c r="CP225">
        <v>0.96499999999999997</v>
      </c>
      <c r="CV225">
        <v>0.42</v>
      </c>
      <c r="CW225">
        <v>0.93500000000000005</v>
      </c>
      <c r="CX225">
        <v>0.83499999999999996</v>
      </c>
      <c r="CZ225">
        <v>0.91749999999999998</v>
      </c>
      <c r="DA225">
        <v>0.95</v>
      </c>
      <c r="DB225">
        <v>0.88</v>
      </c>
      <c r="DC225">
        <v>0.9</v>
      </c>
      <c r="DD225">
        <v>0.93500000000000005</v>
      </c>
      <c r="DE225">
        <v>0.89</v>
      </c>
      <c r="DN225" s="332">
        <v>2.8499999999999999E-4</v>
      </c>
      <c r="DO225" s="332">
        <v>2.0000000000000001E-4</v>
      </c>
      <c r="DP225" s="332">
        <v>0</v>
      </c>
      <c r="DQ225" s="332">
        <v>1E-4</v>
      </c>
      <c r="DR225" s="332">
        <v>0</v>
      </c>
      <c r="DS225" s="332">
        <v>3.5999999999999999E-3</v>
      </c>
      <c r="DT225" s="332">
        <v>4.6999999999999999E-4</v>
      </c>
      <c r="DU225" s="332">
        <v>6.9999999999999999E-4</v>
      </c>
      <c r="DV225" s="332">
        <v>0</v>
      </c>
      <c r="DW225" s="332">
        <v>0</v>
      </c>
      <c r="DX225" s="332">
        <v>5.0000000000000001E-4</v>
      </c>
      <c r="DY225" s="332">
        <v>5.0000000000000001E-4</v>
      </c>
      <c r="DZ225" s="332">
        <v>2.9999999999999997E-4</v>
      </c>
      <c r="EA225" s="332">
        <v>2.7500000000000002E-4</v>
      </c>
      <c r="EB225" s="332">
        <v>4.0000000000000002E-4</v>
      </c>
      <c r="ED225" s="332">
        <v>6.4999999999999994E-5</v>
      </c>
      <c r="EF225">
        <v>1</v>
      </c>
    </row>
    <row r="226" spans="1:136" x14ac:dyDescent="0.25">
      <c r="A226" s="66">
        <v>43252</v>
      </c>
      <c r="B226">
        <v>0.98</v>
      </c>
      <c r="C226">
        <v>0</v>
      </c>
      <c r="E226">
        <v>0</v>
      </c>
      <c r="F226">
        <v>0</v>
      </c>
      <c r="G226">
        <v>0</v>
      </c>
      <c r="H226">
        <v>0.98750000000000004</v>
      </c>
      <c r="I226">
        <v>0.98750000000000004</v>
      </c>
      <c r="J226">
        <v>0.98050000000000004</v>
      </c>
      <c r="K226">
        <v>0</v>
      </c>
      <c r="L226" s="333">
        <v>0.98750000000000004</v>
      </c>
      <c r="M226" s="333">
        <v>0.98750000000000004</v>
      </c>
      <c r="N226">
        <v>0.98</v>
      </c>
      <c r="O226">
        <v>0.98750000000000004</v>
      </c>
      <c r="P226">
        <v>0.98</v>
      </c>
      <c r="Q226" s="328">
        <v>0.98750000000000004</v>
      </c>
      <c r="R226">
        <v>0.98750000000000004</v>
      </c>
      <c r="S226" s="333">
        <v>0.98750000000000004</v>
      </c>
      <c r="T226">
        <v>0.98</v>
      </c>
      <c r="U226">
        <v>0.98</v>
      </c>
      <c r="V226">
        <v>0.98</v>
      </c>
      <c r="W226">
        <v>0.98</v>
      </c>
      <c r="X226">
        <v>0.98750000000000004</v>
      </c>
      <c r="Y226">
        <v>0.98750000000000004</v>
      </c>
      <c r="Z226">
        <v>0.98750000000000004</v>
      </c>
      <c r="AA226">
        <v>0.98750000000000004</v>
      </c>
      <c r="AB226">
        <v>0.98</v>
      </c>
      <c r="AC226">
        <v>0.98</v>
      </c>
      <c r="AD226">
        <v>0.98750000000000004</v>
      </c>
      <c r="AE226">
        <v>0.98750000000000004</v>
      </c>
      <c r="AF226">
        <v>0.98</v>
      </c>
      <c r="AG226">
        <v>0.99</v>
      </c>
      <c r="AH226">
        <v>0.98388609999999999</v>
      </c>
      <c r="AI226">
        <v>0.98388609999999999</v>
      </c>
      <c r="AJ226">
        <v>0.98</v>
      </c>
      <c r="AK226">
        <v>1</v>
      </c>
      <c r="AL226">
        <v>0</v>
      </c>
      <c r="AM226">
        <v>0</v>
      </c>
      <c r="BB226" s="446">
        <v>1</v>
      </c>
      <c r="BC226">
        <v>1</v>
      </c>
      <c r="BD226">
        <v>1</v>
      </c>
      <c r="BE226">
        <v>1</v>
      </c>
      <c r="BF226">
        <v>0.99990000000000001</v>
      </c>
      <c r="BG226">
        <v>1</v>
      </c>
      <c r="BH226">
        <v>1</v>
      </c>
      <c r="BI226">
        <v>0.99</v>
      </c>
      <c r="BJ226">
        <v>0.999</v>
      </c>
      <c r="BK226">
        <v>0.998</v>
      </c>
      <c r="BL226">
        <v>0.99850000000000005</v>
      </c>
      <c r="BM226">
        <v>0.99850000000000005</v>
      </c>
      <c r="BN226">
        <v>0.97199999999999998</v>
      </c>
      <c r="BO226">
        <v>0.99990000000000001</v>
      </c>
      <c r="BP226">
        <v>0.99990000000000001</v>
      </c>
      <c r="BQ226">
        <v>1</v>
      </c>
      <c r="BR226">
        <v>1.1268476000000001</v>
      </c>
      <c r="BS226">
        <v>1.1332</v>
      </c>
      <c r="BT226">
        <v>1.0827</v>
      </c>
      <c r="BU226">
        <v>1.0268999999999999</v>
      </c>
      <c r="BV226">
        <v>1</v>
      </c>
      <c r="BW226">
        <v>2.6394000000000002</v>
      </c>
      <c r="BX226">
        <v>2.335496333</v>
      </c>
      <c r="BY226">
        <v>1.1732499999999999</v>
      </c>
      <c r="BZ226">
        <v>1.2885</v>
      </c>
      <c r="CA226">
        <v>2.0009999999999999</v>
      </c>
      <c r="CB226">
        <v>1.575005</v>
      </c>
      <c r="CC226">
        <v>1.575005</v>
      </c>
      <c r="CD226">
        <v>1.298505</v>
      </c>
      <c r="CE226">
        <v>1.108355</v>
      </c>
      <c r="CF226">
        <v>1.474205</v>
      </c>
      <c r="CG226" s="332"/>
      <c r="CH226">
        <v>1.1054900000000001</v>
      </c>
      <c r="CI226" s="332"/>
      <c r="CJ226" s="332"/>
      <c r="CK226" s="332"/>
      <c r="CL226" s="332"/>
      <c r="CM226" s="332"/>
      <c r="CN226" s="332"/>
      <c r="CO226" s="332"/>
      <c r="CP226">
        <v>0.96499999999999997</v>
      </c>
      <c r="CV226">
        <v>0.47</v>
      </c>
      <c r="CW226">
        <v>0.93500000000000005</v>
      </c>
      <c r="CX226">
        <v>0.745</v>
      </c>
      <c r="CZ226">
        <v>0.88249999999999995</v>
      </c>
      <c r="DA226">
        <v>0.91500000000000004</v>
      </c>
      <c r="DB226">
        <v>0.88</v>
      </c>
      <c r="DC226">
        <v>0.90249999999999997</v>
      </c>
      <c r="DD226">
        <v>0.91500000000000004</v>
      </c>
      <c r="DE226">
        <v>0.89</v>
      </c>
      <c r="DN226" s="332">
        <v>2.8499999999999999E-4</v>
      </c>
      <c r="DO226" s="332">
        <v>2.0000000000000001E-4</v>
      </c>
      <c r="DP226" s="332">
        <v>0</v>
      </c>
      <c r="DQ226" s="332">
        <v>1E-4</v>
      </c>
      <c r="DR226" s="332">
        <v>0</v>
      </c>
      <c r="DS226" s="332">
        <v>3.5999999999999999E-3</v>
      </c>
      <c r="DT226" s="332">
        <v>4.6999999999999999E-4</v>
      </c>
      <c r="DU226" s="332">
        <v>6.9999999999999999E-4</v>
      </c>
      <c r="DV226" s="332">
        <v>0</v>
      </c>
      <c r="DW226" s="332">
        <v>0</v>
      </c>
      <c r="DX226" s="332">
        <v>5.0000000000000001E-4</v>
      </c>
      <c r="DY226" s="332">
        <v>5.0000000000000001E-4</v>
      </c>
      <c r="DZ226" s="332">
        <v>2.9999999999999997E-4</v>
      </c>
      <c r="EA226" s="332">
        <v>2.7500000000000002E-4</v>
      </c>
      <c r="EB226" s="332">
        <v>4.0000000000000002E-4</v>
      </c>
      <c r="ED226" s="332">
        <v>6.4999999999999994E-5</v>
      </c>
      <c r="EF226">
        <v>1</v>
      </c>
    </row>
    <row r="227" spans="1:136" x14ac:dyDescent="0.25">
      <c r="A227" s="66">
        <v>43282</v>
      </c>
      <c r="B227">
        <v>0.98</v>
      </c>
      <c r="C227">
        <v>0</v>
      </c>
      <c r="E227">
        <v>0</v>
      </c>
      <c r="F227">
        <v>0</v>
      </c>
      <c r="G227">
        <v>0</v>
      </c>
      <c r="H227">
        <v>0.98750000000000004</v>
      </c>
      <c r="I227">
        <v>0.98750000000000004</v>
      </c>
      <c r="J227">
        <v>0.98050000000000004</v>
      </c>
      <c r="K227">
        <v>0</v>
      </c>
      <c r="L227" s="333">
        <v>0.98750000000000004</v>
      </c>
      <c r="M227" s="333">
        <v>0.98750000000000004</v>
      </c>
      <c r="N227">
        <v>0.98</v>
      </c>
      <c r="O227">
        <v>0.98750000000000004</v>
      </c>
      <c r="P227">
        <v>0.98</v>
      </c>
      <c r="Q227" s="328">
        <v>0.98750000000000004</v>
      </c>
      <c r="R227">
        <v>0.98750000000000004</v>
      </c>
      <c r="S227" s="333">
        <v>0.98750000000000004</v>
      </c>
      <c r="T227">
        <v>0.98</v>
      </c>
      <c r="U227">
        <v>0.98</v>
      </c>
      <c r="V227">
        <v>0.98</v>
      </c>
      <c r="W227">
        <v>0.98</v>
      </c>
      <c r="X227">
        <v>0.98750000000000004</v>
      </c>
      <c r="Y227">
        <v>0.98750000000000004</v>
      </c>
      <c r="Z227">
        <v>0.98750000000000004</v>
      </c>
      <c r="AA227">
        <v>0.98750000000000004</v>
      </c>
      <c r="AB227">
        <v>0.98</v>
      </c>
      <c r="AC227">
        <v>0.98</v>
      </c>
      <c r="AD227">
        <v>0.98750000000000004</v>
      </c>
      <c r="AE227">
        <v>0.98750000000000004</v>
      </c>
      <c r="AF227">
        <v>0.98</v>
      </c>
      <c r="AG227">
        <v>0.99</v>
      </c>
      <c r="AH227">
        <v>0.98394395000000001</v>
      </c>
      <c r="AI227">
        <v>0.98394395000000001</v>
      </c>
      <c r="AJ227">
        <v>0.98</v>
      </c>
      <c r="AK227">
        <v>1</v>
      </c>
      <c r="AL227">
        <v>0</v>
      </c>
      <c r="AM227">
        <v>0</v>
      </c>
      <c r="BB227" s="446">
        <v>1</v>
      </c>
      <c r="BC227">
        <v>1</v>
      </c>
      <c r="BD227">
        <v>1</v>
      </c>
      <c r="BE227">
        <v>1</v>
      </c>
      <c r="BF227">
        <v>0.99990000000000001</v>
      </c>
      <c r="BG227">
        <v>1</v>
      </c>
      <c r="BH227">
        <v>1</v>
      </c>
      <c r="BI227">
        <v>0.99</v>
      </c>
      <c r="BJ227">
        <v>0.999</v>
      </c>
      <c r="BK227">
        <v>0.998</v>
      </c>
      <c r="BL227">
        <v>0.99850000000000005</v>
      </c>
      <c r="BM227">
        <v>0.99850000000000005</v>
      </c>
      <c r="BN227">
        <v>0.97199999999999998</v>
      </c>
      <c r="BO227">
        <v>0.99990000000000001</v>
      </c>
      <c r="BP227">
        <v>0.99990000000000001</v>
      </c>
      <c r="BQ227">
        <v>1</v>
      </c>
      <c r="BR227">
        <v>1.1271325999999999</v>
      </c>
      <c r="BS227">
        <v>1.1334</v>
      </c>
      <c r="BT227">
        <v>1.0827</v>
      </c>
      <c r="BU227">
        <v>1.0269999999999999</v>
      </c>
      <c r="BV227">
        <v>1</v>
      </c>
      <c r="BW227">
        <v>2.6429999999999998</v>
      </c>
      <c r="BX227">
        <v>2.335966333</v>
      </c>
      <c r="BY227">
        <v>1.17395</v>
      </c>
      <c r="BZ227">
        <v>1.2885</v>
      </c>
      <c r="CA227">
        <v>2.0009999999999999</v>
      </c>
      <c r="CB227">
        <v>1.5755049999999999</v>
      </c>
      <c r="CC227">
        <v>1.5755049999999999</v>
      </c>
      <c r="CD227">
        <v>1.298805</v>
      </c>
      <c r="CE227">
        <v>1.10863</v>
      </c>
      <c r="CF227">
        <v>1.4746049999999999</v>
      </c>
      <c r="CG227" s="332"/>
      <c r="CH227">
        <v>1.1055550000000001</v>
      </c>
      <c r="CI227" s="332"/>
      <c r="CJ227" s="332"/>
      <c r="CK227" s="332"/>
      <c r="CL227" s="332"/>
      <c r="CM227" s="332"/>
      <c r="CN227" s="332"/>
      <c r="CO227" s="332"/>
      <c r="CP227">
        <v>0.97499999999999998</v>
      </c>
      <c r="CV227">
        <v>0.47</v>
      </c>
      <c r="CW227">
        <v>0.93500000000000005</v>
      </c>
      <c r="CX227">
        <v>0.76500000000000001</v>
      </c>
      <c r="CZ227">
        <v>0.87749999999999995</v>
      </c>
      <c r="DA227">
        <v>0.91</v>
      </c>
      <c r="DB227">
        <v>0.89</v>
      </c>
      <c r="DC227">
        <v>0.90749999999999997</v>
      </c>
      <c r="DD227">
        <v>0.91500000000000004</v>
      </c>
      <c r="DE227">
        <v>0.89</v>
      </c>
      <c r="DN227" s="332">
        <v>2.8499999999999999E-4</v>
      </c>
      <c r="DO227" s="332">
        <v>2.0000000000000001E-4</v>
      </c>
      <c r="DP227" s="332">
        <v>0</v>
      </c>
      <c r="DQ227" s="332">
        <v>1E-4</v>
      </c>
      <c r="DR227" s="332">
        <v>0</v>
      </c>
      <c r="DS227" s="332">
        <v>3.5999999999999999E-3</v>
      </c>
      <c r="DT227" s="332">
        <v>4.6999999999999999E-4</v>
      </c>
      <c r="DU227" s="332">
        <v>6.9999999999999999E-4</v>
      </c>
      <c r="DV227" s="332">
        <v>0</v>
      </c>
      <c r="DW227" s="332">
        <v>0</v>
      </c>
      <c r="DX227" s="332">
        <v>5.0000000000000001E-4</v>
      </c>
      <c r="DY227" s="332">
        <v>5.0000000000000001E-4</v>
      </c>
      <c r="DZ227" s="332">
        <v>2.9999999999999997E-4</v>
      </c>
      <c r="EA227" s="332">
        <v>2.7500000000000002E-4</v>
      </c>
      <c r="EB227" s="332">
        <v>4.0000000000000002E-4</v>
      </c>
      <c r="ED227" s="332">
        <v>6.4999999999999994E-5</v>
      </c>
      <c r="EF227">
        <v>1</v>
      </c>
    </row>
    <row r="228" spans="1:136" x14ac:dyDescent="0.25">
      <c r="A228" s="66">
        <v>43313</v>
      </c>
      <c r="B228">
        <v>0.98</v>
      </c>
      <c r="C228">
        <v>0</v>
      </c>
      <c r="E228">
        <v>0</v>
      </c>
      <c r="F228">
        <v>0</v>
      </c>
      <c r="G228">
        <v>0</v>
      </c>
      <c r="H228">
        <v>0.98750000000000004</v>
      </c>
      <c r="I228">
        <v>0.98750000000000004</v>
      </c>
      <c r="J228">
        <v>0.98050000000000004</v>
      </c>
      <c r="K228">
        <v>0</v>
      </c>
      <c r="L228" s="333">
        <v>0.98750000000000004</v>
      </c>
      <c r="M228" s="333">
        <v>0.98750000000000004</v>
      </c>
      <c r="N228">
        <v>0.98</v>
      </c>
      <c r="O228">
        <v>0.98750000000000004</v>
      </c>
      <c r="P228">
        <v>0.98</v>
      </c>
      <c r="Q228" s="328">
        <v>0.98750000000000004</v>
      </c>
      <c r="R228">
        <v>0.98750000000000004</v>
      </c>
      <c r="S228" s="333">
        <v>0.98750000000000004</v>
      </c>
      <c r="T228">
        <v>0.98</v>
      </c>
      <c r="U228">
        <v>0.98</v>
      </c>
      <c r="V228">
        <v>0.98</v>
      </c>
      <c r="W228">
        <v>0.98</v>
      </c>
      <c r="X228">
        <v>0.98750000000000004</v>
      </c>
      <c r="Y228">
        <v>0.98750000000000004</v>
      </c>
      <c r="Z228">
        <v>0.98750000000000004</v>
      </c>
      <c r="AA228">
        <v>0.98750000000000004</v>
      </c>
      <c r="AB228">
        <v>0.98</v>
      </c>
      <c r="AC228">
        <v>0.98</v>
      </c>
      <c r="AD228">
        <v>0.98750000000000004</v>
      </c>
      <c r="AE228">
        <v>0.98750000000000004</v>
      </c>
      <c r="AF228">
        <v>0.98</v>
      </c>
      <c r="AG228">
        <v>0.99</v>
      </c>
      <c r="AH228">
        <v>0.98400180000000004</v>
      </c>
      <c r="AI228">
        <v>0.98400180000000004</v>
      </c>
      <c r="AJ228">
        <v>0.98</v>
      </c>
      <c r="AK228">
        <v>1</v>
      </c>
      <c r="AL228">
        <v>0</v>
      </c>
      <c r="AM228">
        <v>0</v>
      </c>
      <c r="BB228" s="446">
        <v>1</v>
      </c>
      <c r="BC228">
        <v>1</v>
      </c>
      <c r="BD228">
        <v>1</v>
      </c>
      <c r="BE228">
        <v>1</v>
      </c>
      <c r="BF228">
        <v>0.99990000000000001</v>
      </c>
      <c r="BG228">
        <v>1</v>
      </c>
      <c r="BH228">
        <v>1</v>
      </c>
      <c r="BI228">
        <v>0.99</v>
      </c>
      <c r="BJ228">
        <v>0.999</v>
      </c>
      <c r="BK228">
        <v>0.998</v>
      </c>
      <c r="BL228">
        <v>0.99850000000000005</v>
      </c>
      <c r="BM228">
        <v>0.99850000000000005</v>
      </c>
      <c r="BN228">
        <v>0.97199999999999998</v>
      </c>
      <c r="BO228">
        <v>0.99990000000000001</v>
      </c>
      <c r="BP228">
        <v>0.99990000000000001</v>
      </c>
      <c r="BQ228">
        <v>1</v>
      </c>
      <c r="BR228">
        <v>1.1274176</v>
      </c>
      <c r="BS228">
        <v>1.1335999999999999</v>
      </c>
      <c r="BT228">
        <v>1.0827</v>
      </c>
      <c r="BU228">
        <v>1.0270999999999999</v>
      </c>
      <c r="BV228">
        <v>1</v>
      </c>
      <c r="BW228">
        <v>2.6465999999999998</v>
      </c>
      <c r="BX228">
        <v>2.336436333</v>
      </c>
      <c r="BY228">
        <v>1.17465</v>
      </c>
      <c r="BZ228">
        <v>1.2885</v>
      </c>
      <c r="CA228">
        <v>2.0009999999999999</v>
      </c>
      <c r="CB228">
        <v>1.5760050000000001</v>
      </c>
      <c r="CC228">
        <v>1.5760050000000001</v>
      </c>
      <c r="CD228">
        <v>1.299105</v>
      </c>
      <c r="CE228">
        <v>1.108905</v>
      </c>
      <c r="CF228">
        <v>1.4750049999999999</v>
      </c>
      <c r="CG228" s="332"/>
      <c r="CH228">
        <v>1.10562</v>
      </c>
      <c r="CI228" s="332"/>
      <c r="CJ228" s="332"/>
      <c r="CK228" s="332"/>
      <c r="CL228" s="332"/>
      <c r="CM228" s="332"/>
      <c r="CN228" s="332"/>
      <c r="CO228" s="332"/>
      <c r="CP228">
        <v>0.97499999999999998</v>
      </c>
      <c r="CV228">
        <v>0.52</v>
      </c>
      <c r="CW228">
        <v>0.92500000000000004</v>
      </c>
      <c r="CX228">
        <v>0.85499999999999998</v>
      </c>
      <c r="CZ228">
        <v>0.89</v>
      </c>
      <c r="DA228">
        <v>0.92249999999999999</v>
      </c>
      <c r="DB228">
        <v>0.91500000000000004</v>
      </c>
      <c r="DC228">
        <v>0.92749999999999999</v>
      </c>
      <c r="DD228">
        <v>0.91500000000000004</v>
      </c>
      <c r="DE228">
        <v>0.89</v>
      </c>
      <c r="DN228" s="332">
        <v>2.8499999999999999E-4</v>
      </c>
      <c r="DO228" s="332">
        <v>2.0000000000000001E-4</v>
      </c>
      <c r="DP228" s="332">
        <v>0</v>
      </c>
      <c r="DQ228" s="332">
        <v>1E-4</v>
      </c>
      <c r="DR228" s="332">
        <v>0</v>
      </c>
      <c r="DS228" s="332">
        <v>3.5999999999999999E-3</v>
      </c>
      <c r="DT228" s="332">
        <v>4.6999999999999999E-4</v>
      </c>
      <c r="DU228" s="332">
        <v>6.9999999999999999E-4</v>
      </c>
      <c r="DV228" s="332">
        <v>0</v>
      </c>
      <c r="DW228" s="332">
        <v>0</v>
      </c>
      <c r="DX228" s="332">
        <v>5.0000000000000001E-4</v>
      </c>
      <c r="DY228" s="332">
        <v>5.0000000000000001E-4</v>
      </c>
      <c r="DZ228" s="332">
        <v>2.9999999999999997E-4</v>
      </c>
      <c r="EA228" s="332">
        <v>2.7500000000000002E-4</v>
      </c>
      <c r="EB228" s="332">
        <v>4.0000000000000002E-4</v>
      </c>
      <c r="ED228" s="332">
        <v>6.4999999999999994E-5</v>
      </c>
      <c r="EF228">
        <v>1</v>
      </c>
    </row>
    <row r="229" spans="1:136" x14ac:dyDescent="0.25">
      <c r="A229" s="66">
        <v>43344</v>
      </c>
      <c r="B229">
        <v>0.98</v>
      </c>
      <c r="C229">
        <v>0</v>
      </c>
      <c r="E229">
        <v>0</v>
      </c>
      <c r="F229">
        <v>0</v>
      </c>
      <c r="G229">
        <v>0</v>
      </c>
      <c r="H229">
        <v>0.98750000000000004</v>
      </c>
      <c r="I229">
        <v>0.98750000000000004</v>
      </c>
      <c r="J229">
        <v>0.98050000000000004</v>
      </c>
      <c r="K229">
        <v>0</v>
      </c>
      <c r="L229" s="333">
        <v>0.98750000000000004</v>
      </c>
      <c r="M229" s="333">
        <v>0.98750000000000004</v>
      </c>
      <c r="N229">
        <v>0.98</v>
      </c>
      <c r="O229">
        <v>0.98750000000000004</v>
      </c>
      <c r="P229">
        <v>0.98</v>
      </c>
      <c r="Q229" s="328">
        <v>0.98750000000000004</v>
      </c>
      <c r="R229">
        <v>0.98750000000000004</v>
      </c>
      <c r="S229" s="333">
        <v>0.98750000000000004</v>
      </c>
      <c r="T229">
        <v>0.98</v>
      </c>
      <c r="U229">
        <v>0.98</v>
      </c>
      <c r="V229">
        <v>0.98</v>
      </c>
      <c r="W229">
        <v>0.98</v>
      </c>
      <c r="X229">
        <v>0.98750000000000004</v>
      </c>
      <c r="Y229">
        <v>0.98750000000000004</v>
      </c>
      <c r="Z229">
        <v>0.98750000000000004</v>
      </c>
      <c r="AA229">
        <v>0.98750000000000004</v>
      </c>
      <c r="AB229">
        <v>0.98</v>
      </c>
      <c r="AC229">
        <v>0.98</v>
      </c>
      <c r="AD229">
        <v>0.98750000000000004</v>
      </c>
      <c r="AE229">
        <v>0.98750000000000004</v>
      </c>
      <c r="AF229">
        <v>0.98</v>
      </c>
      <c r="AG229">
        <v>0.99</v>
      </c>
      <c r="AH229">
        <v>0.98405964999999995</v>
      </c>
      <c r="AI229">
        <v>0.98405964999999995</v>
      </c>
      <c r="AJ229">
        <v>0.98</v>
      </c>
      <c r="AK229">
        <v>1</v>
      </c>
      <c r="AL229">
        <v>0</v>
      </c>
      <c r="AM229">
        <v>0</v>
      </c>
      <c r="BB229" s="446">
        <v>1</v>
      </c>
      <c r="BC229">
        <v>1</v>
      </c>
      <c r="BD229">
        <v>1</v>
      </c>
      <c r="BE229">
        <v>1</v>
      </c>
      <c r="BF229">
        <v>0.99990000000000001</v>
      </c>
      <c r="BG229">
        <v>1</v>
      </c>
      <c r="BH229">
        <v>1</v>
      </c>
      <c r="BI229">
        <v>0.99</v>
      </c>
      <c r="BJ229">
        <v>0.999</v>
      </c>
      <c r="BK229">
        <v>0.998</v>
      </c>
      <c r="BL229">
        <v>0.99850000000000005</v>
      </c>
      <c r="BM229">
        <v>0.99850000000000005</v>
      </c>
      <c r="BN229">
        <v>0.97199999999999998</v>
      </c>
      <c r="BO229">
        <v>0.99990000000000001</v>
      </c>
      <c r="BP229">
        <v>0.99990000000000001</v>
      </c>
      <c r="BQ229">
        <v>1</v>
      </c>
      <c r="BR229">
        <v>1.1277026000000001</v>
      </c>
      <c r="BS229">
        <v>1.1337999999999999</v>
      </c>
      <c r="BT229">
        <v>1.0827</v>
      </c>
      <c r="BU229">
        <v>1.0271999999999999</v>
      </c>
      <c r="BV229">
        <v>1</v>
      </c>
      <c r="BW229">
        <v>2.6501999999999999</v>
      </c>
      <c r="BX229">
        <v>2.3369063329999999</v>
      </c>
      <c r="BY229">
        <v>1.1753499999999999</v>
      </c>
      <c r="BZ229">
        <v>1.2885</v>
      </c>
      <c r="CA229">
        <v>2.0009999999999999</v>
      </c>
      <c r="CB229">
        <v>1.576505</v>
      </c>
      <c r="CC229">
        <v>1.576505</v>
      </c>
      <c r="CD229">
        <v>1.2994049999999999</v>
      </c>
      <c r="CE229">
        <v>1.1091800000000001</v>
      </c>
      <c r="CF229">
        <v>1.4754050000000001</v>
      </c>
      <c r="CG229" s="332"/>
      <c r="CH229">
        <v>1.105685</v>
      </c>
      <c r="CI229" s="332"/>
      <c r="CJ229" s="332"/>
      <c r="CK229" s="332"/>
      <c r="CL229" s="332"/>
      <c r="CM229" s="332"/>
      <c r="CN229" s="332"/>
      <c r="CO229" s="332"/>
      <c r="CP229">
        <v>0.97499999999999998</v>
      </c>
      <c r="CV229">
        <v>0.55000000000000004</v>
      </c>
      <c r="CW229">
        <v>0.92500000000000004</v>
      </c>
      <c r="CX229">
        <v>0.71499999999999997</v>
      </c>
      <c r="CZ229">
        <v>0.94499999999999995</v>
      </c>
      <c r="DA229">
        <v>0.97750000000000004</v>
      </c>
      <c r="DB229">
        <v>0.94499999999999995</v>
      </c>
      <c r="DC229">
        <v>0.92</v>
      </c>
      <c r="DD229">
        <v>0.91500000000000004</v>
      </c>
      <c r="DE229">
        <v>0.89</v>
      </c>
      <c r="DN229" s="332">
        <v>2.8499999999999999E-4</v>
      </c>
      <c r="DO229" s="332">
        <v>2.0000000000000001E-4</v>
      </c>
      <c r="DP229" s="332">
        <v>0</v>
      </c>
      <c r="DQ229" s="332">
        <v>1E-4</v>
      </c>
      <c r="DR229" s="332">
        <v>0</v>
      </c>
      <c r="DS229" s="332">
        <v>3.5999999999999999E-3</v>
      </c>
      <c r="DT229" s="332">
        <v>4.6999999999999999E-4</v>
      </c>
      <c r="DU229" s="332">
        <v>6.9999999999999999E-4</v>
      </c>
      <c r="DV229" s="332">
        <v>0</v>
      </c>
      <c r="DW229" s="332">
        <v>0</v>
      </c>
      <c r="DX229" s="332">
        <v>5.0000000000000001E-4</v>
      </c>
      <c r="DY229" s="332">
        <v>5.0000000000000001E-4</v>
      </c>
      <c r="DZ229" s="332">
        <v>2.9999999999999997E-4</v>
      </c>
      <c r="EA229" s="332">
        <v>2.7500000000000002E-4</v>
      </c>
      <c r="EB229" s="332">
        <v>4.0000000000000002E-4</v>
      </c>
      <c r="ED229" s="332">
        <v>6.4999999999999994E-5</v>
      </c>
      <c r="EF229">
        <v>1</v>
      </c>
    </row>
    <row r="230" spans="1:136" x14ac:dyDescent="0.25">
      <c r="A230" s="66">
        <v>43374</v>
      </c>
      <c r="B230">
        <v>0.98</v>
      </c>
      <c r="C230">
        <v>0</v>
      </c>
      <c r="E230">
        <v>0</v>
      </c>
      <c r="F230">
        <v>0</v>
      </c>
      <c r="G230">
        <v>0</v>
      </c>
      <c r="H230">
        <v>0.98750000000000004</v>
      </c>
      <c r="I230">
        <v>0.98750000000000004</v>
      </c>
      <c r="J230">
        <v>0.98050000000000004</v>
      </c>
      <c r="K230">
        <v>0</v>
      </c>
      <c r="L230" s="333">
        <v>0.98750000000000004</v>
      </c>
      <c r="M230" s="333">
        <v>0.98750000000000004</v>
      </c>
      <c r="N230">
        <v>0.98</v>
      </c>
      <c r="O230">
        <v>0.98750000000000004</v>
      </c>
      <c r="P230">
        <v>0.98</v>
      </c>
      <c r="Q230" s="328">
        <v>0.98750000000000004</v>
      </c>
      <c r="R230">
        <v>0.98750000000000004</v>
      </c>
      <c r="S230" s="333">
        <v>0.98750000000000004</v>
      </c>
      <c r="T230">
        <v>0.98</v>
      </c>
      <c r="U230">
        <v>0.98</v>
      </c>
      <c r="V230">
        <v>0.98</v>
      </c>
      <c r="W230">
        <v>0.98</v>
      </c>
      <c r="X230">
        <v>0.98750000000000004</v>
      </c>
      <c r="Y230">
        <v>0.98750000000000004</v>
      </c>
      <c r="Z230">
        <v>0.98750000000000004</v>
      </c>
      <c r="AA230">
        <v>0.98750000000000004</v>
      </c>
      <c r="AB230">
        <v>0.98</v>
      </c>
      <c r="AC230">
        <v>0.98</v>
      </c>
      <c r="AD230">
        <v>0.98750000000000004</v>
      </c>
      <c r="AE230">
        <v>0.98750000000000004</v>
      </c>
      <c r="AF230">
        <v>0.98</v>
      </c>
      <c r="AG230">
        <v>0.99</v>
      </c>
      <c r="AH230">
        <v>0.98411749999999998</v>
      </c>
      <c r="AI230">
        <v>0.98411749999999998</v>
      </c>
      <c r="AJ230">
        <v>0.98</v>
      </c>
      <c r="AK230">
        <v>1</v>
      </c>
      <c r="AL230">
        <v>0</v>
      </c>
      <c r="AM230">
        <v>0</v>
      </c>
      <c r="BB230" s="446">
        <v>1</v>
      </c>
      <c r="BC230">
        <v>1</v>
      </c>
      <c r="BD230">
        <v>1</v>
      </c>
      <c r="BE230">
        <v>1</v>
      </c>
      <c r="BF230">
        <v>0.99990000000000001</v>
      </c>
      <c r="BG230">
        <v>1</v>
      </c>
      <c r="BH230">
        <v>1</v>
      </c>
      <c r="BI230">
        <v>0.99</v>
      </c>
      <c r="BJ230">
        <v>0.999</v>
      </c>
      <c r="BK230">
        <v>0.998</v>
      </c>
      <c r="BL230">
        <v>0.99850000000000005</v>
      </c>
      <c r="BM230">
        <v>0.99850000000000005</v>
      </c>
      <c r="BN230">
        <v>0.97199999999999998</v>
      </c>
      <c r="BO230">
        <v>0.99990000000000001</v>
      </c>
      <c r="BP230">
        <v>0.99990000000000001</v>
      </c>
      <c r="BQ230">
        <v>1</v>
      </c>
      <c r="BR230">
        <v>1.1279876</v>
      </c>
      <c r="BS230">
        <v>1.1339999999999999</v>
      </c>
      <c r="BT230">
        <v>1.0827</v>
      </c>
      <c r="BU230">
        <v>1.0273000000000001</v>
      </c>
      <c r="BV230">
        <v>1</v>
      </c>
      <c r="BW230">
        <v>2.6537999999999999</v>
      </c>
      <c r="BX230">
        <v>2.3373763329999999</v>
      </c>
      <c r="BY230">
        <v>1.17605</v>
      </c>
      <c r="BZ230">
        <v>1.2885</v>
      </c>
      <c r="CA230">
        <v>2.0009999999999999</v>
      </c>
      <c r="CB230">
        <v>1.577005</v>
      </c>
      <c r="CC230">
        <v>1.577005</v>
      </c>
      <c r="CD230">
        <v>1.2997050000000001</v>
      </c>
      <c r="CE230">
        <v>1.1094550000000001</v>
      </c>
      <c r="CF230">
        <v>1.475805</v>
      </c>
      <c r="CG230" s="332"/>
      <c r="CH230">
        <v>1.10575</v>
      </c>
      <c r="CI230" s="332"/>
      <c r="CJ230" s="332"/>
      <c r="CK230" s="332"/>
      <c r="CL230" s="332"/>
      <c r="CM230" s="332"/>
      <c r="CN230" s="332"/>
      <c r="CO230" s="332"/>
      <c r="CP230">
        <v>0.95499999999999996</v>
      </c>
      <c r="CV230">
        <v>0.45</v>
      </c>
      <c r="CW230">
        <v>0.92500000000000004</v>
      </c>
      <c r="CX230">
        <v>0.70499999999999996</v>
      </c>
      <c r="CZ230">
        <v>0.80500000000000005</v>
      </c>
      <c r="DA230">
        <v>0.83750000000000002</v>
      </c>
      <c r="DB230">
        <v>0.875</v>
      </c>
      <c r="DC230">
        <v>0.90249999999999997</v>
      </c>
      <c r="DD230">
        <v>0.82</v>
      </c>
      <c r="DE230">
        <v>0.89</v>
      </c>
      <c r="DN230" s="332">
        <v>2.8499999999999999E-4</v>
      </c>
      <c r="DO230" s="332">
        <v>2.0000000000000001E-4</v>
      </c>
      <c r="DP230" s="332">
        <v>0</v>
      </c>
      <c r="DQ230" s="332">
        <v>1E-4</v>
      </c>
      <c r="DR230" s="332">
        <v>0</v>
      </c>
      <c r="DS230" s="332">
        <v>3.5999999999999999E-3</v>
      </c>
      <c r="DT230" s="332">
        <v>4.6999999999999999E-4</v>
      </c>
      <c r="DU230" s="332">
        <v>6.9999999999999999E-4</v>
      </c>
      <c r="DV230" s="332">
        <v>0</v>
      </c>
      <c r="DW230" s="332">
        <v>0</v>
      </c>
      <c r="DX230" s="332">
        <v>5.0000000000000001E-4</v>
      </c>
      <c r="DY230" s="332">
        <v>5.0000000000000001E-4</v>
      </c>
      <c r="DZ230" s="332">
        <v>2.9999999999999997E-4</v>
      </c>
      <c r="EA230" s="332">
        <v>2.7500000000000002E-4</v>
      </c>
      <c r="EB230" s="332">
        <v>4.0000000000000002E-4</v>
      </c>
      <c r="ED230" s="332">
        <v>6.4999999999999994E-5</v>
      </c>
      <c r="EF230">
        <v>1</v>
      </c>
    </row>
    <row r="231" spans="1:136" x14ac:dyDescent="0.25">
      <c r="A231" s="66">
        <v>43405</v>
      </c>
      <c r="B231">
        <v>0.98</v>
      </c>
      <c r="C231">
        <v>0</v>
      </c>
      <c r="E231">
        <v>0</v>
      </c>
      <c r="F231">
        <v>0</v>
      </c>
      <c r="G231">
        <v>0</v>
      </c>
      <c r="H231">
        <v>0.98750000000000004</v>
      </c>
      <c r="I231">
        <v>0.98750000000000004</v>
      </c>
      <c r="J231">
        <v>0.98050000000000004</v>
      </c>
      <c r="K231">
        <v>0</v>
      </c>
      <c r="L231" s="333">
        <v>0.98750000000000004</v>
      </c>
      <c r="M231" s="333">
        <v>0.98750000000000004</v>
      </c>
      <c r="N231">
        <v>0.98</v>
      </c>
      <c r="O231">
        <v>0.98750000000000004</v>
      </c>
      <c r="P231">
        <v>0.98</v>
      </c>
      <c r="Q231" s="328">
        <v>0.98750000000000004</v>
      </c>
      <c r="R231">
        <v>0.98750000000000004</v>
      </c>
      <c r="S231" s="333">
        <v>0.98750000000000004</v>
      </c>
      <c r="T231">
        <v>0.98</v>
      </c>
      <c r="U231">
        <v>0.98</v>
      </c>
      <c r="V231">
        <v>0.98</v>
      </c>
      <c r="W231">
        <v>0.98</v>
      </c>
      <c r="X231">
        <v>0.98750000000000004</v>
      </c>
      <c r="Y231">
        <v>0.98750000000000004</v>
      </c>
      <c r="Z231">
        <v>0.98750000000000004</v>
      </c>
      <c r="AA231">
        <v>0.98750000000000004</v>
      </c>
      <c r="AB231">
        <v>0.98</v>
      </c>
      <c r="AC231">
        <v>0.98</v>
      </c>
      <c r="AD231">
        <v>0.98750000000000004</v>
      </c>
      <c r="AE231">
        <v>0.98750000000000004</v>
      </c>
      <c r="AF231">
        <v>0.98</v>
      </c>
      <c r="AG231">
        <v>0.99</v>
      </c>
      <c r="AH231">
        <v>0.98417535</v>
      </c>
      <c r="AI231">
        <v>0.98417535</v>
      </c>
      <c r="AJ231">
        <v>0.98</v>
      </c>
      <c r="AK231">
        <v>1</v>
      </c>
      <c r="AL231">
        <v>0</v>
      </c>
      <c r="AM231">
        <v>0</v>
      </c>
      <c r="BB231" s="446">
        <v>1</v>
      </c>
      <c r="BC231">
        <v>1</v>
      </c>
      <c r="BD231">
        <v>1</v>
      </c>
      <c r="BE231">
        <v>1</v>
      </c>
      <c r="BF231">
        <v>0.99990000000000001</v>
      </c>
      <c r="BG231">
        <v>1</v>
      </c>
      <c r="BH231">
        <v>1</v>
      </c>
      <c r="BI231">
        <v>0.99</v>
      </c>
      <c r="BJ231">
        <v>0.999</v>
      </c>
      <c r="BK231">
        <v>0.998</v>
      </c>
      <c r="BL231">
        <v>0.99850000000000005</v>
      </c>
      <c r="BM231">
        <v>0.99850000000000005</v>
      </c>
      <c r="BN231">
        <v>0.97199999999999998</v>
      </c>
      <c r="BO231">
        <v>0.99990000000000001</v>
      </c>
      <c r="BP231">
        <v>0.99990000000000001</v>
      </c>
      <c r="BQ231">
        <v>1</v>
      </c>
      <c r="BR231">
        <v>1.1282726000000001</v>
      </c>
      <c r="BS231">
        <v>1.1342000000000001</v>
      </c>
      <c r="BT231">
        <v>1.0827</v>
      </c>
      <c r="BU231">
        <v>1.0274000000000001</v>
      </c>
      <c r="BV231">
        <v>1</v>
      </c>
      <c r="BW231">
        <v>2.6574</v>
      </c>
      <c r="BX231">
        <v>2.3378463329999999</v>
      </c>
      <c r="BY231">
        <v>1.17675</v>
      </c>
      <c r="BZ231">
        <v>1.2885</v>
      </c>
      <c r="CA231">
        <v>2.0009999999999999</v>
      </c>
      <c r="CB231">
        <v>1.5775049999999999</v>
      </c>
      <c r="CC231">
        <v>1.5775049999999999</v>
      </c>
      <c r="CD231">
        <v>1.3000050000000001</v>
      </c>
      <c r="CE231">
        <v>1.1097300000000001</v>
      </c>
      <c r="CF231">
        <v>1.476205</v>
      </c>
      <c r="CG231" s="332"/>
      <c r="CH231">
        <v>1.105815</v>
      </c>
      <c r="CI231" s="332"/>
      <c r="CJ231" s="332"/>
      <c r="CK231" s="332"/>
      <c r="CL231" s="332"/>
      <c r="CM231" s="332"/>
      <c r="CN231" s="332"/>
      <c r="CO231" s="332"/>
      <c r="CP231">
        <v>0.95499999999999996</v>
      </c>
      <c r="CV231">
        <v>0.46</v>
      </c>
      <c r="CW231">
        <v>0.90500000000000003</v>
      </c>
      <c r="CX231">
        <v>0.66500000000000004</v>
      </c>
      <c r="CZ231">
        <v>0.79500000000000004</v>
      </c>
      <c r="DA231">
        <v>0.82750000000000001</v>
      </c>
      <c r="DB231">
        <v>0.85</v>
      </c>
      <c r="DC231">
        <v>0.90249999999999997</v>
      </c>
      <c r="DD231">
        <v>0.82</v>
      </c>
      <c r="DE231">
        <v>0.89</v>
      </c>
      <c r="DN231" s="332">
        <v>2.8499999999999999E-4</v>
      </c>
      <c r="DO231" s="332">
        <v>2.0000000000000001E-4</v>
      </c>
      <c r="DP231" s="332">
        <v>0</v>
      </c>
      <c r="DQ231" s="332">
        <v>1E-4</v>
      </c>
      <c r="DR231" s="332">
        <v>0</v>
      </c>
      <c r="DS231" s="332">
        <v>3.5999999999999999E-3</v>
      </c>
      <c r="DT231" s="332">
        <v>4.6999999999999999E-4</v>
      </c>
      <c r="DU231" s="332">
        <v>6.9999999999999999E-4</v>
      </c>
      <c r="DV231" s="332">
        <v>0</v>
      </c>
      <c r="DW231" s="332">
        <v>0</v>
      </c>
      <c r="DX231" s="332">
        <v>5.0000000000000001E-4</v>
      </c>
      <c r="DY231" s="332">
        <v>5.0000000000000001E-4</v>
      </c>
      <c r="DZ231" s="332">
        <v>2.9999999999999997E-4</v>
      </c>
      <c r="EA231" s="332">
        <v>2.7500000000000002E-4</v>
      </c>
      <c r="EB231" s="332">
        <v>4.0000000000000002E-4</v>
      </c>
      <c r="ED231" s="332">
        <v>6.4999999999999994E-5</v>
      </c>
      <c r="EF231">
        <v>1</v>
      </c>
    </row>
    <row r="232" spans="1:136" x14ac:dyDescent="0.25">
      <c r="A232" s="66">
        <v>43435</v>
      </c>
      <c r="B232">
        <v>0.98</v>
      </c>
      <c r="C232">
        <v>0</v>
      </c>
      <c r="E232">
        <v>0</v>
      </c>
      <c r="F232">
        <v>0</v>
      </c>
      <c r="G232">
        <v>0</v>
      </c>
      <c r="H232">
        <v>0.98750000000000004</v>
      </c>
      <c r="I232">
        <v>0.98750000000000004</v>
      </c>
      <c r="J232">
        <v>0.98050000000000004</v>
      </c>
      <c r="K232">
        <v>0</v>
      </c>
      <c r="L232" s="333">
        <v>0.93102295000000002</v>
      </c>
      <c r="M232" s="333">
        <v>0.98230811200000001</v>
      </c>
      <c r="N232">
        <v>0.89721044999999999</v>
      </c>
      <c r="O232">
        <v>0.98750000000000004</v>
      </c>
      <c r="P232">
        <v>0.89721044999999999</v>
      </c>
      <c r="Q232" s="328">
        <v>0.93102295000000002</v>
      </c>
      <c r="R232">
        <v>0.93102295000000002</v>
      </c>
      <c r="S232" s="333">
        <v>0.93102295000000002</v>
      </c>
      <c r="T232">
        <v>0.89721044999999999</v>
      </c>
      <c r="U232">
        <v>0.89721044999999999</v>
      </c>
      <c r="V232">
        <v>0.89721044999999999</v>
      </c>
      <c r="W232">
        <v>0.89721044999999999</v>
      </c>
      <c r="X232">
        <v>0.98750000000000004</v>
      </c>
      <c r="Y232">
        <v>0.98750000000000004</v>
      </c>
      <c r="Z232">
        <v>0.98750000000000004</v>
      </c>
      <c r="AA232">
        <v>0.98750000000000004</v>
      </c>
      <c r="AB232">
        <v>0.89721044999999999</v>
      </c>
      <c r="AC232">
        <v>0.89721044999999999</v>
      </c>
      <c r="AD232">
        <v>0.98750000000000004</v>
      </c>
      <c r="AE232">
        <v>0.98750000000000004</v>
      </c>
      <c r="AF232">
        <v>0.89721044999999999</v>
      </c>
      <c r="AG232">
        <v>0.98</v>
      </c>
      <c r="AH232">
        <v>0.98423320000000003</v>
      </c>
      <c r="AI232">
        <v>0.98423320000000003</v>
      </c>
      <c r="AJ232">
        <v>0.89721044999999999</v>
      </c>
      <c r="AK232">
        <v>1</v>
      </c>
      <c r="AL232">
        <v>0</v>
      </c>
      <c r="AM232">
        <v>0</v>
      </c>
      <c r="BB232" s="446">
        <v>1</v>
      </c>
      <c r="BC232">
        <v>1</v>
      </c>
      <c r="BD232">
        <v>1</v>
      </c>
      <c r="BE232">
        <v>1</v>
      </c>
      <c r="BF232">
        <v>0.99990000000000001</v>
      </c>
      <c r="BG232">
        <v>1</v>
      </c>
      <c r="BH232">
        <v>1</v>
      </c>
      <c r="BI232">
        <v>0.99</v>
      </c>
      <c r="BJ232">
        <v>0.999</v>
      </c>
      <c r="BK232">
        <v>0.998</v>
      </c>
      <c r="BL232">
        <v>0.99850000000000005</v>
      </c>
      <c r="BM232">
        <v>0.99850000000000005</v>
      </c>
      <c r="BN232">
        <v>0.97199999999999998</v>
      </c>
      <c r="BO232">
        <v>0.99990000000000001</v>
      </c>
      <c r="BP232">
        <v>0.99990000000000001</v>
      </c>
      <c r="BQ232">
        <v>1</v>
      </c>
      <c r="BR232">
        <v>1.1285575999999999</v>
      </c>
      <c r="BS232">
        <v>1.1344000000000001</v>
      </c>
      <c r="BT232">
        <v>1.0827</v>
      </c>
      <c r="BU232">
        <v>1.0275000000000001</v>
      </c>
      <c r="BV232">
        <v>1</v>
      </c>
      <c r="BW232">
        <v>2.661</v>
      </c>
      <c r="BX232">
        <v>2.3383163329999999</v>
      </c>
      <c r="BY232">
        <v>1.1774500000000001</v>
      </c>
      <c r="BZ232">
        <v>1.2885</v>
      </c>
      <c r="CA232">
        <v>2.0009999999999999</v>
      </c>
      <c r="CB232">
        <v>1.5780050000000001</v>
      </c>
      <c r="CC232">
        <v>1.5780050000000001</v>
      </c>
      <c r="CD232">
        <v>1.300305</v>
      </c>
      <c r="CE232">
        <v>1.1100049999999999</v>
      </c>
      <c r="CF232">
        <v>1.4766049999999999</v>
      </c>
      <c r="CG232" s="332"/>
      <c r="CH232">
        <v>1.10588</v>
      </c>
      <c r="CI232" s="332"/>
      <c r="CJ232" s="332"/>
      <c r="CK232" s="332"/>
      <c r="CL232" s="332"/>
      <c r="CM232" s="332"/>
      <c r="CN232" s="332"/>
      <c r="CO232" s="332"/>
      <c r="CP232">
        <v>0.93500000000000005</v>
      </c>
      <c r="CV232">
        <v>0.48</v>
      </c>
      <c r="CW232">
        <v>0.875</v>
      </c>
      <c r="CX232">
        <v>0.67</v>
      </c>
      <c r="CZ232">
        <v>0.59</v>
      </c>
      <c r="DA232">
        <v>0.62250000000000005</v>
      </c>
      <c r="DB232">
        <v>0.69</v>
      </c>
      <c r="DC232">
        <v>0.89249999999999996</v>
      </c>
      <c r="DD232">
        <v>0.71499999999999997</v>
      </c>
      <c r="DE232">
        <v>0.89</v>
      </c>
      <c r="DN232" s="332">
        <v>2.8499999999999999E-4</v>
      </c>
      <c r="DO232" s="332">
        <v>2.0000000000000001E-4</v>
      </c>
      <c r="DP232" s="332">
        <v>0</v>
      </c>
      <c r="DQ232" s="332">
        <v>1E-4</v>
      </c>
      <c r="DR232" s="332">
        <v>0</v>
      </c>
      <c r="DS232" s="332">
        <v>3.5999999999999999E-3</v>
      </c>
      <c r="DT232" s="332">
        <v>4.6999999999999999E-4</v>
      </c>
      <c r="DU232" s="332">
        <v>6.9999999999999999E-4</v>
      </c>
      <c r="DV232" s="332">
        <v>0</v>
      </c>
      <c r="DW232" s="332">
        <v>0</v>
      </c>
      <c r="DX232" s="332">
        <v>5.0000000000000001E-4</v>
      </c>
      <c r="DY232" s="332">
        <v>5.0000000000000001E-4</v>
      </c>
      <c r="DZ232" s="332">
        <v>2.9999999999999997E-4</v>
      </c>
      <c r="EA232" s="332">
        <v>2.7500000000000002E-4</v>
      </c>
      <c r="EB232" s="332">
        <v>4.0000000000000002E-4</v>
      </c>
      <c r="ED232" s="332">
        <v>6.4999999999999994E-5</v>
      </c>
      <c r="EF232">
        <v>1</v>
      </c>
    </row>
    <row r="233" spans="1:136" x14ac:dyDescent="0.25">
      <c r="A233" s="66">
        <v>43466</v>
      </c>
      <c r="B233">
        <v>0.98</v>
      </c>
      <c r="C233">
        <v>0</v>
      </c>
      <c r="E233">
        <v>0</v>
      </c>
      <c r="F233">
        <v>0</v>
      </c>
      <c r="G233">
        <v>0</v>
      </c>
      <c r="H233">
        <v>0.98750000000000004</v>
      </c>
      <c r="I233">
        <v>0.94841074999999997</v>
      </c>
      <c r="J233">
        <v>0.98050000000000004</v>
      </c>
      <c r="K233">
        <v>0</v>
      </c>
      <c r="L233" s="333">
        <v>0.95499552499999996</v>
      </c>
      <c r="M233" s="333">
        <v>0.98750000000000004</v>
      </c>
      <c r="N233">
        <v>0.89741744999999995</v>
      </c>
      <c r="O233">
        <v>0.97704639999999998</v>
      </c>
      <c r="P233">
        <v>0.89741744999999995</v>
      </c>
      <c r="Q233" s="328">
        <v>0.95499552499999996</v>
      </c>
      <c r="R233">
        <v>0.95499552499999996</v>
      </c>
      <c r="S233" s="333">
        <v>0.95499552499999996</v>
      </c>
      <c r="T233">
        <v>0.89741744999999995</v>
      </c>
      <c r="U233">
        <v>0.89741744999999995</v>
      </c>
      <c r="V233">
        <v>0.89741744999999995</v>
      </c>
      <c r="W233">
        <v>0.89741744999999995</v>
      </c>
      <c r="X233">
        <v>0.97704639999999998</v>
      </c>
      <c r="Y233">
        <v>0.97704639999999998</v>
      </c>
      <c r="Z233">
        <v>0.97704639999999998</v>
      </c>
      <c r="AA233">
        <v>0.97704639999999998</v>
      </c>
      <c r="AB233">
        <v>0.89741744999999995</v>
      </c>
      <c r="AC233">
        <v>0.89741744999999995</v>
      </c>
      <c r="AD233">
        <v>0.97704639999999998</v>
      </c>
      <c r="AE233">
        <v>0.97704639999999998</v>
      </c>
      <c r="AF233">
        <v>0.89741744999999995</v>
      </c>
      <c r="AG233">
        <v>0.98</v>
      </c>
      <c r="AH233">
        <v>0.98429104999999995</v>
      </c>
      <c r="AI233">
        <v>0.98429104999999995</v>
      </c>
      <c r="AJ233">
        <v>0.89741744999999995</v>
      </c>
      <c r="AK233">
        <v>1</v>
      </c>
      <c r="AL233">
        <v>0</v>
      </c>
      <c r="AM233">
        <v>0</v>
      </c>
      <c r="BB233" s="446">
        <v>1</v>
      </c>
      <c r="BC233">
        <v>1</v>
      </c>
      <c r="BD233">
        <v>1</v>
      </c>
      <c r="BE233">
        <v>1</v>
      </c>
      <c r="BF233">
        <v>0.99990000000000001</v>
      </c>
      <c r="BG233">
        <v>1</v>
      </c>
      <c r="BH233">
        <v>1</v>
      </c>
      <c r="BI233">
        <v>0.99</v>
      </c>
      <c r="BJ233">
        <v>0.999</v>
      </c>
      <c r="BK233">
        <v>0.998</v>
      </c>
      <c r="BL233">
        <v>0.99850000000000005</v>
      </c>
      <c r="BM233">
        <v>0.99850000000000005</v>
      </c>
      <c r="BN233">
        <v>0.97199999999999998</v>
      </c>
      <c r="BO233">
        <v>0.99990000000000001</v>
      </c>
      <c r="BP233">
        <v>0.99990000000000001</v>
      </c>
      <c r="BQ233">
        <v>1</v>
      </c>
      <c r="BR233">
        <v>1.1288426</v>
      </c>
      <c r="BS233">
        <v>1.1346000000000001</v>
      </c>
      <c r="BT233">
        <v>1.0827</v>
      </c>
      <c r="BU233">
        <v>1.0276000000000001</v>
      </c>
      <c r="BV233">
        <v>1</v>
      </c>
      <c r="BW233">
        <v>2.6646000000000001</v>
      </c>
      <c r="BX233">
        <v>2.3387863329999998</v>
      </c>
      <c r="BY233">
        <v>1.17815</v>
      </c>
      <c r="BZ233">
        <v>1.2885</v>
      </c>
      <c r="CA233">
        <v>2.0009999999999999</v>
      </c>
      <c r="CB233">
        <v>1.578505</v>
      </c>
      <c r="CC233">
        <v>1.578505</v>
      </c>
      <c r="CD233">
        <v>1.300605</v>
      </c>
      <c r="CE233">
        <v>1.1102799999999999</v>
      </c>
      <c r="CF233">
        <v>1.4770049999999999</v>
      </c>
      <c r="CG233" s="332"/>
      <c r="CH233">
        <v>1.105945</v>
      </c>
      <c r="CI233" s="332"/>
      <c r="CJ233" s="332"/>
      <c r="CK233" s="332"/>
      <c r="CL233" s="332"/>
      <c r="CM233" s="332"/>
      <c r="CN233" s="332"/>
      <c r="CO233" s="332"/>
      <c r="CP233">
        <v>0.89500000000000002</v>
      </c>
      <c r="CV233">
        <v>0.45</v>
      </c>
      <c r="CW233">
        <v>0.80500000000000005</v>
      </c>
      <c r="CX233">
        <v>0.68</v>
      </c>
      <c r="CZ233">
        <v>0.60499999999999998</v>
      </c>
      <c r="DA233">
        <v>0.63749999999999996</v>
      </c>
      <c r="DB233">
        <v>0.69</v>
      </c>
      <c r="DC233">
        <v>0.88</v>
      </c>
      <c r="DD233">
        <v>0.64</v>
      </c>
      <c r="DE233">
        <v>0.89</v>
      </c>
      <c r="DN233" s="332">
        <v>2.8499999999999999E-4</v>
      </c>
      <c r="DO233" s="332">
        <v>2.0000000000000001E-4</v>
      </c>
      <c r="DP233" s="332">
        <v>0</v>
      </c>
      <c r="DQ233" s="332">
        <v>1E-4</v>
      </c>
      <c r="DR233" s="332">
        <v>0</v>
      </c>
      <c r="DS233" s="332">
        <v>3.5999999999999999E-3</v>
      </c>
      <c r="DT233" s="332">
        <v>4.6999999999999999E-4</v>
      </c>
      <c r="DU233" s="332">
        <v>6.9999999999999999E-4</v>
      </c>
      <c r="DV233" s="332">
        <v>0</v>
      </c>
      <c r="DW233" s="332">
        <v>0</v>
      </c>
      <c r="DX233" s="332">
        <v>5.0000000000000001E-4</v>
      </c>
      <c r="DY233" s="332">
        <v>5.0000000000000001E-4</v>
      </c>
      <c r="DZ233" s="332">
        <v>2.9999999999999997E-4</v>
      </c>
      <c r="EA233" s="332">
        <v>2.7500000000000002E-4</v>
      </c>
      <c r="EB233" s="332">
        <v>4.0000000000000002E-4</v>
      </c>
      <c r="ED233" s="332">
        <v>6.4999999999999994E-5</v>
      </c>
      <c r="EF233">
        <v>1</v>
      </c>
    </row>
    <row r="234" spans="1:136" x14ac:dyDescent="0.25">
      <c r="A234" s="66">
        <v>43497</v>
      </c>
      <c r="B234">
        <v>0.98</v>
      </c>
      <c r="C234">
        <v>0</v>
      </c>
      <c r="E234">
        <v>0</v>
      </c>
      <c r="F234">
        <v>0</v>
      </c>
      <c r="G234">
        <v>0</v>
      </c>
      <c r="H234">
        <v>0.98750000000000004</v>
      </c>
      <c r="I234">
        <v>0.98750000000000004</v>
      </c>
      <c r="J234">
        <v>0.98050000000000004</v>
      </c>
      <c r="K234">
        <v>0</v>
      </c>
      <c r="L234" s="333">
        <v>0.98750000000000004</v>
      </c>
      <c r="M234" s="333">
        <v>0.98750000000000004</v>
      </c>
      <c r="N234">
        <v>0.92364254999999995</v>
      </c>
      <c r="O234">
        <v>0.97451201300000001</v>
      </c>
      <c r="P234">
        <v>0.92364254999999995</v>
      </c>
      <c r="Q234" s="328">
        <v>0.98750000000000004</v>
      </c>
      <c r="R234">
        <v>0.98750000000000004</v>
      </c>
      <c r="S234" s="333">
        <v>0.98750000000000004</v>
      </c>
      <c r="T234">
        <v>0.92364254999999995</v>
      </c>
      <c r="U234">
        <v>0.92364254999999995</v>
      </c>
      <c r="V234">
        <v>0.92364254999999995</v>
      </c>
      <c r="W234">
        <v>0.92364254999999995</v>
      </c>
      <c r="X234">
        <v>0.97451201300000001</v>
      </c>
      <c r="Y234">
        <v>0.97451201300000001</v>
      </c>
      <c r="Z234">
        <v>0.97451201300000001</v>
      </c>
      <c r="AA234">
        <v>0.97451201300000001</v>
      </c>
      <c r="AB234">
        <v>0.92364254999999995</v>
      </c>
      <c r="AC234">
        <v>0.92364254999999995</v>
      </c>
      <c r="AD234">
        <v>0.97451201300000001</v>
      </c>
      <c r="AE234">
        <v>0.97451201300000001</v>
      </c>
      <c r="AF234">
        <v>0.92364254999999995</v>
      </c>
      <c r="AG234">
        <v>0.98</v>
      </c>
      <c r="AH234">
        <v>0.98434889999999997</v>
      </c>
      <c r="AI234">
        <v>0.98434889999999997</v>
      </c>
      <c r="AJ234">
        <v>0.92364254999999995</v>
      </c>
      <c r="AK234">
        <v>1</v>
      </c>
      <c r="AL234">
        <v>0</v>
      </c>
      <c r="AM234">
        <v>0</v>
      </c>
      <c r="BB234" s="446">
        <v>1</v>
      </c>
      <c r="BC234">
        <v>1</v>
      </c>
      <c r="BD234">
        <v>1</v>
      </c>
      <c r="BE234">
        <v>1</v>
      </c>
      <c r="BF234">
        <v>0.99990000000000001</v>
      </c>
      <c r="BG234">
        <v>1</v>
      </c>
      <c r="BH234">
        <v>1</v>
      </c>
      <c r="BI234">
        <v>0.99</v>
      </c>
      <c r="BJ234">
        <v>0.999</v>
      </c>
      <c r="BK234">
        <v>0.998</v>
      </c>
      <c r="BL234">
        <v>0.99850000000000005</v>
      </c>
      <c r="BM234">
        <v>0.99850000000000005</v>
      </c>
      <c r="BN234">
        <v>0.97199999999999998</v>
      </c>
      <c r="BO234">
        <v>0.99990000000000001</v>
      </c>
      <c r="BP234">
        <v>0.99990000000000001</v>
      </c>
      <c r="BQ234">
        <v>1</v>
      </c>
      <c r="BR234">
        <v>1.1291275999999999</v>
      </c>
      <c r="BS234">
        <v>1.1348</v>
      </c>
      <c r="BT234">
        <v>1.0827</v>
      </c>
      <c r="BU234">
        <v>1.0277000000000001</v>
      </c>
      <c r="BV234">
        <v>1</v>
      </c>
      <c r="BW234">
        <v>2.6682000000000001</v>
      </c>
      <c r="BX234">
        <v>2.3392563329999998</v>
      </c>
      <c r="BY234">
        <v>1.17885</v>
      </c>
      <c r="BZ234">
        <v>1.2885</v>
      </c>
      <c r="CA234">
        <v>2.0009999999999999</v>
      </c>
      <c r="CB234">
        <v>1.579005</v>
      </c>
      <c r="CC234">
        <v>1.579005</v>
      </c>
      <c r="CD234">
        <v>1.300905</v>
      </c>
      <c r="CE234">
        <v>1.110555</v>
      </c>
      <c r="CF234">
        <v>1.4774050000000001</v>
      </c>
      <c r="CG234" s="332"/>
      <c r="CH234">
        <v>1.1060099999999999</v>
      </c>
      <c r="CI234" s="332"/>
      <c r="CJ234" s="332"/>
      <c r="CK234" s="332"/>
      <c r="CL234" s="332"/>
      <c r="CM234" s="332"/>
      <c r="CN234" s="332"/>
      <c r="CO234" s="332"/>
      <c r="CP234">
        <v>0.86499999999999999</v>
      </c>
      <c r="CV234">
        <v>0.45</v>
      </c>
      <c r="CW234">
        <v>0.84499999999999997</v>
      </c>
      <c r="CX234">
        <v>0.78500000000000003</v>
      </c>
      <c r="CZ234">
        <v>0.63500000000000001</v>
      </c>
      <c r="DA234">
        <v>0.66749999999999998</v>
      </c>
      <c r="DB234">
        <v>0.71</v>
      </c>
      <c r="DC234">
        <v>0.87749999999999995</v>
      </c>
      <c r="DD234">
        <v>0.67</v>
      </c>
      <c r="DE234">
        <v>0.89</v>
      </c>
      <c r="DN234" s="332">
        <v>2.8499999999999999E-4</v>
      </c>
      <c r="DO234" s="332">
        <v>2.0000000000000001E-4</v>
      </c>
      <c r="DP234" s="332">
        <v>0</v>
      </c>
      <c r="DQ234" s="332">
        <v>1E-4</v>
      </c>
      <c r="DR234" s="332">
        <v>0</v>
      </c>
      <c r="DS234" s="332">
        <v>3.5999999999999999E-3</v>
      </c>
      <c r="DT234" s="332">
        <v>4.6999999999999999E-4</v>
      </c>
      <c r="DU234" s="332">
        <v>6.9999999999999999E-4</v>
      </c>
      <c r="DV234" s="332">
        <v>0</v>
      </c>
      <c r="DW234" s="332">
        <v>0</v>
      </c>
      <c r="DX234" s="332">
        <v>5.0000000000000001E-4</v>
      </c>
      <c r="DY234" s="332">
        <v>5.0000000000000001E-4</v>
      </c>
      <c r="DZ234" s="332">
        <v>2.9999999999999997E-4</v>
      </c>
      <c r="EA234" s="332">
        <v>2.7500000000000002E-4</v>
      </c>
      <c r="EB234" s="332">
        <v>4.0000000000000002E-4</v>
      </c>
      <c r="ED234" s="332">
        <v>6.4999999999999994E-5</v>
      </c>
      <c r="EF234">
        <v>1</v>
      </c>
    </row>
    <row r="235" spans="1:136" x14ac:dyDescent="0.25">
      <c r="A235" s="66">
        <v>43525</v>
      </c>
      <c r="B235">
        <v>0.98</v>
      </c>
      <c r="C235">
        <v>0</v>
      </c>
      <c r="E235">
        <v>0</v>
      </c>
      <c r="F235">
        <v>0</v>
      </c>
      <c r="G235">
        <v>0</v>
      </c>
      <c r="H235">
        <v>0.98750000000000004</v>
      </c>
      <c r="I235">
        <v>0.98750000000000004</v>
      </c>
      <c r="J235">
        <v>0.98050000000000004</v>
      </c>
      <c r="K235">
        <v>0</v>
      </c>
      <c r="L235" s="333">
        <v>0.98750000000000004</v>
      </c>
      <c r="M235" s="333">
        <v>0.98750000000000004</v>
      </c>
      <c r="N235">
        <v>0.98</v>
      </c>
      <c r="O235">
        <v>0.98750000000000004</v>
      </c>
      <c r="P235">
        <v>0.98</v>
      </c>
      <c r="Q235" s="328">
        <v>0.98750000000000004</v>
      </c>
      <c r="R235">
        <v>0.98750000000000004</v>
      </c>
      <c r="S235" s="333">
        <v>0.98750000000000004</v>
      </c>
      <c r="T235">
        <v>0.98</v>
      </c>
      <c r="U235">
        <v>0.98</v>
      </c>
      <c r="V235">
        <v>0.98</v>
      </c>
      <c r="W235">
        <v>0.98</v>
      </c>
      <c r="X235">
        <v>0.98750000000000004</v>
      </c>
      <c r="Y235">
        <v>0.98750000000000004</v>
      </c>
      <c r="Z235">
        <v>0.98750000000000004</v>
      </c>
      <c r="AA235">
        <v>0.98750000000000004</v>
      </c>
      <c r="AB235">
        <v>0.98</v>
      </c>
      <c r="AC235">
        <v>0.98</v>
      </c>
      <c r="AD235">
        <v>0.98750000000000004</v>
      </c>
      <c r="AE235">
        <v>0.98750000000000004</v>
      </c>
      <c r="AF235">
        <v>0.98</v>
      </c>
      <c r="AG235">
        <v>0.99</v>
      </c>
      <c r="AH235">
        <v>0.98440675</v>
      </c>
      <c r="AI235">
        <v>0.98440675</v>
      </c>
      <c r="AJ235">
        <v>0.98</v>
      </c>
      <c r="AK235">
        <v>1</v>
      </c>
      <c r="AL235">
        <v>0</v>
      </c>
      <c r="AM235">
        <v>0</v>
      </c>
      <c r="BB235" s="446">
        <v>1</v>
      </c>
      <c r="BC235">
        <v>1</v>
      </c>
      <c r="BD235">
        <v>1</v>
      </c>
      <c r="BE235">
        <v>1</v>
      </c>
      <c r="BF235">
        <v>0.99990000000000001</v>
      </c>
      <c r="BG235">
        <v>1</v>
      </c>
      <c r="BH235">
        <v>1</v>
      </c>
      <c r="BI235">
        <v>0.99</v>
      </c>
      <c r="BJ235">
        <v>0.999</v>
      </c>
      <c r="BK235">
        <v>0.998</v>
      </c>
      <c r="BL235">
        <v>0.99850000000000005</v>
      </c>
      <c r="BM235">
        <v>0.99850000000000005</v>
      </c>
      <c r="BN235">
        <v>0.97199999999999998</v>
      </c>
      <c r="BO235">
        <v>0.99990000000000001</v>
      </c>
      <c r="BP235">
        <v>0.99990000000000001</v>
      </c>
      <c r="BQ235">
        <v>1</v>
      </c>
      <c r="BR235">
        <v>1.1294126</v>
      </c>
      <c r="BS235">
        <v>1.135</v>
      </c>
      <c r="BT235">
        <v>1.0827</v>
      </c>
      <c r="BU235">
        <v>1.0278</v>
      </c>
      <c r="BV235">
        <v>1</v>
      </c>
      <c r="BW235">
        <v>2.6718000000000002</v>
      </c>
      <c r="BX235">
        <v>2.3397263330000002</v>
      </c>
      <c r="BY235">
        <v>1.1795500000000001</v>
      </c>
      <c r="BZ235">
        <v>1.2885</v>
      </c>
      <c r="CA235">
        <v>2.0009999999999999</v>
      </c>
      <c r="CB235">
        <v>1.5795049999999999</v>
      </c>
      <c r="CC235">
        <v>1.5795049999999999</v>
      </c>
      <c r="CD235">
        <v>1.3012049999999999</v>
      </c>
      <c r="CE235">
        <v>1.11083</v>
      </c>
      <c r="CF235">
        <v>1.477805</v>
      </c>
      <c r="CG235" s="332"/>
      <c r="CH235">
        <v>1.1060749999999999</v>
      </c>
      <c r="CI235" s="332"/>
      <c r="CJ235" s="332"/>
      <c r="CK235" s="332"/>
      <c r="CL235" s="332"/>
      <c r="CM235" s="332"/>
      <c r="CN235" s="332"/>
      <c r="CO235" s="332"/>
      <c r="CP235">
        <v>0.86499999999999999</v>
      </c>
      <c r="CV235">
        <v>0.45</v>
      </c>
      <c r="CW235">
        <v>0.875</v>
      </c>
      <c r="CX235">
        <v>0.95499999999999996</v>
      </c>
      <c r="CZ235">
        <v>0.78500000000000003</v>
      </c>
      <c r="DA235">
        <v>0.8175</v>
      </c>
      <c r="DB235">
        <v>0.8</v>
      </c>
      <c r="DC235">
        <v>0.9</v>
      </c>
      <c r="DD235">
        <v>0.83</v>
      </c>
      <c r="DE235">
        <v>0.89</v>
      </c>
      <c r="DN235" s="332">
        <v>2.8499999999999999E-4</v>
      </c>
      <c r="DO235" s="332">
        <v>2.0000000000000001E-4</v>
      </c>
      <c r="DP235" s="332">
        <v>0</v>
      </c>
      <c r="DQ235" s="332">
        <v>1E-4</v>
      </c>
      <c r="DR235" s="332">
        <v>0</v>
      </c>
      <c r="DS235" s="332">
        <v>3.5999999999999999E-3</v>
      </c>
      <c r="DT235" s="332">
        <v>4.6999999999999999E-4</v>
      </c>
      <c r="DU235" s="332">
        <v>6.9999999999999999E-4</v>
      </c>
      <c r="DV235" s="332">
        <v>0</v>
      </c>
      <c r="DW235" s="332">
        <v>0</v>
      </c>
      <c r="DX235" s="332">
        <v>5.0000000000000001E-4</v>
      </c>
      <c r="DY235" s="332">
        <v>5.0000000000000001E-4</v>
      </c>
      <c r="DZ235" s="332">
        <v>2.9999999999999997E-4</v>
      </c>
      <c r="EA235" s="332">
        <v>2.7500000000000002E-4</v>
      </c>
      <c r="EB235" s="332">
        <v>4.0000000000000002E-4</v>
      </c>
      <c r="ED235" s="332">
        <v>6.4999999999999994E-5</v>
      </c>
      <c r="EF235">
        <v>1</v>
      </c>
    </row>
    <row r="236" spans="1:136" x14ac:dyDescent="0.25">
      <c r="A236" s="66">
        <v>43556</v>
      </c>
      <c r="B236">
        <v>0.98</v>
      </c>
      <c r="C236">
        <v>0</v>
      </c>
      <c r="E236">
        <v>0</v>
      </c>
      <c r="F236">
        <v>0</v>
      </c>
      <c r="G236">
        <v>0</v>
      </c>
      <c r="H236">
        <v>0.98288246000000001</v>
      </c>
      <c r="I236">
        <v>0.98750000000000004</v>
      </c>
      <c r="J236">
        <v>0.98050000000000004</v>
      </c>
      <c r="K236">
        <v>0</v>
      </c>
      <c r="L236" s="333">
        <v>0.98750000000000004</v>
      </c>
      <c r="M236" s="333">
        <v>0.98750000000000004</v>
      </c>
      <c r="N236">
        <v>0.98</v>
      </c>
      <c r="O236">
        <v>0.98750000000000004</v>
      </c>
      <c r="P236">
        <v>0.98</v>
      </c>
      <c r="Q236" s="328">
        <v>0.98750000000000004</v>
      </c>
      <c r="R236">
        <v>0.98750000000000004</v>
      </c>
      <c r="S236" s="333">
        <v>0.98750000000000004</v>
      </c>
      <c r="T236">
        <v>0.98</v>
      </c>
      <c r="U236">
        <v>0.98</v>
      </c>
      <c r="V236">
        <v>0.98</v>
      </c>
      <c r="W236">
        <v>0.98</v>
      </c>
      <c r="X236">
        <v>0.98750000000000004</v>
      </c>
      <c r="Y236">
        <v>0.98750000000000004</v>
      </c>
      <c r="Z236">
        <v>0.98750000000000004</v>
      </c>
      <c r="AA236">
        <v>0.98750000000000004</v>
      </c>
      <c r="AB236">
        <v>0.98</v>
      </c>
      <c r="AC236">
        <v>0.98</v>
      </c>
      <c r="AD236">
        <v>0.98750000000000004</v>
      </c>
      <c r="AE236">
        <v>0.98750000000000004</v>
      </c>
      <c r="AF236">
        <v>0.98</v>
      </c>
      <c r="AG236">
        <v>0.99</v>
      </c>
      <c r="AH236">
        <v>0.98446460000000002</v>
      </c>
      <c r="AI236">
        <v>0.98446460000000002</v>
      </c>
      <c r="AJ236">
        <v>0.98</v>
      </c>
      <c r="AK236">
        <v>1</v>
      </c>
      <c r="AL236">
        <v>0</v>
      </c>
      <c r="AM236">
        <v>0</v>
      </c>
      <c r="BB236" s="446">
        <v>1</v>
      </c>
      <c r="BC236">
        <v>1</v>
      </c>
      <c r="BD236">
        <v>1</v>
      </c>
      <c r="BE236">
        <v>1</v>
      </c>
      <c r="BF236">
        <v>0.99990000000000001</v>
      </c>
      <c r="BG236">
        <v>1</v>
      </c>
      <c r="BH236">
        <v>1</v>
      </c>
      <c r="BI236">
        <v>0.99</v>
      </c>
      <c r="BJ236">
        <v>0.999</v>
      </c>
      <c r="BK236">
        <v>0.998</v>
      </c>
      <c r="BL236">
        <v>0.99850000000000005</v>
      </c>
      <c r="BM236">
        <v>0.99850000000000005</v>
      </c>
      <c r="BN236">
        <v>0.97199999999999998</v>
      </c>
      <c r="BO236">
        <v>0.99990000000000001</v>
      </c>
      <c r="BP236">
        <v>0.99990000000000001</v>
      </c>
      <c r="BQ236">
        <v>1</v>
      </c>
      <c r="BR236">
        <v>1.1296976000000001</v>
      </c>
      <c r="BS236">
        <v>1.1352</v>
      </c>
      <c r="BT236">
        <v>1.0827</v>
      </c>
      <c r="BU236">
        <v>1.0279</v>
      </c>
      <c r="BV236">
        <v>1</v>
      </c>
      <c r="BW236">
        <v>2.6753999999999998</v>
      </c>
      <c r="BX236">
        <v>2.3401963330000002</v>
      </c>
      <c r="BY236">
        <v>1.18025</v>
      </c>
      <c r="BZ236">
        <v>1.2885</v>
      </c>
      <c r="CA236">
        <v>2.0009999999999999</v>
      </c>
      <c r="CB236">
        <v>1.5800050000000001</v>
      </c>
      <c r="CC236">
        <v>1.5800050000000001</v>
      </c>
      <c r="CD236">
        <v>1.3015049999999999</v>
      </c>
      <c r="CE236">
        <v>1.111105</v>
      </c>
      <c r="CF236">
        <v>1.478205</v>
      </c>
      <c r="CG236" s="332"/>
      <c r="CH236">
        <v>1.1061399999999999</v>
      </c>
      <c r="CI236" s="332"/>
      <c r="CJ236" s="332"/>
      <c r="CK236" s="332"/>
      <c r="CL236" s="332"/>
      <c r="CM236" s="332"/>
      <c r="CN236" s="332"/>
      <c r="CO236" s="332"/>
      <c r="CP236">
        <v>0.89500000000000002</v>
      </c>
      <c r="CV236">
        <v>0.42</v>
      </c>
      <c r="CW236">
        <v>0.93500000000000005</v>
      </c>
      <c r="CX236">
        <v>0.94499999999999995</v>
      </c>
      <c r="CZ236">
        <v>0.89500000000000002</v>
      </c>
      <c r="DA236">
        <v>0.92749999999999999</v>
      </c>
      <c r="DB236">
        <v>0.85</v>
      </c>
      <c r="DC236">
        <v>0.90300000000000002</v>
      </c>
      <c r="DD236">
        <v>0.92</v>
      </c>
      <c r="DE236">
        <v>0.89</v>
      </c>
      <c r="DN236" s="332">
        <v>2.8499999999999999E-4</v>
      </c>
      <c r="DO236" s="332">
        <v>2.0000000000000001E-4</v>
      </c>
      <c r="DP236" s="332">
        <v>0</v>
      </c>
      <c r="DQ236" s="332">
        <v>1E-4</v>
      </c>
      <c r="DR236" s="332">
        <v>0</v>
      </c>
      <c r="DS236" s="332">
        <v>3.5999999999999999E-3</v>
      </c>
      <c r="DT236" s="332">
        <v>4.6999999999999999E-4</v>
      </c>
      <c r="DU236" s="332">
        <v>6.9999999999999999E-4</v>
      </c>
      <c r="DV236" s="332">
        <v>0</v>
      </c>
      <c r="DW236" s="332">
        <v>0</v>
      </c>
      <c r="DX236" s="332">
        <v>5.0000000000000001E-4</v>
      </c>
      <c r="DY236" s="332">
        <v>5.0000000000000001E-4</v>
      </c>
      <c r="DZ236" s="332">
        <v>2.9999999999999997E-4</v>
      </c>
      <c r="EA236" s="332">
        <v>2.7500000000000002E-4</v>
      </c>
      <c r="EB236" s="332">
        <v>4.0000000000000002E-4</v>
      </c>
      <c r="ED236" s="332">
        <v>6.4999999999999994E-5</v>
      </c>
      <c r="EF236">
        <v>1</v>
      </c>
    </row>
    <row r="237" spans="1:136" x14ac:dyDescent="0.25">
      <c r="A237" s="66">
        <v>43586</v>
      </c>
      <c r="B237">
        <v>0.98</v>
      </c>
      <c r="C237">
        <v>0</v>
      </c>
      <c r="E237">
        <v>0</v>
      </c>
      <c r="F237">
        <v>0</v>
      </c>
      <c r="G237">
        <v>0</v>
      </c>
      <c r="H237">
        <v>0.98307986000000003</v>
      </c>
      <c r="I237">
        <v>0.98750000000000004</v>
      </c>
      <c r="J237">
        <v>0.98050000000000004</v>
      </c>
      <c r="K237">
        <v>0</v>
      </c>
      <c r="L237" s="333">
        <v>0.98750000000000004</v>
      </c>
      <c r="M237" s="333">
        <v>0.98750000000000004</v>
      </c>
      <c r="N237">
        <v>0.98</v>
      </c>
      <c r="O237">
        <v>0.98750000000000004</v>
      </c>
      <c r="P237">
        <v>0.98</v>
      </c>
      <c r="Q237" s="328">
        <v>0.98750000000000004</v>
      </c>
      <c r="R237">
        <v>0.98750000000000004</v>
      </c>
      <c r="S237" s="333">
        <v>0.98750000000000004</v>
      </c>
      <c r="T237">
        <v>0.98</v>
      </c>
      <c r="U237">
        <v>0.98</v>
      </c>
      <c r="V237">
        <v>0.98</v>
      </c>
      <c r="W237">
        <v>0.98</v>
      </c>
      <c r="X237">
        <v>0.98750000000000004</v>
      </c>
      <c r="Y237">
        <v>0.98750000000000004</v>
      </c>
      <c r="Z237">
        <v>0.98750000000000004</v>
      </c>
      <c r="AA237">
        <v>0.98750000000000004</v>
      </c>
      <c r="AB237">
        <v>0.98</v>
      </c>
      <c r="AC237">
        <v>0.98</v>
      </c>
      <c r="AD237">
        <v>0.98750000000000004</v>
      </c>
      <c r="AE237">
        <v>0.98750000000000004</v>
      </c>
      <c r="AF237">
        <v>0.98</v>
      </c>
      <c r="AG237">
        <v>0.99</v>
      </c>
      <c r="AH237">
        <v>0.98452245000000005</v>
      </c>
      <c r="AI237">
        <v>0.98452245000000005</v>
      </c>
      <c r="AJ237">
        <v>0.98</v>
      </c>
      <c r="AK237">
        <v>1</v>
      </c>
      <c r="AL237">
        <v>0</v>
      </c>
      <c r="AM237">
        <v>0</v>
      </c>
      <c r="BB237" s="446">
        <v>1</v>
      </c>
      <c r="BC237">
        <v>1</v>
      </c>
      <c r="BD237">
        <v>1</v>
      </c>
      <c r="BE237">
        <v>1</v>
      </c>
      <c r="BF237">
        <v>0.99990000000000001</v>
      </c>
      <c r="BG237">
        <v>1</v>
      </c>
      <c r="BH237">
        <v>1</v>
      </c>
      <c r="BI237">
        <v>0.99</v>
      </c>
      <c r="BJ237">
        <v>0.999</v>
      </c>
      <c r="BK237">
        <v>0.998</v>
      </c>
      <c r="BL237">
        <v>0.99850000000000005</v>
      </c>
      <c r="BM237">
        <v>0.99850000000000005</v>
      </c>
      <c r="BN237">
        <v>0.97199999999999998</v>
      </c>
      <c r="BO237">
        <v>0.99990000000000001</v>
      </c>
      <c r="BP237">
        <v>0.99990000000000001</v>
      </c>
      <c r="BQ237">
        <v>1</v>
      </c>
      <c r="BR237">
        <v>1.1299825999999999</v>
      </c>
      <c r="BS237">
        <v>1.1354</v>
      </c>
      <c r="BT237">
        <v>1.0827</v>
      </c>
      <c r="BU237">
        <v>1.028</v>
      </c>
      <c r="BV237">
        <v>1</v>
      </c>
      <c r="BW237">
        <v>2.6789999999999998</v>
      </c>
      <c r="BX237">
        <v>2.3406663330000002</v>
      </c>
      <c r="BY237">
        <v>1.1809499999999999</v>
      </c>
      <c r="BZ237">
        <v>1.2885</v>
      </c>
      <c r="CA237">
        <v>2.0009999999999999</v>
      </c>
      <c r="CB237">
        <v>1.580505</v>
      </c>
      <c r="CC237">
        <v>1.580505</v>
      </c>
      <c r="CD237">
        <v>1.3018050000000001</v>
      </c>
      <c r="CE237">
        <v>1.11138</v>
      </c>
      <c r="CF237">
        <v>1.4786049999999999</v>
      </c>
      <c r="CG237" s="332"/>
      <c r="CH237">
        <v>1.1062050000000001</v>
      </c>
      <c r="CI237" s="332"/>
      <c r="CJ237" s="332"/>
      <c r="CK237" s="332"/>
      <c r="CL237" s="332"/>
      <c r="CM237" s="332"/>
      <c r="CN237" s="332"/>
      <c r="CO237" s="332"/>
      <c r="CP237">
        <v>0.96499999999999997</v>
      </c>
      <c r="CV237">
        <v>0.42</v>
      </c>
      <c r="CW237">
        <v>0.93500000000000005</v>
      </c>
      <c r="CX237">
        <v>0.84499999999999997</v>
      </c>
      <c r="CZ237">
        <v>0.91749999999999998</v>
      </c>
      <c r="DA237">
        <v>0.95</v>
      </c>
      <c r="DB237">
        <v>0.88</v>
      </c>
      <c r="DC237">
        <v>0.9</v>
      </c>
      <c r="DD237">
        <v>0.93500000000000005</v>
      </c>
      <c r="DE237">
        <v>0.89</v>
      </c>
      <c r="DN237" s="332">
        <v>2.8499999999999999E-4</v>
      </c>
      <c r="DO237" s="332">
        <v>2.0000000000000001E-4</v>
      </c>
      <c r="DP237" s="332">
        <v>0</v>
      </c>
      <c r="DQ237" s="332">
        <v>1E-4</v>
      </c>
      <c r="DR237" s="332">
        <v>0</v>
      </c>
      <c r="DS237" s="332">
        <v>3.5999999999999999E-3</v>
      </c>
      <c r="DT237" s="332">
        <v>4.6999999999999999E-4</v>
      </c>
      <c r="DU237" s="332">
        <v>6.9999999999999999E-4</v>
      </c>
      <c r="DV237" s="332">
        <v>0</v>
      </c>
      <c r="DW237" s="332">
        <v>0</v>
      </c>
      <c r="DX237" s="332">
        <v>5.0000000000000001E-4</v>
      </c>
      <c r="DY237" s="332">
        <v>5.0000000000000001E-4</v>
      </c>
      <c r="DZ237" s="332">
        <v>2.9999999999999997E-4</v>
      </c>
      <c r="EA237" s="332">
        <v>2.7500000000000002E-4</v>
      </c>
      <c r="EB237" s="332">
        <v>4.0000000000000002E-4</v>
      </c>
      <c r="ED237" s="332">
        <v>6.4999999999999994E-5</v>
      </c>
      <c r="EF237">
        <v>1</v>
      </c>
    </row>
    <row r="238" spans="1:136" x14ac:dyDescent="0.25">
      <c r="A238" s="66">
        <v>43617</v>
      </c>
      <c r="B238">
        <v>0.98</v>
      </c>
      <c r="C238">
        <v>0</v>
      </c>
      <c r="E238">
        <v>0</v>
      </c>
      <c r="F238">
        <v>0</v>
      </c>
      <c r="G238">
        <v>0</v>
      </c>
      <c r="H238">
        <v>0.98750000000000004</v>
      </c>
      <c r="I238">
        <v>0.98750000000000004</v>
      </c>
      <c r="J238">
        <v>0.98050000000000004</v>
      </c>
      <c r="K238">
        <v>0</v>
      </c>
      <c r="L238" s="333">
        <v>0.98750000000000004</v>
      </c>
      <c r="M238" s="333">
        <v>0.98750000000000004</v>
      </c>
      <c r="N238">
        <v>0.98</v>
      </c>
      <c r="O238">
        <v>0.98750000000000004</v>
      </c>
      <c r="P238">
        <v>0.98</v>
      </c>
      <c r="Q238" s="328">
        <v>0.98750000000000004</v>
      </c>
      <c r="R238">
        <v>0.98750000000000004</v>
      </c>
      <c r="S238" s="333">
        <v>0.98750000000000004</v>
      </c>
      <c r="T238">
        <v>0.98</v>
      </c>
      <c r="U238">
        <v>0.98</v>
      </c>
      <c r="V238">
        <v>0.98</v>
      </c>
      <c r="W238">
        <v>0.98</v>
      </c>
      <c r="X238">
        <v>0.98750000000000004</v>
      </c>
      <c r="Y238">
        <v>0.98750000000000004</v>
      </c>
      <c r="Z238">
        <v>0.98750000000000004</v>
      </c>
      <c r="AA238">
        <v>0.98750000000000004</v>
      </c>
      <c r="AB238">
        <v>0.98</v>
      </c>
      <c r="AC238">
        <v>0.98</v>
      </c>
      <c r="AD238">
        <v>0.98750000000000004</v>
      </c>
      <c r="AE238">
        <v>0.98750000000000004</v>
      </c>
      <c r="AF238">
        <v>0.98</v>
      </c>
      <c r="AG238">
        <v>0.99</v>
      </c>
      <c r="AH238">
        <v>0.98458029999999996</v>
      </c>
      <c r="AI238">
        <v>0.98458029999999996</v>
      </c>
      <c r="AJ238">
        <v>0.98</v>
      </c>
      <c r="AK238">
        <v>1</v>
      </c>
      <c r="AL238">
        <v>0</v>
      </c>
      <c r="AM238">
        <v>0</v>
      </c>
      <c r="BB238" s="446">
        <v>1</v>
      </c>
      <c r="BC238">
        <v>1</v>
      </c>
      <c r="BD238">
        <v>1</v>
      </c>
      <c r="BE238">
        <v>1</v>
      </c>
      <c r="BF238">
        <v>0.99990000000000001</v>
      </c>
      <c r="BG238">
        <v>1</v>
      </c>
      <c r="BH238">
        <v>1</v>
      </c>
      <c r="BI238">
        <v>0.99</v>
      </c>
      <c r="BJ238">
        <v>0.999</v>
      </c>
      <c r="BK238">
        <v>0.998</v>
      </c>
      <c r="BL238">
        <v>0.99850000000000005</v>
      </c>
      <c r="BM238">
        <v>0.99850000000000005</v>
      </c>
      <c r="BN238">
        <v>0.97199999999999998</v>
      </c>
      <c r="BO238">
        <v>0.99990000000000001</v>
      </c>
      <c r="BP238">
        <v>0.99990000000000001</v>
      </c>
      <c r="BQ238">
        <v>1</v>
      </c>
      <c r="BR238">
        <v>1.1302676</v>
      </c>
      <c r="BS238">
        <v>1.1355999999999999</v>
      </c>
      <c r="BT238">
        <v>1.0827</v>
      </c>
      <c r="BU238">
        <v>1.0281</v>
      </c>
      <c r="BV238">
        <v>1</v>
      </c>
      <c r="BW238">
        <v>2.6825999999999999</v>
      </c>
      <c r="BX238">
        <v>2.3411363330000001</v>
      </c>
      <c r="BY238">
        <v>1.1816500000000001</v>
      </c>
      <c r="BZ238">
        <v>1.2885</v>
      </c>
      <c r="CA238">
        <v>2.0009999999999999</v>
      </c>
      <c r="CB238">
        <v>1.581005</v>
      </c>
      <c r="CC238">
        <v>1.581005</v>
      </c>
      <c r="CD238">
        <v>1.3021050000000001</v>
      </c>
      <c r="CE238">
        <v>1.1116550000000001</v>
      </c>
      <c r="CF238">
        <v>1.4790049999999999</v>
      </c>
      <c r="CG238" s="332"/>
      <c r="CH238">
        <v>1.1062700000000001</v>
      </c>
      <c r="CI238" s="332"/>
      <c r="CJ238" s="332"/>
      <c r="CK238" s="332"/>
      <c r="CL238" s="332"/>
      <c r="CM238" s="332"/>
      <c r="CN238" s="332"/>
      <c r="CO238" s="332"/>
      <c r="CP238">
        <v>0.96499999999999997</v>
      </c>
      <c r="CV238">
        <v>0.47</v>
      </c>
      <c r="CW238">
        <v>0.93500000000000005</v>
      </c>
      <c r="CX238">
        <v>0.755</v>
      </c>
      <c r="CZ238">
        <v>0.88249999999999995</v>
      </c>
      <c r="DA238">
        <v>0.91500000000000004</v>
      </c>
      <c r="DB238">
        <v>0.88</v>
      </c>
      <c r="DC238">
        <v>0.90249999999999997</v>
      </c>
      <c r="DD238">
        <v>0.91500000000000004</v>
      </c>
      <c r="DE238">
        <v>0.89</v>
      </c>
      <c r="DN238" s="332">
        <v>2.8499999999999999E-4</v>
      </c>
      <c r="DO238" s="332">
        <v>2.0000000000000001E-4</v>
      </c>
      <c r="DP238" s="332">
        <v>0</v>
      </c>
      <c r="DQ238" s="332">
        <v>1E-4</v>
      </c>
      <c r="DR238" s="332">
        <v>0</v>
      </c>
      <c r="DS238" s="332">
        <v>3.5999999999999999E-3</v>
      </c>
      <c r="DT238" s="332">
        <v>4.6999999999999999E-4</v>
      </c>
      <c r="DU238" s="332">
        <v>6.9999999999999999E-4</v>
      </c>
      <c r="DV238" s="332">
        <v>0</v>
      </c>
      <c r="DW238" s="332">
        <v>0</v>
      </c>
      <c r="DX238" s="332">
        <v>5.0000000000000001E-4</v>
      </c>
      <c r="DY238" s="332">
        <v>5.0000000000000001E-4</v>
      </c>
      <c r="DZ238" s="332">
        <v>2.9999999999999997E-4</v>
      </c>
      <c r="EA238" s="332">
        <v>2.7500000000000002E-4</v>
      </c>
      <c r="EB238" s="332">
        <v>4.0000000000000002E-4</v>
      </c>
      <c r="ED238" s="332">
        <v>6.4999999999999994E-5</v>
      </c>
      <c r="EF238">
        <v>1</v>
      </c>
    </row>
    <row r="239" spans="1:136" x14ac:dyDescent="0.25">
      <c r="A239" s="66">
        <v>43647</v>
      </c>
      <c r="B239">
        <v>0.98</v>
      </c>
      <c r="C239">
        <v>0</v>
      </c>
      <c r="E239">
        <v>0</v>
      </c>
      <c r="F239">
        <v>0</v>
      </c>
      <c r="G239">
        <v>0</v>
      </c>
      <c r="H239">
        <v>0.98750000000000004</v>
      </c>
      <c r="I239">
        <v>0.98750000000000004</v>
      </c>
      <c r="J239">
        <v>0.98050000000000004</v>
      </c>
      <c r="K239">
        <v>0</v>
      </c>
      <c r="L239" s="333">
        <v>0.98750000000000004</v>
      </c>
      <c r="M239" s="333">
        <v>0.98750000000000004</v>
      </c>
      <c r="N239">
        <v>0.98</v>
      </c>
      <c r="O239">
        <v>0.98750000000000004</v>
      </c>
      <c r="P239">
        <v>0.98</v>
      </c>
      <c r="Q239" s="328">
        <v>0.98750000000000004</v>
      </c>
      <c r="R239">
        <v>0.98750000000000004</v>
      </c>
      <c r="S239" s="333">
        <v>0.98750000000000004</v>
      </c>
      <c r="T239">
        <v>0.98</v>
      </c>
      <c r="U239">
        <v>0.98</v>
      </c>
      <c r="V239">
        <v>0.98</v>
      </c>
      <c r="W239">
        <v>0.98</v>
      </c>
      <c r="X239">
        <v>0.98750000000000004</v>
      </c>
      <c r="Y239">
        <v>0.98750000000000004</v>
      </c>
      <c r="Z239">
        <v>0.98750000000000004</v>
      </c>
      <c r="AA239">
        <v>0.98750000000000004</v>
      </c>
      <c r="AB239">
        <v>0.98</v>
      </c>
      <c r="AC239">
        <v>0.98</v>
      </c>
      <c r="AD239">
        <v>0.98750000000000004</v>
      </c>
      <c r="AE239">
        <v>0.98750000000000004</v>
      </c>
      <c r="AF239">
        <v>0.98</v>
      </c>
      <c r="AG239">
        <v>0.99</v>
      </c>
      <c r="AH239">
        <v>0.98463814999999999</v>
      </c>
      <c r="AI239">
        <v>0.98463814999999999</v>
      </c>
      <c r="AJ239">
        <v>0.98</v>
      </c>
      <c r="AK239">
        <v>1</v>
      </c>
      <c r="AL239">
        <v>0</v>
      </c>
      <c r="AM239">
        <v>0</v>
      </c>
      <c r="BB239" s="446">
        <v>1</v>
      </c>
      <c r="BC239">
        <v>1</v>
      </c>
      <c r="BD239">
        <v>1</v>
      </c>
      <c r="BE239">
        <v>1</v>
      </c>
      <c r="BF239">
        <v>0.99990000000000001</v>
      </c>
      <c r="BG239">
        <v>1</v>
      </c>
      <c r="BH239">
        <v>1</v>
      </c>
      <c r="BI239">
        <v>0.99</v>
      </c>
      <c r="BJ239">
        <v>0.999</v>
      </c>
      <c r="BK239">
        <v>0.998</v>
      </c>
      <c r="BL239">
        <v>0.99850000000000005</v>
      </c>
      <c r="BM239">
        <v>0.99850000000000005</v>
      </c>
      <c r="BN239">
        <v>0.97199999999999998</v>
      </c>
      <c r="BO239">
        <v>0.99990000000000001</v>
      </c>
      <c r="BP239">
        <v>0.99990000000000001</v>
      </c>
      <c r="BQ239">
        <v>1</v>
      </c>
      <c r="BR239">
        <v>1.1305525999999999</v>
      </c>
      <c r="BS239">
        <v>1.1357999999999999</v>
      </c>
      <c r="BT239">
        <v>1.0827</v>
      </c>
      <c r="BU239">
        <v>1.0282</v>
      </c>
      <c r="BV239">
        <v>1</v>
      </c>
      <c r="BW239">
        <v>2.6861999999999999</v>
      </c>
      <c r="BX239">
        <v>2.3416063330000001</v>
      </c>
      <c r="BY239">
        <v>1.18235</v>
      </c>
      <c r="BZ239">
        <v>1.2885</v>
      </c>
      <c r="CA239">
        <v>2.0009999999999999</v>
      </c>
      <c r="CB239">
        <v>1.5815049999999999</v>
      </c>
      <c r="CC239">
        <v>1.5815049999999999</v>
      </c>
      <c r="CD239">
        <v>1.302405</v>
      </c>
      <c r="CE239">
        <v>1.1119300000000001</v>
      </c>
      <c r="CF239">
        <v>1.4794050000000001</v>
      </c>
      <c r="CG239" s="332"/>
      <c r="CH239">
        <v>1.1063350000000001</v>
      </c>
      <c r="CI239" s="332"/>
      <c r="CJ239" s="332"/>
      <c r="CK239" s="332"/>
      <c r="CL239" s="332"/>
      <c r="CM239" s="332"/>
      <c r="CN239" s="332"/>
      <c r="CO239" s="332"/>
      <c r="CP239">
        <v>0.97499999999999998</v>
      </c>
      <c r="CV239">
        <v>0.47</v>
      </c>
      <c r="CW239">
        <v>0.93500000000000005</v>
      </c>
      <c r="CX239">
        <v>0.77500000000000002</v>
      </c>
      <c r="CZ239">
        <v>0.87749999999999995</v>
      </c>
      <c r="DA239">
        <v>0.91</v>
      </c>
      <c r="DB239">
        <v>0.89</v>
      </c>
      <c r="DC239">
        <v>0.90749999999999997</v>
      </c>
      <c r="DD239">
        <v>0.91500000000000004</v>
      </c>
      <c r="DE239">
        <v>0.89</v>
      </c>
      <c r="DN239" s="332">
        <v>2.8499999999999999E-4</v>
      </c>
      <c r="DO239" s="332">
        <v>2.0000000000000001E-4</v>
      </c>
      <c r="DP239" s="332">
        <v>0</v>
      </c>
      <c r="DQ239" s="332">
        <v>1E-4</v>
      </c>
      <c r="DR239" s="332">
        <v>0</v>
      </c>
      <c r="DS239" s="332">
        <v>3.5999999999999999E-3</v>
      </c>
      <c r="DT239" s="332">
        <v>4.6999999999999999E-4</v>
      </c>
      <c r="DU239" s="332">
        <v>6.9999999999999999E-4</v>
      </c>
      <c r="DV239" s="332">
        <v>0</v>
      </c>
      <c r="DW239" s="332">
        <v>0</v>
      </c>
      <c r="DX239" s="332">
        <v>5.0000000000000001E-4</v>
      </c>
      <c r="DY239" s="332">
        <v>5.0000000000000001E-4</v>
      </c>
      <c r="DZ239" s="332">
        <v>2.9999999999999997E-4</v>
      </c>
      <c r="EA239" s="332">
        <v>2.7500000000000002E-4</v>
      </c>
      <c r="EB239" s="332">
        <v>4.0000000000000002E-4</v>
      </c>
      <c r="ED239" s="332">
        <v>6.4999999999999994E-5</v>
      </c>
      <c r="EF239">
        <v>1</v>
      </c>
    </row>
    <row r="240" spans="1:136" x14ac:dyDescent="0.25">
      <c r="A240" s="66">
        <v>43678</v>
      </c>
      <c r="B240">
        <v>0.98</v>
      </c>
      <c r="C240">
        <v>0</v>
      </c>
      <c r="E240">
        <v>0</v>
      </c>
      <c r="F240">
        <v>0</v>
      </c>
      <c r="G240">
        <v>0</v>
      </c>
      <c r="H240">
        <v>0.98750000000000004</v>
      </c>
      <c r="I240">
        <v>0.98750000000000004</v>
      </c>
      <c r="J240">
        <v>0.98050000000000004</v>
      </c>
      <c r="K240">
        <v>0</v>
      </c>
      <c r="L240" s="333">
        <v>0.98750000000000004</v>
      </c>
      <c r="M240" s="333">
        <v>0.98750000000000004</v>
      </c>
      <c r="N240">
        <v>0.98</v>
      </c>
      <c r="O240">
        <v>0.98750000000000004</v>
      </c>
      <c r="P240">
        <v>0.98</v>
      </c>
      <c r="Q240" s="328">
        <v>0.98750000000000004</v>
      </c>
      <c r="R240">
        <v>0.98750000000000004</v>
      </c>
      <c r="S240" s="333">
        <v>0.98750000000000004</v>
      </c>
      <c r="T240">
        <v>0.98</v>
      </c>
      <c r="U240">
        <v>0.98</v>
      </c>
      <c r="V240">
        <v>0.98</v>
      </c>
      <c r="W240">
        <v>0.98</v>
      </c>
      <c r="X240">
        <v>0.98750000000000004</v>
      </c>
      <c r="Y240">
        <v>0.98750000000000004</v>
      </c>
      <c r="Z240">
        <v>0.98750000000000004</v>
      </c>
      <c r="AA240">
        <v>0.98750000000000004</v>
      </c>
      <c r="AB240">
        <v>0.98</v>
      </c>
      <c r="AC240">
        <v>0.98</v>
      </c>
      <c r="AD240">
        <v>0.98750000000000004</v>
      </c>
      <c r="AE240">
        <v>0.98750000000000004</v>
      </c>
      <c r="AF240">
        <v>0.98</v>
      </c>
      <c r="AG240">
        <v>0.99</v>
      </c>
      <c r="AH240">
        <v>0.98469600000000002</v>
      </c>
      <c r="AI240">
        <v>0.98469600000000002</v>
      </c>
      <c r="AJ240">
        <v>0.98</v>
      </c>
      <c r="AK240">
        <v>1</v>
      </c>
      <c r="AL240">
        <v>0</v>
      </c>
      <c r="AM240">
        <v>0</v>
      </c>
      <c r="BB240" s="446">
        <v>1</v>
      </c>
      <c r="BC240">
        <v>1</v>
      </c>
      <c r="BD240">
        <v>1</v>
      </c>
      <c r="BE240">
        <v>1</v>
      </c>
      <c r="BF240">
        <v>0.99990000000000001</v>
      </c>
      <c r="BG240">
        <v>1</v>
      </c>
      <c r="BH240">
        <v>1</v>
      </c>
      <c r="BI240">
        <v>0.99</v>
      </c>
      <c r="BJ240">
        <v>0.999</v>
      </c>
      <c r="BK240">
        <v>0.998</v>
      </c>
      <c r="BL240">
        <v>0.99850000000000005</v>
      </c>
      <c r="BM240">
        <v>0.99850000000000005</v>
      </c>
      <c r="BN240">
        <v>0.97199999999999998</v>
      </c>
      <c r="BO240">
        <v>0.99990000000000001</v>
      </c>
      <c r="BP240">
        <v>0.99990000000000001</v>
      </c>
      <c r="BQ240">
        <v>1</v>
      </c>
      <c r="BR240">
        <v>1.1308376</v>
      </c>
      <c r="BS240">
        <v>1.1359999999999999</v>
      </c>
      <c r="BT240">
        <v>1.0827</v>
      </c>
      <c r="BU240">
        <v>1.0283</v>
      </c>
      <c r="BV240">
        <v>1</v>
      </c>
      <c r="BW240">
        <v>2.6898</v>
      </c>
      <c r="BX240">
        <v>2.3420763330000001</v>
      </c>
      <c r="BY240">
        <v>1.1830499999999999</v>
      </c>
      <c r="BZ240">
        <v>1.2885</v>
      </c>
      <c r="CA240">
        <v>2.0009999999999999</v>
      </c>
      <c r="CB240">
        <v>1.5820050000000001</v>
      </c>
      <c r="CC240">
        <v>1.5820050000000001</v>
      </c>
      <c r="CD240">
        <v>1.302705</v>
      </c>
      <c r="CE240">
        <v>1.1122050000000001</v>
      </c>
      <c r="CF240">
        <v>1.479805</v>
      </c>
      <c r="CG240" s="332"/>
      <c r="CH240">
        <v>1.1064000000000001</v>
      </c>
      <c r="CI240" s="332"/>
      <c r="CJ240" s="332"/>
      <c r="CK240" s="332"/>
      <c r="CL240" s="332"/>
      <c r="CM240" s="332"/>
      <c r="CN240" s="332"/>
      <c r="CO240" s="332"/>
      <c r="CP240">
        <v>0.97499999999999998</v>
      </c>
      <c r="CV240">
        <v>0.52</v>
      </c>
      <c r="CW240">
        <v>0.92500000000000004</v>
      </c>
      <c r="CX240">
        <v>0.86499999999999999</v>
      </c>
      <c r="CZ240">
        <v>0.89</v>
      </c>
      <c r="DA240">
        <v>0.92249999999999999</v>
      </c>
      <c r="DB240">
        <v>0.91500000000000004</v>
      </c>
      <c r="DC240">
        <v>0.92749999999999999</v>
      </c>
      <c r="DD240">
        <v>0.91500000000000004</v>
      </c>
      <c r="DE240">
        <v>0.89</v>
      </c>
      <c r="DN240" s="332">
        <v>2.8499999999999999E-4</v>
      </c>
      <c r="DO240" s="332">
        <v>2.0000000000000001E-4</v>
      </c>
      <c r="DP240" s="332">
        <v>0</v>
      </c>
      <c r="DQ240" s="332">
        <v>1E-4</v>
      </c>
      <c r="DR240" s="332">
        <v>0</v>
      </c>
      <c r="DS240" s="332">
        <v>3.5999999999999999E-3</v>
      </c>
      <c r="DT240" s="332">
        <v>4.6999999999999999E-4</v>
      </c>
      <c r="DU240" s="332">
        <v>6.9999999999999999E-4</v>
      </c>
      <c r="DV240" s="332">
        <v>0</v>
      </c>
      <c r="DW240" s="332">
        <v>0</v>
      </c>
      <c r="DX240" s="332">
        <v>5.0000000000000001E-4</v>
      </c>
      <c r="DY240" s="332">
        <v>5.0000000000000001E-4</v>
      </c>
      <c r="DZ240" s="332">
        <v>2.9999999999999997E-4</v>
      </c>
      <c r="EA240" s="332">
        <v>2.7500000000000002E-4</v>
      </c>
      <c r="EB240" s="332">
        <v>4.0000000000000002E-4</v>
      </c>
      <c r="ED240" s="332">
        <v>6.4999999999999994E-5</v>
      </c>
      <c r="EF240">
        <v>1</v>
      </c>
    </row>
    <row r="241" spans="1:136" x14ac:dyDescent="0.25">
      <c r="A241" s="66">
        <v>43709</v>
      </c>
      <c r="B241">
        <v>0.98</v>
      </c>
      <c r="C241">
        <v>0</v>
      </c>
      <c r="E241">
        <v>0</v>
      </c>
      <c r="F241">
        <v>0</v>
      </c>
      <c r="G241">
        <v>0</v>
      </c>
      <c r="H241">
        <v>0.98750000000000004</v>
      </c>
      <c r="I241">
        <v>0.98750000000000004</v>
      </c>
      <c r="J241">
        <v>0.98050000000000004</v>
      </c>
      <c r="K241">
        <v>0</v>
      </c>
      <c r="L241" s="333">
        <v>0.98750000000000004</v>
      </c>
      <c r="M241" s="333">
        <v>0.98750000000000004</v>
      </c>
      <c r="N241">
        <v>0.98</v>
      </c>
      <c r="O241">
        <v>0.98750000000000004</v>
      </c>
      <c r="P241">
        <v>0.98</v>
      </c>
      <c r="Q241" s="328">
        <v>0.98750000000000004</v>
      </c>
      <c r="R241">
        <v>0.98750000000000004</v>
      </c>
      <c r="S241" s="333">
        <v>0.98750000000000004</v>
      </c>
      <c r="T241">
        <v>0.98</v>
      </c>
      <c r="U241">
        <v>0.98</v>
      </c>
      <c r="V241">
        <v>0.98</v>
      </c>
      <c r="W241">
        <v>0.98</v>
      </c>
      <c r="X241">
        <v>0.98750000000000004</v>
      </c>
      <c r="Y241">
        <v>0.98750000000000004</v>
      </c>
      <c r="Z241">
        <v>0.98750000000000004</v>
      </c>
      <c r="AA241">
        <v>0.98750000000000004</v>
      </c>
      <c r="AB241">
        <v>0.98</v>
      </c>
      <c r="AC241">
        <v>0.98</v>
      </c>
      <c r="AD241">
        <v>0.98750000000000004</v>
      </c>
      <c r="AE241">
        <v>0.98750000000000004</v>
      </c>
      <c r="AF241">
        <v>0.98</v>
      </c>
      <c r="AG241">
        <v>0.99</v>
      </c>
      <c r="AH241">
        <v>0.98475385000000004</v>
      </c>
      <c r="AI241">
        <v>0.98475385000000004</v>
      </c>
      <c r="AJ241">
        <v>0.98</v>
      </c>
      <c r="AK241">
        <v>1</v>
      </c>
      <c r="AL241">
        <v>0</v>
      </c>
      <c r="AM241">
        <v>0</v>
      </c>
      <c r="BB241" s="446">
        <v>1</v>
      </c>
      <c r="BC241">
        <v>1</v>
      </c>
      <c r="BD241">
        <v>1</v>
      </c>
      <c r="BE241">
        <v>1</v>
      </c>
      <c r="BF241">
        <v>0.99990000000000001</v>
      </c>
      <c r="BG241">
        <v>1</v>
      </c>
      <c r="BH241">
        <v>1</v>
      </c>
      <c r="BI241">
        <v>0.99</v>
      </c>
      <c r="BJ241">
        <v>0.999</v>
      </c>
      <c r="BK241">
        <v>0.998</v>
      </c>
      <c r="BL241">
        <v>0.99850000000000005</v>
      </c>
      <c r="BM241">
        <v>0.99850000000000005</v>
      </c>
      <c r="BN241">
        <v>0.97199999999999998</v>
      </c>
      <c r="BO241">
        <v>0.99990000000000001</v>
      </c>
      <c r="BP241">
        <v>0.99990000000000001</v>
      </c>
      <c r="BQ241">
        <v>1</v>
      </c>
      <c r="BR241">
        <v>1.1311226000000001</v>
      </c>
      <c r="BS241">
        <v>1.1362000000000001</v>
      </c>
      <c r="BT241">
        <v>1.0827</v>
      </c>
      <c r="BU241">
        <v>1.0284</v>
      </c>
      <c r="BV241">
        <v>1</v>
      </c>
      <c r="BW241">
        <v>2.6934</v>
      </c>
      <c r="BX241">
        <v>2.342546333</v>
      </c>
      <c r="BY241">
        <v>1.1837500000000001</v>
      </c>
      <c r="BZ241">
        <v>1.2885</v>
      </c>
      <c r="CA241">
        <v>2.0009999999999999</v>
      </c>
      <c r="CB241">
        <v>1.5825050000000001</v>
      </c>
      <c r="CC241">
        <v>1.5825050000000001</v>
      </c>
      <c r="CD241">
        <v>1.303005</v>
      </c>
      <c r="CE241">
        <v>1.1124799999999999</v>
      </c>
      <c r="CF241">
        <v>1.480205</v>
      </c>
      <c r="CG241" s="332"/>
      <c r="CH241">
        <v>1.106465</v>
      </c>
      <c r="CI241" s="332"/>
      <c r="CJ241" s="332"/>
      <c r="CK241" s="332"/>
      <c r="CL241" s="332"/>
      <c r="CM241" s="332"/>
      <c r="CN241" s="332"/>
      <c r="CO241" s="332"/>
      <c r="CP241">
        <v>0.97499999999999998</v>
      </c>
      <c r="CV241">
        <v>0.55000000000000004</v>
      </c>
      <c r="CW241">
        <v>0.92500000000000004</v>
      </c>
      <c r="CX241">
        <v>0.72499999999999998</v>
      </c>
      <c r="CZ241">
        <v>0.94499999999999995</v>
      </c>
      <c r="DA241">
        <v>0.97750000000000004</v>
      </c>
      <c r="DB241">
        <v>0.94499999999999995</v>
      </c>
      <c r="DC241">
        <v>0.92</v>
      </c>
      <c r="DD241">
        <v>0.91500000000000004</v>
      </c>
      <c r="DE241">
        <v>0.89</v>
      </c>
      <c r="DN241" s="332">
        <v>2.8499999999999999E-4</v>
      </c>
      <c r="DO241" s="332">
        <v>2.0000000000000001E-4</v>
      </c>
      <c r="DP241" s="332">
        <v>0</v>
      </c>
      <c r="DQ241" s="332">
        <v>1E-4</v>
      </c>
      <c r="DR241" s="332">
        <v>0</v>
      </c>
      <c r="DS241" s="332">
        <v>3.5999999999999999E-3</v>
      </c>
      <c r="DT241" s="332">
        <v>4.6999999999999999E-4</v>
      </c>
      <c r="DU241" s="332">
        <v>6.9999999999999999E-4</v>
      </c>
      <c r="DV241" s="332">
        <v>0</v>
      </c>
      <c r="DW241" s="332">
        <v>0</v>
      </c>
      <c r="DX241" s="332">
        <v>5.0000000000000001E-4</v>
      </c>
      <c r="DY241" s="332">
        <v>5.0000000000000001E-4</v>
      </c>
      <c r="DZ241" s="332">
        <v>2.9999999999999997E-4</v>
      </c>
      <c r="EA241" s="332">
        <v>2.7500000000000002E-4</v>
      </c>
      <c r="EB241" s="332">
        <v>4.0000000000000002E-4</v>
      </c>
      <c r="ED241" s="332">
        <v>6.4999999999999994E-5</v>
      </c>
      <c r="EF241">
        <v>1</v>
      </c>
    </row>
    <row r="242" spans="1:136" x14ac:dyDescent="0.25">
      <c r="A242" s="66">
        <v>43739</v>
      </c>
      <c r="B242">
        <v>0.98</v>
      </c>
      <c r="C242">
        <v>0</v>
      </c>
      <c r="E242">
        <v>0</v>
      </c>
      <c r="F242">
        <v>0</v>
      </c>
      <c r="G242">
        <v>0</v>
      </c>
      <c r="H242">
        <v>0.98750000000000004</v>
      </c>
      <c r="I242">
        <v>0.98750000000000004</v>
      </c>
      <c r="J242">
        <v>0.98050000000000004</v>
      </c>
      <c r="K242">
        <v>0</v>
      </c>
      <c r="L242" s="333">
        <v>0.98750000000000004</v>
      </c>
      <c r="M242" s="333">
        <v>0.98750000000000004</v>
      </c>
      <c r="N242">
        <v>0.98</v>
      </c>
      <c r="O242">
        <v>0.98750000000000004</v>
      </c>
      <c r="P242">
        <v>0.98</v>
      </c>
      <c r="Q242" s="328">
        <v>0.98750000000000004</v>
      </c>
      <c r="R242">
        <v>0.98750000000000004</v>
      </c>
      <c r="S242" s="333">
        <v>0.98750000000000004</v>
      </c>
      <c r="T242">
        <v>0.98</v>
      </c>
      <c r="U242">
        <v>0.98</v>
      </c>
      <c r="V242">
        <v>0.98</v>
      </c>
      <c r="W242">
        <v>0.98</v>
      </c>
      <c r="X242">
        <v>0.98750000000000004</v>
      </c>
      <c r="Y242">
        <v>0.98750000000000004</v>
      </c>
      <c r="Z242">
        <v>0.98750000000000004</v>
      </c>
      <c r="AA242">
        <v>0.98750000000000004</v>
      </c>
      <c r="AB242">
        <v>0.98</v>
      </c>
      <c r="AC242">
        <v>0.98</v>
      </c>
      <c r="AD242">
        <v>0.98750000000000004</v>
      </c>
      <c r="AE242">
        <v>0.98750000000000004</v>
      </c>
      <c r="AF242">
        <v>0.98</v>
      </c>
      <c r="AG242">
        <v>0.99</v>
      </c>
      <c r="AH242">
        <v>0.98481169999999996</v>
      </c>
      <c r="AI242">
        <v>0.98481169999999996</v>
      </c>
      <c r="AJ242">
        <v>0.98</v>
      </c>
      <c r="AK242">
        <v>1</v>
      </c>
      <c r="AL242">
        <v>0</v>
      </c>
      <c r="AM242">
        <v>0</v>
      </c>
      <c r="BB242" s="446">
        <v>1</v>
      </c>
      <c r="BC242">
        <v>1</v>
      </c>
      <c r="BD242">
        <v>1</v>
      </c>
      <c r="BE242">
        <v>1</v>
      </c>
      <c r="BF242">
        <v>0.99990000000000001</v>
      </c>
      <c r="BG242">
        <v>1</v>
      </c>
      <c r="BH242">
        <v>1</v>
      </c>
      <c r="BI242">
        <v>0.99</v>
      </c>
      <c r="BJ242">
        <v>0.999</v>
      </c>
      <c r="BK242">
        <v>0.998</v>
      </c>
      <c r="BL242">
        <v>0.99850000000000005</v>
      </c>
      <c r="BM242">
        <v>0.99850000000000005</v>
      </c>
      <c r="BN242">
        <v>0.97199999999999998</v>
      </c>
      <c r="BO242">
        <v>0.99990000000000001</v>
      </c>
      <c r="BP242">
        <v>0.99990000000000001</v>
      </c>
      <c r="BQ242">
        <v>1</v>
      </c>
      <c r="BR242">
        <v>1.1314076</v>
      </c>
      <c r="BS242">
        <v>1.1364000000000001</v>
      </c>
      <c r="BT242">
        <v>1.0827</v>
      </c>
      <c r="BU242">
        <v>1.0285</v>
      </c>
      <c r="BV242">
        <v>1</v>
      </c>
      <c r="BW242">
        <v>2.6970000000000001</v>
      </c>
      <c r="BX242">
        <v>2.343016333</v>
      </c>
      <c r="BY242">
        <v>1.18445</v>
      </c>
      <c r="BZ242">
        <v>1.2885</v>
      </c>
      <c r="CA242">
        <v>2.0009999999999999</v>
      </c>
      <c r="CB242">
        <v>1.583005</v>
      </c>
      <c r="CC242">
        <v>1.583005</v>
      </c>
      <c r="CD242">
        <v>1.3033049999999999</v>
      </c>
      <c r="CE242">
        <v>1.1127549999999999</v>
      </c>
      <c r="CF242">
        <v>1.4806049999999999</v>
      </c>
      <c r="CG242" s="332"/>
      <c r="CH242">
        <v>1.10653</v>
      </c>
      <c r="CI242" s="332"/>
      <c r="CJ242" s="332"/>
      <c r="CK242" s="332"/>
      <c r="CL242" s="332"/>
      <c r="CM242" s="332"/>
      <c r="CN242" s="332"/>
      <c r="CO242" s="332"/>
      <c r="CP242">
        <v>0.95499999999999996</v>
      </c>
      <c r="CV242">
        <v>0.45</v>
      </c>
      <c r="CW242">
        <v>0.92500000000000004</v>
      </c>
      <c r="CX242">
        <v>0.71499999999999997</v>
      </c>
      <c r="CZ242">
        <v>0.80500000000000005</v>
      </c>
      <c r="DA242">
        <v>0.83750000000000002</v>
      </c>
      <c r="DB242">
        <v>0.875</v>
      </c>
      <c r="DC242">
        <v>0.90249999999999997</v>
      </c>
      <c r="DD242">
        <v>0.82</v>
      </c>
      <c r="DE242">
        <v>0.89</v>
      </c>
      <c r="DN242" s="332">
        <v>2.8499999999999999E-4</v>
      </c>
      <c r="DO242" s="332">
        <v>2.0000000000000001E-4</v>
      </c>
      <c r="DP242" s="332">
        <v>0</v>
      </c>
      <c r="DQ242" s="332">
        <v>1E-4</v>
      </c>
      <c r="DR242" s="332">
        <v>0</v>
      </c>
      <c r="DS242" s="332">
        <v>3.5999999999999999E-3</v>
      </c>
      <c r="DT242" s="332">
        <v>4.6999999999999999E-4</v>
      </c>
      <c r="DU242" s="332">
        <v>6.9999999999999999E-4</v>
      </c>
      <c r="DV242" s="332">
        <v>0</v>
      </c>
      <c r="DW242" s="332">
        <v>0</v>
      </c>
      <c r="DX242" s="332">
        <v>5.0000000000000001E-4</v>
      </c>
      <c r="DY242" s="332">
        <v>5.0000000000000001E-4</v>
      </c>
      <c r="DZ242" s="332">
        <v>2.9999999999999997E-4</v>
      </c>
      <c r="EA242" s="332">
        <v>2.7500000000000002E-4</v>
      </c>
      <c r="EB242" s="332">
        <v>4.0000000000000002E-4</v>
      </c>
      <c r="ED242" s="332">
        <v>6.4999999999999994E-5</v>
      </c>
      <c r="EF242">
        <v>1</v>
      </c>
    </row>
    <row r="243" spans="1:136" x14ac:dyDescent="0.25">
      <c r="A243" s="66">
        <v>43770</v>
      </c>
      <c r="B243">
        <v>0.98</v>
      </c>
      <c r="C243">
        <v>0</v>
      </c>
      <c r="E243">
        <v>0</v>
      </c>
      <c r="F243">
        <v>0</v>
      </c>
      <c r="G243">
        <v>0</v>
      </c>
      <c r="H243">
        <v>0.98750000000000004</v>
      </c>
      <c r="I243">
        <v>0.98750000000000004</v>
      </c>
      <c r="J243">
        <v>0.98050000000000004</v>
      </c>
      <c r="K243">
        <v>0</v>
      </c>
      <c r="L243" s="333">
        <v>0.98750000000000004</v>
      </c>
      <c r="M243" s="333">
        <v>0.98750000000000004</v>
      </c>
      <c r="N243">
        <v>0.98</v>
      </c>
      <c r="O243">
        <v>0.98750000000000004</v>
      </c>
      <c r="P243">
        <v>0.98</v>
      </c>
      <c r="Q243" s="328">
        <v>0.98750000000000004</v>
      </c>
      <c r="R243">
        <v>0.98750000000000004</v>
      </c>
      <c r="S243" s="333">
        <v>0.98750000000000004</v>
      </c>
      <c r="T243">
        <v>0.98</v>
      </c>
      <c r="U243">
        <v>0.98</v>
      </c>
      <c r="V243">
        <v>0.98</v>
      </c>
      <c r="W243">
        <v>0.98</v>
      </c>
      <c r="X243">
        <v>0.98750000000000004</v>
      </c>
      <c r="Y243">
        <v>0.98750000000000004</v>
      </c>
      <c r="Z243">
        <v>0.98750000000000004</v>
      </c>
      <c r="AA243">
        <v>0.98750000000000004</v>
      </c>
      <c r="AB243">
        <v>0.98</v>
      </c>
      <c r="AC243">
        <v>0.98</v>
      </c>
      <c r="AD243">
        <v>0.98750000000000004</v>
      </c>
      <c r="AE243">
        <v>0.98750000000000004</v>
      </c>
      <c r="AF243">
        <v>0.98</v>
      </c>
      <c r="AG243">
        <v>0.99</v>
      </c>
      <c r="AH243">
        <v>0.98486954999999998</v>
      </c>
      <c r="AI243">
        <v>0.98486954999999998</v>
      </c>
      <c r="AJ243">
        <v>0.98</v>
      </c>
      <c r="AK243">
        <v>1</v>
      </c>
      <c r="AL243">
        <v>0</v>
      </c>
      <c r="AM243">
        <v>0</v>
      </c>
      <c r="BB243" s="446">
        <v>1</v>
      </c>
      <c r="BC243">
        <v>1</v>
      </c>
      <c r="BD243">
        <v>1</v>
      </c>
      <c r="BE243">
        <v>1</v>
      </c>
      <c r="BF243">
        <v>0.99990000000000001</v>
      </c>
      <c r="BG243">
        <v>1</v>
      </c>
      <c r="BH243">
        <v>1</v>
      </c>
      <c r="BI243">
        <v>0.99</v>
      </c>
      <c r="BJ243">
        <v>0.999</v>
      </c>
      <c r="BK243">
        <v>0.998</v>
      </c>
      <c r="BL243">
        <v>0.99850000000000005</v>
      </c>
      <c r="BM243">
        <v>0.99850000000000005</v>
      </c>
      <c r="BN243">
        <v>0.97199999999999998</v>
      </c>
      <c r="BO243">
        <v>0.99990000000000001</v>
      </c>
      <c r="BP243">
        <v>0.99990000000000001</v>
      </c>
      <c r="BQ243">
        <v>1</v>
      </c>
      <c r="BR243">
        <v>1.1316926</v>
      </c>
      <c r="BS243">
        <v>1.1366000000000001</v>
      </c>
      <c r="BT243">
        <v>1.0827</v>
      </c>
      <c r="BU243">
        <v>1.0286</v>
      </c>
      <c r="BV243">
        <v>1</v>
      </c>
      <c r="BW243">
        <v>2.7006000000000001</v>
      </c>
      <c r="BX243">
        <v>2.343486333</v>
      </c>
      <c r="BY243">
        <v>1.1851499999999999</v>
      </c>
      <c r="BZ243">
        <v>1.2885</v>
      </c>
      <c r="CA243">
        <v>2.0009999999999999</v>
      </c>
      <c r="CB243">
        <v>1.5835049999999999</v>
      </c>
      <c r="CC243">
        <v>1.5835049999999999</v>
      </c>
      <c r="CD243">
        <v>1.3036049999999999</v>
      </c>
      <c r="CE243">
        <v>1.11303</v>
      </c>
      <c r="CF243">
        <v>1.4810049999999999</v>
      </c>
      <c r="CG243" s="332"/>
      <c r="CH243">
        <v>1.106595</v>
      </c>
      <c r="CI243" s="332"/>
      <c r="CJ243" s="332"/>
      <c r="CK243" s="332"/>
      <c r="CL243" s="332"/>
      <c r="CM243" s="332"/>
      <c r="CN243" s="332"/>
      <c r="CO243" s="332"/>
      <c r="CP243">
        <v>0.95499999999999996</v>
      </c>
      <c r="CV243">
        <v>0.46</v>
      </c>
      <c r="CW243">
        <v>0.90500000000000003</v>
      </c>
      <c r="CX243">
        <v>0.67500000000000004</v>
      </c>
      <c r="CZ243">
        <v>0.79500000000000004</v>
      </c>
      <c r="DA243">
        <v>0.82750000000000001</v>
      </c>
      <c r="DB243">
        <v>0.85</v>
      </c>
      <c r="DC243">
        <v>0.90249999999999997</v>
      </c>
      <c r="DD243">
        <v>0.82</v>
      </c>
      <c r="DE243">
        <v>0.89</v>
      </c>
      <c r="DN243" s="332">
        <v>2.8499999999999999E-4</v>
      </c>
      <c r="DO243" s="332">
        <v>2.0000000000000001E-4</v>
      </c>
      <c r="DP243" s="332">
        <v>0</v>
      </c>
      <c r="DQ243" s="332">
        <v>1E-4</v>
      </c>
      <c r="DR243" s="332">
        <v>0</v>
      </c>
      <c r="DS243" s="332">
        <v>3.5999999999999999E-3</v>
      </c>
      <c r="DT243" s="332">
        <v>4.6999999999999999E-4</v>
      </c>
      <c r="DU243" s="332">
        <v>6.9999999999999999E-4</v>
      </c>
      <c r="DV243" s="332">
        <v>0</v>
      </c>
      <c r="DW243" s="332">
        <v>0</v>
      </c>
      <c r="DX243" s="332">
        <v>5.0000000000000001E-4</v>
      </c>
      <c r="DY243" s="332">
        <v>5.0000000000000001E-4</v>
      </c>
      <c r="DZ243" s="332">
        <v>2.9999999999999997E-4</v>
      </c>
      <c r="EA243" s="332">
        <v>2.7500000000000002E-4</v>
      </c>
      <c r="EB243" s="332">
        <v>4.0000000000000002E-4</v>
      </c>
      <c r="ED243" s="332">
        <v>6.4999999999999994E-5</v>
      </c>
      <c r="EF243">
        <v>1</v>
      </c>
    </row>
    <row r="244" spans="1:136" x14ac:dyDescent="0.25">
      <c r="A244" s="66">
        <v>43800</v>
      </c>
      <c r="B244">
        <v>0.98</v>
      </c>
      <c r="C244">
        <v>0</v>
      </c>
      <c r="E244">
        <v>0</v>
      </c>
      <c r="F244">
        <v>0</v>
      </c>
      <c r="G244">
        <v>0</v>
      </c>
      <c r="H244">
        <v>0.98750000000000004</v>
      </c>
      <c r="I244">
        <v>0.98750000000000004</v>
      </c>
      <c r="J244">
        <v>0.98050000000000004</v>
      </c>
      <c r="K244">
        <v>0</v>
      </c>
      <c r="L244" s="333">
        <v>0.93456295</v>
      </c>
      <c r="M244" s="333">
        <v>0.98604311200000005</v>
      </c>
      <c r="N244">
        <v>0.89969445000000003</v>
      </c>
      <c r="O244">
        <v>0.98750000000000004</v>
      </c>
      <c r="P244">
        <v>0.89969445000000003</v>
      </c>
      <c r="Q244" s="328">
        <v>0.93456295</v>
      </c>
      <c r="R244">
        <v>0.93456295</v>
      </c>
      <c r="S244" s="333">
        <v>0.93456295</v>
      </c>
      <c r="T244">
        <v>0.89969445000000003</v>
      </c>
      <c r="U244">
        <v>0.89969445000000003</v>
      </c>
      <c r="V244">
        <v>0.89969445000000003</v>
      </c>
      <c r="W244">
        <v>0.89969445000000003</v>
      </c>
      <c r="X244">
        <v>0.98750000000000004</v>
      </c>
      <c r="Y244">
        <v>0.98750000000000004</v>
      </c>
      <c r="Z244">
        <v>0.98750000000000004</v>
      </c>
      <c r="AA244">
        <v>0.98750000000000004</v>
      </c>
      <c r="AB244">
        <v>0.89969445000000003</v>
      </c>
      <c r="AC244">
        <v>0.89969445000000003</v>
      </c>
      <c r="AD244">
        <v>0.98750000000000004</v>
      </c>
      <c r="AE244">
        <v>0.98750000000000004</v>
      </c>
      <c r="AF244">
        <v>0.89969445000000003</v>
      </c>
      <c r="AG244">
        <v>0.98</v>
      </c>
      <c r="AH244">
        <v>0.98492740000000001</v>
      </c>
      <c r="AI244">
        <v>0.98492740000000001</v>
      </c>
      <c r="AJ244">
        <v>0.89969445000000003</v>
      </c>
      <c r="AK244">
        <v>1</v>
      </c>
      <c r="AL244">
        <v>0</v>
      </c>
      <c r="AM244">
        <v>0</v>
      </c>
      <c r="BB244" s="446">
        <v>1</v>
      </c>
      <c r="BC244">
        <v>1</v>
      </c>
      <c r="BD244">
        <v>1</v>
      </c>
      <c r="BE244">
        <v>1</v>
      </c>
      <c r="BF244">
        <v>0.99990000000000001</v>
      </c>
      <c r="BG244">
        <v>1</v>
      </c>
      <c r="BH244">
        <v>1</v>
      </c>
      <c r="BI244">
        <v>0.99</v>
      </c>
      <c r="BJ244">
        <v>0.999</v>
      </c>
      <c r="BK244">
        <v>0.998</v>
      </c>
      <c r="BL244">
        <v>0.99850000000000005</v>
      </c>
      <c r="BM244">
        <v>0.99850000000000005</v>
      </c>
      <c r="BN244">
        <v>0.97199999999999998</v>
      </c>
      <c r="BO244">
        <v>0.99990000000000001</v>
      </c>
      <c r="BP244">
        <v>0.99990000000000001</v>
      </c>
      <c r="BQ244">
        <v>1</v>
      </c>
      <c r="BR244">
        <v>1.1319775999999999</v>
      </c>
      <c r="BS244">
        <v>1.1368</v>
      </c>
      <c r="BT244">
        <v>1.0827</v>
      </c>
      <c r="BU244">
        <v>1.0286999999999999</v>
      </c>
      <c r="BV244">
        <v>1</v>
      </c>
      <c r="BW244">
        <v>2.7042000000000002</v>
      </c>
      <c r="BX244">
        <v>2.3439563329999999</v>
      </c>
      <c r="BY244">
        <v>1.1858500000000001</v>
      </c>
      <c r="BZ244">
        <v>1.2885</v>
      </c>
      <c r="CA244">
        <v>2.0009999999999999</v>
      </c>
      <c r="CB244">
        <v>1.5840050000000001</v>
      </c>
      <c r="CC244">
        <v>1.5840050000000001</v>
      </c>
      <c r="CD244">
        <v>1.3039050000000001</v>
      </c>
      <c r="CE244">
        <v>1.113305</v>
      </c>
      <c r="CF244">
        <v>1.4814050000000001</v>
      </c>
      <c r="CG244" s="332"/>
      <c r="CH244">
        <v>1.10666</v>
      </c>
      <c r="CI244" s="332"/>
      <c r="CJ244" s="332"/>
      <c r="CK244" s="332"/>
      <c r="CL244" s="332"/>
      <c r="CM244" s="332"/>
      <c r="CN244" s="332"/>
      <c r="CO244" s="332"/>
      <c r="CP244">
        <v>0.93500000000000005</v>
      </c>
      <c r="CV244">
        <v>0.48</v>
      </c>
      <c r="CW244">
        <v>0.875</v>
      </c>
      <c r="CX244">
        <v>0.68</v>
      </c>
      <c r="CZ244">
        <v>0.59</v>
      </c>
      <c r="DA244">
        <v>0.62250000000000005</v>
      </c>
      <c r="DB244">
        <v>0.69</v>
      </c>
      <c r="DC244">
        <v>0.89249999999999996</v>
      </c>
      <c r="DD244">
        <v>0.71499999999999997</v>
      </c>
      <c r="DE244">
        <v>0.89</v>
      </c>
      <c r="DN244" s="332">
        <v>2.8499999999999999E-4</v>
      </c>
      <c r="DO244" s="332">
        <v>2.0000000000000001E-4</v>
      </c>
      <c r="DP244" s="332">
        <v>0</v>
      </c>
      <c r="DQ244" s="332">
        <v>1E-4</v>
      </c>
      <c r="DR244" s="332">
        <v>0</v>
      </c>
      <c r="DS244" s="332">
        <v>3.5999999999999999E-3</v>
      </c>
      <c r="DT244" s="332">
        <v>4.6999999999999999E-4</v>
      </c>
      <c r="DU244" s="332">
        <v>6.9999999999999999E-4</v>
      </c>
      <c r="DV244" s="332">
        <v>0</v>
      </c>
      <c r="DW244" s="332">
        <v>0</v>
      </c>
      <c r="DX244" s="332">
        <v>5.0000000000000001E-4</v>
      </c>
      <c r="DY244" s="332">
        <v>5.0000000000000001E-4</v>
      </c>
      <c r="DZ244" s="332">
        <v>2.9999999999999997E-4</v>
      </c>
      <c r="EA244" s="332">
        <v>2.7500000000000002E-4</v>
      </c>
      <c r="EB244" s="332">
        <v>4.0000000000000002E-4</v>
      </c>
      <c r="ED244" s="332">
        <v>6.4999999999999994E-5</v>
      </c>
      <c r="EF244">
        <v>1</v>
      </c>
    </row>
    <row r="245" spans="1:136" x14ac:dyDescent="0.25">
      <c r="A245" s="66">
        <v>43831</v>
      </c>
      <c r="B245">
        <v>0.98</v>
      </c>
      <c r="C245">
        <v>0</v>
      </c>
      <c r="E245">
        <v>0</v>
      </c>
      <c r="F245">
        <v>0</v>
      </c>
      <c r="G245">
        <v>0</v>
      </c>
      <c r="H245">
        <v>0.98750000000000004</v>
      </c>
      <c r="I245">
        <v>0.95517275000000001</v>
      </c>
      <c r="J245">
        <v>0.98050000000000004</v>
      </c>
      <c r="K245">
        <v>0</v>
      </c>
      <c r="L245" s="333">
        <v>0.95862552499999998</v>
      </c>
      <c r="M245" s="333">
        <v>0.98750000000000004</v>
      </c>
      <c r="N245">
        <v>0.89990144999999999</v>
      </c>
      <c r="O245">
        <v>0.9799504</v>
      </c>
      <c r="P245">
        <v>0.89990144999999999</v>
      </c>
      <c r="Q245" s="328">
        <v>0.95862552499999998</v>
      </c>
      <c r="R245">
        <v>0.95862552499999998</v>
      </c>
      <c r="S245" s="333">
        <v>0.95862552499999998</v>
      </c>
      <c r="T245">
        <v>0.89990144999999999</v>
      </c>
      <c r="U245">
        <v>0.89990144999999999</v>
      </c>
      <c r="V245">
        <v>0.89990144999999999</v>
      </c>
      <c r="W245">
        <v>0.89990144999999999</v>
      </c>
      <c r="X245">
        <v>0.9799504</v>
      </c>
      <c r="Y245">
        <v>0.9799504</v>
      </c>
      <c r="Z245">
        <v>0.9799504</v>
      </c>
      <c r="AA245">
        <v>0.9799504</v>
      </c>
      <c r="AB245">
        <v>0.89990144999999999</v>
      </c>
      <c r="AC245">
        <v>0.89990144999999999</v>
      </c>
      <c r="AD245">
        <v>0.9799504</v>
      </c>
      <c r="AE245">
        <v>0.9799504</v>
      </c>
      <c r="AF245">
        <v>0.89990144999999999</v>
      </c>
      <c r="AG245">
        <v>0.98</v>
      </c>
      <c r="AH245">
        <v>0.98498525000000003</v>
      </c>
      <c r="AI245">
        <v>0.98498525000000003</v>
      </c>
      <c r="AJ245">
        <v>0.89990144999999999</v>
      </c>
      <c r="AK245">
        <v>1</v>
      </c>
      <c r="AL245">
        <v>0</v>
      </c>
      <c r="AM245">
        <v>0</v>
      </c>
      <c r="BB245" s="446">
        <v>1</v>
      </c>
      <c r="BC245">
        <v>1</v>
      </c>
      <c r="BD245">
        <v>1</v>
      </c>
      <c r="BE245">
        <v>1</v>
      </c>
      <c r="BF245">
        <v>0.99990000000000001</v>
      </c>
      <c r="BG245">
        <v>1</v>
      </c>
      <c r="BH245">
        <v>1</v>
      </c>
      <c r="BI245">
        <v>0.99</v>
      </c>
      <c r="BJ245">
        <v>0.999</v>
      </c>
      <c r="BK245">
        <v>0.998</v>
      </c>
      <c r="BL245">
        <v>0.99850000000000005</v>
      </c>
      <c r="BM245">
        <v>0.99850000000000005</v>
      </c>
      <c r="BN245">
        <v>0.97199999999999998</v>
      </c>
      <c r="BO245">
        <v>0.99990000000000001</v>
      </c>
      <c r="BP245">
        <v>0.99990000000000001</v>
      </c>
      <c r="BQ245">
        <v>1</v>
      </c>
      <c r="BR245">
        <v>1.1322626</v>
      </c>
      <c r="BS245">
        <v>1.137</v>
      </c>
      <c r="BT245">
        <v>1.0827</v>
      </c>
      <c r="BU245">
        <v>1.0287999999999999</v>
      </c>
      <c r="BV245">
        <v>1</v>
      </c>
      <c r="BW245">
        <v>2.7078000000000002</v>
      </c>
      <c r="BX245">
        <v>2.3444263329999999</v>
      </c>
      <c r="BY245">
        <v>1.18655</v>
      </c>
      <c r="BZ245">
        <v>1.2885</v>
      </c>
      <c r="CA245">
        <v>2.0009999999999999</v>
      </c>
      <c r="CB245">
        <v>1.5845050000000001</v>
      </c>
      <c r="CC245">
        <v>1.5845050000000001</v>
      </c>
      <c r="CD245">
        <v>1.3042050000000001</v>
      </c>
      <c r="CE245">
        <v>1.11358</v>
      </c>
      <c r="CF245">
        <v>1.481805</v>
      </c>
      <c r="CG245" s="332"/>
      <c r="CH245">
        <v>1.106725</v>
      </c>
      <c r="CI245" s="332"/>
      <c r="CJ245" s="332"/>
      <c r="CK245" s="332"/>
      <c r="CL245" s="332"/>
      <c r="CM245" s="332"/>
      <c r="CN245" s="332"/>
      <c r="CO245" s="332"/>
      <c r="CP245">
        <v>0.89500000000000002</v>
      </c>
      <c r="CV245">
        <v>0.45</v>
      </c>
      <c r="CW245">
        <v>0.80500000000000005</v>
      </c>
      <c r="CX245">
        <v>0.69</v>
      </c>
      <c r="CZ245">
        <v>0.60499999999999998</v>
      </c>
      <c r="DA245">
        <v>0.63749999999999996</v>
      </c>
      <c r="DB245">
        <v>0.69</v>
      </c>
      <c r="DC245">
        <v>0.88</v>
      </c>
      <c r="DD245">
        <v>0.64</v>
      </c>
      <c r="DE245">
        <v>0.89</v>
      </c>
      <c r="DN245" s="332">
        <v>2.8499999999999999E-4</v>
      </c>
      <c r="DO245" s="332">
        <v>2.0000000000000001E-4</v>
      </c>
      <c r="DP245" s="332">
        <v>0</v>
      </c>
      <c r="DQ245" s="332">
        <v>1E-4</v>
      </c>
      <c r="DR245" s="332">
        <v>0</v>
      </c>
      <c r="DS245" s="332">
        <v>3.5999999999999999E-3</v>
      </c>
      <c r="DT245" s="332">
        <v>4.6999999999999999E-4</v>
      </c>
      <c r="DU245" s="332">
        <v>6.9999999999999999E-4</v>
      </c>
      <c r="DV245" s="332">
        <v>0</v>
      </c>
      <c r="DW245" s="332">
        <v>0</v>
      </c>
      <c r="DX245" s="332">
        <v>5.0000000000000001E-4</v>
      </c>
      <c r="DY245" s="332">
        <v>5.0000000000000001E-4</v>
      </c>
      <c r="DZ245" s="332">
        <v>2.9999999999999997E-4</v>
      </c>
      <c r="EA245" s="332">
        <v>2.7500000000000002E-4</v>
      </c>
      <c r="EB245" s="332">
        <v>4.0000000000000002E-4</v>
      </c>
      <c r="ED245" s="332">
        <v>6.4999999999999994E-5</v>
      </c>
      <c r="EF245">
        <v>1</v>
      </c>
    </row>
    <row r="246" spans="1:136" x14ac:dyDescent="0.25">
      <c r="A246" s="66">
        <v>43862</v>
      </c>
      <c r="B246">
        <v>0.98</v>
      </c>
      <c r="C246">
        <v>0</v>
      </c>
      <c r="E246">
        <v>0</v>
      </c>
      <c r="F246">
        <v>0</v>
      </c>
      <c r="G246">
        <v>0</v>
      </c>
      <c r="H246">
        <v>0.98750000000000004</v>
      </c>
      <c r="I246">
        <v>0.98750000000000004</v>
      </c>
      <c r="J246">
        <v>0.98050000000000004</v>
      </c>
      <c r="K246">
        <v>0</v>
      </c>
      <c r="L246" s="333">
        <v>0.98750000000000004</v>
      </c>
      <c r="M246" s="333">
        <v>0.98750000000000004</v>
      </c>
      <c r="N246">
        <v>0.92619854999999995</v>
      </c>
      <c r="O246">
        <v>0.97740776299999998</v>
      </c>
      <c r="P246">
        <v>0.92619854999999995</v>
      </c>
      <c r="Q246" s="328">
        <v>0.98750000000000004</v>
      </c>
      <c r="R246">
        <v>0.98750000000000004</v>
      </c>
      <c r="S246" s="333">
        <v>0.98750000000000004</v>
      </c>
      <c r="T246">
        <v>0.92619854999999995</v>
      </c>
      <c r="U246">
        <v>0.92619854999999995</v>
      </c>
      <c r="V246">
        <v>0.92619854999999995</v>
      </c>
      <c r="W246">
        <v>0.92619854999999995</v>
      </c>
      <c r="X246">
        <v>0.97740776299999998</v>
      </c>
      <c r="Y246">
        <v>0.97740776299999998</v>
      </c>
      <c r="Z246">
        <v>0.97740776299999998</v>
      </c>
      <c r="AA246">
        <v>0.97740776299999998</v>
      </c>
      <c r="AB246">
        <v>0.92619854999999995</v>
      </c>
      <c r="AC246">
        <v>0.92619854999999995</v>
      </c>
      <c r="AD246">
        <v>0.97740776299999998</v>
      </c>
      <c r="AE246">
        <v>0.97740776299999998</v>
      </c>
      <c r="AF246">
        <v>0.92619854999999995</v>
      </c>
      <c r="AG246">
        <v>0.98</v>
      </c>
      <c r="AH246">
        <v>0.98499999999999999</v>
      </c>
      <c r="AI246">
        <v>0.98499999999999999</v>
      </c>
      <c r="AJ246">
        <v>0.92619854999999995</v>
      </c>
      <c r="AK246">
        <v>1</v>
      </c>
      <c r="AL246">
        <v>0</v>
      </c>
      <c r="AM246">
        <v>0</v>
      </c>
      <c r="BB246" s="446">
        <v>1</v>
      </c>
      <c r="BC246">
        <v>1</v>
      </c>
      <c r="BD246">
        <v>1</v>
      </c>
      <c r="BE246">
        <v>1</v>
      </c>
      <c r="BF246">
        <v>0.99990000000000001</v>
      </c>
      <c r="BG246">
        <v>1</v>
      </c>
      <c r="BH246">
        <v>1</v>
      </c>
      <c r="BI246">
        <v>0.99</v>
      </c>
      <c r="BJ246">
        <v>0.999</v>
      </c>
      <c r="BK246">
        <v>0.998</v>
      </c>
      <c r="BL246">
        <v>0.99850000000000005</v>
      </c>
      <c r="BM246">
        <v>0.99850000000000005</v>
      </c>
      <c r="BN246">
        <v>0.97199999999999998</v>
      </c>
      <c r="BO246">
        <v>0.99990000000000001</v>
      </c>
      <c r="BP246">
        <v>0.99990000000000001</v>
      </c>
      <c r="BQ246">
        <v>1</v>
      </c>
      <c r="BR246">
        <v>1.1325476000000001</v>
      </c>
      <c r="BS246">
        <v>1.1372</v>
      </c>
      <c r="BT246">
        <v>1.0827</v>
      </c>
      <c r="BU246">
        <v>1.0288999999999999</v>
      </c>
      <c r="BV246">
        <v>1</v>
      </c>
      <c r="BW246">
        <v>2.7113999999999998</v>
      </c>
      <c r="BX246">
        <v>2.3448963329999999</v>
      </c>
      <c r="BY246">
        <v>1.1872499999999999</v>
      </c>
      <c r="BZ246">
        <v>1.2885</v>
      </c>
      <c r="CA246">
        <v>2.0009999999999999</v>
      </c>
      <c r="CB246">
        <v>1.585005</v>
      </c>
      <c r="CC246">
        <v>1.585005</v>
      </c>
      <c r="CD246">
        <v>1.304505</v>
      </c>
      <c r="CE246">
        <v>1.113855</v>
      </c>
      <c r="CF246">
        <v>1.482205</v>
      </c>
      <c r="CG246" s="332"/>
      <c r="CH246">
        <v>1.1067899999999999</v>
      </c>
      <c r="CI246" s="332"/>
      <c r="CJ246" s="332"/>
      <c r="CK246" s="332"/>
      <c r="CL246" s="332"/>
      <c r="CM246" s="332"/>
      <c r="CN246" s="332"/>
      <c r="CO246" s="332"/>
      <c r="CP246">
        <v>0.86499999999999999</v>
      </c>
      <c r="CV246">
        <v>0.45</v>
      </c>
      <c r="CW246">
        <v>0.84499999999999997</v>
      </c>
      <c r="CX246">
        <v>0.79500000000000004</v>
      </c>
      <c r="CZ246">
        <v>0.63500000000000001</v>
      </c>
      <c r="DA246">
        <v>0.66749999999999998</v>
      </c>
      <c r="DB246">
        <v>0.71</v>
      </c>
      <c r="DC246">
        <v>0.87749999999999995</v>
      </c>
      <c r="DD246">
        <v>0.67</v>
      </c>
      <c r="DE246">
        <v>0.89</v>
      </c>
      <c r="DN246" s="332">
        <v>2.8499999999999999E-4</v>
      </c>
      <c r="DO246" s="332">
        <v>2.0000000000000001E-4</v>
      </c>
      <c r="DP246" s="332">
        <v>0</v>
      </c>
      <c r="DQ246" s="332">
        <v>1E-4</v>
      </c>
      <c r="DR246" s="332">
        <v>0</v>
      </c>
      <c r="DS246" s="332">
        <v>3.5999999999999999E-3</v>
      </c>
      <c r="DT246" s="332">
        <v>4.6999999999999999E-4</v>
      </c>
      <c r="DU246" s="332">
        <v>6.9999999999999999E-4</v>
      </c>
      <c r="DV246" s="332">
        <v>0</v>
      </c>
      <c r="DW246" s="332">
        <v>0</v>
      </c>
      <c r="DX246" s="332">
        <v>5.0000000000000001E-4</v>
      </c>
      <c r="DY246" s="332">
        <v>5.0000000000000001E-4</v>
      </c>
      <c r="DZ246" s="332">
        <v>2.9999999999999997E-4</v>
      </c>
      <c r="EA246" s="332">
        <v>2.7500000000000002E-4</v>
      </c>
      <c r="EB246" s="332">
        <v>4.0000000000000002E-4</v>
      </c>
      <c r="ED246" s="332">
        <v>6.4999999999999994E-5</v>
      </c>
      <c r="EF246">
        <v>1</v>
      </c>
    </row>
    <row r="247" spans="1:136" x14ac:dyDescent="0.25">
      <c r="A247" s="66">
        <v>43891</v>
      </c>
      <c r="B247">
        <v>0.98</v>
      </c>
      <c r="C247">
        <v>0</v>
      </c>
      <c r="E247">
        <v>0</v>
      </c>
      <c r="F247">
        <v>0</v>
      </c>
      <c r="G247">
        <v>0</v>
      </c>
      <c r="H247">
        <v>0.98750000000000004</v>
      </c>
      <c r="I247">
        <v>0.98750000000000004</v>
      </c>
      <c r="J247">
        <v>0.98050000000000004</v>
      </c>
      <c r="K247">
        <v>0</v>
      </c>
      <c r="L247" s="333">
        <v>0.98750000000000004</v>
      </c>
      <c r="M247" s="333">
        <v>0.98750000000000004</v>
      </c>
      <c r="N247">
        <v>0.98</v>
      </c>
      <c r="O247">
        <v>0.98750000000000004</v>
      </c>
      <c r="P247">
        <v>0.98</v>
      </c>
      <c r="Q247" s="328">
        <v>0.98750000000000004</v>
      </c>
      <c r="R247">
        <v>0.98750000000000004</v>
      </c>
      <c r="S247" s="333">
        <v>0.98750000000000004</v>
      </c>
      <c r="T247">
        <v>0.98</v>
      </c>
      <c r="U247">
        <v>0.98</v>
      </c>
      <c r="V247">
        <v>0.98</v>
      </c>
      <c r="W247">
        <v>0.98</v>
      </c>
      <c r="X247">
        <v>0.98750000000000004</v>
      </c>
      <c r="Y247">
        <v>0.98750000000000004</v>
      </c>
      <c r="Z247">
        <v>0.98750000000000004</v>
      </c>
      <c r="AA247">
        <v>0.98750000000000004</v>
      </c>
      <c r="AB247">
        <v>0.98</v>
      </c>
      <c r="AC247">
        <v>0.98</v>
      </c>
      <c r="AD247">
        <v>0.98750000000000004</v>
      </c>
      <c r="AE247">
        <v>0.98750000000000004</v>
      </c>
      <c r="AF247">
        <v>0.98</v>
      </c>
      <c r="AG247">
        <v>0.99</v>
      </c>
      <c r="AH247">
        <v>0.98499999999999999</v>
      </c>
      <c r="AI247">
        <v>0.98499999999999999</v>
      </c>
      <c r="AJ247">
        <v>0.98</v>
      </c>
      <c r="AK247">
        <v>1</v>
      </c>
      <c r="AL247">
        <v>0</v>
      </c>
      <c r="AM247">
        <v>0</v>
      </c>
      <c r="BB247" s="446">
        <v>1</v>
      </c>
      <c r="BC247">
        <v>1</v>
      </c>
      <c r="BD247">
        <v>1</v>
      </c>
      <c r="BE247">
        <v>1</v>
      </c>
      <c r="BF247">
        <v>0.99990000000000001</v>
      </c>
      <c r="BG247">
        <v>1</v>
      </c>
      <c r="BH247">
        <v>1</v>
      </c>
      <c r="BI247">
        <v>0.99</v>
      </c>
      <c r="BJ247">
        <v>0.999</v>
      </c>
      <c r="BK247">
        <v>0.998</v>
      </c>
      <c r="BL247">
        <v>0.99850000000000005</v>
      </c>
      <c r="BM247">
        <v>0.99850000000000005</v>
      </c>
      <c r="BN247">
        <v>0.97199999999999998</v>
      </c>
      <c r="BO247">
        <v>0.99990000000000001</v>
      </c>
      <c r="BP247">
        <v>0.99990000000000001</v>
      </c>
      <c r="BQ247">
        <v>1</v>
      </c>
      <c r="BR247">
        <v>1.1328326</v>
      </c>
      <c r="BS247">
        <v>1.1374</v>
      </c>
      <c r="BT247">
        <v>1.0827</v>
      </c>
      <c r="BU247">
        <v>1.0289999999999999</v>
      </c>
      <c r="BV247">
        <v>1</v>
      </c>
      <c r="BW247">
        <v>2.7149999999999999</v>
      </c>
      <c r="BX247">
        <v>2.3453663329999999</v>
      </c>
      <c r="BY247">
        <v>1.1879500000000001</v>
      </c>
      <c r="BZ247">
        <v>1.2885</v>
      </c>
      <c r="CA247">
        <v>2.0009999999999999</v>
      </c>
      <c r="CB247">
        <v>1.5855049999999999</v>
      </c>
      <c r="CC247">
        <v>1.5855049999999999</v>
      </c>
      <c r="CD247">
        <v>1.304805</v>
      </c>
      <c r="CE247">
        <v>1.1141300000000001</v>
      </c>
      <c r="CF247">
        <v>1.482605</v>
      </c>
      <c r="CG247" s="332"/>
      <c r="CH247">
        <v>1.1068549999999999</v>
      </c>
      <c r="CI247" s="332"/>
      <c r="CJ247" s="332"/>
      <c r="CK247" s="332"/>
      <c r="CL247" s="332"/>
      <c r="CM247" s="332"/>
      <c r="CN247" s="332"/>
      <c r="CO247" s="332"/>
      <c r="CP247">
        <v>0.86499999999999999</v>
      </c>
      <c r="CV247">
        <v>0.45</v>
      </c>
      <c r="CW247">
        <v>0.875</v>
      </c>
      <c r="CX247">
        <v>0.96499999999999997</v>
      </c>
      <c r="CZ247">
        <v>0.78500000000000003</v>
      </c>
      <c r="DA247">
        <v>0.8175</v>
      </c>
      <c r="DB247">
        <v>0.8</v>
      </c>
      <c r="DC247">
        <v>0.9</v>
      </c>
      <c r="DD247">
        <v>0.83</v>
      </c>
      <c r="DE247">
        <v>0.89</v>
      </c>
      <c r="DN247" s="332">
        <v>2.8499999999999999E-4</v>
      </c>
      <c r="DO247" s="332">
        <v>2.0000000000000001E-4</v>
      </c>
      <c r="DP247" s="332">
        <v>0</v>
      </c>
      <c r="DQ247" s="332">
        <v>1E-4</v>
      </c>
      <c r="DR247" s="332">
        <v>0</v>
      </c>
      <c r="DS247" s="332">
        <v>3.5999999999999999E-3</v>
      </c>
      <c r="DT247" s="332">
        <v>4.6999999999999999E-4</v>
      </c>
      <c r="DU247" s="332">
        <v>6.9999999999999999E-4</v>
      </c>
      <c r="DV247" s="332">
        <v>0</v>
      </c>
      <c r="DW247" s="332">
        <v>0</v>
      </c>
      <c r="DX247" s="332">
        <v>5.0000000000000001E-4</v>
      </c>
      <c r="DY247" s="332">
        <v>5.0000000000000001E-4</v>
      </c>
      <c r="DZ247" s="332">
        <v>2.9999999999999997E-4</v>
      </c>
      <c r="EA247" s="332">
        <v>2.7500000000000002E-4</v>
      </c>
      <c r="EB247" s="332">
        <v>4.0000000000000002E-4</v>
      </c>
      <c r="ED247" s="332">
        <v>6.4999999999999994E-5</v>
      </c>
      <c r="EF247">
        <v>1</v>
      </c>
    </row>
    <row r="248" spans="1:136" x14ac:dyDescent="0.25">
      <c r="A248" s="66">
        <v>43922</v>
      </c>
      <c r="B248">
        <v>0.98</v>
      </c>
      <c r="C248">
        <v>0</v>
      </c>
      <c r="E248">
        <v>0</v>
      </c>
      <c r="F248">
        <v>0</v>
      </c>
      <c r="G248">
        <v>0</v>
      </c>
      <c r="H248">
        <v>0.98525125999999996</v>
      </c>
      <c r="I248">
        <v>0.98750000000000004</v>
      </c>
      <c r="J248">
        <v>0.98050000000000004</v>
      </c>
      <c r="K248">
        <v>0</v>
      </c>
      <c r="L248" s="333">
        <v>0.98750000000000004</v>
      </c>
      <c r="M248" s="333">
        <v>0.98750000000000004</v>
      </c>
      <c r="N248">
        <v>0.98</v>
      </c>
      <c r="O248">
        <v>0.98750000000000004</v>
      </c>
      <c r="P248">
        <v>0.98</v>
      </c>
      <c r="Q248" s="328">
        <v>0.98750000000000004</v>
      </c>
      <c r="R248">
        <v>0.98750000000000004</v>
      </c>
      <c r="S248" s="333">
        <v>0.98750000000000004</v>
      </c>
      <c r="T248">
        <v>0.98</v>
      </c>
      <c r="U248">
        <v>0.98</v>
      </c>
      <c r="V248">
        <v>0.98</v>
      </c>
      <c r="W248">
        <v>0.98</v>
      </c>
      <c r="X248">
        <v>0.98750000000000004</v>
      </c>
      <c r="Y248">
        <v>0.98750000000000004</v>
      </c>
      <c r="Z248">
        <v>0.98750000000000004</v>
      </c>
      <c r="AA248">
        <v>0.98750000000000004</v>
      </c>
      <c r="AB248">
        <v>0.98</v>
      </c>
      <c r="AC248">
        <v>0.98</v>
      </c>
      <c r="AD248">
        <v>0.98750000000000004</v>
      </c>
      <c r="AE248">
        <v>0.98750000000000004</v>
      </c>
      <c r="AF248">
        <v>0.98</v>
      </c>
      <c r="AG248">
        <v>0.99</v>
      </c>
      <c r="AH248">
        <v>0.98499999999999999</v>
      </c>
      <c r="AI248">
        <v>0.98499999999999999</v>
      </c>
      <c r="AJ248">
        <v>0.98</v>
      </c>
      <c r="AK248">
        <v>1</v>
      </c>
      <c r="AL248">
        <v>0</v>
      </c>
      <c r="AM248">
        <v>0</v>
      </c>
      <c r="BB248" s="446">
        <v>1</v>
      </c>
      <c r="BC248">
        <v>1</v>
      </c>
      <c r="BD248">
        <v>1</v>
      </c>
      <c r="BE248">
        <v>1</v>
      </c>
      <c r="BF248">
        <v>0.99990000000000001</v>
      </c>
      <c r="BG248">
        <v>1</v>
      </c>
      <c r="BH248">
        <v>1</v>
      </c>
      <c r="BI248">
        <v>0.99</v>
      </c>
      <c r="BJ248">
        <v>0.999</v>
      </c>
      <c r="BK248">
        <v>0.998</v>
      </c>
      <c r="BL248">
        <v>0.99850000000000005</v>
      </c>
      <c r="BM248">
        <v>0.99850000000000005</v>
      </c>
      <c r="BN248">
        <v>0.97199999999999998</v>
      </c>
      <c r="BO248">
        <v>0.99990000000000001</v>
      </c>
      <c r="BP248">
        <v>0.99990000000000001</v>
      </c>
      <c r="BQ248">
        <v>1</v>
      </c>
      <c r="BR248">
        <v>1.1331176000000001</v>
      </c>
      <c r="BS248">
        <v>1.1375999999999999</v>
      </c>
      <c r="BT248">
        <v>1.0827</v>
      </c>
      <c r="BU248">
        <v>1.0290999999999999</v>
      </c>
      <c r="BV248">
        <v>1</v>
      </c>
      <c r="BW248">
        <v>2.7185999999999999</v>
      </c>
      <c r="BX248">
        <v>2.3458363329999998</v>
      </c>
      <c r="BY248">
        <v>1.18865</v>
      </c>
      <c r="BZ248">
        <v>1.2885</v>
      </c>
      <c r="CA248">
        <v>2.0009999999999999</v>
      </c>
      <c r="CB248">
        <v>1.5860050000000001</v>
      </c>
      <c r="CC248">
        <v>1.5860050000000001</v>
      </c>
      <c r="CD248">
        <v>1.305105</v>
      </c>
      <c r="CE248">
        <v>1.1144050000000001</v>
      </c>
      <c r="CF248">
        <v>1.4830049999999999</v>
      </c>
      <c r="CG248" s="332"/>
      <c r="CH248">
        <v>1.1069199999999999</v>
      </c>
      <c r="CI248" s="332"/>
      <c r="CJ248" s="332"/>
      <c r="CK248" s="332"/>
      <c r="CL248" s="332"/>
      <c r="CM248" s="332"/>
      <c r="CN248" s="332"/>
      <c r="CO248" s="332"/>
      <c r="CP248">
        <v>0.89500000000000002</v>
      </c>
      <c r="CV248">
        <v>0.42</v>
      </c>
      <c r="CW248">
        <v>0.93500000000000005</v>
      </c>
      <c r="CX248">
        <v>0.95499999999999996</v>
      </c>
      <c r="CZ248">
        <v>0.89500000000000002</v>
      </c>
      <c r="DA248">
        <v>0.92749999999999999</v>
      </c>
      <c r="DB248">
        <v>0.85</v>
      </c>
      <c r="DC248">
        <v>0.90300000000000002</v>
      </c>
      <c r="DD248">
        <v>0.92</v>
      </c>
      <c r="DE248">
        <v>0.89</v>
      </c>
      <c r="DN248" s="332">
        <v>2.8499999999999999E-4</v>
      </c>
      <c r="DO248" s="332">
        <v>2.0000000000000001E-4</v>
      </c>
      <c r="DP248" s="332">
        <v>0</v>
      </c>
      <c r="DQ248" s="332">
        <v>1E-4</v>
      </c>
      <c r="DR248" s="332">
        <v>0</v>
      </c>
      <c r="DS248" s="332">
        <v>3.5999999999999999E-3</v>
      </c>
      <c r="DT248" s="332">
        <v>4.6999999999999999E-4</v>
      </c>
      <c r="DU248" s="332">
        <v>6.9999999999999999E-4</v>
      </c>
      <c r="DV248" s="332">
        <v>0</v>
      </c>
      <c r="DW248" s="332">
        <v>0</v>
      </c>
      <c r="DX248" s="332">
        <v>5.0000000000000001E-4</v>
      </c>
      <c r="DY248" s="332">
        <v>5.0000000000000001E-4</v>
      </c>
      <c r="DZ248" s="332">
        <v>2.9999999999999997E-4</v>
      </c>
      <c r="EA248" s="332">
        <v>2.7500000000000002E-4</v>
      </c>
      <c r="EB248" s="332">
        <v>4.0000000000000002E-4</v>
      </c>
      <c r="ED248" s="332">
        <v>6.4999999999999994E-5</v>
      </c>
      <c r="EF248">
        <v>1</v>
      </c>
    </row>
    <row r="249" spans="1:136" x14ac:dyDescent="0.25">
      <c r="A249" s="66">
        <v>43952</v>
      </c>
      <c r="B249">
        <v>0.98</v>
      </c>
      <c r="C249">
        <v>0</v>
      </c>
      <c r="E249">
        <v>0</v>
      </c>
      <c r="F249">
        <v>0</v>
      </c>
      <c r="G249">
        <v>0</v>
      </c>
      <c r="H249">
        <v>0.98544865999999998</v>
      </c>
      <c r="I249">
        <v>0.98750000000000004</v>
      </c>
      <c r="J249">
        <v>0.98050000000000004</v>
      </c>
      <c r="K249">
        <v>0</v>
      </c>
      <c r="L249" s="333">
        <v>0.98750000000000004</v>
      </c>
      <c r="M249" s="333">
        <v>0.98750000000000004</v>
      </c>
      <c r="N249">
        <v>0.98</v>
      </c>
      <c r="O249">
        <v>0.98750000000000004</v>
      </c>
      <c r="P249">
        <v>0.98</v>
      </c>
      <c r="Q249" s="328">
        <v>0.98750000000000004</v>
      </c>
      <c r="R249">
        <v>0.98750000000000004</v>
      </c>
      <c r="S249" s="333">
        <v>0.98750000000000004</v>
      </c>
      <c r="T249">
        <v>0.98</v>
      </c>
      <c r="U249">
        <v>0.98</v>
      </c>
      <c r="V249">
        <v>0.98</v>
      </c>
      <c r="W249">
        <v>0.98</v>
      </c>
      <c r="X249">
        <v>0.98750000000000004</v>
      </c>
      <c r="Y249">
        <v>0.98750000000000004</v>
      </c>
      <c r="Z249">
        <v>0.98750000000000004</v>
      </c>
      <c r="AA249">
        <v>0.98750000000000004</v>
      </c>
      <c r="AB249">
        <v>0.98</v>
      </c>
      <c r="AC249">
        <v>0.98</v>
      </c>
      <c r="AD249">
        <v>0.98750000000000004</v>
      </c>
      <c r="AE249">
        <v>0.98750000000000004</v>
      </c>
      <c r="AF249">
        <v>0.98</v>
      </c>
      <c r="AG249">
        <v>0.99</v>
      </c>
      <c r="AH249">
        <v>0.98499999999999999</v>
      </c>
      <c r="AI249">
        <v>0.98499999999999999</v>
      </c>
      <c r="AJ249">
        <v>0.98</v>
      </c>
      <c r="AK249">
        <v>1</v>
      </c>
      <c r="AL249">
        <v>0</v>
      </c>
      <c r="AM249">
        <v>0</v>
      </c>
      <c r="BB249" s="446">
        <v>1</v>
      </c>
      <c r="BC249">
        <v>1</v>
      </c>
      <c r="BD249">
        <v>1</v>
      </c>
      <c r="BE249">
        <v>1</v>
      </c>
      <c r="BF249">
        <v>0.99990000000000001</v>
      </c>
      <c r="BG249">
        <v>1</v>
      </c>
      <c r="BH249">
        <v>1</v>
      </c>
      <c r="BI249">
        <v>0.99</v>
      </c>
      <c r="BJ249">
        <v>0.999</v>
      </c>
      <c r="BK249">
        <v>0.998</v>
      </c>
      <c r="BL249">
        <v>0.99850000000000005</v>
      </c>
      <c r="BM249">
        <v>0.99850000000000005</v>
      </c>
      <c r="BN249">
        <v>0.97199999999999998</v>
      </c>
      <c r="BO249">
        <v>0.99990000000000001</v>
      </c>
      <c r="BP249">
        <v>0.99990000000000001</v>
      </c>
      <c r="BQ249">
        <v>1</v>
      </c>
      <c r="BR249">
        <v>1.1334025999999999</v>
      </c>
      <c r="BS249">
        <v>1.1377999999999999</v>
      </c>
      <c r="BT249">
        <v>1.0827</v>
      </c>
      <c r="BU249">
        <v>1.0291999999999999</v>
      </c>
      <c r="BV249">
        <v>1</v>
      </c>
      <c r="BW249">
        <v>2.7222</v>
      </c>
      <c r="BX249">
        <v>2.3463063329999998</v>
      </c>
      <c r="BY249">
        <v>1.1893499999999999</v>
      </c>
      <c r="BZ249">
        <v>1.2885</v>
      </c>
      <c r="CA249">
        <v>2.0009999999999999</v>
      </c>
      <c r="CB249">
        <v>1.5865050000000001</v>
      </c>
      <c r="CC249">
        <v>1.5865050000000001</v>
      </c>
      <c r="CD249">
        <v>1.3054049999999999</v>
      </c>
      <c r="CE249">
        <v>1.1146799999999999</v>
      </c>
      <c r="CF249">
        <v>1.4834050000000001</v>
      </c>
      <c r="CG249" s="332"/>
      <c r="CH249">
        <v>1.1069850000000001</v>
      </c>
      <c r="CI249" s="332"/>
      <c r="CJ249" s="332"/>
      <c r="CK249" s="332"/>
      <c r="CL249" s="332"/>
      <c r="CM249" s="332"/>
      <c r="CN249" s="332"/>
      <c r="CO249" s="332"/>
      <c r="CP249">
        <v>0.96499999999999997</v>
      </c>
      <c r="CV249">
        <v>0.42</v>
      </c>
      <c r="CW249">
        <v>0.93500000000000005</v>
      </c>
      <c r="CX249">
        <v>0.85499999999999998</v>
      </c>
      <c r="CZ249">
        <v>0.91749999999999998</v>
      </c>
      <c r="DA249">
        <v>0.95</v>
      </c>
      <c r="DB249">
        <v>0.88</v>
      </c>
      <c r="DC249">
        <v>0.9</v>
      </c>
      <c r="DD249">
        <v>0.93500000000000005</v>
      </c>
      <c r="DE249">
        <v>0.89</v>
      </c>
      <c r="DN249" s="332">
        <v>2.8499999999999999E-4</v>
      </c>
      <c r="DO249" s="332">
        <v>2.0000000000000001E-4</v>
      </c>
      <c r="DP249" s="332">
        <v>0</v>
      </c>
      <c r="DQ249" s="332">
        <v>1E-4</v>
      </c>
      <c r="DR249" s="332">
        <v>0</v>
      </c>
      <c r="DS249" s="332">
        <v>3.5999999999999999E-3</v>
      </c>
      <c r="DT249" s="332">
        <v>4.6999999999999999E-4</v>
      </c>
      <c r="DU249" s="332">
        <v>6.9999999999999999E-4</v>
      </c>
      <c r="DV249" s="332">
        <v>0</v>
      </c>
      <c r="DW249" s="332">
        <v>0</v>
      </c>
      <c r="DX249" s="332">
        <v>5.0000000000000001E-4</v>
      </c>
      <c r="DY249" s="332">
        <v>5.0000000000000001E-4</v>
      </c>
      <c r="DZ249" s="332">
        <v>2.9999999999999997E-4</v>
      </c>
      <c r="EA249" s="332">
        <v>2.7500000000000002E-4</v>
      </c>
      <c r="EB249" s="332">
        <v>4.0000000000000002E-4</v>
      </c>
      <c r="ED249" s="332">
        <v>6.4999999999999994E-5</v>
      </c>
      <c r="EF249">
        <v>1</v>
      </c>
    </row>
    <row r="250" spans="1:136" x14ac:dyDescent="0.25">
      <c r="A250" s="66">
        <v>43983</v>
      </c>
      <c r="B250">
        <v>0.98</v>
      </c>
      <c r="C250">
        <v>0</v>
      </c>
      <c r="E250">
        <v>0</v>
      </c>
      <c r="F250">
        <v>0</v>
      </c>
      <c r="G250">
        <v>0</v>
      </c>
      <c r="H250">
        <v>0.98750000000000004</v>
      </c>
      <c r="I250">
        <v>0.98750000000000004</v>
      </c>
      <c r="J250">
        <v>0.98050000000000004</v>
      </c>
      <c r="K250">
        <v>0</v>
      </c>
      <c r="L250" s="333">
        <v>0.98750000000000004</v>
      </c>
      <c r="M250" s="333">
        <v>0.98750000000000004</v>
      </c>
      <c r="N250">
        <v>0.98</v>
      </c>
      <c r="O250">
        <v>0.98750000000000004</v>
      </c>
      <c r="P250">
        <v>0.98</v>
      </c>
      <c r="Q250" s="328">
        <v>0.98750000000000004</v>
      </c>
      <c r="R250">
        <v>0.98750000000000004</v>
      </c>
      <c r="S250" s="333">
        <v>0.98750000000000004</v>
      </c>
      <c r="T250">
        <v>0.98</v>
      </c>
      <c r="U250">
        <v>0.98</v>
      </c>
      <c r="V250">
        <v>0.98</v>
      </c>
      <c r="W250">
        <v>0.98</v>
      </c>
      <c r="X250">
        <v>0.98750000000000004</v>
      </c>
      <c r="Y250">
        <v>0.98750000000000004</v>
      </c>
      <c r="Z250">
        <v>0.98750000000000004</v>
      </c>
      <c r="AA250">
        <v>0.98750000000000004</v>
      </c>
      <c r="AB250">
        <v>0.98</v>
      </c>
      <c r="AC250">
        <v>0.98</v>
      </c>
      <c r="AD250">
        <v>0.98750000000000004</v>
      </c>
      <c r="AE250">
        <v>0.98750000000000004</v>
      </c>
      <c r="AF250">
        <v>0.98</v>
      </c>
      <c r="AG250">
        <v>0.99</v>
      </c>
      <c r="AH250">
        <v>0.98499999999999999</v>
      </c>
      <c r="AI250">
        <v>0.98499999999999999</v>
      </c>
      <c r="AJ250">
        <v>0.98</v>
      </c>
      <c r="AK250">
        <v>1</v>
      </c>
      <c r="AL250">
        <v>0</v>
      </c>
      <c r="AM250">
        <v>0</v>
      </c>
      <c r="BB250" s="446">
        <v>1</v>
      </c>
      <c r="BC250">
        <v>1</v>
      </c>
      <c r="BD250">
        <v>1</v>
      </c>
      <c r="BE250">
        <v>1</v>
      </c>
      <c r="BF250">
        <v>0.99990000000000001</v>
      </c>
      <c r="BG250">
        <v>1</v>
      </c>
      <c r="BH250">
        <v>1</v>
      </c>
      <c r="BI250">
        <v>0.99</v>
      </c>
      <c r="BJ250">
        <v>0.999</v>
      </c>
      <c r="BK250">
        <v>0.998</v>
      </c>
      <c r="BL250">
        <v>0.99850000000000005</v>
      </c>
      <c r="BM250">
        <v>0.99850000000000005</v>
      </c>
      <c r="BN250">
        <v>0.97199999999999998</v>
      </c>
      <c r="BO250">
        <v>0.99990000000000001</v>
      </c>
      <c r="BP250">
        <v>0.99990000000000001</v>
      </c>
      <c r="BQ250">
        <v>1</v>
      </c>
      <c r="BR250">
        <v>1.1336876</v>
      </c>
      <c r="BS250">
        <v>1.1379999999999999</v>
      </c>
      <c r="BT250">
        <v>1.0827</v>
      </c>
      <c r="BU250">
        <v>1.0293000000000001</v>
      </c>
      <c r="BV250">
        <v>1</v>
      </c>
      <c r="BW250">
        <v>2.7258</v>
      </c>
      <c r="BX250">
        <v>2.3467763330000002</v>
      </c>
      <c r="BY250">
        <v>1.1900500000000001</v>
      </c>
      <c r="BZ250">
        <v>1.2885</v>
      </c>
      <c r="CA250">
        <v>2.0009999999999999</v>
      </c>
      <c r="CB250">
        <v>1.587005</v>
      </c>
      <c r="CC250">
        <v>1.587005</v>
      </c>
      <c r="CD250">
        <v>1.3057049999999999</v>
      </c>
      <c r="CE250">
        <v>1.1149549999999999</v>
      </c>
      <c r="CF250">
        <v>1.483805</v>
      </c>
      <c r="CG250" s="332"/>
      <c r="CH250">
        <v>1.1070500000000001</v>
      </c>
      <c r="CI250" s="332"/>
      <c r="CJ250" s="332"/>
      <c r="CK250" s="332"/>
      <c r="CL250" s="332"/>
      <c r="CM250" s="332"/>
      <c r="CN250" s="332"/>
      <c r="CO250" s="332"/>
      <c r="CP250">
        <v>0.96499999999999997</v>
      </c>
      <c r="CV250">
        <v>0.47</v>
      </c>
      <c r="CW250">
        <v>0.93500000000000005</v>
      </c>
      <c r="CX250">
        <v>0.76500000000000001</v>
      </c>
      <c r="CZ250">
        <v>0.88249999999999995</v>
      </c>
      <c r="DA250">
        <v>0.91500000000000004</v>
      </c>
      <c r="DB250">
        <v>0.88</v>
      </c>
      <c r="DC250">
        <v>0.90249999999999997</v>
      </c>
      <c r="DD250">
        <v>0.91500000000000004</v>
      </c>
      <c r="DE250">
        <v>0.89</v>
      </c>
      <c r="DN250" s="332">
        <v>2.8499999999999999E-4</v>
      </c>
      <c r="DO250" s="332">
        <v>2.0000000000000001E-4</v>
      </c>
      <c r="DP250" s="332">
        <v>0</v>
      </c>
      <c r="DQ250" s="332">
        <v>1E-4</v>
      </c>
      <c r="DR250" s="332">
        <v>0</v>
      </c>
      <c r="DS250" s="332">
        <v>3.5999999999999999E-3</v>
      </c>
      <c r="DT250" s="332">
        <v>4.6999999999999999E-4</v>
      </c>
      <c r="DU250" s="332">
        <v>6.9999999999999999E-4</v>
      </c>
      <c r="DV250" s="332">
        <v>0</v>
      </c>
      <c r="DW250" s="332">
        <v>0</v>
      </c>
      <c r="DX250" s="332">
        <v>5.0000000000000001E-4</v>
      </c>
      <c r="DY250" s="332">
        <v>5.0000000000000001E-4</v>
      </c>
      <c r="DZ250" s="332">
        <v>2.9999999999999997E-4</v>
      </c>
      <c r="EA250" s="332">
        <v>2.7500000000000002E-4</v>
      </c>
      <c r="EB250" s="332">
        <v>4.0000000000000002E-4</v>
      </c>
      <c r="ED250" s="332">
        <v>6.4999999999999994E-5</v>
      </c>
      <c r="EF250">
        <v>1</v>
      </c>
    </row>
    <row r="251" spans="1:136" x14ac:dyDescent="0.25">
      <c r="A251" s="66">
        <v>44013</v>
      </c>
      <c r="B251">
        <v>0.98</v>
      </c>
      <c r="C251">
        <v>0</v>
      </c>
      <c r="E251">
        <v>0</v>
      </c>
      <c r="F251">
        <v>0</v>
      </c>
      <c r="G251">
        <v>0</v>
      </c>
      <c r="H251">
        <v>0.98750000000000004</v>
      </c>
      <c r="I251">
        <v>0.98750000000000004</v>
      </c>
      <c r="J251">
        <v>0.98050000000000004</v>
      </c>
      <c r="K251">
        <v>0</v>
      </c>
      <c r="L251" s="333">
        <v>0.98750000000000004</v>
      </c>
      <c r="M251" s="333">
        <v>0.98750000000000004</v>
      </c>
      <c r="N251">
        <v>0.98</v>
      </c>
      <c r="O251">
        <v>0.98750000000000004</v>
      </c>
      <c r="P251">
        <v>0.98</v>
      </c>
      <c r="Q251" s="328">
        <v>0.98750000000000004</v>
      </c>
      <c r="R251">
        <v>0.98750000000000004</v>
      </c>
      <c r="S251" s="333">
        <v>0.98750000000000004</v>
      </c>
      <c r="T251">
        <v>0.98</v>
      </c>
      <c r="U251">
        <v>0.98</v>
      </c>
      <c r="V251">
        <v>0.98</v>
      </c>
      <c r="W251">
        <v>0.98</v>
      </c>
      <c r="X251">
        <v>0.98750000000000004</v>
      </c>
      <c r="Y251">
        <v>0.98750000000000004</v>
      </c>
      <c r="Z251">
        <v>0.98750000000000004</v>
      </c>
      <c r="AA251">
        <v>0.98750000000000004</v>
      </c>
      <c r="AB251">
        <v>0.98</v>
      </c>
      <c r="AC251">
        <v>0.98</v>
      </c>
      <c r="AD251">
        <v>0.98750000000000004</v>
      </c>
      <c r="AE251">
        <v>0.98750000000000004</v>
      </c>
      <c r="AF251">
        <v>0.98</v>
      </c>
      <c r="AG251">
        <v>0.99</v>
      </c>
      <c r="AH251">
        <v>0.98499999999999999</v>
      </c>
      <c r="AI251">
        <v>0.98499999999999999</v>
      </c>
      <c r="AJ251">
        <v>0.98</v>
      </c>
      <c r="AK251">
        <v>1</v>
      </c>
      <c r="AL251">
        <v>0</v>
      </c>
      <c r="AM251">
        <v>0</v>
      </c>
      <c r="BB251" s="446">
        <v>1</v>
      </c>
      <c r="BC251">
        <v>1</v>
      </c>
      <c r="BD251">
        <v>1</v>
      </c>
      <c r="BE251">
        <v>1</v>
      </c>
      <c r="BF251">
        <v>0.99990000000000001</v>
      </c>
      <c r="BG251">
        <v>1</v>
      </c>
      <c r="BH251">
        <v>1</v>
      </c>
      <c r="BI251">
        <v>0.99</v>
      </c>
      <c r="BJ251">
        <v>0.999</v>
      </c>
      <c r="BK251">
        <v>0.998</v>
      </c>
      <c r="BL251">
        <v>0.99850000000000005</v>
      </c>
      <c r="BM251">
        <v>0.99850000000000005</v>
      </c>
      <c r="BN251">
        <v>0.97199999999999998</v>
      </c>
      <c r="BO251">
        <v>0.99990000000000001</v>
      </c>
      <c r="BP251">
        <v>0.99990000000000001</v>
      </c>
      <c r="BQ251">
        <v>1</v>
      </c>
      <c r="BR251">
        <v>1.1339726000000001</v>
      </c>
      <c r="BS251">
        <v>1.1382000000000001</v>
      </c>
      <c r="BT251">
        <v>1.0827</v>
      </c>
      <c r="BU251">
        <v>1.0294000000000001</v>
      </c>
      <c r="BV251">
        <v>1</v>
      </c>
      <c r="BW251">
        <v>2.7294</v>
      </c>
      <c r="BX251">
        <v>2.3472463330000002</v>
      </c>
      <c r="BY251">
        <v>1.19075</v>
      </c>
      <c r="BZ251">
        <v>1.2885</v>
      </c>
      <c r="CA251">
        <v>2.0009999999999999</v>
      </c>
      <c r="CB251">
        <v>1.5875049999999999</v>
      </c>
      <c r="CC251">
        <v>1.5875049999999999</v>
      </c>
      <c r="CD251">
        <v>1.3060050000000001</v>
      </c>
      <c r="CE251">
        <v>1.1152299999999999</v>
      </c>
      <c r="CF251">
        <v>1.484205</v>
      </c>
      <c r="CG251" s="332"/>
      <c r="CH251">
        <v>1.1071150000000001</v>
      </c>
      <c r="CI251" s="332"/>
      <c r="CJ251" s="332"/>
      <c r="CK251" s="332"/>
      <c r="CL251" s="332"/>
      <c r="CM251" s="332"/>
      <c r="CN251" s="332"/>
      <c r="CO251" s="332"/>
      <c r="CP251">
        <v>0.97499999999999998</v>
      </c>
      <c r="CV251">
        <v>0.47</v>
      </c>
      <c r="CW251">
        <v>0.93500000000000005</v>
      </c>
      <c r="CX251">
        <v>0.78500000000000003</v>
      </c>
      <c r="CZ251">
        <v>0.87749999999999995</v>
      </c>
      <c r="DA251">
        <v>0.91</v>
      </c>
      <c r="DB251">
        <v>0.89</v>
      </c>
      <c r="DC251">
        <v>0.90749999999999997</v>
      </c>
      <c r="DD251">
        <v>0.91500000000000004</v>
      </c>
      <c r="DE251">
        <v>0.89</v>
      </c>
      <c r="DN251" s="332">
        <v>2.8499999999999999E-4</v>
      </c>
      <c r="DO251" s="332">
        <v>2.0000000000000001E-4</v>
      </c>
      <c r="DP251" s="332">
        <v>0</v>
      </c>
      <c r="DQ251" s="332">
        <v>1E-4</v>
      </c>
      <c r="DR251" s="332">
        <v>0</v>
      </c>
      <c r="DS251" s="332">
        <v>3.5999999999999999E-3</v>
      </c>
      <c r="DT251" s="332">
        <v>4.6999999999999999E-4</v>
      </c>
      <c r="DU251" s="332">
        <v>6.9999999999999999E-4</v>
      </c>
      <c r="DV251" s="332">
        <v>0</v>
      </c>
      <c r="DW251" s="332">
        <v>0</v>
      </c>
      <c r="DX251" s="332">
        <v>5.0000000000000001E-4</v>
      </c>
      <c r="DY251" s="332">
        <v>5.0000000000000001E-4</v>
      </c>
      <c r="DZ251" s="332">
        <v>2.9999999999999997E-4</v>
      </c>
      <c r="EA251" s="332">
        <v>2.7500000000000002E-4</v>
      </c>
      <c r="EB251" s="332">
        <v>4.0000000000000002E-4</v>
      </c>
      <c r="ED251" s="332">
        <v>6.4999999999999994E-5</v>
      </c>
      <c r="EF251">
        <v>1</v>
      </c>
    </row>
    <row r="252" spans="1:136" x14ac:dyDescent="0.25">
      <c r="A252" s="66">
        <v>44044</v>
      </c>
      <c r="B252">
        <v>0.98</v>
      </c>
      <c r="C252">
        <v>0</v>
      </c>
      <c r="E252">
        <v>0</v>
      </c>
      <c r="F252">
        <v>0</v>
      </c>
      <c r="G252">
        <v>0</v>
      </c>
      <c r="H252">
        <v>0.98750000000000004</v>
      </c>
      <c r="I252">
        <v>0.98750000000000004</v>
      </c>
      <c r="J252">
        <v>0.98050000000000004</v>
      </c>
      <c r="K252">
        <v>0</v>
      </c>
      <c r="L252" s="333">
        <v>0.98750000000000004</v>
      </c>
      <c r="M252" s="333">
        <v>0.98750000000000004</v>
      </c>
      <c r="N252">
        <v>0.98</v>
      </c>
      <c r="O252">
        <v>0.98750000000000004</v>
      </c>
      <c r="P252">
        <v>0.98</v>
      </c>
      <c r="Q252" s="328">
        <v>0.98750000000000004</v>
      </c>
      <c r="R252">
        <v>0.98750000000000004</v>
      </c>
      <c r="S252" s="333">
        <v>0.98750000000000004</v>
      </c>
      <c r="T252">
        <v>0.98</v>
      </c>
      <c r="U252">
        <v>0.98</v>
      </c>
      <c r="V252">
        <v>0.98</v>
      </c>
      <c r="W252">
        <v>0.98</v>
      </c>
      <c r="X252">
        <v>0.98750000000000004</v>
      </c>
      <c r="Y252">
        <v>0.98750000000000004</v>
      </c>
      <c r="Z252">
        <v>0.98750000000000004</v>
      </c>
      <c r="AA252">
        <v>0.98750000000000004</v>
      </c>
      <c r="AB252">
        <v>0.98</v>
      </c>
      <c r="AC252">
        <v>0.98</v>
      </c>
      <c r="AD252">
        <v>0.98750000000000004</v>
      </c>
      <c r="AE252">
        <v>0.98750000000000004</v>
      </c>
      <c r="AF252">
        <v>0.98</v>
      </c>
      <c r="AG252">
        <v>0.99</v>
      </c>
      <c r="AH252">
        <v>0.98499999999999999</v>
      </c>
      <c r="AI252">
        <v>0.98499999999999999</v>
      </c>
      <c r="AJ252">
        <v>0.98</v>
      </c>
      <c r="AK252">
        <v>1</v>
      </c>
      <c r="AL252">
        <v>0</v>
      </c>
      <c r="AM252">
        <v>0</v>
      </c>
      <c r="BB252" s="446">
        <v>1</v>
      </c>
      <c r="BC252">
        <v>1</v>
      </c>
      <c r="BD252">
        <v>1</v>
      </c>
      <c r="BE252">
        <v>1</v>
      </c>
      <c r="BF252">
        <v>0.99990000000000001</v>
      </c>
      <c r="BG252">
        <v>1</v>
      </c>
      <c r="BH252">
        <v>1</v>
      </c>
      <c r="BI252">
        <v>0.99</v>
      </c>
      <c r="BJ252">
        <v>0.999</v>
      </c>
      <c r="BK252">
        <v>0.998</v>
      </c>
      <c r="BL252">
        <v>0.99850000000000005</v>
      </c>
      <c r="BM252">
        <v>0.99850000000000005</v>
      </c>
      <c r="BN252">
        <v>0.97199999999999998</v>
      </c>
      <c r="BO252">
        <v>0.99990000000000001</v>
      </c>
      <c r="BP252">
        <v>0.99990000000000001</v>
      </c>
      <c r="BQ252">
        <v>1</v>
      </c>
      <c r="BR252">
        <v>1.1342576</v>
      </c>
      <c r="BS252">
        <v>1.1384000000000001</v>
      </c>
      <c r="BT252">
        <v>1.0827</v>
      </c>
      <c r="BU252">
        <v>1.0295000000000001</v>
      </c>
      <c r="BV252">
        <v>1</v>
      </c>
      <c r="BW252">
        <v>2.7330000000000001</v>
      </c>
      <c r="BX252">
        <v>2.3477163330000002</v>
      </c>
      <c r="BY252">
        <v>1.1914499999999999</v>
      </c>
      <c r="BZ252">
        <v>1.2885</v>
      </c>
      <c r="CA252">
        <v>2.0009999999999999</v>
      </c>
      <c r="CB252">
        <v>1.5880050000000001</v>
      </c>
      <c r="CC252">
        <v>1.5880050000000001</v>
      </c>
      <c r="CD252">
        <v>1.306305</v>
      </c>
      <c r="CE252">
        <v>1.115505</v>
      </c>
      <c r="CF252">
        <v>1.484605</v>
      </c>
      <c r="CG252" s="332"/>
      <c r="CH252">
        <v>1.1071800000000001</v>
      </c>
      <c r="CI252" s="332"/>
      <c r="CJ252" s="332"/>
      <c r="CK252" s="332"/>
      <c r="CL252" s="332"/>
      <c r="CM252" s="332"/>
      <c r="CN252" s="332"/>
      <c r="CO252" s="332"/>
      <c r="CP252">
        <v>0.97499999999999998</v>
      </c>
      <c r="CV252">
        <v>0.52</v>
      </c>
      <c r="CW252">
        <v>0.92500000000000004</v>
      </c>
      <c r="CX252">
        <v>0.875</v>
      </c>
      <c r="CZ252">
        <v>0.89</v>
      </c>
      <c r="DA252">
        <v>0.92249999999999999</v>
      </c>
      <c r="DB252">
        <v>0.91500000000000004</v>
      </c>
      <c r="DC252">
        <v>0.92749999999999999</v>
      </c>
      <c r="DD252">
        <v>0.91500000000000004</v>
      </c>
      <c r="DE252">
        <v>0.89</v>
      </c>
      <c r="DN252" s="332">
        <v>2.8499999999999999E-4</v>
      </c>
      <c r="DO252" s="332">
        <v>2.0000000000000001E-4</v>
      </c>
      <c r="DP252" s="332">
        <v>0</v>
      </c>
      <c r="DQ252" s="332">
        <v>1E-4</v>
      </c>
      <c r="DR252" s="332">
        <v>0</v>
      </c>
      <c r="DS252" s="332">
        <v>3.5999999999999999E-3</v>
      </c>
      <c r="DT252" s="332">
        <v>4.6999999999999999E-4</v>
      </c>
      <c r="DU252" s="332">
        <v>6.9999999999999999E-4</v>
      </c>
      <c r="DV252" s="332">
        <v>0</v>
      </c>
      <c r="DW252" s="332">
        <v>0</v>
      </c>
      <c r="DX252" s="332">
        <v>5.0000000000000001E-4</v>
      </c>
      <c r="DY252" s="332">
        <v>5.0000000000000001E-4</v>
      </c>
      <c r="DZ252" s="332">
        <v>2.9999999999999997E-4</v>
      </c>
      <c r="EA252" s="332">
        <v>2.7500000000000002E-4</v>
      </c>
      <c r="EB252" s="332">
        <v>4.0000000000000002E-4</v>
      </c>
      <c r="ED252" s="332">
        <v>6.4999999999999994E-5</v>
      </c>
      <c r="EF252">
        <v>1</v>
      </c>
    </row>
    <row r="253" spans="1:136" x14ac:dyDescent="0.25">
      <c r="A253" s="66">
        <v>44075</v>
      </c>
      <c r="B253">
        <v>0.98</v>
      </c>
      <c r="C253">
        <v>0</v>
      </c>
      <c r="E253">
        <v>0</v>
      </c>
      <c r="F253">
        <v>0</v>
      </c>
      <c r="G253">
        <v>0</v>
      </c>
      <c r="H253">
        <v>0.98750000000000004</v>
      </c>
      <c r="I253">
        <v>0.98750000000000004</v>
      </c>
      <c r="J253">
        <v>0.98050000000000004</v>
      </c>
      <c r="K253">
        <v>0</v>
      </c>
      <c r="L253" s="333">
        <v>0.98750000000000004</v>
      </c>
      <c r="M253" s="333">
        <v>0.98750000000000004</v>
      </c>
      <c r="N253">
        <v>0.98</v>
      </c>
      <c r="O253">
        <v>0.98750000000000004</v>
      </c>
      <c r="P253">
        <v>0.98</v>
      </c>
      <c r="Q253" s="328">
        <v>0.98750000000000004</v>
      </c>
      <c r="R253">
        <v>0.98750000000000004</v>
      </c>
      <c r="S253" s="333">
        <v>0.98750000000000004</v>
      </c>
      <c r="T253">
        <v>0.98</v>
      </c>
      <c r="U253">
        <v>0.98</v>
      </c>
      <c r="V253">
        <v>0.98</v>
      </c>
      <c r="W253">
        <v>0.98</v>
      </c>
      <c r="X253">
        <v>0.98750000000000004</v>
      </c>
      <c r="Y253">
        <v>0.98750000000000004</v>
      </c>
      <c r="Z253">
        <v>0.98750000000000004</v>
      </c>
      <c r="AA253">
        <v>0.98750000000000004</v>
      </c>
      <c r="AB253">
        <v>0.98</v>
      </c>
      <c r="AC253">
        <v>0.98</v>
      </c>
      <c r="AD253">
        <v>0.98750000000000004</v>
      </c>
      <c r="AE253">
        <v>0.98750000000000004</v>
      </c>
      <c r="AF253">
        <v>0.98</v>
      </c>
      <c r="AG253">
        <v>0.99</v>
      </c>
      <c r="AH253">
        <v>0.98499999999999999</v>
      </c>
      <c r="AI253">
        <v>0.98499999999999999</v>
      </c>
      <c r="AJ253">
        <v>0.98</v>
      </c>
      <c r="AK253">
        <v>1</v>
      </c>
      <c r="AL253">
        <v>0</v>
      </c>
      <c r="AM253">
        <v>0</v>
      </c>
      <c r="BB253" s="446">
        <v>1</v>
      </c>
      <c r="BC253">
        <v>1</v>
      </c>
      <c r="BD253">
        <v>1</v>
      </c>
      <c r="BE253">
        <v>1</v>
      </c>
      <c r="BF253">
        <v>0.99990000000000001</v>
      </c>
      <c r="BG253">
        <v>1</v>
      </c>
      <c r="BH253">
        <v>1</v>
      </c>
      <c r="BI253">
        <v>0.99</v>
      </c>
      <c r="BJ253">
        <v>0.999</v>
      </c>
      <c r="BK253">
        <v>0.998</v>
      </c>
      <c r="BL253">
        <v>0.99850000000000005</v>
      </c>
      <c r="BM253">
        <v>0.99850000000000005</v>
      </c>
      <c r="BN253">
        <v>0.97199999999999998</v>
      </c>
      <c r="BO253">
        <v>0.99990000000000001</v>
      </c>
      <c r="BP253">
        <v>0.99990000000000001</v>
      </c>
      <c r="BQ253">
        <v>1</v>
      </c>
      <c r="BR253">
        <v>1.1345426000000001</v>
      </c>
      <c r="BS253">
        <v>1.1386000000000001</v>
      </c>
      <c r="BT253">
        <v>1.0827</v>
      </c>
      <c r="BU253">
        <v>1.0296000000000001</v>
      </c>
      <c r="BV253">
        <v>1</v>
      </c>
      <c r="BW253">
        <v>2.7366000000000001</v>
      </c>
      <c r="BX253">
        <v>2.3481863330000001</v>
      </c>
      <c r="BY253">
        <v>1.19215</v>
      </c>
      <c r="BZ253">
        <v>1.2885</v>
      </c>
      <c r="CA253">
        <v>2.0009999999999999</v>
      </c>
      <c r="CB253">
        <v>1.5885050000000001</v>
      </c>
      <c r="CC253">
        <v>1.5885050000000001</v>
      </c>
      <c r="CD253">
        <v>1.306605</v>
      </c>
      <c r="CE253">
        <v>1.11578</v>
      </c>
      <c r="CF253">
        <v>1.4850049999999999</v>
      </c>
      <c r="CG253" s="332"/>
      <c r="CH253">
        <v>1.107245</v>
      </c>
      <c r="CI253" s="332"/>
      <c r="CJ253" s="332"/>
      <c r="CK253" s="332"/>
      <c r="CL253" s="332"/>
      <c r="CM253" s="332"/>
      <c r="CN253" s="332"/>
      <c r="CO253" s="332"/>
      <c r="CP253">
        <v>0.97499999999999998</v>
      </c>
      <c r="CV253">
        <v>0.55000000000000004</v>
      </c>
      <c r="CW253">
        <v>0.92500000000000004</v>
      </c>
      <c r="CX253">
        <v>0.73499999999999999</v>
      </c>
      <c r="CZ253">
        <v>0.94499999999999995</v>
      </c>
      <c r="DA253">
        <v>0.97750000000000004</v>
      </c>
      <c r="DB253">
        <v>0.94499999999999995</v>
      </c>
      <c r="DC253">
        <v>0.92</v>
      </c>
      <c r="DD253">
        <v>0.91500000000000004</v>
      </c>
      <c r="DE253">
        <v>0.89</v>
      </c>
      <c r="DN253" s="332">
        <v>2.8499999999999999E-4</v>
      </c>
      <c r="DO253" s="332">
        <v>2.0000000000000001E-4</v>
      </c>
      <c r="DP253" s="332">
        <v>0</v>
      </c>
      <c r="DQ253" s="332">
        <v>1E-4</v>
      </c>
      <c r="DR253" s="332">
        <v>0</v>
      </c>
      <c r="DS253" s="332">
        <v>3.5999999999999999E-3</v>
      </c>
      <c r="DT253" s="332">
        <v>4.6999999999999999E-4</v>
      </c>
      <c r="DU253" s="332">
        <v>6.9999999999999999E-4</v>
      </c>
      <c r="DV253" s="332">
        <v>0</v>
      </c>
      <c r="DW253" s="332">
        <v>0</v>
      </c>
      <c r="DX253" s="332">
        <v>5.0000000000000001E-4</v>
      </c>
      <c r="DY253" s="332">
        <v>5.0000000000000001E-4</v>
      </c>
      <c r="DZ253" s="332">
        <v>2.9999999999999997E-4</v>
      </c>
      <c r="EA253" s="332">
        <v>2.7500000000000002E-4</v>
      </c>
      <c r="EB253" s="332">
        <v>4.0000000000000002E-4</v>
      </c>
      <c r="ED253" s="332">
        <v>6.4999999999999994E-5</v>
      </c>
      <c r="EF253">
        <v>1</v>
      </c>
    </row>
    <row r="254" spans="1:136" x14ac:dyDescent="0.25">
      <c r="A254" s="66">
        <v>44105</v>
      </c>
      <c r="B254">
        <v>0.98</v>
      </c>
      <c r="C254">
        <v>0</v>
      </c>
      <c r="E254">
        <v>0</v>
      </c>
      <c r="F254">
        <v>0</v>
      </c>
      <c r="G254">
        <v>0</v>
      </c>
      <c r="H254">
        <v>0.98750000000000004</v>
      </c>
      <c r="I254">
        <v>0.98750000000000004</v>
      </c>
      <c r="J254">
        <v>0.98050000000000004</v>
      </c>
      <c r="K254">
        <v>0</v>
      </c>
      <c r="L254" s="333">
        <v>0.98750000000000004</v>
      </c>
      <c r="M254" s="333">
        <v>0.98750000000000004</v>
      </c>
      <c r="N254">
        <v>0.98</v>
      </c>
      <c r="O254">
        <v>0.98750000000000004</v>
      </c>
      <c r="P254">
        <v>0.98</v>
      </c>
      <c r="Q254" s="328">
        <v>0.98750000000000004</v>
      </c>
      <c r="R254">
        <v>0.98750000000000004</v>
      </c>
      <c r="S254" s="333">
        <v>0.98750000000000004</v>
      </c>
      <c r="T254">
        <v>0.98</v>
      </c>
      <c r="U254">
        <v>0.98</v>
      </c>
      <c r="V254">
        <v>0.98</v>
      </c>
      <c r="W254">
        <v>0.98</v>
      </c>
      <c r="X254">
        <v>0.98750000000000004</v>
      </c>
      <c r="Y254">
        <v>0.98750000000000004</v>
      </c>
      <c r="Z254">
        <v>0.98750000000000004</v>
      </c>
      <c r="AA254">
        <v>0.98750000000000004</v>
      </c>
      <c r="AB254">
        <v>0.98</v>
      </c>
      <c r="AC254">
        <v>0.98</v>
      </c>
      <c r="AD254">
        <v>0.98750000000000004</v>
      </c>
      <c r="AE254">
        <v>0.98750000000000004</v>
      </c>
      <c r="AF254">
        <v>0.98</v>
      </c>
      <c r="AG254">
        <v>0.99</v>
      </c>
      <c r="AH254">
        <v>0.98499999999999999</v>
      </c>
      <c r="AI254">
        <v>0.98499999999999999</v>
      </c>
      <c r="AJ254">
        <v>0.98</v>
      </c>
      <c r="AK254">
        <v>1</v>
      </c>
      <c r="AL254">
        <v>0</v>
      </c>
      <c r="AM254">
        <v>0</v>
      </c>
      <c r="BB254" s="446">
        <v>1</v>
      </c>
      <c r="BC254">
        <v>1</v>
      </c>
      <c r="BD254">
        <v>1</v>
      </c>
      <c r="BE254">
        <v>1</v>
      </c>
      <c r="BF254">
        <v>0.99990000000000001</v>
      </c>
      <c r="BG254">
        <v>1</v>
      </c>
      <c r="BH254">
        <v>1</v>
      </c>
      <c r="BI254">
        <v>0.99</v>
      </c>
      <c r="BJ254">
        <v>0.999</v>
      </c>
      <c r="BK254">
        <v>0.998</v>
      </c>
      <c r="BL254">
        <v>0.99850000000000005</v>
      </c>
      <c r="BM254">
        <v>0.99850000000000005</v>
      </c>
      <c r="BN254">
        <v>0.97199999999999998</v>
      </c>
      <c r="BO254">
        <v>0.99990000000000001</v>
      </c>
      <c r="BP254">
        <v>0.99990000000000001</v>
      </c>
      <c r="BQ254">
        <v>1</v>
      </c>
      <c r="BR254">
        <v>1.1348275999999999</v>
      </c>
      <c r="BS254">
        <v>1.1388</v>
      </c>
      <c r="BT254">
        <v>1.0827</v>
      </c>
      <c r="BU254">
        <v>1.0297000000000001</v>
      </c>
      <c r="BV254">
        <v>1</v>
      </c>
      <c r="BW254">
        <v>2.7402000000000002</v>
      </c>
      <c r="BX254">
        <v>2.3486563330000001</v>
      </c>
      <c r="BY254">
        <v>1.19285</v>
      </c>
      <c r="BZ254">
        <v>1.2885</v>
      </c>
      <c r="CA254">
        <v>2.0009999999999999</v>
      </c>
      <c r="CB254">
        <v>1.589005</v>
      </c>
      <c r="CC254">
        <v>1.589005</v>
      </c>
      <c r="CD254">
        <v>1.306905</v>
      </c>
      <c r="CE254">
        <v>1.116055</v>
      </c>
      <c r="CF254">
        <v>1.4854050000000001</v>
      </c>
      <c r="CG254" s="332"/>
      <c r="CH254">
        <v>1.10731</v>
      </c>
      <c r="CI254" s="332"/>
      <c r="CJ254" s="332"/>
      <c r="CK254" s="332"/>
      <c r="CL254" s="332"/>
      <c r="CM254" s="332"/>
      <c r="CN254" s="332"/>
      <c r="CO254" s="332"/>
      <c r="CP254">
        <v>0.95499999999999996</v>
      </c>
      <c r="CV254">
        <v>0.45</v>
      </c>
      <c r="CW254">
        <v>0.92500000000000004</v>
      </c>
      <c r="CX254">
        <v>0.72499999999999998</v>
      </c>
      <c r="CZ254">
        <v>0.80500000000000005</v>
      </c>
      <c r="DA254">
        <v>0.83750000000000002</v>
      </c>
      <c r="DB254">
        <v>0.875</v>
      </c>
      <c r="DC254">
        <v>0.90249999999999997</v>
      </c>
      <c r="DD254">
        <v>0.82</v>
      </c>
      <c r="DE254">
        <v>0.89</v>
      </c>
      <c r="DN254" s="332">
        <v>2.8499999999999999E-4</v>
      </c>
      <c r="DO254" s="332">
        <v>2.0000000000000001E-4</v>
      </c>
      <c r="DP254" s="332">
        <v>0</v>
      </c>
      <c r="DQ254" s="332">
        <v>1E-4</v>
      </c>
      <c r="DR254" s="332">
        <v>0</v>
      </c>
      <c r="DS254" s="332">
        <v>3.5999999999999999E-3</v>
      </c>
      <c r="DT254" s="332">
        <v>4.6999999999999999E-4</v>
      </c>
      <c r="DU254" s="332">
        <v>6.9999999999999999E-4</v>
      </c>
      <c r="DV254" s="332">
        <v>0</v>
      </c>
      <c r="DW254" s="332">
        <v>0</v>
      </c>
      <c r="DX254" s="332">
        <v>5.0000000000000001E-4</v>
      </c>
      <c r="DY254" s="332">
        <v>5.0000000000000001E-4</v>
      </c>
      <c r="DZ254" s="332">
        <v>2.9999999999999997E-4</v>
      </c>
      <c r="EA254" s="332">
        <v>2.7500000000000002E-4</v>
      </c>
      <c r="EB254" s="332">
        <v>4.0000000000000002E-4</v>
      </c>
      <c r="ED254" s="332">
        <v>6.4999999999999994E-5</v>
      </c>
      <c r="EF254">
        <v>1</v>
      </c>
    </row>
    <row r="255" spans="1:136" x14ac:dyDescent="0.25">
      <c r="A255" s="66">
        <v>44136</v>
      </c>
      <c r="B255">
        <v>0.98</v>
      </c>
      <c r="C255">
        <v>0</v>
      </c>
      <c r="E255">
        <v>0</v>
      </c>
      <c r="F255">
        <v>0</v>
      </c>
      <c r="G255">
        <v>0</v>
      </c>
      <c r="H255">
        <v>0.98750000000000004</v>
      </c>
      <c r="I255">
        <v>0.98750000000000004</v>
      </c>
      <c r="J255">
        <v>0.98050000000000004</v>
      </c>
      <c r="K255">
        <v>0</v>
      </c>
      <c r="L255" s="333">
        <v>0.98750000000000004</v>
      </c>
      <c r="M255" s="333">
        <v>0.98750000000000004</v>
      </c>
      <c r="N255">
        <v>0.98</v>
      </c>
      <c r="O255">
        <v>0.98750000000000004</v>
      </c>
      <c r="P255">
        <v>0.98</v>
      </c>
      <c r="Q255" s="328">
        <v>0.98750000000000004</v>
      </c>
      <c r="R255">
        <v>0.98750000000000004</v>
      </c>
      <c r="S255" s="333">
        <v>0.98750000000000004</v>
      </c>
      <c r="T255">
        <v>0.98</v>
      </c>
      <c r="U255">
        <v>0.98</v>
      </c>
      <c r="V255">
        <v>0.98</v>
      </c>
      <c r="W255">
        <v>0.98</v>
      </c>
      <c r="X255">
        <v>0.98750000000000004</v>
      </c>
      <c r="Y255">
        <v>0.98750000000000004</v>
      </c>
      <c r="Z255">
        <v>0.98750000000000004</v>
      </c>
      <c r="AA255">
        <v>0.98750000000000004</v>
      </c>
      <c r="AB255">
        <v>0.98</v>
      </c>
      <c r="AC255">
        <v>0.98</v>
      </c>
      <c r="AD255">
        <v>0.98750000000000004</v>
      </c>
      <c r="AE255">
        <v>0.98750000000000004</v>
      </c>
      <c r="AF255">
        <v>0.98</v>
      </c>
      <c r="AG255">
        <v>0.99</v>
      </c>
      <c r="AH255">
        <v>0.98499999999999999</v>
      </c>
      <c r="AI255">
        <v>0.98499999999999999</v>
      </c>
      <c r="AJ255">
        <v>0.98</v>
      </c>
      <c r="AK255">
        <v>1</v>
      </c>
      <c r="AL255">
        <v>0</v>
      </c>
      <c r="AM255">
        <v>0</v>
      </c>
      <c r="BB255" s="446">
        <v>1</v>
      </c>
      <c r="BC255">
        <v>1</v>
      </c>
      <c r="BD255">
        <v>1</v>
      </c>
      <c r="BE255">
        <v>1</v>
      </c>
      <c r="BF255">
        <v>0.99990000000000001</v>
      </c>
      <c r="BG255">
        <v>1</v>
      </c>
      <c r="BH255">
        <v>1</v>
      </c>
      <c r="BI255">
        <v>0.99</v>
      </c>
      <c r="BJ255">
        <v>0.999</v>
      </c>
      <c r="BK255">
        <v>0.998</v>
      </c>
      <c r="BL255">
        <v>0.99850000000000005</v>
      </c>
      <c r="BM255">
        <v>0.99850000000000005</v>
      </c>
      <c r="BN255">
        <v>0.97199999999999998</v>
      </c>
      <c r="BO255">
        <v>0.99990000000000001</v>
      </c>
      <c r="BP255">
        <v>0.99990000000000001</v>
      </c>
      <c r="BQ255">
        <v>1</v>
      </c>
      <c r="BR255">
        <v>1.1351126</v>
      </c>
      <c r="BS255">
        <v>1.139</v>
      </c>
      <c r="BT255">
        <v>1.0827</v>
      </c>
      <c r="BU255">
        <v>1.0298</v>
      </c>
      <c r="BV255">
        <v>1</v>
      </c>
      <c r="BW255">
        <v>2.7437999999999998</v>
      </c>
      <c r="BX255">
        <v>2.3491263330000001</v>
      </c>
      <c r="BY255">
        <v>1.1935500000000001</v>
      </c>
      <c r="BZ255">
        <v>1.2885</v>
      </c>
      <c r="CA255">
        <v>2.0009999999999999</v>
      </c>
      <c r="CB255">
        <v>1.5895049999999999</v>
      </c>
      <c r="CC255">
        <v>1.5895049999999999</v>
      </c>
      <c r="CD255">
        <v>1.307205</v>
      </c>
      <c r="CE255">
        <v>1.11633</v>
      </c>
      <c r="CF255">
        <v>1.485805</v>
      </c>
      <c r="CG255" s="332"/>
      <c r="CH255">
        <v>1.107375</v>
      </c>
      <c r="CI255" s="332"/>
      <c r="CJ255" s="332"/>
      <c r="CK255" s="332"/>
      <c r="CL255" s="332"/>
      <c r="CM255" s="332"/>
      <c r="CN255" s="332"/>
      <c r="CO255" s="332"/>
      <c r="CP255">
        <v>0.95499999999999996</v>
      </c>
      <c r="CV255">
        <v>0.46</v>
      </c>
      <c r="CW255">
        <v>0.90500000000000003</v>
      </c>
      <c r="CX255">
        <v>0.68500000000000005</v>
      </c>
      <c r="CZ255">
        <v>0.79500000000000004</v>
      </c>
      <c r="DA255">
        <v>0.82750000000000001</v>
      </c>
      <c r="DB255">
        <v>0.85</v>
      </c>
      <c r="DC255">
        <v>0.90249999999999997</v>
      </c>
      <c r="DD255">
        <v>0.82</v>
      </c>
      <c r="DE255">
        <v>0.89</v>
      </c>
      <c r="DN255" s="332">
        <v>2.8499999999999999E-4</v>
      </c>
      <c r="DO255" s="332">
        <v>2.0000000000000001E-4</v>
      </c>
      <c r="DP255" s="332">
        <v>0</v>
      </c>
      <c r="DQ255" s="332">
        <v>1E-4</v>
      </c>
      <c r="DR255" s="332">
        <v>0</v>
      </c>
      <c r="DS255" s="332">
        <v>3.5999999999999999E-3</v>
      </c>
      <c r="DT255" s="332">
        <v>4.6999999999999999E-4</v>
      </c>
      <c r="DU255" s="332">
        <v>6.9999999999999999E-4</v>
      </c>
      <c r="DV255" s="332">
        <v>0</v>
      </c>
      <c r="DW255" s="332">
        <v>0</v>
      </c>
      <c r="DX255" s="332">
        <v>5.0000000000000001E-4</v>
      </c>
      <c r="DY255" s="332">
        <v>5.0000000000000001E-4</v>
      </c>
      <c r="DZ255" s="332">
        <v>2.9999999999999997E-4</v>
      </c>
      <c r="EA255" s="332">
        <v>2.7500000000000002E-4</v>
      </c>
      <c r="EB255" s="332">
        <v>4.0000000000000002E-4</v>
      </c>
      <c r="ED255" s="332">
        <v>6.4999999999999994E-5</v>
      </c>
      <c r="EF255">
        <v>1</v>
      </c>
    </row>
    <row r="256" spans="1:136" x14ac:dyDescent="0.25">
      <c r="A256" s="66">
        <v>44166</v>
      </c>
      <c r="B256">
        <v>0.98</v>
      </c>
      <c r="C256">
        <v>0</v>
      </c>
      <c r="E256">
        <v>0</v>
      </c>
      <c r="F256">
        <v>0</v>
      </c>
      <c r="G256">
        <v>0</v>
      </c>
      <c r="H256">
        <v>0.98750000000000004</v>
      </c>
      <c r="I256">
        <v>0.98750000000000004</v>
      </c>
      <c r="J256">
        <v>0.98050000000000004</v>
      </c>
      <c r="K256">
        <v>0</v>
      </c>
      <c r="L256" s="333">
        <v>0.93810294999999999</v>
      </c>
      <c r="M256" s="333">
        <v>0.98750000000000004</v>
      </c>
      <c r="N256">
        <v>0.90217844999999997</v>
      </c>
      <c r="O256">
        <v>0.98750000000000004</v>
      </c>
      <c r="P256">
        <v>0.90217844999999997</v>
      </c>
      <c r="Q256" s="328">
        <v>0.93810294999999999</v>
      </c>
      <c r="R256">
        <v>0.93810294999999999</v>
      </c>
      <c r="S256" s="333">
        <v>0.93810294999999999</v>
      </c>
      <c r="T256">
        <v>0.90217844999999997</v>
      </c>
      <c r="U256">
        <v>0.90217844999999997</v>
      </c>
      <c r="V256">
        <v>0.90217844999999997</v>
      </c>
      <c r="W256">
        <v>0.90217844999999997</v>
      </c>
      <c r="X256">
        <v>0.98750000000000004</v>
      </c>
      <c r="Y256">
        <v>0.98750000000000004</v>
      </c>
      <c r="Z256">
        <v>0.98750000000000004</v>
      </c>
      <c r="AA256">
        <v>0.98750000000000004</v>
      </c>
      <c r="AB256">
        <v>0.90217844999999997</v>
      </c>
      <c r="AC256">
        <v>0.90217844999999997</v>
      </c>
      <c r="AD256">
        <v>0.98750000000000004</v>
      </c>
      <c r="AE256">
        <v>0.98750000000000004</v>
      </c>
      <c r="AF256">
        <v>0.90217844999999997</v>
      </c>
      <c r="AG256">
        <v>0.98</v>
      </c>
      <c r="AH256">
        <v>0.98499999999999999</v>
      </c>
      <c r="AI256">
        <v>0.98499999999999999</v>
      </c>
      <c r="AJ256">
        <v>0.90217844999999997</v>
      </c>
      <c r="AK256">
        <v>1</v>
      </c>
      <c r="AL256">
        <v>0</v>
      </c>
      <c r="AM256">
        <v>0</v>
      </c>
      <c r="BB256" s="446">
        <v>1</v>
      </c>
      <c r="BC256">
        <v>1</v>
      </c>
      <c r="BD256">
        <v>1</v>
      </c>
      <c r="BE256">
        <v>1</v>
      </c>
      <c r="BF256">
        <v>0.99990000000000001</v>
      </c>
      <c r="BG256">
        <v>1</v>
      </c>
      <c r="BH256">
        <v>1</v>
      </c>
      <c r="BI256">
        <v>0.99</v>
      </c>
      <c r="BJ256">
        <v>0.999</v>
      </c>
      <c r="BK256">
        <v>0.998</v>
      </c>
      <c r="BL256">
        <v>0.99850000000000005</v>
      </c>
      <c r="BM256">
        <v>0.99850000000000005</v>
      </c>
      <c r="BN256">
        <v>0.97199999999999998</v>
      </c>
      <c r="BO256">
        <v>0.99990000000000001</v>
      </c>
      <c r="BP256">
        <v>0.99990000000000001</v>
      </c>
      <c r="BQ256">
        <v>1</v>
      </c>
      <c r="BR256">
        <v>1.1353975999999999</v>
      </c>
      <c r="BS256">
        <v>1.1392</v>
      </c>
      <c r="BT256">
        <v>1.0827</v>
      </c>
      <c r="BU256">
        <v>1.0299</v>
      </c>
      <c r="BV256">
        <v>1</v>
      </c>
      <c r="BW256">
        <v>2.7473999999999998</v>
      </c>
      <c r="BX256">
        <v>2.349596333</v>
      </c>
      <c r="BY256">
        <v>1.19425</v>
      </c>
      <c r="BZ256">
        <v>1.2885</v>
      </c>
      <c r="CA256">
        <v>2.0009999999999999</v>
      </c>
      <c r="CB256">
        <v>1.5900049999999999</v>
      </c>
      <c r="CC256">
        <v>1.5900049999999999</v>
      </c>
      <c r="CD256">
        <v>1.3075049999999999</v>
      </c>
      <c r="CE256">
        <v>1.1166050000000001</v>
      </c>
      <c r="CF256">
        <v>1.486205</v>
      </c>
      <c r="CG256" s="332"/>
      <c r="CH256">
        <v>1.10744</v>
      </c>
      <c r="CI256" s="332"/>
      <c r="CJ256" s="332"/>
      <c r="CK256" s="332"/>
      <c r="CL256" s="332"/>
      <c r="CM256" s="332"/>
      <c r="CN256" s="332"/>
      <c r="CO256" s="332"/>
      <c r="CP256">
        <v>0.93500000000000005</v>
      </c>
      <c r="CV256">
        <v>0.48</v>
      </c>
      <c r="CW256">
        <v>0.875</v>
      </c>
      <c r="CX256">
        <v>0.69</v>
      </c>
      <c r="CZ256">
        <v>0.59</v>
      </c>
      <c r="DA256">
        <v>0.62250000000000005</v>
      </c>
      <c r="DB256">
        <v>0.69</v>
      </c>
      <c r="DC256">
        <v>0.89249999999999996</v>
      </c>
      <c r="DD256">
        <v>0.71499999999999997</v>
      </c>
      <c r="DE256">
        <v>0.89</v>
      </c>
      <c r="DN256" s="332">
        <v>2.8499999999999999E-4</v>
      </c>
      <c r="DO256" s="332">
        <v>2.0000000000000001E-4</v>
      </c>
      <c r="DP256" s="332">
        <v>0</v>
      </c>
      <c r="DQ256" s="332">
        <v>1E-4</v>
      </c>
      <c r="DR256" s="332">
        <v>0</v>
      </c>
      <c r="DS256" s="332">
        <v>3.5999999999999999E-3</v>
      </c>
      <c r="DT256" s="332">
        <v>4.6999999999999999E-4</v>
      </c>
      <c r="DU256" s="332">
        <v>6.9999999999999999E-4</v>
      </c>
      <c r="DV256" s="332">
        <v>0</v>
      </c>
      <c r="DW256" s="332">
        <v>0</v>
      </c>
      <c r="DX256" s="332">
        <v>5.0000000000000001E-4</v>
      </c>
      <c r="DY256" s="332">
        <v>5.0000000000000001E-4</v>
      </c>
      <c r="DZ256" s="332">
        <v>2.9999999999999997E-4</v>
      </c>
      <c r="EA256" s="332">
        <v>2.7500000000000002E-4</v>
      </c>
      <c r="EB256" s="332">
        <v>4.0000000000000002E-4</v>
      </c>
      <c r="ED256" s="332">
        <v>6.4999999999999994E-5</v>
      </c>
      <c r="EF256">
        <v>1</v>
      </c>
    </row>
    <row r="257" spans="1:136" x14ac:dyDescent="0.25">
      <c r="A257" s="66">
        <v>44197</v>
      </c>
      <c r="B257">
        <v>0.98</v>
      </c>
      <c r="C257">
        <v>0</v>
      </c>
      <c r="E257">
        <v>0</v>
      </c>
      <c r="F257">
        <v>0</v>
      </c>
      <c r="G257">
        <v>0</v>
      </c>
      <c r="H257">
        <v>0.98750000000000004</v>
      </c>
      <c r="I257">
        <v>0.96193474999999995</v>
      </c>
      <c r="J257">
        <v>0.98050000000000004</v>
      </c>
      <c r="K257">
        <v>0</v>
      </c>
      <c r="L257" s="333">
        <v>0.962255525</v>
      </c>
      <c r="M257" s="333">
        <v>0.98750000000000004</v>
      </c>
      <c r="N257">
        <v>0.90238545000000003</v>
      </c>
      <c r="O257">
        <v>0.98285440000000002</v>
      </c>
      <c r="P257">
        <v>0.90238545000000003</v>
      </c>
      <c r="Q257" s="328">
        <v>0.962255525</v>
      </c>
      <c r="R257">
        <v>0.962255525</v>
      </c>
      <c r="S257" s="333">
        <v>0.962255525</v>
      </c>
      <c r="T257">
        <v>0.90238545000000003</v>
      </c>
      <c r="U257">
        <v>0.90238545000000003</v>
      </c>
      <c r="V257">
        <v>0.90238545000000003</v>
      </c>
      <c r="W257">
        <v>0.90238545000000003</v>
      </c>
      <c r="X257">
        <v>0.98285440000000002</v>
      </c>
      <c r="Y257">
        <v>0.98285440000000002</v>
      </c>
      <c r="Z257">
        <v>0.98285440000000002</v>
      </c>
      <c r="AA257">
        <v>0.98285440000000002</v>
      </c>
      <c r="AB257">
        <v>0.90238545000000003</v>
      </c>
      <c r="AC257">
        <v>0.90238545000000003</v>
      </c>
      <c r="AD257">
        <v>0.98285440000000002</v>
      </c>
      <c r="AE257">
        <v>0.98285440000000002</v>
      </c>
      <c r="AF257">
        <v>0.90238545000000003</v>
      </c>
      <c r="AG257">
        <v>0.98</v>
      </c>
      <c r="AH257">
        <v>0.98499999999999999</v>
      </c>
      <c r="AI257">
        <v>0.98499999999999999</v>
      </c>
      <c r="AJ257">
        <v>0.90238545000000003</v>
      </c>
      <c r="AK257">
        <v>1</v>
      </c>
      <c r="AL257">
        <v>0</v>
      </c>
      <c r="AM257">
        <v>0</v>
      </c>
      <c r="BB257" s="446">
        <v>1</v>
      </c>
      <c r="BC257">
        <v>1</v>
      </c>
      <c r="BD257">
        <v>1</v>
      </c>
      <c r="BE257">
        <v>1</v>
      </c>
      <c r="BF257">
        <v>0.99990000000000001</v>
      </c>
      <c r="BG257">
        <v>1</v>
      </c>
      <c r="BH257">
        <v>1</v>
      </c>
      <c r="BI257">
        <v>0.99</v>
      </c>
      <c r="BJ257">
        <v>0.999</v>
      </c>
      <c r="BK257">
        <v>0.998</v>
      </c>
      <c r="BL257">
        <v>0.99850000000000005</v>
      </c>
      <c r="BM257">
        <v>0.99850000000000005</v>
      </c>
      <c r="BN257">
        <v>0.97199999999999998</v>
      </c>
      <c r="BO257">
        <v>0.99990000000000001</v>
      </c>
      <c r="BP257">
        <v>0.99990000000000001</v>
      </c>
      <c r="BQ257">
        <v>1</v>
      </c>
      <c r="BR257">
        <v>1.1356826</v>
      </c>
      <c r="BS257">
        <v>1.1394</v>
      </c>
      <c r="BT257">
        <v>1.0827</v>
      </c>
      <c r="BU257">
        <v>1.03</v>
      </c>
      <c r="BV257">
        <v>1</v>
      </c>
      <c r="BW257">
        <v>2.7509999999999999</v>
      </c>
      <c r="BX257">
        <v>2.350066333</v>
      </c>
      <c r="BY257">
        <v>1.19495</v>
      </c>
      <c r="BZ257">
        <v>1.2885</v>
      </c>
      <c r="CA257">
        <v>2.0009999999999999</v>
      </c>
      <c r="CB257">
        <v>1.5905050000000001</v>
      </c>
      <c r="CC257">
        <v>1.5905050000000001</v>
      </c>
      <c r="CD257">
        <v>1.3078050000000001</v>
      </c>
      <c r="CE257">
        <v>1.1168800000000001</v>
      </c>
      <c r="CF257">
        <v>1.486605</v>
      </c>
      <c r="CG257" s="332"/>
      <c r="CH257">
        <v>1.107505</v>
      </c>
      <c r="CI257" s="332"/>
      <c r="CJ257" s="332"/>
      <c r="CK257" s="332"/>
      <c r="CL257" s="332"/>
      <c r="CM257" s="332"/>
      <c r="CN257" s="332"/>
      <c r="CO257" s="332"/>
      <c r="CP257">
        <v>0.89500000000000002</v>
      </c>
      <c r="CV257">
        <v>0.45</v>
      </c>
      <c r="CW257">
        <v>0.80500000000000005</v>
      </c>
      <c r="CX257">
        <v>0.7</v>
      </c>
      <c r="CZ257">
        <v>0.60499999999999998</v>
      </c>
      <c r="DA257">
        <v>0.63749999999999996</v>
      </c>
      <c r="DB257">
        <v>0.69</v>
      </c>
      <c r="DC257">
        <v>0.88</v>
      </c>
      <c r="DD257">
        <v>0.64</v>
      </c>
      <c r="DE257">
        <v>0.89</v>
      </c>
      <c r="DN257" s="332">
        <v>2.8499999999999999E-4</v>
      </c>
      <c r="DO257" s="332">
        <v>2.0000000000000001E-4</v>
      </c>
      <c r="DP257" s="332">
        <v>0</v>
      </c>
      <c r="DQ257" s="332">
        <v>1E-4</v>
      </c>
      <c r="DR257" s="332">
        <v>0</v>
      </c>
      <c r="DS257" s="332">
        <v>3.5999999999999999E-3</v>
      </c>
      <c r="DT257" s="332">
        <v>4.6999999999999999E-4</v>
      </c>
      <c r="DU257" s="332">
        <v>6.9999999999999999E-4</v>
      </c>
      <c r="DV257" s="332">
        <v>0</v>
      </c>
      <c r="DW257" s="332">
        <v>0</v>
      </c>
      <c r="DX257" s="332">
        <v>5.0000000000000001E-4</v>
      </c>
      <c r="DY257" s="332">
        <v>5.0000000000000001E-4</v>
      </c>
      <c r="DZ257" s="332">
        <v>2.9999999999999997E-4</v>
      </c>
      <c r="EA257" s="332">
        <v>2.7500000000000002E-4</v>
      </c>
      <c r="EB257" s="332">
        <v>4.0000000000000002E-4</v>
      </c>
      <c r="ED257" s="332">
        <v>6.4999999999999994E-5</v>
      </c>
      <c r="EF257">
        <v>1</v>
      </c>
    </row>
    <row r="258" spans="1:136" x14ac:dyDescent="0.25">
      <c r="A258" s="66">
        <v>44228</v>
      </c>
      <c r="B258">
        <v>0.98</v>
      </c>
      <c r="C258">
        <v>0</v>
      </c>
      <c r="E258">
        <v>0</v>
      </c>
      <c r="F258">
        <v>0</v>
      </c>
      <c r="G258">
        <v>0</v>
      </c>
      <c r="H258">
        <v>0.98750000000000004</v>
      </c>
      <c r="I258">
        <v>0.98750000000000004</v>
      </c>
      <c r="J258">
        <v>0.98050000000000004</v>
      </c>
      <c r="K258">
        <v>0</v>
      </c>
      <c r="L258" s="333">
        <v>0.98750000000000004</v>
      </c>
      <c r="M258" s="333">
        <v>0.98750000000000004</v>
      </c>
      <c r="N258">
        <v>0.92875454999999996</v>
      </c>
      <c r="O258">
        <v>0.98030351299999996</v>
      </c>
      <c r="P258">
        <v>0.92875454999999996</v>
      </c>
      <c r="Q258" s="328">
        <v>0.98750000000000004</v>
      </c>
      <c r="R258">
        <v>0.98750000000000004</v>
      </c>
      <c r="S258" s="333">
        <v>0.98750000000000004</v>
      </c>
      <c r="T258">
        <v>0.92875454999999996</v>
      </c>
      <c r="U258">
        <v>0.92875454999999996</v>
      </c>
      <c r="V258">
        <v>0.92875454999999996</v>
      </c>
      <c r="W258">
        <v>0.92875454999999996</v>
      </c>
      <c r="X258">
        <v>0.98030351299999996</v>
      </c>
      <c r="Y258">
        <v>0.98030351299999996</v>
      </c>
      <c r="Z258">
        <v>0.98030351299999996</v>
      </c>
      <c r="AA258">
        <v>0.98030351299999996</v>
      </c>
      <c r="AB258">
        <v>0.92875454999999996</v>
      </c>
      <c r="AC258">
        <v>0.92875454999999996</v>
      </c>
      <c r="AD258">
        <v>0.98030351299999996</v>
      </c>
      <c r="AE258">
        <v>0.98030351299999996</v>
      </c>
      <c r="AF258">
        <v>0.92875454999999996</v>
      </c>
      <c r="AG258">
        <v>0.98</v>
      </c>
      <c r="AH258">
        <v>0.98499999999999999</v>
      </c>
      <c r="AI258">
        <v>0.98499999999999999</v>
      </c>
      <c r="AJ258">
        <v>0.92875454999999996</v>
      </c>
      <c r="AK258">
        <v>1</v>
      </c>
      <c r="AL258">
        <v>0</v>
      </c>
      <c r="AM258">
        <v>0</v>
      </c>
      <c r="BB258" s="446">
        <v>1</v>
      </c>
      <c r="BC258">
        <v>1</v>
      </c>
      <c r="BD258">
        <v>1</v>
      </c>
      <c r="BE258">
        <v>1</v>
      </c>
      <c r="BF258">
        <v>0.99990000000000001</v>
      </c>
      <c r="BG258">
        <v>1</v>
      </c>
      <c r="BH258">
        <v>1</v>
      </c>
      <c r="BI258">
        <v>0.99</v>
      </c>
      <c r="BJ258">
        <v>0.999</v>
      </c>
      <c r="BK258">
        <v>0.998</v>
      </c>
      <c r="BL258">
        <v>0.99850000000000005</v>
      </c>
      <c r="BM258">
        <v>0.99850000000000005</v>
      </c>
      <c r="BN258">
        <v>0.97199999999999998</v>
      </c>
      <c r="BO258">
        <v>0.99990000000000001</v>
      </c>
      <c r="BP258">
        <v>0.99990000000000001</v>
      </c>
      <c r="BQ258">
        <v>1</v>
      </c>
      <c r="BR258">
        <v>1.1359676000000001</v>
      </c>
      <c r="BS258">
        <v>1.1395999999999999</v>
      </c>
      <c r="BT258">
        <v>1.0827</v>
      </c>
      <c r="BU258">
        <v>1.0301</v>
      </c>
      <c r="BV258">
        <v>1</v>
      </c>
      <c r="BW258">
        <v>2.7545999999999999</v>
      </c>
      <c r="BX258">
        <v>2.350536333</v>
      </c>
      <c r="BY258">
        <v>1.1956500000000001</v>
      </c>
      <c r="BZ258">
        <v>1.2885</v>
      </c>
      <c r="CA258">
        <v>2.0009999999999999</v>
      </c>
      <c r="CB258">
        <v>1.591005</v>
      </c>
      <c r="CC258">
        <v>1.591005</v>
      </c>
      <c r="CD258">
        <v>1.3081050000000001</v>
      </c>
      <c r="CE258">
        <v>1.1171549999999999</v>
      </c>
      <c r="CF258">
        <v>1.4870049999999999</v>
      </c>
      <c r="CG258" s="332"/>
      <c r="CH258">
        <v>1.1075699999999999</v>
      </c>
      <c r="CI258" s="332"/>
      <c r="CJ258" s="332"/>
      <c r="CK258" s="332"/>
      <c r="CL258" s="332"/>
      <c r="CM258" s="332"/>
      <c r="CN258" s="332"/>
      <c r="CO258" s="332"/>
      <c r="CP258">
        <v>0.86499999999999999</v>
      </c>
      <c r="CV258">
        <v>0.45</v>
      </c>
      <c r="CW258">
        <v>0.84499999999999997</v>
      </c>
      <c r="CX258">
        <v>0.80500000000000005</v>
      </c>
      <c r="CZ258">
        <v>0.63500000000000001</v>
      </c>
      <c r="DA258">
        <v>0.66749999999999998</v>
      </c>
      <c r="DB258">
        <v>0.71</v>
      </c>
      <c r="DC258">
        <v>0.87749999999999995</v>
      </c>
      <c r="DD258">
        <v>0.67</v>
      </c>
      <c r="DE258">
        <v>0.89</v>
      </c>
      <c r="DN258" s="332">
        <v>2.8499999999999999E-4</v>
      </c>
      <c r="DO258" s="332">
        <v>2.0000000000000001E-4</v>
      </c>
      <c r="DP258" s="332">
        <v>0</v>
      </c>
      <c r="DQ258" s="332">
        <v>1E-4</v>
      </c>
      <c r="DR258" s="332">
        <v>0</v>
      </c>
      <c r="DS258" s="332">
        <v>3.5999999999999999E-3</v>
      </c>
      <c r="DT258" s="332">
        <v>4.6999999999999999E-4</v>
      </c>
      <c r="DU258" s="332">
        <v>6.9999999999999999E-4</v>
      </c>
      <c r="DV258" s="332">
        <v>0</v>
      </c>
      <c r="DW258" s="332">
        <v>0</v>
      </c>
      <c r="DX258" s="332">
        <v>5.0000000000000001E-4</v>
      </c>
      <c r="DY258" s="332">
        <v>5.0000000000000001E-4</v>
      </c>
      <c r="DZ258" s="332">
        <v>2.9999999999999997E-4</v>
      </c>
      <c r="EA258" s="332">
        <v>2.7500000000000002E-4</v>
      </c>
      <c r="EB258" s="332">
        <v>4.0000000000000002E-4</v>
      </c>
      <c r="ED258" s="332">
        <v>6.4999999999999994E-5</v>
      </c>
      <c r="EF258">
        <v>1</v>
      </c>
    </row>
    <row r="259" spans="1:136" x14ac:dyDescent="0.25">
      <c r="A259" s="66">
        <v>44256</v>
      </c>
      <c r="B259">
        <v>0.98</v>
      </c>
      <c r="C259">
        <v>0</v>
      </c>
      <c r="E259">
        <v>0</v>
      </c>
      <c r="F259">
        <v>0</v>
      </c>
      <c r="G259">
        <v>0</v>
      </c>
      <c r="H259">
        <v>0.98750000000000004</v>
      </c>
      <c r="I259">
        <v>0.98750000000000004</v>
      </c>
      <c r="J259">
        <v>0.98050000000000004</v>
      </c>
      <c r="K259">
        <v>0</v>
      </c>
      <c r="L259" s="333">
        <v>0.98750000000000004</v>
      </c>
      <c r="M259" s="333">
        <v>0.98750000000000004</v>
      </c>
      <c r="N259">
        <v>0.98</v>
      </c>
      <c r="O259">
        <v>0.98750000000000004</v>
      </c>
      <c r="P259">
        <v>0.98</v>
      </c>
      <c r="Q259" s="328">
        <v>0.98750000000000004</v>
      </c>
      <c r="R259">
        <v>0.98750000000000004</v>
      </c>
      <c r="S259" s="333">
        <v>0.98750000000000004</v>
      </c>
      <c r="T259">
        <v>0.98</v>
      </c>
      <c r="U259">
        <v>0.98</v>
      </c>
      <c r="V259">
        <v>0.98</v>
      </c>
      <c r="W259">
        <v>0.98</v>
      </c>
      <c r="X259">
        <v>0.98750000000000004</v>
      </c>
      <c r="Y259">
        <v>0.98750000000000004</v>
      </c>
      <c r="Z259">
        <v>0.98750000000000004</v>
      </c>
      <c r="AA259">
        <v>0.98750000000000004</v>
      </c>
      <c r="AB259">
        <v>0.98</v>
      </c>
      <c r="AC259">
        <v>0.98</v>
      </c>
      <c r="AD259">
        <v>0.98750000000000004</v>
      </c>
      <c r="AE259">
        <v>0.98750000000000004</v>
      </c>
      <c r="AF259">
        <v>0.98</v>
      </c>
      <c r="AG259">
        <v>0.99</v>
      </c>
      <c r="AH259">
        <v>0.98499999999999999</v>
      </c>
      <c r="AI259">
        <v>0.98499999999999999</v>
      </c>
      <c r="AJ259">
        <v>0.98</v>
      </c>
      <c r="AK259">
        <v>1</v>
      </c>
      <c r="AL259">
        <v>0</v>
      </c>
      <c r="AM259">
        <v>0</v>
      </c>
      <c r="BB259" s="446">
        <v>1</v>
      </c>
      <c r="BC259">
        <v>1</v>
      </c>
      <c r="BD259">
        <v>1</v>
      </c>
      <c r="BE259">
        <v>1</v>
      </c>
      <c r="BF259">
        <v>0.99990000000000001</v>
      </c>
      <c r="BG259">
        <v>1</v>
      </c>
      <c r="BH259">
        <v>1</v>
      </c>
      <c r="BI259">
        <v>0.99</v>
      </c>
      <c r="BJ259">
        <v>0.999</v>
      </c>
      <c r="BK259">
        <v>0.998</v>
      </c>
      <c r="BL259">
        <v>0.99850000000000005</v>
      </c>
      <c r="BM259">
        <v>0.99850000000000005</v>
      </c>
      <c r="BN259">
        <v>0.97199999999999998</v>
      </c>
      <c r="BO259">
        <v>0.99990000000000001</v>
      </c>
      <c r="BP259">
        <v>0.99990000000000001</v>
      </c>
      <c r="BQ259">
        <v>1</v>
      </c>
      <c r="BR259">
        <v>1.1362525999999999</v>
      </c>
      <c r="BS259">
        <v>1.1397999999999999</v>
      </c>
      <c r="BT259">
        <v>1.0827</v>
      </c>
      <c r="BU259">
        <v>1.0302</v>
      </c>
      <c r="BV259">
        <v>1</v>
      </c>
      <c r="BW259">
        <v>2.7582</v>
      </c>
      <c r="BX259">
        <v>2.3510063329999999</v>
      </c>
      <c r="BY259">
        <v>1.19635</v>
      </c>
      <c r="BZ259">
        <v>1.2885</v>
      </c>
      <c r="CA259">
        <v>2.0009999999999999</v>
      </c>
      <c r="CB259">
        <v>1.5915049999999999</v>
      </c>
      <c r="CC259">
        <v>1.5915049999999999</v>
      </c>
      <c r="CD259">
        <v>1.308405</v>
      </c>
      <c r="CE259">
        <v>1.1174299999999999</v>
      </c>
      <c r="CF259">
        <v>1.4874050000000001</v>
      </c>
      <c r="CG259" s="332"/>
      <c r="CH259">
        <v>1.1076349999999999</v>
      </c>
      <c r="CI259" s="332"/>
      <c r="CJ259" s="332"/>
      <c r="CK259" s="332"/>
      <c r="CL259" s="332"/>
      <c r="CM259" s="332"/>
      <c r="CN259" s="332"/>
      <c r="CO259" s="332"/>
      <c r="CP259">
        <v>0.86499999999999999</v>
      </c>
      <c r="CV259">
        <v>0.45</v>
      </c>
      <c r="CW259">
        <v>0.875</v>
      </c>
      <c r="CX259">
        <v>0.97499999999999998</v>
      </c>
      <c r="CZ259">
        <v>0.78500000000000003</v>
      </c>
      <c r="DA259">
        <v>0.8175</v>
      </c>
      <c r="DB259">
        <v>0.8</v>
      </c>
      <c r="DC259">
        <v>0.9</v>
      </c>
      <c r="DD259">
        <v>0.83</v>
      </c>
      <c r="DE259">
        <v>0.89</v>
      </c>
      <c r="DN259" s="332">
        <v>2.8499999999999999E-4</v>
      </c>
      <c r="DO259" s="332">
        <v>2.0000000000000001E-4</v>
      </c>
      <c r="DP259" s="332">
        <v>0</v>
      </c>
      <c r="DQ259" s="332">
        <v>1E-4</v>
      </c>
      <c r="DR259" s="332">
        <v>0</v>
      </c>
      <c r="DS259" s="332">
        <v>3.5999999999999999E-3</v>
      </c>
      <c r="DT259" s="332">
        <v>4.6999999999999999E-4</v>
      </c>
      <c r="DU259" s="332">
        <v>6.9999999999999999E-4</v>
      </c>
      <c r="DV259" s="332">
        <v>0</v>
      </c>
      <c r="DW259" s="332">
        <v>0</v>
      </c>
      <c r="DX259" s="332">
        <v>5.0000000000000001E-4</v>
      </c>
      <c r="DY259" s="332">
        <v>5.0000000000000001E-4</v>
      </c>
      <c r="DZ259" s="332">
        <v>2.9999999999999997E-4</v>
      </c>
      <c r="EA259" s="332">
        <v>2.7500000000000002E-4</v>
      </c>
      <c r="EB259" s="332">
        <v>4.0000000000000002E-4</v>
      </c>
      <c r="ED259" s="332">
        <v>6.4999999999999994E-5</v>
      </c>
      <c r="EF259">
        <v>1</v>
      </c>
    </row>
    <row r="260" spans="1:136" x14ac:dyDescent="0.25">
      <c r="A260" s="66">
        <v>44287</v>
      </c>
      <c r="B260">
        <v>0.98</v>
      </c>
      <c r="C260">
        <v>0</v>
      </c>
      <c r="E260">
        <v>0</v>
      </c>
      <c r="F260">
        <v>0</v>
      </c>
      <c r="G260">
        <v>0</v>
      </c>
      <c r="H260">
        <v>0.98750000000000004</v>
      </c>
      <c r="I260">
        <v>0.98750000000000004</v>
      </c>
      <c r="J260">
        <v>0.98050000000000004</v>
      </c>
      <c r="K260">
        <v>0</v>
      </c>
      <c r="L260" s="333">
        <v>0.98750000000000004</v>
      </c>
      <c r="M260" s="333">
        <v>0.98750000000000004</v>
      </c>
      <c r="N260">
        <v>0.98</v>
      </c>
      <c r="O260">
        <v>0.98750000000000004</v>
      </c>
      <c r="P260">
        <v>0.98</v>
      </c>
      <c r="Q260" s="328">
        <v>0.98750000000000004</v>
      </c>
      <c r="R260">
        <v>0.98750000000000004</v>
      </c>
      <c r="S260" s="333">
        <v>0.98750000000000004</v>
      </c>
      <c r="T260">
        <v>0.98</v>
      </c>
      <c r="U260">
        <v>0.98</v>
      </c>
      <c r="V260">
        <v>0.98</v>
      </c>
      <c r="W260">
        <v>0.98</v>
      </c>
      <c r="X260">
        <v>0.98750000000000004</v>
      </c>
      <c r="Y260">
        <v>0.98750000000000004</v>
      </c>
      <c r="Z260">
        <v>0.98750000000000004</v>
      </c>
      <c r="AA260">
        <v>0.98750000000000004</v>
      </c>
      <c r="AB260">
        <v>0.98</v>
      </c>
      <c r="AC260">
        <v>0.98</v>
      </c>
      <c r="AD260">
        <v>0.98750000000000004</v>
      </c>
      <c r="AE260">
        <v>0.98750000000000004</v>
      </c>
      <c r="AF260">
        <v>0.98</v>
      </c>
      <c r="AG260">
        <v>0.99</v>
      </c>
      <c r="AH260">
        <v>0.98499999999999999</v>
      </c>
      <c r="AI260">
        <v>0.98499999999999999</v>
      </c>
      <c r="AJ260">
        <v>0.98</v>
      </c>
      <c r="AK260">
        <v>1</v>
      </c>
      <c r="AL260">
        <v>0</v>
      </c>
      <c r="AM260">
        <v>0</v>
      </c>
      <c r="BB260" s="446">
        <v>1</v>
      </c>
      <c r="BC260">
        <v>1</v>
      </c>
      <c r="BD260">
        <v>1</v>
      </c>
      <c r="BE260">
        <v>1</v>
      </c>
      <c r="BF260">
        <v>0.99990000000000001</v>
      </c>
      <c r="BG260">
        <v>1</v>
      </c>
      <c r="BH260">
        <v>1</v>
      </c>
      <c r="BI260">
        <v>0.99</v>
      </c>
      <c r="BJ260">
        <v>0.999</v>
      </c>
      <c r="BK260">
        <v>0.998</v>
      </c>
      <c r="BL260">
        <v>0.99850000000000005</v>
      </c>
      <c r="BM260">
        <v>0.99850000000000005</v>
      </c>
      <c r="BN260">
        <v>0.97199999999999998</v>
      </c>
      <c r="BO260">
        <v>0.99990000000000001</v>
      </c>
      <c r="BP260">
        <v>0.99990000000000001</v>
      </c>
      <c r="BQ260">
        <v>1</v>
      </c>
      <c r="BR260">
        <v>1.1365376</v>
      </c>
      <c r="BS260">
        <v>1.1399999999999999</v>
      </c>
      <c r="BT260">
        <v>1.0827</v>
      </c>
      <c r="BU260">
        <v>1.0303</v>
      </c>
      <c r="BV260">
        <v>1</v>
      </c>
      <c r="BW260">
        <v>2.7618</v>
      </c>
      <c r="BX260">
        <v>2.3514763329999999</v>
      </c>
      <c r="BY260">
        <v>1.1970499999999999</v>
      </c>
      <c r="BZ260">
        <v>1.2885</v>
      </c>
      <c r="CA260">
        <v>2.0009999999999999</v>
      </c>
      <c r="CB260">
        <v>1.5920049999999999</v>
      </c>
      <c r="CC260">
        <v>1.5920049999999999</v>
      </c>
      <c r="CD260">
        <v>1.308705</v>
      </c>
      <c r="CE260">
        <v>1.1177049999999999</v>
      </c>
      <c r="CF260">
        <v>1.487805</v>
      </c>
      <c r="CG260" s="332"/>
      <c r="CH260">
        <v>1.1076999999999999</v>
      </c>
      <c r="CI260" s="332"/>
      <c r="CJ260" s="332"/>
      <c r="CK260" s="332"/>
      <c r="CL260" s="332"/>
      <c r="CM260" s="332"/>
      <c r="CN260" s="332"/>
      <c r="CO260" s="332"/>
      <c r="CP260">
        <v>0.89500000000000002</v>
      </c>
      <c r="CV260">
        <v>0.42</v>
      </c>
      <c r="CW260">
        <v>0.93500000000000005</v>
      </c>
      <c r="CX260">
        <v>0.96499999999999997</v>
      </c>
      <c r="CZ260">
        <v>0.89500000000000002</v>
      </c>
      <c r="DA260">
        <v>0.92749999999999999</v>
      </c>
      <c r="DB260">
        <v>0.85</v>
      </c>
      <c r="DC260">
        <v>0.90300000000000002</v>
      </c>
      <c r="DD260">
        <v>0.92</v>
      </c>
      <c r="DE260">
        <v>0.89</v>
      </c>
      <c r="DN260" s="332">
        <v>2.8499999999999999E-4</v>
      </c>
      <c r="DO260" s="332">
        <v>2.0000000000000001E-4</v>
      </c>
      <c r="DP260" s="332">
        <v>0</v>
      </c>
      <c r="DQ260" s="332">
        <v>1E-4</v>
      </c>
      <c r="DR260" s="332">
        <v>0</v>
      </c>
      <c r="DS260" s="332">
        <v>3.5999999999999999E-3</v>
      </c>
      <c r="DT260" s="332">
        <v>4.6999999999999999E-4</v>
      </c>
      <c r="DU260" s="332">
        <v>6.9999999999999999E-4</v>
      </c>
      <c r="DV260" s="332">
        <v>0</v>
      </c>
      <c r="DW260" s="332">
        <v>0</v>
      </c>
      <c r="DX260" s="332">
        <v>5.0000000000000001E-4</v>
      </c>
      <c r="DY260" s="332">
        <v>5.0000000000000001E-4</v>
      </c>
      <c r="DZ260" s="332">
        <v>2.9999999999999997E-4</v>
      </c>
      <c r="EA260" s="332">
        <v>2.7500000000000002E-4</v>
      </c>
      <c r="EB260" s="332">
        <v>4.0000000000000002E-4</v>
      </c>
      <c r="ED260" s="332">
        <v>6.4999999999999994E-5</v>
      </c>
      <c r="EF260">
        <v>1</v>
      </c>
    </row>
    <row r="261" spans="1:136" x14ac:dyDescent="0.25">
      <c r="A261" s="66">
        <v>44317</v>
      </c>
      <c r="B261">
        <v>0.98</v>
      </c>
      <c r="C261">
        <v>0</v>
      </c>
      <c r="E261">
        <v>0</v>
      </c>
      <c r="F261">
        <v>0</v>
      </c>
      <c r="G261">
        <v>0</v>
      </c>
      <c r="H261">
        <v>0.98750000000000004</v>
      </c>
      <c r="I261">
        <v>0.98750000000000004</v>
      </c>
      <c r="J261">
        <v>0.98050000000000004</v>
      </c>
      <c r="K261">
        <v>0</v>
      </c>
      <c r="L261" s="333">
        <v>0.98750000000000004</v>
      </c>
      <c r="M261" s="333">
        <v>0.98750000000000004</v>
      </c>
      <c r="N261">
        <v>0.98</v>
      </c>
      <c r="O261">
        <v>0.98750000000000004</v>
      </c>
      <c r="P261">
        <v>0.98</v>
      </c>
      <c r="Q261" s="328">
        <v>0.98750000000000004</v>
      </c>
      <c r="R261">
        <v>0.98750000000000004</v>
      </c>
      <c r="S261" s="333">
        <v>0.98750000000000004</v>
      </c>
      <c r="T261">
        <v>0.98</v>
      </c>
      <c r="U261">
        <v>0.98</v>
      </c>
      <c r="V261">
        <v>0.98</v>
      </c>
      <c r="W261">
        <v>0.98</v>
      </c>
      <c r="X261">
        <v>0.98750000000000004</v>
      </c>
      <c r="Y261">
        <v>0.98750000000000004</v>
      </c>
      <c r="Z261">
        <v>0.98750000000000004</v>
      </c>
      <c r="AA261">
        <v>0.98750000000000004</v>
      </c>
      <c r="AB261">
        <v>0.98</v>
      </c>
      <c r="AC261">
        <v>0.98</v>
      </c>
      <c r="AD261">
        <v>0.98750000000000004</v>
      </c>
      <c r="AE261">
        <v>0.98750000000000004</v>
      </c>
      <c r="AF261">
        <v>0.98</v>
      </c>
      <c r="AG261">
        <v>0.99</v>
      </c>
      <c r="AH261">
        <v>0.98499999999999999</v>
      </c>
      <c r="AI261">
        <v>0.98499999999999999</v>
      </c>
      <c r="AJ261">
        <v>0.98</v>
      </c>
      <c r="AK261">
        <v>1</v>
      </c>
      <c r="AL261">
        <v>0</v>
      </c>
      <c r="AM261">
        <v>0</v>
      </c>
      <c r="BB261" s="446">
        <v>1</v>
      </c>
      <c r="BC261">
        <v>1</v>
      </c>
      <c r="BD261">
        <v>1</v>
      </c>
      <c r="BE261">
        <v>1</v>
      </c>
      <c r="BF261">
        <v>0.99990000000000001</v>
      </c>
      <c r="BG261">
        <v>1</v>
      </c>
      <c r="BH261">
        <v>1</v>
      </c>
      <c r="BI261">
        <v>0.99</v>
      </c>
      <c r="BJ261">
        <v>0.999</v>
      </c>
      <c r="BK261">
        <v>0.998</v>
      </c>
      <c r="BL261">
        <v>0.99850000000000005</v>
      </c>
      <c r="BM261">
        <v>0.99850000000000005</v>
      </c>
      <c r="BN261">
        <v>0.97199999999999998</v>
      </c>
      <c r="BO261">
        <v>0.99990000000000001</v>
      </c>
      <c r="BP261">
        <v>0.99990000000000001</v>
      </c>
      <c r="BQ261">
        <v>1</v>
      </c>
      <c r="BR261">
        <v>1.1368225999999999</v>
      </c>
      <c r="BS261">
        <v>1.1402000000000001</v>
      </c>
      <c r="BT261">
        <v>1.0827</v>
      </c>
      <c r="BU261">
        <v>1.0304</v>
      </c>
      <c r="BV261">
        <v>1</v>
      </c>
      <c r="BW261">
        <v>2.7654000000000001</v>
      </c>
      <c r="BX261">
        <v>2.3519463329999999</v>
      </c>
      <c r="BY261">
        <v>1.1977500000000001</v>
      </c>
      <c r="BZ261">
        <v>1.2885</v>
      </c>
      <c r="CA261">
        <v>2.0009999999999999</v>
      </c>
      <c r="CB261">
        <v>1.5925050000000001</v>
      </c>
      <c r="CC261">
        <v>1.5925050000000001</v>
      </c>
      <c r="CD261">
        <v>1.309005</v>
      </c>
      <c r="CE261">
        <v>1.11798</v>
      </c>
      <c r="CF261">
        <v>1.488205</v>
      </c>
      <c r="CG261" s="332"/>
      <c r="CH261">
        <v>1.1077650000000001</v>
      </c>
      <c r="CI261" s="332"/>
      <c r="CJ261" s="332"/>
      <c r="CK261" s="332"/>
      <c r="CL261" s="332"/>
      <c r="CM261" s="332"/>
      <c r="CN261" s="332"/>
      <c r="CO261" s="332"/>
      <c r="CP261">
        <v>0.96499999999999997</v>
      </c>
      <c r="CV261">
        <v>0.42</v>
      </c>
      <c r="CW261">
        <v>0.93500000000000005</v>
      </c>
      <c r="CX261">
        <v>0.86499999999999999</v>
      </c>
      <c r="CZ261">
        <v>0.91749999999999998</v>
      </c>
      <c r="DA261">
        <v>0.95</v>
      </c>
      <c r="DB261">
        <v>0.88</v>
      </c>
      <c r="DC261">
        <v>0.9</v>
      </c>
      <c r="DD261">
        <v>0.93500000000000005</v>
      </c>
      <c r="DE261">
        <v>0.89</v>
      </c>
      <c r="DN261" s="332">
        <v>2.8499999999999999E-4</v>
      </c>
      <c r="DO261" s="332">
        <v>2.0000000000000001E-4</v>
      </c>
      <c r="DP261" s="332">
        <v>0</v>
      </c>
      <c r="DQ261" s="332">
        <v>1E-4</v>
      </c>
      <c r="DR261" s="332">
        <v>0</v>
      </c>
      <c r="DS261" s="332">
        <v>3.5999999999999999E-3</v>
      </c>
      <c r="DT261" s="332">
        <v>4.6999999999999999E-4</v>
      </c>
      <c r="DU261" s="332">
        <v>6.9999999999999999E-4</v>
      </c>
      <c r="DV261" s="332">
        <v>0</v>
      </c>
      <c r="DW261" s="332">
        <v>0</v>
      </c>
      <c r="DX261" s="332">
        <v>5.0000000000000001E-4</v>
      </c>
      <c r="DY261" s="332">
        <v>5.0000000000000001E-4</v>
      </c>
      <c r="DZ261" s="332">
        <v>2.9999999999999997E-4</v>
      </c>
      <c r="EA261" s="332">
        <v>2.7500000000000002E-4</v>
      </c>
      <c r="EB261" s="332">
        <v>4.0000000000000002E-4</v>
      </c>
      <c r="ED261" s="332">
        <v>6.4999999999999994E-5</v>
      </c>
      <c r="EF261">
        <v>1</v>
      </c>
    </row>
    <row r="262" spans="1:136" x14ac:dyDescent="0.25">
      <c r="A262" s="66">
        <v>44348</v>
      </c>
      <c r="B262">
        <v>0.98</v>
      </c>
      <c r="C262">
        <v>0</v>
      </c>
      <c r="E262">
        <v>0</v>
      </c>
      <c r="F262">
        <v>0</v>
      </c>
      <c r="G262">
        <v>0</v>
      </c>
      <c r="H262">
        <v>0.98750000000000004</v>
      </c>
      <c r="I262">
        <v>0.98750000000000004</v>
      </c>
      <c r="J262">
        <v>0.98050000000000004</v>
      </c>
      <c r="K262">
        <v>0</v>
      </c>
      <c r="L262" s="333">
        <v>0.98750000000000004</v>
      </c>
      <c r="M262" s="333">
        <v>0.98750000000000004</v>
      </c>
      <c r="N262">
        <v>0.98</v>
      </c>
      <c r="O262">
        <v>0.98750000000000004</v>
      </c>
      <c r="P262">
        <v>0.98</v>
      </c>
      <c r="Q262" s="328">
        <v>0.98750000000000004</v>
      </c>
      <c r="R262">
        <v>0.98750000000000004</v>
      </c>
      <c r="S262" s="333">
        <v>0.98750000000000004</v>
      </c>
      <c r="T262">
        <v>0.98</v>
      </c>
      <c r="U262">
        <v>0.98</v>
      </c>
      <c r="V262">
        <v>0.98</v>
      </c>
      <c r="W262">
        <v>0.98</v>
      </c>
      <c r="X262">
        <v>0.98750000000000004</v>
      </c>
      <c r="Y262">
        <v>0.98750000000000004</v>
      </c>
      <c r="Z262">
        <v>0.98750000000000004</v>
      </c>
      <c r="AA262">
        <v>0.98750000000000004</v>
      </c>
      <c r="AB262">
        <v>0.98</v>
      </c>
      <c r="AC262">
        <v>0.98</v>
      </c>
      <c r="AD262">
        <v>0.98750000000000004</v>
      </c>
      <c r="AE262">
        <v>0.98750000000000004</v>
      </c>
      <c r="AF262">
        <v>0.98</v>
      </c>
      <c r="AG262">
        <v>0.99</v>
      </c>
      <c r="AH262">
        <v>0.98499999999999999</v>
      </c>
      <c r="AI262">
        <v>0.98499999999999999</v>
      </c>
      <c r="AJ262">
        <v>0.98</v>
      </c>
      <c r="AK262">
        <v>1</v>
      </c>
      <c r="AL262">
        <v>0</v>
      </c>
      <c r="AM262">
        <v>0</v>
      </c>
      <c r="BB262" s="446">
        <v>1</v>
      </c>
      <c r="BC262">
        <v>1</v>
      </c>
      <c r="BD262">
        <v>1</v>
      </c>
      <c r="BE262">
        <v>1</v>
      </c>
      <c r="BF262">
        <v>0.99990000000000001</v>
      </c>
      <c r="BG262">
        <v>1</v>
      </c>
      <c r="BH262">
        <v>1</v>
      </c>
      <c r="BI262">
        <v>0.99</v>
      </c>
      <c r="BJ262">
        <v>0.999</v>
      </c>
      <c r="BK262">
        <v>0.998</v>
      </c>
      <c r="BL262">
        <v>0.99850000000000005</v>
      </c>
      <c r="BM262">
        <v>0.99850000000000005</v>
      </c>
      <c r="BN262">
        <v>0.97199999999999998</v>
      </c>
      <c r="BO262">
        <v>0.99990000000000001</v>
      </c>
      <c r="BP262">
        <v>0.99990000000000001</v>
      </c>
      <c r="BQ262">
        <v>1</v>
      </c>
      <c r="BR262">
        <v>1.1371076</v>
      </c>
      <c r="BS262">
        <v>1.1404000000000001</v>
      </c>
      <c r="BT262">
        <v>1.0827</v>
      </c>
      <c r="BU262">
        <v>1.0305</v>
      </c>
      <c r="BV262">
        <v>1</v>
      </c>
      <c r="BW262">
        <v>2.7690000000000001</v>
      </c>
      <c r="BX262">
        <v>2.3524163329999999</v>
      </c>
      <c r="BY262">
        <v>1.19845</v>
      </c>
      <c r="BZ262">
        <v>1.2885</v>
      </c>
      <c r="CA262">
        <v>2.0009999999999999</v>
      </c>
      <c r="CB262">
        <v>1.593005</v>
      </c>
      <c r="CC262">
        <v>1.593005</v>
      </c>
      <c r="CD262">
        <v>1.3093049999999999</v>
      </c>
      <c r="CE262">
        <v>1.118255</v>
      </c>
      <c r="CF262">
        <v>1.488605</v>
      </c>
      <c r="CG262" s="332"/>
      <c r="CH262">
        <v>1.1078300000000001</v>
      </c>
      <c r="CI262" s="332"/>
      <c r="CJ262" s="332"/>
      <c r="CK262" s="332"/>
      <c r="CL262" s="332"/>
      <c r="CM262" s="332"/>
      <c r="CN262" s="332"/>
      <c r="CO262" s="332"/>
      <c r="CP262">
        <v>0.96499999999999997</v>
      </c>
      <c r="CV262">
        <v>0.47</v>
      </c>
      <c r="CW262">
        <v>0.93500000000000005</v>
      </c>
      <c r="CX262">
        <v>0.77500000000000002</v>
      </c>
      <c r="CZ262">
        <v>0.88249999999999995</v>
      </c>
      <c r="DA262">
        <v>0.91500000000000004</v>
      </c>
      <c r="DB262">
        <v>0.88</v>
      </c>
      <c r="DC262">
        <v>0.90249999999999997</v>
      </c>
      <c r="DD262">
        <v>0.91500000000000004</v>
      </c>
      <c r="DE262">
        <v>0.89</v>
      </c>
      <c r="DN262" s="332">
        <v>2.8499999999999999E-4</v>
      </c>
      <c r="DO262" s="332">
        <v>2.0000000000000001E-4</v>
      </c>
      <c r="DP262" s="332">
        <v>0</v>
      </c>
      <c r="DQ262" s="332">
        <v>1E-4</v>
      </c>
      <c r="DR262" s="332">
        <v>0</v>
      </c>
      <c r="DS262" s="332">
        <v>3.5999999999999999E-3</v>
      </c>
      <c r="DT262" s="332">
        <v>4.6999999999999999E-4</v>
      </c>
      <c r="DU262" s="332">
        <v>6.9999999999999999E-4</v>
      </c>
      <c r="DV262" s="332">
        <v>0</v>
      </c>
      <c r="DW262" s="332">
        <v>0</v>
      </c>
      <c r="DX262" s="332">
        <v>5.0000000000000001E-4</v>
      </c>
      <c r="DY262" s="332">
        <v>5.0000000000000001E-4</v>
      </c>
      <c r="DZ262" s="332">
        <v>2.9999999999999997E-4</v>
      </c>
      <c r="EA262" s="332">
        <v>2.7500000000000002E-4</v>
      </c>
      <c r="EB262" s="332">
        <v>4.0000000000000002E-4</v>
      </c>
      <c r="ED262" s="332">
        <v>6.4999999999999994E-5</v>
      </c>
      <c r="EF262">
        <v>1</v>
      </c>
    </row>
    <row r="263" spans="1:136" x14ac:dyDescent="0.25">
      <c r="A263" s="66">
        <v>44378</v>
      </c>
      <c r="B263">
        <v>0.98</v>
      </c>
      <c r="C263">
        <v>0</v>
      </c>
      <c r="E263">
        <v>0</v>
      </c>
      <c r="F263">
        <v>0</v>
      </c>
      <c r="G263">
        <v>0</v>
      </c>
      <c r="H263">
        <v>0.98750000000000004</v>
      </c>
      <c r="I263">
        <v>0.98750000000000004</v>
      </c>
      <c r="J263">
        <v>0.98050000000000004</v>
      </c>
      <c r="K263">
        <v>0</v>
      </c>
      <c r="L263" s="333">
        <v>0.98750000000000004</v>
      </c>
      <c r="M263" s="333">
        <v>0.98750000000000004</v>
      </c>
      <c r="N263">
        <v>0.98</v>
      </c>
      <c r="O263">
        <v>0.98750000000000004</v>
      </c>
      <c r="P263">
        <v>0.98</v>
      </c>
      <c r="Q263" s="328">
        <v>0.98750000000000004</v>
      </c>
      <c r="R263">
        <v>0.98750000000000004</v>
      </c>
      <c r="S263" s="333">
        <v>0.98750000000000004</v>
      </c>
      <c r="T263">
        <v>0.98</v>
      </c>
      <c r="U263">
        <v>0.98</v>
      </c>
      <c r="V263">
        <v>0.98</v>
      </c>
      <c r="W263">
        <v>0.98</v>
      </c>
      <c r="X263">
        <v>0.98750000000000004</v>
      </c>
      <c r="Y263">
        <v>0.98750000000000004</v>
      </c>
      <c r="Z263">
        <v>0.98750000000000004</v>
      </c>
      <c r="AA263">
        <v>0.98750000000000004</v>
      </c>
      <c r="AB263">
        <v>0.98</v>
      </c>
      <c r="AC263">
        <v>0.98</v>
      </c>
      <c r="AD263">
        <v>0.98750000000000004</v>
      </c>
      <c r="AE263">
        <v>0.98750000000000004</v>
      </c>
      <c r="AF263">
        <v>0.98</v>
      </c>
      <c r="AG263">
        <v>0.99</v>
      </c>
      <c r="AH263">
        <v>0.98499999999999999</v>
      </c>
      <c r="AI263">
        <v>0.98499999999999999</v>
      </c>
      <c r="AJ263">
        <v>0.98</v>
      </c>
      <c r="AK263">
        <v>1</v>
      </c>
      <c r="AL263">
        <v>0</v>
      </c>
      <c r="AM263">
        <v>0</v>
      </c>
      <c r="BB263" s="446">
        <v>1</v>
      </c>
      <c r="BC263">
        <v>1</v>
      </c>
      <c r="BD263">
        <v>1</v>
      </c>
      <c r="BE263">
        <v>1</v>
      </c>
      <c r="BF263">
        <v>0.99990000000000001</v>
      </c>
      <c r="BG263">
        <v>1</v>
      </c>
      <c r="BH263">
        <v>1</v>
      </c>
      <c r="BI263">
        <v>0.99</v>
      </c>
      <c r="BJ263">
        <v>0.999</v>
      </c>
      <c r="BK263">
        <v>0.998</v>
      </c>
      <c r="BL263">
        <v>0.99850000000000005</v>
      </c>
      <c r="BM263">
        <v>0.99850000000000005</v>
      </c>
      <c r="BN263">
        <v>0.97199999999999998</v>
      </c>
      <c r="BO263">
        <v>0.99990000000000001</v>
      </c>
      <c r="BP263">
        <v>0.99990000000000001</v>
      </c>
      <c r="BQ263">
        <v>1</v>
      </c>
      <c r="BR263">
        <v>1.1373926000000001</v>
      </c>
      <c r="BS263">
        <v>1.1406000000000001</v>
      </c>
      <c r="BT263">
        <v>1.0827</v>
      </c>
      <c r="BU263">
        <v>1.0306</v>
      </c>
      <c r="BV263">
        <v>1</v>
      </c>
      <c r="BW263">
        <v>2.7726000000000002</v>
      </c>
      <c r="BX263">
        <v>2.3528863329999998</v>
      </c>
      <c r="BY263">
        <v>1.1991499999999999</v>
      </c>
      <c r="BZ263">
        <v>1.2885</v>
      </c>
      <c r="CA263">
        <v>2.0009999999999999</v>
      </c>
      <c r="CB263">
        <v>1.5935049999999999</v>
      </c>
      <c r="CC263">
        <v>1.5935049999999999</v>
      </c>
      <c r="CD263">
        <v>1.3096049999999999</v>
      </c>
      <c r="CE263">
        <v>1.11853</v>
      </c>
      <c r="CF263">
        <v>1.4890049999999999</v>
      </c>
      <c r="CG263" s="332"/>
      <c r="CH263">
        <v>1.1078950000000001</v>
      </c>
      <c r="CI263" s="332"/>
      <c r="CJ263" s="332"/>
      <c r="CK263" s="332"/>
      <c r="CL263" s="332"/>
      <c r="CM263" s="332"/>
      <c r="CN263" s="332"/>
      <c r="CO263" s="332"/>
      <c r="CP263">
        <v>0.97499999999999998</v>
      </c>
      <c r="CV263">
        <v>0.47</v>
      </c>
      <c r="CW263">
        <v>0.93500000000000005</v>
      </c>
      <c r="CX263">
        <v>0.79500000000000004</v>
      </c>
      <c r="CZ263">
        <v>0.87749999999999995</v>
      </c>
      <c r="DA263">
        <v>0.91</v>
      </c>
      <c r="DB263">
        <v>0.89</v>
      </c>
      <c r="DC263">
        <v>0.90749999999999997</v>
      </c>
      <c r="DD263">
        <v>0.91500000000000004</v>
      </c>
      <c r="DE263">
        <v>0.89</v>
      </c>
      <c r="DN263" s="332">
        <v>2.8499999999999999E-4</v>
      </c>
      <c r="DO263" s="332">
        <v>2.0000000000000001E-4</v>
      </c>
      <c r="DP263" s="332">
        <v>0</v>
      </c>
      <c r="DQ263" s="332">
        <v>1E-4</v>
      </c>
      <c r="DR263" s="332">
        <v>0</v>
      </c>
      <c r="DS263" s="332">
        <v>3.5999999999999999E-3</v>
      </c>
      <c r="DT263" s="332">
        <v>4.6999999999999999E-4</v>
      </c>
      <c r="DU263" s="332">
        <v>6.9999999999999999E-4</v>
      </c>
      <c r="DV263" s="332">
        <v>0</v>
      </c>
      <c r="DW263" s="332">
        <v>0</v>
      </c>
      <c r="DX263" s="332">
        <v>5.0000000000000001E-4</v>
      </c>
      <c r="DY263" s="332">
        <v>5.0000000000000001E-4</v>
      </c>
      <c r="DZ263" s="332">
        <v>2.9999999999999997E-4</v>
      </c>
      <c r="EA263" s="332">
        <v>2.7500000000000002E-4</v>
      </c>
      <c r="EB263" s="332">
        <v>4.0000000000000002E-4</v>
      </c>
      <c r="ED263" s="332">
        <v>6.4999999999999994E-5</v>
      </c>
      <c r="EF263">
        <v>1</v>
      </c>
    </row>
    <row r="264" spans="1:136" x14ac:dyDescent="0.25">
      <c r="A264" s="66">
        <v>44409</v>
      </c>
      <c r="B264">
        <v>0.98</v>
      </c>
      <c r="C264">
        <v>0</v>
      </c>
      <c r="E264">
        <v>0</v>
      </c>
      <c r="F264">
        <v>0</v>
      </c>
      <c r="G264">
        <v>0</v>
      </c>
      <c r="H264">
        <v>0.98750000000000004</v>
      </c>
      <c r="I264">
        <v>0.98750000000000004</v>
      </c>
      <c r="J264">
        <v>0.98050000000000004</v>
      </c>
      <c r="K264">
        <v>0</v>
      </c>
      <c r="L264" s="333">
        <v>0.98750000000000004</v>
      </c>
      <c r="M264" s="333">
        <v>0.98750000000000004</v>
      </c>
      <c r="N264">
        <v>0.98</v>
      </c>
      <c r="O264">
        <v>0.98750000000000004</v>
      </c>
      <c r="P264">
        <v>0.98</v>
      </c>
      <c r="Q264" s="328">
        <v>0.98750000000000004</v>
      </c>
      <c r="R264">
        <v>0.98750000000000004</v>
      </c>
      <c r="S264" s="333">
        <v>0.98750000000000004</v>
      </c>
      <c r="T264">
        <v>0.98</v>
      </c>
      <c r="U264">
        <v>0.98</v>
      </c>
      <c r="V264">
        <v>0.98</v>
      </c>
      <c r="W264">
        <v>0.98</v>
      </c>
      <c r="X264">
        <v>0.98750000000000004</v>
      </c>
      <c r="Y264">
        <v>0.98750000000000004</v>
      </c>
      <c r="Z264">
        <v>0.98750000000000004</v>
      </c>
      <c r="AA264">
        <v>0.98750000000000004</v>
      </c>
      <c r="AB264">
        <v>0.98</v>
      </c>
      <c r="AC264">
        <v>0.98</v>
      </c>
      <c r="AD264">
        <v>0.98750000000000004</v>
      </c>
      <c r="AE264">
        <v>0.98750000000000004</v>
      </c>
      <c r="AF264">
        <v>0.98</v>
      </c>
      <c r="AG264">
        <v>0.99</v>
      </c>
      <c r="AH264">
        <v>0.98499999999999999</v>
      </c>
      <c r="AI264">
        <v>0.98499999999999999</v>
      </c>
      <c r="AJ264">
        <v>0.98</v>
      </c>
      <c r="AK264">
        <v>1</v>
      </c>
      <c r="AL264">
        <v>0</v>
      </c>
      <c r="AM264">
        <v>0</v>
      </c>
      <c r="BB264" s="446">
        <v>1</v>
      </c>
      <c r="BC264">
        <v>1</v>
      </c>
      <c r="BD264">
        <v>1</v>
      </c>
      <c r="BE264">
        <v>1</v>
      </c>
      <c r="BF264">
        <v>0.99990000000000001</v>
      </c>
      <c r="BG264">
        <v>1</v>
      </c>
      <c r="BH264">
        <v>1</v>
      </c>
      <c r="BI264">
        <v>0.99</v>
      </c>
      <c r="BJ264">
        <v>0.999</v>
      </c>
      <c r="BK264">
        <v>0.998</v>
      </c>
      <c r="BL264">
        <v>0.99850000000000005</v>
      </c>
      <c r="BM264">
        <v>0.99850000000000005</v>
      </c>
      <c r="BN264">
        <v>0.97199999999999998</v>
      </c>
      <c r="BO264">
        <v>0.99990000000000001</v>
      </c>
      <c r="BP264">
        <v>0.99990000000000001</v>
      </c>
      <c r="BQ264">
        <v>1</v>
      </c>
      <c r="BR264">
        <v>1.1376776</v>
      </c>
      <c r="BS264">
        <v>1.1408</v>
      </c>
      <c r="BT264">
        <v>1.0827</v>
      </c>
      <c r="BU264">
        <v>1.0306999999999999</v>
      </c>
      <c r="BV264">
        <v>1</v>
      </c>
      <c r="BW264">
        <v>2.7761999999999998</v>
      </c>
      <c r="BX264">
        <v>2.3533563329999998</v>
      </c>
      <c r="BY264">
        <v>1.1998500000000001</v>
      </c>
      <c r="BZ264">
        <v>1.2885</v>
      </c>
      <c r="CA264">
        <v>2.0009999999999999</v>
      </c>
      <c r="CB264">
        <v>1.5940049999999999</v>
      </c>
      <c r="CC264">
        <v>1.5940049999999999</v>
      </c>
      <c r="CD264">
        <v>1.3099050000000001</v>
      </c>
      <c r="CE264">
        <v>1.118805</v>
      </c>
      <c r="CF264">
        <v>1.4894050000000001</v>
      </c>
      <c r="CG264" s="332"/>
      <c r="CH264">
        <v>1.1079600000000001</v>
      </c>
      <c r="CI264" s="332"/>
      <c r="CJ264" s="332"/>
      <c r="CK264" s="332"/>
      <c r="CL264" s="332"/>
      <c r="CM264" s="332"/>
      <c r="CN264" s="332"/>
      <c r="CO264" s="332"/>
      <c r="CP264">
        <v>0.97499999999999998</v>
      </c>
      <c r="CV264">
        <v>0.52</v>
      </c>
      <c r="CW264">
        <v>0.92500000000000004</v>
      </c>
      <c r="CX264">
        <v>0.88500000000000001</v>
      </c>
      <c r="CZ264">
        <v>0.89</v>
      </c>
      <c r="DA264">
        <v>0.92249999999999999</v>
      </c>
      <c r="DB264">
        <v>0.91500000000000004</v>
      </c>
      <c r="DC264">
        <v>0.92749999999999999</v>
      </c>
      <c r="DD264">
        <v>0.91500000000000004</v>
      </c>
      <c r="DE264">
        <v>0.89</v>
      </c>
      <c r="DN264" s="332">
        <v>2.8499999999999999E-4</v>
      </c>
      <c r="DO264" s="332">
        <v>2.0000000000000001E-4</v>
      </c>
      <c r="DP264" s="332">
        <v>0</v>
      </c>
      <c r="DQ264" s="332">
        <v>1E-4</v>
      </c>
      <c r="DR264" s="332">
        <v>0</v>
      </c>
      <c r="DS264" s="332">
        <v>3.5999999999999999E-3</v>
      </c>
      <c r="DT264" s="332">
        <v>4.6999999999999999E-4</v>
      </c>
      <c r="DU264" s="332">
        <v>6.9999999999999999E-4</v>
      </c>
      <c r="DV264" s="332">
        <v>0</v>
      </c>
      <c r="DW264" s="332">
        <v>0</v>
      </c>
      <c r="DX264" s="332">
        <v>5.0000000000000001E-4</v>
      </c>
      <c r="DY264" s="332">
        <v>5.0000000000000001E-4</v>
      </c>
      <c r="DZ264" s="332">
        <v>2.9999999999999997E-4</v>
      </c>
      <c r="EA264" s="332">
        <v>2.7500000000000002E-4</v>
      </c>
      <c r="EB264" s="332">
        <v>4.0000000000000002E-4</v>
      </c>
      <c r="ED264" s="332">
        <v>6.4999999999999994E-5</v>
      </c>
      <c r="EF264">
        <v>1</v>
      </c>
    </row>
    <row r="265" spans="1:136" x14ac:dyDescent="0.25">
      <c r="A265" s="66">
        <v>44440</v>
      </c>
      <c r="B265">
        <v>0.98</v>
      </c>
      <c r="C265">
        <v>0</v>
      </c>
      <c r="E265">
        <v>0</v>
      </c>
      <c r="F265">
        <v>0</v>
      </c>
      <c r="G265">
        <v>0</v>
      </c>
      <c r="H265">
        <v>0.98750000000000004</v>
      </c>
      <c r="I265">
        <v>0.98750000000000004</v>
      </c>
      <c r="J265">
        <v>0.98050000000000004</v>
      </c>
      <c r="K265">
        <v>0</v>
      </c>
      <c r="L265" s="333">
        <v>0.98750000000000004</v>
      </c>
      <c r="M265" s="333">
        <v>0.98750000000000004</v>
      </c>
      <c r="N265">
        <v>0.98</v>
      </c>
      <c r="O265">
        <v>0.98750000000000004</v>
      </c>
      <c r="P265">
        <v>0.98</v>
      </c>
      <c r="Q265" s="328">
        <v>0.98750000000000004</v>
      </c>
      <c r="R265">
        <v>0.98750000000000004</v>
      </c>
      <c r="S265" s="333">
        <v>0.98750000000000004</v>
      </c>
      <c r="T265">
        <v>0.98</v>
      </c>
      <c r="U265">
        <v>0.98</v>
      </c>
      <c r="V265">
        <v>0.98</v>
      </c>
      <c r="W265">
        <v>0.98</v>
      </c>
      <c r="X265">
        <v>0.98750000000000004</v>
      </c>
      <c r="Y265">
        <v>0.98750000000000004</v>
      </c>
      <c r="Z265">
        <v>0.98750000000000004</v>
      </c>
      <c r="AA265">
        <v>0.98750000000000004</v>
      </c>
      <c r="AB265">
        <v>0.98</v>
      </c>
      <c r="AC265">
        <v>0.98</v>
      </c>
      <c r="AD265">
        <v>0.98750000000000004</v>
      </c>
      <c r="AE265">
        <v>0.98750000000000004</v>
      </c>
      <c r="AF265">
        <v>0.98</v>
      </c>
      <c r="AG265">
        <v>0.99</v>
      </c>
      <c r="AH265">
        <v>0.98499999999999999</v>
      </c>
      <c r="AI265">
        <v>0.98499999999999999</v>
      </c>
      <c r="AJ265">
        <v>0.98</v>
      </c>
      <c r="AK265">
        <v>1</v>
      </c>
      <c r="AL265">
        <v>0</v>
      </c>
      <c r="AM265">
        <v>0</v>
      </c>
      <c r="BB265" s="446">
        <v>1</v>
      </c>
      <c r="BC265">
        <v>1</v>
      </c>
      <c r="BD265">
        <v>1</v>
      </c>
      <c r="BE265">
        <v>1</v>
      </c>
      <c r="BF265">
        <v>0.99990000000000001</v>
      </c>
      <c r="BG265">
        <v>1</v>
      </c>
      <c r="BH265">
        <v>1</v>
      </c>
      <c r="BI265">
        <v>0.99</v>
      </c>
      <c r="BJ265">
        <v>0.999</v>
      </c>
      <c r="BK265">
        <v>0.998</v>
      </c>
      <c r="BL265">
        <v>0.99850000000000005</v>
      </c>
      <c r="BM265">
        <v>0.99850000000000005</v>
      </c>
      <c r="BN265">
        <v>0.97199999999999998</v>
      </c>
      <c r="BO265">
        <v>0.99990000000000001</v>
      </c>
      <c r="BP265">
        <v>0.99990000000000001</v>
      </c>
      <c r="BQ265">
        <v>1</v>
      </c>
      <c r="BR265">
        <v>1.1379626</v>
      </c>
      <c r="BS265">
        <v>1.141</v>
      </c>
      <c r="BT265">
        <v>1.0827</v>
      </c>
      <c r="BU265">
        <v>1.0307999999999999</v>
      </c>
      <c r="BV265">
        <v>1</v>
      </c>
      <c r="BW265">
        <v>2.7797999999999998</v>
      </c>
      <c r="BX265">
        <v>2.3538263330000002</v>
      </c>
      <c r="BY265">
        <v>1.20055</v>
      </c>
      <c r="BZ265">
        <v>1.2885</v>
      </c>
      <c r="CA265">
        <v>2.0009999999999999</v>
      </c>
      <c r="CB265">
        <v>1.5945050000000001</v>
      </c>
      <c r="CC265">
        <v>1.5945050000000001</v>
      </c>
      <c r="CD265">
        <v>1.3102050000000001</v>
      </c>
      <c r="CE265">
        <v>1.1190800000000001</v>
      </c>
      <c r="CF265">
        <v>1.489805</v>
      </c>
      <c r="CG265" s="332"/>
      <c r="CH265">
        <v>1.108025</v>
      </c>
      <c r="CI265" s="332"/>
      <c r="CJ265" s="332"/>
      <c r="CK265" s="332"/>
      <c r="CL265" s="332"/>
      <c r="CM265" s="332"/>
      <c r="CN265" s="332"/>
      <c r="CO265" s="332"/>
      <c r="CP265">
        <v>0.97499999999999998</v>
      </c>
      <c r="CV265">
        <v>0.55000000000000004</v>
      </c>
      <c r="CW265">
        <v>0.92500000000000004</v>
      </c>
      <c r="CX265">
        <v>0.745</v>
      </c>
      <c r="CZ265">
        <v>0.94499999999999995</v>
      </c>
      <c r="DA265">
        <v>0.97750000000000004</v>
      </c>
      <c r="DB265">
        <v>0.94499999999999995</v>
      </c>
      <c r="DC265">
        <v>0.92</v>
      </c>
      <c r="DD265">
        <v>0.91500000000000004</v>
      </c>
      <c r="DE265">
        <v>0.89</v>
      </c>
      <c r="DN265" s="332">
        <v>2.8499999999999999E-4</v>
      </c>
      <c r="DO265" s="332">
        <v>2.0000000000000001E-4</v>
      </c>
      <c r="DP265" s="332">
        <v>0</v>
      </c>
      <c r="DQ265" s="332">
        <v>1E-4</v>
      </c>
      <c r="DR265" s="332">
        <v>0</v>
      </c>
      <c r="DS265" s="332">
        <v>3.5999999999999999E-3</v>
      </c>
      <c r="DT265" s="332">
        <v>4.6999999999999999E-4</v>
      </c>
      <c r="DU265" s="332">
        <v>6.9999999999999999E-4</v>
      </c>
      <c r="DV265" s="332">
        <v>0</v>
      </c>
      <c r="DW265" s="332">
        <v>0</v>
      </c>
      <c r="DX265" s="332">
        <v>5.0000000000000001E-4</v>
      </c>
      <c r="DY265" s="332">
        <v>5.0000000000000001E-4</v>
      </c>
      <c r="DZ265" s="332">
        <v>2.9999999999999997E-4</v>
      </c>
      <c r="EA265" s="332">
        <v>2.7500000000000002E-4</v>
      </c>
      <c r="EB265" s="332">
        <v>4.0000000000000002E-4</v>
      </c>
      <c r="ED265" s="332">
        <v>6.4999999999999994E-5</v>
      </c>
      <c r="EF265">
        <v>1</v>
      </c>
    </row>
    <row r="266" spans="1:136" x14ac:dyDescent="0.25">
      <c r="A266" s="66">
        <v>44470</v>
      </c>
      <c r="B266">
        <v>0.98</v>
      </c>
      <c r="C266">
        <v>0</v>
      </c>
      <c r="E266">
        <v>0</v>
      </c>
      <c r="F266">
        <v>0</v>
      </c>
      <c r="G266">
        <v>0</v>
      </c>
      <c r="H266">
        <v>0.98750000000000004</v>
      </c>
      <c r="I266">
        <v>0.98750000000000004</v>
      </c>
      <c r="J266">
        <v>0.98050000000000004</v>
      </c>
      <c r="K266">
        <v>0</v>
      </c>
      <c r="L266" s="333">
        <v>0.98750000000000004</v>
      </c>
      <c r="M266" s="333">
        <v>0.98750000000000004</v>
      </c>
      <c r="N266">
        <v>0.98</v>
      </c>
      <c r="O266">
        <v>0.98750000000000004</v>
      </c>
      <c r="P266">
        <v>0.98</v>
      </c>
      <c r="Q266" s="328">
        <v>0.98750000000000004</v>
      </c>
      <c r="R266">
        <v>0.98750000000000004</v>
      </c>
      <c r="S266" s="333">
        <v>0.98750000000000004</v>
      </c>
      <c r="T266">
        <v>0.98</v>
      </c>
      <c r="U266">
        <v>0.98</v>
      </c>
      <c r="V266">
        <v>0.98</v>
      </c>
      <c r="W266">
        <v>0.98</v>
      </c>
      <c r="X266">
        <v>0.98750000000000004</v>
      </c>
      <c r="Y266">
        <v>0.98750000000000004</v>
      </c>
      <c r="Z266">
        <v>0.98750000000000004</v>
      </c>
      <c r="AA266">
        <v>0.98750000000000004</v>
      </c>
      <c r="AB266">
        <v>0.98</v>
      </c>
      <c r="AC266">
        <v>0.98</v>
      </c>
      <c r="AD266">
        <v>0.98750000000000004</v>
      </c>
      <c r="AE266">
        <v>0.98750000000000004</v>
      </c>
      <c r="AF266">
        <v>0.98</v>
      </c>
      <c r="AG266">
        <v>0.99</v>
      </c>
      <c r="AH266">
        <v>0.98499999999999999</v>
      </c>
      <c r="AI266">
        <v>0.98499999999999999</v>
      </c>
      <c r="AJ266">
        <v>0.98</v>
      </c>
      <c r="AK266">
        <v>1</v>
      </c>
      <c r="AL266">
        <v>0</v>
      </c>
      <c r="AM266">
        <v>0</v>
      </c>
      <c r="BB266" s="446">
        <v>1</v>
      </c>
      <c r="BC266">
        <v>1</v>
      </c>
      <c r="BD266">
        <v>1</v>
      </c>
      <c r="BE266">
        <v>1</v>
      </c>
      <c r="BF266">
        <v>0.99990000000000001</v>
      </c>
      <c r="BG266">
        <v>1</v>
      </c>
      <c r="BH266">
        <v>1</v>
      </c>
      <c r="BI266">
        <v>0.99</v>
      </c>
      <c r="BJ266">
        <v>0.999</v>
      </c>
      <c r="BK266">
        <v>0.998</v>
      </c>
      <c r="BL266">
        <v>0.99850000000000005</v>
      </c>
      <c r="BM266">
        <v>0.99850000000000005</v>
      </c>
      <c r="BN266">
        <v>0.97199999999999998</v>
      </c>
      <c r="BO266">
        <v>0.99990000000000001</v>
      </c>
      <c r="BP266">
        <v>0.99990000000000001</v>
      </c>
      <c r="BQ266">
        <v>1</v>
      </c>
      <c r="BR266">
        <v>1.1382475999999999</v>
      </c>
      <c r="BS266">
        <v>1.1412</v>
      </c>
      <c r="BT266">
        <v>1.0827</v>
      </c>
      <c r="BU266">
        <v>1.0308999999999999</v>
      </c>
      <c r="BV266">
        <v>1</v>
      </c>
      <c r="BW266">
        <v>2.7833999999999999</v>
      </c>
      <c r="BX266">
        <v>2.3542963330000002</v>
      </c>
      <c r="BY266">
        <v>1.2012499999999999</v>
      </c>
      <c r="BZ266">
        <v>1.2885</v>
      </c>
      <c r="CA266">
        <v>2.0009999999999999</v>
      </c>
      <c r="CB266">
        <v>1.595005</v>
      </c>
      <c r="CC266">
        <v>1.595005</v>
      </c>
      <c r="CD266">
        <v>1.310505</v>
      </c>
      <c r="CE266">
        <v>1.1193550000000001</v>
      </c>
      <c r="CF266">
        <v>1.490205</v>
      </c>
      <c r="CG266" s="332"/>
      <c r="CH266">
        <v>1.10809</v>
      </c>
      <c r="CI266" s="332"/>
      <c r="CJ266" s="332"/>
      <c r="CK266" s="332"/>
      <c r="CL266" s="332"/>
      <c r="CM266" s="332"/>
      <c r="CN266" s="332"/>
      <c r="CO266" s="332"/>
      <c r="CP266">
        <v>0.95499999999999996</v>
      </c>
      <c r="CV266">
        <v>0.45</v>
      </c>
      <c r="CW266">
        <v>0.92500000000000004</v>
      </c>
      <c r="CX266">
        <v>0.73499999999999999</v>
      </c>
      <c r="CZ266">
        <v>0.80500000000000005</v>
      </c>
      <c r="DA266">
        <v>0.83750000000000002</v>
      </c>
      <c r="DB266">
        <v>0.875</v>
      </c>
      <c r="DC266">
        <v>0.90249999999999997</v>
      </c>
      <c r="DD266">
        <v>0.82</v>
      </c>
      <c r="DE266">
        <v>0.89</v>
      </c>
      <c r="DN266" s="332">
        <v>2.8499999999999999E-4</v>
      </c>
      <c r="DO266" s="332">
        <v>2.0000000000000001E-4</v>
      </c>
      <c r="DP266" s="332">
        <v>0</v>
      </c>
      <c r="DQ266" s="332">
        <v>1E-4</v>
      </c>
      <c r="DR266" s="332">
        <v>0</v>
      </c>
      <c r="DS266" s="332">
        <v>3.5999999999999999E-3</v>
      </c>
      <c r="DT266" s="332">
        <v>4.6999999999999999E-4</v>
      </c>
      <c r="DU266" s="332">
        <v>6.9999999999999999E-4</v>
      </c>
      <c r="DV266" s="332">
        <v>0</v>
      </c>
      <c r="DW266" s="332">
        <v>0</v>
      </c>
      <c r="DX266" s="332">
        <v>5.0000000000000001E-4</v>
      </c>
      <c r="DY266" s="332">
        <v>5.0000000000000001E-4</v>
      </c>
      <c r="DZ266" s="332">
        <v>2.9999999999999997E-4</v>
      </c>
      <c r="EA266" s="332">
        <v>2.7500000000000002E-4</v>
      </c>
      <c r="EB266" s="332">
        <v>4.0000000000000002E-4</v>
      </c>
      <c r="ED266" s="332">
        <v>6.4999999999999994E-5</v>
      </c>
      <c r="EF266">
        <v>1</v>
      </c>
    </row>
    <row r="267" spans="1:136" x14ac:dyDescent="0.25">
      <c r="A267" s="66">
        <v>44501</v>
      </c>
      <c r="B267">
        <v>0.98</v>
      </c>
      <c r="C267">
        <v>0</v>
      </c>
      <c r="E267">
        <v>0</v>
      </c>
      <c r="F267">
        <v>0</v>
      </c>
      <c r="G267">
        <v>0</v>
      </c>
      <c r="H267">
        <v>0.98750000000000004</v>
      </c>
      <c r="I267">
        <v>0.98750000000000004</v>
      </c>
      <c r="J267">
        <v>0.98050000000000004</v>
      </c>
      <c r="K267">
        <v>0</v>
      </c>
      <c r="L267" s="333">
        <v>0.98750000000000004</v>
      </c>
      <c r="M267" s="333">
        <v>0.98750000000000004</v>
      </c>
      <c r="N267">
        <v>0.98</v>
      </c>
      <c r="O267">
        <v>0.98750000000000004</v>
      </c>
      <c r="P267">
        <v>0.98</v>
      </c>
      <c r="Q267" s="328">
        <v>0.98750000000000004</v>
      </c>
      <c r="R267">
        <v>0.98750000000000004</v>
      </c>
      <c r="S267" s="333">
        <v>0.98750000000000004</v>
      </c>
      <c r="T267">
        <v>0.98</v>
      </c>
      <c r="U267">
        <v>0.98</v>
      </c>
      <c r="V267">
        <v>0.98</v>
      </c>
      <c r="W267">
        <v>0.98</v>
      </c>
      <c r="X267">
        <v>0.98750000000000004</v>
      </c>
      <c r="Y267">
        <v>0.98750000000000004</v>
      </c>
      <c r="Z267">
        <v>0.98750000000000004</v>
      </c>
      <c r="AA267">
        <v>0.98750000000000004</v>
      </c>
      <c r="AB267">
        <v>0.98</v>
      </c>
      <c r="AC267">
        <v>0.98</v>
      </c>
      <c r="AD267">
        <v>0.98750000000000004</v>
      </c>
      <c r="AE267">
        <v>0.98750000000000004</v>
      </c>
      <c r="AF267">
        <v>0.98</v>
      </c>
      <c r="AG267">
        <v>0.99</v>
      </c>
      <c r="AH267">
        <v>0.98499999999999999</v>
      </c>
      <c r="AI267">
        <v>0.98499999999999999</v>
      </c>
      <c r="AJ267">
        <v>0.98</v>
      </c>
      <c r="AK267">
        <v>1</v>
      </c>
      <c r="AL267">
        <v>0</v>
      </c>
      <c r="AM267">
        <v>0</v>
      </c>
      <c r="BB267" s="446">
        <v>1</v>
      </c>
      <c r="BC267">
        <v>1</v>
      </c>
      <c r="BD267">
        <v>1</v>
      </c>
      <c r="BE267">
        <v>1</v>
      </c>
      <c r="BF267">
        <v>0.99990000000000001</v>
      </c>
      <c r="BG267">
        <v>1</v>
      </c>
      <c r="BH267">
        <v>1</v>
      </c>
      <c r="BI267">
        <v>0.99</v>
      </c>
      <c r="BJ267">
        <v>0.999</v>
      </c>
      <c r="BK267">
        <v>0.998</v>
      </c>
      <c r="BL267">
        <v>0.99850000000000005</v>
      </c>
      <c r="BM267">
        <v>0.99850000000000005</v>
      </c>
      <c r="BN267">
        <v>0.97199999999999998</v>
      </c>
      <c r="BO267">
        <v>0.99990000000000001</v>
      </c>
      <c r="BP267">
        <v>0.99990000000000001</v>
      </c>
      <c r="BQ267">
        <v>1</v>
      </c>
      <c r="BR267">
        <v>1.1385326</v>
      </c>
      <c r="BS267">
        <v>1.1414</v>
      </c>
      <c r="BT267">
        <v>1.0827</v>
      </c>
      <c r="BU267">
        <v>1.0309999999999999</v>
      </c>
      <c r="BV267">
        <v>1</v>
      </c>
      <c r="BW267">
        <v>2.7869999999999999</v>
      </c>
      <c r="BX267">
        <v>2.3547663330000002</v>
      </c>
      <c r="BY267">
        <v>1.2019500000000001</v>
      </c>
      <c r="BZ267">
        <v>1.2885</v>
      </c>
      <c r="CA267">
        <v>2.0009999999999999</v>
      </c>
      <c r="CB267">
        <v>1.595505</v>
      </c>
      <c r="CC267">
        <v>1.595505</v>
      </c>
      <c r="CD267">
        <v>1.310805</v>
      </c>
      <c r="CE267">
        <v>1.1196299999999999</v>
      </c>
      <c r="CF267">
        <v>1.490605</v>
      </c>
      <c r="CG267" s="332"/>
      <c r="CH267">
        <v>1.108155</v>
      </c>
      <c r="CI267" s="332"/>
      <c r="CJ267" s="332"/>
      <c r="CK267" s="332"/>
      <c r="CL267" s="332"/>
      <c r="CM267" s="332"/>
      <c r="CN267" s="332"/>
      <c r="CO267" s="332"/>
      <c r="CP267">
        <v>0.95499999999999996</v>
      </c>
      <c r="CV267">
        <v>0.46</v>
      </c>
      <c r="CW267">
        <v>0.90500000000000003</v>
      </c>
      <c r="CX267">
        <v>0.69499999999999995</v>
      </c>
      <c r="CZ267">
        <v>0.79500000000000004</v>
      </c>
      <c r="DA267">
        <v>0.82750000000000001</v>
      </c>
      <c r="DB267">
        <v>0.85</v>
      </c>
      <c r="DC267">
        <v>0.90249999999999997</v>
      </c>
      <c r="DD267">
        <v>0.82</v>
      </c>
      <c r="DE267">
        <v>0.89</v>
      </c>
      <c r="DN267" s="332">
        <v>2.8499999999999999E-4</v>
      </c>
      <c r="DO267" s="332">
        <v>2.0000000000000001E-4</v>
      </c>
      <c r="DP267" s="332">
        <v>0</v>
      </c>
      <c r="DQ267" s="332">
        <v>1E-4</v>
      </c>
      <c r="DR267" s="332">
        <v>0</v>
      </c>
      <c r="DS267" s="332">
        <v>3.5999999999999999E-3</v>
      </c>
      <c r="DT267" s="332">
        <v>4.6999999999999999E-4</v>
      </c>
      <c r="DU267" s="332">
        <v>6.9999999999999999E-4</v>
      </c>
      <c r="DV267" s="332">
        <v>0</v>
      </c>
      <c r="DW267" s="332">
        <v>0</v>
      </c>
      <c r="DX267" s="332">
        <v>5.0000000000000001E-4</v>
      </c>
      <c r="DY267" s="332">
        <v>5.0000000000000001E-4</v>
      </c>
      <c r="DZ267" s="332">
        <v>2.9999999999999997E-4</v>
      </c>
      <c r="EA267" s="332">
        <v>2.7500000000000002E-4</v>
      </c>
      <c r="EB267" s="332">
        <v>4.0000000000000002E-4</v>
      </c>
      <c r="ED267" s="332">
        <v>6.4999999999999994E-5</v>
      </c>
      <c r="EF267">
        <v>1</v>
      </c>
    </row>
    <row r="268" spans="1:136" x14ac:dyDescent="0.25">
      <c r="A268" s="66">
        <v>44531</v>
      </c>
      <c r="B268">
        <v>0.98</v>
      </c>
      <c r="C268">
        <v>0</v>
      </c>
      <c r="E268">
        <v>0</v>
      </c>
      <c r="F268">
        <v>0</v>
      </c>
      <c r="G268">
        <v>0</v>
      </c>
      <c r="H268">
        <v>0.98750000000000004</v>
      </c>
      <c r="I268">
        <v>0.98750000000000004</v>
      </c>
      <c r="J268">
        <v>0.98050000000000004</v>
      </c>
      <c r="K268">
        <v>0</v>
      </c>
      <c r="L268" s="333">
        <v>0.94164294999999998</v>
      </c>
      <c r="M268" s="333">
        <v>0.98750000000000004</v>
      </c>
      <c r="N268">
        <v>0.90466245000000001</v>
      </c>
      <c r="O268">
        <v>0.98750000000000004</v>
      </c>
      <c r="P268">
        <v>0.90466245000000001</v>
      </c>
      <c r="Q268" s="328">
        <v>0.94164294999999998</v>
      </c>
      <c r="R268">
        <v>0.94164294999999998</v>
      </c>
      <c r="S268" s="333">
        <v>0.94164294999999998</v>
      </c>
      <c r="T268">
        <v>0.90466245000000001</v>
      </c>
      <c r="U268">
        <v>0.90466245000000001</v>
      </c>
      <c r="V268">
        <v>0.90466245000000001</v>
      </c>
      <c r="W268">
        <v>0.90466245000000001</v>
      </c>
      <c r="X268">
        <v>0.98750000000000004</v>
      </c>
      <c r="Y268">
        <v>0.98750000000000004</v>
      </c>
      <c r="Z268">
        <v>0.98750000000000004</v>
      </c>
      <c r="AA268">
        <v>0.98750000000000004</v>
      </c>
      <c r="AB268">
        <v>0.90466245000000001</v>
      </c>
      <c r="AC268">
        <v>0.90466245000000001</v>
      </c>
      <c r="AD268">
        <v>0.98750000000000004</v>
      </c>
      <c r="AE268">
        <v>0.98750000000000004</v>
      </c>
      <c r="AF268">
        <v>0.90466245000000001</v>
      </c>
      <c r="AG268">
        <v>0.98</v>
      </c>
      <c r="AH268">
        <v>0.98499999999999999</v>
      </c>
      <c r="AI268">
        <v>0.98499999999999999</v>
      </c>
      <c r="AJ268">
        <v>0.90466245000000001</v>
      </c>
      <c r="AK268">
        <v>1</v>
      </c>
      <c r="AL268">
        <v>0</v>
      </c>
      <c r="AM268">
        <v>0</v>
      </c>
      <c r="BB268" s="446">
        <v>1</v>
      </c>
      <c r="BC268">
        <v>1</v>
      </c>
      <c r="BD268">
        <v>1</v>
      </c>
      <c r="BE268">
        <v>1</v>
      </c>
      <c r="BF268">
        <v>0.99990000000000001</v>
      </c>
      <c r="BG268">
        <v>1</v>
      </c>
      <c r="BH268">
        <v>1</v>
      </c>
      <c r="BI268">
        <v>0.99</v>
      </c>
      <c r="BJ268">
        <v>0.999</v>
      </c>
      <c r="BK268">
        <v>0.998</v>
      </c>
      <c r="BL268">
        <v>0.99850000000000005</v>
      </c>
      <c r="BM268">
        <v>0.99850000000000005</v>
      </c>
      <c r="BN268">
        <v>0.97199999999999998</v>
      </c>
      <c r="BO268">
        <v>0.99990000000000001</v>
      </c>
      <c r="BP268">
        <v>0.99990000000000001</v>
      </c>
      <c r="BQ268">
        <v>1</v>
      </c>
      <c r="BR268">
        <v>1.1388176000000001</v>
      </c>
      <c r="BS268">
        <v>1.1415999999999999</v>
      </c>
      <c r="BT268">
        <v>1.0827</v>
      </c>
      <c r="BU268">
        <v>1.0310999999999999</v>
      </c>
      <c r="BV268">
        <v>1</v>
      </c>
      <c r="BW268">
        <v>2.7906</v>
      </c>
      <c r="BX268">
        <v>2.3552363330000001</v>
      </c>
      <c r="BY268">
        <v>1.20265</v>
      </c>
      <c r="BZ268">
        <v>1.2885</v>
      </c>
      <c r="CA268">
        <v>2.0009999999999999</v>
      </c>
      <c r="CB268">
        <v>1.5960049999999999</v>
      </c>
      <c r="CC268">
        <v>1.5960049999999999</v>
      </c>
      <c r="CD268">
        <v>1.311105</v>
      </c>
      <c r="CE268">
        <v>1.1199049999999999</v>
      </c>
      <c r="CF268">
        <v>1.4910049999999999</v>
      </c>
      <c r="CG268" s="332"/>
      <c r="CH268">
        <v>1.10822</v>
      </c>
      <c r="CI268" s="332"/>
      <c r="CJ268" s="332"/>
      <c r="CK268" s="332"/>
      <c r="CL268" s="332"/>
      <c r="CM268" s="332"/>
      <c r="CN268" s="332"/>
      <c r="CO268" s="332"/>
      <c r="CP268">
        <v>0.93500000000000005</v>
      </c>
      <c r="CV268">
        <v>0.48</v>
      </c>
      <c r="CW268">
        <v>0.875</v>
      </c>
      <c r="CX268">
        <v>0.7</v>
      </c>
      <c r="CZ268">
        <v>0.59</v>
      </c>
      <c r="DA268">
        <v>0.62250000000000005</v>
      </c>
      <c r="DB268">
        <v>0.69</v>
      </c>
      <c r="DC268">
        <v>0.89249999999999996</v>
      </c>
      <c r="DD268">
        <v>0.71499999999999997</v>
      </c>
      <c r="DE268">
        <v>0.89</v>
      </c>
      <c r="DN268" s="332">
        <v>2.8499999999999999E-4</v>
      </c>
      <c r="DO268" s="332">
        <v>2.0000000000000001E-4</v>
      </c>
      <c r="DP268" s="332">
        <v>0</v>
      </c>
      <c r="DQ268" s="332">
        <v>1E-4</v>
      </c>
      <c r="DR268" s="332">
        <v>0</v>
      </c>
      <c r="DS268" s="332">
        <v>3.5999999999999999E-3</v>
      </c>
      <c r="DT268" s="332">
        <v>4.6999999999999999E-4</v>
      </c>
      <c r="DU268" s="332">
        <v>6.9999999999999999E-4</v>
      </c>
      <c r="DV268" s="332">
        <v>0</v>
      </c>
      <c r="DW268" s="332">
        <v>0</v>
      </c>
      <c r="DX268" s="332">
        <v>5.0000000000000001E-4</v>
      </c>
      <c r="DY268" s="332">
        <v>5.0000000000000001E-4</v>
      </c>
      <c r="DZ268" s="332">
        <v>2.9999999999999997E-4</v>
      </c>
      <c r="EA268" s="332">
        <v>2.7500000000000002E-4</v>
      </c>
      <c r="EB268" s="332">
        <v>4.0000000000000002E-4</v>
      </c>
      <c r="ED268" s="332">
        <v>6.4999999999999994E-5</v>
      </c>
      <c r="EF268">
        <v>1</v>
      </c>
    </row>
    <row r="269" spans="1:136" x14ac:dyDescent="0.25">
      <c r="A269" s="66">
        <v>44562</v>
      </c>
      <c r="B269">
        <v>0.98</v>
      </c>
      <c r="C269">
        <v>0</v>
      </c>
      <c r="E269">
        <v>0</v>
      </c>
      <c r="F269">
        <v>0</v>
      </c>
      <c r="G269">
        <v>0</v>
      </c>
      <c r="H269">
        <v>0.98750000000000004</v>
      </c>
      <c r="I269">
        <v>0.96869675</v>
      </c>
      <c r="J269">
        <v>0.98050000000000004</v>
      </c>
      <c r="K269">
        <v>0</v>
      </c>
      <c r="L269" s="333">
        <v>0.96588552500000002</v>
      </c>
      <c r="M269" s="333">
        <v>0.98750000000000004</v>
      </c>
      <c r="N269">
        <v>0.90486944999999996</v>
      </c>
      <c r="O269">
        <v>0.98575840000000003</v>
      </c>
      <c r="P269">
        <v>0.90486944999999996</v>
      </c>
      <c r="Q269" s="328">
        <v>0.96588552500000002</v>
      </c>
      <c r="R269">
        <v>0.96588552500000002</v>
      </c>
      <c r="S269" s="333">
        <v>0.96588552500000002</v>
      </c>
      <c r="T269">
        <v>0.90486944999999996</v>
      </c>
      <c r="U269">
        <v>0.90486944999999996</v>
      </c>
      <c r="V269">
        <v>0.90486944999999996</v>
      </c>
      <c r="W269">
        <v>0.90486944999999996</v>
      </c>
      <c r="X269">
        <v>0.98575840000000003</v>
      </c>
      <c r="Y269">
        <v>0.98575840000000003</v>
      </c>
      <c r="Z269">
        <v>0.98575840000000003</v>
      </c>
      <c r="AA269">
        <v>0.98575840000000003</v>
      </c>
      <c r="AB269">
        <v>0.90486944999999996</v>
      </c>
      <c r="AC269">
        <v>0.90486944999999996</v>
      </c>
      <c r="AD269">
        <v>0.98575840000000003</v>
      </c>
      <c r="AE269">
        <v>0.98575840000000003</v>
      </c>
      <c r="AF269">
        <v>0.90486944999999996</v>
      </c>
      <c r="AG269">
        <v>0.98</v>
      </c>
      <c r="AH269">
        <v>0.98499999999999999</v>
      </c>
      <c r="AI269">
        <v>0.98499999999999999</v>
      </c>
      <c r="AJ269">
        <v>0.90486944999999996</v>
      </c>
      <c r="AK269">
        <v>1</v>
      </c>
      <c r="AL269">
        <v>0</v>
      </c>
      <c r="AM269">
        <v>0</v>
      </c>
      <c r="BB269" s="446">
        <v>1</v>
      </c>
      <c r="BC269">
        <v>1</v>
      </c>
      <c r="BD269">
        <v>1</v>
      </c>
      <c r="BE269">
        <v>1</v>
      </c>
      <c r="BF269">
        <v>0.99990000000000001</v>
      </c>
      <c r="BG269">
        <v>1</v>
      </c>
      <c r="BH269">
        <v>1</v>
      </c>
      <c r="BI269">
        <v>0.99</v>
      </c>
      <c r="BJ269">
        <v>0.999</v>
      </c>
      <c r="BK269">
        <v>0.998</v>
      </c>
      <c r="BL269">
        <v>0.99850000000000005</v>
      </c>
      <c r="BM269">
        <v>0.99850000000000005</v>
      </c>
      <c r="BN269">
        <v>0.97199999999999998</v>
      </c>
      <c r="BO269">
        <v>0.99990000000000001</v>
      </c>
      <c r="BP269">
        <v>0.99990000000000001</v>
      </c>
      <c r="BQ269">
        <v>1</v>
      </c>
      <c r="BR269">
        <v>1.1391026</v>
      </c>
      <c r="BS269">
        <v>1.1417999999999999</v>
      </c>
      <c r="BT269">
        <v>1.0827</v>
      </c>
      <c r="BU269">
        <v>1.0311999999999999</v>
      </c>
      <c r="BV269">
        <v>1</v>
      </c>
      <c r="BW269">
        <v>2.7942</v>
      </c>
      <c r="BX269">
        <v>2.3557063330000001</v>
      </c>
      <c r="BY269">
        <v>1.2033499999999999</v>
      </c>
      <c r="BZ269">
        <v>1.2885</v>
      </c>
      <c r="CA269">
        <v>2.0009999999999999</v>
      </c>
      <c r="CB269">
        <v>1.5965050000000001</v>
      </c>
      <c r="CC269">
        <v>1.5965050000000001</v>
      </c>
      <c r="CD269">
        <v>1.3114049999999999</v>
      </c>
      <c r="CE269">
        <v>1.12018</v>
      </c>
      <c r="CF269">
        <v>1.4914050000000001</v>
      </c>
      <c r="CG269" s="332"/>
      <c r="CH269">
        <v>1.108285</v>
      </c>
      <c r="CI269" s="332"/>
      <c r="CJ269" s="332"/>
      <c r="CK269" s="332"/>
      <c r="CL269" s="332"/>
      <c r="CM269" s="332"/>
      <c r="CN269" s="332"/>
      <c r="CO269" s="332"/>
      <c r="CP269">
        <v>0.89500000000000002</v>
      </c>
      <c r="CV269">
        <v>0.45</v>
      </c>
      <c r="CW269">
        <v>0.80500000000000005</v>
      </c>
      <c r="CX269">
        <v>0.71</v>
      </c>
      <c r="CZ269">
        <v>0.60499999999999998</v>
      </c>
      <c r="DA269">
        <v>0.63749999999999996</v>
      </c>
      <c r="DB269">
        <v>0.69</v>
      </c>
      <c r="DC269">
        <v>0.88</v>
      </c>
      <c r="DD269">
        <v>0.64</v>
      </c>
      <c r="DE269">
        <v>0.89</v>
      </c>
      <c r="DN269" s="332">
        <v>2.8499999999999999E-4</v>
      </c>
      <c r="DO269" s="332">
        <v>2.0000000000000001E-4</v>
      </c>
      <c r="DP269" s="332">
        <v>0</v>
      </c>
      <c r="DQ269" s="332">
        <v>1E-4</v>
      </c>
      <c r="DR269" s="332">
        <v>0</v>
      </c>
      <c r="DS269" s="332">
        <v>3.5999999999999999E-3</v>
      </c>
      <c r="DT269" s="332">
        <v>4.6999999999999999E-4</v>
      </c>
      <c r="DU269" s="332">
        <v>6.9999999999999999E-4</v>
      </c>
      <c r="DV269" s="332">
        <v>0</v>
      </c>
      <c r="DW269" s="332">
        <v>0</v>
      </c>
      <c r="DX269" s="332">
        <v>5.0000000000000001E-4</v>
      </c>
      <c r="DY269" s="332">
        <v>5.0000000000000001E-4</v>
      </c>
      <c r="DZ269" s="332">
        <v>2.9999999999999997E-4</v>
      </c>
      <c r="EA269" s="332">
        <v>2.7500000000000002E-4</v>
      </c>
      <c r="EB269" s="332">
        <v>4.0000000000000002E-4</v>
      </c>
      <c r="ED269" s="332">
        <v>6.4999999999999994E-5</v>
      </c>
      <c r="EF269">
        <v>1</v>
      </c>
    </row>
    <row r="270" spans="1:136" x14ac:dyDescent="0.25">
      <c r="A270" s="66">
        <v>44593</v>
      </c>
      <c r="B270">
        <v>0.98</v>
      </c>
      <c r="C270">
        <v>0</v>
      </c>
      <c r="E270">
        <v>0</v>
      </c>
      <c r="F270">
        <v>0</v>
      </c>
      <c r="G270">
        <v>0</v>
      </c>
      <c r="H270">
        <v>0.98750000000000004</v>
      </c>
      <c r="I270">
        <v>0.98750000000000004</v>
      </c>
      <c r="J270">
        <v>0.98050000000000004</v>
      </c>
      <c r="K270">
        <v>0</v>
      </c>
      <c r="L270" s="333">
        <v>0.98750000000000004</v>
      </c>
      <c r="M270" s="333">
        <v>0.98750000000000004</v>
      </c>
      <c r="N270">
        <v>0.93131054999999996</v>
      </c>
      <c r="O270">
        <v>0.98319926300000005</v>
      </c>
      <c r="P270">
        <v>0.93131054999999996</v>
      </c>
      <c r="Q270" s="328">
        <v>0.98750000000000004</v>
      </c>
      <c r="R270">
        <v>0.98750000000000004</v>
      </c>
      <c r="S270" s="333">
        <v>0.98750000000000004</v>
      </c>
      <c r="T270">
        <v>0.93131054999999996</v>
      </c>
      <c r="U270">
        <v>0.93131054999999996</v>
      </c>
      <c r="V270">
        <v>0.93131054999999996</v>
      </c>
      <c r="W270">
        <v>0.93131054999999996</v>
      </c>
      <c r="X270">
        <v>0.98319926300000005</v>
      </c>
      <c r="Y270">
        <v>0.98319926300000005</v>
      </c>
      <c r="Z270">
        <v>0.98319926300000005</v>
      </c>
      <c r="AA270">
        <v>0.98319926300000005</v>
      </c>
      <c r="AB270">
        <v>0.93131054999999996</v>
      </c>
      <c r="AC270">
        <v>0.93131054999999996</v>
      </c>
      <c r="AD270">
        <v>0.98319926300000005</v>
      </c>
      <c r="AE270">
        <v>0.98319926300000005</v>
      </c>
      <c r="AF270">
        <v>0.93131054999999996</v>
      </c>
      <c r="AG270">
        <v>0.98</v>
      </c>
      <c r="AH270">
        <v>0.98499999999999999</v>
      </c>
      <c r="AI270">
        <v>0.98499999999999999</v>
      </c>
      <c r="AJ270">
        <v>0.93131054999999996</v>
      </c>
      <c r="AK270">
        <v>1</v>
      </c>
      <c r="AL270">
        <v>0</v>
      </c>
      <c r="AM270">
        <v>0</v>
      </c>
      <c r="BB270" s="446">
        <v>1</v>
      </c>
      <c r="BC270">
        <v>1</v>
      </c>
      <c r="BD270">
        <v>1</v>
      </c>
      <c r="BE270">
        <v>1</v>
      </c>
      <c r="BF270">
        <v>0.99990000000000001</v>
      </c>
      <c r="BG270">
        <v>1</v>
      </c>
      <c r="BH270">
        <v>1</v>
      </c>
      <c r="BI270">
        <v>0.99</v>
      </c>
      <c r="BJ270">
        <v>0.999</v>
      </c>
      <c r="BK270">
        <v>0.998</v>
      </c>
      <c r="BL270">
        <v>0.99850000000000005</v>
      </c>
      <c r="BM270">
        <v>0.99850000000000005</v>
      </c>
      <c r="BN270">
        <v>0.97199999999999998</v>
      </c>
      <c r="BO270">
        <v>0.99990000000000001</v>
      </c>
      <c r="BP270">
        <v>0.99990000000000001</v>
      </c>
      <c r="BQ270">
        <v>1</v>
      </c>
      <c r="BR270">
        <v>1.1393876000000001</v>
      </c>
      <c r="BS270">
        <v>1.1419999999999999</v>
      </c>
      <c r="BT270">
        <v>1.0827</v>
      </c>
      <c r="BU270">
        <v>1.0313000000000001</v>
      </c>
      <c r="BV270">
        <v>1</v>
      </c>
      <c r="BW270">
        <v>2.7978000000000001</v>
      </c>
      <c r="BX270">
        <v>2.3561763330000001</v>
      </c>
      <c r="BY270">
        <v>1.2040500000000001</v>
      </c>
      <c r="BZ270">
        <v>1.2885</v>
      </c>
      <c r="CA270">
        <v>2.0009999999999999</v>
      </c>
      <c r="CB270">
        <v>1.597005</v>
      </c>
      <c r="CC270">
        <v>1.597005</v>
      </c>
      <c r="CD270">
        <v>1.3117049999999999</v>
      </c>
      <c r="CE270">
        <v>1.120455</v>
      </c>
      <c r="CF270">
        <v>1.491805</v>
      </c>
      <c r="CG270" s="332"/>
      <c r="CH270">
        <v>1.1083499999999999</v>
      </c>
      <c r="CI270" s="332"/>
      <c r="CJ270" s="332"/>
      <c r="CK270" s="332"/>
      <c r="CL270" s="332"/>
      <c r="CM270" s="332"/>
      <c r="CN270" s="332"/>
      <c r="CO270" s="332"/>
      <c r="CP270">
        <v>0.86499999999999999</v>
      </c>
      <c r="CV270">
        <v>0.45</v>
      </c>
      <c r="CW270">
        <v>0.84499999999999997</v>
      </c>
      <c r="CX270">
        <v>0.81499999999999995</v>
      </c>
      <c r="CZ270">
        <v>0.63500000000000001</v>
      </c>
      <c r="DA270">
        <v>0.66749999999999998</v>
      </c>
      <c r="DB270">
        <v>0.71</v>
      </c>
      <c r="DC270">
        <v>0.87749999999999995</v>
      </c>
      <c r="DD270">
        <v>0.67</v>
      </c>
      <c r="DE270">
        <v>0.89</v>
      </c>
      <c r="DN270" s="332">
        <v>2.8499999999999999E-4</v>
      </c>
      <c r="DO270" s="332">
        <v>2.0000000000000001E-4</v>
      </c>
      <c r="DP270" s="332">
        <v>0</v>
      </c>
      <c r="DQ270" s="332">
        <v>1E-4</v>
      </c>
      <c r="DR270" s="332">
        <v>0</v>
      </c>
      <c r="DS270" s="332">
        <v>3.5999999999999999E-3</v>
      </c>
      <c r="DT270" s="332">
        <v>4.6999999999999999E-4</v>
      </c>
      <c r="DU270" s="332">
        <v>6.9999999999999999E-4</v>
      </c>
      <c r="DV270" s="332">
        <v>0</v>
      </c>
      <c r="DW270" s="332">
        <v>0</v>
      </c>
      <c r="DX270" s="332">
        <v>5.0000000000000001E-4</v>
      </c>
      <c r="DY270" s="332">
        <v>5.0000000000000001E-4</v>
      </c>
      <c r="DZ270" s="332">
        <v>2.9999999999999997E-4</v>
      </c>
      <c r="EA270" s="332">
        <v>2.7500000000000002E-4</v>
      </c>
      <c r="EB270" s="332">
        <v>4.0000000000000002E-4</v>
      </c>
      <c r="ED270" s="332">
        <v>6.4999999999999994E-5</v>
      </c>
      <c r="EF270">
        <v>1</v>
      </c>
    </row>
    <row r="271" spans="1:136" x14ac:dyDescent="0.25">
      <c r="A271" s="66">
        <v>44621</v>
      </c>
      <c r="B271">
        <v>0.98</v>
      </c>
      <c r="C271">
        <v>0</v>
      </c>
      <c r="E271">
        <v>0</v>
      </c>
      <c r="F271">
        <v>0</v>
      </c>
      <c r="G271">
        <v>0</v>
      </c>
      <c r="H271">
        <v>0.98750000000000004</v>
      </c>
      <c r="I271">
        <v>0.98750000000000004</v>
      </c>
      <c r="J271">
        <v>0.98050000000000004</v>
      </c>
      <c r="K271">
        <v>0</v>
      </c>
      <c r="L271" s="333">
        <v>0.98750000000000004</v>
      </c>
      <c r="M271" s="333">
        <v>0.98750000000000004</v>
      </c>
      <c r="N271">
        <v>0.98</v>
      </c>
      <c r="O271">
        <v>0.98750000000000004</v>
      </c>
      <c r="P271">
        <v>0.98</v>
      </c>
      <c r="Q271" s="328">
        <v>0.98750000000000004</v>
      </c>
      <c r="R271">
        <v>0.98750000000000004</v>
      </c>
      <c r="S271" s="333">
        <v>0.98750000000000004</v>
      </c>
      <c r="T271">
        <v>0.98</v>
      </c>
      <c r="U271">
        <v>0.98</v>
      </c>
      <c r="V271">
        <v>0.98</v>
      </c>
      <c r="W271">
        <v>0.98</v>
      </c>
      <c r="X271">
        <v>0.98750000000000004</v>
      </c>
      <c r="Y271">
        <v>0.98750000000000004</v>
      </c>
      <c r="Z271">
        <v>0.98750000000000004</v>
      </c>
      <c r="AA271">
        <v>0.98750000000000004</v>
      </c>
      <c r="AB271">
        <v>0.98</v>
      </c>
      <c r="AC271">
        <v>0.98</v>
      </c>
      <c r="AD271">
        <v>0.98750000000000004</v>
      </c>
      <c r="AE271">
        <v>0.98750000000000004</v>
      </c>
      <c r="AF271">
        <v>0.98</v>
      </c>
      <c r="AG271">
        <v>0.99</v>
      </c>
      <c r="AH271">
        <v>0.98499999999999999</v>
      </c>
      <c r="AI271">
        <v>0.98499999999999999</v>
      </c>
      <c r="AJ271">
        <v>0.98</v>
      </c>
      <c r="AK271">
        <v>1</v>
      </c>
      <c r="AL271">
        <v>0</v>
      </c>
      <c r="AM271">
        <v>0</v>
      </c>
      <c r="BB271" s="446">
        <v>1</v>
      </c>
      <c r="BC271">
        <v>1</v>
      </c>
      <c r="BD271">
        <v>1</v>
      </c>
      <c r="BE271">
        <v>1</v>
      </c>
      <c r="BF271">
        <v>0.99990000000000001</v>
      </c>
      <c r="BG271">
        <v>1</v>
      </c>
      <c r="BH271">
        <v>1</v>
      </c>
      <c r="BI271">
        <v>0.99</v>
      </c>
      <c r="BJ271">
        <v>0.999</v>
      </c>
      <c r="BK271">
        <v>0.998</v>
      </c>
      <c r="BL271">
        <v>0.99850000000000005</v>
      </c>
      <c r="BM271">
        <v>0.99850000000000005</v>
      </c>
      <c r="BN271">
        <v>0.97199999999999998</v>
      </c>
      <c r="BO271">
        <v>0.99990000000000001</v>
      </c>
      <c r="BP271">
        <v>0.99990000000000001</v>
      </c>
      <c r="BQ271">
        <v>1</v>
      </c>
      <c r="BR271">
        <v>1.1396725999999999</v>
      </c>
      <c r="BS271">
        <v>1.1422000000000001</v>
      </c>
      <c r="BT271">
        <v>1.0827</v>
      </c>
      <c r="BU271">
        <v>1.0314000000000001</v>
      </c>
      <c r="BV271">
        <v>1</v>
      </c>
      <c r="BW271">
        <v>2.8014000000000001</v>
      </c>
      <c r="BX271">
        <v>2.356646333</v>
      </c>
      <c r="BY271">
        <v>1.20475</v>
      </c>
      <c r="BZ271">
        <v>1.2885</v>
      </c>
      <c r="CA271">
        <v>2.0009999999999999</v>
      </c>
      <c r="CB271">
        <v>1.597505</v>
      </c>
      <c r="CC271">
        <v>1.597505</v>
      </c>
      <c r="CD271">
        <v>1.3120050000000001</v>
      </c>
      <c r="CE271">
        <v>1.12073</v>
      </c>
      <c r="CF271">
        <v>1.492205</v>
      </c>
      <c r="CG271" s="332"/>
      <c r="CH271">
        <v>1.1084149999999999</v>
      </c>
      <c r="CI271" s="332"/>
      <c r="CJ271" s="332"/>
      <c r="CK271" s="332"/>
      <c r="CL271" s="332"/>
      <c r="CM271" s="332"/>
      <c r="CN271" s="332"/>
      <c r="CO271" s="332"/>
      <c r="CP271">
        <v>0.86499999999999999</v>
      </c>
      <c r="CV271">
        <v>0.45</v>
      </c>
      <c r="CW271">
        <v>0.875</v>
      </c>
      <c r="CX271">
        <v>0.98499999999999999</v>
      </c>
      <c r="CZ271">
        <v>0.78500000000000003</v>
      </c>
      <c r="DA271">
        <v>0.8175</v>
      </c>
      <c r="DB271">
        <v>0.8</v>
      </c>
      <c r="DC271">
        <v>0.9</v>
      </c>
      <c r="DD271">
        <v>0.83</v>
      </c>
      <c r="DE271">
        <v>0.89</v>
      </c>
      <c r="DN271" s="332">
        <v>2.8499999999999999E-4</v>
      </c>
      <c r="DO271" s="332">
        <v>2.0000000000000001E-4</v>
      </c>
      <c r="DP271" s="332">
        <v>0</v>
      </c>
      <c r="DQ271" s="332">
        <v>1E-4</v>
      </c>
      <c r="DR271" s="332">
        <v>0</v>
      </c>
      <c r="DS271" s="332">
        <v>3.5999999999999999E-3</v>
      </c>
      <c r="DT271" s="332">
        <v>4.6999999999999999E-4</v>
      </c>
      <c r="DU271" s="332">
        <v>6.9999999999999999E-4</v>
      </c>
      <c r="DV271" s="332">
        <v>0</v>
      </c>
      <c r="DW271" s="332">
        <v>0</v>
      </c>
      <c r="DX271" s="332">
        <v>5.0000000000000001E-4</v>
      </c>
      <c r="DY271" s="332">
        <v>5.0000000000000001E-4</v>
      </c>
      <c r="DZ271" s="332">
        <v>2.9999999999999997E-4</v>
      </c>
      <c r="EA271" s="332">
        <v>2.7500000000000002E-4</v>
      </c>
      <c r="EB271" s="332">
        <v>4.0000000000000002E-4</v>
      </c>
      <c r="ED271" s="332">
        <v>6.4999999999999994E-5</v>
      </c>
      <c r="EF271">
        <v>1</v>
      </c>
    </row>
    <row r="272" spans="1:136" x14ac:dyDescent="0.25">
      <c r="A272" s="66">
        <v>44652</v>
      </c>
      <c r="B272">
        <v>0.98</v>
      </c>
      <c r="C272">
        <v>0</v>
      </c>
      <c r="E272">
        <v>0</v>
      </c>
      <c r="F272">
        <v>0</v>
      </c>
      <c r="G272">
        <v>0</v>
      </c>
      <c r="H272">
        <v>0.98750000000000004</v>
      </c>
      <c r="I272">
        <v>0.98750000000000004</v>
      </c>
      <c r="J272">
        <v>0.98050000000000004</v>
      </c>
      <c r="K272">
        <v>0</v>
      </c>
      <c r="L272" s="333">
        <v>0.98750000000000004</v>
      </c>
      <c r="M272" s="333">
        <v>0.98750000000000004</v>
      </c>
      <c r="N272">
        <v>0.98</v>
      </c>
      <c r="O272">
        <v>0.98750000000000004</v>
      </c>
      <c r="P272">
        <v>0.98</v>
      </c>
      <c r="Q272" s="328">
        <v>0.98750000000000004</v>
      </c>
      <c r="R272">
        <v>0.98750000000000004</v>
      </c>
      <c r="S272" s="333">
        <v>0.98750000000000004</v>
      </c>
      <c r="T272">
        <v>0.98</v>
      </c>
      <c r="U272">
        <v>0.98</v>
      </c>
      <c r="V272">
        <v>0.98</v>
      </c>
      <c r="W272">
        <v>0.98</v>
      </c>
      <c r="X272">
        <v>0.98750000000000004</v>
      </c>
      <c r="Y272">
        <v>0.98750000000000004</v>
      </c>
      <c r="Z272">
        <v>0.98750000000000004</v>
      </c>
      <c r="AA272">
        <v>0.98750000000000004</v>
      </c>
      <c r="AB272">
        <v>0.98</v>
      </c>
      <c r="AC272">
        <v>0.98</v>
      </c>
      <c r="AD272">
        <v>0.98750000000000004</v>
      </c>
      <c r="AE272">
        <v>0.98750000000000004</v>
      </c>
      <c r="AF272">
        <v>0.98</v>
      </c>
      <c r="AG272">
        <v>0.99</v>
      </c>
      <c r="AH272">
        <v>0.98499999999999999</v>
      </c>
      <c r="AI272">
        <v>0.98499999999999999</v>
      </c>
      <c r="AJ272">
        <v>0.98</v>
      </c>
      <c r="AK272">
        <v>1</v>
      </c>
      <c r="AL272">
        <v>0</v>
      </c>
      <c r="AM272">
        <v>0</v>
      </c>
      <c r="BB272" s="446">
        <v>1</v>
      </c>
      <c r="BC272">
        <v>1</v>
      </c>
      <c r="BD272">
        <v>1</v>
      </c>
      <c r="BE272">
        <v>1</v>
      </c>
      <c r="BF272">
        <v>0.99990000000000001</v>
      </c>
      <c r="BG272">
        <v>1</v>
      </c>
      <c r="BH272">
        <v>1</v>
      </c>
      <c r="BI272">
        <v>0.99</v>
      </c>
      <c r="BJ272">
        <v>0.999</v>
      </c>
      <c r="BK272">
        <v>0.998</v>
      </c>
      <c r="BL272">
        <v>0.99850000000000005</v>
      </c>
      <c r="BM272">
        <v>0.99850000000000005</v>
      </c>
      <c r="BN272">
        <v>0.97199999999999998</v>
      </c>
      <c r="BO272">
        <v>0.99990000000000001</v>
      </c>
      <c r="BP272">
        <v>0.99990000000000001</v>
      </c>
      <c r="BQ272">
        <v>1</v>
      </c>
      <c r="BR272">
        <v>1.1399576</v>
      </c>
      <c r="BS272">
        <v>1.1424000000000001</v>
      </c>
      <c r="BT272">
        <v>1.0827</v>
      </c>
      <c r="BU272">
        <v>1.0315000000000001</v>
      </c>
      <c r="BV272">
        <v>1</v>
      </c>
      <c r="BW272">
        <v>2.8050000000000002</v>
      </c>
      <c r="BX272">
        <v>2.357116333</v>
      </c>
      <c r="BY272">
        <v>1.2054499999999999</v>
      </c>
      <c r="BZ272">
        <v>1.2885</v>
      </c>
      <c r="CA272">
        <v>2.0009999999999999</v>
      </c>
      <c r="CB272">
        <v>1.5980049999999999</v>
      </c>
      <c r="CC272">
        <v>1.5980049999999999</v>
      </c>
      <c r="CD272">
        <v>1.3123050000000001</v>
      </c>
      <c r="CE272">
        <v>1.121005</v>
      </c>
      <c r="CF272">
        <v>1.492605</v>
      </c>
      <c r="CG272" s="332"/>
      <c r="CH272">
        <v>1.1084799999999999</v>
      </c>
      <c r="CI272" s="332"/>
      <c r="CJ272" s="332"/>
      <c r="CK272" s="332"/>
      <c r="CL272" s="332"/>
      <c r="CM272" s="332"/>
      <c r="CN272" s="332"/>
      <c r="CO272" s="332"/>
      <c r="CP272">
        <v>0.89500000000000002</v>
      </c>
      <c r="CV272">
        <v>0.42</v>
      </c>
      <c r="CW272">
        <v>0.93500000000000005</v>
      </c>
      <c r="CX272">
        <v>0.97499999999999998</v>
      </c>
      <c r="CZ272">
        <v>0.89500000000000002</v>
      </c>
      <c r="DA272">
        <v>0.92749999999999999</v>
      </c>
      <c r="DB272">
        <v>0.85</v>
      </c>
      <c r="DC272">
        <v>0.90300000000000002</v>
      </c>
      <c r="DD272">
        <v>0.92</v>
      </c>
      <c r="DE272">
        <v>0.89</v>
      </c>
      <c r="DN272" s="332">
        <v>2.8499999999999999E-4</v>
      </c>
      <c r="DO272" s="332">
        <v>2.0000000000000001E-4</v>
      </c>
      <c r="DP272" s="332">
        <v>0</v>
      </c>
      <c r="DQ272" s="332">
        <v>1E-4</v>
      </c>
      <c r="DR272" s="332">
        <v>0</v>
      </c>
      <c r="DS272" s="332">
        <v>3.5999999999999999E-3</v>
      </c>
      <c r="DT272" s="332">
        <v>4.6999999999999999E-4</v>
      </c>
      <c r="DU272" s="332">
        <v>6.9999999999999999E-4</v>
      </c>
      <c r="DV272" s="332">
        <v>0</v>
      </c>
      <c r="DW272" s="332">
        <v>0</v>
      </c>
      <c r="DX272" s="332">
        <v>5.0000000000000001E-4</v>
      </c>
      <c r="DY272" s="332">
        <v>5.0000000000000001E-4</v>
      </c>
      <c r="DZ272" s="332">
        <v>2.9999999999999997E-4</v>
      </c>
      <c r="EA272" s="332">
        <v>2.7500000000000002E-4</v>
      </c>
      <c r="EB272" s="332">
        <v>4.0000000000000002E-4</v>
      </c>
      <c r="ED272" s="332">
        <v>6.4999999999999994E-5</v>
      </c>
      <c r="EF272">
        <v>1</v>
      </c>
    </row>
    <row r="273" spans="1:136" x14ac:dyDescent="0.25">
      <c r="A273" s="66">
        <v>44682</v>
      </c>
      <c r="B273">
        <v>0.98</v>
      </c>
      <c r="C273">
        <v>0</v>
      </c>
      <c r="E273">
        <v>0</v>
      </c>
      <c r="F273">
        <v>0</v>
      </c>
      <c r="G273">
        <v>0</v>
      </c>
      <c r="H273">
        <v>0.98750000000000004</v>
      </c>
      <c r="I273">
        <v>0.98750000000000004</v>
      </c>
      <c r="J273">
        <v>0.98050000000000004</v>
      </c>
      <c r="K273">
        <v>0</v>
      </c>
      <c r="L273" s="333">
        <v>0.98750000000000004</v>
      </c>
      <c r="M273" s="333">
        <v>0.98750000000000004</v>
      </c>
      <c r="N273">
        <v>0.98</v>
      </c>
      <c r="O273">
        <v>0.98750000000000004</v>
      </c>
      <c r="P273">
        <v>0.98</v>
      </c>
      <c r="Q273" s="328">
        <v>0.98750000000000004</v>
      </c>
      <c r="R273">
        <v>0.98750000000000004</v>
      </c>
      <c r="S273" s="333">
        <v>0.98750000000000004</v>
      </c>
      <c r="T273">
        <v>0.98</v>
      </c>
      <c r="U273">
        <v>0.98</v>
      </c>
      <c r="V273">
        <v>0.98</v>
      </c>
      <c r="W273">
        <v>0.98</v>
      </c>
      <c r="X273">
        <v>0.98750000000000004</v>
      </c>
      <c r="Y273">
        <v>0.98750000000000004</v>
      </c>
      <c r="Z273">
        <v>0.98750000000000004</v>
      </c>
      <c r="AA273">
        <v>0.98750000000000004</v>
      </c>
      <c r="AB273">
        <v>0.98</v>
      </c>
      <c r="AC273">
        <v>0.98</v>
      </c>
      <c r="AD273">
        <v>0.98750000000000004</v>
      </c>
      <c r="AE273">
        <v>0.98750000000000004</v>
      </c>
      <c r="AF273">
        <v>0.98</v>
      </c>
      <c r="AG273">
        <v>0.99</v>
      </c>
      <c r="AH273">
        <v>0.98499999999999999</v>
      </c>
      <c r="AI273">
        <v>0.98499999999999999</v>
      </c>
      <c r="AJ273">
        <v>0.98</v>
      </c>
      <c r="AK273">
        <v>1</v>
      </c>
      <c r="AL273">
        <v>0</v>
      </c>
      <c r="AM273">
        <v>0</v>
      </c>
      <c r="BB273" s="446">
        <v>1</v>
      </c>
      <c r="BC273">
        <v>1</v>
      </c>
      <c r="BD273">
        <v>1</v>
      </c>
      <c r="BE273">
        <v>1</v>
      </c>
      <c r="BF273">
        <v>0.99990000000000001</v>
      </c>
      <c r="BG273">
        <v>1</v>
      </c>
      <c r="BH273">
        <v>1</v>
      </c>
      <c r="BI273">
        <v>0.99</v>
      </c>
      <c r="BJ273">
        <v>0.999</v>
      </c>
      <c r="BK273">
        <v>0.998</v>
      </c>
      <c r="BL273">
        <v>0.99850000000000005</v>
      </c>
      <c r="BM273">
        <v>0.99850000000000005</v>
      </c>
      <c r="BN273">
        <v>0.97199999999999998</v>
      </c>
      <c r="BO273">
        <v>0.99990000000000001</v>
      </c>
      <c r="BP273">
        <v>0.99990000000000001</v>
      </c>
      <c r="BQ273">
        <v>1</v>
      </c>
      <c r="BR273">
        <v>1.1402426000000001</v>
      </c>
      <c r="BS273">
        <v>1.1426000000000001</v>
      </c>
      <c r="BT273">
        <v>1.0827</v>
      </c>
      <c r="BU273">
        <v>1.0316000000000001</v>
      </c>
      <c r="BV273">
        <v>1</v>
      </c>
      <c r="BW273">
        <v>2.8086000000000002</v>
      </c>
      <c r="BX273">
        <v>2.357586333</v>
      </c>
      <c r="BY273">
        <v>1.2061500000000001</v>
      </c>
      <c r="BZ273">
        <v>1.2885</v>
      </c>
      <c r="CA273">
        <v>2.0009999999999999</v>
      </c>
      <c r="CB273">
        <v>1.5985050000000001</v>
      </c>
      <c r="CC273">
        <v>1.5985050000000001</v>
      </c>
      <c r="CD273">
        <v>1.312605</v>
      </c>
      <c r="CE273">
        <v>1.1212800000000001</v>
      </c>
      <c r="CF273">
        <v>1.4930049999999999</v>
      </c>
      <c r="CG273" s="332"/>
      <c r="CH273">
        <v>1.1085449999999999</v>
      </c>
      <c r="CI273" s="332"/>
      <c r="CJ273" s="332"/>
      <c r="CK273" s="332"/>
      <c r="CL273" s="332"/>
      <c r="CM273" s="332"/>
      <c r="CN273" s="332"/>
      <c r="CO273" s="332"/>
      <c r="CP273">
        <v>0.96499999999999997</v>
      </c>
      <c r="CV273">
        <v>0.42</v>
      </c>
      <c r="CW273">
        <v>0.93500000000000005</v>
      </c>
      <c r="CX273">
        <v>0.875</v>
      </c>
      <c r="CZ273">
        <v>0.91749999999999998</v>
      </c>
      <c r="DA273">
        <v>0.95</v>
      </c>
      <c r="DB273">
        <v>0.88</v>
      </c>
      <c r="DC273">
        <v>0.9</v>
      </c>
      <c r="DD273">
        <v>0.93500000000000005</v>
      </c>
      <c r="DE273">
        <v>0.89</v>
      </c>
      <c r="DN273" s="332">
        <v>2.8499999999999999E-4</v>
      </c>
      <c r="DO273" s="332">
        <v>2.0000000000000001E-4</v>
      </c>
      <c r="DP273" s="332">
        <v>0</v>
      </c>
      <c r="DQ273" s="332">
        <v>1E-4</v>
      </c>
      <c r="DR273" s="332">
        <v>0</v>
      </c>
      <c r="DS273" s="332">
        <v>3.5999999999999999E-3</v>
      </c>
      <c r="DT273" s="332">
        <v>4.6999999999999999E-4</v>
      </c>
      <c r="DU273" s="332">
        <v>6.9999999999999999E-4</v>
      </c>
      <c r="DV273" s="332">
        <v>0</v>
      </c>
      <c r="DW273" s="332">
        <v>0</v>
      </c>
      <c r="DX273" s="332">
        <v>5.0000000000000001E-4</v>
      </c>
      <c r="DY273" s="332">
        <v>5.0000000000000001E-4</v>
      </c>
      <c r="DZ273" s="332">
        <v>2.9999999999999997E-4</v>
      </c>
      <c r="EA273" s="332">
        <v>2.7500000000000002E-4</v>
      </c>
      <c r="EB273" s="332">
        <v>4.0000000000000002E-4</v>
      </c>
      <c r="ED273" s="332">
        <v>6.4999999999999994E-5</v>
      </c>
      <c r="EF273">
        <v>1</v>
      </c>
    </row>
    <row r="274" spans="1:136" x14ac:dyDescent="0.25">
      <c r="A274" s="66">
        <v>44713</v>
      </c>
      <c r="B274">
        <v>0.98</v>
      </c>
      <c r="C274">
        <v>0</v>
      </c>
      <c r="E274">
        <v>0</v>
      </c>
      <c r="F274">
        <v>0</v>
      </c>
      <c r="G274">
        <v>0</v>
      </c>
      <c r="H274">
        <v>0.98750000000000004</v>
      </c>
      <c r="I274">
        <v>0.98750000000000004</v>
      </c>
      <c r="J274">
        <v>0.98050000000000004</v>
      </c>
      <c r="K274">
        <v>0</v>
      </c>
      <c r="L274" s="333">
        <v>0.98750000000000004</v>
      </c>
      <c r="M274" s="333">
        <v>0.98750000000000004</v>
      </c>
      <c r="N274">
        <v>0.98</v>
      </c>
      <c r="O274">
        <v>0.98750000000000004</v>
      </c>
      <c r="P274">
        <v>0.98</v>
      </c>
      <c r="Q274" s="328">
        <v>0.98750000000000004</v>
      </c>
      <c r="R274">
        <v>0.98750000000000004</v>
      </c>
      <c r="S274" s="333">
        <v>0.98750000000000004</v>
      </c>
      <c r="T274">
        <v>0.98</v>
      </c>
      <c r="U274">
        <v>0.98</v>
      </c>
      <c r="V274">
        <v>0.98</v>
      </c>
      <c r="W274">
        <v>0.98</v>
      </c>
      <c r="X274">
        <v>0.98750000000000004</v>
      </c>
      <c r="Y274">
        <v>0.98750000000000004</v>
      </c>
      <c r="Z274">
        <v>0.98750000000000004</v>
      </c>
      <c r="AA274">
        <v>0.98750000000000004</v>
      </c>
      <c r="AB274">
        <v>0.98</v>
      </c>
      <c r="AC274">
        <v>0.98</v>
      </c>
      <c r="AD274">
        <v>0.98750000000000004</v>
      </c>
      <c r="AE274">
        <v>0.98750000000000004</v>
      </c>
      <c r="AF274">
        <v>0.98</v>
      </c>
      <c r="AG274">
        <v>0.99</v>
      </c>
      <c r="AH274">
        <v>0.98499999999999999</v>
      </c>
      <c r="AI274">
        <v>0.98499999999999999</v>
      </c>
      <c r="AJ274">
        <v>0.98</v>
      </c>
      <c r="AK274">
        <v>1</v>
      </c>
      <c r="AL274">
        <v>0</v>
      </c>
      <c r="AM274">
        <v>0</v>
      </c>
      <c r="BB274" s="446">
        <v>1</v>
      </c>
      <c r="BC274">
        <v>1</v>
      </c>
      <c r="BD274">
        <v>1</v>
      </c>
      <c r="BE274">
        <v>1</v>
      </c>
      <c r="BF274">
        <v>0.99990000000000001</v>
      </c>
      <c r="BG274">
        <v>1</v>
      </c>
      <c r="BH274">
        <v>1</v>
      </c>
      <c r="BI274">
        <v>0.99</v>
      </c>
      <c r="BJ274">
        <v>0.999</v>
      </c>
      <c r="BK274">
        <v>0.998</v>
      </c>
      <c r="BL274">
        <v>0.99850000000000005</v>
      </c>
      <c r="BM274">
        <v>0.99850000000000005</v>
      </c>
      <c r="BN274">
        <v>0.97199999999999998</v>
      </c>
      <c r="BO274">
        <v>0.99990000000000001</v>
      </c>
      <c r="BP274">
        <v>0.99990000000000001</v>
      </c>
      <c r="BQ274">
        <v>1</v>
      </c>
      <c r="BR274">
        <v>1.1405276</v>
      </c>
      <c r="BS274">
        <v>1.1428</v>
      </c>
      <c r="BT274">
        <v>1.0827</v>
      </c>
      <c r="BU274">
        <v>1.0317000000000001</v>
      </c>
      <c r="BV274">
        <v>1</v>
      </c>
      <c r="BW274">
        <v>2.8121999999999998</v>
      </c>
      <c r="BX274">
        <v>2.3580563329999999</v>
      </c>
      <c r="BY274">
        <v>1.20685</v>
      </c>
      <c r="BZ274">
        <v>1.2885</v>
      </c>
      <c r="CA274">
        <v>2.0009999999999999</v>
      </c>
      <c r="CB274">
        <v>1.599005</v>
      </c>
      <c r="CC274">
        <v>1.599005</v>
      </c>
      <c r="CD274">
        <v>1.312905</v>
      </c>
      <c r="CE274">
        <v>1.1215550000000001</v>
      </c>
      <c r="CF274">
        <v>1.4934050000000001</v>
      </c>
      <c r="CG274" s="332"/>
      <c r="CH274">
        <v>1.1086100000000001</v>
      </c>
      <c r="CI274" s="332"/>
      <c r="CJ274" s="332"/>
      <c r="CK274" s="332"/>
      <c r="CL274" s="332"/>
      <c r="CM274" s="332"/>
      <c r="CN274" s="332"/>
      <c r="CO274" s="332"/>
      <c r="CP274">
        <v>0.96499999999999997</v>
      </c>
      <c r="CV274">
        <v>0.47</v>
      </c>
      <c r="CW274">
        <v>0.93500000000000005</v>
      </c>
      <c r="CX274">
        <v>0.78500000000000003</v>
      </c>
      <c r="CZ274">
        <v>0.88249999999999995</v>
      </c>
      <c r="DA274">
        <v>0.91500000000000004</v>
      </c>
      <c r="DB274">
        <v>0.88</v>
      </c>
      <c r="DC274">
        <v>0.90249999999999997</v>
      </c>
      <c r="DD274">
        <v>0.91500000000000004</v>
      </c>
      <c r="DE274">
        <v>0.89</v>
      </c>
      <c r="DN274" s="332">
        <v>2.8499999999999999E-4</v>
      </c>
      <c r="DO274" s="332">
        <v>2.0000000000000001E-4</v>
      </c>
      <c r="DP274" s="332">
        <v>0</v>
      </c>
      <c r="DQ274" s="332">
        <v>1E-4</v>
      </c>
      <c r="DR274" s="332">
        <v>0</v>
      </c>
      <c r="DS274" s="332">
        <v>3.5999999999999999E-3</v>
      </c>
      <c r="DT274" s="332">
        <v>4.6999999999999999E-4</v>
      </c>
      <c r="DU274" s="332">
        <v>6.9999999999999999E-4</v>
      </c>
      <c r="DV274" s="332">
        <v>0</v>
      </c>
      <c r="DW274" s="332">
        <v>0</v>
      </c>
      <c r="DX274" s="332">
        <v>5.0000000000000001E-4</v>
      </c>
      <c r="DY274" s="332">
        <v>5.0000000000000001E-4</v>
      </c>
      <c r="DZ274" s="332">
        <v>2.9999999999999997E-4</v>
      </c>
      <c r="EA274" s="332">
        <v>2.7500000000000002E-4</v>
      </c>
      <c r="EB274" s="332">
        <v>4.0000000000000002E-4</v>
      </c>
      <c r="ED274" s="332">
        <v>6.4999999999999994E-5</v>
      </c>
      <c r="EF274">
        <v>1</v>
      </c>
    </row>
    <row r="275" spans="1:136" x14ac:dyDescent="0.25">
      <c r="A275" s="66">
        <v>44743</v>
      </c>
      <c r="B275">
        <v>0.98</v>
      </c>
      <c r="C275">
        <v>0</v>
      </c>
      <c r="E275">
        <v>0</v>
      </c>
      <c r="F275">
        <v>0</v>
      </c>
      <c r="G275">
        <v>0</v>
      </c>
      <c r="H275">
        <v>0.98750000000000004</v>
      </c>
      <c r="I275">
        <v>0.98750000000000004</v>
      </c>
      <c r="J275">
        <v>0.98050000000000004</v>
      </c>
      <c r="K275">
        <v>0</v>
      </c>
      <c r="L275" s="333">
        <v>0.98750000000000004</v>
      </c>
      <c r="M275" s="333">
        <v>0.98750000000000004</v>
      </c>
      <c r="N275">
        <v>0.98</v>
      </c>
      <c r="O275">
        <v>0.98750000000000004</v>
      </c>
      <c r="P275">
        <v>0.98</v>
      </c>
      <c r="Q275" s="328">
        <v>0.98750000000000004</v>
      </c>
      <c r="R275">
        <v>0.98750000000000004</v>
      </c>
      <c r="S275" s="333">
        <v>0.98750000000000004</v>
      </c>
      <c r="T275">
        <v>0.98</v>
      </c>
      <c r="U275">
        <v>0.98</v>
      </c>
      <c r="V275">
        <v>0.98</v>
      </c>
      <c r="W275">
        <v>0.98</v>
      </c>
      <c r="X275">
        <v>0.98750000000000004</v>
      </c>
      <c r="Y275">
        <v>0.98750000000000004</v>
      </c>
      <c r="Z275">
        <v>0.98750000000000004</v>
      </c>
      <c r="AA275">
        <v>0.98750000000000004</v>
      </c>
      <c r="AB275">
        <v>0.98</v>
      </c>
      <c r="AC275">
        <v>0.98</v>
      </c>
      <c r="AD275">
        <v>0.98750000000000004</v>
      </c>
      <c r="AE275">
        <v>0.98750000000000004</v>
      </c>
      <c r="AF275">
        <v>0.98</v>
      </c>
      <c r="AG275">
        <v>0.99</v>
      </c>
      <c r="AH275">
        <v>0.98499999999999999</v>
      </c>
      <c r="AI275">
        <v>0.98499999999999999</v>
      </c>
      <c r="AJ275">
        <v>0.98</v>
      </c>
      <c r="AK275">
        <v>1</v>
      </c>
      <c r="AL275">
        <v>0</v>
      </c>
      <c r="AM275">
        <v>0</v>
      </c>
      <c r="BB275" s="446">
        <v>1</v>
      </c>
      <c r="BC275">
        <v>1</v>
      </c>
      <c r="BD275">
        <v>1</v>
      </c>
      <c r="BE275">
        <v>1</v>
      </c>
      <c r="BF275">
        <v>0.99990000000000001</v>
      </c>
      <c r="BG275">
        <v>1</v>
      </c>
      <c r="BH275">
        <v>1</v>
      </c>
      <c r="BI275">
        <v>0.99</v>
      </c>
      <c r="BJ275">
        <v>0.999</v>
      </c>
      <c r="BK275">
        <v>0.998</v>
      </c>
      <c r="BL275">
        <v>0.99850000000000005</v>
      </c>
      <c r="BM275">
        <v>0.99850000000000005</v>
      </c>
      <c r="BN275">
        <v>0.97199999999999998</v>
      </c>
      <c r="BO275">
        <v>0.99990000000000001</v>
      </c>
      <c r="BP275">
        <v>0.99990000000000001</v>
      </c>
      <c r="BQ275">
        <v>1</v>
      </c>
      <c r="BR275">
        <v>1.1408126000000001</v>
      </c>
      <c r="BS275">
        <v>1.143</v>
      </c>
      <c r="BT275">
        <v>1.0827</v>
      </c>
      <c r="BU275">
        <v>1.0318000000000001</v>
      </c>
      <c r="BV275">
        <v>1</v>
      </c>
      <c r="BW275">
        <v>2.8157999999999999</v>
      </c>
      <c r="BX275">
        <v>2.3585263329999999</v>
      </c>
      <c r="BY275">
        <v>1.2075499999999999</v>
      </c>
      <c r="BZ275">
        <v>1.2885</v>
      </c>
      <c r="CA275">
        <v>2.0009999999999999</v>
      </c>
      <c r="CB275">
        <v>1.599505</v>
      </c>
      <c r="CC275">
        <v>1.599505</v>
      </c>
      <c r="CD275">
        <v>1.313205</v>
      </c>
      <c r="CE275">
        <v>1.1218300000000001</v>
      </c>
      <c r="CF275">
        <v>1.493805</v>
      </c>
      <c r="CG275" s="332"/>
      <c r="CH275">
        <v>1.1086750000000001</v>
      </c>
      <c r="CI275" s="332"/>
      <c r="CJ275" s="332"/>
      <c r="CK275" s="332"/>
      <c r="CL275" s="332"/>
      <c r="CM275" s="332"/>
      <c r="CN275" s="332"/>
      <c r="CO275" s="332"/>
      <c r="CP275">
        <v>0.97499999999999998</v>
      </c>
      <c r="CV275">
        <v>0.47</v>
      </c>
      <c r="CW275">
        <v>0.93500000000000005</v>
      </c>
      <c r="CX275">
        <v>0.80500000000000005</v>
      </c>
      <c r="CZ275">
        <v>0.87749999999999995</v>
      </c>
      <c r="DA275">
        <v>0.91</v>
      </c>
      <c r="DB275">
        <v>0.89</v>
      </c>
      <c r="DC275">
        <v>0.90749999999999997</v>
      </c>
      <c r="DD275">
        <v>0.91500000000000004</v>
      </c>
      <c r="DE275">
        <v>0.89</v>
      </c>
      <c r="DN275" s="332">
        <v>2.8499999999999999E-4</v>
      </c>
      <c r="DO275" s="332">
        <v>2.0000000000000001E-4</v>
      </c>
      <c r="DP275" s="332">
        <v>0</v>
      </c>
      <c r="DQ275" s="332">
        <v>1E-4</v>
      </c>
      <c r="DR275" s="332">
        <v>0</v>
      </c>
      <c r="DS275" s="332">
        <v>3.5999999999999999E-3</v>
      </c>
      <c r="DT275" s="332">
        <v>4.6999999999999999E-4</v>
      </c>
      <c r="DU275" s="332">
        <v>6.9999999999999999E-4</v>
      </c>
      <c r="DV275" s="332">
        <v>0</v>
      </c>
      <c r="DW275" s="332">
        <v>0</v>
      </c>
      <c r="DX275" s="332">
        <v>5.0000000000000001E-4</v>
      </c>
      <c r="DY275" s="332">
        <v>5.0000000000000001E-4</v>
      </c>
      <c r="DZ275" s="332">
        <v>2.9999999999999997E-4</v>
      </c>
      <c r="EA275" s="332">
        <v>2.7500000000000002E-4</v>
      </c>
      <c r="EB275" s="332">
        <v>4.0000000000000002E-4</v>
      </c>
      <c r="ED275" s="332">
        <v>6.4999999999999994E-5</v>
      </c>
      <c r="EF275">
        <v>1</v>
      </c>
    </row>
    <row r="276" spans="1:136" x14ac:dyDescent="0.25">
      <c r="A276" s="66">
        <v>44774</v>
      </c>
      <c r="B276">
        <v>0.98</v>
      </c>
      <c r="C276">
        <v>0</v>
      </c>
      <c r="E276">
        <v>0</v>
      </c>
      <c r="F276">
        <v>0</v>
      </c>
      <c r="G276">
        <v>0</v>
      </c>
      <c r="H276">
        <v>0.98750000000000004</v>
      </c>
      <c r="I276">
        <v>0.98750000000000004</v>
      </c>
      <c r="J276">
        <v>0.98050000000000004</v>
      </c>
      <c r="K276">
        <v>0</v>
      </c>
      <c r="L276" s="333">
        <v>0.98750000000000004</v>
      </c>
      <c r="M276" s="333">
        <v>0.98750000000000004</v>
      </c>
      <c r="N276">
        <v>0.98</v>
      </c>
      <c r="O276">
        <v>0.98750000000000004</v>
      </c>
      <c r="P276">
        <v>0.98</v>
      </c>
      <c r="Q276" s="328">
        <v>0.98750000000000004</v>
      </c>
      <c r="R276">
        <v>0.98750000000000004</v>
      </c>
      <c r="S276" s="333">
        <v>0.98750000000000004</v>
      </c>
      <c r="T276">
        <v>0.98</v>
      </c>
      <c r="U276">
        <v>0.98</v>
      </c>
      <c r="V276">
        <v>0.98</v>
      </c>
      <c r="W276">
        <v>0.98</v>
      </c>
      <c r="X276">
        <v>0.98750000000000004</v>
      </c>
      <c r="Y276">
        <v>0.98750000000000004</v>
      </c>
      <c r="Z276">
        <v>0.98750000000000004</v>
      </c>
      <c r="AA276">
        <v>0.98750000000000004</v>
      </c>
      <c r="AB276">
        <v>0.98</v>
      </c>
      <c r="AC276">
        <v>0.98</v>
      </c>
      <c r="AD276">
        <v>0.98750000000000004</v>
      </c>
      <c r="AE276">
        <v>0.98750000000000004</v>
      </c>
      <c r="AF276">
        <v>0.98</v>
      </c>
      <c r="AG276">
        <v>0.99</v>
      </c>
      <c r="AH276">
        <v>0.98499999999999999</v>
      </c>
      <c r="AI276">
        <v>0.98499999999999999</v>
      </c>
      <c r="AJ276">
        <v>0.98</v>
      </c>
      <c r="AK276">
        <v>1</v>
      </c>
      <c r="AL276">
        <v>0</v>
      </c>
      <c r="AM276">
        <v>0</v>
      </c>
      <c r="BB276" s="446">
        <v>1</v>
      </c>
      <c r="BC276">
        <v>1</v>
      </c>
      <c r="BD276">
        <v>1</v>
      </c>
      <c r="BE276">
        <v>1</v>
      </c>
      <c r="BF276">
        <v>0.99990000000000001</v>
      </c>
      <c r="BG276">
        <v>1</v>
      </c>
      <c r="BH276">
        <v>1</v>
      </c>
      <c r="BI276">
        <v>0.99</v>
      </c>
      <c r="BJ276">
        <v>0.999</v>
      </c>
      <c r="BK276">
        <v>0.998</v>
      </c>
      <c r="BL276">
        <v>0.99850000000000005</v>
      </c>
      <c r="BM276">
        <v>0.99850000000000005</v>
      </c>
      <c r="BN276">
        <v>0.97199999999999998</v>
      </c>
      <c r="BO276">
        <v>0.99990000000000001</v>
      </c>
      <c r="BP276">
        <v>0.99990000000000001</v>
      </c>
      <c r="BQ276">
        <v>1</v>
      </c>
      <c r="BR276">
        <v>1.1410975999999999</v>
      </c>
      <c r="BS276">
        <v>1.1432</v>
      </c>
      <c r="BT276">
        <v>1.0827</v>
      </c>
      <c r="BU276">
        <v>1.0319</v>
      </c>
      <c r="BV276">
        <v>1</v>
      </c>
      <c r="BW276">
        <v>2.8193999999999999</v>
      </c>
      <c r="BX276">
        <v>2.3589963329999999</v>
      </c>
      <c r="BY276">
        <v>1.20825</v>
      </c>
      <c r="BZ276">
        <v>1.2885</v>
      </c>
      <c r="CA276">
        <v>2.0009999999999999</v>
      </c>
      <c r="CB276">
        <v>1.6000049999999999</v>
      </c>
      <c r="CC276">
        <v>1.6000049999999999</v>
      </c>
      <c r="CD276">
        <v>1.3135049999999999</v>
      </c>
      <c r="CE276">
        <v>1.1221049999999999</v>
      </c>
      <c r="CF276">
        <v>1.494205</v>
      </c>
      <c r="CG276" s="332"/>
      <c r="CH276">
        <v>1.1087400000000001</v>
      </c>
      <c r="CI276" s="332"/>
      <c r="CJ276" s="332"/>
      <c r="CK276" s="332"/>
      <c r="CL276" s="332"/>
      <c r="CM276" s="332"/>
      <c r="CN276" s="332"/>
      <c r="CO276" s="332"/>
      <c r="CP276">
        <v>0.97499999999999998</v>
      </c>
      <c r="CV276">
        <v>0.52</v>
      </c>
      <c r="CW276">
        <v>0.92500000000000004</v>
      </c>
      <c r="CX276">
        <v>0.89500000000000002</v>
      </c>
      <c r="CZ276">
        <v>0.89</v>
      </c>
      <c r="DA276">
        <v>0.92249999999999999</v>
      </c>
      <c r="DB276">
        <v>0.91500000000000004</v>
      </c>
      <c r="DC276">
        <v>0.92749999999999999</v>
      </c>
      <c r="DD276">
        <v>0.91500000000000004</v>
      </c>
      <c r="DE276">
        <v>0.89</v>
      </c>
      <c r="DN276" s="332">
        <v>2.8499999999999999E-4</v>
      </c>
      <c r="DO276" s="332">
        <v>2.0000000000000001E-4</v>
      </c>
      <c r="DP276" s="332">
        <v>0</v>
      </c>
      <c r="DQ276" s="332">
        <v>1E-4</v>
      </c>
      <c r="DR276" s="332">
        <v>0</v>
      </c>
      <c r="DS276" s="332">
        <v>3.5999999999999999E-3</v>
      </c>
      <c r="DT276" s="332">
        <v>4.6999999999999999E-4</v>
      </c>
      <c r="DU276" s="332">
        <v>6.9999999999999999E-4</v>
      </c>
      <c r="DV276" s="332">
        <v>0</v>
      </c>
      <c r="DW276" s="332">
        <v>0</v>
      </c>
      <c r="DX276" s="332">
        <v>5.0000000000000001E-4</v>
      </c>
      <c r="DY276" s="332">
        <v>5.0000000000000001E-4</v>
      </c>
      <c r="DZ276" s="332">
        <v>2.9999999999999997E-4</v>
      </c>
      <c r="EA276" s="332">
        <v>2.7500000000000002E-4</v>
      </c>
      <c r="EB276" s="332">
        <v>4.0000000000000002E-4</v>
      </c>
      <c r="ED276" s="332">
        <v>6.4999999999999994E-5</v>
      </c>
      <c r="EF276">
        <v>1</v>
      </c>
    </row>
    <row r="277" spans="1:136" x14ac:dyDescent="0.25">
      <c r="A277" s="66">
        <v>44805</v>
      </c>
      <c r="B277">
        <v>0.98</v>
      </c>
      <c r="C277">
        <v>0</v>
      </c>
      <c r="E277">
        <v>0</v>
      </c>
      <c r="F277">
        <v>0</v>
      </c>
      <c r="G277">
        <v>0</v>
      </c>
      <c r="H277">
        <v>0.98750000000000004</v>
      </c>
      <c r="I277">
        <v>0.98750000000000004</v>
      </c>
      <c r="J277">
        <v>0.98050000000000004</v>
      </c>
      <c r="K277">
        <v>0</v>
      </c>
      <c r="L277" s="333">
        <v>0.98750000000000004</v>
      </c>
      <c r="M277" s="333">
        <v>0.98750000000000004</v>
      </c>
      <c r="N277">
        <v>0.98</v>
      </c>
      <c r="O277">
        <v>0.98750000000000004</v>
      </c>
      <c r="P277">
        <v>0.98</v>
      </c>
      <c r="Q277" s="328">
        <v>0.98750000000000004</v>
      </c>
      <c r="R277">
        <v>0.98750000000000004</v>
      </c>
      <c r="S277" s="333">
        <v>0.98750000000000004</v>
      </c>
      <c r="T277">
        <v>0.98</v>
      </c>
      <c r="U277">
        <v>0.98</v>
      </c>
      <c r="V277">
        <v>0.98</v>
      </c>
      <c r="W277">
        <v>0.98</v>
      </c>
      <c r="X277">
        <v>0.98750000000000004</v>
      </c>
      <c r="Y277">
        <v>0.98750000000000004</v>
      </c>
      <c r="Z277">
        <v>0.98750000000000004</v>
      </c>
      <c r="AA277">
        <v>0.98750000000000004</v>
      </c>
      <c r="AB277">
        <v>0.98</v>
      </c>
      <c r="AC277">
        <v>0.98</v>
      </c>
      <c r="AD277">
        <v>0.98750000000000004</v>
      </c>
      <c r="AE277">
        <v>0.98750000000000004</v>
      </c>
      <c r="AF277">
        <v>0.98</v>
      </c>
      <c r="AG277">
        <v>0.99</v>
      </c>
      <c r="AH277">
        <v>0.98499999999999999</v>
      </c>
      <c r="AI277">
        <v>0.98499999999999999</v>
      </c>
      <c r="AJ277">
        <v>0.98</v>
      </c>
      <c r="AK277">
        <v>1</v>
      </c>
      <c r="AL277">
        <v>0</v>
      </c>
      <c r="AM277">
        <v>0</v>
      </c>
      <c r="BB277" s="446">
        <v>1</v>
      </c>
      <c r="BC277">
        <v>1</v>
      </c>
      <c r="BD277">
        <v>1</v>
      </c>
      <c r="BE277">
        <v>1</v>
      </c>
      <c r="BF277">
        <v>0.99990000000000001</v>
      </c>
      <c r="BG277">
        <v>1</v>
      </c>
      <c r="BH277">
        <v>1</v>
      </c>
      <c r="BI277">
        <v>0.99</v>
      </c>
      <c r="BJ277">
        <v>0.999</v>
      </c>
      <c r="BK277">
        <v>0.998</v>
      </c>
      <c r="BL277">
        <v>0.99850000000000005</v>
      </c>
      <c r="BM277">
        <v>0.99850000000000005</v>
      </c>
      <c r="BN277">
        <v>0.97199999999999998</v>
      </c>
      <c r="BO277">
        <v>0.99990000000000001</v>
      </c>
      <c r="BP277">
        <v>0.99990000000000001</v>
      </c>
      <c r="BQ277">
        <v>1</v>
      </c>
      <c r="BR277">
        <v>1.1413826</v>
      </c>
      <c r="BS277">
        <v>1.1434</v>
      </c>
      <c r="BT277">
        <v>1.0827</v>
      </c>
      <c r="BU277">
        <v>1.032</v>
      </c>
      <c r="BV277">
        <v>1</v>
      </c>
      <c r="BW277">
        <v>2.823</v>
      </c>
      <c r="BX277">
        <v>2.3594663329999999</v>
      </c>
      <c r="BY277">
        <v>1.20895</v>
      </c>
      <c r="BZ277">
        <v>1.2885</v>
      </c>
      <c r="CA277">
        <v>2.0009999999999999</v>
      </c>
      <c r="CB277">
        <v>1.6005050000000001</v>
      </c>
      <c r="CC277">
        <v>1.6005050000000001</v>
      </c>
      <c r="CD277">
        <v>1.3138049999999999</v>
      </c>
      <c r="CE277">
        <v>1.1223799999999999</v>
      </c>
      <c r="CF277">
        <v>1.494605</v>
      </c>
      <c r="CG277" s="332"/>
      <c r="CH277">
        <v>1.108805</v>
      </c>
      <c r="CI277" s="332"/>
      <c r="CJ277" s="332"/>
      <c r="CK277" s="332"/>
      <c r="CL277" s="332"/>
      <c r="CM277" s="332"/>
      <c r="CN277" s="332"/>
      <c r="CO277" s="332"/>
      <c r="CP277">
        <v>0.97499999999999998</v>
      </c>
      <c r="CV277">
        <v>0.55000000000000004</v>
      </c>
      <c r="CW277">
        <v>0.92500000000000004</v>
      </c>
      <c r="CX277">
        <v>0.755</v>
      </c>
      <c r="CZ277">
        <v>0.94499999999999995</v>
      </c>
      <c r="DA277">
        <v>0.97750000000000004</v>
      </c>
      <c r="DB277">
        <v>0.94499999999999995</v>
      </c>
      <c r="DC277">
        <v>0.92</v>
      </c>
      <c r="DD277">
        <v>0.91500000000000004</v>
      </c>
      <c r="DE277">
        <v>0.89</v>
      </c>
      <c r="DN277" s="332">
        <v>2.8499999999999999E-4</v>
      </c>
      <c r="DO277" s="332">
        <v>2.0000000000000001E-4</v>
      </c>
      <c r="DP277" s="332">
        <v>0</v>
      </c>
      <c r="DQ277" s="332">
        <v>1E-4</v>
      </c>
      <c r="DR277" s="332">
        <v>0</v>
      </c>
      <c r="DS277" s="332">
        <v>3.5999999999999999E-3</v>
      </c>
      <c r="DT277" s="332">
        <v>4.6999999999999999E-4</v>
      </c>
      <c r="DU277" s="332">
        <v>6.9999999999999999E-4</v>
      </c>
      <c r="DV277" s="332">
        <v>0</v>
      </c>
      <c r="DW277" s="332">
        <v>0</v>
      </c>
      <c r="DX277" s="332">
        <v>5.0000000000000001E-4</v>
      </c>
      <c r="DY277" s="332">
        <v>5.0000000000000001E-4</v>
      </c>
      <c r="DZ277" s="332">
        <v>2.9999999999999997E-4</v>
      </c>
      <c r="EA277" s="332">
        <v>2.7500000000000002E-4</v>
      </c>
      <c r="EB277" s="332">
        <v>4.0000000000000002E-4</v>
      </c>
      <c r="ED277" s="332">
        <v>6.4999999999999994E-5</v>
      </c>
      <c r="EF277">
        <v>1</v>
      </c>
    </row>
    <row r="278" spans="1:136" x14ac:dyDescent="0.25">
      <c r="A278" s="66">
        <v>44835</v>
      </c>
      <c r="B278">
        <v>0.98</v>
      </c>
      <c r="C278">
        <v>0</v>
      </c>
      <c r="E278">
        <v>0</v>
      </c>
      <c r="F278">
        <v>0</v>
      </c>
      <c r="G278">
        <v>0</v>
      </c>
      <c r="H278">
        <v>0.98750000000000004</v>
      </c>
      <c r="I278">
        <v>0.98750000000000004</v>
      </c>
      <c r="J278">
        <v>0.98050000000000004</v>
      </c>
      <c r="K278">
        <v>0</v>
      </c>
      <c r="L278" s="333">
        <v>0.98750000000000004</v>
      </c>
      <c r="M278" s="333">
        <v>0.98750000000000004</v>
      </c>
      <c r="N278">
        <v>0.98</v>
      </c>
      <c r="O278">
        <v>0.98750000000000004</v>
      </c>
      <c r="P278">
        <v>0.98</v>
      </c>
      <c r="Q278" s="328">
        <v>0.98750000000000004</v>
      </c>
      <c r="R278">
        <v>0.98750000000000004</v>
      </c>
      <c r="S278" s="333">
        <v>0.98750000000000004</v>
      </c>
      <c r="T278">
        <v>0.98</v>
      </c>
      <c r="U278">
        <v>0.98</v>
      </c>
      <c r="V278">
        <v>0.98</v>
      </c>
      <c r="W278">
        <v>0.98</v>
      </c>
      <c r="X278">
        <v>0.98750000000000004</v>
      </c>
      <c r="Y278">
        <v>0.98750000000000004</v>
      </c>
      <c r="Z278">
        <v>0.98750000000000004</v>
      </c>
      <c r="AA278">
        <v>0.98750000000000004</v>
      </c>
      <c r="AB278">
        <v>0.98</v>
      </c>
      <c r="AC278">
        <v>0.98</v>
      </c>
      <c r="AD278">
        <v>0.98750000000000004</v>
      </c>
      <c r="AE278">
        <v>0.98750000000000004</v>
      </c>
      <c r="AF278">
        <v>0.98</v>
      </c>
      <c r="AG278">
        <v>0.99</v>
      </c>
      <c r="AH278">
        <v>0.98499999999999999</v>
      </c>
      <c r="AI278">
        <v>0.98499999999999999</v>
      </c>
      <c r="AJ278">
        <v>0.98</v>
      </c>
      <c r="AK278">
        <v>1</v>
      </c>
      <c r="AL278">
        <v>0</v>
      </c>
      <c r="AM278">
        <v>0</v>
      </c>
      <c r="BB278" s="446">
        <v>1</v>
      </c>
      <c r="BC278">
        <v>1</v>
      </c>
      <c r="BD278">
        <v>1</v>
      </c>
      <c r="BE278">
        <v>1</v>
      </c>
      <c r="BF278">
        <v>0.99990000000000001</v>
      </c>
      <c r="BG278">
        <v>1</v>
      </c>
      <c r="BH278">
        <v>1</v>
      </c>
      <c r="BI278">
        <v>0.99</v>
      </c>
      <c r="BJ278">
        <v>0.999</v>
      </c>
      <c r="BK278">
        <v>0.998</v>
      </c>
      <c r="BL278">
        <v>0.99850000000000005</v>
      </c>
      <c r="BM278">
        <v>0.99850000000000005</v>
      </c>
      <c r="BN278">
        <v>0.97199999999999998</v>
      </c>
      <c r="BO278">
        <v>0.99990000000000001</v>
      </c>
      <c r="BP278">
        <v>0.99990000000000001</v>
      </c>
      <c r="BQ278">
        <v>1</v>
      </c>
      <c r="BR278">
        <v>1.1416675999999999</v>
      </c>
      <c r="BS278">
        <v>1.1435999999999999</v>
      </c>
      <c r="BT278">
        <v>1.0827</v>
      </c>
      <c r="BU278">
        <v>1.0321</v>
      </c>
      <c r="BV278">
        <v>1</v>
      </c>
      <c r="BW278">
        <v>2.8266</v>
      </c>
      <c r="BX278">
        <v>2.3599363329999998</v>
      </c>
      <c r="BY278">
        <v>1.2096499999999999</v>
      </c>
      <c r="BZ278">
        <v>1.2885</v>
      </c>
      <c r="CA278">
        <v>2.0009999999999999</v>
      </c>
      <c r="CB278">
        <v>1.601005</v>
      </c>
      <c r="CC278">
        <v>1.601005</v>
      </c>
      <c r="CD278">
        <v>1.3141050000000001</v>
      </c>
      <c r="CE278">
        <v>1.122655</v>
      </c>
      <c r="CF278">
        <v>1.4950049999999999</v>
      </c>
      <c r="CG278" s="332"/>
      <c r="CH278">
        <v>1.10887</v>
      </c>
      <c r="CI278" s="332"/>
      <c r="CJ278" s="332"/>
      <c r="CK278" s="332"/>
      <c r="CL278" s="332"/>
      <c r="CM278" s="332"/>
      <c r="CN278" s="332"/>
      <c r="CO278" s="332"/>
      <c r="CP278">
        <v>0.95499999999999996</v>
      </c>
      <c r="CV278">
        <v>0.45</v>
      </c>
      <c r="CW278">
        <v>0.92500000000000004</v>
      </c>
      <c r="CX278">
        <v>0.745</v>
      </c>
      <c r="CZ278">
        <v>0.80500000000000005</v>
      </c>
      <c r="DA278">
        <v>0.83750000000000002</v>
      </c>
      <c r="DB278">
        <v>0.875</v>
      </c>
      <c r="DC278">
        <v>0.90249999999999997</v>
      </c>
      <c r="DD278">
        <v>0.82</v>
      </c>
      <c r="DE278">
        <v>0.89</v>
      </c>
      <c r="DN278" s="332">
        <v>2.8499999999999999E-4</v>
      </c>
      <c r="DO278" s="332">
        <v>2.0000000000000001E-4</v>
      </c>
      <c r="DP278" s="332">
        <v>0</v>
      </c>
      <c r="DQ278" s="332">
        <v>1E-4</v>
      </c>
      <c r="DR278" s="332">
        <v>0</v>
      </c>
      <c r="DS278" s="332">
        <v>3.5999999999999999E-3</v>
      </c>
      <c r="DT278" s="332">
        <v>4.6999999999999999E-4</v>
      </c>
      <c r="DU278" s="332">
        <v>6.9999999999999999E-4</v>
      </c>
      <c r="DV278" s="332">
        <v>0</v>
      </c>
      <c r="DW278" s="332">
        <v>0</v>
      </c>
      <c r="DX278" s="332">
        <v>5.0000000000000001E-4</v>
      </c>
      <c r="DY278" s="332">
        <v>5.0000000000000001E-4</v>
      </c>
      <c r="DZ278" s="332">
        <v>2.9999999999999997E-4</v>
      </c>
      <c r="EA278" s="332">
        <v>2.7500000000000002E-4</v>
      </c>
      <c r="EB278" s="332">
        <v>4.0000000000000002E-4</v>
      </c>
      <c r="ED278" s="332">
        <v>6.4999999999999994E-5</v>
      </c>
      <c r="EF278">
        <v>1</v>
      </c>
    </row>
    <row r="279" spans="1:136" x14ac:dyDescent="0.25">
      <c r="A279" s="66">
        <v>44866</v>
      </c>
      <c r="B279">
        <v>0.98</v>
      </c>
      <c r="C279">
        <v>0</v>
      </c>
      <c r="E279">
        <v>0</v>
      </c>
      <c r="F279">
        <v>0</v>
      </c>
      <c r="G279">
        <v>0</v>
      </c>
      <c r="H279">
        <v>0.98750000000000004</v>
      </c>
      <c r="I279">
        <v>0.98750000000000004</v>
      </c>
      <c r="J279">
        <v>0.98050000000000004</v>
      </c>
      <c r="K279">
        <v>0</v>
      </c>
      <c r="L279" s="333">
        <v>0.98750000000000004</v>
      </c>
      <c r="M279" s="333">
        <v>0.98750000000000004</v>
      </c>
      <c r="N279">
        <v>0.98</v>
      </c>
      <c r="O279">
        <v>0.98750000000000004</v>
      </c>
      <c r="P279">
        <v>0.98</v>
      </c>
      <c r="Q279" s="328">
        <v>0.98750000000000004</v>
      </c>
      <c r="R279">
        <v>0.98750000000000004</v>
      </c>
      <c r="S279" s="333">
        <v>0.98750000000000004</v>
      </c>
      <c r="T279">
        <v>0.98</v>
      </c>
      <c r="U279">
        <v>0.98</v>
      </c>
      <c r="V279">
        <v>0.98</v>
      </c>
      <c r="W279">
        <v>0.98</v>
      </c>
      <c r="X279">
        <v>0.98750000000000004</v>
      </c>
      <c r="Y279">
        <v>0.98750000000000004</v>
      </c>
      <c r="Z279">
        <v>0.98750000000000004</v>
      </c>
      <c r="AA279">
        <v>0.98750000000000004</v>
      </c>
      <c r="AB279">
        <v>0.98</v>
      </c>
      <c r="AC279">
        <v>0.98</v>
      </c>
      <c r="AD279">
        <v>0.98750000000000004</v>
      </c>
      <c r="AE279">
        <v>0.98750000000000004</v>
      </c>
      <c r="AF279">
        <v>0.98</v>
      </c>
      <c r="AG279">
        <v>0.99</v>
      </c>
      <c r="AH279">
        <v>0.98499999999999999</v>
      </c>
      <c r="AI279">
        <v>0.98499999999999999</v>
      </c>
      <c r="AJ279">
        <v>0.98</v>
      </c>
      <c r="AK279">
        <v>1</v>
      </c>
      <c r="AL279">
        <v>0</v>
      </c>
      <c r="AM279">
        <v>0</v>
      </c>
      <c r="BB279" s="446">
        <v>1</v>
      </c>
      <c r="BC279">
        <v>1</v>
      </c>
      <c r="BD279">
        <v>1</v>
      </c>
      <c r="BE279">
        <v>1</v>
      </c>
      <c r="BF279">
        <v>0.99990000000000001</v>
      </c>
      <c r="BG279">
        <v>1</v>
      </c>
      <c r="BH279">
        <v>1</v>
      </c>
      <c r="BI279">
        <v>0.99</v>
      </c>
      <c r="BJ279">
        <v>0.999</v>
      </c>
      <c r="BK279">
        <v>0.998</v>
      </c>
      <c r="BL279">
        <v>0.99850000000000005</v>
      </c>
      <c r="BM279">
        <v>0.99850000000000005</v>
      </c>
      <c r="BN279">
        <v>0.97199999999999998</v>
      </c>
      <c r="BO279">
        <v>0.99990000000000001</v>
      </c>
      <c r="BP279">
        <v>0.99990000000000001</v>
      </c>
      <c r="BQ279">
        <v>1</v>
      </c>
      <c r="BR279">
        <v>1.1419526</v>
      </c>
      <c r="BS279">
        <v>1.1437999999999999</v>
      </c>
      <c r="BT279">
        <v>1.0827</v>
      </c>
      <c r="BU279">
        <v>1.0322</v>
      </c>
      <c r="BV279">
        <v>1</v>
      </c>
      <c r="BW279">
        <v>2.8302</v>
      </c>
      <c r="BX279">
        <v>2.3604063329999998</v>
      </c>
      <c r="BY279">
        <v>1.21035</v>
      </c>
      <c r="BZ279">
        <v>1.2885</v>
      </c>
      <c r="CA279">
        <v>2.0009999999999999</v>
      </c>
      <c r="CB279">
        <v>1.601505</v>
      </c>
      <c r="CC279">
        <v>1.601505</v>
      </c>
      <c r="CD279">
        <v>1.314405</v>
      </c>
      <c r="CE279">
        <v>1.12293</v>
      </c>
      <c r="CF279">
        <v>1.4954050000000001</v>
      </c>
      <c r="CG279" s="332"/>
      <c r="CH279">
        <v>1.108935</v>
      </c>
      <c r="CI279" s="332"/>
      <c r="CJ279" s="332"/>
      <c r="CK279" s="332"/>
      <c r="CL279" s="332"/>
      <c r="CM279" s="332"/>
      <c r="CN279" s="332"/>
      <c r="CO279" s="332"/>
      <c r="CP279">
        <v>0.95499999999999996</v>
      </c>
      <c r="CV279">
        <v>0.46</v>
      </c>
      <c r="CW279">
        <v>0.90500000000000003</v>
      </c>
      <c r="CX279">
        <v>0.70499999999999996</v>
      </c>
      <c r="CZ279">
        <v>0.79500000000000004</v>
      </c>
      <c r="DA279">
        <v>0.82750000000000001</v>
      </c>
      <c r="DB279">
        <v>0.85</v>
      </c>
      <c r="DC279">
        <v>0.90249999999999997</v>
      </c>
      <c r="DD279">
        <v>0.82</v>
      </c>
      <c r="DE279">
        <v>0.89</v>
      </c>
      <c r="DN279" s="332">
        <v>2.8499999999999999E-4</v>
      </c>
      <c r="DO279" s="332">
        <v>2.0000000000000001E-4</v>
      </c>
      <c r="DP279" s="332">
        <v>0</v>
      </c>
      <c r="DQ279" s="332">
        <v>1E-4</v>
      </c>
      <c r="DR279" s="332">
        <v>0</v>
      </c>
      <c r="DS279" s="332">
        <v>3.5999999999999999E-3</v>
      </c>
      <c r="DT279" s="332">
        <v>4.6999999999999999E-4</v>
      </c>
      <c r="DU279" s="332">
        <v>6.9999999999999999E-4</v>
      </c>
      <c r="DV279" s="332">
        <v>0</v>
      </c>
      <c r="DW279" s="332">
        <v>0</v>
      </c>
      <c r="DX279" s="332">
        <v>5.0000000000000001E-4</v>
      </c>
      <c r="DY279" s="332">
        <v>5.0000000000000001E-4</v>
      </c>
      <c r="DZ279" s="332">
        <v>2.9999999999999997E-4</v>
      </c>
      <c r="EA279" s="332">
        <v>2.7500000000000002E-4</v>
      </c>
      <c r="EB279" s="332">
        <v>4.0000000000000002E-4</v>
      </c>
      <c r="ED279" s="332">
        <v>6.4999999999999994E-5</v>
      </c>
      <c r="EF279">
        <v>1</v>
      </c>
    </row>
    <row r="280" spans="1:136" x14ac:dyDescent="0.25">
      <c r="A280" s="66">
        <v>44896</v>
      </c>
      <c r="B280">
        <v>0.98</v>
      </c>
      <c r="C280">
        <v>0</v>
      </c>
      <c r="E280">
        <v>0</v>
      </c>
      <c r="F280">
        <v>0</v>
      </c>
      <c r="G280">
        <v>0</v>
      </c>
      <c r="H280">
        <v>0.98750000000000004</v>
      </c>
      <c r="I280">
        <v>0.98750000000000004</v>
      </c>
      <c r="J280">
        <v>0.98050000000000004</v>
      </c>
      <c r="K280">
        <v>0</v>
      </c>
      <c r="L280" s="333">
        <v>0.94518294999999997</v>
      </c>
      <c r="M280" s="333">
        <v>0.98750000000000004</v>
      </c>
      <c r="N280">
        <v>0.90714645000000005</v>
      </c>
      <c r="O280">
        <v>0.98750000000000004</v>
      </c>
      <c r="P280">
        <v>0.90714645000000005</v>
      </c>
      <c r="Q280" s="328">
        <v>0.94518294999999997</v>
      </c>
      <c r="R280">
        <v>0.94518294999999997</v>
      </c>
      <c r="S280" s="333">
        <v>0.94518294999999997</v>
      </c>
      <c r="T280">
        <v>0.90714645000000005</v>
      </c>
      <c r="U280">
        <v>0.90714645000000005</v>
      </c>
      <c r="V280">
        <v>0.90714645000000005</v>
      </c>
      <c r="W280">
        <v>0.90714645000000005</v>
      </c>
      <c r="X280">
        <v>0.98750000000000004</v>
      </c>
      <c r="Y280">
        <v>0.98750000000000004</v>
      </c>
      <c r="Z280">
        <v>0.98750000000000004</v>
      </c>
      <c r="AA280">
        <v>0.98750000000000004</v>
      </c>
      <c r="AB280">
        <v>0.90714645000000005</v>
      </c>
      <c r="AC280">
        <v>0.90714645000000005</v>
      </c>
      <c r="AD280">
        <v>0.98750000000000004</v>
      </c>
      <c r="AE280">
        <v>0.98750000000000004</v>
      </c>
      <c r="AF280">
        <v>0.90714645000000005</v>
      </c>
      <c r="AG280">
        <v>0.98</v>
      </c>
      <c r="AH280">
        <v>0.98499999999999999</v>
      </c>
      <c r="AI280">
        <v>0.98499999999999999</v>
      </c>
      <c r="AJ280">
        <v>0.90714645000000005</v>
      </c>
      <c r="AK280">
        <v>1</v>
      </c>
      <c r="AL280">
        <v>0</v>
      </c>
      <c r="AM280">
        <v>0</v>
      </c>
      <c r="BB280" s="446">
        <v>1</v>
      </c>
      <c r="BC280">
        <v>1</v>
      </c>
      <c r="BD280">
        <v>1</v>
      </c>
      <c r="BE280">
        <v>1</v>
      </c>
      <c r="BF280">
        <v>0.99990000000000001</v>
      </c>
      <c r="BG280">
        <v>1</v>
      </c>
      <c r="BH280">
        <v>1</v>
      </c>
      <c r="BI280">
        <v>0.99</v>
      </c>
      <c r="BJ280">
        <v>0.999</v>
      </c>
      <c r="BK280">
        <v>0.998</v>
      </c>
      <c r="BL280">
        <v>0.99850000000000005</v>
      </c>
      <c r="BM280">
        <v>0.99850000000000005</v>
      </c>
      <c r="BN280">
        <v>0.97199999999999998</v>
      </c>
      <c r="BO280">
        <v>0.99990000000000001</v>
      </c>
      <c r="BP280">
        <v>0.99990000000000001</v>
      </c>
      <c r="BQ280">
        <v>1</v>
      </c>
      <c r="BR280">
        <v>1.1422376000000001</v>
      </c>
      <c r="BS280">
        <v>1.1439999999999999</v>
      </c>
      <c r="BT280">
        <v>1.0827</v>
      </c>
      <c r="BU280">
        <v>1.0323</v>
      </c>
      <c r="BV280">
        <v>1</v>
      </c>
      <c r="BW280">
        <v>2.8338000000000001</v>
      </c>
      <c r="BX280">
        <v>2.3608763330000002</v>
      </c>
      <c r="BY280">
        <v>1.21105</v>
      </c>
      <c r="BZ280">
        <v>1.2885</v>
      </c>
      <c r="CA280">
        <v>2.0009999999999999</v>
      </c>
      <c r="CB280">
        <v>1.6020049999999999</v>
      </c>
      <c r="CC280">
        <v>1.6020049999999999</v>
      </c>
      <c r="CD280">
        <v>1.314705</v>
      </c>
      <c r="CE280">
        <v>1.123205</v>
      </c>
      <c r="CF280">
        <v>1.4958050000000001</v>
      </c>
      <c r="CG280" s="332"/>
      <c r="CH280">
        <v>1.109</v>
      </c>
      <c r="CI280" s="332"/>
      <c r="CJ280" s="332"/>
      <c r="CK280" s="332"/>
      <c r="CL280" s="332"/>
      <c r="CM280" s="332"/>
      <c r="CN280" s="332"/>
      <c r="CO280" s="332"/>
      <c r="CP280">
        <v>0.93500000000000005</v>
      </c>
      <c r="CV280">
        <v>0.48</v>
      </c>
      <c r="CW280">
        <v>0.875</v>
      </c>
      <c r="CX280">
        <v>0.71</v>
      </c>
      <c r="CZ280">
        <v>0.59</v>
      </c>
      <c r="DA280">
        <v>0.62250000000000005</v>
      </c>
      <c r="DB280">
        <v>0.69</v>
      </c>
      <c r="DC280">
        <v>0.89249999999999996</v>
      </c>
      <c r="DD280">
        <v>0.71499999999999997</v>
      </c>
      <c r="DE280">
        <v>0.89</v>
      </c>
      <c r="DN280" s="332">
        <v>2.8499999999999999E-4</v>
      </c>
      <c r="DO280" s="332">
        <v>2.0000000000000001E-4</v>
      </c>
      <c r="DP280" s="332">
        <v>0</v>
      </c>
      <c r="DQ280" s="332">
        <v>1E-4</v>
      </c>
      <c r="DR280" s="332">
        <v>0</v>
      </c>
      <c r="DS280" s="332">
        <v>3.5999999999999999E-3</v>
      </c>
      <c r="DT280" s="332">
        <v>4.6999999999999999E-4</v>
      </c>
      <c r="DU280" s="332">
        <v>6.9999999999999999E-4</v>
      </c>
      <c r="DV280" s="332">
        <v>0</v>
      </c>
      <c r="DW280" s="332">
        <v>0</v>
      </c>
      <c r="DX280" s="332">
        <v>5.0000000000000001E-4</v>
      </c>
      <c r="DY280" s="332">
        <v>5.0000000000000001E-4</v>
      </c>
      <c r="DZ280" s="332">
        <v>2.9999999999999997E-4</v>
      </c>
      <c r="EA280" s="332">
        <v>2.7500000000000002E-4</v>
      </c>
      <c r="EB280" s="332">
        <v>4.0000000000000002E-4</v>
      </c>
      <c r="ED280" s="332">
        <v>6.4999999999999994E-5</v>
      </c>
      <c r="EF280">
        <v>1</v>
      </c>
    </row>
    <row r="281" spans="1:136" x14ac:dyDescent="0.25">
      <c r="A281" s="66">
        <v>44927</v>
      </c>
      <c r="B281">
        <v>0.98</v>
      </c>
      <c r="C281">
        <v>0</v>
      </c>
      <c r="E281">
        <v>0</v>
      </c>
      <c r="F281">
        <v>0</v>
      </c>
      <c r="G281">
        <v>0</v>
      </c>
      <c r="H281">
        <v>0.98750000000000004</v>
      </c>
      <c r="I281">
        <v>0.97545875000000004</v>
      </c>
      <c r="J281">
        <v>0.98050000000000004</v>
      </c>
      <c r="K281">
        <v>0</v>
      </c>
      <c r="L281" s="333">
        <v>0.96951552500000004</v>
      </c>
      <c r="M281" s="333">
        <v>0.98750000000000004</v>
      </c>
      <c r="N281">
        <v>0.90735345000000001</v>
      </c>
      <c r="O281">
        <v>0.98750000000000004</v>
      </c>
      <c r="P281">
        <v>0.90735345000000001</v>
      </c>
      <c r="Q281" s="328">
        <v>0.96951552500000004</v>
      </c>
      <c r="R281">
        <v>0.96951552500000004</v>
      </c>
      <c r="S281" s="333">
        <v>0.96951552500000004</v>
      </c>
      <c r="T281">
        <v>0.90735345000000001</v>
      </c>
      <c r="U281">
        <v>0.90735345000000001</v>
      </c>
      <c r="V281">
        <v>0.90735345000000001</v>
      </c>
      <c r="W281">
        <v>0.90735345000000001</v>
      </c>
      <c r="X281">
        <v>0.98750000000000004</v>
      </c>
      <c r="Y281">
        <v>0.98750000000000004</v>
      </c>
      <c r="Z281">
        <v>0.98750000000000004</v>
      </c>
      <c r="AA281">
        <v>0.98750000000000004</v>
      </c>
      <c r="AB281">
        <v>0.90735345000000001</v>
      </c>
      <c r="AC281">
        <v>0.90735345000000001</v>
      </c>
      <c r="AD281">
        <v>0.98750000000000004</v>
      </c>
      <c r="AE281">
        <v>0.98750000000000004</v>
      </c>
      <c r="AF281">
        <v>0.90735345000000001</v>
      </c>
      <c r="AG281">
        <v>0.98</v>
      </c>
      <c r="AH281">
        <v>0.98499999999999999</v>
      </c>
      <c r="AI281">
        <v>0.98499999999999999</v>
      </c>
      <c r="AJ281">
        <v>0.90735345000000001</v>
      </c>
      <c r="AK281">
        <v>1</v>
      </c>
      <c r="AL281">
        <v>0</v>
      </c>
      <c r="AM281">
        <v>0</v>
      </c>
      <c r="BB281" s="446">
        <v>1</v>
      </c>
      <c r="BC281">
        <v>1</v>
      </c>
      <c r="BD281">
        <v>1</v>
      </c>
      <c r="BE281">
        <v>1</v>
      </c>
      <c r="BF281">
        <v>0.99990000000000001</v>
      </c>
      <c r="BG281">
        <v>1</v>
      </c>
      <c r="BH281">
        <v>1</v>
      </c>
      <c r="BI281">
        <v>0.99</v>
      </c>
      <c r="BJ281">
        <v>0.999</v>
      </c>
      <c r="BK281">
        <v>0.998</v>
      </c>
      <c r="BL281">
        <v>0.99850000000000005</v>
      </c>
      <c r="BM281">
        <v>0.99850000000000005</v>
      </c>
      <c r="BN281">
        <v>0.97199999999999998</v>
      </c>
      <c r="BO281">
        <v>0.99990000000000001</v>
      </c>
      <c r="BP281">
        <v>0.99990000000000001</v>
      </c>
      <c r="BQ281">
        <v>1</v>
      </c>
      <c r="BR281">
        <v>1.1425225999999999</v>
      </c>
      <c r="BS281">
        <v>1.1442000000000001</v>
      </c>
      <c r="BT281">
        <v>1.0827</v>
      </c>
      <c r="BU281">
        <v>1.0324</v>
      </c>
      <c r="BV281">
        <v>1</v>
      </c>
      <c r="BW281">
        <v>2.8374000000000001</v>
      </c>
      <c r="BX281">
        <v>2.3613463330000002</v>
      </c>
      <c r="BY281">
        <v>1.2117500000000001</v>
      </c>
      <c r="BZ281">
        <v>1.2885</v>
      </c>
      <c r="CA281">
        <v>2.0009999999999999</v>
      </c>
      <c r="CB281">
        <v>1.6025050000000001</v>
      </c>
      <c r="CC281">
        <v>1.6025050000000001</v>
      </c>
      <c r="CD281">
        <v>1.315005</v>
      </c>
      <c r="CE281">
        <v>1.12348</v>
      </c>
      <c r="CF281">
        <v>1.496205</v>
      </c>
      <c r="CG281" s="332"/>
      <c r="CH281">
        <v>1.109065</v>
      </c>
      <c r="CI281" s="332"/>
      <c r="CJ281" s="332"/>
      <c r="CK281" s="332"/>
      <c r="CL281" s="332"/>
      <c r="CM281" s="332"/>
      <c r="CN281" s="332"/>
      <c r="CO281" s="332"/>
      <c r="CP281">
        <v>0.89500000000000002</v>
      </c>
      <c r="CV281">
        <v>0.45</v>
      </c>
      <c r="CW281">
        <v>0.80500000000000005</v>
      </c>
      <c r="CX281">
        <v>0.72</v>
      </c>
      <c r="CZ281">
        <v>0.60499999999999998</v>
      </c>
      <c r="DA281">
        <v>0.63749999999999996</v>
      </c>
      <c r="DB281">
        <v>0.69</v>
      </c>
      <c r="DC281">
        <v>0.88</v>
      </c>
      <c r="DD281">
        <v>0.64</v>
      </c>
      <c r="DE281">
        <v>0.89</v>
      </c>
      <c r="DN281" s="332">
        <v>2.8499999999999999E-4</v>
      </c>
      <c r="DO281" s="332">
        <v>2.0000000000000001E-4</v>
      </c>
      <c r="DP281" s="332">
        <v>0</v>
      </c>
      <c r="DQ281" s="332">
        <v>1E-4</v>
      </c>
      <c r="DR281" s="332">
        <v>0</v>
      </c>
      <c r="DS281" s="332">
        <v>3.5999999999999999E-3</v>
      </c>
      <c r="DT281" s="332">
        <v>4.6999999999999999E-4</v>
      </c>
      <c r="DU281" s="332">
        <v>6.9999999999999999E-4</v>
      </c>
      <c r="DV281" s="332">
        <v>0</v>
      </c>
      <c r="DW281" s="332">
        <v>0</v>
      </c>
      <c r="DX281" s="332">
        <v>5.0000000000000001E-4</v>
      </c>
      <c r="DY281" s="332">
        <v>5.0000000000000001E-4</v>
      </c>
      <c r="DZ281" s="332">
        <v>2.9999999999999997E-4</v>
      </c>
      <c r="EA281" s="332">
        <v>2.7500000000000002E-4</v>
      </c>
      <c r="EB281" s="332">
        <v>4.0000000000000002E-4</v>
      </c>
      <c r="ED281" s="332">
        <v>6.4999999999999994E-5</v>
      </c>
      <c r="EF281">
        <v>1</v>
      </c>
    </row>
    <row r="282" spans="1:136" x14ac:dyDescent="0.25">
      <c r="A282" s="66">
        <v>44958</v>
      </c>
      <c r="B282">
        <v>0.98</v>
      </c>
      <c r="C282">
        <v>0</v>
      </c>
      <c r="E282">
        <v>0</v>
      </c>
      <c r="F282">
        <v>0</v>
      </c>
      <c r="G282">
        <v>0</v>
      </c>
      <c r="H282">
        <v>0.98750000000000004</v>
      </c>
      <c r="I282">
        <v>0.98750000000000004</v>
      </c>
      <c r="J282">
        <v>0.98050000000000004</v>
      </c>
      <c r="K282">
        <v>0</v>
      </c>
      <c r="L282" s="333">
        <v>0.98750000000000004</v>
      </c>
      <c r="M282" s="333">
        <v>0.98750000000000004</v>
      </c>
      <c r="N282">
        <v>0.93386654999999996</v>
      </c>
      <c r="O282">
        <v>0.98609501300000002</v>
      </c>
      <c r="P282">
        <v>0.93386654999999996</v>
      </c>
      <c r="Q282" s="328">
        <v>0.98750000000000004</v>
      </c>
      <c r="R282">
        <v>0.98750000000000004</v>
      </c>
      <c r="S282" s="333">
        <v>0.98750000000000004</v>
      </c>
      <c r="T282">
        <v>0.93386654999999996</v>
      </c>
      <c r="U282">
        <v>0.93386654999999996</v>
      </c>
      <c r="V282">
        <v>0.93386654999999996</v>
      </c>
      <c r="W282">
        <v>0.93386654999999996</v>
      </c>
      <c r="X282">
        <v>0.98609501300000002</v>
      </c>
      <c r="Y282">
        <v>0.98609501300000002</v>
      </c>
      <c r="Z282">
        <v>0.98609501300000002</v>
      </c>
      <c r="AA282">
        <v>0.98609501300000002</v>
      </c>
      <c r="AB282">
        <v>0.93386654999999996</v>
      </c>
      <c r="AC282">
        <v>0.93386654999999996</v>
      </c>
      <c r="AD282">
        <v>0.98609501300000002</v>
      </c>
      <c r="AE282">
        <v>0.98609501300000002</v>
      </c>
      <c r="AF282">
        <v>0.93386654999999996</v>
      </c>
      <c r="AG282">
        <v>0.98</v>
      </c>
      <c r="AH282">
        <v>0.98499999999999999</v>
      </c>
      <c r="AI282">
        <v>0.98499999999999999</v>
      </c>
      <c r="AJ282">
        <v>0.93386654999999996</v>
      </c>
      <c r="AK282">
        <v>1</v>
      </c>
      <c r="AL282">
        <v>0</v>
      </c>
      <c r="AM282">
        <v>0</v>
      </c>
      <c r="BB282" s="446">
        <v>1</v>
      </c>
      <c r="BC282">
        <v>1</v>
      </c>
      <c r="BD282">
        <v>1</v>
      </c>
      <c r="BE282">
        <v>1</v>
      </c>
      <c r="BF282">
        <v>0.99990000000000001</v>
      </c>
      <c r="BG282">
        <v>1</v>
      </c>
      <c r="BH282">
        <v>1</v>
      </c>
      <c r="BI282">
        <v>0.99</v>
      </c>
      <c r="BJ282">
        <v>0.999</v>
      </c>
      <c r="BK282">
        <v>0.998</v>
      </c>
      <c r="BL282">
        <v>0.99850000000000005</v>
      </c>
      <c r="BM282">
        <v>0.99850000000000005</v>
      </c>
      <c r="BN282">
        <v>0.97199999999999998</v>
      </c>
      <c r="BO282">
        <v>0.99990000000000001</v>
      </c>
      <c r="BP282">
        <v>0.99990000000000001</v>
      </c>
      <c r="BQ282">
        <v>1</v>
      </c>
      <c r="BR282">
        <v>1.1428076</v>
      </c>
      <c r="BS282">
        <v>1.1444000000000001</v>
      </c>
      <c r="BT282">
        <v>1.0827</v>
      </c>
      <c r="BU282">
        <v>1.0325</v>
      </c>
      <c r="BV282">
        <v>1</v>
      </c>
      <c r="BW282">
        <v>2.8410000000000002</v>
      </c>
      <c r="BX282">
        <v>2.3618163330000002</v>
      </c>
      <c r="BY282">
        <v>1.21245</v>
      </c>
      <c r="BZ282">
        <v>1.2885</v>
      </c>
      <c r="CA282">
        <v>2.0009999999999999</v>
      </c>
      <c r="CB282">
        <v>1.603005</v>
      </c>
      <c r="CC282">
        <v>1.603005</v>
      </c>
      <c r="CD282">
        <v>1.3153049999999999</v>
      </c>
      <c r="CE282">
        <v>1.1237550000000001</v>
      </c>
      <c r="CF282">
        <v>1.496605</v>
      </c>
      <c r="CG282" s="332"/>
      <c r="CH282">
        <v>1.1091299999999999</v>
      </c>
      <c r="CI282" s="332"/>
      <c r="CJ282" s="332"/>
      <c r="CK282" s="332"/>
      <c r="CL282" s="332"/>
      <c r="CM282" s="332"/>
      <c r="CN282" s="332"/>
      <c r="CO282" s="332"/>
      <c r="CP282">
        <v>0.86499999999999999</v>
      </c>
      <c r="CV282">
        <v>0.45</v>
      </c>
      <c r="CW282">
        <v>0.84499999999999997</v>
      </c>
      <c r="CX282">
        <v>0.82499999999999996</v>
      </c>
      <c r="CZ282">
        <v>0.63500000000000001</v>
      </c>
      <c r="DA282">
        <v>0.66749999999999998</v>
      </c>
      <c r="DB282">
        <v>0.71</v>
      </c>
      <c r="DC282">
        <v>0.87749999999999995</v>
      </c>
      <c r="DD282">
        <v>0.67</v>
      </c>
      <c r="DE282">
        <v>0.89</v>
      </c>
      <c r="DN282" s="332">
        <v>2.8499999999999999E-4</v>
      </c>
      <c r="DO282" s="332">
        <v>2.0000000000000001E-4</v>
      </c>
      <c r="DP282" s="332">
        <v>0</v>
      </c>
      <c r="DQ282" s="332">
        <v>1E-4</v>
      </c>
      <c r="DR282" s="332">
        <v>0</v>
      </c>
      <c r="DS282" s="332">
        <v>3.5999999999999999E-3</v>
      </c>
      <c r="DT282" s="332">
        <v>4.6999999999999999E-4</v>
      </c>
      <c r="DU282" s="332">
        <v>6.9999999999999999E-4</v>
      </c>
      <c r="DV282" s="332">
        <v>0</v>
      </c>
      <c r="DW282" s="332">
        <v>0</v>
      </c>
      <c r="DX282" s="332">
        <v>5.0000000000000001E-4</v>
      </c>
      <c r="DY282" s="332">
        <v>5.0000000000000001E-4</v>
      </c>
      <c r="DZ282" s="332">
        <v>2.9999999999999997E-4</v>
      </c>
      <c r="EA282" s="332">
        <v>2.7500000000000002E-4</v>
      </c>
      <c r="EB282" s="332">
        <v>4.0000000000000002E-4</v>
      </c>
      <c r="ED282" s="332">
        <v>6.4999999999999994E-5</v>
      </c>
      <c r="EF282">
        <v>1</v>
      </c>
    </row>
    <row r="283" spans="1:136" x14ac:dyDescent="0.25">
      <c r="A283" s="66">
        <v>44986</v>
      </c>
      <c r="B283">
        <v>0.98</v>
      </c>
      <c r="C283">
        <v>0</v>
      </c>
      <c r="E283">
        <v>0</v>
      </c>
      <c r="F283">
        <v>0</v>
      </c>
      <c r="G283">
        <v>0</v>
      </c>
      <c r="H283">
        <v>0.98750000000000004</v>
      </c>
      <c r="I283">
        <v>0.98750000000000004</v>
      </c>
      <c r="J283">
        <v>0.98050000000000004</v>
      </c>
      <c r="K283">
        <v>0</v>
      </c>
      <c r="L283" s="333">
        <v>0.98750000000000004</v>
      </c>
      <c r="M283" s="333">
        <v>0.98750000000000004</v>
      </c>
      <c r="N283">
        <v>0.98</v>
      </c>
      <c r="O283">
        <v>0.98750000000000004</v>
      </c>
      <c r="P283">
        <v>0.98</v>
      </c>
      <c r="Q283" s="328">
        <v>0.98750000000000004</v>
      </c>
      <c r="R283">
        <v>0.98750000000000004</v>
      </c>
      <c r="S283" s="333">
        <v>0.98750000000000004</v>
      </c>
      <c r="T283">
        <v>0.98</v>
      </c>
      <c r="U283">
        <v>0.98</v>
      </c>
      <c r="V283">
        <v>0.98</v>
      </c>
      <c r="W283">
        <v>0.98</v>
      </c>
      <c r="X283">
        <v>0.98750000000000004</v>
      </c>
      <c r="Y283">
        <v>0.98750000000000004</v>
      </c>
      <c r="Z283">
        <v>0.98750000000000004</v>
      </c>
      <c r="AA283">
        <v>0.98750000000000004</v>
      </c>
      <c r="AB283">
        <v>0.98</v>
      </c>
      <c r="AC283">
        <v>0.98</v>
      </c>
      <c r="AD283">
        <v>0.98750000000000004</v>
      </c>
      <c r="AE283">
        <v>0.98750000000000004</v>
      </c>
      <c r="AF283">
        <v>0.98</v>
      </c>
      <c r="AG283">
        <v>0.99</v>
      </c>
      <c r="AH283">
        <v>0.98499999999999999</v>
      </c>
      <c r="AI283">
        <v>0.98499999999999999</v>
      </c>
      <c r="AJ283">
        <v>0.98</v>
      </c>
      <c r="AK283">
        <v>1</v>
      </c>
      <c r="AL283">
        <v>0</v>
      </c>
      <c r="AM283">
        <v>0</v>
      </c>
      <c r="BB283" s="446">
        <v>1</v>
      </c>
      <c r="BC283">
        <v>1</v>
      </c>
      <c r="BD283">
        <v>1</v>
      </c>
      <c r="BE283">
        <v>1</v>
      </c>
      <c r="BF283">
        <v>0.99990000000000001</v>
      </c>
      <c r="BG283">
        <v>1</v>
      </c>
      <c r="BH283">
        <v>1</v>
      </c>
      <c r="BI283">
        <v>0.99</v>
      </c>
      <c r="BJ283">
        <v>0.999</v>
      </c>
      <c r="BK283">
        <v>0.998</v>
      </c>
      <c r="BL283">
        <v>0.99850000000000005</v>
      </c>
      <c r="BM283">
        <v>0.99850000000000005</v>
      </c>
      <c r="BN283">
        <v>0.97199999999999998</v>
      </c>
      <c r="BO283">
        <v>0.99990000000000001</v>
      </c>
      <c r="BP283">
        <v>0.99990000000000001</v>
      </c>
      <c r="BQ283">
        <v>1</v>
      </c>
      <c r="BR283">
        <v>1.1430925999999999</v>
      </c>
      <c r="BS283">
        <v>1.1446000000000001</v>
      </c>
      <c r="BT283">
        <v>1.0827</v>
      </c>
      <c r="BU283">
        <v>1.0326</v>
      </c>
      <c r="BV283">
        <v>1</v>
      </c>
      <c r="BW283">
        <v>2.8445999999999998</v>
      </c>
      <c r="BX283">
        <v>2.3622863330000001</v>
      </c>
      <c r="BY283">
        <v>1.21315</v>
      </c>
      <c r="BZ283">
        <v>1.2885</v>
      </c>
      <c r="CA283">
        <v>2.0009999999999999</v>
      </c>
      <c r="CB283">
        <v>1.603505</v>
      </c>
      <c r="CC283">
        <v>1.603505</v>
      </c>
      <c r="CD283">
        <v>1.3156049999999999</v>
      </c>
      <c r="CE283">
        <v>1.1240300000000001</v>
      </c>
      <c r="CF283">
        <v>1.4970049999999999</v>
      </c>
      <c r="CG283" s="332"/>
      <c r="CH283">
        <v>1.1091949999999999</v>
      </c>
      <c r="CI283" s="332"/>
      <c r="CJ283" s="332"/>
      <c r="CK283" s="332"/>
      <c r="CL283" s="332"/>
      <c r="CM283" s="332"/>
      <c r="CN283" s="332"/>
      <c r="CO283" s="332"/>
      <c r="CP283">
        <v>0.86499999999999999</v>
      </c>
      <c r="CV283">
        <v>0.45</v>
      </c>
      <c r="CW283">
        <v>0.875</v>
      </c>
      <c r="CX283">
        <v>0.995</v>
      </c>
      <c r="CZ283">
        <v>0.78500000000000003</v>
      </c>
      <c r="DA283">
        <v>0.8175</v>
      </c>
      <c r="DB283">
        <v>0.8</v>
      </c>
      <c r="DC283">
        <v>0.9</v>
      </c>
      <c r="DD283">
        <v>0.83</v>
      </c>
      <c r="DE283">
        <v>0.89</v>
      </c>
      <c r="DN283" s="332">
        <v>2.8499999999999999E-4</v>
      </c>
      <c r="DO283" s="332">
        <v>2.0000000000000001E-4</v>
      </c>
      <c r="DP283" s="332">
        <v>0</v>
      </c>
      <c r="DQ283" s="332">
        <v>1E-4</v>
      </c>
      <c r="DR283" s="332">
        <v>0</v>
      </c>
      <c r="DS283" s="332">
        <v>3.5999999999999999E-3</v>
      </c>
      <c r="DT283" s="332">
        <v>4.6999999999999999E-4</v>
      </c>
      <c r="DU283" s="332">
        <v>6.9999999999999999E-4</v>
      </c>
      <c r="DV283" s="332">
        <v>0</v>
      </c>
      <c r="DW283" s="332">
        <v>0</v>
      </c>
      <c r="DX283" s="332">
        <v>5.0000000000000001E-4</v>
      </c>
      <c r="DY283" s="332">
        <v>5.0000000000000001E-4</v>
      </c>
      <c r="DZ283" s="332">
        <v>2.9999999999999997E-4</v>
      </c>
      <c r="EA283" s="332">
        <v>2.7500000000000002E-4</v>
      </c>
      <c r="EB283" s="332">
        <v>4.0000000000000002E-4</v>
      </c>
      <c r="ED283" s="332">
        <v>6.4999999999999994E-5</v>
      </c>
      <c r="EF283">
        <v>1</v>
      </c>
    </row>
    <row r="284" spans="1:136" x14ac:dyDescent="0.25">
      <c r="A284" s="66">
        <v>45017</v>
      </c>
      <c r="B284">
        <v>0.98</v>
      </c>
      <c r="C284">
        <v>0</v>
      </c>
      <c r="E284">
        <v>0</v>
      </c>
      <c r="F284">
        <v>0</v>
      </c>
      <c r="G284">
        <v>0</v>
      </c>
      <c r="H284">
        <v>0.98750000000000004</v>
      </c>
      <c r="I284">
        <v>0.98750000000000004</v>
      </c>
      <c r="J284">
        <v>0.98050000000000004</v>
      </c>
      <c r="K284">
        <v>0</v>
      </c>
      <c r="L284" s="333">
        <v>0.98750000000000004</v>
      </c>
      <c r="M284" s="333">
        <v>0.98750000000000004</v>
      </c>
      <c r="N284">
        <v>0.98</v>
      </c>
      <c r="O284">
        <v>0.98750000000000004</v>
      </c>
      <c r="P284">
        <v>0.98</v>
      </c>
      <c r="Q284" s="328">
        <v>0.98750000000000004</v>
      </c>
      <c r="R284">
        <v>0.98750000000000004</v>
      </c>
      <c r="S284" s="333">
        <v>0.98750000000000004</v>
      </c>
      <c r="T284">
        <v>0.98</v>
      </c>
      <c r="U284">
        <v>0.98</v>
      </c>
      <c r="V284">
        <v>0.98</v>
      </c>
      <c r="W284">
        <v>0.98</v>
      </c>
      <c r="X284">
        <v>0.98750000000000004</v>
      </c>
      <c r="Y284">
        <v>0.98750000000000004</v>
      </c>
      <c r="Z284">
        <v>0.98750000000000004</v>
      </c>
      <c r="AA284">
        <v>0.98750000000000004</v>
      </c>
      <c r="AB284">
        <v>0.98</v>
      </c>
      <c r="AC284">
        <v>0.98</v>
      </c>
      <c r="AD284">
        <v>0.98750000000000004</v>
      </c>
      <c r="AE284">
        <v>0.98750000000000004</v>
      </c>
      <c r="AF284">
        <v>0.98</v>
      </c>
      <c r="AG284">
        <v>0.99</v>
      </c>
      <c r="AH284">
        <v>0.98499999999999999</v>
      </c>
      <c r="AI284">
        <v>0.98499999999999999</v>
      </c>
      <c r="AJ284">
        <v>0.98</v>
      </c>
      <c r="AK284">
        <v>1</v>
      </c>
      <c r="AL284">
        <v>0</v>
      </c>
      <c r="AM284">
        <v>0</v>
      </c>
      <c r="BB284" s="446">
        <v>1</v>
      </c>
      <c r="BC284">
        <v>1</v>
      </c>
      <c r="BD284">
        <v>1</v>
      </c>
      <c r="BE284">
        <v>1</v>
      </c>
      <c r="BF284">
        <v>0.99990000000000001</v>
      </c>
      <c r="BG284">
        <v>1</v>
      </c>
      <c r="BH284">
        <v>1</v>
      </c>
      <c r="BI284">
        <v>0.99</v>
      </c>
      <c r="BJ284">
        <v>0.999</v>
      </c>
      <c r="BK284">
        <v>0.998</v>
      </c>
      <c r="BL284">
        <v>0.99850000000000005</v>
      </c>
      <c r="BM284">
        <v>0.99850000000000005</v>
      </c>
      <c r="BN284">
        <v>0.97199999999999998</v>
      </c>
      <c r="BO284">
        <v>0.99990000000000001</v>
      </c>
      <c r="BP284">
        <v>0.99990000000000001</v>
      </c>
      <c r="BQ284">
        <v>1</v>
      </c>
      <c r="BR284">
        <v>1.1433776</v>
      </c>
      <c r="BS284">
        <v>1.1448</v>
      </c>
      <c r="BT284">
        <v>1.0827</v>
      </c>
      <c r="BU284">
        <v>1.0327</v>
      </c>
      <c r="BV284">
        <v>1</v>
      </c>
      <c r="BW284">
        <v>2.8481999999999998</v>
      </c>
      <c r="BX284">
        <v>2.3627563330000001</v>
      </c>
      <c r="BY284">
        <v>1.2138500000000001</v>
      </c>
      <c r="BZ284">
        <v>1.2885</v>
      </c>
      <c r="CA284">
        <v>2.0009999999999999</v>
      </c>
      <c r="CB284">
        <v>1.6040049999999999</v>
      </c>
      <c r="CC284">
        <v>1.6040049999999999</v>
      </c>
      <c r="CD284">
        <v>1.3159050000000001</v>
      </c>
      <c r="CE284">
        <v>1.1243050000000001</v>
      </c>
      <c r="CF284">
        <v>1.4974050000000001</v>
      </c>
      <c r="CG284" s="332"/>
      <c r="CH284">
        <v>1.1092599999999999</v>
      </c>
      <c r="CI284" s="332"/>
      <c r="CJ284" s="332"/>
      <c r="CK284" s="332"/>
      <c r="CL284" s="332"/>
      <c r="CM284" s="332"/>
      <c r="CN284" s="332"/>
      <c r="CO284" s="332"/>
      <c r="CP284">
        <v>0.89500000000000002</v>
      </c>
      <c r="CV284">
        <v>0.42</v>
      </c>
      <c r="CW284">
        <v>0.93500000000000005</v>
      </c>
      <c r="CX284">
        <v>0.98499999999999999</v>
      </c>
      <c r="CZ284">
        <v>0.89500000000000002</v>
      </c>
      <c r="DA284">
        <v>0.92749999999999999</v>
      </c>
      <c r="DB284">
        <v>0.85</v>
      </c>
      <c r="DC284">
        <v>0.90300000000000002</v>
      </c>
      <c r="DD284">
        <v>0.92</v>
      </c>
      <c r="DE284">
        <v>0.89</v>
      </c>
      <c r="DN284" s="332">
        <v>2.8499999999999999E-4</v>
      </c>
      <c r="DO284" s="332">
        <v>2.0000000000000001E-4</v>
      </c>
      <c r="DP284" s="332">
        <v>0</v>
      </c>
      <c r="DQ284" s="332">
        <v>1E-4</v>
      </c>
      <c r="DR284" s="332">
        <v>0</v>
      </c>
      <c r="DS284" s="332">
        <v>3.5999999999999999E-3</v>
      </c>
      <c r="DT284" s="332">
        <v>4.6999999999999999E-4</v>
      </c>
      <c r="DU284" s="332">
        <v>6.9999999999999999E-4</v>
      </c>
      <c r="DV284" s="332">
        <v>0</v>
      </c>
      <c r="DW284" s="332">
        <v>0</v>
      </c>
      <c r="DX284" s="332">
        <v>5.0000000000000001E-4</v>
      </c>
      <c r="DY284" s="332">
        <v>5.0000000000000001E-4</v>
      </c>
      <c r="DZ284" s="332">
        <v>2.9999999999999997E-4</v>
      </c>
      <c r="EA284" s="332">
        <v>2.7500000000000002E-4</v>
      </c>
      <c r="EB284" s="332">
        <v>4.0000000000000002E-4</v>
      </c>
      <c r="ED284" s="332">
        <v>6.4999999999999994E-5</v>
      </c>
      <c r="EF284">
        <v>1</v>
      </c>
    </row>
    <row r="285" spans="1:136" x14ac:dyDescent="0.25">
      <c r="A285" s="66">
        <v>45047</v>
      </c>
      <c r="B285">
        <v>0.98</v>
      </c>
      <c r="C285">
        <v>0</v>
      </c>
      <c r="E285">
        <v>0</v>
      </c>
      <c r="F285">
        <v>0</v>
      </c>
      <c r="G285">
        <v>0</v>
      </c>
      <c r="H285">
        <v>0.98750000000000004</v>
      </c>
      <c r="I285">
        <v>0.98750000000000004</v>
      </c>
      <c r="J285">
        <v>0.98050000000000004</v>
      </c>
      <c r="K285">
        <v>0</v>
      </c>
      <c r="L285" s="333">
        <v>0.98750000000000004</v>
      </c>
      <c r="M285" s="333">
        <v>0.98750000000000004</v>
      </c>
      <c r="N285">
        <v>0.98</v>
      </c>
      <c r="O285">
        <v>0.98750000000000004</v>
      </c>
      <c r="P285">
        <v>0.98</v>
      </c>
      <c r="Q285" s="328">
        <v>0.98750000000000004</v>
      </c>
      <c r="R285">
        <v>0.98750000000000004</v>
      </c>
      <c r="S285" s="333">
        <v>0.98750000000000004</v>
      </c>
      <c r="T285">
        <v>0.98</v>
      </c>
      <c r="U285">
        <v>0.98</v>
      </c>
      <c r="V285">
        <v>0.98</v>
      </c>
      <c r="W285">
        <v>0.98</v>
      </c>
      <c r="X285">
        <v>0.98750000000000004</v>
      </c>
      <c r="Y285">
        <v>0.98750000000000004</v>
      </c>
      <c r="Z285">
        <v>0.98750000000000004</v>
      </c>
      <c r="AA285">
        <v>0.98750000000000004</v>
      </c>
      <c r="AB285">
        <v>0.98</v>
      </c>
      <c r="AC285">
        <v>0.98</v>
      </c>
      <c r="AD285">
        <v>0.98750000000000004</v>
      </c>
      <c r="AE285">
        <v>0.98750000000000004</v>
      </c>
      <c r="AF285">
        <v>0.98</v>
      </c>
      <c r="AG285">
        <v>0.99</v>
      </c>
      <c r="AH285">
        <v>0.98499999999999999</v>
      </c>
      <c r="AI285">
        <v>0.98499999999999999</v>
      </c>
      <c r="AJ285">
        <v>0.98</v>
      </c>
      <c r="AK285">
        <v>1</v>
      </c>
      <c r="AL285">
        <v>0</v>
      </c>
      <c r="AM285">
        <v>0</v>
      </c>
      <c r="BB285" s="446">
        <v>1</v>
      </c>
      <c r="BC285">
        <v>1</v>
      </c>
      <c r="BD285">
        <v>1</v>
      </c>
      <c r="BE285">
        <v>1</v>
      </c>
      <c r="BF285">
        <v>0.99990000000000001</v>
      </c>
      <c r="BG285">
        <v>1</v>
      </c>
      <c r="BH285">
        <v>1</v>
      </c>
      <c r="BI285">
        <v>0.99</v>
      </c>
      <c r="BJ285">
        <v>0.999</v>
      </c>
      <c r="BK285">
        <v>0.998</v>
      </c>
      <c r="BL285">
        <v>0.99850000000000005</v>
      </c>
      <c r="BM285">
        <v>0.99850000000000005</v>
      </c>
      <c r="BN285">
        <v>0.97199999999999998</v>
      </c>
      <c r="BO285">
        <v>0.99990000000000001</v>
      </c>
      <c r="BP285">
        <v>0.99990000000000001</v>
      </c>
      <c r="BQ285">
        <v>1</v>
      </c>
      <c r="BR285">
        <v>1.1436626000000001</v>
      </c>
      <c r="BS285">
        <v>1.145</v>
      </c>
      <c r="BT285">
        <v>1.0827</v>
      </c>
      <c r="BU285">
        <v>1.0327999999999999</v>
      </c>
      <c r="BV285">
        <v>1</v>
      </c>
      <c r="BW285">
        <v>2.8517999999999999</v>
      </c>
      <c r="BX285">
        <v>2.3632263330000001</v>
      </c>
      <c r="BY285">
        <v>1.21455</v>
      </c>
      <c r="BZ285">
        <v>1.2885</v>
      </c>
      <c r="CA285">
        <v>2.0009999999999999</v>
      </c>
      <c r="CB285">
        <v>1.6045050000000001</v>
      </c>
      <c r="CC285">
        <v>1.6045050000000001</v>
      </c>
      <c r="CD285">
        <v>1.3162050000000001</v>
      </c>
      <c r="CE285">
        <v>1.1245799999999999</v>
      </c>
      <c r="CF285">
        <v>1.4978050000000001</v>
      </c>
      <c r="CG285" s="332"/>
      <c r="CH285">
        <v>1.1093249999999999</v>
      </c>
      <c r="CI285" s="332"/>
      <c r="CJ285" s="332"/>
      <c r="CK285" s="332"/>
      <c r="CL285" s="332"/>
      <c r="CM285" s="332"/>
      <c r="CN285" s="332"/>
      <c r="CO285" s="332"/>
      <c r="CP285">
        <v>0.96499999999999997</v>
      </c>
      <c r="CV285">
        <v>0.42</v>
      </c>
      <c r="CW285">
        <v>0.93500000000000005</v>
      </c>
      <c r="CX285">
        <v>0.88500000000000001</v>
      </c>
      <c r="CZ285">
        <v>0.91749999999999998</v>
      </c>
      <c r="DA285">
        <v>0.95</v>
      </c>
      <c r="DB285">
        <v>0.88</v>
      </c>
      <c r="DC285">
        <v>0.9</v>
      </c>
      <c r="DD285">
        <v>0.93500000000000005</v>
      </c>
      <c r="DE285">
        <v>0.89</v>
      </c>
      <c r="DN285" s="332">
        <v>2.8499999999999999E-4</v>
      </c>
      <c r="DO285" s="332">
        <v>2.0000000000000001E-4</v>
      </c>
      <c r="DP285" s="332">
        <v>0</v>
      </c>
      <c r="DQ285" s="332">
        <v>1E-4</v>
      </c>
      <c r="DR285" s="332">
        <v>0</v>
      </c>
      <c r="DS285" s="332">
        <v>3.5999999999999999E-3</v>
      </c>
      <c r="DT285" s="332">
        <v>4.6999999999999999E-4</v>
      </c>
      <c r="DU285" s="332">
        <v>6.9999999999999999E-4</v>
      </c>
      <c r="DV285" s="332">
        <v>0</v>
      </c>
      <c r="DW285" s="332">
        <v>0</v>
      </c>
      <c r="DX285" s="332">
        <v>5.0000000000000001E-4</v>
      </c>
      <c r="DY285" s="332">
        <v>5.0000000000000001E-4</v>
      </c>
      <c r="DZ285" s="332">
        <v>2.9999999999999997E-4</v>
      </c>
      <c r="EA285" s="332">
        <v>2.7500000000000002E-4</v>
      </c>
      <c r="EB285" s="332">
        <v>4.0000000000000002E-4</v>
      </c>
      <c r="ED285" s="332">
        <v>6.4999999999999994E-5</v>
      </c>
      <c r="EF285">
        <v>1</v>
      </c>
    </row>
    <row r="286" spans="1:136" x14ac:dyDescent="0.25">
      <c r="A286" s="66">
        <v>45078</v>
      </c>
      <c r="B286">
        <v>0.98</v>
      </c>
      <c r="C286">
        <v>0</v>
      </c>
      <c r="E286">
        <v>0</v>
      </c>
      <c r="F286">
        <v>0</v>
      </c>
      <c r="G286">
        <v>0</v>
      </c>
      <c r="H286">
        <v>0.98750000000000004</v>
      </c>
      <c r="I286">
        <v>0.98750000000000004</v>
      </c>
      <c r="J286">
        <v>0.98050000000000004</v>
      </c>
      <c r="K286">
        <v>0</v>
      </c>
      <c r="L286" s="333">
        <v>0.98750000000000004</v>
      </c>
      <c r="M286" s="333">
        <v>0.98750000000000004</v>
      </c>
      <c r="N286">
        <v>0.98</v>
      </c>
      <c r="O286">
        <v>0.98750000000000004</v>
      </c>
      <c r="P286">
        <v>0.98</v>
      </c>
      <c r="Q286" s="328">
        <v>0.98750000000000004</v>
      </c>
      <c r="R286">
        <v>0.98750000000000004</v>
      </c>
      <c r="S286" s="333">
        <v>0.98750000000000004</v>
      </c>
      <c r="T286">
        <v>0.98</v>
      </c>
      <c r="U286">
        <v>0.98</v>
      </c>
      <c r="V286">
        <v>0.98</v>
      </c>
      <c r="W286">
        <v>0.98</v>
      </c>
      <c r="X286">
        <v>0.98750000000000004</v>
      </c>
      <c r="Y286">
        <v>0.98750000000000004</v>
      </c>
      <c r="Z286">
        <v>0.98750000000000004</v>
      </c>
      <c r="AA286">
        <v>0.98750000000000004</v>
      </c>
      <c r="AB286">
        <v>0.98</v>
      </c>
      <c r="AC286">
        <v>0.98</v>
      </c>
      <c r="AD286">
        <v>0.98750000000000004</v>
      </c>
      <c r="AE286">
        <v>0.98750000000000004</v>
      </c>
      <c r="AF286">
        <v>0.98</v>
      </c>
      <c r="AG286">
        <v>0.99</v>
      </c>
      <c r="AH286">
        <v>0.98499999999999999</v>
      </c>
      <c r="AI286">
        <v>0.98499999999999999</v>
      </c>
      <c r="AJ286">
        <v>0.98</v>
      </c>
      <c r="AK286">
        <v>1</v>
      </c>
      <c r="AL286">
        <v>0</v>
      </c>
      <c r="AM286">
        <v>0</v>
      </c>
      <c r="BB286" s="446">
        <v>1</v>
      </c>
      <c r="BC286">
        <v>1</v>
      </c>
      <c r="BD286">
        <v>1</v>
      </c>
      <c r="BE286">
        <v>1</v>
      </c>
      <c r="BF286">
        <v>0.99990000000000001</v>
      </c>
      <c r="BG286">
        <v>1</v>
      </c>
      <c r="BH286">
        <v>1</v>
      </c>
      <c r="BI286">
        <v>0.99</v>
      </c>
      <c r="BJ286">
        <v>0.999</v>
      </c>
      <c r="BK286">
        <v>0.998</v>
      </c>
      <c r="BL286">
        <v>0.99850000000000005</v>
      </c>
      <c r="BM286">
        <v>0.99850000000000005</v>
      </c>
      <c r="BN286">
        <v>0.97199999999999998</v>
      </c>
      <c r="BO286">
        <v>0.99990000000000001</v>
      </c>
      <c r="BP286">
        <v>0.99990000000000001</v>
      </c>
      <c r="BQ286">
        <v>1</v>
      </c>
      <c r="BR286">
        <v>1.1439476</v>
      </c>
      <c r="BS286">
        <v>1.1452</v>
      </c>
      <c r="BT286">
        <v>1.0827</v>
      </c>
      <c r="BU286">
        <v>1.0328999999999999</v>
      </c>
      <c r="BV286">
        <v>1</v>
      </c>
      <c r="BW286">
        <v>2.8553999999999999</v>
      </c>
      <c r="BX286">
        <v>2.363696333</v>
      </c>
      <c r="BY286">
        <v>1.2152499999999999</v>
      </c>
      <c r="BZ286">
        <v>1.2885</v>
      </c>
      <c r="CA286">
        <v>2.0009999999999999</v>
      </c>
      <c r="CB286">
        <v>1.605005</v>
      </c>
      <c r="CC286">
        <v>1.605005</v>
      </c>
      <c r="CD286">
        <v>1.316505</v>
      </c>
      <c r="CE286">
        <v>1.1248549999999999</v>
      </c>
      <c r="CF286">
        <v>1.498205</v>
      </c>
      <c r="CG286" s="332"/>
      <c r="CH286">
        <v>1.1093900000000001</v>
      </c>
      <c r="CI286" s="332"/>
      <c r="CJ286" s="332"/>
      <c r="CK286" s="332"/>
      <c r="CL286" s="332"/>
      <c r="CM286" s="332"/>
      <c r="CN286" s="332"/>
      <c r="CO286" s="332"/>
      <c r="CP286">
        <v>0.96499999999999997</v>
      </c>
      <c r="CV286">
        <v>0.47</v>
      </c>
      <c r="CW286">
        <v>0.93500000000000005</v>
      </c>
      <c r="CX286">
        <v>0.79500000000000004</v>
      </c>
      <c r="CZ286">
        <v>0.88249999999999995</v>
      </c>
      <c r="DA286">
        <v>0.91500000000000004</v>
      </c>
      <c r="DB286">
        <v>0.88</v>
      </c>
      <c r="DC286">
        <v>0.90249999999999997</v>
      </c>
      <c r="DD286">
        <v>0.91500000000000004</v>
      </c>
      <c r="DE286">
        <v>0.89</v>
      </c>
      <c r="DN286" s="332">
        <v>2.8499999999999999E-4</v>
      </c>
      <c r="DO286" s="332">
        <v>2.0000000000000001E-4</v>
      </c>
      <c r="DP286" s="332">
        <v>0</v>
      </c>
      <c r="DQ286" s="332">
        <v>1E-4</v>
      </c>
      <c r="DR286" s="332">
        <v>0</v>
      </c>
      <c r="DS286" s="332">
        <v>3.5999999999999999E-3</v>
      </c>
      <c r="DT286" s="332">
        <v>4.6999999999999999E-4</v>
      </c>
      <c r="DU286" s="332">
        <v>6.9999999999999999E-4</v>
      </c>
      <c r="DV286" s="332">
        <v>0</v>
      </c>
      <c r="DW286" s="332">
        <v>0</v>
      </c>
      <c r="DX286" s="332">
        <v>5.0000000000000001E-4</v>
      </c>
      <c r="DY286" s="332">
        <v>5.0000000000000001E-4</v>
      </c>
      <c r="DZ286" s="332">
        <v>2.9999999999999997E-4</v>
      </c>
      <c r="EA286" s="332">
        <v>2.7500000000000002E-4</v>
      </c>
      <c r="EB286" s="332">
        <v>4.0000000000000002E-4</v>
      </c>
      <c r="ED286" s="332">
        <v>6.4999999999999994E-5</v>
      </c>
      <c r="EF286">
        <v>1</v>
      </c>
    </row>
    <row r="287" spans="1:136" x14ac:dyDescent="0.25">
      <c r="A287" s="66">
        <v>45108</v>
      </c>
      <c r="B287">
        <v>0.98</v>
      </c>
      <c r="C287">
        <v>0</v>
      </c>
      <c r="E287">
        <v>0</v>
      </c>
      <c r="F287">
        <v>0</v>
      </c>
      <c r="G287">
        <v>0</v>
      </c>
      <c r="H287">
        <v>0.98750000000000004</v>
      </c>
      <c r="I287">
        <v>0.98750000000000004</v>
      </c>
      <c r="J287">
        <v>0.98050000000000004</v>
      </c>
      <c r="K287">
        <v>0</v>
      </c>
      <c r="L287" s="333">
        <v>0.98750000000000004</v>
      </c>
      <c r="M287" s="333">
        <v>0.98750000000000004</v>
      </c>
      <c r="N287">
        <v>0.98</v>
      </c>
      <c r="O287">
        <v>0.98750000000000004</v>
      </c>
      <c r="P287">
        <v>0.98</v>
      </c>
      <c r="Q287" s="328">
        <v>0.98750000000000004</v>
      </c>
      <c r="R287">
        <v>0.98750000000000004</v>
      </c>
      <c r="S287" s="333">
        <v>0.98750000000000004</v>
      </c>
      <c r="T287">
        <v>0.98</v>
      </c>
      <c r="U287">
        <v>0.98</v>
      </c>
      <c r="V287">
        <v>0.98</v>
      </c>
      <c r="W287">
        <v>0.98</v>
      </c>
      <c r="X287">
        <v>0.98750000000000004</v>
      </c>
      <c r="Y287">
        <v>0.98750000000000004</v>
      </c>
      <c r="Z287">
        <v>0.98750000000000004</v>
      </c>
      <c r="AA287">
        <v>0.98750000000000004</v>
      </c>
      <c r="AB287">
        <v>0.98</v>
      </c>
      <c r="AC287">
        <v>0.98</v>
      </c>
      <c r="AD287">
        <v>0.98750000000000004</v>
      </c>
      <c r="AE287">
        <v>0.98750000000000004</v>
      </c>
      <c r="AF287">
        <v>0.98</v>
      </c>
      <c r="AG287">
        <v>0.99</v>
      </c>
      <c r="AH287">
        <v>0.98499999999999999</v>
      </c>
      <c r="AI287">
        <v>0.98499999999999999</v>
      </c>
      <c r="AJ287">
        <v>0.98</v>
      </c>
      <c r="AK287">
        <v>1</v>
      </c>
      <c r="AL287">
        <v>0</v>
      </c>
      <c r="AM287">
        <v>0</v>
      </c>
      <c r="BB287" s="446">
        <v>1</v>
      </c>
      <c r="BC287">
        <v>1</v>
      </c>
      <c r="BD287">
        <v>1</v>
      </c>
      <c r="BE287">
        <v>1</v>
      </c>
      <c r="BF287">
        <v>0.99990000000000001</v>
      </c>
      <c r="BG287">
        <v>1</v>
      </c>
      <c r="BH287">
        <v>1</v>
      </c>
      <c r="BI287">
        <v>0.99</v>
      </c>
      <c r="BJ287">
        <v>0.999</v>
      </c>
      <c r="BK287">
        <v>0.998</v>
      </c>
      <c r="BL287">
        <v>0.99850000000000005</v>
      </c>
      <c r="BM287">
        <v>0.99850000000000005</v>
      </c>
      <c r="BN287">
        <v>0.97199999999999998</v>
      </c>
      <c r="BO287">
        <v>0.99990000000000001</v>
      </c>
      <c r="BP287">
        <v>0.99990000000000001</v>
      </c>
      <c r="BQ287">
        <v>1</v>
      </c>
      <c r="BR287">
        <v>1.1442326</v>
      </c>
      <c r="BS287">
        <v>1.1454</v>
      </c>
      <c r="BT287">
        <v>1.0827</v>
      </c>
      <c r="BU287">
        <v>1.0329999999999999</v>
      </c>
      <c r="BV287">
        <v>1</v>
      </c>
      <c r="BW287">
        <v>2.859</v>
      </c>
      <c r="BX287">
        <v>2.364166333</v>
      </c>
      <c r="BY287">
        <v>1.2159500000000001</v>
      </c>
      <c r="BZ287">
        <v>1.2885</v>
      </c>
      <c r="CA287">
        <v>2.0009999999999999</v>
      </c>
      <c r="CB287">
        <v>1.605505</v>
      </c>
      <c r="CC287">
        <v>1.605505</v>
      </c>
      <c r="CD287">
        <v>1.316805</v>
      </c>
      <c r="CE287">
        <v>1.12513</v>
      </c>
      <c r="CF287">
        <v>1.498605</v>
      </c>
      <c r="CG287" s="332"/>
      <c r="CH287">
        <v>1.1094550000000001</v>
      </c>
      <c r="CI287" s="332"/>
      <c r="CJ287" s="332"/>
      <c r="CK287" s="332"/>
      <c r="CL287" s="332"/>
      <c r="CM287" s="332"/>
      <c r="CN287" s="332"/>
      <c r="CO287" s="332"/>
      <c r="CP287">
        <v>0.97499999999999998</v>
      </c>
      <c r="CV287">
        <v>0.47</v>
      </c>
      <c r="CW287">
        <v>0.93500000000000005</v>
      </c>
      <c r="CX287">
        <v>0.81499999999999995</v>
      </c>
      <c r="CZ287">
        <v>0.87749999999999995</v>
      </c>
      <c r="DA287">
        <v>0.91</v>
      </c>
      <c r="DB287">
        <v>0.89</v>
      </c>
      <c r="DC287">
        <v>0.90749999999999997</v>
      </c>
      <c r="DD287">
        <v>0.91500000000000004</v>
      </c>
      <c r="DE287">
        <v>0.89</v>
      </c>
      <c r="DN287" s="332">
        <v>2.8499999999999999E-4</v>
      </c>
      <c r="DO287" s="332">
        <v>2.0000000000000001E-4</v>
      </c>
      <c r="DP287" s="332">
        <v>0</v>
      </c>
      <c r="DQ287" s="332">
        <v>1E-4</v>
      </c>
      <c r="DR287" s="332">
        <v>0</v>
      </c>
      <c r="DS287" s="332">
        <v>3.5999999999999999E-3</v>
      </c>
      <c r="DT287" s="332">
        <v>4.6999999999999999E-4</v>
      </c>
      <c r="DU287" s="332">
        <v>6.9999999999999999E-4</v>
      </c>
      <c r="DV287" s="332">
        <v>0</v>
      </c>
      <c r="DW287" s="332">
        <v>0</v>
      </c>
      <c r="DX287" s="332">
        <v>5.0000000000000001E-4</v>
      </c>
      <c r="DY287" s="332">
        <v>5.0000000000000001E-4</v>
      </c>
      <c r="DZ287" s="332">
        <v>2.9999999999999997E-4</v>
      </c>
      <c r="EA287" s="332">
        <v>2.7500000000000002E-4</v>
      </c>
      <c r="EB287" s="332">
        <v>4.0000000000000002E-4</v>
      </c>
      <c r="ED287" s="332">
        <v>6.4999999999999994E-5</v>
      </c>
      <c r="EF287">
        <v>1</v>
      </c>
    </row>
    <row r="288" spans="1:136" x14ac:dyDescent="0.25">
      <c r="A288" s="66">
        <v>45139</v>
      </c>
      <c r="B288">
        <v>0.98</v>
      </c>
      <c r="C288">
        <v>0</v>
      </c>
      <c r="E288">
        <v>0</v>
      </c>
      <c r="F288">
        <v>0</v>
      </c>
      <c r="G288">
        <v>0</v>
      </c>
      <c r="H288">
        <v>0.98750000000000004</v>
      </c>
      <c r="I288">
        <v>0.98750000000000004</v>
      </c>
      <c r="J288">
        <v>0.98050000000000004</v>
      </c>
      <c r="K288">
        <v>0</v>
      </c>
      <c r="L288" s="333">
        <v>0.98750000000000004</v>
      </c>
      <c r="M288" s="333">
        <v>0.98750000000000004</v>
      </c>
      <c r="N288">
        <v>0.98</v>
      </c>
      <c r="O288">
        <v>0.98750000000000004</v>
      </c>
      <c r="P288">
        <v>0.98</v>
      </c>
      <c r="Q288" s="328">
        <v>0.98750000000000004</v>
      </c>
      <c r="R288">
        <v>0.98750000000000004</v>
      </c>
      <c r="S288" s="333">
        <v>0.98750000000000004</v>
      </c>
      <c r="T288">
        <v>0.98</v>
      </c>
      <c r="U288">
        <v>0.98</v>
      </c>
      <c r="V288">
        <v>0.98</v>
      </c>
      <c r="W288">
        <v>0.98</v>
      </c>
      <c r="X288">
        <v>0.98750000000000004</v>
      </c>
      <c r="Y288">
        <v>0.98750000000000004</v>
      </c>
      <c r="Z288">
        <v>0.98750000000000004</v>
      </c>
      <c r="AA288">
        <v>0.98750000000000004</v>
      </c>
      <c r="AB288">
        <v>0.98</v>
      </c>
      <c r="AC288">
        <v>0.98</v>
      </c>
      <c r="AD288">
        <v>0.98750000000000004</v>
      </c>
      <c r="AE288">
        <v>0.98750000000000004</v>
      </c>
      <c r="AF288">
        <v>0.98</v>
      </c>
      <c r="AG288">
        <v>0.99</v>
      </c>
      <c r="AH288">
        <v>0.98499999999999999</v>
      </c>
      <c r="AI288">
        <v>0.98499999999999999</v>
      </c>
      <c r="AJ288">
        <v>0.98</v>
      </c>
      <c r="AK288">
        <v>1</v>
      </c>
      <c r="AL288">
        <v>0</v>
      </c>
      <c r="AM288">
        <v>0</v>
      </c>
      <c r="BB288" s="446">
        <v>1</v>
      </c>
      <c r="BC288">
        <v>1</v>
      </c>
      <c r="BD288">
        <v>1</v>
      </c>
      <c r="BE288">
        <v>1</v>
      </c>
      <c r="BF288">
        <v>0.99990000000000001</v>
      </c>
      <c r="BG288">
        <v>1</v>
      </c>
      <c r="BH288">
        <v>1</v>
      </c>
      <c r="BI288">
        <v>0.99</v>
      </c>
      <c r="BJ288">
        <v>0.999</v>
      </c>
      <c r="BK288">
        <v>0.998</v>
      </c>
      <c r="BL288">
        <v>0.99850000000000005</v>
      </c>
      <c r="BM288">
        <v>0.99850000000000005</v>
      </c>
      <c r="BN288">
        <v>0.97199999999999998</v>
      </c>
      <c r="BO288">
        <v>0.99990000000000001</v>
      </c>
      <c r="BP288">
        <v>0.99990000000000001</v>
      </c>
      <c r="BQ288">
        <v>1</v>
      </c>
      <c r="BR288">
        <v>1.1445175999999999</v>
      </c>
      <c r="BS288">
        <v>1.1456</v>
      </c>
      <c r="BT288">
        <v>1.0827</v>
      </c>
      <c r="BU288">
        <v>1.0330999999999999</v>
      </c>
      <c r="BV288">
        <v>1</v>
      </c>
      <c r="BW288">
        <v>2.8626</v>
      </c>
      <c r="BX288">
        <v>2.364636333</v>
      </c>
      <c r="BY288">
        <v>1.21665</v>
      </c>
      <c r="BZ288">
        <v>1.2885</v>
      </c>
      <c r="CA288">
        <v>2.0009999999999999</v>
      </c>
      <c r="CB288">
        <v>1.6060049999999999</v>
      </c>
      <c r="CC288">
        <v>1.6060049999999999</v>
      </c>
      <c r="CD288">
        <v>1.317105</v>
      </c>
      <c r="CE288">
        <v>1.125405</v>
      </c>
      <c r="CF288">
        <v>1.4990049999999999</v>
      </c>
      <c r="CG288" s="332"/>
      <c r="CH288">
        <v>1.1095200000000001</v>
      </c>
      <c r="CI288" s="332"/>
      <c r="CJ288" s="332"/>
      <c r="CK288" s="332"/>
      <c r="CL288" s="332"/>
      <c r="CM288" s="332"/>
      <c r="CN288" s="332"/>
      <c r="CO288" s="332"/>
      <c r="CP288">
        <v>0.97499999999999998</v>
      </c>
      <c r="CV288">
        <v>0.52</v>
      </c>
      <c r="CW288">
        <v>0.92500000000000004</v>
      </c>
      <c r="CX288">
        <v>0.90500000000000003</v>
      </c>
      <c r="CZ288">
        <v>0.89</v>
      </c>
      <c r="DA288">
        <v>0.92249999999999999</v>
      </c>
      <c r="DB288">
        <v>0.91500000000000004</v>
      </c>
      <c r="DC288">
        <v>0.92749999999999999</v>
      </c>
      <c r="DD288">
        <v>0.91500000000000004</v>
      </c>
      <c r="DE288">
        <v>0.89</v>
      </c>
      <c r="DN288" s="332">
        <v>2.8499999999999999E-4</v>
      </c>
      <c r="DO288" s="332">
        <v>2.0000000000000001E-4</v>
      </c>
      <c r="DP288" s="332">
        <v>0</v>
      </c>
      <c r="DQ288" s="332">
        <v>1E-4</v>
      </c>
      <c r="DR288" s="332">
        <v>0</v>
      </c>
      <c r="DS288" s="332">
        <v>3.5999999999999999E-3</v>
      </c>
      <c r="DT288" s="332">
        <v>4.6999999999999999E-4</v>
      </c>
      <c r="DU288" s="332">
        <v>6.9999999999999999E-4</v>
      </c>
      <c r="DV288" s="332">
        <v>0</v>
      </c>
      <c r="DW288" s="332">
        <v>0</v>
      </c>
      <c r="DX288" s="332">
        <v>5.0000000000000001E-4</v>
      </c>
      <c r="DY288" s="332">
        <v>5.0000000000000001E-4</v>
      </c>
      <c r="DZ288" s="332">
        <v>2.9999999999999997E-4</v>
      </c>
      <c r="EA288" s="332">
        <v>2.7500000000000002E-4</v>
      </c>
      <c r="EB288" s="332">
        <v>4.0000000000000002E-4</v>
      </c>
      <c r="ED288" s="332">
        <v>6.4999999999999994E-5</v>
      </c>
      <c r="EF288">
        <v>1</v>
      </c>
    </row>
    <row r="289" spans="1:136" x14ac:dyDescent="0.25">
      <c r="A289" s="66">
        <v>45170</v>
      </c>
      <c r="B289">
        <v>0.98</v>
      </c>
      <c r="C289">
        <v>0</v>
      </c>
      <c r="E289">
        <v>0</v>
      </c>
      <c r="F289">
        <v>0</v>
      </c>
      <c r="G289">
        <v>0</v>
      </c>
      <c r="H289">
        <v>0.98750000000000004</v>
      </c>
      <c r="I289">
        <v>0.98750000000000004</v>
      </c>
      <c r="J289">
        <v>0.98050000000000004</v>
      </c>
      <c r="K289">
        <v>0</v>
      </c>
      <c r="L289" s="333">
        <v>0.98750000000000004</v>
      </c>
      <c r="M289" s="333">
        <v>0.98750000000000004</v>
      </c>
      <c r="N289">
        <v>0.98</v>
      </c>
      <c r="O289">
        <v>0.98750000000000004</v>
      </c>
      <c r="P289">
        <v>0.98</v>
      </c>
      <c r="Q289" s="328">
        <v>0.98750000000000004</v>
      </c>
      <c r="R289">
        <v>0.98750000000000004</v>
      </c>
      <c r="S289" s="333">
        <v>0.98750000000000004</v>
      </c>
      <c r="T289">
        <v>0.98</v>
      </c>
      <c r="U289">
        <v>0.98</v>
      </c>
      <c r="V289">
        <v>0.98</v>
      </c>
      <c r="W289">
        <v>0.98</v>
      </c>
      <c r="X289">
        <v>0.98750000000000004</v>
      </c>
      <c r="Y289">
        <v>0.98750000000000004</v>
      </c>
      <c r="Z289">
        <v>0.98750000000000004</v>
      </c>
      <c r="AA289">
        <v>0.98750000000000004</v>
      </c>
      <c r="AB289">
        <v>0.98</v>
      </c>
      <c r="AC289">
        <v>0.98</v>
      </c>
      <c r="AD289">
        <v>0.98750000000000004</v>
      </c>
      <c r="AE289">
        <v>0.98750000000000004</v>
      </c>
      <c r="AF289">
        <v>0.98</v>
      </c>
      <c r="AG289">
        <v>0.99</v>
      </c>
      <c r="AH289">
        <v>0.98499999999999999</v>
      </c>
      <c r="AI289">
        <v>0.98499999999999999</v>
      </c>
      <c r="AJ289">
        <v>0.98</v>
      </c>
      <c r="AK289">
        <v>1</v>
      </c>
      <c r="AL289">
        <v>0</v>
      </c>
      <c r="AM289">
        <v>0</v>
      </c>
      <c r="BB289" s="446">
        <v>1</v>
      </c>
      <c r="BC289">
        <v>1</v>
      </c>
      <c r="BD289">
        <v>1</v>
      </c>
      <c r="BE289">
        <v>1</v>
      </c>
      <c r="BF289">
        <v>0.99990000000000001</v>
      </c>
      <c r="BG289">
        <v>1</v>
      </c>
      <c r="BH289">
        <v>1</v>
      </c>
      <c r="BI289">
        <v>0.99</v>
      </c>
      <c r="BJ289">
        <v>0.999</v>
      </c>
      <c r="BK289">
        <v>0.998</v>
      </c>
      <c r="BL289">
        <v>0.99850000000000005</v>
      </c>
      <c r="BM289">
        <v>0.99850000000000005</v>
      </c>
      <c r="BN289">
        <v>0.97199999999999998</v>
      </c>
      <c r="BO289">
        <v>0.99990000000000001</v>
      </c>
      <c r="BP289">
        <v>0.99990000000000001</v>
      </c>
      <c r="BQ289">
        <v>1</v>
      </c>
      <c r="BR289">
        <v>1.1448026</v>
      </c>
      <c r="BS289">
        <v>1.1457999999999999</v>
      </c>
      <c r="BT289">
        <v>1.0827</v>
      </c>
      <c r="BU289">
        <v>1.0331999999999999</v>
      </c>
      <c r="BV289">
        <v>1</v>
      </c>
      <c r="BW289">
        <v>2.8662000000000001</v>
      </c>
      <c r="BX289">
        <v>2.3651063329999999</v>
      </c>
      <c r="BY289">
        <v>1.2173499999999999</v>
      </c>
      <c r="BZ289">
        <v>1.2885</v>
      </c>
      <c r="CA289">
        <v>2.0009999999999999</v>
      </c>
      <c r="CB289">
        <v>1.6065050000000001</v>
      </c>
      <c r="CC289">
        <v>1.6065050000000001</v>
      </c>
      <c r="CD289">
        <v>1.3174049999999999</v>
      </c>
      <c r="CE289">
        <v>1.12568</v>
      </c>
      <c r="CF289">
        <v>1.4994050000000001</v>
      </c>
      <c r="CG289" s="332"/>
      <c r="CH289">
        <v>1.109585</v>
      </c>
      <c r="CI289" s="332"/>
      <c r="CJ289" s="332"/>
      <c r="CK289" s="332"/>
      <c r="CL289" s="332"/>
      <c r="CM289" s="332"/>
      <c r="CN289" s="332"/>
      <c r="CO289" s="332"/>
      <c r="CP289">
        <v>0.97499999999999998</v>
      </c>
      <c r="CV289">
        <v>0.55000000000000004</v>
      </c>
      <c r="CW289">
        <v>0.92500000000000004</v>
      </c>
      <c r="CX289">
        <v>0.76500000000000001</v>
      </c>
      <c r="CZ289">
        <v>0.94499999999999995</v>
      </c>
      <c r="DA289">
        <v>0.97750000000000004</v>
      </c>
      <c r="DB289">
        <v>0.94499999999999995</v>
      </c>
      <c r="DC289">
        <v>0.92</v>
      </c>
      <c r="DD289">
        <v>0.91500000000000004</v>
      </c>
      <c r="DE289">
        <v>0.89</v>
      </c>
      <c r="DN289" s="332">
        <v>2.8499999999999999E-4</v>
      </c>
      <c r="DO289" s="332">
        <v>2.0000000000000001E-4</v>
      </c>
      <c r="DP289" s="332">
        <v>0</v>
      </c>
      <c r="DQ289" s="332">
        <v>1E-4</v>
      </c>
      <c r="DR289" s="332">
        <v>0</v>
      </c>
      <c r="DS289" s="332">
        <v>3.5999999999999999E-3</v>
      </c>
      <c r="DT289" s="332">
        <v>4.6999999999999999E-4</v>
      </c>
      <c r="DU289" s="332">
        <v>6.9999999999999999E-4</v>
      </c>
      <c r="DV289" s="332">
        <v>0</v>
      </c>
      <c r="DW289" s="332">
        <v>0</v>
      </c>
      <c r="DX289" s="332">
        <v>5.0000000000000001E-4</v>
      </c>
      <c r="DY289" s="332">
        <v>5.0000000000000001E-4</v>
      </c>
      <c r="DZ289" s="332">
        <v>2.9999999999999997E-4</v>
      </c>
      <c r="EA289" s="332">
        <v>2.7500000000000002E-4</v>
      </c>
      <c r="EB289" s="332">
        <v>4.0000000000000002E-4</v>
      </c>
      <c r="ED289" s="332">
        <v>6.4999999999999994E-5</v>
      </c>
      <c r="EF289">
        <v>1</v>
      </c>
    </row>
    <row r="290" spans="1:136" x14ac:dyDescent="0.25">
      <c r="A290" s="66">
        <v>45200</v>
      </c>
      <c r="B290">
        <v>0.98</v>
      </c>
      <c r="C290">
        <v>0</v>
      </c>
      <c r="E290">
        <v>0</v>
      </c>
      <c r="F290">
        <v>0</v>
      </c>
      <c r="G290">
        <v>0</v>
      </c>
      <c r="H290">
        <v>0.98750000000000004</v>
      </c>
      <c r="I290">
        <v>0.98750000000000004</v>
      </c>
      <c r="J290">
        <v>0.98050000000000004</v>
      </c>
      <c r="K290">
        <v>0</v>
      </c>
      <c r="L290" s="333">
        <v>0.98750000000000004</v>
      </c>
      <c r="M290" s="333">
        <v>0.98750000000000004</v>
      </c>
      <c r="N290">
        <v>0.98</v>
      </c>
      <c r="O290">
        <v>0.98750000000000004</v>
      </c>
      <c r="P290">
        <v>0.98</v>
      </c>
      <c r="Q290" s="328">
        <v>0.98750000000000004</v>
      </c>
      <c r="R290">
        <v>0.98750000000000004</v>
      </c>
      <c r="S290" s="333">
        <v>0.98750000000000004</v>
      </c>
      <c r="T290">
        <v>0.98</v>
      </c>
      <c r="U290">
        <v>0.98</v>
      </c>
      <c r="V290">
        <v>0.98</v>
      </c>
      <c r="W290">
        <v>0.98</v>
      </c>
      <c r="X290">
        <v>0.98750000000000004</v>
      </c>
      <c r="Y290">
        <v>0.98750000000000004</v>
      </c>
      <c r="Z290">
        <v>0.98750000000000004</v>
      </c>
      <c r="AA290">
        <v>0.98750000000000004</v>
      </c>
      <c r="AB290">
        <v>0.98</v>
      </c>
      <c r="AC290">
        <v>0.98</v>
      </c>
      <c r="AD290">
        <v>0.98750000000000004</v>
      </c>
      <c r="AE290">
        <v>0.98750000000000004</v>
      </c>
      <c r="AF290">
        <v>0.98</v>
      </c>
      <c r="AG290">
        <v>0.99</v>
      </c>
      <c r="AH290">
        <v>0.98499999999999999</v>
      </c>
      <c r="AI290">
        <v>0.98499999999999999</v>
      </c>
      <c r="AJ290">
        <v>0.98</v>
      </c>
      <c r="AK290">
        <v>1</v>
      </c>
      <c r="AL290">
        <v>0</v>
      </c>
      <c r="AM290">
        <v>0</v>
      </c>
      <c r="BB290" s="446">
        <v>1</v>
      </c>
      <c r="BC290">
        <v>1</v>
      </c>
      <c r="BD290">
        <v>1</v>
      </c>
      <c r="BE290">
        <v>1</v>
      </c>
      <c r="BF290">
        <v>0.99990000000000001</v>
      </c>
      <c r="BG290">
        <v>1</v>
      </c>
      <c r="BH290">
        <v>1</v>
      </c>
      <c r="BI290">
        <v>0.99</v>
      </c>
      <c r="BJ290">
        <v>0.999</v>
      </c>
      <c r="BK290">
        <v>0.998</v>
      </c>
      <c r="BL290">
        <v>0.99850000000000005</v>
      </c>
      <c r="BM290">
        <v>0.99850000000000005</v>
      </c>
      <c r="BN290">
        <v>0.97199999999999998</v>
      </c>
      <c r="BO290">
        <v>0.99990000000000001</v>
      </c>
      <c r="BP290">
        <v>0.99990000000000001</v>
      </c>
      <c r="BQ290">
        <v>1</v>
      </c>
      <c r="BR290">
        <v>1.1450876000000001</v>
      </c>
      <c r="BS290">
        <v>1.1459999999999999</v>
      </c>
      <c r="BT290">
        <v>1.0827</v>
      </c>
      <c r="BU290">
        <v>1.0333000000000001</v>
      </c>
      <c r="BV290">
        <v>1</v>
      </c>
      <c r="BW290">
        <v>2.8698000000000001</v>
      </c>
      <c r="BX290">
        <v>2.3655763329999999</v>
      </c>
      <c r="BY290">
        <v>1.2180500000000001</v>
      </c>
      <c r="BZ290">
        <v>1.2885</v>
      </c>
      <c r="CA290">
        <v>2.0009999999999999</v>
      </c>
      <c r="CB290">
        <v>1.607005</v>
      </c>
      <c r="CC290">
        <v>1.607005</v>
      </c>
      <c r="CD290">
        <v>1.3177049999999999</v>
      </c>
      <c r="CE290">
        <v>1.125955</v>
      </c>
      <c r="CF290">
        <v>1.4998050000000001</v>
      </c>
      <c r="CG290" s="332"/>
      <c r="CH290">
        <v>1.10965</v>
      </c>
      <c r="CI290" s="332"/>
      <c r="CJ290" s="332"/>
      <c r="CK290" s="332"/>
      <c r="CL290" s="332"/>
      <c r="CM290" s="332"/>
      <c r="CN290" s="332"/>
      <c r="CO290" s="332"/>
      <c r="CP290">
        <v>0.95499999999999996</v>
      </c>
      <c r="CV290">
        <v>0.45</v>
      </c>
      <c r="CW290">
        <v>0.92500000000000004</v>
      </c>
      <c r="CX290">
        <v>0.755</v>
      </c>
      <c r="CZ290">
        <v>0.80500000000000005</v>
      </c>
      <c r="DA290">
        <v>0.83750000000000002</v>
      </c>
      <c r="DB290">
        <v>0.875</v>
      </c>
      <c r="DC290">
        <v>0.90249999999999997</v>
      </c>
      <c r="DD290">
        <v>0.82</v>
      </c>
      <c r="DE290">
        <v>0.89</v>
      </c>
      <c r="DN290" s="332">
        <v>2.8499999999999999E-4</v>
      </c>
      <c r="DO290" s="332">
        <v>2.0000000000000001E-4</v>
      </c>
      <c r="DP290" s="332">
        <v>0</v>
      </c>
      <c r="DQ290" s="332">
        <v>1E-4</v>
      </c>
      <c r="DR290" s="332">
        <v>0</v>
      </c>
      <c r="DS290" s="332">
        <v>3.5999999999999999E-3</v>
      </c>
      <c r="DT290" s="332">
        <v>4.6999999999999999E-4</v>
      </c>
      <c r="DU290" s="332">
        <v>6.9999999999999999E-4</v>
      </c>
      <c r="DV290" s="332">
        <v>0</v>
      </c>
      <c r="DW290" s="332">
        <v>0</v>
      </c>
      <c r="DX290" s="332">
        <v>5.0000000000000001E-4</v>
      </c>
      <c r="DY290" s="332">
        <v>5.0000000000000001E-4</v>
      </c>
      <c r="DZ290" s="332">
        <v>2.9999999999999997E-4</v>
      </c>
      <c r="EA290" s="332">
        <v>2.7500000000000002E-4</v>
      </c>
      <c r="EB290" s="332">
        <v>4.0000000000000002E-4</v>
      </c>
      <c r="ED290" s="332">
        <v>6.4999999999999994E-5</v>
      </c>
      <c r="EF290">
        <v>1</v>
      </c>
    </row>
    <row r="291" spans="1:136" x14ac:dyDescent="0.25">
      <c r="A291" s="66">
        <v>45231</v>
      </c>
      <c r="B291">
        <v>0.98</v>
      </c>
      <c r="C291">
        <v>0</v>
      </c>
      <c r="E291">
        <v>0</v>
      </c>
      <c r="F291">
        <v>0</v>
      </c>
      <c r="G291">
        <v>0</v>
      </c>
      <c r="H291">
        <v>0.98750000000000004</v>
      </c>
      <c r="I291">
        <v>0.98750000000000004</v>
      </c>
      <c r="J291">
        <v>0.98050000000000004</v>
      </c>
      <c r="K291">
        <v>0</v>
      </c>
      <c r="L291" s="333">
        <v>0.98750000000000004</v>
      </c>
      <c r="M291" s="333">
        <v>0.98750000000000004</v>
      </c>
      <c r="N291">
        <v>0.98</v>
      </c>
      <c r="O291">
        <v>0.98750000000000004</v>
      </c>
      <c r="P291">
        <v>0.98</v>
      </c>
      <c r="Q291" s="328">
        <v>0.98750000000000004</v>
      </c>
      <c r="R291">
        <v>0.98750000000000004</v>
      </c>
      <c r="S291" s="333">
        <v>0.98750000000000004</v>
      </c>
      <c r="T291">
        <v>0.98</v>
      </c>
      <c r="U291">
        <v>0.98</v>
      </c>
      <c r="V291">
        <v>0.98</v>
      </c>
      <c r="W291">
        <v>0.98</v>
      </c>
      <c r="X291">
        <v>0.98750000000000004</v>
      </c>
      <c r="Y291">
        <v>0.98750000000000004</v>
      </c>
      <c r="Z291">
        <v>0.98750000000000004</v>
      </c>
      <c r="AA291">
        <v>0.98750000000000004</v>
      </c>
      <c r="AB291">
        <v>0.98</v>
      </c>
      <c r="AC291">
        <v>0.98</v>
      </c>
      <c r="AD291">
        <v>0.98750000000000004</v>
      </c>
      <c r="AE291">
        <v>0.98750000000000004</v>
      </c>
      <c r="AF291">
        <v>0.98</v>
      </c>
      <c r="AG291">
        <v>0.99</v>
      </c>
      <c r="AH291">
        <v>0.98499999999999999</v>
      </c>
      <c r="AI291">
        <v>0.98499999999999999</v>
      </c>
      <c r="AJ291">
        <v>0.98</v>
      </c>
      <c r="AK291">
        <v>1</v>
      </c>
      <c r="AL291">
        <v>0</v>
      </c>
      <c r="AM291">
        <v>0</v>
      </c>
      <c r="BB291" s="446">
        <v>1</v>
      </c>
      <c r="BC291">
        <v>1</v>
      </c>
      <c r="BD291">
        <v>1</v>
      </c>
      <c r="BE291">
        <v>1</v>
      </c>
      <c r="BF291">
        <v>0.99990000000000001</v>
      </c>
      <c r="BG291">
        <v>1</v>
      </c>
      <c r="BH291">
        <v>1</v>
      </c>
      <c r="BI291">
        <v>0.99</v>
      </c>
      <c r="BJ291">
        <v>0.999</v>
      </c>
      <c r="BK291">
        <v>0.998</v>
      </c>
      <c r="BL291">
        <v>0.99850000000000005</v>
      </c>
      <c r="BM291">
        <v>0.99850000000000005</v>
      </c>
      <c r="BN291">
        <v>0.97199999999999998</v>
      </c>
      <c r="BO291">
        <v>0.99990000000000001</v>
      </c>
      <c r="BP291">
        <v>0.99990000000000001</v>
      </c>
      <c r="BQ291">
        <v>1</v>
      </c>
      <c r="BR291">
        <v>1.1453726</v>
      </c>
      <c r="BS291">
        <v>1.1462000000000001</v>
      </c>
      <c r="BT291">
        <v>1.0827</v>
      </c>
      <c r="BU291">
        <v>1.0334000000000001</v>
      </c>
      <c r="BV291">
        <v>1</v>
      </c>
      <c r="BW291">
        <v>2.8734000000000002</v>
      </c>
      <c r="BX291">
        <v>2.3660463329999999</v>
      </c>
      <c r="BY291">
        <v>1.21875</v>
      </c>
      <c r="BZ291">
        <v>1.2885</v>
      </c>
      <c r="CA291">
        <v>2.0009999999999999</v>
      </c>
      <c r="CB291">
        <v>1.607505</v>
      </c>
      <c r="CC291">
        <v>1.607505</v>
      </c>
      <c r="CD291">
        <v>1.3180050000000001</v>
      </c>
      <c r="CE291">
        <v>1.1262300000000001</v>
      </c>
      <c r="CF291">
        <v>1.500205</v>
      </c>
      <c r="CG291" s="332"/>
      <c r="CH291">
        <v>1.109715</v>
      </c>
      <c r="CI291" s="332"/>
      <c r="CJ291" s="332"/>
      <c r="CK291" s="332"/>
      <c r="CL291" s="332"/>
      <c r="CM291" s="332"/>
      <c r="CN291" s="332"/>
      <c r="CO291" s="332"/>
      <c r="CP291">
        <v>0.95499999999999996</v>
      </c>
      <c r="CV291">
        <v>0.46</v>
      </c>
      <c r="CW291">
        <v>0.90500000000000003</v>
      </c>
      <c r="CX291">
        <v>0.71499999999999997</v>
      </c>
      <c r="CZ291">
        <v>0.79500000000000004</v>
      </c>
      <c r="DA291">
        <v>0.82750000000000001</v>
      </c>
      <c r="DB291">
        <v>0.85</v>
      </c>
      <c r="DC291">
        <v>0.90249999999999997</v>
      </c>
      <c r="DD291">
        <v>0.82</v>
      </c>
      <c r="DE291">
        <v>0.89</v>
      </c>
      <c r="DN291" s="332">
        <v>2.8499999999999999E-4</v>
      </c>
      <c r="DO291" s="332">
        <v>2.0000000000000001E-4</v>
      </c>
      <c r="DP291" s="332">
        <v>0</v>
      </c>
      <c r="DQ291" s="332">
        <v>1E-4</v>
      </c>
      <c r="DR291" s="332">
        <v>0</v>
      </c>
      <c r="DS291" s="332">
        <v>3.5999999999999999E-3</v>
      </c>
      <c r="DT291" s="332">
        <v>4.6999999999999999E-4</v>
      </c>
      <c r="DU291" s="332">
        <v>6.9999999999999999E-4</v>
      </c>
      <c r="DV291" s="332">
        <v>0</v>
      </c>
      <c r="DW291" s="332">
        <v>0</v>
      </c>
      <c r="DX291" s="332">
        <v>5.0000000000000001E-4</v>
      </c>
      <c r="DY291" s="332">
        <v>5.0000000000000001E-4</v>
      </c>
      <c r="DZ291" s="332">
        <v>2.9999999999999997E-4</v>
      </c>
      <c r="EA291" s="332">
        <v>2.7500000000000002E-4</v>
      </c>
      <c r="EB291" s="332">
        <v>4.0000000000000002E-4</v>
      </c>
      <c r="ED291" s="332">
        <v>6.4999999999999994E-5</v>
      </c>
      <c r="EF291">
        <v>1</v>
      </c>
    </row>
    <row r="292" spans="1:136" x14ac:dyDescent="0.25">
      <c r="A292" s="66">
        <v>45261</v>
      </c>
      <c r="B292">
        <v>0.98</v>
      </c>
      <c r="C292">
        <v>0</v>
      </c>
      <c r="E292">
        <v>0</v>
      </c>
      <c r="F292">
        <v>0</v>
      </c>
      <c r="G292">
        <v>0</v>
      </c>
      <c r="H292">
        <v>0.98750000000000004</v>
      </c>
      <c r="I292">
        <v>0.98750000000000004</v>
      </c>
      <c r="J292">
        <v>0.98050000000000004</v>
      </c>
      <c r="K292">
        <v>0</v>
      </c>
      <c r="L292" s="333">
        <v>0.94872294999999995</v>
      </c>
      <c r="M292" s="333">
        <v>0.98750000000000004</v>
      </c>
      <c r="N292">
        <v>0.90963044999999998</v>
      </c>
      <c r="O292">
        <v>0.98750000000000004</v>
      </c>
      <c r="P292">
        <v>0.90963044999999998</v>
      </c>
      <c r="Q292" s="328">
        <v>0.94872294999999995</v>
      </c>
      <c r="R292">
        <v>0.94872294999999995</v>
      </c>
      <c r="S292" s="333">
        <v>0.94872294999999995</v>
      </c>
      <c r="T292">
        <v>0.90963044999999998</v>
      </c>
      <c r="U292">
        <v>0.90963044999999998</v>
      </c>
      <c r="V292">
        <v>0.90963044999999998</v>
      </c>
      <c r="W292">
        <v>0.90963044999999998</v>
      </c>
      <c r="X292">
        <v>0.98750000000000004</v>
      </c>
      <c r="Y292">
        <v>0.98750000000000004</v>
      </c>
      <c r="Z292">
        <v>0.98750000000000004</v>
      </c>
      <c r="AA292">
        <v>0.98750000000000004</v>
      </c>
      <c r="AB292">
        <v>0.90963044999999998</v>
      </c>
      <c r="AC292">
        <v>0.90963044999999998</v>
      </c>
      <c r="AD292">
        <v>0.98750000000000004</v>
      </c>
      <c r="AE292">
        <v>0.98750000000000004</v>
      </c>
      <c r="AF292">
        <v>0.90963044999999998</v>
      </c>
      <c r="AG292">
        <v>0.98</v>
      </c>
      <c r="AH292">
        <v>0.98499999999999999</v>
      </c>
      <c r="AI292">
        <v>0.98499999999999999</v>
      </c>
      <c r="AJ292">
        <v>0.90963044999999998</v>
      </c>
      <c r="AK292">
        <v>1</v>
      </c>
      <c r="AL292">
        <v>0</v>
      </c>
      <c r="AM292">
        <v>0</v>
      </c>
      <c r="BB292" s="446">
        <v>1</v>
      </c>
      <c r="BC292">
        <v>1</v>
      </c>
      <c r="BD292">
        <v>1</v>
      </c>
      <c r="BE292">
        <v>1</v>
      </c>
      <c r="BF292">
        <v>0.99990000000000001</v>
      </c>
      <c r="BG292">
        <v>1</v>
      </c>
      <c r="BH292">
        <v>1</v>
      </c>
      <c r="BI292">
        <v>0.99</v>
      </c>
      <c r="BJ292">
        <v>0.999</v>
      </c>
      <c r="BK292">
        <v>0.998</v>
      </c>
      <c r="BL292">
        <v>0.99850000000000005</v>
      </c>
      <c r="BM292">
        <v>0.99850000000000005</v>
      </c>
      <c r="BN292">
        <v>0.97199999999999998</v>
      </c>
      <c r="BO292">
        <v>0.99990000000000001</v>
      </c>
      <c r="BP292">
        <v>0.99990000000000001</v>
      </c>
      <c r="BQ292">
        <v>1</v>
      </c>
      <c r="BR292">
        <v>1.1456576000000001</v>
      </c>
      <c r="BS292">
        <v>1.1464000000000001</v>
      </c>
      <c r="BT292">
        <v>1.0827</v>
      </c>
      <c r="BU292">
        <v>1.0335000000000001</v>
      </c>
      <c r="BV292">
        <v>1</v>
      </c>
      <c r="BW292">
        <v>2.8769999999999998</v>
      </c>
      <c r="BX292">
        <v>2.3665163329999999</v>
      </c>
      <c r="BY292">
        <v>1.2194499999999999</v>
      </c>
      <c r="BZ292">
        <v>1.2885</v>
      </c>
      <c r="CA292">
        <v>2.0009999999999999</v>
      </c>
      <c r="CB292">
        <v>1.6080049999999999</v>
      </c>
      <c r="CC292">
        <v>1.6080049999999999</v>
      </c>
      <c r="CD292">
        <v>1.3183050000000001</v>
      </c>
      <c r="CE292">
        <v>1.1265050000000001</v>
      </c>
      <c r="CF292">
        <v>1.500605</v>
      </c>
      <c r="CG292" s="332"/>
      <c r="CH292">
        <v>1.10978</v>
      </c>
      <c r="CI292" s="332"/>
      <c r="CJ292" s="332"/>
      <c r="CK292" s="332"/>
      <c r="CL292" s="332"/>
      <c r="CM292" s="332"/>
      <c r="CN292" s="332"/>
      <c r="CO292" s="332"/>
      <c r="CP292">
        <v>0.93500000000000005</v>
      </c>
      <c r="CV292">
        <v>0.48</v>
      </c>
      <c r="CW292">
        <v>0.875</v>
      </c>
      <c r="CX292">
        <v>0.72</v>
      </c>
      <c r="CZ292">
        <v>0.59</v>
      </c>
      <c r="DA292">
        <v>0.62250000000000005</v>
      </c>
      <c r="DB292">
        <v>0.69</v>
      </c>
      <c r="DC292">
        <v>0.89249999999999996</v>
      </c>
      <c r="DD292">
        <v>0.71499999999999997</v>
      </c>
      <c r="DE292">
        <v>0.89</v>
      </c>
      <c r="DN292" s="332">
        <v>2.8499999999999999E-4</v>
      </c>
      <c r="DO292" s="332">
        <v>2.0000000000000001E-4</v>
      </c>
      <c r="DP292" s="332">
        <v>0</v>
      </c>
      <c r="DQ292" s="332">
        <v>1E-4</v>
      </c>
      <c r="DR292" s="332">
        <v>0</v>
      </c>
      <c r="DS292" s="332">
        <v>3.5999999999999999E-3</v>
      </c>
      <c r="DT292" s="332">
        <v>4.6999999999999999E-4</v>
      </c>
      <c r="DU292" s="332">
        <v>6.9999999999999999E-4</v>
      </c>
      <c r="DV292" s="332">
        <v>0</v>
      </c>
      <c r="DW292" s="332">
        <v>0</v>
      </c>
      <c r="DX292" s="332">
        <v>5.0000000000000001E-4</v>
      </c>
      <c r="DY292" s="332">
        <v>5.0000000000000001E-4</v>
      </c>
      <c r="DZ292" s="332">
        <v>2.9999999999999997E-4</v>
      </c>
      <c r="EA292" s="332">
        <v>2.7500000000000002E-4</v>
      </c>
      <c r="EB292" s="332">
        <v>4.0000000000000002E-4</v>
      </c>
      <c r="ED292" s="332">
        <v>6.4999999999999994E-5</v>
      </c>
      <c r="EF292">
        <v>1</v>
      </c>
    </row>
    <row r="293" spans="1:136" x14ac:dyDescent="0.25">
      <c r="A293" s="66">
        <v>45292</v>
      </c>
      <c r="B293">
        <v>0.98</v>
      </c>
      <c r="C293">
        <v>0</v>
      </c>
      <c r="E293">
        <v>0</v>
      </c>
      <c r="F293">
        <v>0</v>
      </c>
      <c r="G293">
        <v>0</v>
      </c>
      <c r="H293">
        <v>0.98750000000000004</v>
      </c>
      <c r="I293">
        <v>0.98222074999999998</v>
      </c>
      <c r="J293">
        <v>0.98050000000000004</v>
      </c>
      <c r="K293">
        <v>0</v>
      </c>
      <c r="L293" s="333">
        <v>0.97314552499999996</v>
      </c>
      <c r="M293" s="333">
        <v>0.98750000000000004</v>
      </c>
      <c r="N293">
        <v>0.90983745000000005</v>
      </c>
      <c r="O293">
        <v>0.98750000000000004</v>
      </c>
      <c r="P293">
        <v>0.90983745000000005</v>
      </c>
      <c r="Q293" s="328">
        <v>0.97314552499999996</v>
      </c>
      <c r="R293">
        <v>0.97314552499999996</v>
      </c>
      <c r="S293" s="333">
        <v>0.97314552499999996</v>
      </c>
      <c r="T293">
        <v>0.90983745000000005</v>
      </c>
      <c r="U293">
        <v>0.90983745000000005</v>
      </c>
      <c r="V293">
        <v>0.90983745000000005</v>
      </c>
      <c r="W293">
        <v>0.90983745000000005</v>
      </c>
      <c r="X293">
        <v>0.98750000000000004</v>
      </c>
      <c r="Y293">
        <v>0.98750000000000004</v>
      </c>
      <c r="Z293">
        <v>0.98750000000000004</v>
      </c>
      <c r="AA293">
        <v>0.98750000000000004</v>
      </c>
      <c r="AB293">
        <v>0.90983745000000005</v>
      </c>
      <c r="AC293">
        <v>0.90983745000000005</v>
      </c>
      <c r="AD293">
        <v>0.98750000000000004</v>
      </c>
      <c r="AE293">
        <v>0.98750000000000004</v>
      </c>
      <c r="AF293">
        <v>0.90983745000000005</v>
      </c>
      <c r="AG293">
        <v>0.98</v>
      </c>
      <c r="AH293">
        <v>0.98499999999999999</v>
      </c>
      <c r="AI293">
        <v>0.98499999999999999</v>
      </c>
      <c r="AJ293">
        <v>0.90983745000000005</v>
      </c>
      <c r="AK293">
        <v>1</v>
      </c>
      <c r="AL293">
        <v>0</v>
      </c>
      <c r="AM293">
        <v>0</v>
      </c>
      <c r="BB293" s="446">
        <v>1</v>
      </c>
      <c r="BC293">
        <v>1</v>
      </c>
      <c r="BD293">
        <v>1</v>
      </c>
      <c r="BE293">
        <v>1</v>
      </c>
      <c r="BF293">
        <v>0.99990000000000001</v>
      </c>
      <c r="BG293">
        <v>1</v>
      </c>
      <c r="BH293">
        <v>1</v>
      </c>
      <c r="BI293">
        <v>0.99</v>
      </c>
      <c r="BJ293">
        <v>0.999</v>
      </c>
      <c r="BK293">
        <v>0.998</v>
      </c>
      <c r="BL293">
        <v>0.99850000000000005</v>
      </c>
      <c r="BM293">
        <v>0.99850000000000005</v>
      </c>
      <c r="BN293">
        <v>0.97199999999999998</v>
      </c>
      <c r="BO293">
        <v>0.99990000000000001</v>
      </c>
      <c r="BP293">
        <v>0.99990000000000001</v>
      </c>
      <c r="BQ293">
        <v>1</v>
      </c>
      <c r="BR293">
        <v>1.1459425999999999</v>
      </c>
      <c r="BS293">
        <v>1.1466000000000001</v>
      </c>
      <c r="BT293">
        <v>1.0827</v>
      </c>
      <c r="BU293">
        <v>1.0336000000000001</v>
      </c>
      <c r="BV293">
        <v>1</v>
      </c>
      <c r="BW293">
        <v>2.8805999999999998</v>
      </c>
      <c r="BX293">
        <v>2.3669863329999998</v>
      </c>
      <c r="BY293">
        <v>1.2201500000000001</v>
      </c>
      <c r="BZ293">
        <v>1.2885</v>
      </c>
      <c r="CA293">
        <v>2.0009999999999999</v>
      </c>
      <c r="CB293">
        <v>1.6085050000000001</v>
      </c>
      <c r="CC293">
        <v>1.6085050000000001</v>
      </c>
      <c r="CD293">
        <v>1.318605</v>
      </c>
      <c r="CE293">
        <v>1.1267799999999999</v>
      </c>
      <c r="CF293">
        <v>1.5010049999999999</v>
      </c>
      <c r="CG293" s="332"/>
      <c r="CH293">
        <v>1.109845</v>
      </c>
      <c r="CI293" s="332"/>
      <c r="CJ293" s="332"/>
      <c r="CK293" s="332"/>
      <c r="CL293" s="332"/>
      <c r="CM293" s="332"/>
      <c r="CN293" s="332"/>
      <c r="CO293" s="332"/>
      <c r="CP293">
        <v>0.89500000000000002</v>
      </c>
      <c r="CV293">
        <v>0.45</v>
      </c>
      <c r="CW293">
        <v>0.80500000000000005</v>
      </c>
      <c r="CX293">
        <v>0.73</v>
      </c>
      <c r="CZ293">
        <v>0.60499999999999998</v>
      </c>
      <c r="DA293">
        <v>0.63749999999999996</v>
      </c>
      <c r="DB293">
        <v>0.69</v>
      </c>
      <c r="DC293">
        <v>0.88</v>
      </c>
      <c r="DD293">
        <v>0.64</v>
      </c>
      <c r="DE293">
        <v>0.89</v>
      </c>
      <c r="DN293" s="332">
        <v>2.8499999999999999E-4</v>
      </c>
      <c r="DO293" s="332">
        <v>2.0000000000000001E-4</v>
      </c>
      <c r="DP293" s="332">
        <v>0</v>
      </c>
      <c r="DQ293" s="332">
        <v>1E-4</v>
      </c>
      <c r="DR293" s="332">
        <v>0</v>
      </c>
      <c r="DS293" s="332">
        <v>3.5999999999999999E-3</v>
      </c>
      <c r="DT293" s="332">
        <v>4.6999999999999999E-4</v>
      </c>
      <c r="DU293" s="332">
        <v>6.9999999999999999E-4</v>
      </c>
      <c r="DV293" s="332">
        <v>0</v>
      </c>
      <c r="DW293" s="332">
        <v>0</v>
      </c>
      <c r="DX293" s="332">
        <v>5.0000000000000001E-4</v>
      </c>
      <c r="DY293" s="332">
        <v>5.0000000000000001E-4</v>
      </c>
      <c r="DZ293" s="332">
        <v>2.9999999999999997E-4</v>
      </c>
      <c r="EA293" s="332">
        <v>2.7500000000000002E-4</v>
      </c>
      <c r="EB293" s="332">
        <v>4.0000000000000002E-4</v>
      </c>
      <c r="ED293" s="332">
        <v>6.4999999999999994E-5</v>
      </c>
      <c r="EF293">
        <v>1</v>
      </c>
    </row>
    <row r="294" spans="1:136" x14ac:dyDescent="0.25">
      <c r="A294" s="66">
        <v>45323</v>
      </c>
      <c r="B294">
        <v>0.98</v>
      </c>
      <c r="C294">
        <v>0</v>
      </c>
      <c r="E294">
        <v>0</v>
      </c>
      <c r="F294">
        <v>0</v>
      </c>
      <c r="G294">
        <v>0</v>
      </c>
      <c r="H294">
        <v>0.98750000000000004</v>
      </c>
      <c r="I294">
        <v>0.98750000000000004</v>
      </c>
      <c r="J294">
        <v>0.98050000000000004</v>
      </c>
      <c r="K294">
        <v>0</v>
      </c>
      <c r="L294" s="333">
        <v>0.98750000000000004</v>
      </c>
      <c r="M294" s="333">
        <v>0.98750000000000004</v>
      </c>
      <c r="N294">
        <v>0.93642254999999996</v>
      </c>
      <c r="O294">
        <v>0.98750000000000004</v>
      </c>
      <c r="P294">
        <v>0.93642254999999996</v>
      </c>
      <c r="Q294" s="328">
        <v>0.98750000000000004</v>
      </c>
      <c r="R294">
        <v>0.98750000000000004</v>
      </c>
      <c r="S294" s="333">
        <v>0.98750000000000004</v>
      </c>
      <c r="T294">
        <v>0.93642254999999996</v>
      </c>
      <c r="U294">
        <v>0.93642254999999996</v>
      </c>
      <c r="V294">
        <v>0.93642254999999996</v>
      </c>
      <c r="W294">
        <v>0.93642254999999996</v>
      </c>
      <c r="X294">
        <v>0.98750000000000004</v>
      </c>
      <c r="Y294">
        <v>0.98750000000000004</v>
      </c>
      <c r="Z294">
        <v>0.98750000000000004</v>
      </c>
      <c r="AA294">
        <v>0.98750000000000004</v>
      </c>
      <c r="AB294">
        <v>0.93642254999999996</v>
      </c>
      <c r="AC294">
        <v>0.93642254999999996</v>
      </c>
      <c r="AD294">
        <v>0.98750000000000004</v>
      </c>
      <c r="AE294">
        <v>0.98750000000000004</v>
      </c>
      <c r="AF294">
        <v>0.93642254999999996</v>
      </c>
      <c r="AG294">
        <v>0.98</v>
      </c>
      <c r="AH294">
        <v>0.98499999999999999</v>
      </c>
      <c r="AI294">
        <v>0.98499999999999999</v>
      </c>
      <c r="AJ294">
        <v>0.93642254999999996</v>
      </c>
      <c r="AK294">
        <v>1</v>
      </c>
      <c r="AL294">
        <v>0</v>
      </c>
      <c r="AM294">
        <v>0</v>
      </c>
      <c r="BB294" s="446">
        <v>1</v>
      </c>
      <c r="BC294">
        <v>1</v>
      </c>
      <c r="BD294">
        <v>1</v>
      </c>
      <c r="BE294">
        <v>1</v>
      </c>
      <c r="BF294">
        <v>0.99990000000000001</v>
      </c>
      <c r="BG294">
        <v>1</v>
      </c>
      <c r="BH294">
        <v>1</v>
      </c>
      <c r="BI294">
        <v>0.99</v>
      </c>
      <c r="BJ294">
        <v>0.999</v>
      </c>
      <c r="BK294">
        <v>0.998</v>
      </c>
      <c r="BL294">
        <v>0.99850000000000005</v>
      </c>
      <c r="BM294">
        <v>0.99850000000000005</v>
      </c>
      <c r="BN294">
        <v>0.97199999999999998</v>
      </c>
      <c r="BO294">
        <v>0.99990000000000001</v>
      </c>
      <c r="BP294">
        <v>0.99990000000000001</v>
      </c>
      <c r="BQ294">
        <v>1</v>
      </c>
      <c r="BR294">
        <v>1.1462276</v>
      </c>
      <c r="BS294">
        <v>1.1468</v>
      </c>
      <c r="BT294">
        <v>1.0827</v>
      </c>
      <c r="BU294">
        <v>1.0337000000000001</v>
      </c>
      <c r="BV294">
        <v>1</v>
      </c>
      <c r="BW294">
        <v>2.8841999999999999</v>
      </c>
      <c r="BX294">
        <v>2.3674563329999998</v>
      </c>
      <c r="BY294">
        <v>1.22085</v>
      </c>
      <c r="BZ294">
        <v>1.2885</v>
      </c>
      <c r="CA294">
        <v>2.0009999999999999</v>
      </c>
      <c r="CB294">
        <v>1.609005</v>
      </c>
      <c r="CC294">
        <v>1.609005</v>
      </c>
      <c r="CD294">
        <v>1.318905</v>
      </c>
      <c r="CE294">
        <v>1.1270549999999999</v>
      </c>
      <c r="CF294">
        <v>1.5014050000000001</v>
      </c>
      <c r="CG294" s="332"/>
      <c r="CH294">
        <v>1.10991</v>
      </c>
      <c r="CI294" s="332"/>
      <c r="CJ294" s="332"/>
      <c r="CK294" s="332"/>
      <c r="CL294" s="332"/>
      <c r="CM294" s="332"/>
      <c r="CN294" s="332"/>
      <c r="CO294" s="332"/>
      <c r="CP294">
        <v>0.86499999999999999</v>
      </c>
      <c r="CV294">
        <v>0.45</v>
      </c>
      <c r="CW294">
        <v>0.84499999999999997</v>
      </c>
      <c r="CX294">
        <v>0.83499999999999996</v>
      </c>
      <c r="CZ294">
        <v>0.63500000000000001</v>
      </c>
      <c r="DA294">
        <v>0.66749999999999998</v>
      </c>
      <c r="DB294">
        <v>0.71</v>
      </c>
      <c r="DC294">
        <v>0.87749999999999995</v>
      </c>
      <c r="DD294">
        <v>0.67</v>
      </c>
      <c r="DE294">
        <v>0.89</v>
      </c>
      <c r="DN294" s="332">
        <v>2.8499999999999999E-4</v>
      </c>
      <c r="DO294" s="332">
        <v>2.0000000000000001E-4</v>
      </c>
      <c r="DP294" s="332">
        <v>0</v>
      </c>
      <c r="DQ294" s="332">
        <v>1E-4</v>
      </c>
      <c r="DR294" s="332">
        <v>0</v>
      </c>
      <c r="DS294" s="332">
        <v>3.5999999999999999E-3</v>
      </c>
      <c r="DT294" s="332">
        <v>4.6999999999999999E-4</v>
      </c>
      <c r="DU294" s="332">
        <v>6.9999999999999999E-4</v>
      </c>
      <c r="DV294" s="332">
        <v>0</v>
      </c>
      <c r="DW294" s="332">
        <v>0</v>
      </c>
      <c r="DX294" s="332">
        <v>5.0000000000000001E-4</v>
      </c>
      <c r="DY294" s="332">
        <v>5.0000000000000001E-4</v>
      </c>
      <c r="DZ294" s="332">
        <v>2.9999999999999997E-4</v>
      </c>
      <c r="EA294" s="332">
        <v>2.7500000000000002E-4</v>
      </c>
      <c r="EB294" s="332">
        <v>4.0000000000000002E-4</v>
      </c>
      <c r="ED294" s="332">
        <v>6.4999999999999994E-5</v>
      </c>
      <c r="EF294">
        <v>1</v>
      </c>
    </row>
    <row r="295" spans="1:136" x14ac:dyDescent="0.25">
      <c r="A295" s="66">
        <v>45352</v>
      </c>
      <c r="B295">
        <v>0.98</v>
      </c>
      <c r="C295">
        <v>0</v>
      </c>
      <c r="E295">
        <v>0</v>
      </c>
      <c r="F295">
        <v>0</v>
      </c>
      <c r="G295">
        <v>0</v>
      </c>
      <c r="H295">
        <v>0.98750000000000004</v>
      </c>
      <c r="I295">
        <v>0.98750000000000004</v>
      </c>
      <c r="J295">
        <v>0.98050000000000004</v>
      </c>
      <c r="K295">
        <v>0</v>
      </c>
      <c r="L295" s="333">
        <v>0.98750000000000004</v>
      </c>
      <c r="M295" s="333">
        <v>0.98750000000000004</v>
      </c>
      <c r="N295">
        <v>0.98</v>
      </c>
      <c r="O295">
        <v>0.98750000000000004</v>
      </c>
      <c r="P295">
        <v>0.98</v>
      </c>
      <c r="Q295" s="328">
        <v>0.98750000000000004</v>
      </c>
      <c r="R295">
        <v>0.98750000000000004</v>
      </c>
      <c r="S295" s="333">
        <v>0.98750000000000004</v>
      </c>
      <c r="T295">
        <v>0.98</v>
      </c>
      <c r="U295">
        <v>0.98</v>
      </c>
      <c r="V295">
        <v>0.98</v>
      </c>
      <c r="W295">
        <v>0.98</v>
      </c>
      <c r="X295">
        <v>0.98750000000000004</v>
      </c>
      <c r="Y295">
        <v>0.98750000000000004</v>
      </c>
      <c r="Z295">
        <v>0.98750000000000004</v>
      </c>
      <c r="AA295">
        <v>0.98750000000000004</v>
      </c>
      <c r="AB295">
        <v>0.98</v>
      </c>
      <c r="AC295">
        <v>0.98</v>
      </c>
      <c r="AD295">
        <v>0.98750000000000004</v>
      </c>
      <c r="AE295">
        <v>0.98750000000000004</v>
      </c>
      <c r="AF295">
        <v>0.98</v>
      </c>
      <c r="AG295">
        <v>0.99</v>
      </c>
      <c r="AH295">
        <v>0.98499999999999999</v>
      </c>
      <c r="AI295">
        <v>0.98499999999999999</v>
      </c>
      <c r="AJ295">
        <v>0.98</v>
      </c>
      <c r="AK295">
        <v>1</v>
      </c>
      <c r="AL295">
        <v>0</v>
      </c>
      <c r="AM295">
        <v>0</v>
      </c>
      <c r="BB295" s="446">
        <v>1</v>
      </c>
      <c r="BC295">
        <v>1</v>
      </c>
      <c r="BD295">
        <v>1</v>
      </c>
      <c r="BE295">
        <v>1</v>
      </c>
      <c r="BF295">
        <v>0.99990000000000001</v>
      </c>
      <c r="BG295">
        <v>1</v>
      </c>
      <c r="BH295">
        <v>1</v>
      </c>
      <c r="BI295">
        <v>0.99</v>
      </c>
      <c r="BJ295">
        <v>0.999</v>
      </c>
      <c r="BK295">
        <v>0.998</v>
      </c>
      <c r="BL295">
        <v>0.99850000000000005</v>
      </c>
      <c r="BM295">
        <v>0.99850000000000005</v>
      </c>
      <c r="BN295">
        <v>0.97199999999999998</v>
      </c>
      <c r="BO295">
        <v>0.99990000000000001</v>
      </c>
      <c r="BP295">
        <v>0.99990000000000001</v>
      </c>
      <c r="BQ295">
        <v>1</v>
      </c>
      <c r="BR295">
        <v>1.1465126000000001</v>
      </c>
      <c r="BS295">
        <v>1.147</v>
      </c>
      <c r="BT295">
        <v>1.0827</v>
      </c>
      <c r="BU295">
        <v>1.0338000000000001</v>
      </c>
      <c r="BV295">
        <v>1</v>
      </c>
      <c r="BW295">
        <v>2.8877999999999999</v>
      </c>
      <c r="BX295">
        <v>2.3679263330000002</v>
      </c>
      <c r="BY295">
        <v>1.2215499999999999</v>
      </c>
      <c r="BZ295">
        <v>1.2885</v>
      </c>
      <c r="CA295">
        <v>2.0009999999999999</v>
      </c>
      <c r="CB295">
        <v>1.609505</v>
      </c>
      <c r="CC295">
        <v>1.609505</v>
      </c>
      <c r="CD295">
        <v>1.319205</v>
      </c>
      <c r="CE295">
        <v>1.1273299999999999</v>
      </c>
      <c r="CF295">
        <v>1.5018050000000001</v>
      </c>
      <c r="CG295" s="332"/>
      <c r="CH295">
        <v>1.1099749999999999</v>
      </c>
      <c r="CI295" s="332"/>
      <c r="CJ295" s="332"/>
      <c r="CK295" s="332"/>
      <c r="CL295" s="332"/>
      <c r="CM295" s="332"/>
      <c r="CN295" s="332"/>
      <c r="CO295" s="332"/>
      <c r="CP295">
        <v>0.86499999999999999</v>
      </c>
      <c r="CV295">
        <v>0.45</v>
      </c>
      <c r="CW295">
        <v>0.875</v>
      </c>
      <c r="CX295">
        <v>1</v>
      </c>
      <c r="CZ295">
        <v>0.78500000000000003</v>
      </c>
      <c r="DA295">
        <v>0.8175</v>
      </c>
      <c r="DB295">
        <v>0.8</v>
      </c>
      <c r="DC295">
        <v>0.9</v>
      </c>
      <c r="DD295">
        <v>0.83</v>
      </c>
      <c r="DE295">
        <v>0.89</v>
      </c>
      <c r="DN295" s="332">
        <v>2.8499999999999999E-4</v>
      </c>
      <c r="DO295" s="332">
        <v>2.0000000000000001E-4</v>
      </c>
      <c r="DP295" s="332">
        <v>0</v>
      </c>
      <c r="DQ295" s="332">
        <v>1E-4</v>
      </c>
      <c r="DR295" s="332">
        <v>0</v>
      </c>
      <c r="DS295" s="332">
        <v>3.5999999999999999E-3</v>
      </c>
      <c r="DT295" s="332">
        <v>4.6999999999999999E-4</v>
      </c>
      <c r="DU295" s="332">
        <v>6.9999999999999999E-4</v>
      </c>
      <c r="DV295" s="332">
        <v>0</v>
      </c>
      <c r="DW295" s="332">
        <v>0</v>
      </c>
      <c r="DX295" s="332">
        <v>5.0000000000000001E-4</v>
      </c>
      <c r="DY295" s="332">
        <v>5.0000000000000001E-4</v>
      </c>
      <c r="DZ295" s="332">
        <v>2.9999999999999997E-4</v>
      </c>
      <c r="EA295" s="332">
        <v>2.7500000000000002E-4</v>
      </c>
      <c r="EB295" s="332">
        <v>4.0000000000000002E-4</v>
      </c>
      <c r="ED295" s="332">
        <v>6.4999999999999994E-5</v>
      </c>
      <c r="EF295">
        <v>1</v>
      </c>
    </row>
    <row r="296" spans="1:136" x14ac:dyDescent="0.25">
      <c r="A296" s="66">
        <v>45383</v>
      </c>
      <c r="B296">
        <v>0.98</v>
      </c>
      <c r="C296">
        <v>0</v>
      </c>
      <c r="E296">
        <v>0</v>
      </c>
      <c r="F296">
        <v>0</v>
      </c>
      <c r="G296">
        <v>0</v>
      </c>
      <c r="H296">
        <v>0.98750000000000004</v>
      </c>
      <c r="I296">
        <v>0.98750000000000004</v>
      </c>
      <c r="J296">
        <v>0.98050000000000004</v>
      </c>
      <c r="K296">
        <v>0</v>
      </c>
      <c r="L296" s="333">
        <v>0.98750000000000004</v>
      </c>
      <c r="M296" s="333">
        <v>0.98750000000000004</v>
      </c>
      <c r="N296">
        <v>0.98</v>
      </c>
      <c r="O296">
        <v>0.98750000000000004</v>
      </c>
      <c r="P296">
        <v>0.98</v>
      </c>
      <c r="Q296" s="328">
        <v>0.98750000000000004</v>
      </c>
      <c r="R296">
        <v>0.98750000000000004</v>
      </c>
      <c r="S296" s="333">
        <v>0.98750000000000004</v>
      </c>
      <c r="T296">
        <v>0.98</v>
      </c>
      <c r="U296">
        <v>0.98</v>
      </c>
      <c r="V296">
        <v>0.98</v>
      </c>
      <c r="W296">
        <v>0.98</v>
      </c>
      <c r="X296">
        <v>0.98750000000000004</v>
      </c>
      <c r="Y296">
        <v>0.98750000000000004</v>
      </c>
      <c r="Z296">
        <v>0.98750000000000004</v>
      </c>
      <c r="AA296">
        <v>0.98750000000000004</v>
      </c>
      <c r="AB296">
        <v>0.98</v>
      </c>
      <c r="AC296">
        <v>0.98</v>
      </c>
      <c r="AD296">
        <v>0.98750000000000004</v>
      </c>
      <c r="AE296">
        <v>0.98750000000000004</v>
      </c>
      <c r="AF296">
        <v>0.98</v>
      </c>
      <c r="AG296">
        <v>0.99</v>
      </c>
      <c r="AH296">
        <v>0.98499999999999999</v>
      </c>
      <c r="AI296">
        <v>0.98499999999999999</v>
      </c>
      <c r="AJ296">
        <v>0.98</v>
      </c>
      <c r="AK296">
        <v>1</v>
      </c>
      <c r="AL296">
        <v>0</v>
      </c>
      <c r="AM296">
        <v>0</v>
      </c>
      <c r="BB296" s="446">
        <v>1</v>
      </c>
      <c r="BC296">
        <v>1</v>
      </c>
      <c r="BD296">
        <v>1</v>
      </c>
      <c r="BE296">
        <v>1</v>
      </c>
      <c r="BF296">
        <v>0.99990000000000001</v>
      </c>
      <c r="BG296">
        <v>1</v>
      </c>
      <c r="BH296">
        <v>1</v>
      </c>
      <c r="BI296">
        <v>0.99</v>
      </c>
      <c r="BJ296">
        <v>0.999</v>
      </c>
      <c r="BK296">
        <v>0.998</v>
      </c>
      <c r="BL296">
        <v>0.99850000000000005</v>
      </c>
      <c r="BM296">
        <v>0.99850000000000005</v>
      </c>
      <c r="BN296">
        <v>0.97199999999999998</v>
      </c>
      <c r="BO296">
        <v>0.99990000000000001</v>
      </c>
      <c r="BP296">
        <v>0.99990000000000001</v>
      </c>
      <c r="BQ296">
        <v>1</v>
      </c>
      <c r="BR296">
        <v>1.1467976</v>
      </c>
      <c r="BS296">
        <v>1.1472</v>
      </c>
      <c r="BT296">
        <v>1.0827</v>
      </c>
      <c r="BU296">
        <v>1.0339</v>
      </c>
      <c r="BV296">
        <v>1</v>
      </c>
      <c r="BW296">
        <v>2.8914</v>
      </c>
      <c r="BX296">
        <v>2.3683963330000002</v>
      </c>
      <c r="BY296">
        <v>1.2222500000000001</v>
      </c>
      <c r="BZ296">
        <v>1.2885</v>
      </c>
      <c r="CA296">
        <v>2.0009999999999999</v>
      </c>
      <c r="CB296">
        <v>1.6100049999999999</v>
      </c>
      <c r="CC296">
        <v>1.6100049999999999</v>
      </c>
      <c r="CD296">
        <v>1.3195049999999999</v>
      </c>
      <c r="CE296">
        <v>1.127605</v>
      </c>
      <c r="CF296">
        <v>1.502205</v>
      </c>
      <c r="CG296" s="332"/>
      <c r="CH296">
        <v>1.1100399999999999</v>
      </c>
      <c r="CI296" s="332"/>
      <c r="CJ296" s="332"/>
      <c r="CK296" s="332"/>
      <c r="CL296" s="332"/>
      <c r="CM296" s="332"/>
      <c r="CN296" s="332"/>
      <c r="CO296" s="332"/>
      <c r="CP296">
        <v>0.89500000000000002</v>
      </c>
      <c r="CV296">
        <v>0.42</v>
      </c>
      <c r="CW296">
        <v>0.93500000000000005</v>
      </c>
      <c r="CX296">
        <v>0.995</v>
      </c>
      <c r="CZ296">
        <v>0.89500000000000002</v>
      </c>
      <c r="DA296">
        <v>0.92749999999999999</v>
      </c>
      <c r="DB296">
        <v>0.85</v>
      </c>
      <c r="DC296">
        <v>0.90300000000000002</v>
      </c>
      <c r="DD296">
        <v>0.92</v>
      </c>
      <c r="DE296">
        <v>0.89</v>
      </c>
      <c r="DN296" s="332">
        <v>2.8499999999999999E-4</v>
      </c>
      <c r="DO296" s="332">
        <v>2.0000000000000001E-4</v>
      </c>
      <c r="DP296" s="332">
        <v>0</v>
      </c>
      <c r="DQ296" s="332">
        <v>1E-4</v>
      </c>
      <c r="DR296" s="332">
        <v>0</v>
      </c>
      <c r="DS296" s="332">
        <v>3.5999999999999999E-3</v>
      </c>
      <c r="DT296" s="332">
        <v>4.6999999999999999E-4</v>
      </c>
      <c r="DU296" s="332">
        <v>6.9999999999999999E-4</v>
      </c>
      <c r="DV296" s="332">
        <v>0</v>
      </c>
      <c r="DW296" s="332">
        <v>0</v>
      </c>
      <c r="DX296" s="332">
        <v>5.0000000000000001E-4</v>
      </c>
      <c r="DY296" s="332">
        <v>5.0000000000000001E-4</v>
      </c>
      <c r="DZ296" s="332">
        <v>2.9999999999999997E-4</v>
      </c>
      <c r="EA296" s="332">
        <v>2.7500000000000002E-4</v>
      </c>
      <c r="EB296" s="332">
        <v>4.0000000000000002E-4</v>
      </c>
      <c r="ED296" s="332">
        <v>6.4999999999999994E-5</v>
      </c>
      <c r="EF296">
        <v>1</v>
      </c>
    </row>
    <row r="297" spans="1:136" x14ac:dyDescent="0.25">
      <c r="A297" s="66">
        <v>45413</v>
      </c>
      <c r="B297">
        <v>0.98</v>
      </c>
      <c r="C297">
        <v>0</v>
      </c>
      <c r="E297">
        <v>0</v>
      </c>
      <c r="F297">
        <v>0</v>
      </c>
      <c r="G297">
        <v>0</v>
      </c>
      <c r="H297">
        <v>0.98750000000000004</v>
      </c>
      <c r="I297">
        <v>0.98750000000000004</v>
      </c>
      <c r="J297">
        <v>0.98050000000000004</v>
      </c>
      <c r="K297">
        <v>0</v>
      </c>
      <c r="L297" s="333">
        <v>0.98750000000000004</v>
      </c>
      <c r="M297" s="333">
        <v>0.98750000000000004</v>
      </c>
      <c r="N297">
        <v>0.98</v>
      </c>
      <c r="O297">
        <v>0.98750000000000004</v>
      </c>
      <c r="P297">
        <v>0.98</v>
      </c>
      <c r="Q297" s="328">
        <v>0.98750000000000004</v>
      </c>
      <c r="R297">
        <v>0.98750000000000004</v>
      </c>
      <c r="S297" s="333">
        <v>0.98750000000000004</v>
      </c>
      <c r="T297">
        <v>0.98</v>
      </c>
      <c r="U297">
        <v>0.98</v>
      </c>
      <c r="V297">
        <v>0.98</v>
      </c>
      <c r="W297">
        <v>0.98</v>
      </c>
      <c r="X297">
        <v>0.98750000000000004</v>
      </c>
      <c r="Y297">
        <v>0.98750000000000004</v>
      </c>
      <c r="Z297">
        <v>0.98750000000000004</v>
      </c>
      <c r="AA297">
        <v>0.98750000000000004</v>
      </c>
      <c r="AB297">
        <v>0.98</v>
      </c>
      <c r="AC297">
        <v>0.98</v>
      </c>
      <c r="AD297">
        <v>0.98750000000000004</v>
      </c>
      <c r="AE297">
        <v>0.98750000000000004</v>
      </c>
      <c r="AF297">
        <v>0.98</v>
      </c>
      <c r="AG297">
        <v>0.99</v>
      </c>
      <c r="AH297">
        <v>0.98499999999999999</v>
      </c>
      <c r="AI297">
        <v>0.98499999999999999</v>
      </c>
      <c r="AJ297">
        <v>0.98</v>
      </c>
      <c r="AK297">
        <v>1</v>
      </c>
      <c r="AL297">
        <v>0</v>
      </c>
      <c r="AM297">
        <v>0</v>
      </c>
      <c r="BB297" s="446">
        <v>1</v>
      </c>
      <c r="BC297">
        <v>1</v>
      </c>
      <c r="BD297">
        <v>1</v>
      </c>
      <c r="BE297">
        <v>1</v>
      </c>
      <c r="BF297">
        <v>0.99990000000000001</v>
      </c>
      <c r="BG297">
        <v>1</v>
      </c>
      <c r="BH297">
        <v>1</v>
      </c>
      <c r="BI297">
        <v>0.99</v>
      </c>
      <c r="BJ297">
        <v>0.999</v>
      </c>
      <c r="BK297">
        <v>0.998</v>
      </c>
      <c r="BL297">
        <v>0.99850000000000005</v>
      </c>
      <c r="BM297">
        <v>0.99850000000000005</v>
      </c>
      <c r="BN297">
        <v>0.97199999999999998</v>
      </c>
      <c r="BO297">
        <v>0.99990000000000001</v>
      </c>
      <c r="BP297">
        <v>0.99990000000000001</v>
      </c>
      <c r="BQ297">
        <v>1</v>
      </c>
      <c r="BR297">
        <v>1.1470826000000001</v>
      </c>
      <c r="BS297">
        <v>1.1474</v>
      </c>
      <c r="BT297">
        <v>1.0827</v>
      </c>
      <c r="BU297">
        <v>1.034</v>
      </c>
      <c r="BV297">
        <v>1</v>
      </c>
      <c r="BW297">
        <v>2.895</v>
      </c>
      <c r="BX297">
        <v>2.3688663330000002</v>
      </c>
      <c r="BY297">
        <v>1.22295</v>
      </c>
      <c r="BZ297">
        <v>1.2885</v>
      </c>
      <c r="CA297">
        <v>2.0009999999999999</v>
      </c>
      <c r="CB297">
        <v>1.6105050000000001</v>
      </c>
      <c r="CC297">
        <v>1.6105050000000001</v>
      </c>
      <c r="CD297">
        <v>1.3198049999999999</v>
      </c>
      <c r="CE297">
        <v>1.12788</v>
      </c>
      <c r="CF297">
        <v>1.502605</v>
      </c>
      <c r="CG297" s="332"/>
      <c r="CH297">
        <v>1.1101049999999999</v>
      </c>
      <c r="CI297" s="332"/>
      <c r="CJ297" s="332"/>
      <c r="CK297" s="332"/>
      <c r="CL297" s="332"/>
      <c r="CM297" s="332"/>
      <c r="CN297" s="332"/>
      <c r="CO297" s="332"/>
      <c r="CP297">
        <v>0.96499999999999997</v>
      </c>
      <c r="CV297">
        <v>0.42</v>
      </c>
      <c r="CW297">
        <v>0.93500000000000005</v>
      </c>
      <c r="CX297">
        <v>0.89500000000000002</v>
      </c>
      <c r="CZ297">
        <v>0.91749999999999998</v>
      </c>
      <c r="DA297">
        <v>0.95</v>
      </c>
      <c r="DB297">
        <v>0.88</v>
      </c>
      <c r="DC297">
        <v>0.9</v>
      </c>
      <c r="DD297">
        <v>0.93500000000000005</v>
      </c>
      <c r="DE297">
        <v>0.89</v>
      </c>
      <c r="DN297" s="332">
        <v>2.8499999999999999E-4</v>
      </c>
      <c r="DO297" s="332">
        <v>2.0000000000000001E-4</v>
      </c>
      <c r="DP297" s="332">
        <v>0</v>
      </c>
      <c r="DQ297" s="332">
        <v>1E-4</v>
      </c>
      <c r="DR297" s="332">
        <v>0</v>
      </c>
      <c r="DS297" s="332">
        <v>3.5999999999999999E-3</v>
      </c>
      <c r="DT297" s="332">
        <v>4.6999999999999999E-4</v>
      </c>
      <c r="DU297" s="332">
        <v>6.9999999999999999E-4</v>
      </c>
      <c r="DV297" s="332">
        <v>0</v>
      </c>
      <c r="DW297" s="332">
        <v>0</v>
      </c>
      <c r="DX297" s="332">
        <v>5.0000000000000001E-4</v>
      </c>
      <c r="DY297" s="332">
        <v>5.0000000000000001E-4</v>
      </c>
      <c r="DZ297" s="332">
        <v>2.9999999999999997E-4</v>
      </c>
      <c r="EA297" s="332">
        <v>2.7500000000000002E-4</v>
      </c>
      <c r="EB297" s="332">
        <v>4.0000000000000002E-4</v>
      </c>
      <c r="ED297" s="332">
        <v>6.4999999999999994E-5</v>
      </c>
      <c r="EF297">
        <v>1</v>
      </c>
    </row>
    <row r="298" spans="1:136" x14ac:dyDescent="0.25">
      <c r="A298" s="66">
        <v>45444</v>
      </c>
      <c r="B298">
        <v>0.98</v>
      </c>
      <c r="C298">
        <v>0</v>
      </c>
      <c r="E298">
        <v>0</v>
      </c>
      <c r="F298">
        <v>0</v>
      </c>
      <c r="G298">
        <v>0</v>
      </c>
      <c r="H298">
        <v>0.98750000000000004</v>
      </c>
      <c r="I298">
        <v>0.98750000000000004</v>
      </c>
      <c r="J298">
        <v>0.98050000000000004</v>
      </c>
      <c r="K298">
        <v>0</v>
      </c>
      <c r="L298" s="333">
        <v>0.98750000000000004</v>
      </c>
      <c r="M298" s="333">
        <v>0.98750000000000004</v>
      </c>
      <c r="N298">
        <v>0.98</v>
      </c>
      <c r="O298">
        <v>0.98750000000000004</v>
      </c>
      <c r="P298">
        <v>0.98</v>
      </c>
      <c r="Q298" s="328">
        <v>0.98750000000000004</v>
      </c>
      <c r="R298">
        <v>0.98750000000000004</v>
      </c>
      <c r="S298" s="333">
        <v>0.98750000000000004</v>
      </c>
      <c r="T298">
        <v>0.98</v>
      </c>
      <c r="U298">
        <v>0.98</v>
      </c>
      <c r="V298">
        <v>0.98</v>
      </c>
      <c r="W298">
        <v>0.98</v>
      </c>
      <c r="X298">
        <v>0.98750000000000004</v>
      </c>
      <c r="Y298">
        <v>0.98750000000000004</v>
      </c>
      <c r="Z298">
        <v>0.98750000000000004</v>
      </c>
      <c r="AA298">
        <v>0.98750000000000004</v>
      </c>
      <c r="AB298">
        <v>0.98</v>
      </c>
      <c r="AC298">
        <v>0.98</v>
      </c>
      <c r="AD298">
        <v>0.98750000000000004</v>
      </c>
      <c r="AE298">
        <v>0.98750000000000004</v>
      </c>
      <c r="AF298">
        <v>0.98</v>
      </c>
      <c r="AG298">
        <v>0.99</v>
      </c>
      <c r="AH298">
        <v>0.98499999999999999</v>
      </c>
      <c r="AI298">
        <v>0.98499999999999999</v>
      </c>
      <c r="AJ298">
        <v>0.98</v>
      </c>
      <c r="AK298">
        <v>1</v>
      </c>
      <c r="AL298">
        <v>0</v>
      </c>
      <c r="AM298">
        <v>0</v>
      </c>
      <c r="BB298" s="446">
        <v>1</v>
      </c>
      <c r="BC298">
        <v>1</v>
      </c>
      <c r="BD298">
        <v>1</v>
      </c>
      <c r="BE298">
        <v>1</v>
      </c>
      <c r="BF298">
        <v>0.99990000000000001</v>
      </c>
      <c r="BG298">
        <v>1</v>
      </c>
      <c r="BH298">
        <v>1</v>
      </c>
      <c r="BI298">
        <v>0.99</v>
      </c>
      <c r="BJ298">
        <v>0.999</v>
      </c>
      <c r="BK298">
        <v>0.998</v>
      </c>
      <c r="BL298">
        <v>0.99850000000000005</v>
      </c>
      <c r="BM298">
        <v>0.99850000000000005</v>
      </c>
      <c r="BN298">
        <v>0.97199999999999998</v>
      </c>
      <c r="BO298">
        <v>0.99990000000000001</v>
      </c>
      <c r="BP298">
        <v>0.99990000000000001</v>
      </c>
      <c r="BQ298">
        <v>1</v>
      </c>
      <c r="BR298">
        <v>1.1473675999999999</v>
      </c>
      <c r="BS298">
        <v>1.1476</v>
      </c>
      <c r="BT298">
        <v>1.0827</v>
      </c>
      <c r="BU298">
        <v>1.0341</v>
      </c>
      <c r="BV298">
        <v>1</v>
      </c>
      <c r="BW298">
        <v>2.8986000000000001</v>
      </c>
      <c r="BX298">
        <v>2.3693363330000001</v>
      </c>
      <c r="BY298">
        <v>1.2236499999999999</v>
      </c>
      <c r="BZ298">
        <v>1.2885</v>
      </c>
      <c r="CA298">
        <v>2.0009999999999999</v>
      </c>
      <c r="CB298">
        <v>1.611005</v>
      </c>
      <c r="CC298">
        <v>1.611005</v>
      </c>
      <c r="CD298">
        <v>1.3201050000000001</v>
      </c>
      <c r="CE298">
        <v>1.128155</v>
      </c>
      <c r="CF298">
        <v>1.5030049999999999</v>
      </c>
      <c r="CG298" s="332"/>
      <c r="CH298">
        <v>1.1101700000000001</v>
      </c>
      <c r="CI298" s="332"/>
      <c r="CJ298" s="332"/>
      <c r="CK298" s="332"/>
      <c r="CL298" s="332"/>
      <c r="CM298" s="332"/>
      <c r="CN298" s="332"/>
      <c r="CO298" s="332"/>
      <c r="CP298">
        <v>0.96499999999999997</v>
      </c>
      <c r="CV298">
        <v>0.47</v>
      </c>
      <c r="CW298">
        <v>0.93500000000000005</v>
      </c>
      <c r="CX298">
        <v>0.80500000000000005</v>
      </c>
      <c r="CZ298">
        <v>0.88249999999999995</v>
      </c>
      <c r="DA298">
        <v>0.91500000000000004</v>
      </c>
      <c r="DB298">
        <v>0.88</v>
      </c>
      <c r="DC298">
        <v>0.90249999999999997</v>
      </c>
      <c r="DD298">
        <v>0.91500000000000004</v>
      </c>
      <c r="DE298">
        <v>0.89</v>
      </c>
      <c r="DN298" s="332">
        <v>2.8499999999999999E-4</v>
      </c>
      <c r="DO298" s="332">
        <v>2.0000000000000001E-4</v>
      </c>
      <c r="DP298" s="332">
        <v>0</v>
      </c>
      <c r="DQ298" s="332">
        <v>1E-4</v>
      </c>
      <c r="DR298" s="332">
        <v>0</v>
      </c>
      <c r="DS298" s="332">
        <v>3.5999999999999999E-3</v>
      </c>
      <c r="DT298" s="332">
        <v>4.6999999999999999E-4</v>
      </c>
      <c r="DU298" s="332">
        <v>6.9999999999999999E-4</v>
      </c>
      <c r="DV298" s="332">
        <v>0</v>
      </c>
      <c r="DW298" s="332">
        <v>0</v>
      </c>
      <c r="DX298" s="332">
        <v>5.0000000000000001E-4</v>
      </c>
      <c r="DY298" s="332">
        <v>5.0000000000000001E-4</v>
      </c>
      <c r="DZ298" s="332">
        <v>2.9999999999999997E-4</v>
      </c>
      <c r="EA298" s="332">
        <v>2.7500000000000002E-4</v>
      </c>
      <c r="EB298" s="332">
        <v>4.0000000000000002E-4</v>
      </c>
      <c r="ED298" s="332">
        <v>6.4999999999999994E-5</v>
      </c>
      <c r="EF298">
        <v>1</v>
      </c>
    </row>
    <row r="299" spans="1:136" x14ac:dyDescent="0.25">
      <c r="A299" s="66">
        <v>45474</v>
      </c>
      <c r="B299">
        <v>0.98</v>
      </c>
      <c r="C299">
        <v>0</v>
      </c>
      <c r="E299">
        <v>0</v>
      </c>
      <c r="F299">
        <v>0</v>
      </c>
      <c r="G299">
        <v>0</v>
      </c>
      <c r="H299">
        <v>0.98750000000000004</v>
      </c>
      <c r="I299">
        <v>0.98750000000000004</v>
      </c>
      <c r="J299">
        <v>0.98050000000000004</v>
      </c>
      <c r="K299">
        <v>0</v>
      </c>
      <c r="L299" s="333">
        <v>0.98750000000000004</v>
      </c>
      <c r="M299" s="333">
        <v>0.98750000000000004</v>
      </c>
      <c r="N299">
        <v>0.98</v>
      </c>
      <c r="O299">
        <v>0.98750000000000004</v>
      </c>
      <c r="P299">
        <v>0.98</v>
      </c>
      <c r="Q299" s="328">
        <v>0.98750000000000004</v>
      </c>
      <c r="AG299">
        <v>0.99</v>
      </c>
      <c r="AH299">
        <v>0.98499999999999999</v>
      </c>
      <c r="AI299">
        <v>0.98499999999999999</v>
      </c>
      <c r="AJ299">
        <v>0</v>
      </c>
      <c r="AK299">
        <v>1</v>
      </c>
      <c r="AL299">
        <v>0</v>
      </c>
      <c r="AM299">
        <v>0</v>
      </c>
      <c r="BB299" s="446">
        <v>1</v>
      </c>
      <c r="BC299">
        <v>1</v>
      </c>
      <c r="BD299">
        <v>1</v>
      </c>
      <c r="BE299">
        <v>1</v>
      </c>
      <c r="BF299">
        <v>0.99990000000000001</v>
      </c>
      <c r="BG299">
        <v>1</v>
      </c>
      <c r="BH299">
        <v>1</v>
      </c>
      <c r="BI299">
        <v>0.99</v>
      </c>
      <c r="BJ299">
        <v>0.999</v>
      </c>
      <c r="BK299">
        <v>0.998</v>
      </c>
      <c r="BL299">
        <v>0.99850000000000005</v>
      </c>
      <c r="BM299">
        <v>0.99850000000000005</v>
      </c>
      <c r="BN299">
        <v>0.97199999999999998</v>
      </c>
      <c r="BO299">
        <v>0.99990000000000001</v>
      </c>
      <c r="BP299">
        <v>0.99990000000000001</v>
      </c>
      <c r="BQ299">
        <v>1</v>
      </c>
      <c r="BR299">
        <v>1.1476526</v>
      </c>
      <c r="BS299">
        <v>1.1477999999999999</v>
      </c>
      <c r="BT299">
        <v>1.0827</v>
      </c>
      <c r="BU299">
        <v>1.0342</v>
      </c>
      <c r="BV299">
        <v>1</v>
      </c>
      <c r="BW299">
        <v>2.9022000000000001</v>
      </c>
      <c r="BX299">
        <v>2.3698063330000001</v>
      </c>
      <c r="BY299">
        <v>1.22435</v>
      </c>
      <c r="BZ299">
        <v>1.2885</v>
      </c>
      <c r="CA299">
        <v>2.0009999999999999</v>
      </c>
      <c r="CB299">
        <v>1.611505</v>
      </c>
      <c r="CC299">
        <v>1.611505</v>
      </c>
      <c r="CD299">
        <v>1.3204050000000001</v>
      </c>
      <c r="CE299">
        <v>1.12843</v>
      </c>
      <c r="CF299">
        <v>1.5034050000000001</v>
      </c>
      <c r="CH299">
        <v>1.1102350000000001</v>
      </c>
      <c r="CP299">
        <v>0.97499999999999998</v>
      </c>
      <c r="CV299">
        <v>0.47</v>
      </c>
      <c r="CW299">
        <v>0.93500000000000005</v>
      </c>
      <c r="CZ299">
        <v>0.87749999999999995</v>
      </c>
      <c r="DA299">
        <v>0.91</v>
      </c>
      <c r="DB299">
        <v>0.89</v>
      </c>
      <c r="DC299">
        <v>0.90749999999999997</v>
      </c>
      <c r="DD299">
        <v>0.91500000000000004</v>
      </c>
      <c r="DE299">
        <v>0.89</v>
      </c>
      <c r="DN299" s="332">
        <v>2.8499999999999999E-4</v>
      </c>
      <c r="DO299" s="332">
        <v>2.0000000000000001E-4</v>
      </c>
      <c r="DP299" s="332">
        <v>0</v>
      </c>
      <c r="DQ299" s="332">
        <v>1E-4</v>
      </c>
      <c r="DR299" s="332">
        <v>0</v>
      </c>
      <c r="DS299" s="332">
        <v>3.5999999999999999E-3</v>
      </c>
      <c r="DT299" s="332">
        <v>4.6999999999999999E-4</v>
      </c>
      <c r="DU299" s="332">
        <v>6.9999999999999999E-4</v>
      </c>
      <c r="DV299" s="332">
        <v>0</v>
      </c>
      <c r="DW299" s="332">
        <v>0</v>
      </c>
      <c r="DX299" s="332">
        <v>5.0000000000000001E-4</v>
      </c>
      <c r="DY299" s="332">
        <v>5.0000000000000001E-4</v>
      </c>
      <c r="DZ299" s="332">
        <v>2.9999999999999997E-4</v>
      </c>
      <c r="EA299" s="332">
        <v>2.7500000000000002E-4</v>
      </c>
      <c r="EB299" s="332">
        <v>4.0000000000000002E-4</v>
      </c>
      <c r="ED299" s="332">
        <v>6.4999999999999994E-5</v>
      </c>
      <c r="EF299">
        <v>1</v>
      </c>
    </row>
    <row r="300" spans="1:136" x14ac:dyDescent="0.25">
      <c r="A300" s="66">
        <v>45505</v>
      </c>
      <c r="B300">
        <v>0.98</v>
      </c>
      <c r="C300">
        <v>0</v>
      </c>
      <c r="E300">
        <v>0</v>
      </c>
      <c r="F300">
        <v>0</v>
      </c>
      <c r="G300">
        <v>0</v>
      </c>
      <c r="H300">
        <v>0.98750000000000004</v>
      </c>
      <c r="I300">
        <v>0.98750000000000004</v>
      </c>
      <c r="J300">
        <v>0.98050000000000004</v>
      </c>
      <c r="K300">
        <v>0</v>
      </c>
      <c r="L300" s="333">
        <v>0.98750000000000004</v>
      </c>
      <c r="M300" s="333">
        <v>0.98750000000000004</v>
      </c>
      <c r="N300">
        <v>0.98</v>
      </c>
      <c r="O300">
        <v>0.98750000000000004</v>
      </c>
      <c r="P300">
        <v>0.98</v>
      </c>
      <c r="Q300" s="328">
        <v>0.98750000000000004</v>
      </c>
      <c r="AG300">
        <v>0.99</v>
      </c>
      <c r="AH300">
        <v>0.98499999999999999</v>
      </c>
      <c r="AI300">
        <v>0.98499999999999999</v>
      </c>
      <c r="AJ300">
        <v>0</v>
      </c>
      <c r="AK300">
        <v>1</v>
      </c>
      <c r="AL300">
        <v>0</v>
      </c>
      <c r="AM300">
        <v>0</v>
      </c>
      <c r="BB300" s="446">
        <v>1</v>
      </c>
      <c r="BC300">
        <v>1</v>
      </c>
      <c r="BD300">
        <v>1</v>
      </c>
      <c r="BE300">
        <v>1</v>
      </c>
      <c r="BF300">
        <v>0.99990000000000001</v>
      </c>
      <c r="BG300">
        <v>1</v>
      </c>
      <c r="BH300">
        <v>1</v>
      </c>
      <c r="BI300">
        <v>0.99</v>
      </c>
      <c r="BJ300">
        <v>0.999</v>
      </c>
      <c r="BK300">
        <v>0.998</v>
      </c>
      <c r="BL300">
        <v>0.99850000000000005</v>
      </c>
      <c r="BM300">
        <v>0.99850000000000005</v>
      </c>
      <c r="BN300">
        <v>0.97199999999999998</v>
      </c>
      <c r="BO300">
        <v>0.99990000000000001</v>
      </c>
      <c r="BP300">
        <v>0.99990000000000001</v>
      </c>
      <c r="BQ300">
        <v>1</v>
      </c>
      <c r="BR300">
        <v>1.1479375999999999</v>
      </c>
      <c r="BS300">
        <v>1.1479999999999999</v>
      </c>
      <c r="BT300">
        <v>1.0827</v>
      </c>
      <c r="BU300">
        <v>1.0343</v>
      </c>
      <c r="BV300">
        <v>1</v>
      </c>
      <c r="BW300">
        <v>2.9058000000000002</v>
      </c>
      <c r="BX300">
        <v>2.3702763330000001</v>
      </c>
      <c r="BY300">
        <v>1.22505</v>
      </c>
      <c r="BZ300">
        <v>1.2885</v>
      </c>
      <c r="CA300">
        <v>2.0009999999999999</v>
      </c>
      <c r="CB300">
        <v>1.6120049999999999</v>
      </c>
      <c r="CC300">
        <v>1.6120049999999999</v>
      </c>
      <c r="CD300">
        <v>1.320705</v>
      </c>
      <c r="CE300">
        <v>1.1287050000000001</v>
      </c>
      <c r="CF300">
        <v>1.5038050000000001</v>
      </c>
      <c r="CH300">
        <v>1.1103000000000001</v>
      </c>
      <c r="CP300">
        <v>0.97499999999999998</v>
      </c>
      <c r="CV300">
        <v>0.52</v>
      </c>
      <c r="CW300">
        <v>0.92500000000000004</v>
      </c>
      <c r="CZ300">
        <v>0.89</v>
      </c>
      <c r="DA300">
        <v>0.92249999999999999</v>
      </c>
      <c r="DB300">
        <v>0.91500000000000004</v>
      </c>
      <c r="DC300">
        <v>0.92749999999999999</v>
      </c>
      <c r="DD300">
        <v>0.91500000000000004</v>
      </c>
      <c r="DE300">
        <v>0.89</v>
      </c>
      <c r="DN300" s="332">
        <v>2.8499999999999999E-4</v>
      </c>
      <c r="DO300" s="332">
        <v>2.0000000000000001E-4</v>
      </c>
      <c r="DP300" s="332">
        <v>0</v>
      </c>
      <c r="DQ300" s="332">
        <v>1E-4</v>
      </c>
      <c r="DR300" s="332">
        <v>0</v>
      </c>
      <c r="DS300" s="332">
        <v>3.5999999999999999E-3</v>
      </c>
      <c r="DT300" s="332">
        <v>4.6999999999999999E-4</v>
      </c>
      <c r="DU300" s="332">
        <v>6.9999999999999999E-4</v>
      </c>
      <c r="DV300" s="332">
        <v>0</v>
      </c>
      <c r="DW300" s="332">
        <v>0</v>
      </c>
      <c r="DX300" s="332">
        <v>5.0000000000000001E-4</v>
      </c>
      <c r="DY300" s="332">
        <v>5.0000000000000001E-4</v>
      </c>
      <c r="DZ300" s="332">
        <v>2.9999999999999997E-4</v>
      </c>
      <c r="EA300" s="332">
        <v>2.7500000000000002E-4</v>
      </c>
      <c r="EB300" s="332">
        <v>4.0000000000000002E-4</v>
      </c>
      <c r="ED300" s="332">
        <v>6.4999999999999994E-5</v>
      </c>
      <c r="EF300">
        <v>1</v>
      </c>
    </row>
    <row r="301" spans="1:136" x14ac:dyDescent="0.25">
      <c r="A301" s="66">
        <v>45536</v>
      </c>
      <c r="B301">
        <v>0.98</v>
      </c>
      <c r="C301">
        <v>0</v>
      </c>
      <c r="E301">
        <v>0</v>
      </c>
      <c r="F301">
        <v>0</v>
      </c>
      <c r="G301">
        <v>0</v>
      </c>
      <c r="H301">
        <v>0.98750000000000004</v>
      </c>
      <c r="I301">
        <v>0.98750000000000004</v>
      </c>
      <c r="J301">
        <v>0.98050000000000004</v>
      </c>
      <c r="K301">
        <v>0</v>
      </c>
      <c r="L301" s="333">
        <v>0.98750000000000004</v>
      </c>
      <c r="M301" s="333">
        <v>0.98750000000000004</v>
      </c>
      <c r="N301">
        <v>0.98</v>
      </c>
      <c r="O301">
        <v>0.98750000000000004</v>
      </c>
      <c r="P301">
        <v>0.98</v>
      </c>
      <c r="Q301" s="328">
        <v>0.98750000000000004</v>
      </c>
      <c r="AG301">
        <v>0.99</v>
      </c>
      <c r="AH301">
        <v>0.98499999999999999</v>
      </c>
      <c r="AI301">
        <v>0.98499999999999999</v>
      </c>
      <c r="AJ301">
        <v>0</v>
      </c>
      <c r="AK301">
        <v>1</v>
      </c>
      <c r="AL301">
        <v>0</v>
      </c>
      <c r="AM301">
        <v>0</v>
      </c>
      <c r="BB301" s="446">
        <v>1</v>
      </c>
      <c r="BC301">
        <v>1</v>
      </c>
      <c r="BD301">
        <v>1</v>
      </c>
      <c r="BE301">
        <v>1</v>
      </c>
      <c r="BF301">
        <v>0.99990000000000001</v>
      </c>
      <c r="BG301">
        <v>1</v>
      </c>
      <c r="BH301">
        <v>1</v>
      </c>
      <c r="BI301">
        <v>0.99</v>
      </c>
      <c r="BJ301">
        <v>0.999</v>
      </c>
      <c r="BK301">
        <v>0.998</v>
      </c>
      <c r="BL301">
        <v>0.99850000000000005</v>
      </c>
      <c r="BM301">
        <v>0.99850000000000005</v>
      </c>
      <c r="BN301">
        <v>0.97199999999999998</v>
      </c>
      <c r="BO301">
        <v>0.99990000000000001</v>
      </c>
      <c r="BP301">
        <v>0.99990000000000001</v>
      </c>
      <c r="BQ301">
        <v>1</v>
      </c>
      <c r="BR301">
        <v>1.1482226</v>
      </c>
      <c r="BS301">
        <v>1.1482000000000001</v>
      </c>
      <c r="BT301">
        <v>1.0827</v>
      </c>
      <c r="BU301">
        <v>1.0344</v>
      </c>
      <c r="BV301">
        <v>1</v>
      </c>
      <c r="BW301">
        <v>2.9094000000000002</v>
      </c>
      <c r="BX301">
        <v>2.370746333</v>
      </c>
      <c r="BY301">
        <v>1.2257499999999999</v>
      </c>
      <c r="BZ301">
        <v>1.2885</v>
      </c>
      <c r="CA301">
        <v>2.0009999999999999</v>
      </c>
      <c r="CB301">
        <v>1.6125050000000001</v>
      </c>
      <c r="CC301">
        <v>1.6125050000000001</v>
      </c>
      <c r="CD301">
        <v>1.321005</v>
      </c>
      <c r="CE301">
        <v>1.1289800000000001</v>
      </c>
      <c r="CF301">
        <v>1.504205</v>
      </c>
      <c r="CH301">
        <v>1.110365</v>
      </c>
      <c r="CP301">
        <v>0.97499999999999998</v>
      </c>
      <c r="CV301">
        <v>0.55000000000000004</v>
      </c>
      <c r="CW301">
        <v>0.92500000000000004</v>
      </c>
      <c r="CZ301">
        <v>0.94499999999999995</v>
      </c>
      <c r="DA301">
        <v>0.97750000000000004</v>
      </c>
      <c r="DB301">
        <v>0.94499999999999995</v>
      </c>
      <c r="DC301">
        <v>0.92</v>
      </c>
      <c r="DD301">
        <v>0.91500000000000004</v>
      </c>
      <c r="DE301">
        <v>0.89</v>
      </c>
      <c r="DN301" s="332">
        <v>2.8499999999999999E-4</v>
      </c>
      <c r="DO301" s="332">
        <v>2.0000000000000001E-4</v>
      </c>
      <c r="DP301" s="332">
        <v>0</v>
      </c>
      <c r="DQ301" s="332">
        <v>1E-4</v>
      </c>
      <c r="DR301" s="332">
        <v>0</v>
      </c>
      <c r="DS301" s="332">
        <v>3.5999999999999999E-3</v>
      </c>
      <c r="DT301" s="332">
        <v>4.6999999999999999E-4</v>
      </c>
      <c r="DU301" s="332">
        <v>6.9999999999999999E-4</v>
      </c>
      <c r="DV301" s="332">
        <v>0</v>
      </c>
      <c r="DW301" s="332">
        <v>0</v>
      </c>
      <c r="DX301" s="332">
        <v>5.0000000000000001E-4</v>
      </c>
      <c r="DY301" s="332">
        <v>5.0000000000000001E-4</v>
      </c>
      <c r="DZ301" s="332">
        <v>2.9999999999999997E-4</v>
      </c>
      <c r="EA301" s="332">
        <v>2.7500000000000002E-4</v>
      </c>
      <c r="EB301" s="332">
        <v>4.0000000000000002E-4</v>
      </c>
      <c r="ED301" s="332">
        <v>6.4999999999999994E-5</v>
      </c>
      <c r="EF301">
        <v>1</v>
      </c>
    </row>
    <row r="302" spans="1:136" x14ac:dyDescent="0.25">
      <c r="A302" s="66">
        <v>45566</v>
      </c>
      <c r="B302">
        <v>0.98</v>
      </c>
      <c r="C302">
        <v>0</v>
      </c>
      <c r="E302">
        <v>0</v>
      </c>
      <c r="F302">
        <v>0</v>
      </c>
      <c r="G302">
        <v>0</v>
      </c>
      <c r="H302">
        <v>0.98750000000000004</v>
      </c>
      <c r="I302">
        <v>0.98750000000000004</v>
      </c>
      <c r="J302">
        <v>0.98050000000000004</v>
      </c>
      <c r="K302">
        <v>0</v>
      </c>
      <c r="L302" s="333">
        <v>0.98750000000000004</v>
      </c>
      <c r="M302" s="333">
        <v>0.98750000000000004</v>
      </c>
      <c r="N302">
        <v>0.98</v>
      </c>
      <c r="O302">
        <v>0.98750000000000004</v>
      </c>
      <c r="P302">
        <v>0.98</v>
      </c>
      <c r="Q302" s="328">
        <v>0.98750000000000004</v>
      </c>
      <c r="AG302">
        <v>0.99</v>
      </c>
      <c r="AH302">
        <v>0.98499999999999999</v>
      </c>
      <c r="AI302">
        <v>0.98499999999999999</v>
      </c>
      <c r="AJ302">
        <v>0</v>
      </c>
      <c r="AK302">
        <v>1</v>
      </c>
      <c r="AL302">
        <v>0</v>
      </c>
      <c r="AM302">
        <v>0</v>
      </c>
      <c r="BB302" s="446">
        <v>1</v>
      </c>
      <c r="BC302">
        <v>1</v>
      </c>
      <c r="BD302">
        <v>1</v>
      </c>
      <c r="BE302">
        <v>1</v>
      </c>
      <c r="BF302">
        <v>0.99990000000000001</v>
      </c>
      <c r="BG302">
        <v>1</v>
      </c>
      <c r="BH302">
        <v>1</v>
      </c>
      <c r="BI302">
        <v>0.99</v>
      </c>
      <c r="BJ302">
        <v>0.999</v>
      </c>
      <c r="BK302">
        <v>0.998</v>
      </c>
      <c r="BL302">
        <v>0.99850000000000005</v>
      </c>
      <c r="BM302">
        <v>0.99850000000000005</v>
      </c>
      <c r="BN302">
        <v>0.97199999999999998</v>
      </c>
      <c r="BO302">
        <v>0.99990000000000001</v>
      </c>
      <c r="BP302">
        <v>0.99990000000000001</v>
      </c>
      <c r="BQ302">
        <v>1</v>
      </c>
      <c r="BR302">
        <v>1.1485076000000001</v>
      </c>
      <c r="BS302">
        <v>1.1484000000000001</v>
      </c>
      <c r="BT302">
        <v>1.0827</v>
      </c>
      <c r="BU302">
        <v>1.0345</v>
      </c>
      <c r="BV302">
        <v>1</v>
      </c>
      <c r="BW302">
        <v>2.9129999999999998</v>
      </c>
      <c r="BX302">
        <v>2.371216333</v>
      </c>
      <c r="BY302">
        <v>1.22645</v>
      </c>
      <c r="BZ302">
        <v>1.2885</v>
      </c>
      <c r="CA302">
        <v>2.0009999999999999</v>
      </c>
      <c r="CB302">
        <v>1.613005</v>
      </c>
      <c r="CC302">
        <v>1.613005</v>
      </c>
      <c r="CD302">
        <v>1.321305</v>
      </c>
      <c r="CE302">
        <v>1.1292549999999999</v>
      </c>
      <c r="CF302">
        <v>1.504605</v>
      </c>
      <c r="CH302">
        <v>1.11043</v>
      </c>
      <c r="CP302">
        <v>0.95499999999999996</v>
      </c>
      <c r="CV302">
        <v>0.45</v>
      </c>
      <c r="CW302">
        <v>0.92500000000000004</v>
      </c>
      <c r="CZ302">
        <v>0.80500000000000005</v>
      </c>
      <c r="DA302">
        <v>0.83750000000000002</v>
      </c>
      <c r="DB302">
        <v>0.875</v>
      </c>
      <c r="DC302">
        <v>0.90249999999999997</v>
      </c>
      <c r="DD302">
        <v>0.82</v>
      </c>
      <c r="DE302">
        <v>0.89</v>
      </c>
      <c r="DN302" s="332">
        <v>2.8499999999999999E-4</v>
      </c>
      <c r="DO302" s="332">
        <v>2.0000000000000001E-4</v>
      </c>
      <c r="DP302" s="332">
        <v>0</v>
      </c>
      <c r="DQ302" s="332">
        <v>1E-4</v>
      </c>
      <c r="DR302" s="332">
        <v>0</v>
      </c>
      <c r="DS302" s="332">
        <v>3.5999999999999999E-3</v>
      </c>
      <c r="DT302" s="332">
        <v>4.6999999999999999E-4</v>
      </c>
      <c r="DU302" s="332">
        <v>6.9999999999999999E-4</v>
      </c>
      <c r="DV302" s="332">
        <v>0</v>
      </c>
      <c r="DW302" s="332">
        <v>0</v>
      </c>
      <c r="DX302" s="332">
        <v>5.0000000000000001E-4</v>
      </c>
      <c r="DY302" s="332">
        <v>5.0000000000000001E-4</v>
      </c>
      <c r="DZ302" s="332">
        <v>2.9999999999999997E-4</v>
      </c>
      <c r="EA302" s="332">
        <v>2.7500000000000002E-4</v>
      </c>
      <c r="EB302" s="332">
        <v>4.0000000000000002E-4</v>
      </c>
      <c r="ED302" s="332">
        <v>6.4999999999999994E-5</v>
      </c>
      <c r="EF302">
        <v>1</v>
      </c>
    </row>
    <row r="303" spans="1:136" x14ac:dyDescent="0.25">
      <c r="A303" s="66">
        <v>45597</v>
      </c>
      <c r="B303">
        <v>0.98</v>
      </c>
      <c r="C303">
        <v>0</v>
      </c>
      <c r="E303">
        <v>0</v>
      </c>
      <c r="F303">
        <v>0</v>
      </c>
      <c r="G303">
        <v>0</v>
      </c>
      <c r="H303">
        <v>0.98750000000000004</v>
      </c>
      <c r="I303">
        <v>0.98750000000000004</v>
      </c>
      <c r="J303">
        <v>0.98050000000000004</v>
      </c>
      <c r="K303">
        <v>0</v>
      </c>
      <c r="L303" s="333">
        <v>0.98750000000000004</v>
      </c>
      <c r="M303" s="333">
        <v>0.98750000000000004</v>
      </c>
      <c r="N303">
        <v>0.98</v>
      </c>
      <c r="O303">
        <v>0.98750000000000004</v>
      </c>
      <c r="P303">
        <v>0.98</v>
      </c>
      <c r="Q303" s="328">
        <v>0.98750000000000004</v>
      </c>
      <c r="AG303">
        <v>0.99</v>
      </c>
      <c r="AH303">
        <v>0.98499999999999999</v>
      </c>
      <c r="AI303">
        <v>0.98499999999999999</v>
      </c>
      <c r="AJ303">
        <v>0</v>
      </c>
      <c r="AK303">
        <v>1</v>
      </c>
      <c r="AL303">
        <v>0</v>
      </c>
      <c r="AM303">
        <v>0</v>
      </c>
      <c r="BB303" s="446">
        <v>1</v>
      </c>
      <c r="BC303">
        <v>1</v>
      </c>
      <c r="BD303">
        <v>1</v>
      </c>
      <c r="BE303">
        <v>1</v>
      </c>
      <c r="BF303">
        <v>0.99990000000000001</v>
      </c>
      <c r="BG303">
        <v>1</v>
      </c>
      <c r="BH303">
        <v>1</v>
      </c>
      <c r="BI303">
        <v>0.99</v>
      </c>
      <c r="BJ303">
        <v>0.999</v>
      </c>
      <c r="BK303">
        <v>0.998</v>
      </c>
      <c r="BL303">
        <v>0.99850000000000005</v>
      </c>
      <c r="BM303">
        <v>0.99850000000000005</v>
      </c>
      <c r="BN303">
        <v>0.97199999999999998</v>
      </c>
      <c r="BO303">
        <v>0.99990000000000001</v>
      </c>
      <c r="BP303">
        <v>0.99990000000000001</v>
      </c>
      <c r="BQ303">
        <v>1</v>
      </c>
      <c r="BR303">
        <v>1.1487925999999999</v>
      </c>
      <c r="BS303">
        <v>1.1486000000000001</v>
      </c>
      <c r="BT303">
        <v>1.0827</v>
      </c>
      <c r="BU303">
        <v>1.0346</v>
      </c>
      <c r="BV303">
        <v>1</v>
      </c>
      <c r="BW303">
        <v>2.9165999999999999</v>
      </c>
      <c r="BX303">
        <v>2.371686333</v>
      </c>
      <c r="BY303">
        <v>1.22715</v>
      </c>
      <c r="BZ303">
        <v>1.2885</v>
      </c>
      <c r="CA303">
        <v>2.0009999999999999</v>
      </c>
      <c r="CB303">
        <v>1.613505</v>
      </c>
      <c r="CC303">
        <v>1.613505</v>
      </c>
      <c r="CD303">
        <v>1.3216049999999999</v>
      </c>
      <c r="CE303">
        <v>1.1295299999999999</v>
      </c>
      <c r="CF303">
        <v>1.5050049999999999</v>
      </c>
      <c r="CH303">
        <v>1.110495</v>
      </c>
      <c r="CP303">
        <v>0.95499999999999996</v>
      </c>
      <c r="CV303">
        <v>0.46</v>
      </c>
      <c r="CW303">
        <v>0.90500000000000003</v>
      </c>
      <c r="CZ303">
        <v>0.79500000000000004</v>
      </c>
      <c r="DA303">
        <v>0.82750000000000001</v>
      </c>
      <c r="DB303">
        <v>0.85</v>
      </c>
      <c r="DC303">
        <v>0.90249999999999997</v>
      </c>
      <c r="DD303">
        <v>0.82</v>
      </c>
      <c r="DE303">
        <v>0.89</v>
      </c>
      <c r="DN303" s="332">
        <v>2.8499999999999999E-4</v>
      </c>
      <c r="DO303" s="332">
        <v>2.0000000000000001E-4</v>
      </c>
      <c r="DP303" s="332">
        <v>0</v>
      </c>
      <c r="DQ303" s="332">
        <v>1E-4</v>
      </c>
      <c r="DR303" s="332">
        <v>0</v>
      </c>
      <c r="DS303" s="332">
        <v>3.5999999999999999E-3</v>
      </c>
      <c r="DT303" s="332">
        <v>4.6999999999999999E-4</v>
      </c>
      <c r="DU303" s="332">
        <v>6.9999999999999999E-4</v>
      </c>
      <c r="DV303" s="332">
        <v>0</v>
      </c>
      <c r="DW303" s="332">
        <v>0</v>
      </c>
      <c r="DX303" s="332">
        <v>5.0000000000000001E-4</v>
      </c>
      <c r="DY303" s="332">
        <v>5.0000000000000001E-4</v>
      </c>
      <c r="DZ303" s="332">
        <v>2.9999999999999997E-4</v>
      </c>
      <c r="EA303" s="332">
        <v>2.7500000000000002E-4</v>
      </c>
      <c r="EB303" s="332">
        <v>4.0000000000000002E-4</v>
      </c>
      <c r="ED303" s="332">
        <v>6.4999999999999994E-5</v>
      </c>
      <c r="EF303">
        <v>1</v>
      </c>
    </row>
    <row r="304" spans="1:136" x14ac:dyDescent="0.25">
      <c r="A304" s="66">
        <v>45627</v>
      </c>
      <c r="B304">
        <v>0.98</v>
      </c>
      <c r="C304">
        <v>0</v>
      </c>
      <c r="E304">
        <v>0</v>
      </c>
      <c r="F304">
        <v>0</v>
      </c>
      <c r="G304">
        <v>0</v>
      </c>
      <c r="H304">
        <v>0.98750000000000004</v>
      </c>
      <c r="I304">
        <v>0.98750000000000004</v>
      </c>
      <c r="J304">
        <v>0.98050000000000004</v>
      </c>
      <c r="K304">
        <v>0</v>
      </c>
      <c r="L304" s="333">
        <v>0.95226295000000005</v>
      </c>
      <c r="M304" s="333">
        <v>0.98750000000000004</v>
      </c>
      <c r="N304">
        <v>0.91211445000000002</v>
      </c>
      <c r="O304">
        <v>0.98750000000000004</v>
      </c>
      <c r="P304">
        <v>0.91211445000000002</v>
      </c>
      <c r="Q304" s="328">
        <v>0.95226295000000005</v>
      </c>
      <c r="AG304">
        <v>0.98</v>
      </c>
      <c r="AH304">
        <v>0.98499999999999999</v>
      </c>
      <c r="AI304">
        <v>0.98499999999999999</v>
      </c>
      <c r="AJ304">
        <v>0</v>
      </c>
      <c r="AK304">
        <v>1</v>
      </c>
      <c r="AL304">
        <v>0</v>
      </c>
      <c r="AM304">
        <v>0</v>
      </c>
      <c r="BB304" s="446">
        <v>1</v>
      </c>
      <c r="BC304">
        <v>1</v>
      </c>
      <c r="BD304">
        <v>1</v>
      </c>
      <c r="BE304">
        <v>1</v>
      </c>
      <c r="BF304">
        <v>0.99990000000000001</v>
      </c>
      <c r="BG304">
        <v>1</v>
      </c>
      <c r="BH304">
        <v>1</v>
      </c>
      <c r="BI304">
        <v>0.99</v>
      </c>
      <c r="BJ304">
        <v>0.999</v>
      </c>
      <c r="BK304">
        <v>0.998</v>
      </c>
      <c r="BL304">
        <v>0.99850000000000005</v>
      </c>
      <c r="BM304">
        <v>0.99850000000000005</v>
      </c>
      <c r="BN304">
        <v>0.97199999999999998</v>
      </c>
      <c r="BO304">
        <v>0.99990000000000001</v>
      </c>
      <c r="BP304">
        <v>0.99990000000000001</v>
      </c>
      <c r="BQ304">
        <v>1</v>
      </c>
      <c r="BR304">
        <v>1.1490776</v>
      </c>
      <c r="BS304">
        <v>1.1488</v>
      </c>
      <c r="BT304">
        <v>1.0827</v>
      </c>
      <c r="BU304">
        <v>1.0347</v>
      </c>
      <c r="BV304">
        <v>1</v>
      </c>
      <c r="BW304">
        <v>2.9201999999999999</v>
      </c>
      <c r="BX304">
        <v>2.372156333</v>
      </c>
      <c r="BY304">
        <v>1.2278500000000001</v>
      </c>
      <c r="BZ304">
        <v>1.2885</v>
      </c>
      <c r="CA304">
        <v>2.0009999999999999</v>
      </c>
      <c r="CB304">
        <v>1.6140049999999999</v>
      </c>
      <c r="CC304">
        <v>1.6140049999999999</v>
      </c>
      <c r="CD304">
        <v>1.3219050000000001</v>
      </c>
      <c r="CE304">
        <v>1.1298049999999999</v>
      </c>
      <c r="CF304">
        <v>1.5054050000000001</v>
      </c>
      <c r="CH304">
        <v>1.11056</v>
      </c>
      <c r="CP304">
        <v>0.93500000000000005</v>
      </c>
      <c r="CV304">
        <v>0.48</v>
      </c>
      <c r="CW304">
        <v>0.875</v>
      </c>
      <c r="CZ304">
        <v>0.59</v>
      </c>
      <c r="DA304">
        <v>0.62250000000000005</v>
      </c>
      <c r="DB304">
        <v>0.69</v>
      </c>
      <c r="DC304">
        <v>0.89249999999999996</v>
      </c>
      <c r="DD304">
        <v>0.71499999999999997</v>
      </c>
      <c r="DE304">
        <v>0.89</v>
      </c>
      <c r="DN304" s="332">
        <v>2.8499999999999999E-4</v>
      </c>
      <c r="DO304" s="332">
        <v>2.0000000000000001E-4</v>
      </c>
      <c r="DP304" s="332">
        <v>0</v>
      </c>
      <c r="DQ304" s="332">
        <v>1E-4</v>
      </c>
      <c r="DR304" s="332">
        <v>0</v>
      </c>
      <c r="DS304" s="332">
        <v>3.5999999999999999E-3</v>
      </c>
      <c r="DT304" s="332">
        <v>4.6999999999999999E-4</v>
      </c>
      <c r="DU304" s="332">
        <v>6.9999999999999999E-4</v>
      </c>
      <c r="DV304" s="332">
        <v>0</v>
      </c>
      <c r="DW304" s="332">
        <v>0</v>
      </c>
      <c r="DX304" s="332">
        <v>5.0000000000000001E-4</v>
      </c>
      <c r="DY304" s="332">
        <v>5.0000000000000001E-4</v>
      </c>
      <c r="DZ304" s="332">
        <v>2.9999999999999997E-4</v>
      </c>
      <c r="EA304" s="332">
        <v>2.7500000000000002E-4</v>
      </c>
      <c r="EB304" s="332">
        <v>4.0000000000000002E-4</v>
      </c>
      <c r="ED304" s="332">
        <v>6.4999999999999994E-5</v>
      </c>
      <c r="EF304">
        <v>1</v>
      </c>
    </row>
    <row r="305" spans="2:136" x14ac:dyDescent="0.25">
      <c r="B305">
        <v>0.98</v>
      </c>
      <c r="C305">
        <v>0</v>
      </c>
      <c r="E305">
        <v>0</v>
      </c>
      <c r="F305">
        <v>0</v>
      </c>
      <c r="G305">
        <v>0</v>
      </c>
      <c r="H305">
        <v>0</v>
      </c>
      <c r="I305">
        <v>0</v>
      </c>
      <c r="J305">
        <v>0.98050000000000004</v>
      </c>
      <c r="K305">
        <v>0</v>
      </c>
      <c r="L305" s="333">
        <v>0</v>
      </c>
      <c r="M305" s="333">
        <v>0</v>
      </c>
      <c r="N305">
        <v>0</v>
      </c>
      <c r="O305">
        <v>0</v>
      </c>
      <c r="P305">
        <v>0</v>
      </c>
      <c r="Q305" s="328">
        <v>0</v>
      </c>
      <c r="AG305">
        <v>0.98</v>
      </c>
      <c r="AH305">
        <v>0</v>
      </c>
      <c r="AI305">
        <v>0</v>
      </c>
      <c r="AJ305">
        <v>0</v>
      </c>
      <c r="AK305">
        <v>1</v>
      </c>
      <c r="AL305">
        <v>0</v>
      </c>
      <c r="AM305">
        <v>0</v>
      </c>
      <c r="BB305" s="446">
        <v>1</v>
      </c>
      <c r="BC305">
        <v>1</v>
      </c>
      <c r="BD305">
        <v>1</v>
      </c>
      <c r="BE305">
        <v>1</v>
      </c>
      <c r="BF305">
        <v>0.99990000000000001</v>
      </c>
      <c r="BG305">
        <v>1</v>
      </c>
      <c r="BH305">
        <v>1</v>
      </c>
      <c r="BI305">
        <v>0.99</v>
      </c>
      <c r="BJ305">
        <v>0.999</v>
      </c>
      <c r="BK305">
        <v>0.998</v>
      </c>
      <c r="BL305">
        <v>0.99850000000000005</v>
      </c>
      <c r="BM305">
        <v>0.99850000000000005</v>
      </c>
      <c r="BN305">
        <v>0.97199999999999998</v>
      </c>
      <c r="BO305">
        <v>0.99990000000000001</v>
      </c>
      <c r="BP305">
        <v>0.99990000000000001</v>
      </c>
      <c r="BQ305">
        <v>1</v>
      </c>
      <c r="CP305">
        <v>0.89500000000000002</v>
      </c>
      <c r="CV305">
        <v>0.45</v>
      </c>
      <c r="DB305">
        <v>0.69</v>
      </c>
      <c r="DC305">
        <v>0.88</v>
      </c>
      <c r="DD305">
        <v>0.64</v>
      </c>
      <c r="DE305">
        <v>0.89</v>
      </c>
      <c r="DN305" s="332">
        <v>2.8499999999999999E-4</v>
      </c>
      <c r="DO305" s="332">
        <v>2.0000000000000001E-4</v>
      </c>
      <c r="DP305" s="332">
        <v>0</v>
      </c>
      <c r="DQ305" s="332">
        <v>1E-4</v>
      </c>
      <c r="DR305" s="332">
        <v>0</v>
      </c>
      <c r="DS305" s="332">
        <v>3.5999999999999999E-3</v>
      </c>
      <c r="DT305" s="332">
        <v>4.6999999999999999E-4</v>
      </c>
      <c r="DU305" s="332">
        <v>6.9999999999999999E-4</v>
      </c>
      <c r="DV305" s="332">
        <v>0</v>
      </c>
      <c r="DW305" s="332">
        <v>0</v>
      </c>
      <c r="DX305" s="332">
        <v>5.0000000000000001E-4</v>
      </c>
      <c r="DY305" s="332">
        <v>5.0000000000000001E-4</v>
      </c>
      <c r="DZ305" s="332">
        <v>2.9999999999999997E-4</v>
      </c>
      <c r="EA305" s="332">
        <v>2.7500000000000002E-4</v>
      </c>
      <c r="EB305" s="332">
        <v>4.0000000000000002E-4</v>
      </c>
      <c r="ED305" s="332">
        <v>6.4999999999999994E-5</v>
      </c>
      <c r="EF305">
        <v>1</v>
      </c>
    </row>
    <row r="306" spans="2:136" x14ac:dyDescent="0.25">
      <c r="B306">
        <v>0.98</v>
      </c>
      <c r="C306">
        <v>0</v>
      </c>
      <c r="E306">
        <v>0</v>
      </c>
      <c r="F306">
        <v>0</v>
      </c>
      <c r="G306">
        <v>0</v>
      </c>
      <c r="H306">
        <v>0</v>
      </c>
      <c r="I306">
        <v>0</v>
      </c>
      <c r="J306">
        <v>0.98050000000000004</v>
      </c>
      <c r="K306">
        <v>0</v>
      </c>
      <c r="L306" s="333">
        <v>0</v>
      </c>
      <c r="M306" s="333">
        <v>0</v>
      </c>
      <c r="N306">
        <v>0</v>
      </c>
      <c r="O306">
        <v>0</v>
      </c>
      <c r="P306">
        <v>0</v>
      </c>
      <c r="Q306" s="328">
        <v>0</v>
      </c>
      <c r="AG306">
        <v>0.98</v>
      </c>
      <c r="AH306">
        <v>0</v>
      </c>
      <c r="AI306">
        <v>0</v>
      </c>
      <c r="AJ306">
        <v>0</v>
      </c>
      <c r="AK306">
        <v>1</v>
      </c>
      <c r="AL306">
        <v>0</v>
      </c>
      <c r="AM306">
        <v>0</v>
      </c>
      <c r="BB306" s="446">
        <v>1</v>
      </c>
      <c r="BC306">
        <v>1</v>
      </c>
      <c r="BD306">
        <v>1</v>
      </c>
      <c r="BE306">
        <v>1</v>
      </c>
      <c r="BF306">
        <v>0.99990000000000001</v>
      </c>
      <c r="BG306">
        <v>1</v>
      </c>
      <c r="BH306">
        <v>1</v>
      </c>
      <c r="BI306">
        <v>0.99</v>
      </c>
      <c r="BJ306">
        <v>0.999</v>
      </c>
      <c r="BK306">
        <v>0.998</v>
      </c>
      <c r="BL306">
        <v>0.99850000000000005</v>
      </c>
      <c r="BM306">
        <v>0.99850000000000005</v>
      </c>
      <c r="BN306">
        <v>0.97199999999999998</v>
      </c>
      <c r="BO306">
        <v>0.99990000000000001</v>
      </c>
      <c r="BP306">
        <v>0.99990000000000001</v>
      </c>
      <c r="BQ306">
        <v>1</v>
      </c>
      <c r="CP306">
        <v>0.86499999999999999</v>
      </c>
      <c r="CV306">
        <v>0.45</v>
      </c>
      <c r="DB306">
        <v>0.71</v>
      </c>
      <c r="DC306">
        <v>0.87749999999999995</v>
      </c>
      <c r="DD306">
        <v>0.67</v>
      </c>
      <c r="DE306">
        <v>0.89</v>
      </c>
      <c r="DN306" s="332">
        <v>2.8499999999999999E-4</v>
      </c>
      <c r="DO306" s="332">
        <v>2.0000000000000001E-4</v>
      </c>
      <c r="DP306" s="332">
        <v>0</v>
      </c>
      <c r="DQ306" s="332">
        <v>1E-4</v>
      </c>
      <c r="DR306" s="332">
        <v>0</v>
      </c>
      <c r="DS306" s="332">
        <v>3.5999999999999999E-3</v>
      </c>
      <c r="DT306" s="332">
        <v>4.6999999999999999E-4</v>
      </c>
      <c r="DU306" s="332">
        <v>6.9999999999999999E-4</v>
      </c>
      <c r="DV306" s="332">
        <v>0</v>
      </c>
      <c r="DW306" s="332">
        <v>0</v>
      </c>
      <c r="DX306" s="332">
        <v>5.0000000000000001E-4</v>
      </c>
      <c r="DY306" s="332">
        <v>5.0000000000000001E-4</v>
      </c>
      <c r="DZ306" s="332">
        <v>2.9999999999999997E-4</v>
      </c>
      <c r="EA306" s="332">
        <v>2.7500000000000002E-4</v>
      </c>
      <c r="EB306" s="332">
        <v>4.0000000000000002E-4</v>
      </c>
      <c r="ED306" s="332">
        <v>6.4999999999999994E-5</v>
      </c>
      <c r="EF306">
        <v>1</v>
      </c>
    </row>
    <row r="307" spans="2:136" x14ac:dyDescent="0.25">
      <c r="B307">
        <v>0.98</v>
      </c>
      <c r="C307">
        <v>0</v>
      </c>
      <c r="E307">
        <v>0</v>
      </c>
      <c r="F307">
        <v>0</v>
      </c>
      <c r="G307">
        <v>0</v>
      </c>
      <c r="H307">
        <v>0</v>
      </c>
      <c r="I307">
        <v>0</v>
      </c>
      <c r="J307">
        <v>0.98050000000000004</v>
      </c>
      <c r="K307">
        <v>0</v>
      </c>
      <c r="L307" s="333">
        <v>0</v>
      </c>
      <c r="M307" s="333">
        <v>0</v>
      </c>
      <c r="N307">
        <v>0</v>
      </c>
      <c r="O307">
        <v>0</v>
      </c>
      <c r="P307">
        <v>0</v>
      </c>
      <c r="Q307" s="328">
        <v>0</v>
      </c>
      <c r="AG307">
        <v>0.99</v>
      </c>
      <c r="AH307">
        <v>0</v>
      </c>
      <c r="AI307">
        <v>0</v>
      </c>
      <c r="AJ307">
        <v>0</v>
      </c>
      <c r="AK307">
        <v>1</v>
      </c>
      <c r="AL307">
        <v>0</v>
      </c>
      <c r="AM307">
        <v>0</v>
      </c>
      <c r="BB307" s="446">
        <v>1</v>
      </c>
      <c r="BC307">
        <v>1</v>
      </c>
      <c r="BD307">
        <v>1</v>
      </c>
      <c r="BE307">
        <v>1</v>
      </c>
      <c r="BF307">
        <v>0.99990000000000001</v>
      </c>
      <c r="BG307">
        <v>1</v>
      </c>
      <c r="BH307">
        <v>1</v>
      </c>
      <c r="BI307">
        <v>0.99</v>
      </c>
      <c r="BJ307">
        <v>0.999</v>
      </c>
      <c r="BK307">
        <v>0.998</v>
      </c>
      <c r="BL307">
        <v>0.99850000000000005</v>
      </c>
      <c r="BM307">
        <v>0.99850000000000005</v>
      </c>
      <c r="BN307">
        <v>0.97199999999999998</v>
      </c>
      <c r="BO307">
        <v>0.99990000000000001</v>
      </c>
      <c r="BP307">
        <v>0.99990000000000001</v>
      </c>
      <c r="BQ307">
        <v>1</v>
      </c>
      <c r="CP307">
        <v>0.86499999999999999</v>
      </c>
      <c r="CV307">
        <v>0.45</v>
      </c>
      <c r="DB307">
        <v>0.8</v>
      </c>
      <c r="DC307">
        <v>0.9</v>
      </c>
      <c r="DD307">
        <v>0.83</v>
      </c>
      <c r="DE307">
        <v>0.89</v>
      </c>
      <c r="DN307" s="332">
        <v>2.8499999999999999E-4</v>
      </c>
      <c r="DO307" s="332">
        <v>2.0000000000000001E-4</v>
      </c>
      <c r="DP307" s="332">
        <v>0</v>
      </c>
      <c r="DQ307" s="332">
        <v>1E-4</v>
      </c>
      <c r="DR307" s="332">
        <v>0</v>
      </c>
      <c r="DS307" s="332">
        <v>3.5999999999999999E-3</v>
      </c>
      <c r="DT307" s="332">
        <v>4.6999999999999999E-4</v>
      </c>
      <c r="DU307">
        <v>6.9999999999999999E-4</v>
      </c>
      <c r="DV307">
        <v>0</v>
      </c>
      <c r="DW307" s="332">
        <v>0</v>
      </c>
      <c r="DX307" s="332">
        <v>5.0000000000000001E-4</v>
      </c>
      <c r="DY307" s="332">
        <v>5.0000000000000001E-4</v>
      </c>
      <c r="DZ307" s="332">
        <v>2.9999999999999997E-4</v>
      </c>
      <c r="EA307" s="332">
        <v>2.7500000000000002E-4</v>
      </c>
      <c r="EB307" s="332">
        <v>4.0000000000000002E-4</v>
      </c>
      <c r="ED307" s="332">
        <v>6.4999999999999994E-5</v>
      </c>
      <c r="EF307">
        <v>1</v>
      </c>
    </row>
    <row r="308" spans="2:136" x14ac:dyDescent="0.25">
      <c r="B308">
        <v>0.98</v>
      </c>
      <c r="C308">
        <v>0</v>
      </c>
      <c r="E308">
        <v>0</v>
      </c>
      <c r="F308">
        <v>0</v>
      </c>
      <c r="G308">
        <v>0</v>
      </c>
      <c r="H308">
        <v>0</v>
      </c>
      <c r="I308">
        <v>0</v>
      </c>
      <c r="J308">
        <v>0.98050000000000004</v>
      </c>
      <c r="K308">
        <v>0</v>
      </c>
      <c r="L308" s="333">
        <v>0</v>
      </c>
      <c r="M308" s="333">
        <v>0</v>
      </c>
      <c r="N308">
        <v>0</v>
      </c>
      <c r="O308">
        <v>0</v>
      </c>
      <c r="P308">
        <v>0</v>
      </c>
      <c r="Q308" s="328">
        <v>0</v>
      </c>
      <c r="AG308">
        <v>0.99</v>
      </c>
      <c r="AH308">
        <v>0</v>
      </c>
      <c r="AI308">
        <v>0</v>
      </c>
      <c r="AJ308">
        <v>0</v>
      </c>
      <c r="AK308">
        <v>1</v>
      </c>
      <c r="AL308">
        <v>0</v>
      </c>
      <c r="AM308">
        <v>0</v>
      </c>
      <c r="BB308" s="446">
        <v>1</v>
      </c>
      <c r="BC308">
        <v>1</v>
      </c>
      <c r="BD308">
        <v>1</v>
      </c>
      <c r="BE308">
        <v>1</v>
      </c>
      <c r="BF308">
        <v>0.99990000000000001</v>
      </c>
      <c r="BG308">
        <v>1</v>
      </c>
      <c r="BH308">
        <v>1</v>
      </c>
      <c r="BI308">
        <v>0.99</v>
      </c>
      <c r="BJ308">
        <v>0.999</v>
      </c>
      <c r="BK308">
        <v>0.998</v>
      </c>
      <c r="BL308">
        <v>0.99850000000000005</v>
      </c>
      <c r="BM308">
        <v>0.99850000000000005</v>
      </c>
      <c r="BN308">
        <v>0.97199999999999998</v>
      </c>
      <c r="BO308">
        <v>0.99990000000000001</v>
      </c>
      <c r="BP308">
        <v>0.99990000000000001</v>
      </c>
      <c r="BQ308">
        <v>1</v>
      </c>
      <c r="CP308">
        <v>0.89500000000000002</v>
      </c>
      <c r="CV308">
        <v>0.42</v>
      </c>
      <c r="DB308">
        <v>0.85</v>
      </c>
      <c r="DC308">
        <v>0.90300000000000002</v>
      </c>
      <c r="DD308">
        <v>0.92</v>
      </c>
      <c r="DE308">
        <v>0.89</v>
      </c>
      <c r="DN308" s="332">
        <v>2.8499999999999999E-4</v>
      </c>
      <c r="DO308" s="332">
        <v>2.0000000000000001E-4</v>
      </c>
      <c r="DP308" s="332">
        <v>0</v>
      </c>
      <c r="DQ308" s="332">
        <v>1E-4</v>
      </c>
      <c r="DR308" s="332">
        <v>0</v>
      </c>
      <c r="DS308" s="332">
        <v>3.5999999999999999E-3</v>
      </c>
      <c r="DT308" s="332">
        <v>4.6999999999999999E-4</v>
      </c>
      <c r="DW308" s="332">
        <v>0</v>
      </c>
      <c r="DX308" s="332">
        <v>5.0000000000000001E-4</v>
      </c>
      <c r="DY308" s="332">
        <v>5.0000000000000001E-4</v>
      </c>
      <c r="DZ308" s="332">
        <v>2.9999999999999997E-4</v>
      </c>
      <c r="EA308" s="332">
        <v>2.7500000000000002E-4</v>
      </c>
      <c r="EB308" s="332">
        <v>4.0000000000000002E-4</v>
      </c>
      <c r="ED308" s="332">
        <v>6.4999999999999994E-5</v>
      </c>
      <c r="EF308">
        <v>1</v>
      </c>
    </row>
    <row r="309" spans="2:136" x14ac:dyDescent="0.25">
      <c r="B309">
        <v>0.98</v>
      </c>
      <c r="C309">
        <v>0</v>
      </c>
      <c r="E309">
        <v>0</v>
      </c>
      <c r="F309">
        <v>0</v>
      </c>
      <c r="G309">
        <v>0</v>
      </c>
      <c r="H309">
        <v>0</v>
      </c>
      <c r="I309">
        <v>0</v>
      </c>
      <c r="J309">
        <v>0.98050000000000004</v>
      </c>
      <c r="K309">
        <v>0</v>
      </c>
      <c r="L309" s="333">
        <v>0</v>
      </c>
      <c r="M309" s="333">
        <v>0</v>
      </c>
      <c r="N309">
        <v>0</v>
      </c>
      <c r="O309">
        <v>0</v>
      </c>
      <c r="P309">
        <v>0</v>
      </c>
      <c r="Q309" s="328">
        <v>0</v>
      </c>
      <c r="AG309">
        <v>0.99</v>
      </c>
      <c r="AH309">
        <v>0</v>
      </c>
      <c r="AI309">
        <v>0</v>
      </c>
      <c r="AJ309">
        <v>0</v>
      </c>
      <c r="AK309">
        <v>1</v>
      </c>
      <c r="AL309">
        <v>0</v>
      </c>
      <c r="AM309">
        <v>0</v>
      </c>
      <c r="BB309" s="446">
        <v>1</v>
      </c>
      <c r="BC309">
        <v>1</v>
      </c>
      <c r="BD309">
        <v>1</v>
      </c>
      <c r="BE309">
        <v>1</v>
      </c>
      <c r="BF309">
        <v>0.99990000000000001</v>
      </c>
      <c r="BG309">
        <v>1</v>
      </c>
      <c r="BH309">
        <v>1</v>
      </c>
      <c r="BI309">
        <v>0.99</v>
      </c>
      <c r="BJ309">
        <v>0.999</v>
      </c>
      <c r="BK309">
        <v>0.998</v>
      </c>
      <c r="BL309">
        <v>0.99850000000000005</v>
      </c>
      <c r="BM309">
        <v>0.99850000000000005</v>
      </c>
      <c r="BN309">
        <v>0.97199999999999998</v>
      </c>
      <c r="BO309">
        <v>0.99990000000000001</v>
      </c>
      <c r="BP309">
        <v>0.99990000000000001</v>
      </c>
      <c r="BQ309">
        <v>1</v>
      </c>
      <c r="CP309">
        <v>0.96499999999999997</v>
      </c>
      <c r="CV309">
        <v>0.42</v>
      </c>
      <c r="DB309">
        <v>0.88</v>
      </c>
      <c r="DC309">
        <v>0.9</v>
      </c>
      <c r="DD309">
        <v>0.93500000000000005</v>
      </c>
      <c r="DE309">
        <v>0.89</v>
      </c>
      <c r="DN309" s="332">
        <v>2.8499999999999999E-4</v>
      </c>
      <c r="DO309" s="332">
        <v>2.0000000000000001E-4</v>
      </c>
      <c r="DP309" s="332">
        <v>0</v>
      </c>
      <c r="DQ309" s="332">
        <v>1E-4</v>
      </c>
      <c r="DR309" s="332">
        <v>0</v>
      </c>
      <c r="DS309" s="332">
        <v>3.5999999999999999E-3</v>
      </c>
      <c r="DT309" s="332">
        <v>4.6999999999999999E-4</v>
      </c>
      <c r="DW309" s="332">
        <v>0</v>
      </c>
      <c r="DX309" s="332">
        <v>5.0000000000000001E-4</v>
      </c>
      <c r="DY309" s="332">
        <v>5.0000000000000001E-4</v>
      </c>
      <c r="DZ309" s="332">
        <v>2.9999999999999997E-4</v>
      </c>
      <c r="EA309" s="332">
        <v>2.7500000000000002E-4</v>
      </c>
      <c r="EB309" s="332">
        <v>4.0000000000000002E-4</v>
      </c>
      <c r="ED309" s="332">
        <v>6.4999999999999994E-5</v>
      </c>
      <c r="EF309">
        <v>1</v>
      </c>
    </row>
    <row r="310" spans="2:136" x14ac:dyDescent="0.25">
      <c r="B310">
        <v>0.98</v>
      </c>
      <c r="C310">
        <v>0</v>
      </c>
      <c r="E310">
        <v>0</v>
      </c>
      <c r="F310">
        <v>0</v>
      </c>
      <c r="G310">
        <v>0</v>
      </c>
      <c r="H310">
        <v>0</v>
      </c>
      <c r="I310">
        <v>0</v>
      </c>
      <c r="J310">
        <v>0.98050000000000004</v>
      </c>
      <c r="K310">
        <v>0</v>
      </c>
      <c r="L310" s="333">
        <v>0</v>
      </c>
      <c r="M310" s="333">
        <v>0</v>
      </c>
      <c r="N310">
        <v>0</v>
      </c>
      <c r="O310">
        <v>0</v>
      </c>
      <c r="P310">
        <v>0</v>
      </c>
      <c r="Q310" s="328">
        <v>0</v>
      </c>
      <c r="AG310">
        <v>0.99</v>
      </c>
      <c r="AH310">
        <v>0</v>
      </c>
      <c r="AI310">
        <v>0</v>
      </c>
      <c r="AJ310">
        <v>0</v>
      </c>
      <c r="AK310">
        <v>1</v>
      </c>
      <c r="AL310">
        <v>0</v>
      </c>
      <c r="AM310">
        <v>0</v>
      </c>
      <c r="BB310" s="446">
        <v>1</v>
      </c>
      <c r="BC310">
        <v>1</v>
      </c>
      <c r="BD310">
        <v>1</v>
      </c>
      <c r="BE310">
        <v>1</v>
      </c>
      <c r="BF310">
        <v>0.99990000000000001</v>
      </c>
      <c r="BG310">
        <v>1</v>
      </c>
      <c r="BH310">
        <v>1</v>
      </c>
      <c r="BI310">
        <v>0.99</v>
      </c>
      <c r="BJ310">
        <v>0.999</v>
      </c>
      <c r="BK310">
        <v>0.998</v>
      </c>
      <c r="BL310">
        <v>0.99850000000000005</v>
      </c>
      <c r="BM310">
        <v>0.99850000000000005</v>
      </c>
      <c r="BN310">
        <v>0.97199999999999998</v>
      </c>
      <c r="BO310">
        <v>0.99990000000000001</v>
      </c>
      <c r="BP310">
        <v>0.99990000000000001</v>
      </c>
      <c r="BQ310">
        <v>1</v>
      </c>
      <c r="CP310">
        <v>0.96499999999999997</v>
      </c>
      <c r="CV310">
        <v>0.47</v>
      </c>
      <c r="DB310">
        <v>0.88</v>
      </c>
      <c r="DC310">
        <v>0.90249999999999997</v>
      </c>
      <c r="DD310">
        <v>0.91500000000000004</v>
      </c>
      <c r="DE310">
        <v>0.89</v>
      </c>
      <c r="DN310" s="332">
        <v>2.8499999999999999E-4</v>
      </c>
      <c r="DO310" s="332">
        <v>2.0000000000000001E-4</v>
      </c>
      <c r="DP310" s="332">
        <v>0</v>
      </c>
      <c r="DQ310" s="332">
        <v>1E-4</v>
      </c>
      <c r="DR310" s="332">
        <v>0</v>
      </c>
      <c r="DS310" s="332">
        <v>3.5999999999999999E-3</v>
      </c>
      <c r="DT310" s="332">
        <v>4.6999999999999999E-4</v>
      </c>
      <c r="DW310" s="332">
        <v>0</v>
      </c>
      <c r="DX310" s="332">
        <v>5.0000000000000001E-4</v>
      </c>
      <c r="DY310" s="332">
        <v>5.0000000000000001E-4</v>
      </c>
      <c r="DZ310" s="332">
        <v>2.9999999999999997E-4</v>
      </c>
      <c r="EA310" s="332">
        <v>2.7500000000000002E-4</v>
      </c>
      <c r="EB310" s="332">
        <v>4.0000000000000002E-4</v>
      </c>
      <c r="ED310" s="332">
        <v>6.4999999999999994E-5</v>
      </c>
      <c r="EF310">
        <v>1</v>
      </c>
    </row>
    <row r="311" spans="2:136" x14ac:dyDescent="0.25">
      <c r="B311">
        <v>0.98</v>
      </c>
      <c r="C311">
        <v>0</v>
      </c>
      <c r="E311">
        <v>0</v>
      </c>
      <c r="F311">
        <v>0</v>
      </c>
      <c r="G311">
        <v>0</v>
      </c>
      <c r="H311">
        <v>0</v>
      </c>
      <c r="I311">
        <v>0</v>
      </c>
      <c r="J311">
        <v>0.98050000000000004</v>
      </c>
      <c r="K311">
        <v>0</v>
      </c>
      <c r="L311" s="333">
        <v>0</v>
      </c>
      <c r="M311" s="333">
        <v>0</v>
      </c>
      <c r="N311">
        <v>0</v>
      </c>
      <c r="O311">
        <v>0</v>
      </c>
      <c r="P311">
        <v>0</v>
      </c>
      <c r="Q311" s="328">
        <v>0</v>
      </c>
      <c r="AG311">
        <v>0.99</v>
      </c>
      <c r="AH311">
        <v>0</v>
      </c>
      <c r="AI311">
        <v>0</v>
      </c>
      <c r="AJ311">
        <v>0</v>
      </c>
      <c r="AK311">
        <v>1</v>
      </c>
      <c r="AL311">
        <v>0</v>
      </c>
      <c r="AM311">
        <v>0</v>
      </c>
      <c r="BB311" s="446">
        <v>1</v>
      </c>
      <c r="BC311">
        <v>1</v>
      </c>
      <c r="BD311">
        <v>1</v>
      </c>
      <c r="BE311">
        <v>1</v>
      </c>
      <c r="BF311">
        <v>0.99990000000000001</v>
      </c>
      <c r="BG311">
        <v>1</v>
      </c>
      <c r="BH311">
        <v>1</v>
      </c>
      <c r="BI311">
        <v>0.99</v>
      </c>
      <c r="BJ311">
        <v>0.999</v>
      </c>
      <c r="BK311">
        <v>0.998</v>
      </c>
      <c r="BL311">
        <v>0.99850000000000005</v>
      </c>
      <c r="BM311">
        <v>0.99850000000000005</v>
      </c>
      <c r="BN311">
        <v>0.97199999999999998</v>
      </c>
      <c r="BO311">
        <v>0.99990000000000001</v>
      </c>
      <c r="BP311">
        <v>0.99990000000000001</v>
      </c>
      <c r="BQ311">
        <v>1</v>
      </c>
      <c r="CP311">
        <v>0.97499999999999998</v>
      </c>
      <c r="CV311">
        <v>0.47</v>
      </c>
      <c r="DB311">
        <v>0.89</v>
      </c>
      <c r="DC311">
        <v>0.90749999999999997</v>
      </c>
      <c r="DD311">
        <v>0.91500000000000004</v>
      </c>
      <c r="DE311">
        <v>0.89</v>
      </c>
      <c r="DN311" s="332">
        <v>2.8499999999999999E-4</v>
      </c>
      <c r="DO311" s="332">
        <v>2.0000000000000001E-4</v>
      </c>
      <c r="DP311" s="332">
        <v>0</v>
      </c>
      <c r="DQ311" s="332">
        <v>1E-4</v>
      </c>
      <c r="DR311" s="332">
        <v>0</v>
      </c>
      <c r="DS311" s="332">
        <v>3.5999999999999999E-3</v>
      </c>
      <c r="DT311" s="332">
        <v>4.6999999999999999E-4</v>
      </c>
      <c r="DW311" s="332">
        <v>0</v>
      </c>
      <c r="DX311" s="332">
        <v>5.0000000000000001E-4</v>
      </c>
      <c r="DY311" s="332">
        <v>5.0000000000000001E-4</v>
      </c>
      <c r="DZ311" s="332">
        <v>2.9999999999999997E-4</v>
      </c>
      <c r="EA311" s="332">
        <v>2.7500000000000002E-4</v>
      </c>
      <c r="EB311" s="332">
        <v>4.0000000000000002E-4</v>
      </c>
      <c r="ED311" s="332">
        <v>6.4999999999999994E-5</v>
      </c>
      <c r="EF311">
        <v>1</v>
      </c>
    </row>
    <row r="312" spans="2:136" x14ac:dyDescent="0.25">
      <c r="B312">
        <v>0.98</v>
      </c>
      <c r="C312">
        <v>0</v>
      </c>
      <c r="E312">
        <v>0</v>
      </c>
      <c r="F312">
        <v>0</v>
      </c>
      <c r="G312">
        <v>0</v>
      </c>
      <c r="H312">
        <v>0</v>
      </c>
      <c r="I312">
        <v>0</v>
      </c>
      <c r="J312">
        <v>0.98050000000000004</v>
      </c>
      <c r="K312">
        <v>0</v>
      </c>
      <c r="L312" s="333">
        <v>0</v>
      </c>
      <c r="M312" s="333">
        <v>0</v>
      </c>
      <c r="N312">
        <v>0</v>
      </c>
      <c r="O312">
        <v>0</v>
      </c>
      <c r="P312">
        <v>0</v>
      </c>
      <c r="Q312" s="328">
        <v>0</v>
      </c>
      <c r="AG312">
        <v>0.99</v>
      </c>
      <c r="AH312">
        <v>0</v>
      </c>
      <c r="AI312">
        <v>0</v>
      </c>
      <c r="AJ312">
        <v>0</v>
      </c>
      <c r="AK312">
        <v>1</v>
      </c>
      <c r="AL312">
        <v>0</v>
      </c>
      <c r="AM312">
        <v>0</v>
      </c>
      <c r="BB312" s="446">
        <v>1</v>
      </c>
      <c r="BC312">
        <v>1</v>
      </c>
      <c r="BD312">
        <v>1</v>
      </c>
      <c r="BE312">
        <v>1</v>
      </c>
      <c r="BF312">
        <v>0.99990000000000001</v>
      </c>
      <c r="BG312">
        <v>1</v>
      </c>
      <c r="BH312">
        <v>1</v>
      </c>
      <c r="BI312">
        <v>0.99</v>
      </c>
      <c r="BJ312">
        <v>0.999</v>
      </c>
      <c r="BK312">
        <v>0.998</v>
      </c>
      <c r="BL312">
        <v>0.99850000000000005</v>
      </c>
      <c r="BM312">
        <v>0.99850000000000005</v>
      </c>
      <c r="BN312">
        <v>0.97199999999999998</v>
      </c>
      <c r="BO312">
        <v>0.99990000000000001</v>
      </c>
      <c r="BP312">
        <v>0.99990000000000001</v>
      </c>
      <c r="BQ312">
        <v>1</v>
      </c>
      <c r="CP312">
        <v>0.97499999999999998</v>
      </c>
      <c r="CV312">
        <v>0.52</v>
      </c>
      <c r="DB312">
        <v>0.91500000000000004</v>
      </c>
      <c r="DC312">
        <v>0.92749999999999999</v>
      </c>
      <c r="DD312">
        <v>0.91500000000000004</v>
      </c>
      <c r="DE312">
        <v>0.89</v>
      </c>
      <c r="DN312" s="332">
        <v>2.8499999999999999E-4</v>
      </c>
      <c r="DO312" s="332">
        <v>2.0000000000000001E-4</v>
      </c>
      <c r="DP312" s="332">
        <v>0</v>
      </c>
      <c r="DQ312" s="332">
        <v>1E-4</v>
      </c>
      <c r="DR312" s="332">
        <v>0</v>
      </c>
      <c r="DS312" s="332">
        <v>3.5999999999999999E-3</v>
      </c>
      <c r="DT312" s="332">
        <v>4.6999999999999999E-4</v>
      </c>
      <c r="DW312" s="332">
        <v>0</v>
      </c>
      <c r="DX312" s="332">
        <v>5.0000000000000001E-4</v>
      </c>
      <c r="DY312" s="332">
        <v>5.0000000000000001E-4</v>
      </c>
      <c r="DZ312" s="332">
        <v>2.9999999999999997E-4</v>
      </c>
      <c r="EA312" s="332">
        <v>2.7500000000000002E-4</v>
      </c>
      <c r="EB312" s="332">
        <v>4.0000000000000002E-4</v>
      </c>
      <c r="ED312" s="332">
        <v>6.4999999999999994E-5</v>
      </c>
      <c r="EF312">
        <v>1</v>
      </c>
    </row>
    <row r="313" spans="2:136" x14ac:dyDescent="0.25">
      <c r="B313">
        <v>0.98</v>
      </c>
      <c r="C313">
        <v>0</v>
      </c>
      <c r="E313">
        <v>0</v>
      </c>
      <c r="F313">
        <v>0</v>
      </c>
      <c r="G313">
        <v>0</v>
      </c>
      <c r="H313">
        <v>0</v>
      </c>
      <c r="I313">
        <v>0</v>
      </c>
      <c r="J313">
        <v>0.98050000000000004</v>
      </c>
      <c r="K313">
        <v>0</v>
      </c>
      <c r="L313" s="333">
        <v>0</v>
      </c>
      <c r="M313" s="333">
        <v>0</v>
      </c>
      <c r="N313">
        <v>0</v>
      </c>
      <c r="O313">
        <v>0</v>
      </c>
      <c r="P313">
        <v>0</v>
      </c>
      <c r="Q313" s="328">
        <v>0</v>
      </c>
      <c r="AG313">
        <v>0.99</v>
      </c>
      <c r="AH313">
        <v>0</v>
      </c>
      <c r="AI313">
        <v>0</v>
      </c>
      <c r="AJ313">
        <v>0</v>
      </c>
      <c r="AK313">
        <v>1</v>
      </c>
      <c r="AL313">
        <v>0</v>
      </c>
      <c r="AM313">
        <v>0</v>
      </c>
      <c r="BB313" s="446">
        <v>1</v>
      </c>
      <c r="BC313">
        <v>1</v>
      </c>
      <c r="BD313">
        <v>1</v>
      </c>
      <c r="BE313">
        <v>1</v>
      </c>
      <c r="BF313">
        <v>0.99990000000000001</v>
      </c>
      <c r="BG313">
        <v>1</v>
      </c>
      <c r="BH313">
        <v>1</v>
      </c>
      <c r="BI313">
        <v>0.99</v>
      </c>
      <c r="BJ313">
        <v>0.999</v>
      </c>
      <c r="BK313">
        <v>0.998</v>
      </c>
      <c r="BL313">
        <v>0.99850000000000005</v>
      </c>
      <c r="BM313">
        <v>0.99850000000000005</v>
      </c>
      <c r="BN313">
        <v>0.97199999999999998</v>
      </c>
      <c r="BO313">
        <v>0.99990000000000001</v>
      </c>
      <c r="BP313">
        <v>0.99990000000000001</v>
      </c>
      <c r="BQ313">
        <v>1</v>
      </c>
      <c r="CP313">
        <v>0.97499999999999998</v>
      </c>
      <c r="CV313">
        <v>0.55000000000000004</v>
      </c>
      <c r="DB313">
        <v>0.94499999999999995</v>
      </c>
      <c r="DC313">
        <v>0.92</v>
      </c>
      <c r="DD313">
        <v>0.91500000000000004</v>
      </c>
      <c r="DE313">
        <v>0.89</v>
      </c>
      <c r="DN313" s="332">
        <v>2.8499999999999999E-4</v>
      </c>
      <c r="DO313" s="332">
        <v>2.0000000000000001E-4</v>
      </c>
      <c r="DP313" s="332">
        <v>0</v>
      </c>
      <c r="DQ313" s="332">
        <v>1E-4</v>
      </c>
      <c r="DR313" s="332">
        <v>0</v>
      </c>
      <c r="DS313" s="332">
        <v>3.5999999999999999E-3</v>
      </c>
      <c r="DT313" s="332">
        <v>4.6999999999999999E-4</v>
      </c>
      <c r="DW313" s="332">
        <v>0</v>
      </c>
      <c r="DX313" s="332">
        <v>5.0000000000000001E-4</v>
      </c>
      <c r="DY313" s="332">
        <v>5.0000000000000001E-4</v>
      </c>
      <c r="DZ313" s="332">
        <v>2.9999999999999997E-4</v>
      </c>
      <c r="EA313" s="332">
        <v>2.7500000000000002E-4</v>
      </c>
      <c r="EB313" s="332">
        <v>4.0000000000000002E-4</v>
      </c>
      <c r="ED313" s="332">
        <v>6.4999999999999994E-5</v>
      </c>
      <c r="EF313">
        <v>1</v>
      </c>
    </row>
    <row r="314" spans="2:136" x14ac:dyDescent="0.25">
      <c r="B314">
        <v>0.98</v>
      </c>
      <c r="C314">
        <v>0</v>
      </c>
      <c r="E314">
        <v>0</v>
      </c>
      <c r="F314">
        <v>0</v>
      </c>
      <c r="G314">
        <v>0</v>
      </c>
      <c r="H314">
        <v>0</v>
      </c>
      <c r="I314">
        <v>0</v>
      </c>
      <c r="J314">
        <v>0.98050000000000004</v>
      </c>
      <c r="K314">
        <v>0</v>
      </c>
      <c r="L314" s="333">
        <v>0</v>
      </c>
      <c r="M314" s="333">
        <v>0</v>
      </c>
      <c r="N314">
        <v>0</v>
      </c>
      <c r="O314">
        <v>0</v>
      </c>
      <c r="P314">
        <v>0</v>
      </c>
      <c r="Q314" s="328">
        <v>0</v>
      </c>
      <c r="AG314">
        <v>0.99</v>
      </c>
      <c r="AH314">
        <v>0</v>
      </c>
      <c r="AI314">
        <v>0</v>
      </c>
      <c r="AJ314">
        <v>0</v>
      </c>
      <c r="AK314">
        <v>1</v>
      </c>
      <c r="AL314">
        <v>0</v>
      </c>
      <c r="AM314">
        <v>0</v>
      </c>
      <c r="BB314" s="446">
        <v>1</v>
      </c>
      <c r="BC314">
        <v>1</v>
      </c>
      <c r="BD314">
        <v>1</v>
      </c>
      <c r="BE314">
        <v>1</v>
      </c>
      <c r="BF314">
        <v>0.99990000000000001</v>
      </c>
      <c r="BG314">
        <v>1</v>
      </c>
      <c r="BH314">
        <v>1</v>
      </c>
      <c r="BI314">
        <v>0.99</v>
      </c>
      <c r="BJ314">
        <v>0.999</v>
      </c>
      <c r="BK314">
        <v>0.998</v>
      </c>
      <c r="BL314">
        <v>0.99850000000000005</v>
      </c>
      <c r="BM314">
        <v>0.99850000000000005</v>
      </c>
      <c r="BN314">
        <v>0.97199999999999998</v>
      </c>
      <c r="BO314">
        <v>0.99990000000000001</v>
      </c>
      <c r="BP314">
        <v>0.99990000000000001</v>
      </c>
      <c r="BQ314">
        <v>1</v>
      </c>
      <c r="CP314">
        <v>0.95499999999999996</v>
      </c>
      <c r="CV314">
        <v>0.45</v>
      </c>
      <c r="DB314">
        <v>0.875</v>
      </c>
      <c r="DC314">
        <v>0.90249999999999997</v>
      </c>
      <c r="DD314">
        <v>0.82</v>
      </c>
      <c r="DE314">
        <v>0.89</v>
      </c>
      <c r="DN314" s="332">
        <v>2.8499999999999999E-4</v>
      </c>
      <c r="DO314" s="332">
        <v>2.0000000000000001E-4</v>
      </c>
      <c r="DP314" s="332">
        <v>0</v>
      </c>
      <c r="DQ314" s="332">
        <v>1E-4</v>
      </c>
      <c r="DR314" s="332">
        <v>0</v>
      </c>
      <c r="DS314" s="332">
        <v>3.5999999999999999E-3</v>
      </c>
      <c r="DT314" s="332">
        <v>4.6999999999999999E-4</v>
      </c>
      <c r="DW314" s="332">
        <v>0</v>
      </c>
      <c r="DX314" s="332">
        <v>5.0000000000000001E-4</v>
      </c>
      <c r="DY314" s="332">
        <v>5.0000000000000001E-4</v>
      </c>
      <c r="DZ314" s="332">
        <v>2.9999999999999997E-4</v>
      </c>
      <c r="EA314" s="332">
        <v>2.7500000000000002E-4</v>
      </c>
      <c r="EB314" s="332">
        <v>4.0000000000000002E-4</v>
      </c>
      <c r="ED314" s="332">
        <v>6.4999999999999994E-5</v>
      </c>
      <c r="EF314">
        <v>1</v>
      </c>
    </row>
    <row r="315" spans="2:136" x14ac:dyDescent="0.25">
      <c r="B315">
        <v>0.98</v>
      </c>
      <c r="C315">
        <v>0</v>
      </c>
      <c r="E315">
        <v>0</v>
      </c>
      <c r="F315">
        <v>0</v>
      </c>
      <c r="G315">
        <v>0</v>
      </c>
      <c r="H315">
        <v>0</v>
      </c>
      <c r="I315">
        <v>0</v>
      </c>
      <c r="J315">
        <v>0.98050000000000004</v>
      </c>
      <c r="K315">
        <v>0</v>
      </c>
      <c r="L315" s="333">
        <v>0</v>
      </c>
      <c r="M315" s="333">
        <v>0</v>
      </c>
      <c r="N315">
        <v>0</v>
      </c>
      <c r="O315">
        <v>0</v>
      </c>
      <c r="P315">
        <v>0</v>
      </c>
      <c r="Q315" s="328">
        <v>0</v>
      </c>
      <c r="AG315">
        <v>0.99</v>
      </c>
      <c r="AH315">
        <v>0</v>
      </c>
      <c r="AI315">
        <v>0</v>
      </c>
      <c r="AJ315">
        <v>0</v>
      </c>
      <c r="AK315">
        <v>1</v>
      </c>
      <c r="AL315">
        <v>0</v>
      </c>
      <c r="AM315">
        <v>0</v>
      </c>
      <c r="BB315" s="446">
        <v>1</v>
      </c>
      <c r="BC315">
        <v>1</v>
      </c>
      <c r="BD315">
        <v>1</v>
      </c>
      <c r="BE315">
        <v>1</v>
      </c>
      <c r="BF315">
        <v>0.99990000000000001</v>
      </c>
      <c r="BG315">
        <v>1</v>
      </c>
      <c r="BH315">
        <v>1</v>
      </c>
      <c r="BI315">
        <v>0.99</v>
      </c>
      <c r="BJ315">
        <v>0.999</v>
      </c>
      <c r="BK315">
        <v>0.998</v>
      </c>
      <c r="BL315">
        <v>0.99850000000000005</v>
      </c>
      <c r="BM315">
        <v>0.99850000000000005</v>
      </c>
      <c r="BN315">
        <v>0.97199999999999998</v>
      </c>
      <c r="BO315">
        <v>0.99990000000000001</v>
      </c>
      <c r="BP315">
        <v>0.99990000000000001</v>
      </c>
      <c r="BQ315">
        <v>1</v>
      </c>
      <c r="CP315">
        <v>0.95499999999999996</v>
      </c>
      <c r="CV315">
        <v>0.46</v>
      </c>
      <c r="DB315">
        <v>0.85</v>
      </c>
      <c r="DC315">
        <v>0.90249999999999997</v>
      </c>
      <c r="DD315">
        <v>0.82</v>
      </c>
      <c r="DE315">
        <v>0.89</v>
      </c>
      <c r="DN315" s="332">
        <v>2.8499999999999999E-4</v>
      </c>
      <c r="DO315" s="332">
        <v>2.0000000000000001E-4</v>
      </c>
      <c r="DP315" s="332">
        <v>0</v>
      </c>
      <c r="DQ315" s="332">
        <v>1E-4</v>
      </c>
      <c r="DR315" s="332">
        <v>0</v>
      </c>
      <c r="DS315" s="332">
        <v>3.5999999999999999E-3</v>
      </c>
      <c r="DT315" s="332">
        <v>4.6999999999999999E-4</v>
      </c>
      <c r="DW315" s="332">
        <v>0</v>
      </c>
      <c r="DX315" s="332">
        <v>5.0000000000000001E-4</v>
      </c>
      <c r="DY315" s="332">
        <v>5.0000000000000001E-4</v>
      </c>
      <c r="DZ315" s="332">
        <v>2.9999999999999997E-4</v>
      </c>
      <c r="EA315" s="332">
        <v>2.7500000000000002E-4</v>
      </c>
      <c r="EB315" s="332">
        <v>4.0000000000000002E-4</v>
      </c>
      <c r="ED315" s="332">
        <v>6.4999999999999994E-5</v>
      </c>
      <c r="EF315">
        <v>1</v>
      </c>
    </row>
    <row r="316" spans="2:136" x14ac:dyDescent="0.25">
      <c r="B316">
        <v>0.98</v>
      </c>
      <c r="C316">
        <v>0</v>
      </c>
      <c r="E316">
        <v>0</v>
      </c>
      <c r="F316">
        <v>0</v>
      </c>
      <c r="G316">
        <v>0</v>
      </c>
      <c r="H316">
        <v>0</v>
      </c>
      <c r="I316">
        <v>0</v>
      </c>
      <c r="J316">
        <v>0.98050000000000004</v>
      </c>
      <c r="K316">
        <v>0</v>
      </c>
      <c r="L316" s="333">
        <v>0</v>
      </c>
      <c r="M316" s="333">
        <v>0</v>
      </c>
      <c r="N316">
        <v>0</v>
      </c>
      <c r="O316">
        <v>0</v>
      </c>
      <c r="P316">
        <v>0</v>
      </c>
      <c r="Q316" s="328">
        <v>0</v>
      </c>
      <c r="AG316">
        <v>0.98</v>
      </c>
      <c r="AH316">
        <v>0</v>
      </c>
      <c r="AI316">
        <v>0</v>
      </c>
      <c r="AJ316">
        <v>0</v>
      </c>
      <c r="AK316">
        <v>1</v>
      </c>
      <c r="AL316">
        <v>0</v>
      </c>
      <c r="AM316">
        <v>0</v>
      </c>
      <c r="BB316" s="446">
        <v>1</v>
      </c>
      <c r="BC316">
        <v>1</v>
      </c>
      <c r="BD316">
        <v>1</v>
      </c>
      <c r="BE316">
        <v>1</v>
      </c>
      <c r="BF316">
        <v>0.99990000000000001</v>
      </c>
      <c r="BG316">
        <v>1</v>
      </c>
      <c r="BH316">
        <v>1</v>
      </c>
      <c r="BI316">
        <v>0.99</v>
      </c>
      <c r="BJ316">
        <v>0.999</v>
      </c>
      <c r="BK316">
        <v>0.998</v>
      </c>
      <c r="BL316">
        <v>0.99850000000000005</v>
      </c>
      <c r="BM316">
        <v>0.99850000000000005</v>
      </c>
      <c r="BN316">
        <v>0.97199999999999998</v>
      </c>
      <c r="BO316">
        <v>0.99990000000000001</v>
      </c>
      <c r="BP316">
        <v>0.99990000000000001</v>
      </c>
      <c r="BQ316">
        <v>1</v>
      </c>
      <c r="CP316">
        <v>0.93500000000000005</v>
      </c>
      <c r="CV316">
        <v>0.48</v>
      </c>
      <c r="DB316">
        <v>0.69</v>
      </c>
      <c r="DC316">
        <v>0.89249999999999996</v>
      </c>
      <c r="DD316">
        <v>0.71499999999999997</v>
      </c>
      <c r="DE316">
        <v>0.89</v>
      </c>
      <c r="DN316" s="332">
        <v>2.8499999999999999E-4</v>
      </c>
      <c r="DO316" s="332">
        <v>2.0000000000000001E-4</v>
      </c>
      <c r="DP316" s="332">
        <v>0</v>
      </c>
      <c r="DQ316" s="332">
        <v>1E-4</v>
      </c>
      <c r="DR316" s="332">
        <v>0</v>
      </c>
      <c r="DS316" s="332">
        <v>3.5999999999999999E-3</v>
      </c>
      <c r="DT316" s="332">
        <v>4.6999999999999999E-4</v>
      </c>
      <c r="DW316" s="332">
        <v>0</v>
      </c>
      <c r="DX316" s="332">
        <v>5.0000000000000001E-4</v>
      </c>
      <c r="DY316" s="332">
        <v>5.0000000000000001E-4</v>
      </c>
      <c r="DZ316" s="332">
        <v>2.9999999999999997E-4</v>
      </c>
      <c r="EA316" s="332">
        <v>2.7500000000000002E-4</v>
      </c>
      <c r="EB316" s="332">
        <v>4.0000000000000002E-4</v>
      </c>
      <c r="ED316" s="332">
        <v>6.4999999999999994E-5</v>
      </c>
      <c r="EF316">
        <v>1</v>
      </c>
    </row>
    <row r="317" spans="2:136" x14ac:dyDescent="0.25">
      <c r="B317">
        <v>0.98</v>
      </c>
      <c r="C317">
        <v>0</v>
      </c>
      <c r="E317">
        <v>0</v>
      </c>
      <c r="F317">
        <v>0</v>
      </c>
      <c r="G317">
        <v>0</v>
      </c>
      <c r="H317">
        <v>0</v>
      </c>
      <c r="I317">
        <v>0</v>
      </c>
      <c r="J317">
        <v>0.98050000000000004</v>
      </c>
      <c r="K317">
        <v>0</v>
      </c>
      <c r="L317" s="333">
        <v>0</v>
      </c>
      <c r="M317" s="333">
        <v>0</v>
      </c>
      <c r="N317">
        <v>0</v>
      </c>
      <c r="O317">
        <v>0</v>
      </c>
      <c r="P317">
        <v>0</v>
      </c>
      <c r="Q317" s="328">
        <v>0</v>
      </c>
      <c r="AG317">
        <v>0.98</v>
      </c>
      <c r="AH317">
        <v>0</v>
      </c>
      <c r="AI317">
        <v>0</v>
      </c>
      <c r="AJ317">
        <v>0</v>
      </c>
      <c r="AK317">
        <v>1</v>
      </c>
      <c r="AL317">
        <v>0</v>
      </c>
      <c r="AM317">
        <v>0</v>
      </c>
      <c r="BB317" s="446">
        <v>1</v>
      </c>
      <c r="BC317">
        <v>1</v>
      </c>
      <c r="BD317">
        <v>1</v>
      </c>
      <c r="BE317">
        <v>1</v>
      </c>
      <c r="BF317">
        <v>0.99990000000000001</v>
      </c>
      <c r="BG317">
        <v>1</v>
      </c>
      <c r="BH317">
        <v>1</v>
      </c>
      <c r="BI317">
        <v>0.99</v>
      </c>
      <c r="BJ317">
        <v>0.999</v>
      </c>
      <c r="BK317">
        <v>0.998</v>
      </c>
      <c r="BL317">
        <v>0.99850000000000005</v>
      </c>
      <c r="BM317">
        <v>0.99850000000000005</v>
      </c>
      <c r="BN317">
        <v>0.97199999999999998</v>
      </c>
      <c r="BO317">
        <v>0.99990000000000001</v>
      </c>
      <c r="BP317">
        <v>0.99990000000000001</v>
      </c>
      <c r="BQ317">
        <v>1</v>
      </c>
      <c r="CP317">
        <v>0.89500000000000002</v>
      </c>
      <c r="CV317">
        <v>0.45</v>
      </c>
      <c r="DB317">
        <v>0.69</v>
      </c>
      <c r="DC317">
        <v>0.88</v>
      </c>
      <c r="DD317">
        <v>0.64</v>
      </c>
      <c r="DE317">
        <v>0.89</v>
      </c>
      <c r="DN317" s="332">
        <v>2.8499999999999999E-4</v>
      </c>
      <c r="DO317" s="332">
        <v>2.0000000000000001E-4</v>
      </c>
      <c r="DP317" s="332">
        <v>0</v>
      </c>
      <c r="DQ317" s="332">
        <v>1E-4</v>
      </c>
      <c r="DR317" s="332">
        <v>0</v>
      </c>
      <c r="DS317" s="332">
        <v>3.5999999999999999E-3</v>
      </c>
      <c r="DT317" s="332">
        <v>4.6999999999999999E-4</v>
      </c>
      <c r="DW317" s="332">
        <v>0</v>
      </c>
      <c r="DX317" s="332">
        <v>5.0000000000000001E-4</v>
      </c>
      <c r="DY317" s="332">
        <v>5.0000000000000001E-4</v>
      </c>
      <c r="DZ317" s="332">
        <v>2.9999999999999997E-4</v>
      </c>
      <c r="EA317" s="332">
        <v>2.7500000000000002E-4</v>
      </c>
      <c r="EB317" s="332">
        <v>4.0000000000000002E-4</v>
      </c>
      <c r="ED317" s="332">
        <v>6.4999999999999994E-5</v>
      </c>
      <c r="EF317">
        <v>1</v>
      </c>
    </row>
    <row r="318" spans="2:136" x14ac:dyDescent="0.25">
      <c r="B318">
        <v>0.98</v>
      </c>
      <c r="C318">
        <v>0</v>
      </c>
      <c r="E318">
        <v>0</v>
      </c>
      <c r="F318">
        <v>0</v>
      </c>
      <c r="G318">
        <v>0</v>
      </c>
      <c r="H318">
        <v>0</v>
      </c>
      <c r="I318">
        <v>0</v>
      </c>
      <c r="J318">
        <v>0.98050000000000004</v>
      </c>
      <c r="K318">
        <v>0</v>
      </c>
      <c r="L318" s="333">
        <v>0</v>
      </c>
      <c r="M318" s="333">
        <v>0</v>
      </c>
      <c r="N318">
        <v>0</v>
      </c>
      <c r="O318">
        <v>0</v>
      </c>
      <c r="P318">
        <v>0</v>
      </c>
      <c r="Q318" s="328">
        <v>0</v>
      </c>
      <c r="AG318">
        <v>0.98</v>
      </c>
      <c r="AH318">
        <v>0</v>
      </c>
      <c r="AI318">
        <v>0</v>
      </c>
      <c r="AJ318">
        <v>0</v>
      </c>
      <c r="AK318">
        <v>1</v>
      </c>
      <c r="AL318">
        <v>0</v>
      </c>
      <c r="AM318">
        <v>0</v>
      </c>
      <c r="BB318" s="446">
        <v>1</v>
      </c>
      <c r="BC318">
        <v>1</v>
      </c>
      <c r="BD318">
        <v>1</v>
      </c>
      <c r="BE318">
        <v>1</v>
      </c>
      <c r="BF318">
        <v>0.99990000000000001</v>
      </c>
      <c r="BG318">
        <v>1</v>
      </c>
      <c r="BH318">
        <v>1</v>
      </c>
      <c r="BI318">
        <v>0.99</v>
      </c>
      <c r="BJ318">
        <v>0.999</v>
      </c>
      <c r="BK318">
        <v>0.998</v>
      </c>
      <c r="BL318">
        <v>0.99850000000000005</v>
      </c>
      <c r="BM318">
        <v>0.99850000000000005</v>
      </c>
      <c r="BN318">
        <v>0.97199999999999998</v>
      </c>
      <c r="BO318">
        <v>0.99990000000000001</v>
      </c>
      <c r="BP318">
        <v>0.99990000000000001</v>
      </c>
      <c r="BQ318">
        <v>1</v>
      </c>
      <c r="CP318">
        <v>0.86499999999999999</v>
      </c>
      <c r="CV318">
        <v>0.45</v>
      </c>
      <c r="DB318">
        <v>0.71</v>
      </c>
      <c r="DC318">
        <v>0.87749999999999995</v>
      </c>
      <c r="DD318">
        <v>0.67</v>
      </c>
      <c r="DE318">
        <v>0.89</v>
      </c>
      <c r="DN318" s="332">
        <v>2.8499999999999999E-4</v>
      </c>
      <c r="DO318" s="332">
        <v>2.0000000000000001E-4</v>
      </c>
      <c r="DP318" s="332">
        <v>0</v>
      </c>
      <c r="DQ318" s="332">
        <v>1E-4</v>
      </c>
      <c r="DR318" s="332">
        <v>0</v>
      </c>
      <c r="DS318" s="332">
        <v>3.5999999999999999E-3</v>
      </c>
      <c r="DT318" s="332">
        <v>4.6999999999999999E-4</v>
      </c>
      <c r="DW318" s="332">
        <v>0</v>
      </c>
      <c r="DX318" s="332">
        <v>5.0000000000000001E-4</v>
      </c>
      <c r="DY318" s="332">
        <v>5.0000000000000001E-4</v>
      </c>
      <c r="DZ318" s="332">
        <v>2.9999999999999997E-4</v>
      </c>
      <c r="EA318" s="332">
        <v>2.7500000000000002E-4</v>
      </c>
      <c r="EB318" s="332">
        <v>4.0000000000000002E-4</v>
      </c>
      <c r="ED318" s="332">
        <v>6.4999999999999994E-5</v>
      </c>
      <c r="EF318">
        <v>1</v>
      </c>
    </row>
    <row r="319" spans="2:136" x14ac:dyDescent="0.25">
      <c r="B319">
        <v>0.98</v>
      </c>
      <c r="C319">
        <v>0</v>
      </c>
      <c r="E319">
        <v>0</v>
      </c>
      <c r="F319">
        <v>0</v>
      </c>
      <c r="G319">
        <v>0</v>
      </c>
      <c r="H319">
        <v>0</v>
      </c>
      <c r="I319">
        <v>0</v>
      </c>
      <c r="J319">
        <v>0.98050000000000004</v>
      </c>
      <c r="K319">
        <v>0</v>
      </c>
      <c r="L319" s="333">
        <v>0</v>
      </c>
      <c r="M319" s="333">
        <v>0</v>
      </c>
      <c r="N319">
        <v>0</v>
      </c>
      <c r="O319">
        <v>0</v>
      </c>
      <c r="P319">
        <v>0</v>
      </c>
      <c r="Q319" s="328">
        <v>0</v>
      </c>
      <c r="AG319">
        <v>0.99</v>
      </c>
      <c r="AH319">
        <v>0</v>
      </c>
      <c r="AI319">
        <v>0</v>
      </c>
      <c r="AJ319">
        <v>0</v>
      </c>
      <c r="AK319">
        <v>1</v>
      </c>
      <c r="AL319">
        <v>0</v>
      </c>
      <c r="AM319">
        <v>0</v>
      </c>
      <c r="BB319" s="446">
        <v>1</v>
      </c>
      <c r="BC319">
        <v>1</v>
      </c>
      <c r="BD319">
        <v>1</v>
      </c>
      <c r="BE319">
        <v>1</v>
      </c>
      <c r="BF319">
        <v>0.99990000000000001</v>
      </c>
      <c r="BG319">
        <v>1</v>
      </c>
      <c r="BH319">
        <v>1</v>
      </c>
      <c r="BI319">
        <v>0.99</v>
      </c>
      <c r="BJ319">
        <v>0.999</v>
      </c>
      <c r="BK319">
        <v>0.998</v>
      </c>
      <c r="BL319">
        <v>0.99850000000000005</v>
      </c>
      <c r="BM319">
        <v>0.99850000000000005</v>
      </c>
      <c r="BN319">
        <v>0.97199999999999998</v>
      </c>
      <c r="BO319">
        <v>0.99990000000000001</v>
      </c>
      <c r="BP319">
        <v>0.99990000000000001</v>
      </c>
      <c r="BQ319">
        <v>1</v>
      </c>
      <c r="CP319">
        <v>0.86499999999999999</v>
      </c>
      <c r="CV319">
        <v>0.45</v>
      </c>
      <c r="DB319">
        <v>0.8</v>
      </c>
      <c r="DC319">
        <v>0.9</v>
      </c>
      <c r="DD319">
        <v>0.83</v>
      </c>
      <c r="DE319">
        <v>0.89</v>
      </c>
      <c r="DN319" s="332">
        <v>2.8499999999999999E-4</v>
      </c>
      <c r="DO319" s="332">
        <v>2.0000000000000001E-4</v>
      </c>
      <c r="DP319" s="332">
        <v>0</v>
      </c>
      <c r="DQ319" s="332">
        <v>1E-4</v>
      </c>
      <c r="DR319" s="332">
        <v>0</v>
      </c>
      <c r="DS319" s="332">
        <v>3.5999999999999999E-3</v>
      </c>
      <c r="DT319" s="332">
        <v>4.6999999999999999E-4</v>
      </c>
      <c r="DW319" s="332">
        <v>0</v>
      </c>
      <c r="DX319" s="332">
        <v>5.0000000000000001E-4</v>
      </c>
      <c r="DY319" s="332">
        <v>5.0000000000000001E-4</v>
      </c>
      <c r="DZ319" s="332">
        <v>2.9999999999999997E-4</v>
      </c>
      <c r="EA319" s="332">
        <v>2.7500000000000002E-4</v>
      </c>
      <c r="EB319" s="332">
        <v>4.0000000000000002E-4</v>
      </c>
      <c r="ED319" s="332">
        <v>6.4999999999999994E-5</v>
      </c>
      <c r="EF319">
        <v>1</v>
      </c>
    </row>
    <row r="320" spans="2:136" x14ac:dyDescent="0.25">
      <c r="B320">
        <v>0.98</v>
      </c>
      <c r="C320">
        <v>0</v>
      </c>
      <c r="E320">
        <v>0</v>
      </c>
      <c r="F320">
        <v>0</v>
      </c>
      <c r="G320">
        <v>0</v>
      </c>
      <c r="H320">
        <v>0</v>
      </c>
      <c r="I320">
        <v>0</v>
      </c>
      <c r="J320">
        <v>0.98050000000000004</v>
      </c>
      <c r="K320">
        <v>0</v>
      </c>
      <c r="L320" s="333">
        <v>0</v>
      </c>
      <c r="M320" s="333">
        <v>0</v>
      </c>
      <c r="N320">
        <v>0</v>
      </c>
      <c r="O320">
        <v>0</v>
      </c>
      <c r="P320">
        <v>0</v>
      </c>
      <c r="Q320" s="328">
        <v>0</v>
      </c>
      <c r="AG320">
        <v>0.99</v>
      </c>
      <c r="AH320">
        <v>0</v>
      </c>
      <c r="AI320">
        <v>0</v>
      </c>
      <c r="AJ320">
        <v>0</v>
      </c>
      <c r="AK320">
        <v>1</v>
      </c>
      <c r="AL320">
        <v>0</v>
      </c>
      <c r="AM320">
        <v>0</v>
      </c>
      <c r="BB320" s="446">
        <v>1</v>
      </c>
      <c r="BC320">
        <v>1</v>
      </c>
      <c r="BD320">
        <v>1</v>
      </c>
      <c r="BE320">
        <v>1</v>
      </c>
      <c r="BF320">
        <v>0.99990000000000001</v>
      </c>
      <c r="BG320">
        <v>1</v>
      </c>
      <c r="BH320">
        <v>1</v>
      </c>
      <c r="BI320">
        <v>0.99</v>
      </c>
      <c r="BJ320">
        <v>0.999</v>
      </c>
      <c r="BK320">
        <v>0.998</v>
      </c>
      <c r="BL320">
        <v>0.99850000000000005</v>
      </c>
      <c r="BM320">
        <v>0.99850000000000005</v>
      </c>
      <c r="BN320">
        <v>0.97199999999999998</v>
      </c>
      <c r="BO320">
        <v>0.99990000000000001</v>
      </c>
      <c r="BP320">
        <v>0.99990000000000001</v>
      </c>
      <c r="BQ320">
        <v>1</v>
      </c>
      <c r="CP320">
        <v>0.89500000000000002</v>
      </c>
      <c r="CV320">
        <v>0.42</v>
      </c>
      <c r="DB320">
        <v>0.85</v>
      </c>
      <c r="DC320">
        <v>0.90300000000000002</v>
      </c>
      <c r="DD320">
        <v>0.92</v>
      </c>
      <c r="DE320">
        <v>0.89</v>
      </c>
      <c r="DN320" s="332">
        <v>2.8499999999999999E-4</v>
      </c>
      <c r="DO320" s="332">
        <v>2.0000000000000001E-4</v>
      </c>
      <c r="DP320" s="332">
        <v>0</v>
      </c>
      <c r="DQ320" s="332">
        <v>1E-4</v>
      </c>
      <c r="DR320" s="332">
        <v>0</v>
      </c>
      <c r="DS320" s="332">
        <v>3.5999999999999999E-3</v>
      </c>
      <c r="DT320" s="332">
        <v>4.6999999999999999E-4</v>
      </c>
      <c r="DW320" s="332">
        <v>0</v>
      </c>
      <c r="DX320" s="332">
        <v>5.0000000000000001E-4</v>
      </c>
      <c r="DY320" s="332">
        <v>5.0000000000000001E-4</v>
      </c>
      <c r="DZ320" s="332">
        <v>2.9999999999999997E-4</v>
      </c>
      <c r="EA320" s="332">
        <v>2.7500000000000002E-4</v>
      </c>
      <c r="EB320" s="332">
        <v>4.0000000000000002E-4</v>
      </c>
      <c r="ED320" s="332">
        <v>6.4999999999999994E-5</v>
      </c>
      <c r="EF320">
        <v>1</v>
      </c>
    </row>
    <row r="321" spans="2:136" x14ac:dyDescent="0.25">
      <c r="B321">
        <v>0.98</v>
      </c>
      <c r="C321">
        <v>0</v>
      </c>
      <c r="E321">
        <v>0</v>
      </c>
      <c r="F321">
        <v>0</v>
      </c>
      <c r="G321">
        <v>0</v>
      </c>
      <c r="H321">
        <v>0</v>
      </c>
      <c r="I321">
        <v>0</v>
      </c>
      <c r="J321">
        <v>0.98050000000000004</v>
      </c>
      <c r="K321">
        <v>0</v>
      </c>
      <c r="L321" s="333">
        <v>0</v>
      </c>
      <c r="M321" s="333">
        <v>0</v>
      </c>
      <c r="N321">
        <v>0</v>
      </c>
      <c r="O321">
        <v>0</v>
      </c>
      <c r="P321">
        <v>0</v>
      </c>
      <c r="Q321" s="328">
        <v>0</v>
      </c>
      <c r="AG321">
        <v>0.99</v>
      </c>
      <c r="AH321">
        <v>0</v>
      </c>
      <c r="AI321">
        <v>0</v>
      </c>
      <c r="AJ321">
        <v>0</v>
      </c>
      <c r="AK321">
        <v>1</v>
      </c>
      <c r="AL321">
        <v>0</v>
      </c>
      <c r="AM321">
        <v>0</v>
      </c>
      <c r="BB321" s="446">
        <v>1</v>
      </c>
      <c r="BC321">
        <v>1</v>
      </c>
      <c r="BD321">
        <v>1</v>
      </c>
      <c r="BE321">
        <v>1</v>
      </c>
      <c r="BF321">
        <v>0.99990000000000001</v>
      </c>
      <c r="BG321">
        <v>1</v>
      </c>
      <c r="BH321">
        <v>1</v>
      </c>
      <c r="BI321">
        <v>0.99</v>
      </c>
      <c r="BJ321">
        <v>0.999</v>
      </c>
      <c r="BK321">
        <v>0.998</v>
      </c>
      <c r="BL321">
        <v>0.99850000000000005</v>
      </c>
      <c r="BM321">
        <v>0.99850000000000005</v>
      </c>
      <c r="BN321">
        <v>0.97199999999999998</v>
      </c>
      <c r="BO321">
        <v>0.99990000000000001</v>
      </c>
      <c r="BP321">
        <v>0.99990000000000001</v>
      </c>
      <c r="BQ321">
        <v>1</v>
      </c>
      <c r="CP321">
        <v>0.96499999999999997</v>
      </c>
      <c r="CV321">
        <v>0.42</v>
      </c>
      <c r="DB321">
        <v>0.88</v>
      </c>
      <c r="DC321">
        <v>0.9</v>
      </c>
      <c r="DD321">
        <v>0.93500000000000005</v>
      </c>
      <c r="DE321">
        <v>0.89</v>
      </c>
      <c r="DN321" s="332">
        <v>2.8499999999999999E-4</v>
      </c>
      <c r="DO321" s="332">
        <v>2.0000000000000001E-4</v>
      </c>
      <c r="DP321" s="332">
        <v>0</v>
      </c>
      <c r="DQ321" s="332">
        <v>1E-4</v>
      </c>
      <c r="DR321" s="332">
        <v>0</v>
      </c>
      <c r="DS321" s="332">
        <v>3.5999999999999999E-3</v>
      </c>
      <c r="DT321" s="332">
        <v>4.6999999999999999E-4</v>
      </c>
      <c r="DW321" s="332">
        <v>0</v>
      </c>
      <c r="DX321" s="332">
        <v>5.0000000000000001E-4</v>
      </c>
      <c r="DY321" s="332">
        <v>5.0000000000000001E-4</v>
      </c>
      <c r="DZ321" s="332">
        <v>2.9999999999999997E-4</v>
      </c>
      <c r="EA321" s="332">
        <v>2.7500000000000002E-4</v>
      </c>
      <c r="EB321" s="332">
        <v>4.0000000000000002E-4</v>
      </c>
      <c r="ED321" s="332">
        <v>6.4999999999999994E-5</v>
      </c>
      <c r="EF321">
        <v>1</v>
      </c>
    </row>
    <row r="322" spans="2:136" x14ac:dyDescent="0.25">
      <c r="B322">
        <v>0.98</v>
      </c>
      <c r="C322">
        <v>0</v>
      </c>
      <c r="E322">
        <v>0</v>
      </c>
      <c r="F322">
        <v>0</v>
      </c>
      <c r="G322">
        <v>0</v>
      </c>
      <c r="H322">
        <v>0</v>
      </c>
      <c r="I322">
        <v>0</v>
      </c>
      <c r="J322">
        <v>0.98050000000000004</v>
      </c>
      <c r="K322">
        <v>0</v>
      </c>
      <c r="L322" s="333">
        <v>0</v>
      </c>
      <c r="M322" s="333">
        <v>0</v>
      </c>
      <c r="N322">
        <v>0</v>
      </c>
      <c r="O322">
        <v>0</v>
      </c>
      <c r="P322">
        <v>0</v>
      </c>
      <c r="Q322" s="328">
        <v>0</v>
      </c>
      <c r="AG322">
        <v>0.99</v>
      </c>
      <c r="AH322">
        <v>0</v>
      </c>
      <c r="AI322">
        <v>0</v>
      </c>
      <c r="AJ322">
        <v>0</v>
      </c>
      <c r="AK322">
        <v>1</v>
      </c>
      <c r="AL322">
        <v>0</v>
      </c>
      <c r="AM322">
        <v>0</v>
      </c>
      <c r="BB322" s="446">
        <v>1</v>
      </c>
      <c r="BC322">
        <v>1</v>
      </c>
      <c r="BD322">
        <v>1</v>
      </c>
      <c r="BE322">
        <v>1</v>
      </c>
      <c r="BF322">
        <v>0.99990000000000001</v>
      </c>
      <c r="BG322">
        <v>1</v>
      </c>
      <c r="BH322">
        <v>1</v>
      </c>
      <c r="BI322">
        <v>0.99</v>
      </c>
      <c r="BJ322">
        <v>0.999</v>
      </c>
      <c r="BK322">
        <v>0.998</v>
      </c>
      <c r="BL322">
        <v>0.99850000000000005</v>
      </c>
      <c r="BM322">
        <v>0.99850000000000005</v>
      </c>
      <c r="BN322">
        <v>0.97199999999999998</v>
      </c>
      <c r="BO322">
        <v>0.99990000000000001</v>
      </c>
      <c r="BP322">
        <v>0.99990000000000001</v>
      </c>
      <c r="BQ322">
        <v>1</v>
      </c>
      <c r="CP322">
        <v>0.96499999999999997</v>
      </c>
      <c r="CV322">
        <v>0.47</v>
      </c>
      <c r="DB322">
        <v>0.88</v>
      </c>
      <c r="DC322">
        <v>0.90249999999999997</v>
      </c>
      <c r="DD322">
        <v>0.91500000000000004</v>
      </c>
      <c r="DE322">
        <v>0.89</v>
      </c>
      <c r="DN322" s="332">
        <v>2.8499999999999999E-4</v>
      </c>
      <c r="DO322" s="332">
        <v>2.0000000000000001E-4</v>
      </c>
      <c r="DP322" s="332">
        <v>0</v>
      </c>
      <c r="DQ322" s="332">
        <v>1E-4</v>
      </c>
      <c r="DR322" s="332">
        <v>0</v>
      </c>
      <c r="DS322" s="332">
        <v>3.5999999999999999E-3</v>
      </c>
      <c r="DT322" s="332">
        <v>4.6999999999999999E-4</v>
      </c>
      <c r="DW322" s="332">
        <v>0</v>
      </c>
      <c r="DX322" s="332">
        <v>5.0000000000000001E-4</v>
      </c>
      <c r="DY322" s="332">
        <v>5.0000000000000001E-4</v>
      </c>
      <c r="DZ322" s="332">
        <v>2.9999999999999997E-4</v>
      </c>
      <c r="EA322" s="332">
        <v>2.7500000000000002E-4</v>
      </c>
      <c r="EB322" s="332">
        <v>4.0000000000000002E-4</v>
      </c>
      <c r="ED322" s="332">
        <v>6.4999999999999994E-5</v>
      </c>
      <c r="EF322">
        <v>1</v>
      </c>
    </row>
    <row r="323" spans="2:136" x14ac:dyDescent="0.25">
      <c r="B323">
        <v>0.98</v>
      </c>
      <c r="C323">
        <v>0</v>
      </c>
      <c r="E323">
        <v>0</v>
      </c>
      <c r="F323">
        <v>0</v>
      </c>
      <c r="G323">
        <v>0</v>
      </c>
      <c r="H323">
        <v>0</v>
      </c>
      <c r="I323">
        <v>0</v>
      </c>
      <c r="J323">
        <v>0.98050000000000004</v>
      </c>
      <c r="K323">
        <v>0</v>
      </c>
      <c r="L323" s="333">
        <v>0</v>
      </c>
      <c r="M323" s="333">
        <v>0</v>
      </c>
      <c r="N323">
        <v>0</v>
      </c>
      <c r="O323">
        <v>0</v>
      </c>
      <c r="P323">
        <v>0</v>
      </c>
      <c r="Q323" s="328">
        <v>0</v>
      </c>
      <c r="AG323">
        <v>0.99</v>
      </c>
      <c r="AH323">
        <v>0</v>
      </c>
      <c r="AI323">
        <v>0</v>
      </c>
      <c r="AJ323">
        <v>0</v>
      </c>
      <c r="AK323">
        <v>1</v>
      </c>
      <c r="AL323">
        <v>0</v>
      </c>
      <c r="AM323">
        <v>0</v>
      </c>
      <c r="BB323" s="446">
        <v>1</v>
      </c>
      <c r="BC323">
        <v>1</v>
      </c>
      <c r="BD323">
        <v>1</v>
      </c>
      <c r="BE323">
        <v>1</v>
      </c>
      <c r="BF323">
        <v>0.99990000000000001</v>
      </c>
      <c r="BG323">
        <v>1</v>
      </c>
      <c r="BH323">
        <v>1</v>
      </c>
      <c r="BI323">
        <v>0.99</v>
      </c>
      <c r="BJ323">
        <v>0.999</v>
      </c>
      <c r="BK323">
        <v>0.998</v>
      </c>
      <c r="BL323">
        <v>0.99850000000000005</v>
      </c>
      <c r="BM323">
        <v>0.99850000000000005</v>
      </c>
      <c r="BN323">
        <v>0.97199999999999998</v>
      </c>
      <c r="BO323">
        <v>0.99990000000000001</v>
      </c>
      <c r="BP323">
        <v>0.99990000000000001</v>
      </c>
      <c r="BQ323">
        <v>1</v>
      </c>
      <c r="CP323">
        <v>0.97499999999999998</v>
      </c>
      <c r="CV323">
        <v>0.47</v>
      </c>
      <c r="DB323">
        <v>0.89</v>
      </c>
      <c r="DC323">
        <v>0.90749999999999997</v>
      </c>
      <c r="DD323">
        <v>0.91500000000000004</v>
      </c>
      <c r="DE323">
        <v>0.89</v>
      </c>
      <c r="DN323" s="332">
        <v>2.8499999999999999E-4</v>
      </c>
      <c r="DO323" s="332">
        <v>2.0000000000000001E-4</v>
      </c>
      <c r="DP323" s="332">
        <v>0</v>
      </c>
      <c r="DQ323" s="332">
        <v>1E-4</v>
      </c>
      <c r="DR323" s="332">
        <v>0</v>
      </c>
      <c r="DS323" s="332">
        <v>3.5999999999999999E-3</v>
      </c>
      <c r="DT323" s="332">
        <v>4.6999999999999999E-4</v>
      </c>
      <c r="DW323" s="332">
        <v>0</v>
      </c>
      <c r="DX323" s="332">
        <v>5.0000000000000001E-4</v>
      </c>
      <c r="DY323" s="332">
        <v>5.0000000000000001E-4</v>
      </c>
      <c r="DZ323" s="332">
        <v>2.9999999999999997E-4</v>
      </c>
      <c r="EA323" s="332">
        <v>2.7500000000000002E-4</v>
      </c>
      <c r="EB323" s="332">
        <v>4.0000000000000002E-4</v>
      </c>
      <c r="ED323" s="332">
        <v>6.4999999999999994E-5</v>
      </c>
      <c r="EF323">
        <v>1</v>
      </c>
    </row>
    <row r="324" spans="2:136" x14ac:dyDescent="0.25">
      <c r="B324">
        <v>0.98</v>
      </c>
      <c r="C324">
        <v>0</v>
      </c>
      <c r="E324">
        <v>0</v>
      </c>
      <c r="F324">
        <v>0</v>
      </c>
      <c r="G324">
        <v>0</v>
      </c>
      <c r="H324">
        <v>0</v>
      </c>
      <c r="I324">
        <v>0</v>
      </c>
      <c r="J324">
        <v>0.98050000000000004</v>
      </c>
      <c r="K324">
        <v>0</v>
      </c>
      <c r="L324" s="333">
        <v>0</v>
      </c>
      <c r="M324" s="333">
        <v>0</v>
      </c>
      <c r="N324">
        <v>0</v>
      </c>
      <c r="O324">
        <v>0</v>
      </c>
      <c r="P324">
        <v>0</v>
      </c>
      <c r="Q324" s="328">
        <v>0</v>
      </c>
      <c r="AG324">
        <v>0.99</v>
      </c>
      <c r="AH324">
        <v>0</v>
      </c>
      <c r="AI324">
        <v>0</v>
      </c>
      <c r="AJ324">
        <v>0</v>
      </c>
      <c r="AK324">
        <v>1</v>
      </c>
      <c r="AL324">
        <v>0</v>
      </c>
      <c r="AM324">
        <v>0</v>
      </c>
      <c r="BB324" s="446">
        <v>1</v>
      </c>
      <c r="BC324">
        <v>1</v>
      </c>
      <c r="BD324">
        <v>1</v>
      </c>
      <c r="BE324">
        <v>1</v>
      </c>
      <c r="BF324">
        <v>0.99990000000000001</v>
      </c>
      <c r="BG324">
        <v>1</v>
      </c>
      <c r="BH324">
        <v>1</v>
      </c>
      <c r="BI324">
        <v>0.99</v>
      </c>
      <c r="BJ324">
        <v>0.999</v>
      </c>
      <c r="BK324">
        <v>0.998</v>
      </c>
      <c r="BL324">
        <v>0.99850000000000005</v>
      </c>
      <c r="BM324">
        <v>0.99850000000000005</v>
      </c>
      <c r="BN324">
        <v>0.97199999999999998</v>
      </c>
      <c r="BO324">
        <v>0.99990000000000001</v>
      </c>
      <c r="BP324">
        <v>0.99990000000000001</v>
      </c>
      <c r="BQ324">
        <v>1</v>
      </c>
      <c r="CP324">
        <v>0.97499999999999998</v>
      </c>
      <c r="CV324">
        <v>0.52</v>
      </c>
      <c r="DB324">
        <v>0.91500000000000004</v>
      </c>
      <c r="DC324">
        <v>0.92749999999999999</v>
      </c>
      <c r="DD324">
        <v>0.91500000000000004</v>
      </c>
      <c r="DE324">
        <v>0.89</v>
      </c>
      <c r="DN324" s="332">
        <v>2.8499999999999999E-4</v>
      </c>
      <c r="DO324" s="332">
        <v>2.0000000000000001E-4</v>
      </c>
      <c r="DP324" s="332">
        <v>0</v>
      </c>
      <c r="DQ324" s="332">
        <v>1E-4</v>
      </c>
      <c r="DR324" s="332">
        <v>0</v>
      </c>
      <c r="DS324" s="332">
        <v>3.5999999999999999E-3</v>
      </c>
      <c r="DT324" s="332">
        <v>4.6999999999999999E-4</v>
      </c>
      <c r="DW324" s="332">
        <v>0</v>
      </c>
      <c r="DX324" s="332">
        <v>5.0000000000000001E-4</v>
      </c>
      <c r="DY324" s="332">
        <v>5.0000000000000001E-4</v>
      </c>
      <c r="DZ324" s="332">
        <v>2.9999999999999997E-4</v>
      </c>
      <c r="EA324" s="332">
        <v>2.7500000000000002E-4</v>
      </c>
      <c r="EB324" s="332">
        <v>4.0000000000000002E-4</v>
      </c>
      <c r="ED324" s="332">
        <v>6.4999999999999994E-5</v>
      </c>
      <c r="EF324">
        <v>1</v>
      </c>
    </row>
    <row r="325" spans="2:136" x14ac:dyDescent="0.25">
      <c r="B325">
        <v>0.98</v>
      </c>
      <c r="C325">
        <v>0</v>
      </c>
      <c r="E325">
        <v>0</v>
      </c>
      <c r="F325">
        <v>0</v>
      </c>
      <c r="G325">
        <v>0</v>
      </c>
      <c r="H325">
        <v>0</v>
      </c>
      <c r="I325">
        <v>0</v>
      </c>
      <c r="J325">
        <v>0.98050000000000004</v>
      </c>
      <c r="K325">
        <v>0</v>
      </c>
      <c r="L325" s="333">
        <v>0</v>
      </c>
      <c r="M325" s="333">
        <v>0</v>
      </c>
      <c r="N325">
        <v>0</v>
      </c>
      <c r="O325">
        <v>0</v>
      </c>
      <c r="P325">
        <v>0</v>
      </c>
      <c r="Q325" s="328">
        <v>0</v>
      </c>
      <c r="AG325">
        <v>0.99</v>
      </c>
      <c r="AH325">
        <v>0</v>
      </c>
      <c r="AI325">
        <v>0</v>
      </c>
      <c r="AJ325">
        <v>0</v>
      </c>
      <c r="AK325">
        <v>1</v>
      </c>
      <c r="AL325">
        <v>0</v>
      </c>
      <c r="AM325">
        <v>0</v>
      </c>
      <c r="BB325" s="446">
        <v>1</v>
      </c>
      <c r="BC325">
        <v>1</v>
      </c>
      <c r="BD325">
        <v>1</v>
      </c>
      <c r="BE325">
        <v>1</v>
      </c>
      <c r="BF325">
        <v>0.99990000000000001</v>
      </c>
      <c r="BG325">
        <v>1</v>
      </c>
      <c r="BH325">
        <v>1</v>
      </c>
      <c r="BI325">
        <v>0.99</v>
      </c>
      <c r="BJ325">
        <v>0.999</v>
      </c>
      <c r="BK325">
        <v>0.998</v>
      </c>
      <c r="BL325">
        <v>0.99850000000000005</v>
      </c>
      <c r="BM325">
        <v>0.99850000000000005</v>
      </c>
      <c r="BN325">
        <v>0.97199999999999998</v>
      </c>
      <c r="BO325">
        <v>0.99990000000000001</v>
      </c>
      <c r="BP325">
        <v>0.99990000000000001</v>
      </c>
      <c r="BQ325">
        <v>1</v>
      </c>
      <c r="CP325">
        <v>0.97499999999999998</v>
      </c>
      <c r="CV325">
        <v>0.55000000000000004</v>
      </c>
      <c r="DB325">
        <v>0.94499999999999995</v>
      </c>
      <c r="DC325">
        <v>0.92</v>
      </c>
      <c r="DD325">
        <v>0.91500000000000004</v>
      </c>
      <c r="DE325">
        <v>0.89</v>
      </c>
      <c r="DN325" s="332">
        <v>2.8499999999999999E-4</v>
      </c>
      <c r="DO325" s="332">
        <v>2.0000000000000001E-4</v>
      </c>
      <c r="DP325" s="332">
        <v>0</v>
      </c>
      <c r="DQ325" s="332">
        <v>1E-4</v>
      </c>
      <c r="DR325" s="332">
        <v>0</v>
      </c>
      <c r="DS325" s="332">
        <v>3.5999999999999999E-3</v>
      </c>
      <c r="DT325" s="332">
        <v>4.6999999999999999E-4</v>
      </c>
      <c r="DW325" s="332">
        <v>0</v>
      </c>
      <c r="DX325" s="332">
        <v>5.0000000000000001E-4</v>
      </c>
      <c r="DY325" s="332">
        <v>5.0000000000000001E-4</v>
      </c>
      <c r="DZ325" s="332">
        <v>2.9999999999999997E-4</v>
      </c>
      <c r="EA325" s="332">
        <v>2.7500000000000002E-4</v>
      </c>
      <c r="EB325" s="332">
        <v>4.0000000000000002E-4</v>
      </c>
      <c r="ED325" s="332">
        <v>6.4999999999999994E-5</v>
      </c>
      <c r="EF325">
        <v>1</v>
      </c>
    </row>
    <row r="326" spans="2:136" x14ac:dyDescent="0.25">
      <c r="B326">
        <v>0.98</v>
      </c>
      <c r="C326">
        <v>0</v>
      </c>
      <c r="E326">
        <v>0</v>
      </c>
      <c r="F326">
        <v>0</v>
      </c>
      <c r="G326">
        <v>0</v>
      </c>
      <c r="H326">
        <v>0</v>
      </c>
      <c r="I326">
        <v>0</v>
      </c>
      <c r="J326">
        <v>0.98050000000000004</v>
      </c>
      <c r="K326">
        <v>0</v>
      </c>
      <c r="L326" s="333">
        <v>0</v>
      </c>
      <c r="M326" s="333">
        <v>0</v>
      </c>
      <c r="N326">
        <v>0</v>
      </c>
      <c r="O326">
        <v>0</v>
      </c>
      <c r="P326">
        <v>0</v>
      </c>
      <c r="Q326" s="328">
        <v>0</v>
      </c>
      <c r="AG326">
        <v>0.99</v>
      </c>
      <c r="AH326">
        <v>0</v>
      </c>
      <c r="AI326">
        <v>0</v>
      </c>
      <c r="AJ326">
        <v>0</v>
      </c>
      <c r="AK326">
        <v>1</v>
      </c>
      <c r="AL326">
        <v>0</v>
      </c>
      <c r="AM326">
        <v>0</v>
      </c>
      <c r="BB326" s="446">
        <v>1</v>
      </c>
      <c r="BC326">
        <v>1</v>
      </c>
      <c r="BD326">
        <v>1</v>
      </c>
      <c r="BE326">
        <v>1</v>
      </c>
      <c r="BF326">
        <v>0.99990000000000001</v>
      </c>
      <c r="BG326">
        <v>1</v>
      </c>
      <c r="BH326">
        <v>1</v>
      </c>
      <c r="BI326">
        <v>0.99</v>
      </c>
      <c r="BJ326">
        <v>0.999</v>
      </c>
      <c r="BK326">
        <v>0.998</v>
      </c>
      <c r="BL326">
        <v>0.99850000000000005</v>
      </c>
      <c r="BM326">
        <v>0.99850000000000005</v>
      </c>
      <c r="BN326">
        <v>0.97199999999999998</v>
      </c>
      <c r="BO326">
        <v>0.99990000000000001</v>
      </c>
      <c r="BP326">
        <v>0.99990000000000001</v>
      </c>
      <c r="BQ326">
        <v>1</v>
      </c>
      <c r="CP326">
        <v>0.95499999999999996</v>
      </c>
      <c r="CV326">
        <v>0.45</v>
      </c>
      <c r="DB326">
        <v>0.875</v>
      </c>
      <c r="DC326">
        <v>0.90249999999999997</v>
      </c>
      <c r="DD326">
        <v>0.82</v>
      </c>
      <c r="DE326">
        <v>0.89</v>
      </c>
      <c r="DN326" s="332">
        <v>2.8499999999999999E-4</v>
      </c>
      <c r="DO326" s="332">
        <v>2.0000000000000001E-4</v>
      </c>
      <c r="DP326" s="332">
        <v>0</v>
      </c>
      <c r="DQ326" s="332">
        <v>1E-4</v>
      </c>
      <c r="DR326" s="332">
        <v>0</v>
      </c>
      <c r="DS326" s="332">
        <v>3.5999999999999999E-3</v>
      </c>
      <c r="DT326" s="332">
        <v>4.6999999999999999E-4</v>
      </c>
      <c r="DW326" s="332">
        <v>0</v>
      </c>
      <c r="DX326" s="332">
        <v>5.0000000000000001E-4</v>
      </c>
      <c r="DY326" s="332">
        <v>5.0000000000000001E-4</v>
      </c>
      <c r="DZ326" s="332">
        <v>2.9999999999999997E-4</v>
      </c>
      <c r="EA326" s="332">
        <v>2.7500000000000002E-4</v>
      </c>
      <c r="EB326" s="332">
        <v>4.0000000000000002E-4</v>
      </c>
      <c r="ED326" s="332">
        <v>6.4999999999999994E-5</v>
      </c>
      <c r="EF326">
        <v>1</v>
      </c>
    </row>
    <row r="327" spans="2:136" x14ac:dyDescent="0.25">
      <c r="B327">
        <v>0.98</v>
      </c>
      <c r="C327">
        <v>0</v>
      </c>
      <c r="E327">
        <v>0</v>
      </c>
      <c r="F327">
        <v>0</v>
      </c>
      <c r="G327">
        <v>0</v>
      </c>
      <c r="H327">
        <v>0</v>
      </c>
      <c r="I327">
        <v>0</v>
      </c>
      <c r="J327">
        <v>0.98050000000000004</v>
      </c>
      <c r="K327">
        <v>0</v>
      </c>
      <c r="L327" s="333">
        <v>0</v>
      </c>
      <c r="M327" s="333">
        <v>0</v>
      </c>
      <c r="N327">
        <v>0</v>
      </c>
      <c r="O327">
        <v>0</v>
      </c>
      <c r="P327">
        <v>0</v>
      </c>
      <c r="Q327" s="328">
        <v>0</v>
      </c>
      <c r="AG327">
        <v>0.99</v>
      </c>
      <c r="AH327">
        <v>0</v>
      </c>
      <c r="AI327">
        <v>0</v>
      </c>
      <c r="AJ327">
        <v>0</v>
      </c>
      <c r="AK327">
        <v>1</v>
      </c>
      <c r="AL327">
        <v>0</v>
      </c>
      <c r="AM327">
        <v>0</v>
      </c>
      <c r="BB327" s="446">
        <v>1</v>
      </c>
      <c r="BC327">
        <v>1</v>
      </c>
      <c r="BD327">
        <v>1</v>
      </c>
      <c r="BE327">
        <v>1</v>
      </c>
      <c r="BF327">
        <v>0.99990000000000001</v>
      </c>
      <c r="BG327">
        <v>1</v>
      </c>
      <c r="BH327">
        <v>1</v>
      </c>
      <c r="BI327">
        <v>0.99</v>
      </c>
      <c r="BJ327">
        <v>0.999</v>
      </c>
      <c r="BK327">
        <v>0.998</v>
      </c>
      <c r="BL327">
        <v>0.99850000000000005</v>
      </c>
      <c r="BM327">
        <v>0.99850000000000005</v>
      </c>
      <c r="BN327">
        <v>0.97199999999999998</v>
      </c>
      <c r="BO327">
        <v>0.99990000000000001</v>
      </c>
      <c r="BP327">
        <v>0.99990000000000001</v>
      </c>
      <c r="BQ327">
        <v>1</v>
      </c>
      <c r="CP327">
        <v>0.95499999999999996</v>
      </c>
      <c r="CV327">
        <v>0.46</v>
      </c>
      <c r="DB327">
        <v>0.85</v>
      </c>
      <c r="DC327">
        <v>0.90249999999999997</v>
      </c>
      <c r="DD327">
        <v>0.82</v>
      </c>
      <c r="DE327">
        <v>0.89</v>
      </c>
      <c r="DN327" s="332">
        <v>2.8499999999999999E-4</v>
      </c>
      <c r="DO327" s="332">
        <v>2.0000000000000001E-4</v>
      </c>
      <c r="DP327" s="332">
        <v>0</v>
      </c>
      <c r="DQ327" s="332">
        <v>1E-4</v>
      </c>
      <c r="DR327" s="332">
        <v>0</v>
      </c>
      <c r="DS327" s="332">
        <v>3.5999999999999999E-3</v>
      </c>
      <c r="DT327" s="332">
        <v>4.6999999999999999E-4</v>
      </c>
      <c r="DW327" s="332">
        <v>0</v>
      </c>
      <c r="DX327" s="332">
        <v>5.0000000000000001E-4</v>
      </c>
      <c r="DY327" s="332">
        <v>5.0000000000000001E-4</v>
      </c>
      <c r="DZ327" s="332">
        <v>2.9999999999999997E-4</v>
      </c>
      <c r="EA327" s="332">
        <v>2.7500000000000002E-4</v>
      </c>
      <c r="EB327" s="332">
        <v>4.0000000000000002E-4</v>
      </c>
      <c r="ED327" s="332">
        <v>6.4999999999999994E-5</v>
      </c>
      <c r="EF327">
        <v>1</v>
      </c>
    </row>
    <row r="328" spans="2:136" x14ac:dyDescent="0.25">
      <c r="B328">
        <v>0.98</v>
      </c>
      <c r="C328">
        <v>0</v>
      </c>
      <c r="E328">
        <v>0</v>
      </c>
      <c r="F328">
        <v>0</v>
      </c>
      <c r="G328">
        <v>0</v>
      </c>
      <c r="H328">
        <v>0</v>
      </c>
      <c r="I328">
        <v>0</v>
      </c>
      <c r="J328">
        <v>0.98050000000000004</v>
      </c>
      <c r="K328">
        <v>0</v>
      </c>
      <c r="L328" s="333">
        <v>0</v>
      </c>
      <c r="M328" s="333">
        <v>0</v>
      </c>
      <c r="N328">
        <v>0</v>
      </c>
      <c r="O328">
        <v>0</v>
      </c>
      <c r="P328">
        <v>0</v>
      </c>
      <c r="Q328" s="328">
        <v>0</v>
      </c>
      <c r="BB328" s="446">
        <v>1</v>
      </c>
      <c r="BC328">
        <v>1</v>
      </c>
      <c r="BD328">
        <v>1</v>
      </c>
      <c r="BE328">
        <v>1</v>
      </c>
      <c r="BF328">
        <v>0.99990000000000001</v>
      </c>
      <c r="BG328">
        <v>1</v>
      </c>
      <c r="BH328">
        <v>1</v>
      </c>
      <c r="BI328">
        <v>0.99</v>
      </c>
      <c r="BJ328">
        <v>0.999</v>
      </c>
      <c r="BK328">
        <v>0.998</v>
      </c>
      <c r="BL328">
        <v>0.99850000000000005</v>
      </c>
      <c r="BM328">
        <v>0.99850000000000005</v>
      </c>
      <c r="BN328">
        <v>0.97199999999999998</v>
      </c>
      <c r="BO328">
        <v>0.99990000000000001</v>
      </c>
      <c r="BP328">
        <v>0.99990000000000001</v>
      </c>
      <c r="BQ328">
        <v>1</v>
      </c>
      <c r="CP328">
        <v>0.93500000000000005</v>
      </c>
      <c r="CV328">
        <v>0.48</v>
      </c>
      <c r="DB328">
        <v>0.69</v>
      </c>
      <c r="DC328">
        <v>0.89249999999999996</v>
      </c>
      <c r="DD328">
        <v>0.71499999999999997</v>
      </c>
      <c r="DE328">
        <v>0.89</v>
      </c>
      <c r="DN328" s="332">
        <v>2.8499999999999999E-4</v>
      </c>
      <c r="DO328" s="332">
        <v>2.0000000000000001E-4</v>
      </c>
      <c r="DP328" s="332">
        <v>0</v>
      </c>
      <c r="DQ328" s="332">
        <v>1E-4</v>
      </c>
      <c r="DR328" s="332">
        <v>0</v>
      </c>
      <c r="DS328" s="332">
        <v>3.5999999999999999E-3</v>
      </c>
      <c r="DT328" s="332">
        <v>4.6999999999999999E-4</v>
      </c>
      <c r="DW328" s="332">
        <v>0</v>
      </c>
      <c r="DX328" s="332">
        <v>5.0000000000000001E-4</v>
      </c>
      <c r="DY328" s="332">
        <v>5.0000000000000001E-4</v>
      </c>
      <c r="DZ328" s="332">
        <v>2.9999999999999997E-4</v>
      </c>
      <c r="EA328" s="332">
        <v>2.7500000000000002E-4</v>
      </c>
      <c r="EB328" s="332">
        <v>4.0000000000000002E-4</v>
      </c>
      <c r="ED328" s="332">
        <v>6.4999999999999994E-5</v>
      </c>
      <c r="EF328">
        <v>1</v>
      </c>
    </row>
    <row r="329" spans="2:136" x14ac:dyDescent="0.25">
      <c r="B329">
        <v>0.98</v>
      </c>
      <c r="C329">
        <v>0</v>
      </c>
      <c r="E329">
        <v>0</v>
      </c>
      <c r="F329">
        <v>0</v>
      </c>
      <c r="G329">
        <v>0</v>
      </c>
      <c r="H329">
        <v>0</v>
      </c>
      <c r="I329">
        <v>0</v>
      </c>
      <c r="J329">
        <v>0.98050000000000004</v>
      </c>
      <c r="K329">
        <v>0</v>
      </c>
      <c r="L329" s="333">
        <v>0</v>
      </c>
      <c r="M329" s="333">
        <v>0</v>
      </c>
      <c r="N329">
        <v>0</v>
      </c>
      <c r="O329">
        <v>0</v>
      </c>
      <c r="P329">
        <v>0</v>
      </c>
      <c r="Q329" s="328">
        <v>0</v>
      </c>
      <c r="BB329" s="446">
        <v>1</v>
      </c>
      <c r="BC329">
        <v>1</v>
      </c>
      <c r="BD329">
        <v>1</v>
      </c>
      <c r="BE329">
        <v>1</v>
      </c>
      <c r="BF329">
        <v>0.99990000000000001</v>
      </c>
      <c r="BG329">
        <v>1</v>
      </c>
      <c r="BH329">
        <v>1</v>
      </c>
      <c r="BI329">
        <v>0.99</v>
      </c>
      <c r="BJ329">
        <v>0.999</v>
      </c>
      <c r="BK329">
        <v>0.998</v>
      </c>
      <c r="BL329">
        <v>0.99850000000000005</v>
      </c>
      <c r="BM329">
        <v>0.99850000000000005</v>
      </c>
      <c r="BN329">
        <v>0.97199999999999998</v>
      </c>
      <c r="BO329">
        <v>0.99990000000000001</v>
      </c>
      <c r="BP329">
        <v>0.99990000000000001</v>
      </c>
      <c r="BQ329">
        <v>1</v>
      </c>
      <c r="CP329">
        <v>0.89500000000000002</v>
      </c>
      <c r="DB329">
        <v>0.69</v>
      </c>
      <c r="DC329">
        <v>0.88</v>
      </c>
      <c r="DD329">
        <v>0.64</v>
      </c>
      <c r="DE329">
        <v>0.89</v>
      </c>
      <c r="DN329" s="332">
        <v>2.8499999999999999E-4</v>
      </c>
      <c r="DO329" s="332">
        <v>2.0000000000000001E-4</v>
      </c>
      <c r="DP329" s="332">
        <v>0</v>
      </c>
      <c r="DQ329" s="332">
        <v>1E-4</v>
      </c>
      <c r="DR329" s="332">
        <v>0</v>
      </c>
      <c r="DS329" s="332">
        <v>3.5999999999999999E-3</v>
      </c>
      <c r="DT329" s="332">
        <v>4.6999999999999999E-4</v>
      </c>
      <c r="DW329" s="332">
        <v>0</v>
      </c>
      <c r="DX329" s="332">
        <v>5.0000000000000001E-4</v>
      </c>
      <c r="DY329" s="332">
        <v>5.0000000000000001E-4</v>
      </c>
      <c r="DZ329" s="332">
        <v>2.9999999999999997E-4</v>
      </c>
      <c r="EA329" s="332">
        <v>2.7500000000000002E-4</v>
      </c>
      <c r="EB329" s="332">
        <v>4.0000000000000002E-4</v>
      </c>
      <c r="ED329" s="332">
        <v>6.4999999999999994E-5</v>
      </c>
      <c r="EF329">
        <v>1</v>
      </c>
    </row>
    <row r="330" spans="2:136" x14ac:dyDescent="0.25">
      <c r="B330">
        <v>0.98</v>
      </c>
      <c r="C330">
        <v>0</v>
      </c>
      <c r="E330">
        <v>0</v>
      </c>
      <c r="F330">
        <v>0</v>
      </c>
      <c r="G330">
        <v>0</v>
      </c>
      <c r="H330">
        <v>0</v>
      </c>
      <c r="I330">
        <v>0</v>
      </c>
      <c r="J330">
        <v>0.98050000000000004</v>
      </c>
      <c r="K330">
        <v>0</v>
      </c>
      <c r="L330" s="333">
        <v>0</v>
      </c>
      <c r="M330" s="333">
        <v>0</v>
      </c>
      <c r="N330">
        <v>0</v>
      </c>
      <c r="O330">
        <v>0</v>
      </c>
      <c r="P330">
        <v>0</v>
      </c>
      <c r="Q330" s="328">
        <v>0</v>
      </c>
      <c r="BB330" s="446">
        <v>1</v>
      </c>
      <c r="BC330">
        <v>1</v>
      </c>
      <c r="BD330">
        <v>1</v>
      </c>
      <c r="BE330">
        <v>1</v>
      </c>
      <c r="BF330">
        <v>0.99990000000000001</v>
      </c>
      <c r="BG330">
        <v>1</v>
      </c>
      <c r="BH330">
        <v>1</v>
      </c>
      <c r="BI330">
        <v>0.99</v>
      </c>
      <c r="BJ330">
        <v>0.999</v>
      </c>
      <c r="BK330">
        <v>0.998</v>
      </c>
      <c r="BL330">
        <v>0.99850000000000005</v>
      </c>
      <c r="BM330">
        <v>0.99850000000000005</v>
      </c>
      <c r="BN330">
        <v>0.97199999999999998</v>
      </c>
      <c r="BO330">
        <v>0.99990000000000001</v>
      </c>
      <c r="BP330">
        <v>0.99990000000000001</v>
      </c>
      <c r="BQ330">
        <v>1</v>
      </c>
      <c r="CP330">
        <v>0.86499999999999999</v>
      </c>
      <c r="DB330">
        <v>0.71</v>
      </c>
      <c r="DC330">
        <v>0.87749999999999995</v>
      </c>
      <c r="DD330">
        <v>0.67</v>
      </c>
      <c r="DE330">
        <v>0.89</v>
      </c>
      <c r="DN330" s="332">
        <v>2.8499999999999999E-4</v>
      </c>
      <c r="DO330" s="332">
        <v>2.0000000000000001E-4</v>
      </c>
      <c r="DP330" s="332">
        <v>0</v>
      </c>
      <c r="DQ330" s="332">
        <v>1E-4</v>
      </c>
      <c r="DR330" s="332">
        <v>0</v>
      </c>
      <c r="DS330" s="332">
        <v>3.5999999999999999E-3</v>
      </c>
      <c r="DT330" s="332">
        <v>4.6999999999999999E-4</v>
      </c>
      <c r="DW330" s="332">
        <v>0</v>
      </c>
      <c r="DX330" s="332">
        <v>5.0000000000000001E-4</v>
      </c>
      <c r="DY330" s="332">
        <v>5.0000000000000001E-4</v>
      </c>
      <c r="DZ330" s="332">
        <v>2.9999999999999997E-4</v>
      </c>
      <c r="EA330" s="332">
        <v>2.7500000000000002E-4</v>
      </c>
      <c r="EB330" s="332">
        <v>4.0000000000000002E-4</v>
      </c>
      <c r="ED330" s="332">
        <v>6.4999999999999994E-5</v>
      </c>
      <c r="EF330">
        <v>1</v>
      </c>
    </row>
    <row r="331" spans="2:136" x14ac:dyDescent="0.25">
      <c r="B331">
        <v>0.98</v>
      </c>
      <c r="C331">
        <v>0</v>
      </c>
      <c r="E331">
        <v>0</v>
      </c>
      <c r="F331">
        <v>0</v>
      </c>
      <c r="G331">
        <v>0</v>
      </c>
      <c r="H331">
        <v>0</v>
      </c>
      <c r="I331">
        <v>0</v>
      </c>
      <c r="J331">
        <v>0.98050000000000004</v>
      </c>
      <c r="K331">
        <v>0</v>
      </c>
      <c r="L331" s="333">
        <v>0</v>
      </c>
      <c r="M331" s="333">
        <v>0</v>
      </c>
      <c r="N331">
        <v>0</v>
      </c>
      <c r="O331">
        <v>0</v>
      </c>
      <c r="P331">
        <v>0</v>
      </c>
      <c r="Q331" s="328">
        <v>0</v>
      </c>
      <c r="BB331" s="446">
        <v>1</v>
      </c>
      <c r="BC331">
        <v>1</v>
      </c>
      <c r="BD331">
        <v>1</v>
      </c>
      <c r="BE331">
        <v>1</v>
      </c>
      <c r="BF331">
        <v>0.99990000000000001</v>
      </c>
      <c r="BG331">
        <v>1</v>
      </c>
      <c r="BH331">
        <v>1</v>
      </c>
      <c r="BI331">
        <v>0.99</v>
      </c>
      <c r="BJ331">
        <v>0.999</v>
      </c>
      <c r="BK331">
        <v>0.998</v>
      </c>
      <c r="BL331">
        <v>0.99850000000000005</v>
      </c>
      <c r="BM331">
        <v>0.99850000000000005</v>
      </c>
      <c r="BN331">
        <v>0.97199999999999998</v>
      </c>
      <c r="BO331">
        <v>0.99990000000000001</v>
      </c>
      <c r="BP331">
        <v>0.99990000000000001</v>
      </c>
      <c r="BQ331">
        <v>1</v>
      </c>
      <c r="CP331">
        <v>0.86499999999999999</v>
      </c>
      <c r="DB331">
        <v>0.8</v>
      </c>
      <c r="DC331">
        <v>0.9</v>
      </c>
      <c r="DD331">
        <v>0.83</v>
      </c>
      <c r="DE331">
        <v>0.89</v>
      </c>
      <c r="DN331" s="332">
        <v>2.8499999999999999E-4</v>
      </c>
      <c r="DO331" s="332">
        <v>2.0000000000000001E-4</v>
      </c>
      <c r="DP331" s="332">
        <v>0</v>
      </c>
      <c r="DQ331" s="332">
        <v>1E-4</v>
      </c>
      <c r="DR331" s="332">
        <v>0</v>
      </c>
      <c r="DS331" s="332">
        <v>3.5999999999999999E-3</v>
      </c>
      <c r="DT331" s="332">
        <v>4.6999999999999999E-4</v>
      </c>
      <c r="DW331" s="332">
        <v>0</v>
      </c>
      <c r="DX331" s="332">
        <v>5.0000000000000001E-4</v>
      </c>
      <c r="DY331" s="332">
        <v>5.0000000000000001E-4</v>
      </c>
      <c r="DZ331" s="332">
        <v>2.9999999999999997E-4</v>
      </c>
      <c r="EA331" s="332">
        <v>2.7500000000000002E-4</v>
      </c>
      <c r="EB331" s="332">
        <v>4.0000000000000002E-4</v>
      </c>
      <c r="ED331">
        <v>6.4999999999999994E-5</v>
      </c>
      <c r="EF331">
        <v>1</v>
      </c>
    </row>
    <row r="332" spans="2:136" x14ac:dyDescent="0.25">
      <c r="B332">
        <v>0.98</v>
      </c>
      <c r="C332">
        <v>0</v>
      </c>
      <c r="E332">
        <v>0</v>
      </c>
      <c r="F332">
        <v>0</v>
      </c>
      <c r="G332">
        <v>0</v>
      </c>
      <c r="H332">
        <v>0</v>
      </c>
      <c r="I332">
        <v>0</v>
      </c>
      <c r="J332">
        <v>0.98050000000000004</v>
      </c>
      <c r="K332">
        <v>0</v>
      </c>
      <c r="L332" s="333">
        <v>0</v>
      </c>
      <c r="M332" s="333">
        <v>0</v>
      </c>
      <c r="N332">
        <v>0</v>
      </c>
      <c r="O332">
        <v>0</v>
      </c>
      <c r="P332">
        <v>0</v>
      </c>
      <c r="Q332" s="328">
        <v>0</v>
      </c>
      <c r="BB332" s="446">
        <v>1</v>
      </c>
      <c r="BC332">
        <v>1</v>
      </c>
      <c r="BD332">
        <v>1</v>
      </c>
      <c r="BE332">
        <v>1</v>
      </c>
      <c r="BF332">
        <v>0.99990000000000001</v>
      </c>
      <c r="BG332">
        <v>1</v>
      </c>
      <c r="BH332">
        <v>1</v>
      </c>
      <c r="BI332">
        <v>0.99</v>
      </c>
      <c r="BJ332">
        <v>0.999</v>
      </c>
      <c r="BK332">
        <v>0.998</v>
      </c>
      <c r="BL332">
        <v>0.99850000000000005</v>
      </c>
      <c r="BM332">
        <v>0.99850000000000005</v>
      </c>
      <c r="BN332">
        <v>0.97199999999999998</v>
      </c>
      <c r="BO332">
        <v>0.99990000000000001</v>
      </c>
      <c r="BP332">
        <v>0.99990000000000001</v>
      </c>
      <c r="CP332">
        <v>0.89500000000000002</v>
      </c>
      <c r="DB332">
        <v>0.85</v>
      </c>
      <c r="DC332">
        <v>0.90300000000000002</v>
      </c>
      <c r="DD332">
        <v>0.92</v>
      </c>
      <c r="DE332">
        <v>0.89</v>
      </c>
      <c r="DN332">
        <v>2.8499999999999999E-4</v>
      </c>
      <c r="DO332">
        <v>2.0000000000000001E-4</v>
      </c>
      <c r="DP332" s="332">
        <v>0</v>
      </c>
      <c r="DQ332">
        <v>1E-4</v>
      </c>
      <c r="DR332">
        <v>0</v>
      </c>
      <c r="DS332">
        <v>3.5999999999999999E-3</v>
      </c>
      <c r="DT332">
        <v>4.6999999999999999E-4</v>
      </c>
      <c r="DW332">
        <v>0</v>
      </c>
      <c r="DX332">
        <v>5.0000000000000001E-4</v>
      </c>
      <c r="DY332">
        <v>5.0000000000000001E-4</v>
      </c>
      <c r="DZ332">
        <v>2.9999999999999997E-4</v>
      </c>
      <c r="EA332">
        <v>2.7500000000000002E-4</v>
      </c>
      <c r="EB332">
        <v>4.0000000000000002E-4</v>
      </c>
    </row>
    <row r="333" spans="2:136" x14ac:dyDescent="0.25">
      <c r="B333">
        <v>0.98</v>
      </c>
      <c r="C333">
        <v>0</v>
      </c>
      <c r="E333">
        <v>0</v>
      </c>
      <c r="F333">
        <v>0</v>
      </c>
      <c r="G333">
        <v>0</v>
      </c>
      <c r="H333">
        <v>0</v>
      </c>
      <c r="I333">
        <v>0</v>
      </c>
      <c r="J333">
        <v>0.98050000000000004</v>
      </c>
      <c r="K333">
        <v>0</v>
      </c>
      <c r="L333" s="333">
        <v>0</v>
      </c>
      <c r="M333" s="333">
        <v>0</v>
      </c>
      <c r="N333">
        <v>0</v>
      </c>
      <c r="O333">
        <v>0</v>
      </c>
      <c r="P333">
        <v>0</v>
      </c>
      <c r="Q333" s="328">
        <v>0</v>
      </c>
      <c r="BB333" s="446">
        <v>1</v>
      </c>
      <c r="BC333">
        <v>1</v>
      </c>
      <c r="BD333">
        <v>1</v>
      </c>
      <c r="BE333">
        <v>1</v>
      </c>
      <c r="BF333">
        <v>0.99990000000000001</v>
      </c>
      <c r="BG333">
        <v>1</v>
      </c>
      <c r="BH333">
        <v>1</v>
      </c>
      <c r="BI333">
        <v>0.99</v>
      </c>
      <c r="BJ333">
        <v>0.999</v>
      </c>
      <c r="BK333">
        <v>0.998</v>
      </c>
      <c r="BL333">
        <v>0.99850000000000005</v>
      </c>
      <c r="BM333">
        <v>0.99850000000000005</v>
      </c>
      <c r="BN333">
        <v>0.97199999999999998</v>
      </c>
      <c r="BO333">
        <v>0.99990000000000001</v>
      </c>
      <c r="BP333">
        <v>0.99990000000000001</v>
      </c>
      <c r="CP333">
        <v>0.96499999999999997</v>
      </c>
      <c r="DB333">
        <v>0.88</v>
      </c>
      <c r="DC333">
        <v>0.9</v>
      </c>
      <c r="DD333">
        <v>0.93500000000000005</v>
      </c>
      <c r="DE333">
        <v>0.89</v>
      </c>
    </row>
    <row r="334" spans="2:136" x14ac:dyDescent="0.25">
      <c r="B334">
        <v>0.98</v>
      </c>
      <c r="C334">
        <v>0</v>
      </c>
      <c r="E334">
        <v>0</v>
      </c>
      <c r="F334">
        <v>0</v>
      </c>
      <c r="G334">
        <v>0</v>
      </c>
      <c r="H334">
        <v>0</v>
      </c>
      <c r="I334">
        <v>0</v>
      </c>
      <c r="J334">
        <v>0.98050000000000004</v>
      </c>
      <c r="K334">
        <v>0</v>
      </c>
      <c r="L334" s="333">
        <v>0</v>
      </c>
      <c r="M334" s="333">
        <v>0</v>
      </c>
      <c r="N334">
        <v>0</v>
      </c>
      <c r="O334">
        <v>0</v>
      </c>
      <c r="P334">
        <v>0</v>
      </c>
      <c r="Q334" s="328">
        <v>0</v>
      </c>
      <c r="BB334" s="446">
        <v>1</v>
      </c>
      <c r="BC334">
        <v>1</v>
      </c>
      <c r="BD334">
        <v>1</v>
      </c>
      <c r="BE334">
        <v>1</v>
      </c>
      <c r="BF334">
        <v>0.99990000000000001</v>
      </c>
      <c r="BG334">
        <v>1</v>
      </c>
      <c r="BH334">
        <v>1</v>
      </c>
      <c r="BI334">
        <v>0.99</v>
      </c>
      <c r="BJ334">
        <v>0.999</v>
      </c>
      <c r="BK334">
        <v>0.998</v>
      </c>
      <c r="BL334">
        <v>0.99850000000000005</v>
      </c>
      <c r="BM334">
        <v>0.99850000000000005</v>
      </c>
      <c r="BN334">
        <v>0.97199999999999998</v>
      </c>
      <c r="BO334">
        <v>0.99990000000000001</v>
      </c>
      <c r="BP334">
        <v>0.99990000000000001</v>
      </c>
      <c r="CP334">
        <v>0.96499999999999997</v>
      </c>
      <c r="DB334">
        <v>0.88</v>
      </c>
      <c r="DC334">
        <v>0.90249999999999997</v>
      </c>
      <c r="DD334">
        <v>0.91500000000000004</v>
      </c>
      <c r="DE334">
        <v>0.89</v>
      </c>
    </row>
    <row r="335" spans="2:136" x14ac:dyDescent="0.25">
      <c r="B335">
        <v>0.98</v>
      </c>
      <c r="C335">
        <v>0</v>
      </c>
      <c r="E335">
        <v>0</v>
      </c>
      <c r="F335">
        <v>0</v>
      </c>
      <c r="G335">
        <v>0</v>
      </c>
      <c r="H335">
        <v>0</v>
      </c>
      <c r="I335">
        <v>0</v>
      </c>
      <c r="J335">
        <v>0.98050000000000004</v>
      </c>
      <c r="K335">
        <v>0</v>
      </c>
      <c r="L335" s="333">
        <v>0</v>
      </c>
      <c r="M335" s="333">
        <v>0</v>
      </c>
      <c r="N335">
        <v>0</v>
      </c>
      <c r="O335">
        <v>0</v>
      </c>
      <c r="P335">
        <v>0</v>
      </c>
      <c r="Q335" s="328">
        <v>0</v>
      </c>
      <c r="BB335" s="446">
        <v>1</v>
      </c>
      <c r="BC335">
        <v>1</v>
      </c>
      <c r="BD335">
        <v>1</v>
      </c>
      <c r="BE335">
        <v>1</v>
      </c>
      <c r="BF335">
        <v>0.99990000000000001</v>
      </c>
      <c r="BG335">
        <v>1</v>
      </c>
      <c r="BH335">
        <v>1</v>
      </c>
      <c r="BI335">
        <v>0.99</v>
      </c>
      <c r="BJ335">
        <v>0.999</v>
      </c>
      <c r="BK335">
        <v>0.998</v>
      </c>
      <c r="BL335">
        <v>0.99850000000000005</v>
      </c>
      <c r="BM335">
        <v>0.99850000000000005</v>
      </c>
      <c r="BN335">
        <v>0.97199999999999998</v>
      </c>
      <c r="BO335">
        <v>0.99990000000000001</v>
      </c>
      <c r="BP335">
        <v>0.99990000000000001</v>
      </c>
      <c r="CP335">
        <v>0.97499999999999998</v>
      </c>
      <c r="DB335">
        <v>0.89</v>
      </c>
      <c r="DC335">
        <v>0.90749999999999997</v>
      </c>
      <c r="DD335">
        <v>0.91500000000000004</v>
      </c>
      <c r="DE335">
        <v>0.89</v>
      </c>
    </row>
    <row r="336" spans="2:136" x14ac:dyDescent="0.25">
      <c r="B336">
        <v>0.98</v>
      </c>
      <c r="C336">
        <v>0</v>
      </c>
      <c r="E336">
        <v>0</v>
      </c>
      <c r="F336">
        <v>0</v>
      </c>
      <c r="G336">
        <v>0</v>
      </c>
      <c r="H336">
        <v>0</v>
      </c>
      <c r="I336">
        <v>0</v>
      </c>
      <c r="J336">
        <v>0.98050000000000004</v>
      </c>
      <c r="K336">
        <v>0</v>
      </c>
      <c r="L336" s="333">
        <v>0</v>
      </c>
      <c r="M336" s="333">
        <v>0</v>
      </c>
      <c r="N336">
        <v>0</v>
      </c>
      <c r="O336">
        <v>0</v>
      </c>
      <c r="P336">
        <v>0</v>
      </c>
      <c r="Q336" s="328">
        <v>0</v>
      </c>
      <c r="BB336" s="446">
        <v>1</v>
      </c>
      <c r="BC336">
        <v>1</v>
      </c>
      <c r="BD336">
        <v>1</v>
      </c>
      <c r="BE336">
        <v>1</v>
      </c>
      <c r="BF336">
        <v>0.99990000000000001</v>
      </c>
      <c r="BG336">
        <v>1</v>
      </c>
      <c r="BH336">
        <v>1</v>
      </c>
      <c r="BI336">
        <v>0.99</v>
      </c>
      <c r="BJ336">
        <v>0.999</v>
      </c>
      <c r="BK336">
        <v>0.998</v>
      </c>
      <c r="BL336">
        <v>0.99850000000000005</v>
      </c>
      <c r="BM336">
        <v>0.99850000000000005</v>
      </c>
      <c r="BN336">
        <v>0.97199999999999998</v>
      </c>
      <c r="BO336">
        <v>0.99990000000000001</v>
      </c>
      <c r="BP336">
        <v>0.99990000000000001</v>
      </c>
      <c r="CP336">
        <v>0.97499999999999998</v>
      </c>
      <c r="DB336">
        <v>0.91500000000000004</v>
      </c>
      <c r="DC336">
        <v>0.92749999999999999</v>
      </c>
      <c r="DD336">
        <v>0.91500000000000004</v>
      </c>
      <c r="DE336">
        <v>0.89</v>
      </c>
    </row>
    <row r="337" spans="2:109" x14ac:dyDescent="0.25">
      <c r="B337">
        <v>0.98</v>
      </c>
      <c r="C337">
        <v>0</v>
      </c>
      <c r="E337">
        <v>0</v>
      </c>
      <c r="F337">
        <v>0</v>
      </c>
      <c r="G337">
        <v>0</v>
      </c>
      <c r="H337">
        <v>0</v>
      </c>
      <c r="I337">
        <v>0</v>
      </c>
      <c r="J337">
        <v>0.98050000000000004</v>
      </c>
      <c r="K337">
        <v>0</v>
      </c>
      <c r="L337" s="333">
        <v>0</v>
      </c>
      <c r="M337" s="333">
        <v>0</v>
      </c>
      <c r="N337">
        <v>0</v>
      </c>
      <c r="O337">
        <v>0</v>
      </c>
      <c r="P337">
        <v>0</v>
      </c>
      <c r="Q337" s="328">
        <v>0</v>
      </c>
      <c r="BB337" s="446">
        <v>1</v>
      </c>
      <c r="BC337">
        <v>1</v>
      </c>
      <c r="BD337">
        <v>1</v>
      </c>
      <c r="BE337">
        <v>1</v>
      </c>
      <c r="BF337">
        <v>0.99990000000000001</v>
      </c>
      <c r="BG337">
        <v>1</v>
      </c>
      <c r="BH337">
        <v>1</v>
      </c>
      <c r="BI337">
        <v>0.99</v>
      </c>
      <c r="BJ337">
        <v>0.999</v>
      </c>
      <c r="BK337">
        <v>0.998</v>
      </c>
      <c r="BL337">
        <v>0.99850000000000005</v>
      </c>
      <c r="BM337">
        <v>0.99850000000000005</v>
      </c>
      <c r="BN337">
        <v>0.97199999999999998</v>
      </c>
      <c r="BO337">
        <v>0.99990000000000001</v>
      </c>
      <c r="BP337">
        <v>0.99990000000000001</v>
      </c>
      <c r="CP337">
        <v>0.97499999999999998</v>
      </c>
      <c r="DB337">
        <v>0.94499999999999995</v>
      </c>
      <c r="DC337">
        <v>0.92</v>
      </c>
      <c r="DD337">
        <v>0.91500000000000004</v>
      </c>
      <c r="DE337">
        <v>0.89</v>
      </c>
    </row>
    <row r="338" spans="2:109" x14ac:dyDescent="0.25">
      <c r="B338">
        <v>0.98</v>
      </c>
      <c r="C338">
        <v>0</v>
      </c>
      <c r="E338">
        <v>0</v>
      </c>
      <c r="F338">
        <v>0</v>
      </c>
      <c r="G338">
        <v>0</v>
      </c>
      <c r="H338">
        <v>0</v>
      </c>
      <c r="I338">
        <v>0</v>
      </c>
      <c r="J338">
        <v>0.98050000000000004</v>
      </c>
      <c r="K338">
        <v>0</v>
      </c>
      <c r="L338" s="333">
        <v>0</v>
      </c>
      <c r="M338" s="333">
        <v>0</v>
      </c>
      <c r="N338">
        <v>0</v>
      </c>
      <c r="O338">
        <v>0</v>
      </c>
      <c r="P338">
        <v>0</v>
      </c>
      <c r="Q338" s="328">
        <v>0</v>
      </c>
      <c r="BB338" s="446">
        <v>1</v>
      </c>
      <c r="BC338">
        <v>1</v>
      </c>
      <c r="BD338">
        <v>1</v>
      </c>
      <c r="BE338">
        <v>1</v>
      </c>
      <c r="BF338">
        <v>0.99990000000000001</v>
      </c>
      <c r="BG338">
        <v>1</v>
      </c>
      <c r="BH338">
        <v>1</v>
      </c>
      <c r="BI338">
        <v>0.99</v>
      </c>
      <c r="BJ338">
        <v>0.999</v>
      </c>
      <c r="BK338">
        <v>0.998</v>
      </c>
      <c r="BL338">
        <v>0.99850000000000005</v>
      </c>
      <c r="BM338">
        <v>0.99850000000000005</v>
      </c>
      <c r="BN338">
        <v>0.97199999999999998</v>
      </c>
      <c r="BO338">
        <v>0.99990000000000001</v>
      </c>
      <c r="BP338">
        <v>0.99990000000000001</v>
      </c>
      <c r="CP338">
        <v>0.95499999999999996</v>
      </c>
      <c r="DB338">
        <v>0.875</v>
      </c>
      <c r="DC338">
        <v>0.90249999999999997</v>
      </c>
      <c r="DD338">
        <v>0.82</v>
      </c>
      <c r="DE338">
        <v>0.89</v>
      </c>
    </row>
    <row r="339" spans="2:109" x14ac:dyDescent="0.25">
      <c r="B339">
        <v>0.98</v>
      </c>
      <c r="C339">
        <v>0</v>
      </c>
      <c r="E339">
        <v>0</v>
      </c>
      <c r="F339">
        <v>0</v>
      </c>
      <c r="G339">
        <v>0</v>
      </c>
      <c r="H339">
        <v>0</v>
      </c>
      <c r="I339">
        <v>0</v>
      </c>
      <c r="J339">
        <v>0.98050000000000004</v>
      </c>
      <c r="K339">
        <v>0</v>
      </c>
      <c r="L339" s="333">
        <v>0</v>
      </c>
      <c r="M339" s="333">
        <v>0</v>
      </c>
      <c r="N339">
        <v>0</v>
      </c>
      <c r="O339">
        <v>0</v>
      </c>
      <c r="P339">
        <v>0</v>
      </c>
      <c r="Q339" s="328">
        <v>0</v>
      </c>
      <c r="BB339" s="446">
        <v>1</v>
      </c>
      <c r="BC339">
        <v>1</v>
      </c>
      <c r="BD339">
        <v>1</v>
      </c>
      <c r="BE339">
        <v>1</v>
      </c>
      <c r="BF339">
        <v>0.99990000000000001</v>
      </c>
      <c r="BG339">
        <v>1</v>
      </c>
      <c r="BH339">
        <v>1</v>
      </c>
      <c r="BI339">
        <v>0.99</v>
      </c>
      <c r="BJ339">
        <v>0.999</v>
      </c>
      <c r="BK339">
        <v>0.998</v>
      </c>
      <c r="BL339">
        <v>0.99850000000000005</v>
      </c>
      <c r="BM339">
        <v>0.99850000000000005</v>
      </c>
      <c r="BN339">
        <v>0.97199999999999998</v>
      </c>
      <c r="BO339">
        <v>0.99990000000000001</v>
      </c>
      <c r="BP339">
        <v>0.99990000000000001</v>
      </c>
      <c r="CP339">
        <v>0.95499999999999996</v>
      </c>
      <c r="DB339">
        <v>0.85</v>
      </c>
      <c r="DC339">
        <v>0.90249999999999997</v>
      </c>
      <c r="DD339">
        <v>0.82</v>
      </c>
      <c r="DE339">
        <v>0.89</v>
      </c>
    </row>
    <row r="340" spans="2:109" x14ac:dyDescent="0.25">
      <c r="B340">
        <v>0.98</v>
      </c>
      <c r="C340">
        <v>0</v>
      </c>
      <c r="E340">
        <v>0</v>
      </c>
      <c r="F340">
        <v>0</v>
      </c>
      <c r="G340">
        <v>0</v>
      </c>
      <c r="H340">
        <v>0</v>
      </c>
      <c r="I340">
        <v>0</v>
      </c>
      <c r="J340">
        <v>0.98050000000000004</v>
      </c>
      <c r="K340">
        <v>0</v>
      </c>
      <c r="L340" s="333">
        <v>0</v>
      </c>
      <c r="M340" s="333">
        <v>0</v>
      </c>
      <c r="N340">
        <v>0</v>
      </c>
      <c r="O340">
        <v>0</v>
      </c>
      <c r="P340">
        <v>0</v>
      </c>
      <c r="Q340" s="328">
        <v>0</v>
      </c>
      <c r="BB340" s="446">
        <v>1</v>
      </c>
      <c r="BC340">
        <v>1</v>
      </c>
      <c r="BD340">
        <v>1</v>
      </c>
      <c r="BE340">
        <v>1</v>
      </c>
      <c r="BF340">
        <v>0.99990000000000001</v>
      </c>
      <c r="BG340">
        <v>1</v>
      </c>
      <c r="BH340">
        <v>1</v>
      </c>
      <c r="BI340">
        <v>0.99</v>
      </c>
      <c r="BJ340">
        <v>0.999</v>
      </c>
      <c r="BK340">
        <v>0.998</v>
      </c>
      <c r="BL340">
        <v>0.99850000000000005</v>
      </c>
      <c r="BM340">
        <v>0.99850000000000005</v>
      </c>
      <c r="BN340">
        <v>0.97199999999999998</v>
      </c>
      <c r="BO340">
        <v>0.99990000000000001</v>
      </c>
      <c r="BP340">
        <v>0.99990000000000001</v>
      </c>
      <c r="CP340">
        <v>0.93500000000000005</v>
      </c>
      <c r="DB340">
        <v>0.69</v>
      </c>
      <c r="DC340">
        <v>0.89249999999999996</v>
      </c>
      <c r="DD340">
        <v>0.71499999999999997</v>
      </c>
      <c r="DE340">
        <v>0.89</v>
      </c>
    </row>
    <row r="341" spans="2:109" x14ac:dyDescent="0.25">
      <c r="B341">
        <v>0.98</v>
      </c>
      <c r="C341">
        <v>0</v>
      </c>
      <c r="E341">
        <v>0</v>
      </c>
      <c r="F341">
        <v>0</v>
      </c>
      <c r="G341">
        <v>0</v>
      </c>
      <c r="H341">
        <v>0</v>
      </c>
      <c r="I341">
        <v>0</v>
      </c>
      <c r="J341">
        <v>0.98050000000000004</v>
      </c>
      <c r="K341">
        <v>0</v>
      </c>
      <c r="L341" s="333">
        <v>0</v>
      </c>
      <c r="M341" s="333">
        <v>0</v>
      </c>
      <c r="N341">
        <v>0</v>
      </c>
      <c r="O341">
        <v>0</v>
      </c>
      <c r="P341">
        <v>0</v>
      </c>
      <c r="Q341" s="328">
        <v>0</v>
      </c>
      <c r="BB341" s="446">
        <v>1</v>
      </c>
      <c r="BC341">
        <v>1</v>
      </c>
      <c r="BD341">
        <v>1</v>
      </c>
      <c r="BE341">
        <v>1</v>
      </c>
      <c r="BF341">
        <v>0.99990000000000001</v>
      </c>
      <c r="BG341">
        <v>1</v>
      </c>
      <c r="BH341">
        <v>1</v>
      </c>
      <c r="BI341">
        <v>0.99</v>
      </c>
      <c r="BJ341">
        <v>0.999</v>
      </c>
      <c r="BK341">
        <v>0.998</v>
      </c>
      <c r="BL341">
        <v>0.99850000000000005</v>
      </c>
      <c r="BM341">
        <v>0.99850000000000005</v>
      </c>
      <c r="BN341">
        <v>0.97199999999999998</v>
      </c>
      <c r="BO341">
        <v>0.99990000000000001</v>
      </c>
      <c r="BP341">
        <v>0.99990000000000001</v>
      </c>
      <c r="DB341">
        <v>0.69</v>
      </c>
      <c r="DC341">
        <v>0.88</v>
      </c>
      <c r="DD341">
        <v>0.64</v>
      </c>
      <c r="DE341">
        <v>0.89</v>
      </c>
    </row>
    <row r="342" spans="2:109" x14ac:dyDescent="0.25">
      <c r="B342">
        <v>0.98</v>
      </c>
      <c r="C342">
        <v>0</v>
      </c>
      <c r="E342">
        <v>0</v>
      </c>
      <c r="F342">
        <v>0</v>
      </c>
      <c r="G342">
        <v>0</v>
      </c>
      <c r="H342">
        <v>0</v>
      </c>
      <c r="I342">
        <v>0</v>
      </c>
      <c r="J342">
        <v>0.98050000000000004</v>
      </c>
      <c r="K342">
        <v>0</v>
      </c>
      <c r="L342" s="333">
        <v>0</v>
      </c>
      <c r="M342" s="333">
        <v>0</v>
      </c>
      <c r="N342">
        <v>0</v>
      </c>
      <c r="O342">
        <v>0</v>
      </c>
      <c r="P342">
        <v>0</v>
      </c>
      <c r="Q342" s="328">
        <v>0</v>
      </c>
      <c r="BB342" s="446">
        <v>1</v>
      </c>
      <c r="BC342">
        <v>1</v>
      </c>
      <c r="BD342">
        <v>1</v>
      </c>
      <c r="BE342">
        <v>1</v>
      </c>
      <c r="BF342">
        <v>0.99990000000000001</v>
      </c>
      <c r="BG342">
        <v>1</v>
      </c>
      <c r="BH342">
        <v>1</v>
      </c>
      <c r="BI342">
        <v>0.99</v>
      </c>
      <c r="BJ342">
        <v>0.999</v>
      </c>
      <c r="BK342">
        <v>0.998</v>
      </c>
      <c r="BL342">
        <v>0.99850000000000005</v>
      </c>
      <c r="BM342">
        <v>0.99850000000000005</v>
      </c>
      <c r="BN342">
        <v>0.97199999999999998</v>
      </c>
      <c r="BO342">
        <v>0.99990000000000001</v>
      </c>
      <c r="BP342">
        <v>0.99990000000000001</v>
      </c>
      <c r="DB342">
        <v>0.71</v>
      </c>
      <c r="DC342">
        <v>0.87749999999999995</v>
      </c>
      <c r="DD342">
        <v>0.67</v>
      </c>
      <c r="DE342">
        <v>0.89</v>
      </c>
    </row>
    <row r="343" spans="2:109" x14ac:dyDescent="0.25">
      <c r="B343">
        <v>0.98</v>
      </c>
      <c r="C343">
        <v>0</v>
      </c>
      <c r="E343">
        <v>0</v>
      </c>
      <c r="F343">
        <v>0</v>
      </c>
      <c r="G343">
        <v>0</v>
      </c>
      <c r="H343">
        <v>0</v>
      </c>
      <c r="I343">
        <v>0</v>
      </c>
      <c r="J343">
        <v>0.98050000000000004</v>
      </c>
      <c r="K343">
        <v>0</v>
      </c>
      <c r="L343" s="333">
        <v>0</v>
      </c>
      <c r="M343" s="333">
        <v>0</v>
      </c>
      <c r="N343">
        <v>0</v>
      </c>
      <c r="O343">
        <v>0</v>
      </c>
      <c r="P343">
        <v>0</v>
      </c>
      <c r="Q343" s="328">
        <v>0</v>
      </c>
      <c r="BB343" s="446">
        <v>1</v>
      </c>
      <c r="BC343">
        <v>1</v>
      </c>
      <c r="BD343">
        <v>1</v>
      </c>
      <c r="BE343">
        <v>1</v>
      </c>
      <c r="BF343">
        <v>0.99990000000000001</v>
      </c>
      <c r="BG343">
        <v>1</v>
      </c>
      <c r="BH343">
        <v>1</v>
      </c>
      <c r="BI343">
        <v>0.99</v>
      </c>
      <c r="BJ343">
        <v>0.999</v>
      </c>
      <c r="BK343">
        <v>0.998</v>
      </c>
      <c r="BL343">
        <v>0.99850000000000005</v>
      </c>
      <c r="BM343">
        <v>0.99850000000000005</v>
      </c>
      <c r="BN343">
        <v>0.97199999999999998</v>
      </c>
      <c r="BO343">
        <v>0.99990000000000001</v>
      </c>
      <c r="BP343">
        <v>0.99990000000000001</v>
      </c>
      <c r="DB343">
        <v>0.8</v>
      </c>
      <c r="DC343">
        <v>0.9</v>
      </c>
      <c r="DD343">
        <v>0.83</v>
      </c>
      <c r="DE343">
        <v>0.89</v>
      </c>
    </row>
    <row r="344" spans="2:109" x14ac:dyDescent="0.25">
      <c r="B344">
        <v>0.98</v>
      </c>
      <c r="C344">
        <v>0</v>
      </c>
      <c r="E344">
        <v>0</v>
      </c>
      <c r="F344">
        <v>0</v>
      </c>
      <c r="G344">
        <v>0</v>
      </c>
      <c r="H344">
        <v>0</v>
      </c>
      <c r="I344">
        <v>0</v>
      </c>
      <c r="J344">
        <v>0.98050000000000004</v>
      </c>
      <c r="K344">
        <v>0</v>
      </c>
      <c r="L344" s="333">
        <v>0</v>
      </c>
      <c r="M344" s="333">
        <v>0</v>
      </c>
      <c r="N344">
        <v>0</v>
      </c>
      <c r="O344">
        <v>0</v>
      </c>
      <c r="P344">
        <v>0</v>
      </c>
      <c r="Q344" s="328">
        <v>0</v>
      </c>
      <c r="BB344" s="446">
        <v>1</v>
      </c>
      <c r="BC344">
        <v>1</v>
      </c>
      <c r="BD344">
        <v>1</v>
      </c>
      <c r="BE344">
        <v>1</v>
      </c>
      <c r="BF344">
        <v>0.99990000000000001</v>
      </c>
      <c r="BG344">
        <v>1</v>
      </c>
      <c r="BH344">
        <v>1</v>
      </c>
      <c r="BI344">
        <v>0.99</v>
      </c>
      <c r="BJ344">
        <v>0.999</v>
      </c>
      <c r="BK344">
        <v>0.998</v>
      </c>
      <c r="BL344">
        <v>0.99850000000000005</v>
      </c>
      <c r="BM344">
        <v>0.99850000000000005</v>
      </c>
      <c r="BN344">
        <v>0.97199999999999998</v>
      </c>
      <c r="BO344">
        <v>0.99990000000000001</v>
      </c>
      <c r="BP344">
        <v>0.99990000000000001</v>
      </c>
      <c r="DB344">
        <v>0.85</v>
      </c>
      <c r="DC344">
        <v>0.90300000000000002</v>
      </c>
      <c r="DD344">
        <v>0.92</v>
      </c>
      <c r="DE344">
        <v>0.89</v>
      </c>
    </row>
    <row r="345" spans="2:109" x14ac:dyDescent="0.25">
      <c r="B345">
        <v>0.98</v>
      </c>
      <c r="C345">
        <v>0</v>
      </c>
      <c r="E345">
        <v>0</v>
      </c>
      <c r="F345">
        <v>0</v>
      </c>
      <c r="G345">
        <v>0</v>
      </c>
      <c r="H345">
        <v>0</v>
      </c>
      <c r="I345">
        <v>0</v>
      </c>
      <c r="J345">
        <v>0.98050000000000004</v>
      </c>
      <c r="K345">
        <v>0</v>
      </c>
      <c r="L345" s="333">
        <v>0</v>
      </c>
      <c r="M345" s="333">
        <v>0</v>
      </c>
      <c r="N345">
        <v>0</v>
      </c>
      <c r="O345">
        <v>0</v>
      </c>
      <c r="P345">
        <v>0</v>
      </c>
      <c r="Q345" s="328">
        <v>0</v>
      </c>
      <c r="BB345" s="446">
        <v>1</v>
      </c>
      <c r="BC345">
        <v>1</v>
      </c>
      <c r="BD345">
        <v>1</v>
      </c>
      <c r="BE345">
        <v>1</v>
      </c>
      <c r="BF345">
        <v>0.99990000000000001</v>
      </c>
      <c r="BG345">
        <v>1</v>
      </c>
      <c r="BH345">
        <v>1</v>
      </c>
      <c r="BI345">
        <v>0.99</v>
      </c>
      <c r="BJ345">
        <v>0.999</v>
      </c>
      <c r="BK345">
        <v>0.998</v>
      </c>
      <c r="BL345">
        <v>0.99850000000000005</v>
      </c>
      <c r="BM345">
        <v>0.99850000000000005</v>
      </c>
      <c r="BN345">
        <v>0.97199999999999998</v>
      </c>
      <c r="BO345">
        <v>0.99990000000000001</v>
      </c>
      <c r="BP345">
        <v>0.99990000000000001</v>
      </c>
      <c r="DB345">
        <v>0.88</v>
      </c>
      <c r="DC345">
        <v>0.9</v>
      </c>
      <c r="DD345">
        <v>0.93500000000000005</v>
      </c>
      <c r="DE345">
        <v>0.89</v>
      </c>
    </row>
    <row r="346" spans="2:109" x14ac:dyDescent="0.25">
      <c r="B346">
        <v>0.98</v>
      </c>
      <c r="C346">
        <v>0</v>
      </c>
      <c r="E346">
        <v>0</v>
      </c>
      <c r="F346">
        <v>0</v>
      </c>
      <c r="G346">
        <v>0</v>
      </c>
      <c r="H346">
        <v>0</v>
      </c>
      <c r="I346">
        <v>0</v>
      </c>
      <c r="J346">
        <v>0.98050000000000004</v>
      </c>
      <c r="K346">
        <v>0</v>
      </c>
      <c r="L346" s="333">
        <v>0</v>
      </c>
      <c r="M346" s="333">
        <v>0</v>
      </c>
      <c r="N346">
        <v>0</v>
      </c>
      <c r="O346">
        <v>0</v>
      </c>
      <c r="P346">
        <v>0</v>
      </c>
      <c r="Q346" s="328">
        <v>0</v>
      </c>
      <c r="BB346" s="446">
        <v>1</v>
      </c>
      <c r="BC346">
        <v>1</v>
      </c>
      <c r="BD346">
        <v>1</v>
      </c>
      <c r="BE346">
        <v>1</v>
      </c>
      <c r="BF346">
        <v>0.99990000000000001</v>
      </c>
      <c r="BG346">
        <v>1</v>
      </c>
      <c r="BH346">
        <v>1</v>
      </c>
      <c r="BI346">
        <v>0.99</v>
      </c>
      <c r="BJ346">
        <v>0.999</v>
      </c>
      <c r="BK346">
        <v>0.998</v>
      </c>
      <c r="BL346">
        <v>0.99850000000000005</v>
      </c>
      <c r="BM346">
        <v>0.99850000000000005</v>
      </c>
      <c r="BN346">
        <v>0.97199999999999998</v>
      </c>
      <c r="BO346">
        <v>0.99990000000000001</v>
      </c>
      <c r="BP346">
        <v>0.99990000000000001</v>
      </c>
      <c r="DB346">
        <v>0.88</v>
      </c>
      <c r="DC346">
        <v>0.90249999999999997</v>
      </c>
      <c r="DD346">
        <v>0.91500000000000004</v>
      </c>
      <c r="DE346">
        <v>0.89</v>
      </c>
    </row>
    <row r="347" spans="2:109" x14ac:dyDescent="0.25">
      <c r="B347">
        <v>0.98</v>
      </c>
      <c r="C347">
        <v>0</v>
      </c>
      <c r="E347">
        <v>0</v>
      </c>
      <c r="F347">
        <v>0</v>
      </c>
      <c r="G347">
        <v>0</v>
      </c>
      <c r="H347">
        <v>0</v>
      </c>
      <c r="I347">
        <v>0</v>
      </c>
      <c r="J347">
        <v>0.98050000000000004</v>
      </c>
      <c r="K347">
        <v>0</v>
      </c>
      <c r="L347" s="333">
        <v>0</v>
      </c>
      <c r="M347" s="333">
        <v>0</v>
      </c>
      <c r="N347">
        <v>0</v>
      </c>
      <c r="O347">
        <v>0</v>
      </c>
      <c r="P347">
        <v>0</v>
      </c>
      <c r="Q347" s="328">
        <v>0</v>
      </c>
      <c r="BB347" s="446">
        <v>1</v>
      </c>
      <c r="BC347">
        <v>1</v>
      </c>
      <c r="BD347">
        <v>1</v>
      </c>
      <c r="BE347">
        <v>1</v>
      </c>
      <c r="BF347">
        <v>0.99990000000000001</v>
      </c>
      <c r="BG347">
        <v>1</v>
      </c>
      <c r="BH347">
        <v>1</v>
      </c>
      <c r="BI347">
        <v>0.99</v>
      </c>
      <c r="BJ347">
        <v>0.999</v>
      </c>
      <c r="BK347">
        <v>0.998</v>
      </c>
      <c r="BL347">
        <v>0.99850000000000005</v>
      </c>
      <c r="BM347">
        <v>0.99850000000000005</v>
      </c>
      <c r="BN347">
        <v>0.97199999999999998</v>
      </c>
      <c r="BO347">
        <v>0.99990000000000001</v>
      </c>
      <c r="BP347">
        <v>0.99990000000000001</v>
      </c>
      <c r="DB347">
        <v>0.89</v>
      </c>
      <c r="DC347">
        <v>0.90749999999999997</v>
      </c>
      <c r="DD347">
        <v>0.91500000000000004</v>
      </c>
      <c r="DE347">
        <v>0.89</v>
      </c>
    </row>
    <row r="348" spans="2:109" x14ac:dyDescent="0.25">
      <c r="B348">
        <v>0.98</v>
      </c>
      <c r="C348">
        <v>0</v>
      </c>
      <c r="E348">
        <v>0</v>
      </c>
      <c r="F348">
        <v>0</v>
      </c>
      <c r="G348">
        <v>0</v>
      </c>
      <c r="H348">
        <v>0</v>
      </c>
      <c r="I348">
        <v>0</v>
      </c>
      <c r="J348">
        <v>0.98050000000000004</v>
      </c>
      <c r="K348">
        <v>0</v>
      </c>
      <c r="L348" s="333">
        <v>0</v>
      </c>
      <c r="M348" s="333">
        <v>0</v>
      </c>
      <c r="N348">
        <v>0</v>
      </c>
      <c r="O348">
        <v>0</v>
      </c>
      <c r="P348">
        <v>0</v>
      </c>
      <c r="Q348" s="328">
        <v>0</v>
      </c>
      <c r="BB348" s="446">
        <v>1</v>
      </c>
      <c r="BC348">
        <v>1</v>
      </c>
      <c r="BD348">
        <v>1</v>
      </c>
      <c r="BE348">
        <v>1</v>
      </c>
      <c r="BF348">
        <v>0.99990000000000001</v>
      </c>
      <c r="BG348">
        <v>1</v>
      </c>
      <c r="BH348">
        <v>1</v>
      </c>
      <c r="BI348">
        <v>0.99</v>
      </c>
      <c r="BJ348">
        <v>0.999</v>
      </c>
      <c r="BK348">
        <v>0.998</v>
      </c>
      <c r="BL348">
        <v>0.99850000000000005</v>
      </c>
      <c r="BM348">
        <v>0.99850000000000005</v>
      </c>
      <c r="BN348">
        <v>0.97199999999999998</v>
      </c>
      <c r="BO348">
        <v>0.99990000000000001</v>
      </c>
      <c r="BP348">
        <v>0.99990000000000001</v>
      </c>
      <c r="DB348">
        <v>0.91500000000000004</v>
      </c>
      <c r="DC348">
        <v>0.92749999999999999</v>
      </c>
      <c r="DD348">
        <v>0.91500000000000004</v>
      </c>
      <c r="DE348">
        <v>0.89</v>
      </c>
    </row>
    <row r="349" spans="2:109" x14ac:dyDescent="0.25">
      <c r="B349">
        <v>0.98</v>
      </c>
      <c r="C349">
        <v>0</v>
      </c>
      <c r="E349">
        <v>0</v>
      </c>
      <c r="F349">
        <v>0</v>
      </c>
      <c r="G349">
        <v>0</v>
      </c>
      <c r="H349">
        <v>0</v>
      </c>
      <c r="I349">
        <v>0</v>
      </c>
      <c r="J349">
        <v>0.98050000000000004</v>
      </c>
      <c r="K349">
        <v>0</v>
      </c>
      <c r="L349" s="333">
        <v>0</v>
      </c>
      <c r="M349" s="333">
        <v>0</v>
      </c>
      <c r="N349">
        <v>0</v>
      </c>
      <c r="O349">
        <v>0</v>
      </c>
      <c r="P349">
        <v>0</v>
      </c>
      <c r="Q349" s="328">
        <v>0</v>
      </c>
      <c r="BB349" s="446">
        <v>1</v>
      </c>
      <c r="BC349">
        <v>1</v>
      </c>
      <c r="BD349">
        <v>1</v>
      </c>
      <c r="BE349">
        <v>1</v>
      </c>
      <c r="BF349">
        <v>0.99990000000000001</v>
      </c>
      <c r="BG349">
        <v>1</v>
      </c>
      <c r="BH349">
        <v>1</v>
      </c>
      <c r="BI349">
        <v>0.99</v>
      </c>
      <c r="BJ349">
        <v>0.999</v>
      </c>
      <c r="BK349">
        <v>0.998</v>
      </c>
      <c r="BL349">
        <v>0.99850000000000005</v>
      </c>
      <c r="BM349">
        <v>0.99850000000000005</v>
      </c>
      <c r="BN349">
        <v>0.97199999999999998</v>
      </c>
      <c r="BO349">
        <v>0.99990000000000001</v>
      </c>
      <c r="BP349">
        <v>0.99990000000000001</v>
      </c>
      <c r="DB349">
        <v>0.94499999999999995</v>
      </c>
      <c r="DC349">
        <v>0.92</v>
      </c>
      <c r="DD349">
        <v>0.91500000000000004</v>
      </c>
      <c r="DE349">
        <v>0.89</v>
      </c>
    </row>
    <row r="350" spans="2:109" x14ac:dyDescent="0.25">
      <c r="B350">
        <v>0.98</v>
      </c>
      <c r="C350">
        <v>0</v>
      </c>
      <c r="E350">
        <v>0</v>
      </c>
      <c r="F350">
        <v>0</v>
      </c>
      <c r="G350">
        <v>0</v>
      </c>
      <c r="H350">
        <v>0</v>
      </c>
      <c r="I350">
        <v>0</v>
      </c>
      <c r="J350">
        <v>0.98050000000000004</v>
      </c>
      <c r="K350">
        <v>0</v>
      </c>
      <c r="L350" s="333">
        <v>0</v>
      </c>
      <c r="M350" s="333">
        <v>0</v>
      </c>
      <c r="N350">
        <v>0</v>
      </c>
      <c r="O350">
        <v>0</v>
      </c>
      <c r="P350">
        <v>0</v>
      </c>
      <c r="Q350" s="328">
        <v>0</v>
      </c>
      <c r="BB350" s="446">
        <v>1</v>
      </c>
      <c r="BC350">
        <v>1</v>
      </c>
      <c r="BD350">
        <v>1</v>
      </c>
      <c r="BE350">
        <v>1</v>
      </c>
      <c r="BF350">
        <v>0.99990000000000001</v>
      </c>
      <c r="BG350">
        <v>1</v>
      </c>
      <c r="BH350">
        <v>1</v>
      </c>
      <c r="BI350">
        <v>0.99</v>
      </c>
      <c r="BJ350">
        <v>0.999</v>
      </c>
      <c r="BK350">
        <v>0.998</v>
      </c>
      <c r="BL350">
        <v>0.99850000000000005</v>
      </c>
      <c r="BM350">
        <v>0.99850000000000005</v>
      </c>
      <c r="BN350">
        <v>0.97199999999999998</v>
      </c>
      <c r="BO350">
        <v>0.99990000000000001</v>
      </c>
      <c r="BP350">
        <v>0.99990000000000001</v>
      </c>
      <c r="DB350">
        <v>0.875</v>
      </c>
      <c r="DC350">
        <v>0.90249999999999997</v>
      </c>
      <c r="DD350">
        <v>0.82</v>
      </c>
      <c r="DE350">
        <v>0.89</v>
      </c>
    </row>
    <row r="351" spans="2:109" x14ac:dyDescent="0.25">
      <c r="B351">
        <v>0.98</v>
      </c>
      <c r="C351">
        <v>0</v>
      </c>
      <c r="E351">
        <v>0</v>
      </c>
      <c r="F351">
        <v>0</v>
      </c>
      <c r="G351">
        <v>0</v>
      </c>
      <c r="H351">
        <v>0</v>
      </c>
      <c r="I351">
        <v>0</v>
      </c>
      <c r="J351">
        <v>0.98050000000000004</v>
      </c>
      <c r="K351">
        <v>0</v>
      </c>
      <c r="L351" s="333">
        <v>0</v>
      </c>
      <c r="M351" s="333">
        <v>0</v>
      </c>
      <c r="N351">
        <v>0</v>
      </c>
      <c r="O351">
        <v>0</v>
      </c>
      <c r="P351">
        <v>0</v>
      </c>
      <c r="Q351" s="328">
        <v>0</v>
      </c>
      <c r="BB351" s="446">
        <v>1</v>
      </c>
      <c r="BC351">
        <v>1</v>
      </c>
      <c r="BD351">
        <v>1</v>
      </c>
      <c r="BE351">
        <v>1</v>
      </c>
      <c r="BF351">
        <v>0.99990000000000001</v>
      </c>
      <c r="BG351">
        <v>1</v>
      </c>
      <c r="BH351">
        <v>1</v>
      </c>
      <c r="BI351">
        <v>0.99</v>
      </c>
      <c r="BJ351">
        <v>0.999</v>
      </c>
      <c r="BK351">
        <v>0.998</v>
      </c>
      <c r="BL351">
        <v>0.99850000000000005</v>
      </c>
      <c r="BM351">
        <v>0.99850000000000005</v>
      </c>
      <c r="BN351">
        <v>0.97199999999999998</v>
      </c>
      <c r="BO351">
        <v>0.99990000000000001</v>
      </c>
      <c r="BP351">
        <v>0.99990000000000001</v>
      </c>
      <c r="DB351">
        <v>0.85</v>
      </c>
      <c r="DC351">
        <v>0.90249999999999997</v>
      </c>
      <c r="DD351">
        <v>0.82</v>
      </c>
      <c r="DE351">
        <v>0.89</v>
      </c>
    </row>
    <row r="352" spans="2:109" x14ac:dyDescent="0.25">
      <c r="B352">
        <v>0.98</v>
      </c>
      <c r="C352">
        <v>0</v>
      </c>
      <c r="E352">
        <v>0</v>
      </c>
      <c r="F352">
        <v>0</v>
      </c>
      <c r="G352">
        <v>0</v>
      </c>
      <c r="H352">
        <v>0</v>
      </c>
      <c r="I352">
        <v>0</v>
      </c>
      <c r="J352">
        <v>0.98050000000000004</v>
      </c>
      <c r="K352">
        <v>0</v>
      </c>
      <c r="L352" s="333">
        <v>0</v>
      </c>
      <c r="M352" s="333">
        <v>0</v>
      </c>
      <c r="N352">
        <v>0</v>
      </c>
      <c r="O352">
        <v>0</v>
      </c>
      <c r="P352">
        <v>0</v>
      </c>
      <c r="Q352" s="328">
        <v>0</v>
      </c>
      <c r="BB352" s="446">
        <v>1</v>
      </c>
      <c r="BC352">
        <v>1</v>
      </c>
      <c r="BD352">
        <v>1</v>
      </c>
      <c r="BE352">
        <v>1</v>
      </c>
      <c r="BF352">
        <v>0.99990000000000001</v>
      </c>
      <c r="BG352">
        <v>1</v>
      </c>
      <c r="BH352">
        <v>1</v>
      </c>
      <c r="BI352">
        <v>0.99</v>
      </c>
      <c r="BJ352">
        <v>0.999</v>
      </c>
      <c r="BK352">
        <v>0.998</v>
      </c>
      <c r="BL352">
        <v>0.99850000000000005</v>
      </c>
      <c r="BM352">
        <v>0.99850000000000005</v>
      </c>
      <c r="BN352">
        <v>0.97199999999999998</v>
      </c>
      <c r="BO352">
        <v>0.99990000000000001</v>
      </c>
      <c r="BP352">
        <v>0.99990000000000001</v>
      </c>
      <c r="DB352">
        <v>0.69</v>
      </c>
      <c r="DC352">
        <v>0.89249999999999996</v>
      </c>
      <c r="DD352">
        <v>0.71499999999999997</v>
      </c>
      <c r="DE352">
        <v>0.89</v>
      </c>
    </row>
    <row r="353" spans="2:109" x14ac:dyDescent="0.25">
      <c r="B353">
        <v>0.98</v>
      </c>
      <c r="C353">
        <v>0</v>
      </c>
      <c r="E353">
        <v>0</v>
      </c>
      <c r="F353">
        <v>0</v>
      </c>
      <c r="G353">
        <v>0</v>
      </c>
      <c r="H353">
        <v>0</v>
      </c>
      <c r="I353">
        <v>0</v>
      </c>
      <c r="J353">
        <v>0.98050000000000004</v>
      </c>
      <c r="K353">
        <v>0</v>
      </c>
      <c r="L353" s="333">
        <v>0</v>
      </c>
      <c r="M353" s="333">
        <v>0</v>
      </c>
      <c r="N353">
        <v>0</v>
      </c>
      <c r="O353">
        <v>0</v>
      </c>
      <c r="P353">
        <v>0</v>
      </c>
      <c r="Q353" s="328">
        <v>0</v>
      </c>
      <c r="BB353" s="446">
        <v>1</v>
      </c>
      <c r="BC353">
        <v>1</v>
      </c>
      <c r="BD353">
        <v>1</v>
      </c>
      <c r="BE353">
        <v>1</v>
      </c>
      <c r="BF353">
        <v>0.99990000000000001</v>
      </c>
      <c r="BG353">
        <v>1</v>
      </c>
      <c r="BH353">
        <v>1</v>
      </c>
      <c r="BI353">
        <v>0.99</v>
      </c>
      <c r="BJ353">
        <v>0.999</v>
      </c>
      <c r="BK353">
        <v>0.998</v>
      </c>
      <c r="BL353">
        <v>0.99850000000000005</v>
      </c>
      <c r="BM353">
        <v>0.99850000000000005</v>
      </c>
      <c r="BN353">
        <v>0.97199999999999998</v>
      </c>
      <c r="BO353">
        <v>0.99990000000000001</v>
      </c>
      <c r="BP353">
        <v>0.99990000000000001</v>
      </c>
      <c r="DB353">
        <v>0.69</v>
      </c>
      <c r="DC353">
        <v>0.88</v>
      </c>
      <c r="DD353">
        <v>0.64</v>
      </c>
      <c r="DE353">
        <v>0.89</v>
      </c>
    </row>
    <row r="354" spans="2:109" x14ac:dyDescent="0.25">
      <c r="B354">
        <v>0.98</v>
      </c>
      <c r="C354">
        <v>0</v>
      </c>
      <c r="E354">
        <v>0</v>
      </c>
      <c r="F354">
        <v>0</v>
      </c>
      <c r="G354">
        <v>0</v>
      </c>
      <c r="H354">
        <v>0</v>
      </c>
      <c r="I354">
        <v>0</v>
      </c>
      <c r="J354">
        <v>0.98050000000000004</v>
      </c>
      <c r="K354">
        <v>0</v>
      </c>
      <c r="L354" s="333">
        <v>0</v>
      </c>
      <c r="M354" s="333">
        <v>0</v>
      </c>
      <c r="N354">
        <v>0</v>
      </c>
      <c r="O354">
        <v>0</v>
      </c>
      <c r="P354">
        <v>0</v>
      </c>
      <c r="Q354" s="328">
        <v>0</v>
      </c>
      <c r="BB354" s="446">
        <v>1</v>
      </c>
      <c r="BC354">
        <v>1</v>
      </c>
      <c r="BD354">
        <v>1</v>
      </c>
      <c r="BE354">
        <v>1</v>
      </c>
      <c r="BF354">
        <v>0.99990000000000001</v>
      </c>
      <c r="BG354">
        <v>1</v>
      </c>
      <c r="BH354">
        <v>1</v>
      </c>
      <c r="BI354">
        <v>0.99</v>
      </c>
      <c r="BJ354">
        <v>0.999</v>
      </c>
      <c r="BK354">
        <v>0.998</v>
      </c>
      <c r="BL354">
        <v>0.99850000000000005</v>
      </c>
      <c r="BM354">
        <v>0.99850000000000005</v>
      </c>
      <c r="BN354">
        <v>0.97199999999999998</v>
      </c>
      <c r="BO354">
        <v>0.99990000000000001</v>
      </c>
      <c r="BP354">
        <v>0.99990000000000001</v>
      </c>
      <c r="DB354">
        <v>0.71</v>
      </c>
      <c r="DC354">
        <v>0.87749999999999995</v>
      </c>
      <c r="DD354">
        <v>0.67</v>
      </c>
      <c r="DE354">
        <v>0.89</v>
      </c>
    </row>
    <row r="355" spans="2:109" x14ac:dyDescent="0.25">
      <c r="B355">
        <v>0.98</v>
      </c>
      <c r="C355">
        <v>0</v>
      </c>
      <c r="E355">
        <v>0</v>
      </c>
      <c r="F355">
        <v>0</v>
      </c>
      <c r="G355">
        <v>0</v>
      </c>
      <c r="H355">
        <v>0</v>
      </c>
      <c r="I355">
        <v>0</v>
      </c>
      <c r="J355">
        <v>0.98050000000000004</v>
      </c>
      <c r="K355">
        <v>0</v>
      </c>
      <c r="L355" s="333">
        <v>0</v>
      </c>
      <c r="M355" s="333">
        <v>0</v>
      </c>
      <c r="N355">
        <v>0</v>
      </c>
      <c r="O355">
        <v>0</v>
      </c>
      <c r="P355">
        <v>0</v>
      </c>
      <c r="Q355" s="328">
        <v>0</v>
      </c>
      <c r="BB355" s="446">
        <v>1</v>
      </c>
      <c r="BC355">
        <v>1</v>
      </c>
      <c r="BD355">
        <v>1</v>
      </c>
      <c r="BE355">
        <v>1</v>
      </c>
      <c r="BF355">
        <v>0.99990000000000001</v>
      </c>
      <c r="BG355">
        <v>1</v>
      </c>
      <c r="BH355">
        <v>1</v>
      </c>
      <c r="BI355">
        <v>0.99</v>
      </c>
      <c r="BJ355">
        <v>0.999</v>
      </c>
      <c r="BK355">
        <v>0.998</v>
      </c>
      <c r="BL355">
        <v>0.99850000000000005</v>
      </c>
      <c r="BM355">
        <v>0.99850000000000005</v>
      </c>
      <c r="BN355">
        <v>0.97199999999999998</v>
      </c>
      <c r="BO355">
        <v>0.99990000000000001</v>
      </c>
      <c r="BP355">
        <v>0.99990000000000001</v>
      </c>
      <c r="DB355">
        <v>0.8</v>
      </c>
      <c r="DC355">
        <v>0.9</v>
      </c>
      <c r="DD355">
        <v>0.83</v>
      </c>
      <c r="DE355">
        <v>0.89</v>
      </c>
    </row>
    <row r="356" spans="2:109" x14ac:dyDescent="0.25">
      <c r="B356">
        <v>0.98</v>
      </c>
      <c r="C356">
        <v>0</v>
      </c>
      <c r="E356">
        <v>0</v>
      </c>
      <c r="F356">
        <v>0</v>
      </c>
      <c r="G356">
        <v>0</v>
      </c>
      <c r="H356">
        <v>0</v>
      </c>
      <c r="I356">
        <v>0</v>
      </c>
      <c r="J356">
        <v>0.98050000000000004</v>
      </c>
      <c r="K356">
        <v>0</v>
      </c>
      <c r="L356" s="333">
        <v>0</v>
      </c>
      <c r="M356" s="333">
        <v>0</v>
      </c>
      <c r="N356">
        <v>0</v>
      </c>
      <c r="O356">
        <v>0</v>
      </c>
      <c r="P356">
        <v>0</v>
      </c>
      <c r="Q356" s="328">
        <v>0</v>
      </c>
      <c r="BB356" s="446">
        <v>1</v>
      </c>
      <c r="BC356">
        <v>1</v>
      </c>
      <c r="BD356">
        <v>1</v>
      </c>
      <c r="BE356">
        <v>1</v>
      </c>
      <c r="BF356">
        <v>0.99990000000000001</v>
      </c>
      <c r="BG356">
        <v>1</v>
      </c>
      <c r="BH356">
        <v>1</v>
      </c>
      <c r="BI356">
        <v>0.99</v>
      </c>
      <c r="BJ356">
        <v>0.999</v>
      </c>
      <c r="BK356">
        <v>0.998</v>
      </c>
      <c r="BL356">
        <v>0.99850000000000005</v>
      </c>
      <c r="BM356">
        <v>0.99850000000000005</v>
      </c>
      <c r="BN356">
        <v>0.97199999999999998</v>
      </c>
      <c r="BO356">
        <v>0.99990000000000001</v>
      </c>
      <c r="BP356">
        <v>0.99990000000000001</v>
      </c>
      <c r="DB356">
        <v>0.85</v>
      </c>
      <c r="DC356">
        <v>0.90300000000000002</v>
      </c>
      <c r="DD356">
        <v>0.92</v>
      </c>
      <c r="DE356">
        <v>0.89</v>
      </c>
    </row>
    <row r="357" spans="2:109" x14ac:dyDescent="0.25">
      <c r="B357">
        <v>0.98</v>
      </c>
      <c r="C357">
        <v>0</v>
      </c>
      <c r="E357">
        <v>0</v>
      </c>
      <c r="F357">
        <v>0</v>
      </c>
      <c r="G357">
        <v>0</v>
      </c>
      <c r="H357">
        <v>0</v>
      </c>
      <c r="I357">
        <v>0</v>
      </c>
      <c r="J357">
        <v>0.98050000000000004</v>
      </c>
      <c r="K357">
        <v>0</v>
      </c>
      <c r="L357" s="333">
        <v>0</v>
      </c>
      <c r="M357" s="333">
        <v>0</v>
      </c>
      <c r="N357">
        <v>0</v>
      </c>
      <c r="O357">
        <v>0</v>
      </c>
      <c r="P357">
        <v>0</v>
      </c>
      <c r="Q357" s="328">
        <v>0</v>
      </c>
      <c r="BB357" s="446">
        <v>1</v>
      </c>
      <c r="BC357">
        <v>1</v>
      </c>
      <c r="BD357">
        <v>1</v>
      </c>
      <c r="BE357">
        <v>1</v>
      </c>
      <c r="BF357">
        <v>0.99990000000000001</v>
      </c>
      <c r="BG357">
        <v>1</v>
      </c>
      <c r="BH357">
        <v>1</v>
      </c>
      <c r="BI357">
        <v>0.99</v>
      </c>
      <c r="BJ357">
        <v>0.999</v>
      </c>
      <c r="BK357">
        <v>0.998</v>
      </c>
      <c r="BL357">
        <v>0.99850000000000005</v>
      </c>
      <c r="BM357">
        <v>0.99850000000000005</v>
      </c>
      <c r="BN357">
        <v>0.97199999999999998</v>
      </c>
      <c r="BO357">
        <v>0.99990000000000001</v>
      </c>
      <c r="BP357">
        <v>0.99990000000000001</v>
      </c>
      <c r="DB357">
        <v>0.88</v>
      </c>
      <c r="DC357">
        <v>0.9</v>
      </c>
      <c r="DD357">
        <v>0.93500000000000005</v>
      </c>
      <c r="DE357">
        <v>0.89</v>
      </c>
    </row>
    <row r="358" spans="2:109" x14ac:dyDescent="0.25">
      <c r="B358">
        <v>0.98</v>
      </c>
      <c r="C358">
        <v>0</v>
      </c>
      <c r="E358">
        <v>0</v>
      </c>
      <c r="F358">
        <v>0</v>
      </c>
      <c r="G358">
        <v>0</v>
      </c>
      <c r="H358">
        <v>0</v>
      </c>
      <c r="I358">
        <v>0</v>
      </c>
      <c r="J358">
        <v>0.98050000000000004</v>
      </c>
      <c r="K358">
        <v>0</v>
      </c>
      <c r="L358" s="333">
        <v>0</v>
      </c>
      <c r="M358" s="333">
        <v>0</v>
      </c>
      <c r="N358">
        <v>0</v>
      </c>
      <c r="O358">
        <v>0</v>
      </c>
      <c r="P358">
        <v>0</v>
      </c>
      <c r="Q358" s="328">
        <v>0</v>
      </c>
      <c r="BB358" s="446">
        <v>1</v>
      </c>
      <c r="BC358">
        <v>1</v>
      </c>
      <c r="BD358">
        <v>1</v>
      </c>
      <c r="BE358">
        <v>1</v>
      </c>
      <c r="BF358">
        <v>0.99990000000000001</v>
      </c>
      <c r="BG358">
        <v>1</v>
      </c>
      <c r="BH358">
        <v>1</v>
      </c>
      <c r="BI358">
        <v>0.99</v>
      </c>
      <c r="BJ358">
        <v>0.999</v>
      </c>
      <c r="BK358">
        <v>0.998</v>
      </c>
      <c r="BL358">
        <v>0.99850000000000005</v>
      </c>
      <c r="BM358">
        <v>0.99850000000000005</v>
      </c>
      <c r="BN358">
        <v>0.97199999999999998</v>
      </c>
      <c r="BO358">
        <v>0.99990000000000001</v>
      </c>
      <c r="BP358">
        <v>0.99990000000000001</v>
      </c>
      <c r="DB358">
        <v>0.88</v>
      </c>
      <c r="DC358">
        <v>0.90249999999999997</v>
      </c>
      <c r="DD358">
        <v>0.91500000000000004</v>
      </c>
      <c r="DE358">
        <v>0.89</v>
      </c>
    </row>
    <row r="359" spans="2:109" x14ac:dyDescent="0.25">
      <c r="B359">
        <v>0.98</v>
      </c>
      <c r="C359">
        <v>0</v>
      </c>
      <c r="E359">
        <v>0</v>
      </c>
      <c r="F359">
        <v>0</v>
      </c>
      <c r="G359">
        <v>0</v>
      </c>
      <c r="H359">
        <v>0</v>
      </c>
      <c r="I359">
        <v>0</v>
      </c>
      <c r="J359">
        <v>0.98050000000000004</v>
      </c>
      <c r="K359">
        <v>0</v>
      </c>
      <c r="L359" s="333">
        <v>0</v>
      </c>
      <c r="M359" s="333">
        <v>0</v>
      </c>
      <c r="N359">
        <v>0</v>
      </c>
      <c r="O359">
        <v>0</v>
      </c>
      <c r="P359">
        <v>0</v>
      </c>
      <c r="Q359" s="328">
        <v>0</v>
      </c>
      <c r="BB359" s="446">
        <v>1</v>
      </c>
      <c r="BC359">
        <v>1</v>
      </c>
      <c r="BD359">
        <v>1</v>
      </c>
      <c r="BE359">
        <v>1</v>
      </c>
      <c r="BF359">
        <v>0.99990000000000001</v>
      </c>
      <c r="BG359">
        <v>1</v>
      </c>
      <c r="BH359">
        <v>1</v>
      </c>
      <c r="BI359">
        <v>0.99</v>
      </c>
      <c r="BJ359">
        <v>0.999</v>
      </c>
      <c r="BK359">
        <v>0.998</v>
      </c>
      <c r="BL359">
        <v>0.99850000000000005</v>
      </c>
      <c r="BM359">
        <v>0.99850000000000005</v>
      </c>
      <c r="BN359">
        <v>0.97199999999999998</v>
      </c>
      <c r="BO359">
        <v>0.99990000000000001</v>
      </c>
      <c r="BP359">
        <v>0.99990000000000001</v>
      </c>
      <c r="DB359">
        <v>0.89</v>
      </c>
      <c r="DC359">
        <v>0.90749999999999997</v>
      </c>
      <c r="DD359">
        <v>0.91500000000000004</v>
      </c>
      <c r="DE359">
        <v>0.89</v>
      </c>
    </row>
    <row r="360" spans="2:109" x14ac:dyDescent="0.25">
      <c r="B360">
        <v>0.98</v>
      </c>
      <c r="C360">
        <v>0</v>
      </c>
      <c r="E360">
        <v>0</v>
      </c>
      <c r="F360">
        <v>0</v>
      </c>
      <c r="G360">
        <v>0</v>
      </c>
      <c r="H360">
        <v>0</v>
      </c>
      <c r="I360">
        <v>0</v>
      </c>
      <c r="J360">
        <v>0.98050000000000004</v>
      </c>
      <c r="K360">
        <v>0</v>
      </c>
      <c r="L360" s="333">
        <v>0</v>
      </c>
      <c r="M360" s="333">
        <v>0</v>
      </c>
      <c r="N360">
        <v>0</v>
      </c>
      <c r="O360">
        <v>0</v>
      </c>
      <c r="P360">
        <v>0</v>
      </c>
      <c r="Q360" s="328">
        <v>0</v>
      </c>
      <c r="BB360" s="446">
        <v>1</v>
      </c>
      <c r="BC360">
        <v>1</v>
      </c>
      <c r="BD360">
        <v>1</v>
      </c>
      <c r="BE360">
        <v>1</v>
      </c>
      <c r="BF360">
        <v>0.99990000000000001</v>
      </c>
      <c r="BG360">
        <v>1</v>
      </c>
      <c r="BH360">
        <v>1</v>
      </c>
      <c r="BI360">
        <v>0.99</v>
      </c>
      <c r="BJ360">
        <v>0.999</v>
      </c>
      <c r="BK360">
        <v>0.998</v>
      </c>
      <c r="BL360">
        <v>0.99850000000000005</v>
      </c>
      <c r="BM360">
        <v>0.99850000000000005</v>
      </c>
      <c r="BN360">
        <v>0.97199999999999998</v>
      </c>
      <c r="BO360">
        <v>0.99990000000000001</v>
      </c>
      <c r="BP360">
        <v>0.99990000000000001</v>
      </c>
      <c r="DB360">
        <v>0.91500000000000004</v>
      </c>
      <c r="DC360">
        <v>0.92749999999999999</v>
      </c>
      <c r="DD360">
        <v>0.91500000000000004</v>
      </c>
      <c r="DE360">
        <v>0.89</v>
      </c>
    </row>
    <row r="361" spans="2:109" x14ac:dyDescent="0.25">
      <c r="B361">
        <v>0.98</v>
      </c>
      <c r="C361">
        <v>0</v>
      </c>
      <c r="E361">
        <v>0</v>
      </c>
      <c r="F361">
        <v>0</v>
      </c>
      <c r="G361">
        <v>0</v>
      </c>
      <c r="H361">
        <v>0</v>
      </c>
      <c r="I361">
        <v>0</v>
      </c>
      <c r="J361">
        <v>0.98050000000000004</v>
      </c>
      <c r="K361">
        <v>0</v>
      </c>
      <c r="L361" s="333">
        <v>0</v>
      </c>
      <c r="M361" s="333">
        <v>0</v>
      </c>
      <c r="N361">
        <v>0</v>
      </c>
      <c r="O361">
        <v>0</v>
      </c>
      <c r="P361">
        <v>0</v>
      </c>
      <c r="Q361" s="328">
        <v>0</v>
      </c>
      <c r="BB361" s="446">
        <v>1</v>
      </c>
      <c r="BC361">
        <v>1</v>
      </c>
      <c r="BD361">
        <v>1</v>
      </c>
      <c r="BE361">
        <v>1</v>
      </c>
      <c r="BF361">
        <v>0.99990000000000001</v>
      </c>
      <c r="BG361">
        <v>1</v>
      </c>
      <c r="BH361">
        <v>1</v>
      </c>
      <c r="BI361">
        <v>0.99</v>
      </c>
      <c r="BJ361">
        <v>0.999</v>
      </c>
      <c r="BK361">
        <v>0.998</v>
      </c>
      <c r="BL361">
        <v>0.99850000000000005</v>
      </c>
      <c r="BM361">
        <v>0.99850000000000005</v>
      </c>
      <c r="BN361">
        <v>0.97199999999999998</v>
      </c>
      <c r="BO361">
        <v>0.99990000000000001</v>
      </c>
      <c r="BP361">
        <v>0.99990000000000001</v>
      </c>
      <c r="DB361">
        <v>0.94499999999999995</v>
      </c>
      <c r="DC361">
        <v>0.92</v>
      </c>
      <c r="DD361">
        <v>0.91500000000000004</v>
      </c>
      <c r="DE361">
        <v>0.89</v>
      </c>
    </row>
    <row r="362" spans="2:109" x14ac:dyDescent="0.25">
      <c r="B362">
        <v>0.98</v>
      </c>
      <c r="C362">
        <v>0</v>
      </c>
      <c r="E362">
        <v>0</v>
      </c>
      <c r="F362">
        <v>0</v>
      </c>
      <c r="G362">
        <v>0</v>
      </c>
      <c r="H362">
        <v>0</v>
      </c>
      <c r="I362">
        <v>0</v>
      </c>
      <c r="J362">
        <v>0.98050000000000004</v>
      </c>
      <c r="K362">
        <v>0</v>
      </c>
      <c r="L362" s="333">
        <v>0</v>
      </c>
      <c r="M362" s="333">
        <v>0</v>
      </c>
      <c r="N362">
        <v>0</v>
      </c>
      <c r="O362">
        <v>0</v>
      </c>
      <c r="P362">
        <v>0</v>
      </c>
      <c r="Q362" s="328">
        <v>0</v>
      </c>
      <c r="BB362" s="446">
        <v>1</v>
      </c>
      <c r="BC362">
        <v>1</v>
      </c>
      <c r="BD362">
        <v>1</v>
      </c>
      <c r="BE362">
        <v>1</v>
      </c>
      <c r="BF362">
        <v>0.99990000000000001</v>
      </c>
      <c r="BG362">
        <v>1</v>
      </c>
      <c r="BH362">
        <v>1</v>
      </c>
      <c r="BI362">
        <v>0.99</v>
      </c>
      <c r="BJ362">
        <v>0.999</v>
      </c>
      <c r="BK362">
        <v>0.998</v>
      </c>
      <c r="BL362">
        <v>0.99850000000000005</v>
      </c>
      <c r="BM362">
        <v>0.99850000000000005</v>
      </c>
      <c r="BN362">
        <v>0.97199999999999998</v>
      </c>
      <c r="BO362">
        <v>0.99990000000000001</v>
      </c>
      <c r="BP362">
        <v>0.99990000000000001</v>
      </c>
      <c r="DB362">
        <v>0.875</v>
      </c>
      <c r="DC362">
        <v>0.90249999999999997</v>
      </c>
      <c r="DD362">
        <v>0.82</v>
      </c>
      <c r="DE362">
        <v>0.89</v>
      </c>
    </row>
    <row r="363" spans="2:109" x14ac:dyDescent="0.25">
      <c r="B363">
        <v>0.98</v>
      </c>
      <c r="C363">
        <v>0</v>
      </c>
      <c r="E363">
        <v>0</v>
      </c>
      <c r="F363">
        <v>0</v>
      </c>
      <c r="G363">
        <v>0</v>
      </c>
      <c r="H363">
        <v>0</v>
      </c>
      <c r="I363">
        <v>0</v>
      </c>
      <c r="J363">
        <v>0.98050000000000004</v>
      </c>
      <c r="K363">
        <v>0</v>
      </c>
      <c r="L363" s="333">
        <v>0</v>
      </c>
      <c r="M363" s="333">
        <v>0</v>
      </c>
      <c r="N363">
        <v>0</v>
      </c>
      <c r="O363">
        <v>0</v>
      </c>
      <c r="P363">
        <v>0</v>
      </c>
      <c r="Q363" s="328">
        <v>0</v>
      </c>
      <c r="BB363" s="446">
        <v>1</v>
      </c>
      <c r="BC363">
        <v>1</v>
      </c>
      <c r="BD363">
        <v>1</v>
      </c>
      <c r="BE363">
        <v>1</v>
      </c>
      <c r="BF363">
        <v>0.99990000000000001</v>
      </c>
      <c r="BG363">
        <v>1</v>
      </c>
      <c r="BH363">
        <v>1</v>
      </c>
      <c r="BI363">
        <v>0.99</v>
      </c>
      <c r="BJ363">
        <v>0.999</v>
      </c>
      <c r="BK363">
        <v>0.998</v>
      </c>
      <c r="BL363">
        <v>0.99850000000000005</v>
      </c>
      <c r="BM363">
        <v>0.99850000000000005</v>
      </c>
      <c r="BN363">
        <v>0.97199999999999998</v>
      </c>
      <c r="BO363">
        <v>0.99990000000000001</v>
      </c>
      <c r="BP363">
        <v>0.99990000000000001</v>
      </c>
      <c r="DB363">
        <v>0.85</v>
      </c>
      <c r="DC363">
        <v>0.90249999999999997</v>
      </c>
      <c r="DD363">
        <v>0.82</v>
      </c>
      <c r="DE363">
        <v>0.89</v>
      </c>
    </row>
    <row r="364" spans="2:109" x14ac:dyDescent="0.25">
      <c r="B364">
        <v>0.98</v>
      </c>
      <c r="C364">
        <v>0</v>
      </c>
      <c r="E364">
        <v>0</v>
      </c>
      <c r="F364">
        <v>0</v>
      </c>
      <c r="G364">
        <v>0</v>
      </c>
      <c r="H364">
        <v>0</v>
      </c>
      <c r="I364">
        <v>0</v>
      </c>
      <c r="J364">
        <v>0.98050000000000004</v>
      </c>
      <c r="K364">
        <v>0</v>
      </c>
      <c r="L364" s="333">
        <v>0</v>
      </c>
      <c r="M364" s="333">
        <v>0</v>
      </c>
      <c r="N364">
        <v>0</v>
      </c>
      <c r="O364">
        <v>0</v>
      </c>
      <c r="P364">
        <v>0</v>
      </c>
      <c r="Q364" s="328">
        <v>0</v>
      </c>
      <c r="BB364" s="446">
        <v>1</v>
      </c>
      <c r="BC364">
        <v>1</v>
      </c>
      <c r="BD364">
        <v>1</v>
      </c>
      <c r="BE364">
        <v>1</v>
      </c>
      <c r="BF364">
        <v>0.99990000000000001</v>
      </c>
      <c r="BG364">
        <v>1</v>
      </c>
      <c r="BH364">
        <v>1</v>
      </c>
      <c r="BI364">
        <v>0.99</v>
      </c>
      <c r="BJ364">
        <v>0.999</v>
      </c>
      <c r="BK364">
        <v>0.998</v>
      </c>
      <c r="BL364">
        <v>0.99850000000000005</v>
      </c>
      <c r="BM364">
        <v>0.99850000000000005</v>
      </c>
      <c r="BN364">
        <v>0.97199999999999998</v>
      </c>
      <c r="BO364">
        <v>0.99990000000000001</v>
      </c>
      <c r="BP364">
        <v>0.99990000000000001</v>
      </c>
      <c r="DB364">
        <v>0.69</v>
      </c>
      <c r="DC364">
        <v>0.89249999999999996</v>
      </c>
      <c r="DD364">
        <v>0.71499999999999997</v>
      </c>
      <c r="DE364">
        <v>0.89</v>
      </c>
    </row>
    <row r="365" spans="2:109" x14ac:dyDescent="0.25">
      <c r="B365">
        <v>0.98</v>
      </c>
      <c r="C365">
        <v>0</v>
      </c>
      <c r="E365">
        <v>0</v>
      </c>
      <c r="F365">
        <v>0</v>
      </c>
      <c r="G365">
        <v>0</v>
      </c>
      <c r="H365">
        <v>0</v>
      </c>
      <c r="I365">
        <v>0</v>
      </c>
      <c r="J365">
        <v>0.98050000000000004</v>
      </c>
      <c r="K365">
        <v>0</v>
      </c>
      <c r="L365" s="333">
        <v>0</v>
      </c>
      <c r="M365" s="333">
        <v>0</v>
      </c>
      <c r="N365">
        <v>0</v>
      </c>
      <c r="O365">
        <v>0</v>
      </c>
      <c r="P365">
        <v>0</v>
      </c>
      <c r="Q365" s="328">
        <v>0</v>
      </c>
      <c r="BB365" s="446">
        <v>1</v>
      </c>
      <c r="BC365">
        <v>1</v>
      </c>
      <c r="BD365">
        <v>1</v>
      </c>
      <c r="BE365">
        <v>1</v>
      </c>
      <c r="BF365">
        <v>0.99990000000000001</v>
      </c>
      <c r="BG365">
        <v>1</v>
      </c>
      <c r="BH365">
        <v>1</v>
      </c>
      <c r="BI365">
        <v>0.99</v>
      </c>
      <c r="BJ365">
        <v>0.999</v>
      </c>
      <c r="BK365">
        <v>0.998</v>
      </c>
      <c r="BL365">
        <v>0.99850000000000005</v>
      </c>
      <c r="BM365">
        <v>0.99850000000000005</v>
      </c>
      <c r="BN365">
        <v>0.97199999999999998</v>
      </c>
      <c r="BO365">
        <v>0.99990000000000001</v>
      </c>
      <c r="BP365">
        <v>0.99990000000000001</v>
      </c>
      <c r="DB365">
        <v>0.69</v>
      </c>
      <c r="DC365">
        <v>0.88</v>
      </c>
      <c r="DD365">
        <v>0.64</v>
      </c>
      <c r="DE365">
        <v>0.89</v>
      </c>
    </row>
    <row r="366" spans="2:109" x14ac:dyDescent="0.25">
      <c r="B366">
        <v>0.98</v>
      </c>
      <c r="C366">
        <v>0</v>
      </c>
      <c r="E366">
        <v>0</v>
      </c>
      <c r="F366">
        <v>0</v>
      </c>
      <c r="G366">
        <v>0</v>
      </c>
      <c r="H366">
        <v>0</v>
      </c>
      <c r="I366">
        <v>0</v>
      </c>
      <c r="J366">
        <v>0.98050000000000004</v>
      </c>
      <c r="K366">
        <v>0</v>
      </c>
      <c r="L366" s="333">
        <v>0</v>
      </c>
      <c r="M366" s="333">
        <v>0</v>
      </c>
      <c r="N366">
        <v>0</v>
      </c>
      <c r="O366">
        <v>0</v>
      </c>
      <c r="P366">
        <v>0</v>
      </c>
      <c r="Q366" s="328">
        <v>0</v>
      </c>
      <c r="BB366" s="446">
        <v>1</v>
      </c>
      <c r="BC366">
        <v>1</v>
      </c>
      <c r="BD366">
        <v>1</v>
      </c>
      <c r="BE366">
        <v>1</v>
      </c>
      <c r="BF366">
        <v>0.99990000000000001</v>
      </c>
      <c r="BG366">
        <v>1</v>
      </c>
      <c r="BH366">
        <v>1</v>
      </c>
      <c r="BI366">
        <v>0.99</v>
      </c>
      <c r="BJ366">
        <v>0.999</v>
      </c>
      <c r="BK366">
        <v>0.998</v>
      </c>
      <c r="BL366">
        <v>0.99850000000000005</v>
      </c>
      <c r="BM366">
        <v>0.99850000000000005</v>
      </c>
      <c r="BN366">
        <v>0.97199999999999998</v>
      </c>
      <c r="BO366">
        <v>0.99990000000000001</v>
      </c>
      <c r="BP366">
        <v>0.99990000000000001</v>
      </c>
      <c r="DB366">
        <v>0.71</v>
      </c>
      <c r="DC366">
        <v>0.87749999999999995</v>
      </c>
      <c r="DD366">
        <v>0.67</v>
      </c>
      <c r="DE366">
        <v>0.89</v>
      </c>
    </row>
    <row r="367" spans="2:109" x14ac:dyDescent="0.25">
      <c r="B367">
        <v>0.98</v>
      </c>
      <c r="C367">
        <v>0</v>
      </c>
      <c r="E367">
        <v>0</v>
      </c>
      <c r="F367">
        <v>0</v>
      </c>
      <c r="G367">
        <v>0</v>
      </c>
      <c r="H367">
        <v>0</v>
      </c>
      <c r="I367">
        <v>0</v>
      </c>
      <c r="J367">
        <v>0.98050000000000004</v>
      </c>
      <c r="K367">
        <v>0</v>
      </c>
      <c r="L367" s="333">
        <v>0</v>
      </c>
      <c r="M367" s="333">
        <v>0</v>
      </c>
      <c r="N367">
        <v>0</v>
      </c>
      <c r="O367">
        <v>0</v>
      </c>
      <c r="P367">
        <v>0</v>
      </c>
      <c r="Q367" s="328">
        <v>0</v>
      </c>
      <c r="BB367" s="446">
        <v>1</v>
      </c>
      <c r="BC367">
        <v>1</v>
      </c>
      <c r="BD367">
        <v>1</v>
      </c>
      <c r="BE367">
        <v>1</v>
      </c>
      <c r="BF367">
        <v>0.99990000000000001</v>
      </c>
      <c r="BG367">
        <v>1</v>
      </c>
      <c r="BH367">
        <v>1</v>
      </c>
      <c r="BI367">
        <v>0.99</v>
      </c>
      <c r="BJ367">
        <v>0.999</v>
      </c>
      <c r="BK367">
        <v>0.998</v>
      </c>
      <c r="BL367">
        <v>0.99850000000000005</v>
      </c>
      <c r="BM367">
        <v>0.99850000000000005</v>
      </c>
      <c r="BN367">
        <v>0.97199999999999998</v>
      </c>
      <c r="BO367">
        <v>0.99990000000000001</v>
      </c>
      <c r="BP367">
        <v>0.99990000000000001</v>
      </c>
      <c r="DB367">
        <v>0.8</v>
      </c>
      <c r="DC367">
        <v>0.9</v>
      </c>
      <c r="DD367">
        <v>0.83</v>
      </c>
      <c r="DE367">
        <v>0.89</v>
      </c>
    </row>
    <row r="368" spans="2:109" x14ac:dyDescent="0.25">
      <c r="B368">
        <v>0.98</v>
      </c>
      <c r="C368">
        <v>0</v>
      </c>
      <c r="E368">
        <v>0</v>
      </c>
      <c r="F368">
        <v>0</v>
      </c>
      <c r="G368">
        <v>0</v>
      </c>
      <c r="H368">
        <v>0</v>
      </c>
      <c r="I368">
        <v>0</v>
      </c>
      <c r="J368">
        <v>0.98050000000000004</v>
      </c>
      <c r="K368">
        <v>0</v>
      </c>
      <c r="L368" s="333">
        <v>0</v>
      </c>
      <c r="M368" s="333">
        <v>0</v>
      </c>
      <c r="N368">
        <v>0</v>
      </c>
      <c r="O368">
        <v>0</v>
      </c>
      <c r="P368">
        <v>0</v>
      </c>
      <c r="Q368" s="328">
        <v>0</v>
      </c>
      <c r="BB368" s="446">
        <v>1</v>
      </c>
      <c r="BC368">
        <v>1</v>
      </c>
      <c r="BD368">
        <v>1</v>
      </c>
      <c r="BE368">
        <v>1</v>
      </c>
      <c r="BF368">
        <v>0.99990000000000001</v>
      </c>
      <c r="BG368">
        <v>1</v>
      </c>
      <c r="BH368">
        <v>1</v>
      </c>
      <c r="BI368">
        <v>0.99</v>
      </c>
      <c r="BJ368">
        <v>0.999</v>
      </c>
      <c r="BK368">
        <v>0.998</v>
      </c>
      <c r="BL368">
        <v>0.99850000000000005</v>
      </c>
      <c r="BM368">
        <v>0.99850000000000005</v>
      </c>
      <c r="BN368">
        <v>0.97199999999999998</v>
      </c>
      <c r="BO368">
        <v>0.99990000000000001</v>
      </c>
      <c r="BP368">
        <v>0.99990000000000001</v>
      </c>
      <c r="DB368">
        <v>0.85</v>
      </c>
      <c r="DC368">
        <v>0.90300000000000002</v>
      </c>
      <c r="DD368">
        <v>0.92</v>
      </c>
      <c r="DE368">
        <v>0.89</v>
      </c>
    </row>
    <row r="369" spans="2:109" x14ac:dyDescent="0.25">
      <c r="B369">
        <v>0.98</v>
      </c>
      <c r="C369">
        <v>0</v>
      </c>
      <c r="E369">
        <v>0</v>
      </c>
      <c r="F369">
        <v>0</v>
      </c>
      <c r="G369">
        <v>0</v>
      </c>
      <c r="H369">
        <v>0</v>
      </c>
      <c r="I369">
        <v>0</v>
      </c>
      <c r="J369">
        <v>0.98050000000000004</v>
      </c>
      <c r="K369">
        <v>0</v>
      </c>
      <c r="L369" s="333">
        <v>0</v>
      </c>
      <c r="M369" s="333">
        <v>0</v>
      </c>
      <c r="N369">
        <v>0</v>
      </c>
      <c r="O369">
        <v>0</v>
      </c>
      <c r="P369">
        <v>0</v>
      </c>
      <c r="Q369" s="328">
        <v>0</v>
      </c>
      <c r="BB369" s="446">
        <v>1</v>
      </c>
      <c r="BC369">
        <v>1</v>
      </c>
      <c r="BD369">
        <v>1</v>
      </c>
      <c r="BE369">
        <v>1</v>
      </c>
      <c r="BF369">
        <v>0.99990000000000001</v>
      </c>
      <c r="BG369">
        <v>1</v>
      </c>
      <c r="BH369">
        <v>1</v>
      </c>
      <c r="BI369">
        <v>0.99</v>
      </c>
      <c r="BJ369">
        <v>0.999</v>
      </c>
      <c r="BK369">
        <v>0.998</v>
      </c>
      <c r="BL369">
        <v>0.99850000000000005</v>
      </c>
      <c r="BM369">
        <v>0.99850000000000005</v>
      </c>
      <c r="BN369">
        <v>0.97199999999999998</v>
      </c>
      <c r="BO369">
        <v>0.99990000000000001</v>
      </c>
      <c r="BP369">
        <v>0.99990000000000001</v>
      </c>
      <c r="DB369">
        <v>0.88</v>
      </c>
      <c r="DC369">
        <v>0.9</v>
      </c>
      <c r="DD369">
        <v>0.93500000000000005</v>
      </c>
      <c r="DE369">
        <v>0.89</v>
      </c>
    </row>
    <row r="370" spans="2:109" x14ac:dyDescent="0.25">
      <c r="B370">
        <v>0.98</v>
      </c>
      <c r="C370">
        <v>0</v>
      </c>
      <c r="E370">
        <v>0</v>
      </c>
      <c r="F370">
        <v>0</v>
      </c>
      <c r="G370">
        <v>0</v>
      </c>
      <c r="H370">
        <v>0</v>
      </c>
      <c r="I370">
        <v>0</v>
      </c>
      <c r="J370">
        <v>0.98050000000000004</v>
      </c>
      <c r="K370">
        <v>0</v>
      </c>
      <c r="L370" s="333">
        <v>0</v>
      </c>
      <c r="M370" s="333">
        <v>0</v>
      </c>
      <c r="N370">
        <v>0</v>
      </c>
      <c r="O370">
        <v>0</v>
      </c>
      <c r="P370">
        <v>0</v>
      </c>
      <c r="Q370" s="328">
        <v>0</v>
      </c>
      <c r="BB370" s="446">
        <v>1</v>
      </c>
      <c r="BC370">
        <v>1</v>
      </c>
      <c r="BD370">
        <v>1</v>
      </c>
      <c r="BE370">
        <v>1</v>
      </c>
      <c r="BF370">
        <v>0.99990000000000001</v>
      </c>
      <c r="BG370">
        <v>1</v>
      </c>
      <c r="BH370">
        <v>1</v>
      </c>
      <c r="BI370">
        <v>0.99</v>
      </c>
      <c r="BJ370">
        <v>0.999</v>
      </c>
      <c r="BK370">
        <v>0.998</v>
      </c>
      <c r="BL370">
        <v>0.99850000000000005</v>
      </c>
      <c r="BM370">
        <v>0.99850000000000005</v>
      </c>
      <c r="BN370">
        <v>0.97199999999999998</v>
      </c>
      <c r="BO370">
        <v>0.99990000000000001</v>
      </c>
      <c r="BP370">
        <v>0.99990000000000001</v>
      </c>
      <c r="DB370">
        <v>0.88</v>
      </c>
      <c r="DC370">
        <v>0.90249999999999997</v>
      </c>
      <c r="DD370">
        <v>0.91500000000000004</v>
      </c>
      <c r="DE370">
        <v>0.89</v>
      </c>
    </row>
    <row r="371" spans="2:109" x14ac:dyDescent="0.25">
      <c r="B371">
        <v>0.98</v>
      </c>
      <c r="C371">
        <v>0</v>
      </c>
      <c r="E371">
        <v>0</v>
      </c>
      <c r="F371">
        <v>0</v>
      </c>
      <c r="G371">
        <v>0</v>
      </c>
      <c r="H371">
        <v>0</v>
      </c>
      <c r="I371">
        <v>0</v>
      </c>
      <c r="J371">
        <v>0.98050000000000004</v>
      </c>
      <c r="K371">
        <v>0</v>
      </c>
      <c r="L371" s="333">
        <v>0</v>
      </c>
      <c r="M371" s="333">
        <v>0</v>
      </c>
      <c r="N371">
        <v>0</v>
      </c>
      <c r="O371">
        <v>0</v>
      </c>
      <c r="P371">
        <v>0</v>
      </c>
      <c r="Q371" s="328">
        <v>0</v>
      </c>
      <c r="BB371" s="446">
        <v>1</v>
      </c>
      <c r="BC371">
        <v>1</v>
      </c>
      <c r="BD371">
        <v>1</v>
      </c>
      <c r="BE371">
        <v>1</v>
      </c>
      <c r="BF371">
        <v>0.99990000000000001</v>
      </c>
      <c r="BG371">
        <v>1</v>
      </c>
      <c r="BH371">
        <v>1</v>
      </c>
      <c r="BI371">
        <v>0.99</v>
      </c>
      <c r="BJ371">
        <v>0.999</v>
      </c>
      <c r="BK371">
        <v>0.998</v>
      </c>
      <c r="BL371">
        <v>0.99850000000000005</v>
      </c>
      <c r="BM371">
        <v>0.99850000000000005</v>
      </c>
      <c r="BN371">
        <v>0.97199999999999998</v>
      </c>
      <c r="BO371">
        <v>0.99990000000000001</v>
      </c>
      <c r="BP371">
        <v>0.99990000000000001</v>
      </c>
      <c r="DB371">
        <v>0.89</v>
      </c>
      <c r="DC371">
        <v>0.90749999999999997</v>
      </c>
      <c r="DD371">
        <v>0.91500000000000004</v>
      </c>
      <c r="DE371">
        <v>0.89</v>
      </c>
    </row>
    <row r="372" spans="2:109" x14ac:dyDescent="0.25">
      <c r="B372">
        <v>0.98</v>
      </c>
      <c r="C372">
        <v>0</v>
      </c>
      <c r="E372">
        <v>0</v>
      </c>
      <c r="F372">
        <v>0</v>
      </c>
      <c r="G372">
        <v>0</v>
      </c>
      <c r="H372">
        <v>0</v>
      </c>
      <c r="I372">
        <v>0</v>
      </c>
      <c r="J372">
        <v>0.98050000000000004</v>
      </c>
      <c r="K372">
        <v>0</v>
      </c>
      <c r="L372" s="333">
        <v>0</v>
      </c>
      <c r="M372" s="333">
        <v>0</v>
      </c>
      <c r="N372">
        <v>0</v>
      </c>
      <c r="O372">
        <v>0</v>
      </c>
      <c r="P372">
        <v>0</v>
      </c>
      <c r="Q372" s="328">
        <v>0</v>
      </c>
      <c r="BB372" s="446">
        <v>1</v>
      </c>
      <c r="BC372">
        <v>1</v>
      </c>
      <c r="BD372">
        <v>1</v>
      </c>
      <c r="BE372">
        <v>1</v>
      </c>
      <c r="BF372">
        <v>0.99990000000000001</v>
      </c>
      <c r="BG372">
        <v>1</v>
      </c>
      <c r="BH372">
        <v>1</v>
      </c>
      <c r="BI372">
        <v>0.99</v>
      </c>
      <c r="BJ372">
        <v>0.999</v>
      </c>
      <c r="BK372">
        <v>0.998</v>
      </c>
      <c r="BL372">
        <v>0.99850000000000005</v>
      </c>
      <c r="BM372">
        <v>0.99850000000000005</v>
      </c>
      <c r="BN372">
        <v>0.97199999999999998</v>
      </c>
      <c r="BO372">
        <v>0.99990000000000001</v>
      </c>
      <c r="BP372">
        <v>0.99990000000000001</v>
      </c>
      <c r="DB372">
        <v>0.91500000000000004</v>
      </c>
      <c r="DC372">
        <v>0.92749999999999999</v>
      </c>
      <c r="DD372">
        <v>0.91500000000000004</v>
      </c>
      <c r="DE372">
        <v>0.89</v>
      </c>
    </row>
    <row r="373" spans="2:109" x14ac:dyDescent="0.25">
      <c r="B373">
        <v>0.98</v>
      </c>
      <c r="C373">
        <v>0</v>
      </c>
      <c r="E373">
        <v>0</v>
      </c>
      <c r="F373">
        <v>0</v>
      </c>
      <c r="G373">
        <v>0</v>
      </c>
      <c r="H373">
        <v>0</v>
      </c>
      <c r="I373">
        <v>0</v>
      </c>
      <c r="J373">
        <v>0.98050000000000004</v>
      </c>
      <c r="K373">
        <v>0</v>
      </c>
      <c r="L373" s="333">
        <v>0</v>
      </c>
      <c r="M373" s="333">
        <v>0</v>
      </c>
      <c r="N373">
        <v>0</v>
      </c>
      <c r="O373">
        <v>0</v>
      </c>
      <c r="P373">
        <v>0</v>
      </c>
      <c r="Q373" s="328">
        <v>0</v>
      </c>
      <c r="BB373" s="446">
        <v>1</v>
      </c>
      <c r="BC373">
        <v>1</v>
      </c>
      <c r="BD373">
        <v>1</v>
      </c>
      <c r="BE373">
        <v>1</v>
      </c>
      <c r="BF373">
        <v>0.99990000000000001</v>
      </c>
      <c r="BG373">
        <v>1</v>
      </c>
      <c r="BH373">
        <v>1</v>
      </c>
      <c r="BI373">
        <v>0.99</v>
      </c>
      <c r="BJ373">
        <v>0.999</v>
      </c>
      <c r="BK373">
        <v>0.998</v>
      </c>
      <c r="BL373">
        <v>0.99850000000000005</v>
      </c>
      <c r="BM373">
        <v>0.99850000000000005</v>
      </c>
      <c r="BN373">
        <v>0.97199999999999998</v>
      </c>
      <c r="BO373">
        <v>0.99990000000000001</v>
      </c>
      <c r="BP373">
        <v>0.99990000000000001</v>
      </c>
      <c r="DB373">
        <v>0.94499999999999995</v>
      </c>
      <c r="DC373">
        <v>0.92</v>
      </c>
      <c r="DD373">
        <v>0.91500000000000004</v>
      </c>
      <c r="DE373">
        <v>0.89</v>
      </c>
    </row>
    <row r="374" spans="2:109" x14ac:dyDescent="0.25">
      <c r="B374">
        <v>0.98</v>
      </c>
      <c r="C374">
        <v>0</v>
      </c>
      <c r="E374">
        <v>0</v>
      </c>
      <c r="F374">
        <v>0</v>
      </c>
      <c r="G374">
        <v>0</v>
      </c>
      <c r="H374">
        <v>0</v>
      </c>
      <c r="I374">
        <v>0</v>
      </c>
      <c r="J374">
        <v>0.98050000000000004</v>
      </c>
      <c r="K374">
        <v>0</v>
      </c>
      <c r="L374" s="333">
        <v>0</v>
      </c>
      <c r="M374" s="333">
        <v>0</v>
      </c>
      <c r="N374">
        <v>0</v>
      </c>
      <c r="O374">
        <v>0</v>
      </c>
      <c r="P374">
        <v>0</v>
      </c>
      <c r="Q374" s="328">
        <v>0</v>
      </c>
      <c r="BB374" s="446">
        <v>1</v>
      </c>
      <c r="BC374">
        <v>1</v>
      </c>
      <c r="BD374">
        <v>1</v>
      </c>
      <c r="BE374">
        <v>1</v>
      </c>
      <c r="BF374">
        <v>0.99990000000000001</v>
      </c>
      <c r="BG374">
        <v>1</v>
      </c>
      <c r="BH374">
        <v>1</v>
      </c>
      <c r="BI374">
        <v>0.99</v>
      </c>
      <c r="BJ374">
        <v>0.999</v>
      </c>
      <c r="BK374">
        <v>0.998</v>
      </c>
      <c r="BL374">
        <v>0.99850000000000005</v>
      </c>
      <c r="BM374">
        <v>0.99850000000000005</v>
      </c>
      <c r="BN374">
        <v>0.97199999999999998</v>
      </c>
      <c r="BO374">
        <v>0.99990000000000001</v>
      </c>
      <c r="BP374">
        <v>0.99990000000000001</v>
      </c>
      <c r="DB374">
        <v>0.875</v>
      </c>
      <c r="DC374">
        <v>0.90249999999999997</v>
      </c>
      <c r="DD374">
        <v>0.82</v>
      </c>
      <c r="DE374">
        <v>0.89</v>
      </c>
    </row>
    <row r="375" spans="2:109" x14ac:dyDescent="0.25">
      <c r="B375">
        <v>0.98</v>
      </c>
      <c r="C375">
        <v>0</v>
      </c>
      <c r="E375">
        <v>0</v>
      </c>
      <c r="F375">
        <v>0</v>
      </c>
      <c r="G375">
        <v>0</v>
      </c>
      <c r="H375">
        <v>0</v>
      </c>
      <c r="I375">
        <v>0</v>
      </c>
      <c r="J375">
        <v>0.98050000000000004</v>
      </c>
      <c r="K375">
        <v>0</v>
      </c>
      <c r="L375" s="333">
        <v>0</v>
      </c>
      <c r="M375" s="333">
        <v>0</v>
      </c>
      <c r="N375">
        <v>0</v>
      </c>
      <c r="O375">
        <v>0</v>
      </c>
      <c r="P375">
        <v>0</v>
      </c>
      <c r="Q375" s="328">
        <v>0</v>
      </c>
      <c r="BB375" s="446">
        <v>1</v>
      </c>
      <c r="BC375">
        <v>1</v>
      </c>
      <c r="BD375">
        <v>1</v>
      </c>
      <c r="BE375">
        <v>1</v>
      </c>
      <c r="BF375">
        <v>0.99990000000000001</v>
      </c>
      <c r="BG375">
        <v>1</v>
      </c>
      <c r="BH375">
        <v>1</v>
      </c>
      <c r="BI375">
        <v>0.99</v>
      </c>
      <c r="BJ375">
        <v>0.999</v>
      </c>
      <c r="BK375">
        <v>0.998</v>
      </c>
      <c r="BL375">
        <v>0.99850000000000005</v>
      </c>
      <c r="BM375">
        <v>0.99850000000000005</v>
      </c>
      <c r="BN375">
        <v>0.97199999999999998</v>
      </c>
      <c r="BO375">
        <v>0.99990000000000001</v>
      </c>
      <c r="BP375">
        <v>0.99990000000000001</v>
      </c>
      <c r="DB375">
        <v>0.85</v>
      </c>
      <c r="DC375">
        <v>0.90249999999999997</v>
      </c>
      <c r="DD375">
        <v>0.82</v>
      </c>
      <c r="DE375">
        <v>0.89</v>
      </c>
    </row>
    <row r="376" spans="2:109" x14ac:dyDescent="0.25">
      <c r="B376">
        <v>0.98</v>
      </c>
      <c r="C376">
        <v>0</v>
      </c>
      <c r="E376">
        <v>0</v>
      </c>
      <c r="F376">
        <v>0</v>
      </c>
      <c r="G376">
        <v>0</v>
      </c>
      <c r="H376">
        <v>0</v>
      </c>
      <c r="I376">
        <v>0</v>
      </c>
      <c r="J376">
        <v>0.98050000000000004</v>
      </c>
      <c r="K376">
        <v>0</v>
      </c>
      <c r="L376" s="333">
        <v>0</v>
      </c>
      <c r="M376" s="333">
        <v>0</v>
      </c>
      <c r="N376">
        <v>0</v>
      </c>
      <c r="O376">
        <v>0</v>
      </c>
      <c r="P376">
        <v>0</v>
      </c>
      <c r="Q376" s="328">
        <v>0</v>
      </c>
      <c r="BB376" s="446">
        <v>1</v>
      </c>
      <c r="BC376">
        <v>1</v>
      </c>
      <c r="BD376">
        <v>1</v>
      </c>
      <c r="BE376">
        <v>1</v>
      </c>
      <c r="BF376">
        <v>0.99990000000000001</v>
      </c>
      <c r="BG376">
        <v>1</v>
      </c>
      <c r="BH376">
        <v>1</v>
      </c>
      <c r="BI376">
        <v>0.99</v>
      </c>
      <c r="BJ376">
        <v>0.999</v>
      </c>
      <c r="BK376">
        <v>0.998</v>
      </c>
      <c r="BL376">
        <v>0.99850000000000005</v>
      </c>
      <c r="BM376">
        <v>0.99850000000000005</v>
      </c>
      <c r="BN376">
        <v>0.97199999999999998</v>
      </c>
      <c r="BO376">
        <v>0.99990000000000001</v>
      </c>
      <c r="BP376">
        <v>0.99990000000000001</v>
      </c>
      <c r="DB376">
        <v>0.69</v>
      </c>
      <c r="DC376">
        <v>0.89249999999999996</v>
      </c>
      <c r="DD376">
        <v>0.71499999999999997</v>
      </c>
      <c r="DE376">
        <v>0.89</v>
      </c>
    </row>
    <row r="377" spans="2:109" x14ac:dyDescent="0.25">
      <c r="BB377" s="446">
        <v>1</v>
      </c>
      <c r="BC377">
        <v>1</v>
      </c>
      <c r="BD377">
        <v>1</v>
      </c>
      <c r="BE377">
        <v>1</v>
      </c>
      <c r="BF377">
        <v>0.99990000000000001</v>
      </c>
      <c r="BG377">
        <v>1</v>
      </c>
      <c r="BH377">
        <v>1</v>
      </c>
      <c r="BI377">
        <v>0.99</v>
      </c>
      <c r="BJ377">
        <v>0.999</v>
      </c>
      <c r="BK377">
        <v>0.998</v>
      </c>
      <c r="BL377">
        <v>0.99850000000000005</v>
      </c>
      <c r="BM377">
        <v>0.99850000000000005</v>
      </c>
      <c r="BN377">
        <v>0.97199999999999998</v>
      </c>
      <c r="BO377">
        <v>0.99990000000000001</v>
      </c>
      <c r="BP377">
        <v>0.99990000000000001</v>
      </c>
      <c r="DB377">
        <v>0.69</v>
      </c>
      <c r="DC377">
        <v>0.88</v>
      </c>
      <c r="DD377">
        <v>0.64</v>
      </c>
      <c r="DE377">
        <v>0.89</v>
      </c>
    </row>
    <row r="378" spans="2:109" x14ac:dyDescent="0.25">
      <c r="BB378" s="446">
        <v>1</v>
      </c>
      <c r="BC378">
        <v>1</v>
      </c>
      <c r="BD378">
        <v>1</v>
      </c>
      <c r="BE378">
        <v>1</v>
      </c>
      <c r="BF378">
        <v>0.99990000000000001</v>
      </c>
      <c r="BG378">
        <v>1</v>
      </c>
      <c r="BH378">
        <v>1</v>
      </c>
      <c r="BI378">
        <v>0.99</v>
      </c>
      <c r="BJ378">
        <v>0.999</v>
      </c>
      <c r="BK378">
        <v>0.998</v>
      </c>
      <c r="BL378">
        <v>0.99850000000000005</v>
      </c>
      <c r="BM378">
        <v>0.99850000000000005</v>
      </c>
      <c r="BN378">
        <v>0.97199999999999998</v>
      </c>
      <c r="BO378">
        <v>0.99990000000000001</v>
      </c>
      <c r="BP378">
        <v>0.99990000000000001</v>
      </c>
      <c r="DB378">
        <v>0.71</v>
      </c>
      <c r="DC378">
        <v>0.87749999999999995</v>
      </c>
      <c r="DD378">
        <v>0.67</v>
      </c>
      <c r="DE378">
        <v>0.89</v>
      </c>
    </row>
    <row r="379" spans="2:109" x14ac:dyDescent="0.25">
      <c r="BB379" s="446">
        <v>1</v>
      </c>
      <c r="BC379">
        <v>1</v>
      </c>
      <c r="BD379">
        <v>1</v>
      </c>
      <c r="BE379">
        <v>1</v>
      </c>
      <c r="BF379">
        <v>0.99990000000000001</v>
      </c>
      <c r="BG379">
        <v>1</v>
      </c>
      <c r="BH379">
        <v>1</v>
      </c>
      <c r="BI379">
        <v>0.99</v>
      </c>
      <c r="BJ379">
        <v>0.999</v>
      </c>
      <c r="BK379">
        <v>0.998</v>
      </c>
      <c r="BL379">
        <v>0.99850000000000005</v>
      </c>
      <c r="BM379">
        <v>0.99850000000000005</v>
      </c>
      <c r="BN379">
        <v>0.97199999999999998</v>
      </c>
      <c r="BO379">
        <v>0.99990000000000001</v>
      </c>
      <c r="BP379">
        <v>0.99990000000000001</v>
      </c>
      <c r="DB379">
        <v>0.8</v>
      </c>
      <c r="DC379">
        <v>0.9</v>
      </c>
      <c r="DD379">
        <v>0.83</v>
      </c>
      <c r="DE379">
        <v>0.89</v>
      </c>
    </row>
    <row r="380" spans="2:109" x14ac:dyDescent="0.25">
      <c r="BB380" s="446">
        <v>1</v>
      </c>
      <c r="BC380">
        <v>1</v>
      </c>
      <c r="BD380">
        <v>1</v>
      </c>
      <c r="BE380">
        <v>1</v>
      </c>
      <c r="BF380">
        <v>0.99990000000000001</v>
      </c>
      <c r="BG380">
        <v>1</v>
      </c>
      <c r="BH380">
        <v>1</v>
      </c>
      <c r="BI380">
        <v>0.99</v>
      </c>
      <c r="BJ380">
        <v>0.999</v>
      </c>
      <c r="BK380">
        <v>0.998</v>
      </c>
      <c r="BL380">
        <v>0.99850000000000005</v>
      </c>
      <c r="BM380">
        <v>0.99850000000000005</v>
      </c>
      <c r="BN380">
        <v>0.97199999999999998</v>
      </c>
      <c r="BO380">
        <v>0.99990000000000001</v>
      </c>
      <c r="BP380">
        <v>0.99990000000000001</v>
      </c>
      <c r="DB380">
        <v>0.85</v>
      </c>
      <c r="DC380">
        <v>0.90300000000000002</v>
      </c>
      <c r="DD380">
        <v>0.92</v>
      </c>
      <c r="DE380">
        <v>0.89</v>
      </c>
    </row>
    <row r="381" spans="2:109" x14ac:dyDescent="0.25">
      <c r="BB381" s="446">
        <v>1</v>
      </c>
      <c r="BC381">
        <v>1</v>
      </c>
      <c r="BD381">
        <v>1</v>
      </c>
      <c r="BE381">
        <v>1</v>
      </c>
      <c r="BF381">
        <v>0.99990000000000001</v>
      </c>
      <c r="BG381">
        <v>1</v>
      </c>
      <c r="BH381">
        <v>1</v>
      </c>
      <c r="BI381">
        <v>0.99</v>
      </c>
      <c r="BJ381">
        <v>0.999</v>
      </c>
      <c r="BK381">
        <v>0.998</v>
      </c>
      <c r="BL381">
        <v>0.99850000000000005</v>
      </c>
      <c r="BM381">
        <v>0.99850000000000005</v>
      </c>
      <c r="BN381">
        <v>0.97199999999999998</v>
      </c>
      <c r="BO381">
        <v>0.99990000000000001</v>
      </c>
      <c r="BP381">
        <v>0.99990000000000001</v>
      </c>
      <c r="DB381">
        <v>0.88</v>
      </c>
      <c r="DC381">
        <v>0.9</v>
      </c>
      <c r="DD381">
        <v>0.93500000000000005</v>
      </c>
      <c r="DE381">
        <v>0.89</v>
      </c>
    </row>
    <row r="382" spans="2:109" x14ac:dyDescent="0.25">
      <c r="BB382" s="446">
        <v>1</v>
      </c>
      <c r="BC382">
        <v>1</v>
      </c>
      <c r="BD382">
        <v>1</v>
      </c>
      <c r="BE382">
        <v>1</v>
      </c>
      <c r="BF382">
        <v>0.99990000000000001</v>
      </c>
      <c r="BG382">
        <v>1</v>
      </c>
      <c r="BH382">
        <v>1</v>
      </c>
      <c r="BI382">
        <v>0.99</v>
      </c>
      <c r="BJ382">
        <v>0.999</v>
      </c>
      <c r="BK382">
        <v>0.998</v>
      </c>
      <c r="BL382">
        <v>0.99850000000000005</v>
      </c>
      <c r="BM382">
        <v>0.99850000000000005</v>
      </c>
      <c r="BN382">
        <v>0.97199999999999998</v>
      </c>
      <c r="BO382">
        <v>0.99990000000000001</v>
      </c>
      <c r="BP382">
        <v>0.99990000000000001</v>
      </c>
      <c r="DB382">
        <v>0.88</v>
      </c>
      <c r="DC382">
        <v>0.90249999999999997</v>
      </c>
      <c r="DD382">
        <v>0.91500000000000004</v>
      </c>
      <c r="DE382">
        <v>0.89</v>
      </c>
    </row>
    <row r="383" spans="2:109" x14ac:dyDescent="0.25">
      <c r="BB383" s="446">
        <v>1</v>
      </c>
      <c r="BC383">
        <v>1</v>
      </c>
      <c r="BD383">
        <v>1</v>
      </c>
      <c r="BE383">
        <v>1</v>
      </c>
      <c r="BF383">
        <v>0.99990000000000001</v>
      </c>
      <c r="BG383">
        <v>1</v>
      </c>
      <c r="BH383">
        <v>1</v>
      </c>
      <c r="BI383">
        <v>0.99</v>
      </c>
      <c r="BJ383">
        <v>0.999</v>
      </c>
      <c r="BK383">
        <v>0.998</v>
      </c>
      <c r="BL383">
        <v>0.99850000000000005</v>
      </c>
      <c r="BM383">
        <v>0.99850000000000005</v>
      </c>
      <c r="BN383">
        <v>0.97199999999999998</v>
      </c>
      <c r="BO383">
        <v>0.99990000000000001</v>
      </c>
      <c r="BP383">
        <v>0.99990000000000001</v>
      </c>
      <c r="DB383">
        <v>0.89</v>
      </c>
      <c r="DC383">
        <v>0.90749999999999997</v>
      </c>
      <c r="DD383">
        <v>0.91500000000000004</v>
      </c>
      <c r="DE383">
        <v>0.89</v>
      </c>
    </row>
    <row r="384" spans="2:109" x14ac:dyDescent="0.25">
      <c r="BB384" s="446">
        <v>1</v>
      </c>
      <c r="BC384">
        <v>1</v>
      </c>
      <c r="BD384">
        <v>1</v>
      </c>
      <c r="BE384">
        <v>1</v>
      </c>
      <c r="BF384">
        <v>0.99990000000000001</v>
      </c>
      <c r="BG384">
        <v>1</v>
      </c>
      <c r="BH384">
        <v>1</v>
      </c>
      <c r="BI384">
        <v>0.99</v>
      </c>
      <c r="BJ384">
        <v>0.999</v>
      </c>
      <c r="BK384">
        <v>0.998</v>
      </c>
      <c r="BL384">
        <v>0.99850000000000005</v>
      </c>
      <c r="BM384">
        <v>0.99850000000000005</v>
      </c>
      <c r="BN384">
        <v>0.97199999999999998</v>
      </c>
      <c r="BO384">
        <v>0.99990000000000001</v>
      </c>
      <c r="BP384">
        <v>0.99990000000000001</v>
      </c>
      <c r="DB384">
        <v>0.91500000000000004</v>
      </c>
      <c r="DC384">
        <v>0.92749999999999999</v>
      </c>
      <c r="DD384">
        <v>0.91500000000000004</v>
      </c>
      <c r="DE384">
        <v>0.89</v>
      </c>
    </row>
    <row r="385" spans="54:109" x14ac:dyDescent="0.25">
      <c r="BB385" s="446">
        <v>1</v>
      </c>
      <c r="BC385">
        <v>1</v>
      </c>
      <c r="BD385">
        <v>1</v>
      </c>
      <c r="BE385">
        <v>1</v>
      </c>
      <c r="BF385">
        <v>0.99990000000000001</v>
      </c>
      <c r="BG385">
        <v>1</v>
      </c>
      <c r="BH385">
        <v>1</v>
      </c>
      <c r="BI385">
        <v>0.99</v>
      </c>
      <c r="BJ385">
        <v>0.999</v>
      </c>
      <c r="BK385">
        <v>0.998</v>
      </c>
      <c r="BL385">
        <v>0.99850000000000005</v>
      </c>
      <c r="BM385">
        <v>0.99850000000000005</v>
      </c>
      <c r="BN385">
        <v>0.97199999999999998</v>
      </c>
      <c r="BO385">
        <v>0.99990000000000001</v>
      </c>
      <c r="BP385">
        <v>0.99990000000000001</v>
      </c>
      <c r="DB385">
        <v>0.94499999999999995</v>
      </c>
      <c r="DC385">
        <v>0.92</v>
      </c>
      <c r="DD385">
        <v>0.91500000000000004</v>
      </c>
      <c r="DE385">
        <v>0.89</v>
      </c>
    </row>
    <row r="386" spans="54:109" x14ac:dyDescent="0.25">
      <c r="BB386" s="446">
        <v>1</v>
      </c>
      <c r="BC386">
        <v>1</v>
      </c>
      <c r="BD386">
        <v>1</v>
      </c>
      <c r="BE386">
        <v>1</v>
      </c>
      <c r="BF386">
        <v>0.99990000000000001</v>
      </c>
      <c r="BG386">
        <v>1</v>
      </c>
      <c r="BH386">
        <v>1</v>
      </c>
      <c r="BI386">
        <v>0.99</v>
      </c>
      <c r="BJ386">
        <v>0.999</v>
      </c>
      <c r="BK386">
        <v>0.998</v>
      </c>
      <c r="BL386">
        <v>0.99850000000000005</v>
      </c>
      <c r="BM386">
        <v>0.99850000000000005</v>
      </c>
      <c r="BN386">
        <v>0.97199999999999998</v>
      </c>
      <c r="BO386">
        <v>0.99990000000000001</v>
      </c>
      <c r="BP386">
        <v>0.99990000000000001</v>
      </c>
      <c r="DB386">
        <v>0.875</v>
      </c>
      <c r="DC386">
        <v>0.90249999999999997</v>
      </c>
      <c r="DD386">
        <v>0.82</v>
      </c>
      <c r="DE386">
        <v>0.89</v>
      </c>
    </row>
    <row r="387" spans="54:109" x14ac:dyDescent="0.25">
      <c r="BB387" s="446">
        <v>1</v>
      </c>
      <c r="BC387">
        <v>1</v>
      </c>
      <c r="BD387">
        <v>1</v>
      </c>
      <c r="BE387">
        <v>1</v>
      </c>
      <c r="BF387">
        <v>0.99990000000000001</v>
      </c>
      <c r="BG387">
        <v>1</v>
      </c>
      <c r="BH387">
        <v>1</v>
      </c>
      <c r="BI387">
        <v>0.99</v>
      </c>
      <c r="BJ387">
        <v>0.999</v>
      </c>
      <c r="BK387">
        <v>0.998</v>
      </c>
      <c r="BL387">
        <v>0.99850000000000005</v>
      </c>
      <c r="BM387">
        <v>0.99850000000000005</v>
      </c>
      <c r="BN387">
        <v>0.97199999999999998</v>
      </c>
      <c r="BO387">
        <v>0.99990000000000001</v>
      </c>
      <c r="BP387">
        <v>0.99990000000000001</v>
      </c>
      <c r="DB387">
        <v>0.85</v>
      </c>
      <c r="DC387">
        <v>0.90249999999999997</v>
      </c>
      <c r="DD387">
        <v>0.82</v>
      </c>
      <c r="DE387">
        <v>0.89</v>
      </c>
    </row>
    <row r="388" spans="54:109" x14ac:dyDescent="0.25">
      <c r="BB388" s="446">
        <v>1</v>
      </c>
      <c r="BC388">
        <v>1</v>
      </c>
      <c r="BD388">
        <v>1</v>
      </c>
      <c r="BE388">
        <v>1</v>
      </c>
      <c r="BF388">
        <v>0.99990000000000001</v>
      </c>
      <c r="BG388">
        <v>1</v>
      </c>
      <c r="BH388">
        <v>1</v>
      </c>
      <c r="BI388">
        <v>0.99</v>
      </c>
      <c r="BJ388">
        <v>0.999</v>
      </c>
      <c r="BK388">
        <v>0.998</v>
      </c>
      <c r="BL388">
        <v>0.99850000000000005</v>
      </c>
      <c r="BM388">
        <v>0.99850000000000005</v>
      </c>
      <c r="BN388">
        <v>0.97199999999999998</v>
      </c>
      <c r="BO388">
        <v>0.99990000000000001</v>
      </c>
      <c r="BP388">
        <v>0.99990000000000001</v>
      </c>
      <c r="DB388">
        <v>0.69</v>
      </c>
      <c r="DC388">
        <v>0.89249999999999996</v>
      </c>
      <c r="DD388">
        <v>0.71499999999999997</v>
      </c>
      <c r="DE388">
        <v>0.89</v>
      </c>
    </row>
    <row r="389" spans="54:109" x14ac:dyDescent="0.25">
      <c r="BB389" s="446">
        <v>1</v>
      </c>
      <c r="BC389">
        <v>1</v>
      </c>
      <c r="BD389">
        <v>1</v>
      </c>
      <c r="BE389">
        <v>1</v>
      </c>
      <c r="BF389">
        <v>0.99990000000000001</v>
      </c>
      <c r="BG389">
        <v>1</v>
      </c>
      <c r="BH389">
        <v>1</v>
      </c>
      <c r="BI389">
        <v>0.99</v>
      </c>
      <c r="BJ389">
        <v>0.999</v>
      </c>
      <c r="BK389">
        <v>0.998</v>
      </c>
      <c r="BL389">
        <v>0.99850000000000005</v>
      </c>
      <c r="BM389">
        <v>0.99850000000000005</v>
      </c>
      <c r="BN389">
        <v>0.97199999999999998</v>
      </c>
      <c r="BO389">
        <v>0.99990000000000001</v>
      </c>
      <c r="BP389">
        <v>0.99990000000000001</v>
      </c>
      <c r="DC389">
        <v>0.88</v>
      </c>
      <c r="DD389">
        <v>0.64</v>
      </c>
      <c r="DE389">
        <v>0.89</v>
      </c>
    </row>
    <row r="390" spans="54:109" x14ac:dyDescent="0.25">
      <c r="BB390" s="446">
        <v>1</v>
      </c>
      <c r="BC390">
        <v>1</v>
      </c>
      <c r="BD390">
        <v>1</v>
      </c>
      <c r="BE390">
        <v>1</v>
      </c>
      <c r="BF390">
        <v>0.99990000000000001</v>
      </c>
      <c r="BG390">
        <v>1</v>
      </c>
      <c r="BH390">
        <v>1</v>
      </c>
      <c r="BI390">
        <v>0.99</v>
      </c>
      <c r="BJ390">
        <v>0.999</v>
      </c>
      <c r="BK390">
        <v>0.998</v>
      </c>
      <c r="BL390">
        <v>0.99850000000000005</v>
      </c>
      <c r="BM390">
        <v>0.99850000000000005</v>
      </c>
      <c r="BN390">
        <v>0.97199999999999998</v>
      </c>
      <c r="BO390">
        <v>0.99990000000000001</v>
      </c>
      <c r="BP390">
        <v>0.99990000000000001</v>
      </c>
      <c r="DC390">
        <v>0.87749999999999995</v>
      </c>
      <c r="DD390">
        <v>0.67</v>
      </c>
      <c r="DE390">
        <v>0.89</v>
      </c>
    </row>
    <row r="391" spans="54:109" x14ac:dyDescent="0.25">
      <c r="BB391" s="446">
        <v>1</v>
      </c>
      <c r="BC391">
        <v>1</v>
      </c>
      <c r="BD391">
        <v>1</v>
      </c>
      <c r="BE391">
        <v>1</v>
      </c>
      <c r="BF391">
        <v>0.99990000000000001</v>
      </c>
      <c r="BG391">
        <v>1</v>
      </c>
      <c r="BH391">
        <v>1</v>
      </c>
      <c r="BI391">
        <v>0.99</v>
      </c>
      <c r="BJ391">
        <v>0.999</v>
      </c>
      <c r="BK391">
        <v>0.998</v>
      </c>
      <c r="BL391">
        <v>0.99850000000000005</v>
      </c>
      <c r="BM391">
        <v>0.99850000000000005</v>
      </c>
      <c r="BN391">
        <v>0.97199999999999998</v>
      </c>
      <c r="BO391">
        <v>0.99990000000000001</v>
      </c>
      <c r="BP391">
        <v>0.99990000000000001</v>
      </c>
      <c r="DC391">
        <v>0.9</v>
      </c>
      <c r="DD391">
        <v>0.83</v>
      </c>
      <c r="DE391">
        <v>0.89</v>
      </c>
    </row>
    <row r="392" spans="54:109" x14ac:dyDescent="0.25">
      <c r="BB392" s="446">
        <v>1</v>
      </c>
      <c r="BC392">
        <v>1</v>
      </c>
      <c r="BD392">
        <v>1</v>
      </c>
      <c r="BE392">
        <v>1</v>
      </c>
      <c r="BF392">
        <v>0.99990000000000001</v>
      </c>
      <c r="BG392">
        <v>1</v>
      </c>
      <c r="BH392">
        <v>1</v>
      </c>
      <c r="BI392">
        <v>0.99</v>
      </c>
      <c r="BJ392">
        <v>0.999</v>
      </c>
      <c r="BK392">
        <v>0.998</v>
      </c>
      <c r="BL392">
        <v>0.99850000000000005</v>
      </c>
      <c r="BM392">
        <v>0.99850000000000005</v>
      </c>
      <c r="BN392">
        <v>0.97199999999999998</v>
      </c>
      <c r="BO392">
        <v>0.99990000000000001</v>
      </c>
      <c r="BP392">
        <v>0.99990000000000001</v>
      </c>
      <c r="DC392">
        <v>0.90300000000000002</v>
      </c>
      <c r="DD392">
        <v>0.92</v>
      </c>
      <c r="DE392">
        <v>0.89</v>
      </c>
    </row>
    <row r="393" spans="54:109" x14ac:dyDescent="0.25">
      <c r="BB393" s="446">
        <v>1</v>
      </c>
      <c r="BC393">
        <v>1</v>
      </c>
      <c r="BD393">
        <v>1</v>
      </c>
      <c r="BE393">
        <v>1</v>
      </c>
      <c r="BF393">
        <v>0.99990000000000001</v>
      </c>
      <c r="BG393">
        <v>1</v>
      </c>
      <c r="BH393">
        <v>1</v>
      </c>
      <c r="BI393">
        <v>0.99</v>
      </c>
      <c r="BJ393">
        <v>0.999</v>
      </c>
      <c r="BK393">
        <v>0.998</v>
      </c>
      <c r="BL393">
        <v>0.99850000000000005</v>
      </c>
      <c r="BM393">
        <v>0.99850000000000005</v>
      </c>
      <c r="BN393">
        <v>0.97199999999999998</v>
      </c>
      <c r="BO393">
        <v>0.99990000000000001</v>
      </c>
      <c r="BP393">
        <v>0.99990000000000001</v>
      </c>
      <c r="DC393">
        <v>0.9</v>
      </c>
      <c r="DD393">
        <v>0.93500000000000005</v>
      </c>
      <c r="DE393">
        <v>0.89</v>
      </c>
    </row>
    <row r="394" spans="54:109" x14ac:dyDescent="0.25">
      <c r="BB394" s="446">
        <v>1</v>
      </c>
      <c r="BC394">
        <v>1</v>
      </c>
      <c r="BD394">
        <v>1</v>
      </c>
      <c r="BE394">
        <v>1</v>
      </c>
      <c r="BF394">
        <v>0.99990000000000001</v>
      </c>
      <c r="BG394">
        <v>1</v>
      </c>
      <c r="BH394">
        <v>1</v>
      </c>
      <c r="BI394">
        <v>0.99</v>
      </c>
      <c r="BJ394">
        <v>0.999</v>
      </c>
      <c r="BK394">
        <v>0.998</v>
      </c>
      <c r="BL394">
        <v>0.99850000000000005</v>
      </c>
      <c r="BM394">
        <v>0.99850000000000005</v>
      </c>
      <c r="BN394">
        <v>0.97199999999999998</v>
      </c>
      <c r="BO394">
        <v>0.99990000000000001</v>
      </c>
      <c r="BP394">
        <v>0.99990000000000001</v>
      </c>
      <c r="DC394">
        <v>0.90249999999999997</v>
      </c>
      <c r="DD394">
        <v>0.91500000000000004</v>
      </c>
      <c r="DE394">
        <v>0.89</v>
      </c>
    </row>
    <row r="395" spans="54:109" x14ac:dyDescent="0.25">
      <c r="BB395" s="446">
        <v>1</v>
      </c>
      <c r="BC395">
        <v>1</v>
      </c>
      <c r="BD395">
        <v>1</v>
      </c>
      <c r="BE395">
        <v>1</v>
      </c>
      <c r="BF395">
        <v>0.99990000000000001</v>
      </c>
      <c r="BG395">
        <v>1</v>
      </c>
      <c r="BH395">
        <v>1</v>
      </c>
      <c r="BI395">
        <v>0.99</v>
      </c>
      <c r="BJ395">
        <v>0.999</v>
      </c>
      <c r="BK395">
        <v>0.998</v>
      </c>
      <c r="BL395">
        <v>0.99850000000000005</v>
      </c>
      <c r="BM395">
        <v>0.99850000000000005</v>
      </c>
      <c r="BN395">
        <v>0.97199999999999998</v>
      </c>
      <c r="BO395">
        <v>0.99990000000000001</v>
      </c>
      <c r="BP395">
        <v>0.99990000000000001</v>
      </c>
      <c r="DC395">
        <v>0.90749999999999997</v>
      </c>
      <c r="DD395">
        <v>0.91500000000000004</v>
      </c>
      <c r="DE395">
        <v>0.89</v>
      </c>
    </row>
    <row r="396" spans="54:109" x14ac:dyDescent="0.25">
      <c r="BB396" s="446">
        <v>1</v>
      </c>
      <c r="BC396">
        <v>1</v>
      </c>
      <c r="BD396">
        <v>1</v>
      </c>
      <c r="BE396">
        <v>1</v>
      </c>
      <c r="BF396">
        <v>0.99990000000000001</v>
      </c>
      <c r="BG396">
        <v>1</v>
      </c>
      <c r="BH396">
        <v>1</v>
      </c>
      <c r="BI396">
        <v>0.99</v>
      </c>
      <c r="BJ396">
        <v>0.999</v>
      </c>
      <c r="BK396">
        <v>0.998</v>
      </c>
      <c r="BL396">
        <v>0.99850000000000005</v>
      </c>
      <c r="BM396">
        <v>0.99850000000000005</v>
      </c>
      <c r="BN396">
        <v>0.97199999999999998</v>
      </c>
      <c r="BO396">
        <v>0.99990000000000001</v>
      </c>
      <c r="BP396">
        <v>0.99990000000000001</v>
      </c>
      <c r="DC396">
        <v>0.92749999999999999</v>
      </c>
      <c r="DD396">
        <v>0.91500000000000004</v>
      </c>
      <c r="DE396">
        <v>0.89</v>
      </c>
    </row>
    <row r="397" spans="54:109" x14ac:dyDescent="0.25">
      <c r="BB397" s="446">
        <v>1</v>
      </c>
      <c r="BC397">
        <v>1</v>
      </c>
      <c r="BD397">
        <v>1</v>
      </c>
      <c r="BE397">
        <v>1</v>
      </c>
      <c r="BF397">
        <v>0.99990000000000001</v>
      </c>
      <c r="BG397">
        <v>1</v>
      </c>
      <c r="BH397">
        <v>1</v>
      </c>
      <c r="BI397">
        <v>0.99</v>
      </c>
      <c r="BJ397">
        <v>0.999</v>
      </c>
      <c r="BK397">
        <v>0.998</v>
      </c>
      <c r="BL397">
        <v>0.99850000000000005</v>
      </c>
      <c r="BM397">
        <v>0.99850000000000005</v>
      </c>
      <c r="BN397">
        <v>0.97199999999999998</v>
      </c>
      <c r="BO397">
        <v>0.99990000000000001</v>
      </c>
      <c r="BP397">
        <v>0.99990000000000001</v>
      </c>
      <c r="DC397">
        <v>0.92</v>
      </c>
      <c r="DD397">
        <v>0.91500000000000004</v>
      </c>
      <c r="DE397">
        <v>0.89</v>
      </c>
    </row>
    <row r="398" spans="54:109" x14ac:dyDescent="0.25">
      <c r="BB398" s="446">
        <v>1</v>
      </c>
      <c r="BC398">
        <v>1</v>
      </c>
      <c r="BD398">
        <v>1</v>
      </c>
      <c r="BE398">
        <v>1</v>
      </c>
      <c r="BF398">
        <v>0.99990000000000001</v>
      </c>
      <c r="BG398">
        <v>1</v>
      </c>
      <c r="BH398">
        <v>1</v>
      </c>
      <c r="BI398">
        <v>0.99</v>
      </c>
      <c r="BJ398">
        <v>0.999</v>
      </c>
      <c r="BK398">
        <v>0.998</v>
      </c>
      <c r="BL398">
        <v>0.99850000000000005</v>
      </c>
      <c r="BM398">
        <v>0.99850000000000005</v>
      </c>
      <c r="BN398">
        <v>0.97199999999999998</v>
      </c>
      <c r="BO398">
        <v>0.99990000000000001</v>
      </c>
      <c r="BP398">
        <v>0.99990000000000001</v>
      </c>
      <c r="DC398">
        <v>0.90249999999999997</v>
      </c>
      <c r="DD398">
        <v>0.82</v>
      </c>
      <c r="DE398">
        <v>0.89</v>
      </c>
    </row>
    <row r="399" spans="54:109" x14ac:dyDescent="0.25">
      <c r="BB399" s="446">
        <v>1</v>
      </c>
      <c r="BC399">
        <v>1</v>
      </c>
      <c r="BD399">
        <v>1</v>
      </c>
      <c r="BE399">
        <v>1</v>
      </c>
      <c r="BF399">
        <v>0.99990000000000001</v>
      </c>
      <c r="BG399">
        <v>1</v>
      </c>
      <c r="BH399">
        <v>1</v>
      </c>
      <c r="BI399">
        <v>0.99</v>
      </c>
      <c r="BJ399">
        <v>0.999</v>
      </c>
      <c r="BK399">
        <v>0.998</v>
      </c>
      <c r="BL399">
        <v>0.99850000000000005</v>
      </c>
      <c r="BM399">
        <v>0.99850000000000005</v>
      </c>
      <c r="BN399">
        <v>0.97199999999999998</v>
      </c>
      <c r="BO399">
        <v>0.99990000000000001</v>
      </c>
      <c r="BP399">
        <v>0.99990000000000001</v>
      </c>
      <c r="DC399">
        <v>0.90249999999999997</v>
      </c>
      <c r="DD399">
        <v>0.82</v>
      </c>
      <c r="DE399">
        <v>0.89</v>
      </c>
    </row>
    <row r="400" spans="54:109" x14ac:dyDescent="0.25">
      <c r="BB400" s="446">
        <v>1</v>
      </c>
      <c r="BC400">
        <v>1</v>
      </c>
      <c r="BD400">
        <v>1</v>
      </c>
      <c r="BE400">
        <v>1</v>
      </c>
      <c r="BF400">
        <v>0.99990000000000001</v>
      </c>
      <c r="BG400">
        <v>1</v>
      </c>
      <c r="BH400">
        <v>1</v>
      </c>
      <c r="BI400">
        <v>0.99</v>
      </c>
      <c r="BJ400">
        <v>0.999</v>
      </c>
      <c r="BK400">
        <v>0.998</v>
      </c>
      <c r="BL400">
        <v>0.99850000000000005</v>
      </c>
      <c r="BM400">
        <v>0.99850000000000005</v>
      </c>
      <c r="BN400">
        <v>0.97199999999999998</v>
      </c>
      <c r="BO400">
        <v>0.99990000000000001</v>
      </c>
      <c r="BP400">
        <v>0.99990000000000001</v>
      </c>
      <c r="DC400">
        <v>0.89249999999999996</v>
      </c>
      <c r="DD400">
        <v>0.71499999999999997</v>
      </c>
      <c r="DE400">
        <v>0.89</v>
      </c>
    </row>
    <row r="401" spans="54:109" x14ac:dyDescent="0.25">
      <c r="BB401" s="446">
        <v>1</v>
      </c>
      <c r="BC401">
        <v>1</v>
      </c>
      <c r="BD401">
        <v>1</v>
      </c>
      <c r="BE401">
        <v>1</v>
      </c>
      <c r="BF401">
        <v>0.99990000000000001</v>
      </c>
      <c r="BG401">
        <v>1</v>
      </c>
      <c r="BH401">
        <v>1</v>
      </c>
      <c r="BI401">
        <v>0.99</v>
      </c>
      <c r="BJ401">
        <v>0.999</v>
      </c>
      <c r="BK401">
        <v>0.998</v>
      </c>
      <c r="BL401">
        <v>0.99850000000000005</v>
      </c>
      <c r="BM401">
        <v>0.99850000000000005</v>
      </c>
      <c r="BN401">
        <v>0.97199999999999998</v>
      </c>
      <c r="BO401">
        <v>0.99990000000000001</v>
      </c>
      <c r="BP401">
        <v>0.99990000000000001</v>
      </c>
      <c r="DC401">
        <v>0.88</v>
      </c>
      <c r="DD401">
        <v>0.64</v>
      </c>
      <c r="DE401">
        <v>0.89</v>
      </c>
    </row>
    <row r="402" spans="54:109" x14ac:dyDescent="0.25">
      <c r="BB402" s="446">
        <v>1</v>
      </c>
      <c r="BC402">
        <v>1</v>
      </c>
      <c r="BD402">
        <v>1</v>
      </c>
      <c r="BE402">
        <v>1</v>
      </c>
      <c r="BF402">
        <v>0.99990000000000001</v>
      </c>
      <c r="BG402">
        <v>1</v>
      </c>
      <c r="BH402">
        <v>1</v>
      </c>
      <c r="BI402">
        <v>0.99</v>
      </c>
      <c r="BJ402">
        <v>0.999</v>
      </c>
      <c r="BK402">
        <v>0.998</v>
      </c>
      <c r="BL402">
        <v>0.99850000000000005</v>
      </c>
      <c r="BM402">
        <v>0.99850000000000005</v>
      </c>
      <c r="BN402">
        <v>0.97199999999999998</v>
      </c>
      <c r="BO402">
        <v>0.99990000000000001</v>
      </c>
      <c r="BP402">
        <v>0.99990000000000001</v>
      </c>
      <c r="DC402">
        <v>0.87749999999999995</v>
      </c>
      <c r="DD402">
        <v>0.67</v>
      </c>
      <c r="DE402">
        <v>0.89</v>
      </c>
    </row>
    <row r="403" spans="54:109" x14ac:dyDescent="0.25">
      <c r="BB403" s="446">
        <v>1</v>
      </c>
      <c r="BC403">
        <v>1</v>
      </c>
      <c r="BD403">
        <v>1</v>
      </c>
      <c r="BE403">
        <v>1</v>
      </c>
      <c r="BF403">
        <v>0.99990000000000001</v>
      </c>
      <c r="BG403">
        <v>1</v>
      </c>
      <c r="BH403">
        <v>1</v>
      </c>
      <c r="BI403">
        <v>0.99</v>
      </c>
      <c r="BJ403">
        <v>0.999</v>
      </c>
      <c r="BK403">
        <v>0.998</v>
      </c>
      <c r="BL403">
        <v>0.99850000000000005</v>
      </c>
      <c r="BM403">
        <v>0.99850000000000005</v>
      </c>
      <c r="BN403">
        <v>0.97199999999999998</v>
      </c>
      <c r="BO403">
        <v>0.99990000000000001</v>
      </c>
      <c r="BP403">
        <v>0.99990000000000001</v>
      </c>
      <c r="DC403">
        <v>0.9</v>
      </c>
      <c r="DD403">
        <v>0.83</v>
      </c>
      <c r="DE403">
        <v>0.89</v>
      </c>
    </row>
    <row r="404" spans="54:109" x14ac:dyDescent="0.25">
      <c r="BB404" s="446">
        <v>1</v>
      </c>
      <c r="BC404">
        <v>1</v>
      </c>
      <c r="BD404">
        <v>1</v>
      </c>
      <c r="BE404">
        <v>1</v>
      </c>
      <c r="BF404">
        <v>0.99990000000000001</v>
      </c>
      <c r="BG404">
        <v>1</v>
      </c>
      <c r="BH404">
        <v>1</v>
      </c>
      <c r="BI404">
        <v>0.99</v>
      </c>
      <c r="BJ404">
        <v>0.999</v>
      </c>
      <c r="BK404">
        <v>0.998</v>
      </c>
      <c r="BL404">
        <v>0.99850000000000005</v>
      </c>
      <c r="BM404">
        <v>0.99850000000000005</v>
      </c>
      <c r="BN404">
        <v>0.97199999999999998</v>
      </c>
      <c r="BO404">
        <v>0.99990000000000001</v>
      </c>
      <c r="BP404">
        <v>0.99990000000000001</v>
      </c>
      <c r="DC404">
        <v>0.90300000000000002</v>
      </c>
      <c r="DD404">
        <v>0.92</v>
      </c>
      <c r="DE404">
        <v>0.89</v>
      </c>
    </row>
    <row r="405" spans="54:109" x14ac:dyDescent="0.25">
      <c r="BB405" s="446">
        <v>1</v>
      </c>
      <c r="BC405">
        <v>1</v>
      </c>
      <c r="BD405">
        <v>1</v>
      </c>
      <c r="BE405">
        <v>1</v>
      </c>
      <c r="BF405">
        <v>0.99990000000000001</v>
      </c>
      <c r="BG405">
        <v>1</v>
      </c>
      <c r="BH405">
        <v>1</v>
      </c>
      <c r="BI405">
        <v>0.99</v>
      </c>
      <c r="BJ405">
        <v>0.999</v>
      </c>
      <c r="BK405">
        <v>0.998</v>
      </c>
      <c r="BL405">
        <v>0.99850000000000005</v>
      </c>
      <c r="BM405">
        <v>0.99850000000000005</v>
      </c>
      <c r="BN405">
        <v>0.97199999999999998</v>
      </c>
      <c r="BO405">
        <v>0.99990000000000001</v>
      </c>
      <c r="BP405">
        <v>0.99990000000000001</v>
      </c>
      <c r="DC405">
        <v>0.9</v>
      </c>
      <c r="DD405">
        <v>0.93500000000000005</v>
      </c>
      <c r="DE405">
        <v>0.89</v>
      </c>
    </row>
    <row r="406" spans="54:109" x14ac:dyDescent="0.25">
      <c r="BB406" s="446">
        <v>1</v>
      </c>
      <c r="BC406">
        <v>1</v>
      </c>
      <c r="BD406">
        <v>1</v>
      </c>
      <c r="BE406">
        <v>1</v>
      </c>
      <c r="BF406">
        <v>0.99990000000000001</v>
      </c>
      <c r="BG406">
        <v>1</v>
      </c>
      <c r="BH406">
        <v>1</v>
      </c>
      <c r="BI406">
        <v>0.99</v>
      </c>
      <c r="BJ406">
        <v>0.999</v>
      </c>
      <c r="BK406">
        <v>0.998</v>
      </c>
      <c r="BL406">
        <v>0.99850000000000005</v>
      </c>
      <c r="BM406">
        <v>0.99850000000000005</v>
      </c>
      <c r="BN406">
        <v>0.97199999999999998</v>
      </c>
      <c r="BO406">
        <v>0.99990000000000001</v>
      </c>
      <c r="BP406">
        <v>0.99990000000000001</v>
      </c>
      <c r="DC406">
        <v>0.90249999999999997</v>
      </c>
      <c r="DD406">
        <v>0.91500000000000004</v>
      </c>
      <c r="DE406">
        <v>0.89</v>
      </c>
    </row>
    <row r="407" spans="54:109" x14ac:dyDescent="0.25">
      <c r="BB407" s="446">
        <v>1</v>
      </c>
      <c r="BC407">
        <v>1</v>
      </c>
      <c r="BD407">
        <v>1</v>
      </c>
      <c r="BE407">
        <v>1</v>
      </c>
      <c r="BF407">
        <v>0.99990000000000001</v>
      </c>
      <c r="BG407">
        <v>1</v>
      </c>
      <c r="BH407">
        <v>1</v>
      </c>
      <c r="BI407">
        <v>0.99</v>
      </c>
      <c r="BJ407">
        <v>0.999</v>
      </c>
      <c r="BK407">
        <v>0.998</v>
      </c>
      <c r="BL407">
        <v>0.99850000000000005</v>
      </c>
      <c r="BM407">
        <v>0.99850000000000005</v>
      </c>
      <c r="BN407">
        <v>0.97199999999999998</v>
      </c>
      <c r="BO407">
        <v>0.99990000000000001</v>
      </c>
      <c r="BP407">
        <v>0.99990000000000001</v>
      </c>
      <c r="DC407">
        <v>0.90749999999999997</v>
      </c>
      <c r="DD407">
        <v>0.91500000000000004</v>
      </c>
      <c r="DE407">
        <v>0.89</v>
      </c>
    </row>
    <row r="408" spans="54:109" x14ac:dyDescent="0.25">
      <c r="BB408" s="446">
        <v>1</v>
      </c>
      <c r="BC408">
        <v>1</v>
      </c>
      <c r="BD408">
        <v>1</v>
      </c>
      <c r="BE408">
        <v>1</v>
      </c>
      <c r="BF408">
        <v>0.99990000000000001</v>
      </c>
      <c r="BG408">
        <v>1</v>
      </c>
      <c r="BH408">
        <v>1</v>
      </c>
      <c r="BI408">
        <v>0.99</v>
      </c>
      <c r="BJ408">
        <v>0.999</v>
      </c>
      <c r="BK408">
        <v>0.998</v>
      </c>
      <c r="BL408">
        <v>0.99850000000000005</v>
      </c>
      <c r="BM408">
        <v>0.99850000000000005</v>
      </c>
      <c r="BN408">
        <v>0.97199999999999998</v>
      </c>
      <c r="BO408">
        <v>0.99990000000000001</v>
      </c>
      <c r="BP408">
        <v>0.99990000000000001</v>
      </c>
      <c r="DC408">
        <v>0.92749999999999999</v>
      </c>
      <c r="DD408">
        <v>0.91500000000000004</v>
      </c>
      <c r="DE408">
        <v>0.89</v>
      </c>
    </row>
    <row r="409" spans="54:109" x14ac:dyDescent="0.25">
      <c r="BB409" s="446">
        <v>1</v>
      </c>
      <c r="BC409">
        <v>1</v>
      </c>
      <c r="BD409">
        <v>1</v>
      </c>
      <c r="BE409">
        <v>1</v>
      </c>
      <c r="BF409">
        <v>0.99990000000000001</v>
      </c>
      <c r="BG409">
        <v>1</v>
      </c>
      <c r="BH409">
        <v>1</v>
      </c>
      <c r="BI409">
        <v>0.99</v>
      </c>
      <c r="BJ409">
        <v>0.999</v>
      </c>
      <c r="BK409">
        <v>0.998</v>
      </c>
      <c r="BL409">
        <v>0.99850000000000005</v>
      </c>
      <c r="BM409">
        <v>0.99850000000000005</v>
      </c>
      <c r="BN409">
        <v>0.97199999999999998</v>
      </c>
      <c r="BO409">
        <v>0.99990000000000001</v>
      </c>
      <c r="BP409">
        <v>0.99990000000000001</v>
      </c>
      <c r="DC409">
        <v>0.92</v>
      </c>
      <c r="DD409">
        <v>0.91500000000000004</v>
      </c>
      <c r="DE409">
        <v>0.89</v>
      </c>
    </row>
    <row r="410" spans="54:109" x14ac:dyDescent="0.25">
      <c r="BB410" s="446">
        <v>1</v>
      </c>
      <c r="BC410">
        <v>1</v>
      </c>
      <c r="BD410">
        <v>1</v>
      </c>
      <c r="BE410">
        <v>1</v>
      </c>
      <c r="BF410">
        <v>0.99990000000000001</v>
      </c>
      <c r="BG410">
        <v>1</v>
      </c>
      <c r="BH410">
        <v>1</v>
      </c>
      <c r="BI410">
        <v>0.99</v>
      </c>
      <c r="BJ410">
        <v>0.999</v>
      </c>
      <c r="BK410">
        <v>0.998</v>
      </c>
      <c r="BL410">
        <v>0.99850000000000005</v>
      </c>
      <c r="BM410">
        <v>0.99850000000000005</v>
      </c>
      <c r="BN410">
        <v>0.97199999999999998</v>
      </c>
      <c r="BO410">
        <v>0.99990000000000001</v>
      </c>
      <c r="BP410">
        <v>0.99990000000000001</v>
      </c>
      <c r="DC410">
        <v>0.90249999999999997</v>
      </c>
      <c r="DD410">
        <v>0.82</v>
      </c>
      <c r="DE410">
        <v>0.89</v>
      </c>
    </row>
    <row r="411" spans="54:109" x14ac:dyDescent="0.25">
      <c r="BB411" s="446">
        <v>1</v>
      </c>
      <c r="BC411">
        <v>1</v>
      </c>
      <c r="BD411">
        <v>1</v>
      </c>
      <c r="BE411">
        <v>1</v>
      </c>
      <c r="BF411">
        <v>0.99990000000000001</v>
      </c>
      <c r="BG411">
        <v>1</v>
      </c>
      <c r="BH411">
        <v>1</v>
      </c>
      <c r="BI411">
        <v>0.99</v>
      </c>
      <c r="BJ411">
        <v>0.999</v>
      </c>
      <c r="BK411">
        <v>0.998</v>
      </c>
      <c r="BL411">
        <v>0.99850000000000005</v>
      </c>
      <c r="BM411">
        <v>0.99850000000000005</v>
      </c>
      <c r="BN411">
        <v>0.97199999999999998</v>
      </c>
      <c r="BO411">
        <v>0.99990000000000001</v>
      </c>
      <c r="BP411">
        <v>0.99990000000000001</v>
      </c>
      <c r="DC411">
        <v>0.90249999999999997</v>
      </c>
      <c r="DD411">
        <v>0.82</v>
      </c>
      <c r="DE411">
        <v>0.89</v>
      </c>
    </row>
    <row r="412" spans="54:109" x14ac:dyDescent="0.25">
      <c r="BB412" s="446">
        <v>1</v>
      </c>
      <c r="BC412">
        <v>1</v>
      </c>
      <c r="BD412">
        <v>1</v>
      </c>
      <c r="BE412">
        <v>1</v>
      </c>
      <c r="BF412">
        <v>0.99990000000000001</v>
      </c>
      <c r="BG412">
        <v>1</v>
      </c>
      <c r="BH412">
        <v>1</v>
      </c>
      <c r="BI412">
        <v>0.99</v>
      </c>
      <c r="BJ412">
        <v>0.999</v>
      </c>
      <c r="BK412">
        <v>0.998</v>
      </c>
      <c r="BL412">
        <v>0.99850000000000005</v>
      </c>
      <c r="BM412">
        <v>0.99850000000000005</v>
      </c>
      <c r="BN412">
        <v>0.97199999999999998</v>
      </c>
      <c r="BO412">
        <v>0.99990000000000001</v>
      </c>
      <c r="BP412">
        <v>0.99990000000000001</v>
      </c>
      <c r="DC412">
        <v>0.89249999999999996</v>
      </c>
      <c r="DD412">
        <v>0.71499999999999997</v>
      </c>
      <c r="DE412">
        <v>0.89</v>
      </c>
    </row>
    <row r="413" spans="54:109" x14ac:dyDescent="0.25">
      <c r="BB413" s="446">
        <v>1</v>
      </c>
      <c r="BC413">
        <v>1</v>
      </c>
      <c r="BD413">
        <v>1</v>
      </c>
      <c r="BE413">
        <v>1</v>
      </c>
      <c r="BF413">
        <v>0.99990000000000001</v>
      </c>
      <c r="BG413">
        <v>1</v>
      </c>
      <c r="BH413">
        <v>1</v>
      </c>
      <c r="BI413">
        <v>0.99</v>
      </c>
      <c r="BJ413">
        <v>0.999</v>
      </c>
      <c r="BK413">
        <v>0.998</v>
      </c>
      <c r="BL413">
        <v>0.99850000000000005</v>
      </c>
      <c r="BM413">
        <v>0.99850000000000005</v>
      </c>
      <c r="BN413">
        <v>0.97199999999999998</v>
      </c>
      <c r="BO413">
        <v>0.99990000000000001</v>
      </c>
      <c r="BP413">
        <v>0.99990000000000001</v>
      </c>
      <c r="DC413">
        <v>0.88</v>
      </c>
      <c r="DD413">
        <v>0.64</v>
      </c>
      <c r="DE413">
        <v>0.89</v>
      </c>
    </row>
    <row r="414" spans="54:109" x14ac:dyDescent="0.25">
      <c r="BB414" s="446">
        <v>1</v>
      </c>
      <c r="BC414">
        <v>1</v>
      </c>
      <c r="BD414">
        <v>1</v>
      </c>
      <c r="BE414">
        <v>1</v>
      </c>
      <c r="BF414">
        <v>0.99990000000000001</v>
      </c>
      <c r="BG414">
        <v>1</v>
      </c>
      <c r="BH414">
        <v>1</v>
      </c>
      <c r="BI414">
        <v>0.99</v>
      </c>
      <c r="BJ414">
        <v>0.999</v>
      </c>
      <c r="BK414">
        <v>0.998</v>
      </c>
      <c r="BL414">
        <v>0.99850000000000005</v>
      </c>
      <c r="BM414">
        <v>0.99850000000000005</v>
      </c>
      <c r="BN414">
        <v>0.97199999999999998</v>
      </c>
      <c r="BO414">
        <v>0.99990000000000001</v>
      </c>
      <c r="BP414">
        <v>0.99990000000000001</v>
      </c>
      <c r="DC414">
        <v>0.87749999999999995</v>
      </c>
      <c r="DD414">
        <v>0.67</v>
      </c>
      <c r="DE414">
        <v>0.89</v>
      </c>
    </row>
    <row r="415" spans="54:109" x14ac:dyDescent="0.25">
      <c r="BB415" s="446">
        <v>1</v>
      </c>
      <c r="BC415">
        <v>1</v>
      </c>
      <c r="BD415">
        <v>1</v>
      </c>
      <c r="BE415">
        <v>1</v>
      </c>
      <c r="BF415">
        <v>0.99990000000000001</v>
      </c>
      <c r="BG415">
        <v>1</v>
      </c>
      <c r="BH415">
        <v>1</v>
      </c>
      <c r="BI415">
        <v>0.99</v>
      </c>
      <c r="BJ415">
        <v>0.999</v>
      </c>
      <c r="BK415">
        <v>0.998</v>
      </c>
      <c r="BL415">
        <v>0.99850000000000005</v>
      </c>
      <c r="BM415">
        <v>0.99850000000000005</v>
      </c>
      <c r="BN415">
        <v>0.97199999999999998</v>
      </c>
      <c r="BO415">
        <v>0.99990000000000001</v>
      </c>
      <c r="BP415">
        <v>0.99990000000000001</v>
      </c>
      <c r="DC415">
        <v>0.9</v>
      </c>
      <c r="DD415">
        <v>0.83</v>
      </c>
      <c r="DE415">
        <v>0.89</v>
      </c>
    </row>
    <row r="416" spans="54:109" x14ac:dyDescent="0.25">
      <c r="BB416" s="446">
        <v>1</v>
      </c>
      <c r="BC416">
        <v>1</v>
      </c>
      <c r="BD416">
        <v>1</v>
      </c>
      <c r="BE416">
        <v>1</v>
      </c>
      <c r="BF416">
        <v>0.99990000000000001</v>
      </c>
      <c r="BG416">
        <v>1</v>
      </c>
      <c r="BH416">
        <v>1</v>
      </c>
      <c r="BI416">
        <v>0.99</v>
      </c>
      <c r="BJ416">
        <v>0.999</v>
      </c>
      <c r="BK416">
        <v>0.998</v>
      </c>
      <c r="BL416">
        <v>0.99850000000000005</v>
      </c>
      <c r="BM416">
        <v>0.99850000000000005</v>
      </c>
      <c r="BN416">
        <v>0.97199999999999998</v>
      </c>
      <c r="BO416">
        <v>0.99990000000000001</v>
      </c>
      <c r="BP416">
        <v>0.99990000000000001</v>
      </c>
      <c r="DC416">
        <v>0.90300000000000002</v>
      </c>
      <c r="DD416">
        <v>0.92</v>
      </c>
      <c r="DE416">
        <v>0.89</v>
      </c>
    </row>
    <row r="417" spans="54:109" x14ac:dyDescent="0.25">
      <c r="BB417" s="446">
        <v>1</v>
      </c>
      <c r="BC417">
        <v>1</v>
      </c>
      <c r="BD417">
        <v>1</v>
      </c>
      <c r="BE417">
        <v>1</v>
      </c>
      <c r="BF417">
        <v>0.99990000000000001</v>
      </c>
      <c r="BG417">
        <v>1</v>
      </c>
      <c r="BH417">
        <v>1</v>
      </c>
      <c r="BI417">
        <v>0.99</v>
      </c>
      <c r="BJ417">
        <v>0.999</v>
      </c>
      <c r="BK417">
        <v>0.998</v>
      </c>
      <c r="BL417">
        <v>0.99850000000000005</v>
      </c>
      <c r="BM417">
        <v>0.99850000000000005</v>
      </c>
      <c r="BN417">
        <v>0.97199999999999998</v>
      </c>
      <c r="BO417">
        <v>0.99990000000000001</v>
      </c>
      <c r="BP417">
        <v>0.99990000000000001</v>
      </c>
      <c r="DC417">
        <v>0.9</v>
      </c>
      <c r="DD417">
        <v>0.93500000000000005</v>
      </c>
      <c r="DE417">
        <v>0.89</v>
      </c>
    </row>
    <row r="418" spans="54:109" x14ac:dyDescent="0.25">
      <c r="BB418" s="446">
        <v>1</v>
      </c>
      <c r="BC418">
        <v>1</v>
      </c>
      <c r="BD418">
        <v>1</v>
      </c>
      <c r="BE418">
        <v>1</v>
      </c>
      <c r="BF418">
        <v>0.99990000000000001</v>
      </c>
      <c r="BG418">
        <v>1</v>
      </c>
      <c r="BH418">
        <v>1</v>
      </c>
      <c r="BI418">
        <v>0.99</v>
      </c>
      <c r="BJ418">
        <v>0.999</v>
      </c>
      <c r="BK418">
        <v>0.998</v>
      </c>
      <c r="BL418">
        <v>0.99850000000000005</v>
      </c>
      <c r="BM418">
        <v>0.99850000000000005</v>
      </c>
      <c r="BN418">
        <v>0.97199999999999998</v>
      </c>
      <c r="BO418">
        <v>0.99990000000000001</v>
      </c>
      <c r="BP418">
        <v>0.99990000000000001</v>
      </c>
      <c r="DC418">
        <v>0.90249999999999997</v>
      </c>
      <c r="DD418">
        <v>0.91500000000000004</v>
      </c>
      <c r="DE418">
        <v>0.89</v>
      </c>
    </row>
    <row r="419" spans="54:109" x14ac:dyDescent="0.25">
      <c r="BB419" s="446">
        <v>1</v>
      </c>
      <c r="BC419">
        <v>1</v>
      </c>
      <c r="BD419">
        <v>1</v>
      </c>
      <c r="BE419">
        <v>1</v>
      </c>
      <c r="BF419">
        <v>0.99990000000000001</v>
      </c>
      <c r="BG419">
        <v>1</v>
      </c>
      <c r="BH419">
        <v>1</v>
      </c>
      <c r="BI419">
        <v>0.99</v>
      </c>
      <c r="BJ419">
        <v>0.999</v>
      </c>
      <c r="BK419">
        <v>0.998</v>
      </c>
      <c r="BL419">
        <v>0.99850000000000005</v>
      </c>
      <c r="BM419">
        <v>0.99850000000000005</v>
      </c>
      <c r="BN419">
        <v>0.97199999999999998</v>
      </c>
      <c r="BO419">
        <v>0.99990000000000001</v>
      </c>
      <c r="BP419">
        <v>0.99990000000000001</v>
      </c>
      <c r="DC419">
        <v>0.90749999999999997</v>
      </c>
      <c r="DD419">
        <v>0.91500000000000004</v>
      </c>
      <c r="DE419">
        <v>0.89</v>
      </c>
    </row>
    <row r="420" spans="54:109" x14ac:dyDescent="0.25">
      <c r="BB420" s="446">
        <v>1</v>
      </c>
      <c r="BC420">
        <v>1</v>
      </c>
      <c r="BD420">
        <v>1</v>
      </c>
      <c r="BE420">
        <v>1</v>
      </c>
      <c r="BF420">
        <v>0.99990000000000001</v>
      </c>
      <c r="BG420">
        <v>1</v>
      </c>
      <c r="BH420">
        <v>1</v>
      </c>
      <c r="BI420">
        <v>0.99</v>
      </c>
      <c r="BJ420">
        <v>0.999</v>
      </c>
      <c r="BK420">
        <v>0.998</v>
      </c>
      <c r="BL420">
        <v>0.99850000000000005</v>
      </c>
      <c r="BM420">
        <v>0.99850000000000005</v>
      </c>
      <c r="BN420">
        <v>0.97199999999999998</v>
      </c>
      <c r="BO420">
        <v>0.99990000000000001</v>
      </c>
      <c r="BP420">
        <v>0.99990000000000001</v>
      </c>
      <c r="DC420">
        <v>0.92749999999999999</v>
      </c>
      <c r="DD420">
        <v>0.91500000000000004</v>
      </c>
      <c r="DE420">
        <v>0.89</v>
      </c>
    </row>
    <row r="421" spans="54:109" x14ac:dyDescent="0.25">
      <c r="BB421" s="446">
        <v>1</v>
      </c>
      <c r="BC421">
        <v>1</v>
      </c>
      <c r="BD421">
        <v>1</v>
      </c>
      <c r="BE421">
        <v>1</v>
      </c>
      <c r="BF421">
        <v>0.99990000000000001</v>
      </c>
      <c r="BG421">
        <v>1</v>
      </c>
      <c r="BH421">
        <v>1</v>
      </c>
      <c r="BI421">
        <v>0.99</v>
      </c>
      <c r="BJ421">
        <v>0.999</v>
      </c>
      <c r="BK421">
        <v>0.998</v>
      </c>
      <c r="BL421">
        <v>0.99850000000000005</v>
      </c>
      <c r="BM421">
        <v>0.99850000000000005</v>
      </c>
      <c r="BN421">
        <v>0.97199999999999998</v>
      </c>
      <c r="BO421">
        <v>0.99990000000000001</v>
      </c>
      <c r="BP421">
        <v>0.99990000000000001</v>
      </c>
      <c r="DC421">
        <v>0.92</v>
      </c>
      <c r="DD421">
        <v>0.91500000000000004</v>
      </c>
      <c r="DE421">
        <v>0.89</v>
      </c>
    </row>
    <row r="422" spans="54:109" x14ac:dyDescent="0.25">
      <c r="BB422" s="446">
        <v>1</v>
      </c>
      <c r="BC422">
        <v>1</v>
      </c>
      <c r="BD422">
        <v>1</v>
      </c>
      <c r="BE422">
        <v>1</v>
      </c>
      <c r="BF422">
        <v>0.99990000000000001</v>
      </c>
      <c r="BG422">
        <v>1</v>
      </c>
      <c r="BH422">
        <v>1</v>
      </c>
      <c r="BI422">
        <v>0.99</v>
      </c>
      <c r="BJ422">
        <v>0.999</v>
      </c>
      <c r="BK422">
        <v>0.998</v>
      </c>
      <c r="BL422">
        <v>0.99850000000000005</v>
      </c>
      <c r="BM422">
        <v>0.99850000000000005</v>
      </c>
      <c r="BN422">
        <v>0.97199999999999998</v>
      </c>
      <c r="BO422">
        <v>0.99990000000000001</v>
      </c>
      <c r="BP422">
        <v>0.99990000000000001</v>
      </c>
      <c r="DC422">
        <v>0.90249999999999997</v>
      </c>
      <c r="DD422">
        <v>0.82</v>
      </c>
      <c r="DE422">
        <v>0.89</v>
      </c>
    </row>
    <row r="423" spans="54:109" x14ac:dyDescent="0.25">
      <c r="BB423" s="446">
        <v>1</v>
      </c>
      <c r="BC423">
        <v>1</v>
      </c>
      <c r="BD423">
        <v>1</v>
      </c>
      <c r="BE423">
        <v>1</v>
      </c>
      <c r="BF423">
        <v>0.99990000000000001</v>
      </c>
      <c r="BG423">
        <v>1</v>
      </c>
      <c r="BH423">
        <v>1</v>
      </c>
      <c r="BI423">
        <v>0.99</v>
      </c>
      <c r="BJ423">
        <v>0.999</v>
      </c>
      <c r="BK423">
        <v>0.998</v>
      </c>
      <c r="BL423">
        <v>0.99850000000000005</v>
      </c>
      <c r="BM423">
        <v>0.99850000000000005</v>
      </c>
      <c r="BN423">
        <v>0.97199999999999998</v>
      </c>
      <c r="BO423">
        <v>0.99990000000000001</v>
      </c>
      <c r="BP423">
        <v>0.99990000000000001</v>
      </c>
      <c r="DC423">
        <v>0.90249999999999997</v>
      </c>
      <c r="DD423">
        <v>0.82</v>
      </c>
      <c r="DE423">
        <v>0.89</v>
      </c>
    </row>
    <row r="424" spans="54:109" x14ac:dyDescent="0.25">
      <c r="BB424" s="446">
        <v>1</v>
      </c>
      <c r="BC424">
        <v>1</v>
      </c>
      <c r="BD424">
        <v>1</v>
      </c>
      <c r="BE424">
        <v>1</v>
      </c>
      <c r="BF424">
        <v>0.99990000000000001</v>
      </c>
      <c r="BG424">
        <v>1</v>
      </c>
      <c r="BH424">
        <v>1</v>
      </c>
      <c r="BI424">
        <v>0.99</v>
      </c>
      <c r="BJ424">
        <v>0.999</v>
      </c>
      <c r="BK424">
        <v>0.998</v>
      </c>
      <c r="BL424">
        <v>0.99850000000000005</v>
      </c>
      <c r="BM424">
        <v>0.99850000000000005</v>
      </c>
      <c r="BN424">
        <v>0.97199999999999998</v>
      </c>
      <c r="BO424">
        <v>0.99990000000000001</v>
      </c>
      <c r="BP424">
        <v>0.99990000000000001</v>
      </c>
      <c r="DC424">
        <v>0.89249999999999996</v>
      </c>
      <c r="DD424">
        <v>0.71499999999999997</v>
      </c>
      <c r="DE424">
        <v>0.89</v>
      </c>
    </row>
    <row r="425" spans="54:109" x14ac:dyDescent="0.25">
      <c r="BB425" s="446">
        <v>1</v>
      </c>
      <c r="BC425">
        <v>1</v>
      </c>
      <c r="BD425">
        <v>1</v>
      </c>
      <c r="BE425">
        <v>1</v>
      </c>
      <c r="BF425">
        <v>0.99990000000000001</v>
      </c>
      <c r="BG425">
        <v>1</v>
      </c>
      <c r="BH425">
        <v>1</v>
      </c>
      <c r="BI425">
        <v>0.99</v>
      </c>
      <c r="BJ425">
        <v>0.999</v>
      </c>
      <c r="BK425">
        <v>0.998</v>
      </c>
      <c r="BL425">
        <v>0.99850000000000005</v>
      </c>
      <c r="BM425">
        <v>0.99850000000000005</v>
      </c>
      <c r="BN425">
        <v>0.97199999999999998</v>
      </c>
      <c r="BO425">
        <v>0.99990000000000001</v>
      </c>
      <c r="BP425">
        <v>0.99990000000000001</v>
      </c>
      <c r="DD425">
        <v>0.64</v>
      </c>
      <c r="DE425">
        <v>0.89</v>
      </c>
    </row>
    <row r="426" spans="54:109" x14ac:dyDescent="0.25">
      <c r="BB426" s="446">
        <v>1</v>
      </c>
      <c r="BC426">
        <v>1</v>
      </c>
      <c r="BD426">
        <v>1</v>
      </c>
      <c r="BE426">
        <v>1</v>
      </c>
      <c r="BF426">
        <v>0.99990000000000001</v>
      </c>
      <c r="BG426">
        <v>1</v>
      </c>
      <c r="BH426">
        <v>1</v>
      </c>
      <c r="BI426">
        <v>0.99</v>
      </c>
      <c r="BJ426">
        <v>0.999</v>
      </c>
      <c r="BK426">
        <v>0.998</v>
      </c>
      <c r="BL426">
        <v>0.99850000000000005</v>
      </c>
      <c r="BM426">
        <v>0.99850000000000005</v>
      </c>
      <c r="BN426">
        <v>0.97199999999999998</v>
      </c>
      <c r="BO426">
        <v>0.99990000000000001</v>
      </c>
      <c r="BP426">
        <v>0.99990000000000001</v>
      </c>
      <c r="DD426">
        <v>0.67</v>
      </c>
      <c r="DE426">
        <v>0.89</v>
      </c>
    </row>
    <row r="427" spans="54:109" x14ac:dyDescent="0.25">
      <c r="BB427" s="446">
        <v>1</v>
      </c>
      <c r="BC427">
        <v>1</v>
      </c>
      <c r="BD427">
        <v>1</v>
      </c>
      <c r="BE427">
        <v>1</v>
      </c>
      <c r="BF427">
        <v>0.99990000000000001</v>
      </c>
      <c r="BG427">
        <v>1</v>
      </c>
      <c r="BH427">
        <v>1</v>
      </c>
      <c r="BI427">
        <v>0.99</v>
      </c>
      <c r="BJ427">
        <v>0.999</v>
      </c>
      <c r="BK427">
        <v>0.998</v>
      </c>
      <c r="BL427">
        <v>0.99850000000000005</v>
      </c>
      <c r="BM427">
        <v>0.99850000000000005</v>
      </c>
      <c r="BN427">
        <v>0.97199999999999998</v>
      </c>
      <c r="BO427">
        <v>0.99990000000000001</v>
      </c>
      <c r="BP427">
        <v>0.99990000000000001</v>
      </c>
      <c r="DD427">
        <v>0.83</v>
      </c>
      <c r="DE427">
        <v>0.89</v>
      </c>
    </row>
    <row r="428" spans="54:109" x14ac:dyDescent="0.25">
      <c r="BB428" s="446">
        <v>1</v>
      </c>
      <c r="BC428">
        <v>1</v>
      </c>
      <c r="BD428">
        <v>1</v>
      </c>
      <c r="BE428">
        <v>1</v>
      </c>
      <c r="BF428">
        <v>0.99990000000000001</v>
      </c>
      <c r="BG428">
        <v>1</v>
      </c>
      <c r="BH428">
        <v>1</v>
      </c>
      <c r="BI428">
        <v>0.99</v>
      </c>
      <c r="BJ428">
        <v>0.999</v>
      </c>
      <c r="BK428">
        <v>0.998</v>
      </c>
      <c r="BL428">
        <v>0.99850000000000005</v>
      </c>
      <c r="BM428">
        <v>0.99850000000000005</v>
      </c>
      <c r="BN428">
        <v>0.97199999999999998</v>
      </c>
      <c r="BO428">
        <v>0.99990000000000001</v>
      </c>
      <c r="BP428">
        <v>0.99990000000000001</v>
      </c>
      <c r="DD428">
        <v>0.92</v>
      </c>
      <c r="DE428">
        <v>0.89</v>
      </c>
    </row>
    <row r="429" spans="54:109" x14ac:dyDescent="0.25">
      <c r="BB429" s="446">
        <v>1</v>
      </c>
      <c r="BC429">
        <v>1</v>
      </c>
      <c r="BD429">
        <v>1</v>
      </c>
      <c r="BE429">
        <v>1</v>
      </c>
      <c r="BF429">
        <v>0.99990000000000001</v>
      </c>
      <c r="BG429">
        <v>1</v>
      </c>
      <c r="BH429">
        <v>1</v>
      </c>
      <c r="BI429">
        <v>0.99</v>
      </c>
      <c r="BJ429">
        <v>0.999</v>
      </c>
      <c r="BK429">
        <v>0.998</v>
      </c>
      <c r="BL429">
        <v>0.99850000000000005</v>
      </c>
      <c r="BM429">
        <v>0.99850000000000005</v>
      </c>
      <c r="BN429">
        <v>0.97199999999999998</v>
      </c>
      <c r="BO429">
        <v>0.99990000000000001</v>
      </c>
      <c r="BP429">
        <v>0.99990000000000001</v>
      </c>
      <c r="DD429">
        <v>0.93500000000000005</v>
      </c>
      <c r="DE429">
        <v>0.89</v>
      </c>
    </row>
    <row r="430" spans="54:109" x14ac:dyDescent="0.25">
      <c r="BB430" s="446">
        <v>1</v>
      </c>
      <c r="BC430">
        <v>1</v>
      </c>
      <c r="BD430">
        <v>1</v>
      </c>
      <c r="BE430">
        <v>1</v>
      </c>
      <c r="BF430">
        <v>0.99990000000000001</v>
      </c>
      <c r="BG430">
        <v>1</v>
      </c>
      <c r="BH430">
        <v>1</v>
      </c>
      <c r="BI430">
        <v>0.99</v>
      </c>
      <c r="BJ430">
        <v>0.999</v>
      </c>
      <c r="BK430">
        <v>0.998</v>
      </c>
      <c r="BL430">
        <v>0.99850000000000005</v>
      </c>
      <c r="BM430">
        <v>0.99850000000000005</v>
      </c>
      <c r="BN430">
        <v>0.97199999999999998</v>
      </c>
      <c r="BO430">
        <v>0.99990000000000001</v>
      </c>
      <c r="BP430">
        <v>0.99990000000000001</v>
      </c>
      <c r="DD430">
        <v>0.91500000000000004</v>
      </c>
      <c r="DE430">
        <v>0.89</v>
      </c>
    </row>
    <row r="431" spans="54:109" x14ac:dyDescent="0.25">
      <c r="BB431" s="446">
        <v>1</v>
      </c>
      <c r="BC431">
        <v>1</v>
      </c>
      <c r="BD431">
        <v>1</v>
      </c>
      <c r="BE431">
        <v>1</v>
      </c>
      <c r="BF431">
        <v>0.99990000000000001</v>
      </c>
      <c r="BG431">
        <v>1</v>
      </c>
      <c r="BH431">
        <v>1</v>
      </c>
      <c r="BI431">
        <v>0.99</v>
      </c>
      <c r="BJ431">
        <v>0.999</v>
      </c>
      <c r="BK431">
        <v>0.998</v>
      </c>
      <c r="BL431">
        <v>0.99850000000000005</v>
      </c>
      <c r="BM431">
        <v>0.99850000000000005</v>
      </c>
      <c r="BN431">
        <v>0.97199999999999998</v>
      </c>
      <c r="BO431">
        <v>0.99990000000000001</v>
      </c>
      <c r="BP431">
        <v>0.99990000000000001</v>
      </c>
      <c r="DD431">
        <v>0.91500000000000004</v>
      </c>
      <c r="DE431">
        <v>0.89</v>
      </c>
    </row>
    <row r="432" spans="54:109" x14ac:dyDescent="0.25">
      <c r="BB432" s="446">
        <v>1</v>
      </c>
      <c r="BC432">
        <v>1</v>
      </c>
      <c r="BD432">
        <v>1</v>
      </c>
      <c r="BE432">
        <v>1</v>
      </c>
      <c r="BF432">
        <v>0.99990000000000001</v>
      </c>
      <c r="BG432">
        <v>1</v>
      </c>
      <c r="BH432">
        <v>1</v>
      </c>
      <c r="BI432">
        <v>0.99</v>
      </c>
      <c r="BJ432">
        <v>0.999</v>
      </c>
      <c r="BK432">
        <v>0.998</v>
      </c>
      <c r="BL432">
        <v>0.99850000000000005</v>
      </c>
      <c r="BM432">
        <v>0.99850000000000005</v>
      </c>
      <c r="BN432">
        <v>0.97199999999999998</v>
      </c>
      <c r="BO432">
        <v>0.99990000000000001</v>
      </c>
      <c r="BP432">
        <v>0.99990000000000001</v>
      </c>
      <c r="DD432">
        <v>0.91500000000000004</v>
      </c>
      <c r="DE432">
        <v>0.89</v>
      </c>
    </row>
    <row r="433" spans="54:109" x14ac:dyDescent="0.25">
      <c r="BB433" s="446">
        <v>1</v>
      </c>
      <c r="BC433">
        <v>1</v>
      </c>
      <c r="BD433">
        <v>1</v>
      </c>
      <c r="BE433">
        <v>1</v>
      </c>
      <c r="BF433">
        <v>0.99990000000000001</v>
      </c>
      <c r="BG433">
        <v>1</v>
      </c>
      <c r="BH433">
        <v>1</v>
      </c>
      <c r="BI433">
        <v>0.99</v>
      </c>
      <c r="BJ433">
        <v>0.999</v>
      </c>
      <c r="BK433">
        <v>0.998</v>
      </c>
      <c r="BL433">
        <v>0.99850000000000005</v>
      </c>
      <c r="BM433">
        <v>0.99850000000000005</v>
      </c>
      <c r="BN433">
        <v>0.97199999999999998</v>
      </c>
      <c r="BO433">
        <v>0.99990000000000001</v>
      </c>
      <c r="BP433">
        <v>0.99990000000000001</v>
      </c>
      <c r="DD433">
        <v>0.91500000000000004</v>
      </c>
      <c r="DE433">
        <v>0.89</v>
      </c>
    </row>
    <row r="434" spans="54:109" x14ac:dyDescent="0.25">
      <c r="BB434" s="446">
        <v>1</v>
      </c>
      <c r="BC434">
        <v>1</v>
      </c>
      <c r="BD434">
        <v>1</v>
      </c>
      <c r="BE434">
        <v>1</v>
      </c>
      <c r="BF434">
        <v>0.99990000000000001</v>
      </c>
      <c r="BG434">
        <v>1</v>
      </c>
      <c r="BH434">
        <v>1</v>
      </c>
      <c r="BI434">
        <v>0.99</v>
      </c>
      <c r="BJ434">
        <v>0.999</v>
      </c>
      <c r="BK434">
        <v>0.998</v>
      </c>
      <c r="BL434">
        <v>0.99850000000000005</v>
      </c>
      <c r="BM434">
        <v>0.99850000000000005</v>
      </c>
      <c r="BN434">
        <v>0.97199999999999998</v>
      </c>
      <c r="BO434">
        <v>0.99990000000000001</v>
      </c>
      <c r="BP434">
        <v>0.99990000000000001</v>
      </c>
      <c r="DD434">
        <v>0.82</v>
      </c>
      <c r="DE434">
        <v>0.89</v>
      </c>
    </row>
    <row r="435" spans="54:109" x14ac:dyDescent="0.25">
      <c r="BB435" s="446">
        <v>1</v>
      </c>
      <c r="BC435">
        <v>1</v>
      </c>
      <c r="BD435">
        <v>1</v>
      </c>
      <c r="BE435">
        <v>1</v>
      </c>
      <c r="BF435">
        <v>0.99990000000000001</v>
      </c>
      <c r="BG435">
        <v>1</v>
      </c>
      <c r="BH435">
        <v>1</v>
      </c>
      <c r="BI435">
        <v>0.99</v>
      </c>
      <c r="BJ435">
        <v>0.999</v>
      </c>
      <c r="BK435">
        <v>0.998</v>
      </c>
      <c r="BL435">
        <v>0.99850000000000005</v>
      </c>
      <c r="BM435">
        <v>0.99850000000000005</v>
      </c>
      <c r="BN435">
        <v>0.97199999999999998</v>
      </c>
      <c r="BO435">
        <v>0.99990000000000001</v>
      </c>
      <c r="BP435">
        <v>0.99990000000000001</v>
      </c>
      <c r="DD435">
        <v>0.82</v>
      </c>
      <c r="DE435">
        <v>0.89</v>
      </c>
    </row>
    <row r="436" spans="54:109" x14ac:dyDescent="0.25">
      <c r="BB436" s="446">
        <v>1</v>
      </c>
      <c r="BC436">
        <v>1</v>
      </c>
      <c r="BD436">
        <v>1</v>
      </c>
      <c r="BE436">
        <v>1</v>
      </c>
      <c r="BF436">
        <v>0.99990000000000001</v>
      </c>
      <c r="BG436">
        <v>1</v>
      </c>
      <c r="BH436">
        <v>1</v>
      </c>
      <c r="BI436">
        <v>0.99</v>
      </c>
      <c r="BJ436">
        <v>0.999</v>
      </c>
      <c r="BK436">
        <v>0.998</v>
      </c>
      <c r="BL436">
        <v>0.99850000000000005</v>
      </c>
      <c r="BM436">
        <v>0.99850000000000005</v>
      </c>
      <c r="BN436">
        <v>0.97199999999999998</v>
      </c>
      <c r="BO436">
        <v>0.99990000000000001</v>
      </c>
      <c r="BP436">
        <v>0.99990000000000001</v>
      </c>
      <c r="DD436">
        <v>0.71499999999999997</v>
      </c>
      <c r="DE436">
        <v>0.89</v>
      </c>
    </row>
    <row r="437" spans="54:109" x14ac:dyDescent="0.25">
      <c r="BB437" s="446">
        <v>1</v>
      </c>
      <c r="BC437">
        <v>1</v>
      </c>
      <c r="BD437">
        <v>1</v>
      </c>
      <c r="BE437">
        <v>1</v>
      </c>
      <c r="BF437">
        <v>0.99990000000000001</v>
      </c>
      <c r="BG437">
        <v>1</v>
      </c>
      <c r="BH437">
        <v>1</v>
      </c>
      <c r="BI437">
        <v>0.99</v>
      </c>
      <c r="BJ437">
        <v>0.999</v>
      </c>
      <c r="BK437">
        <v>0.998</v>
      </c>
      <c r="BL437">
        <v>0.99850000000000005</v>
      </c>
      <c r="BM437">
        <v>0.99850000000000005</v>
      </c>
      <c r="BN437">
        <v>0.97199999999999998</v>
      </c>
      <c r="BO437">
        <v>0.99990000000000001</v>
      </c>
      <c r="BP437">
        <v>0.99990000000000001</v>
      </c>
    </row>
    <row r="438" spans="54:109" x14ac:dyDescent="0.25">
      <c r="BB438" s="446">
        <v>1</v>
      </c>
      <c r="BC438">
        <v>1</v>
      </c>
      <c r="BD438">
        <v>1</v>
      </c>
      <c r="BE438">
        <v>1</v>
      </c>
      <c r="BF438">
        <v>0.99990000000000001</v>
      </c>
      <c r="BG438">
        <v>1</v>
      </c>
      <c r="BH438">
        <v>1</v>
      </c>
      <c r="BI438">
        <v>0.99</v>
      </c>
      <c r="BJ438">
        <v>0.999</v>
      </c>
      <c r="BK438">
        <v>0.998</v>
      </c>
      <c r="BL438">
        <v>0.99850000000000005</v>
      </c>
      <c r="BM438">
        <v>0.99850000000000005</v>
      </c>
      <c r="BN438">
        <v>0.97199999999999998</v>
      </c>
      <c r="BO438">
        <v>0.99990000000000001</v>
      </c>
      <c r="BP438">
        <v>0.99990000000000001</v>
      </c>
    </row>
    <row r="439" spans="54:109" x14ac:dyDescent="0.25">
      <c r="BB439" s="446">
        <v>1</v>
      </c>
      <c r="BC439">
        <v>1</v>
      </c>
      <c r="BD439">
        <v>1</v>
      </c>
      <c r="BE439">
        <v>1</v>
      </c>
      <c r="BF439">
        <v>0.99990000000000001</v>
      </c>
      <c r="BG439">
        <v>1</v>
      </c>
      <c r="BH439">
        <v>1</v>
      </c>
      <c r="BI439">
        <v>0.99</v>
      </c>
      <c r="BJ439">
        <v>0.999</v>
      </c>
      <c r="BK439">
        <v>0.998</v>
      </c>
      <c r="BL439">
        <v>0.99850000000000005</v>
      </c>
      <c r="BM439">
        <v>0.99850000000000005</v>
      </c>
      <c r="BN439">
        <v>0.97199999999999998</v>
      </c>
      <c r="BO439">
        <v>0.99990000000000001</v>
      </c>
      <c r="BP439">
        <v>0.99990000000000001</v>
      </c>
    </row>
    <row r="440" spans="54:109" x14ac:dyDescent="0.25">
      <c r="BB440" s="446">
        <v>1</v>
      </c>
      <c r="BC440">
        <v>1</v>
      </c>
      <c r="BD440">
        <v>1</v>
      </c>
      <c r="BE440">
        <v>1</v>
      </c>
      <c r="BF440">
        <v>0.99990000000000001</v>
      </c>
      <c r="BG440">
        <v>1</v>
      </c>
      <c r="BH440">
        <v>1</v>
      </c>
      <c r="BI440">
        <v>0.99</v>
      </c>
      <c r="BJ440">
        <v>0.999</v>
      </c>
      <c r="BK440">
        <v>0.998</v>
      </c>
      <c r="BL440">
        <v>0.99850000000000005</v>
      </c>
      <c r="BM440">
        <v>0.99850000000000005</v>
      </c>
      <c r="BN440">
        <v>0.97199999999999998</v>
      </c>
      <c r="BO440">
        <v>0.99990000000000001</v>
      </c>
      <c r="BP440">
        <v>0.99990000000000001</v>
      </c>
    </row>
    <row r="441" spans="54:109" x14ac:dyDescent="0.25">
      <c r="BB441" s="446">
        <v>1</v>
      </c>
      <c r="BC441">
        <v>1</v>
      </c>
      <c r="BD441">
        <v>1</v>
      </c>
      <c r="BE441">
        <v>1</v>
      </c>
      <c r="BF441">
        <v>0.99990000000000001</v>
      </c>
      <c r="BG441">
        <v>1</v>
      </c>
      <c r="BH441">
        <v>1</v>
      </c>
      <c r="BI441">
        <v>0.99</v>
      </c>
      <c r="BJ441">
        <v>0.999</v>
      </c>
      <c r="BK441">
        <v>0.998</v>
      </c>
      <c r="BL441">
        <v>0.99850000000000005</v>
      </c>
      <c r="BM441">
        <v>0.99850000000000005</v>
      </c>
      <c r="BN441">
        <v>0.97199999999999998</v>
      </c>
      <c r="BO441">
        <v>0.99990000000000001</v>
      </c>
      <c r="BP441">
        <v>0.99990000000000001</v>
      </c>
    </row>
    <row r="442" spans="54:109" x14ac:dyDescent="0.25">
      <c r="BB442" s="446">
        <v>1</v>
      </c>
      <c r="BC442">
        <v>1</v>
      </c>
      <c r="BD442">
        <v>1</v>
      </c>
      <c r="BE442">
        <v>1</v>
      </c>
      <c r="BF442">
        <v>0.99990000000000001</v>
      </c>
      <c r="BG442">
        <v>1</v>
      </c>
      <c r="BH442">
        <v>1</v>
      </c>
      <c r="BI442">
        <v>0.99</v>
      </c>
      <c r="BJ442">
        <v>0.999</v>
      </c>
      <c r="BK442">
        <v>0.998</v>
      </c>
      <c r="BL442">
        <v>0.99850000000000005</v>
      </c>
      <c r="BM442">
        <v>0.99850000000000005</v>
      </c>
      <c r="BN442">
        <v>0.97199999999999998</v>
      </c>
      <c r="BO442">
        <v>0.99990000000000001</v>
      </c>
      <c r="BP442">
        <v>0.99990000000000001</v>
      </c>
    </row>
    <row r="443" spans="54:109" x14ac:dyDescent="0.25">
      <c r="BB443" s="446">
        <v>1</v>
      </c>
      <c r="BC443">
        <v>1</v>
      </c>
      <c r="BD443">
        <v>1</v>
      </c>
      <c r="BE443">
        <v>1</v>
      </c>
      <c r="BF443">
        <v>0.99990000000000001</v>
      </c>
      <c r="BG443">
        <v>1</v>
      </c>
      <c r="BH443">
        <v>1</v>
      </c>
      <c r="BI443">
        <v>0.99</v>
      </c>
      <c r="BJ443">
        <v>0.999</v>
      </c>
      <c r="BK443">
        <v>0.998</v>
      </c>
      <c r="BL443">
        <v>0.99850000000000005</v>
      </c>
      <c r="BM443">
        <v>0.99850000000000005</v>
      </c>
      <c r="BN443">
        <v>0.97199999999999998</v>
      </c>
      <c r="BO443">
        <v>0.99990000000000001</v>
      </c>
      <c r="BP443">
        <v>0.99990000000000001</v>
      </c>
    </row>
  </sheetData>
  <phoneticPr fontId="0" type="noConversion"/>
  <pageMargins left="0.75" right="0.75" top="1" bottom="1" header="0.5" footer="0.5"/>
  <pageSetup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11">
    <pageSetUpPr autoPageBreaks="0" fitToPage="1"/>
  </sheetPr>
  <dimension ref="A1:AL12"/>
  <sheetViews>
    <sheetView zoomScale="80" workbookViewId="0">
      <selection activeCell="G16" sqref="G16"/>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12" width="13.6640625" style="232" customWidth="1"/>
    <col min="13" max="13" width="3.6640625" style="232" customWidth="1"/>
    <col min="14" max="15" width="13.6640625" style="232" customWidth="1"/>
    <col min="16" max="16" width="3.6640625" style="232" customWidth="1"/>
    <col min="17" max="19" width="13.6640625" style="232" customWidth="1"/>
    <col min="20" max="20" width="3.6640625" style="232" customWidth="1"/>
    <col min="21" max="22" width="13.6640625" style="232" customWidth="1"/>
    <col min="23" max="23" width="3.6640625" style="232" customWidth="1"/>
    <col min="24" max="30" width="13.6640625" style="232" customWidth="1"/>
    <col min="31" max="31" width="3.6640625" style="233" customWidth="1"/>
    <col min="32" max="32" width="13.6640625" style="29" customWidth="1"/>
    <col min="33" max="33" width="9.109375" style="29"/>
    <col min="34" max="34" width="14.33203125" style="29" customWidth="1"/>
    <col min="35" max="16384" width="9.109375" style="29"/>
  </cols>
  <sheetData>
    <row r="1" spans="1:38" x14ac:dyDescent="0.25">
      <c r="A1" s="180" t="s">
        <v>568</v>
      </c>
    </row>
    <row r="2" spans="1:38" x14ac:dyDescent="0.25">
      <c r="A2" s="180" t="str">
        <f>ADDRESS(ROW($F$3),COLUMN($F$3))</f>
        <v>$F$3</v>
      </c>
      <c r="F2" s="29"/>
    </row>
    <row r="3" spans="1:38" x14ac:dyDescent="0.25">
      <c r="A3" s="180" t="str">
        <f>ADDRESS(ROW($E$7),COLUMN($E$7))</f>
        <v>$E$7</v>
      </c>
      <c r="E3" s="234" t="s">
        <v>194</v>
      </c>
      <c r="F3" s="250" t="s">
        <v>566</v>
      </c>
    </row>
    <row r="4" spans="1:38" x14ac:dyDescent="0.25">
      <c r="A4" s="180" t="str">
        <f>ADDRESS(ROW($C$8),COLUMN($C$8))</f>
        <v>$C$8</v>
      </c>
      <c r="E4" s="234" t="s">
        <v>272</v>
      </c>
      <c r="F4" s="250"/>
    </row>
    <row r="5" spans="1:38" x14ac:dyDescent="0.25">
      <c r="A5" s="180" t="str">
        <f>ADDRESS(ROW($C$10),COLUMN($C$10))</f>
        <v>$C$10</v>
      </c>
    </row>
    <row r="6" spans="1:38" x14ac:dyDescent="0.25">
      <c r="A6" s="180" t="str">
        <f>ADDRESS(ROW($G$12),COLUMN($G$12))</f>
        <v>$G$12</v>
      </c>
    </row>
    <row r="7" spans="1:38" ht="17.399999999999999" x14ac:dyDescent="0.3">
      <c r="E7" s="253" t="s">
        <v>210</v>
      </c>
    </row>
    <row r="8" spans="1:38" s="235" customFormat="1" ht="12.75" customHeight="1" x14ac:dyDescent="0.25">
      <c r="C8" s="699" t="s">
        <v>164</v>
      </c>
      <c r="D8" s="29"/>
      <c r="E8" s="217"/>
      <c r="F8" s="218"/>
      <c r="G8" s="241" t="s">
        <v>181</v>
      </c>
      <c r="H8" s="693" t="s">
        <v>201</v>
      </c>
      <c r="I8" s="695" t="s">
        <v>202</v>
      </c>
      <c r="J8" s="695" t="s">
        <v>203</v>
      </c>
      <c r="K8" s="695" t="s">
        <v>204</v>
      </c>
      <c r="L8" s="697" t="s">
        <v>205</v>
      </c>
      <c r="M8" s="232"/>
      <c r="N8" s="693" t="s">
        <v>621</v>
      </c>
      <c r="O8" s="691" t="s">
        <v>622</v>
      </c>
      <c r="P8" s="232"/>
      <c r="Q8" s="693" t="s">
        <v>581</v>
      </c>
      <c r="R8" s="695" t="s">
        <v>582</v>
      </c>
      <c r="S8" s="691" t="s">
        <v>583</v>
      </c>
      <c r="T8" s="232"/>
      <c r="U8" s="693" t="s">
        <v>584</v>
      </c>
      <c r="V8" s="691" t="s">
        <v>585</v>
      </c>
      <c r="W8" s="232"/>
      <c r="X8" s="693" t="s">
        <v>271</v>
      </c>
      <c r="Y8" s="695" t="s">
        <v>155</v>
      </c>
      <c r="Z8" s="695" t="s">
        <v>156</v>
      </c>
      <c r="AA8" s="695" t="s">
        <v>157</v>
      </c>
      <c r="AB8" s="695" t="s">
        <v>158</v>
      </c>
      <c r="AC8" s="697" t="s">
        <v>211</v>
      </c>
      <c r="AD8" s="232"/>
      <c r="AE8" s="232"/>
      <c r="AF8" s="232"/>
    </row>
    <row r="9" spans="1:38" s="235" customFormat="1" ht="12.75" customHeight="1" x14ac:dyDescent="0.25">
      <c r="C9" s="700"/>
      <c r="D9" s="29"/>
      <c r="E9" s="220" t="s">
        <v>0</v>
      </c>
      <c r="F9" s="219" t="s">
        <v>173</v>
      </c>
      <c r="G9" s="242" t="s">
        <v>182</v>
      </c>
      <c r="H9" s="694"/>
      <c r="I9" s="696" t="s">
        <v>202</v>
      </c>
      <c r="J9" s="696"/>
      <c r="K9" s="696"/>
      <c r="L9" s="698"/>
      <c r="M9" s="232"/>
      <c r="N9" s="694"/>
      <c r="O9" s="692"/>
      <c r="P9" s="232"/>
      <c r="Q9" s="694"/>
      <c r="R9" s="696"/>
      <c r="S9" s="692"/>
      <c r="T9" s="232"/>
      <c r="U9" s="694"/>
      <c r="V9" s="692"/>
      <c r="W9" s="232"/>
      <c r="X9" s="694"/>
      <c r="Y9" s="696"/>
      <c r="Z9" s="696"/>
      <c r="AA9" s="696"/>
      <c r="AB9" s="696"/>
      <c r="AC9" s="698"/>
      <c r="AD9" s="232"/>
      <c r="AE9" s="232"/>
      <c r="AF9" s="232"/>
    </row>
    <row r="10" spans="1:38" x14ac:dyDescent="0.25">
      <c r="C10" s="685">
        <v>1</v>
      </c>
      <c r="E10" s="687" t="str">
        <f>GetPipeName($AH10,$AL10)</f>
        <v>NBPL</v>
      </c>
      <c r="F10" s="689" t="str">
        <f>CONCATENATE(GetRcptPoint($AH10,$AL10)," to ",GetDelPoint($AH10,$AL10))</f>
        <v>Ventura to Chicago</v>
      </c>
      <c r="G10" s="243" t="str">
        <f>GetRcptBasis($AH10,$AL10)</f>
        <v>IF-NNG/VENT Basis Mid</v>
      </c>
      <c r="H10" s="679">
        <f ca="1">GetTodayAsset($AI10)</f>
        <v>17989602.529800002</v>
      </c>
      <c r="I10" s="681">
        <f ca="1">GetTodayDemand($AI10)</f>
        <v>19413442.430599999</v>
      </c>
      <c r="J10" s="681">
        <f ca="1">H10-I10</f>
        <v>-1423839.9007999972</v>
      </c>
      <c r="K10" s="681">
        <f>GetYesterdayPL($AI10)</f>
        <v>-1419825.25</v>
      </c>
      <c r="L10" s="677">
        <f ca="1">J10-K10</f>
        <v>-4014.6507999971509</v>
      </c>
      <c r="N10" s="679">
        <f ca="1">GetTodayIntrinsic($AI10)</f>
        <v>14722731.0425</v>
      </c>
      <c r="O10" s="677">
        <f ca="1">GetTodayExtrinsic($AI10)</f>
        <v>3266871.4873000002</v>
      </c>
      <c r="Q10" s="679">
        <f ca="1">GetPriceChange($AI10)</f>
        <v>0</v>
      </c>
      <c r="R10" s="681">
        <f ca="1">GetBasisChange($AI10)</f>
        <v>0</v>
      </c>
      <c r="S10" s="677">
        <f ca="1">GetIndexChange($AI10)</f>
        <v>0</v>
      </c>
      <c r="T10" s="365"/>
      <c r="U10" s="679">
        <f ca="1">GetFuelChange($AI10)</f>
        <v>-1877.9197999999999</v>
      </c>
      <c r="V10" s="683">
        <f ca="1">GetVarChrgChange($AI10)</f>
        <v>0</v>
      </c>
      <c r="X10" s="679">
        <f ca="1">GetDelta($AI10)</f>
        <v>0</v>
      </c>
      <c r="Y10" s="681">
        <f ca="1">GetGamma($AI10)</f>
        <v>0</v>
      </c>
      <c r="Z10" s="681">
        <f ca="1">GetTheta($AI10)</f>
        <v>-11980.962299999999</v>
      </c>
      <c r="AA10" s="681">
        <f ca="1">GetVega($AI10)</f>
        <v>3079.8132000000001</v>
      </c>
      <c r="AB10" s="681">
        <f ca="1">GetRho($AI10)</f>
        <v>0</v>
      </c>
      <c r="AC10" s="677">
        <f ca="1">GetDrift($AI10)</f>
        <v>6370.3762999999999</v>
      </c>
      <c r="AE10" s="232"/>
      <c r="AF10" s="232"/>
      <c r="AH10" s="303" t="str">
        <f>GetDBPage($C10)</f>
        <v>Contract DB (Central)</v>
      </c>
      <c r="AI10" s="236" t="str">
        <f>GetWorkSheet($C10)</f>
        <v>LongTerm1</v>
      </c>
      <c r="AJ10" s="236" t="str">
        <f>IF(NOT($AI10="#VALUE#"),CONCATENATE($AI10,"!",GetDateStart($AI10),":",GetDateEnd($AI10)),"")</f>
        <v>LongTerm1!$D$22:$D$117</v>
      </c>
      <c r="AK10" s="236" t="str">
        <f>IF(NOT($AI10="#VALUE#"),CONCATENATE($AI10,"!",GetReceiptStart($AI10),":",GetReceiptEnd($AI10)),"")</f>
        <v>LongTerm1!$S$22:$S$117</v>
      </c>
      <c r="AL10" s="236">
        <f>GetRecNdx($AH10,$C10)</f>
        <v>1</v>
      </c>
    </row>
    <row r="11" spans="1:38" x14ac:dyDescent="0.25">
      <c r="C11" s="686"/>
      <c r="E11" s="688"/>
      <c r="F11" s="690"/>
      <c r="G11" s="244" t="str">
        <f>GetDelBasis($AH10,$AL11)</f>
        <v>NGI/CHI. GATE Basis Mid</v>
      </c>
      <c r="H11" s="680"/>
      <c r="I11" s="682"/>
      <c r="J11" s="682"/>
      <c r="K11" s="682"/>
      <c r="L11" s="678"/>
      <c r="M11" s="349"/>
      <c r="N11" s="680"/>
      <c r="O11" s="678"/>
      <c r="P11" s="349"/>
      <c r="Q11" s="680"/>
      <c r="R11" s="682"/>
      <c r="S11" s="678"/>
      <c r="T11" s="365"/>
      <c r="U11" s="680"/>
      <c r="V11" s="684"/>
      <c r="X11" s="680"/>
      <c r="Y11" s="682"/>
      <c r="Z11" s="682"/>
      <c r="AA11" s="682"/>
      <c r="AB11" s="682"/>
      <c r="AC11" s="678"/>
      <c r="AE11" s="232"/>
      <c r="AF11" s="232"/>
      <c r="AI11" s="236" t="str">
        <f>GetWorkSheet($C10)</f>
        <v>LongTerm1</v>
      </c>
      <c r="AJ11" s="236" t="str">
        <f>IF(NOT($AI11="#VALUE#"),CONCATENATE($AI11,"!",GetDateStart($AI11),":",GetDateEnd($AI11)),"")</f>
        <v>LongTerm1!$D$22:$D$117</v>
      </c>
      <c r="AK11" s="236" t="str">
        <f>IF(NOT($AI11="#VALUE#"),CONCATENATE($AI11,"!",GetDeliveryStart($AI11),":",GetDeliveryEnd($AI11)),"")</f>
        <v>LongTerm1!$T$22:$T$117</v>
      </c>
      <c r="AL11" s="236">
        <f>GetRecNdx($AH10,$C10)</f>
        <v>1</v>
      </c>
    </row>
    <row r="12" spans="1:38" x14ac:dyDescent="0.25">
      <c r="G12" s="254" t="s">
        <v>206</v>
      </c>
      <c r="H12" s="256">
        <f ca="1">SUM(INDIRECT(CONCATENATE(ADDRESS($AI12,COLUMN()),":",ADDRESS($AJ12,COLUMN()))))</f>
        <v>17989602.529800002</v>
      </c>
      <c r="I12" s="256">
        <f ca="1">SUM(INDIRECT(CONCATENATE(ADDRESS($AI12,COLUMN()),":",ADDRESS($AJ12,COLUMN()))))</f>
        <v>19413442.430599999</v>
      </c>
      <c r="J12" s="256">
        <f ca="1">SUM(INDIRECT(CONCATENATE(ADDRESS($AI12,COLUMN()),":",ADDRESS($AJ12,COLUMN()))))</f>
        <v>-1423839.9007999972</v>
      </c>
      <c r="K12" s="256">
        <f ca="1">SUM(INDIRECT(CONCATENATE(ADDRESS($AI12,COLUMN()),":",ADDRESS($AJ12,COLUMN()))))</f>
        <v>-1419825.25</v>
      </c>
      <c r="L12" s="257">
        <f ca="1">SUM(INDIRECT(CONCATENATE(ADDRESS($AI12,COLUMN()),":",ADDRESS($AJ12,COLUMN()))))</f>
        <v>-4014.6507999971509</v>
      </c>
      <c r="M12" s="350"/>
      <c r="N12" s="306">
        <f ca="1">SUM(INDIRECT(CONCATENATE(ADDRESS($AI12,COLUMN()),":",ADDRESS($AJ12,COLUMN()))))</f>
        <v>14722731.0425</v>
      </c>
      <c r="O12" s="351">
        <f ca="1">SUM(INDIRECT(CONCATENATE(ADDRESS($AI12,COLUMN()),":",ADDRESS($AJ12,COLUMN()))))</f>
        <v>3266871.4873000002</v>
      </c>
      <c r="P12" s="350"/>
      <c r="Q12" s="306">
        <f ca="1">SUM(INDIRECT(CONCATENATE(ADDRESS($AI12,COLUMN()),":",ADDRESS($AJ12,COLUMN()))))</f>
        <v>0</v>
      </c>
      <c r="R12" s="256">
        <f ca="1">SUM(INDIRECT(CONCATENATE(ADDRESS($AI12,COLUMN()),":",ADDRESS($AJ12,COLUMN()))))</f>
        <v>0</v>
      </c>
      <c r="S12" s="351">
        <f ca="1">SUM(INDIRECT(CONCATENATE(ADDRESS($AI12,COLUMN()),":",ADDRESS($AJ12,COLUMN()))))</f>
        <v>0</v>
      </c>
      <c r="T12" s="350"/>
      <c r="U12" s="306">
        <f ca="1">SUM(INDIRECT(CONCATENATE(ADDRESS($AI12,COLUMN()),":",ADDRESS($AJ12,COLUMN()))))</f>
        <v>-1877.9197999999999</v>
      </c>
      <c r="V12" s="351">
        <f ca="1">SUM(INDIRECT(CONCATENATE(ADDRESS($AI12,COLUMN()),":",ADDRESS($AJ12,COLUMN()))))</f>
        <v>0</v>
      </c>
      <c r="X12" s="306">
        <f t="shared" ref="X12:AC12" ca="1" si="0">SUM(INDIRECT(CONCATENATE(ADDRESS($AI12,COLUMN()),":",ADDRESS($AJ12,COLUMN()))))</f>
        <v>0</v>
      </c>
      <c r="Y12" s="256">
        <f t="shared" ca="1" si="0"/>
        <v>0</v>
      </c>
      <c r="Z12" s="256">
        <f t="shared" ca="1" si="0"/>
        <v>-11980.962299999999</v>
      </c>
      <c r="AA12" s="256">
        <f t="shared" ca="1" si="0"/>
        <v>3079.8132000000001</v>
      </c>
      <c r="AB12" s="256">
        <f t="shared" ca="1" si="0"/>
        <v>0</v>
      </c>
      <c r="AC12" s="257">
        <f t="shared" ca="1" si="0"/>
        <v>6370.3762999999999</v>
      </c>
      <c r="AI12" s="34">
        <f>GetStartRow($AI11)</f>
        <v>10</v>
      </c>
      <c r="AJ12" s="34">
        <f>ROW($AI11)</f>
        <v>11</v>
      </c>
    </row>
  </sheetData>
  <sheetCalcPr fullCalcOnLoad="1"/>
  <mergeCells count="40">
    <mergeCell ref="N8:N9"/>
    <mergeCell ref="N10:N11"/>
    <mergeCell ref="O8:O9"/>
    <mergeCell ref="O10:O11"/>
    <mergeCell ref="R8:R9"/>
    <mergeCell ref="R10:R11"/>
    <mergeCell ref="U8:U9"/>
    <mergeCell ref="U10:U11"/>
    <mergeCell ref="V8:V9"/>
    <mergeCell ref="V10:V11"/>
    <mergeCell ref="H8:H9"/>
    <mergeCell ref="I8:I9"/>
    <mergeCell ref="J8:J9"/>
    <mergeCell ref="C10:C11"/>
    <mergeCell ref="F10:F11"/>
    <mergeCell ref="E10:E11"/>
    <mergeCell ref="C8:C9"/>
    <mergeCell ref="H10:H11"/>
    <mergeCell ref="I10:I11"/>
    <mergeCell ref="J10:J11"/>
    <mergeCell ref="X8:X9"/>
    <mergeCell ref="Y8:Y9"/>
    <mergeCell ref="Z8:Z9"/>
    <mergeCell ref="AA8:AA9"/>
    <mergeCell ref="K10:K11"/>
    <mergeCell ref="L10:L11"/>
    <mergeCell ref="K8:K9"/>
    <mergeCell ref="L8:L9"/>
    <mergeCell ref="S8:S9"/>
    <mergeCell ref="S10:S11"/>
    <mergeCell ref="Q8:Q9"/>
    <mergeCell ref="Q10:Q11"/>
    <mergeCell ref="AC8:AC9"/>
    <mergeCell ref="AC10:AC11"/>
    <mergeCell ref="AB8:AB9"/>
    <mergeCell ref="AB10:AB11"/>
    <mergeCell ref="X10:X11"/>
    <mergeCell ref="Y10:Y11"/>
    <mergeCell ref="Z10:Z11"/>
    <mergeCell ref="AA10:AA11"/>
  </mergeCells>
  <phoneticPr fontId="0" type="noConversion"/>
  <pageMargins left="0.75" right="0.75" top="1" bottom="1" header="0.5" footer="0.5"/>
  <pageSetup paperSize="5" scale="47" orientation="landscape"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pageSetUpPr autoPageBreaks="0" fitToPage="1"/>
  </sheetPr>
  <dimension ref="A1:AC35"/>
  <sheetViews>
    <sheetView zoomScale="80" workbookViewId="0">
      <selection activeCell="V7" sqref="C7:V36"/>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28" width="26.33203125" style="29" customWidth="1"/>
    <col min="29"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221" t="s">
        <v>48</v>
      </c>
    </row>
    <row r="7" spans="1:29" ht="17.399999999999999" x14ac:dyDescent="0.3">
      <c r="E7" s="253" t="str">
        <f>CONCATENATE("POSITION REPORT : ",UPPER(F3))</f>
        <v>POSITION REPORT : CENTRAL</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5">
      <c r="C10" s="685">
        <v>1</v>
      </c>
      <c r="E10" s="687" t="str">
        <f>GetPipeName($Z10,$AC10)</f>
        <v>NBPL</v>
      </c>
      <c r="F10" s="689" t="str">
        <f>CONCATENATE(GetRcptPoint($Z10,$AC10)," to ",GetDelPoint($Z10,$AC10))</f>
        <v>Ventura to Chicago</v>
      </c>
      <c r="G10" s="243" t="str">
        <f>GetRcptBasis($Z10,$AC10)</f>
        <v>IF-NNG/VENT Basis Mid</v>
      </c>
      <c r="H10" s="226">
        <f t="array" aca="1" ref="H10" ca="1">SUM((INDIRECT($AA10)&gt;'Central Position Rpt'!H$8)*(INDIRECT($AA10)&lt;'Central Position Rpt'!H$9)*(INDIRECT($AB10)))</f>
        <v>0</v>
      </c>
      <c r="I10" s="226">
        <f t="array" aca="1" ref="I10" ca="1">SUM((INDIRECT($AA10)&gt;'Central Position Rpt'!I$8)*(INDIRECT($AA10)&lt;'Central Position Rpt'!I$9)*(INDIRECT($AB10)))</f>
        <v>0</v>
      </c>
      <c r="J10" s="226">
        <f t="array" aca="1" ref="J10" ca="1">SUM((INDIRECT($AA10)&gt;'Central Position Rpt'!J$8)*(INDIRECT($AA10)&lt;'Central Position Rpt'!J$9)*(INDIRECT($AB10)))</f>
        <v>0</v>
      </c>
      <c r="K10" s="226">
        <f t="array" aca="1" ref="K10" ca="1">SUM((INDIRECT($AA10)&gt;'Central Position Rpt'!K$8)*(INDIRECT($AA10)&lt;'Central Position Rpt'!K$9)*(INDIRECT($AB10)))</f>
        <v>0</v>
      </c>
      <c r="L10" s="226">
        <f t="array" aca="1" ref="L10" ca="1">SUM((INDIRECT($AA10)&gt;'Central Position Rpt'!L$8)*(INDIRECT($AA10)&lt;'Central Position Rpt'!L$9)*(INDIRECT($AB10)))</f>
        <v>0</v>
      </c>
      <c r="M10" s="226">
        <f t="array" aca="1" ref="M10" ca="1">SUM((INDIRECT($AA10)&gt;'Central Position Rpt'!M$8)*(INDIRECT($AA10)&lt;'Central Position Rpt'!M$9)*(INDIRECT($AB10)))</f>
        <v>0</v>
      </c>
      <c r="N10" s="226">
        <f t="array" aca="1" ref="N10" ca="1">SUM((INDIRECT($AA10)&gt;'Central Position Rpt'!N$8)*(INDIRECT($AA10)&lt;'Central Position Rpt'!N$9)*(INDIRECT($AB10)))</f>
        <v>0</v>
      </c>
      <c r="O10" s="226">
        <f t="array" aca="1" ref="O10" ca="1">SUM((INDIRECT($AA10)&gt;'Central Position Rpt'!O$8)*(INDIRECT($AA10)&lt;'Central Position Rpt'!O$9)*(INDIRECT($AB10)))</f>
        <v>-17608563.937227625</v>
      </c>
      <c r="P10" s="226">
        <f t="array" aca="1" ref="P10" ca="1">SUM((INDIRECT($AA10)&gt;'Central Position Rpt'!P$8)*(INDIRECT($AA10)&lt;'Central Position Rpt'!P$9)*(INDIRECT($AB10)))</f>
        <v>-17382088.691305023</v>
      </c>
      <c r="Q10" s="226">
        <f t="array" aca="1" ref="Q10" ca="1">SUM((INDIRECT($AA10)&gt;'Central Position Rpt'!Q$8)*(INDIRECT($AA10)&lt;'Central Position Rpt'!Q$9)*(INDIRECT($AB10)))</f>
        <v>-15976724.775329426</v>
      </c>
      <c r="R10" s="226">
        <f t="array" aca="1" ref="R10" ca="1">SUM((INDIRECT($AA10)&gt;'Central Position Rpt'!R$8)*(INDIRECT($AA10)&lt;'Central Position Rpt'!R$9)*(INDIRECT($AB10)))</f>
        <v>-57294638.107758366</v>
      </c>
      <c r="S10" s="226">
        <f t="array" aca="1" ref="S10" ca="1">SUM((INDIRECT($AA10)&gt;'Central Position Rpt'!S$8)*(INDIRECT($AA10)&lt;'Central Position Rpt'!S$9)*(INDIRECT($AB10)))</f>
        <v>0</v>
      </c>
      <c r="T10" s="227">
        <f t="array" aca="1" ref="T10" ca="1">SUM((INDIRECT($AA10)&gt;'Central Position Rpt'!T$8)*(INDIRECT($AA10)&lt;'Central Position Rpt'!T$9)*(INDIRECT($AB10)))</f>
        <v>0</v>
      </c>
      <c r="V10" s="245">
        <f t="shared" ref="V10:V23" ca="1" si="0">SUM(H10:T10)</f>
        <v>-108262015.51162043</v>
      </c>
      <c r="Y10" s="236" t="str">
        <f>GetWorkSheet($C10)</f>
        <v>LongTerm1</v>
      </c>
      <c r="Z10" s="303" t="str">
        <f>FetchDBPage(Y10)</f>
        <v>Contract DB (Central)</v>
      </c>
      <c r="AA10" s="236" t="str">
        <f t="shared" ref="AA10:AA23" si="1">IF(NOT($Y10="#VALUE#"),CONCATENATE($Y10,"!",GetDateStart($Y10),":",GetDateEnd($Y10)),"")</f>
        <v>LongTerm1!$D$22:$D$117</v>
      </c>
      <c r="AB10" s="236" t="str">
        <f>IF(NOT($Y10="#VALUE#"),CONCATENATE($Y10,"!",GetReceiptStart($Y10),":",GetReceiptEnd($Y10)),"")</f>
        <v>LongTerm1!$S$22:$S$117</v>
      </c>
      <c r="AC10" s="236">
        <f>GetRecNdx($Z10,$C10)</f>
        <v>1</v>
      </c>
    </row>
    <row r="11" spans="1:29" x14ac:dyDescent="0.25">
      <c r="C11" s="686"/>
      <c r="E11" s="688"/>
      <c r="F11" s="690"/>
      <c r="G11" s="244" t="str">
        <f>GetDelBasis($Z10,$AC11)</f>
        <v>NGI/CHI. GATE Basis Mid</v>
      </c>
      <c r="H11" s="240">
        <f t="array" aca="1" ref="H11" ca="1">SUM((INDIRECT($AA11)&gt;'Central Position Rpt'!H$8)*(INDIRECT($AA11)&lt;'Central Position Rpt'!H$9)*(INDIRECT($AB11)))</f>
        <v>0</v>
      </c>
      <c r="I11" s="228">
        <f t="array" aca="1" ref="I11" ca="1">SUM((INDIRECT($AA11)&gt;'Central Position Rpt'!I$8)*(INDIRECT($AA11)&lt;'Central Position Rpt'!I$9)*(INDIRECT($AB11)))</f>
        <v>0</v>
      </c>
      <c r="J11" s="228">
        <f t="array" aca="1" ref="J11" ca="1">SUM((INDIRECT($AA11)&gt;'Central Position Rpt'!J$8)*(INDIRECT($AA11)&lt;'Central Position Rpt'!J$9)*(INDIRECT($AB11)))</f>
        <v>0</v>
      </c>
      <c r="K11" s="228">
        <f t="array" aca="1" ref="K11" ca="1">SUM((INDIRECT($AA11)&gt;'Central Position Rpt'!K$8)*(INDIRECT($AA11)&lt;'Central Position Rpt'!K$9)*(INDIRECT($AB11)))</f>
        <v>0</v>
      </c>
      <c r="L11" s="228">
        <f t="array" aca="1" ref="L11" ca="1">SUM((INDIRECT($AA11)&gt;'Central Position Rpt'!L$8)*(INDIRECT($AA11)&lt;'Central Position Rpt'!L$9)*(INDIRECT($AB11)))</f>
        <v>0</v>
      </c>
      <c r="M11" s="228">
        <f t="array" aca="1" ref="M11" ca="1">SUM((INDIRECT($AA11)&gt;'Central Position Rpt'!M$8)*(INDIRECT($AA11)&lt;'Central Position Rpt'!M$9)*(INDIRECT($AB11)))</f>
        <v>0</v>
      </c>
      <c r="N11" s="228">
        <f t="array" aca="1" ref="N11" ca="1">SUM((INDIRECT($AA11)&gt;'Central Position Rpt'!N$8)*(INDIRECT($AA11)&lt;'Central Position Rpt'!N$9)*(INDIRECT($AB11)))</f>
        <v>0</v>
      </c>
      <c r="O11" s="228">
        <f t="array" aca="1" ref="O11" ca="1">SUM((INDIRECT($AA11)&gt;'Central Position Rpt'!O$8)*(INDIRECT($AA11)&lt;'Central Position Rpt'!O$9)*(INDIRECT($AB11)))</f>
        <v>17646859.76532888</v>
      </c>
      <c r="P11" s="228">
        <f t="array" aca="1" ref="P11" ca="1">SUM((INDIRECT($AA11)&gt;'Central Position Rpt'!P$8)*(INDIRECT($AA11)&lt;'Central Position Rpt'!P$9)*(INDIRECT($AB11)))</f>
        <v>17393944.600428157</v>
      </c>
      <c r="Q11" s="228">
        <f t="array" aca="1" ref="Q11" ca="1">SUM((INDIRECT($AA11)&gt;'Central Position Rpt'!Q$8)*(INDIRECT($AA11)&lt;'Central Position Rpt'!Q$9)*(INDIRECT($AB11)))</f>
        <v>16021129.922119483</v>
      </c>
      <c r="R11" s="228">
        <f t="array" aca="1" ref="R11" ca="1">SUM((INDIRECT($AA11)&gt;'Central Position Rpt'!R$8)*(INDIRECT($AA11)&lt;'Central Position Rpt'!R$9)*(INDIRECT($AB11)))</f>
        <v>57569048.920697853</v>
      </c>
      <c r="S11" s="228">
        <f t="array" aca="1" ref="S11" ca="1">SUM((INDIRECT($AA11)&gt;'Central Position Rpt'!S$8)*(INDIRECT($AA11)&lt;'Central Position Rpt'!S$9)*(INDIRECT($AB11)))</f>
        <v>0</v>
      </c>
      <c r="T11" s="229">
        <f t="array" aca="1" ref="T11" ca="1">SUM((INDIRECT($AA11)&gt;'Central Position Rpt'!T$8)*(INDIRECT($AA11)&lt;'Central Position Rpt'!T$9)*(INDIRECT($AB11)))</f>
        <v>0</v>
      </c>
      <c r="V11" s="246">
        <f t="shared" ca="1" si="0"/>
        <v>108630983.20857437</v>
      </c>
      <c r="Y11" s="236" t="str">
        <f>GetWorkSheet($C10)</f>
        <v>LongTerm1</v>
      </c>
      <c r="Z11" s="303"/>
      <c r="AA11" s="236" t="str">
        <f t="shared" si="1"/>
        <v>LongTerm1!$D$22:$D$117</v>
      </c>
      <c r="AB11" s="236" t="str">
        <f>IF(NOT($Y11="#VALUE#"),CONCATENATE($Y11,"!",GetDeliveryStart($Y11),":",GetDeliveryEnd($Y11)),"")</f>
        <v>LongTerm1!$T$22:$T$117</v>
      </c>
      <c r="AC11" s="236">
        <f>GetRecNdx($Z10,$C10)</f>
        <v>1</v>
      </c>
    </row>
    <row r="12" spans="1:29" x14ac:dyDescent="0.25">
      <c r="C12" s="685">
        <v>2</v>
      </c>
      <c r="E12" s="687" t="str">
        <f>GetPipeName($Z12,$AC12)</f>
        <v>NBPL</v>
      </c>
      <c r="F12" s="689" t="str">
        <f>CONCATENATE(GetRcptPoint($Z12,$AC12)," to ",GetDelPoint($Z12,$AC12))</f>
        <v>Monchy to Chicago</v>
      </c>
      <c r="G12" s="243" t="str">
        <f>GetRcptBasis($Z12,$AC12)</f>
        <v>IF-MONCHY Basis Mid</v>
      </c>
      <c r="H12" s="226">
        <f t="array" aca="1" ref="H12" ca="1">SUM((INDIRECT($AA12)&gt;'Central Position Rpt'!H$8)*(INDIRECT($AA12)&lt;'Central Position Rpt'!H$9)*(INDIRECT($AB12)))</f>
        <v>0</v>
      </c>
      <c r="I12" s="226">
        <f t="array" aca="1" ref="I12" ca="1">SUM((INDIRECT($AA12)&gt;'Central Position Rpt'!I$8)*(INDIRECT($AA12)&lt;'Central Position Rpt'!I$9)*(INDIRECT($AB12)))</f>
        <v>0</v>
      </c>
      <c r="J12" s="226">
        <f t="array" aca="1" ref="J12" ca="1">SUM((INDIRECT($AA12)&gt;'Central Position Rpt'!J$8)*(INDIRECT($AA12)&lt;'Central Position Rpt'!J$9)*(INDIRECT($AB12)))</f>
        <v>0</v>
      </c>
      <c r="K12" s="226">
        <f t="array" aca="1" ref="K12" ca="1">SUM((INDIRECT($AA12)&gt;'Central Position Rpt'!K$8)*(INDIRECT($AA12)&lt;'Central Position Rpt'!K$9)*(INDIRECT($AB12)))</f>
        <v>0</v>
      </c>
      <c r="L12" s="226">
        <f t="array" aca="1" ref="L12" ca="1">SUM((INDIRECT($AA12)&gt;'Central Position Rpt'!L$8)*(INDIRECT($AA12)&lt;'Central Position Rpt'!L$9)*(INDIRECT($AB12)))</f>
        <v>0</v>
      </c>
      <c r="M12" s="226">
        <f t="array" aca="1" ref="M12" ca="1">SUM((INDIRECT($AA12)&gt;'Central Position Rpt'!M$8)*(INDIRECT($AA12)&lt;'Central Position Rpt'!M$9)*(INDIRECT($AB12)))</f>
        <v>0</v>
      </c>
      <c r="N12" s="226">
        <f t="array" aca="1" ref="N12" ca="1">SUM((INDIRECT($AA12)&gt;'Central Position Rpt'!N$8)*(INDIRECT($AA12)&lt;'Central Position Rpt'!N$9)*(INDIRECT($AB12)))</f>
        <v>0</v>
      </c>
      <c r="O12" s="226">
        <f t="array" aca="1" ref="O12" ca="1">SUM((INDIRECT($AA12)&gt;'Central Position Rpt'!O$8)*(INDIRECT($AA12)&lt;'Central Position Rpt'!O$9)*(INDIRECT($AB12)))</f>
        <v>-607215.51844561228</v>
      </c>
      <c r="P12" s="226">
        <f t="array" aca="1" ref="P12" ca="1">SUM((INDIRECT($AA12)&gt;'Central Position Rpt'!P$8)*(INDIRECT($AA12)&lt;'Central Position Rpt'!P$9)*(INDIRECT($AB12)))</f>
        <v>0</v>
      </c>
      <c r="Q12" s="226">
        <f t="array" aca="1" ref="Q12" ca="1">SUM((INDIRECT($AA12)&gt;'Central Position Rpt'!Q$8)*(INDIRECT($AA12)&lt;'Central Position Rpt'!Q$9)*(INDIRECT($AB12)))</f>
        <v>0</v>
      </c>
      <c r="R12" s="226">
        <f t="array" aca="1" ref="R12" ca="1">SUM((INDIRECT($AA12)&gt;'Central Position Rpt'!R$8)*(INDIRECT($AA12)&lt;'Central Position Rpt'!R$9)*(INDIRECT($AB12)))</f>
        <v>0</v>
      </c>
      <c r="S12" s="226">
        <f t="array" aca="1" ref="S12" ca="1">SUM((INDIRECT($AA12)&gt;'Central Position Rpt'!S$8)*(INDIRECT($AA12)&lt;'Central Position Rpt'!S$9)*(INDIRECT($AB12)))</f>
        <v>0</v>
      </c>
      <c r="T12" s="227">
        <f t="array" aca="1" ref="T12" ca="1">SUM((INDIRECT($AA12)&gt;'Central Position Rpt'!T$8)*(INDIRECT($AA12)&lt;'Central Position Rpt'!T$9)*(INDIRECT($AB12)))</f>
        <v>0</v>
      </c>
      <c r="V12" s="245">
        <f t="shared" ca="1" si="0"/>
        <v>-607215.51844561228</v>
      </c>
      <c r="Y12" s="236" t="str">
        <f>GetWorkSheet($C12)</f>
        <v>LongTerm2</v>
      </c>
      <c r="Z12" s="303" t="str">
        <f>FetchDBPage(Y12)</f>
        <v>Contract DB (Central)</v>
      </c>
      <c r="AA12" s="236" t="str">
        <f t="shared" si="1"/>
        <v>LongTerm2!$D$22:$D$30</v>
      </c>
      <c r="AB12" s="236" t="str">
        <f>IF(NOT($Y12="#VALUE#"),CONCATENATE($Y12,"!",GetReceiptStart($Y12),":",GetReceiptEnd($Y12)),"")</f>
        <v>LongTerm2!$S$22:$S$30</v>
      </c>
      <c r="AC12" s="236">
        <f>GetRecNdx($Z12,$C12)</f>
        <v>2</v>
      </c>
    </row>
    <row r="13" spans="1:29" x14ac:dyDescent="0.25">
      <c r="C13" s="686"/>
      <c r="E13" s="688"/>
      <c r="F13" s="690"/>
      <c r="G13" s="244" t="str">
        <f>GetDelBasis($Z12,$AC13)</f>
        <v>NGI/CHI. GATE Basis Mid</v>
      </c>
      <c r="H13" s="240">
        <f t="array" aca="1" ref="H13" ca="1">SUM((INDIRECT($AA13)&gt;'Central Position Rpt'!H$8)*(INDIRECT($AA13)&lt;'Central Position Rpt'!H$9)*(INDIRECT($AB13)))</f>
        <v>0</v>
      </c>
      <c r="I13" s="228">
        <f t="array" aca="1" ref="I13" ca="1">SUM((INDIRECT($AA13)&gt;'Central Position Rpt'!I$8)*(INDIRECT($AA13)&lt;'Central Position Rpt'!I$9)*(INDIRECT($AB13)))</f>
        <v>0</v>
      </c>
      <c r="J13" s="228">
        <f t="array" aca="1" ref="J13" ca="1">SUM((INDIRECT($AA13)&gt;'Central Position Rpt'!J$8)*(INDIRECT($AA13)&lt;'Central Position Rpt'!J$9)*(INDIRECT($AB13)))</f>
        <v>0</v>
      </c>
      <c r="K13" s="228">
        <f t="array" aca="1" ref="K13" ca="1">SUM((INDIRECT($AA13)&gt;'Central Position Rpt'!K$8)*(INDIRECT($AA13)&lt;'Central Position Rpt'!K$9)*(INDIRECT($AB13)))</f>
        <v>0</v>
      </c>
      <c r="L13" s="228">
        <f t="array" aca="1" ref="L13" ca="1">SUM((INDIRECT($AA13)&gt;'Central Position Rpt'!L$8)*(INDIRECT($AA13)&lt;'Central Position Rpt'!L$9)*(INDIRECT($AB13)))</f>
        <v>0</v>
      </c>
      <c r="M13" s="228">
        <f t="array" aca="1" ref="M13" ca="1">SUM((INDIRECT($AA13)&gt;'Central Position Rpt'!M$8)*(INDIRECT($AA13)&lt;'Central Position Rpt'!M$9)*(INDIRECT($AB13)))</f>
        <v>0</v>
      </c>
      <c r="N13" s="228">
        <f t="array" aca="1" ref="N13" ca="1">SUM((INDIRECT($AA13)&gt;'Central Position Rpt'!N$8)*(INDIRECT($AA13)&lt;'Central Position Rpt'!N$9)*(INDIRECT($AB13)))</f>
        <v>0</v>
      </c>
      <c r="O13" s="228">
        <f t="array" aca="1" ref="O13" ca="1">SUM((INDIRECT($AA13)&gt;'Central Position Rpt'!O$8)*(INDIRECT($AA13)&lt;'Central Position Rpt'!O$9)*(INDIRECT($AB13)))</f>
        <v>585702.35760980577</v>
      </c>
      <c r="P13" s="228">
        <f t="array" aca="1" ref="P13" ca="1">SUM((INDIRECT($AA13)&gt;'Central Position Rpt'!P$8)*(INDIRECT($AA13)&lt;'Central Position Rpt'!P$9)*(INDIRECT($AB13)))</f>
        <v>0</v>
      </c>
      <c r="Q13" s="228">
        <f t="array" aca="1" ref="Q13" ca="1">SUM((INDIRECT($AA13)&gt;'Central Position Rpt'!Q$8)*(INDIRECT($AA13)&lt;'Central Position Rpt'!Q$9)*(INDIRECT($AB13)))</f>
        <v>0</v>
      </c>
      <c r="R13" s="228">
        <f t="array" aca="1" ref="R13" ca="1">SUM((INDIRECT($AA13)&gt;'Central Position Rpt'!R$8)*(INDIRECT($AA13)&lt;'Central Position Rpt'!R$9)*(INDIRECT($AB13)))</f>
        <v>0</v>
      </c>
      <c r="S13" s="228">
        <f t="array" aca="1" ref="S13" ca="1">SUM((INDIRECT($AA13)&gt;'Central Position Rpt'!S$8)*(INDIRECT($AA13)&lt;'Central Position Rpt'!S$9)*(INDIRECT($AB13)))</f>
        <v>0</v>
      </c>
      <c r="T13" s="229">
        <f t="array" aca="1" ref="T13" ca="1">SUM((INDIRECT($AA13)&gt;'Central Position Rpt'!T$8)*(INDIRECT($AA13)&lt;'Central Position Rpt'!T$9)*(INDIRECT($AB13)))</f>
        <v>0</v>
      </c>
      <c r="V13" s="246">
        <f t="shared" ca="1" si="0"/>
        <v>585702.35760980577</v>
      </c>
      <c r="Y13" s="236" t="str">
        <f>GetWorkSheet($C12)</f>
        <v>LongTerm2</v>
      </c>
      <c r="Z13" s="303"/>
      <c r="AA13" s="236" t="str">
        <f t="shared" si="1"/>
        <v>LongTerm2!$D$22:$D$30</v>
      </c>
      <c r="AB13" s="236" t="str">
        <f>IF(NOT($Y13="#VALUE#"),CONCATENATE($Y13,"!",GetDeliveryStart($Y13),":",GetDeliveryEnd($Y13)),"")</f>
        <v>LongTerm2!$T$22:$T$30</v>
      </c>
      <c r="AC13" s="236">
        <f>GetRecNdx($Z12,$C12)</f>
        <v>2</v>
      </c>
    </row>
    <row r="14" spans="1:29" x14ac:dyDescent="0.25">
      <c r="C14" s="685">
        <v>25</v>
      </c>
      <c r="E14" s="687" t="str">
        <f>GetPipeName($Z14,$AC14)</f>
        <v>NBPL</v>
      </c>
      <c r="F14" s="689" t="str">
        <f>CONCATENATE(GetRcptPoint($Z14,$AC14)," to ",GetDelPoint($Z14,$AC14))</f>
        <v>Monchy to Chicago</v>
      </c>
      <c r="G14" s="243" t="str">
        <f>GetRcptBasis($Z14,$AC14)</f>
        <v>IF-MONCHY Basis Mid</v>
      </c>
      <c r="H14" s="226">
        <f t="array" aca="1" ref="H14" ca="1">SUM((INDIRECT($AA14)&gt;'Central Position Rpt'!H$8)*(INDIRECT($AA14)&lt;'Central Position Rpt'!H$9)*(INDIRECT($AB14)))</f>
        <v>0</v>
      </c>
      <c r="I14" s="226">
        <f t="array" aca="1" ref="I14" ca="1">SUM((INDIRECT($AA14)&gt;'Central Position Rpt'!I$8)*(INDIRECT($AA14)&lt;'Central Position Rpt'!I$9)*(INDIRECT($AB14)))</f>
        <v>0</v>
      </c>
      <c r="J14" s="226">
        <f t="array" aca="1" ref="J14" ca="1">SUM((INDIRECT($AA14)&gt;'Central Position Rpt'!J$8)*(INDIRECT($AA14)&lt;'Central Position Rpt'!J$9)*(INDIRECT($AB14)))</f>
        <v>0</v>
      </c>
      <c r="K14" s="226">
        <f t="array" aca="1" ref="K14" ca="1">SUM((INDIRECT($AA14)&gt;'Central Position Rpt'!K$8)*(INDIRECT($AA14)&lt;'Central Position Rpt'!K$9)*(INDIRECT($AB14)))</f>
        <v>0</v>
      </c>
      <c r="L14" s="226">
        <f t="array" aca="1" ref="L14" ca="1">SUM((INDIRECT($AA14)&gt;'Central Position Rpt'!L$8)*(INDIRECT($AA14)&lt;'Central Position Rpt'!L$9)*(INDIRECT($AB14)))</f>
        <v>0</v>
      </c>
      <c r="M14" s="226">
        <f t="array" aca="1" ref="M14" ca="1">SUM((INDIRECT($AA14)&gt;'Central Position Rpt'!M$8)*(INDIRECT($AA14)&lt;'Central Position Rpt'!M$9)*(INDIRECT($AB14)))</f>
        <v>0</v>
      </c>
      <c r="N14" s="226">
        <f t="array" aca="1" ref="N14" ca="1">SUM((INDIRECT($AA14)&gt;'Central Position Rpt'!N$8)*(INDIRECT($AA14)&lt;'Central Position Rpt'!N$9)*(INDIRECT($AB14)))</f>
        <v>0</v>
      </c>
      <c r="O14" s="226">
        <f t="array" aca="1" ref="O14" ca="1">SUM((INDIRECT($AA14)&gt;'Central Position Rpt'!O$8)*(INDIRECT($AA14)&lt;'Central Position Rpt'!O$9)*(INDIRECT($AB14)))</f>
        <v>-2910715.861811813</v>
      </c>
      <c r="P14" s="226">
        <f t="array" aca="1" ref="P14" ca="1">SUM((INDIRECT($AA14)&gt;'Central Position Rpt'!P$8)*(INDIRECT($AA14)&lt;'Central Position Rpt'!P$9)*(INDIRECT($AB14)))</f>
        <v>-3352110.3804991404</v>
      </c>
      <c r="Q14" s="226">
        <f t="array" aca="1" ref="Q14" ca="1">SUM((INDIRECT($AA14)&gt;'Central Position Rpt'!Q$8)*(INDIRECT($AA14)&lt;'Central Position Rpt'!Q$9)*(INDIRECT($AB14)))</f>
        <v>-3176137.9966882542</v>
      </c>
      <c r="R14" s="226">
        <f t="array" aca="1" ref="R14" ca="1">SUM((INDIRECT($AA14)&gt;'Central Position Rpt'!R$8)*(INDIRECT($AA14)&lt;'Central Position Rpt'!R$9)*(INDIRECT($AB14)))</f>
        <v>-11124532.143230772</v>
      </c>
      <c r="S14" s="226">
        <f t="array" aca="1" ref="S14" ca="1">SUM((INDIRECT($AA14)&gt;'Central Position Rpt'!S$8)*(INDIRECT($AA14)&lt;'Central Position Rpt'!S$9)*(INDIRECT($AB14)))</f>
        <v>0</v>
      </c>
      <c r="T14" s="227">
        <f t="array" aca="1" ref="T14" ca="1">SUM((INDIRECT($AA14)&gt;'Central Position Rpt'!T$8)*(INDIRECT($AA14)&lt;'Central Position Rpt'!T$9)*(INDIRECT($AB14)))</f>
        <v>0</v>
      </c>
      <c r="V14" s="245">
        <f t="shared" ca="1" si="0"/>
        <v>-20563496.382229976</v>
      </c>
      <c r="Y14" s="236" t="str">
        <f>GetWorkSheet($C14)</f>
        <v>LongTerm25</v>
      </c>
      <c r="Z14" s="303" t="str">
        <f>FetchDBPage(Y14)</f>
        <v>Contract DB (Central)</v>
      </c>
      <c r="AA14" s="236" t="str">
        <f t="shared" si="1"/>
        <v>LongTerm25!$D$22:$D$105</v>
      </c>
      <c r="AB14" s="236" t="str">
        <f>IF(NOT($Y14="#VALUE#"),CONCATENATE($Y14,"!",GetReceiptStart($Y14),":",GetReceiptEnd($Y14)),"")</f>
        <v>LongTerm25!$S$22:$S$105</v>
      </c>
      <c r="AC14" s="236">
        <f>GetRecNdx($Z14,$C14)</f>
        <v>3</v>
      </c>
    </row>
    <row r="15" spans="1:29" x14ac:dyDescent="0.25">
      <c r="C15" s="686"/>
      <c r="E15" s="688"/>
      <c r="F15" s="690"/>
      <c r="G15" s="244" t="str">
        <f>GetDelBasis($Z14,$AC15)</f>
        <v>NGI/CHI. GATE Basis Mid</v>
      </c>
      <c r="H15" s="240">
        <f t="array" aca="1" ref="H15" ca="1">SUM((INDIRECT($AA15)&gt;'Central Position Rpt'!H$8)*(INDIRECT($AA15)&lt;'Central Position Rpt'!H$9)*(INDIRECT($AB15)))</f>
        <v>0</v>
      </c>
      <c r="I15" s="228">
        <f t="array" aca="1" ref="I15" ca="1">SUM((INDIRECT($AA15)&gt;'Central Position Rpt'!I$8)*(INDIRECT($AA15)&lt;'Central Position Rpt'!I$9)*(INDIRECT($AB15)))</f>
        <v>0</v>
      </c>
      <c r="J15" s="228">
        <f t="array" aca="1" ref="J15" ca="1">SUM((INDIRECT($AA15)&gt;'Central Position Rpt'!J$8)*(INDIRECT($AA15)&lt;'Central Position Rpt'!J$9)*(INDIRECT($AB15)))</f>
        <v>0</v>
      </c>
      <c r="K15" s="228">
        <f t="array" aca="1" ref="K15" ca="1">SUM((INDIRECT($AA15)&gt;'Central Position Rpt'!K$8)*(INDIRECT($AA15)&lt;'Central Position Rpt'!K$9)*(INDIRECT($AB15)))</f>
        <v>0</v>
      </c>
      <c r="L15" s="228">
        <f t="array" aca="1" ref="L15" ca="1">SUM((INDIRECT($AA15)&gt;'Central Position Rpt'!L$8)*(INDIRECT($AA15)&lt;'Central Position Rpt'!L$9)*(INDIRECT($AB15)))</f>
        <v>0</v>
      </c>
      <c r="M15" s="228">
        <f t="array" aca="1" ref="M15" ca="1">SUM((INDIRECT($AA15)&gt;'Central Position Rpt'!M$8)*(INDIRECT($AA15)&lt;'Central Position Rpt'!M$9)*(INDIRECT($AB15)))</f>
        <v>0</v>
      </c>
      <c r="N15" s="228">
        <f t="array" aca="1" ref="N15" ca="1">SUM((INDIRECT($AA15)&gt;'Central Position Rpt'!N$8)*(INDIRECT($AA15)&lt;'Central Position Rpt'!N$9)*(INDIRECT($AB15)))</f>
        <v>0</v>
      </c>
      <c r="O15" s="228">
        <f t="array" aca="1" ref="O15" ca="1">SUM((INDIRECT($AA15)&gt;'Central Position Rpt'!O$8)*(INDIRECT($AA15)&lt;'Central Position Rpt'!O$9)*(INDIRECT($AB15)))</f>
        <v>2806014.9053933918</v>
      </c>
      <c r="P15" s="228">
        <f t="array" aca="1" ref="P15" ca="1">SUM((INDIRECT($AA15)&gt;'Central Position Rpt'!P$8)*(INDIRECT($AA15)&lt;'Central Position Rpt'!P$9)*(INDIRECT($AB15)))</f>
        <v>3231434.4068011716</v>
      </c>
      <c r="Q15" s="228">
        <f t="array" aca="1" ref="Q15" ca="1">SUM((INDIRECT($AA15)&gt;'Central Position Rpt'!Q$8)*(INDIRECT($AA15)&lt;'Central Position Rpt'!Q$9)*(INDIRECT($AB15)))</f>
        <v>3061797.0288074762</v>
      </c>
      <c r="R15" s="228">
        <f t="array" aca="1" ref="R15" ca="1">SUM((INDIRECT($AA15)&gt;'Central Position Rpt'!R$8)*(INDIRECT($AA15)&lt;'Central Position Rpt'!R$9)*(INDIRECT($AB15)))</f>
        <v>10724048.98607447</v>
      </c>
      <c r="S15" s="228">
        <f t="array" aca="1" ref="S15" ca="1">SUM((INDIRECT($AA15)&gt;'Central Position Rpt'!S$8)*(INDIRECT($AA15)&lt;'Central Position Rpt'!S$9)*(INDIRECT($AB15)))</f>
        <v>0</v>
      </c>
      <c r="T15" s="229">
        <f t="array" aca="1" ref="T15" ca="1">SUM((INDIRECT($AA15)&gt;'Central Position Rpt'!T$8)*(INDIRECT($AA15)&lt;'Central Position Rpt'!T$9)*(INDIRECT($AB15)))</f>
        <v>0</v>
      </c>
      <c r="V15" s="246">
        <f t="shared" ca="1" si="0"/>
        <v>19823295.32707651</v>
      </c>
      <c r="Y15" s="236" t="str">
        <f>GetWorkSheet($C14)</f>
        <v>LongTerm25</v>
      </c>
      <c r="Z15" s="303"/>
      <c r="AA15" s="236" t="str">
        <f t="shared" si="1"/>
        <v>LongTerm25!$D$22:$D$105</v>
      </c>
      <c r="AB15" s="236" t="str">
        <f>IF(NOT($Y15="#VALUE#"),CONCATENATE($Y15,"!",GetDeliveryStart($Y15),":",GetDeliveryEnd($Y15)),"")</f>
        <v>LongTerm25!$T$22:$T$105</v>
      </c>
      <c r="AC15" s="236">
        <f>GetRecNdx($Z14,$C14)</f>
        <v>3</v>
      </c>
    </row>
    <row r="16" spans="1:29" x14ac:dyDescent="0.25">
      <c r="C16" s="685">
        <v>26</v>
      </c>
      <c r="E16" s="687" t="str">
        <f>GetPipeName($Z16,$AC16)</f>
        <v>NBPL</v>
      </c>
      <c r="F16" s="689" t="str">
        <f>CONCATENATE(GetRcptPoint($Z16,$AC16)," to ",GetDelPoint($Z16,$AC16))</f>
        <v>Monchy to Chicago</v>
      </c>
      <c r="G16" s="243" t="str">
        <f>GetRcptBasis($Z16,$AC16)</f>
        <v>IF-MONCHY Basis Mid</v>
      </c>
      <c r="H16" s="226">
        <f t="array" aca="1" ref="H16" ca="1">SUM((INDIRECT($AA16)&gt;'Central Position Rpt'!H$8)*(INDIRECT($AA16)&lt;'Central Position Rpt'!H$9)*(INDIRECT($AB16)))</f>
        <v>0</v>
      </c>
      <c r="I16" s="226">
        <f t="array" aca="1" ref="I16" ca="1">SUM((INDIRECT($AA16)&gt;'Central Position Rpt'!I$8)*(INDIRECT($AA16)&lt;'Central Position Rpt'!I$9)*(INDIRECT($AB16)))</f>
        <v>0</v>
      </c>
      <c r="J16" s="226">
        <f t="array" aca="1" ref="J16" ca="1">SUM((INDIRECT($AA16)&gt;'Central Position Rpt'!J$8)*(INDIRECT($AA16)&lt;'Central Position Rpt'!J$9)*(INDIRECT($AB16)))</f>
        <v>0</v>
      </c>
      <c r="K16" s="226">
        <f t="array" aca="1" ref="K16" ca="1">SUM((INDIRECT($AA16)&gt;'Central Position Rpt'!K$8)*(INDIRECT($AA16)&lt;'Central Position Rpt'!K$9)*(INDIRECT($AB16)))</f>
        <v>0</v>
      </c>
      <c r="L16" s="226">
        <f t="array" aca="1" ref="L16" ca="1">SUM((INDIRECT($AA16)&gt;'Central Position Rpt'!L$8)*(INDIRECT($AA16)&lt;'Central Position Rpt'!L$9)*(INDIRECT($AB16)))</f>
        <v>0</v>
      </c>
      <c r="M16" s="226">
        <f t="array" aca="1" ref="M16" ca="1">SUM((INDIRECT($AA16)&gt;'Central Position Rpt'!M$8)*(INDIRECT($AA16)&lt;'Central Position Rpt'!M$9)*(INDIRECT($AB16)))</f>
        <v>0</v>
      </c>
      <c r="N16" s="226">
        <f t="array" aca="1" ref="N16" ca="1">SUM((INDIRECT($AA16)&gt;'Central Position Rpt'!N$8)*(INDIRECT($AA16)&lt;'Central Position Rpt'!N$9)*(INDIRECT($AB16)))</f>
        <v>0</v>
      </c>
      <c r="O16" s="226">
        <f t="array" aca="1" ref="O16" ca="1">SUM((INDIRECT($AA16)&gt;'Central Position Rpt'!O$8)*(INDIRECT($AA16)&lt;'Central Position Rpt'!O$9)*(INDIRECT($AB16)))</f>
        <v>0</v>
      </c>
      <c r="P16" s="226">
        <f t="array" aca="1" ref="P16" ca="1">SUM((INDIRECT($AA16)&gt;'Central Position Rpt'!P$8)*(INDIRECT($AA16)&lt;'Central Position Rpt'!P$9)*(INDIRECT($AB16)))</f>
        <v>0</v>
      </c>
      <c r="Q16" s="226">
        <f t="array" aca="1" ref="Q16" ca="1">SUM((INDIRECT($AA16)&gt;'Central Position Rpt'!Q$8)*(INDIRECT($AA16)&lt;'Central Position Rpt'!Q$9)*(INDIRECT($AB16)))</f>
        <v>0</v>
      </c>
      <c r="R16" s="226">
        <f t="array" aca="1" ref="R16" ca="1">SUM((INDIRECT($AA16)&gt;'Central Position Rpt'!R$8)*(INDIRECT($AA16)&lt;'Central Position Rpt'!R$9)*(INDIRECT($AB16)))</f>
        <v>-931230.71210095612</v>
      </c>
      <c r="S16" s="226">
        <f t="array" aca="1" ref="S16" ca="1">SUM((INDIRECT($AA16)&gt;'Central Position Rpt'!S$8)*(INDIRECT($AA16)&lt;'Central Position Rpt'!S$9)*(INDIRECT($AB16)))</f>
        <v>0</v>
      </c>
      <c r="T16" s="227">
        <f t="array" aca="1" ref="T16" ca="1">SUM((INDIRECT($AA16)&gt;'Central Position Rpt'!T$8)*(INDIRECT($AA16)&lt;'Central Position Rpt'!T$9)*(INDIRECT($AB16)))</f>
        <v>0</v>
      </c>
      <c r="V16" s="245">
        <f t="shared" ca="1" si="0"/>
        <v>-931230.71210095612</v>
      </c>
      <c r="Y16" s="236" t="str">
        <f>GetWorkSheet($C16)</f>
        <v>LongTerm26</v>
      </c>
      <c r="Z16" s="303" t="str">
        <f>FetchDBPage(Y16)</f>
        <v>Contract DB (Central)</v>
      </c>
      <c r="AA16" s="236" t="str">
        <f t="shared" si="1"/>
        <v>LongTerm26!$D$22:$D$24</v>
      </c>
      <c r="AB16" s="236" t="str">
        <f>IF(NOT($Y16="#VALUE#"),CONCATENATE($Y16,"!",GetReceiptStart($Y16),":",GetReceiptEnd($Y16)),"")</f>
        <v>LongTerm26!$S$22:$S$24</v>
      </c>
      <c r="AC16" s="236">
        <f>GetRecNdx($Z16,$C16)</f>
        <v>4</v>
      </c>
    </row>
    <row r="17" spans="3:29" x14ac:dyDescent="0.25">
      <c r="C17" s="686"/>
      <c r="E17" s="688"/>
      <c r="F17" s="690"/>
      <c r="G17" s="244" t="str">
        <f>GetDelBasis($Z16,$AC17)</f>
        <v>NGI/CHI. GATE Basis Mid</v>
      </c>
      <c r="H17" s="240">
        <f t="array" aca="1" ref="H17" ca="1">SUM((INDIRECT($AA17)&gt;'Central Position Rpt'!H$8)*(INDIRECT($AA17)&lt;'Central Position Rpt'!H$9)*(INDIRECT($AB17)))</f>
        <v>0</v>
      </c>
      <c r="I17" s="228">
        <f t="array" aca="1" ref="I17" ca="1">SUM((INDIRECT($AA17)&gt;'Central Position Rpt'!I$8)*(INDIRECT($AA17)&lt;'Central Position Rpt'!I$9)*(INDIRECT($AB17)))</f>
        <v>0</v>
      </c>
      <c r="J17" s="228">
        <f t="array" aca="1" ref="J17" ca="1">SUM((INDIRECT($AA17)&gt;'Central Position Rpt'!J$8)*(INDIRECT($AA17)&lt;'Central Position Rpt'!J$9)*(INDIRECT($AB17)))</f>
        <v>0</v>
      </c>
      <c r="K17" s="228">
        <f t="array" aca="1" ref="K17" ca="1">SUM((INDIRECT($AA17)&gt;'Central Position Rpt'!K$8)*(INDIRECT($AA17)&lt;'Central Position Rpt'!K$9)*(INDIRECT($AB17)))</f>
        <v>0</v>
      </c>
      <c r="L17" s="228">
        <f t="array" aca="1" ref="L17" ca="1">SUM((INDIRECT($AA17)&gt;'Central Position Rpt'!L$8)*(INDIRECT($AA17)&lt;'Central Position Rpt'!L$9)*(INDIRECT($AB17)))</f>
        <v>0</v>
      </c>
      <c r="M17" s="228">
        <f t="array" aca="1" ref="M17" ca="1">SUM((INDIRECT($AA17)&gt;'Central Position Rpt'!M$8)*(INDIRECT($AA17)&lt;'Central Position Rpt'!M$9)*(INDIRECT($AB17)))</f>
        <v>0</v>
      </c>
      <c r="N17" s="228">
        <f t="array" aca="1" ref="N17" ca="1">SUM((INDIRECT($AA17)&gt;'Central Position Rpt'!N$8)*(INDIRECT($AA17)&lt;'Central Position Rpt'!N$9)*(INDIRECT($AB17)))</f>
        <v>0</v>
      </c>
      <c r="O17" s="228">
        <f t="array" aca="1" ref="O17" ca="1">SUM((INDIRECT($AA17)&gt;'Central Position Rpt'!O$8)*(INDIRECT($AA17)&lt;'Central Position Rpt'!O$9)*(INDIRECT($AB17)))</f>
        <v>0</v>
      </c>
      <c r="P17" s="228">
        <f t="array" aca="1" ref="P17" ca="1">SUM((INDIRECT($AA17)&gt;'Central Position Rpt'!P$8)*(INDIRECT($AA17)&lt;'Central Position Rpt'!P$9)*(INDIRECT($AB17)))</f>
        <v>0</v>
      </c>
      <c r="Q17" s="228">
        <f t="array" aca="1" ref="Q17" ca="1">SUM((INDIRECT($AA17)&gt;'Central Position Rpt'!Q$8)*(INDIRECT($AA17)&lt;'Central Position Rpt'!Q$9)*(INDIRECT($AB17)))</f>
        <v>0</v>
      </c>
      <c r="R17" s="228">
        <f t="array" aca="1" ref="R17" ca="1">SUM((INDIRECT($AA17)&gt;'Central Position Rpt'!R$8)*(INDIRECT($AA17)&lt;'Central Position Rpt'!R$9)*(INDIRECT($AB17)))</f>
        <v>897822.84906350658</v>
      </c>
      <c r="S17" s="228">
        <f t="array" aca="1" ref="S17" ca="1">SUM((INDIRECT($AA17)&gt;'Central Position Rpt'!S$8)*(INDIRECT($AA17)&lt;'Central Position Rpt'!S$9)*(INDIRECT($AB17)))</f>
        <v>0</v>
      </c>
      <c r="T17" s="229">
        <f t="array" aca="1" ref="T17" ca="1">SUM((INDIRECT($AA17)&gt;'Central Position Rpt'!T$8)*(INDIRECT($AA17)&lt;'Central Position Rpt'!T$9)*(INDIRECT($AB17)))</f>
        <v>0</v>
      </c>
      <c r="V17" s="246">
        <f t="shared" ca="1" si="0"/>
        <v>897822.84906350658</v>
      </c>
      <c r="Y17" s="236" t="str">
        <f>GetWorkSheet($C16)</f>
        <v>LongTerm26</v>
      </c>
      <c r="Z17" s="303"/>
      <c r="AA17" s="236" t="str">
        <f t="shared" si="1"/>
        <v>LongTerm26!$D$22:$D$24</v>
      </c>
      <c r="AB17" s="236" t="str">
        <f>IF(NOT($Y17="#VALUE#"),CONCATENATE($Y17,"!",GetDeliveryStart($Y17),":",GetDeliveryEnd($Y17)),"")</f>
        <v>LongTerm26!$T$22:$T$24</v>
      </c>
      <c r="AC17" s="236">
        <f>GetRecNdx($Z16,$C16)</f>
        <v>4</v>
      </c>
    </row>
    <row r="18" spans="3:29" x14ac:dyDescent="0.25">
      <c r="C18" s="685">
        <v>72</v>
      </c>
      <c r="E18" s="687">
        <f>GetPipeName($Z18,$AC18)</f>
        <v>0</v>
      </c>
      <c r="F18" s="689" t="str">
        <f>CONCATENATE(GetRcptPoint($Z18,$AC18)," to ",GetDelPoint($Z18,$AC18))</f>
        <v>MidCon to Permian</v>
      </c>
      <c r="G18" s="243" t="str">
        <f>GetRcptBasis($Z18,$AC18)</f>
        <v>IF-NGPL/MIDCON Basis Mid</v>
      </c>
      <c r="H18" s="226">
        <f t="array" aca="1" ref="H18" ca="1">SUM((INDIRECT($AA18)&gt;'Central Position Rpt'!H$8)*(INDIRECT($AA18)&lt;'Central Position Rpt'!H$9)*(INDIRECT($AB18)))</f>
        <v>0</v>
      </c>
      <c r="I18" s="226">
        <f t="array" aca="1" ref="I18" ca="1">SUM((INDIRECT($AA18)&gt;'Central Position Rpt'!I$8)*(INDIRECT($AA18)&lt;'Central Position Rpt'!I$9)*(INDIRECT($AB18)))</f>
        <v>0</v>
      </c>
      <c r="J18" s="226">
        <f t="array" aca="1" ref="J18" ca="1">SUM((INDIRECT($AA18)&gt;'Central Position Rpt'!J$8)*(INDIRECT($AA18)&lt;'Central Position Rpt'!J$9)*(INDIRECT($AB18)))</f>
        <v>0</v>
      </c>
      <c r="K18" s="226">
        <f t="array" aca="1" ref="K18" ca="1">SUM((INDIRECT($AA18)&gt;'Central Position Rpt'!K$8)*(INDIRECT($AA18)&lt;'Central Position Rpt'!K$9)*(INDIRECT($AB18)))</f>
        <v>0</v>
      </c>
      <c r="L18" s="226">
        <f t="array" aca="1" ref="L18" ca="1">SUM((INDIRECT($AA18)&gt;'Central Position Rpt'!L$8)*(INDIRECT($AA18)&lt;'Central Position Rpt'!L$9)*(INDIRECT($AB18)))</f>
        <v>0</v>
      </c>
      <c r="M18" s="226">
        <f t="array" aca="1" ref="M18" ca="1">SUM((INDIRECT($AA18)&gt;'Central Position Rpt'!M$8)*(INDIRECT($AA18)&lt;'Central Position Rpt'!M$9)*(INDIRECT($AB18)))</f>
        <v>0</v>
      </c>
      <c r="N18" s="226">
        <f t="array" aca="1" ref="N18" ca="1">SUM((INDIRECT($AA18)&gt;'Central Position Rpt'!N$8)*(INDIRECT($AA18)&lt;'Central Position Rpt'!N$9)*(INDIRECT($AB18)))</f>
        <v>0</v>
      </c>
      <c r="O18" s="226">
        <f t="array" aca="1" ref="O18" ca="1">SUM((INDIRECT($AA18)&gt;'Central Position Rpt'!O$8)*(INDIRECT($AA18)&lt;'Central Position Rpt'!O$9)*(INDIRECT($AB18)))</f>
        <v>-157836.66149338294</v>
      </c>
      <c r="P18" s="226">
        <f t="array" aca="1" ref="P18" ca="1">SUM((INDIRECT($AA18)&gt;'Central Position Rpt'!P$8)*(INDIRECT($AA18)&lt;'Central Position Rpt'!P$9)*(INDIRECT($AB18)))</f>
        <v>0</v>
      </c>
      <c r="Q18" s="226">
        <f t="array" aca="1" ref="Q18" ca="1">SUM((INDIRECT($AA18)&gt;'Central Position Rpt'!Q$8)*(INDIRECT($AA18)&lt;'Central Position Rpt'!Q$9)*(INDIRECT($AB18)))</f>
        <v>0</v>
      </c>
      <c r="R18" s="226">
        <f t="array" aca="1" ref="R18" ca="1">SUM((INDIRECT($AA18)&gt;'Central Position Rpt'!R$8)*(INDIRECT($AA18)&lt;'Central Position Rpt'!R$9)*(INDIRECT($AB18)))</f>
        <v>0</v>
      </c>
      <c r="S18" s="226">
        <f t="array" aca="1" ref="S18" ca="1">SUM((INDIRECT($AA18)&gt;'Central Position Rpt'!S$8)*(INDIRECT($AA18)&lt;'Central Position Rpt'!S$9)*(INDIRECT($AB18)))</f>
        <v>0</v>
      </c>
      <c r="T18" s="227">
        <f t="array" aca="1" ref="T18" ca="1">SUM((INDIRECT($AA18)&gt;'Central Position Rpt'!T$8)*(INDIRECT($AA18)&lt;'Central Position Rpt'!T$9)*(INDIRECT($AB18)))</f>
        <v>0</v>
      </c>
      <c r="V18" s="245">
        <f t="shared" ca="1" si="0"/>
        <v>-157836.66149338294</v>
      </c>
      <c r="Y18" s="236" t="str">
        <f>GetWorkSheet($C18)</f>
        <v>LongTerm72</v>
      </c>
      <c r="Z18" s="303" t="str">
        <f>FetchDBPage(Y18)</f>
        <v>Contract DB (Central)</v>
      </c>
      <c r="AA18" s="236" t="str">
        <f t="shared" si="1"/>
        <v>LongTerm72!$D$22:$D$31</v>
      </c>
      <c r="AB18" s="236" t="str">
        <f>IF(NOT($Y18="#VALUE#"),CONCATENATE($Y18,"!",GetReceiptStart($Y18),":",GetReceiptEnd($Y18)),"")</f>
        <v>LongTerm72!$S$22:$S$31</v>
      </c>
      <c r="AC18" s="236">
        <f>GetRecNdx($Z18,$C18)</f>
        <v>5</v>
      </c>
    </row>
    <row r="19" spans="3:29" x14ac:dyDescent="0.25">
      <c r="C19" s="686"/>
      <c r="E19" s="688"/>
      <c r="F19" s="690"/>
      <c r="G19" s="244" t="str">
        <f>GetDelBasis($Z18,$AC19)</f>
        <v>IF-ELPO/PERMIAN Basis Mid</v>
      </c>
      <c r="H19" s="240">
        <f t="array" aca="1" ref="H19" ca="1">SUM((INDIRECT($AA19)&gt;'Central Position Rpt'!H$8)*(INDIRECT($AA19)&lt;'Central Position Rpt'!H$9)*(INDIRECT($AB19)))</f>
        <v>0</v>
      </c>
      <c r="I19" s="228">
        <f t="array" aca="1" ref="I19" ca="1">SUM((INDIRECT($AA19)&gt;'Central Position Rpt'!I$8)*(INDIRECT($AA19)&lt;'Central Position Rpt'!I$9)*(INDIRECT($AB19)))</f>
        <v>0</v>
      </c>
      <c r="J19" s="228">
        <f t="array" aca="1" ref="J19" ca="1">SUM((INDIRECT($AA19)&gt;'Central Position Rpt'!J$8)*(INDIRECT($AA19)&lt;'Central Position Rpt'!J$9)*(INDIRECT($AB19)))</f>
        <v>0</v>
      </c>
      <c r="K19" s="228">
        <f t="array" aca="1" ref="K19" ca="1">SUM((INDIRECT($AA19)&gt;'Central Position Rpt'!K$8)*(INDIRECT($AA19)&lt;'Central Position Rpt'!K$9)*(INDIRECT($AB19)))</f>
        <v>0</v>
      </c>
      <c r="L19" s="228">
        <f t="array" aca="1" ref="L19" ca="1">SUM((INDIRECT($AA19)&gt;'Central Position Rpt'!L$8)*(INDIRECT($AA19)&lt;'Central Position Rpt'!L$9)*(INDIRECT($AB19)))</f>
        <v>0</v>
      </c>
      <c r="M19" s="228">
        <f t="array" aca="1" ref="M19" ca="1">SUM((INDIRECT($AA19)&gt;'Central Position Rpt'!M$8)*(INDIRECT($AA19)&lt;'Central Position Rpt'!M$9)*(INDIRECT($AB19)))</f>
        <v>0</v>
      </c>
      <c r="N19" s="228">
        <f t="array" aca="1" ref="N19" ca="1">SUM((INDIRECT($AA19)&gt;'Central Position Rpt'!N$8)*(INDIRECT($AA19)&lt;'Central Position Rpt'!N$9)*(INDIRECT($AB19)))</f>
        <v>0</v>
      </c>
      <c r="O19" s="228">
        <f t="array" aca="1" ref="O19" ca="1">SUM((INDIRECT($AA19)&gt;'Central Position Rpt'!O$8)*(INDIRECT($AA19)&lt;'Central Position Rpt'!O$9)*(INDIRECT($AB19)))</f>
        <v>166746.30333081784</v>
      </c>
      <c r="P19" s="228">
        <f t="array" aca="1" ref="P19" ca="1">SUM((INDIRECT($AA19)&gt;'Central Position Rpt'!P$8)*(INDIRECT($AA19)&lt;'Central Position Rpt'!P$9)*(INDIRECT($AB19)))</f>
        <v>0</v>
      </c>
      <c r="Q19" s="228">
        <f t="array" aca="1" ref="Q19" ca="1">SUM((INDIRECT($AA19)&gt;'Central Position Rpt'!Q$8)*(INDIRECT($AA19)&lt;'Central Position Rpt'!Q$9)*(INDIRECT($AB19)))</f>
        <v>0</v>
      </c>
      <c r="R19" s="228">
        <f t="array" aca="1" ref="R19" ca="1">SUM((INDIRECT($AA19)&gt;'Central Position Rpt'!R$8)*(INDIRECT($AA19)&lt;'Central Position Rpt'!R$9)*(INDIRECT($AB19)))</f>
        <v>0</v>
      </c>
      <c r="S19" s="228">
        <f t="array" aca="1" ref="S19" ca="1">SUM((INDIRECT($AA19)&gt;'Central Position Rpt'!S$8)*(INDIRECT($AA19)&lt;'Central Position Rpt'!S$9)*(INDIRECT($AB19)))</f>
        <v>0</v>
      </c>
      <c r="T19" s="229">
        <f t="array" aca="1" ref="T19" ca="1">SUM((INDIRECT($AA19)&gt;'Central Position Rpt'!T$8)*(INDIRECT($AA19)&lt;'Central Position Rpt'!T$9)*(INDIRECT($AB19)))</f>
        <v>0</v>
      </c>
      <c r="V19" s="246">
        <f t="shared" ca="1" si="0"/>
        <v>166746.30333081784</v>
      </c>
      <c r="Y19" s="236" t="str">
        <f>GetWorkSheet($C18)</f>
        <v>LongTerm72</v>
      </c>
      <c r="Z19" s="303"/>
      <c r="AA19" s="236" t="str">
        <f t="shared" si="1"/>
        <v>LongTerm72!$D$22:$D$31</v>
      </c>
      <c r="AB19" s="236" t="str">
        <f>IF(NOT($Y19="#VALUE#"),CONCATENATE($Y19,"!",GetDeliveryStart($Y19),":",GetDeliveryEnd($Y19)),"")</f>
        <v>LongTerm72!$T$22:$T$31</v>
      </c>
      <c r="AC19" s="236">
        <f>GetRecNdx($Z18,$C18)</f>
        <v>5</v>
      </c>
    </row>
    <row r="20" spans="3:29" x14ac:dyDescent="0.25">
      <c r="C20" s="685">
        <v>107</v>
      </c>
      <c r="E20" s="687" t="str">
        <f>GetPipeName($Z20,$AC20)</f>
        <v>NBPL</v>
      </c>
      <c r="F20" s="689" t="str">
        <f>CONCATENATE(GetRcptPoint($Z20,$AC20)," to ",GetDelPoint($Z20,$AC20))</f>
        <v>Ventura to Harper</v>
      </c>
      <c r="G20" s="243" t="str">
        <f>GetRcptBasis($Z20,$AC20)</f>
        <v>IF-NNG/VENT Basis Mid</v>
      </c>
      <c r="H20" s="226">
        <f t="array" aca="1" ref="H20" ca="1">SUM((INDIRECT($AA20)&gt;'Central Position Rpt'!H$8)*(INDIRECT($AA20)&lt;'Central Position Rpt'!H$9)*(INDIRECT($AB20)))</f>
        <v>0</v>
      </c>
      <c r="I20" s="226">
        <f t="array" aca="1" ref="I20" ca="1">SUM((INDIRECT($AA20)&gt;'Central Position Rpt'!I$8)*(INDIRECT($AA20)&lt;'Central Position Rpt'!I$9)*(INDIRECT($AB20)))</f>
        <v>0</v>
      </c>
      <c r="J20" s="226">
        <f t="array" aca="1" ref="J20" ca="1">SUM((INDIRECT($AA20)&gt;'Central Position Rpt'!J$8)*(INDIRECT($AA20)&lt;'Central Position Rpt'!J$9)*(INDIRECT($AB20)))</f>
        <v>0</v>
      </c>
      <c r="K20" s="226">
        <f t="array" aca="1" ref="K20" ca="1">SUM((INDIRECT($AA20)&gt;'Central Position Rpt'!K$8)*(INDIRECT($AA20)&lt;'Central Position Rpt'!K$9)*(INDIRECT($AB20)))</f>
        <v>0</v>
      </c>
      <c r="L20" s="226">
        <f t="array" aca="1" ref="L20" ca="1">SUM((INDIRECT($AA20)&gt;'Central Position Rpt'!L$8)*(INDIRECT($AA20)&lt;'Central Position Rpt'!L$9)*(INDIRECT($AB20)))</f>
        <v>0</v>
      </c>
      <c r="M20" s="226">
        <f t="array" aca="1" ref="M20" ca="1">SUM((INDIRECT($AA20)&gt;'Central Position Rpt'!M$8)*(INDIRECT($AA20)&lt;'Central Position Rpt'!M$9)*(INDIRECT($AB20)))</f>
        <v>0</v>
      </c>
      <c r="N20" s="226">
        <f t="array" aca="1" ref="N20" ca="1">SUM((INDIRECT($AA20)&gt;'Central Position Rpt'!N$8)*(INDIRECT($AA20)&lt;'Central Position Rpt'!N$9)*(INDIRECT($AB20)))</f>
        <v>0</v>
      </c>
      <c r="O20" s="226">
        <f t="array" aca="1" ref="O20" ca="1">SUM((INDIRECT($AA20)&gt;'Central Position Rpt'!O$8)*(INDIRECT($AA20)&lt;'Central Position Rpt'!O$9)*(INDIRECT($AB20)))</f>
        <v>-2773683.8533161269</v>
      </c>
      <c r="P20" s="226">
        <f t="array" aca="1" ref="P20" ca="1">SUM((INDIRECT($AA20)&gt;'Central Position Rpt'!P$8)*(INDIRECT($AA20)&lt;'Central Position Rpt'!P$9)*(INDIRECT($AB20)))</f>
        <v>0</v>
      </c>
      <c r="Q20" s="226">
        <f t="array" aca="1" ref="Q20" ca="1">SUM((INDIRECT($AA20)&gt;'Central Position Rpt'!Q$8)*(INDIRECT($AA20)&lt;'Central Position Rpt'!Q$9)*(INDIRECT($AB20)))</f>
        <v>0</v>
      </c>
      <c r="R20" s="226">
        <f t="array" aca="1" ref="R20" ca="1">SUM((INDIRECT($AA20)&gt;'Central Position Rpt'!R$8)*(INDIRECT($AA20)&lt;'Central Position Rpt'!R$9)*(INDIRECT($AB20)))</f>
        <v>0</v>
      </c>
      <c r="S20" s="226">
        <f t="array" aca="1" ref="S20" ca="1">SUM((INDIRECT($AA20)&gt;'Central Position Rpt'!S$8)*(INDIRECT($AA20)&lt;'Central Position Rpt'!S$9)*(INDIRECT($AB20)))</f>
        <v>0</v>
      </c>
      <c r="T20" s="227">
        <f t="array" aca="1" ref="T20" ca="1">SUM((INDIRECT($AA20)&gt;'Central Position Rpt'!T$8)*(INDIRECT($AA20)&lt;'Central Position Rpt'!T$9)*(INDIRECT($AB20)))</f>
        <v>0</v>
      </c>
      <c r="V20" s="245">
        <f t="shared" ca="1" si="0"/>
        <v>-2773683.8533161269</v>
      </c>
      <c r="Y20" s="236" t="str">
        <f>GetWorkSheet($C20)</f>
        <v>LongTerm107</v>
      </c>
      <c r="Z20" s="303" t="str">
        <f>FetchDBPage(Y20)</f>
        <v>Contract DB (Central)</v>
      </c>
      <c r="AA20" s="236" t="str">
        <f t="shared" si="1"/>
        <v>LongTerm107!$D$22:$D$117</v>
      </c>
      <c r="AB20" s="236" t="str">
        <f>IF(NOT($Y20="#VALUE#"),CONCATENATE($Y20,"!",GetReceiptStart($Y20),":",GetReceiptEnd($Y20)),"")</f>
        <v>LongTerm107!$S$22:$S$117</v>
      </c>
      <c r="AC20" s="236">
        <f>GetRecNdx($Z20,$C20)</f>
        <v>6</v>
      </c>
    </row>
    <row r="21" spans="3:29" x14ac:dyDescent="0.25">
      <c r="C21" s="686"/>
      <c r="E21" s="688"/>
      <c r="F21" s="690"/>
      <c r="G21" s="244" t="str">
        <f>GetDelBasis($Z20,$AC21)</f>
        <v>IF-HARPER Basis Mid</v>
      </c>
      <c r="H21" s="240">
        <f t="array" aca="1" ref="H21" ca="1">SUM((INDIRECT($AA21)&gt;'Central Position Rpt'!H$8)*(INDIRECT($AA21)&lt;'Central Position Rpt'!H$9)*(INDIRECT($AB21)))</f>
        <v>0</v>
      </c>
      <c r="I21" s="228">
        <f t="array" aca="1" ref="I21" ca="1">SUM((INDIRECT($AA21)&gt;'Central Position Rpt'!I$8)*(INDIRECT($AA21)&lt;'Central Position Rpt'!I$9)*(INDIRECT($AB21)))</f>
        <v>0</v>
      </c>
      <c r="J21" s="228">
        <f t="array" aca="1" ref="J21" ca="1">SUM((INDIRECT($AA21)&gt;'Central Position Rpt'!J$8)*(INDIRECT($AA21)&lt;'Central Position Rpt'!J$9)*(INDIRECT($AB21)))</f>
        <v>0</v>
      </c>
      <c r="K21" s="228">
        <f t="array" aca="1" ref="K21" ca="1">SUM((INDIRECT($AA21)&gt;'Central Position Rpt'!K$8)*(INDIRECT($AA21)&lt;'Central Position Rpt'!K$9)*(INDIRECT($AB21)))</f>
        <v>0</v>
      </c>
      <c r="L21" s="228">
        <f t="array" aca="1" ref="L21" ca="1">SUM((INDIRECT($AA21)&gt;'Central Position Rpt'!L$8)*(INDIRECT($AA21)&lt;'Central Position Rpt'!L$9)*(INDIRECT($AB21)))</f>
        <v>0</v>
      </c>
      <c r="M21" s="228">
        <f t="array" aca="1" ref="M21" ca="1">SUM((INDIRECT($AA21)&gt;'Central Position Rpt'!M$8)*(INDIRECT($AA21)&lt;'Central Position Rpt'!M$9)*(INDIRECT($AB21)))</f>
        <v>0</v>
      </c>
      <c r="N21" s="228">
        <f t="array" aca="1" ref="N21" ca="1">SUM((INDIRECT($AA21)&gt;'Central Position Rpt'!N$8)*(INDIRECT($AA21)&lt;'Central Position Rpt'!N$9)*(INDIRECT($AB21)))</f>
        <v>0</v>
      </c>
      <c r="O21" s="228">
        <f t="array" aca="1" ref="O21" ca="1">SUM((INDIRECT($AA21)&gt;'Central Position Rpt'!O$8)*(INDIRECT($AA21)&lt;'Central Position Rpt'!O$9)*(INDIRECT($AB21)))</f>
        <v>2833243.7427172749</v>
      </c>
      <c r="P21" s="228">
        <f t="array" aca="1" ref="P21" ca="1">SUM((INDIRECT($AA21)&gt;'Central Position Rpt'!P$8)*(INDIRECT($AA21)&lt;'Central Position Rpt'!P$9)*(INDIRECT($AB21)))</f>
        <v>0</v>
      </c>
      <c r="Q21" s="228">
        <f t="array" aca="1" ref="Q21" ca="1">SUM((INDIRECT($AA21)&gt;'Central Position Rpt'!Q$8)*(INDIRECT($AA21)&lt;'Central Position Rpt'!Q$9)*(INDIRECT($AB21)))</f>
        <v>0</v>
      </c>
      <c r="R21" s="228">
        <f t="array" aca="1" ref="R21" ca="1">SUM((INDIRECT($AA21)&gt;'Central Position Rpt'!R$8)*(INDIRECT($AA21)&lt;'Central Position Rpt'!R$9)*(INDIRECT($AB21)))</f>
        <v>0</v>
      </c>
      <c r="S21" s="228">
        <f t="array" aca="1" ref="S21" ca="1">SUM((INDIRECT($AA21)&gt;'Central Position Rpt'!S$8)*(INDIRECT($AA21)&lt;'Central Position Rpt'!S$9)*(INDIRECT($AB21)))</f>
        <v>0</v>
      </c>
      <c r="T21" s="229">
        <f t="array" aca="1" ref="T21" ca="1">SUM((INDIRECT($AA21)&gt;'Central Position Rpt'!T$8)*(INDIRECT($AA21)&lt;'Central Position Rpt'!T$9)*(INDIRECT($AB21)))</f>
        <v>0</v>
      </c>
      <c r="V21" s="246">
        <f t="shared" ca="1" si="0"/>
        <v>2833243.7427172749</v>
      </c>
      <c r="Y21" s="236" t="str">
        <f>GetWorkSheet($C20)</f>
        <v>LongTerm107</v>
      </c>
      <c r="Z21" s="303"/>
      <c r="AA21" s="236" t="str">
        <f t="shared" si="1"/>
        <v>LongTerm107!$D$22:$D$117</v>
      </c>
      <c r="AB21" s="236" t="str">
        <f>IF(NOT($Y21="#VALUE#"),CONCATENATE($Y21,"!",GetDeliveryStart($Y21),":",GetDeliveryEnd($Y21)),"")</f>
        <v>LongTerm107!$T$22:$T$117</v>
      </c>
      <c r="AC21" s="236">
        <f>GetRecNdx($Z20,$C20)</f>
        <v>6</v>
      </c>
    </row>
    <row r="22" spans="3:29" x14ac:dyDescent="0.25">
      <c r="C22" s="685">
        <v>108</v>
      </c>
      <c r="E22" s="687" t="str">
        <f>GetPipeName($Z22,$AC22)</f>
        <v>NBPL</v>
      </c>
      <c r="F22" s="689" t="str">
        <f>CONCATENATE(GetRcptPoint($Z22,$AC22)," to ",GetDelPoint($Z22,$AC22))</f>
        <v>Ventura to Harper</v>
      </c>
      <c r="G22" s="243" t="str">
        <f>GetRcptBasis($Z22,$AC22)</f>
        <v>IF-NNG/VENT Basis Mid</v>
      </c>
      <c r="H22" s="226">
        <f t="array" aca="1" ref="H22" ca="1">SUM((INDIRECT($AA22)&gt;'Central Position Rpt'!H$8)*(INDIRECT($AA22)&lt;'Central Position Rpt'!H$9)*(INDIRECT($AB22)))</f>
        <v>0</v>
      </c>
      <c r="I22" s="226">
        <f t="array" aca="1" ref="I22" ca="1">SUM((INDIRECT($AA22)&gt;'Central Position Rpt'!I$8)*(INDIRECT($AA22)&lt;'Central Position Rpt'!I$9)*(INDIRECT($AB22)))</f>
        <v>0</v>
      </c>
      <c r="J22" s="226">
        <f t="array" aca="1" ref="J22" ca="1">SUM((INDIRECT($AA22)&gt;'Central Position Rpt'!J$8)*(INDIRECT($AA22)&lt;'Central Position Rpt'!J$9)*(INDIRECT($AB22)))</f>
        <v>0</v>
      </c>
      <c r="K22" s="226">
        <f t="array" aca="1" ref="K22" ca="1">SUM((INDIRECT($AA22)&gt;'Central Position Rpt'!K$8)*(INDIRECT($AA22)&lt;'Central Position Rpt'!K$9)*(INDIRECT($AB22)))</f>
        <v>0</v>
      </c>
      <c r="L22" s="226">
        <f t="array" aca="1" ref="L22" ca="1">SUM((INDIRECT($AA22)&gt;'Central Position Rpt'!L$8)*(INDIRECT($AA22)&lt;'Central Position Rpt'!L$9)*(INDIRECT($AB22)))</f>
        <v>0</v>
      </c>
      <c r="M22" s="226">
        <f t="array" aca="1" ref="M22" ca="1">SUM((INDIRECT($AA22)&gt;'Central Position Rpt'!M$8)*(INDIRECT($AA22)&lt;'Central Position Rpt'!M$9)*(INDIRECT($AB22)))</f>
        <v>0</v>
      </c>
      <c r="N22" s="226">
        <f t="array" aca="1" ref="N22" ca="1">SUM((INDIRECT($AA22)&gt;'Central Position Rpt'!N$8)*(INDIRECT($AA22)&lt;'Central Position Rpt'!N$9)*(INDIRECT($AB22)))</f>
        <v>0</v>
      </c>
      <c r="O22" s="226">
        <f t="array" aca="1" ref="O22" ca="1">SUM((INDIRECT($AA22)&gt;'Central Position Rpt'!O$8)*(INDIRECT($AA22)&lt;'Central Position Rpt'!O$9)*(INDIRECT($AB22)))</f>
        <v>-838515.94985591504</v>
      </c>
      <c r="P22" s="226">
        <f t="array" aca="1" ref="P22" ca="1">SUM((INDIRECT($AA22)&gt;'Central Position Rpt'!P$8)*(INDIRECT($AA22)&lt;'Central Position Rpt'!P$9)*(INDIRECT($AB22)))</f>
        <v>-4943553.4247067338</v>
      </c>
      <c r="Q22" s="226">
        <f t="array" aca="1" ref="Q22" ca="1">SUM((INDIRECT($AA22)&gt;'Central Position Rpt'!Q$8)*(INDIRECT($AA22)&lt;'Central Position Rpt'!Q$9)*(INDIRECT($AB22)))</f>
        <v>0</v>
      </c>
      <c r="R22" s="226">
        <f t="array" aca="1" ref="R22" ca="1">SUM((INDIRECT($AA22)&gt;'Central Position Rpt'!R$8)*(INDIRECT($AA22)&lt;'Central Position Rpt'!R$9)*(INDIRECT($AB22)))</f>
        <v>0</v>
      </c>
      <c r="S22" s="226">
        <f t="array" aca="1" ref="S22" ca="1">SUM((INDIRECT($AA22)&gt;'Central Position Rpt'!S$8)*(INDIRECT($AA22)&lt;'Central Position Rpt'!S$9)*(INDIRECT($AB22)))</f>
        <v>0</v>
      </c>
      <c r="T22" s="227">
        <f t="array" aca="1" ref="T22" ca="1">SUM((INDIRECT($AA22)&gt;'Central Position Rpt'!T$8)*(INDIRECT($AA22)&lt;'Central Position Rpt'!T$9)*(INDIRECT($AB22)))</f>
        <v>0</v>
      </c>
      <c r="V22" s="245">
        <f t="shared" ca="1" si="0"/>
        <v>-5782069.3745626491</v>
      </c>
      <c r="Y22" s="236" t="str">
        <f>GetWorkSheet($C22)</f>
        <v>LongTerm108</v>
      </c>
      <c r="Z22" s="303" t="str">
        <f>FetchDBPage(Y22)</f>
        <v>Contract DB (Central)</v>
      </c>
      <c r="AA22" s="236" t="str">
        <f t="shared" si="1"/>
        <v>LongTerm108!$D$22:$D$117</v>
      </c>
      <c r="AB22" s="236" t="str">
        <f>IF(NOT($Y22="#VALUE#"),CONCATENATE($Y22,"!",GetReceiptStart($Y22),":",GetReceiptEnd($Y22)),"")</f>
        <v>LongTerm108!$S$22:$S$117</v>
      </c>
      <c r="AC22" s="236">
        <f>GetRecNdx($Z22,$C22)</f>
        <v>7</v>
      </c>
    </row>
    <row r="23" spans="3:29" x14ac:dyDescent="0.25">
      <c r="C23" s="686"/>
      <c r="E23" s="688"/>
      <c r="F23" s="690"/>
      <c r="G23" s="244" t="str">
        <f>GetDelBasis($Z22,$AC23)</f>
        <v>IF-HARPER Basis Mid</v>
      </c>
      <c r="H23" s="240">
        <f t="array" aca="1" ref="H23" ca="1">SUM((INDIRECT($AA23)&gt;'Central Position Rpt'!H$8)*(INDIRECT($AA23)&lt;'Central Position Rpt'!H$9)*(INDIRECT($AB23)))</f>
        <v>0</v>
      </c>
      <c r="I23" s="228">
        <f t="array" aca="1" ref="I23" ca="1">SUM((INDIRECT($AA23)&gt;'Central Position Rpt'!I$8)*(INDIRECT($AA23)&lt;'Central Position Rpt'!I$9)*(INDIRECT($AB23)))</f>
        <v>0</v>
      </c>
      <c r="J23" s="228">
        <f t="array" aca="1" ref="J23" ca="1">SUM((INDIRECT($AA23)&gt;'Central Position Rpt'!J$8)*(INDIRECT($AA23)&lt;'Central Position Rpt'!J$9)*(INDIRECT($AB23)))</f>
        <v>0</v>
      </c>
      <c r="K23" s="228">
        <f t="array" aca="1" ref="K23" ca="1">SUM((INDIRECT($AA23)&gt;'Central Position Rpt'!K$8)*(INDIRECT($AA23)&lt;'Central Position Rpt'!K$9)*(INDIRECT($AB23)))</f>
        <v>0</v>
      </c>
      <c r="L23" s="228">
        <f t="array" aca="1" ref="L23" ca="1">SUM((INDIRECT($AA23)&gt;'Central Position Rpt'!L$8)*(INDIRECT($AA23)&lt;'Central Position Rpt'!L$9)*(INDIRECT($AB23)))</f>
        <v>0</v>
      </c>
      <c r="M23" s="228">
        <f t="array" aca="1" ref="M23" ca="1">SUM((INDIRECT($AA23)&gt;'Central Position Rpt'!M$8)*(INDIRECT($AA23)&lt;'Central Position Rpt'!M$9)*(INDIRECT($AB23)))</f>
        <v>0</v>
      </c>
      <c r="N23" s="228">
        <f t="array" aca="1" ref="N23" ca="1">SUM((INDIRECT($AA23)&gt;'Central Position Rpt'!N$8)*(INDIRECT($AA23)&lt;'Central Position Rpt'!N$9)*(INDIRECT($AB23)))</f>
        <v>0</v>
      </c>
      <c r="O23" s="228">
        <f t="array" aca="1" ref="O23" ca="1">SUM((INDIRECT($AA23)&gt;'Central Position Rpt'!O$8)*(INDIRECT($AA23)&lt;'Central Position Rpt'!O$9)*(INDIRECT($AB23)))</f>
        <v>868049.60045762523</v>
      </c>
      <c r="P23" s="228">
        <f t="array" aca="1" ref="P23" ca="1">SUM((INDIRECT($AA23)&gt;'Central Position Rpt'!P$8)*(INDIRECT($AA23)&lt;'Central Position Rpt'!P$9)*(INDIRECT($AB23)))</f>
        <v>5029799.9037263347</v>
      </c>
      <c r="Q23" s="228">
        <f t="array" aca="1" ref="Q23" ca="1">SUM((INDIRECT($AA23)&gt;'Central Position Rpt'!Q$8)*(INDIRECT($AA23)&lt;'Central Position Rpt'!Q$9)*(INDIRECT($AB23)))</f>
        <v>0</v>
      </c>
      <c r="R23" s="228">
        <f t="array" aca="1" ref="R23" ca="1">SUM((INDIRECT($AA23)&gt;'Central Position Rpt'!R$8)*(INDIRECT($AA23)&lt;'Central Position Rpt'!R$9)*(INDIRECT($AB23)))</f>
        <v>0</v>
      </c>
      <c r="S23" s="228">
        <f t="array" aca="1" ref="S23" ca="1">SUM((INDIRECT($AA23)&gt;'Central Position Rpt'!S$8)*(INDIRECT($AA23)&lt;'Central Position Rpt'!S$9)*(INDIRECT($AB23)))</f>
        <v>0</v>
      </c>
      <c r="T23" s="229">
        <f t="array" aca="1" ref="T23" ca="1">SUM((INDIRECT($AA23)&gt;'Central Position Rpt'!T$8)*(INDIRECT($AA23)&lt;'Central Position Rpt'!T$9)*(INDIRECT($AB23)))</f>
        <v>0</v>
      </c>
      <c r="V23" s="246">
        <f t="shared" ca="1" si="0"/>
        <v>5897849.5041839601</v>
      </c>
      <c r="Y23" s="236" t="str">
        <f>GetWorkSheet($C22)</f>
        <v>LongTerm108</v>
      </c>
      <c r="Z23" s="303"/>
      <c r="AA23" s="236" t="str">
        <f t="shared" si="1"/>
        <v>LongTerm108!$D$22:$D$117</v>
      </c>
      <c r="AB23" s="236" t="str">
        <f>IF(NOT($Y23="#VALUE#"),CONCATENATE($Y23,"!",GetDeliveryStart($Y23),":",GetDeliveryEnd($Y23)),"")</f>
        <v>LongTerm108!$T$22:$T$117</v>
      </c>
      <c r="AC23" s="236">
        <f>GetRecNdx($Z22,$C22)</f>
        <v>7</v>
      </c>
    </row>
    <row r="26" spans="3:29" x14ac:dyDescent="0.25">
      <c r="G26" s="251" t="s">
        <v>197</v>
      </c>
    </row>
    <row r="27" spans="3:29" x14ac:dyDescent="0.25">
      <c r="G27" s="231" t="s">
        <v>521</v>
      </c>
      <c r="H27" s="232">
        <f ca="1">SUMIF($G$10:$G$23,$G$27,$H$10:$H$23)</f>
        <v>0</v>
      </c>
      <c r="I27" s="232">
        <f ca="1">SUMIF($G$10:$G$23,$G$27,$I$10:$I$23)</f>
        <v>0</v>
      </c>
      <c r="J27" s="232">
        <f ca="1">SUMIF($G$10:$G$23,$G$27,$J$10:$J$23)</f>
        <v>0</v>
      </c>
      <c r="K27" s="232">
        <f ca="1">SUMIF($G$10:$G$23,$G$27,$K$10:$K$23)</f>
        <v>0</v>
      </c>
      <c r="L27" s="232">
        <f ca="1">SUMIF($G$10:$G$23,$G$27,$L$10:$L$23)</f>
        <v>0</v>
      </c>
      <c r="M27" s="232">
        <f ca="1">SUMIF($G$10:$G$23,$G$27,$M$10:$M$23)</f>
        <v>0</v>
      </c>
      <c r="N27" s="232">
        <f ca="1">SUMIF($G$10:$G$23,$G$27,$N$10:$N$23)</f>
        <v>0</v>
      </c>
      <c r="O27" s="232">
        <f ca="1">SUMIF($G$10:$G$23,$G$27,$O$10:$O$23)</f>
        <v>-21220763.74039967</v>
      </c>
      <c r="P27" s="232">
        <f ca="1">SUMIF($G$10:$G$23,$G$27,$P$10:$P$23)</f>
        <v>-22325642.116011757</v>
      </c>
      <c r="Q27" s="232">
        <f ca="1">SUMIF($G$10:$G$23,$G$27,$Q$10:$Q$23)</f>
        <v>-15976724.775329426</v>
      </c>
      <c r="R27" s="232">
        <f ca="1">SUMIF($G$10:$G$23,$G$27,$R$10:$R$23)</f>
        <v>-57294638.107758366</v>
      </c>
      <c r="S27" s="232">
        <f ca="1">SUMIF($G$10:$G$23,$G$27,$S$10:$S$23)</f>
        <v>0</v>
      </c>
      <c r="T27" s="232">
        <f ca="1">SUMIF($G$10:$G$23,$G$27,$T$10:$T$23)</f>
        <v>0</v>
      </c>
      <c r="V27" s="627"/>
    </row>
    <row r="28" spans="3:29" x14ac:dyDescent="0.25">
      <c r="G28" s="231" t="s">
        <v>266</v>
      </c>
      <c r="H28" s="232">
        <f ca="1">SUMIF($G$10:$G$23,$G$28,$H$10:$H$23)</f>
        <v>0</v>
      </c>
      <c r="I28" s="232">
        <f ca="1">SUMIF($G$10:$G$23,$G$28,$I$10:$I$23)</f>
        <v>0</v>
      </c>
      <c r="J28" s="232">
        <f ca="1">SUMIF($G$10:$G$23,$G$28,$J$10:$J$23)</f>
        <v>0</v>
      </c>
      <c r="K28" s="232">
        <f ca="1">SUMIF($G$10:$G$23,$G$28,$K$10:$K$23)</f>
        <v>0</v>
      </c>
      <c r="L28" s="232">
        <f ca="1">SUMIF($G$10:$G$23,$G$28,$L$10:$L$23)</f>
        <v>0</v>
      </c>
      <c r="M28" s="232">
        <f ca="1">SUMIF($G$10:$G$23,$G$28,$M$10:$M$23)</f>
        <v>0</v>
      </c>
      <c r="N28" s="232">
        <f ca="1">SUMIF($G$10:$G$23,$G$28,$N$10:$N$23)</f>
        <v>0</v>
      </c>
      <c r="O28" s="232">
        <f ca="1">SUMIF($G$10:$G$23,$G$28,$O$10:$O$23)</f>
        <v>21038577.028332077</v>
      </c>
      <c r="P28" s="232">
        <f ca="1">SUMIF($G$10:$G$23,$G$28,$P$10:$P$23)</f>
        <v>20625379.007229328</v>
      </c>
      <c r="Q28" s="232">
        <f ca="1">SUMIF($G$10:$G$23,$G$28,$Q$10:$Q$23)</f>
        <v>19082926.95092696</v>
      </c>
      <c r="R28" s="232">
        <f ca="1">SUMIF($G$10:$G$23,$G$28,$R$10:$R$23)</f>
        <v>69190920.755835816</v>
      </c>
      <c r="S28" s="232">
        <f ca="1">SUMIF($G$10:$G$23,$G$28,$S$10:$S$23)</f>
        <v>0</v>
      </c>
      <c r="T28" s="232">
        <f ca="1">SUMIF($G$10:$G$23,$G$28,$T$10:$T$23)</f>
        <v>0</v>
      </c>
      <c r="V28" s="627"/>
    </row>
    <row r="29" spans="3:29" x14ac:dyDescent="0.25">
      <c r="G29" s="231" t="s">
        <v>256</v>
      </c>
      <c r="H29" s="232">
        <f ca="1">SUMIF($G$10:$G$23,$G$29,$H$10:$H$23)</f>
        <v>0</v>
      </c>
      <c r="I29" s="232">
        <f ca="1">SUMIF($G$10:$G$23,$G$29,$I$10:$I$23)</f>
        <v>0</v>
      </c>
      <c r="J29" s="232">
        <f ca="1">SUMIF($G$10:$G$23,$G$29,$J$10:$J$23)</f>
        <v>0</v>
      </c>
      <c r="K29" s="232">
        <f ca="1">SUMIF($G$10:$G$23,$G$29,$K$10:$K$23)</f>
        <v>0</v>
      </c>
      <c r="L29" s="232">
        <f ca="1">SUMIF($G$10:$G$23,$G$29,$L$10:$L$23)</f>
        <v>0</v>
      </c>
      <c r="M29" s="232">
        <f ca="1">SUMIF($G$10:$G$23,$G$29,$M$10:$M$23)</f>
        <v>0</v>
      </c>
      <c r="N29" s="232">
        <f ca="1">SUMIF($G$10:$G$23,$G$29,$N$10:$N$23)</f>
        <v>0</v>
      </c>
      <c r="O29" s="232">
        <f ca="1">SUMIF($G$10:$G$23,$G$29,$O$10:$O$23)</f>
        <v>-3517931.3802574254</v>
      </c>
      <c r="P29" s="232">
        <f ca="1">SUMIF($G$10:$G$23,$G$29,$P$10:$P$23)</f>
        <v>-3352110.3804991404</v>
      </c>
      <c r="Q29" s="232">
        <f ca="1">SUMIF($G$10:$G$23,$G$29,$Q$10:$Q$23)</f>
        <v>-3176137.9966882542</v>
      </c>
      <c r="R29" s="232">
        <f ca="1">SUMIF($G$10:$G$23,$G$29,$R$10:$R$23)</f>
        <v>-12055762.855331728</v>
      </c>
      <c r="S29" s="232">
        <f ca="1">SUMIF($G$10:$G$23,$G$29,$S$10:$S$23)</f>
        <v>0</v>
      </c>
      <c r="T29" s="232">
        <f ca="1">SUMIF($G$10:$G$23,$G$29,$T$10:$T$23)</f>
        <v>0</v>
      </c>
      <c r="V29" s="627"/>
    </row>
    <row r="30" spans="3:29" x14ac:dyDescent="0.25">
      <c r="G30" s="231" t="s">
        <v>688</v>
      </c>
      <c r="H30" s="232">
        <f ca="1">SUMIF($G$10:$G$23,$G$30,$H$10:$H$23)</f>
        <v>0</v>
      </c>
      <c r="I30" s="232">
        <f ca="1">SUMIF($G$10:$G$23,$G$30,$I$10:$I$23)</f>
        <v>0</v>
      </c>
      <c r="J30" s="232">
        <f ca="1">SUMIF($G$10:$G$23,$G$30,$J$10:$J$23)</f>
        <v>0</v>
      </c>
      <c r="K30" s="232">
        <f ca="1">SUMIF($G$10:$G$23,$G$30,$K$10:$K$23)</f>
        <v>0</v>
      </c>
      <c r="L30" s="232">
        <f ca="1">SUMIF($G$10:$G$23,$G$30,$L$10:$L$23)</f>
        <v>0</v>
      </c>
      <c r="M30" s="232">
        <f ca="1">SUMIF($G$10:$G$23,$G$30,$M$10:$M$23)</f>
        <v>0</v>
      </c>
      <c r="N30" s="232">
        <f ca="1">SUMIF($G$10:$G$23,$G$30,$N$10:$N$23)</f>
        <v>0</v>
      </c>
      <c r="O30" s="232">
        <f ca="1">SUMIF($G$10:$G$23,$G$30,$O$10:$O$23)</f>
        <v>-157836.66149338294</v>
      </c>
      <c r="P30" s="232">
        <f ca="1">SUMIF($G$10:$G$23,$G$30,$P$10:$P$23)</f>
        <v>0</v>
      </c>
      <c r="Q30" s="232">
        <f ca="1">SUMIF($G$10:$G$23,$G$30,$Q$10:$Q$23)</f>
        <v>0</v>
      </c>
      <c r="R30" s="232">
        <f ca="1">SUMIF($G$10:$G$23,$G$30,$R$10:$R$23)</f>
        <v>0</v>
      </c>
      <c r="S30" s="232">
        <f ca="1">SUMIF($G$10:$G$23,$G$30,$S$10:$S$23)</f>
        <v>0</v>
      </c>
      <c r="T30" s="232">
        <f ca="1">SUMIF($G$10:$G$23,$G$30,$T$10:$T$23)</f>
        <v>0</v>
      </c>
      <c r="V30" s="627"/>
    </row>
    <row r="31" spans="3:29" x14ac:dyDescent="0.25">
      <c r="G31" s="231" t="s">
        <v>738</v>
      </c>
      <c r="H31" s="232">
        <f ca="1">SUMIF($G$10:$G$23,$G$31,$H$10:$H$23)</f>
        <v>0</v>
      </c>
      <c r="I31" s="232">
        <f ca="1">SUMIF($G$10:$G$23,$G$31,$I$10:$I$23)</f>
        <v>0</v>
      </c>
      <c r="J31" s="232">
        <f ca="1">SUMIF($G$10:$G$23,$G$31,$J$10:$J$23)</f>
        <v>0</v>
      </c>
      <c r="K31" s="232">
        <f ca="1">SUMIF($G$10:$G$23,$G$31,$K$10:$K$23)</f>
        <v>0</v>
      </c>
      <c r="L31" s="232">
        <f ca="1">SUMIF($G$10:$G$23,$G$31,$L$10:$L$23)</f>
        <v>0</v>
      </c>
      <c r="M31" s="232">
        <f ca="1">SUMIF($G$10:$G$23,$G$31,$M$10:$M$23)</f>
        <v>0</v>
      </c>
      <c r="N31" s="232">
        <f ca="1">SUMIF($G$10:$G$23,$G$31,$N$10:$N$23)</f>
        <v>0</v>
      </c>
      <c r="O31" s="232">
        <f ca="1">SUMIF($G$10:$G$23,$G$31,$O$10:$O$23)</f>
        <v>166746.30333081784</v>
      </c>
      <c r="P31" s="232">
        <f ca="1">SUMIF($G$10:$G$23,$G$31,$P$10:$P$23)</f>
        <v>0</v>
      </c>
      <c r="Q31" s="232">
        <f ca="1">SUMIF($G$10:$G$23,$G$31,$Q$10:$Q$23)</f>
        <v>0</v>
      </c>
      <c r="R31" s="232">
        <f ca="1">SUMIF($G$10:$G$23,$G$31,$R$10:$R$23)</f>
        <v>0</v>
      </c>
      <c r="S31" s="232">
        <f ca="1">SUMIF($G$10:$G$23,$G$31,$S$10:$S$23)</f>
        <v>0</v>
      </c>
      <c r="T31" s="232">
        <f ca="1">SUMIF($G$10:$G$23,$G$31,$T$10:$T$23)</f>
        <v>0</v>
      </c>
      <c r="V31" s="627"/>
    </row>
    <row r="32" spans="3:29" x14ac:dyDescent="0.25">
      <c r="V32" s="627"/>
    </row>
    <row r="33" spans="7:22" x14ac:dyDescent="0.25">
      <c r="G33" s="252" t="s">
        <v>198</v>
      </c>
      <c r="V33" s="627"/>
    </row>
    <row r="34" spans="7:22" ht="13.8" thickBot="1" x14ac:dyDescent="0.3">
      <c r="G34" s="231" t="s">
        <v>199</v>
      </c>
      <c r="H34" s="232">
        <f ca="1">SUMIF($H$10:$H$23,"&gt;0",$H$10:$H$23)</f>
        <v>0</v>
      </c>
      <c r="I34" s="232">
        <f ca="1">SUMIF($I$10:$I$23,"&gt;0",$I$10:$I$23)</f>
        <v>0</v>
      </c>
      <c r="J34" s="232">
        <f ca="1">SUMIF($J$10:$J$23,"&gt;0",$J$10:$J$23)</f>
        <v>0</v>
      </c>
      <c r="K34" s="232">
        <f ca="1">SUMIF($K$10:$K$23,"&gt;0",$K$10:$K$23)</f>
        <v>0</v>
      </c>
      <c r="L34" s="232">
        <f ca="1">SUMIF($L$10:$L$23,"&gt;0",$L$10:$L$23)</f>
        <v>0</v>
      </c>
      <c r="M34" s="232">
        <f ca="1">SUMIF($M$10:$M$23,"&gt;0",$M$10:$M$23)</f>
        <v>0</v>
      </c>
      <c r="N34" s="232">
        <f ca="1">SUMIF($N$10:$N$23,"&gt;0",$N$10:$N$23)</f>
        <v>0</v>
      </c>
      <c r="O34" s="232">
        <f ca="1">SUMIF($O$10:$O$23,"&gt;0",$O$10:$O$23)</f>
        <v>24906616.67483779</v>
      </c>
      <c r="P34" s="232">
        <f ca="1">SUMIF($P$10:$P$23,"&gt;0",$P$10:$P$23)</f>
        <v>25655178.910955664</v>
      </c>
      <c r="Q34" s="232">
        <f ca="1">SUMIF($Q$10:$Q$23,"&gt;0",$Q$10:$Q$23)</f>
        <v>19082926.95092696</v>
      </c>
      <c r="R34" s="232">
        <f ca="1">SUMIF($R$10:$R$23,"&gt;0",$R$10:$R$23)</f>
        <v>69190920.755835816</v>
      </c>
      <c r="S34" s="232">
        <f ca="1">SUMIF($S$10:$S$23,"&gt;0",$S$10:$S$23)</f>
        <v>0</v>
      </c>
      <c r="T34" s="232">
        <f ca="1">SUMIF($T$10:$T$23,"&gt;0",$T$10:$T$23)</f>
        <v>0</v>
      </c>
      <c r="V34" s="628"/>
    </row>
    <row r="35" spans="7:22" ht="13.8" thickBot="1" x14ac:dyDescent="0.3">
      <c r="G35" s="231" t="s">
        <v>200</v>
      </c>
      <c r="H35" s="232">
        <f ca="1">SUMIF($H$10:$H$23,"&lt;0",$H$10:$H$23)</f>
        <v>0</v>
      </c>
      <c r="I35" s="232">
        <f ca="1">SUMIF($I$10:$I$23,"&lt;0",$I$10:$I$23)</f>
        <v>0</v>
      </c>
      <c r="J35" s="232">
        <f ca="1">SUMIF($J$10:$J$23,"&lt;0",$J$10:$J$23)</f>
        <v>0</v>
      </c>
      <c r="K35" s="232">
        <f ca="1">SUMIF($K$10:$K$23,"&lt;0",$K$10:$K$23)</f>
        <v>0</v>
      </c>
      <c r="L35" s="232">
        <f ca="1">SUMIF($L$10:$L$23,"&lt;0",$L$10:$L$23)</f>
        <v>0</v>
      </c>
      <c r="M35" s="232">
        <f ca="1">SUMIF($M$10:$M$23,"&lt;0",$M$10:$M$23)</f>
        <v>0</v>
      </c>
      <c r="N35" s="232">
        <f ca="1">SUMIF($N$10:$N$23,"&lt;0",$N$10:$N$23)</f>
        <v>0</v>
      </c>
      <c r="O35" s="232">
        <f ca="1">SUMIF($O$10:$O$23,"&lt;0",$O$10:$O$23)</f>
        <v>-24896531.782150477</v>
      </c>
      <c r="P35" s="232">
        <f ca="1">SUMIF($P$10:$P$23,"&lt;0",$P$10:$P$23)</f>
        <v>-25677752.496510897</v>
      </c>
      <c r="Q35" s="232">
        <f ca="1">SUMIF($Q$10:$Q$23,"&lt;0",$Q$10:$Q$23)</f>
        <v>-19152862.77201768</v>
      </c>
      <c r="R35" s="232">
        <f ca="1">SUMIF($R$10:$R$23,"&lt;0",$R$10:$R$23)</f>
        <v>-69350400.963090092</v>
      </c>
      <c r="S35" s="232">
        <f ca="1">SUMIF($S$10:$S$23,"&lt;0",$S$10:$S$23)</f>
        <v>0</v>
      </c>
      <c r="T35" s="232">
        <f ca="1">SUMIF($T$10:$T$23,"&lt;0",$T$10:$T$23)</f>
        <v>0</v>
      </c>
      <c r="V35" s="626">
        <f ca="1">SUM(V10:V34)</f>
        <v>-241904.72121289093</v>
      </c>
    </row>
  </sheetData>
  <sheetCalcPr fullCalcOnLoad="1"/>
  <mergeCells count="23">
    <mergeCell ref="C22:C23"/>
    <mergeCell ref="E22:E23"/>
    <mergeCell ref="F22:F23"/>
    <mergeCell ref="V8:V9"/>
    <mergeCell ref="C10:C11"/>
    <mergeCell ref="F10:F11"/>
    <mergeCell ref="E10:E11"/>
    <mergeCell ref="C8:C9"/>
    <mergeCell ref="C20:C21"/>
    <mergeCell ref="E20:E21"/>
    <mergeCell ref="F20:F21"/>
    <mergeCell ref="F18:F19"/>
    <mergeCell ref="E16:E17"/>
    <mergeCell ref="C16:C17"/>
    <mergeCell ref="F16:F17"/>
    <mergeCell ref="C18:C19"/>
    <mergeCell ref="E18:E19"/>
    <mergeCell ref="C12:C13"/>
    <mergeCell ref="E12:E13"/>
    <mergeCell ref="F12:F13"/>
    <mergeCell ref="C14:C15"/>
    <mergeCell ref="E14:E15"/>
    <mergeCell ref="F14:F15"/>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6"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pageSetUpPr autoPageBreaks="0" fitToPage="1"/>
  </sheetPr>
  <dimension ref="A1:AC20"/>
  <sheetViews>
    <sheetView topLeftCell="T5" zoomScale="80" workbookViewId="0">
      <selection activeCell="C7" sqref="C7:V22"/>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392" t="s">
        <v>603</v>
      </c>
    </row>
    <row r="7" spans="1:29" ht="17.399999999999999" x14ac:dyDescent="0.3">
      <c r="E7" s="253" t="str">
        <f>CONCATENATE("POSITION REPORT : ",UPPER(F3))</f>
        <v>POSITION REPORT : WEST/HOLST</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5">
      <c r="C10" s="685">
        <v>10</v>
      </c>
      <c r="E10" s="687" t="str">
        <f>GetPipeName($Z10,$AC10)</f>
        <v>EPNG</v>
      </c>
      <c r="F10" s="689" t="str">
        <f>CONCATENATE(GetRcptPoint($Z10,$AC10)," to ",GetDelPoint($Z10,$AC10))</f>
        <v>ELPO/SJ to Valero</v>
      </c>
      <c r="G10" s="243" t="str">
        <f>GetRcptBasis($Z10,$AC10)</f>
        <v>IF-ELPO/SJ Basis Mid</v>
      </c>
      <c r="H10" s="239">
        <f t="array" aca="1" ref="H10" ca="1">SUM((INDIRECT($AA10)&gt;'WestHolst Position Rpt'!H$8)*(INDIRECT($AA10)&lt;'WestHolst Position Rpt'!H$9)*(INDIRECT($AB10)))</f>
        <v>0</v>
      </c>
      <c r="I10" s="226">
        <f t="array" aca="1" ref="I10" ca="1">SUM((INDIRECT($AA10)&gt;'WestHolst Position Rpt'!I$8)*(INDIRECT($AA10)&lt;'WestHolst Position Rpt'!I$9)*(INDIRECT($AB10)))</f>
        <v>0</v>
      </c>
      <c r="J10" s="226">
        <f t="array" aca="1" ref="J10" ca="1">SUM((INDIRECT($AA10)&gt;'WestHolst Position Rpt'!J$8)*(INDIRECT($AA10)&lt;'WestHolst Position Rpt'!J$9)*(INDIRECT($AB10)))</f>
        <v>0</v>
      </c>
      <c r="K10" s="226">
        <f t="array" aca="1" ref="K10" ca="1">SUM((INDIRECT($AA10)&gt;'WestHolst Position Rpt'!K$8)*(INDIRECT($AA10)&lt;'WestHolst Position Rpt'!K$9)*(INDIRECT($AB10)))</f>
        <v>0</v>
      </c>
      <c r="L10" s="226">
        <f t="array" aca="1" ref="L10" ca="1">SUM((INDIRECT($AA10)&gt;'WestHolst Position Rpt'!L$8)*(INDIRECT($AA10)&lt;'WestHolst Position Rpt'!L$9)*(INDIRECT($AB10)))</f>
        <v>0</v>
      </c>
      <c r="M10" s="226">
        <f t="array" aca="1" ref="M10" ca="1">SUM((INDIRECT($AA10)&gt;'WestHolst Position Rpt'!M$8)*(INDIRECT($AA10)&lt;'WestHolst Position Rpt'!M$9)*(INDIRECT($AB10)))</f>
        <v>0</v>
      </c>
      <c r="N10" s="226">
        <f t="array" aca="1" ref="N10" ca="1">SUM((INDIRECT($AA10)&gt;'WestHolst Position Rpt'!N$8)*(INDIRECT($AA10)&lt;'WestHolst Position Rpt'!N$9)*(INDIRECT($AB10)))</f>
        <v>0</v>
      </c>
      <c r="O10" s="226">
        <f t="array" aca="1" ref="O10" ca="1">SUM((INDIRECT($AA10)&gt;'WestHolst Position Rpt'!O$8)*(INDIRECT($AA10)&lt;'WestHolst Position Rpt'!O$9)*(INDIRECT($AB10)))</f>
        <v>-2342551.9828344043</v>
      </c>
      <c r="P10" s="226">
        <f t="array" aca="1" ref="P10" ca="1">SUM((INDIRECT($AA10)&gt;'WestHolst Position Rpt'!P$8)*(INDIRECT($AA10)&lt;'WestHolst Position Rpt'!P$9)*(INDIRECT($AB10)))</f>
        <v>0</v>
      </c>
      <c r="Q10" s="226">
        <f t="array" aca="1" ref="Q10" ca="1">SUM((INDIRECT($AA10)&gt;'WestHolst Position Rpt'!Q$8)*(INDIRECT($AA10)&lt;'WestHolst Position Rpt'!Q$9)*(INDIRECT($AB10)))</f>
        <v>0</v>
      </c>
      <c r="R10" s="226">
        <f t="array" aca="1" ref="R10" ca="1">SUM((INDIRECT($AA10)&gt;'WestHolst Position Rpt'!R$8)*(INDIRECT($AA10)&lt;'WestHolst Position Rpt'!R$9)*(INDIRECT($AB10)))</f>
        <v>0</v>
      </c>
      <c r="S10" s="226">
        <f t="array" aca="1" ref="S10" ca="1">SUM((INDIRECT($AA10)&gt;'WestHolst Position Rpt'!S$8)*(INDIRECT($AA10)&lt;'WestHolst Position Rpt'!S$9)*(INDIRECT($AB10)))</f>
        <v>0</v>
      </c>
      <c r="T10" s="227">
        <f t="array" aca="1" ref="T10" ca="1">SUM((INDIRECT($AA10)&gt;'WestHolst Position Rpt'!T$8)*(INDIRECT($AA10)&lt;'WestHolst Position Rpt'!T$9)*(INDIRECT($AB10)))</f>
        <v>0</v>
      </c>
      <c r="V10" s="245">
        <f ca="1">SUM(H10:T10)</f>
        <v>-2342551.9828344043</v>
      </c>
      <c r="Y10" s="236" t="str">
        <f>GetWorkSheet($C10)</f>
        <v>LongTerm10</v>
      </c>
      <c r="Z10" s="303" t="str">
        <f>FetchDBPage(Y10)</f>
        <v>Contract DB (West)</v>
      </c>
      <c r="AA10" s="236" t="str">
        <f>IF(NOT($Y10="#VALUE#"),CONCATENATE($Y10,"!",GetDateStart($Y10),":",GetDateEnd($Y10)),"")</f>
        <v>LongTerm10!$D$22:$D$35</v>
      </c>
      <c r="AB10" s="236" t="str">
        <f>IF(NOT($Y10="#VALUE#"),CONCATENATE($Y10,"!",GetReceiptStart($Y10),":",GetReceiptEnd($Y10)),"")</f>
        <v>LongTerm10!$S$22:$S$35</v>
      </c>
      <c r="AC10" s="236">
        <f>GetRecNdx($Z10,$C10)</f>
        <v>2</v>
      </c>
    </row>
    <row r="11" spans="1:29" x14ac:dyDescent="0.25">
      <c r="C11" s="686"/>
      <c r="E11" s="688"/>
      <c r="F11" s="690"/>
      <c r="G11" s="244" t="str">
        <f>GetDelBasis($Z10,$AC11)</f>
        <v>IF-WAHA-TX Basis Mid</v>
      </c>
      <c r="H11" s="240">
        <f t="array" aca="1" ref="H11" ca="1">SUM((INDIRECT($AA11)&gt;'WestHolst Position Rpt'!H$8)*(INDIRECT($AA11)&lt;'WestHolst Position Rpt'!H$9)*(INDIRECT($AB11)))</f>
        <v>0</v>
      </c>
      <c r="I11" s="228">
        <f t="array" aca="1" ref="I11" ca="1">SUM((INDIRECT($AA11)&gt;'WestHolst Position Rpt'!I$8)*(INDIRECT($AA11)&lt;'WestHolst Position Rpt'!I$9)*(INDIRECT($AB11)))</f>
        <v>0</v>
      </c>
      <c r="J11" s="228">
        <f t="array" aca="1" ref="J11" ca="1">SUM((INDIRECT($AA11)&gt;'WestHolst Position Rpt'!J$8)*(INDIRECT($AA11)&lt;'WestHolst Position Rpt'!J$9)*(INDIRECT($AB11)))</f>
        <v>0</v>
      </c>
      <c r="K11" s="228">
        <f t="array" aca="1" ref="K11" ca="1">SUM((INDIRECT($AA11)&gt;'WestHolst Position Rpt'!K$8)*(INDIRECT($AA11)&lt;'WestHolst Position Rpt'!K$9)*(INDIRECT($AB11)))</f>
        <v>0</v>
      </c>
      <c r="L11" s="228">
        <f t="array" aca="1" ref="L11" ca="1">SUM((INDIRECT($AA11)&gt;'WestHolst Position Rpt'!L$8)*(INDIRECT($AA11)&lt;'WestHolst Position Rpt'!L$9)*(INDIRECT($AB11)))</f>
        <v>0</v>
      </c>
      <c r="M11" s="228">
        <f t="array" aca="1" ref="M11" ca="1">SUM((INDIRECT($AA11)&gt;'WestHolst Position Rpt'!M$8)*(INDIRECT($AA11)&lt;'WestHolst Position Rpt'!M$9)*(INDIRECT($AB11)))</f>
        <v>0</v>
      </c>
      <c r="N11" s="228">
        <f t="array" aca="1" ref="N11" ca="1">SUM((INDIRECT($AA11)&gt;'WestHolst Position Rpt'!N$8)*(INDIRECT($AA11)&lt;'WestHolst Position Rpt'!N$9)*(INDIRECT($AB11)))</f>
        <v>0</v>
      </c>
      <c r="O11" s="228">
        <f t="array" aca="1" ref="O11" ca="1">SUM((INDIRECT($AA11)&gt;'WestHolst Position Rpt'!O$8)*(INDIRECT($AA11)&lt;'WestHolst Position Rpt'!O$9)*(INDIRECT($AB11)))</f>
        <v>2330053.7199478569</v>
      </c>
      <c r="P11" s="228">
        <f t="array" aca="1" ref="P11" ca="1">SUM((INDIRECT($AA11)&gt;'WestHolst Position Rpt'!P$8)*(INDIRECT($AA11)&lt;'WestHolst Position Rpt'!P$9)*(INDIRECT($AB11)))</f>
        <v>0</v>
      </c>
      <c r="Q11" s="228">
        <f t="array" aca="1" ref="Q11" ca="1">SUM((INDIRECT($AA11)&gt;'WestHolst Position Rpt'!Q$8)*(INDIRECT($AA11)&lt;'WestHolst Position Rpt'!Q$9)*(INDIRECT($AB11)))</f>
        <v>0</v>
      </c>
      <c r="R11" s="228">
        <f t="array" aca="1" ref="R11" ca="1">SUM((INDIRECT($AA11)&gt;'WestHolst Position Rpt'!R$8)*(INDIRECT($AA11)&lt;'WestHolst Position Rpt'!R$9)*(INDIRECT($AB11)))</f>
        <v>0</v>
      </c>
      <c r="S11" s="228">
        <f t="array" aca="1" ref="S11" ca="1">SUM((INDIRECT($AA11)&gt;'WestHolst Position Rpt'!S$8)*(INDIRECT($AA11)&lt;'WestHolst Position Rpt'!S$9)*(INDIRECT($AB11)))</f>
        <v>0</v>
      </c>
      <c r="T11" s="229">
        <f t="array" aca="1" ref="T11" ca="1">SUM((INDIRECT($AA11)&gt;'WestHolst Position Rpt'!T$8)*(INDIRECT($AA11)&lt;'WestHolst Position Rpt'!T$9)*(INDIRECT($AB11)))</f>
        <v>0</v>
      </c>
      <c r="V11" s="246">
        <f ca="1">SUM(H11:T11)</f>
        <v>2330053.7199478569</v>
      </c>
      <c r="Y11" s="236" t="str">
        <f>GetWorkSheet($C10)</f>
        <v>LongTerm10</v>
      </c>
      <c r="Z11" s="303"/>
      <c r="AA11" s="236" t="str">
        <f>IF(NOT($Y11="#VALUE#"),CONCATENATE($Y11,"!",GetDateStart($Y11),":",GetDateEnd($Y11)),"")</f>
        <v>LongTerm10!$D$22:$D$35</v>
      </c>
      <c r="AB11" s="236" t="str">
        <f>IF(NOT($Y11="#VALUE#"),CONCATENATE($Y11,"!",GetDeliveryStart($Y11),":",GetDeliveryEnd($Y11)),"")</f>
        <v>LongTerm10!$T$22:$T$35</v>
      </c>
      <c r="AC11" s="236">
        <f>GetRecNdx($Z10,$C10)</f>
        <v>2</v>
      </c>
    </row>
    <row r="14" spans="1:29" x14ac:dyDescent="0.25">
      <c r="G14" s="251" t="s">
        <v>197</v>
      </c>
    </row>
    <row r="15" spans="1:29" x14ac:dyDescent="0.25">
      <c r="G15" s="231" t="s">
        <v>250</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-2342551.9828344043</v>
      </c>
      <c r="P15" s="232">
        <f ca="1">SUMIF($G$10:$G$11,$G$15,$P$10:$P$11)</f>
        <v>0</v>
      </c>
      <c r="Q15" s="232">
        <f ca="1">SUMIF($G$10:$G$11,$G$15,$Q$10:$Q$11)</f>
        <v>0</v>
      </c>
      <c r="R15" s="232">
        <f ca="1">SUMIF($G$10:$G$11,$G$15,$R$10:$R$11)</f>
        <v>0</v>
      </c>
      <c r="S15" s="232">
        <f ca="1">SUMIF($G$10:$G$11,$G$15,$S$10:$S$11)</f>
        <v>0</v>
      </c>
      <c r="T15" s="232">
        <f ca="1">SUMIF($G$10:$G$11,$G$15,$T$10:$T$11)</f>
        <v>0</v>
      </c>
    </row>
    <row r="16" spans="1:29" x14ac:dyDescent="0.25">
      <c r="G16" s="231" t="s">
        <v>529</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2330053.7199478569</v>
      </c>
      <c r="P16" s="232">
        <f ca="1">SUMIF($G$10:$G$11,$G$16,$P$10:$P$11)</f>
        <v>0</v>
      </c>
      <c r="Q16" s="232">
        <f ca="1">SUMIF($G$10:$G$11,$G$16,$Q$10:$Q$11)</f>
        <v>0</v>
      </c>
      <c r="R16" s="232">
        <f ca="1">SUMIF($G$10:$G$11,$G$16,$R$10:$R$11)</f>
        <v>0</v>
      </c>
      <c r="S16" s="232">
        <f ca="1">SUMIF($G$10:$G$11,$G$16,$S$10:$S$11)</f>
        <v>0</v>
      </c>
      <c r="T16" s="232">
        <f ca="1">SUMIF($G$10:$G$11,$G$16,$T$10:$T$11)</f>
        <v>0</v>
      </c>
    </row>
    <row r="18" spans="7:20" x14ac:dyDescent="0.25">
      <c r="G18" s="252" t="s">
        <v>198</v>
      </c>
    </row>
    <row r="19" spans="7:20" x14ac:dyDescent="0.25">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2330053.7199478569</v>
      </c>
      <c r="P19" s="232">
        <f ca="1">SUMIF($P$10:$P$11,"&gt;0",$P$10:$P$11)</f>
        <v>0</v>
      </c>
      <c r="Q19" s="232">
        <f ca="1">SUMIF($Q$10:$Q$11,"&gt;0",$Q$10:$Q$11)</f>
        <v>0</v>
      </c>
      <c r="R19" s="232">
        <f ca="1">SUMIF($R$10:$R$11,"&gt;0",$R$10:$R$11)</f>
        <v>0</v>
      </c>
      <c r="S19" s="232">
        <f ca="1">SUMIF($S$10:$S$11,"&gt;0",$S$10:$S$11)</f>
        <v>0</v>
      </c>
      <c r="T19" s="232">
        <f ca="1">SUMIF($T$10:$T$11,"&gt;0",$T$10:$T$11)</f>
        <v>0</v>
      </c>
    </row>
    <row r="20" spans="7:20" x14ac:dyDescent="0.25">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-2342551.9828344043</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338"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AC26"/>
  <sheetViews>
    <sheetView zoomScaleNormal="100" workbookViewId="0">
      <selection activeCell="A16" sqref="A16:IV17"/>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28" width="24.44140625" style="29" bestFit="1" customWidth="1"/>
    <col min="29"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392" t="s">
        <v>800</v>
      </c>
    </row>
    <row r="7" spans="1:29" ht="17.399999999999999" x14ac:dyDescent="0.3">
      <c r="E7" s="253" t="str">
        <f>CONCATENATE("POSITION REPORT : ",UPPER(F3))</f>
        <v>POSITION REPORT : WEST/ERMIS</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5">
      <c r="C10" s="685">
        <v>84</v>
      </c>
      <c r="E10" s="687" t="str">
        <f>GetPipeName($Z10,$AC10)</f>
        <v>KERN</v>
      </c>
      <c r="F10" s="689" t="str">
        <f>CONCATENATE(GetRcptPoint($Z10,$AC10)," to ",GetDelPoint($Z10,$AC10))</f>
        <v>NWPL Rockies to Socal</v>
      </c>
      <c r="G10" s="243" t="str">
        <f>GetRcptBasis($Z10,$AC10)</f>
        <v>IF-NWPL_ROCKY_M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-2755764.650303591</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t="shared" ref="V10:V17" ca="1" si="0">SUM(H10:T10)</f>
        <v>-2755764.650303591</v>
      </c>
      <c r="Y10" s="236" t="str">
        <f>GetWorkSheet($C10)</f>
        <v>LongTerm84</v>
      </c>
      <c r="Z10" s="303" t="str">
        <f>FetchDBPage(Y10)</f>
        <v>Contract DB (West)</v>
      </c>
      <c r="AA10" s="236" t="str">
        <f t="shared" ref="AA10:AA17" si="1">IF(NOT($Y10="#VALUE#"),CONCATENATE($Y10,"!",GetDateStart($Y10),":",GetDateEnd($Y10)),"")</f>
        <v>LongTerm84!$D$22:$D$30</v>
      </c>
      <c r="AB10" s="236" t="str">
        <f>IF(NOT($Y10="#VALUE#"),CONCATENATE($Y10,"!",GetReceiptStart($Y10),":",GetReceiptEnd($Y10)),"")</f>
        <v>LongTerm84!$S$22:$S$30</v>
      </c>
      <c r="AC10" s="236">
        <f>GetRecNdx($Z10,$C10)</f>
        <v>7</v>
      </c>
    </row>
    <row r="11" spans="1:29" x14ac:dyDescent="0.25">
      <c r="C11" s="686"/>
      <c r="E11" s="688"/>
      <c r="F11" s="690"/>
      <c r="G11" s="244" t="str">
        <f>GetDelBasis($Z10,$AC11)</f>
        <v>NGI-SOCAL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2650100.6651875624</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t="shared" ca="1" si="0"/>
        <v>2650100.6651875624</v>
      </c>
      <c r="Y11" s="236" t="str">
        <f>GetWorkSheet($C10)</f>
        <v>LongTerm84</v>
      </c>
      <c r="Z11" s="303"/>
      <c r="AA11" s="236" t="str">
        <f t="shared" si="1"/>
        <v>LongTerm84!$D$22:$D$30</v>
      </c>
      <c r="AB11" s="236" t="str">
        <f>IF(NOT($Y11="#VALUE#"),CONCATENATE($Y11,"!",GetDeliveryStart($Y11),":",GetDeliveryEnd($Y11)),"")</f>
        <v>LongTerm84!$T$22:$T$30</v>
      </c>
      <c r="AC11" s="236">
        <f>GetRecNdx($Z10,$C10)</f>
        <v>7</v>
      </c>
    </row>
    <row r="12" spans="1:29" x14ac:dyDescent="0.25">
      <c r="C12" s="685">
        <v>85</v>
      </c>
      <c r="E12" s="687" t="str">
        <f>GetPipeName($Z12,$AC12)</f>
        <v>KERN</v>
      </c>
      <c r="F12" s="689" t="str">
        <f>CONCATENATE(GetRcptPoint($Z12,$AC12)," to ",GetDelPoint($Z12,$AC12))</f>
        <v>NWPL Rockies to Socal</v>
      </c>
      <c r="G12" s="243" t="str">
        <f>GetRcptBasis($Z12,$AC12)</f>
        <v>IF-NWPL_ROCKY_M Basis Mid</v>
      </c>
      <c r="H12" s="239">
        <f t="array" aca="1" ref="H12" ca="1">SUM((INDIRECT($AA12)&gt;'WestAllen Position Rpt'!H$8)*(INDIRECT($AA12)&lt;'WestAllen Position Rpt'!H$9)*(INDIRECT($AB12)))</f>
        <v>0</v>
      </c>
      <c r="I12" s="226">
        <f t="array" aca="1" ref="I12" ca="1">SUM((INDIRECT($AA12)&gt;'WestAllen Position Rpt'!I$8)*(INDIRECT($AA12)&lt;'WestAllen Position Rpt'!I$9)*(INDIRECT($AB12)))</f>
        <v>0</v>
      </c>
      <c r="J12" s="226">
        <f t="array" aca="1" ref="J12" ca="1">SUM((INDIRECT($AA12)&gt;'WestAllen Position Rpt'!J$8)*(INDIRECT($AA12)&lt;'WestAllen Position Rpt'!J$9)*(INDIRECT($AB12)))</f>
        <v>0</v>
      </c>
      <c r="K12" s="226">
        <f t="array" aca="1" ref="K12" ca="1">SUM((INDIRECT($AA12)&gt;'WestAllen Position Rpt'!K$8)*(INDIRECT($AA12)&lt;'WestAllen Position Rpt'!K$9)*(INDIRECT($AB12)))</f>
        <v>0</v>
      </c>
      <c r="L12" s="226">
        <f t="array" aca="1" ref="L12" ca="1">SUM((INDIRECT($AA12)&gt;'WestAllen Position Rpt'!L$8)*(INDIRECT($AA12)&lt;'WestAllen Position Rpt'!L$9)*(INDIRECT($AB12)))</f>
        <v>0</v>
      </c>
      <c r="M12" s="226">
        <f t="array" aca="1" ref="M12" ca="1">SUM((INDIRECT($AA12)&gt;'WestAllen Position Rpt'!M$8)*(INDIRECT($AA12)&lt;'WestAllen Position Rpt'!M$9)*(INDIRECT($AB12)))</f>
        <v>0</v>
      </c>
      <c r="N12" s="226">
        <f t="array" aca="1" ref="N12" ca="1">SUM((INDIRECT($AA12)&gt;'WestAllen Position Rpt'!N$8)*(INDIRECT($AA12)&lt;'WestAllen Position Rpt'!N$9)*(INDIRECT($AB12)))</f>
        <v>0</v>
      </c>
      <c r="O12" s="226">
        <f t="array" aca="1" ref="O12" ca="1">SUM((INDIRECT($AA12)&gt;'WestAllen Position Rpt'!O$8)*(INDIRECT($AA12)&lt;'WestAllen Position Rpt'!O$9)*(INDIRECT($AB12)))</f>
        <v>-877270.86776282929</v>
      </c>
      <c r="P12" s="226">
        <f t="array" aca="1" ref="P12" ca="1">SUM((INDIRECT($AA12)&gt;'WestAllen Position Rpt'!P$8)*(INDIRECT($AA12)&lt;'WestAllen Position Rpt'!P$9)*(INDIRECT($AB12)))</f>
        <v>-348497.21922449628</v>
      </c>
      <c r="Q12" s="226">
        <f t="array" aca="1" ref="Q12" ca="1">SUM((INDIRECT($AA12)&gt;'WestAllen Position Rpt'!Q$8)*(INDIRECT($AA12)&lt;'WestAllen Position Rpt'!Q$9)*(INDIRECT($AB12)))</f>
        <v>0</v>
      </c>
      <c r="R12" s="226">
        <f t="array" aca="1" ref="R12" ca="1">SUM((INDIRECT($AA12)&gt;'WestAllen Position Rpt'!R$8)*(INDIRECT($AA12)&lt;'WestAllen Position Rpt'!R$9)*(INDIRECT($AB12)))</f>
        <v>0</v>
      </c>
      <c r="S12" s="226">
        <f t="array" aca="1" ref="S12" ca="1">SUM((INDIRECT($AA12)&gt;'WestAllen Position Rpt'!S$8)*(INDIRECT($AA12)&lt;'WestAllen Position Rpt'!S$9)*(INDIRECT($AB12)))</f>
        <v>0</v>
      </c>
      <c r="T12" s="227">
        <f t="array" aca="1" ref="T12" ca="1">SUM((INDIRECT($AA12)&gt;'WestAllen Position Rpt'!T$8)*(INDIRECT($AA12)&lt;'WestAllen Position Rpt'!T$9)*(INDIRECT($AB12)))</f>
        <v>0</v>
      </c>
      <c r="V12" s="245">
        <f t="shared" ca="1" si="0"/>
        <v>-1225768.0869873255</v>
      </c>
      <c r="Y12" s="236" t="str">
        <f>GetWorkSheet($C12)</f>
        <v>LongTerm85</v>
      </c>
      <c r="Z12" s="303" t="str">
        <f>FetchDBPage(Y12)</f>
        <v>Contract DB (West)</v>
      </c>
      <c r="AA12" s="236" t="str">
        <f t="shared" si="1"/>
        <v>LongTerm85!$D$22:$D$33</v>
      </c>
      <c r="AB12" s="236" t="str">
        <f>IF(NOT($Y12="#VALUE#"),CONCATENATE($Y12,"!",GetReceiptStart($Y12),":",GetReceiptEnd($Y12)),"")</f>
        <v>LongTerm85!$S$22:$S$33</v>
      </c>
      <c r="AC12" s="236">
        <f>GetRecNdx($Z12,$C12)</f>
        <v>8</v>
      </c>
    </row>
    <row r="13" spans="1:29" x14ac:dyDescent="0.25">
      <c r="C13" s="686"/>
      <c r="E13" s="688"/>
      <c r="F13" s="690"/>
      <c r="G13" s="244" t="str">
        <f>GetDelBasis($Z12,$AC13)</f>
        <v>NGI-SOCAL Basis Mid</v>
      </c>
      <c r="H13" s="240">
        <f t="array" aca="1" ref="H13" ca="1">SUM((INDIRECT($AA13)&gt;'WestAllen Position Rpt'!H$8)*(INDIRECT($AA13)&lt;'WestAllen Position Rpt'!H$9)*(INDIRECT($AB13)))</f>
        <v>0</v>
      </c>
      <c r="I13" s="228">
        <f t="array" aca="1" ref="I13" ca="1">SUM((INDIRECT($AA13)&gt;'WestAllen Position Rpt'!I$8)*(INDIRECT($AA13)&lt;'WestAllen Position Rpt'!I$9)*(INDIRECT($AB13)))</f>
        <v>0</v>
      </c>
      <c r="J13" s="228">
        <f t="array" aca="1" ref="J13" ca="1">SUM((INDIRECT($AA13)&gt;'WestAllen Position Rpt'!J$8)*(INDIRECT($AA13)&lt;'WestAllen Position Rpt'!J$9)*(INDIRECT($AB13)))</f>
        <v>0</v>
      </c>
      <c r="K13" s="228">
        <f t="array" aca="1" ref="K13" ca="1">SUM((INDIRECT($AA13)&gt;'WestAllen Position Rpt'!K$8)*(INDIRECT($AA13)&lt;'WestAllen Position Rpt'!K$9)*(INDIRECT($AB13)))</f>
        <v>0</v>
      </c>
      <c r="L13" s="228">
        <f t="array" aca="1" ref="L13" ca="1">SUM((INDIRECT($AA13)&gt;'WestAllen Position Rpt'!L$8)*(INDIRECT($AA13)&lt;'WestAllen Position Rpt'!L$9)*(INDIRECT($AB13)))</f>
        <v>0</v>
      </c>
      <c r="M13" s="228">
        <f t="array" aca="1" ref="M13" ca="1">SUM((INDIRECT($AA13)&gt;'WestAllen Position Rpt'!M$8)*(INDIRECT($AA13)&lt;'WestAllen Position Rpt'!M$9)*(INDIRECT($AB13)))</f>
        <v>0</v>
      </c>
      <c r="N13" s="228">
        <f t="array" aca="1" ref="N13" ca="1">SUM((INDIRECT($AA13)&gt;'WestAllen Position Rpt'!N$8)*(INDIRECT($AA13)&lt;'WestAllen Position Rpt'!N$9)*(INDIRECT($AB13)))</f>
        <v>0</v>
      </c>
      <c r="O13" s="228">
        <f t="array" aca="1" ref="O13" ca="1">SUM((INDIRECT($AA13)&gt;'WestAllen Position Rpt'!O$8)*(INDIRECT($AA13)&lt;'WestAllen Position Rpt'!O$9)*(INDIRECT($AB13)))</f>
        <v>822880.07396438112</v>
      </c>
      <c r="P13" s="228">
        <f t="array" aca="1" ref="P13" ca="1">SUM((INDIRECT($AA13)&gt;'WestAllen Position Rpt'!P$8)*(INDIRECT($AA13)&lt;'WestAllen Position Rpt'!P$9)*(INDIRECT($AB13)))</f>
        <v>326890.39163266285</v>
      </c>
      <c r="Q13" s="228">
        <f t="array" aca="1" ref="Q13" ca="1">SUM((INDIRECT($AA13)&gt;'WestAllen Position Rpt'!Q$8)*(INDIRECT($AA13)&lt;'WestAllen Position Rpt'!Q$9)*(INDIRECT($AB13)))</f>
        <v>0</v>
      </c>
      <c r="R13" s="228">
        <f t="array" aca="1" ref="R13" ca="1">SUM((INDIRECT($AA13)&gt;'WestAllen Position Rpt'!R$8)*(INDIRECT($AA13)&lt;'WestAllen Position Rpt'!R$9)*(INDIRECT($AB13)))</f>
        <v>0</v>
      </c>
      <c r="S13" s="228">
        <f t="array" aca="1" ref="S13" ca="1">SUM((INDIRECT($AA13)&gt;'WestAllen Position Rpt'!S$8)*(INDIRECT($AA13)&lt;'WestAllen Position Rpt'!S$9)*(INDIRECT($AB13)))</f>
        <v>0</v>
      </c>
      <c r="T13" s="229">
        <f t="array" aca="1" ref="T13" ca="1">SUM((INDIRECT($AA13)&gt;'WestAllen Position Rpt'!T$8)*(INDIRECT($AA13)&lt;'WestAllen Position Rpt'!T$9)*(INDIRECT($AB13)))</f>
        <v>0</v>
      </c>
      <c r="V13" s="246">
        <f t="shared" ca="1" si="0"/>
        <v>1149770.465597044</v>
      </c>
      <c r="Y13" s="236" t="str">
        <f>GetWorkSheet($C12)</f>
        <v>LongTerm85</v>
      </c>
      <c r="Z13" s="303"/>
      <c r="AA13" s="236" t="str">
        <f t="shared" si="1"/>
        <v>LongTerm85!$D$22:$D$33</v>
      </c>
      <c r="AB13" s="236" t="str">
        <f>IF(NOT($Y13="#VALUE#"),CONCATENATE($Y13,"!",GetDeliveryStart($Y13),":",GetDeliveryEnd($Y13)),"")</f>
        <v>LongTerm85!$T$22:$T$33</v>
      </c>
      <c r="AC13" s="236">
        <f>GetRecNdx($Z12,$C12)</f>
        <v>8</v>
      </c>
    </row>
    <row r="14" spans="1:29" x14ac:dyDescent="0.25">
      <c r="C14" s="685">
        <v>86</v>
      </c>
      <c r="E14" s="687" t="str">
        <f>GetPipeName($Z14,$AC14)</f>
        <v>KERN</v>
      </c>
      <c r="F14" s="689" t="str">
        <f>CONCATENATE(GetRcptPoint($Z14,$AC14)," to ",GetDelPoint($Z14,$AC14))</f>
        <v>NWPL Rockies to Socal</v>
      </c>
      <c r="G14" s="243" t="str">
        <f>GetRcptBasis($Z14,$AC14)</f>
        <v>IF-NWPL_ROCKY_M Basis Mid</v>
      </c>
      <c r="H14" s="239">
        <f t="array" aca="1" ref="H14" ca="1">SUM((INDIRECT($AA14)&gt;'WestAllen Position Rpt'!H$8)*(INDIRECT($AA14)&lt;'WestAllen Position Rpt'!H$9)*(INDIRECT($AB14)))</f>
        <v>0</v>
      </c>
      <c r="I14" s="226">
        <f t="array" aca="1" ref="I14" ca="1">SUM((INDIRECT($AA14)&gt;'WestAllen Position Rpt'!I$8)*(INDIRECT($AA14)&lt;'WestAllen Position Rpt'!I$9)*(INDIRECT($AB14)))</f>
        <v>0</v>
      </c>
      <c r="J14" s="226">
        <f t="array" aca="1" ref="J14" ca="1">SUM((INDIRECT($AA14)&gt;'WestAllen Position Rpt'!J$8)*(INDIRECT($AA14)&lt;'WestAllen Position Rpt'!J$9)*(INDIRECT($AB14)))</f>
        <v>0</v>
      </c>
      <c r="K14" s="226">
        <f t="array" aca="1" ref="K14" ca="1">SUM((INDIRECT($AA14)&gt;'WestAllen Position Rpt'!K$8)*(INDIRECT($AA14)&lt;'WestAllen Position Rpt'!K$9)*(INDIRECT($AB14)))</f>
        <v>0</v>
      </c>
      <c r="L14" s="226">
        <f t="array" aca="1" ref="L14" ca="1">SUM((INDIRECT($AA14)&gt;'WestAllen Position Rpt'!L$8)*(INDIRECT($AA14)&lt;'WestAllen Position Rpt'!L$9)*(INDIRECT($AB14)))</f>
        <v>0</v>
      </c>
      <c r="M14" s="226">
        <f t="array" aca="1" ref="M14" ca="1">SUM((INDIRECT($AA14)&gt;'WestAllen Position Rpt'!M$8)*(INDIRECT($AA14)&lt;'WestAllen Position Rpt'!M$9)*(INDIRECT($AB14)))</f>
        <v>0</v>
      </c>
      <c r="N14" s="226">
        <f t="array" aca="1" ref="N14" ca="1">SUM((INDIRECT($AA14)&gt;'WestAllen Position Rpt'!N$8)*(INDIRECT($AA14)&lt;'WestAllen Position Rpt'!N$9)*(INDIRECT($AB14)))</f>
        <v>0</v>
      </c>
      <c r="O14" s="226">
        <f t="array" aca="1" ref="O14" ca="1">SUM((INDIRECT($AA14)&gt;'WestAllen Position Rpt'!O$8)*(INDIRECT($AA14)&lt;'WestAllen Position Rpt'!O$9)*(INDIRECT($AB14)))</f>
        <v>-416176.70229074644</v>
      </c>
      <c r="P14" s="226">
        <f t="array" aca="1" ref="P14" ca="1">SUM((INDIRECT($AA14)&gt;'WestAllen Position Rpt'!P$8)*(INDIRECT($AA14)&lt;'WestAllen Position Rpt'!P$9)*(INDIRECT($AB14)))</f>
        <v>0</v>
      </c>
      <c r="Q14" s="226">
        <f t="array" aca="1" ref="Q14" ca="1">SUM((INDIRECT($AA14)&gt;'WestAllen Position Rpt'!Q$8)*(INDIRECT($AA14)&lt;'WestAllen Position Rpt'!Q$9)*(INDIRECT($AB14)))</f>
        <v>0</v>
      </c>
      <c r="R14" s="226">
        <f t="array" aca="1" ref="R14" ca="1">SUM((INDIRECT($AA14)&gt;'WestAllen Position Rpt'!R$8)*(INDIRECT($AA14)&lt;'WestAllen Position Rpt'!R$9)*(INDIRECT($AB14)))</f>
        <v>0</v>
      </c>
      <c r="S14" s="226">
        <f t="array" aca="1" ref="S14" ca="1">SUM((INDIRECT($AA14)&gt;'WestAllen Position Rpt'!S$8)*(INDIRECT($AA14)&lt;'WestAllen Position Rpt'!S$9)*(INDIRECT($AB14)))</f>
        <v>0</v>
      </c>
      <c r="T14" s="227">
        <f t="array" aca="1" ref="T14" ca="1">SUM((INDIRECT($AA14)&gt;'WestAllen Position Rpt'!T$8)*(INDIRECT($AA14)&lt;'WestAllen Position Rpt'!T$9)*(INDIRECT($AB14)))</f>
        <v>0</v>
      </c>
      <c r="V14" s="245">
        <f t="shared" ca="1" si="0"/>
        <v>-416176.70229074644</v>
      </c>
      <c r="Y14" s="236" t="str">
        <f>GetWorkSheet($C14)</f>
        <v>LongTerm86</v>
      </c>
      <c r="Z14" s="303" t="str">
        <f>FetchDBPage(Y14)</f>
        <v>Contract DB (West)</v>
      </c>
      <c r="AA14" s="236" t="str">
        <f t="shared" si="1"/>
        <v>LongTerm86!$D$22:$D$30</v>
      </c>
      <c r="AB14" s="236" t="str">
        <f>IF(NOT($Y14="#VALUE#"),CONCATENATE($Y14,"!",GetReceiptStart($Y14),":",GetReceiptEnd($Y14)),"")</f>
        <v>LongTerm86!$S$22:$S$30</v>
      </c>
      <c r="AC14" s="236">
        <f>GetRecNdx($Z14,$C14)</f>
        <v>9</v>
      </c>
    </row>
    <row r="15" spans="1:29" x14ac:dyDescent="0.25">
      <c r="C15" s="686"/>
      <c r="E15" s="688"/>
      <c r="F15" s="690"/>
      <c r="G15" s="244" t="str">
        <f>GetDelBasis($Z14,$AC15)</f>
        <v>NGI-SOCAL Basis Mid</v>
      </c>
      <c r="H15" s="240">
        <f t="array" aca="1" ref="H15" ca="1">SUM((INDIRECT($AA15)&gt;'WestAllen Position Rpt'!H$8)*(INDIRECT($AA15)&lt;'WestAllen Position Rpt'!H$9)*(INDIRECT($AB15)))</f>
        <v>0</v>
      </c>
      <c r="I15" s="228">
        <f t="array" aca="1" ref="I15" ca="1">SUM((INDIRECT($AA15)&gt;'WestAllen Position Rpt'!I$8)*(INDIRECT($AA15)&lt;'WestAllen Position Rpt'!I$9)*(INDIRECT($AB15)))</f>
        <v>0</v>
      </c>
      <c r="J15" s="228">
        <f t="array" aca="1" ref="J15" ca="1">SUM((INDIRECT($AA15)&gt;'WestAllen Position Rpt'!J$8)*(INDIRECT($AA15)&lt;'WestAllen Position Rpt'!J$9)*(INDIRECT($AB15)))</f>
        <v>0</v>
      </c>
      <c r="K15" s="228">
        <f t="array" aca="1" ref="K15" ca="1">SUM((INDIRECT($AA15)&gt;'WestAllen Position Rpt'!K$8)*(INDIRECT($AA15)&lt;'WestAllen Position Rpt'!K$9)*(INDIRECT($AB15)))</f>
        <v>0</v>
      </c>
      <c r="L15" s="228">
        <f t="array" aca="1" ref="L15" ca="1">SUM((INDIRECT($AA15)&gt;'WestAllen Position Rpt'!L$8)*(INDIRECT($AA15)&lt;'WestAllen Position Rpt'!L$9)*(INDIRECT($AB15)))</f>
        <v>0</v>
      </c>
      <c r="M15" s="228">
        <f t="array" aca="1" ref="M15" ca="1">SUM((INDIRECT($AA15)&gt;'WestAllen Position Rpt'!M$8)*(INDIRECT($AA15)&lt;'WestAllen Position Rpt'!M$9)*(INDIRECT($AB15)))</f>
        <v>0</v>
      </c>
      <c r="N15" s="228">
        <f t="array" aca="1" ref="N15" ca="1">SUM((INDIRECT($AA15)&gt;'WestAllen Position Rpt'!N$8)*(INDIRECT($AA15)&lt;'WestAllen Position Rpt'!N$9)*(INDIRECT($AB15)))</f>
        <v>0</v>
      </c>
      <c r="O15" s="228">
        <f t="array" aca="1" ref="O15" ca="1">SUM((INDIRECT($AA15)&gt;'WestAllen Position Rpt'!O$8)*(INDIRECT($AA15)&lt;'WestAllen Position Rpt'!O$9)*(INDIRECT($AB15)))</f>
        <v>400219.28413036652</v>
      </c>
      <c r="P15" s="228">
        <f t="array" aca="1" ref="P15" ca="1">SUM((INDIRECT($AA15)&gt;'WestAllen Position Rpt'!P$8)*(INDIRECT($AA15)&lt;'WestAllen Position Rpt'!P$9)*(INDIRECT($AB15)))</f>
        <v>0</v>
      </c>
      <c r="Q15" s="228">
        <f t="array" aca="1" ref="Q15" ca="1">SUM((INDIRECT($AA15)&gt;'WestAllen Position Rpt'!Q$8)*(INDIRECT($AA15)&lt;'WestAllen Position Rpt'!Q$9)*(INDIRECT($AB15)))</f>
        <v>0</v>
      </c>
      <c r="R15" s="228">
        <f t="array" aca="1" ref="R15" ca="1">SUM((INDIRECT($AA15)&gt;'WestAllen Position Rpt'!R$8)*(INDIRECT($AA15)&lt;'WestAllen Position Rpt'!R$9)*(INDIRECT($AB15)))</f>
        <v>0</v>
      </c>
      <c r="S15" s="228">
        <f t="array" aca="1" ref="S15" ca="1">SUM((INDIRECT($AA15)&gt;'WestAllen Position Rpt'!S$8)*(INDIRECT($AA15)&lt;'WestAllen Position Rpt'!S$9)*(INDIRECT($AB15)))</f>
        <v>0</v>
      </c>
      <c r="T15" s="229">
        <f t="array" aca="1" ref="T15" ca="1">SUM((INDIRECT($AA15)&gt;'WestAllen Position Rpt'!T$8)*(INDIRECT($AA15)&lt;'WestAllen Position Rpt'!T$9)*(INDIRECT($AB15)))</f>
        <v>0</v>
      </c>
      <c r="V15" s="246">
        <f t="shared" ca="1" si="0"/>
        <v>400219.28413036652</v>
      </c>
      <c r="Y15" s="236" t="str">
        <f>GetWorkSheet($C14)</f>
        <v>LongTerm86</v>
      </c>
      <c r="Z15" s="303"/>
      <c r="AA15" s="236" t="str">
        <f t="shared" si="1"/>
        <v>LongTerm86!$D$22:$D$30</v>
      </c>
      <c r="AB15" s="236" t="str">
        <f>IF(NOT($Y15="#VALUE#"),CONCATENATE($Y15,"!",GetDeliveryStart($Y15),":",GetDeliveryEnd($Y15)),"")</f>
        <v>LongTerm86!$T$22:$T$30</v>
      </c>
      <c r="AC15" s="236">
        <f>GetRecNdx($Z14,$C14)</f>
        <v>9</v>
      </c>
    </row>
    <row r="16" spans="1:29" x14ac:dyDescent="0.25">
      <c r="C16" s="685">
        <v>87</v>
      </c>
      <c r="E16" s="687" t="str">
        <f>GetPipeName($Z16,$AC16)</f>
        <v>KERN</v>
      </c>
      <c r="F16" s="689" t="str">
        <f>CONCATENATE(GetRcptPoint($Z16,$AC16)," to ",GetDelPoint($Z16,$AC16))</f>
        <v>NWPL Rockies to Socal</v>
      </c>
      <c r="G16" s="243" t="str">
        <f>GetRcptBasis($Z16,$AC16)</f>
        <v>IF-NWPL_ROCKY_M Basis Mid</v>
      </c>
      <c r="H16" s="239">
        <f t="array" aca="1" ref="H16" ca="1">SUM((INDIRECT($AA16)&gt;'WestAllen Position Rpt'!H$8)*(INDIRECT($AA16)&lt;'WestAllen Position Rpt'!H$9)*(INDIRECT($AB16)))</f>
        <v>0</v>
      </c>
      <c r="I16" s="226">
        <f t="array" aca="1" ref="I16" ca="1">SUM((INDIRECT($AA16)&gt;'WestAllen Position Rpt'!I$8)*(INDIRECT($AA16)&lt;'WestAllen Position Rpt'!I$9)*(INDIRECT($AB16)))</f>
        <v>0</v>
      </c>
      <c r="J16" s="226">
        <f t="array" aca="1" ref="J16" ca="1">SUM((INDIRECT($AA16)&gt;'WestAllen Position Rpt'!J$8)*(INDIRECT($AA16)&lt;'WestAllen Position Rpt'!J$9)*(INDIRECT($AB16)))</f>
        <v>0</v>
      </c>
      <c r="K16" s="226">
        <f t="array" aca="1" ref="K16" ca="1">SUM((INDIRECT($AA16)&gt;'WestAllen Position Rpt'!K$8)*(INDIRECT($AA16)&lt;'WestAllen Position Rpt'!K$9)*(INDIRECT($AB16)))</f>
        <v>0</v>
      </c>
      <c r="L16" s="226">
        <f t="array" aca="1" ref="L16" ca="1">SUM((INDIRECT($AA16)&gt;'WestAllen Position Rpt'!L$8)*(INDIRECT($AA16)&lt;'WestAllen Position Rpt'!L$9)*(INDIRECT($AB16)))</f>
        <v>0</v>
      </c>
      <c r="M16" s="226">
        <f t="array" aca="1" ref="M16" ca="1">SUM((INDIRECT($AA16)&gt;'WestAllen Position Rpt'!M$8)*(INDIRECT($AA16)&lt;'WestAllen Position Rpt'!M$9)*(INDIRECT($AB16)))</f>
        <v>0</v>
      </c>
      <c r="N16" s="226">
        <f t="array" aca="1" ref="N16" ca="1">SUM((INDIRECT($AA16)&gt;'WestAllen Position Rpt'!N$8)*(INDIRECT($AA16)&lt;'WestAllen Position Rpt'!N$9)*(INDIRECT($AB16)))</f>
        <v>0</v>
      </c>
      <c r="O16" s="226">
        <f t="array" aca="1" ref="O16" ca="1">SUM((INDIRECT($AA16)&gt;'WestAllen Position Rpt'!O$8)*(INDIRECT($AA16)&lt;'WestAllen Position Rpt'!O$9)*(INDIRECT($AB16)))</f>
        <v>-175454.17355256586</v>
      </c>
      <c r="P16" s="226">
        <f t="array" aca="1" ref="P16" ca="1">SUM((INDIRECT($AA16)&gt;'WestAllen Position Rpt'!P$8)*(INDIRECT($AA16)&lt;'WestAllen Position Rpt'!P$9)*(INDIRECT($AB16)))</f>
        <v>-69699.443844899259</v>
      </c>
      <c r="Q16" s="226">
        <f t="array" aca="1" ref="Q16" ca="1">SUM((INDIRECT($AA16)&gt;'WestAllen Position Rpt'!Q$8)*(INDIRECT($AA16)&lt;'WestAllen Position Rpt'!Q$9)*(INDIRECT($AB16)))</f>
        <v>0</v>
      </c>
      <c r="R16" s="226">
        <f t="array" aca="1" ref="R16" ca="1">SUM((INDIRECT($AA16)&gt;'WestAllen Position Rpt'!R$8)*(INDIRECT($AA16)&lt;'WestAllen Position Rpt'!R$9)*(INDIRECT($AB16)))</f>
        <v>0</v>
      </c>
      <c r="S16" s="226">
        <f t="array" aca="1" ref="S16" ca="1">SUM((INDIRECT($AA16)&gt;'WestAllen Position Rpt'!S$8)*(INDIRECT($AA16)&lt;'WestAllen Position Rpt'!S$9)*(INDIRECT($AB16)))</f>
        <v>0</v>
      </c>
      <c r="T16" s="227">
        <f t="array" aca="1" ref="T16" ca="1">SUM((INDIRECT($AA16)&gt;'WestAllen Position Rpt'!T$8)*(INDIRECT($AA16)&lt;'WestAllen Position Rpt'!T$9)*(INDIRECT($AB16)))</f>
        <v>0</v>
      </c>
      <c r="V16" s="245">
        <f t="shared" ca="1" si="0"/>
        <v>-245153.6173974651</v>
      </c>
      <c r="Y16" s="236" t="str">
        <f>GetWorkSheet($C16)</f>
        <v>LongTerm87</v>
      </c>
      <c r="Z16" s="303" t="str">
        <f>FetchDBPage(Y16)</f>
        <v>Contract DB (West)</v>
      </c>
      <c r="AA16" s="236" t="str">
        <f t="shared" si="1"/>
        <v>LongTerm87!$D$22:$D$33</v>
      </c>
      <c r="AB16" s="236" t="str">
        <f>IF(NOT($Y16="#VALUE#"),CONCATENATE($Y16,"!",GetReceiptStart($Y16),":",GetReceiptEnd($Y16)),"")</f>
        <v>LongTerm87!$S$22:$S$33</v>
      </c>
      <c r="AC16" s="236">
        <f>GetRecNdx($Z16,$C16)</f>
        <v>10</v>
      </c>
    </row>
    <row r="17" spans="3:29" x14ac:dyDescent="0.25">
      <c r="C17" s="686"/>
      <c r="E17" s="688"/>
      <c r="F17" s="690"/>
      <c r="G17" s="244" t="str">
        <f>GetDelBasis($Z16,$AC17)</f>
        <v>NGI-SOCAL Basis Mid</v>
      </c>
      <c r="H17" s="240">
        <f t="array" aca="1" ref="H17" ca="1">SUM((INDIRECT($AA17)&gt;'WestAllen Position Rpt'!H$8)*(INDIRECT($AA17)&lt;'WestAllen Position Rpt'!H$9)*(INDIRECT($AB17)))</f>
        <v>0</v>
      </c>
      <c r="I17" s="228">
        <f t="array" aca="1" ref="I17" ca="1">SUM((INDIRECT($AA17)&gt;'WestAllen Position Rpt'!I$8)*(INDIRECT($AA17)&lt;'WestAllen Position Rpt'!I$9)*(INDIRECT($AB17)))</f>
        <v>0</v>
      </c>
      <c r="J17" s="228">
        <f t="array" aca="1" ref="J17" ca="1">SUM((INDIRECT($AA17)&gt;'WestAllen Position Rpt'!J$8)*(INDIRECT($AA17)&lt;'WestAllen Position Rpt'!J$9)*(INDIRECT($AB17)))</f>
        <v>0</v>
      </c>
      <c r="K17" s="228">
        <f t="array" aca="1" ref="K17" ca="1">SUM((INDIRECT($AA17)&gt;'WestAllen Position Rpt'!K$8)*(INDIRECT($AA17)&lt;'WestAllen Position Rpt'!K$9)*(INDIRECT($AB17)))</f>
        <v>0</v>
      </c>
      <c r="L17" s="228">
        <f t="array" aca="1" ref="L17" ca="1">SUM((INDIRECT($AA17)&gt;'WestAllen Position Rpt'!L$8)*(INDIRECT($AA17)&lt;'WestAllen Position Rpt'!L$9)*(INDIRECT($AB17)))</f>
        <v>0</v>
      </c>
      <c r="M17" s="228">
        <f t="array" aca="1" ref="M17" ca="1">SUM((INDIRECT($AA17)&gt;'WestAllen Position Rpt'!M$8)*(INDIRECT($AA17)&lt;'WestAllen Position Rpt'!M$9)*(INDIRECT($AB17)))</f>
        <v>0</v>
      </c>
      <c r="N17" s="228">
        <f t="array" aca="1" ref="N17" ca="1">SUM((INDIRECT($AA17)&gt;'WestAllen Position Rpt'!N$8)*(INDIRECT($AA17)&lt;'WestAllen Position Rpt'!N$9)*(INDIRECT($AB17)))</f>
        <v>0</v>
      </c>
      <c r="O17" s="228">
        <f t="array" aca="1" ref="O17" ca="1">SUM((INDIRECT($AA17)&gt;'WestAllen Position Rpt'!O$8)*(INDIRECT($AA17)&lt;'WestAllen Position Rpt'!O$9)*(INDIRECT($AB17)))</f>
        <v>164576.01479287623</v>
      </c>
      <c r="P17" s="228">
        <f t="array" aca="1" ref="P17" ca="1">SUM((INDIRECT($AA17)&gt;'WestAllen Position Rpt'!P$8)*(INDIRECT($AA17)&lt;'WestAllen Position Rpt'!P$9)*(INDIRECT($AB17)))</f>
        <v>65378.078326532574</v>
      </c>
      <c r="Q17" s="228">
        <f t="array" aca="1" ref="Q17" ca="1">SUM((INDIRECT($AA17)&gt;'WestAllen Position Rpt'!Q$8)*(INDIRECT($AA17)&lt;'WestAllen Position Rpt'!Q$9)*(INDIRECT($AB17)))</f>
        <v>0</v>
      </c>
      <c r="R17" s="228">
        <f t="array" aca="1" ref="R17" ca="1">SUM((INDIRECT($AA17)&gt;'WestAllen Position Rpt'!R$8)*(INDIRECT($AA17)&lt;'WestAllen Position Rpt'!R$9)*(INDIRECT($AB17)))</f>
        <v>0</v>
      </c>
      <c r="S17" s="228">
        <f t="array" aca="1" ref="S17" ca="1">SUM((INDIRECT($AA17)&gt;'WestAllen Position Rpt'!S$8)*(INDIRECT($AA17)&lt;'WestAllen Position Rpt'!S$9)*(INDIRECT($AB17)))</f>
        <v>0</v>
      </c>
      <c r="T17" s="229">
        <f t="array" aca="1" ref="T17" ca="1">SUM((INDIRECT($AA17)&gt;'WestAllen Position Rpt'!T$8)*(INDIRECT($AA17)&lt;'WestAllen Position Rpt'!T$9)*(INDIRECT($AB17)))</f>
        <v>0</v>
      </c>
      <c r="V17" s="246">
        <f t="shared" ca="1" si="0"/>
        <v>229954.09311940882</v>
      </c>
      <c r="Y17" s="236" t="str">
        <f>GetWorkSheet($C16)</f>
        <v>LongTerm87</v>
      </c>
      <c r="Z17" s="303"/>
      <c r="AA17" s="236" t="str">
        <f t="shared" si="1"/>
        <v>LongTerm87!$D$22:$D$33</v>
      </c>
      <c r="AB17" s="236" t="str">
        <f>IF(NOT($Y17="#VALUE#"),CONCATENATE($Y17,"!",GetDeliveryStart($Y17),":",GetDeliveryEnd($Y17)),"")</f>
        <v>LongTerm87!$T$22:$T$33</v>
      </c>
      <c r="AC17" s="236">
        <f>GetRecNdx($Z16,$C16)</f>
        <v>10</v>
      </c>
    </row>
    <row r="20" spans="3:29" x14ac:dyDescent="0.25">
      <c r="G20" s="251" t="s">
        <v>197</v>
      </c>
    </row>
    <row r="21" spans="3:29" x14ac:dyDescent="0.25">
      <c r="G21" s="231" t="s">
        <v>552</v>
      </c>
      <c r="H21" s="232">
        <f ca="1">SUMIF($G$10:$G$17,$G$21,$H$10:$H$17)</f>
        <v>0</v>
      </c>
      <c r="I21" s="232">
        <f ca="1">SUMIF($G$10:$G$17,$G$21,$I$10:$I$17)</f>
        <v>0</v>
      </c>
      <c r="J21" s="232">
        <f ca="1">SUMIF($G$10:$G$17,$G$21,$J$10:$J$17)</f>
        <v>0</v>
      </c>
      <c r="K21" s="232">
        <f ca="1">SUMIF($G$10:$G$17,$G$21,$K$10:$K$17)</f>
        <v>0</v>
      </c>
      <c r="L21" s="232">
        <f ca="1">SUMIF($G$10:$G$17,$G$21,$L$10:$L$17)</f>
        <v>0</v>
      </c>
      <c r="M21" s="232">
        <f ca="1">SUMIF($G$10:$G$17,$G$21,$M$10:$M$17)</f>
        <v>0</v>
      </c>
      <c r="N21" s="232">
        <f ca="1">SUMIF($G$10:$G$17,$G$21,$N$10:$N$17)</f>
        <v>0</v>
      </c>
      <c r="O21" s="232">
        <f ca="1">SUMIF($G$10:$G$17,$G$21,$O$10:$O$17)</f>
        <v>-4224666.3939097328</v>
      </c>
      <c r="P21" s="232">
        <f ca="1">SUMIF($G$10:$G$17,$G$21,$P$10:$P$17)</f>
        <v>-418196.66306939552</v>
      </c>
      <c r="Q21" s="232">
        <f ca="1">SUMIF($G$10:$G$17,$G$21,$Q$10:$Q$17)</f>
        <v>0</v>
      </c>
      <c r="R21" s="232">
        <f ca="1">SUMIF($G$10:$G$17,$G$21,$R$10:$R$17)</f>
        <v>0</v>
      </c>
      <c r="S21" s="232">
        <f ca="1">SUMIF($G$10:$G$17,$G$21,$S$10:$S$17)</f>
        <v>0</v>
      </c>
      <c r="T21" s="232">
        <f ca="1">SUMIF($G$10:$G$17,$G$21,$T$10:$T$17)</f>
        <v>0</v>
      </c>
    </row>
    <row r="22" spans="3:29" x14ac:dyDescent="0.25">
      <c r="G22" s="231" t="s">
        <v>252</v>
      </c>
      <c r="H22" s="232">
        <f ca="1">SUMIF($G$10:$G$17,$G$22,$H$10:$H$17)</f>
        <v>0</v>
      </c>
      <c r="I22" s="232">
        <f ca="1">SUMIF($G$10:$G$17,$G$22,$I$10:$I$17)</f>
        <v>0</v>
      </c>
      <c r="J22" s="232">
        <f ca="1">SUMIF($G$10:$G$17,$G$22,$J$10:$J$17)</f>
        <v>0</v>
      </c>
      <c r="K22" s="232">
        <f ca="1">SUMIF($G$10:$G$17,$G$22,$K$10:$K$17)</f>
        <v>0</v>
      </c>
      <c r="L22" s="232">
        <f ca="1">SUMIF($G$10:$G$17,$G$22,$L$10:$L$17)</f>
        <v>0</v>
      </c>
      <c r="M22" s="232">
        <f ca="1">SUMIF($G$10:$G$17,$G$22,$M$10:$M$17)</f>
        <v>0</v>
      </c>
      <c r="N22" s="232">
        <f ca="1">SUMIF($G$10:$G$17,$G$22,$N$10:$N$17)</f>
        <v>0</v>
      </c>
      <c r="O22" s="232">
        <f ca="1">SUMIF($G$10:$G$17,$G$22,$O$10:$O$17)</f>
        <v>4037776.0380751863</v>
      </c>
      <c r="P22" s="232">
        <f ca="1">SUMIF($G$10:$G$17,$G$22,$P$10:$P$17)</f>
        <v>392268.46995919541</v>
      </c>
      <c r="Q22" s="232">
        <f ca="1">SUMIF($G$10:$G$17,$G$22,$Q$10:$Q$17)</f>
        <v>0</v>
      </c>
      <c r="R22" s="232">
        <f ca="1">SUMIF($G$10:$G$17,$G$22,$R$10:$R$17)</f>
        <v>0</v>
      </c>
      <c r="S22" s="232">
        <f ca="1">SUMIF($G$10:$G$17,$G$22,$S$10:$S$17)</f>
        <v>0</v>
      </c>
      <c r="T22" s="232">
        <f ca="1">SUMIF($G$10:$G$17,$G$22,$T$10:$T$17)</f>
        <v>0</v>
      </c>
    </row>
    <row r="24" spans="3:29" x14ac:dyDescent="0.25">
      <c r="G24" s="252" t="s">
        <v>198</v>
      </c>
    </row>
    <row r="25" spans="3:29" x14ac:dyDescent="0.25">
      <c r="G25" s="231" t="s">
        <v>199</v>
      </c>
      <c r="H25" s="232">
        <f ca="1">SUMIF($H$10:$H$17,"&gt;0",$H$10:$H$17)</f>
        <v>0</v>
      </c>
      <c r="I25" s="232">
        <f ca="1">SUMIF($I$10:$I$17,"&gt;0",$I$10:$I$17)</f>
        <v>0</v>
      </c>
      <c r="J25" s="232">
        <f ca="1">SUMIF($J$10:$J$17,"&gt;0",$J$10:$J$17)</f>
        <v>0</v>
      </c>
      <c r="K25" s="232">
        <f ca="1">SUMIF($K$10:$K$17,"&gt;0",$K$10:$K$17)</f>
        <v>0</v>
      </c>
      <c r="L25" s="232">
        <f ca="1">SUMIF($L$10:$L$17,"&gt;0",$L$10:$L$17)</f>
        <v>0</v>
      </c>
      <c r="M25" s="232">
        <f ca="1">SUMIF($M$10:$M$17,"&gt;0",$M$10:$M$17)</f>
        <v>0</v>
      </c>
      <c r="N25" s="232">
        <f ca="1">SUMIF($N$10:$N$17,"&gt;0",$N$10:$N$17)</f>
        <v>0</v>
      </c>
      <c r="O25" s="232">
        <f ca="1">SUMIF($O$10:$O$17,"&gt;0",$O$10:$O$17)</f>
        <v>4037776.0380751863</v>
      </c>
      <c r="P25" s="232">
        <f ca="1">SUMIF($P$10:$P$17,"&gt;0",$P$10:$P$17)</f>
        <v>392268.46995919541</v>
      </c>
      <c r="Q25" s="232">
        <f ca="1">SUMIF($Q$10:$Q$17,"&gt;0",$Q$10:$Q$17)</f>
        <v>0</v>
      </c>
      <c r="R25" s="232">
        <f ca="1">SUMIF($R$10:$R$17,"&gt;0",$R$10:$R$17)</f>
        <v>0</v>
      </c>
      <c r="S25" s="232">
        <f ca="1">SUMIF($S$10:$S$17,"&gt;0",$S$10:$S$17)</f>
        <v>0</v>
      </c>
      <c r="T25" s="232">
        <f ca="1">SUMIF($T$10:$T$17,"&gt;0",$T$10:$T$17)</f>
        <v>0</v>
      </c>
    </row>
    <row r="26" spans="3:29" x14ac:dyDescent="0.25">
      <c r="G26" s="231" t="s">
        <v>200</v>
      </c>
      <c r="H26" s="232">
        <f ca="1">SUMIF($H$10:$H$17,"&lt;0",$H$10:$H$17)</f>
        <v>0</v>
      </c>
      <c r="I26" s="232">
        <f ca="1">SUMIF($I$10:$I$17,"&lt;0",$I$10:$I$17)</f>
        <v>0</v>
      </c>
      <c r="J26" s="232">
        <f ca="1">SUMIF($J$10:$J$17,"&lt;0",$J$10:$J$17)</f>
        <v>0</v>
      </c>
      <c r="K26" s="232">
        <f ca="1">SUMIF($K$10:$K$17,"&lt;0",$K$10:$K$17)</f>
        <v>0</v>
      </c>
      <c r="L26" s="232">
        <f ca="1">SUMIF($L$10:$L$17,"&lt;0",$L$10:$L$17)</f>
        <v>0</v>
      </c>
      <c r="M26" s="232">
        <f ca="1">SUMIF($M$10:$M$17,"&lt;0",$M$10:$M$17)</f>
        <v>0</v>
      </c>
      <c r="N26" s="232">
        <f ca="1">SUMIF($N$10:$N$17,"&lt;0",$N$10:$N$17)</f>
        <v>0</v>
      </c>
      <c r="O26" s="232">
        <f ca="1">SUMIF($O$10:$O$17,"&lt;0",$O$10:$O$17)</f>
        <v>-4224666.3939097328</v>
      </c>
      <c r="P26" s="232">
        <f ca="1">SUMIF($P$10:$P$17,"&lt;0",$P$10:$P$17)</f>
        <v>-418196.66306939552</v>
      </c>
      <c r="Q26" s="232">
        <f ca="1">SUMIF($Q$10:$Q$17,"&lt;0",$Q$10:$Q$17)</f>
        <v>0</v>
      </c>
      <c r="R26" s="232">
        <f ca="1">SUMIF($R$10:$R$17,"&lt;0",$R$10:$R$17)</f>
        <v>0</v>
      </c>
      <c r="S26" s="232">
        <f ca="1">SUMIF($S$10:$S$17,"&lt;0",$S$10:$S$17)</f>
        <v>0</v>
      </c>
      <c r="T26" s="232">
        <f ca="1">SUMIF($T$10:$T$17,"&lt;0",$T$10:$T$17)</f>
        <v>0</v>
      </c>
    </row>
  </sheetData>
  <sheetCalcPr fullCalcOnLoad="1"/>
  <mergeCells count="14">
    <mergeCell ref="F12:F13"/>
    <mergeCell ref="C14:C15"/>
    <mergeCell ref="E14:E15"/>
    <mergeCell ref="F14:F15"/>
    <mergeCell ref="C8:C9"/>
    <mergeCell ref="V8:V9"/>
    <mergeCell ref="C10:C11"/>
    <mergeCell ref="E10:E11"/>
    <mergeCell ref="F10:F11"/>
    <mergeCell ref="C16:C17"/>
    <mergeCell ref="E16:E17"/>
    <mergeCell ref="F16:F17"/>
    <mergeCell ref="C12:C13"/>
    <mergeCell ref="E12:E13"/>
  </mergeCells>
  <phoneticPr fontId="0" type="noConversion"/>
  <pageMargins left="0.75" right="0.75" top="1" bottom="1" header="0.5" footer="0.5"/>
  <pageSetup paperSize="5" scale="43"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78177" r:id="rId4" name="Button 1">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dimension ref="A1:AC28"/>
  <sheetViews>
    <sheetView zoomScaleNormal="100" workbookViewId="0">
      <selection activeCell="C7" sqref="C7:V29"/>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28" width="24.44140625" style="29" bestFit="1" customWidth="1"/>
    <col min="29"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392" t="s">
        <v>799</v>
      </c>
    </row>
    <row r="7" spans="1:29" ht="17.399999999999999" x14ac:dyDescent="0.3">
      <c r="E7" s="253" t="str">
        <f>CONCATENATE("POSITION REPORT : ",UPPER(F3))</f>
        <v>POSITION REPORT : WEST/GRIGSBY</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5">
      <c r="C10" s="685">
        <v>9</v>
      </c>
      <c r="E10" s="687" t="str">
        <f>GetPipeName($Z10,$AC10)</f>
        <v>PGT</v>
      </c>
      <c r="F10" s="689" t="str">
        <f>CONCATENATE(GetRcptPoint($Z10,$AC10)," to ",GetDelPoint($Z10,$AC10))</f>
        <v>Kingsgate to Malin</v>
      </c>
      <c r="G10" s="243" t="str">
        <f>GetRcptBasis($Z10,$AC10)</f>
        <v>CGPR-KINGSGATE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-1988405.4580691357</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ca="1">SUM(H10:T10)</f>
        <v>-1988405.4580691357</v>
      </c>
      <c r="Y10" s="236" t="str">
        <f>GetWorkSheet($C10)</f>
        <v>LongTerm9</v>
      </c>
      <c r="Z10" s="303" t="str">
        <f>FetchDBPage(Y10)</f>
        <v>Contract DB (West)</v>
      </c>
      <c r="AA10" s="236" t="str">
        <f t="shared" ref="AA10:AA17" si="0">IF(NOT($Y10="#VALUE#"),CONCATENATE($Y10,"!",GetDateStart($Y10),":",GetDateEnd($Y10)),"")</f>
        <v>LongTerm9!$D$22:$D$34</v>
      </c>
      <c r="AB10" s="236" t="str">
        <f>IF(NOT($Y10="#VALUE#"),CONCATENATE($Y10,"!",GetReceiptStart($Y10),":",GetReceiptEnd($Y10)),"")</f>
        <v>LongTerm9!$S$22:$S$34</v>
      </c>
      <c r="AC10" s="236">
        <f>GetRecNdx($Z10,$C10)</f>
        <v>1</v>
      </c>
    </row>
    <row r="11" spans="1:29" x14ac:dyDescent="0.25">
      <c r="C11" s="686"/>
      <c r="E11" s="688"/>
      <c r="F11" s="690"/>
      <c r="G11" s="244" t="str">
        <f>GetDelBasis($Z10,$AC11)</f>
        <v>NGI-MALIN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1960700.6689367099</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ca="1">SUM(H11:T11)</f>
        <v>1960700.6689367099</v>
      </c>
      <c r="Y11" s="236" t="str">
        <f>GetWorkSheet($C10)</f>
        <v>LongTerm9</v>
      </c>
      <c r="Z11" s="303"/>
      <c r="AA11" s="236" t="str">
        <f t="shared" si="0"/>
        <v>LongTerm9!$D$22:$D$34</v>
      </c>
      <c r="AB11" s="236" t="str">
        <f>IF(NOT($Y11="#VALUE#"),CONCATENATE($Y11,"!",GetDeliveryStart($Y11),":",GetDeliveryEnd($Y11)),"")</f>
        <v>LongTerm9!$T$22:$T$34</v>
      </c>
      <c r="AC11" s="236">
        <f>GetRecNdx($Z10,$C10)</f>
        <v>1</v>
      </c>
    </row>
    <row r="12" spans="1:29" x14ac:dyDescent="0.25">
      <c r="C12" s="685">
        <v>56</v>
      </c>
      <c r="E12" s="687" t="str">
        <f>GetPipeName($Z12,$AC12)</f>
        <v>PGE</v>
      </c>
      <c r="F12" s="689" t="str">
        <f>CONCATENATE(GetRcptPoint($Z12,$AC12)," to ",GetDelPoint($Z12,$AC12))</f>
        <v>PGE/Topock to PGE City Gate</v>
      </c>
      <c r="G12" s="243" t="str">
        <f>GetRcptBasis($Z12,$AC12)</f>
        <v>NGI-SOBDR-PG&amp;E Basis Mid</v>
      </c>
      <c r="H12" s="239">
        <f t="array" aca="1" ref="H12" ca="1">SUM((INDIRECT($AA12)&gt;'WestAllen Position Rpt'!H$8)*(INDIRECT($AA12)&lt;'WestAllen Position Rpt'!H$9)*(INDIRECT($AB12)))</f>
        <v>0</v>
      </c>
      <c r="I12" s="226">
        <f t="array" aca="1" ref="I12" ca="1">SUM((INDIRECT($AA12)&gt;'WestAllen Position Rpt'!I$8)*(INDIRECT($AA12)&lt;'WestAllen Position Rpt'!I$9)*(INDIRECT($AB12)))</f>
        <v>0</v>
      </c>
      <c r="J12" s="226">
        <f t="array" aca="1" ref="J12" ca="1">SUM((INDIRECT($AA12)&gt;'WestAllen Position Rpt'!J$8)*(INDIRECT($AA12)&lt;'WestAllen Position Rpt'!J$9)*(INDIRECT($AB12)))</f>
        <v>0</v>
      </c>
      <c r="K12" s="226">
        <f t="array" aca="1" ref="K12" ca="1">SUM((INDIRECT($AA12)&gt;'WestAllen Position Rpt'!K$8)*(INDIRECT($AA12)&lt;'WestAllen Position Rpt'!K$9)*(INDIRECT($AB12)))</f>
        <v>0</v>
      </c>
      <c r="L12" s="226">
        <f t="array" aca="1" ref="L12" ca="1">SUM((INDIRECT($AA12)&gt;'WestAllen Position Rpt'!L$8)*(INDIRECT($AA12)&lt;'WestAllen Position Rpt'!L$9)*(INDIRECT($AB12)))</f>
        <v>0</v>
      </c>
      <c r="M12" s="226">
        <f t="array" aca="1" ref="M12" ca="1">SUM((INDIRECT($AA12)&gt;'WestAllen Position Rpt'!M$8)*(INDIRECT($AA12)&lt;'WestAllen Position Rpt'!M$9)*(INDIRECT($AB12)))</f>
        <v>0</v>
      </c>
      <c r="N12" s="226">
        <f t="array" aca="1" ref="N12" ca="1">SUM((INDIRECT($AA12)&gt;'WestAllen Position Rpt'!N$8)*(INDIRECT($AA12)&lt;'WestAllen Position Rpt'!N$9)*(INDIRECT($AB12)))</f>
        <v>0</v>
      </c>
      <c r="O12" s="226">
        <f t="array" aca="1" ref="O12" ca="1">SUM((INDIRECT($AA12)&gt;'WestAllen Position Rpt'!O$8)*(INDIRECT($AA12)&lt;'WestAllen Position Rpt'!O$9)*(INDIRECT($AB12)))</f>
        <v>-3391646.6235783976</v>
      </c>
      <c r="P12" s="226">
        <f t="array" aca="1" ref="P12" ca="1">SUM((INDIRECT($AA12)&gt;'WestAllen Position Rpt'!P$8)*(INDIRECT($AA12)&lt;'WestAllen Position Rpt'!P$9)*(INDIRECT($AB12)))</f>
        <v>0</v>
      </c>
      <c r="Q12" s="226">
        <f t="array" aca="1" ref="Q12" ca="1">SUM((INDIRECT($AA12)&gt;'WestAllen Position Rpt'!Q$8)*(INDIRECT($AA12)&lt;'WestAllen Position Rpt'!Q$9)*(INDIRECT($AB12)))</f>
        <v>0</v>
      </c>
      <c r="R12" s="226">
        <f t="array" aca="1" ref="R12" ca="1">SUM((INDIRECT($AA12)&gt;'WestAllen Position Rpt'!R$8)*(INDIRECT($AA12)&lt;'WestAllen Position Rpt'!R$9)*(INDIRECT($AB12)))</f>
        <v>0</v>
      </c>
      <c r="S12" s="226">
        <f t="array" aca="1" ref="S12" ca="1">SUM((INDIRECT($AA12)&gt;'WestAllen Position Rpt'!S$8)*(INDIRECT($AA12)&lt;'WestAllen Position Rpt'!S$9)*(INDIRECT($AB12)))</f>
        <v>0</v>
      </c>
      <c r="T12" s="227">
        <f t="array" aca="1" ref="T12" ca="1">SUM((INDIRECT($AA12)&gt;'WestAllen Position Rpt'!T$8)*(INDIRECT($AA12)&lt;'WestAllen Position Rpt'!T$9)*(INDIRECT($AB12)))</f>
        <v>0</v>
      </c>
      <c r="V12" s="245">
        <f t="shared" ref="V12:V17" ca="1" si="1">SUM(H12:T12)</f>
        <v>-3391646.6235783976</v>
      </c>
      <c r="Y12" s="236" t="str">
        <f>GetWorkSheet($C12)</f>
        <v>LongTerm56</v>
      </c>
      <c r="Z12" s="303" t="str">
        <f>FetchDBPage(Y12)</f>
        <v>Contract DB (West)</v>
      </c>
      <c r="AA12" s="236" t="str">
        <f t="shared" si="0"/>
        <v>LongTerm56!$D$22:$D$31</v>
      </c>
      <c r="AB12" s="236" t="str">
        <f>IF(NOT($Y12="#VALUE#"),CONCATENATE($Y12,"!",GetReceiptStart($Y12),":",GetReceiptEnd($Y12)),"")</f>
        <v>LongTerm56!$S$22:$S$31</v>
      </c>
      <c r="AC12" s="236">
        <f>GetRecNdx($Z12,$C12)</f>
        <v>3</v>
      </c>
    </row>
    <row r="13" spans="1:29" x14ac:dyDescent="0.25">
      <c r="C13" s="686"/>
      <c r="E13" s="688"/>
      <c r="F13" s="690"/>
      <c r="G13" s="244" t="str">
        <f>GetDelBasis($Z12,$AC13)</f>
        <v>NGI-PGE/CG Basis Mid</v>
      </c>
      <c r="H13" s="240">
        <f t="array" aca="1" ref="H13" ca="1">SUM((INDIRECT($AA13)&gt;'WestAllen Position Rpt'!H$8)*(INDIRECT($AA13)&lt;'WestAllen Position Rpt'!H$9)*(INDIRECT($AB13)))</f>
        <v>0</v>
      </c>
      <c r="I13" s="228">
        <f t="array" aca="1" ref="I13" ca="1">SUM((INDIRECT($AA13)&gt;'WestAllen Position Rpt'!I$8)*(INDIRECT($AA13)&lt;'WestAllen Position Rpt'!I$9)*(INDIRECT($AB13)))</f>
        <v>0</v>
      </c>
      <c r="J13" s="228">
        <f t="array" aca="1" ref="J13" ca="1">SUM((INDIRECT($AA13)&gt;'WestAllen Position Rpt'!J$8)*(INDIRECT($AA13)&lt;'WestAllen Position Rpt'!J$9)*(INDIRECT($AB13)))</f>
        <v>0</v>
      </c>
      <c r="K13" s="228">
        <f t="array" aca="1" ref="K13" ca="1">SUM((INDIRECT($AA13)&gt;'WestAllen Position Rpt'!K$8)*(INDIRECT($AA13)&lt;'WestAllen Position Rpt'!K$9)*(INDIRECT($AB13)))</f>
        <v>0</v>
      </c>
      <c r="L13" s="228">
        <f t="array" aca="1" ref="L13" ca="1">SUM((INDIRECT($AA13)&gt;'WestAllen Position Rpt'!L$8)*(INDIRECT($AA13)&lt;'WestAllen Position Rpt'!L$9)*(INDIRECT($AB13)))</f>
        <v>0</v>
      </c>
      <c r="M13" s="228">
        <f t="array" aca="1" ref="M13" ca="1">SUM((INDIRECT($AA13)&gt;'WestAllen Position Rpt'!M$8)*(INDIRECT($AA13)&lt;'WestAllen Position Rpt'!M$9)*(INDIRECT($AB13)))</f>
        <v>0</v>
      </c>
      <c r="N13" s="228">
        <f t="array" aca="1" ref="N13" ca="1">SUM((INDIRECT($AA13)&gt;'WestAllen Position Rpt'!N$8)*(INDIRECT($AA13)&lt;'WestAllen Position Rpt'!N$9)*(INDIRECT($AB13)))</f>
        <v>0</v>
      </c>
      <c r="O13" s="228">
        <f t="array" aca="1" ref="O13" ca="1">SUM((INDIRECT($AA13)&gt;'WestAllen Position Rpt'!O$8)*(INDIRECT($AA13)&lt;'WestAllen Position Rpt'!O$9)*(INDIRECT($AB13)))</f>
        <v>3419339.4622047776</v>
      </c>
      <c r="P13" s="228">
        <f t="array" aca="1" ref="P13" ca="1">SUM((INDIRECT($AA13)&gt;'WestAllen Position Rpt'!P$8)*(INDIRECT($AA13)&lt;'WestAllen Position Rpt'!P$9)*(INDIRECT($AB13)))</f>
        <v>0</v>
      </c>
      <c r="Q13" s="228">
        <f t="array" aca="1" ref="Q13" ca="1">SUM((INDIRECT($AA13)&gt;'WestAllen Position Rpt'!Q$8)*(INDIRECT($AA13)&lt;'WestAllen Position Rpt'!Q$9)*(INDIRECT($AB13)))</f>
        <v>0</v>
      </c>
      <c r="R13" s="228">
        <f t="array" aca="1" ref="R13" ca="1">SUM((INDIRECT($AA13)&gt;'WestAllen Position Rpt'!R$8)*(INDIRECT($AA13)&lt;'WestAllen Position Rpt'!R$9)*(INDIRECT($AB13)))</f>
        <v>0</v>
      </c>
      <c r="S13" s="228">
        <f t="array" aca="1" ref="S13" ca="1">SUM((INDIRECT($AA13)&gt;'WestAllen Position Rpt'!S$8)*(INDIRECT($AA13)&lt;'WestAllen Position Rpt'!S$9)*(INDIRECT($AB13)))</f>
        <v>0</v>
      </c>
      <c r="T13" s="229">
        <f t="array" aca="1" ref="T13" ca="1">SUM((INDIRECT($AA13)&gt;'WestAllen Position Rpt'!T$8)*(INDIRECT($AA13)&lt;'WestAllen Position Rpt'!T$9)*(INDIRECT($AB13)))</f>
        <v>0</v>
      </c>
      <c r="V13" s="246">
        <f t="shared" ca="1" si="1"/>
        <v>3419339.4622047776</v>
      </c>
      <c r="Y13" s="236" t="str">
        <f>GetWorkSheet($C12)</f>
        <v>LongTerm56</v>
      </c>
      <c r="Z13" s="303"/>
      <c r="AA13" s="236" t="str">
        <f t="shared" si="0"/>
        <v>LongTerm56!$D$22:$D$31</v>
      </c>
      <c r="AB13" s="236" t="str">
        <f>IF(NOT($Y13="#VALUE#"),CONCATENATE($Y13,"!",GetDeliveryStart($Y13),":",GetDeliveryEnd($Y13)),"")</f>
        <v>LongTerm56!$T$22:$T$31</v>
      </c>
      <c r="AC13" s="236">
        <f>GetRecNdx($Z12,$C12)</f>
        <v>3</v>
      </c>
    </row>
    <row r="14" spans="1:29" x14ac:dyDescent="0.25">
      <c r="C14" s="685">
        <v>57</v>
      </c>
      <c r="E14" s="687" t="str">
        <f>GetPipeName($Z14,$AC14)</f>
        <v>PGE</v>
      </c>
      <c r="F14" s="689" t="str">
        <f>CONCATENATE(GetRcptPoint($Z14,$AC14)," to ",GetDelPoint($Z14,$AC14))</f>
        <v>PGE/Topock to Kern River Station</v>
      </c>
      <c r="G14" s="243" t="str">
        <f>GetRcptBasis($Z14,$AC14)</f>
        <v>NGI-SOBDR-PG&amp;E Basis Mid</v>
      </c>
      <c r="H14" s="239">
        <f t="array" aca="1" ref="H14" ca="1">SUM((INDIRECT($AA14)&gt;'WestAllen Position Rpt'!H$8)*(INDIRECT($AA14)&lt;'WestAllen Position Rpt'!H$9)*(INDIRECT($AB14)))</f>
        <v>0</v>
      </c>
      <c r="I14" s="226">
        <f t="array" aca="1" ref="I14" ca="1">SUM((INDIRECT($AA14)&gt;'WestAllen Position Rpt'!I$8)*(INDIRECT($AA14)&lt;'WestAllen Position Rpt'!I$9)*(INDIRECT($AB14)))</f>
        <v>0</v>
      </c>
      <c r="J14" s="226">
        <f t="array" aca="1" ref="J14" ca="1">SUM((INDIRECT($AA14)&gt;'WestAllen Position Rpt'!J$8)*(INDIRECT($AA14)&lt;'WestAllen Position Rpt'!J$9)*(INDIRECT($AB14)))</f>
        <v>0</v>
      </c>
      <c r="K14" s="226">
        <f t="array" aca="1" ref="K14" ca="1">SUM((INDIRECT($AA14)&gt;'WestAllen Position Rpt'!K$8)*(INDIRECT($AA14)&lt;'WestAllen Position Rpt'!K$9)*(INDIRECT($AB14)))</f>
        <v>0</v>
      </c>
      <c r="L14" s="226">
        <f t="array" aca="1" ref="L14" ca="1">SUM((INDIRECT($AA14)&gt;'WestAllen Position Rpt'!L$8)*(INDIRECT($AA14)&lt;'WestAllen Position Rpt'!L$9)*(INDIRECT($AB14)))</f>
        <v>0</v>
      </c>
      <c r="M14" s="226">
        <f t="array" aca="1" ref="M14" ca="1">SUM((INDIRECT($AA14)&gt;'WestAllen Position Rpt'!M$8)*(INDIRECT($AA14)&lt;'WestAllen Position Rpt'!M$9)*(INDIRECT($AB14)))</f>
        <v>0</v>
      </c>
      <c r="N14" s="226">
        <f t="array" aca="1" ref="N14" ca="1">SUM((INDIRECT($AA14)&gt;'WestAllen Position Rpt'!N$8)*(INDIRECT($AA14)&lt;'WestAllen Position Rpt'!N$9)*(INDIRECT($AB14)))</f>
        <v>0</v>
      </c>
      <c r="O14" s="226">
        <f t="array" aca="1" ref="O14" ca="1">SUM((INDIRECT($AA14)&gt;'WestAllen Position Rpt'!O$8)*(INDIRECT($AA14)&lt;'WestAllen Position Rpt'!O$9)*(INDIRECT($AB14)))</f>
        <v>-1214155.1301268716</v>
      </c>
      <c r="P14" s="226">
        <f t="array" aca="1" ref="P14" ca="1">SUM((INDIRECT($AA14)&gt;'WestAllen Position Rpt'!P$8)*(INDIRECT($AA14)&lt;'WestAllen Position Rpt'!P$9)*(INDIRECT($AB14)))</f>
        <v>0</v>
      </c>
      <c r="Q14" s="226">
        <f t="array" aca="1" ref="Q14" ca="1">SUM((INDIRECT($AA14)&gt;'WestAllen Position Rpt'!Q$8)*(INDIRECT($AA14)&lt;'WestAllen Position Rpt'!Q$9)*(INDIRECT($AB14)))</f>
        <v>0</v>
      </c>
      <c r="R14" s="226">
        <f t="array" aca="1" ref="R14" ca="1">SUM((INDIRECT($AA14)&gt;'WestAllen Position Rpt'!R$8)*(INDIRECT($AA14)&lt;'WestAllen Position Rpt'!R$9)*(INDIRECT($AB14)))</f>
        <v>0</v>
      </c>
      <c r="S14" s="226">
        <f t="array" aca="1" ref="S14" ca="1">SUM((INDIRECT($AA14)&gt;'WestAllen Position Rpt'!S$8)*(INDIRECT($AA14)&lt;'WestAllen Position Rpt'!S$9)*(INDIRECT($AB14)))</f>
        <v>0</v>
      </c>
      <c r="T14" s="227">
        <f t="array" aca="1" ref="T14" ca="1">SUM((INDIRECT($AA14)&gt;'WestAllen Position Rpt'!T$8)*(INDIRECT($AA14)&lt;'WestAllen Position Rpt'!T$9)*(INDIRECT($AB14)))</f>
        <v>0</v>
      </c>
      <c r="V14" s="245">
        <f t="shared" ca="1" si="1"/>
        <v>-1214155.1301268716</v>
      </c>
      <c r="Y14" s="236" t="str">
        <f>GetWorkSheet($C14)</f>
        <v>LongTerm57</v>
      </c>
      <c r="Z14" s="303" t="str">
        <f>FetchDBPage(Y14)</f>
        <v>Contract DB (West)</v>
      </c>
      <c r="AA14" s="236" t="str">
        <f t="shared" si="0"/>
        <v>LongTerm57!$D$22:$D$28</v>
      </c>
      <c r="AB14" s="236" t="str">
        <f>IF(NOT($Y14="#VALUE#"),CONCATENATE($Y14,"!",GetReceiptStart($Y14),":",GetReceiptEnd($Y14)),"")</f>
        <v>LongTerm57!$S$22:$S$28</v>
      </c>
      <c r="AC14" s="236">
        <f>GetRecNdx($Z14,$C14)</f>
        <v>4</v>
      </c>
    </row>
    <row r="15" spans="1:29" x14ac:dyDescent="0.25">
      <c r="C15" s="686"/>
      <c r="E15" s="688"/>
      <c r="F15" s="690"/>
      <c r="G15" s="244" t="str">
        <f>GetDelBasis($Z14,$AC15)</f>
        <v>NGI-PGE/CG Basis Mid</v>
      </c>
      <c r="H15" s="240">
        <f t="array" aca="1" ref="H15" ca="1">SUM((INDIRECT($AA15)&gt;'WestAllen Position Rpt'!H$8)*(INDIRECT($AA15)&lt;'WestAllen Position Rpt'!H$9)*(INDIRECT($AB15)))</f>
        <v>0</v>
      </c>
      <c r="I15" s="228">
        <f t="array" aca="1" ref="I15" ca="1">SUM((INDIRECT($AA15)&gt;'WestAllen Position Rpt'!I$8)*(INDIRECT($AA15)&lt;'WestAllen Position Rpt'!I$9)*(INDIRECT($AB15)))</f>
        <v>0</v>
      </c>
      <c r="J15" s="228">
        <f t="array" aca="1" ref="J15" ca="1">SUM((INDIRECT($AA15)&gt;'WestAllen Position Rpt'!J$8)*(INDIRECT($AA15)&lt;'WestAllen Position Rpt'!J$9)*(INDIRECT($AB15)))</f>
        <v>0</v>
      </c>
      <c r="K15" s="228">
        <f t="array" aca="1" ref="K15" ca="1">SUM((INDIRECT($AA15)&gt;'WestAllen Position Rpt'!K$8)*(INDIRECT($AA15)&lt;'WestAllen Position Rpt'!K$9)*(INDIRECT($AB15)))</f>
        <v>0</v>
      </c>
      <c r="L15" s="228">
        <f t="array" aca="1" ref="L15" ca="1">SUM((INDIRECT($AA15)&gt;'WestAllen Position Rpt'!L$8)*(INDIRECT($AA15)&lt;'WestAllen Position Rpt'!L$9)*(INDIRECT($AB15)))</f>
        <v>0</v>
      </c>
      <c r="M15" s="228">
        <f t="array" aca="1" ref="M15" ca="1">SUM((INDIRECT($AA15)&gt;'WestAllen Position Rpt'!M$8)*(INDIRECT($AA15)&lt;'WestAllen Position Rpt'!M$9)*(INDIRECT($AB15)))</f>
        <v>0</v>
      </c>
      <c r="N15" s="228">
        <f t="array" aca="1" ref="N15" ca="1">SUM((INDIRECT($AA15)&gt;'WestAllen Position Rpt'!N$8)*(INDIRECT($AA15)&lt;'WestAllen Position Rpt'!N$9)*(INDIRECT($AB15)))</f>
        <v>0</v>
      </c>
      <c r="O15" s="228">
        <f t="array" aca="1" ref="O15" ca="1">SUM((INDIRECT($AA15)&gt;'WestAllen Position Rpt'!O$8)*(INDIRECT($AA15)&lt;'WestAllen Position Rpt'!O$9)*(INDIRECT($AB15)))</f>
        <v>1214718.8608803842</v>
      </c>
      <c r="P15" s="228">
        <f t="array" aca="1" ref="P15" ca="1">SUM((INDIRECT($AA15)&gt;'WestAllen Position Rpt'!P$8)*(INDIRECT($AA15)&lt;'WestAllen Position Rpt'!P$9)*(INDIRECT($AB15)))</f>
        <v>0</v>
      </c>
      <c r="Q15" s="228">
        <f t="array" aca="1" ref="Q15" ca="1">SUM((INDIRECT($AA15)&gt;'WestAllen Position Rpt'!Q$8)*(INDIRECT($AA15)&lt;'WestAllen Position Rpt'!Q$9)*(INDIRECT($AB15)))</f>
        <v>0</v>
      </c>
      <c r="R15" s="228">
        <f t="array" aca="1" ref="R15" ca="1">SUM((INDIRECT($AA15)&gt;'WestAllen Position Rpt'!R$8)*(INDIRECT($AA15)&lt;'WestAllen Position Rpt'!R$9)*(INDIRECT($AB15)))</f>
        <v>0</v>
      </c>
      <c r="S15" s="228">
        <f t="array" aca="1" ref="S15" ca="1">SUM((INDIRECT($AA15)&gt;'WestAllen Position Rpt'!S$8)*(INDIRECT($AA15)&lt;'WestAllen Position Rpt'!S$9)*(INDIRECT($AB15)))</f>
        <v>0</v>
      </c>
      <c r="T15" s="229">
        <f t="array" aca="1" ref="T15" ca="1">SUM((INDIRECT($AA15)&gt;'WestAllen Position Rpt'!T$8)*(INDIRECT($AA15)&lt;'WestAllen Position Rpt'!T$9)*(INDIRECT($AB15)))</f>
        <v>0</v>
      </c>
      <c r="V15" s="246">
        <f t="shared" ca="1" si="1"/>
        <v>1214718.8608803842</v>
      </c>
      <c r="Y15" s="236" t="str">
        <f>GetWorkSheet($C14)</f>
        <v>LongTerm57</v>
      </c>
      <c r="Z15" s="303"/>
      <c r="AA15" s="236" t="str">
        <f t="shared" si="0"/>
        <v>LongTerm57!$D$22:$D$28</v>
      </c>
      <c r="AB15" s="236" t="str">
        <f>IF(NOT($Y15="#VALUE#"),CONCATENATE($Y15,"!",GetDeliveryStart($Y15),":",GetDeliveryEnd($Y15)),"")</f>
        <v>LongTerm57!$T$22:$T$28</v>
      </c>
      <c r="AC15" s="236">
        <f>GetRecNdx($Z14,$C14)</f>
        <v>4</v>
      </c>
    </row>
    <row r="16" spans="1:29" x14ac:dyDescent="0.25">
      <c r="C16" s="685">
        <v>74</v>
      </c>
      <c r="E16" s="687" t="str">
        <f>GetPipeName($Z16,$AC16)</f>
        <v>PGT</v>
      </c>
      <c r="F16" s="689" t="str">
        <f>CONCATENATE(GetRcptPoint($Z16,$AC16)," to ",GetDelPoint($Z16,$AC16))</f>
        <v>Kingsgate to Malin</v>
      </c>
      <c r="G16" s="243" t="str">
        <f>GetRcptBasis($Z16,$AC16)</f>
        <v>CGPR-KINGSGATE Basis Mid</v>
      </c>
      <c r="H16" s="239">
        <f t="array" aca="1" ref="H16" ca="1">SUM((INDIRECT($AA16)&gt;'WestAllen Position Rpt'!H$8)*(INDIRECT($AA16)&lt;'WestAllen Position Rpt'!H$9)*(INDIRECT($AB16)))</f>
        <v>0</v>
      </c>
      <c r="I16" s="226">
        <f t="array" aca="1" ref="I16" ca="1">SUM((INDIRECT($AA16)&gt;'WestAllen Position Rpt'!I$8)*(INDIRECT($AA16)&lt;'WestAllen Position Rpt'!I$9)*(INDIRECT($AB16)))</f>
        <v>0</v>
      </c>
      <c r="J16" s="226">
        <f t="array" aca="1" ref="J16" ca="1">SUM((INDIRECT($AA16)&gt;'WestAllen Position Rpt'!J$8)*(INDIRECT($AA16)&lt;'WestAllen Position Rpt'!J$9)*(INDIRECT($AB16)))</f>
        <v>0</v>
      </c>
      <c r="K16" s="226">
        <f t="array" aca="1" ref="K16" ca="1">SUM((INDIRECT($AA16)&gt;'WestAllen Position Rpt'!K$8)*(INDIRECT($AA16)&lt;'WestAllen Position Rpt'!K$9)*(INDIRECT($AB16)))</f>
        <v>0</v>
      </c>
      <c r="L16" s="226">
        <f t="array" aca="1" ref="L16" ca="1">SUM((INDIRECT($AA16)&gt;'WestAllen Position Rpt'!L$8)*(INDIRECT($AA16)&lt;'WestAllen Position Rpt'!L$9)*(INDIRECT($AB16)))</f>
        <v>0</v>
      </c>
      <c r="M16" s="226">
        <f t="array" aca="1" ref="M16" ca="1">SUM((INDIRECT($AA16)&gt;'WestAllen Position Rpt'!M$8)*(INDIRECT($AA16)&lt;'WestAllen Position Rpt'!M$9)*(INDIRECT($AB16)))</f>
        <v>0</v>
      </c>
      <c r="N16" s="226">
        <f t="array" aca="1" ref="N16" ca="1">SUM((INDIRECT($AA16)&gt;'WestAllen Position Rpt'!N$8)*(INDIRECT($AA16)&lt;'WestAllen Position Rpt'!N$9)*(INDIRECT($AB16)))</f>
        <v>0</v>
      </c>
      <c r="O16" s="226">
        <f t="array" aca="1" ref="O16" ca="1">SUM((INDIRECT($AA16)&gt;'WestAllen Position Rpt'!O$8)*(INDIRECT($AA16)&lt;'WestAllen Position Rpt'!O$9)*(INDIRECT($AB16)))</f>
        <v>0</v>
      </c>
      <c r="P16" s="226">
        <f t="array" aca="1" ref="P16" ca="1">SUM((INDIRECT($AA16)&gt;'WestAllen Position Rpt'!P$8)*(INDIRECT($AA16)&lt;'WestAllen Position Rpt'!P$9)*(INDIRECT($AB16)))</f>
        <v>0</v>
      </c>
      <c r="Q16" s="226">
        <f t="array" aca="1" ref="Q16" ca="1">SUM((INDIRECT($AA16)&gt;'WestAllen Position Rpt'!Q$8)*(INDIRECT($AA16)&lt;'WestAllen Position Rpt'!Q$9)*(INDIRECT($AB16)))</f>
        <v>0</v>
      </c>
      <c r="R16" s="226">
        <f t="array" aca="1" ref="R16" ca="1">SUM((INDIRECT($AA16)&gt;'WestAllen Position Rpt'!R$8)*(INDIRECT($AA16)&lt;'WestAllen Position Rpt'!R$9)*(INDIRECT($AB16)))</f>
        <v>0</v>
      </c>
      <c r="S16" s="226">
        <f t="array" aca="1" ref="S16" ca="1">SUM((INDIRECT($AA16)&gt;'WestAllen Position Rpt'!S$8)*(INDIRECT($AA16)&lt;'WestAllen Position Rpt'!S$9)*(INDIRECT($AB16)))</f>
        <v>0</v>
      </c>
      <c r="T16" s="227">
        <f t="array" aca="1" ref="T16" ca="1">SUM((INDIRECT($AA16)&gt;'WestAllen Position Rpt'!T$8)*(INDIRECT($AA16)&lt;'WestAllen Position Rpt'!T$9)*(INDIRECT($AB16)))</f>
        <v>0</v>
      </c>
      <c r="V16" s="245">
        <f t="shared" ca="1" si="1"/>
        <v>0</v>
      </c>
      <c r="Y16" s="236" t="str">
        <f>GetWorkSheet($C16)</f>
        <v>LongTerm74</v>
      </c>
      <c r="Z16" s="303" t="str">
        <f>FetchDBPage(Y16)</f>
        <v>Contract DB (West)</v>
      </c>
      <c r="AA16" s="236" t="str">
        <f t="shared" si="0"/>
        <v>LongTerm74!$D$22:$D$28</v>
      </c>
      <c r="AB16" s="236" t="str">
        <f>IF(NOT($Y16="#VALUE#"),CONCATENATE($Y16,"!",GetReceiptStart($Y16),":",GetReceiptEnd($Y16)),"")</f>
        <v>LongTerm74!$S$22:$S$28</v>
      </c>
      <c r="AC16" s="236">
        <f>GetRecNdx($Z16,$C16)</f>
        <v>5</v>
      </c>
    </row>
    <row r="17" spans="3:29" x14ac:dyDescent="0.25">
      <c r="C17" s="686"/>
      <c r="E17" s="688"/>
      <c r="F17" s="690"/>
      <c r="G17" s="244" t="str">
        <f>GetDelBasis($Z16,$AC17)</f>
        <v>NGI-MALIN Basis Mid</v>
      </c>
      <c r="H17" s="240">
        <f t="array" aca="1" ref="H17" ca="1">SUM((INDIRECT($AA17)&gt;'WestAllen Position Rpt'!H$8)*(INDIRECT($AA17)&lt;'WestAllen Position Rpt'!H$9)*(INDIRECT($AB17)))</f>
        <v>0</v>
      </c>
      <c r="I17" s="228">
        <f t="array" aca="1" ref="I17" ca="1">SUM((INDIRECT($AA17)&gt;'WestAllen Position Rpt'!I$8)*(INDIRECT($AA17)&lt;'WestAllen Position Rpt'!I$9)*(INDIRECT($AB17)))</f>
        <v>0</v>
      </c>
      <c r="J17" s="228">
        <f t="array" aca="1" ref="J17" ca="1">SUM((INDIRECT($AA17)&gt;'WestAllen Position Rpt'!J$8)*(INDIRECT($AA17)&lt;'WestAllen Position Rpt'!J$9)*(INDIRECT($AB17)))</f>
        <v>0</v>
      </c>
      <c r="K17" s="228">
        <f t="array" aca="1" ref="K17" ca="1">SUM((INDIRECT($AA17)&gt;'WestAllen Position Rpt'!K$8)*(INDIRECT($AA17)&lt;'WestAllen Position Rpt'!K$9)*(INDIRECT($AB17)))</f>
        <v>0</v>
      </c>
      <c r="L17" s="228">
        <f t="array" aca="1" ref="L17" ca="1">SUM((INDIRECT($AA17)&gt;'WestAllen Position Rpt'!L$8)*(INDIRECT($AA17)&lt;'WestAllen Position Rpt'!L$9)*(INDIRECT($AB17)))</f>
        <v>0</v>
      </c>
      <c r="M17" s="228">
        <f t="array" aca="1" ref="M17" ca="1">SUM((INDIRECT($AA17)&gt;'WestAllen Position Rpt'!M$8)*(INDIRECT($AA17)&lt;'WestAllen Position Rpt'!M$9)*(INDIRECT($AB17)))</f>
        <v>0</v>
      </c>
      <c r="N17" s="228">
        <f t="array" aca="1" ref="N17" ca="1">SUM((INDIRECT($AA17)&gt;'WestAllen Position Rpt'!N$8)*(INDIRECT($AA17)&lt;'WestAllen Position Rpt'!N$9)*(INDIRECT($AB17)))</f>
        <v>0</v>
      </c>
      <c r="O17" s="228">
        <f t="array" aca="1" ref="O17" ca="1">SUM((INDIRECT($AA17)&gt;'WestAllen Position Rpt'!O$8)*(INDIRECT($AA17)&lt;'WestAllen Position Rpt'!O$9)*(INDIRECT($AB17)))</f>
        <v>0</v>
      </c>
      <c r="P17" s="228">
        <f t="array" aca="1" ref="P17" ca="1">SUM((INDIRECT($AA17)&gt;'WestAllen Position Rpt'!P$8)*(INDIRECT($AA17)&lt;'WestAllen Position Rpt'!P$9)*(INDIRECT($AB17)))</f>
        <v>0</v>
      </c>
      <c r="Q17" s="228">
        <f t="array" aca="1" ref="Q17" ca="1">SUM((INDIRECT($AA17)&gt;'WestAllen Position Rpt'!Q$8)*(INDIRECT($AA17)&lt;'WestAllen Position Rpt'!Q$9)*(INDIRECT($AB17)))</f>
        <v>0</v>
      </c>
      <c r="R17" s="228">
        <f t="array" aca="1" ref="R17" ca="1">SUM((INDIRECT($AA17)&gt;'WestAllen Position Rpt'!R$8)*(INDIRECT($AA17)&lt;'WestAllen Position Rpt'!R$9)*(INDIRECT($AB17)))</f>
        <v>0</v>
      </c>
      <c r="S17" s="228">
        <f t="array" aca="1" ref="S17" ca="1">SUM((INDIRECT($AA17)&gt;'WestAllen Position Rpt'!S$8)*(INDIRECT($AA17)&lt;'WestAllen Position Rpt'!S$9)*(INDIRECT($AB17)))</f>
        <v>0</v>
      </c>
      <c r="T17" s="229">
        <f t="array" aca="1" ref="T17" ca="1">SUM((INDIRECT($AA17)&gt;'WestAllen Position Rpt'!T$8)*(INDIRECT($AA17)&lt;'WestAllen Position Rpt'!T$9)*(INDIRECT($AB17)))</f>
        <v>0</v>
      </c>
      <c r="V17" s="246">
        <f t="shared" ca="1" si="1"/>
        <v>0</v>
      </c>
      <c r="Y17" s="236" t="str">
        <f>GetWorkSheet($C16)</f>
        <v>LongTerm74</v>
      </c>
      <c r="Z17" s="303"/>
      <c r="AA17" s="236" t="str">
        <f t="shared" si="0"/>
        <v>LongTerm74!$D$22:$D$28</v>
      </c>
      <c r="AB17" s="236" t="str">
        <f>IF(NOT($Y17="#VALUE#"),CONCATENATE($Y17,"!",GetDeliveryStart($Y17),":",GetDeliveryEnd($Y17)),"")</f>
        <v>LongTerm74!$T$22:$T$28</v>
      </c>
      <c r="AC17" s="236">
        <f>GetRecNdx($Z16,$C16)</f>
        <v>5</v>
      </c>
    </row>
    <row r="20" spans="3:29" x14ac:dyDescent="0.25">
      <c r="G20" s="251" t="s">
        <v>197</v>
      </c>
    </row>
    <row r="21" spans="3:29" x14ac:dyDescent="0.25">
      <c r="G21" s="231" t="s">
        <v>533</v>
      </c>
      <c r="H21" s="232">
        <f ca="1">SUMIF($G$10:$G$17,$G$21,$H$10:$H$17)</f>
        <v>0</v>
      </c>
      <c r="I21" s="232">
        <f ca="1">SUMIF($G$10:$G$17,$G$21,$I$10:$I$17)</f>
        <v>0</v>
      </c>
      <c r="J21" s="232">
        <f ca="1">SUMIF($G$10:$G$17,$G$21,$J$10:$J$17)</f>
        <v>0</v>
      </c>
      <c r="K21" s="232">
        <f ca="1">SUMIF($G$10:$G$17,$G$21,$K$10:$K$17)</f>
        <v>0</v>
      </c>
      <c r="L21" s="232">
        <f ca="1">SUMIF($G$10:$G$17,$G$21,$L$10:$L$17)</f>
        <v>0</v>
      </c>
      <c r="M21" s="232">
        <f ca="1">SUMIF($G$10:$G$17,$G$21,$M$10:$M$17)</f>
        <v>0</v>
      </c>
      <c r="N21" s="232">
        <f ca="1">SUMIF($G$10:$G$17,$G$21,$N$10:$N$17)</f>
        <v>0</v>
      </c>
      <c r="O21" s="232">
        <f ca="1">SUMIF($G$10:$G$17,$G$21,$O$10:$O$17)</f>
        <v>-1988405.4580691357</v>
      </c>
      <c r="P21" s="232">
        <f ca="1">SUMIF($G$10:$G$17,$G$21,$P$10:$P$17)</f>
        <v>0</v>
      </c>
      <c r="Q21" s="232">
        <f ca="1">SUMIF($G$10:$G$17,$G$21,$Q$10:$Q$17)</f>
        <v>0</v>
      </c>
      <c r="R21" s="232">
        <f ca="1">SUMIF($G$10:$G$17,$G$21,$R$10:$R$17)</f>
        <v>0</v>
      </c>
      <c r="S21" s="232">
        <f ca="1">SUMIF($G$10:$G$17,$G$21,$S$10:$S$17)</f>
        <v>0</v>
      </c>
      <c r="T21" s="232">
        <f ca="1">SUMIF($G$10:$G$17,$G$21,$T$10:$T$17)</f>
        <v>0</v>
      </c>
    </row>
    <row r="22" spans="3:29" x14ac:dyDescent="0.25">
      <c r="G22" s="231" t="s">
        <v>531</v>
      </c>
      <c r="H22" s="232">
        <f ca="1">SUMIF($G$10:$G$17,$G$22,$H$10:$H$17)</f>
        <v>0</v>
      </c>
      <c r="I22" s="232">
        <f ca="1">SUMIF($G$10:$G$17,$G$22,$I$10:$I$17)</f>
        <v>0</v>
      </c>
      <c r="J22" s="232">
        <f ca="1">SUMIF($G$10:$G$17,$G$22,$J$10:$J$17)</f>
        <v>0</v>
      </c>
      <c r="K22" s="232">
        <f ca="1">SUMIF($G$10:$G$17,$G$22,$K$10:$K$17)</f>
        <v>0</v>
      </c>
      <c r="L22" s="232">
        <f ca="1">SUMIF($G$10:$G$17,$G$22,$L$10:$L$17)</f>
        <v>0</v>
      </c>
      <c r="M22" s="232">
        <f ca="1">SUMIF($G$10:$G$17,$G$22,$M$10:$M$17)</f>
        <v>0</v>
      </c>
      <c r="N22" s="232">
        <f ca="1">SUMIF($G$10:$G$17,$G$22,$N$10:$N$17)</f>
        <v>0</v>
      </c>
      <c r="O22" s="232">
        <f ca="1">SUMIF($G$10:$G$17,$G$22,$O$10:$O$17)</f>
        <v>1960700.6689367099</v>
      </c>
      <c r="P22" s="232">
        <f ca="1">SUMIF($G$10:$G$17,$G$22,$P$10:$P$17)</f>
        <v>0</v>
      </c>
      <c r="Q22" s="232">
        <f ca="1">SUMIF($G$10:$G$17,$G$22,$Q$10:$Q$17)</f>
        <v>0</v>
      </c>
      <c r="R22" s="232">
        <f ca="1">SUMIF($G$10:$G$17,$G$22,$R$10:$R$17)</f>
        <v>0</v>
      </c>
      <c r="S22" s="232">
        <f ca="1">SUMIF($G$10:$G$17,$G$22,$S$10:$S$17)</f>
        <v>0</v>
      </c>
      <c r="T22" s="232">
        <f ca="1">SUMIF($G$10:$G$17,$G$22,$T$10:$T$17)</f>
        <v>0</v>
      </c>
    </row>
    <row r="23" spans="3:29" x14ac:dyDescent="0.25">
      <c r="G23" s="231" t="s">
        <v>775</v>
      </c>
      <c r="H23" s="232">
        <f ca="1">SUMIF($G$10:$G$17,$G$23,$H$10:$H$17)</f>
        <v>0</v>
      </c>
      <c r="I23" s="232">
        <f ca="1">SUMIF($G$10:$G$17,$G$23,$I$10:$I$17)</f>
        <v>0</v>
      </c>
      <c r="J23" s="232">
        <f ca="1">SUMIF($G$10:$G$17,$G$23,$J$10:$J$17)</f>
        <v>0</v>
      </c>
      <c r="K23" s="232">
        <f ca="1">SUMIF($G$10:$G$17,$G$23,$K$10:$K$17)</f>
        <v>0</v>
      </c>
      <c r="L23" s="232">
        <f ca="1">SUMIF($G$10:$G$17,$G$23,$L$10:$L$17)</f>
        <v>0</v>
      </c>
      <c r="M23" s="232">
        <f ca="1">SUMIF($G$10:$G$17,$G$23,$M$10:$M$17)</f>
        <v>0</v>
      </c>
      <c r="N23" s="232">
        <f ca="1">SUMIF($G$10:$G$17,$G$23,$N$10:$N$17)</f>
        <v>0</v>
      </c>
      <c r="O23" s="232">
        <f ca="1">SUMIF($G$10:$G$17,$G$23,$O$10:$O$17)</f>
        <v>-4605801.7537052687</v>
      </c>
      <c r="P23" s="232">
        <f ca="1">SUMIF($G$10:$G$17,$G$23,$P$10:$P$17)</f>
        <v>0</v>
      </c>
      <c r="Q23" s="232">
        <f ca="1">SUMIF($G$10:$G$17,$G$23,$Q$10:$Q$17)</f>
        <v>0</v>
      </c>
      <c r="R23" s="232">
        <f ca="1">SUMIF($G$10:$G$17,$G$23,$R$10:$R$17)</f>
        <v>0</v>
      </c>
      <c r="S23" s="232">
        <f ca="1">SUMIF($G$10:$G$17,$G$23,$S$10:$S$17)</f>
        <v>0</v>
      </c>
      <c r="T23" s="232">
        <f ca="1">SUMIF($G$10:$G$17,$G$23,$T$10:$T$17)</f>
        <v>0</v>
      </c>
    </row>
    <row r="24" spans="3:29" x14ac:dyDescent="0.25">
      <c r="G24" s="231" t="s">
        <v>555</v>
      </c>
      <c r="H24" s="232">
        <f ca="1">SUMIF($G$10:$G$17,$G$24,$H$10:$H$17)</f>
        <v>0</v>
      </c>
      <c r="I24" s="232">
        <f ca="1">SUMIF($G$10:$G$17,$G$24,$I$10:$I$17)</f>
        <v>0</v>
      </c>
      <c r="J24" s="232">
        <f ca="1">SUMIF($G$10:$G$17,$G$24,$J$10:$J$17)</f>
        <v>0</v>
      </c>
      <c r="K24" s="232">
        <f ca="1">SUMIF($G$10:$G$17,$G$24,$K$10:$K$17)</f>
        <v>0</v>
      </c>
      <c r="L24" s="232">
        <f ca="1">SUMIF($G$10:$G$17,$G$24,$L$10:$L$17)</f>
        <v>0</v>
      </c>
      <c r="M24" s="232">
        <f ca="1">SUMIF($G$10:$G$17,$G$24,$M$10:$M$17)</f>
        <v>0</v>
      </c>
      <c r="N24" s="232">
        <f ca="1">SUMIF($G$10:$G$17,$G$24,$N$10:$N$17)</f>
        <v>0</v>
      </c>
      <c r="O24" s="232">
        <f ca="1">SUMIF($G$10:$G$17,$G$24,$O$10:$O$17)</f>
        <v>4634058.3230851619</v>
      </c>
      <c r="P24" s="232">
        <f ca="1">SUMIF($G$10:$G$17,$G$24,$P$10:$P$17)</f>
        <v>0</v>
      </c>
      <c r="Q24" s="232">
        <f ca="1">SUMIF($G$10:$G$17,$G$24,$Q$10:$Q$17)</f>
        <v>0</v>
      </c>
      <c r="R24" s="232">
        <f ca="1">SUMIF($G$10:$G$17,$G$24,$R$10:$R$17)</f>
        <v>0</v>
      </c>
      <c r="S24" s="232">
        <f ca="1">SUMIF($G$10:$G$17,$G$24,$S$10:$S$17)</f>
        <v>0</v>
      </c>
      <c r="T24" s="232">
        <f ca="1">SUMIF($G$10:$G$17,$G$24,$T$10:$T$17)</f>
        <v>0</v>
      </c>
    </row>
    <row r="26" spans="3:29" x14ac:dyDescent="0.25">
      <c r="G26" s="252" t="s">
        <v>198</v>
      </c>
    </row>
    <row r="27" spans="3:29" x14ac:dyDescent="0.25">
      <c r="G27" s="231" t="s">
        <v>199</v>
      </c>
      <c r="H27" s="232">
        <f ca="1">SUMIF($H$10:$H$17,"&gt;0",$H$10:$H$17)</f>
        <v>0</v>
      </c>
      <c r="I27" s="232">
        <f ca="1">SUMIF($I$10:$I$17,"&gt;0",$I$10:$I$17)</f>
        <v>0</v>
      </c>
      <c r="J27" s="232">
        <f ca="1">SUMIF($J$10:$J$17,"&gt;0",$J$10:$J$17)</f>
        <v>0</v>
      </c>
      <c r="K27" s="232">
        <f ca="1">SUMIF($K$10:$K$17,"&gt;0",$K$10:$K$17)</f>
        <v>0</v>
      </c>
      <c r="L27" s="232">
        <f ca="1">SUMIF($L$10:$L$17,"&gt;0",$L$10:$L$17)</f>
        <v>0</v>
      </c>
      <c r="M27" s="232">
        <f ca="1">SUMIF($M$10:$M$17,"&gt;0",$M$10:$M$17)</f>
        <v>0</v>
      </c>
      <c r="N27" s="232">
        <f ca="1">SUMIF($N$10:$N$17,"&gt;0",$N$10:$N$17)</f>
        <v>0</v>
      </c>
      <c r="O27" s="232">
        <f ca="1">SUMIF($O$10:$O$17,"&gt;0",$O$10:$O$17)</f>
        <v>6594758.9920218717</v>
      </c>
      <c r="P27" s="232">
        <f ca="1">SUMIF($P$10:$P$17,"&gt;0",$P$10:$P$17)</f>
        <v>0</v>
      </c>
      <c r="Q27" s="232">
        <f ca="1">SUMIF($Q$10:$Q$17,"&gt;0",$Q$10:$Q$17)</f>
        <v>0</v>
      </c>
      <c r="R27" s="232">
        <f ca="1">SUMIF($R$10:$R$17,"&gt;0",$R$10:$R$17)</f>
        <v>0</v>
      </c>
      <c r="S27" s="232">
        <f ca="1">SUMIF($S$10:$S$17,"&gt;0",$S$10:$S$17)</f>
        <v>0</v>
      </c>
      <c r="T27" s="232">
        <f ca="1">SUMIF($T$10:$T$17,"&gt;0",$T$10:$T$17)</f>
        <v>0</v>
      </c>
    </row>
    <row r="28" spans="3:29" x14ac:dyDescent="0.25">
      <c r="G28" s="231" t="s">
        <v>200</v>
      </c>
      <c r="H28" s="232">
        <f ca="1">SUMIF($H$10:$H$17,"&lt;0",$H$10:$H$17)</f>
        <v>0</v>
      </c>
      <c r="I28" s="232">
        <f ca="1">SUMIF($I$10:$I$17,"&lt;0",$I$10:$I$17)</f>
        <v>0</v>
      </c>
      <c r="J28" s="232">
        <f ca="1">SUMIF($J$10:$J$17,"&lt;0",$J$10:$J$17)</f>
        <v>0</v>
      </c>
      <c r="K28" s="232">
        <f ca="1">SUMIF($K$10:$K$17,"&lt;0",$K$10:$K$17)</f>
        <v>0</v>
      </c>
      <c r="L28" s="232">
        <f ca="1">SUMIF($L$10:$L$17,"&lt;0",$L$10:$L$17)</f>
        <v>0</v>
      </c>
      <c r="M28" s="232">
        <f ca="1">SUMIF($M$10:$M$17,"&lt;0",$M$10:$M$17)</f>
        <v>0</v>
      </c>
      <c r="N28" s="232">
        <f ca="1">SUMIF($N$10:$N$17,"&lt;0",$N$10:$N$17)</f>
        <v>0</v>
      </c>
      <c r="O28" s="232">
        <f ca="1">SUMIF($O$10:$O$17,"&lt;0",$O$10:$O$17)</f>
        <v>-6594207.2117744051</v>
      </c>
      <c r="P28" s="232">
        <f ca="1">SUMIF($P$10:$P$17,"&lt;0",$P$10:$P$17)</f>
        <v>0</v>
      </c>
      <c r="Q28" s="232">
        <f ca="1">SUMIF($Q$10:$Q$17,"&lt;0",$Q$10:$Q$17)</f>
        <v>0</v>
      </c>
      <c r="R28" s="232">
        <f ca="1">SUMIF($R$10:$R$17,"&lt;0",$R$10:$R$17)</f>
        <v>0</v>
      </c>
      <c r="S28" s="232">
        <f ca="1">SUMIF($S$10:$S$17,"&lt;0",$S$10:$S$17)</f>
        <v>0</v>
      </c>
      <c r="T28" s="232">
        <f ca="1">SUMIF($T$10:$T$17,"&lt;0",$T$10:$T$17)</f>
        <v>0</v>
      </c>
    </row>
  </sheetData>
  <sheetCalcPr fullCalcOnLoad="1"/>
  <mergeCells count="14">
    <mergeCell ref="F12:F13"/>
    <mergeCell ref="C14:C15"/>
    <mergeCell ref="E14:E15"/>
    <mergeCell ref="F14:F15"/>
    <mergeCell ref="C8:C9"/>
    <mergeCell ref="V8:V9"/>
    <mergeCell ref="C10:C11"/>
    <mergeCell ref="E10:E11"/>
    <mergeCell ref="F10:F11"/>
    <mergeCell ref="C16:C17"/>
    <mergeCell ref="E16:E17"/>
    <mergeCell ref="F16:F17"/>
    <mergeCell ref="C12:C13"/>
    <mergeCell ref="E12:E13"/>
  </mergeCells>
  <phoneticPr fontId="0" type="noConversion"/>
  <pageMargins left="0.75" right="0.75" top="1" bottom="1" header="0.5" footer="0.5"/>
  <pageSetup paperSize="5" scale="42" orientation="landscape" r:id="rId1"/>
  <headerFooter alignWithMargins="0"/>
  <colBreaks count="1" manualBreakCount="1">
    <brk id="22" max="1048575" man="1"/>
  </colBreaks>
  <drawing r:id="rId2"/>
  <legacyDrawing r:id="rId3"/>
  <mc:AlternateContent xmlns:mc="http://schemas.openxmlformats.org/markup-compatibility/2006">
    <mc:Choice Requires="x14">
      <controls>
        <mc:AlternateContent xmlns:mc="http://schemas.openxmlformats.org/markup-compatibility/2006">
          <mc:Choice Requires="x14">
            <control shapeId="177153" r:id="rId4" name="Button 1">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
    <pageSetUpPr autoPageBreaks="0" fitToPage="1"/>
  </sheetPr>
  <dimension ref="A1:AC20"/>
  <sheetViews>
    <sheetView zoomScale="80" workbookViewId="0">
      <selection activeCell="C7" sqref="C7:V42"/>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28" width="24.44140625" style="29" bestFit="1" customWidth="1"/>
    <col min="29"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392" t="s">
        <v>604</v>
      </c>
    </row>
    <row r="7" spans="1:29" ht="17.399999999999999" x14ac:dyDescent="0.3">
      <c r="E7" s="253" t="str">
        <f>CONCATENATE("POSITION REPORT : ",UPPER(F3))</f>
        <v>POSITION REPORT : WEST/ALLEN</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5">
      <c r="C10" s="685">
        <v>83</v>
      </c>
      <c r="E10" s="687" t="str">
        <f>GetPipeName($Z10,$AC10)</f>
        <v>PGE</v>
      </c>
      <c r="F10" s="689" t="str">
        <f>CONCATENATE(GetRcptPoint($Z10,$AC10)," to ",GetDelPoint($Z10,$AC10))</f>
        <v>PGE/Topock to PGE City Gate</v>
      </c>
      <c r="G10" s="243" t="str">
        <f>GetRcptBasis($Z10,$AC10)</f>
        <v>NGI-SOBDR-PG&amp;E Basis Mid</v>
      </c>
      <c r="H10" s="239">
        <f t="array" aca="1" ref="H10" ca="1">SUM((INDIRECT($AA10)&gt;'WestAllen Position Rpt'!H$8)*(INDIRECT($AA10)&lt;'WestAllen Position Rpt'!H$9)*(INDIRECT($AB10)))</f>
        <v>0</v>
      </c>
      <c r="I10" s="226">
        <f t="array" aca="1" ref="I10" ca="1">SUM((INDIRECT($AA10)&gt;'WestAllen Position Rpt'!I$8)*(INDIRECT($AA10)&lt;'WestAllen Position Rpt'!I$9)*(INDIRECT($AB10)))</f>
        <v>0</v>
      </c>
      <c r="J10" s="226">
        <f t="array" aca="1" ref="J10" ca="1">SUM((INDIRECT($AA10)&gt;'WestAllen Position Rpt'!J$8)*(INDIRECT($AA10)&lt;'WestAllen Position Rpt'!J$9)*(INDIRECT($AB10)))</f>
        <v>0</v>
      </c>
      <c r="K10" s="226">
        <f t="array" aca="1" ref="K10" ca="1">SUM((INDIRECT($AA10)&gt;'WestAllen Position Rpt'!K$8)*(INDIRECT($AA10)&lt;'WestAllen Position Rpt'!K$9)*(INDIRECT($AB10)))</f>
        <v>0</v>
      </c>
      <c r="L10" s="226">
        <f t="array" aca="1" ref="L10" ca="1">SUM((INDIRECT($AA10)&gt;'WestAllen Position Rpt'!L$8)*(INDIRECT($AA10)&lt;'WestAllen Position Rpt'!L$9)*(INDIRECT($AB10)))</f>
        <v>0</v>
      </c>
      <c r="M10" s="226">
        <f t="array" aca="1" ref="M10" ca="1">SUM((INDIRECT($AA10)&gt;'WestAllen Position Rpt'!M$8)*(INDIRECT($AA10)&lt;'WestAllen Position Rpt'!M$9)*(INDIRECT($AB10)))</f>
        <v>0</v>
      </c>
      <c r="N10" s="226">
        <f t="array" aca="1" ref="N10" ca="1">SUM((INDIRECT($AA10)&gt;'WestAllen Position Rpt'!N$8)*(INDIRECT($AA10)&lt;'WestAllen Position Rpt'!N$9)*(INDIRECT($AB10)))</f>
        <v>0</v>
      </c>
      <c r="O10" s="226">
        <f t="array" aca="1" ref="O10" ca="1">SUM((INDIRECT($AA10)&gt;'WestAllen Position Rpt'!O$8)*(INDIRECT($AA10)&lt;'WestAllen Position Rpt'!O$9)*(INDIRECT($AB10)))</f>
        <v>-62932175.526348405</v>
      </c>
      <c r="P10" s="226">
        <f t="array" aca="1" ref="P10" ca="1">SUM((INDIRECT($AA10)&gt;'WestAllen Position Rpt'!P$8)*(INDIRECT($AA10)&lt;'WestAllen Position Rpt'!P$9)*(INDIRECT($AB10)))</f>
        <v>0</v>
      </c>
      <c r="Q10" s="226">
        <f t="array" aca="1" ref="Q10" ca="1">SUM((INDIRECT($AA10)&gt;'WestAllen Position Rpt'!Q$8)*(INDIRECT($AA10)&lt;'WestAllen Position Rpt'!Q$9)*(INDIRECT($AB10)))</f>
        <v>0</v>
      </c>
      <c r="R10" s="226">
        <f t="array" aca="1" ref="R10" ca="1">SUM((INDIRECT($AA10)&gt;'WestAllen Position Rpt'!R$8)*(INDIRECT($AA10)&lt;'WestAllen Position Rpt'!R$9)*(INDIRECT($AB10)))</f>
        <v>0</v>
      </c>
      <c r="S10" s="226">
        <f t="array" aca="1" ref="S10" ca="1">SUM((INDIRECT($AA10)&gt;'WestAllen Position Rpt'!S$8)*(INDIRECT($AA10)&lt;'WestAllen Position Rpt'!S$9)*(INDIRECT($AB10)))</f>
        <v>0</v>
      </c>
      <c r="T10" s="227">
        <f t="array" aca="1" ref="T10" ca="1">SUM((INDIRECT($AA10)&gt;'WestAllen Position Rpt'!T$8)*(INDIRECT($AA10)&lt;'WestAllen Position Rpt'!T$9)*(INDIRECT($AB10)))</f>
        <v>0</v>
      </c>
      <c r="V10" s="245">
        <f ca="1">SUM(H10:T10)</f>
        <v>-62932175.526348405</v>
      </c>
      <c r="Y10" s="236" t="str">
        <f>GetWorkSheet($C10)</f>
        <v>LongTerm83</v>
      </c>
      <c r="Z10" s="303" t="str">
        <f>FetchDBPage(Y10)</f>
        <v>Contract DB (West)</v>
      </c>
      <c r="AA10" s="236" t="str">
        <f>IF(NOT($Y10="#VALUE#"),CONCATENATE($Y10,"!",GetDateStart($Y10),":",GetDateEnd($Y10)),"")</f>
        <v>LongTerm83!$D$22:$D$31</v>
      </c>
      <c r="AB10" s="236" t="str">
        <f>IF(NOT($Y10="#VALUE#"),CONCATENATE($Y10,"!",GetReceiptStart($Y10),":",GetReceiptEnd($Y10)),"")</f>
        <v>LongTerm83!$S$22:$S$31</v>
      </c>
      <c r="AC10" s="236">
        <f>GetRecNdx($Z10,$C10)</f>
        <v>6</v>
      </c>
    </row>
    <row r="11" spans="1:29" x14ac:dyDescent="0.25">
      <c r="C11" s="686"/>
      <c r="E11" s="688"/>
      <c r="F11" s="690"/>
      <c r="G11" s="244" t="str">
        <f>GetDelBasis($Z10,$AC11)</f>
        <v>NGI-PGE/CG Basis Mid</v>
      </c>
      <c r="H11" s="240">
        <f t="array" aca="1" ref="H11" ca="1">SUM((INDIRECT($AA11)&gt;'WestAllen Position Rpt'!H$8)*(INDIRECT($AA11)&lt;'WestAllen Position Rpt'!H$9)*(INDIRECT($AB11)))</f>
        <v>0</v>
      </c>
      <c r="I11" s="228">
        <f t="array" aca="1" ref="I11" ca="1">SUM((INDIRECT($AA11)&gt;'WestAllen Position Rpt'!I$8)*(INDIRECT($AA11)&lt;'WestAllen Position Rpt'!I$9)*(INDIRECT($AB11)))</f>
        <v>0</v>
      </c>
      <c r="J11" s="228">
        <f t="array" aca="1" ref="J11" ca="1">SUM((INDIRECT($AA11)&gt;'WestAllen Position Rpt'!J$8)*(INDIRECT($AA11)&lt;'WestAllen Position Rpt'!J$9)*(INDIRECT($AB11)))</f>
        <v>0</v>
      </c>
      <c r="K11" s="228">
        <f t="array" aca="1" ref="K11" ca="1">SUM((INDIRECT($AA11)&gt;'WestAllen Position Rpt'!K$8)*(INDIRECT($AA11)&lt;'WestAllen Position Rpt'!K$9)*(INDIRECT($AB11)))</f>
        <v>0</v>
      </c>
      <c r="L11" s="228">
        <f t="array" aca="1" ref="L11" ca="1">SUM((INDIRECT($AA11)&gt;'WestAllen Position Rpt'!L$8)*(INDIRECT($AA11)&lt;'WestAllen Position Rpt'!L$9)*(INDIRECT($AB11)))</f>
        <v>0</v>
      </c>
      <c r="M11" s="228">
        <f t="array" aca="1" ref="M11" ca="1">SUM((INDIRECT($AA11)&gt;'WestAllen Position Rpt'!M$8)*(INDIRECT($AA11)&lt;'WestAllen Position Rpt'!M$9)*(INDIRECT($AB11)))</f>
        <v>0</v>
      </c>
      <c r="N11" s="228">
        <f t="array" aca="1" ref="N11" ca="1">SUM((INDIRECT($AA11)&gt;'WestAllen Position Rpt'!N$8)*(INDIRECT($AA11)&lt;'WestAllen Position Rpt'!N$9)*(INDIRECT($AB11)))</f>
        <v>0</v>
      </c>
      <c r="O11" s="228">
        <f t="array" aca="1" ref="O11" ca="1">SUM((INDIRECT($AA11)&gt;'WestAllen Position Rpt'!O$8)*(INDIRECT($AA11)&lt;'WestAllen Position Rpt'!O$9)*(INDIRECT($AB11)))</f>
        <v>62070004.721522264</v>
      </c>
      <c r="P11" s="228">
        <f t="array" aca="1" ref="P11" ca="1">SUM((INDIRECT($AA11)&gt;'WestAllen Position Rpt'!P$8)*(INDIRECT($AA11)&lt;'WestAllen Position Rpt'!P$9)*(INDIRECT($AB11)))</f>
        <v>0</v>
      </c>
      <c r="Q11" s="228">
        <f t="array" aca="1" ref="Q11" ca="1">SUM((INDIRECT($AA11)&gt;'WestAllen Position Rpt'!Q$8)*(INDIRECT($AA11)&lt;'WestAllen Position Rpt'!Q$9)*(INDIRECT($AB11)))</f>
        <v>0</v>
      </c>
      <c r="R11" s="228">
        <f t="array" aca="1" ref="R11" ca="1">SUM((INDIRECT($AA11)&gt;'WestAllen Position Rpt'!R$8)*(INDIRECT($AA11)&lt;'WestAllen Position Rpt'!R$9)*(INDIRECT($AB11)))</f>
        <v>0</v>
      </c>
      <c r="S11" s="228">
        <f t="array" aca="1" ref="S11" ca="1">SUM((INDIRECT($AA11)&gt;'WestAllen Position Rpt'!S$8)*(INDIRECT($AA11)&lt;'WestAllen Position Rpt'!S$9)*(INDIRECT($AB11)))</f>
        <v>0</v>
      </c>
      <c r="T11" s="229">
        <f t="array" aca="1" ref="T11" ca="1">SUM((INDIRECT($AA11)&gt;'WestAllen Position Rpt'!T$8)*(INDIRECT($AA11)&lt;'WestAllen Position Rpt'!T$9)*(INDIRECT($AB11)))</f>
        <v>0</v>
      </c>
      <c r="V11" s="246">
        <f ca="1">SUM(H11:T11)</f>
        <v>62070004.721522264</v>
      </c>
      <c r="Y11" s="236" t="str">
        <f>GetWorkSheet($C10)</f>
        <v>LongTerm83</v>
      </c>
      <c r="Z11" s="303"/>
      <c r="AA11" s="236" t="str">
        <f>IF(NOT($Y11="#VALUE#"),CONCATENATE($Y11,"!",GetDateStart($Y11),":",GetDateEnd($Y11)),"")</f>
        <v>LongTerm83!$D$22:$D$31</v>
      </c>
      <c r="AB11" s="236" t="str">
        <f>IF(NOT($Y11="#VALUE#"),CONCATENATE($Y11,"!",GetDeliveryStart($Y11),":",GetDeliveryEnd($Y11)),"")</f>
        <v>LongTerm83!$T$22:$T$31</v>
      </c>
      <c r="AC11" s="236">
        <f>GetRecNdx($Z10,$C10)</f>
        <v>6</v>
      </c>
    </row>
    <row r="14" spans="1:29" x14ac:dyDescent="0.25">
      <c r="G14" s="251" t="s">
        <v>197</v>
      </c>
    </row>
    <row r="15" spans="1:29" x14ac:dyDescent="0.25">
      <c r="G15" s="231" t="s">
        <v>775</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-62932175.526348405</v>
      </c>
      <c r="P15" s="232">
        <f ca="1">SUMIF($G$10:$G$11,$G$15,$P$10:$P$11)</f>
        <v>0</v>
      </c>
      <c r="Q15" s="232">
        <f ca="1">SUMIF($G$10:$G$11,$G$15,$Q$10:$Q$11)</f>
        <v>0</v>
      </c>
      <c r="R15" s="232">
        <f ca="1">SUMIF($G$10:$G$11,$G$15,$R$10:$R$11)</f>
        <v>0</v>
      </c>
      <c r="S15" s="232">
        <f ca="1">SUMIF($G$10:$G$11,$G$15,$S$10:$S$11)</f>
        <v>0</v>
      </c>
      <c r="T15" s="232">
        <f ca="1">SUMIF($G$10:$G$11,$G$15,$T$10:$T$11)</f>
        <v>0</v>
      </c>
    </row>
    <row r="16" spans="1:29" x14ac:dyDescent="0.25">
      <c r="G16" s="231" t="s">
        <v>555</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62070004.721522264</v>
      </c>
      <c r="P16" s="232">
        <f ca="1">SUMIF($G$10:$G$11,$G$16,$P$10:$P$11)</f>
        <v>0</v>
      </c>
      <c r="Q16" s="232">
        <f ca="1">SUMIF($G$10:$G$11,$G$16,$Q$10:$Q$11)</f>
        <v>0</v>
      </c>
      <c r="R16" s="232">
        <f ca="1">SUMIF($G$10:$G$11,$G$16,$R$10:$R$11)</f>
        <v>0</v>
      </c>
      <c r="S16" s="232">
        <f ca="1">SUMIF($G$10:$G$11,$G$16,$S$10:$S$11)</f>
        <v>0</v>
      </c>
      <c r="T16" s="232">
        <f ca="1">SUMIF($G$10:$G$11,$G$16,$T$10:$T$11)</f>
        <v>0</v>
      </c>
    </row>
    <row r="18" spans="7:20" x14ac:dyDescent="0.25">
      <c r="G18" s="252" t="s">
        <v>198</v>
      </c>
    </row>
    <row r="19" spans="7:20" x14ac:dyDescent="0.25">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62070004.721522264</v>
      </c>
      <c r="P19" s="232">
        <f ca="1">SUMIF($P$10:$P$11,"&gt;0",$P$10:$P$11)</f>
        <v>0</v>
      </c>
      <c r="Q19" s="232">
        <f ca="1">SUMIF($Q$10:$Q$11,"&gt;0",$Q$10:$Q$11)</f>
        <v>0</v>
      </c>
      <c r="R19" s="232">
        <f ca="1">SUMIF($R$10:$R$11,"&gt;0",$R$10:$R$11)</f>
        <v>0</v>
      </c>
      <c r="S19" s="232">
        <f ca="1">SUMIF($S$10:$S$11,"&gt;0",$S$10:$S$11)</f>
        <v>0</v>
      </c>
      <c r="T19" s="232">
        <f ca="1">SUMIF($T$10:$T$11,"&gt;0",$T$10:$T$11)</f>
        <v>0</v>
      </c>
    </row>
    <row r="20" spans="7:20" x14ac:dyDescent="0.25">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-62932175.526348405</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04450"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21">
    <pageSetUpPr autoPageBreaks="0" fitToPage="1"/>
  </sheetPr>
  <dimension ref="A1:AC20"/>
  <sheetViews>
    <sheetView zoomScale="80" workbookViewId="0">
      <selection activeCell="S37" sqref="S37"/>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221" t="s">
        <v>648</v>
      </c>
    </row>
    <row r="7" spans="1:29" ht="17.399999999999999" x14ac:dyDescent="0.3">
      <c r="E7" s="253" t="str">
        <f>CONCATENATE("POSITION REPORT : ",UPPER(F3))</f>
        <v>POSITION REPORT : DENVER</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c r="Z9" s="304"/>
    </row>
    <row r="10" spans="1:29" x14ac:dyDescent="0.25">
      <c r="C10" s="685">
        <v>49</v>
      </c>
      <c r="E10" s="687" t="e">
        <f>GetPipeName($Z10,$AC10)</f>
        <v>#VALUE!</v>
      </c>
      <c r="F10" s="689" t="e">
        <f>CONCATENATE(GetRcptPoint($Z10,$AC10)," to ",GetDelPoint($Z10,$AC10))</f>
        <v>#VALUE!</v>
      </c>
      <c r="G10" s="243" t="e">
        <f>GetRcptBasis($Z10,$AC10)</f>
        <v>#VALUE!</v>
      </c>
      <c r="H10" s="239" t="e">
        <f t="array" aca="1" ref="H10" ca="1">SUM((INDIRECT($AA10)&gt;'Denver Positions'!H$8)*(INDIRECT($AA10)&lt;'Denver Positions'!H$9)*(INDIRECT($AB10)))</f>
        <v>#REF!</v>
      </c>
      <c r="I10" s="226" t="e">
        <f t="array" aca="1" ref="I10" ca="1">SUM((INDIRECT($AA10)&gt;'Denver Positions'!I$8)*(INDIRECT($AA10)&lt;'Denver Positions'!I$9)*(INDIRECT($AB10)))</f>
        <v>#REF!</v>
      </c>
      <c r="J10" s="226" t="e">
        <f t="array" aca="1" ref="J10" ca="1">SUM((INDIRECT($AA10)&gt;'Denver Positions'!J$8)*(INDIRECT($AA10)&lt;'Denver Positions'!J$9)*(INDIRECT($AB10)))</f>
        <v>#REF!</v>
      </c>
      <c r="K10" s="226" t="e">
        <f t="array" aca="1" ref="K10" ca="1">SUM((INDIRECT($AA10)&gt;'Denver Positions'!K$8)*(INDIRECT($AA10)&lt;'Denver Positions'!K$9)*(INDIRECT($AB10)))</f>
        <v>#REF!</v>
      </c>
      <c r="L10" s="226" t="e">
        <f t="array" aca="1" ref="L10" ca="1">SUM((INDIRECT($AA10)&gt;'Denver Positions'!L$8)*(INDIRECT($AA10)&lt;'Denver Positions'!L$9)*(INDIRECT($AB10)))</f>
        <v>#REF!</v>
      </c>
      <c r="M10" s="226" t="e">
        <f t="array" aca="1" ref="M10" ca="1">SUM((INDIRECT($AA10)&gt;'Denver Positions'!M$8)*(INDIRECT($AA10)&lt;'Denver Positions'!M$9)*(INDIRECT($AB10)))</f>
        <v>#REF!</v>
      </c>
      <c r="N10" s="226" t="e">
        <f t="array" aca="1" ref="N10" ca="1">SUM((INDIRECT($AA10)&gt;'Denver Positions'!N$8)*(INDIRECT($AA10)&lt;'Denver Positions'!N$9)*(INDIRECT($AB10)))</f>
        <v>#REF!</v>
      </c>
      <c r="O10" s="226" t="e">
        <f t="array" aca="1" ref="O10" ca="1">SUM((INDIRECT($AA10)&gt;'Denver Positions'!O$8)*(INDIRECT($AA10)&lt;'Denver Positions'!O$9)*(INDIRECT($AB10)))</f>
        <v>#REF!</v>
      </c>
      <c r="P10" s="226" t="e">
        <f t="array" aca="1" ref="P10" ca="1">SUM((INDIRECT($AA10)&gt;'Denver Positions'!P$8)*(INDIRECT($AA10)&lt;'Denver Positions'!P$9)*(INDIRECT($AB10)))</f>
        <v>#REF!</v>
      </c>
      <c r="Q10" s="226" t="e">
        <f t="array" aca="1" ref="Q10" ca="1">SUM((INDIRECT($AA10)&gt;'Denver Positions'!Q$8)*(INDIRECT($AA10)&lt;'Denver Positions'!Q$9)*(INDIRECT($AB10)))</f>
        <v>#REF!</v>
      </c>
      <c r="R10" s="226" t="e">
        <f t="array" aca="1" ref="R10" ca="1">SUM((INDIRECT($AA10)&gt;'Denver Positions'!R$8)*(INDIRECT($AA10)&lt;'Denver Positions'!R$9)*(INDIRECT($AB10)))</f>
        <v>#REF!</v>
      </c>
      <c r="S10" s="226" t="e">
        <f t="array" aca="1" ref="S10" ca="1">SUM((INDIRECT($AA10)&gt;'Denver Positions'!S$8)*(INDIRECT($AA10)&lt;'Denver Positions'!S$9)*(INDIRECT($AB10)))</f>
        <v>#REF!</v>
      </c>
      <c r="T10" s="227" t="e">
        <f t="array" aca="1" ref="T10" ca="1">SUM((INDIRECT($AA10)&gt;'Denver Positions'!T$8)*(INDIRECT($AA10)&lt;'Denver Positions'!T$9)*(INDIRECT($AB10)))</f>
        <v>#REF!</v>
      </c>
      <c r="V10" s="245" t="e">
        <f ca="1">SUM(H10:T10)</f>
        <v>#REF!</v>
      </c>
      <c r="Y10" s="236" t="str">
        <f>GetWorkSheet($C10)</f>
        <v>#VALUE#</v>
      </c>
      <c r="Z10" s="303" t="e">
        <f>FetchDBPage(Y10)</f>
        <v>#VALUE!</v>
      </c>
      <c r="AA10" s="236" t="str">
        <f>IF(NOT($Y10="#VALUE#"),CONCATENATE($Y10,"!",GetDateStart($Y10),":",GetDateEnd($Y10)),"")</f>
        <v/>
      </c>
      <c r="AB10" s="236" t="str">
        <f>IF(NOT($Y10="#VALUE#"),CONCATENATE($Y10,"!",GetReceiptStart($Y10),":",GetReceiptEnd($Y10)),"")</f>
        <v/>
      </c>
      <c r="AC10" s="236" t="e">
        <f>GetRecNdx($Z10,$C10)</f>
        <v>#VALUE!</v>
      </c>
    </row>
    <row r="11" spans="1:29" x14ac:dyDescent="0.25">
      <c r="C11" s="686"/>
      <c r="E11" s="688"/>
      <c r="F11" s="690"/>
      <c r="G11" s="244" t="e">
        <f>GetDelBasis($Z10,$AC11)</f>
        <v>#VALUE!</v>
      </c>
      <c r="H11" s="240" t="e">
        <f t="array" aca="1" ref="H11" ca="1">SUM((INDIRECT($AA11)&gt;'Denver Positions'!H$8)*(INDIRECT($AA11)&lt;'Denver Positions'!H$9)*(INDIRECT($AB11)))</f>
        <v>#REF!</v>
      </c>
      <c r="I11" s="228" t="e">
        <f t="array" aca="1" ref="I11" ca="1">SUM((INDIRECT($AA11)&gt;'Denver Positions'!I$8)*(INDIRECT($AA11)&lt;'Denver Positions'!I$9)*(INDIRECT($AB11)))</f>
        <v>#REF!</v>
      </c>
      <c r="J11" s="228" t="e">
        <f t="array" aca="1" ref="J11" ca="1">SUM((INDIRECT($AA11)&gt;'Denver Positions'!J$8)*(INDIRECT($AA11)&lt;'Denver Positions'!J$9)*(INDIRECT($AB11)))</f>
        <v>#REF!</v>
      </c>
      <c r="K11" s="228" t="e">
        <f t="array" aca="1" ref="K11" ca="1">SUM((INDIRECT($AA11)&gt;'Denver Positions'!K$8)*(INDIRECT($AA11)&lt;'Denver Positions'!K$9)*(INDIRECT($AB11)))</f>
        <v>#REF!</v>
      </c>
      <c r="L11" s="228" t="e">
        <f t="array" aca="1" ref="L11" ca="1">SUM((INDIRECT($AA11)&gt;'Denver Positions'!L$8)*(INDIRECT($AA11)&lt;'Denver Positions'!L$9)*(INDIRECT($AB11)))</f>
        <v>#REF!</v>
      </c>
      <c r="M11" s="228" t="e">
        <f t="array" aca="1" ref="M11" ca="1">SUM((INDIRECT($AA11)&gt;'Denver Positions'!M$8)*(INDIRECT($AA11)&lt;'Denver Positions'!M$9)*(INDIRECT($AB11)))</f>
        <v>#REF!</v>
      </c>
      <c r="N11" s="228" t="e">
        <f t="array" aca="1" ref="N11" ca="1">SUM((INDIRECT($AA11)&gt;'Denver Positions'!N$8)*(INDIRECT($AA11)&lt;'Denver Positions'!N$9)*(INDIRECT($AB11)))</f>
        <v>#REF!</v>
      </c>
      <c r="O11" s="228" t="e">
        <f t="array" aca="1" ref="O11" ca="1">SUM((INDIRECT($AA11)&gt;'Denver Positions'!O$8)*(INDIRECT($AA11)&lt;'Denver Positions'!O$9)*(INDIRECT($AB11)))</f>
        <v>#REF!</v>
      </c>
      <c r="P11" s="228" t="e">
        <f t="array" aca="1" ref="P11" ca="1">SUM((INDIRECT($AA11)&gt;'Denver Positions'!P$8)*(INDIRECT($AA11)&lt;'Denver Positions'!P$9)*(INDIRECT($AB11)))</f>
        <v>#REF!</v>
      </c>
      <c r="Q11" s="228" t="e">
        <f t="array" aca="1" ref="Q11" ca="1">SUM((INDIRECT($AA11)&gt;'Denver Positions'!Q$8)*(INDIRECT($AA11)&lt;'Denver Positions'!Q$9)*(INDIRECT($AB11)))</f>
        <v>#REF!</v>
      </c>
      <c r="R11" s="228" t="e">
        <f t="array" aca="1" ref="R11" ca="1">SUM((INDIRECT($AA11)&gt;'Denver Positions'!R$8)*(INDIRECT($AA11)&lt;'Denver Positions'!R$9)*(INDIRECT($AB11)))</f>
        <v>#REF!</v>
      </c>
      <c r="S11" s="228" t="e">
        <f t="array" aca="1" ref="S11" ca="1">SUM((INDIRECT($AA11)&gt;'Denver Positions'!S$8)*(INDIRECT($AA11)&lt;'Denver Positions'!S$9)*(INDIRECT($AB11)))</f>
        <v>#REF!</v>
      </c>
      <c r="T11" s="229" t="e">
        <f t="array" aca="1" ref="T11" ca="1">SUM((INDIRECT($AA11)&gt;'Denver Positions'!T$8)*(INDIRECT($AA11)&lt;'Denver Positions'!T$9)*(INDIRECT($AB11)))</f>
        <v>#REF!</v>
      </c>
      <c r="V11" s="246" t="e">
        <f ca="1">SUM(H11:T11)</f>
        <v>#REF!</v>
      </c>
      <c r="Y11" s="236" t="str">
        <f>GetWorkSheet($C10)</f>
        <v>#VALUE#</v>
      </c>
      <c r="Z11" s="303"/>
      <c r="AA11" s="236" t="str">
        <f>IF(NOT($Y11="#VALUE#"),CONCATENATE($Y11,"!",GetDateStart($Y11),":",GetDateEnd($Y11)),"")</f>
        <v/>
      </c>
      <c r="AB11" s="236" t="str">
        <f>IF(NOT($Y11="#VALUE#"),CONCATENATE($Y11,"!",GetDeliveryStart($Y11),":",GetDeliveryEnd($Y11)),"")</f>
        <v/>
      </c>
      <c r="AC11" s="236" t="e">
        <f>GetRecNdx($Z10,$C10)</f>
        <v>#VALUE!</v>
      </c>
    </row>
    <row r="14" spans="1:29" x14ac:dyDescent="0.25">
      <c r="G14" s="251" t="s">
        <v>197</v>
      </c>
    </row>
    <row r="15" spans="1:29" x14ac:dyDescent="0.25">
      <c r="G15" s="231" t="s">
        <v>651</v>
      </c>
      <c r="H15" s="232">
        <f>SUMIF($G$10:$G$11,$G$15,$H$10:$H$11)</f>
        <v>0</v>
      </c>
      <c r="I15" s="232">
        <f>SUMIF($G$10:$G$11,$G$15,$I$10:$I$11)</f>
        <v>0</v>
      </c>
      <c r="J15" s="232">
        <f>SUMIF($G$10:$G$11,$G$15,$J$10:$J$11)</f>
        <v>0</v>
      </c>
      <c r="K15" s="232">
        <f>SUMIF($G$10:$G$11,$G$15,$K$10:$K$11)</f>
        <v>0</v>
      </c>
      <c r="L15" s="232">
        <f>SUMIF($G$10:$G$11,$G$15,$L$10:$L$11)</f>
        <v>0</v>
      </c>
      <c r="M15" s="232">
        <f>SUMIF($G$10:$G$11,$G$15,$M$10:$M$11)</f>
        <v>0</v>
      </c>
      <c r="N15" s="232">
        <f>SUMIF($G$10:$G$11,$G$15,$N$10:$N$11)</f>
        <v>0</v>
      </c>
      <c r="O15" s="232">
        <f>SUMIF($G$10:$G$11,$G$15,$O$10:$O$11)</f>
        <v>0</v>
      </c>
      <c r="P15" s="232">
        <f>SUMIF($G$10:$G$11,$G$15,$P$10:$P$11)</f>
        <v>0</v>
      </c>
      <c r="Q15" s="232">
        <f>SUMIF($G$10:$G$11,$G$15,$Q$10:$Q$11)</f>
        <v>0</v>
      </c>
      <c r="R15" s="232">
        <f>SUMIF($G$10:$G$11,$G$15,$R$10:$R$11)</f>
        <v>0</v>
      </c>
      <c r="S15" s="232">
        <f>SUMIF($G$10:$G$11,$G$15,$S$10:$S$11)</f>
        <v>0</v>
      </c>
      <c r="T15" s="232">
        <f>SUMIF($G$10:$G$11,$G$15,$T$10:$T$11)</f>
        <v>0</v>
      </c>
    </row>
    <row r="16" spans="1:29" x14ac:dyDescent="0.25">
      <c r="G16" s="231" t="s">
        <v>654</v>
      </c>
      <c r="H16" s="232">
        <f>SUMIF($G$10:$G$11,$G$16,$H$10:$H$11)</f>
        <v>0</v>
      </c>
      <c r="I16" s="232">
        <f>SUMIF($G$10:$G$11,$G$16,$I$10:$I$11)</f>
        <v>0</v>
      </c>
      <c r="J16" s="232">
        <f>SUMIF($G$10:$G$11,$G$16,$J$10:$J$11)</f>
        <v>0</v>
      </c>
      <c r="K16" s="232">
        <f>SUMIF($G$10:$G$11,$G$16,$K$10:$K$11)</f>
        <v>0</v>
      </c>
      <c r="L16" s="232">
        <f>SUMIF($G$10:$G$11,$G$16,$L$10:$L$11)</f>
        <v>0</v>
      </c>
      <c r="M16" s="232">
        <f>SUMIF($G$10:$G$11,$G$16,$M$10:$M$11)</f>
        <v>0</v>
      </c>
      <c r="N16" s="232">
        <f>SUMIF($G$10:$G$11,$G$16,$N$10:$N$11)</f>
        <v>0</v>
      </c>
      <c r="O16" s="232">
        <f>SUMIF($G$10:$G$11,$G$16,$O$10:$O$11)</f>
        <v>0</v>
      </c>
      <c r="P16" s="232">
        <f>SUMIF($G$10:$G$11,$G$16,$P$10:$P$11)</f>
        <v>0</v>
      </c>
      <c r="Q16" s="232">
        <f>SUMIF($G$10:$G$11,$G$16,$Q$10:$Q$11)</f>
        <v>0</v>
      </c>
      <c r="R16" s="232">
        <f>SUMIF($G$10:$G$11,$G$16,$R$10:$R$11)</f>
        <v>0</v>
      </c>
      <c r="S16" s="232">
        <f>SUMIF($G$10:$G$11,$G$16,$S$10:$S$11)</f>
        <v>0</v>
      </c>
      <c r="T16" s="232">
        <f>SUMIF($G$10:$G$11,$G$16,$T$10:$T$11)</f>
        <v>0</v>
      </c>
    </row>
    <row r="18" spans="7:20" x14ac:dyDescent="0.25">
      <c r="G18" s="252" t="s">
        <v>198</v>
      </c>
    </row>
    <row r="19" spans="7:20" x14ac:dyDescent="0.25">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0</v>
      </c>
      <c r="P19" s="232">
        <f ca="1">SUMIF($P$10:$P$11,"&gt;0",$P$10:$P$11)</f>
        <v>0</v>
      </c>
      <c r="Q19" s="232">
        <f ca="1">SUMIF($Q$10:$Q$11,"&gt;0",$Q$10:$Q$11)</f>
        <v>0</v>
      </c>
      <c r="R19" s="232">
        <f ca="1">SUMIF($R$10:$R$11,"&gt;0",$R$10:$R$11)</f>
        <v>0</v>
      </c>
      <c r="S19" s="232">
        <f ca="1">SUMIF($S$10:$S$11,"&gt;0",$S$10:$S$11)</f>
        <v>0</v>
      </c>
      <c r="T19" s="232">
        <f ca="1">SUMIF($T$10:$T$11,"&gt;0",$T$10:$T$11)</f>
        <v>0</v>
      </c>
    </row>
    <row r="20" spans="7:20" x14ac:dyDescent="0.25">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0</v>
      </c>
      <c r="P20" s="232">
        <f ca="1">SUMIF($P$10:$P$11,"&lt;0",$P$10:$P$11)</f>
        <v>0</v>
      </c>
      <c r="Q20" s="232">
        <f ca="1">SUMIF($Q$10:$Q$11,"&lt;0",$Q$10:$Q$11)</f>
        <v>0</v>
      </c>
      <c r="R20" s="232">
        <f ca="1">SUMIF($R$10:$R$11,"&lt;0",$R$10:$R$11)</f>
        <v>0</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40"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1858"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2:J40"/>
  <sheetViews>
    <sheetView workbookViewId="0">
      <selection activeCell="J18" sqref="J18"/>
    </sheetView>
  </sheetViews>
  <sheetFormatPr defaultRowHeight="13.2" x14ac:dyDescent="0.25"/>
  <cols>
    <col min="1" max="1" width="10.109375" bestFit="1" customWidth="1"/>
    <col min="8" max="8" width="14" bestFit="1" customWidth="1"/>
    <col min="9" max="10" width="10.33203125" bestFit="1" customWidth="1"/>
  </cols>
  <sheetData>
    <row r="2" spans="1:10" x14ac:dyDescent="0.25">
      <c r="B2" t="s">
        <v>802</v>
      </c>
      <c r="E2" t="s">
        <v>803</v>
      </c>
    </row>
    <row r="4" spans="1:10" x14ac:dyDescent="0.25">
      <c r="B4" t="s">
        <v>554</v>
      </c>
      <c r="C4" t="s">
        <v>804</v>
      </c>
      <c r="E4" t="s">
        <v>554</v>
      </c>
      <c r="F4" t="s">
        <v>804</v>
      </c>
      <c r="H4" s="574">
        <v>1.37E-2</v>
      </c>
      <c r="I4" t="s">
        <v>554</v>
      </c>
      <c r="J4" t="s">
        <v>804</v>
      </c>
    </row>
    <row r="5" spans="1:10" x14ac:dyDescent="0.25">
      <c r="A5" s="579">
        <v>37196</v>
      </c>
      <c r="B5" s="580">
        <f>(H5*(1+$H$4))/10000</f>
        <v>0</v>
      </c>
      <c r="C5" s="576">
        <f>(-X5*(1+$X$4)-AJ5*(1+$AJ$4))/10000</f>
        <v>0</v>
      </c>
      <c r="D5" s="576"/>
      <c r="E5" s="576">
        <f>(I5+M5+AC5+AG5)/10000</f>
        <v>0</v>
      </c>
      <c r="F5" s="576">
        <f>(Y5+AK5)/10000</f>
        <v>0</v>
      </c>
      <c r="G5" s="577"/>
      <c r="H5" s="577">
        <f>IF(LongTerm83!D22='Phillip Delta Positions'!A5,LongTerm83!G22*('Phillip Delta Positions'!A6-'Phillip Delta Positions'!A5),0)</f>
        <v>0</v>
      </c>
      <c r="I5" s="577">
        <v>0</v>
      </c>
      <c r="J5" s="577">
        <v>0</v>
      </c>
    </row>
    <row r="6" spans="1:10" x14ac:dyDescent="0.25">
      <c r="A6" s="579">
        <v>37226</v>
      </c>
      <c r="B6" s="580">
        <f>(H6*(1+$H$4))/10000</f>
        <v>0</v>
      </c>
      <c r="C6" s="576">
        <f>(-X6*(1+$X$4)-AJ6*(1+$AJ$4))/10000</f>
        <v>0</v>
      </c>
      <c r="D6" s="576"/>
      <c r="E6" s="576">
        <f>(I6+M6+AC6+AG6)/10000</f>
        <v>0</v>
      </c>
      <c r="F6" s="576">
        <f>(Y6+AK6)/10000</f>
        <v>0</v>
      </c>
      <c r="G6" s="577"/>
      <c r="H6" s="577">
        <f>IF(LongTerm83!C23='Phillip Delta Positions'!A6,LongTerm83!G23*('Phillip Delta Positions'!A7-'Phillip Delta Positions'!A6),0)</f>
        <v>0</v>
      </c>
      <c r="I6" s="577">
        <f>IF(LongTerm83!D23='Phillip Delta Positions'!A6,LongTerm83!G23*('Phillip Delta Positions'!A7-'Phillip Delta Positions'!A6),0)</f>
        <v>0</v>
      </c>
      <c r="J6" s="577">
        <v>0</v>
      </c>
    </row>
    <row r="7" spans="1:10" x14ac:dyDescent="0.25">
      <c r="A7" s="579">
        <v>37257</v>
      </c>
      <c r="B7" s="580">
        <f>(H7*(1+$H$4))/10000</f>
        <v>0</v>
      </c>
      <c r="C7" s="576">
        <f>(-X7*(1+$X$4)-AJ7*(1+$AJ$4))/10000</f>
        <v>0</v>
      </c>
      <c r="D7" s="576"/>
      <c r="E7" s="576">
        <f>(I7+M7+AC7+AG7)/10000</f>
        <v>0</v>
      </c>
      <c r="F7" s="576">
        <f>(Y7+AK7)/10000</f>
        <v>0</v>
      </c>
      <c r="G7" s="577"/>
      <c r="H7" s="577">
        <f>IF(LongTerm83!C24='Phillip Delta Positions'!A7,LongTerm83!G24*('Phillip Delta Positions'!A8-'Phillip Delta Positions'!A7),0)</f>
        <v>0</v>
      </c>
      <c r="I7" s="577">
        <f>IF(LongTerm83!D24='Phillip Delta Positions'!A7,LongTerm83!G24*('Phillip Delta Positions'!A8-'Phillip Delta Positions'!A7),0)</f>
        <v>0</v>
      </c>
      <c r="J7" s="577">
        <v>0</v>
      </c>
    </row>
    <row r="8" spans="1:10" x14ac:dyDescent="0.25">
      <c r="A8" s="579">
        <v>37288</v>
      </c>
      <c r="B8" s="580">
        <f>(H8*(1+$H$4))/10000</f>
        <v>0</v>
      </c>
      <c r="C8" s="576">
        <f>(-X8*(1+$X$4)-AJ8*(1+$AJ$4))/10000</f>
        <v>0</v>
      </c>
      <c r="D8" s="576"/>
      <c r="E8" s="576">
        <f>(I8+M8+AC8+AG8)/10000</f>
        <v>0</v>
      </c>
      <c r="F8" s="576">
        <f>(Y8+AK8)/10000</f>
        <v>0</v>
      </c>
      <c r="G8" s="577"/>
      <c r="H8" s="577">
        <f>IF(LongTerm83!C25='Phillip Delta Positions'!A8,LongTerm83!G25*('Phillip Delta Positions'!A9-'Phillip Delta Positions'!A8),0)</f>
        <v>0</v>
      </c>
      <c r="I8" s="577">
        <f>IF(LongTerm83!D25='Phillip Delta Positions'!A8,LongTerm83!G25*('Phillip Delta Positions'!A9-'Phillip Delta Positions'!A8),0)</f>
        <v>0</v>
      </c>
      <c r="J8" s="577">
        <v>0</v>
      </c>
    </row>
    <row r="9" spans="1:10" x14ac:dyDescent="0.25">
      <c r="A9" s="579">
        <v>37316</v>
      </c>
      <c r="B9" s="580">
        <f>(H9*(1+$H$4))/10000</f>
        <v>0</v>
      </c>
      <c r="C9" s="576">
        <f>(-X9*(1+$X$4)-AJ9*(1+$AJ$4))/10000</f>
        <v>0</v>
      </c>
      <c r="D9" s="576"/>
      <c r="E9" s="576">
        <f>(I9+M9+AC9+AG9)/10000</f>
        <v>0</v>
      </c>
      <c r="F9" s="576">
        <f>(Y9+AK9)/10000</f>
        <v>0</v>
      </c>
      <c r="G9" s="577"/>
      <c r="H9" s="577">
        <f>IF(LongTerm83!C26='Phillip Delta Positions'!A9,LongTerm83!G26*('Phillip Delta Positions'!A10-'Phillip Delta Positions'!A9),0)</f>
        <v>0</v>
      </c>
      <c r="I9" s="577">
        <f>IF(LongTerm83!D26='Phillip Delta Positions'!A9,LongTerm83!G26*('Phillip Delta Positions'!A10-'Phillip Delta Positions'!A9),0)</f>
        <v>0</v>
      </c>
      <c r="J9" s="577">
        <v>0</v>
      </c>
    </row>
    <row r="10" spans="1:10" x14ac:dyDescent="0.25">
      <c r="A10" s="579">
        <v>37347</v>
      </c>
      <c r="B10" s="580">
        <f>(-H10*(1+$H$4))/10000</f>
        <v>-679.95202534963357</v>
      </c>
      <c r="C10" s="576">
        <f>H10/10000</f>
        <v>670.76257803061424</v>
      </c>
      <c r="D10" s="576"/>
      <c r="E10" s="576">
        <f>I10/10000</f>
        <v>-679.94394085360454</v>
      </c>
      <c r="F10" s="576">
        <f>J10/10000</f>
        <v>670.62870885531538</v>
      </c>
      <c r="G10" s="577"/>
      <c r="H10" s="577">
        <f>LongTerm83!G22*('Phillip Delta Positions'!A11-'Phillip Delta Positions'!A10)</f>
        <v>6707625.7803061418</v>
      </c>
      <c r="I10" s="577">
        <f>LongTerm83!S22</f>
        <v>-6799439.4085360449</v>
      </c>
      <c r="J10" s="577">
        <f>LongTerm83!T22</f>
        <v>6706287.0885531539</v>
      </c>
    </row>
    <row r="11" spans="1:10" x14ac:dyDescent="0.25">
      <c r="A11" s="579">
        <v>37377</v>
      </c>
      <c r="B11" s="580">
        <f t="shared" ref="B11:B18" si="0">(-H11*(1+$H$4))/10000</f>
        <v>-701.42046388155893</v>
      </c>
      <c r="C11" s="576">
        <f t="shared" ref="C11:C18" si="1">H11/10000</f>
        <v>691.94087390900552</v>
      </c>
      <c r="D11" s="576"/>
      <c r="E11" s="576">
        <f t="shared" ref="E11:E18" si="2">I11/10000</f>
        <v>-701.25382664124402</v>
      </c>
      <c r="F11" s="576">
        <f t="shared" ref="F11:F18" si="3">J11/10000</f>
        <v>691.64664921974804</v>
      </c>
      <c r="G11" s="577"/>
      <c r="H11" s="577">
        <f>LongTerm83!G23*('Phillip Delta Positions'!A12-'Phillip Delta Positions'!A11)</f>
        <v>6919408.7390900552</v>
      </c>
      <c r="I11" s="577">
        <f>LongTerm83!S23</f>
        <v>-7012538.2664124398</v>
      </c>
      <c r="J11" s="577">
        <f>LongTerm83!T23</f>
        <v>6916466.492197481</v>
      </c>
    </row>
    <row r="12" spans="1:10" x14ac:dyDescent="0.25">
      <c r="A12" s="579">
        <v>37408</v>
      </c>
      <c r="B12" s="580">
        <f t="shared" si="0"/>
        <v>-677.56592786819522</v>
      </c>
      <c r="C12" s="576">
        <f t="shared" si="1"/>
        <v>668.40872829061379</v>
      </c>
      <c r="D12" s="576"/>
      <c r="E12" s="576">
        <f t="shared" si="2"/>
        <v>-677.10338978840434</v>
      </c>
      <c r="F12" s="576">
        <f t="shared" si="3"/>
        <v>667.82707335567011</v>
      </c>
      <c r="G12" s="577"/>
      <c r="H12" s="577">
        <f>LongTerm83!G24*('Phillip Delta Positions'!A13-'Phillip Delta Positions'!A12)</f>
        <v>6684087.2829061383</v>
      </c>
      <c r="I12" s="577">
        <f>LongTerm83!S24</f>
        <v>-6771033.8978840439</v>
      </c>
      <c r="J12" s="577">
        <f>LongTerm83!T24</f>
        <v>6678270.7335567009</v>
      </c>
    </row>
    <row r="13" spans="1:10" x14ac:dyDescent="0.25">
      <c r="A13" s="579">
        <v>37438</v>
      </c>
      <c r="B13" s="580">
        <f t="shared" si="0"/>
        <v>-698.8413042863358</v>
      </c>
      <c r="C13" s="576">
        <f t="shared" si="1"/>
        <v>689.39657126007273</v>
      </c>
      <c r="D13" s="576"/>
      <c r="E13" s="576">
        <f t="shared" si="2"/>
        <v>-697.76851506760886</v>
      </c>
      <c r="F13" s="576">
        <f t="shared" si="3"/>
        <v>688.20908640927962</v>
      </c>
      <c r="G13" s="577"/>
      <c r="H13" s="577">
        <f>LongTerm83!G25*('Phillip Delta Positions'!A14-'Phillip Delta Positions'!A13)</f>
        <v>6893965.7126007276</v>
      </c>
      <c r="I13" s="577">
        <f>LongTerm83!S25</f>
        <v>-6977685.1506760884</v>
      </c>
      <c r="J13" s="577">
        <f>LongTerm83!T25</f>
        <v>6882090.8640927961</v>
      </c>
    </row>
    <row r="14" spans="1:10" x14ac:dyDescent="0.25">
      <c r="A14" s="579">
        <v>37469</v>
      </c>
      <c r="B14" s="580">
        <f t="shared" si="0"/>
        <v>-697.3469387273077</v>
      </c>
      <c r="C14" s="576">
        <f t="shared" si="1"/>
        <v>687.92240182234161</v>
      </c>
      <c r="D14" s="576"/>
      <c r="E14" s="576">
        <f t="shared" si="2"/>
        <v>-695.23012100159372</v>
      </c>
      <c r="F14" s="576">
        <f t="shared" si="3"/>
        <v>685.70546834101719</v>
      </c>
      <c r="G14" s="577"/>
      <c r="H14" s="577">
        <f>LongTerm83!G26*('Phillip Delta Positions'!A15-'Phillip Delta Positions'!A14)</f>
        <v>6879224.0182234161</v>
      </c>
      <c r="I14" s="577">
        <f>LongTerm83!S26</f>
        <v>-6952301.2100159368</v>
      </c>
      <c r="J14" s="577">
        <f>LongTerm83!T26</f>
        <v>6857054.6834101724</v>
      </c>
    </row>
    <row r="15" spans="1:10" x14ac:dyDescent="0.25">
      <c r="A15" s="579">
        <v>37500</v>
      </c>
      <c r="B15" s="580">
        <f t="shared" si="0"/>
        <v>-673.33691467106439</v>
      </c>
      <c r="C15" s="576">
        <f t="shared" si="1"/>
        <v>664.23686955811809</v>
      </c>
      <c r="D15" s="576"/>
      <c r="E15" s="576">
        <f t="shared" si="2"/>
        <v>-671.4139906104291</v>
      </c>
      <c r="F15" s="576">
        <f t="shared" si="3"/>
        <v>662.2156189283229</v>
      </c>
      <c r="G15" s="577"/>
      <c r="H15" s="577">
        <f>LongTerm83!G27*('Phillip Delta Positions'!A16-'Phillip Delta Positions'!A15)</f>
        <v>6642368.695581181</v>
      </c>
      <c r="I15" s="577">
        <f>LongTerm83!S27</f>
        <v>-6714139.9061042909</v>
      </c>
      <c r="J15" s="577">
        <f>LongTerm83!T27</f>
        <v>6622156.1892832294</v>
      </c>
    </row>
    <row r="16" spans="1:10" x14ac:dyDescent="0.25">
      <c r="A16" s="579">
        <v>37530</v>
      </c>
      <c r="B16" s="580">
        <f t="shared" si="0"/>
        <v>-694.14657609031951</v>
      </c>
      <c r="C16" s="576">
        <f t="shared" si="1"/>
        <v>684.76529159546169</v>
      </c>
      <c r="D16" s="576"/>
      <c r="E16" s="576">
        <f t="shared" si="2"/>
        <v>-690.38660405167775</v>
      </c>
      <c r="F16" s="576">
        <f t="shared" si="3"/>
        <v>680.9283075783901</v>
      </c>
      <c r="G16" s="577"/>
      <c r="H16" s="577">
        <f>LongTerm83!G28*('Phillip Delta Positions'!A17-'Phillip Delta Positions'!A16)</f>
        <v>6847652.9159546169</v>
      </c>
      <c r="I16" s="577">
        <f>LongTerm83!S28</f>
        <v>-6903866.0405167779</v>
      </c>
      <c r="J16" s="577">
        <f>LongTerm83!T28</f>
        <v>6809283.0757839009</v>
      </c>
    </row>
    <row r="17" spans="1:10" x14ac:dyDescent="0.25">
      <c r="A17" s="579">
        <v>37561</v>
      </c>
      <c r="B17" s="580">
        <f t="shared" si="0"/>
        <v>-803.95612726210584</v>
      </c>
      <c r="C17" s="576">
        <f t="shared" si="1"/>
        <v>793.09078352777522</v>
      </c>
      <c r="D17" s="576"/>
      <c r="E17" s="576">
        <f t="shared" si="2"/>
        <v>-795.93313825255643</v>
      </c>
      <c r="F17" s="576">
        <f t="shared" si="3"/>
        <v>785.0288542572066</v>
      </c>
      <c r="G17" s="577"/>
      <c r="H17" s="577">
        <f>LongTerm83!G29*('Phillip Delta Positions'!A18-'Phillip Delta Positions'!A17)</f>
        <v>7930907.835277752</v>
      </c>
      <c r="I17" s="577">
        <f>LongTerm83!S29</f>
        <v>-7959331.3825255642</v>
      </c>
      <c r="J17" s="577">
        <f>LongTerm83!T29</f>
        <v>7850288.5425720662</v>
      </c>
    </row>
    <row r="18" spans="1:10" x14ac:dyDescent="0.25">
      <c r="A18" s="579">
        <v>37591</v>
      </c>
      <c r="B18" s="580">
        <f t="shared" si="0"/>
        <v>-690.41386322744449</v>
      </c>
      <c r="C18" s="576">
        <f t="shared" si="1"/>
        <v>681.08302577433608</v>
      </c>
      <c r="D18" s="576"/>
      <c r="E18" s="576">
        <f t="shared" si="2"/>
        <v>-684.18402636772203</v>
      </c>
      <c r="F18" s="576">
        <f t="shared" si="3"/>
        <v>674.81070520727644</v>
      </c>
      <c r="G18" s="577"/>
      <c r="H18" s="577">
        <f>LongTerm83!G30*31</f>
        <v>6810830.2577433605</v>
      </c>
      <c r="I18" s="577">
        <f>LongTerm83!S30</f>
        <v>-6841840.2636772199</v>
      </c>
      <c r="J18" s="577">
        <f>LongTerm83!T30</f>
        <v>6748107.0520727644</v>
      </c>
    </row>
    <row r="19" spans="1:10" x14ac:dyDescent="0.25">
      <c r="A19" s="575"/>
      <c r="B19" s="576"/>
      <c r="C19" s="576"/>
      <c r="D19" s="576"/>
      <c r="E19" s="576"/>
      <c r="F19" s="576"/>
      <c r="G19" s="577"/>
      <c r="H19" s="578"/>
      <c r="I19" s="577"/>
      <c r="J19" s="577"/>
    </row>
    <row r="20" spans="1:10" x14ac:dyDescent="0.25">
      <c r="A20" s="575"/>
      <c r="B20" s="576"/>
      <c r="C20" s="576"/>
      <c r="D20" s="576"/>
      <c r="E20" s="576"/>
      <c r="F20" s="576"/>
      <c r="G20" s="577"/>
      <c r="H20" s="578"/>
      <c r="I20" s="577"/>
      <c r="J20" s="577"/>
    </row>
    <row r="21" spans="1:10" x14ac:dyDescent="0.25">
      <c r="A21" s="575"/>
      <c r="B21" s="576"/>
      <c r="C21" s="576"/>
      <c r="D21" s="576"/>
      <c r="E21" s="576"/>
      <c r="F21" s="576"/>
      <c r="G21" s="577"/>
      <c r="H21" s="578"/>
      <c r="I21" s="577"/>
      <c r="J21" s="577"/>
    </row>
    <row r="22" spans="1:10" x14ac:dyDescent="0.25">
      <c r="A22" s="575"/>
      <c r="B22" s="576"/>
      <c r="C22" s="576"/>
      <c r="D22" s="576"/>
      <c r="E22" s="576"/>
      <c r="F22" s="576"/>
      <c r="G22" s="577"/>
      <c r="H22" s="578"/>
      <c r="I22" s="577"/>
      <c r="J22" s="577"/>
    </row>
    <row r="23" spans="1:10" x14ac:dyDescent="0.25">
      <c r="A23" s="575"/>
      <c r="B23" s="576"/>
      <c r="C23" s="576"/>
      <c r="D23" s="576"/>
      <c r="E23" s="576"/>
      <c r="F23" s="576"/>
      <c r="G23" s="577"/>
      <c r="H23" s="578"/>
      <c r="I23" s="577"/>
      <c r="J23" s="577"/>
    </row>
    <row r="24" spans="1:10" x14ac:dyDescent="0.25">
      <c r="A24" s="575"/>
      <c r="B24" s="576"/>
      <c r="C24" s="576"/>
      <c r="D24" s="576"/>
      <c r="E24" s="576"/>
      <c r="F24" s="576"/>
      <c r="G24" s="577"/>
      <c r="H24" s="578"/>
      <c r="I24" s="577"/>
      <c r="J24" s="577"/>
    </row>
    <row r="25" spans="1:10" x14ac:dyDescent="0.25">
      <c r="A25" s="575"/>
      <c r="B25" s="576"/>
      <c r="C25" s="576"/>
      <c r="D25" s="576"/>
      <c r="E25" s="576"/>
      <c r="F25" s="576"/>
      <c r="G25" s="577"/>
      <c r="H25" s="578"/>
      <c r="I25" s="577"/>
      <c r="J25" s="577"/>
    </row>
    <row r="26" spans="1:10" x14ac:dyDescent="0.25">
      <c r="A26" s="575"/>
      <c r="B26" s="576"/>
      <c r="C26" s="576"/>
      <c r="D26" s="576"/>
      <c r="E26" s="576"/>
      <c r="F26" s="576"/>
      <c r="G26" s="577"/>
      <c r="H26" s="578"/>
      <c r="I26" s="577"/>
      <c r="J26" s="577"/>
    </row>
    <row r="27" spans="1:10" x14ac:dyDescent="0.25">
      <c r="A27" s="575"/>
      <c r="B27" s="576"/>
      <c r="C27" s="576"/>
      <c r="D27" s="576"/>
      <c r="E27" s="576"/>
      <c r="F27" s="576"/>
      <c r="G27" s="577"/>
      <c r="H27" s="578"/>
      <c r="I27" s="577"/>
      <c r="J27" s="577"/>
    </row>
    <row r="28" spans="1:10" x14ac:dyDescent="0.25">
      <c r="A28" s="575"/>
      <c r="B28" s="576"/>
      <c r="C28" s="576"/>
      <c r="D28" s="576"/>
      <c r="E28" s="576"/>
      <c r="F28" s="576"/>
      <c r="G28" s="577"/>
      <c r="H28" s="578"/>
      <c r="I28" s="577"/>
      <c r="J28" s="577"/>
    </row>
    <row r="29" spans="1:10" x14ac:dyDescent="0.25">
      <c r="A29" s="575"/>
      <c r="B29" s="576"/>
      <c r="C29" s="576"/>
      <c r="D29" s="576"/>
      <c r="E29" s="576"/>
      <c r="F29" s="576"/>
      <c r="G29" s="577"/>
      <c r="H29" s="578"/>
      <c r="I29" s="577"/>
      <c r="J29" s="577"/>
    </row>
    <row r="30" spans="1:10" x14ac:dyDescent="0.25">
      <c r="A30" s="575"/>
      <c r="B30" s="576"/>
      <c r="C30" s="576"/>
      <c r="D30" s="576"/>
      <c r="E30" s="576"/>
      <c r="F30" s="576"/>
      <c r="G30" s="577"/>
      <c r="H30" s="578"/>
      <c r="I30" s="577"/>
      <c r="J30" s="577"/>
    </row>
    <row r="31" spans="1:10" x14ac:dyDescent="0.25">
      <c r="A31" s="575"/>
      <c r="B31" s="576"/>
      <c r="C31" s="576"/>
      <c r="D31" s="576"/>
      <c r="E31" s="576"/>
      <c r="F31" s="576"/>
      <c r="G31" s="577"/>
      <c r="H31" s="578"/>
      <c r="I31" s="577"/>
      <c r="J31" s="577"/>
    </row>
    <row r="32" spans="1:10" x14ac:dyDescent="0.25">
      <c r="A32" s="575"/>
      <c r="B32" s="576"/>
      <c r="C32" s="576"/>
      <c r="D32" s="576"/>
      <c r="E32" s="576"/>
      <c r="F32" s="576"/>
      <c r="G32" s="577"/>
      <c r="H32" s="578"/>
      <c r="I32" s="577"/>
      <c r="J32" s="577"/>
    </row>
    <row r="33" spans="1:10" x14ac:dyDescent="0.25">
      <c r="A33" s="575"/>
      <c r="B33" s="576"/>
      <c r="C33" s="576"/>
      <c r="D33" s="576"/>
      <c r="E33" s="576"/>
      <c r="F33" s="576"/>
      <c r="G33" s="577"/>
      <c r="H33" s="578"/>
      <c r="I33" s="577"/>
      <c r="J33" s="577"/>
    </row>
    <row r="34" spans="1:10" x14ac:dyDescent="0.25">
      <c r="A34" s="575"/>
      <c r="B34" s="576"/>
      <c r="C34" s="576"/>
      <c r="D34" s="576"/>
      <c r="E34" s="576"/>
      <c r="F34" s="576"/>
      <c r="G34" s="577"/>
      <c r="H34" s="578"/>
      <c r="I34" s="577"/>
      <c r="J34" s="577"/>
    </row>
    <row r="35" spans="1:10" x14ac:dyDescent="0.25">
      <c r="A35" s="575"/>
      <c r="B35" s="576"/>
      <c r="C35" s="576"/>
      <c r="D35" s="576"/>
      <c r="E35" s="576"/>
      <c r="F35" s="576"/>
      <c r="G35" s="577"/>
      <c r="H35" s="578"/>
      <c r="I35" s="577"/>
      <c r="J35" s="577"/>
    </row>
    <row r="36" spans="1:10" x14ac:dyDescent="0.25">
      <c r="A36" s="575"/>
      <c r="B36" s="576"/>
      <c r="C36" s="576"/>
      <c r="D36" s="576"/>
      <c r="E36" s="576"/>
      <c r="F36" s="576"/>
      <c r="G36" s="577"/>
      <c r="H36" s="578"/>
      <c r="I36" s="577"/>
      <c r="J36" s="577"/>
    </row>
    <row r="37" spans="1:10" x14ac:dyDescent="0.25">
      <c r="A37" s="575"/>
      <c r="B37" s="576"/>
      <c r="C37" s="576"/>
      <c r="D37" s="576"/>
      <c r="E37" s="576"/>
      <c r="F37" s="576"/>
      <c r="G37" s="577"/>
      <c r="H37" s="578"/>
      <c r="I37" s="577"/>
      <c r="J37" s="577"/>
    </row>
    <row r="38" spans="1:10" x14ac:dyDescent="0.25">
      <c r="A38" s="575"/>
      <c r="B38" s="576"/>
      <c r="C38" s="576"/>
      <c r="D38" s="576"/>
      <c r="E38" s="576"/>
      <c r="F38" s="576"/>
      <c r="G38" s="577"/>
      <c r="H38" s="578"/>
      <c r="I38" s="577"/>
      <c r="J38" s="577"/>
    </row>
    <row r="39" spans="1:10" x14ac:dyDescent="0.25">
      <c r="A39" s="575"/>
      <c r="B39" s="576"/>
      <c r="C39" s="576"/>
      <c r="D39" s="576"/>
      <c r="E39" s="576"/>
      <c r="F39" s="576"/>
      <c r="G39" s="577"/>
      <c r="H39" s="578"/>
      <c r="I39" s="577"/>
      <c r="J39" s="577"/>
    </row>
    <row r="40" spans="1:10" x14ac:dyDescent="0.25">
      <c r="A40" s="575"/>
      <c r="B40" s="576"/>
      <c r="C40" s="576"/>
      <c r="D40" s="576"/>
      <c r="E40" s="576"/>
      <c r="F40" s="576"/>
      <c r="G40" s="577"/>
      <c r="H40" s="578"/>
      <c r="I40" s="577"/>
      <c r="J40" s="577"/>
    </row>
  </sheetData>
  <phoneticPr fontId="0" type="noConversion"/>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pageSetUpPr fitToPage="1"/>
  </sheetPr>
  <dimension ref="A1:AE281"/>
  <sheetViews>
    <sheetView zoomScale="80" workbookViewId="0">
      <pane ySplit="3" topLeftCell="A4" activePane="bottomLeft" state="frozen"/>
      <selection activeCell="S37" sqref="S37"/>
      <selection pane="bottomLeft" activeCell="D2" sqref="D2"/>
    </sheetView>
  </sheetViews>
  <sheetFormatPr defaultRowHeight="13.2" x14ac:dyDescent="0.25"/>
  <cols>
    <col min="5" max="5" width="5.88671875" customWidth="1"/>
    <col min="9" max="9" width="6.109375" customWidth="1"/>
    <col min="11" max="13" width="10" style="371" customWidth="1"/>
    <col min="19" max="19" width="7.5546875" customWidth="1"/>
    <col min="20" max="20" width="10.88671875" customWidth="1"/>
    <col min="21" max="21" width="14.109375" customWidth="1"/>
    <col min="22" max="22" width="11.6640625" customWidth="1"/>
    <col min="23" max="23" width="10.109375" customWidth="1"/>
    <col min="24" max="24" width="7.44140625" customWidth="1"/>
    <col min="28" max="28" width="20.109375" customWidth="1"/>
  </cols>
  <sheetData>
    <row r="1" spans="1:31" ht="15.6" x14ac:dyDescent="0.3">
      <c r="B1" s="701" t="s">
        <v>589</v>
      </c>
      <c r="C1" s="701"/>
      <c r="D1" s="701"/>
      <c r="F1" s="701"/>
      <c r="G1" s="701"/>
      <c r="H1" s="701"/>
      <c r="J1" s="375"/>
      <c r="K1" s="370" t="s">
        <v>595</v>
      </c>
      <c r="O1" s="389" t="s">
        <v>596</v>
      </c>
      <c r="P1" s="331"/>
      <c r="Q1" s="331"/>
      <c r="S1" s="376"/>
      <c r="T1" s="388" t="s">
        <v>597</v>
      </c>
      <c r="U1" s="377"/>
      <c r="V1" s="377"/>
      <c r="W1" s="377"/>
      <c r="X1" s="378"/>
    </row>
    <row r="2" spans="1:31" x14ac:dyDescent="0.25">
      <c r="C2" t="s">
        <v>4</v>
      </c>
      <c r="D2" t="s">
        <v>3</v>
      </c>
      <c r="S2" s="379"/>
      <c r="T2" s="380"/>
      <c r="U2" s="380"/>
      <c r="V2" s="380"/>
      <c r="W2" s="380"/>
      <c r="X2" s="381"/>
    </row>
    <row r="3" spans="1:31" x14ac:dyDescent="0.25">
      <c r="B3" t="s">
        <v>574</v>
      </c>
      <c r="C3" t="s">
        <v>590</v>
      </c>
      <c r="D3" t="s">
        <v>591</v>
      </c>
      <c r="K3" s="370" t="s">
        <v>592</v>
      </c>
      <c r="L3" s="370" t="s">
        <v>593</v>
      </c>
      <c r="M3" s="370" t="s">
        <v>594</v>
      </c>
      <c r="O3" s="370" t="s">
        <v>592</v>
      </c>
      <c r="P3" s="370" t="s">
        <v>593</v>
      </c>
      <c r="Q3" s="370" t="s">
        <v>594</v>
      </c>
      <c r="R3" s="370"/>
      <c r="S3" s="382"/>
      <c r="T3" s="380"/>
      <c r="U3" s="383" t="s">
        <v>592</v>
      </c>
      <c r="V3" s="383" t="s">
        <v>593</v>
      </c>
      <c r="W3" s="383" t="s">
        <v>594</v>
      </c>
      <c r="X3" s="381"/>
      <c r="AB3" s="371"/>
      <c r="AC3" s="371"/>
      <c r="AD3" s="371"/>
    </row>
    <row r="4" spans="1:31" x14ac:dyDescent="0.25">
      <c r="A4" s="368">
        <v>37196</v>
      </c>
      <c r="B4" s="369">
        <f>(LongTerm10!BM22+LongTerm10!BL22/(1-LongTerm10!AR22))*(LongTerm10!F22*LongTerm10!AF22*LongTerm10!AH22)/10000</f>
        <v>-0.25132230585571547</v>
      </c>
      <c r="C4" s="369">
        <f>LongTerm10!BM22*(LongTerm10!F22*LongTerm10!AF22*LongTerm10!AH22)/10000</f>
        <v>28.378486399889166</v>
      </c>
      <c r="D4" s="369">
        <f>(LongTerm10!BL22/(1-LongTerm10!AR22))*(LongTerm10!F22*LongTerm10!AF22*LongTerm10!AH22)/10000</f>
        <v>-28.629808705744882</v>
      </c>
      <c r="F4" s="369"/>
      <c r="G4" s="369"/>
      <c r="H4" s="369"/>
      <c r="J4" s="368">
        <f>A4</f>
        <v>37196</v>
      </c>
      <c r="K4" s="374">
        <f>B4</f>
        <v>-0.25132230585571547</v>
      </c>
      <c r="L4" s="374">
        <f>D4</f>
        <v>-28.629808705744882</v>
      </c>
      <c r="M4" s="374">
        <f>C4</f>
        <v>28.378486399889166</v>
      </c>
      <c r="N4" s="368">
        <v>37196</v>
      </c>
      <c r="O4" s="395">
        <v>0</v>
      </c>
      <c r="P4" s="395">
        <v>21.575008520000004</v>
      </c>
      <c r="Q4" s="395">
        <v>-23.291429180000002</v>
      </c>
      <c r="S4" s="379"/>
      <c r="T4" s="396">
        <f>A4</f>
        <v>37196</v>
      </c>
      <c r="U4" s="431">
        <f t="shared" ref="U4:U12" si="0">O4+K4</f>
        <v>-0.25132230585571547</v>
      </c>
      <c r="V4" s="431">
        <f t="shared" ref="V4:V12" si="1">P4+L4</f>
        <v>-7.0548001857448774</v>
      </c>
      <c r="W4" s="431">
        <f t="shared" ref="W4:W12" si="2">Q4+M4</f>
        <v>5.0870572198891644</v>
      </c>
      <c r="X4" s="381"/>
      <c r="Z4" s="410"/>
      <c r="AA4" s="410"/>
      <c r="AB4" s="410"/>
    </row>
    <row r="5" spans="1:31" x14ac:dyDescent="0.25">
      <c r="A5" s="368">
        <v>37226</v>
      </c>
      <c r="B5" s="369">
        <f>(LongTerm10!BM23+LongTerm10!BL23/(1-LongTerm10!AR23))*(LongTerm10!F23*LongTerm10!AF23*LongTerm10!AH23)/10000</f>
        <v>-0.16216618518993356</v>
      </c>
      <c r="C5" s="369">
        <f>LongTerm10!BM23*(LongTerm10!F23*LongTerm10!AF23*LongTerm10!AH23)/10000</f>
        <v>25.269424887666009</v>
      </c>
      <c r="D5" s="369">
        <f>(LongTerm10!BL23/(1-LongTerm10!AR23))*(LongTerm10!F23*LongTerm10!AF23*LongTerm10!AH23)/10000</f>
        <v>-25.431591072855944</v>
      </c>
      <c r="F5" s="369"/>
      <c r="G5" s="369"/>
      <c r="H5" s="369"/>
      <c r="J5" s="368">
        <f t="shared" ref="J5:J12" si="3">A5</f>
        <v>37226</v>
      </c>
      <c r="K5" s="374">
        <f t="shared" ref="K5:K12" si="4">B5</f>
        <v>-0.16216618518993356</v>
      </c>
      <c r="L5" s="374">
        <f t="shared" ref="L5:L12" si="5">D5</f>
        <v>-25.431591072855944</v>
      </c>
      <c r="M5" s="374">
        <f t="shared" ref="M5:M12" si="6">C5</f>
        <v>25.269424887666009</v>
      </c>
      <c r="N5" s="368">
        <v>37226</v>
      </c>
      <c r="O5" s="395">
        <v>0</v>
      </c>
      <c r="P5" s="395">
        <v>20.584431330000005</v>
      </c>
      <c r="Q5" s="395">
        <v>-20.41513509</v>
      </c>
      <c r="S5" s="379"/>
      <c r="T5" s="396">
        <f t="shared" ref="T5:T12" si="7">A5</f>
        <v>37226</v>
      </c>
      <c r="U5" s="431">
        <f t="shared" si="0"/>
        <v>-0.16216618518993356</v>
      </c>
      <c r="V5" s="431">
        <f t="shared" si="1"/>
        <v>-4.8471597428559399</v>
      </c>
      <c r="W5" s="431">
        <f t="shared" si="2"/>
        <v>4.8542897976660093</v>
      </c>
      <c r="X5" s="381"/>
      <c r="Z5" s="411"/>
      <c r="AA5" s="411"/>
      <c r="AB5" s="412"/>
    </row>
    <row r="6" spans="1:31" x14ac:dyDescent="0.25">
      <c r="A6" s="368">
        <v>37257</v>
      </c>
      <c r="B6" s="369">
        <f>(LongTerm10!BM24+LongTerm10!BL24/(1-LongTerm10!AR24))*(LongTerm10!F24*LongTerm10!AF24*LongTerm10!AH24)/10000</f>
        <v>-0.77055435537405415</v>
      </c>
      <c r="C6" s="369">
        <f>LongTerm10!BM24*(LongTerm10!F24*LongTerm10!AF24*LongTerm10!AH24)/10000</f>
        <v>35.641702451904528</v>
      </c>
      <c r="D6" s="369">
        <f>(LongTerm10!BL24/(1-LongTerm10!AR24))*(LongTerm10!F24*LongTerm10!AF24*LongTerm10!AH24)/10000</f>
        <v>-36.412256807278588</v>
      </c>
      <c r="F6" s="369"/>
      <c r="G6" s="369"/>
      <c r="H6" s="369"/>
      <c r="J6" s="368">
        <f t="shared" si="3"/>
        <v>37257</v>
      </c>
      <c r="K6" s="374">
        <f t="shared" si="4"/>
        <v>-0.77055435537405415</v>
      </c>
      <c r="L6" s="374">
        <f t="shared" si="5"/>
        <v>-36.412256807278588</v>
      </c>
      <c r="M6" s="374">
        <f t="shared" si="6"/>
        <v>35.641702451904528</v>
      </c>
      <c r="N6" s="368">
        <v>37257</v>
      </c>
      <c r="O6" s="395">
        <v>0</v>
      </c>
      <c r="P6" s="395">
        <v>18.68281824</v>
      </c>
      <c r="Q6" s="395">
        <v>-18.911384629999997</v>
      </c>
      <c r="S6" s="379"/>
      <c r="T6" s="396">
        <f t="shared" si="7"/>
        <v>37257</v>
      </c>
      <c r="U6" s="431">
        <f t="shared" si="0"/>
        <v>-0.77055435537405415</v>
      </c>
      <c r="V6" s="431">
        <f t="shared" si="1"/>
        <v>-17.729438567278589</v>
      </c>
      <c r="W6" s="431">
        <f t="shared" si="2"/>
        <v>16.730317821904531</v>
      </c>
      <c r="X6" s="381"/>
    </row>
    <row r="7" spans="1:31" x14ac:dyDescent="0.25">
      <c r="A7" s="368">
        <v>37288</v>
      </c>
      <c r="B7" s="369">
        <f>(LongTerm10!BM25+LongTerm10!BL25/(1-LongTerm10!AR25))*(LongTerm10!F25*LongTerm10!AF25*LongTerm10!AH25)/10000</f>
        <v>-1.0299917522318549</v>
      </c>
      <c r="C7" s="369">
        <f>LongTerm10!BM25*(LongTerm10!F25*LongTerm10!AF25*LongTerm10!AH25)/10000</f>
        <v>40.246548182762901</v>
      </c>
      <c r="D7" s="369">
        <f>(LongTerm10!BL25/(1-LongTerm10!AR25))*(LongTerm10!F25*LongTerm10!AF25*LongTerm10!AH25)/10000</f>
        <v>-41.276539934994759</v>
      </c>
      <c r="F7" s="369"/>
      <c r="G7" s="369"/>
      <c r="H7" s="369"/>
      <c r="J7" s="368">
        <f t="shared" si="3"/>
        <v>37288</v>
      </c>
      <c r="K7" s="374">
        <f t="shared" si="4"/>
        <v>-1.0299917522318549</v>
      </c>
      <c r="L7" s="374">
        <f t="shared" si="5"/>
        <v>-41.276539934994759</v>
      </c>
      <c r="M7" s="374">
        <f t="shared" si="6"/>
        <v>40.246548182762901</v>
      </c>
      <c r="N7" s="368">
        <v>37288</v>
      </c>
      <c r="O7" s="395">
        <v>0</v>
      </c>
      <c r="P7" s="395">
        <v>17.087730990000001</v>
      </c>
      <c r="Q7" s="395">
        <v>-16.889382399999999</v>
      </c>
      <c r="S7" s="379"/>
      <c r="T7" s="396">
        <f t="shared" si="7"/>
        <v>37288</v>
      </c>
      <c r="U7" s="431">
        <f t="shared" si="0"/>
        <v>-1.0299917522318549</v>
      </c>
      <c r="V7" s="431">
        <f t="shared" si="1"/>
        <v>-24.188808944994758</v>
      </c>
      <c r="W7" s="431">
        <f t="shared" si="2"/>
        <v>23.357165782762902</v>
      </c>
      <c r="X7" s="381"/>
    </row>
    <row r="8" spans="1:31" x14ac:dyDescent="0.25">
      <c r="A8" s="368">
        <v>37316</v>
      </c>
      <c r="B8" s="369">
        <f>(LongTerm10!BM26+LongTerm10!BL26/(1-LongTerm10!AR26))*(LongTerm10!F26*LongTerm10!AF26*LongTerm10!AH26)/10000</f>
        <v>0.29675134615933596</v>
      </c>
      <c r="C8" s="369">
        <f>LongTerm10!BM26*(LongTerm10!F26*LongTerm10!AF26*LongTerm10!AH26)/10000</f>
        <v>34.879664646436737</v>
      </c>
      <c r="D8" s="369">
        <f>(LongTerm10!BL26/(1-LongTerm10!AR26))*(LongTerm10!F26*LongTerm10!AF26*LongTerm10!AH26)/10000</f>
        <v>-34.582913300277404</v>
      </c>
      <c r="F8" s="372"/>
      <c r="G8" s="372"/>
      <c r="H8" s="372"/>
      <c r="I8" s="328"/>
      <c r="J8" s="368">
        <f t="shared" si="3"/>
        <v>37316</v>
      </c>
      <c r="K8" s="374">
        <f t="shared" si="4"/>
        <v>0.29675134615933596</v>
      </c>
      <c r="L8" s="374">
        <f t="shared" si="5"/>
        <v>-34.582913300277404</v>
      </c>
      <c r="M8" s="374">
        <f t="shared" si="6"/>
        <v>34.879664646436737</v>
      </c>
      <c r="N8" s="368">
        <v>37316</v>
      </c>
      <c r="O8" s="395">
        <v>0</v>
      </c>
      <c r="P8" s="395">
        <v>17.868877370000003</v>
      </c>
      <c r="Q8" s="395">
        <v>-17.86887737</v>
      </c>
      <c r="S8" s="379"/>
      <c r="T8" s="396">
        <f t="shared" si="7"/>
        <v>37316</v>
      </c>
      <c r="U8" s="431">
        <f t="shared" si="0"/>
        <v>0.29675134615933596</v>
      </c>
      <c r="V8" s="431">
        <f t="shared" si="1"/>
        <v>-16.714035930277401</v>
      </c>
      <c r="W8" s="431">
        <f t="shared" si="2"/>
        <v>17.010787276436737</v>
      </c>
      <c r="X8" s="381"/>
    </row>
    <row r="9" spans="1:31" x14ac:dyDescent="0.25">
      <c r="A9" s="368">
        <v>37347</v>
      </c>
      <c r="B9" s="369">
        <f>(LongTerm10!BM27+LongTerm10!BL27/(1-LongTerm10!AR27))*(LongTerm10!F27*LongTerm10!AF27*LongTerm10!AH27)/10000</f>
        <v>0.65408419240489513</v>
      </c>
      <c r="C9" s="369">
        <f>LongTerm10!BM27*(LongTerm10!F27*LongTerm10!AF27*LongTerm10!AH27)/10000</f>
        <v>32.745321260876665</v>
      </c>
      <c r="D9" s="369">
        <f>(LongTerm10!BL27/(1-LongTerm10!AR27))*(LongTerm10!F27*LongTerm10!AF27*LongTerm10!AH27)/10000</f>
        <v>-32.09123706847177</v>
      </c>
      <c r="F9" s="372"/>
      <c r="G9" s="372"/>
      <c r="H9" s="372"/>
      <c r="I9" s="328"/>
      <c r="J9" s="368">
        <f t="shared" si="3"/>
        <v>37347</v>
      </c>
      <c r="K9" s="374">
        <f t="shared" si="4"/>
        <v>0.65408419240489513</v>
      </c>
      <c r="L9" s="374">
        <f t="shared" si="5"/>
        <v>-32.09123706847177</v>
      </c>
      <c r="M9" s="374">
        <f t="shared" si="6"/>
        <v>32.745321260876665</v>
      </c>
      <c r="N9" s="368">
        <v>37347</v>
      </c>
      <c r="O9" s="395">
        <v>0</v>
      </c>
      <c r="P9" s="395">
        <v>19.45343793</v>
      </c>
      <c r="Q9" s="395">
        <v>-19.720194059999997</v>
      </c>
      <c r="S9" s="379"/>
      <c r="T9" s="396">
        <f t="shared" si="7"/>
        <v>37347</v>
      </c>
      <c r="U9" s="431">
        <f t="shared" si="0"/>
        <v>0.65408419240489513</v>
      </c>
      <c r="V9" s="431">
        <f t="shared" si="1"/>
        <v>-12.63779913847177</v>
      </c>
      <c r="W9" s="431">
        <f t="shared" si="2"/>
        <v>13.025127200876668</v>
      </c>
      <c r="X9" s="381"/>
    </row>
    <row r="10" spans="1:31" x14ac:dyDescent="0.25">
      <c r="A10" s="368">
        <v>37377</v>
      </c>
      <c r="B10" s="369">
        <f>(LongTerm10!BM28+LongTerm10!BL28/(1-LongTerm10!AR28))*(LongTerm10!F28*LongTerm10!AF28*LongTerm10!AH28)/10000</f>
        <v>7.5428235670619417E-2</v>
      </c>
      <c r="C10" s="369">
        <f>LongTerm10!BM28*(LongTerm10!F28*LongTerm10!AF28*LongTerm10!AH28)/10000</f>
        <v>35.62833519483538</v>
      </c>
      <c r="D10" s="369">
        <f>(LongTerm10!BL28/(1-LongTerm10!AR28))*(LongTerm10!F28*LongTerm10!AF28*LongTerm10!AH28)/10000</f>
        <v>-35.552906959164766</v>
      </c>
      <c r="F10" s="369"/>
      <c r="G10" s="369"/>
      <c r="H10" s="369"/>
      <c r="J10" s="368">
        <f t="shared" si="3"/>
        <v>37377</v>
      </c>
      <c r="K10" s="374">
        <f t="shared" si="4"/>
        <v>7.5428235670619417E-2</v>
      </c>
      <c r="L10" s="374">
        <f t="shared" si="5"/>
        <v>-35.552906959164766</v>
      </c>
      <c r="M10" s="374">
        <f t="shared" si="6"/>
        <v>35.62833519483538</v>
      </c>
      <c r="N10" s="368">
        <v>37377</v>
      </c>
      <c r="O10" s="395">
        <v>0</v>
      </c>
      <c r="P10" s="395">
        <v>23.939993789999999</v>
      </c>
      <c r="Q10" s="395">
        <v>-24.70907102</v>
      </c>
      <c r="S10" s="379"/>
      <c r="T10" s="396">
        <f t="shared" si="7"/>
        <v>37377</v>
      </c>
      <c r="U10" s="431">
        <f t="shared" si="0"/>
        <v>7.5428235670619417E-2</v>
      </c>
      <c r="V10" s="431">
        <f t="shared" si="1"/>
        <v>-11.612913169164766</v>
      </c>
      <c r="W10" s="431">
        <f t="shared" si="2"/>
        <v>10.91926417483538</v>
      </c>
      <c r="X10" s="381"/>
      <c r="Z10" s="417"/>
      <c r="AA10" s="417"/>
      <c r="AB10" s="414"/>
      <c r="AC10" s="409"/>
      <c r="AD10" s="409"/>
      <c r="AE10" s="409"/>
    </row>
    <row r="11" spans="1:31" x14ac:dyDescent="0.25">
      <c r="A11" s="368">
        <v>37408</v>
      </c>
      <c r="B11" s="369">
        <f>(LongTerm10!BM29+LongTerm10!BL29/(1-LongTerm10!AR29))*(LongTerm10!F29*LongTerm10!AF29*LongTerm10!AH29)/10000</f>
        <v>0</v>
      </c>
      <c r="C11" s="369">
        <f>LongTerm10!BM29*(LongTerm10!F29*LongTerm10!AF29*LongTerm10!AH29)/10000</f>
        <v>0</v>
      </c>
      <c r="D11" s="369">
        <f>(LongTerm10!BL29/(1-LongTerm10!AR29))*(LongTerm10!F29*LongTerm10!AF29*LongTerm10!AH29)/10000</f>
        <v>0</v>
      </c>
      <c r="F11" s="369"/>
      <c r="G11" s="369"/>
      <c r="H11" s="369"/>
      <c r="J11" s="368">
        <f t="shared" si="3"/>
        <v>37408</v>
      </c>
      <c r="K11" s="374">
        <f t="shared" si="4"/>
        <v>0</v>
      </c>
      <c r="L11" s="374">
        <f t="shared" si="5"/>
        <v>0</v>
      </c>
      <c r="M11" s="374">
        <f t="shared" si="6"/>
        <v>0</v>
      </c>
      <c r="N11" s="368">
        <v>37408</v>
      </c>
      <c r="O11" s="395">
        <v>0</v>
      </c>
      <c r="P11" s="395">
        <v>22.925915010000001</v>
      </c>
      <c r="Q11" s="395">
        <v>-23.9984149</v>
      </c>
      <c r="S11" s="379"/>
      <c r="T11" s="396">
        <f t="shared" si="7"/>
        <v>37408</v>
      </c>
      <c r="U11" s="431">
        <f t="shared" si="0"/>
        <v>0</v>
      </c>
      <c r="V11" s="431">
        <f t="shared" si="1"/>
        <v>22.925915010000001</v>
      </c>
      <c r="W11" s="431">
        <f t="shared" si="2"/>
        <v>-23.9984149</v>
      </c>
      <c r="X11" s="381"/>
      <c r="Z11" s="417"/>
      <c r="AA11" s="417"/>
      <c r="AB11" s="414"/>
      <c r="AC11" s="409"/>
      <c r="AD11" s="409"/>
      <c r="AE11" s="409"/>
    </row>
    <row r="12" spans="1:31" x14ac:dyDescent="0.25">
      <c r="A12" s="368">
        <v>37438</v>
      </c>
      <c r="B12" s="369">
        <f>(LongTerm10!BM30+LongTerm10!BL30/(1-LongTerm10!AR30))*(LongTerm10!F30*LongTerm10!AF30*LongTerm10!AH30)/10000</f>
        <v>0</v>
      </c>
      <c r="C12" s="369">
        <f>LongTerm10!BM30*(LongTerm10!F30*LongTerm10!AF30*LongTerm10!AH30)/10000</f>
        <v>0</v>
      </c>
      <c r="D12" s="369">
        <f>(LongTerm10!BL30/(1-LongTerm10!AR30))*(LongTerm10!F30*LongTerm10!AF30*LongTerm10!AH30)/10000</f>
        <v>0</v>
      </c>
      <c r="F12" s="369"/>
      <c r="G12" s="369"/>
      <c r="H12" s="369"/>
      <c r="J12" s="368">
        <f t="shared" si="3"/>
        <v>37438</v>
      </c>
      <c r="K12" s="374">
        <f t="shared" si="4"/>
        <v>0</v>
      </c>
      <c r="L12" s="374">
        <f t="shared" si="5"/>
        <v>0</v>
      </c>
      <c r="M12" s="374">
        <f t="shared" si="6"/>
        <v>0</v>
      </c>
      <c r="N12" s="368">
        <v>37438</v>
      </c>
      <c r="O12" s="395">
        <v>0</v>
      </c>
      <c r="P12" s="395">
        <v>23.673221010000002</v>
      </c>
      <c r="Q12" s="395">
        <v>-24.399815090000001</v>
      </c>
      <c r="S12" s="379"/>
      <c r="T12" s="396">
        <f t="shared" si="7"/>
        <v>37438</v>
      </c>
      <c r="U12" s="431">
        <f t="shared" si="0"/>
        <v>0</v>
      </c>
      <c r="V12" s="431">
        <f t="shared" si="1"/>
        <v>23.673221010000002</v>
      </c>
      <c r="W12" s="431">
        <f t="shared" si="2"/>
        <v>-24.399815090000001</v>
      </c>
      <c r="X12" s="381"/>
      <c r="Z12" s="417"/>
      <c r="AA12" s="417"/>
      <c r="AB12" s="414"/>
      <c r="AC12" s="409"/>
      <c r="AD12" s="409"/>
      <c r="AE12" s="409"/>
    </row>
    <row r="13" spans="1:31" x14ac:dyDescent="0.25">
      <c r="A13" s="368">
        <v>37469</v>
      </c>
      <c r="B13" s="369"/>
      <c r="C13" s="369"/>
      <c r="D13" s="369"/>
      <c r="F13" s="369"/>
      <c r="G13" s="369"/>
      <c r="H13" s="369"/>
      <c r="J13" s="368"/>
      <c r="K13" s="374"/>
      <c r="L13" s="374"/>
      <c r="M13" s="374"/>
      <c r="N13" s="368"/>
      <c r="O13" s="395"/>
      <c r="P13" s="395"/>
      <c r="Q13" s="395"/>
      <c r="S13" s="379"/>
      <c r="T13" s="396"/>
      <c r="U13" s="431"/>
      <c r="V13" s="431"/>
      <c r="W13" s="431"/>
      <c r="X13" s="381"/>
      <c r="Z13" s="417"/>
      <c r="AA13" s="417"/>
      <c r="AB13" s="414"/>
      <c r="AC13" s="409"/>
      <c r="AD13" s="409"/>
      <c r="AE13" s="409"/>
    </row>
    <row r="14" spans="1:31" x14ac:dyDescent="0.25">
      <c r="A14" s="368">
        <v>37500</v>
      </c>
      <c r="B14" s="369"/>
      <c r="C14" s="369"/>
      <c r="D14" s="369"/>
      <c r="F14" s="369"/>
      <c r="G14" s="369"/>
      <c r="H14" s="369"/>
      <c r="J14" s="368"/>
      <c r="K14" s="374"/>
      <c r="L14" s="374"/>
      <c r="M14" s="374"/>
      <c r="N14" s="368"/>
      <c r="O14" s="395"/>
      <c r="P14" s="395"/>
      <c r="Q14" s="395"/>
      <c r="S14" s="379"/>
      <c r="T14" s="396"/>
      <c r="U14" s="431"/>
      <c r="V14" s="431"/>
      <c r="W14" s="431"/>
      <c r="X14" s="381"/>
      <c r="Z14" s="417"/>
      <c r="AA14" s="417"/>
      <c r="AB14" s="414"/>
      <c r="AC14" s="409"/>
      <c r="AD14" s="409"/>
      <c r="AE14" s="409"/>
    </row>
    <row r="15" spans="1:31" x14ac:dyDescent="0.25">
      <c r="A15" s="368">
        <v>37530</v>
      </c>
      <c r="B15" s="369"/>
      <c r="C15" s="369"/>
      <c r="D15" s="369"/>
      <c r="F15" s="369"/>
      <c r="G15" s="369"/>
      <c r="H15" s="369"/>
      <c r="J15" s="368"/>
      <c r="K15" s="374"/>
      <c r="L15" s="374"/>
      <c r="M15" s="374"/>
      <c r="N15" s="368"/>
      <c r="O15" s="395"/>
      <c r="P15" s="395"/>
      <c r="Q15" s="395"/>
      <c r="S15" s="379"/>
      <c r="T15" s="396"/>
      <c r="U15" s="431"/>
      <c r="V15" s="431"/>
      <c r="W15" s="431"/>
      <c r="X15" s="381"/>
      <c r="Z15" s="417"/>
      <c r="AA15" s="417"/>
      <c r="AB15" s="414"/>
      <c r="AC15" s="409"/>
      <c r="AD15" s="409"/>
      <c r="AE15" s="409"/>
    </row>
    <row r="16" spans="1:31" x14ac:dyDescent="0.25">
      <c r="A16" s="368">
        <v>37561</v>
      </c>
      <c r="B16" s="369"/>
      <c r="C16" s="369"/>
      <c r="D16" s="369"/>
      <c r="F16" s="369"/>
      <c r="G16" s="369"/>
      <c r="H16" s="369"/>
      <c r="J16" s="368"/>
      <c r="K16" s="374"/>
      <c r="L16" s="374"/>
      <c r="M16" s="374"/>
      <c r="N16" s="368"/>
      <c r="O16" s="395"/>
      <c r="P16" s="395"/>
      <c r="Q16" s="395"/>
      <c r="S16" s="379"/>
      <c r="T16" s="396"/>
      <c r="U16" s="431"/>
      <c r="V16" s="431"/>
      <c r="W16" s="431"/>
      <c r="X16" s="381"/>
      <c r="Z16" s="417"/>
      <c r="AA16" s="417"/>
      <c r="AB16" s="414"/>
      <c r="AC16" s="409"/>
      <c r="AD16" s="409"/>
      <c r="AE16" s="409"/>
    </row>
    <row r="17" spans="1:30" x14ac:dyDescent="0.25">
      <c r="A17" s="368">
        <v>37591</v>
      </c>
      <c r="B17" s="369"/>
      <c r="C17" s="369"/>
      <c r="D17" s="369"/>
      <c r="F17" s="369"/>
      <c r="G17" s="369"/>
      <c r="H17" s="369"/>
      <c r="J17" s="368"/>
      <c r="K17" s="374"/>
      <c r="L17" s="374"/>
      <c r="M17" s="374"/>
      <c r="N17" s="368"/>
      <c r="O17" s="395"/>
      <c r="P17" s="395"/>
      <c r="Q17" s="395"/>
      <c r="S17" s="379"/>
      <c r="T17" s="396"/>
      <c r="U17" s="431"/>
      <c r="V17" s="431"/>
      <c r="W17" s="431"/>
      <c r="X17" s="381"/>
      <c r="Z17" s="415"/>
      <c r="AA17" s="415"/>
      <c r="AB17" s="415"/>
      <c r="AC17" s="409"/>
      <c r="AD17" s="409"/>
    </row>
    <row r="18" spans="1:30" x14ac:dyDescent="0.25">
      <c r="A18" s="368">
        <v>37622</v>
      </c>
      <c r="B18" s="369"/>
      <c r="C18" s="369"/>
      <c r="D18" s="369"/>
      <c r="F18" s="369"/>
      <c r="G18" s="369"/>
      <c r="H18" s="369"/>
      <c r="J18" s="368"/>
      <c r="K18" s="374"/>
      <c r="L18" s="374"/>
      <c r="M18" s="374"/>
      <c r="N18" s="368"/>
      <c r="O18" s="395"/>
      <c r="P18" s="395"/>
      <c r="Q18" s="395"/>
      <c r="S18" s="379"/>
      <c r="T18" s="396"/>
      <c r="U18" s="431"/>
      <c r="V18" s="431"/>
      <c r="W18" s="431"/>
      <c r="X18" s="381"/>
      <c r="Z18" s="416"/>
      <c r="AA18" s="416"/>
      <c r="AB18" s="416"/>
    </row>
    <row r="19" spans="1:30" x14ac:dyDescent="0.25">
      <c r="A19" s="368">
        <v>37653</v>
      </c>
      <c r="B19" s="369"/>
      <c r="C19" s="369"/>
      <c r="D19" s="369"/>
      <c r="J19" s="368"/>
      <c r="K19" s="374"/>
      <c r="L19" s="374"/>
      <c r="M19" s="374"/>
      <c r="N19" s="368"/>
      <c r="O19" s="395"/>
      <c r="P19" s="395"/>
      <c r="Q19" s="395"/>
      <c r="S19" s="379"/>
      <c r="T19" s="396"/>
      <c r="U19" s="431"/>
      <c r="V19" s="431"/>
      <c r="W19" s="431"/>
      <c r="X19" s="381"/>
    </row>
    <row r="20" spans="1:30" x14ac:dyDescent="0.25">
      <c r="A20" s="368">
        <v>37681</v>
      </c>
      <c r="B20" s="369"/>
      <c r="C20" s="369"/>
      <c r="D20" s="369"/>
      <c r="J20" s="368"/>
      <c r="K20" s="374"/>
      <c r="L20" s="374"/>
      <c r="M20" s="374"/>
      <c r="N20" s="368"/>
      <c r="O20" s="395"/>
      <c r="P20" s="395"/>
      <c r="Q20" s="395"/>
      <c r="S20" s="379"/>
      <c r="T20" s="396"/>
      <c r="U20" s="431"/>
      <c r="V20" s="431"/>
      <c r="W20" s="431"/>
      <c r="X20" s="381"/>
    </row>
    <row r="21" spans="1:30" x14ac:dyDescent="0.25">
      <c r="A21" s="368">
        <v>37712</v>
      </c>
      <c r="B21" s="369"/>
      <c r="C21" s="369"/>
      <c r="D21" s="369"/>
      <c r="J21" s="368"/>
      <c r="K21" s="374"/>
      <c r="L21" s="374"/>
      <c r="M21" s="374"/>
      <c r="N21" s="368"/>
      <c r="O21" s="395"/>
      <c r="P21" s="395"/>
      <c r="Q21" s="395"/>
      <c r="S21" s="379"/>
      <c r="T21" s="396"/>
      <c r="U21" s="431"/>
      <c r="V21" s="431"/>
      <c r="W21" s="431"/>
      <c r="X21" s="381"/>
    </row>
    <row r="22" spans="1:30" x14ac:dyDescent="0.25">
      <c r="A22" s="368">
        <v>37742</v>
      </c>
      <c r="B22" s="369"/>
      <c r="C22" s="369"/>
      <c r="D22" s="369"/>
      <c r="J22" s="368"/>
      <c r="K22" s="374"/>
      <c r="L22" s="374"/>
      <c r="M22" s="374"/>
      <c r="N22" s="368"/>
      <c r="O22" s="395"/>
      <c r="P22" s="395"/>
      <c r="Q22" s="395"/>
      <c r="S22" s="379"/>
      <c r="X22" s="381"/>
    </row>
    <row r="23" spans="1:30" x14ac:dyDescent="0.25">
      <c r="A23" s="368">
        <v>37773</v>
      </c>
      <c r="B23" s="369"/>
      <c r="C23" s="369"/>
      <c r="D23" s="369"/>
      <c r="J23" s="368"/>
      <c r="K23" s="374"/>
      <c r="L23" s="374"/>
      <c r="M23" s="374"/>
      <c r="N23" s="368"/>
      <c r="O23" s="395"/>
      <c r="P23" s="395"/>
      <c r="Q23" s="395"/>
      <c r="S23" s="379"/>
      <c r="X23" s="381"/>
    </row>
    <row r="24" spans="1:30" x14ac:dyDescent="0.25">
      <c r="A24" s="368">
        <v>37803</v>
      </c>
      <c r="B24" s="369"/>
      <c r="C24" s="369"/>
      <c r="D24" s="369"/>
      <c r="J24" s="368"/>
      <c r="K24" s="374"/>
      <c r="L24" s="374"/>
      <c r="M24" s="374"/>
      <c r="N24" s="368"/>
      <c r="O24" s="395"/>
      <c r="P24" s="395"/>
      <c r="Q24" s="395"/>
      <c r="S24" s="379"/>
      <c r="X24" s="381"/>
    </row>
    <row r="25" spans="1:30" x14ac:dyDescent="0.25">
      <c r="A25" s="368">
        <v>37834</v>
      </c>
      <c r="B25" s="369"/>
      <c r="C25" s="369"/>
      <c r="D25" s="369"/>
      <c r="J25" s="368"/>
      <c r="K25" s="374"/>
      <c r="L25" s="374"/>
      <c r="M25" s="374"/>
      <c r="N25" s="368"/>
      <c r="O25" s="395"/>
      <c r="P25" s="395"/>
      <c r="Q25" s="395"/>
      <c r="S25" s="379"/>
      <c r="T25" s="380"/>
      <c r="U25" s="431"/>
      <c r="V25" s="431"/>
      <c r="W25" s="431"/>
      <c r="X25" s="381"/>
    </row>
    <row r="26" spans="1:30" ht="15.6" x14ac:dyDescent="0.3">
      <c r="A26" s="368">
        <v>37865</v>
      </c>
      <c r="B26" s="369"/>
      <c r="C26" s="369"/>
      <c r="D26" s="369"/>
      <c r="K26" s="374"/>
      <c r="L26" s="374"/>
      <c r="M26" s="374"/>
      <c r="O26" s="395"/>
      <c r="P26" s="395"/>
      <c r="Q26" s="395"/>
      <c r="S26" s="379"/>
      <c r="T26" s="387" t="s">
        <v>598</v>
      </c>
      <c r="U26" s="432">
        <f>SUM(U4:U25)</f>
        <v>-1.1877708244167073</v>
      </c>
      <c r="V26" s="432">
        <f>SUM(V4:V25)</f>
        <v>-48.185819658788105</v>
      </c>
      <c r="W26" s="432">
        <f>SUM(W4:W25)</f>
        <v>42.585779284371384</v>
      </c>
      <c r="X26" s="381"/>
    </row>
    <row r="27" spans="1:30" ht="13.8" thickBot="1" x14ac:dyDescent="0.3">
      <c r="A27" s="368">
        <v>37895</v>
      </c>
      <c r="B27" s="369"/>
      <c r="C27" s="369"/>
      <c r="D27" s="369"/>
      <c r="K27" s="374"/>
      <c r="L27" s="374"/>
      <c r="M27" s="374"/>
      <c r="O27" s="395"/>
      <c r="P27" s="395"/>
      <c r="Q27" s="395"/>
      <c r="S27" s="384"/>
      <c r="T27" s="385"/>
      <c r="U27" s="385"/>
      <c r="V27" s="385"/>
      <c r="W27" s="385"/>
      <c r="X27" s="386"/>
    </row>
    <row r="28" spans="1:30" x14ac:dyDescent="0.25">
      <c r="A28" s="368">
        <v>37926</v>
      </c>
      <c r="B28" s="369"/>
      <c r="C28" s="369"/>
      <c r="D28" s="369"/>
      <c r="K28" s="373"/>
    </row>
    <row r="29" spans="1:30" x14ac:dyDescent="0.25">
      <c r="A29" s="368">
        <v>37956</v>
      </c>
      <c r="B29" s="369"/>
      <c r="C29" s="369"/>
      <c r="D29" s="369"/>
      <c r="K29" s="373"/>
      <c r="S29" s="413" t="s">
        <v>618</v>
      </c>
      <c r="T29" s="413" t="s">
        <v>619</v>
      </c>
      <c r="U29" s="412" t="s">
        <v>620</v>
      </c>
      <c r="V29" s="370" t="s">
        <v>574</v>
      </c>
      <c r="W29" s="370" t="s">
        <v>613</v>
      </c>
      <c r="X29" s="370" t="s">
        <v>614</v>
      </c>
    </row>
    <row r="30" spans="1:30" x14ac:dyDescent="0.25">
      <c r="A30" s="368">
        <v>37987</v>
      </c>
      <c r="B30" s="369"/>
      <c r="C30" s="369"/>
      <c r="D30" s="369"/>
      <c r="K30" s="373"/>
      <c r="S30" s="417">
        <v>9</v>
      </c>
      <c r="T30" s="417" t="s">
        <v>245</v>
      </c>
      <c r="U30" s="414" t="s">
        <v>617</v>
      </c>
      <c r="V30" s="409">
        <f>LongTerm9!DL20</f>
        <v>0</v>
      </c>
      <c r="W30" s="409">
        <f>LongTerm9!DM20</f>
        <v>0</v>
      </c>
      <c r="X30" s="409">
        <f>LongTerm9!DN20</f>
        <v>0</v>
      </c>
    </row>
    <row r="31" spans="1:30" x14ac:dyDescent="0.25">
      <c r="A31" s="368">
        <v>38018</v>
      </c>
      <c r="B31" s="369"/>
      <c r="C31" s="369"/>
      <c r="D31" s="369"/>
      <c r="K31" s="373"/>
      <c r="S31" s="417">
        <v>10</v>
      </c>
      <c r="T31" s="417" t="s">
        <v>248</v>
      </c>
      <c r="U31" s="414" t="s">
        <v>616</v>
      </c>
      <c r="V31" s="409">
        <f>LongTerm10!DL20</f>
        <v>0</v>
      </c>
      <c r="W31" s="409">
        <f>LongTerm10!DM20</f>
        <v>0</v>
      </c>
      <c r="X31" s="409">
        <f>LongTerm10!DN20</f>
        <v>0</v>
      </c>
    </row>
    <row r="32" spans="1:30" ht="13.8" thickBot="1" x14ac:dyDescent="0.3">
      <c r="A32" s="368">
        <v>38047</v>
      </c>
      <c r="B32" s="369"/>
      <c r="C32" s="369"/>
      <c r="D32" s="369"/>
      <c r="K32" s="373"/>
      <c r="V32" s="430">
        <f>SUM(V30:V31)</f>
        <v>0</v>
      </c>
      <c r="W32" s="430">
        <f>SUM(W30:W31)</f>
        <v>0</v>
      </c>
      <c r="X32" s="430">
        <f>SUM(X30:X31)</f>
        <v>0</v>
      </c>
    </row>
    <row r="33" spans="1:4" ht="13.8" thickTop="1" x14ac:dyDescent="0.25">
      <c r="A33" s="368">
        <v>38078</v>
      </c>
      <c r="B33" s="369"/>
      <c r="C33" s="369"/>
      <c r="D33" s="369"/>
    </row>
    <row r="34" spans="1:4" x14ac:dyDescent="0.25">
      <c r="A34" s="368">
        <v>38108</v>
      </c>
      <c r="B34" s="369"/>
      <c r="C34" s="369"/>
      <c r="D34" s="369"/>
    </row>
    <row r="35" spans="1:4" x14ac:dyDescent="0.25">
      <c r="A35" s="368">
        <v>38139</v>
      </c>
      <c r="B35" s="369"/>
      <c r="C35" s="369"/>
      <c r="D35" s="369"/>
    </row>
    <row r="36" spans="1:4" x14ac:dyDescent="0.25">
      <c r="A36" s="368">
        <v>38169</v>
      </c>
      <c r="B36" s="369"/>
      <c r="C36" s="369"/>
      <c r="D36" s="369"/>
    </row>
    <row r="37" spans="1:4" x14ac:dyDescent="0.25">
      <c r="A37" s="368">
        <v>38200</v>
      </c>
      <c r="B37" s="369"/>
      <c r="C37" s="369"/>
      <c r="D37" s="369"/>
    </row>
    <row r="38" spans="1:4" x14ac:dyDescent="0.25">
      <c r="A38" s="368">
        <v>38231</v>
      </c>
      <c r="B38" s="369"/>
      <c r="C38" s="369"/>
      <c r="D38" s="369"/>
    </row>
    <row r="39" spans="1:4" x14ac:dyDescent="0.25">
      <c r="A39" s="368">
        <v>38261</v>
      </c>
      <c r="B39" s="369"/>
      <c r="C39" s="369"/>
      <c r="D39" s="369"/>
    </row>
    <row r="40" spans="1:4" x14ac:dyDescent="0.25">
      <c r="A40" s="368">
        <v>38292</v>
      </c>
      <c r="B40" s="369"/>
      <c r="C40" s="369"/>
      <c r="D40" s="369"/>
    </row>
    <row r="41" spans="1:4" x14ac:dyDescent="0.25">
      <c r="A41" s="368">
        <v>38322</v>
      </c>
      <c r="B41" s="369"/>
      <c r="C41" s="369"/>
      <c r="D41" s="369"/>
    </row>
    <row r="42" spans="1:4" x14ac:dyDescent="0.25">
      <c r="A42" s="368">
        <v>38353</v>
      </c>
      <c r="B42" s="369"/>
      <c r="C42" s="369"/>
      <c r="D42" s="369"/>
    </row>
    <row r="43" spans="1:4" x14ac:dyDescent="0.25">
      <c r="A43" s="368">
        <v>38384</v>
      </c>
      <c r="B43" s="369"/>
      <c r="C43" s="369"/>
      <c r="D43" s="369"/>
    </row>
    <row r="44" spans="1:4" x14ac:dyDescent="0.25">
      <c r="A44" s="368">
        <v>38412</v>
      </c>
    </row>
    <row r="45" spans="1:4" x14ac:dyDescent="0.25">
      <c r="A45" s="368">
        <v>38443</v>
      </c>
    </row>
    <row r="46" spans="1:4" x14ac:dyDescent="0.25">
      <c r="A46" s="368">
        <v>38473</v>
      </c>
    </row>
    <row r="47" spans="1:4" x14ac:dyDescent="0.25">
      <c r="A47" s="368">
        <v>38504</v>
      </c>
    </row>
    <row r="48" spans="1:4" x14ac:dyDescent="0.25">
      <c r="A48" s="368">
        <v>38534</v>
      </c>
    </row>
    <row r="49" spans="1:1" x14ac:dyDescent="0.25">
      <c r="A49" s="368">
        <v>38565</v>
      </c>
    </row>
    <row r="50" spans="1:1" x14ac:dyDescent="0.25">
      <c r="A50" s="368">
        <v>38596</v>
      </c>
    </row>
    <row r="51" spans="1:1" x14ac:dyDescent="0.25">
      <c r="A51" s="368">
        <v>38626</v>
      </c>
    </row>
    <row r="52" spans="1:1" x14ac:dyDescent="0.25">
      <c r="A52" s="368">
        <v>38657</v>
      </c>
    </row>
    <row r="53" spans="1:1" x14ac:dyDescent="0.25">
      <c r="A53" s="368">
        <v>38687</v>
      </c>
    </row>
    <row r="54" spans="1:1" x14ac:dyDescent="0.25">
      <c r="A54" s="368">
        <v>38718</v>
      </c>
    </row>
    <row r="55" spans="1:1" x14ac:dyDescent="0.25">
      <c r="A55" s="368">
        <v>38749</v>
      </c>
    </row>
    <row r="56" spans="1:1" x14ac:dyDescent="0.25">
      <c r="A56" s="368">
        <v>38777</v>
      </c>
    </row>
    <row r="57" spans="1:1" x14ac:dyDescent="0.25">
      <c r="A57" s="368">
        <v>38808</v>
      </c>
    </row>
    <row r="58" spans="1:1" x14ac:dyDescent="0.25">
      <c r="A58" s="368">
        <v>38838</v>
      </c>
    </row>
    <row r="59" spans="1:1" x14ac:dyDescent="0.25">
      <c r="A59" s="368">
        <v>38869</v>
      </c>
    </row>
    <row r="60" spans="1:1" x14ac:dyDescent="0.25">
      <c r="A60" s="368">
        <v>38899</v>
      </c>
    </row>
    <row r="61" spans="1:1" x14ac:dyDescent="0.25">
      <c r="A61" s="368">
        <v>38930</v>
      </c>
    </row>
    <row r="62" spans="1:1" x14ac:dyDescent="0.25">
      <c r="A62" s="368">
        <v>38961</v>
      </c>
    </row>
    <row r="63" spans="1:1" x14ac:dyDescent="0.25">
      <c r="A63" s="368">
        <v>38991</v>
      </c>
    </row>
    <row r="64" spans="1:1" x14ac:dyDescent="0.25">
      <c r="A64" s="368">
        <v>39022</v>
      </c>
    </row>
    <row r="65" spans="1:1" x14ac:dyDescent="0.25">
      <c r="A65" s="368">
        <v>39052</v>
      </c>
    </row>
    <row r="66" spans="1:1" x14ac:dyDescent="0.25">
      <c r="A66" s="368">
        <v>39083</v>
      </c>
    </row>
    <row r="67" spans="1:1" x14ac:dyDescent="0.25">
      <c r="A67" s="368">
        <v>39114</v>
      </c>
    </row>
    <row r="68" spans="1:1" x14ac:dyDescent="0.25">
      <c r="A68" s="368">
        <v>39142</v>
      </c>
    </row>
    <row r="69" spans="1:1" x14ac:dyDescent="0.25">
      <c r="A69" s="368">
        <v>39173</v>
      </c>
    </row>
    <row r="70" spans="1:1" x14ac:dyDescent="0.25">
      <c r="A70" s="368">
        <v>39203</v>
      </c>
    </row>
    <row r="71" spans="1:1" x14ac:dyDescent="0.25">
      <c r="A71" s="368">
        <v>39234</v>
      </c>
    </row>
    <row r="72" spans="1:1" x14ac:dyDescent="0.25">
      <c r="A72" s="368">
        <v>39264</v>
      </c>
    </row>
    <row r="73" spans="1:1" x14ac:dyDescent="0.25">
      <c r="A73" s="368">
        <v>39295</v>
      </c>
    </row>
    <row r="74" spans="1:1" x14ac:dyDescent="0.25">
      <c r="A74" s="368">
        <v>39326</v>
      </c>
    </row>
    <row r="75" spans="1:1" x14ac:dyDescent="0.25">
      <c r="A75" s="368">
        <v>39356</v>
      </c>
    </row>
    <row r="76" spans="1:1" x14ac:dyDescent="0.25">
      <c r="A76" s="368">
        <v>39387</v>
      </c>
    </row>
    <row r="77" spans="1:1" x14ac:dyDescent="0.25">
      <c r="A77" s="368">
        <v>39417</v>
      </c>
    </row>
    <row r="78" spans="1:1" x14ac:dyDescent="0.25">
      <c r="A78" s="368">
        <v>39448</v>
      </c>
    </row>
    <row r="79" spans="1:1" x14ac:dyDescent="0.25">
      <c r="A79" s="368">
        <v>39479</v>
      </c>
    </row>
    <row r="80" spans="1:1" x14ac:dyDescent="0.25">
      <c r="A80" s="368">
        <v>39508</v>
      </c>
    </row>
    <row r="81" spans="1:1" x14ac:dyDescent="0.25">
      <c r="A81" s="368">
        <v>39539</v>
      </c>
    </row>
    <row r="82" spans="1:1" x14ac:dyDescent="0.25">
      <c r="A82" s="368">
        <v>39569</v>
      </c>
    </row>
    <row r="83" spans="1:1" x14ac:dyDescent="0.25">
      <c r="A83" s="368">
        <v>39600</v>
      </c>
    </row>
    <row r="84" spans="1:1" x14ac:dyDescent="0.25">
      <c r="A84" s="368">
        <v>39630</v>
      </c>
    </row>
    <row r="85" spans="1:1" x14ac:dyDescent="0.25">
      <c r="A85" s="368">
        <v>39661</v>
      </c>
    </row>
    <row r="86" spans="1:1" x14ac:dyDescent="0.25">
      <c r="A86" s="368">
        <v>39692</v>
      </c>
    </row>
    <row r="87" spans="1:1" x14ac:dyDescent="0.25">
      <c r="A87" s="368">
        <v>39722</v>
      </c>
    </row>
    <row r="88" spans="1:1" x14ac:dyDescent="0.25">
      <c r="A88" s="368">
        <v>39753</v>
      </c>
    </row>
    <row r="89" spans="1:1" x14ac:dyDescent="0.25">
      <c r="A89" s="368">
        <v>39783</v>
      </c>
    </row>
    <row r="90" spans="1:1" x14ac:dyDescent="0.25">
      <c r="A90" s="368">
        <v>39814</v>
      </c>
    </row>
    <row r="91" spans="1:1" x14ac:dyDescent="0.25">
      <c r="A91" s="368">
        <v>39845</v>
      </c>
    </row>
    <row r="92" spans="1:1" x14ac:dyDescent="0.25">
      <c r="A92" s="368">
        <v>39873</v>
      </c>
    </row>
    <row r="93" spans="1:1" x14ac:dyDescent="0.25">
      <c r="A93" s="368">
        <v>39904</v>
      </c>
    </row>
    <row r="94" spans="1:1" x14ac:dyDescent="0.25">
      <c r="A94" s="368">
        <v>39934</v>
      </c>
    </row>
    <row r="95" spans="1:1" x14ac:dyDescent="0.25">
      <c r="A95" s="368">
        <v>39965</v>
      </c>
    </row>
    <row r="96" spans="1:1" x14ac:dyDescent="0.25">
      <c r="A96" s="368">
        <v>39995</v>
      </c>
    </row>
    <row r="97" spans="1:6" x14ac:dyDescent="0.25">
      <c r="A97" s="368">
        <v>40026</v>
      </c>
    </row>
    <row r="98" spans="1:6" x14ac:dyDescent="0.25">
      <c r="A98" s="368">
        <v>40057</v>
      </c>
      <c r="F98" s="395"/>
    </row>
    <row r="99" spans="1:6" x14ac:dyDescent="0.25">
      <c r="A99" s="368">
        <v>40087</v>
      </c>
      <c r="F99" s="395"/>
    </row>
    <row r="100" spans="1:6" x14ac:dyDescent="0.25">
      <c r="A100" s="368">
        <v>40118</v>
      </c>
      <c r="F100" s="395"/>
    </row>
    <row r="101" spans="1:6" x14ac:dyDescent="0.25">
      <c r="A101" s="368">
        <v>40148</v>
      </c>
      <c r="F101" s="395"/>
    </row>
    <row r="102" spans="1:6" x14ac:dyDescent="0.25">
      <c r="A102" s="368">
        <v>40179</v>
      </c>
      <c r="F102" s="395"/>
    </row>
    <row r="103" spans="1:6" x14ac:dyDescent="0.25">
      <c r="A103" s="368">
        <v>40210</v>
      </c>
      <c r="F103" s="395"/>
    </row>
    <row r="104" spans="1:6" x14ac:dyDescent="0.25">
      <c r="A104" s="368">
        <v>40238</v>
      </c>
      <c r="F104" s="395"/>
    </row>
    <row r="105" spans="1:6" x14ac:dyDescent="0.25">
      <c r="A105" s="368">
        <v>40269</v>
      </c>
      <c r="F105" s="395"/>
    </row>
    <row r="106" spans="1:6" x14ac:dyDescent="0.25">
      <c r="A106" s="368">
        <v>40299</v>
      </c>
      <c r="F106" s="395"/>
    </row>
    <row r="107" spans="1:6" x14ac:dyDescent="0.25">
      <c r="A107" s="368">
        <v>40330</v>
      </c>
      <c r="F107" s="395"/>
    </row>
    <row r="108" spans="1:6" x14ac:dyDescent="0.25">
      <c r="A108" s="368">
        <v>40360</v>
      </c>
      <c r="F108" s="395"/>
    </row>
    <row r="109" spans="1:6" x14ac:dyDescent="0.25">
      <c r="A109" s="368">
        <v>40391</v>
      </c>
      <c r="F109" s="395"/>
    </row>
    <row r="110" spans="1:6" x14ac:dyDescent="0.25">
      <c r="A110" s="368">
        <v>40422</v>
      </c>
      <c r="F110" s="395"/>
    </row>
    <row r="111" spans="1:6" x14ac:dyDescent="0.25">
      <c r="A111" s="368">
        <v>40452</v>
      </c>
      <c r="F111" s="395"/>
    </row>
    <row r="112" spans="1:6" x14ac:dyDescent="0.25">
      <c r="A112" s="368">
        <v>40483</v>
      </c>
      <c r="F112" s="395"/>
    </row>
    <row r="113" spans="1:6" x14ac:dyDescent="0.25">
      <c r="A113" s="368">
        <v>40513</v>
      </c>
      <c r="F113" s="395"/>
    </row>
    <row r="114" spans="1:6" x14ac:dyDescent="0.25">
      <c r="A114" s="368">
        <v>40544</v>
      </c>
      <c r="F114" s="395"/>
    </row>
    <row r="115" spans="1:6" x14ac:dyDescent="0.25">
      <c r="A115" s="368">
        <v>40575</v>
      </c>
      <c r="F115" s="395"/>
    </row>
    <row r="116" spans="1:6" x14ac:dyDescent="0.25">
      <c r="A116" s="368">
        <v>40603</v>
      </c>
      <c r="F116" s="395"/>
    </row>
    <row r="117" spans="1:6" x14ac:dyDescent="0.25">
      <c r="A117" s="368">
        <v>40634</v>
      </c>
      <c r="F117" s="395"/>
    </row>
    <row r="118" spans="1:6" x14ac:dyDescent="0.25">
      <c r="A118" s="368">
        <v>40664</v>
      </c>
      <c r="F118" s="395"/>
    </row>
    <row r="119" spans="1:6" x14ac:dyDescent="0.25">
      <c r="A119" s="368">
        <v>40695</v>
      </c>
      <c r="F119" s="395"/>
    </row>
    <row r="120" spans="1:6" x14ac:dyDescent="0.25">
      <c r="A120" s="368">
        <v>40725</v>
      </c>
      <c r="F120" s="395"/>
    </row>
    <row r="121" spans="1:6" x14ac:dyDescent="0.25">
      <c r="A121" s="368">
        <v>40756</v>
      </c>
      <c r="F121" s="395"/>
    </row>
    <row r="122" spans="1:6" x14ac:dyDescent="0.25">
      <c r="A122" s="368">
        <v>40787</v>
      </c>
      <c r="F122" s="395"/>
    </row>
    <row r="123" spans="1:6" x14ac:dyDescent="0.25">
      <c r="A123" s="368">
        <v>40817</v>
      </c>
      <c r="F123" s="395"/>
    </row>
    <row r="124" spans="1:6" x14ac:dyDescent="0.25">
      <c r="A124" s="368">
        <v>40848</v>
      </c>
      <c r="F124" s="395"/>
    </row>
    <row r="125" spans="1:6" x14ac:dyDescent="0.25">
      <c r="A125" s="368">
        <v>40878</v>
      </c>
      <c r="F125" s="395"/>
    </row>
    <row r="126" spans="1:6" x14ac:dyDescent="0.25">
      <c r="A126" s="368">
        <v>40909</v>
      </c>
      <c r="F126" s="395"/>
    </row>
    <row r="127" spans="1:6" x14ac:dyDescent="0.25">
      <c r="A127" s="368">
        <v>40940</v>
      </c>
      <c r="F127" s="395"/>
    </row>
    <row r="128" spans="1:6" x14ac:dyDescent="0.25">
      <c r="A128" s="368">
        <v>40969</v>
      </c>
      <c r="F128" s="395"/>
    </row>
    <row r="129" spans="1:6" x14ac:dyDescent="0.25">
      <c r="A129" s="368">
        <v>41000</v>
      </c>
      <c r="F129" s="395"/>
    </row>
    <row r="130" spans="1:6" x14ac:dyDescent="0.25">
      <c r="A130" s="368">
        <v>41030</v>
      </c>
      <c r="F130" s="395"/>
    </row>
    <row r="131" spans="1:6" x14ac:dyDescent="0.25">
      <c r="A131" s="368">
        <v>41061</v>
      </c>
      <c r="F131" s="395"/>
    </row>
    <row r="132" spans="1:6" x14ac:dyDescent="0.25">
      <c r="A132" s="368">
        <v>41091</v>
      </c>
      <c r="F132" s="395"/>
    </row>
    <row r="133" spans="1:6" x14ac:dyDescent="0.25">
      <c r="A133" s="368">
        <v>41122</v>
      </c>
      <c r="F133" s="395"/>
    </row>
    <row r="134" spans="1:6" x14ac:dyDescent="0.25">
      <c r="A134" s="368">
        <v>41153</v>
      </c>
      <c r="F134" s="395"/>
    </row>
    <row r="135" spans="1:6" x14ac:dyDescent="0.25">
      <c r="A135" s="368">
        <v>41183</v>
      </c>
      <c r="F135" s="395"/>
    </row>
    <row r="136" spans="1:6" x14ac:dyDescent="0.25">
      <c r="A136" s="368">
        <v>41214</v>
      </c>
      <c r="F136" s="395"/>
    </row>
    <row r="137" spans="1:6" x14ac:dyDescent="0.25">
      <c r="A137" s="368">
        <v>41244</v>
      </c>
      <c r="F137" s="395"/>
    </row>
    <row r="138" spans="1:6" x14ac:dyDescent="0.25">
      <c r="A138" s="368">
        <v>41275</v>
      </c>
      <c r="F138" s="395"/>
    </row>
    <row r="139" spans="1:6" x14ac:dyDescent="0.25">
      <c r="A139" s="368">
        <v>41306</v>
      </c>
      <c r="F139" s="395"/>
    </row>
    <row r="140" spans="1:6" x14ac:dyDescent="0.25">
      <c r="A140" s="368">
        <v>41334</v>
      </c>
      <c r="F140" s="395"/>
    </row>
    <row r="141" spans="1:6" x14ac:dyDescent="0.25">
      <c r="A141" s="368">
        <v>41365</v>
      </c>
      <c r="F141" s="395"/>
    </row>
    <row r="142" spans="1:6" x14ac:dyDescent="0.25">
      <c r="A142" s="368">
        <v>41395</v>
      </c>
      <c r="F142" s="395"/>
    </row>
    <row r="143" spans="1:6" x14ac:dyDescent="0.25">
      <c r="A143" s="368">
        <v>41426</v>
      </c>
      <c r="F143" s="395"/>
    </row>
    <row r="144" spans="1:6" x14ac:dyDescent="0.25">
      <c r="A144" s="368">
        <v>41456</v>
      </c>
      <c r="F144" s="395"/>
    </row>
    <row r="145" spans="1:6" x14ac:dyDescent="0.25">
      <c r="A145" s="368">
        <v>41487</v>
      </c>
      <c r="F145" s="395"/>
    </row>
    <row r="146" spans="1:6" x14ac:dyDescent="0.25">
      <c r="A146" s="368">
        <v>41518</v>
      </c>
      <c r="F146" s="395"/>
    </row>
    <row r="147" spans="1:6" x14ac:dyDescent="0.25">
      <c r="A147" s="368">
        <v>41548</v>
      </c>
      <c r="F147" s="395"/>
    </row>
    <row r="148" spans="1:6" x14ac:dyDescent="0.25">
      <c r="A148" s="368">
        <v>41579</v>
      </c>
      <c r="F148" s="395"/>
    </row>
    <row r="149" spans="1:6" x14ac:dyDescent="0.25">
      <c r="A149" s="368">
        <v>41609</v>
      </c>
      <c r="F149" s="395"/>
    </row>
    <row r="150" spans="1:6" x14ac:dyDescent="0.25">
      <c r="A150" s="368">
        <v>41640</v>
      </c>
      <c r="F150" s="395"/>
    </row>
    <row r="151" spans="1:6" x14ac:dyDescent="0.25">
      <c r="A151" s="368">
        <v>41671</v>
      </c>
      <c r="F151" s="395"/>
    </row>
    <row r="152" spans="1:6" x14ac:dyDescent="0.25">
      <c r="A152" s="368">
        <v>41699</v>
      </c>
      <c r="F152" s="395"/>
    </row>
    <row r="153" spans="1:6" x14ac:dyDescent="0.25">
      <c r="A153" s="368">
        <v>41730</v>
      </c>
      <c r="F153" s="395"/>
    </row>
    <row r="154" spans="1:6" x14ac:dyDescent="0.25">
      <c r="A154" s="368">
        <v>41760</v>
      </c>
      <c r="F154" s="395"/>
    </row>
    <row r="155" spans="1:6" x14ac:dyDescent="0.25">
      <c r="A155" s="368">
        <v>41791</v>
      </c>
      <c r="F155" s="395"/>
    </row>
    <row r="156" spans="1:6" x14ac:dyDescent="0.25">
      <c r="A156" s="368">
        <v>41821</v>
      </c>
      <c r="F156" s="395"/>
    </row>
    <row r="157" spans="1:6" x14ac:dyDescent="0.25">
      <c r="A157" s="368">
        <v>41852</v>
      </c>
      <c r="F157" s="395"/>
    </row>
    <row r="158" spans="1:6" x14ac:dyDescent="0.25">
      <c r="A158" s="368">
        <v>41883</v>
      </c>
      <c r="F158" s="395"/>
    </row>
    <row r="159" spans="1:6" x14ac:dyDescent="0.25">
      <c r="A159" s="368">
        <v>41913</v>
      </c>
      <c r="F159" s="395"/>
    </row>
    <row r="160" spans="1:6" x14ac:dyDescent="0.25">
      <c r="A160" s="368">
        <v>41944</v>
      </c>
      <c r="F160" s="395"/>
    </row>
    <row r="161" spans="1:6" x14ac:dyDescent="0.25">
      <c r="A161" s="368">
        <v>41974</v>
      </c>
      <c r="F161" s="395"/>
    </row>
    <row r="162" spans="1:6" x14ac:dyDescent="0.25">
      <c r="A162" s="368">
        <v>42005</v>
      </c>
      <c r="F162" s="395"/>
    </row>
    <row r="163" spans="1:6" x14ac:dyDescent="0.25">
      <c r="A163" s="368">
        <v>42036</v>
      </c>
      <c r="F163" s="395"/>
    </row>
    <row r="164" spans="1:6" x14ac:dyDescent="0.25">
      <c r="A164" s="368">
        <v>42064</v>
      </c>
      <c r="F164" s="395"/>
    </row>
    <row r="165" spans="1:6" x14ac:dyDescent="0.25">
      <c r="A165" s="368">
        <v>42095</v>
      </c>
      <c r="F165" s="395"/>
    </row>
    <row r="166" spans="1:6" x14ac:dyDescent="0.25">
      <c r="A166" s="368">
        <v>42125</v>
      </c>
      <c r="F166" s="395"/>
    </row>
    <row r="167" spans="1:6" x14ac:dyDescent="0.25">
      <c r="A167" s="368">
        <v>42156</v>
      </c>
      <c r="F167" s="395"/>
    </row>
    <row r="168" spans="1:6" x14ac:dyDescent="0.25">
      <c r="A168" s="368">
        <v>42186</v>
      </c>
      <c r="F168" s="395"/>
    </row>
    <row r="169" spans="1:6" x14ac:dyDescent="0.25">
      <c r="A169" s="368">
        <v>42217</v>
      </c>
      <c r="F169" s="395"/>
    </row>
    <row r="170" spans="1:6" x14ac:dyDescent="0.25">
      <c r="A170" s="368">
        <v>42248</v>
      </c>
      <c r="F170" s="395"/>
    </row>
    <row r="171" spans="1:6" x14ac:dyDescent="0.25">
      <c r="A171" s="368">
        <v>42278</v>
      </c>
      <c r="F171" s="395"/>
    </row>
    <row r="172" spans="1:6" x14ac:dyDescent="0.25">
      <c r="A172" s="368">
        <v>42309</v>
      </c>
      <c r="F172" s="395"/>
    </row>
    <row r="173" spans="1:6" x14ac:dyDescent="0.25">
      <c r="A173" s="368">
        <v>42339</v>
      </c>
      <c r="F173" s="395"/>
    </row>
    <row r="174" spans="1:6" x14ac:dyDescent="0.25">
      <c r="A174" s="368">
        <v>42370</v>
      </c>
      <c r="F174" s="395"/>
    </row>
    <row r="175" spans="1:6" x14ac:dyDescent="0.25">
      <c r="A175" s="368">
        <v>42401</v>
      </c>
      <c r="F175" s="395"/>
    </row>
    <row r="176" spans="1:6" x14ac:dyDescent="0.25">
      <c r="A176" s="368">
        <v>42430</v>
      </c>
      <c r="F176" s="395"/>
    </row>
    <row r="177" spans="1:6" x14ac:dyDescent="0.25">
      <c r="A177" s="368">
        <v>42461</v>
      </c>
      <c r="F177" s="395"/>
    </row>
    <row r="178" spans="1:6" x14ac:dyDescent="0.25">
      <c r="A178" s="368">
        <v>42491</v>
      </c>
      <c r="F178" s="395"/>
    </row>
    <row r="179" spans="1:6" x14ac:dyDescent="0.25">
      <c r="A179" s="368">
        <v>42522</v>
      </c>
      <c r="F179" s="395"/>
    </row>
    <row r="180" spans="1:6" x14ac:dyDescent="0.25">
      <c r="A180" s="368">
        <v>42552</v>
      </c>
      <c r="F180" s="395"/>
    </row>
    <row r="181" spans="1:6" x14ac:dyDescent="0.25">
      <c r="A181" s="368">
        <v>42583</v>
      </c>
      <c r="F181" s="395"/>
    </row>
    <row r="182" spans="1:6" x14ac:dyDescent="0.25">
      <c r="A182" s="368">
        <v>42614</v>
      </c>
      <c r="F182" s="395"/>
    </row>
    <row r="183" spans="1:6" x14ac:dyDescent="0.25">
      <c r="A183" s="368">
        <v>42644</v>
      </c>
      <c r="F183" s="395"/>
    </row>
    <row r="184" spans="1:6" x14ac:dyDescent="0.25">
      <c r="A184" s="368">
        <v>42675</v>
      </c>
      <c r="F184" s="395"/>
    </row>
    <row r="185" spans="1:6" x14ac:dyDescent="0.25">
      <c r="A185" s="368">
        <v>42705</v>
      </c>
      <c r="F185" s="395"/>
    </row>
    <row r="186" spans="1:6" x14ac:dyDescent="0.25">
      <c r="A186" s="368">
        <v>42736</v>
      </c>
      <c r="F186" s="395"/>
    </row>
    <row r="187" spans="1:6" x14ac:dyDescent="0.25">
      <c r="A187" s="368">
        <v>42767</v>
      </c>
      <c r="F187" s="395"/>
    </row>
    <row r="188" spans="1:6" x14ac:dyDescent="0.25">
      <c r="A188" s="368">
        <v>42795</v>
      </c>
      <c r="F188" s="395"/>
    </row>
    <row r="189" spans="1:6" x14ac:dyDescent="0.25">
      <c r="A189" s="368">
        <v>42826</v>
      </c>
      <c r="F189" s="395"/>
    </row>
    <row r="190" spans="1:6" x14ac:dyDescent="0.25">
      <c r="A190" s="368">
        <v>42856</v>
      </c>
      <c r="F190" s="395"/>
    </row>
    <row r="191" spans="1:6" x14ac:dyDescent="0.25">
      <c r="A191" s="368">
        <v>42887</v>
      </c>
      <c r="F191" s="395"/>
    </row>
    <row r="192" spans="1:6" x14ac:dyDescent="0.25">
      <c r="A192" s="368">
        <v>42917</v>
      </c>
      <c r="F192" s="395"/>
    </row>
    <row r="193" spans="1:6" x14ac:dyDescent="0.25">
      <c r="A193" s="368">
        <v>42948</v>
      </c>
      <c r="F193" s="395"/>
    </row>
    <row r="194" spans="1:6" x14ac:dyDescent="0.25">
      <c r="A194" s="368">
        <v>42979</v>
      </c>
      <c r="F194" s="395"/>
    </row>
    <row r="195" spans="1:6" x14ac:dyDescent="0.25">
      <c r="A195" s="368">
        <v>43009</v>
      </c>
      <c r="F195" s="395"/>
    </row>
    <row r="196" spans="1:6" x14ac:dyDescent="0.25">
      <c r="A196" s="368">
        <v>43040</v>
      </c>
      <c r="F196" s="395"/>
    </row>
    <row r="197" spans="1:6" x14ac:dyDescent="0.25">
      <c r="A197" s="368">
        <v>43070</v>
      </c>
      <c r="F197" s="395"/>
    </row>
    <row r="198" spans="1:6" x14ac:dyDescent="0.25">
      <c r="A198" s="368">
        <v>43101</v>
      </c>
      <c r="F198" s="395"/>
    </row>
    <row r="199" spans="1:6" x14ac:dyDescent="0.25">
      <c r="A199" s="368">
        <v>43132</v>
      </c>
      <c r="F199" s="395"/>
    </row>
    <row r="200" spans="1:6" x14ac:dyDescent="0.25">
      <c r="A200" s="368">
        <v>43160</v>
      </c>
      <c r="F200" s="395"/>
    </row>
    <row r="201" spans="1:6" x14ac:dyDescent="0.25">
      <c r="A201" s="368">
        <v>43191</v>
      </c>
      <c r="F201" s="395"/>
    </row>
    <row r="202" spans="1:6" x14ac:dyDescent="0.25">
      <c r="A202" s="368">
        <v>43221</v>
      </c>
      <c r="F202" s="395"/>
    </row>
    <row r="203" spans="1:6" x14ac:dyDescent="0.25">
      <c r="A203" s="368">
        <v>43252</v>
      </c>
      <c r="F203" s="395"/>
    </row>
    <row r="204" spans="1:6" x14ac:dyDescent="0.25">
      <c r="A204" s="368">
        <v>43282</v>
      </c>
      <c r="F204" s="395"/>
    </row>
    <row r="205" spans="1:6" x14ac:dyDescent="0.25">
      <c r="A205" s="368">
        <v>43313</v>
      </c>
      <c r="F205" s="395"/>
    </row>
    <row r="206" spans="1:6" x14ac:dyDescent="0.25">
      <c r="A206" s="368">
        <v>43344</v>
      </c>
      <c r="F206" s="395"/>
    </row>
    <row r="207" spans="1:6" x14ac:dyDescent="0.25">
      <c r="A207" s="368">
        <v>43374</v>
      </c>
      <c r="F207" s="395"/>
    </row>
    <row r="208" spans="1:6" x14ac:dyDescent="0.25">
      <c r="A208" s="368">
        <v>43405</v>
      </c>
      <c r="F208" s="395"/>
    </row>
    <row r="209" spans="1:6" x14ac:dyDescent="0.25">
      <c r="A209" s="368">
        <v>43435</v>
      </c>
      <c r="F209" s="395"/>
    </row>
    <row r="210" spans="1:6" x14ac:dyDescent="0.25">
      <c r="A210" s="368">
        <v>43466</v>
      </c>
      <c r="F210" s="395"/>
    </row>
    <row r="211" spans="1:6" x14ac:dyDescent="0.25">
      <c r="A211" s="368">
        <v>43497</v>
      </c>
      <c r="F211" s="395"/>
    </row>
    <row r="212" spans="1:6" x14ac:dyDescent="0.25">
      <c r="A212" s="368">
        <v>43525</v>
      </c>
      <c r="F212" s="395"/>
    </row>
    <row r="213" spans="1:6" x14ac:dyDescent="0.25">
      <c r="A213" s="368">
        <v>43556</v>
      </c>
      <c r="F213" s="395"/>
    </row>
    <row r="214" spans="1:6" x14ac:dyDescent="0.25">
      <c r="A214" s="368">
        <v>43586</v>
      </c>
      <c r="F214" s="395"/>
    </row>
    <row r="215" spans="1:6" x14ac:dyDescent="0.25">
      <c r="A215" s="368">
        <v>43617</v>
      </c>
      <c r="F215" s="395"/>
    </row>
    <row r="216" spans="1:6" x14ac:dyDescent="0.25">
      <c r="A216" s="368">
        <v>43647</v>
      </c>
      <c r="F216" s="395"/>
    </row>
    <row r="217" spans="1:6" x14ac:dyDescent="0.25">
      <c r="A217" s="368">
        <v>43678</v>
      </c>
      <c r="F217" s="395"/>
    </row>
    <row r="218" spans="1:6" x14ac:dyDescent="0.25">
      <c r="A218" s="368">
        <v>43709</v>
      </c>
      <c r="F218" s="395"/>
    </row>
    <row r="219" spans="1:6" x14ac:dyDescent="0.25">
      <c r="A219" s="368">
        <v>43739</v>
      </c>
      <c r="F219" s="395"/>
    </row>
    <row r="220" spans="1:6" x14ac:dyDescent="0.25">
      <c r="A220" s="368">
        <v>43770</v>
      </c>
      <c r="F220" s="395"/>
    </row>
    <row r="221" spans="1:6" x14ac:dyDescent="0.25">
      <c r="A221" s="368">
        <v>43800</v>
      </c>
      <c r="F221" s="395"/>
    </row>
    <row r="222" spans="1:6" x14ac:dyDescent="0.25">
      <c r="A222" s="368">
        <v>43831</v>
      </c>
      <c r="F222" s="395"/>
    </row>
    <row r="223" spans="1:6" x14ac:dyDescent="0.25">
      <c r="A223" s="368">
        <v>43862</v>
      </c>
      <c r="F223" s="395"/>
    </row>
    <row r="224" spans="1:6" x14ac:dyDescent="0.25">
      <c r="A224" s="368">
        <v>43891</v>
      </c>
      <c r="F224" s="395"/>
    </row>
    <row r="225" spans="1:6" x14ac:dyDescent="0.25">
      <c r="A225" s="368">
        <v>43922</v>
      </c>
      <c r="F225" s="395"/>
    </row>
    <row r="226" spans="1:6" x14ac:dyDescent="0.25">
      <c r="A226" s="368">
        <v>43952</v>
      </c>
      <c r="F226" s="395"/>
    </row>
    <row r="227" spans="1:6" x14ac:dyDescent="0.25">
      <c r="A227" s="368">
        <v>43983</v>
      </c>
      <c r="F227" s="395"/>
    </row>
    <row r="228" spans="1:6" x14ac:dyDescent="0.25">
      <c r="A228" s="368">
        <v>44013</v>
      </c>
      <c r="F228" s="395"/>
    </row>
    <row r="229" spans="1:6" x14ac:dyDescent="0.25">
      <c r="A229" s="368">
        <v>44044</v>
      </c>
      <c r="F229" s="395"/>
    </row>
    <row r="230" spans="1:6" x14ac:dyDescent="0.25">
      <c r="A230" s="368">
        <v>44075</v>
      </c>
      <c r="F230" s="395"/>
    </row>
    <row r="231" spans="1:6" x14ac:dyDescent="0.25">
      <c r="A231" s="368">
        <v>44105</v>
      </c>
      <c r="F231" s="395"/>
    </row>
    <row r="232" spans="1:6" x14ac:dyDescent="0.25">
      <c r="A232" s="368">
        <v>44136</v>
      </c>
      <c r="F232" s="395"/>
    </row>
    <row r="233" spans="1:6" x14ac:dyDescent="0.25">
      <c r="A233" s="368">
        <v>44166</v>
      </c>
      <c r="F233" s="395"/>
    </row>
    <row r="234" spans="1:6" x14ac:dyDescent="0.25">
      <c r="A234" s="368">
        <v>44197</v>
      </c>
      <c r="F234" s="395"/>
    </row>
    <row r="235" spans="1:6" x14ac:dyDescent="0.25">
      <c r="A235" s="368">
        <v>44228</v>
      </c>
      <c r="F235" s="395"/>
    </row>
    <row r="236" spans="1:6" x14ac:dyDescent="0.25">
      <c r="A236" s="368">
        <v>44256</v>
      </c>
      <c r="F236" s="395"/>
    </row>
    <row r="237" spans="1:6" x14ac:dyDescent="0.25">
      <c r="A237" s="368">
        <v>44287</v>
      </c>
      <c r="F237" s="395"/>
    </row>
    <row r="238" spans="1:6" x14ac:dyDescent="0.25">
      <c r="A238" s="368">
        <v>44317</v>
      </c>
      <c r="F238" s="395"/>
    </row>
    <row r="239" spans="1:6" x14ac:dyDescent="0.25">
      <c r="A239" s="368">
        <v>44348</v>
      </c>
      <c r="F239" s="395"/>
    </row>
    <row r="240" spans="1:6" x14ac:dyDescent="0.25">
      <c r="A240" s="368">
        <v>44378</v>
      </c>
      <c r="F240" s="395"/>
    </row>
    <row r="241" spans="1:6" x14ac:dyDescent="0.25">
      <c r="A241" s="368">
        <v>44409</v>
      </c>
      <c r="F241" s="395"/>
    </row>
    <row r="242" spans="1:6" x14ac:dyDescent="0.25">
      <c r="A242" s="368">
        <v>44440</v>
      </c>
      <c r="F242" s="395"/>
    </row>
    <row r="243" spans="1:6" x14ac:dyDescent="0.25">
      <c r="A243" s="368">
        <v>44470</v>
      </c>
      <c r="F243" s="395"/>
    </row>
    <row r="244" spans="1:6" x14ac:dyDescent="0.25">
      <c r="A244" s="368">
        <v>44501</v>
      </c>
      <c r="F244" s="395"/>
    </row>
    <row r="245" spans="1:6" x14ac:dyDescent="0.25">
      <c r="A245" s="368">
        <v>44531</v>
      </c>
      <c r="F245" s="395"/>
    </row>
    <row r="246" spans="1:6" x14ac:dyDescent="0.25">
      <c r="A246" s="368">
        <v>44562</v>
      </c>
      <c r="F246" s="395"/>
    </row>
    <row r="247" spans="1:6" x14ac:dyDescent="0.25">
      <c r="A247" s="368">
        <v>44593</v>
      </c>
      <c r="F247" s="395"/>
    </row>
    <row r="248" spans="1:6" x14ac:dyDescent="0.25">
      <c r="A248" s="368">
        <v>44621</v>
      </c>
      <c r="F248" s="395"/>
    </row>
    <row r="249" spans="1:6" x14ac:dyDescent="0.25">
      <c r="A249" s="368">
        <v>44652</v>
      </c>
      <c r="F249" s="395"/>
    </row>
    <row r="250" spans="1:6" x14ac:dyDescent="0.25">
      <c r="A250" s="368">
        <v>44682</v>
      </c>
      <c r="F250" s="395"/>
    </row>
    <row r="251" spans="1:6" x14ac:dyDescent="0.25">
      <c r="A251" s="368">
        <v>44713</v>
      </c>
      <c r="F251" s="395"/>
    </row>
    <row r="252" spans="1:6" x14ac:dyDescent="0.25">
      <c r="A252" s="368">
        <v>44743</v>
      </c>
      <c r="F252" s="395"/>
    </row>
    <row r="253" spans="1:6" x14ac:dyDescent="0.25">
      <c r="A253" s="368">
        <v>44774</v>
      </c>
      <c r="F253" s="395"/>
    </row>
    <row r="254" spans="1:6" x14ac:dyDescent="0.25">
      <c r="A254" s="368">
        <v>44805</v>
      </c>
      <c r="F254" s="395"/>
    </row>
    <row r="255" spans="1:6" x14ac:dyDescent="0.25">
      <c r="A255" s="368">
        <v>44835</v>
      </c>
      <c r="F255" s="395"/>
    </row>
    <row r="256" spans="1:6" x14ac:dyDescent="0.25">
      <c r="A256" s="368">
        <v>44866</v>
      </c>
      <c r="F256" s="395"/>
    </row>
    <row r="257" spans="1:6" x14ac:dyDescent="0.25">
      <c r="A257" s="368">
        <v>44896</v>
      </c>
      <c r="F257" s="395"/>
    </row>
    <row r="258" spans="1:6" x14ac:dyDescent="0.25">
      <c r="A258" s="368">
        <v>44927</v>
      </c>
      <c r="F258" s="395"/>
    </row>
    <row r="259" spans="1:6" x14ac:dyDescent="0.25">
      <c r="A259" s="368">
        <v>44958</v>
      </c>
      <c r="F259" s="395"/>
    </row>
    <row r="260" spans="1:6" x14ac:dyDescent="0.25">
      <c r="A260" s="368">
        <v>44986</v>
      </c>
      <c r="F260" s="395"/>
    </row>
    <row r="261" spans="1:6" x14ac:dyDescent="0.25">
      <c r="A261" s="368">
        <v>45017</v>
      </c>
      <c r="F261" s="395"/>
    </row>
    <row r="262" spans="1:6" x14ac:dyDescent="0.25">
      <c r="A262" s="368">
        <v>45047</v>
      </c>
      <c r="F262" s="395"/>
    </row>
    <row r="263" spans="1:6" x14ac:dyDescent="0.25">
      <c r="A263" s="368">
        <v>45078</v>
      </c>
      <c r="F263" s="395"/>
    </row>
    <row r="264" spans="1:6" x14ac:dyDescent="0.25">
      <c r="A264" s="368">
        <v>45108</v>
      </c>
      <c r="F264" s="395"/>
    </row>
    <row r="265" spans="1:6" x14ac:dyDescent="0.25">
      <c r="A265" s="368">
        <v>45139</v>
      </c>
      <c r="F265" s="395"/>
    </row>
    <row r="266" spans="1:6" x14ac:dyDescent="0.25">
      <c r="A266" s="368">
        <v>45170</v>
      </c>
      <c r="F266" s="395"/>
    </row>
    <row r="267" spans="1:6" x14ac:dyDescent="0.25">
      <c r="A267" s="368">
        <v>45200</v>
      </c>
      <c r="F267" s="395"/>
    </row>
    <row r="268" spans="1:6" x14ac:dyDescent="0.25">
      <c r="A268" s="368">
        <v>45231</v>
      </c>
      <c r="F268" s="395"/>
    </row>
    <row r="269" spans="1:6" x14ac:dyDescent="0.25">
      <c r="A269" s="368">
        <v>45261</v>
      </c>
      <c r="F269" s="395"/>
    </row>
    <row r="270" spans="1:6" x14ac:dyDescent="0.25">
      <c r="A270" s="368">
        <v>45292</v>
      </c>
      <c r="F270" s="395"/>
    </row>
    <row r="271" spans="1:6" x14ac:dyDescent="0.25">
      <c r="A271" s="368"/>
      <c r="F271" s="395"/>
    </row>
    <row r="272" spans="1:6" x14ac:dyDescent="0.25">
      <c r="A272" s="368"/>
      <c r="F272" s="395"/>
    </row>
    <row r="273" spans="1:6" x14ac:dyDescent="0.25">
      <c r="A273" s="368"/>
      <c r="F273" s="395"/>
    </row>
    <row r="274" spans="1:6" x14ac:dyDescent="0.25">
      <c r="A274" s="368"/>
      <c r="F274" s="395"/>
    </row>
    <row r="275" spans="1:6" x14ac:dyDescent="0.25">
      <c r="A275" s="368"/>
      <c r="F275" s="395"/>
    </row>
    <row r="276" spans="1:6" x14ac:dyDescent="0.25">
      <c r="A276" s="368"/>
      <c r="F276" s="395"/>
    </row>
    <row r="277" spans="1:6" x14ac:dyDescent="0.25">
      <c r="A277" s="368"/>
      <c r="F277" s="395"/>
    </row>
    <row r="278" spans="1:6" x14ac:dyDescent="0.25">
      <c r="A278" s="368"/>
    </row>
    <row r="279" spans="1:6" x14ac:dyDescent="0.25">
      <c r="A279" s="368"/>
    </row>
    <row r="280" spans="1:6" x14ac:dyDescent="0.25">
      <c r="A280" s="368"/>
      <c r="B280" s="395"/>
    </row>
    <row r="281" spans="1:6" x14ac:dyDescent="0.25">
      <c r="B281" s="395"/>
    </row>
  </sheetData>
  <mergeCells count="2">
    <mergeCell ref="B1:D1"/>
    <mergeCell ref="F1:H1"/>
  </mergeCells>
  <phoneticPr fontId="0" type="noConversion"/>
  <pageMargins left="0.75" right="0.75" top="1" bottom="1" header="0.5" footer="0.5"/>
  <pageSetup orientation="landscape" r:id="rId1"/>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autoPageBreaks="0" fitToPage="1"/>
  </sheetPr>
  <dimension ref="A1:AC76"/>
  <sheetViews>
    <sheetView topLeftCell="A45" zoomScale="80" workbookViewId="0">
      <selection activeCell="V7" sqref="C7:V77"/>
    </sheetView>
  </sheetViews>
  <sheetFormatPr defaultColWidth="9.109375" defaultRowHeight="13.2" x14ac:dyDescent="0.25"/>
  <cols>
    <col min="1" max="2" width="3.6640625" style="29" customWidth="1"/>
    <col min="3" max="3" width="9.109375" style="29"/>
    <col min="4" max="4" width="3.6640625" style="29" customWidth="1"/>
    <col min="5" max="5" width="11.33203125" style="29"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221" t="s">
        <v>184</v>
      </c>
    </row>
    <row r="6" spans="1:29" x14ac:dyDescent="0.25">
      <c r="E6" s="393">
        <f ca="1">TODAY()</f>
        <v>37242</v>
      </c>
    </row>
    <row r="7" spans="1:29" ht="17.399999999999999" x14ac:dyDescent="0.3">
      <c r="E7" s="253" t="str">
        <f>CONCATENATE("POSITION REPORT : ",UPPER(F3))</f>
        <v>POSITION REPORT : EAST</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5">
      <c r="C10" s="685">
        <v>17</v>
      </c>
      <c r="E10" s="687" t="str">
        <f>GetPipeName($Z10,$AC10)</f>
        <v>CGT</v>
      </c>
      <c r="F10" s="689" t="str">
        <f>CONCATENATE(GetRcptPoint($Z10,$AC10)," to ",GetDelPoint($Z10,$AC10))</f>
        <v>Rayne to Leach</v>
      </c>
      <c r="G10" s="243" t="str">
        <f>GetRcptBasis($Z10,$AC10)</f>
        <v>IF-COLGUL/RAYNE Basis Mid</v>
      </c>
      <c r="H10" s="239">
        <f t="array" aca="1" ref="H10" ca="1">SUM((INDIRECT($AA10)&gt;'East Postition Rpt'!H$8)*(INDIRECT($AA10)&lt;'East Postition Rpt'!H$9)*(INDIRECT($AB10)))</f>
        <v>0</v>
      </c>
      <c r="I10" s="226">
        <f t="array" aca="1" ref="I10" ca="1">SUM((INDIRECT($AA10)&gt;'East Postition Rpt'!I$8)*(INDIRECT($AA10)&lt;'East Postition Rpt'!I$9)*(INDIRECT($AB10)))</f>
        <v>0</v>
      </c>
      <c r="J10" s="226">
        <f t="array" aca="1" ref="J10" ca="1">SUM((INDIRECT($AA10)&gt;'East Postition Rpt'!J$8)*(INDIRECT($AA10)&lt;'East Postition Rpt'!J$9)*(INDIRECT($AB10)))</f>
        <v>0</v>
      </c>
      <c r="K10" s="226">
        <f t="array" aca="1" ref="K10" ca="1">SUM((INDIRECT($AA10)&gt;'East Postition Rpt'!K$8)*(INDIRECT($AA10)&lt;'East Postition Rpt'!K$9)*(INDIRECT($AB10)))</f>
        <v>0</v>
      </c>
      <c r="L10" s="226">
        <f t="array" aca="1" ref="L10" ca="1">SUM((INDIRECT($AA10)&gt;'East Postition Rpt'!L$8)*(INDIRECT($AA10)&lt;'East Postition Rpt'!L$9)*(INDIRECT($AB10)))</f>
        <v>0</v>
      </c>
      <c r="M10" s="226">
        <f t="array" aca="1" ref="M10" ca="1">SUM((INDIRECT($AA10)&gt;'East Postition Rpt'!M$8)*(INDIRECT($AA10)&lt;'East Postition Rpt'!M$9)*(INDIRECT($AB10)))</f>
        <v>0</v>
      </c>
      <c r="N10" s="226">
        <f t="array" aca="1" ref="N10" ca="1">SUM((INDIRECT($AA10)&gt;'East Postition Rpt'!N$8)*(INDIRECT($AA10)&lt;'East Postition Rpt'!N$9)*(INDIRECT($AB10)))</f>
        <v>0</v>
      </c>
      <c r="O10" s="226">
        <f t="array" aca="1" ref="O10" ca="1">SUM((INDIRECT($AA10)&gt;'East Postition Rpt'!O$8)*(INDIRECT($AA10)&lt;'East Postition Rpt'!O$9)*(INDIRECT($AB10)))</f>
        <v>-2416701.3241842058</v>
      </c>
      <c r="P10" s="226">
        <f t="array" aca="1" ref="P10" ca="1">SUM((INDIRECT($AA10)&gt;'East Postition Rpt'!P$8)*(INDIRECT($AA10)&lt;'East Postition Rpt'!P$9)*(INDIRECT($AB10)))</f>
        <v>-2354399.2135340222</v>
      </c>
      <c r="Q10" s="226">
        <f t="array" aca="1" ref="Q10" ca="1">SUM((INDIRECT($AA10)&gt;'East Postition Rpt'!Q$8)*(INDIRECT($AA10)&lt;'East Postition Rpt'!Q$9)*(INDIRECT($AB10)))</f>
        <v>-2087071.3918762763</v>
      </c>
      <c r="R10" s="226">
        <f t="array" aca="1" ref="R10" ca="1">SUM((INDIRECT($AA10)&gt;'East Postition Rpt'!R$8)*(INDIRECT($AA10)&lt;'East Postition Rpt'!R$9)*(INDIRECT($AB10)))</f>
        <v>-7383852.4235848105</v>
      </c>
      <c r="S10" s="226">
        <f t="array" aca="1" ref="S10" ca="1">SUM((INDIRECT($AA10)&gt;'East Postition Rpt'!S$8)*(INDIRECT($AA10)&lt;'East Postition Rpt'!S$9)*(INDIRECT($AB10)))</f>
        <v>0</v>
      </c>
      <c r="T10" s="227">
        <f t="array" aca="1" ref="T10" ca="1">SUM((INDIRECT($AA10)&gt;'East Postition Rpt'!T$8)*(INDIRECT($AA10)&lt;'East Postition Rpt'!T$9)*(INDIRECT($AB10)))</f>
        <v>0</v>
      </c>
      <c r="V10" s="245">
        <f t="shared" ref="V10:V53" ca="1" si="0">SUM(H10:T10)</f>
        <v>-14242024.353179315</v>
      </c>
      <c r="Y10" s="236" t="str">
        <f>GetWorkSheet($C10)</f>
        <v>LongTerm17</v>
      </c>
      <c r="Z10" s="303" t="str">
        <f>FetchDBPage(Y10)</f>
        <v>Contract DB (East)</v>
      </c>
      <c r="AA10" s="236" t="str">
        <f t="shared" ref="AA10:AA53" si="1">IF(NOT($Y10="#VALUE#"),CONCATENATE($Y10,"!",GetDateStart($Y10),":",GetDateEnd($Y10)),"")</f>
        <v>LongTerm17!$D$22:$D$122</v>
      </c>
      <c r="AB10" s="236" t="str">
        <f>IF(NOT($Y10="#VALUE#"),CONCATENATE($Y10,"!",GetReceiptStart($Y10),":",GetReceiptEnd($Y10)),"")</f>
        <v>LongTerm17!$S$22:$S$122</v>
      </c>
      <c r="AC10" s="236">
        <f>GetRecNdx($Z10,$C10)</f>
        <v>1</v>
      </c>
    </row>
    <row r="11" spans="1:29" x14ac:dyDescent="0.25">
      <c r="C11" s="686"/>
      <c r="E11" s="688"/>
      <c r="F11" s="690"/>
      <c r="G11" s="244" t="str">
        <f>GetDelBasis($Z10,$AC11)</f>
        <v>IF-CGT/APPALAC Basis Mid</v>
      </c>
      <c r="H11" s="240">
        <f t="array" aca="1" ref="H11" ca="1">SUM((INDIRECT($AA11)&gt;'East Postition Rpt'!H$8)*(INDIRECT($AA11)&lt;'East Postition Rpt'!H$9)*(INDIRECT($AB11)))</f>
        <v>0</v>
      </c>
      <c r="I11" s="228">
        <f t="array" aca="1" ref="I11" ca="1">SUM((INDIRECT($AA11)&gt;'East Postition Rpt'!I$8)*(INDIRECT($AA11)&lt;'East Postition Rpt'!I$9)*(INDIRECT($AB11)))</f>
        <v>0</v>
      </c>
      <c r="J11" s="228">
        <f t="array" aca="1" ref="J11" ca="1">SUM((INDIRECT($AA11)&gt;'East Postition Rpt'!J$8)*(INDIRECT($AA11)&lt;'East Postition Rpt'!J$9)*(INDIRECT($AB11)))</f>
        <v>0</v>
      </c>
      <c r="K11" s="228">
        <f t="array" aca="1" ref="K11" ca="1">SUM((INDIRECT($AA11)&gt;'East Postition Rpt'!K$8)*(INDIRECT($AA11)&lt;'East Postition Rpt'!K$9)*(INDIRECT($AB11)))</f>
        <v>0</v>
      </c>
      <c r="L11" s="228">
        <f t="array" aca="1" ref="L11" ca="1">SUM((INDIRECT($AA11)&gt;'East Postition Rpt'!L$8)*(INDIRECT($AA11)&lt;'East Postition Rpt'!L$9)*(INDIRECT($AB11)))</f>
        <v>0</v>
      </c>
      <c r="M11" s="228">
        <f t="array" aca="1" ref="M11" ca="1">SUM((INDIRECT($AA11)&gt;'East Postition Rpt'!M$8)*(INDIRECT($AA11)&lt;'East Postition Rpt'!M$9)*(INDIRECT($AB11)))</f>
        <v>0</v>
      </c>
      <c r="N11" s="228">
        <f t="array" aca="1" ref="N11" ca="1">SUM((INDIRECT($AA11)&gt;'East Postition Rpt'!N$8)*(INDIRECT($AA11)&lt;'East Postition Rpt'!N$9)*(INDIRECT($AB11)))</f>
        <v>0</v>
      </c>
      <c r="O11" s="228">
        <f t="array" aca="1" ref="O11" ca="1">SUM((INDIRECT($AA11)&gt;'East Postition Rpt'!O$8)*(INDIRECT($AA11)&lt;'East Postition Rpt'!O$9)*(INDIRECT($AB11)))</f>
        <v>2419003.0651896265</v>
      </c>
      <c r="P11" s="228">
        <f t="array" aca="1" ref="P11" ca="1">SUM((INDIRECT($AA11)&gt;'East Postition Rpt'!P$8)*(INDIRECT($AA11)&lt;'East Postition Rpt'!P$9)*(INDIRECT($AB11)))</f>
        <v>2346267.9435792249</v>
      </c>
      <c r="Q11" s="228">
        <f t="array" aca="1" ref="Q11" ca="1">SUM((INDIRECT($AA11)&gt;'East Postition Rpt'!Q$8)*(INDIRECT($AA11)&lt;'East Postition Rpt'!Q$9)*(INDIRECT($AB11)))</f>
        <v>2079264.1164252164</v>
      </c>
      <c r="R11" s="228">
        <f t="array" aca="1" ref="R11" ca="1">SUM((INDIRECT($AA11)&gt;'East Postition Rpt'!R$8)*(INDIRECT($AA11)&lt;'East Postition Rpt'!R$9)*(INDIRECT($AB11)))</f>
        <v>7371164.9233228983</v>
      </c>
      <c r="S11" s="228">
        <f t="array" aca="1" ref="S11" ca="1">SUM((INDIRECT($AA11)&gt;'East Postition Rpt'!S$8)*(INDIRECT($AA11)&lt;'East Postition Rpt'!S$9)*(INDIRECT($AB11)))</f>
        <v>0</v>
      </c>
      <c r="T11" s="229">
        <f t="array" aca="1" ref="T11" ca="1">SUM((INDIRECT($AA11)&gt;'East Postition Rpt'!T$8)*(INDIRECT($AA11)&lt;'East Postition Rpt'!T$9)*(INDIRECT($AB11)))</f>
        <v>0</v>
      </c>
      <c r="V11" s="246">
        <f t="shared" ca="1" si="0"/>
        <v>14215700.048516966</v>
      </c>
      <c r="Y11" s="236" t="str">
        <f>GetWorkSheet($C10)</f>
        <v>LongTerm17</v>
      </c>
      <c r="Z11" s="303"/>
      <c r="AA11" s="236" t="str">
        <f t="shared" si="1"/>
        <v>LongTerm17!$D$22:$D$122</v>
      </c>
      <c r="AB11" s="236" t="str">
        <f>IF(NOT($Y11="#VALUE#"),CONCATENATE($Y11,"!",GetDeliveryStart($Y11),":",GetDeliveryEnd($Y11)),"")</f>
        <v>LongTerm17!$T$22:$T$122</v>
      </c>
      <c r="AC11" s="236">
        <f>GetRecNdx($Z10,$C10)</f>
        <v>1</v>
      </c>
    </row>
    <row r="12" spans="1:29" x14ac:dyDescent="0.25">
      <c r="C12" s="685">
        <v>19</v>
      </c>
      <c r="E12" s="687">
        <f>GetPipeName($Z12,$AC12)</f>
        <v>0</v>
      </c>
      <c r="F12" s="689" t="str">
        <f>CONCATENATE(GetRcptPoint($Z12,$AC12)," to ",GetDelPoint($Z12,$AC12))</f>
        <v>Onshore to Rayne</v>
      </c>
      <c r="G12" s="243" t="str">
        <f>GetRcptBasis($Z12,$AC12)</f>
        <v>IF-COLGULF/LA Basis Mid</v>
      </c>
      <c r="H12" s="239">
        <f t="array" aca="1" ref="H12" ca="1">SUM((INDIRECT($AA12)&gt;'East Postition Rpt'!H$8)*(INDIRECT($AA12)&lt;'East Postition Rpt'!H$9)*(INDIRECT($AB12)))</f>
        <v>0</v>
      </c>
      <c r="I12" s="226">
        <f t="array" aca="1" ref="I12" ca="1">SUM((INDIRECT($AA12)&gt;'East Postition Rpt'!I$8)*(INDIRECT($AA12)&lt;'East Postition Rpt'!I$9)*(INDIRECT($AB12)))</f>
        <v>0</v>
      </c>
      <c r="J12" s="226">
        <f t="array" aca="1" ref="J12" ca="1">SUM((INDIRECT($AA12)&gt;'East Postition Rpt'!J$8)*(INDIRECT($AA12)&lt;'East Postition Rpt'!J$9)*(INDIRECT($AB12)))</f>
        <v>0</v>
      </c>
      <c r="K12" s="226">
        <f t="array" aca="1" ref="K12" ca="1">SUM((INDIRECT($AA12)&gt;'East Postition Rpt'!K$8)*(INDIRECT($AA12)&lt;'East Postition Rpt'!K$9)*(INDIRECT($AB12)))</f>
        <v>0</v>
      </c>
      <c r="L12" s="226">
        <f t="array" aca="1" ref="L12" ca="1">SUM((INDIRECT($AA12)&gt;'East Postition Rpt'!L$8)*(INDIRECT($AA12)&lt;'East Postition Rpt'!L$9)*(INDIRECT($AB12)))</f>
        <v>0</v>
      </c>
      <c r="M12" s="226">
        <f t="array" aca="1" ref="M12" ca="1">SUM((INDIRECT($AA12)&gt;'East Postition Rpt'!M$8)*(INDIRECT($AA12)&lt;'East Postition Rpt'!M$9)*(INDIRECT($AB12)))</f>
        <v>0</v>
      </c>
      <c r="N12" s="226">
        <f t="array" aca="1" ref="N12" ca="1">SUM((INDIRECT($AA12)&gt;'East Postition Rpt'!N$8)*(INDIRECT($AA12)&lt;'East Postition Rpt'!N$9)*(INDIRECT($AB12)))</f>
        <v>0</v>
      </c>
      <c r="O12" s="226">
        <f t="array" aca="1" ref="O12" ca="1">SUM((INDIRECT($AA12)&gt;'East Postition Rpt'!O$8)*(INDIRECT($AA12)&lt;'East Postition Rpt'!O$9)*(INDIRECT($AB12)))</f>
        <v>-11769054.397302471</v>
      </c>
      <c r="P12" s="226">
        <f t="array" aca="1" ref="P12" ca="1">SUM((INDIRECT($AA12)&gt;'East Postition Rpt'!P$8)*(INDIRECT($AA12)&lt;'East Postition Rpt'!P$9)*(INDIRECT($AB12)))</f>
        <v>-11390217.42430364</v>
      </c>
      <c r="Q12" s="226">
        <f t="array" aca="1" ref="Q12" ca="1">SUM((INDIRECT($AA12)&gt;'East Postition Rpt'!Q$8)*(INDIRECT($AA12)&lt;'East Postition Rpt'!Q$9)*(INDIRECT($AB12)))</f>
        <v>0</v>
      </c>
      <c r="R12" s="226">
        <f t="array" aca="1" ref="R12" ca="1">SUM((INDIRECT($AA12)&gt;'East Postition Rpt'!R$8)*(INDIRECT($AA12)&lt;'East Postition Rpt'!R$9)*(INDIRECT($AB12)))</f>
        <v>0</v>
      </c>
      <c r="S12" s="226">
        <f t="array" aca="1" ref="S12" ca="1">SUM((INDIRECT($AA12)&gt;'East Postition Rpt'!S$8)*(INDIRECT($AA12)&lt;'East Postition Rpt'!S$9)*(INDIRECT($AB12)))</f>
        <v>0</v>
      </c>
      <c r="T12" s="227">
        <f t="array" aca="1" ref="T12" ca="1">SUM((INDIRECT($AA12)&gt;'East Postition Rpt'!T$8)*(INDIRECT($AA12)&lt;'East Postition Rpt'!T$9)*(INDIRECT($AB12)))</f>
        <v>0</v>
      </c>
      <c r="V12" s="245">
        <f t="shared" ca="1" si="0"/>
        <v>-23159271.821606111</v>
      </c>
      <c r="Y12" s="236" t="str">
        <f>GetWorkSheet($C12)</f>
        <v>LongTerm19</v>
      </c>
      <c r="Z12" s="303" t="str">
        <f>FetchDBPage(Y12)</f>
        <v>Contract DB (East)</v>
      </c>
      <c r="AA12" s="236" t="str">
        <f t="shared" si="1"/>
        <v>LongTerm19!$D$22:$D$51</v>
      </c>
      <c r="AB12" s="236" t="str">
        <f>IF(NOT($Y12="#VALUE#"),CONCATENATE($Y12,"!",GetReceiptStart($Y12),":",GetReceiptEnd($Y12)),"")</f>
        <v>LongTerm19!$S$22:$S$51</v>
      </c>
      <c r="AC12" s="236">
        <f>GetRecNdx($Z12,$C12)</f>
        <v>2</v>
      </c>
    </row>
    <row r="13" spans="1:29" x14ac:dyDescent="0.25">
      <c r="C13" s="686"/>
      <c r="E13" s="688"/>
      <c r="F13" s="690"/>
      <c r="G13" s="244" t="str">
        <f>GetDelBasis($Z12,$AC13)</f>
        <v>IF-COLGUL/RAYNE Basis Mid</v>
      </c>
      <c r="H13" s="240">
        <f t="array" aca="1" ref="H13" ca="1">SUM((INDIRECT($AA13)&gt;'East Postition Rpt'!H$8)*(INDIRECT($AA13)&lt;'East Postition Rpt'!H$9)*(INDIRECT($AB13)))</f>
        <v>0</v>
      </c>
      <c r="I13" s="228">
        <f t="array" aca="1" ref="I13" ca="1">SUM((INDIRECT($AA13)&gt;'East Postition Rpt'!I$8)*(INDIRECT($AA13)&lt;'East Postition Rpt'!I$9)*(INDIRECT($AB13)))</f>
        <v>0</v>
      </c>
      <c r="J13" s="228">
        <f t="array" aca="1" ref="J13" ca="1">SUM((INDIRECT($AA13)&gt;'East Postition Rpt'!J$8)*(INDIRECT($AA13)&lt;'East Postition Rpt'!J$9)*(INDIRECT($AB13)))</f>
        <v>0</v>
      </c>
      <c r="K13" s="228">
        <f t="array" aca="1" ref="K13" ca="1">SUM((INDIRECT($AA13)&gt;'East Postition Rpt'!K$8)*(INDIRECT($AA13)&lt;'East Postition Rpt'!K$9)*(INDIRECT($AB13)))</f>
        <v>0</v>
      </c>
      <c r="L13" s="228">
        <f t="array" aca="1" ref="L13" ca="1">SUM((INDIRECT($AA13)&gt;'East Postition Rpt'!L$8)*(INDIRECT($AA13)&lt;'East Postition Rpt'!L$9)*(INDIRECT($AB13)))</f>
        <v>0</v>
      </c>
      <c r="M13" s="228">
        <f t="array" aca="1" ref="M13" ca="1">SUM((INDIRECT($AA13)&gt;'East Postition Rpt'!M$8)*(INDIRECT($AA13)&lt;'East Postition Rpt'!M$9)*(INDIRECT($AB13)))</f>
        <v>0</v>
      </c>
      <c r="N13" s="228">
        <f t="array" aca="1" ref="N13" ca="1">SUM((INDIRECT($AA13)&gt;'East Postition Rpt'!N$8)*(INDIRECT($AA13)&lt;'East Postition Rpt'!N$9)*(INDIRECT($AB13)))</f>
        <v>0</v>
      </c>
      <c r="O13" s="228">
        <f t="array" aca="1" ref="O13" ca="1">SUM((INDIRECT($AA13)&gt;'East Postition Rpt'!O$8)*(INDIRECT($AA13)&lt;'East Postition Rpt'!O$9)*(INDIRECT($AB13)))</f>
        <v>11762688.344914142</v>
      </c>
      <c r="P13" s="228">
        <f t="array" aca="1" ref="P13" ca="1">SUM((INDIRECT($AA13)&gt;'East Postition Rpt'!P$8)*(INDIRECT($AA13)&lt;'East Postition Rpt'!P$9)*(INDIRECT($AB13)))</f>
        <v>11346384.471646195</v>
      </c>
      <c r="Q13" s="228">
        <f t="array" aca="1" ref="Q13" ca="1">SUM((INDIRECT($AA13)&gt;'East Postition Rpt'!Q$8)*(INDIRECT($AA13)&lt;'East Postition Rpt'!Q$9)*(INDIRECT($AB13)))</f>
        <v>0</v>
      </c>
      <c r="R13" s="228">
        <f t="array" aca="1" ref="R13" ca="1">SUM((INDIRECT($AA13)&gt;'East Postition Rpt'!R$8)*(INDIRECT($AA13)&lt;'East Postition Rpt'!R$9)*(INDIRECT($AB13)))</f>
        <v>0</v>
      </c>
      <c r="S13" s="228">
        <f t="array" aca="1" ref="S13" ca="1">SUM((INDIRECT($AA13)&gt;'East Postition Rpt'!S$8)*(INDIRECT($AA13)&lt;'East Postition Rpt'!S$9)*(INDIRECT($AB13)))</f>
        <v>0</v>
      </c>
      <c r="T13" s="229">
        <f t="array" aca="1" ref="T13" ca="1">SUM((INDIRECT($AA13)&gt;'East Postition Rpt'!T$8)*(INDIRECT($AA13)&lt;'East Postition Rpt'!T$9)*(INDIRECT($AB13)))</f>
        <v>0</v>
      </c>
      <c r="V13" s="246">
        <f t="shared" ca="1" si="0"/>
        <v>23109072.816560335</v>
      </c>
      <c r="Y13" s="236" t="str">
        <f>GetWorkSheet($C12)</f>
        <v>LongTerm19</v>
      </c>
      <c r="Z13" s="303"/>
      <c r="AA13" s="236" t="str">
        <f t="shared" si="1"/>
        <v>LongTerm19!$D$22:$D$51</v>
      </c>
      <c r="AB13" s="236" t="str">
        <f>IF(NOT($Y13="#VALUE#"),CONCATENATE($Y13,"!",GetDeliveryStart($Y13),":",GetDeliveryEnd($Y13)),"")</f>
        <v>LongTerm19!$T$22:$T$51</v>
      </c>
      <c r="AC13" s="236">
        <f>GetRecNdx($Z12,$C12)</f>
        <v>2</v>
      </c>
    </row>
    <row r="14" spans="1:29" x14ac:dyDescent="0.25">
      <c r="C14" s="685">
        <v>20</v>
      </c>
      <c r="E14" s="687">
        <f>GetPipeName($Z14,$AC14)</f>
        <v>0</v>
      </c>
      <c r="F14" s="689" t="str">
        <f>CONCATENATE(GetRcptPoint($Z14,$AC14)," to ",GetDelPoint($Z14,$AC14))</f>
        <v>Onshore to Rayne</v>
      </c>
      <c r="G14" s="243" t="str">
        <f>GetRcptBasis($Z14,$AC14)</f>
        <v>IF-COLGULF/LA Basis Mid</v>
      </c>
      <c r="H14" s="239">
        <f t="array" aca="1" ref="H14" ca="1">SUM((INDIRECT($AA14)&gt;'East Postition Rpt'!H$8)*(INDIRECT($AA14)&lt;'East Postition Rpt'!H$9)*(INDIRECT($AB14)))</f>
        <v>0</v>
      </c>
      <c r="I14" s="226">
        <f t="array" aca="1" ref="I14" ca="1">SUM((INDIRECT($AA14)&gt;'East Postition Rpt'!I$8)*(INDIRECT($AA14)&lt;'East Postition Rpt'!I$9)*(INDIRECT($AB14)))</f>
        <v>0</v>
      </c>
      <c r="J14" s="226">
        <f t="array" aca="1" ref="J14" ca="1">SUM((INDIRECT($AA14)&gt;'East Postition Rpt'!J$8)*(INDIRECT($AA14)&lt;'East Postition Rpt'!J$9)*(INDIRECT($AB14)))</f>
        <v>0</v>
      </c>
      <c r="K14" s="226">
        <f t="array" aca="1" ref="K14" ca="1">SUM((INDIRECT($AA14)&gt;'East Postition Rpt'!K$8)*(INDIRECT($AA14)&lt;'East Postition Rpt'!K$9)*(INDIRECT($AB14)))</f>
        <v>0</v>
      </c>
      <c r="L14" s="226">
        <f t="array" aca="1" ref="L14" ca="1">SUM((INDIRECT($AA14)&gt;'East Postition Rpt'!L$8)*(INDIRECT($AA14)&lt;'East Postition Rpt'!L$9)*(INDIRECT($AB14)))</f>
        <v>0</v>
      </c>
      <c r="M14" s="226">
        <f t="array" aca="1" ref="M14" ca="1">SUM((INDIRECT($AA14)&gt;'East Postition Rpt'!M$8)*(INDIRECT($AA14)&lt;'East Postition Rpt'!M$9)*(INDIRECT($AB14)))</f>
        <v>0</v>
      </c>
      <c r="N14" s="226">
        <f t="array" aca="1" ref="N14" ca="1">SUM((INDIRECT($AA14)&gt;'East Postition Rpt'!N$8)*(INDIRECT($AA14)&lt;'East Postition Rpt'!N$9)*(INDIRECT($AB14)))</f>
        <v>0</v>
      </c>
      <c r="O14" s="226">
        <f t="array" aca="1" ref="O14" ca="1">SUM((INDIRECT($AA14)&gt;'East Postition Rpt'!O$8)*(INDIRECT($AA14)&lt;'East Postition Rpt'!O$9)*(INDIRECT($AB14)))</f>
        <v>-7548083.0377099384</v>
      </c>
      <c r="P14" s="226">
        <f t="array" aca="1" ref="P14" ca="1">SUM((INDIRECT($AA14)&gt;'East Postition Rpt'!P$8)*(INDIRECT($AA14)&lt;'East Postition Rpt'!P$9)*(INDIRECT($AB14)))</f>
        <v>-7875989.3859844115</v>
      </c>
      <c r="Q14" s="226">
        <f t="array" aca="1" ref="Q14" ca="1">SUM((INDIRECT($AA14)&gt;'East Postition Rpt'!Q$8)*(INDIRECT($AA14)&lt;'East Postition Rpt'!Q$9)*(INDIRECT($AB14)))</f>
        <v>-6459450.0255649686</v>
      </c>
      <c r="R14" s="226">
        <f t="array" aca="1" ref="R14" ca="1">SUM((INDIRECT($AA14)&gt;'East Postition Rpt'!R$8)*(INDIRECT($AA14)&lt;'East Postition Rpt'!R$9)*(INDIRECT($AB14)))</f>
        <v>0</v>
      </c>
      <c r="S14" s="226">
        <f t="array" aca="1" ref="S14" ca="1">SUM((INDIRECT($AA14)&gt;'East Postition Rpt'!S$8)*(INDIRECT($AA14)&lt;'East Postition Rpt'!S$9)*(INDIRECT($AB14)))</f>
        <v>0</v>
      </c>
      <c r="T14" s="227">
        <f t="array" aca="1" ref="T14" ca="1">SUM((INDIRECT($AA14)&gt;'East Postition Rpt'!T$8)*(INDIRECT($AA14)&lt;'East Postition Rpt'!T$9)*(INDIRECT($AB14)))</f>
        <v>0</v>
      </c>
      <c r="V14" s="245">
        <f t="shared" ca="1" si="0"/>
        <v>-21883522.449259318</v>
      </c>
      <c r="Y14" s="236" t="str">
        <f>GetWorkSheet($C14)</f>
        <v>LongTerm20</v>
      </c>
      <c r="Z14" s="303" t="str">
        <f>FetchDBPage(Y14)</f>
        <v>Contract DB (East)</v>
      </c>
      <c r="AA14" s="236" t="str">
        <f t="shared" si="1"/>
        <v>LongTerm20!$D$22:$D$62</v>
      </c>
      <c r="AB14" s="236" t="str">
        <f>IF(NOT($Y14="#VALUE#"),CONCATENATE($Y14,"!",GetReceiptStart($Y14),":",GetReceiptEnd($Y14)),"")</f>
        <v>LongTerm20!$S$22:$S$62</v>
      </c>
      <c r="AC14" s="236">
        <f>GetRecNdx($Z14,$C14)</f>
        <v>3</v>
      </c>
    </row>
    <row r="15" spans="1:29" x14ac:dyDescent="0.25">
      <c r="C15" s="686"/>
      <c r="E15" s="688"/>
      <c r="F15" s="690"/>
      <c r="G15" s="244" t="str">
        <f>GetDelBasis($Z14,$AC15)</f>
        <v>IF-COLGUL/RAYNE Basis Mid</v>
      </c>
      <c r="H15" s="240">
        <f t="array" aca="1" ref="H15" ca="1">SUM((INDIRECT($AA15)&gt;'East Postition Rpt'!H$8)*(INDIRECT($AA15)&lt;'East Postition Rpt'!H$9)*(INDIRECT($AB15)))</f>
        <v>0</v>
      </c>
      <c r="I15" s="228">
        <f t="array" aca="1" ref="I15" ca="1">SUM((INDIRECT($AA15)&gt;'East Postition Rpt'!I$8)*(INDIRECT($AA15)&lt;'East Postition Rpt'!I$9)*(INDIRECT($AB15)))</f>
        <v>0</v>
      </c>
      <c r="J15" s="228">
        <f t="array" aca="1" ref="J15" ca="1">SUM((INDIRECT($AA15)&gt;'East Postition Rpt'!J$8)*(INDIRECT($AA15)&lt;'East Postition Rpt'!J$9)*(INDIRECT($AB15)))</f>
        <v>0</v>
      </c>
      <c r="K15" s="228">
        <f t="array" aca="1" ref="K15" ca="1">SUM((INDIRECT($AA15)&gt;'East Postition Rpt'!K$8)*(INDIRECT($AA15)&lt;'East Postition Rpt'!K$9)*(INDIRECT($AB15)))</f>
        <v>0</v>
      </c>
      <c r="L15" s="228">
        <f t="array" aca="1" ref="L15" ca="1">SUM((INDIRECT($AA15)&gt;'East Postition Rpt'!L$8)*(INDIRECT($AA15)&lt;'East Postition Rpt'!L$9)*(INDIRECT($AB15)))</f>
        <v>0</v>
      </c>
      <c r="M15" s="228">
        <f t="array" aca="1" ref="M15" ca="1">SUM((INDIRECT($AA15)&gt;'East Postition Rpt'!M$8)*(INDIRECT($AA15)&lt;'East Postition Rpt'!M$9)*(INDIRECT($AB15)))</f>
        <v>0</v>
      </c>
      <c r="N15" s="228">
        <f t="array" aca="1" ref="N15" ca="1">SUM((INDIRECT($AA15)&gt;'East Postition Rpt'!N$8)*(INDIRECT($AA15)&lt;'East Postition Rpt'!N$9)*(INDIRECT($AB15)))</f>
        <v>0</v>
      </c>
      <c r="O15" s="228">
        <f t="array" aca="1" ref="O15" ca="1">SUM((INDIRECT($AA15)&gt;'East Postition Rpt'!O$8)*(INDIRECT($AA15)&lt;'East Postition Rpt'!O$9)*(INDIRECT($AB15)))</f>
        <v>7544000.1700106841</v>
      </c>
      <c r="P15" s="228">
        <f t="array" aca="1" ref="P15" ca="1">SUM((INDIRECT($AA15)&gt;'East Postition Rpt'!P$8)*(INDIRECT($AA15)&lt;'East Postition Rpt'!P$9)*(INDIRECT($AB15)))</f>
        <v>7848166.9699770389</v>
      </c>
      <c r="Q15" s="228">
        <f t="array" aca="1" ref="Q15" ca="1">SUM((INDIRECT($AA15)&gt;'East Postition Rpt'!Q$8)*(INDIRECT($AA15)&lt;'East Postition Rpt'!Q$9)*(INDIRECT($AB15)))</f>
        <v>6431027.1539065437</v>
      </c>
      <c r="R15" s="228">
        <f t="array" aca="1" ref="R15" ca="1">SUM((INDIRECT($AA15)&gt;'East Postition Rpt'!R$8)*(INDIRECT($AA15)&lt;'East Postition Rpt'!R$9)*(INDIRECT($AB15)))</f>
        <v>0</v>
      </c>
      <c r="S15" s="228">
        <f t="array" aca="1" ref="S15" ca="1">SUM((INDIRECT($AA15)&gt;'East Postition Rpt'!S$8)*(INDIRECT($AA15)&lt;'East Postition Rpt'!S$9)*(INDIRECT($AB15)))</f>
        <v>0</v>
      </c>
      <c r="T15" s="229">
        <f t="array" aca="1" ref="T15" ca="1">SUM((INDIRECT($AA15)&gt;'East Postition Rpt'!T$8)*(INDIRECT($AA15)&lt;'East Postition Rpt'!T$9)*(INDIRECT($AB15)))</f>
        <v>0</v>
      </c>
      <c r="V15" s="246">
        <f t="shared" ca="1" si="0"/>
        <v>21823194.293894265</v>
      </c>
      <c r="Y15" s="236" t="str">
        <f>GetWorkSheet($C14)</f>
        <v>LongTerm20</v>
      </c>
      <c r="Z15" s="303"/>
      <c r="AA15" s="236" t="str">
        <f t="shared" si="1"/>
        <v>LongTerm20!$D$22:$D$62</v>
      </c>
      <c r="AB15" s="236" t="str">
        <f>IF(NOT($Y15="#VALUE#"),CONCATENATE($Y15,"!",GetDeliveryStart($Y15),":",GetDeliveryEnd($Y15)),"")</f>
        <v>LongTerm20!$T$22:$T$62</v>
      </c>
      <c r="AC15" s="236">
        <f>GetRecNdx($Z14,$C14)</f>
        <v>3</v>
      </c>
    </row>
    <row r="16" spans="1:29" x14ac:dyDescent="0.25">
      <c r="C16" s="685">
        <v>21</v>
      </c>
      <c r="E16" s="687" t="str">
        <f>GetPipeName($Z16,$AC16)</f>
        <v>CGLF</v>
      </c>
      <c r="F16" s="689" t="str">
        <f>CONCATENATE(GetRcptPoint($Z16,$AC16)," to ",GetDelPoint($Z16,$AC16))</f>
        <v>Rayne to Leach</v>
      </c>
      <c r="G16" s="243" t="str">
        <f>GetRcptBasis($Z16,$AC16)</f>
        <v>IF-COLGUL/RAYNE Basis Mid</v>
      </c>
      <c r="H16" s="239">
        <f t="array" aca="1" ref="H16" ca="1">SUM((INDIRECT($AA16)&gt;'East Postition Rpt'!H$8)*(INDIRECT($AA16)&lt;'East Postition Rpt'!H$9)*(INDIRECT($AB16)))</f>
        <v>0</v>
      </c>
      <c r="I16" s="226">
        <f t="array" aca="1" ref="I16" ca="1">SUM((INDIRECT($AA16)&gt;'East Postition Rpt'!I$8)*(INDIRECT($AA16)&lt;'East Postition Rpt'!I$9)*(INDIRECT($AB16)))</f>
        <v>0</v>
      </c>
      <c r="J16" s="226">
        <f t="array" aca="1" ref="J16" ca="1">SUM((INDIRECT($AA16)&gt;'East Postition Rpt'!J$8)*(INDIRECT($AA16)&lt;'East Postition Rpt'!J$9)*(INDIRECT($AB16)))</f>
        <v>0</v>
      </c>
      <c r="K16" s="226">
        <f t="array" aca="1" ref="K16" ca="1">SUM((INDIRECT($AA16)&gt;'East Postition Rpt'!K$8)*(INDIRECT($AA16)&lt;'East Postition Rpt'!K$9)*(INDIRECT($AB16)))</f>
        <v>0</v>
      </c>
      <c r="L16" s="226">
        <f t="array" aca="1" ref="L16" ca="1">SUM((INDIRECT($AA16)&gt;'East Postition Rpt'!L$8)*(INDIRECT($AA16)&lt;'East Postition Rpt'!L$9)*(INDIRECT($AB16)))</f>
        <v>0</v>
      </c>
      <c r="M16" s="226">
        <f t="array" aca="1" ref="M16" ca="1">SUM((INDIRECT($AA16)&gt;'East Postition Rpt'!M$8)*(INDIRECT($AA16)&lt;'East Postition Rpt'!M$9)*(INDIRECT($AB16)))</f>
        <v>0</v>
      </c>
      <c r="N16" s="226">
        <f t="array" aca="1" ref="N16" ca="1">SUM((INDIRECT($AA16)&gt;'East Postition Rpt'!N$8)*(INDIRECT($AA16)&lt;'East Postition Rpt'!N$9)*(INDIRECT($AB16)))</f>
        <v>0</v>
      </c>
      <c r="O16" s="226">
        <f t="array" aca="1" ref="O16" ca="1">SUM((INDIRECT($AA16)&gt;'East Postition Rpt'!O$8)*(INDIRECT($AA16)&lt;'East Postition Rpt'!O$9)*(INDIRECT($AB16)))</f>
        <v>-2416701.3241842058</v>
      </c>
      <c r="P16" s="226">
        <f t="array" aca="1" ref="P16" ca="1">SUM((INDIRECT($AA16)&gt;'East Postition Rpt'!P$8)*(INDIRECT($AA16)&lt;'East Postition Rpt'!P$9)*(INDIRECT($AB16)))</f>
        <v>-2354399.2135340222</v>
      </c>
      <c r="Q16" s="226">
        <f t="array" aca="1" ref="Q16" ca="1">SUM((INDIRECT($AA16)&gt;'East Postition Rpt'!Q$8)*(INDIRECT($AA16)&lt;'East Postition Rpt'!Q$9)*(INDIRECT($AB16)))</f>
        <v>-2087071.3918762763</v>
      </c>
      <c r="R16" s="226">
        <f t="array" aca="1" ref="R16" ca="1">SUM((INDIRECT($AA16)&gt;'East Postition Rpt'!R$8)*(INDIRECT($AA16)&lt;'East Postition Rpt'!R$9)*(INDIRECT($AB16)))</f>
        <v>-799660.23915571219</v>
      </c>
      <c r="S16" s="226">
        <f t="array" aca="1" ref="S16" ca="1">SUM((INDIRECT($AA16)&gt;'East Postition Rpt'!S$8)*(INDIRECT($AA16)&lt;'East Postition Rpt'!S$9)*(INDIRECT($AB16)))</f>
        <v>0</v>
      </c>
      <c r="T16" s="227">
        <f t="array" aca="1" ref="T16" ca="1">SUM((INDIRECT($AA16)&gt;'East Postition Rpt'!T$8)*(INDIRECT($AA16)&lt;'East Postition Rpt'!T$9)*(INDIRECT($AB16)))</f>
        <v>0</v>
      </c>
      <c r="V16" s="245">
        <f t="shared" ca="1" si="0"/>
        <v>-7657832.1687502172</v>
      </c>
      <c r="Y16" s="236" t="str">
        <f>GetWorkSheet($C16)</f>
        <v>LongTerm21</v>
      </c>
      <c r="Z16" s="303" t="str">
        <f>FetchDBPage(Y16)</f>
        <v>Contract DB (East)</v>
      </c>
      <c r="AA16" s="236" t="str">
        <f t="shared" si="1"/>
        <v>LongTerm21!$D$22:$D$67</v>
      </c>
      <c r="AB16" s="236" t="str">
        <f>IF(NOT($Y16="#VALUE#"),CONCATENATE($Y16,"!",GetReceiptStart($Y16),":",GetReceiptEnd($Y16)),"")</f>
        <v>LongTerm21!$S$22:$S$67</v>
      </c>
      <c r="AC16" s="236">
        <f>GetRecNdx($Z16,$C16)</f>
        <v>4</v>
      </c>
    </row>
    <row r="17" spans="3:29" x14ac:dyDescent="0.25">
      <c r="C17" s="686"/>
      <c r="E17" s="688"/>
      <c r="F17" s="690"/>
      <c r="G17" s="244" t="str">
        <f>GetDelBasis($Z16,$AC17)</f>
        <v>IF-CGT/APPALAC Basis Mid</v>
      </c>
      <c r="H17" s="240">
        <f t="array" aca="1" ref="H17" ca="1">SUM((INDIRECT($AA17)&gt;'East Postition Rpt'!H$8)*(INDIRECT($AA17)&lt;'East Postition Rpt'!H$9)*(INDIRECT($AB17)))</f>
        <v>0</v>
      </c>
      <c r="I17" s="228">
        <f t="array" aca="1" ref="I17" ca="1">SUM((INDIRECT($AA17)&gt;'East Postition Rpt'!I$8)*(INDIRECT($AA17)&lt;'East Postition Rpt'!I$9)*(INDIRECT($AB17)))</f>
        <v>0</v>
      </c>
      <c r="J17" s="228">
        <f t="array" aca="1" ref="J17" ca="1">SUM((INDIRECT($AA17)&gt;'East Postition Rpt'!J$8)*(INDIRECT($AA17)&lt;'East Postition Rpt'!J$9)*(INDIRECT($AB17)))</f>
        <v>0</v>
      </c>
      <c r="K17" s="228">
        <f t="array" aca="1" ref="K17" ca="1">SUM((INDIRECT($AA17)&gt;'East Postition Rpt'!K$8)*(INDIRECT($AA17)&lt;'East Postition Rpt'!K$9)*(INDIRECT($AB17)))</f>
        <v>0</v>
      </c>
      <c r="L17" s="228">
        <f t="array" aca="1" ref="L17" ca="1">SUM((INDIRECT($AA17)&gt;'East Postition Rpt'!L$8)*(INDIRECT($AA17)&lt;'East Postition Rpt'!L$9)*(INDIRECT($AB17)))</f>
        <v>0</v>
      </c>
      <c r="M17" s="228">
        <f t="array" aca="1" ref="M17" ca="1">SUM((INDIRECT($AA17)&gt;'East Postition Rpt'!M$8)*(INDIRECT($AA17)&lt;'East Postition Rpt'!M$9)*(INDIRECT($AB17)))</f>
        <v>0</v>
      </c>
      <c r="N17" s="228">
        <f t="array" aca="1" ref="N17" ca="1">SUM((INDIRECT($AA17)&gt;'East Postition Rpt'!N$8)*(INDIRECT($AA17)&lt;'East Postition Rpt'!N$9)*(INDIRECT($AB17)))</f>
        <v>0</v>
      </c>
      <c r="O17" s="228">
        <f t="array" aca="1" ref="O17" ca="1">SUM((INDIRECT($AA17)&gt;'East Postition Rpt'!O$8)*(INDIRECT($AA17)&lt;'East Postition Rpt'!O$9)*(INDIRECT($AB17)))</f>
        <v>2419003.0651896265</v>
      </c>
      <c r="P17" s="228">
        <f t="array" aca="1" ref="P17" ca="1">SUM((INDIRECT($AA17)&gt;'East Postition Rpt'!P$8)*(INDIRECT($AA17)&lt;'East Postition Rpt'!P$9)*(INDIRECT($AB17)))</f>
        <v>2346267.9435792249</v>
      </c>
      <c r="Q17" s="228">
        <f t="array" aca="1" ref="Q17" ca="1">SUM((INDIRECT($AA17)&gt;'East Postition Rpt'!Q$8)*(INDIRECT($AA17)&lt;'East Postition Rpt'!Q$9)*(INDIRECT($AB17)))</f>
        <v>2079264.1164252164</v>
      </c>
      <c r="R17" s="228">
        <f t="array" aca="1" ref="R17" ca="1">SUM((INDIRECT($AA17)&gt;'East Postition Rpt'!R$8)*(INDIRECT($AA17)&lt;'East Postition Rpt'!R$9)*(INDIRECT($AB17)))</f>
        <v>796054.87974303204</v>
      </c>
      <c r="S17" s="228">
        <f t="array" aca="1" ref="S17" ca="1">SUM((INDIRECT($AA17)&gt;'East Postition Rpt'!S$8)*(INDIRECT($AA17)&lt;'East Postition Rpt'!S$9)*(INDIRECT($AB17)))</f>
        <v>0</v>
      </c>
      <c r="T17" s="229">
        <f t="array" aca="1" ref="T17" ca="1">SUM((INDIRECT($AA17)&gt;'East Postition Rpt'!T$8)*(INDIRECT($AA17)&lt;'East Postition Rpt'!T$9)*(INDIRECT($AB17)))</f>
        <v>0</v>
      </c>
      <c r="V17" s="246">
        <f t="shared" ca="1" si="0"/>
        <v>7640590.0049370993</v>
      </c>
      <c r="Y17" s="236" t="str">
        <f>GetWorkSheet($C16)</f>
        <v>LongTerm21</v>
      </c>
      <c r="Z17" s="303"/>
      <c r="AA17" s="236" t="str">
        <f t="shared" si="1"/>
        <v>LongTerm21!$D$22:$D$67</v>
      </c>
      <c r="AB17" s="236" t="str">
        <f>IF(NOT($Y17="#VALUE#"),CONCATENATE($Y17,"!",GetDeliveryStart($Y17),":",GetDeliveryEnd($Y17)),"")</f>
        <v>LongTerm21!$T$22:$T$67</v>
      </c>
      <c r="AC17" s="236">
        <f>GetRecNdx($Z16,$C16)</f>
        <v>4</v>
      </c>
    </row>
    <row r="18" spans="3:29" x14ac:dyDescent="0.25">
      <c r="C18" s="685">
        <v>24</v>
      </c>
      <c r="E18" s="687">
        <f>GetPipeName($Z18,$AC18)</f>
        <v>0</v>
      </c>
      <c r="F18" s="689" t="str">
        <f>CONCATENATE(GetRcptPoint($Z18,$AC18)," to ",GetDelPoint($Z18,$AC18))</f>
        <v>Rayne to Leach</v>
      </c>
      <c r="G18" s="243" t="str">
        <f>GetRcptBasis($Z18,$AC18)</f>
        <v>IF-COLGUL/RAYNE Basis Mid</v>
      </c>
      <c r="H18" s="239">
        <f t="array" aca="1" ref="H18" ca="1">SUM((INDIRECT($AA18)&gt;'East Postition Rpt'!H$8)*(INDIRECT($AA18)&lt;'East Postition Rpt'!H$9)*(INDIRECT($AB18)))</f>
        <v>0</v>
      </c>
      <c r="I18" s="226">
        <f t="array" aca="1" ref="I18" ca="1">SUM((INDIRECT($AA18)&gt;'East Postition Rpt'!I$8)*(INDIRECT($AA18)&lt;'East Postition Rpt'!I$9)*(INDIRECT($AB18)))</f>
        <v>0</v>
      </c>
      <c r="J18" s="226">
        <f t="array" aca="1" ref="J18" ca="1">SUM((INDIRECT($AA18)&gt;'East Postition Rpt'!J$8)*(INDIRECT($AA18)&lt;'East Postition Rpt'!J$9)*(INDIRECT($AB18)))</f>
        <v>0</v>
      </c>
      <c r="K18" s="226">
        <f t="array" aca="1" ref="K18" ca="1">SUM((INDIRECT($AA18)&gt;'East Postition Rpt'!K$8)*(INDIRECT($AA18)&lt;'East Postition Rpt'!K$9)*(INDIRECT($AB18)))</f>
        <v>0</v>
      </c>
      <c r="L18" s="226">
        <f t="array" aca="1" ref="L18" ca="1">SUM((INDIRECT($AA18)&gt;'East Postition Rpt'!L$8)*(INDIRECT($AA18)&lt;'East Postition Rpt'!L$9)*(INDIRECT($AB18)))</f>
        <v>0</v>
      </c>
      <c r="M18" s="226">
        <f t="array" aca="1" ref="M18" ca="1">SUM((INDIRECT($AA18)&gt;'East Postition Rpt'!M$8)*(INDIRECT($AA18)&lt;'East Postition Rpt'!M$9)*(INDIRECT($AB18)))</f>
        <v>0</v>
      </c>
      <c r="N18" s="226">
        <f t="array" aca="1" ref="N18" ca="1">SUM((INDIRECT($AA18)&gt;'East Postition Rpt'!N$8)*(INDIRECT($AA18)&lt;'East Postition Rpt'!N$9)*(INDIRECT($AB18)))</f>
        <v>0</v>
      </c>
      <c r="O18" s="226">
        <f t="array" aca="1" ref="O18" ca="1">SUM((INDIRECT($AA18)&gt;'East Postition Rpt'!O$8)*(INDIRECT($AA18)&lt;'East Postition Rpt'!O$9)*(INDIRECT($AB18)))</f>
        <v>-1081217.0294030865</v>
      </c>
      <c r="P18" s="226">
        <f t="array" aca="1" ref="P18" ca="1">SUM((INDIRECT($AA18)&gt;'East Postition Rpt'!P$8)*(INDIRECT($AA18)&lt;'East Postition Rpt'!P$9)*(INDIRECT($AB18)))</f>
        <v>0</v>
      </c>
      <c r="Q18" s="226">
        <f t="array" aca="1" ref="Q18" ca="1">SUM((INDIRECT($AA18)&gt;'East Postition Rpt'!Q$8)*(INDIRECT($AA18)&lt;'East Postition Rpt'!Q$9)*(INDIRECT($AB18)))</f>
        <v>0</v>
      </c>
      <c r="R18" s="226">
        <f t="array" aca="1" ref="R18" ca="1">SUM((INDIRECT($AA18)&gt;'East Postition Rpt'!R$8)*(INDIRECT($AA18)&lt;'East Postition Rpt'!R$9)*(INDIRECT($AB18)))</f>
        <v>0</v>
      </c>
      <c r="S18" s="226">
        <f t="array" aca="1" ref="S18" ca="1">SUM((INDIRECT($AA18)&gt;'East Postition Rpt'!S$8)*(INDIRECT($AA18)&lt;'East Postition Rpt'!S$9)*(INDIRECT($AB18)))</f>
        <v>0</v>
      </c>
      <c r="T18" s="227">
        <f t="array" aca="1" ref="T18" ca="1">SUM((INDIRECT($AA18)&gt;'East Postition Rpt'!T$8)*(INDIRECT($AA18)&lt;'East Postition Rpt'!T$9)*(INDIRECT($AB18)))</f>
        <v>0</v>
      </c>
      <c r="V18" s="245">
        <f t="shared" ca="1" si="0"/>
        <v>-1081217.0294030865</v>
      </c>
      <c r="Y18" s="236" t="str">
        <f>GetWorkSheet($C18)</f>
        <v>LongTerm24</v>
      </c>
      <c r="Z18" s="303" t="str">
        <f>FetchDBPage(Y18)</f>
        <v>Contract DB (East)</v>
      </c>
      <c r="AA18" s="236" t="str">
        <f t="shared" si="1"/>
        <v>LongTerm24!$D$22:$D$31</v>
      </c>
      <c r="AB18" s="236" t="str">
        <f>IF(NOT($Y18="#VALUE#"),CONCATENATE($Y18,"!",GetReceiptStart($Y18),":",GetReceiptEnd($Y18)),"")</f>
        <v>LongTerm24!$S$22:$S$31</v>
      </c>
      <c r="AC18" s="236">
        <f>GetRecNdx($Z18,$C18)</f>
        <v>5</v>
      </c>
    </row>
    <row r="19" spans="3:29" x14ac:dyDescent="0.25">
      <c r="C19" s="686"/>
      <c r="E19" s="688"/>
      <c r="F19" s="690"/>
      <c r="G19" s="244" t="str">
        <f>GetDelBasis($Z18,$AC19)</f>
        <v>IF-CGT/APPALAC Basis Mid</v>
      </c>
      <c r="H19" s="240">
        <f t="array" aca="1" ref="H19" ca="1">SUM((INDIRECT($AA19)&gt;'East Postition Rpt'!H$8)*(INDIRECT($AA19)&lt;'East Postition Rpt'!H$9)*(INDIRECT($AB19)))</f>
        <v>0</v>
      </c>
      <c r="I19" s="228">
        <f t="array" aca="1" ref="I19" ca="1">SUM((INDIRECT($AA19)&gt;'East Postition Rpt'!I$8)*(INDIRECT($AA19)&lt;'East Postition Rpt'!I$9)*(INDIRECT($AB19)))</f>
        <v>0</v>
      </c>
      <c r="J19" s="228">
        <f t="array" aca="1" ref="J19" ca="1">SUM((INDIRECT($AA19)&gt;'East Postition Rpt'!J$8)*(INDIRECT($AA19)&lt;'East Postition Rpt'!J$9)*(INDIRECT($AB19)))</f>
        <v>0</v>
      </c>
      <c r="K19" s="228">
        <f t="array" aca="1" ref="K19" ca="1">SUM((INDIRECT($AA19)&gt;'East Postition Rpt'!K$8)*(INDIRECT($AA19)&lt;'East Postition Rpt'!K$9)*(INDIRECT($AB19)))</f>
        <v>0</v>
      </c>
      <c r="L19" s="228">
        <f t="array" aca="1" ref="L19" ca="1">SUM((INDIRECT($AA19)&gt;'East Postition Rpt'!L$8)*(INDIRECT($AA19)&lt;'East Postition Rpt'!L$9)*(INDIRECT($AB19)))</f>
        <v>0</v>
      </c>
      <c r="M19" s="228">
        <f t="array" aca="1" ref="M19" ca="1">SUM((INDIRECT($AA19)&gt;'East Postition Rpt'!M$8)*(INDIRECT($AA19)&lt;'East Postition Rpt'!M$9)*(INDIRECT($AB19)))</f>
        <v>0</v>
      </c>
      <c r="N19" s="228">
        <f t="array" aca="1" ref="N19" ca="1">SUM((INDIRECT($AA19)&gt;'East Postition Rpt'!N$8)*(INDIRECT($AA19)&lt;'East Postition Rpt'!N$9)*(INDIRECT($AB19)))</f>
        <v>0</v>
      </c>
      <c r="O19" s="228">
        <f t="array" aca="1" ref="O19" ca="1">SUM((INDIRECT($AA19)&gt;'East Postition Rpt'!O$8)*(INDIRECT($AA19)&lt;'East Postition Rpt'!O$9)*(INDIRECT($AB19)))</f>
        <v>1099368.986335044</v>
      </c>
      <c r="P19" s="228">
        <f t="array" aca="1" ref="P19" ca="1">SUM((INDIRECT($AA19)&gt;'East Postition Rpt'!P$8)*(INDIRECT($AA19)&lt;'East Postition Rpt'!P$9)*(INDIRECT($AB19)))</f>
        <v>0</v>
      </c>
      <c r="Q19" s="228">
        <f t="array" aca="1" ref="Q19" ca="1">SUM((INDIRECT($AA19)&gt;'East Postition Rpt'!Q$8)*(INDIRECT($AA19)&lt;'East Postition Rpt'!Q$9)*(INDIRECT($AB19)))</f>
        <v>0</v>
      </c>
      <c r="R19" s="228">
        <f t="array" aca="1" ref="R19" ca="1">SUM((INDIRECT($AA19)&gt;'East Postition Rpt'!R$8)*(INDIRECT($AA19)&lt;'East Postition Rpt'!R$9)*(INDIRECT($AB19)))</f>
        <v>0</v>
      </c>
      <c r="S19" s="228">
        <f t="array" aca="1" ref="S19" ca="1">SUM((INDIRECT($AA19)&gt;'East Postition Rpt'!S$8)*(INDIRECT($AA19)&lt;'East Postition Rpt'!S$9)*(INDIRECT($AB19)))</f>
        <v>0</v>
      </c>
      <c r="T19" s="229">
        <f t="array" aca="1" ref="T19" ca="1">SUM((INDIRECT($AA19)&gt;'East Postition Rpt'!T$8)*(INDIRECT($AA19)&lt;'East Postition Rpt'!T$9)*(INDIRECT($AB19)))</f>
        <v>0</v>
      </c>
      <c r="V19" s="246">
        <f t="shared" ca="1" si="0"/>
        <v>1099368.986335044</v>
      </c>
      <c r="Y19" s="236" t="str">
        <f>GetWorkSheet($C18)</f>
        <v>LongTerm24</v>
      </c>
      <c r="Z19" s="303"/>
      <c r="AA19" s="236" t="str">
        <f t="shared" si="1"/>
        <v>LongTerm24!$D$22:$D$31</v>
      </c>
      <c r="AB19" s="236" t="str">
        <f>IF(NOT($Y19="#VALUE#"),CONCATENATE($Y19,"!",GetDeliveryStart($Y19),":",GetDeliveryEnd($Y19)),"")</f>
        <v>LongTerm24!$T$22:$T$31</v>
      </c>
      <c r="AC19" s="236">
        <f>GetRecNdx($Z18,$C18)</f>
        <v>5</v>
      </c>
    </row>
    <row r="20" spans="3:29" x14ac:dyDescent="0.25">
      <c r="C20" s="685">
        <v>50</v>
      </c>
      <c r="E20" s="687" t="str">
        <f>GetPipeName($Z20,$AC20)</f>
        <v>FGT</v>
      </c>
      <c r="F20" s="689" t="str">
        <f>CONCATENATE(GetRcptPoint($Z20,$AC20)," to ",GetDelPoint($Z20,$AC20))</f>
        <v>FGT/Zone 1 to FGT/MKT</v>
      </c>
      <c r="G20" s="243" t="str">
        <f>GetRcptBasis($Z20,$AC20)</f>
        <v>IF-FGT/Z1 Basis Mid</v>
      </c>
      <c r="H20" s="239">
        <f t="array" aca="1" ref="H20" ca="1">SUM((INDIRECT($AA20)&gt;'East Postition Rpt'!H$8)*(INDIRECT($AA20)&lt;'East Postition Rpt'!H$9)*(INDIRECT($AB20)))</f>
        <v>0</v>
      </c>
      <c r="I20" s="226">
        <f t="array" aca="1" ref="I20" ca="1">SUM((INDIRECT($AA20)&gt;'East Postition Rpt'!I$8)*(INDIRECT($AA20)&lt;'East Postition Rpt'!I$9)*(INDIRECT($AB20)))</f>
        <v>0</v>
      </c>
      <c r="J20" s="226">
        <f t="array" aca="1" ref="J20" ca="1">SUM((INDIRECT($AA20)&gt;'East Postition Rpt'!J$8)*(INDIRECT($AA20)&lt;'East Postition Rpt'!J$9)*(INDIRECT($AB20)))</f>
        <v>0</v>
      </c>
      <c r="K20" s="226">
        <f t="array" aca="1" ref="K20" ca="1">SUM((INDIRECT($AA20)&gt;'East Postition Rpt'!K$8)*(INDIRECT($AA20)&lt;'East Postition Rpt'!K$9)*(INDIRECT($AB20)))</f>
        <v>0</v>
      </c>
      <c r="L20" s="226">
        <f t="array" aca="1" ref="L20" ca="1">SUM((INDIRECT($AA20)&gt;'East Postition Rpt'!L$8)*(INDIRECT($AA20)&lt;'East Postition Rpt'!L$9)*(INDIRECT($AB20)))</f>
        <v>0</v>
      </c>
      <c r="M20" s="226">
        <f t="array" aca="1" ref="M20" ca="1">SUM((INDIRECT($AA20)&gt;'East Postition Rpt'!M$8)*(INDIRECT($AA20)&lt;'East Postition Rpt'!M$9)*(INDIRECT($AB20)))</f>
        <v>0</v>
      </c>
      <c r="N20" s="226">
        <f t="array" aca="1" ref="N20" ca="1">SUM((INDIRECT($AA20)&gt;'East Postition Rpt'!N$8)*(INDIRECT($AA20)&lt;'East Postition Rpt'!N$9)*(INDIRECT($AB20)))</f>
        <v>0</v>
      </c>
      <c r="O20" s="226">
        <f t="array" aca="1" ref="O20" ca="1">SUM((INDIRECT($AA20)&gt;'East Postition Rpt'!O$8)*(INDIRECT($AA20)&lt;'East Postition Rpt'!O$9)*(INDIRECT($AB20)))</f>
        <v>-227018.05220203957</v>
      </c>
      <c r="P20" s="226">
        <f t="array" aca="1" ref="P20" ca="1">SUM((INDIRECT($AA20)&gt;'East Postition Rpt'!P$8)*(INDIRECT($AA20)&lt;'East Postition Rpt'!P$9)*(INDIRECT($AB20)))</f>
        <v>-218995.09525206179</v>
      </c>
      <c r="Q20" s="226">
        <f t="array" aca="1" ref="Q20" ca="1">SUM((INDIRECT($AA20)&gt;'East Postition Rpt'!Q$8)*(INDIRECT($AA20)&lt;'East Postition Rpt'!Q$9)*(INDIRECT($AB20)))</f>
        <v>-207602.85511151192</v>
      </c>
      <c r="R20" s="226">
        <f t="array" aca="1" ref="R20" ca="1">SUM((INDIRECT($AA20)&gt;'East Postition Rpt'!R$8)*(INDIRECT($AA20)&lt;'East Postition Rpt'!R$9)*(INDIRECT($AB20)))</f>
        <v>-390483.37835012627</v>
      </c>
      <c r="S20" s="226">
        <f t="array" aca="1" ref="S20" ca="1">SUM((INDIRECT($AA20)&gt;'East Postition Rpt'!S$8)*(INDIRECT($AA20)&lt;'East Postition Rpt'!S$9)*(INDIRECT($AB20)))</f>
        <v>0</v>
      </c>
      <c r="T20" s="227">
        <f t="array" aca="1" ref="T20" ca="1">SUM((INDIRECT($AA20)&gt;'East Postition Rpt'!T$8)*(INDIRECT($AA20)&lt;'East Postition Rpt'!T$9)*(INDIRECT($AB20)))</f>
        <v>0</v>
      </c>
      <c r="V20" s="245">
        <f t="shared" ca="1" si="0"/>
        <v>-1044099.3809157396</v>
      </c>
      <c r="Y20" s="236" t="str">
        <f>GetWorkSheet($C20)</f>
        <v>LongTerm50</v>
      </c>
      <c r="Z20" s="303" t="str">
        <f>FetchDBPage(Y20)</f>
        <v>Contract DB (East)</v>
      </c>
      <c r="AA20" s="236" t="str">
        <f t="shared" si="1"/>
        <v>LongTerm50!$D$22:$D$89</v>
      </c>
      <c r="AB20" s="236" t="str">
        <f>IF(NOT($Y20="#VALUE#"),CONCATENATE($Y20,"!",GetReceiptStart($Y20),":",GetReceiptEnd($Y20)),"")</f>
        <v>LongTerm50!$S$22:$S$89</v>
      </c>
      <c r="AC20" s="236">
        <f>GetRecNdx($Z20,$C20)</f>
        <v>6</v>
      </c>
    </row>
    <row r="21" spans="3:29" x14ac:dyDescent="0.25">
      <c r="C21" s="686"/>
      <c r="E21" s="688"/>
      <c r="F21" s="690"/>
      <c r="G21" s="244" t="str">
        <f>GetDelBasis($Z20,$AC21)</f>
        <v>IF-FGT/MKT Basis Mid</v>
      </c>
      <c r="H21" s="240">
        <f t="array" aca="1" ref="H21" ca="1">SUM((INDIRECT($AA21)&gt;'East Postition Rpt'!H$8)*(INDIRECT($AA21)&lt;'East Postition Rpt'!H$9)*(INDIRECT($AB21)))</f>
        <v>0</v>
      </c>
      <c r="I21" s="228">
        <f t="array" aca="1" ref="I21" ca="1">SUM((INDIRECT($AA21)&gt;'East Postition Rpt'!I$8)*(INDIRECT($AA21)&lt;'East Postition Rpt'!I$9)*(INDIRECT($AB21)))</f>
        <v>0</v>
      </c>
      <c r="J21" s="228">
        <f t="array" aca="1" ref="J21" ca="1">SUM((INDIRECT($AA21)&gt;'East Postition Rpt'!J$8)*(INDIRECT($AA21)&lt;'East Postition Rpt'!J$9)*(INDIRECT($AB21)))</f>
        <v>0</v>
      </c>
      <c r="K21" s="228">
        <f t="array" aca="1" ref="K21" ca="1">SUM((INDIRECT($AA21)&gt;'East Postition Rpt'!K$8)*(INDIRECT($AA21)&lt;'East Postition Rpt'!K$9)*(INDIRECT($AB21)))</f>
        <v>0</v>
      </c>
      <c r="L21" s="228">
        <f t="array" aca="1" ref="L21" ca="1">SUM((INDIRECT($AA21)&gt;'East Postition Rpt'!L$8)*(INDIRECT($AA21)&lt;'East Postition Rpt'!L$9)*(INDIRECT($AB21)))</f>
        <v>0</v>
      </c>
      <c r="M21" s="228">
        <f t="array" aca="1" ref="M21" ca="1">SUM((INDIRECT($AA21)&gt;'East Postition Rpt'!M$8)*(INDIRECT($AA21)&lt;'East Postition Rpt'!M$9)*(INDIRECT($AB21)))</f>
        <v>0</v>
      </c>
      <c r="N21" s="228">
        <f t="array" aca="1" ref="N21" ca="1">SUM((INDIRECT($AA21)&gt;'East Postition Rpt'!N$8)*(INDIRECT($AA21)&lt;'East Postition Rpt'!N$9)*(INDIRECT($AB21)))</f>
        <v>0</v>
      </c>
      <c r="O21" s="228">
        <f t="array" aca="1" ref="O21" ca="1">SUM((INDIRECT($AA21)&gt;'East Postition Rpt'!O$8)*(INDIRECT($AA21)&lt;'East Postition Rpt'!O$9)*(INDIRECT($AB21)))</f>
        <v>220777.47200146521</v>
      </c>
      <c r="P21" s="228">
        <f t="array" aca="1" ref="P21" ca="1">SUM((INDIRECT($AA21)&gt;'East Postition Rpt'!P$8)*(INDIRECT($AA21)&lt;'East Postition Rpt'!P$9)*(INDIRECT($AB21)))</f>
        <v>212972.73013211295</v>
      </c>
      <c r="Q21" s="228">
        <f t="array" aca="1" ref="Q21" ca="1">SUM((INDIRECT($AA21)&gt;'East Postition Rpt'!Q$8)*(INDIRECT($AA21)&lt;'East Postition Rpt'!Q$9)*(INDIRECT($AB21)))</f>
        <v>201893.77659595732</v>
      </c>
      <c r="R21" s="228">
        <f t="array" aca="1" ref="R21" ca="1">SUM((INDIRECT($AA21)&gt;'East Postition Rpt'!R$8)*(INDIRECT($AA21)&lt;'East Postition Rpt'!R$9)*(INDIRECT($AB21)))</f>
        <v>379745.0854446945</v>
      </c>
      <c r="S21" s="228">
        <f t="array" aca="1" ref="S21" ca="1">SUM((INDIRECT($AA21)&gt;'East Postition Rpt'!S$8)*(INDIRECT($AA21)&lt;'East Postition Rpt'!S$9)*(INDIRECT($AB21)))</f>
        <v>0</v>
      </c>
      <c r="T21" s="229">
        <f t="array" aca="1" ref="T21" ca="1">SUM((INDIRECT($AA21)&gt;'East Postition Rpt'!T$8)*(INDIRECT($AA21)&lt;'East Postition Rpt'!T$9)*(INDIRECT($AB21)))</f>
        <v>0</v>
      </c>
      <c r="V21" s="246">
        <f t="shared" ca="1" si="0"/>
        <v>1015389.06417423</v>
      </c>
      <c r="Y21" s="236" t="str">
        <f>GetWorkSheet($C20)</f>
        <v>LongTerm50</v>
      </c>
      <c r="Z21" s="303"/>
      <c r="AA21" s="236" t="str">
        <f t="shared" si="1"/>
        <v>LongTerm50!$D$22:$D$89</v>
      </c>
      <c r="AB21" s="236" t="str">
        <f>IF(NOT($Y21="#VALUE#"),CONCATENATE($Y21,"!",GetDeliveryStart($Y21),":",GetDeliveryEnd($Y21)),"")</f>
        <v>LongTerm50!$T$22:$T$89</v>
      </c>
      <c r="AC21" s="236">
        <f>GetRecNdx($Z20,$C20)</f>
        <v>6</v>
      </c>
    </row>
    <row r="22" spans="3:29" x14ac:dyDescent="0.25">
      <c r="C22" s="685">
        <v>51</v>
      </c>
      <c r="E22" s="687" t="str">
        <f>GetPipeName($Z22,$AC22)</f>
        <v>FGT</v>
      </c>
      <c r="F22" s="689" t="str">
        <f>CONCATENATE(GetRcptPoint($Z22,$AC22)," to ",GetDelPoint($Z22,$AC22))</f>
        <v>FGT/Zone 2 to FGT/MKT</v>
      </c>
      <c r="G22" s="243" t="str">
        <f>GetRcptBasis($Z22,$AC22)</f>
        <v>IF-FGT/Z2 Basis Mid</v>
      </c>
      <c r="H22" s="239">
        <f t="array" aca="1" ref="H22" ca="1">SUM((INDIRECT($AA22)&gt;'East Postition Rpt'!H$8)*(INDIRECT($AA22)&lt;'East Postition Rpt'!H$9)*(INDIRECT($AB22)))</f>
        <v>0</v>
      </c>
      <c r="I22" s="226">
        <f t="array" aca="1" ref="I22" ca="1">SUM((INDIRECT($AA22)&gt;'East Postition Rpt'!I$8)*(INDIRECT($AA22)&lt;'East Postition Rpt'!I$9)*(INDIRECT($AB22)))</f>
        <v>0</v>
      </c>
      <c r="J22" s="226">
        <f t="array" aca="1" ref="J22" ca="1">SUM((INDIRECT($AA22)&gt;'East Postition Rpt'!J$8)*(INDIRECT($AA22)&lt;'East Postition Rpt'!J$9)*(INDIRECT($AB22)))</f>
        <v>0</v>
      </c>
      <c r="K22" s="226">
        <f t="array" aca="1" ref="K22" ca="1">SUM((INDIRECT($AA22)&gt;'East Postition Rpt'!K$8)*(INDIRECT($AA22)&lt;'East Postition Rpt'!K$9)*(INDIRECT($AB22)))</f>
        <v>0</v>
      </c>
      <c r="L22" s="226">
        <f t="array" aca="1" ref="L22" ca="1">SUM((INDIRECT($AA22)&gt;'East Postition Rpt'!L$8)*(INDIRECT($AA22)&lt;'East Postition Rpt'!L$9)*(INDIRECT($AB22)))</f>
        <v>0</v>
      </c>
      <c r="M22" s="226">
        <f t="array" aca="1" ref="M22" ca="1">SUM((INDIRECT($AA22)&gt;'East Postition Rpt'!M$8)*(INDIRECT($AA22)&lt;'East Postition Rpt'!M$9)*(INDIRECT($AB22)))</f>
        <v>0</v>
      </c>
      <c r="N22" s="226">
        <f t="array" aca="1" ref="N22" ca="1">SUM((INDIRECT($AA22)&gt;'East Postition Rpt'!N$8)*(INDIRECT($AA22)&lt;'East Postition Rpt'!N$9)*(INDIRECT($AB22)))</f>
        <v>0</v>
      </c>
      <c r="O22" s="226">
        <f t="array" aca="1" ref="O22" ca="1">SUM((INDIRECT($AA22)&gt;'East Postition Rpt'!O$8)*(INDIRECT($AA22)&lt;'East Postition Rpt'!O$9)*(INDIRECT($AB22)))</f>
        <v>-271407.62902188394</v>
      </c>
      <c r="P22" s="226">
        <f t="array" aca="1" ref="P22" ca="1">SUM((INDIRECT($AA22)&gt;'East Postition Rpt'!P$8)*(INDIRECT($AA22)&lt;'East Postition Rpt'!P$9)*(INDIRECT($AB22)))</f>
        <v>-261924.66985600989</v>
      </c>
      <c r="Q22" s="226">
        <f t="array" aca="1" ref="Q22" ca="1">SUM((INDIRECT($AA22)&gt;'East Postition Rpt'!Q$8)*(INDIRECT($AA22)&lt;'East Postition Rpt'!Q$9)*(INDIRECT($AB22)))</f>
        <v>-248306.70921893476</v>
      </c>
      <c r="R22" s="226">
        <f t="array" aca="1" ref="R22" ca="1">SUM((INDIRECT($AA22)&gt;'East Postition Rpt'!R$8)*(INDIRECT($AA22)&lt;'East Postition Rpt'!R$9)*(INDIRECT($AB22)))</f>
        <v>-467035.10834843689</v>
      </c>
      <c r="S22" s="226">
        <f t="array" aca="1" ref="S22" ca="1">SUM((INDIRECT($AA22)&gt;'East Postition Rpt'!S$8)*(INDIRECT($AA22)&lt;'East Postition Rpt'!S$9)*(INDIRECT($AB22)))</f>
        <v>0</v>
      </c>
      <c r="T22" s="227">
        <f t="array" aca="1" ref="T22" ca="1">SUM((INDIRECT($AA22)&gt;'East Postition Rpt'!T$8)*(INDIRECT($AA22)&lt;'East Postition Rpt'!T$9)*(INDIRECT($AB22)))</f>
        <v>0</v>
      </c>
      <c r="V22" s="245">
        <f t="shared" ca="1" si="0"/>
        <v>-1248674.1164452655</v>
      </c>
      <c r="Y22" s="236" t="str">
        <f>GetWorkSheet($C22)</f>
        <v>LongTerm51</v>
      </c>
      <c r="Z22" s="303" t="str">
        <f>FetchDBPage(Y22)</f>
        <v>Contract DB (East)</v>
      </c>
      <c r="AA22" s="236" t="str">
        <f t="shared" si="1"/>
        <v>LongTerm51!$D$22:$D$89</v>
      </c>
      <c r="AB22" s="236" t="str">
        <f>IF(NOT($Y22="#VALUE#"),CONCATENATE($Y22,"!",GetReceiptStart($Y22),":",GetReceiptEnd($Y22)),"")</f>
        <v>LongTerm51!$S$22:$S$89</v>
      </c>
      <c r="AC22" s="236">
        <f>GetRecNdx($Z22,$C22)</f>
        <v>7</v>
      </c>
    </row>
    <row r="23" spans="3:29" x14ac:dyDescent="0.25">
      <c r="C23" s="686"/>
      <c r="E23" s="688"/>
      <c r="F23" s="690"/>
      <c r="G23" s="244" t="str">
        <f>GetDelBasis($Z22,$AC23)</f>
        <v>IF-FGT/MKT Basis Mid</v>
      </c>
      <c r="H23" s="240">
        <f t="array" aca="1" ref="H23" ca="1">SUM((INDIRECT($AA23)&gt;'East Postition Rpt'!H$8)*(INDIRECT($AA23)&lt;'East Postition Rpt'!H$9)*(INDIRECT($AB23)))</f>
        <v>0</v>
      </c>
      <c r="I23" s="228">
        <f t="array" aca="1" ref="I23" ca="1">SUM((INDIRECT($AA23)&gt;'East Postition Rpt'!I$8)*(INDIRECT($AA23)&lt;'East Postition Rpt'!I$9)*(INDIRECT($AB23)))</f>
        <v>0</v>
      </c>
      <c r="J23" s="228">
        <f t="array" aca="1" ref="J23" ca="1">SUM((INDIRECT($AA23)&gt;'East Postition Rpt'!J$8)*(INDIRECT($AA23)&lt;'East Postition Rpt'!J$9)*(INDIRECT($AB23)))</f>
        <v>0</v>
      </c>
      <c r="K23" s="228">
        <f t="array" aca="1" ref="K23" ca="1">SUM((INDIRECT($AA23)&gt;'East Postition Rpt'!K$8)*(INDIRECT($AA23)&lt;'East Postition Rpt'!K$9)*(INDIRECT($AB23)))</f>
        <v>0</v>
      </c>
      <c r="L23" s="228">
        <f t="array" aca="1" ref="L23" ca="1">SUM((INDIRECT($AA23)&gt;'East Postition Rpt'!L$8)*(INDIRECT($AA23)&lt;'East Postition Rpt'!L$9)*(INDIRECT($AB23)))</f>
        <v>0</v>
      </c>
      <c r="M23" s="228">
        <f t="array" aca="1" ref="M23" ca="1">SUM((INDIRECT($AA23)&gt;'East Postition Rpt'!M$8)*(INDIRECT($AA23)&lt;'East Postition Rpt'!M$9)*(INDIRECT($AB23)))</f>
        <v>0</v>
      </c>
      <c r="N23" s="228">
        <f t="array" aca="1" ref="N23" ca="1">SUM((INDIRECT($AA23)&gt;'East Postition Rpt'!N$8)*(INDIRECT($AA23)&lt;'East Postition Rpt'!N$9)*(INDIRECT($AB23)))</f>
        <v>0</v>
      </c>
      <c r="O23" s="228">
        <f t="array" aca="1" ref="O23" ca="1">SUM((INDIRECT($AA23)&gt;'East Postition Rpt'!O$8)*(INDIRECT($AA23)&lt;'East Postition Rpt'!O$9)*(INDIRECT($AB23)))</f>
        <v>263956.14548592636</v>
      </c>
      <c r="P23" s="228">
        <f t="array" aca="1" ref="P23" ca="1">SUM((INDIRECT($AA23)&gt;'East Postition Rpt'!P$8)*(INDIRECT($AA23)&lt;'East Postition Rpt'!P$9)*(INDIRECT($AB23)))</f>
        <v>254721.74143602117</v>
      </c>
      <c r="Q23" s="228">
        <f t="array" aca="1" ref="Q23" ca="1">SUM((INDIRECT($AA23)&gt;'East Postition Rpt'!Q$8)*(INDIRECT($AA23)&lt;'East Postition Rpt'!Q$9)*(INDIRECT($AB23)))</f>
        <v>241478.27471678422</v>
      </c>
      <c r="R23" s="228">
        <f t="array" aca="1" ref="R23" ca="1">SUM((INDIRECT($AA23)&gt;'East Postition Rpt'!R$8)*(INDIRECT($AA23)&lt;'East Postition Rpt'!R$9)*(INDIRECT($AB23)))</f>
        <v>454191.64286813483</v>
      </c>
      <c r="S23" s="228">
        <f t="array" aca="1" ref="S23" ca="1">SUM((INDIRECT($AA23)&gt;'East Postition Rpt'!S$8)*(INDIRECT($AA23)&lt;'East Postition Rpt'!S$9)*(INDIRECT($AB23)))</f>
        <v>0</v>
      </c>
      <c r="T23" s="229">
        <f t="array" aca="1" ref="T23" ca="1">SUM((INDIRECT($AA23)&gt;'East Postition Rpt'!T$8)*(INDIRECT($AA23)&lt;'East Postition Rpt'!T$9)*(INDIRECT($AB23)))</f>
        <v>0</v>
      </c>
      <c r="V23" s="246">
        <f t="shared" ca="1" si="0"/>
        <v>1214347.8045068665</v>
      </c>
      <c r="Y23" s="236" t="str">
        <f>GetWorkSheet($C22)</f>
        <v>LongTerm51</v>
      </c>
      <c r="Z23" s="303"/>
      <c r="AA23" s="236" t="str">
        <f t="shared" si="1"/>
        <v>LongTerm51!$D$22:$D$89</v>
      </c>
      <c r="AB23" s="236" t="str">
        <f>IF(NOT($Y23="#VALUE#"),CONCATENATE($Y23,"!",GetDeliveryStart($Y23),":",GetDeliveryEnd($Y23)),"")</f>
        <v>LongTerm51!$T$22:$T$89</v>
      </c>
      <c r="AC23" s="236">
        <f>GetRecNdx($Z22,$C22)</f>
        <v>7</v>
      </c>
    </row>
    <row r="24" spans="3:29" x14ac:dyDescent="0.25">
      <c r="C24" s="685">
        <v>52</v>
      </c>
      <c r="E24" s="687" t="str">
        <f>GetPipeName($Z24,$AC24)</f>
        <v>FGT</v>
      </c>
      <c r="F24" s="689" t="str">
        <f>CONCATENATE(GetRcptPoint($Z24,$AC24)," to ",GetDelPoint($Z24,$AC24))</f>
        <v>FGT/Zone 3 to FGT/MKT</v>
      </c>
      <c r="G24" s="243" t="str">
        <f>GetRcptBasis($Z24,$AC24)</f>
        <v>IF-FGT/Z3 Basis Mid</v>
      </c>
      <c r="H24" s="239">
        <f t="array" aca="1" ref="H24" ca="1">SUM((INDIRECT($AA24)&gt;'East Postition Rpt'!H$8)*(INDIRECT($AA24)&lt;'East Postition Rpt'!H$9)*(INDIRECT($AB24)))</f>
        <v>0</v>
      </c>
      <c r="I24" s="226">
        <f t="array" aca="1" ref="I24" ca="1">SUM((INDIRECT($AA24)&gt;'East Postition Rpt'!I$8)*(INDIRECT($AA24)&lt;'East Postition Rpt'!I$9)*(INDIRECT($AB24)))</f>
        <v>0</v>
      </c>
      <c r="J24" s="226">
        <f t="array" aca="1" ref="J24" ca="1">SUM((INDIRECT($AA24)&gt;'East Postition Rpt'!J$8)*(INDIRECT($AA24)&lt;'East Postition Rpt'!J$9)*(INDIRECT($AB24)))</f>
        <v>0</v>
      </c>
      <c r="K24" s="226">
        <f t="array" aca="1" ref="K24" ca="1">SUM((INDIRECT($AA24)&gt;'East Postition Rpt'!K$8)*(INDIRECT($AA24)&lt;'East Postition Rpt'!K$9)*(INDIRECT($AB24)))</f>
        <v>0</v>
      </c>
      <c r="L24" s="226">
        <f t="array" aca="1" ref="L24" ca="1">SUM((INDIRECT($AA24)&gt;'East Postition Rpt'!L$8)*(INDIRECT($AA24)&lt;'East Postition Rpt'!L$9)*(INDIRECT($AB24)))</f>
        <v>0</v>
      </c>
      <c r="M24" s="226">
        <f t="array" aca="1" ref="M24" ca="1">SUM((INDIRECT($AA24)&gt;'East Postition Rpt'!M$8)*(INDIRECT($AA24)&lt;'East Postition Rpt'!M$9)*(INDIRECT($AB24)))</f>
        <v>0</v>
      </c>
      <c r="N24" s="226">
        <f t="array" aca="1" ref="N24" ca="1">SUM((INDIRECT($AA24)&gt;'East Postition Rpt'!N$8)*(INDIRECT($AA24)&lt;'East Postition Rpt'!N$9)*(INDIRECT($AB24)))</f>
        <v>0</v>
      </c>
      <c r="O24" s="226">
        <f t="array" aca="1" ref="O24" ca="1">SUM((INDIRECT($AA24)&gt;'East Postition Rpt'!O$8)*(INDIRECT($AA24)&lt;'East Postition Rpt'!O$9)*(INDIRECT($AB24)))</f>
        <v>-132039.60079616777</v>
      </c>
      <c r="P24" s="226">
        <f t="array" aca="1" ref="P24" ca="1">SUM((INDIRECT($AA24)&gt;'East Postition Rpt'!P$8)*(INDIRECT($AA24)&lt;'East Postition Rpt'!P$9)*(INDIRECT($AB24)))</f>
        <v>-127386.80560012642</v>
      </c>
      <c r="Q24" s="226">
        <f t="array" aca="1" ref="Q24" ca="1">SUM((INDIRECT($AA24)&gt;'East Postition Rpt'!Q$8)*(INDIRECT($AA24)&lt;'East Postition Rpt'!Q$9)*(INDIRECT($AB24)))</f>
        <v>-120762.25381854568</v>
      </c>
      <c r="R24" s="226">
        <f t="array" aca="1" ref="R24" ca="1">SUM((INDIRECT($AA24)&gt;'East Postition Rpt'!R$8)*(INDIRECT($AA24)&lt;'East Postition Rpt'!R$9)*(INDIRECT($AB24)))</f>
        <v>-227142.35057975014</v>
      </c>
      <c r="S24" s="226">
        <f t="array" aca="1" ref="S24" ca="1">SUM((INDIRECT($AA24)&gt;'East Postition Rpt'!S$8)*(INDIRECT($AA24)&lt;'East Postition Rpt'!S$9)*(INDIRECT($AB24)))</f>
        <v>0</v>
      </c>
      <c r="T24" s="227">
        <f t="array" aca="1" ref="T24" ca="1">SUM((INDIRECT($AA24)&gt;'East Postition Rpt'!T$8)*(INDIRECT($AA24)&lt;'East Postition Rpt'!T$9)*(INDIRECT($AB24)))</f>
        <v>0</v>
      </c>
      <c r="V24" s="245">
        <f t="shared" ca="1" si="0"/>
        <v>-607331.01079458999</v>
      </c>
      <c r="Y24" s="236" t="str">
        <f>GetWorkSheet($C24)</f>
        <v>LongTerm52</v>
      </c>
      <c r="Z24" s="303" t="str">
        <f>FetchDBPage(Y24)</f>
        <v>Contract DB (East)</v>
      </c>
      <c r="AA24" s="236" t="str">
        <f t="shared" si="1"/>
        <v>LongTerm52!$D$22:$D$89</v>
      </c>
      <c r="AB24" s="236" t="str">
        <f>IF(NOT($Y24="#VALUE#"),CONCATENATE($Y24,"!",GetReceiptStart($Y24),":",GetReceiptEnd($Y24)),"")</f>
        <v>LongTerm52!$S$22:$S$89</v>
      </c>
      <c r="AC24" s="236">
        <f>GetRecNdx($Z24,$C24)</f>
        <v>8</v>
      </c>
    </row>
    <row r="25" spans="3:29" x14ac:dyDescent="0.25">
      <c r="C25" s="686"/>
      <c r="E25" s="688"/>
      <c r="F25" s="690"/>
      <c r="G25" s="244" t="str">
        <f>GetDelBasis($Z24,$AC25)</f>
        <v>IF-FGT/MKT Basis Mid</v>
      </c>
      <c r="H25" s="240">
        <f t="array" aca="1" ref="H25" ca="1">SUM((INDIRECT($AA25)&gt;'East Postition Rpt'!H$8)*(INDIRECT($AA25)&lt;'East Postition Rpt'!H$9)*(INDIRECT($AB25)))</f>
        <v>0</v>
      </c>
      <c r="I25" s="228">
        <f t="array" aca="1" ref="I25" ca="1">SUM((INDIRECT($AA25)&gt;'East Postition Rpt'!I$8)*(INDIRECT($AA25)&lt;'East Postition Rpt'!I$9)*(INDIRECT($AB25)))</f>
        <v>0</v>
      </c>
      <c r="J25" s="228">
        <f t="array" aca="1" ref="J25" ca="1">SUM((INDIRECT($AA25)&gt;'East Postition Rpt'!J$8)*(INDIRECT($AA25)&lt;'East Postition Rpt'!J$9)*(INDIRECT($AB25)))</f>
        <v>0</v>
      </c>
      <c r="K25" s="228">
        <f t="array" aca="1" ref="K25" ca="1">SUM((INDIRECT($AA25)&gt;'East Postition Rpt'!K$8)*(INDIRECT($AA25)&lt;'East Postition Rpt'!K$9)*(INDIRECT($AB25)))</f>
        <v>0</v>
      </c>
      <c r="L25" s="228">
        <f t="array" aca="1" ref="L25" ca="1">SUM((INDIRECT($AA25)&gt;'East Postition Rpt'!L$8)*(INDIRECT($AA25)&lt;'East Postition Rpt'!L$9)*(INDIRECT($AB25)))</f>
        <v>0</v>
      </c>
      <c r="M25" s="228">
        <f t="array" aca="1" ref="M25" ca="1">SUM((INDIRECT($AA25)&gt;'East Postition Rpt'!M$8)*(INDIRECT($AA25)&lt;'East Postition Rpt'!M$9)*(INDIRECT($AB25)))</f>
        <v>0</v>
      </c>
      <c r="N25" s="228">
        <f t="array" aca="1" ref="N25" ca="1">SUM((INDIRECT($AA25)&gt;'East Postition Rpt'!N$8)*(INDIRECT($AA25)&lt;'East Postition Rpt'!N$9)*(INDIRECT($AB25)))</f>
        <v>0</v>
      </c>
      <c r="O25" s="228">
        <f t="array" aca="1" ref="O25" ca="1">SUM((INDIRECT($AA25)&gt;'East Postition Rpt'!O$8)*(INDIRECT($AA25)&lt;'East Postition Rpt'!O$9)*(INDIRECT($AB25)))</f>
        <v>128411.25308631382</v>
      </c>
      <c r="P25" s="228">
        <f t="array" aca="1" ref="P25" ca="1">SUM((INDIRECT($AA25)&gt;'East Postition Rpt'!P$8)*(INDIRECT($AA25)&lt;'East Postition Rpt'!P$9)*(INDIRECT($AB25)))</f>
        <v>123883.66844625375</v>
      </c>
      <c r="Q25" s="228">
        <f t="array" aca="1" ref="Q25" ca="1">SUM((INDIRECT($AA25)&gt;'East Postition Rpt'!Q$8)*(INDIRECT($AA25)&lt;'East Postition Rpt'!Q$9)*(INDIRECT($AB25)))</f>
        <v>117441.29183820318</v>
      </c>
      <c r="R25" s="228">
        <f t="array" aca="1" ref="R25" ca="1">SUM((INDIRECT($AA25)&gt;'East Postition Rpt'!R$8)*(INDIRECT($AA25)&lt;'East Postition Rpt'!R$9)*(INDIRECT($AB25)))</f>
        <v>220895.93593878337</v>
      </c>
      <c r="S25" s="228">
        <f t="array" aca="1" ref="S25" ca="1">SUM((INDIRECT($AA25)&gt;'East Postition Rpt'!S$8)*(INDIRECT($AA25)&lt;'East Postition Rpt'!S$9)*(INDIRECT($AB25)))</f>
        <v>0</v>
      </c>
      <c r="T25" s="229">
        <f t="array" aca="1" ref="T25" ca="1">SUM((INDIRECT($AA25)&gt;'East Postition Rpt'!T$8)*(INDIRECT($AA25)&lt;'East Postition Rpt'!T$9)*(INDIRECT($AB25)))</f>
        <v>0</v>
      </c>
      <c r="V25" s="246">
        <f t="shared" ca="1" si="0"/>
        <v>590632.14930955414</v>
      </c>
      <c r="Y25" s="236" t="str">
        <f>GetWorkSheet($C24)</f>
        <v>LongTerm52</v>
      </c>
      <c r="Z25" s="303"/>
      <c r="AA25" s="236" t="str">
        <f t="shared" si="1"/>
        <v>LongTerm52!$D$22:$D$89</v>
      </c>
      <c r="AB25" s="236" t="str">
        <f>IF(NOT($Y25="#VALUE#"),CONCATENATE($Y25,"!",GetDeliveryStart($Y25),":",GetDeliveryEnd($Y25)),"")</f>
        <v>LongTerm52!$T$22:$T$89</v>
      </c>
      <c r="AC25" s="236">
        <f>GetRecNdx($Z24,$C24)</f>
        <v>8</v>
      </c>
    </row>
    <row r="26" spans="3:29" x14ac:dyDescent="0.25">
      <c r="C26" s="685">
        <v>53</v>
      </c>
      <c r="E26" s="687" t="str">
        <f>GetPipeName($Z26,$AC26)</f>
        <v>FGT</v>
      </c>
      <c r="F26" s="689" t="str">
        <f>CONCATENATE(GetRcptPoint($Z26,$AC26)," to ",GetDelPoint($Z26,$AC26))</f>
        <v>FGT/Zone 1 to FGT/MKT</v>
      </c>
      <c r="G26" s="243" t="str">
        <f>GetRcptBasis($Z26,$AC26)</f>
        <v>IF-FGT/Z1 Basis Mid</v>
      </c>
      <c r="H26" s="239">
        <f t="array" aca="1" ref="H26" ca="1">SUM((INDIRECT($AA26)&gt;'East Postition Rpt'!H$8)*(INDIRECT($AA26)&lt;'East Postition Rpt'!H$9)*(INDIRECT($AB26)))</f>
        <v>0</v>
      </c>
      <c r="I26" s="226">
        <f t="array" aca="1" ref="I26" ca="1">SUM((INDIRECT($AA26)&gt;'East Postition Rpt'!I$8)*(INDIRECT($AA26)&lt;'East Postition Rpt'!I$9)*(INDIRECT($AB26)))</f>
        <v>0</v>
      </c>
      <c r="J26" s="226">
        <f t="array" aca="1" ref="J26" ca="1">SUM((INDIRECT($AA26)&gt;'East Postition Rpt'!J$8)*(INDIRECT($AA26)&lt;'East Postition Rpt'!J$9)*(INDIRECT($AB26)))</f>
        <v>0</v>
      </c>
      <c r="K26" s="226">
        <f t="array" aca="1" ref="K26" ca="1">SUM((INDIRECT($AA26)&gt;'East Postition Rpt'!K$8)*(INDIRECT($AA26)&lt;'East Postition Rpt'!K$9)*(INDIRECT($AB26)))</f>
        <v>0</v>
      </c>
      <c r="L26" s="226">
        <f t="array" aca="1" ref="L26" ca="1">SUM((INDIRECT($AA26)&gt;'East Postition Rpt'!L$8)*(INDIRECT($AA26)&lt;'East Postition Rpt'!L$9)*(INDIRECT($AB26)))</f>
        <v>0</v>
      </c>
      <c r="M26" s="226">
        <f t="array" aca="1" ref="M26" ca="1">SUM((INDIRECT($AA26)&gt;'East Postition Rpt'!M$8)*(INDIRECT($AA26)&lt;'East Postition Rpt'!M$9)*(INDIRECT($AB26)))</f>
        <v>0</v>
      </c>
      <c r="N26" s="226">
        <f t="array" aca="1" ref="N26" ca="1">SUM((INDIRECT($AA26)&gt;'East Postition Rpt'!N$8)*(INDIRECT($AA26)&lt;'East Postition Rpt'!N$9)*(INDIRECT($AB26)))</f>
        <v>0</v>
      </c>
      <c r="O26" s="226">
        <f t="array" aca="1" ref="O26" ca="1">SUM((INDIRECT($AA26)&gt;'East Postition Rpt'!O$8)*(INDIRECT($AA26)&lt;'East Postition Rpt'!O$9)*(INDIRECT($AB26)))</f>
        <v>-123430.19515658727</v>
      </c>
      <c r="P26" s="226">
        <f t="array" aca="1" ref="P26" ca="1">SUM((INDIRECT($AA26)&gt;'East Postition Rpt'!P$8)*(INDIRECT($AA26)&lt;'East Postition Rpt'!P$9)*(INDIRECT($AB26)))</f>
        <v>-119090.88003926573</v>
      </c>
      <c r="Q26" s="226">
        <f t="array" aca="1" ref="Q26" ca="1">SUM((INDIRECT($AA26)&gt;'East Postition Rpt'!Q$8)*(INDIRECT($AA26)&lt;'East Postition Rpt'!Q$9)*(INDIRECT($AB26)))</f>
        <v>-112978.85998390221</v>
      </c>
      <c r="R26" s="226">
        <f t="array" aca="1" ref="R26" ca="1">SUM((INDIRECT($AA26)&gt;'East Postition Rpt'!R$8)*(INDIRECT($AA26)&lt;'East Postition Rpt'!R$9)*(INDIRECT($AB26)))</f>
        <v>-213931.91479965762</v>
      </c>
      <c r="S26" s="226">
        <f t="array" aca="1" ref="S26" ca="1">SUM((INDIRECT($AA26)&gt;'East Postition Rpt'!S$8)*(INDIRECT($AA26)&lt;'East Postition Rpt'!S$9)*(INDIRECT($AB26)))</f>
        <v>0</v>
      </c>
      <c r="T26" s="227">
        <f t="array" aca="1" ref="T26" ca="1">SUM((INDIRECT($AA26)&gt;'East Postition Rpt'!T$8)*(INDIRECT($AA26)&lt;'East Postition Rpt'!T$9)*(INDIRECT($AB26)))</f>
        <v>0</v>
      </c>
      <c r="V26" s="245">
        <f t="shared" ca="1" si="0"/>
        <v>-569431.84997941286</v>
      </c>
      <c r="Y26" s="236" t="str">
        <f>GetWorkSheet($C26)</f>
        <v>LongTerm53</v>
      </c>
      <c r="Z26" s="303" t="str">
        <f>FetchDBPage(Y26)</f>
        <v>Contract DB (East)</v>
      </c>
      <c r="AA26" s="236" t="str">
        <f t="shared" si="1"/>
        <v>LongTerm53!$D$22:$D$89</v>
      </c>
      <c r="AB26" s="236" t="str">
        <f>IF(NOT($Y26="#VALUE#"),CONCATENATE($Y26,"!",GetReceiptStart($Y26),":",GetReceiptEnd($Y26)),"")</f>
        <v>LongTerm53!$S$22:$S$89</v>
      </c>
      <c r="AC26" s="236">
        <f>GetRecNdx($Z26,$C26)</f>
        <v>9</v>
      </c>
    </row>
    <row r="27" spans="3:29" x14ac:dyDescent="0.25">
      <c r="C27" s="686"/>
      <c r="E27" s="688"/>
      <c r="F27" s="690"/>
      <c r="G27" s="244" t="str">
        <f>GetDelBasis($Z26,$AC27)</f>
        <v>IF-FGT/MKT Basis Mid</v>
      </c>
      <c r="H27" s="240">
        <f t="array" aca="1" ref="H27" ca="1">SUM((INDIRECT($AA27)&gt;'East Postition Rpt'!H$8)*(INDIRECT($AA27)&lt;'East Postition Rpt'!H$9)*(INDIRECT($AB27)))</f>
        <v>0</v>
      </c>
      <c r="I27" s="228">
        <f t="array" aca="1" ref="I27" ca="1">SUM((INDIRECT($AA27)&gt;'East Postition Rpt'!I$8)*(INDIRECT($AA27)&lt;'East Postition Rpt'!I$9)*(INDIRECT($AB27)))</f>
        <v>0</v>
      </c>
      <c r="J27" s="228">
        <f t="array" aca="1" ref="J27" ca="1">SUM((INDIRECT($AA27)&gt;'East Postition Rpt'!J$8)*(INDIRECT($AA27)&lt;'East Postition Rpt'!J$9)*(INDIRECT($AB27)))</f>
        <v>0</v>
      </c>
      <c r="K27" s="228">
        <f t="array" aca="1" ref="K27" ca="1">SUM((INDIRECT($AA27)&gt;'East Postition Rpt'!K$8)*(INDIRECT($AA27)&lt;'East Postition Rpt'!K$9)*(INDIRECT($AB27)))</f>
        <v>0</v>
      </c>
      <c r="L27" s="228">
        <f t="array" aca="1" ref="L27" ca="1">SUM((INDIRECT($AA27)&gt;'East Postition Rpt'!L$8)*(INDIRECT($AA27)&lt;'East Postition Rpt'!L$9)*(INDIRECT($AB27)))</f>
        <v>0</v>
      </c>
      <c r="M27" s="228">
        <f t="array" aca="1" ref="M27" ca="1">SUM((INDIRECT($AA27)&gt;'East Postition Rpt'!M$8)*(INDIRECT($AA27)&lt;'East Postition Rpt'!M$9)*(INDIRECT($AB27)))</f>
        <v>0</v>
      </c>
      <c r="N27" s="228">
        <f t="array" aca="1" ref="N27" ca="1">SUM((INDIRECT($AA27)&gt;'East Postition Rpt'!N$8)*(INDIRECT($AA27)&lt;'East Postition Rpt'!N$9)*(INDIRECT($AB27)))</f>
        <v>0</v>
      </c>
      <c r="O27" s="228">
        <f t="array" aca="1" ref="O27" ca="1">SUM((INDIRECT($AA27)&gt;'East Postition Rpt'!O$8)*(INDIRECT($AA27)&lt;'East Postition Rpt'!O$9)*(INDIRECT($AB27)))</f>
        <v>121085.15089235456</v>
      </c>
      <c r="P27" s="228">
        <f t="array" aca="1" ref="P27" ca="1">SUM((INDIRECT($AA27)&gt;'East Postition Rpt'!P$8)*(INDIRECT($AA27)&lt;'East Postition Rpt'!P$9)*(INDIRECT($AB27)))</f>
        <v>116825.55898924397</v>
      </c>
      <c r="Q27" s="228">
        <f t="array" aca="1" ref="Q27" ca="1">SUM((INDIRECT($AA27)&gt;'East Postition Rpt'!Q$8)*(INDIRECT($AA27)&lt;'East Postition Rpt'!Q$9)*(INDIRECT($AB27)))</f>
        <v>110825.38261937369</v>
      </c>
      <c r="R27" s="228">
        <f t="array" aca="1" ref="R27" ca="1">SUM((INDIRECT($AA27)&gt;'East Postition Rpt'!R$8)*(INDIRECT($AA27)&lt;'East Postition Rpt'!R$9)*(INDIRECT($AB27)))</f>
        <v>209778.35412559129</v>
      </c>
      <c r="S27" s="228">
        <f t="array" aca="1" ref="S27" ca="1">SUM((INDIRECT($AA27)&gt;'East Postition Rpt'!S$8)*(INDIRECT($AA27)&lt;'East Postition Rpt'!S$9)*(INDIRECT($AB27)))</f>
        <v>0</v>
      </c>
      <c r="T27" s="229">
        <f t="array" aca="1" ref="T27" ca="1">SUM((INDIRECT($AA27)&gt;'East Postition Rpt'!T$8)*(INDIRECT($AA27)&lt;'East Postition Rpt'!T$9)*(INDIRECT($AB27)))</f>
        <v>0</v>
      </c>
      <c r="V27" s="246">
        <f t="shared" ca="1" si="0"/>
        <v>558514.44662656356</v>
      </c>
      <c r="Y27" s="236" t="str">
        <f>GetWorkSheet($C26)</f>
        <v>LongTerm53</v>
      </c>
      <c r="Z27" s="303"/>
      <c r="AA27" s="236" t="str">
        <f t="shared" si="1"/>
        <v>LongTerm53!$D$22:$D$89</v>
      </c>
      <c r="AB27" s="236" t="str">
        <f>IF(NOT($Y27="#VALUE#"),CONCATENATE($Y27,"!",GetDeliveryStart($Y27),":",GetDeliveryEnd($Y27)),"")</f>
        <v>LongTerm53!$T$22:$T$89</v>
      </c>
      <c r="AC27" s="236">
        <f>GetRecNdx($Z26,$C26)</f>
        <v>9</v>
      </c>
    </row>
    <row r="28" spans="3:29" x14ac:dyDescent="0.25">
      <c r="C28" s="685">
        <v>54</v>
      </c>
      <c r="E28" s="687" t="str">
        <f>GetPipeName($Z28,$AC28)</f>
        <v>FGT</v>
      </c>
      <c r="F28" s="689" t="str">
        <f>CONCATENATE(GetRcptPoint($Z28,$AC28)," to ",GetDelPoint($Z28,$AC28))</f>
        <v>FGT/Zone 2 to FGT/MKT</v>
      </c>
      <c r="G28" s="243" t="str">
        <f>GetRcptBasis($Z28,$AC28)</f>
        <v>IF-FGT/Z2 Basis Mid</v>
      </c>
      <c r="H28" s="239">
        <f t="array" aca="1" ref="H28" ca="1">SUM((INDIRECT($AA28)&gt;'East Postition Rpt'!H$8)*(INDIRECT($AA28)&lt;'East Postition Rpt'!H$9)*(INDIRECT($AB28)))</f>
        <v>0</v>
      </c>
      <c r="I28" s="226">
        <f t="array" aca="1" ref="I28" ca="1">SUM((INDIRECT($AA28)&gt;'East Postition Rpt'!I$8)*(INDIRECT($AA28)&lt;'East Postition Rpt'!I$9)*(INDIRECT($AB28)))</f>
        <v>0</v>
      </c>
      <c r="J28" s="226">
        <f t="array" aca="1" ref="J28" ca="1">SUM((INDIRECT($AA28)&gt;'East Postition Rpt'!J$8)*(INDIRECT($AA28)&lt;'East Postition Rpt'!J$9)*(INDIRECT($AB28)))</f>
        <v>0</v>
      </c>
      <c r="K28" s="226">
        <f t="array" aca="1" ref="K28" ca="1">SUM((INDIRECT($AA28)&gt;'East Postition Rpt'!K$8)*(INDIRECT($AA28)&lt;'East Postition Rpt'!K$9)*(INDIRECT($AB28)))</f>
        <v>0</v>
      </c>
      <c r="L28" s="226">
        <f t="array" aca="1" ref="L28" ca="1">SUM((INDIRECT($AA28)&gt;'East Postition Rpt'!L$8)*(INDIRECT($AA28)&lt;'East Postition Rpt'!L$9)*(INDIRECT($AB28)))</f>
        <v>0</v>
      </c>
      <c r="M28" s="226">
        <f t="array" aca="1" ref="M28" ca="1">SUM((INDIRECT($AA28)&gt;'East Postition Rpt'!M$8)*(INDIRECT($AA28)&lt;'East Postition Rpt'!M$9)*(INDIRECT($AB28)))</f>
        <v>0</v>
      </c>
      <c r="N28" s="226">
        <f t="array" aca="1" ref="N28" ca="1">SUM((INDIRECT($AA28)&gt;'East Postition Rpt'!N$8)*(INDIRECT($AA28)&lt;'East Postition Rpt'!N$9)*(INDIRECT($AB28)))</f>
        <v>0</v>
      </c>
      <c r="O28" s="226">
        <f t="array" aca="1" ref="O28" ca="1">SUM((INDIRECT($AA28)&gt;'East Postition Rpt'!O$8)*(INDIRECT($AA28)&lt;'East Postition Rpt'!O$9)*(INDIRECT($AB28)))</f>
        <v>-148697.22236556045</v>
      </c>
      <c r="P28" s="226">
        <f t="array" aca="1" ref="P28" ca="1">SUM((INDIRECT($AA28)&gt;'East Postition Rpt'!P$8)*(INDIRECT($AA28)&lt;'East Postition Rpt'!P$9)*(INDIRECT($AB28)))</f>
        <v>-143538.85933044125</v>
      </c>
      <c r="Q28" s="226">
        <f t="array" aca="1" ref="Q28" ca="1">SUM((INDIRECT($AA28)&gt;'East Postition Rpt'!Q$8)*(INDIRECT($AA28)&lt;'East Postition Rpt'!Q$9)*(INDIRECT($AB28)))</f>
        <v>-136172.60786818143</v>
      </c>
      <c r="R28" s="226">
        <f t="array" aca="1" ref="R28" ca="1">SUM((INDIRECT($AA28)&gt;'East Postition Rpt'!R$8)*(INDIRECT($AA28)&lt;'East Postition Rpt'!R$9)*(INDIRECT($AB28)))</f>
        <v>-257770.02178063476</v>
      </c>
      <c r="S28" s="226">
        <f t="array" aca="1" ref="S28" ca="1">SUM((INDIRECT($AA28)&gt;'East Postition Rpt'!S$8)*(INDIRECT($AA28)&lt;'East Postition Rpt'!S$9)*(INDIRECT($AB28)))</f>
        <v>0</v>
      </c>
      <c r="T28" s="227">
        <f t="array" aca="1" ref="T28" ca="1">SUM((INDIRECT($AA28)&gt;'East Postition Rpt'!T$8)*(INDIRECT($AA28)&lt;'East Postition Rpt'!T$9)*(INDIRECT($AB28)))</f>
        <v>0</v>
      </c>
      <c r="V28" s="245">
        <f t="shared" ca="1" si="0"/>
        <v>-686178.71134481789</v>
      </c>
      <c r="Y28" s="236" t="str">
        <f>GetWorkSheet($C28)</f>
        <v>LongTerm54</v>
      </c>
      <c r="Z28" s="303" t="str">
        <f>FetchDBPage(Y28)</f>
        <v>Contract DB (East)</v>
      </c>
      <c r="AA28" s="236" t="str">
        <f t="shared" si="1"/>
        <v>LongTerm54!$D$22:$D$89</v>
      </c>
      <c r="AB28" s="236" t="str">
        <f>IF(NOT($Y28="#VALUE#"),CONCATENATE($Y28,"!",GetReceiptStart($Y28),":",GetReceiptEnd($Y28)),"")</f>
        <v>LongTerm54!$S$22:$S$89</v>
      </c>
      <c r="AC28" s="236">
        <f>GetRecNdx($Z28,$C28)</f>
        <v>10</v>
      </c>
    </row>
    <row r="29" spans="3:29" x14ac:dyDescent="0.25">
      <c r="C29" s="686"/>
      <c r="E29" s="688"/>
      <c r="F29" s="690"/>
      <c r="G29" s="244" t="str">
        <f>GetDelBasis($Z28,$AC29)</f>
        <v>IF-FGT/MKT Basis Mid</v>
      </c>
      <c r="H29" s="240">
        <f t="array" aca="1" ref="H29" ca="1">SUM((INDIRECT($AA29)&gt;'East Postition Rpt'!H$8)*(INDIRECT($AA29)&lt;'East Postition Rpt'!H$9)*(INDIRECT($AB29)))</f>
        <v>0</v>
      </c>
      <c r="I29" s="228">
        <f t="array" aca="1" ref="I29" ca="1">SUM((INDIRECT($AA29)&gt;'East Postition Rpt'!I$8)*(INDIRECT($AA29)&lt;'East Postition Rpt'!I$9)*(INDIRECT($AB29)))</f>
        <v>0</v>
      </c>
      <c r="J29" s="228">
        <f t="array" aca="1" ref="J29" ca="1">SUM((INDIRECT($AA29)&gt;'East Postition Rpt'!J$8)*(INDIRECT($AA29)&lt;'East Postition Rpt'!J$9)*(INDIRECT($AB29)))</f>
        <v>0</v>
      </c>
      <c r="K29" s="228">
        <f t="array" aca="1" ref="K29" ca="1">SUM((INDIRECT($AA29)&gt;'East Postition Rpt'!K$8)*(INDIRECT($AA29)&lt;'East Postition Rpt'!K$9)*(INDIRECT($AB29)))</f>
        <v>0</v>
      </c>
      <c r="L29" s="228">
        <f t="array" aca="1" ref="L29" ca="1">SUM((INDIRECT($AA29)&gt;'East Postition Rpt'!L$8)*(INDIRECT($AA29)&lt;'East Postition Rpt'!L$9)*(INDIRECT($AB29)))</f>
        <v>0</v>
      </c>
      <c r="M29" s="228">
        <f t="array" aca="1" ref="M29" ca="1">SUM((INDIRECT($AA29)&gt;'East Postition Rpt'!M$8)*(INDIRECT($AA29)&lt;'East Postition Rpt'!M$9)*(INDIRECT($AB29)))</f>
        <v>0</v>
      </c>
      <c r="N29" s="228">
        <f t="array" aca="1" ref="N29" ca="1">SUM((INDIRECT($AA29)&gt;'East Postition Rpt'!N$8)*(INDIRECT($AA29)&lt;'East Postition Rpt'!N$9)*(INDIRECT($AB29)))</f>
        <v>0</v>
      </c>
      <c r="O29" s="228">
        <f t="array" aca="1" ref="O29" ca="1">SUM((INDIRECT($AA29)&gt;'East Postition Rpt'!O$8)*(INDIRECT($AA29)&lt;'East Postition Rpt'!O$9)*(INDIRECT($AB29)))</f>
        <v>144615.96575618739</v>
      </c>
      <c r="P29" s="228">
        <f t="array" aca="1" ref="P29" ca="1">SUM((INDIRECT($AA29)&gt;'East Postition Rpt'!P$8)*(INDIRECT($AA29)&lt;'East Postition Rpt'!P$9)*(INDIRECT($AB29)))</f>
        <v>139591.54069949864</v>
      </c>
      <c r="Q29" s="228">
        <f t="array" aca="1" ref="Q29" ca="1">SUM((INDIRECT($AA29)&gt;'East Postition Rpt'!Q$8)*(INDIRECT($AA29)&lt;'East Postition Rpt'!Q$9)*(INDIRECT($AB29)))</f>
        <v>132427.86115244078</v>
      </c>
      <c r="R29" s="228">
        <f t="array" aca="1" ref="R29" ca="1">SUM((INDIRECT($AA29)&gt;'East Postition Rpt'!R$8)*(INDIRECT($AA29)&lt;'East Postition Rpt'!R$9)*(INDIRECT($AB29)))</f>
        <v>250681.34618128612</v>
      </c>
      <c r="S29" s="228">
        <f t="array" aca="1" ref="S29" ca="1">SUM((INDIRECT($AA29)&gt;'East Postition Rpt'!S$8)*(INDIRECT($AA29)&lt;'East Postition Rpt'!S$9)*(INDIRECT($AB29)))</f>
        <v>0</v>
      </c>
      <c r="T29" s="229">
        <f t="array" aca="1" ref="T29" ca="1">SUM((INDIRECT($AA29)&gt;'East Postition Rpt'!T$8)*(INDIRECT($AA29)&lt;'East Postition Rpt'!T$9)*(INDIRECT($AB29)))</f>
        <v>0</v>
      </c>
      <c r="V29" s="246">
        <f t="shared" ca="1" si="0"/>
        <v>667316.71378941298</v>
      </c>
      <c r="Y29" s="236" t="str">
        <f>GetWorkSheet($C28)</f>
        <v>LongTerm54</v>
      </c>
      <c r="Z29" s="303"/>
      <c r="AA29" s="236" t="str">
        <f t="shared" si="1"/>
        <v>LongTerm54!$D$22:$D$89</v>
      </c>
      <c r="AB29" s="236" t="str">
        <f>IF(NOT($Y29="#VALUE#"),CONCATENATE($Y29,"!",GetDeliveryStart($Y29),":",GetDeliveryEnd($Y29)),"")</f>
        <v>LongTerm54!$T$22:$T$89</v>
      </c>
      <c r="AC29" s="236">
        <f>GetRecNdx($Z28,$C28)</f>
        <v>10</v>
      </c>
    </row>
    <row r="30" spans="3:29" x14ac:dyDescent="0.25">
      <c r="C30" s="685">
        <v>55</v>
      </c>
      <c r="E30" s="687" t="str">
        <f>GetPipeName($Z30,$AC30)</f>
        <v>FGT</v>
      </c>
      <c r="F30" s="689" t="str">
        <f>CONCATENATE(GetRcptPoint($Z30,$AC30)," to ",GetDelPoint($Z30,$AC30))</f>
        <v>FGT/Zone 3 to FGT/MKT</v>
      </c>
      <c r="G30" s="243" t="str">
        <f>GetRcptBasis($Z30,$AC30)</f>
        <v>IF-FGT/Z3 Basis Mid</v>
      </c>
      <c r="H30" s="239">
        <f t="array" aca="1" ref="H30" ca="1">SUM((INDIRECT($AA30)&gt;'East Postition Rpt'!H$8)*(INDIRECT($AA30)&lt;'East Postition Rpt'!H$9)*(INDIRECT($AB30)))</f>
        <v>0</v>
      </c>
      <c r="I30" s="226">
        <f t="array" aca="1" ref="I30" ca="1">SUM((INDIRECT($AA30)&gt;'East Postition Rpt'!I$8)*(INDIRECT($AA30)&lt;'East Postition Rpt'!I$9)*(INDIRECT($AB30)))</f>
        <v>0</v>
      </c>
      <c r="J30" s="226">
        <f t="array" aca="1" ref="J30" ca="1">SUM((INDIRECT($AA30)&gt;'East Postition Rpt'!J$8)*(INDIRECT($AA30)&lt;'East Postition Rpt'!J$9)*(INDIRECT($AB30)))</f>
        <v>0</v>
      </c>
      <c r="K30" s="226">
        <f t="array" aca="1" ref="K30" ca="1">SUM((INDIRECT($AA30)&gt;'East Postition Rpt'!K$8)*(INDIRECT($AA30)&lt;'East Postition Rpt'!K$9)*(INDIRECT($AB30)))</f>
        <v>0</v>
      </c>
      <c r="L30" s="226">
        <f t="array" aca="1" ref="L30" ca="1">SUM((INDIRECT($AA30)&gt;'East Postition Rpt'!L$8)*(INDIRECT($AA30)&lt;'East Postition Rpt'!L$9)*(INDIRECT($AB30)))</f>
        <v>0</v>
      </c>
      <c r="M30" s="226">
        <f t="array" aca="1" ref="M30" ca="1">SUM((INDIRECT($AA30)&gt;'East Postition Rpt'!M$8)*(INDIRECT($AA30)&lt;'East Postition Rpt'!M$9)*(INDIRECT($AB30)))</f>
        <v>0</v>
      </c>
      <c r="N30" s="226">
        <f t="array" aca="1" ref="N30" ca="1">SUM((INDIRECT($AA30)&gt;'East Postition Rpt'!N$8)*(INDIRECT($AA30)&lt;'East Postition Rpt'!N$9)*(INDIRECT($AB30)))</f>
        <v>0</v>
      </c>
      <c r="O30" s="226">
        <f t="array" aca="1" ref="O30" ca="1">SUM((INDIRECT($AA30)&gt;'East Postition Rpt'!O$8)*(INDIRECT($AA30)&lt;'East Postition Rpt'!O$9)*(INDIRECT($AB30)))</f>
        <v>-72558.621956107905</v>
      </c>
      <c r="P30" s="226">
        <f t="array" aca="1" ref="P30" ca="1">SUM((INDIRECT($AA30)&gt;'East Postition Rpt'!P$8)*(INDIRECT($AA30)&lt;'East Postition Rpt'!P$9)*(INDIRECT($AB30)))</f>
        <v>-70015.498084069783</v>
      </c>
      <c r="Q30" s="226">
        <f t="array" aca="1" ref="Q30" ca="1">SUM((INDIRECT($AA30)&gt;'East Postition Rpt'!Q$8)*(INDIRECT($AA30)&lt;'East Postition Rpt'!Q$9)*(INDIRECT($AB30)))</f>
        <v>-66419.836804683393</v>
      </c>
      <c r="R30" s="226">
        <f t="array" aca="1" ref="R30" ca="1">SUM((INDIRECT($AA30)&gt;'East Postition Rpt'!R$8)*(INDIRECT($AA30)&lt;'East Postition Rpt'!R$9)*(INDIRECT($AB30)))</f>
        <v>-125705.26658919647</v>
      </c>
      <c r="S30" s="226">
        <f t="array" aca="1" ref="S30" ca="1">SUM((INDIRECT($AA30)&gt;'East Postition Rpt'!S$8)*(INDIRECT($AA30)&lt;'East Postition Rpt'!S$9)*(INDIRECT($AB30)))</f>
        <v>0</v>
      </c>
      <c r="T30" s="227">
        <f t="array" aca="1" ref="T30" ca="1">SUM((INDIRECT($AA30)&gt;'East Postition Rpt'!T$8)*(INDIRECT($AA30)&lt;'East Postition Rpt'!T$9)*(INDIRECT($AB30)))</f>
        <v>0</v>
      </c>
      <c r="V30" s="245">
        <f t="shared" ca="1" si="0"/>
        <v>-334699.22343405755</v>
      </c>
      <c r="Y30" s="236" t="str">
        <f>GetWorkSheet($C30)</f>
        <v>LongTerm55</v>
      </c>
      <c r="Z30" s="303" t="str">
        <f>FetchDBPage(Y30)</f>
        <v>Contract DB (East)</v>
      </c>
      <c r="AA30" s="236" t="str">
        <f t="shared" si="1"/>
        <v>LongTerm55!$D$22:$D$89</v>
      </c>
      <c r="AB30" s="236" t="str">
        <f>IF(NOT($Y30="#VALUE#"),CONCATENATE($Y30,"!",GetReceiptStart($Y30),":",GetReceiptEnd($Y30)),"")</f>
        <v>LongTerm55!$S$22:$S$89</v>
      </c>
      <c r="AC30" s="236">
        <f>GetRecNdx($Z30,$C30)</f>
        <v>11</v>
      </c>
    </row>
    <row r="31" spans="3:29" x14ac:dyDescent="0.25">
      <c r="C31" s="686"/>
      <c r="E31" s="688"/>
      <c r="F31" s="690"/>
      <c r="G31" s="244" t="str">
        <f>GetDelBasis($Z30,$AC31)</f>
        <v>IF-FGT/MKT Basis Mid</v>
      </c>
      <c r="H31" s="240">
        <f t="array" aca="1" ref="H31" ca="1">SUM((INDIRECT($AA31)&gt;'East Postition Rpt'!H$8)*(INDIRECT($AA31)&lt;'East Postition Rpt'!H$9)*(INDIRECT($AB31)))</f>
        <v>0</v>
      </c>
      <c r="I31" s="228">
        <f t="array" aca="1" ref="I31" ca="1">SUM((INDIRECT($AA31)&gt;'East Postition Rpt'!I$8)*(INDIRECT($AA31)&lt;'East Postition Rpt'!I$9)*(INDIRECT($AB31)))</f>
        <v>0</v>
      </c>
      <c r="J31" s="228">
        <f t="array" aca="1" ref="J31" ca="1">SUM((INDIRECT($AA31)&gt;'East Postition Rpt'!J$8)*(INDIRECT($AA31)&lt;'East Postition Rpt'!J$9)*(INDIRECT($AB31)))</f>
        <v>0</v>
      </c>
      <c r="K31" s="228">
        <f t="array" aca="1" ref="K31" ca="1">SUM((INDIRECT($AA31)&gt;'East Postition Rpt'!K$8)*(INDIRECT($AA31)&lt;'East Postition Rpt'!K$9)*(INDIRECT($AB31)))</f>
        <v>0</v>
      </c>
      <c r="L31" s="228">
        <f t="array" aca="1" ref="L31" ca="1">SUM((INDIRECT($AA31)&gt;'East Postition Rpt'!L$8)*(INDIRECT($AA31)&lt;'East Postition Rpt'!L$9)*(INDIRECT($AB31)))</f>
        <v>0</v>
      </c>
      <c r="M31" s="228">
        <f t="array" aca="1" ref="M31" ca="1">SUM((INDIRECT($AA31)&gt;'East Postition Rpt'!M$8)*(INDIRECT($AA31)&lt;'East Postition Rpt'!M$9)*(INDIRECT($AB31)))</f>
        <v>0</v>
      </c>
      <c r="N31" s="228">
        <f t="array" aca="1" ref="N31" ca="1">SUM((INDIRECT($AA31)&gt;'East Postition Rpt'!N$8)*(INDIRECT($AA31)&lt;'East Postition Rpt'!N$9)*(INDIRECT($AB31)))</f>
        <v>0</v>
      </c>
      <c r="O31" s="228">
        <f t="array" aca="1" ref="O31" ca="1">SUM((INDIRECT($AA31)&gt;'East Postition Rpt'!O$8)*(INDIRECT($AA31)&lt;'East Postition Rpt'!O$9)*(INDIRECT($AB31)))</f>
        <v>70565.03092460426</v>
      </c>
      <c r="P31" s="228">
        <f t="array" aca="1" ref="P31" ca="1">SUM((INDIRECT($AA31)&gt;'East Postition Rpt'!P$8)*(INDIRECT($AA31)&lt;'East Postition Rpt'!P$9)*(INDIRECT($AB31)))</f>
        <v>68090.071886856997</v>
      </c>
      <c r="Q31" s="228">
        <f t="array" aca="1" ref="Q31" ca="1">SUM((INDIRECT($AA31)&gt;'East Postition Rpt'!Q$8)*(INDIRECT($AA31)&lt;'East Postition Rpt'!Q$9)*(INDIRECT($AB31)))</f>
        <v>64593.291292290545</v>
      </c>
      <c r="R31" s="228">
        <f t="array" aca="1" ref="R31" ca="1">SUM((INDIRECT($AA31)&gt;'East Postition Rpt'!R$8)*(INDIRECT($AA31)&lt;'East Postition Rpt'!R$9)*(INDIRECT($AB31)))</f>
        <v>122248.37175792632</v>
      </c>
      <c r="S31" s="228">
        <f t="array" aca="1" ref="S31" ca="1">SUM((INDIRECT($AA31)&gt;'East Postition Rpt'!S$8)*(INDIRECT($AA31)&lt;'East Postition Rpt'!S$9)*(INDIRECT($AB31)))</f>
        <v>0</v>
      </c>
      <c r="T31" s="229">
        <f t="array" aca="1" ref="T31" ca="1">SUM((INDIRECT($AA31)&gt;'East Postition Rpt'!T$8)*(INDIRECT($AA31)&lt;'East Postition Rpt'!T$9)*(INDIRECT($AB31)))</f>
        <v>0</v>
      </c>
      <c r="V31" s="246">
        <f t="shared" ca="1" si="0"/>
        <v>325496.76586167811</v>
      </c>
      <c r="Y31" s="236" t="str">
        <f>GetWorkSheet($C30)</f>
        <v>LongTerm55</v>
      </c>
      <c r="Z31" s="303"/>
      <c r="AA31" s="236" t="str">
        <f t="shared" si="1"/>
        <v>LongTerm55!$D$22:$D$89</v>
      </c>
      <c r="AB31" s="236" t="str">
        <f>IF(NOT($Y31="#VALUE#"),CONCATENATE($Y31,"!",GetDeliveryStart($Y31),":",GetDeliveryEnd($Y31)),"")</f>
        <v>LongTerm55!$T$22:$T$89</v>
      </c>
      <c r="AC31" s="236">
        <f>GetRecNdx($Z30,$C30)</f>
        <v>11</v>
      </c>
    </row>
    <row r="32" spans="3:29" x14ac:dyDescent="0.25">
      <c r="C32" s="685">
        <v>73</v>
      </c>
      <c r="E32" s="687">
        <f>GetPipeName($Z32,$AC32)</f>
        <v>0</v>
      </c>
      <c r="F32" s="689" t="str">
        <f>CONCATENATE(GetRcptPoint($Z32,$AC32)," to ",GetDelPoint($Z32,$AC32))</f>
        <v>FGT to FGT/MKT</v>
      </c>
      <c r="G32" s="243" t="str">
        <f>GetRcptBasis($Z32,$AC32)</f>
        <v>IF-FGT/Z2 Basis Mid</v>
      </c>
      <c r="H32" s="239">
        <f t="array" aca="1" ref="H32" ca="1">SUM((INDIRECT($AA32)&gt;'East Postition Rpt'!H$8)*(INDIRECT($AA32)&lt;'East Postition Rpt'!H$9)*(INDIRECT($AB32)))</f>
        <v>0</v>
      </c>
      <c r="I32" s="226">
        <f t="array" aca="1" ref="I32" ca="1">SUM((INDIRECT($AA32)&gt;'East Postition Rpt'!I$8)*(INDIRECT($AA32)&lt;'East Postition Rpt'!I$9)*(INDIRECT($AB32)))</f>
        <v>0</v>
      </c>
      <c r="J32" s="226">
        <f t="array" aca="1" ref="J32" ca="1">SUM((INDIRECT($AA32)&gt;'East Postition Rpt'!J$8)*(INDIRECT($AA32)&lt;'East Postition Rpt'!J$9)*(INDIRECT($AB32)))</f>
        <v>0</v>
      </c>
      <c r="K32" s="226">
        <f t="array" aca="1" ref="K32" ca="1">SUM((INDIRECT($AA32)&gt;'East Postition Rpt'!K$8)*(INDIRECT($AA32)&lt;'East Postition Rpt'!K$9)*(INDIRECT($AB32)))</f>
        <v>0</v>
      </c>
      <c r="L32" s="226">
        <f t="array" aca="1" ref="L32" ca="1">SUM((INDIRECT($AA32)&gt;'East Postition Rpt'!L$8)*(INDIRECT($AA32)&lt;'East Postition Rpt'!L$9)*(INDIRECT($AB32)))</f>
        <v>0</v>
      </c>
      <c r="M32" s="226">
        <f t="array" aca="1" ref="M32" ca="1">SUM((INDIRECT($AA32)&gt;'East Postition Rpt'!M$8)*(INDIRECT($AA32)&lt;'East Postition Rpt'!M$9)*(INDIRECT($AB32)))</f>
        <v>0</v>
      </c>
      <c r="N32" s="226">
        <f t="array" aca="1" ref="N32" ca="1">SUM((INDIRECT($AA32)&gt;'East Postition Rpt'!N$8)*(INDIRECT($AA32)&lt;'East Postition Rpt'!N$9)*(INDIRECT($AB32)))</f>
        <v>0</v>
      </c>
      <c r="O32" s="226">
        <f t="array" aca="1" ref="O32" ca="1">SUM((INDIRECT($AA32)&gt;'East Postition Rpt'!O$8)*(INDIRECT($AA32)&lt;'East Postition Rpt'!O$9)*(INDIRECT($AB32)))</f>
        <v>-2995421.4349179529</v>
      </c>
      <c r="P32" s="226">
        <f t="array" aca="1" ref="P32" ca="1">SUM((INDIRECT($AA32)&gt;'East Postition Rpt'!P$8)*(INDIRECT($AA32)&lt;'East Postition Rpt'!P$9)*(INDIRECT($AB32)))</f>
        <v>-2891329.1890903166</v>
      </c>
      <c r="Q32" s="226">
        <f t="array" aca="1" ref="Q32" ca="1">SUM((INDIRECT($AA32)&gt;'East Postition Rpt'!Q$8)*(INDIRECT($AA32)&lt;'East Postition Rpt'!Q$9)*(INDIRECT($AB32)))</f>
        <v>-2744771.3014211934</v>
      </c>
      <c r="R32" s="226">
        <f t="array" aca="1" ref="R32" ca="1">SUM((INDIRECT($AA32)&gt;'East Postition Rpt'!R$8)*(INDIRECT($AA32)&lt;'East Postition Rpt'!R$9)*(INDIRECT($AB32)))</f>
        <v>-13064895.706360437</v>
      </c>
      <c r="S32" s="226">
        <f t="array" aca="1" ref="S32" ca="1">SUM((INDIRECT($AA32)&gt;'East Postition Rpt'!S$8)*(INDIRECT($AA32)&lt;'East Postition Rpt'!S$9)*(INDIRECT($AB32)))</f>
        <v>-7401085.7142193336</v>
      </c>
      <c r="T32" s="227">
        <f t="array" aca="1" ref="T32" ca="1">SUM((INDIRECT($AA32)&gt;'East Postition Rpt'!T$8)*(INDIRECT($AA32)&lt;'East Postition Rpt'!T$9)*(INDIRECT($AB32)))</f>
        <v>-4835060.3439881057</v>
      </c>
      <c r="V32" s="245">
        <f t="shared" ca="1" si="0"/>
        <v>-33932563.689997338</v>
      </c>
      <c r="Y32" s="236" t="str">
        <f>GetWorkSheet($C32)</f>
        <v>LongTerm73</v>
      </c>
      <c r="Z32" s="303" t="str">
        <f>FetchDBPage(Y32)</f>
        <v>Contract DB (East)</v>
      </c>
      <c r="AA32" s="236" t="str">
        <f t="shared" si="1"/>
        <v>LongTerm73!$D$22:$D$248</v>
      </c>
      <c r="AB32" s="236" t="str">
        <f>IF(NOT($Y32="#VALUE#"),CONCATENATE($Y32,"!",GetReceiptStart($Y32),":",GetReceiptEnd($Y32)),"")</f>
        <v>LongTerm73!$S$22:$S$248</v>
      </c>
      <c r="AC32" s="236">
        <f>GetRecNdx($Z32,$C32)</f>
        <v>12</v>
      </c>
    </row>
    <row r="33" spans="3:29" x14ac:dyDescent="0.25">
      <c r="C33" s="686"/>
      <c r="E33" s="688"/>
      <c r="F33" s="690"/>
      <c r="G33" s="244" t="str">
        <f>GetDelBasis($Z32,$AC33)</f>
        <v>IF-FGT/MKT Basis Mid</v>
      </c>
      <c r="H33" s="240">
        <f t="array" aca="1" ref="H33" ca="1">SUM((INDIRECT($AA33)&gt;'East Postition Rpt'!H$8)*(INDIRECT($AA33)&lt;'East Postition Rpt'!H$9)*(INDIRECT($AB33)))</f>
        <v>0</v>
      </c>
      <c r="I33" s="228">
        <f t="array" aca="1" ref="I33" ca="1">SUM((INDIRECT($AA33)&gt;'East Postition Rpt'!I$8)*(INDIRECT($AA33)&lt;'East Postition Rpt'!I$9)*(INDIRECT($AB33)))</f>
        <v>0</v>
      </c>
      <c r="J33" s="228">
        <f t="array" aca="1" ref="J33" ca="1">SUM((INDIRECT($AA33)&gt;'East Postition Rpt'!J$8)*(INDIRECT($AA33)&lt;'East Postition Rpt'!J$9)*(INDIRECT($AB33)))</f>
        <v>0</v>
      </c>
      <c r="K33" s="228">
        <f t="array" aca="1" ref="K33" ca="1">SUM((INDIRECT($AA33)&gt;'East Postition Rpt'!K$8)*(INDIRECT($AA33)&lt;'East Postition Rpt'!K$9)*(INDIRECT($AB33)))</f>
        <v>0</v>
      </c>
      <c r="L33" s="228">
        <f t="array" aca="1" ref="L33" ca="1">SUM((INDIRECT($AA33)&gt;'East Postition Rpt'!L$8)*(INDIRECT($AA33)&lt;'East Postition Rpt'!L$9)*(INDIRECT($AB33)))</f>
        <v>0</v>
      </c>
      <c r="M33" s="228">
        <f t="array" aca="1" ref="M33" ca="1">SUM((INDIRECT($AA33)&gt;'East Postition Rpt'!M$8)*(INDIRECT($AA33)&lt;'East Postition Rpt'!M$9)*(INDIRECT($AB33)))</f>
        <v>0</v>
      </c>
      <c r="N33" s="228">
        <f t="array" aca="1" ref="N33" ca="1">SUM((INDIRECT($AA33)&gt;'East Postition Rpt'!N$8)*(INDIRECT($AA33)&lt;'East Postition Rpt'!N$9)*(INDIRECT($AB33)))</f>
        <v>0</v>
      </c>
      <c r="O33" s="228">
        <f t="array" aca="1" ref="O33" ca="1">SUM((INDIRECT($AA33)&gt;'East Postition Rpt'!O$8)*(INDIRECT($AA33)&lt;'East Postition Rpt'!O$9)*(INDIRECT($AB33)))</f>
        <v>2927513.89119764</v>
      </c>
      <c r="P33" s="228">
        <f t="array" aca="1" ref="P33" ca="1">SUM((INDIRECT($AA33)&gt;'East Postition Rpt'!P$8)*(INDIRECT($AA33)&lt;'East Postition Rpt'!P$9)*(INDIRECT($AB33)))</f>
        <v>2825776.0119292601</v>
      </c>
      <c r="Q33" s="228">
        <f t="array" aca="1" ref="Q33" ca="1">SUM((INDIRECT($AA33)&gt;'East Postition Rpt'!Q$8)*(INDIRECT($AA33)&lt;'East Postition Rpt'!Q$9)*(INDIRECT($AB33)))</f>
        <v>2682544.7265332113</v>
      </c>
      <c r="R33" s="228">
        <f t="array" aca="1" ref="R33" ca="1">SUM((INDIRECT($AA33)&gt;'East Postition Rpt'!R$8)*(INDIRECT($AA33)&lt;'East Postition Rpt'!R$9)*(INDIRECT($AB33)))</f>
        <v>12768699.590110393</v>
      </c>
      <c r="S33" s="228">
        <f t="array" aca="1" ref="S33" ca="1">SUM((INDIRECT($AA33)&gt;'East Postition Rpt'!S$8)*(INDIRECT($AA33)&lt;'East Postition Rpt'!S$9)*(INDIRECT($AB33)))</f>
        <v>7233295.3304984393</v>
      </c>
      <c r="T33" s="229">
        <f t="array" aca="1" ref="T33" ca="1">SUM((INDIRECT($AA33)&gt;'East Postition Rpt'!T$8)*(INDIRECT($AA33)&lt;'East Postition Rpt'!T$9)*(INDIRECT($AB33)))</f>
        <v>4725535.691553711</v>
      </c>
      <c r="V33" s="246">
        <f t="shared" ca="1" si="0"/>
        <v>33163365.241822656</v>
      </c>
      <c r="Y33" s="236" t="str">
        <f>GetWorkSheet($C32)</f>
        <v>LongTerm73</v>
      </c>
      <c r="Z33" s="303"/>
      <c r="AA33" s="236" t="str">
        <f t="shared" si="1"/>
        <v>LongTerm73!$D$22:$D$248</v>
      </c>
      <c r="AB33" s="236" t="str">
        <f>IF(NOT($Y33="#VALUE#"),CONCATENATE($Y33,"!",GetDeliveryStart($Y33),":",GetDeliveryEnd($Y33)),"")</f>
        <v>LongTerm73!$T$22:$T$248</v>
      </c>
      <c r="AC33" s="236">
        <f>GetRecNdx($Z32,$C32)</f>
        <v>12</v>
      </c>
    </row>
    <row r="34" spans="3:29" x14ac:dyDescent="0.25">
      <c r="C34" s="685">
        <v>88</v>
      </c>
      <c r="E34" s="687">
        <f>GetPipeName($Z34,$AC34)</f>
        <v>0</v>
      </c>
      <c r="F34" s="689" t="str">
        <f>CONCATENATE(GetRcptPoint($Z34,$AC34)," to ",GetDelPoint($Z34,$AC34))</f>
        <v>IF-TRANSCO/Z1 to IF-TRANSCO/Z6</v>
      </c>
      <c r="G34" s="243" t="str">
        <f>GetRcptBasis($Z34,$AC34)</f>
        <v>IF-TRANSCO/Z1 Basis Mid</v>
      </c>
      <c r="H34" s="239">
        <f t="array" aca="1" ref="H34" ca="1">SUM((INDIRECT($AA34)&gt;'East Postition Rpt'!H$8)*(INDIRECT($AA34)&lt;'East Postition Rpt'!H$9)*(INDIRECT($AB34)))</f>
        <v>0</v>
      </c>
      <c r="I34" s="226">
        <f t="array" aca="1" ref="I34" ca="1">SUM((INDIRECT($AA34)&gt;'East Postition Rpt'!I$8)*(INDIRECT($AA34)&lt;'East Postition Rpt'!I$9)*(INDIRECT($AB34)))</f>
        <v>0</v>
      </c>
      <c r="J34" s="226">
        <f t="array" aca="1" ref="J34" ca="1">SUM((INDIRECT($AA34)&gt;'East Postition Rpt'!J$8)*(INDIRECT($AA34)&lt;'East Postition Rpt'!J$9)*(INDIRECT($AB34)))</f>
        <v>0</v>
      </c>
      <c r="K34" s="226">
        <f t="array" aca="1" ref="K34" ca="1">SUM((INDIRECT($AA34)&gt;'East Postition Rpt'!K$8)*(INDIRECT($AA34)&lt;'East Postition Rpt'!K$9)*(INDIRECT($AB34)))</f>
        <v>0</v>
      </c>
      <c r="L34" s="226">
        <f t="array" aca="1" ref="L34" ca="1">SUM((INDIRECT($AA34)&gt;'East Postition Rpt'!L$8)*(INDIRECT($AA34)&lt;'East Postition Rpt'!L$9)*(INDIRECT($AB34)))</f>
        <v>0</v>
      </c>
      <c r="M34" s="226">
        <f t="array" aca="1" ref="M34" ca="1">SUM((INDIRECT($AA34)&gt;'East Postition Rpt'!M$8)*(INDIRECT($AA34)&lt;'East Postition Rpt'!M$9)*(INDIRECT($AB34)))</f>
        <v>0</v>
      </c>
      <c r="N34" s="226">
        <f t="array" aca="1" ref="N34" ca="1">SUM((INDIRECT($AA34)&gt;'East Postition Rpt'!N$8)*(INDIRECT($AA34)&lt;'East Postition Rpt'!N$9)*(INDIRECT($AB34)))</f>
        <v>0</v>
      </c>
      <c r="O34" s="226">
        <f t="array" aca="1" ref="O34" ca="1">SUM((INDIRECT($AA34)&gt;'East Postition Rpt'!O$8)*(INDIRECT($AA34)&lt;'East Postition Rpt'!O$9)*(INDIRECT($AB34)))</f>
        <v>-199455.77075413355</v>
      </c>
      <c r="P34" s="226">
        <f t="array" aca="1" ref="P34" ca="1">SUM((INDIRECT($AA34)&gt;'East Postition Rpt'!P$8)*(INDIRECT($AA34)&lt;'East Postition Rpt'!P$9)*(INDIRECT($AB34)))</f>
        <v>0</v>
      </c>
      <c r="Q34" s="226">
        <f t="array" aca="1" ref="Q34" ca="1">SUM((INDIRECT($AA34)&gt;'East Postition Rpt'!Q$8)*(INDIRECT($AA34)&lt;'East Postition Rpt'!Q$9)*(INDIRECT($AB34)))</f>
        <v>0</v>
      </c>
      <c r="R34" s="226">
        <f t="array" aca="1" ref="R34" ca="1">SUM((INDIRECT($AA34)&gt;'East Postition Rpt'!R$8)*(INDIRECT($AA34)&lt;'East Postition Rpt'!R$9)*(INDIRECT($AB34)))</f>
        <v>0</v>
      </c>
      <c r="S34" s="226">
        <f t="array" aca="1" ref="S34" ca="1">SUM((INDIRECT($AA34)&gt;'East Postition Rpt'!S$8)*(INDIRECT($AA34)&lt;'East Postition Rpt'!S$9)*(INDIRECT($AB34)))</f>
        <v>0</v>
      </c>
      <c r="T34" s="227">
        <f t="array" aca="1" ref="T34" ca="1">SUM((INDIRECT($AA34)&gt;'East Postition Rpt'!T$8)*(INDIRECT($AA34)&lt;'East Postition Rpt'!T$9)*(INDIRECT($AB34)))</f>
        <v>0</v>
      </c>
      <c r="V34" s="245">
        <f t="shared" ca="1" si="0"/>
        <v>-199455.77075413355</v>
      </c>
      <c r="Y34" s="236" t="str">
        <f>GetWorkSheet($C34)</f>
        <v>LongTerm88</v>
      </c>
      <c r="Z34" s="303" t="str">
        <f>FetchDBPage(Y34)</f>
        <v>Contract DB (East)</v>
      </c>
      <c r="AA34" s="236" t="str">
        <f t="shared" si="1"/>
        <v>LongTerm88!$D$22:$D$32</v>
      </c>
      <c r="AB34" s="236" t="str">
        <f>IF(NOT($Y34="#VALUE#"),CONCATENATE($Y34,"!",GetReceiptStart($Y34),":",GetReceiptEnd($Y34)),"")</f>
        <v>LongTerm88!$S$22:$S$32</v>
      </c>
      <c r="AC34" s="236">
        <f>GetRecNdx($Z34,$C34)</f>
        <v>13</v>
      </c>
    </row>
    <row r="35" spans="3:29" x14ac:dyDescent="0.25">
      <c r="C35" s="686"/>
      <c r="E35" s="688"/>
      <c r="F35" s="690"/>
      <c r="G35" s="244" t="str">
        <f>GetDelBasis($Z34,$AC35)</f>
        <v>IF-TRANSCO/Z6 Basis Mid</v>
      </c>
      <c r="H35" s="240">
        <f t="array" aca="1" ref="H35" ca="1">SUM((INDIRECT($AA35)&gt;'East Postition Rpt'!H$8)*(INDIRECT($AA35)&lt;'East Postition Rpt'!H$9)*(INDIRECT($AB35)))</f>
        <v>0</v>
      </c>
      <c r="I35" s="228">
        <f t="array" aca="1" ref="I35" ca="1">SUM((INDIRECT($AA35)&gt;'East Postition Rpt'!I$8)*(INDIRECT($AA35)&lt;'East Postition Rpt'!I$9)*(INDIRECT($AB35)))</f>
        <v>0</v>
      </c>
      <c r="J35" s="228">
        <f t="array" aca="1" ref="J35" ca="1">SUM((INDIRECT($AA35)&gt;'East Postition Rpt'!J$8)*(INDIRECT($AA35)&lt;'East Postition Rpt'!J$9)*(INDIRECT($AB35)))</f>
        <v>0</v>
      </c>
      <c r="K35" s="228">
        <f t="array" aca="1" ref="K35" ca="1">SUM((INDIRECT($AA35)&gt;'East Postition Rpt'!K$8)*(INDIRECT($AA35)&lt;'East Postition Rpt'!K$9)*(INDIRECT($AB35)))</f>
        <v>0</v>
      </c>
      <c r="L35" s="228">
        <f t="array" aca="1" ref="L35" ca="1">SUM((INDIRECT($AA35)&gt;'East Postition Rpt'!L$8)*(INDIRECT($AA35)&lt;'East Postition Rpt'!L$9)*(INDIRECT($AB35)))</f>
        <v>0</v>
      </c>
      <c r="M35" s="228">
        <f t="array" aca="1" ref="M35" ca="1">SUM((INDIRECT($AA35)&gt;'East Postition Rpt'!M$8)*(INDIRECT($AA35)&lt;'East Postition Rpt'!M$9)*(INDIRECT($AB35)))</f>
        <v>0</v>
      </c>
      <c r="N35" s="228">
        <f t="array" aca="1" ref="N35" ca="1">SUM((INDIRECT($AA35)&gt;'East Postition Rpt'!N$8)*(INDIRECT($AA35)&lt;'East Postition Rpt'!N$9)*(INDIRECT($AB35)))</f>
        <v>0</v>
      </c>
      <c r="O35" s="228">
        <f t="array" aca="1" ref="O35" ca="1">SUM((INDIRECT($AA35)&gt;'East Postition Rpt'!O$8)*(INDIRECT($AA35)&lt;'East Postition Rpt'!O$9)*(INDIRECT($AB35)))</f>
        <v>194111.7020651896</v>
      </c>
      <c r="P35" s="228">
        <f t="array" aca="1" ref="P35" ca="1">SUM((INDIRECT($AA35)&gt;'East Postition Rpt'!P$8)*(INDIRECT($AA35)&lt;'East Postition Rpt'!P$9)*(INDIRECT($AB35)))</f>
        <v>0</v>
      </c>
      <c r="Q35" s="228">
        <f t="array" aca="1" ref="Q35" ca="1">SUM((INDIRECT($AA35)&gt;'East Postition Rpt'!Q$8)*(INDIRECT($AA35)&lt;'East Postition Rpt'!Q$9)*(INDIRECT($AB35)))</f>
        <v>0</v>
      </c>
      <c r="R35" s="228">
        <f t="array" aca="1" ref="R35" ca="1">SUM((INDIRECT($AA35)&gt;'East Postition Rpt'!R$8)*(INDIRECT($AA35)&lt;'East Postition Rpt'!R$9)*(INDIRECT($AB35)))</f>
        <v>0</v>
      </c>
      <c r="S35" s="228">
        <f t="array" aca="1" ref="S35" ca="1">SUM((INDIRECT($AA35)&gt;'East Postition Rpt'!S$8)*(INDIRECT($AA35)&lt;'East Postition Rpt'!S$9)*(INDIRECT($AB35)))</f>
        <v>0</v>
      </c>
      <c r="T35" s="229">
        <f t="array" aca="1" ref="T35" ca="1">SUM((INDIRECT($AA35)&gt;'East Postition Rpt'!T$8)*(INDIRECT($AA35)&lt;'East Postition Rpt'!T$9)*(INDIRECT($AB35)))</f>
        <v>0</v>
      </c>
      <c r="V35" s="246">
        <f t="shared" ca="1" si="0"/>
        <v>194111.7020651896</v>
      </c>
      <c r="Y35" s="236" t="str">
        <f>GetWorkSheet($C34)</f>
        <v>LongTerm88</v>
      </c>
      <c r="Z35" s="303"/>
      <c r="AA35" s="236" t="str">
        <f t="shared" si="1"/>
        <v>LongTerm88!$D$22:$D$32</v>
      </c>
      <c r="AB35" s="236" t="str">
        <f>IF(NOT($Y35="#VALUE#"),CONCATENATE($Y35,"!",GetDeliveryStart($Y35),":",GetDeliveryEnd($Y35)),"")</f>
        <v>LongTerm88!$T$22:$T$32</v>
      </c>
      <c r="AC35" s="236">
        <f>GetRecNdx($Z34,$C34)</f>
        <v>13</v>
      </c>
    </row>
    <row r="36" spans="3:29" x14ac:dyDescent="0.25">
      <c r="C36" s="685">
        <v>89</v>
      </c>
      <c r="E36" s="687">
        <f>GetPipeName($Z36,$AC36)</f>
        <v>0</v>
      </c>
      <c r="F36" s="689" t="str">
        <f>CONCATENATE(GetRcptPoint($Z36,$AC36)," to ",GetDelPoint($Z36,$AC36))</f>
        <v>IF-TRANSCO/Z2 to IF-TRANSCO/Z6</v>
      </c>
      <c r="G36" s="243" t="str">
        <f>GetRcptBasis($Z36,$AC36)</f>
        <v>IF-TRANSCO/Z2 Basis Mid</v>
      </c>
      <c r="H36" s="239">
        <f t="array" aca="1" ref="H36" ca="1">SUM((INDIRECT($AA36)&gt;'East Postition Rpt'!H$8)*(INDIRECT($AA36)&lt;'East Postition Rpt'!H$9)*(INDIRECT($AB36)))</f>
        <v>0</v>
      </c>
      <c r="I36" s="226">
        <f t="array" aca="1" ref="I36" ca="1">SUM((INDIRECT($AA36)&gt;'East Postition Rpt'!I$8)*(INDIRECT($AA36)&lt;'East Postition Rpt'!I$9)*(INDIRECT($AB36)))</f>
        <v>0</v>
      </c>
      <c r="J36" s="226">
        <f t="array" aca="1" ref="J36" ca="1">SUM((INDIRECT($AA36)&gt;'East Postition Rpt'!J$8)*(INDIRECT($AA36)&lt;'East Postition Rpt'!J$9)*(INDIRECT($AB36)))</f>
        <v>0</v>
      </c>
      <c r="K36" s="226">
        <f t="array" aca="1" ref="K36" ca="1">SUM((INDIRECT($AA36)&gt;'East Postition Rpt'!K$8)*(INDIRECT($AA36)&lt;'East Postition Rpt'!K$9)*(INDIRECT($AB36)))</f>
        <v>0</v>
      </c>
      <c r="L36" s="226">
        <f t="array" aca="1" ref="L36" ca="1">SUM((INDIRECT($AA36)&gt;'East Postition Rpt'!L$8)*(INDIRECT($AA36)&lt;'East Postition Rpt'!L$9)*(INDIRECT($AB36)))</f>
        <v>0</v>
      </c>
      <c r="M36" s="226">
        <f t="array" aca="1" ref="M36" ca="1">SUM((INDIRECT($AA36)&gt;'East Postition Rpt'!M$8)*(INDIRECT($AA36)&lt;'East Postition Rpt'!M$9)*(INDIRECT($AB36)))</f>
        <v>0</v>
      </c>
      <c r="N36" s="226">
        <f t="array" aca="1" ref="N36" ca="1">SUM((INDIRECT($AA36)&gt;'East Postition Rpt'!N$8)*(INDIRECT($AA36)&lt;'East Postition Rpt'!N$9)*(INDIRECT($AB36)))</f>
        <v>0</v>
      </c>
      <c r="O36" s="226">
        <f t="array" aca="1" ref="O36" ca="1">SUM((INDIRECT($AA36)&gt;'East Postition Rpt'!O$8)*(INDIRECT($AA36)&lt;'East Postition Rpt'!O$9)*(INDIRECT($AB36)))</f>
        <v>-292424.58712749573</v>
      </c>
      <c r="P36" s="226">
        <f t="array" aca="1" ref="P36" ca="1">SUM((INDIRECT($AA36)&gt;'East Postition Rpt'!P$8)*(INDIRECT($AA36)&lt;'East Postition Rpt'!P$9)*(INDIRECT($AB36)))</f>
        <v>0</v>
      </c>
      <c r="Q36" s="226">
        <f t="array" aca="1" ref="Q36" ca="1">SUM((INDIRECT($AA36)&gt;'East Postition Rpt'!Q$8)*(INDIRECT($AA36)&lt;'East Postition Rpt'!Q$9)*(INDIRECT($AB36)))</f>
        <v>0</v>
      </c>
      <c r="R36" s="226">
        <f t="array" aca="1" ref="R36" ca="1">SUM((INDIRECT($AA36)&gt;'East Postition Rpt'!R$8)*(INDIRECT($AA36)&lt;'East Postition Rpt'!R$9)*(INDIRECT($AB36)))</f>
        <v>0</v>
      </c>
      <c r="S36" s="226">
        <f t="array" aca="1" ref="S36" ca="1">SUM((INDIRECT($AA36)&gt;'East Postition Rpt'!S$8)*(INDIRECT($AA36)&lt;'East Postition Rpt'!S$9)*(INDIRECT($AB36)))</f>
        <v>0</v>
      </c>
      <c r="T36" s="227">
        <f t="array" aca="1" ref="T36" ca="1">SUM((INDIRECT($AA36)&gt;'East Postition Rpt'!T$8)*(INDIRECT($AA36)&lt;'East Postition Rpt'!T$9)*(INDIRECT($AB36)))</f>
        <v>0</v>
      </c>
      <c r="V36" s="245">
        <f t="shared" ca="1" si="0"/>
        <v>-292424.58712749573</v>
      </c>
      <c r="Y36" s="236" t="str">
        <f>GetWorkSheet($C36)</f>
        <v>LongTerm89</v>
      </c>
      <c r="Z36" s="303" t="str">
        <f>FetchDBPage(Y36)</f>
        <v>Contract DB (East)</v>
      </c>
      <c r="AA36" s="236" t="str">
        <f t="shared" si="1"/>
        <v>LongTerm89!$D$22:$D$32</v>
      </c>
      <c r="AB36" s="236" t="str">
        <f>IF(NOT($Y36="#VALUE#"),CONCATENATE($Y36,"!",GetReceiptStart($Y36),":",GetReceiptEnd($Y36)),"")</f>
        <v>LongTerm89!$S$22:$S$32</v>
      </c>
      <c r="AC36" s="236">
        <f>GetRecNdx($Z36,$C36)</f>
        <v>14</v>
      </c>
    </row>
    <row r="37" spans="3:29" x14ac:dyDescent="0.25">
      <c r="C37" s="686"/>
      <c r="E37" s="688"/>
      <c r="F37" s="690"/>
      <c r="G37" s="244" t="str">
        <f>GetDelBasis($Z36,$AC37)</f>
        <v>IF-TRANSCO/Z6 Basis Mid</v>
      </c>
      <c r="H37" s="240">
        <f t="array" aca="1" ref="H37" ca="1">SUM((INDIRECT($AA37)&gt;'East Postition Rpt'!H$8)*(INDIRECT($AA37)&lt;'East Postition Rpt'!H$9)*(INDIRECT($AB37)))</f>
        <v>0</v>
      </c>
      <c r="I37" s="228">
        <f t="array" aca="1" ref="I37" ca="1">SUM((INDIRECT($AA37)&gt;'East Postition Rpt'!I$8)*(INDIRECT($AA37)&lt;'East Postition Rpt'!I$9)*(INDIRECT($AB37)))</f>
        <v>0</v>
      </c>
      <c r="J37" s="228">
        <f t="array" aca="1" ref="J37" ca="1">SUM((INDIRECT($AA37)&gt;'East Postition Rpt'!J$8)*(INDIRECT($AA37)&lt;'East Postition Rpt'!J$9)*(INDIRECT($AB37)))</f>
        <v>0</v>
      </c>
      <c r="K37" s="228">
        <f t="array" aca="1" ref="K37" ca="1">SUM((INDIRECT($AA37)&gt;'East Postition Rpt'!K$8)*(INDIRECT($AA37)&lt;'East Postition Rpt'!K$9)*(INDIRECT($AB37)))</f>
        <v>0</v>
      </c>
      <c r="L37" s="228">
        <f t="array" aca="1" ref="L37" ca="1">SUM((INDIRECT($AA37)&gt;'East Postition Rpt'!L$8)*(INDIRECT($AA37)&lt;'East Postition Rpt'!L$9)*(INDIRECT($AB37)))</f>
        <v>0</v>
      </c>
      <c r="M37" s="228">
        <f t="array" aca="1" ref="M37" ca="1">SUM((INDIRECT($AA37)&gt;'East Postition Rpt'!M$8)*(INDIRECT($AA37)&lt;'East Postition Rpt'!M$9)*(INDIRECT($AB37)))</f>
        <v>0</v>
      </c>
      <c r="N37" s="228">
        <f t="array" aca="1" ref="N37" ca="1">SUM((INDIRECT($AA37)&gt;'East Postition Rpt'!N$8)*(INDIRECT($AA37)&lt;'East Postition Rpt'!N$9)*(INDIRECT($AB37)))</f>
        <v>0</v>
      </c>
      <c r="O37" s="228">
        <f t="array" aca="1" ref="O37" ca="1">SUM((INDIRECT($AA37)&gt;'East Postition Rpt'!O$8)*(INDIRECT($AA37)&lt;'East Postition Rpt'!O$9)*(INDIRECT($AB37)))</f>
        <v>286214.79509596922</v>
      </c>
      <c r="P37" s="228">
        <f t="array" aca="1" ref="P37" ca="1">SUM((INDIRECT($AA37)&gt;'East Postition Rpt'!P$8)*(INDIRECT($AA37)&lt;'East Postition Rpt'!P$9)*(INDIRECT($AB37)))</f>
        <v>0</v>
      </c>
      <c r="Q37" s="228">
        <f t="array" aca="1" ref="Q37" ca="1">SUM((INDIRECT($AA37)&gt;'East Postition Rpt'!Q$8)*(INDIRECT($AA37)&lt;'East Postition Rpt'!Q$9)*(INDIRECT($AB37)))</f>
        <v>0</v>
      </c>
      <c r="R37" s="228">
        <f t="array" aca="1" ref="R37" ca="1">SUM((INDIRECT($AA37)&gt;'East Postition Rpt'!R$8)*(INDIRECT($AA37)&lt;'East Postition Rpt'!R$9)*(INDIRECT($AB37)))</f>
        <v>0</v>
      </c>
      <c r="S37" s="228">
        <f t="array" aca="1" ref="S37" ca="1">SUM((INDIRECT($AA37)&gt;'East Postition Rpt'!S$8)*(INDIRECT($AA37)&lt;'East Postition Rpt'!S$9)*(INDIRECT($AB37)))</f>
        <v>0</v>
      </c>
      <c r="T37" s="229">
        <f t="array" aca="1" ref="T37" ca="1">SUM((INDIRECT($AA37)&gt;'East Postition Rpt'!T$8)*(INDIRECT($AA37)&lt;'East Postition Rpt'!T$9)*(INDIRECT($AB37)))</f>
        <v>0</v>
      </c>
      <c r="V37" s="246">
        <f t="shared" ca="1" si="0"/>
        <v>286214.79509596922</v>
      </c>
      <c r="Y37" s="236" t="str">
        <f>GetWorkSheet($C36)</f>
        <v>LongTerm89</v>
      </c>
      <c r="Z37" s="303"/>
      <c r="AA37" s="236" t="str">
        <f t="shared" si="1"/>
        <v>LongTerm89!$D$22:$D$32</v>
      </c>
      <c r="AB37" s="236" t="str">
        <f>IF(NOT($Y37="#VALUE#"),CONCATENATE($Y37,"!",GetDeliveryStart($Y37),":",GetDeliveryEnd($Y37)),"")</f>
        <v>LongTerm89!$T$22:$T$32</v>
      </c>
      <c r="AC37" s="236">
        <f>GetRecNdx($Z36,$C36)</f>
        <v>14</v>
      </c>
    </row>
    <row r="38" spans="3:29" x14ac:dyDescent="0.25">
      <c r="C38" s="685">
        <v>90</v>
      </c>
      <c r="E38" s="687">
        <f>GetPipeName($Z38,$AC38)</f>
        <v>0</v>
      </c>
      <c r="F38" s="689" t="str">
        <f>CONCATENATE(GetRcptPoint($Z38,$AC38)," to ",GetDelPoint($Z38,$AC38))</f>
        <v>IF-TRANSCO/Z3 to IF-TRANSCO/Z6</v>
      </c>
      <c r="G38" s="243" t="str">
        <f>GetRcptBasis($Z38,$AC38)</f>
        <v>IF-TRANSCO/Z3 Basis Mid</v>
      </c>
      <c r="H38" s="239">
        <f t="array" aca="1" ref="H38" ca="1">SUM((INDIRECT($AA38)&gt;'East Postition Rpt'!H$8)*(INDIRECT($AA38)&lt;'East Postition Rpt'!H$9)*(INDIRECT($AB38)))</f>
        <v>0</v>
      </c>
      <c r="I38" s="226">
        <f t="array" aca="1" ref="I38" ca="1">SUM((INDIRECT($AA38)&gt;'East Postition Rpt'!I$8)*(INDIRECT($AA38)&lt;'East Postition Rpt'!I$9)*(INDIRECT($AB38)))</f>
        <v>0</v>
      </c>
      <c r="J38" s="226">
        <f t="array" aca="1" ref="J38" ca="1">SUM((INDIRECT($AA38)&gt;'East Postition Rpt'!J$8)*(INDIRECT($AA38)&lt;'East Postition Rpt'!J$9)*(INDIRECT($AB38)))</f>
        <v>0</v>
      </c>
      <c r="K38" s="226">
        <f t="array" aca="1" ref="K38" ca="1">SUM((INDIRECT($AA38)&gt;'East Postition Rpt'!K$8)*(INDIRECT($AA38)&lt;'East Postition Rpt'!K$9)*(INDIRECT($AB38)))</f>
        <v>0</v>
      </c>
      <c r="L38" s="226">
        <f t="array" aca="1" ref="L38" ca="1">SUM((INDIRECT($AA38)&gt;'East Postition Rpt'!L$8)*(INDIRECT($AA38)&lt;'East Postition Rpt'!L$9)*(INDIRECT($AB38)))</f>
        <v>0</v>
      </c>
      <c r="M38" s="226">
        <f t="array" aca="1" ref="M38" ca="1">SUM((INDIRECT($AA38)&gt;'East Postition Rpt'!M$8)*(INDIRECT($AA38)&lt;'East Postition Rpt'!M$9)*(INDIRECT($AB38)))</f>
        <v>0</v>
      </c>
      <c r="N38" s="226">
        <f t="array" aca="1" ref="N38" ca="1">SUM((INDIRECT($AA38)&gt;'East Postition Rpt'!N$8)*(INDIRECT($AA38)&lt;'East Postition Rpt'!N$9)*(INDIRECT($AB38)))</f>
        <v>0</v>
      </c>
      <c r="O38" s="226">
        <f t="array" aca="1" ref="O38" ca="1">SUM((INDIRECT($AA38)&gt;'East Postition Rpt'!O$8)*(INDIRECT($AA38)&lt;'East Postition Rpt'!O$9)*(INDIRECT($AB38)))</f>
        <v>-676066.6932718691</v>
      </c>
      <c r="P38" s="226">
        <f t="array" aca="1" ref="P38" ca="1">SUM((INDIRECT($AA38)&gt;'East Postition Rpt'!P$8)*(INDIRECT($AA38)&lt;'East Postition Rpt'!P$9)*(INDIRECT($AB38)))</f>
        <v>0</v>
      </c>
      <c r="Q38" s="226">
        <f t="array" aca="1" ref="Q38" ca="1">SUM((INDIRECT($AA38)&gt;'East Postition Rpt'!Q$8)*(INDIRECT($AA38)&lt;'East Postition Rpt'!Q$9)*(INDIRECT($AB38)))</f>
        <v>0</v>
      </c>
      <c r="R38" s="226">
        <f t="array" aca="1" ref="R38" ca="1">SUM((INDIRECT($AA38)&gt;'East Postition Rpt'!R$8)*(INDIRECT($AA38)&lt;'East Postition Rpt'!R$9)*(INDIRECT($AB38)))</f>
        <v>0</v>
      </c>
      <c r="S38" s="226">
        <f t="array" aca="1" ref="S38" ca="1">SUM((INDIRECT($AA38)&gt;'East Postition Rpt'!S$8)*(INDIRECT($AA38)&lt;'East Postition Rpt'!S$9)*(INDIRECT($AB38)))</f>
        <v>0</v>
      </c>
      <c r="T38" s="227">
        <f t="array" aca="1" ref="T38" ca="1">SUM((INDIRECT($AA38)&gt;'East Postition Rpt'!T$8)*(INDIRECT($AA38)&lt;'East Postition Rpt'!T$9)*(INDIRECT($AB38)))</f>
        <v>0</v>
      </c>
      <c r="V38" s="245">
        <f t="shared" ca="1" si="0"/>
        <v>-676066.6932718691</v>
      </c>
      <c r="Y38" s="236" t="str">
        <f>GetWorkSheet($C38)</f>
        <v>LongTerm90</v>
      </c>
      <c r="Z38" s="303" t="str">
        <f>FetchDBPage(Y38)</f>
        <v>Contract DB (East)</v>
      </c>
      <c r="AA38" s="236" t="str">
        <f t="shared" si="1"/>
        <v>LongTerm90!$D$22:$D$32</v>
      </c>
      <c r="AB38" s="236" t="str">
        <f>IF(NOT($Y38="#VALUE#"),CONCATENATE($Y38,"!",GetReceiptStart($Y38),":",GetReceiptEnd($Y38)),"")</f>
        <v>LongTerm90!$S$22:$S$32</v>
      </c>
      <c r="AC38" s="236">
        <f>GetRecNdx($Z38,$C38)</f>
        <v>15</v>
      </c>
    </row>
    <row r="39" spans="3:29" x14ac:dyDescent="0.25">
      <c r="C39" s="686"/>
      <c r="E39" s="688"/>
      <c r="F39" s="690"/>
      <c r="G39" s="244" t="str">
        <f>GetDelBasis($Z38,$AC39)</f>
        <v>IF-TRANSCO/Z6 Basis Mid</v>
      </c>
      <c r="H39" s="240">
        <f t="array" aca="1" ref="H39" ca="1">SUM((INDIRECT($AA39)&gt;'East Postition Rpt'!H$8)*(INDIRECT($AA39)&lt;'East Postition Rpt'!H$9)*(INDIRECT($AB39)))</f>
        <v>0</v>
      </c>
      <c r="I39" s="228">
        <f t="array" aca="1" ref="I39" ca="1">SUM((INDIRECT($AA39)&gt;'East Postition Rpt'!I$8)*(INDIRECT($AA39)&lt;'East Postition Rpt'!I$9)*(INDIRECT($AB39)))</f>
        <v>0</v>
      </c>
      <c r="J39" s="228">
        <f t="array" aca="1" ref="J39" ca="1">SUM((INDIRECT($AA39)&gt;'East Postition Rpt'!J$8)*(INDIRECT($AA39)&lt;'East Postition Rpt'!J$9)*(INDIRECT($AB39)))</f>
        <v>0</v>
      </c>
      <c r="K39" s="228">
        <f t="array" aca="1" ref="K39" ca="1">SUM((INDIRECT($AA39)&gt;'East Postition Rpt'!K$8)*(INDIRECT($AA39)&lt;'East Postition Rpt'!K$9)*(INDIRECT($AB39)))</f>
        <v>0</v>
      </c>
      <c r="L39" s="228">
        <f t="array" aca="1" ref="L39" ca="1">SUM((INDIRECT($AA39)&gt;'East Postition Rpt'!L$8)*(INDIRECT($AA39)&lt;'East Postition Rpt'!L$9)*(INDIRECT($AB39)))</f>
        <v>0</v>
      </c>
      <c r="M39" s="228">
        <f t="array" aca="1" ref="M39" ca="1">SUM((INDIRECT($AA39)&gt;'East Postition Rpt'!M$8)*(INDIRECT($AA39)&lt;'East Postition Rpt'!M$9)*(INDIRECT($AB39)))</f>
        <v>0</v>
      </c>
      <c r="N39" s="228">
        <f t="array" aca="1" ref="N39" ca="1">SUM((INDIRECT($AA39)&gt;'East Postition Rpt'!N$8)*(INDIRECT($AA39)&lt;'East Postition Rpt'!N$9)*(INDIRECT($AB39)))</f>
        <v>0</v>
      </c>
      <c r="O39" s="228">
        <f t="array" aca="1" ref="O39" ca="1">SUM((INDIRECT($AA39)&gt;'East Postition Rpt'!O$8)*(INDIRECT($AA39)&lt;'East Postition Rpt'!O$9)*(INDIRECT($AB39)))</f>
        <v>664510.19822419737</v>
      </c>
      <c r="P39" s="228">
        <f t="array" aca="1" ref="P39" ca="1">SUM((INDIRECT($AA39)&gt;'East Postition Rpt'!P$8)*(INDIRECT($AA39)&lt;'East Postition Rpt'!P$9)*(INDIRECT($AB39)))</f>
        <v>0</v>
      </c>
      <c r="Q39" s="228">
        <f t="array" aca="1" ref="Q39" ca="1">SUM((INDIRECT($AA39)&gt;'East Postition Rpt'!Q$8)*(INDIRECT($AA39)&lt;'East Postition Rpt'!Q$9)*(INDIRECT($AB39)))</f>
        <v>0</v>
      </c>
      <c r="R39" s="228">
        <f t="array" aca="1" ref="R39" ca="1">SUM((INDIRECT($AA39)&gt;'East Postition Rpt'!R$8)*(INDIRECT($AA39)&lt;'East Postition Rpt'!R$9)*(INDIRECT($AB39)))</f>
        <v>0</v>
      </c>
      <c r="S39" s="228">
        <f t="array" aca="1" ref="S39" ca="1">SUM((INDIRECT($AA39)&gt;'East Postition Rpt'!S$8)*(INDIRECT($AA39)&lt;'East Postition Rpt'!S$9)*(INDIRECT($AB39)))</f>
        <v>0</v>
      </c>
      <c r="T39" s="229">
        <f t="array" aca="1" ref="T39" ca="1">SUM((INDIRECT($AA39)&gt;'East Postition Rpt'!T$8)*(INDIRECT($AA39)&lt;'East Postition Rpt'!T$9)*(INDIRECT($AB39)))</f>
        <v>0</v>
      </c>
      <c r="V39" s="246">
        <f t="shared" ca="1" si="0"/>
        <v>664510.19822419737</v>
      </c>
      <c r="Y39" s="236" t="str">
        <f>GetWorkSheet($C38)</f>
        <v>LongTerm90</v>
      </c>
      <c r="Z39" s="303"/>
      <c r="AA39" s="236" t="str">
        <f t="shared" si="1"/>
        <v>LongTerm90!$D$22:$D$32</v>
      </c>
      <c r="AB39" s="236" t="str">
        <f>IF(NOT($Y39="#VALUE#"),CONCATENATE($Y39,"!",GetDeliveryStart($Y39),":",GetDeliveryEnd($Y39)),"")</f>
        <v>LongTerm90!$T$22:$T$32</v>
      </c>
      <c r="AC39" s="236">
        <f>GetRecNdx($Z38,$C38)</f>
        <v>15</v>
      </c>
    </row>
    <row r="40" spans="3:29" x14ac:dyDescent="0.25">
      <c r="C40" s="685">
        <v>100</v>
      </c>
      <c r="E40" s="687">
        <f>GetPipeName($Z40,$AC40)</f>
        <v>0</v>
      </c>
      <c r="F40" s="689" t="str">
        <f>CONCATENATE(GetRcptPoint($Z40,$AC40)," to ",GetDelPoint($Z40,$AC40))</f>
        <v>Tetco/ETX to CNG/Appalach</v>
      </c>
      <c r="G40" s="243" t="str">
        <f>GetRcptBasis($Z40,$AC40)</f>
        <v>IF-TETCO/ETX Basis Mid</v>
      </c>
      <c r="H40" s="239">
        <f t="array" aca="1" ref="H40" ca="1">SUM((INDIRECT($AA40)&gt;'East Postition Rpt'!H$8)*(INDIRECT($AA40)&lt;'East Postition Rpt'!H$9)*(INDIRECT($AB40)))</f>
        <v>0</v>
      </c>
      <c r="I40" s="226">
        <f t="array" aca="1" ref="I40" ca="1">SUM((INDIRECT($AA40)&gt;'East Postition Rpt'!I$8)*(INDIRECT($AA40)&lt;'East Postition Rpt'!I$9)*(INDIRECT($AB40)))</f>
        <v>0</v>
      </c>
      <c r="J40" s="226">
        <f t="array" aca="1" ref="J40" ca="1">SUM((INDIRECT($AA40)&gt;'East Postition Rpt'!J$8)*(INDIRECT($AA40)&lt;'East Postition Rpt'!J$9)*(INDIRECT($AB40)))</f>
        <v>0</v>
      </c>
      <c r="K40" s="226">
        <f t="array" aca="1" ref="K40" ca="1">SUM((INDIRECT($AA40)&gt;'East Postition Rpt'!K$8)*(INDIRECT($AA40)&lt;'East Postition Rpt'!K$9)*(INDIRECT($AB40)))</f>
        <v>0</v>
      </c>
      <c r="L40" s="226">
        <f t="array" aca="1" ref="L40" ca="1">SUM((INDIRECT($AA40)&gt;'East Postition Rpt'!L$8)*(INDIRECT($AA40)&lt;'East Postition Rpt'!L$9)*(INDIRECT($AB40)))</f>
        <v>0</v>
      </c>
      <c r="M40" s="226">
        <f t="array" aca="1" ref="M40" ca="1">SUM((INDIRECT($AA40)&gt;'East Postition Rpt'!M$8)*(INDIRECT($AA40)&lt;'East Postition Rpt'!M$9)*(INDIRECT($AB40)))</f>
        <v>0</v>
      </c>
      <c r="N40" s="226">
        <f t="array" aca="1" ref="N40" ca="1">SUM((INDIRECT($AA40)&gt;'East Postition Rpt'!N$8)*(INDIRECT($AA40)&lt;'East Postition Rpt'!N$9)*(INDIRECT($AB40)))</f>
        <v>0</v>
      </c>
      <c r="O40" s="226">
        <f t="array" aca="1" ref="O40" ca="1">SUM((INDIRECT($AA40)&gt;'East Postition Rpt'!O$8)*(INDIRECT($AA40)&lt;'East Postition Rpt'!O$9)*(INDIRECT($AB40)))</f>
        <v>-73691.647639975097</v>
      </c>
      <c r="P40" s="226">
        <f t="array" aca="1" ref="P40" ca="1">SUM((INDIRECT($AA40)&gt;'East Postition Rpt'!P$8)*(INDIRECT($AA40)&lt;'East Postition Rpt'!P$9)*(INDIRECT($AB40)))</f>
        <v>0</v>
      </c>
      <c r="Q40" s="226">
        <f t="array" aca="1" ref="Q40" ca="1">SUM((INDIRECT($AA40)&gt;'East Postition Rpt'!Q$8)*(INDIRECT($AA40)&lt;'East Postition Rpt'!Q$9)*(INDIRECT($AB40)))</f>
        <v>0</v>
      </c>
      <c r="R40" s="226">
        <f t="array" aca="1" ref="R40" ca="1">SUM((INDIRECT($AA40)&gt;'East Postition Rpt'!R$8)*(INDIRECT($AA40)&lt;'East Postition Rpt'!R$9)*(INDIRECT($AB40)))</f>
        <v>0</v>
      </c>
      <c r="S40" s="226">
        <f t="array" aca="1" ref="S40" ca="1">SUM((INDIRECT($AA40)&gt;'East Postition Rpt'!S$8)*(INDIRECT($AA40)&lt;'East Postition Rpt'!S$9)*(INDIRECT($AB40)))</f>
        <v>0</v>
      </c>
      <c r="T40" s="227">
        <f t="array" aca="1" ref="T40" ca="1">SUM((INDIRECT($AA40)&gt;'East Postition Rpt'!T$8)*(INDIRECT($AA40)&lt;'East Postition Rpt'!T$9)*(INDIRECT($AB40)))</f>
        <v>0</v>
      </c>
      <c r="V40" s="245">
        <f t="shared" ca="1" si="0"/>
        <v>-73691.647639975097</v>
      </c>
      <c r="Y40" s="236" t="str">
        <f>GetWorkSheet($C40)</f>
        <v>LongTerm100</v>
      </c>
      <c r="Z40" s="303" t="str">
        <f>FetchDBPage(Y40)</f>
        <v>Contract DB (East)</v>
      </c>
      <c r="AA40" s="236" t="str">
        <f t="shared" si="1"/>
        <v>LongTerm100!$D$22:$D$27</v>
      </c>
      <c r="AB40" s="236" t="str">
        <f>IF(NOT($Y40="#VALUE#"),CONCATENATE($Y40,"!",GetReceiptStart($Y40),":",GetReceiptEnd($Y40)),"")</f>
        <v>LongTerm100!$S$22:$S$27</v>
      </c>
      <c r="AC40" s="236">
        <f>GetRecNdx($Z40,$C40)</f>
        <v>16</v>
      </c>
    </row>
    <row r="41" spans="3:29" x14ac:dyDescent="0.25">
      <c r="C41" s="686"/>
      <c r="E41" s="688"/>
      <c r="F41" s="690"/>
      <c r="G41" s="244" t="str">
        <f>GetDelBasis($Z40,$AC41)</f>
        <v>IF-CNG/APPALACH Basis Mid</v>
      </c>
      <c r="H41" s="240">
        <f t="array" aca="1" ref="H41" ca="1">SUM((INDIRECT($AA41)&gt;'East Postition Rpt'!H$8)*(INDIRECT($AA41)&lt;'East Postition Rpt'!H$9)*(INDIRECT($AB41)))</f>
        <v>0</v>
      </c>
      <c r="I41" s="228">
        <f t="array" aca="1" ref="I41" ca="1">SUM((INDIRECT($AA41)&gt;'East Postition Rpt'!I$8)*(INDIRECT($AA41)&lt;'East Postition Rpt'!I$9)*(INDIRECT($AB41)))</f>
        <v>0</v>
      </c>
      <c r="J41" s="228">
        <f t="array" aca="1" ref="J41" ca="1">SUM((INDIRECT($AA41)&gt;'East Postition Rpt'!J$8)*(INDIRECT($AA41)&lt;'East Postition Rpt'!J$9)*(INDIRECT($AB41)))</f>
        <v>0</v>
      </c>
      <c r="K41" s="228">
        <f t="array" aca="1" ref="K41" ca="1">SUM((INDIRECT($AA41)&gt;'East Postition Rpt'!K$8)*(INDIRECT($AA41)&lt;'East Postition Rpt'!K$9)*(INDIRECT($AB41)))</f>
        <v>0</v>
      </c>
      <c r="L41" s="228">
        <f t="array" aca="1" ref="L41" ca="1">SUM((INDIRECT($AA41)&gt;'East Postition Rpt'!L$8)*(INDIRECT($AA41)&lt;'East Postition Rpt'!L$9)*(INDIRECT($AB41)))</f>
        <v>0</v>
      </c>
      <c r="M41" s="228">
        <f t="array" aca="1" ref="M41" ca="1">SUM((INDIRECT($AA41)&gt;'East Postition Rpt'!M$8)*(INDIRECT($AA41)&lt;'East Postition Rpt'!M$9)*(INDIRECT($AB41)))</f>
        <v>0</v>
      </c>
      <c r="N41" s="228">
        <f t="array" aca="1" ref="N41" ca="1">SUM((INDIRECT($AA41)&gt;'East Postition Rpt'!N$8)*(INDIRECT($AA41)&lt;'East Postition Rpt'!N$9)*(INDIRECT($AB41)))</f>
        <v>0</v>
      </c>
      <c r="O41" s="228">
        <f t="array" aca="1" ref="O41" ca="1">SUM((INDIRECT($AA41)&gt;'East Postition Rpt'!O$8)*(INDIRECT($AA41)&lt;'East Postition Rpt'!O$9)*(INDIRECT($AB41)))</f>
        <v>69303.492400294432</v>
      </c>
      <c r="P41" s="228">
        <f t="array" aca="1" ref="P41" ca="1">SUM((INDIRECT($AA41)&gt;'East Postition Rpt'!P$8)*(INDIRECT($AA41)&lt;'East Postition Rpt'!P$9)*(INDIRECT($AB41)))</f>
        <v>0</v>
      </c>
      <c r="Q41" s="228">
        <f t="array" aca="1" ref="Q41" ca="1">SUM((INDIRECT($AA41)&gt;'East Postition Rpt'!Q$8)*(INDIRECT($AA41)&lt;'East Postition Rpt'!Q$9)*(INDIRECT($AB41)))</f>
        <v>0</v>
      </c>
      <c r="R41" s="228">
        <f t="array" aca="1" ref="R41" ca="1">SUM((INDIRECT($AA41)&gt;'East Postition Rpt'!R$8)*(INDIRECT($AA41)&lt;'East Postition Rpt'!R$9)*(INDIRECT($AB41)))</f>
        <v>0</v>
      </c>
      <c r="S41" s="228">
        <f t="array" aca="1" ref="S41" ca="1">SUM((INDIRECT($AA41)&gt;'East Postition Rpt'!S$8)*(INDIRECT($AA41)&lt;'East Postition Rpt'!S$9)*(INDIRECT($AB41)))</f>
        <v>0</v>
      </c>
      <c r="T41" s="229">
        <f t="array" aca="1" ref="T41" ca="1">SUM((INDIRECT($AA41)&gt;'East Postition Rpt'!T$8)*(INDIRECT($AA41)&lt;'East Postition Rpt'!T$9)*(INDIRECT($AB41)))</f>
        <v>0</v>
      </c>
      <c r="V41" s="246">
        <f t="shared" ca="1" si="0"/>
        <v>69303.492400294432</v>
      </c>
      <c r="Y41" s="236" t="str">
        <f>GetWorkSheet($C40)</f>
        <v>LongTerm100</v>
      </c>
      <c r="Z41" s="303"/>
      <c r="AA41" s="236" t="str">
        <f t="shared" si="1"/>
        <v>LongTerm100!$D$22:$D$27</v>
      </c>
      <c r="AB41" s="236" t="str">
        <f>IF(NOT($Y41="#VALUE#"),CONCATENATE($Y41,"!",GetDeliveryStart($Y41),":",GetDeliveryEnd($Y41)),"")</f>
        <v>LongTerm100!$T$22:$T$27</v>
      </c>
      <c r="AC41" s="236">
        <f>GetRecNdx($Z40,$C40)</f>
        <v>16</v>
      </c>
    </row>
    <row r="42" spans="3:29" x14ac:dyDescent="0.25">
      <c r="C42" s="685">
        <v>101</v>
      </c>
      <c r="E42" s="687">
        <f>GetPipeName($Z42,$AC42)</f>
        <v>0</v>
      </c>
      <c r="F42" s="689" t="str">
        <f>CONCATENATE(GetRcptPoint($Z42,$AC42)," to ",GetDelPoint($Z42,$AC42))</f>
        <v>Tetco/ELA to CNG/Appalach</v>
      </c>
      <c r="G42" s="243" t="str">
        <f>GetRcptBasis($Z42,$AC42)</f>
        <v>IF-TETCO/ELA Basis Mid</v>
      </c>
      <c r="H42" s="239">
        <f t="array" aca="1" ref="H42" ca="1">SUM((INDIRECT($AA42)&gt;'East Postition Rpt'!H$8)*(INDIRECT($AA42)&lt;'East Postition Rpt'!H$9)*(INDIRECT($AB42)))</f>
        <v>0</v>
      </c>
      <c r="I42" s="226">
        <f t="array" aca="1" ref="I42" ca="1">SUM((INDIRECT($AA42)&gt;'East Postition Rpt'!I$8)*(INDIRECT($AA42)&lt;'East Postition Rpt'!I$9)*(INDIRECT($AB42)))</f>
        <v>0</v>
      </c>
      <c r="J42" s="226">
        <f t="array" aca="1" ref="J42" ca="1">SUM((INDIRECT($AA42)&gt;'East Postition Rpt'!J$8)*(INDIRECT($AA42)&lt;'East Postition Rpt'!J$9)*(INDIRECT($AB42)))</f>
        <v>0</v>
      </c>
      <c r="K42" s="226">
        <f t="array" aca="1" ref="K42" ca="1">SUM((INDIRECT($AA42)&gt;'East Postition Rpt'!K$8)*(INDIRECT($AA42)&lt;'East Postition Rpt'!K$9)*(INDIRECT($AB42)))</f>
        <v>0</v>
      </c>
      <c r="L42" s="226">
        <f t="array" aca="1" ref="L42" ca="1">SUM((INDIRECT($AA42)&gt;'East Postition Rpt'!L$8)*(INDIRECT($AA42)&lt;'East Postition Rpt'!L$9)*(INDIRECT($AB42)))</f>
        <v>0</v>
      </c>
      <c r="M42" s="226">
        <f t="array" aca="1" ref="M42" ca="1">SUM((INDIRECT($AA42)&gt;'East Postition Rpt'!M$8)*(INDIRECT($AA42)&lt;'East Postition Rpt'!M$9)*(INDIRECT($AB42)))</f>
        <v>0</v>
      </c>
      <c r="N42" s="226">
        <f t="array" aca="1" ref="N42" ca="1">SUM((INDIRECT($AA42)&gt;'East Postition Rpt'!N$8)*(INDIRECT($AA42)&lt;'East Postition Rpt'!N$9)*(INDIRECT($AB42)))</f>
        <v>0</v>
      </c>
      <c r="O42" s="226">
        <f t="array" aca="1" ref="O42" ca="1">SUM((INDIRECT($AA42)&gt;'East Postition Rpt'!O$8)*(INDIRECT($AA42)&lt;'East Postition Rpt'!O$9)*(INDIRECT($AB42)))</f>
        <v>-70009.743912567632</v>
      </c>
      <c r="P42" s="226">
        <f t="array" aca="1" ref="P42" ca="1">SUM((INDIRECT($AA42)&gt;'East Postition Rpt'!P$8)*(INDIRECT($AA42)&lt;'East Postition Rpt'!P$9)*(INDIRECT($AB42)))</f>
        <v>0</v>
      </c>
      <c r="Q42" s="226">
        <f t="array" aca="1" ref="Q42" ca="1">SUM((INDIRECT($AA42)&gt;'East Postition Rpt'!Q$8)*(INDIRECT($AA42)&lt;'East Postition Rpt'!Q$9)*(INDIRECT($AB42)))</f>
        <v>0</v>
      </c>
      <c r="R42" s="226">
        <f t="array" aca="1" ref="R42" ca="1">SUM((INDIRECT($AA42)&gt;'East Postition Rpt'!R$8)*(INDIRECT($AA42)&lt;'East Postition Rpt'!R$9)*(INDIRECT($AB42)))</f>
        <v>0</v>
      </c>
      <c r="S42" s="226">
        <f t="array" aca="1" ref="S42" ca="1">SUM((INDIRECT($AA42)&gt;'East Postition Rpt'!S$8)*(INDIRECT($AA42)&lt;'East Postition Rpt'!S$9)*(INDIRECT($AB42)))</f>
        <v>0</v>
      </c>
      <c r="T42" s="227">
        <f t="array" aca="1" ref="T42" ca="1">SUM((INDIRECT($AA42)&gt;'East Postition Rpt'!T$8)*(INDIRECT($AA42)&lt;'East Postition Rpt'!T$9)*(INDIRECT($AB42)))</f>
        <v>0</v>
      </c>
      <c r="V42" s="245">
        <f t="shared" ca="1" si="0"/>
        <v>-70009.743912567632</v>
      </c>
      <c r="Y42" s="236" t="str">
        <f>GetWorkSheet($C42)</f>
        <v>LongTerm101</v>
      </c>
      <c r="Z42" s="303" t="str">
        <f>FetchDBPage(Y42)</f>
        <v>Contract DB (East)</v>
      </c>
      <c r="AA42" s="236" t="str">
        <f t="shared" si="1"/>
        <v>LongTerm101!$D$22:$D$26</v>
      </c>
      <c r="AB42" s="236" t="str">
        <f>IF(NOT($Y42="#VALUE#"),CONCATENATE($Y42,"!",GetReceiptStart($Y42),":",GetReceiptEnd($Y42)),"")</f>
        <v>LongTerm101!$S$22:$S$26</v>
      </c>
      <c r="AC42" s="236">
        <f>GetRecNdx($Z42,$C42)</f>
        <v>17</v>
      </c>
    </row>
    <row r="43" spans="3:29" x14ac:dyDescent="0.25">
      <c r="C43" s="686"/>
      <c r="E43" s="688"/>
      <c r="F43" s="690"/>
      <c r="G43" s="244" t="str">
        <f>GetDelBasis($Z42,$AC43)</f>
        <v>IF-CNG/APPALACH Basis Mid</v>
      </c>
      <c r="H43" s="240">
        <f t="array" aca="1" ref="H43" ca="1">SUM((INDIRECT($AA43)&gt;'East Postition Rpt'!H$8)*(INDIRECT($AA43)&lt;'East Postition Rpt'!H$9)*(INDIRECT($AB43)))</f>
        <v>0</v>
      </c>
      <c r="I43" s="228">
        <f t="array" aca="1" ref="I43" ca="1">SUM((INDIRECT($AA43)&gt;'East Postition Rpt'!I$8)*(INDIRECT($AA43)&lt;'East Postition Rpt'!I$9)*(INDIRECT($AB43)))</f>
        <v>0</v>
      </c>
      <c r="J43" s="228">
        <f t="array" aca="1" ref="J43" ca="1">SUM((INDIRECT($AA43)&gt;'East Postition Rpt'!J$8)*(INDIRECT($AA43)&lt;'East Postition Rpt'!J$9)*(INDIRECT($AB43)))</f>
        <v>0</v>
      </c>
      <c r="K43" s="228">
        <f t="array" aca="1" ref="K43" ca="1">SUM((INDIRECT($AA43)&gt;'East Postition Rpt'!K$8)*(INDIRECT($AA43)&lt;'East Postition Rpt'!K$9)*(INDIRECT($AB43)))</f>
        <v>0</v>
      </c>
      <c r="L43" s="228">
        <f t="array" aca="1" ref="L43" ca="1">SUM((INDIRECT($AA43)&gt;'East Postition Rpt'!L$8)*(INDIRECT($AA43)&lt;'East Postition Rpt'!L$9)*(INDIRECT($AB43)))</f>
        <v>0</v>
      </c>
      <c r="M43" s="228">
        <f t="array" aca="1" ref="M43" ca="1">SUM((INDIRECT($AA43)&gt;'East Postition Rpt'!M$8)*(INDIRECT($AA43)&lt;'East Postition Rpt'!M$9)*(INDIRECT($AB43)))</f>
        <v>0</v>
      </c>
      <c r="N43" s="228">
        <f t="array" aca="1" ref="N43" ca="1">SUM((INDIRECT($AA43)&gt;'East Postition Rpt'!N$8)*(INDIRECT($AA43)&lt;'East Postition Rpt'!N$9)*(INDIRECT($AB43)))</f>
        <v>0</v>
      </c>
      <c r="O43" s="228">
        <f t="array" aca="1" ref="O43" ca="1">SUM((INDIRECT($AA43)&gt;'East Postition Rpt'!O$8)*(INDIRECT($AA43)&lt;'East Postition Rpt'!O$9)*(INDIRECT($AB43)))</f>
        <v>66547.662012419663</v>
      </c>
      <c r="P43" s="228">
        <f t="array" aca="1" ref="P43" ca="1">SUM((INDIRECT($AA43)&gt;'East Postition Rpt'!P$8)*(INDIRECT($AA43)&lt;'East Postition Rpt'!P$9)*(INDIRECT($AB43)))</f>
        <v>0</v>
      </c>
      <c r="Q43" s="228">
        <f t="array" aca="1" ref="Q43" ca="1">SUM((INDIRECT($AA43)&gt;'East Postition Rpt'!Q$8)*(INDIRECT($AA43)&lt;'East Postition Rpt'!Q$9)*(INDIRECT($AB43)))</f>
        <v>0</v>
      </c>
      <c r="R43" s="228">
        <f t="array" aca="1" ref="R43" ca="1">SUM((INDIRECT($AA43)&gt;'East Postition Rpt'!R$8)*(INDIRECT($AA43)&lt;'East Postition Rpt'!R$9)*(INDIRECT($AB43)))</f>
        <v>0</v>
      </c>
      <c r="S43" s="228">
        <f t="array" aca="1" ref="S43" ca="1">SUM((INDIRECT($AA43)&gt;'East Postition Rpt'!S$8)*(INDIRECT($AA43)&lt;'East Postition Rpt'!S$9)*(INDIRECT($AB43)))</f>
        <v>0</v>
      </c>
      <c r="T43" s="229">
        <f t="array" aca="1" ref="T43" ca="1">SUM((INDIRECT($AA43)&gt;'East Postition Rpt'!T$8)*(INDIRECT($AA43)&lt;'East Postition Rpt'!T$9)*(INDIRECT($AB43)))</f>
        <v>0</v>
      </c>
      <c r="V43" s="246">
        <f t="shared" ca="1" si="0"/>
        <v>66547.662012419663</v>
      </c>
      <c r="Y43" s="236" t="str">
        <f>GetWorkSheet($C42)</f>
        <v>LongTerm101</v>
      </c>
      <c r="Z43" s="303"/>
      <c r="AA43" s="236" t="str">
        <f t="shared" si="1"/>
        <v>LongTerm101!$D$22:$D$26</v>
      </c>
      <c r="AB43" s="236" t="str">
        <f>IF(NOT($Y43="#VALUE#"),CONCATENATE($Y43,"!",GetDeliveryStart($Y43),":",GetDeliveryEnd($Y43)),"")</f>
        <v>LongTerm101!$T$22:$T$26</v>
      </c>
      <c r="AC43" s="236">
        <f>GetRecNdx($Z42,$C42)</f>
        <v>17</v>
      </c>
    </row>
    <row r="44" spans="3:29" x14ac:dyDescent="0.25">
      <c r="C44" s="685">
        <v>102</v>
      </c>
      <c r="E44" s="687">
        <f>GetPipeName($Z44,$AC44)</f>
        <v>0</v>
      </c>
      <c r="F44" s="689" t="str">
        <f>CONCATENATE(GetRcptPoint($Z44,$AC44)," to ",GetDelPoint($Z44,$AC44))</f>
        <v>Tetco/WLA to CNG/Appalach</v>
      </c>
      <c r="G44" s="243" t="str">
        <f>GetRcptBasis($Z44,$AC44)</f>
        <v>IF-TETCO/WLA Basis Mid</v>
      </c>
      <c r="H44" s="239">
        <f t="array" aca="1" ref="H44" ca="1">SUM((INDIRECT($AA44)&gt;'East Postition Rpt'!H$8)*(INDIRECT($AA44)&lt;'East Postition Rpt'!H$9)*(INDIRECT($AB44)))</f>
        <v>0</v>
      </c>
      <c r="I44" s="226">
        <f t="array" aca="1" ref="I44" ca="1">SUM((INDIRECT($AA44)&gt;'East Postition Rpt'!I$8)*(INDIRECT($AA44)&lt;'East Postition Rpt'!I$9)*(INDIRECT($AB44)))</f>
        <v>0</v>
      </c>
      <c r="J44" s="226">
        <f t="array" aca="1" ref="J44" ca="1">SUM((INDIRECT($AA44)&gt;'East Postition Rpt'!J$8)*(INDIRECT($AA44)&lt;'East Postition Rpt'!J$9)*(INDIRECT($AB44)))</f>
        <v>0</v>
      </c>
      <c r="K44" s="226">
        <f t="array" aca="1" ref="K44" ca="1">SUM((INDIRECT($AA44)&gt;'East Postition Rpt'!K$8)*(INDIRECT($AA44)&lt;'East Postition Rpt'!K$9)*(INDIRECT($AB44)))</f>
        <v>0</v>
      </c>
      <c r="L44" s="226">
        <f t="array" aca="1" ref="L44" ca="1">SUM((INDIRECT($AA44)&gt;'East Postition Rpt'!L$8)*(INDIRECT($AA44)&lt;'East Postition Rpt'!L$9)*(INDIRECT($AB44)))</f>
        <v>0</v>
      </c>
      <c r="M44" s="226">
        <f t="array" aca="1" ref="M44" ca="1">SUM((INDIRECT($AA44)&gt;'East Postition Rpt'!M$8)*(INDIRECT($AA44)&lt;'East Postition Rpt'!M$9)*(INDIRECT($AB44)))</f>
        <v>0</v>
      </c>
      <c r="N44" s="226">
        <f t="array" aca="1" ref="N44" ca="1">SUM((INDIRECT($AA44)&gt;'East Postition Rpt'!N$8)*(INDIRECT($AA44)&lt;'East Postition Rpt'!N$9)*(INDIRECT($AB44)))</f>
        <v>0</v>
      </c>
      <c r="O44" s="226">
        <f t="array" aca="1" ref="O44" ca="1">SUM((INDIRECT($AA44)&gt;'East Postition Rpt'!O$8)*(INDIRECT($AA44)&lt;'East Postition Rpt'!O$9)*(INDIRECT($AB44)))</f>
        <v>-47488.917669897186</v>
      </c>
      <c r="P44" s="226">
        <f t="array" aca="1" ref="P44" ca="1">SUM((INDIRECT($AA44)&gt;'East Postition Rpt'!P$8)*(INDIRECT($AA44)&lt;'East Postition Rpt'!P$9)*(INDIRECT($AB44)))</f>
        <v>0</v>
      </c>
      <c r="Q44" s="226">
        <f t="array" aca="1" ref="Q44" ca="1">SUM((INDIRECT($AA44)&gt;'East Postition Rpt'!Q$8)*(INDIRECT($AA44)&lt;'East Postition Rpt'!Q$9)*(INDIRECT($AB44)))</f>
        <v>0</v>
      </c>
      <c r="R44" s="226">
        <f t="array" aca="1" ref="R44" ca="1">SUM((INDIRECT($AA44)&gt;'East Postition Rpt'!R$8)*(INDIRECT($AA44)&lt;'East Postition Rpt'!R$9)*(INDIRECT($AB44)))</f>
        <v>0</v>
      </c>
      <c r="S44" s="226">
        <f t="array" aca="1" ref="S44" ca="1">SUM((INDIRECT($AA44)&gt;'East Postition Rpt'!S$8)*(INDIRECT($AA44)&lt;'East Postition Rpt'!S$9)*(INDIRECT($AB44)))</f>
        <v>0</v>
      </c>
      <c r="T44" s="227">
        <f t="array" aca="1" ref="T44" ca="1">SUM((INDIRECT($AA44)&gt;'East Postition Rpt'!T$8)*(INDIRECT($AA44)&lt;'East Postition Rpt'!T$9)*(INDIRECT($AB44)))</f>
        <v>0</v>
      </c>
      <c r="V44" s="245">
        <f t="shared" ca="1" si="0"/>
        <v>-47488.917669897186</v>
      </c>
      <c r="Y44" s="236" t="str">
        <f>GetWorkSheet($C44)</f>
        <v>LongTerm102</v>
      </c>
      <c r="Z44" s="303" t="str">
        <f>FetchDBPage(Y44)</f>
        <v>Contract DB (East)</v>
      </c>
      <c r="AA44" s="236" t="str">
        <f t="shared" si="1"/>
        <v>LongTerm102!$D$22:$D$26</v>
      </c>
      <c r="AB44" s="236" t="str">
        <f>IF(NOT($Y44="#VALUE#"),CONCATENATE($Y44,"!",GetReceiptStart($Y44),":",GetReceiptEnd($Y44)),"")</f>
        <v>LongTerm102!$S$22:$S$26</v>
      </c>
      <c r="AC44" s="236">
        <f>GetRecNdx($Z44,$C44)</f>
        <v>18</v>
      </c>
    </row>
    <row r="45" spans="3:29" x14ac:dyDescent="0.25">
      <c r="C45" s="686"/>
      <c r="E45" s="688"/>
      <c r="F45" s="690"/>
      <c r="G45" s="244" t="str">
        <f>GetDelBasis($Z44,$AC45)</f>
        <v>IF-CNG/APPALACH Basis Mid</v>
      </c>
      <c r="H45" s="240">
        <f t="array" aca="1" ref="H45" ca="1">SUM((INDIRECT($AA45)&gt;'East Postition Rpt'!H$8)*(INDIRECT($AA45)&lt;'East Postition Rpt'!H$9)*(INDIRECT($AB45)))</f>
        <v>0</v>
      </c>
      <c r="I45" s="228">
        <f t="array" aca="1" ref="I45" ca="1">SUM((INDIRECT($AA45)&gt;'East Postition Rpt'!I$8)*(INDIRECT($AA45)&lt;'East Postition Rpt'!I$9)*(INDIRECT($AB45)))</f>
        <v>0</v>
      </c>
      <c r="J45" s="228">
        <f t="array" aca="1" ref="J45" ca="1">SUM((INDIRECT($AA45)&gt;'East Postition Rpt'!J$8)*(INDIRECT($AA45)&lt;'East Postition Rpt'!J$9)*(INDIRECT($AB45)))</f>
        <v>0</v>
      </c>
      <c r="K45" s="228">
        <f t="array" aca="1" ref="K45" ca="1">SUM((INDIRECT($AA45)&gt;'East Postition Rpt'!K$8)*(INDIRECT($AA45)&lt;'East Postition Rpt'!K$9)*(INDIRECT($AB45)))</f>
        <v>0</v>
      </c>
      <c r="L45" s="228">
        <f t="array" aca="1" ref="L45" ca="1">SUM((INDIRECT($AA45)&gt;'East Postition Rpt'!L$8)*(INDIRECT($AA45)&lt;'East Postition Rpt'!L$9)*(INDIRECT($AB45)))</f>
        <v>0</v>
      </c>
      <c r="M45" s="228">
        <f t="array" aca="1" ref="M45" ca="1">SUM((INDIRECT($AA45)&gt;'East Postition Rpt'!M$8)*(INDIRECT($AA45)&lt;'East Postition Rpt'!M$9)*(INDIRECT($AB45)))</f>
        <v>0</v>
      </c>
      <c r="N45" s="228">
        <f t="array" aca="1" ref="N45" ca="1">SUM((INDIRECT($AA45)&gt;'East Postition Rpt'!N$8)*(INDIRECT($AA45)&lt;'East Postition Rpt'!N$9)*(INDIRECT($AB45)))</f>
        <v>0</v>
      </c>
      <c r="O45" s="228">
        <f t="array" aca="1" ref="O45" ca="1">SUM((INDIRECT($AA45)&gt;'East Postition Rpt'!O$8)*(INDIRECT($AA45)&lt;'East Postition Rpt'!O$9)*(INDIRECT($AB45)))</f>
        <v>44925.113580262354</v>
      </c>
      <c r="P45" s="228">
        <f t="array" aca="1" ref="P45" ca="1">SUM((INDIRECT($AA45)&gt;'East Postition Rpt'!P$8)*(INDIRECT($AA45)&lt;'East Postition Rpt'!P$9)*(INDIRECT($AB45)))</f>
        <v>0</v>
      </c>
      <c r="Q45" s="228">
        <f t="array" aca="1" ref="Q45" ca="1">SUM((INDIRECT($AA45)&gt;'East Postition Rpt'!Q$8)*(INDIRECT($AA45)&lt;'East Postition Rpt'!Q$9)*(INDIRECT($AB45)))</f>
        <v>0</v>
      </c>
      <c r="R45" s="228">
        <f t="array" aca="1" ref="R45" ca="1">SUM((INDIRECT($AA45)&gt;'East Postition Rpt'!R$8)*(INDIRECT($AA45)&lt;'East Postition Rpt'!R$9)*(INDIRECT($AB45)))</f>
        <v>0</v>
      </c>
      <c r="S45" s="228">
        <f t="array" aca="1" ref="S45" ca="1">SUM((INDIRECT($AA45)&gt;'East Postition Rpt'!S$8)*(INDIRECT($AA45)&lt;'East Postition Rpt'!S$9)*(INDIRECT($AB45)))</f>
        <v>0</v>
      </c>
      <c r="T45" s="229">
        <f t="array" aca="1" ref="T45" ca="1">SUM((INDIRECT($AA45)&gt;'East Postition Rpt'!T$8)*(INDIRECT($AA45)&lt;'East Postition Rpt'!T$9)*(INDIRECT($AB45)))</f>
        <v>0</v>
      </c>
      <c r="V45" s="246">
        <f t="shared" ca="1" si="0"/>
        <v>44925.113580262354</v>
      </c>
      <c r="Y45" s="236" t="str">
        <f>GetWorkSheet($C44)</f>
        <v>LongTerm102</v>
      </c>
      <c r="Z45" s="303"/>
      <c r="AA45" s="236" t="str">
        <f t="shared" si="1"/>
        <v>LongTerm102!$D$22:$D$26</v>
      </c>
      <c r="AB45" s="236" t="str">
        <f>IF(NOT($Y45="#VALUE#"),CONCATENATE($Y45,"!",GetDeliveryStart($Y45),":",GetDeliveryEnd($Y45)),"")</f>
        <v>LongTerm102!$T$22:$T$26</v>
      </c>
      <c r="AC45" s="236">
        <f>GetRecNdx($Z44,$C44)</f>
        <v>18</v>
      </c>
    </row>
    <row r="46" spans="3:29" x14ac:dyDescent="0.25">
      <c r="C46" s="685">
        <v>103</v>
      </c>
      <c r="E46" s="687">
        <f>GetPipeName($Z46,$AC46)</f>
        <v>0</v>
      </c>
      <c r="F46" s="689" t="str">
        <f>CONCATENATE(GetRcptPoint($Z46,$AC46)," to ",GetDelPoint($Z46,$AC46))</f>
        <v>Tetco/STX to Tetco/M3</v>
      </c>
      <c r="G46" s="243" t="str">
        <f>GetRcptBasis($Z46,$AC46)</f>
        <v>IF-TETCO/STX Basis Mid</v>
      </c>
      <c r="H46" s="239">
        <f t="array" aca="1" ref="H46" ca="1">SUM((INDIRECT($AA46)&gt;'East Postition Rpt'!H$8)*(INDIRECT($AA46)&lt;'East Postition Rpt'!H$9)*(INDIRECT($AB46)))</f>
        <v>0</v>
      </c>
      <c r="I46" s="226">
        <f t="array" aca="1" ref="I46" ca="1">SUM((INDIRECT($AA46)&gt;'East Postition Rpt'!I$8)*(INDIRECT($AA46)&lt;'East Postition Rpt'!I$9)*(INDIRECT($AB46)))</f>
        <v>0</v>
      </c>
      <c r="J46" s="226">
        <f t="array" aca="1" ref="J46" ca="1">SUM((INDIRECT($AA46)&gt;'East Postition Rpt'!J$8)*(INDIRECT($AA46)&lt;'East Postition Rpt'!J$9)*(INDIRECT($AB46)))</f>
        <v>0</v>
      </c>
      <c r="K46" s="226">
        <f t="array" aca="1" ref="K46" ca="1">SUM((INDIRECT($AA46)&gt;'East Postition Rpt'!K$8)*(INDIRECT($AA46)&lt;'East Postition Rpt'!K$9)*(INDIRECT($AB46)))</f>
        <v>0</v>
      </c>
      <c r="L46" s="226">
        <f t="array" aca="1" ref="L46" ca="1">SUM((INDIRECT($AA46)&gt;'East Postition Rpt'!L$8)*(INDIRECT($AA46)&lt;'East Postition Rpt'!L$9)*(INDIRECT($AB46)))</f>
        <v>0</v>
      </c>
      <c r="M46" s="226">
        <f t="array" aca="1" ref="M46" ca="1">SUM((INDIRECT($AA46)&gt;'East Postition Rpt'!M$8)*(INDIRECT($AA46)&lt;'East Postition Rpt'!M$9)*(INDIRECT($AB46)))</f>
        <v>0</v>
      </c>
      <c r="N46" s="226">
        <f t="array" aca="1" ref="N46" ca="1">SUM((INDIRECT($AA46)&gt;'East Postition Rpt'!N$8)*(INDIRECT($AA46)&lt;'East Postition Rpt'!N$9)*(INDIRECT($AB46)))</f>
        <v>0</v>
      </c>
      <c r="O46" s="226">
        <f t="array" aca="1" ref="O46" ca="1">SUM((INDIRECT($AA46)&gt;'East Postition Rpt'!O$8)*(INDIRECT($AA46)&lt;'East Postition Rpt'!O$9)*(INDIRECT($AB46)))</f>
        <v>-39022.263672176021</v>
      </c>
      <c r="P46" s="226">
        <f t="array" aca="1" ref="P46" ca="1">SUM((INDIRECT($AA46)&gt;'East Postition Rpt'!P$8)*(INDIRECT($AA46)&lt;'East Postition Rpt'!P$9)*(INDIRECT($AB46)))</f>
        <v>0</v>
      </c>
      <c r="Q46" s="226">
        <f t="array" aca="1" ref="Q46" ca="1">SUM((INDIRECT($AA46)&gt;'East Postition Rpt'!Q$8)*(INDIRECT($AA46)&lt;'East Postition Rpt'!Q$9)*(INDIRECT($AB46)))</f>
        <v>0</v>
      </c>
      <c r="R46" s="226">
        <f t="array" aca="1" ref="R46" ca="1">SUM((INDIRECT($AA46)&gt;'East Postition Rpt'!R$8)*(INDIRECT($AA46)&lt;'East Postition Rpt'!R$9)*(INDIRECT($AB46)))</f>
        <v>0</v>
      </c>
      <c r="S46" s="226">
        <f t="array" aca="1" ref="S46" ca="1">SUM((INDIRECT($AA46)&gt;'East Postition Rpt'!S$8)*(INDIRECT($AA46)&lt;'East Postition Rpt'!S$9)*(INDIRECT($AB46)))</f>
        <v>0</v>
      </c>
      <c r="T46" s="227">
        <f t="array" aca="1" ref="T46" ca="1">SUM((INDIRECT($AA46)&gt;'East Postition Rpt'!T$8)*(INDIRECT($AA46)&lt;'East Postition Rpt'!T$9)*(INDIRECT($AB46)))</f>
        <v>0</v>
      </c>
      <c r="V46" s="245">
        <f t="shared" ca="1" si="0"/>
        <v>-39022.263672176021</v>
      </c>
      <c r="Y46" s="236" t="str">
        <f>GetWorkSheet($C46)</f>
        <v>LongTerm103</v>
      </c>
      <c r="Z46" s="303" t="str">
        <f>FetchDBPage(Y46)</f>
        <v>Contract DB (East)</v>
      </c>
      <c r="AA46" s="236" t="str">
        <f t="shared" si="1"/>
        <v>LongTerm103!$D$22:$D$26</v>
      </c>
      <c r="AB46" s="236" t="str">
        <f>IF(NOT($Y46="#VALUE#"),CONCATENATE($Y46,"!",GetReceiptStart($Y46),":",GetReceiptEnd($Y46)),"")</f>
        <v>LongTerm103!$S$22:$S$26</v>
      </c>
      <c r="AC46" s="236">
        <f>GetRecNdx($Z46,$C46)</f>
        <v>19</v>
      </c>
    </row>
    <row r="47" spans="3:29" x14ac:dyDescent="0.25">
      <c r="C47" s="686"/>
      <c r="E47" s="688"/>
      <c r="F47" s="690"/>
      <c r="G47" s="244" t="str">
        <f>GetDelBasis($Z46,$AC47)</f>
        <v>IF-TETCO/M3 Basis Mid</v>
      </c>
      <c r="H47" s="240">
        <f t="array" aca="1" ref="H47" ca="1">SUM((INDIRECT($AA47)&gt;'East Postition Rpt'!H$8)*(INDIRECT($AA47)&lt;'East Postition Rpt'!H$9)*(INDIRECT($AB47)))</f>
        <v>0</v>
      </c>
      <c r="I47" s="228">
        <f t="array" aca="1" ref="I47" ca="1">SUM((INDIRECT($AA47)&gt;'East Postition Rpt'!I$8)*(INDIRECT($AA47)&lt;'East Postition Rpt'!I$9)*(INDIRECT($AB47)))</f>
        <v>0</v>
      </c>
      <c r="J47" s="228">
        <f t="array" aca="1" ref="J47" ca="1">SUM((INDIRECT($AA47)&gt;'East Postition Rpt'!J$8)*(INDIRECT($AA47)&lt;'East Postition Rpt'!J$9)*(INDIRECT($AB47)))</f>
        <v>0</v>
      </c>
      <c r="K47" s="228">
        <f t="array" aca="1" ref="K47" ca="1">SUM((INDIRECT($AA47)&gt;'East Postition Rpt'!K$8)*(INDIRECT($AA47)&lt;'East Postition Rpt'!K$9)*(INDIRECT($AB47)))</f>
        <v>0</v>
      </c>
      <c r="L47" s="228">
        <f t="array" aca="1" ref="L47" ca="1">SUM((INDIRECT($AA47)&gt;'East Postition Rpt'!L$8)*(INDIRECT($AA47)&lt;'East Postition Rpt'!L$9)*(INDIRECT($AB47)))</f>
        <v>0</v>
      </c>
      <c r="M47" s="228">
        <f t="array" aca="1" ref="M47" ca="1">SUM((INDIRECT($AA47)&gt;'East Postition Rpt'!M$8)*(INDIRECT($AA47)&lt;'East Postition Rpt'!M$9)*(INDIRECT($AB47)))</f>
        <v>0</v>
      </c>
      <c r="N47" s="228">
        <f t="array" aca="1" ref="N47" ca="1">SUM((INDIRECT($AA47)&gt;'East Postition Rpt'!N$8)*(INDIRECT($AA47)&lt;'East Postition Rpt'!N$9)*(INDIRECT($AB47)))</f>
        <v>0</v>
      </c>
      <c r="O47" s="228">
        <f t="array" aca="1" ref="O47" ca="1">SUM((INDIRECT($AA47)&gt;'East Postition Rpt'!O$8)*(INDIRECT($AA47)&lt;'East Postition Rpt'!O$9)*(INDIRECT($AB47)))</f>
        <v>35658.306605979531</v>
      </c>
      <c r="P47" s="228">
        <f t="array" aca="1" ref="P47" ca="1">SUM((INDIRECT($AA47)&gt;'East Postition Rpt'!P$8)*(INDIRECT($AA47)&lt;'East Postition Rpt'!P$9)*(INDIRECT($AB47)))</f>
        <v>0</v>
      </c>
      <c r="Q47" s="228">
        <f t="array" aca="1" ref="Q47" ca="1">SUM((INDIRECT($AA47)&gt;'East Postition Rpt'!Q$8)*(INDIRECT($AA47)&lt;'East Postition Rpt'!Q$9)*(INDIRECT($AB47)))</f>
        <v>0</v>
      </c>
      <c r="R47" s="228">
        <f t="array" aca="1" ref="R47" ca="1">SUM((INDIRECT($AA47)&gt;'East Postition Rpt'!R$8)*(INDIRECT($AA47)&lt;'East Postition Rpt'!R$9)*(INDIRECT($AB47)))</f>
        <v>0</v>
      </c>
      <c r="S47" s="228">
        <f t="array" aca="1" ref="S47" ca="1">SUM((INDIRECT($AA47)&gt;'East Postition Rpt'!S$8)*(INDIRECT($AA47)&lt;'East Postition Rpt'!S$9)*(INDIRECT($AB47)))</f>
        <v>0</v>
      </c>
      <c r="T47" s="229">
        <f t="array" aca="1" ref="T47" ca="1">SUM((INDIRECT($AA47)&gt;'East Postition Rpt'!T$8)*(INDIRECT($AA47)&lt;'East Postition Rpt'!T$9)*(INDIRECT($AB47)))</f>
        <v>0</v>
      </c>
      <c r="V47" s="246">
        <f t="shared" ca="1" si="0"/>
        <v>35658.306605979531</v>
      </c>
      <c r="Y47" s="236" t="str">
        <f>GetWorkSheet($C46)</f>
        <v>LongTerm103</v>
      </c>
      <c r="Z47" s="303"/>
      <c r="AA47" s="236" t="str">
        <f t="shared" si="1"/>
        <v>LongTerm103!$D$22:$D$26</v>
      </c>
      <c r="AB47" s="236" t="str">
        <f>IF(NOT($Y47="#VALUE#"),CONCATENATE($Y47,"!",GetDeliveryStart($Y47),":",GetDeliveryEnd($Y47)),"")</f>
        <v>LongTerm103!$T$22:$T$26</v>
      </c>
      <c r="AC47" s="236">
        <f>GetRecNdx($Z46,$C46)</f>
        <v>19</v>
      </c>
    </row>
    <row r="48" spans="3:29" x14ac:dyDescent="0.25">
      <c r="C48" s="685">
        <v>104</v>
      </c>
      <c r="E48" s="687">
        <f>GetPipeName($Z48,$AC48)</f>
        <v>0</v>
      </c>
      <c r="F48" s="689" t="str">
        <f>CONCATENATE(GetRcptPoint($Z48,$AC48)," to ",GetDelPoint($Z48,$AC48))</f>
        <v>Tetco/ETX to Tetco/M3</v>
      </c>
      <c r="G48" s="243" t="str">
        <f>GetRcptBasis($Z48,$AC48)</f>
        <v>IF-TETCO/ETX Basis Mid</v>
      </c>
      <c r="H48" s="239">
        <f t="array" aca="1" ref="H48" ca="1">SUM((INDIRECT($AA48)&gt;'East Postition Rpt'!H$8)*(INDIRECT($AA48)&lt;'East Postition Rpt'!H$9)*(INDIRECT($AB48)))</f>
        <v>0</v>
      </c>
      <c r="I48" s="226">
        <f t="array" aca="1" ref="I48" ca="1">SUM((INDIRECT($AA48)&gt;'East Postition Rpt'!I$8)*(INDIRECT($AA48)&lt;'East Postition Rpt'!I$9)*(INDIRECT($AB48)))</f>
        <v>0</v>
      </c>
      <c r="J48" s="226">
        <f t="array" aca="1" ref="J48" ca="1">SUM((INDIRECT($AA48)&gt;'East Postition Rpt'!J$8)*(INDIRECT($AA48)&lt;'East Postition Rpt'!J$9)*(INDIRECT($AB48)))</f>
        <v>0</v>
      </c>
      <c r="K48" s="226">
        <f t="array" aca="1" ref="K48" ca="1">SUM((INDIRECT($AA48)&gt;'East Postition Rpt'!K$8)*(INDIRECT($AA48)&lt;'East Postition Rpt'!K$9)*(INDIRECT($AB48)))</f>
        <v>0</v>
      </c>
      <c r="L48" s="226">
        <f t="array" aca="1" ref="L48" ca="1">SUM((INDIRECT($AA48)&gt;'East Postition Rpt'!L$8)*(INDIRECT($AA48)&lt;'East Postition Rpt'!L$9)*(INDIRECT($AB48)))</f>
        <v>0</v>
      </c>
      <c r="M48" s="226">
        <f t="array" aca="1" ref="M48" ca="1">SUM((INDIRECT($AA48)&gt;'East Postition Rpt'!M$8)*(INDIRECT($AA48)&lt;'East Postition Rpt'!M$9)*(INDIRECT($AB48)))</f>
        <v>0</v>
      </c>
      <c r="N48" s="226">
        <f t="array" aca="1" ref="N48" ca="1">SUM((INDIRECT($AA48)&gt;'East Postition Rpt'!N$8)*(INDIRECT($AA48)&lt;'East Postition Rpt'!N$9)*(INDIRECT($AB48)))</f>
        <v>0</v>
      </c>
      <c r="O48" s="226">
        <f t="array" aca="1" ref="O48" ca="1">SUM((INDIRECT($AA48)&gt;'East Postition Rpt'!O$8)*(INDIRECT($AA48)&lt;'East Postition Rpt'!O$9)*(INDIRECT($AB48)))</f>
        <v>-634079.32356157957</v>
      </c>
      <c r="P48" s="226">
        <f t="array" aca="1" ref="P48" ca="1">SUM((INDIRECT($AA48)&gt;'East Postition Rpt'!P$8)*(INDIRECT($AA48)&lt;'East Postition Rpt'!P$9)*(INDIRECT($AB48)))</f>
        <v>0</v>
      </c>
      <c r="Q48" s="226">
        <f t="array" aca="1" ref="Q48" ca="1">SUM((INDIRECT($AA48)&gt;'East Postition Rpt'!Q$8)*(INDIRECT($AA48)&lt;'East Postition Rpt'!Q$9)*(INDIRECT($AB48)))</f>
        <v>0</v>
      </c>
      <c r="R48" s="226">
        <f t="array" aca="1" ref="R48" ca="1">SUM((INDIRECT($AA48)&gt;'East Postition Rpt'!R$8)*(INDIRECT($AA48)&lt;'East Postition Rpt'!R$9)*(INDIRECT($AB48)))</f>
        <v>0</v>
      </c>
      <c r="S48" s="226">
        <f t="array" aca="1" ref="S48" ca="1">SUM((INDIRECT($AA48)&gt;'East Postition Rpt'!S$8)*(INDIRECT($AA48)&lt;'East Postition Rpt'!S$9)*(INDIRECT($AB48)))</f>
        <v>0</v>
      </c>
      <c r="T48" s="227">
        <f t="array" aca="1" ref="T48" ca="1">SUM((INDIRECT($AA48)&gt;'East Postition Rpt'!T$8)*(INDIRECT($AA48)&lt;'East Postition Rpt'!T$9)*(INDIRECT($AB48)))</f>
        <v>0</v>
      </c>
      <c r="V48" s="245">
        <f t="shared" ca="1" si="0"/>
        <v>-634079.32356157957</v>
      </c>
      <c r="Y48" s="236" t="str">
        <f>GetWorkSheet($C48)</f>
        <v>LongTerm104</v>
      </c>
      <c r="Z48" s="303" t="str">
        <f>FetchDBPage(Y48)</f>
        <v>Contract DB (East)</v>
      </c>
      <c r="AA48" s="236" t="str">
        <f t="shared" si="1"/>
        <v>LongTerm104!$D$22:$D$26</v>
      </c>
      <c r="AB48" s="236" t="str">
        <f>IF(NOT($Y48="#VALUE#"),CONCATENATE($Y48,"!",GetReceiptStart($Y48),":",GetReceiptEnd($Y48)),"")</f>
        <v>LongTerm104!$S$22:$S$26</v>
      </c>
      <c r="AC48" s="236">
        <f>GetRecNdx($Z48,$C48)</f>
        <v>20</v>
      </c>
    </row>
    <row r="49" spans="3:29" x14ac:dyDescent="0.25">
      <c r="C49" s="686"/>
      <c r="E49" s="688"/>
      <c r="F49" s="690"/>
      <c r="G49" s="244" t="str">
        <f>GetDelBasis($Z48,$AC49)</f>
        <v>IF-TETCO/M3 Basis Mid</v>
      </c>
      <c r="H49" s="240">
        <f t="array" aca="1" ref="H49" ca="1">SUM((INDIRECT($AA49)&gt;'East Postition Rpt'!H$8)*(INDIRECT($AA49)&lt;'East Postition Rpt'!H$9)*(INDIRECT($AB49)))</f>
        <v>0</v>
      </c>
      <c r="I49" s="228">
        <f t="array" aca="1" ref="I49" ca="1">SUM((INDIRECT($AA49)&gt;'East Postition Rpt'!I$8)*(INDIRECT($AA49)&lt;'East Postition Rpt'!I$9)*(INDIRECT($AB49)))</f>
        <v>0</v>
      </c>
      <c r="J49" s="228">
        <f t="array" aca="1" ref="J49" ca="1">SUM((INDIRECT($AA49)&gt;'East Postition Rpt'!J$8)*(INDIRECT($AA49)&lt;'East Postition Rpt'!J$9)*(INDIRECT($AB49)))</f>
        <v>0</v>
      </c>
      <c r="K49" s="228">
        <f t="array" aca="1" ref="K49" ca="1">SUM((INDIRECT($AA49)&gt;'East Postition Rpt'!K$8)*(INDIRECT($AA49)&lt;'East Postition Rpt'!K$9)*(INDIRECT($AB49)))</f>
        <v>0</v>
      </c>
      <c r="L49" s="228">
        <f t="array" aca="1" ref="L49" ca="1">SUM((INDIRECT($AA49)&gt;'East Postition Rpt'!L$8)*(INDIRECT($AA49)&lt;'East Postition Rpt'!L$9)*(INDIRECT($AB49)))</f>
        <v>0</v>
      </c>
      <c r="M49" s="228">
        <f t="array" aca="1" ref="M49" ca="1">SUM((INDIRECT($AA49)&gt;'East Postition Rpt'!M$8)*(INDIRECT($AA49)&lt;'East Postition Rpt'!M$9)*(INDIRECT($AB49)))</f>
        <v>0</v>
      </c>
      <c r="N49" s="228">
        <f t="array" aca="1" ref="N49" ca="1">SUM((INDIRECT($AA49)&gt;'East Postition Rpt'!N$8)*(INDIRECT($AA49)&lt;'East Postition Rpt'!N$9)*(INDIRECT($AB49)))</f>
        <v>0</v>
      </c>
      <c r="O49" s="228">
        <f t="array" aca="1" ref="O49" ca="1">SUM((INDIRECT($AA49)&gt;'East Postition Rpt'!O$8)*(INDIRECT($AA49)&lt;'East Postition Rpt'!O$9)*(INDIRECT($AB49)))</f>
        <v>584787.74391963053</v>
      </c>
      <c r="P49" s="228">
        <f t="array" aca="1" ref="P49" ca="1">SUM((INDIRECT($AA49)&gt;'East Postition Rpt'!P$8)*(INDIRECT($AA49)&lt;'East Postition Rpt'!P$9)*(INDIRECT($AB49)))</f>
        <v>0</v>
      </c>
      <c r="Q49" s="228">
        <f t="array" aca="1" ref="Q49" ca="1">SUM((INDIRECT($AA49)&gt;'East Postition Rpt'!Q$8)*(INDIRECT($AA49)&lt;'East Postition Rpt'!Q$9)*(INDIRECT($AB49)))</f>
        <v>0</v>
      </c>
      <c r="R49" s="228">
        <f t="array" aca="1" ref="R49" ca="1">SUM((INDIRECT($AA49)&gt;'East Postition Rpt'!R$8)*(INDIRECT($AA49)&lt;'East Postition Rpt'!R$9)*(INDIRECT($AB49)))</f>
        <v>0</v>
      </c>
      <c r="S49" s="228">
        <f t="array" aca="1" ref="S49" ca="1">SUM((INDIRECT($AA49)&gt;'East Postition Rpt'!S$8)*(INDIRECT($AA49)&lt;'East Postition Rpt'!S$9)*(INDIRECT($AB49)))</f>
        <v>0</v>
      </c>
      <c r="T49" s="229">
        <f t="array" aca="1" ref="T49" ca="1">SUM((INDIRECT($AA49)&gt;'East Postition Rpt'!T$8)*(INDIRECT($AA49)&lt;'East Postition Rpt'!T$9)*(INDIRECT($AB49)))</f>
        <v>0</v>
      </c>
      <c r="V49" s="246">
        <f t="shared" ca="1" si="0"/>
        <v>584787.74391963053</v>
      </c>
      <c r="Y49" s="236" t="str">
        <f>GetWorkSheet($C48)</f>
        <v>LongTerm104</v>
      </c>
      <c r="Z49" s="303"/>
      <c r="AA49" s="236" t="str">
        <f t="shared" si="1"/>
        <v>LongTerm104!$D$22:$D$26</v>
      </c>
      <c r="AB49" s="236" t="str">
        <f>IF(NOT($Y49="#VALUE#"),CONCATENATE($Y49,"!",GetDeliveryStart($Y49),":",GetDeliveryEnd($Y49)),"")</f>
        <v>LongTerm104!$T$22:$T$26</v>
      </c>
      <c r="AC49" s="236">
        <f>GetRecNdx($Z48,$C48)</f>
        <v>20</v>
      </c>
    </row>
    <row r="50" spans="3:29" x14ac:dyDescent="0.25">
      <c r="C50" s="685">
        <v>105</v>
      </c>
      <c r="E50" s="687">
        <f>GetPipeName($Z50,$AC50)</f>
        <v>0</v>
      </c>
      <c r="F50" s="689" t="str">
        <f>CONCATENATE(GetRcptPoint($Z50,$AC50)," to ",GetDelPoint($Z50,$AC50))</f>
        <v>Tetco/ELA to Tetco/M3</v>
      </c>
      <c r="G50" s="243" t="str">
        <f>GetRcptBasis($Z50,$AC50)</f>
        <v>IF-TETCO/ELA Basis Mid</v>
      </c>
      <c r="H50" s="239">
        <f t="array" aca="1" ref="H50" ca="1">SUM((INDIRECT($AA50)&gt;'East Postition Rpt'!H$8)*(INDIRECT($AA50)&lt;'East Postition Rpt'!H$9)*(INDIRECT($AB50)))</f>
        <v>0</v>
      </c>
      <c r="I50" s="226">
        <f t="array" aca="1" ref="I50" ca="1">SUM((INDIRECT($AA50)&gt;'East Postition Rpt'!I$8)*(INDIRECT($AA50)&lt;'East Postition Rpt'!I$9)*(INDIRECT($AB50)))</f>
        <v>0</v>
      </c>
      <c r="J50" s="226">
        <f t="array" aca="1" ref="J50" ca="1">SUM((INDIRECT($AA50)&gt;'East Postition Rpt'!J$8)*(INDIRECT($AA50)&lt;'East Postition Rpt'!J$9)*(INDIRECT($AB50)))</f>
        <v>0</v>
      </c>
      <c r="K50" s="226">
        <f t="array" aca="1" ref="K50" ca="1">SUM((INDIRECT($AA50)&gt;'East Postition Rpt'!K$8)*(INDIRECT($AA50)&lt;'East Postition Rpt'!K$9)*(INDIRECT($AB50)))</f>
        <v>0</v>
      </c>
      <c r="L50" s="226">
        <f t="array" aca="1" ref="L50" ca="1">SUM((INDIRECT($AA50)&gt;'East Postition Rpt'!L$8)*(INDIRECT($AA50)&lt;'East Postition Rpt'!L$9)*(INDIRECT($AB50)))</f>
        <v>0</v>
      </c>
      <c r="M50" s="226">
        <f t="array" aca="1" ref="M50" ca="1">SUM((INDIRECT($AA50)&gt;'East Postition Rpt'!M$8)*(INDIRECT($AA50)&lt;'East Postition Rpt'!M$9)*(INDIRECT($AB50)))</f>
        <v>0</v>
      </c>
      <c r="N50" s="226">
        <f t="array" aca="1" ref="N50" ca="1">SUM((INDIRECT($AA50)&gt;'East Postition Rpt'!N$8)*(INDIRECT($AA50)&lt;'East Postition Rpt'!N$9)*(INDIRECT($AB50)))</f>
        <v>0</v>
      </c>
      <c r="O50" s="226">
        <f t="array" aca="1" ref="O50" ca="1">SUM((INDIRECT($AA50)&gt;'East Postition Rpt'!O$8)*(INDIRECT($AA50)&lt;'East Postition Rpt'!O$9)*(INDIRECT($AB50)))</f>
        <v>-1970318.5483398337</v>
      </c>
      <c r="P50" s="226">
        <f t="array" aca="1" ref="P50" ca="1">SUM((INDIRECT($AA50)&gt;'East Postition Rpt'!P$8)*(INDIRECT($AA50)&lt;'East Postition Rpt'!P$9)*(INDIRECT($AB50)))</f>
        <v>0</v>
      </c>
      <c r="Q50" s="226">
        <f t="array" aca="1" ref="Q50" ca="1">SUM((INDIRECT($AA50)&gt;'East Postition Rpt'!Q$8)*(INDIRECT($AA50)&lt;'East Postition Rpt'!Q$9)*(INDIRECT($AB50)))</f>
        <v>0</v>
      </c>
      <c r="R50" s="226">
        <f t="array" aca="1" ref="R50" ca="1">SUM((INDIRECT($AA50)&gt;'East Postition Rpt'!R$8)*(INDIRECT($AA50)&lt;'East Postition Rpt'!R$9)*(INDIRECT($AB50)))</f>
        <v>0</v>
      </c>
      <c r="S50" s="226">
        <f t="array" aca="1" ref="S50" ca="1">SUM((INDIRECT($AA50)&gt;'East Postition Rpt'!S$8)*(INDIRECT($AA50)&lt;'East Postition Rpt'!S$9)*(INDIRECT($AB50)))</f>
        <v>0</v>
      </c>
      <c r="T50" s="227">
        <f t="array" aca="1" ref="T50" ca="1">SUM((INDIRECT($AA50)&gt;'East Postition Rpt'!T$8)*(INDIRECT($AA50)&lt;'East Postition Rpt'!T$9)*(INDIRECT($AB50)))</f>
        <v>0</v>
      </c>
      <c r="V50" s="245">
        <f t="shared" ca="1" si="0"/>
        <v>-1970318.5483398337</v>
      </c>
      <c r="Y50" s="236" t="str">
        <f>GetWorkSheet($C50)</f>
        <v>LongTerm105</v>
      </c>
      <c r="Z50" s="303" t="str">
        <f>FetchDBPage(Y50)</f>
        <v>Contract DB (East)</v>
      </c>
      <c r="AA50" s="236" t="str">
        <f t="shared" si="1"/>
        <v>LongTerm105!$D$22:$D$26</v>
      </c>
      <c r="AB50" s="236" t="str">
        <f>IF(NOT($Y50="#VALUE#"),CONCATENATE($Y50,"!",GetReceiptStart($Y50),":",GetReceiptEnd($Y50)),"")</f>
        <v>LongTerm105!$S$22:$S$26</v>
      </c>
      <c r="AC50" s="236">
        <f>GetRecNdx($Z50,$C50)</f>
        <v>21</v>
      </c>
    </row>
    <row r="51" spans="3:29" x14ac:dyDescent="0.25">
      <c r="C51" s="686"/>
      <c r="E51" s="688"/>
      <c r="F51" s="690"/>
      <c r="G51" s="244" t="str">
        <f>GetDelBasis($Z50,$AC51)</f>
        <v>IF-TETCO/M3 Basis Mid</v>
      </c>
      <c r="H51" s="240">
        <f t="array" aca="1" ref="H51" ca="1">SUM((INDIRECT($AA51)&gt;'East Postition Rpt'!H$8)*(INDIRECT($AA51)&lt;'East Postition Rpt'!H$9)*(INDIRECT($AB51)))</f>
        <v>0</v>
      </c>
      <c r="I51" s="228">
        <f t="array" aca="1" ref="I51" ca="1">SUM((INDIRECT($AA51)&gt;'East Postition Rpt'!I$8)*(INDIRECT($AA51)&lt;'East Postition Rpt'!I$9)*(INDIRECT($AB51)))</f>
        <v>0</v>
      </c>
      <c r="J51" s="228">
        <f t="array" aca="1" ref="J51" ca="1">SUM((INDIRECT($AA51)&gt;'East Postition Rpt'!J$8)*(INDIRECT($AA51)&lt;'East Postition Rpt'!J$9)*(INDIRECT($AB51)))</f>
        <v>0</v>
      </c>
      <c r="K51" s="228">
        <f t="array" aca="1" ref="K51" ca="1">SUM((INDIRECT($AA51)&gt;'East Postition Rpt'!K$8)*(INDIRECT($AA51)&lt;'East Postition Rpt'!K$9)*(INDIRECT($AB51)))</f>
        <v>0</v>
      </c>
      <c r="L51" s="228">
        <f t="array" aca="1" ref="L51" ca="1">SUM((INDIRECT($AA51)&gt;'East Postition Rpt'!L$8)*(INDIRECT($AA51)&lt;'East Postition Rpt'!L$9)*(INDIRECT($AB51)))</f>
        <v>0</v>
      </c>
      <c r="M51" s="228">
        <f t="array" aca="1" ref="M51" ca="1">SUM((INDIRECT($AA51)&gt;'East Postition Rpt'!M$8)*(INDIRECT($AA51)&lt;'East Postition Rpt'!M$9)*(INDIRECT($AB51)))</f>
        <v>0</v>
      </c>
      <c r="N51" s="228">
        <f t="array" aca="1" ref="N51" ca="1">SUM((INDIRECT($AA51)&gt;'East Postition Rpt'!N$8)*(INDIRECT($AA51)&lt;'East Postition Rpt'!N$9)*(INDIRECT($AB51)))</f>
        <v>0</v>
      </c>
      <c r="O51" s="228">
        <f t="array" aca="1" ref="O51" ca="1">SUM((INDIRECT($AA51)&gt;'East Postition Rpt'!O$8)*(INDIRECT($AA51)&lt;'East Postition Rpt'!O$9)*(INDIRECT($AB51)))</f>
        <v>1821433.6884641401</v>
      </c>
      <c r="P51" s="228">
        <f t="array" aca="1" ref="P51" ca="1">SUM((INDIRECT($AA51)&gt;'East Postition Rpt'!P$8)*(INDIRECT($AA51)&lt;'East Postition Rpt'!P$9)*(INDIRECT($AB51)))</f>
        <v>0</v>
      </c>
      <c r="Q51" s="228">
        <f t="array" aca="1" ref="Q51" ca="1">SUM((INDIRECT($AA51)&gt;'East Postition Rpt'!Q$8)*(INDIRECT($AA51)&lt;'East Postition Rpt'!Q$9)*(INDIRECT($AB51)))</f>
        <v>0</v>
      </c>
      <c r="R51" s="228">
        <f t="array" aca="1" ref="R51" ca="1">SUM((INDIRECT($AA51)&gt;'East Postition Rpt'!R$8)*(INDIRECT($AA51)&lt;'East Postition Rpt'!R$9)*(INDIRECT($AB51)))</f>
        <v>0</v>
      </c>
      <c r="S51" s="228">
        <f t="array" aca="1" ref="S51" ca="1">SUM((INDIRECT($AA51)&gt;'East Postition Rpt'!S$8)*(INDIRECT($AA51)&lt;'East Postition Rpt'!S$9)*(INDIRECT($AB51)))</f>
        <v>0</v>
      </c>
      <c r="T51" s="229">
        <f t="array" aca="1" ref="T51" ca="1">SUM((INDIRECT($AA51)&gt;'East Postition Rpt'!T$8)*(INDIRECT($AA51)&lt;'East Postition Rpt'!T$9)*(INDIRECT($AB51)))</f>
        <v>0</v>
      </c>
      <c r="V51" s="246">
        <f t="shared" ca="1" si="0"/>
        <v>1821433.6884641401</v>
      </c>
      <c r="Y51" s="236" t="str">
        <f>GetWorkSheet($C50)</f>
        <v>LongTerm105</v>
      </c>
      <c r="Z51" s="303"/>
      <c r="AA51" s="236" t="str">
        <f t="shared" si="1"/>
        <v>LongTerm105!$D$22:$D$26</v>
      </c>
      <c r="AB51" s="236" t="str">
        <f>IF(NOT($Y51="#VALUE#"),CONCATENATE($Y51,"!",GetDeliveryStart($Y51),":",GetDeliveryEnd($Y51)),"")</f>
        <v>LongTerm105!$T$22:$T$26</v>
      </c>
      <c r="AC51" s="236">
        <f>GetRecNdx($Z50,$C50)</f>
        <v>21</v>
      </c>
    </row>
    <row r="52" spans="3:29" x14ac:dyDescent="0.25">
      <c r="C52" s="685">
        <v>106</v>
      </c>
      <c r="E52" s="687">
        <f>GetPipeName($Z52,$AC52)</f>
        <v>0</v>
      </c>
      <c r="F52" s="689" t="str">
        <f>CONCATENATE(GetRcptPoint($Z52,$AC52)," to ",GetDelPoint($Z52,$AC52))</f>
        <v>Tetco/WLA to Tetco/M3</v>
      </c>
      <c r="G52" s="243" t="str">
        <f>GetRcptBasis($Z52,$AC52)</f>
        <v>IF-TETCO/WLA Basis Mid</v>
      </c>
      <c r="H52" s="239">
        <f t="array" aca="1" ref="H52" ca="1">SUM((INDIRECT($AA52)&gt;'East Postition Rpt'!H$8)*(INDIRECT($AA52)&lt;'East Postition Rpt'!H$9)*(INDIRECT($AB52)))</f>
        <v>0</v>
      </c>
      <c r="I52" s="226">
        <f t="array" aca="1" ref="I52" ca="1">SUM((INDIRECT($AA52)&gt;'East Postition Rpt'!I$8)*(INDIRECT($AA52)&lt;'East Postition Rpt'!I$9)*(INDIRECT($AB52)))</f>
        <v>0</v>
      </c>
      <c r="J52" s="226">
        <f t="array" aca="1" ref="J52" ca="1">SUM((INDIRECT($AA52)&gt;'East Postition Rpt'!J$8)*(INDIRECT($AA52)&lt;'East Postition Rpt'!J$9)*(INDIRECT($AB52)))</f>
        <v>0</v>
      </c>
      <c r="K52" s="226">
        <f t="array" aca="1" ref="K52" ca="1">SUM((INDIRECT($AA52)&gt;'East Postition Rpt'!K$8)*(INDIRECT($AA52)&lt;'East Postition Rpt'!K$9)*(INDIRECT($AB52)))</f>
        <v>0</v>
      </c>
      <c r="L52" s="226">
        <f t="array" aca="1" ref="L52" ca="1">SUM((INDIRECT($AA52)&gt;'East Postition Rpt'!L$8)*(INDIRECT($AA52)&lt;'East Postition Rpt'!L$9)*(INDIRECT($AB52)))</f>
        <v>0</v>
      </c>
      <c r="M52" s="226">
        <f t="array" aca="1" ref="M52" ca="1">SUM((INDIRECT($AA52)&gt;'East Postition Rpt'!M$8)*(INDIRECT($AA52)&lt;'East Postition Rpt'!M$9)*(INDIRECT($AB52)))</f>
        <v>0</v>
      </c>
      <c r="N52" s="226">
        <f t="array" aca="1" ref="N52" ca="1">SUM((INDIRECT($AA52)&gt;'East Postition Rpt'!N$8)*(INDIRECT($AA52)&lt;'East Postition Rpt'!N$9)*(INDIRECT($AB52)))</f>
        <v>0</v>
      </c>
      <c r="O52" s="226">
        <f t="array" aca="1" ref="O52" ca="1">SUM((INDIRECT($AA52)&gt;'East Postition Rpt'!O$8)*(INDIRECT($AA52)&lt;'East Postition Rpt'!O$9)*(INDIRECT($AB52)))</f>
        <v>-1198074.3048651209</v>
      </c>
      <c r="P52" s="226">
        <f t="array" aca="1" ref="P52" ca="1">SUM((INDIRECT($AA52)&gt;'East Postition Rpt'!P$8)*(INDIRECT($AA52)&lt;'East Postition Rpt'!P$9)*(INDIRECT($AB52)))</f>
        <v>0</v>
      </c>
      <c r="Q52" s="226">
        <f t="array" aca="1" ref="Q52" ca="1">SUM((INDIRECT($AA52)&gt;'East Postition Rpt'!Q$8)*(INDIRECT($AA52)&lt;'East Postition Rpt'!Q$9)*(INDIRECT($AB52)))</f>
        <v>0</v>
      </c>
      <c r="R52" s="226">
        <f t="array" aca="1" ref="R52" ca="1">SUM((INDIRECT($AA52)&gt;'East Postition Rpt'!R$8)*(INDIRECT($AA52)&lt;'East Postition Rpt'!R$9)*(INDIRECT($AB52)))</f>
        <v>0</v>
      </c>
      <c r="S52" s="226">
        <f t="array" aca="1" ref="S52" ca="1">SUM((INDIRECT($AA52)&gt;'East Postition Rpt'!S$8)*(INDIRECT($AA52)&lt;'East Postition Rpt'!S$9)*(INDIRECT($AB52)))</f>
        <v>0</v>
      </c>
      <c r="T52" s="227">
        <f t="array" aca="1" ref="T52" ca="1">SUM((INDIRECT($AA52)&gt;'East Postition Rpt'!T$8)*(INDIRECT($AA52)&lt;'East Postition Rpt'!T$9)*(INDIRECT($AB52)))</f>
        <v>0</v>
      </c>
      <c r="V52" s="245">
        <f t="shared" ca="1" si="0"/>
        <v>-1198074.3048651209</v>
      </c>
      <c r="Y52" s="236" t="str">
        <f>GetWorkSheet($C52)</f>
        <v>LongTerm106</v>
      </c>
      <c r="Z52" s="303" t="str">
        <f>FetchDBPage(Y52)</f>
        <v>Contract DB (East)</v>
      </c>
      <c r="AA52" s="236" t="str">
        <f t="shared" si="1"/>
        <v>LongTerm106!$D$22:$D$26</v>
      </c>
      <c r="AB52" s="236" t="str">
        <f>IF(NOT($Y52="#VALUE#"),CONCATENATE($Y52,"!",GetReceiptStart($Y52),":",GetReceiptEnd($Y52)),"")</f>
        <v>LongTerm106!$S$22:$S$26</v>
      </c>
      <c r="AC52" s="236">
        <f>GetRecNdx($Z52,$C52)</f>
        <v>22</v>
      </c>
    </row>
    <row r="53" spans="3:29" x14ac:dyDescent="0.25">
      <c r="C53" s="686"/>
      <c r="E53" s="688"/>
      <c r="F53" s="690"/>
      <c r="G53" s="244" t="str">
        <f>GetDelBasis($Z52,$AC53)</f>
        <v>IF-TETCO/M3 Basis Mid</v>
      </c>
      <c r="H53" s="240">
        <f t="array" aca="1" ref="H53" ca="1">SUM((INDIRECT($AA53)&gt;'East Postition Rpt'!H$8)*(INDIRECT($AA53)&lt;'East Postition Rpt'!H$9)*(INDIRECT($AB53)))</f>
        <v>0</v>
      </c>
      <c r="I53" s="228">
        <f t="array" aca="1" ref="I53" ca="1">SUM((INDIRECT($AA53)&gt;'East Postition Rpt'!I$8)*(INDIRECT($AA53)&lt;'East Postition Rpt'!I$9)*(INDIRECT($AB53)))</f>
        <v>0</v>
      </c>
      <c r="J53" s="228">
        <f t="array" aca="1" ref="J53" ca="1">SUM((INDIRECT($AA53)&gt;'East Postition Rpt'!J$8)*(INDIRECT($AA53)&lt;'East Postition Rpt'!J$9)*(INDIRECT($AB53)))</f>
        <v>0</v>
      </c>
      <c r="K53" s="228">
        <f t="array" aca="1" ref="K53" ca="1">SUM((INDIRECT($AA53)&gt;'East Postition Rpt'!K$8)*(INDIRECT($AA53)&lt;'East Postition Rpt'!K$9)*(INDIRECT($AB53)))</f>
        <v>0</v>
      </c>
      <c r="L53" s="228">
        <f t="array" aca="1" ref="L53" ca="1">SUM((INDIRECT($AA53)&gt;'East Postition Rpt'!L$8)*(INDIRECT($AA53)&lt;'East Postition Rpt'!L$9)*(INDIRECT($AB53)))</f>
        <v>0</v>
      </c>
      <c r="M53" s="228">
        <f t="array" aca="1" ref="M53" ca="1">SUM((INDIRECT($AA53)&gt;'East Postition Rpt'!M$8)*(INDIRECT($AA53)&lt;'East Postition Rpt'!M$9)*(INDIRECT($AB53)))</f>
        <v>0</v>
      </c>
      <c r="N53" s="228">
        <f t="array" aca="1" ref="N53" ca="1">SUM((INDIRECT($AA53)&gt;'East Postition Rpt'!N$8)*(INDIRECT($AA53)&lt;'East Postition Rpt'!N$9)*(INDIRECT($AB53)))</f>
        <v>0</v>
      </c>
      <c r="O53" s="228">
        <f t="array" aca="1" ref="O53" ca="1">SUM((INDIRECT($AA53)&gt;'East Postition Rpt'!O$8)*(INDIRECT($AA53)&lt;'East Postition Rpt'!O$9)*(INDIRECT($AB53)))</f>
        <v>1104013.2276251465</v>
      </c>
      <c r="P53" s="228">
        <f t="array" aca="1" ref="P53" ca="1">SUM((INDIRECT($AA53)&gt;'East Postition Rpt'!P$8)*(INDIRECT($AA53)&lt;'East Postition Rpt'!P$9)*(INDIRECT($AB53)))</f>
        <v>0</v>
      </c>
      <c r="Q53" s="228">
        <f t="array" aca="1" ref="Q53" ca="1">SUM((INDIRECT($AA53)&gt;'East Postition Rpt'!Q$8)*(INDIRECT($AA53)&lt;'East Postition Rpt'!Q$9)*(INDIRECT($AB53)))</f>
        <v>0</v>
      </c>
      <c r="R53" s="228">
        <f t="array" aca="1" ref="R53" ca="1">SUM((INDIRECT($AA53)&gt;'East Postition Rpt'!R$8)*(INDIRECT($AA53)&lt;'East Postition Rpt'!R$9)*(INDIRECT($AB53)))</f>
        <v>0</v>
      </c>
      <c r="S53" s="228">
        <f t="array" aca="1" ref="S53" ca="1">SUM((INDIRECT($AA53)&gt;'East Postition Rpt'!S$8)*(INDIRECT($AA53)&lt;'East Postition Rpt'!S$9)*(INDIRECT($AB53)))</f>
        <v>0</v>
      </c>
      <c r="T53" s="229">
        <f t="array" aca="1" ref="T53" ca="1">SUM((INDIRECT($AA53)&gt;'East Postition Rpt'!T$8)*(INDIRECT($AA53)&lt;'East Postition Rpt'!T$9)*(INDIRECT($AB53)))</f>
        <v>0</v>
      </c>
      <c r="V53" s="246">
        <f t="shared" ca="1" si="0"/>
        <v>1104013.2276251465</v>
      </c>
      <c r="Y53" s="236" t="str">
        <f>GetWorkSheet($C52)</f>
        <v>LongTerm106</v>
      </c>
      <c r="Z53" s="303"/>
      <c r="AA53" s="236" t="str">
        <f t="shared" si="1"/>
        <v>LongTerm106!$D$22:$D$26</v>
      </c>
      <c r="AB53" s="236" t="str">
        <f>IF(NOT($Y53="#VALUE#"),CONCATENATE($Y53,"!",GetDeliveryStart($Y53),":",GetDeliveryEnd($Y53)),"")</f>
        <v>LongTerm106!$T$22:$T$26</v>
      </c>
      <c r="AC53" s="236">
        <f>GetRecNdx($Z52,$C52)</f>
        <v>22</v>
      </c>
    </row>
    <row r="56" spans="3:29" x14ac:dyDescent="0.25">
      <c r="G56" s="251" t="s">
        <v>197</v>
      </c>
    </row>
    <row r="57" spans="3:29" x14ac:dyDescent="0.25">
      <c r="G57" s="231" t="s">
        <v>535</v>
      </c>
      <c r="H57" s="232">
        <f ca="1">SUMIF($G$10:$G$53,$G$57,$H$10:$H$53)</f>
        <v>0</v>
      </c>
      <c r="I57" s="232">
        <f ca="1">SUMIF($G$10:$G$53,$G$57,$I$10:$I$53)</f>
        <v>0</v>
      </c>
      <c r="J57" s="232">
        <f ca="1">SUMIF($G$10:$G$53,$G$57,$J$10:$J$53)</f>
        <v>0</v>
      </c>
      <c r="K57" s="232">
        <f ca="1">SUMIF($G$10:$G$53,$G$57,$K$10:$K$53)</f>
        <v>0</v>
      </c>
      <c r="L57" s="232">
        <f ca="1">SUMIF($G$10:$G$53,$G$57,$L$10:$L$53)</f>
        <v>0</v>
      </c>
      <c r="M57" s="232">
        <f ca="1">SUMIF($G$10:$G$53,$G$57,$M$10:$M$53)</f>
        <v>0</v>
      </c>
      <c r="N57" s="232">
        <f ca="1">SUMIF($G$10:$G$53,$G$57,$N$10:$N$53)</f>
        <v>0</v>
      </c>
      <c r="O57" s="232">
        <f ca="1">SUMIF($G$10:$G$53,$G$57,$O$10:$O$53)</f>
        <v>13392068.83715333</v>
      </c>
      <c r="P57" s="232">
        <f ca="1">SUMIF($G$10:$G$53,$G$57,$P$10:$P$53)</f>
        <v>14485753.014555192</v>
      </c>
      <c r="Q57" s="232">
        <f ca="1">SUMIF($G$10:$G$53,$G$57,$Q$10:$Q$53)</f>
        <v>2256884.3701539906</v>
      </c>
      <c r="R57" s="232">
        <f ca="1">SUMIF($G$10:$G$53,$G$57,$R$10:$R$53)</f>
        <v>-8183512.662740523</v>
      </c>
      <c r="S57" s="232">
        <f ca="1">SUMIF($G$10:$G$53,$G$57,$S$10:$S$53)</f>
        <v>0</v>
      </c>
      <c r="T57" s="232">
        <f ca="1">SUMIF($G$10:$G$53,$G$57,$T$10:$T$53)</f>
        <v>0</v>
      </c>
      <c r="V57" s="233">
        <f ca="1">SUM(M57:T57)</f>
        <v>21951193.559121989</v>
      </c>
    </row>
    <row r="58" spans="3:29" x14ac:dyDescent="0.25">
      <c r="G58" s="231" t="s">
        <v>537</v>
      </c>
      <c r="H58" s="232">
        <f ca="1">SUMIF($G$10:$G$53,$G$58,$H$10:$H$53)</f>
        <v>0</v>
      </c>
      <c r="I58" s="232">
        <f ca="1">SUMIF($G$10:$G$53,$G$58,$I$10:$I$53)</f>
        <v>0</v>
      </c>
      <c r="J58" s="232">
        <f ca="1">SUMIF($G$10:$G$53,$G$58,$J$10:$J$53)</f>
        <v>0</v>
      </c>
      <c r="K58" s="232">
        <f ca="1">SUMIF($G$10:$G$53,$G$58,$K$10:$K$53)</f>
        <v>0</v>
      </c>
      <c r="L58" s="232">
        <f ca="1">SUMIF($G$10:$G$53,$G$58,$L$10:$L$53)</f>
        <v>0</v>
      </c>
      <c r="M58" s="232">
        <f ca="1">SUMIF($G$10:$G$53,$G$58,$M$10:$M$53)</f>
        <v>0</v>
      </c>
      <c r="N58" s="232">
        <f ca="1">SUMIF($G$10:$G$53,$G$58,$N$10:$N$53)</f>
        <v>0</v>
      </c>
      <c r="O58" s="232">
        <f ca="1">SUMIF($G$10:$G$53,$G$58,$O$10:$O$53)</f>
        <v>5937375.1167142969</v>
      </c>
      <c r="P58" s="232">
        <f ca="1">SUMIF($G$10:$G$53,$G$58,$P$10:$P$53)</f>
        <v>4692535.8871584497</v>
      </c>
      <c r="Q58" s="232">
        <f ca="1">SUMIF($G$10:$G$53,$G$58,$Q$10:$Q$53)</f>
        <v>4158528.2328504329</v>
      </c>
      <c r="R58" s="232">
        <f ca="1">SUMIF($G$10:$G$53,$G$58,$R$10:$R$53)</f>
        <v>8167219.8030659305</v>
      </c>
      <c r="S58" s="232">
        <f ca="1">SUMIF($G$10:$G$53,$G$58,$S$10:$S$53)</f>
        <v>0</v>
      </c>
      <c r="T58" s="232">
        <f ca="1">SUMIF($G$10:$G$53,$G$58,$T$10:$T$53)</f>
        <v>0</v>
      </c>
      <c r="V58" s="233">
        <f t="shared" ref="V58:V72" ca="1" si="2">SUM(M58:T58)</f>
        <v>22955659.03978911</v>
      </c>
    </row>
    <row r="59" spans="3:29" x14ac:dyDescent="0.25">
      <c r="G59" s="231" t="s">
        <v>539</v>
      </c>
      <c r="H59" s="232">
        <f ca="1">SUMIF($G$10:$G$53,$G$59,$H$10:$H$53)</f>
        <v>0</v>
      </c>
      <c r="I59" s="232">
        <f ca="1">SUMIF($G$10:$G$53,$G$59,$I$10:$I$53)</f>
        <v>0</v>
      </c>
      <c r="J59" s="232">
        <f ca="1">SUMIF($G$10:$G$53,$G$59,$J$10:$J$53)</f>
        <v>0</v>
      </c>
      <c r="K59" s="232">
        <f ca="1">SUMIF($G$10:$G$53,$G$59,$K$10:$K$53)</f>
        <v>0</v>
      </c>
      <c r="L59" s="232">
        <f ca="1">SUMIF($G$10:$G$53,$G$59,$L$10:$L$53)</f>
        <v>0</v>
      </c>
      <c r="M59" s="232">
        <f ca="1">SUMIF($G$10:$G$53,$G$59,$M$10:$M$53)</f>
        <v>0</v>
      </c>
      <c r="N59" s="232">
        <f ca="1">SUMIF($G$10:$G$53,$G$59,$N$10:$N$53)</f>
        <v>0</v>
      </c>
      <c r="O59" s="232">
        <f ca="1">SUMIF($G$10:$G$53,$G$59,$O$10:$O$53)</f>
        <v>-19317137.435012408</v>
      </c>
      <c r="P59" s="232">
        <f ca="1">SUMIF($G$10:$G$53,$G$59,$P$10:$P$53)</f>
        <v>-19266206.810288049</v>
      </c>
      <c r="Q59" s="232">
        <f ca="1">SUMIF($G$10:$G$53,$G$59,$Q$10:$Q$53)</f>
        <v>-6459450.0255649686</v>
      </c>
      <c r="R59" s="232">
        <f ca="1">SUMIF($G$10:$G$53,$G$59,$R$10:$R$53)</f>
        <v>0</v>
      </c>
      <c r="S59" s="232">
        <f ca="1">SUMIF($G$10:$G$53,$G$59,$S$10:$S$53)</f>
        <v>0</v>
      </c>
      <c r="T59" s="232">
        <f ca="1">SUMIF($G$10:$G$53,$G$59,$T$10:$T$53)</f>
        <v>0</v>
      </c>
      <c r="V59" s="233">
        <f t="shared" ca="1" si="2"/>
        <v>-45042794.270865425</v>
      </c>
    </row>
    <row r="60" spans="3:29" x14ac:dyDescent="0.25">
      <c r="G60" s="231" t="s">
        <v>661</v>
      </c>
      <c r="H60" s="232">
        <f ca="1">SUMIF($G$10:$G$53,$G$60,$H$10:$H$53)</f>
        <v>0</v>
      </c>
      <c r="I60" s="232">
        <f ca="1">SUMIF($G$10:$G$53,$G$60,$I$10:$I$53)</f>
        <v>0</v>
      </c>
      <c r="J60" s="232">
        <f ca="1">SUMIF($G$10:$G$53,$G$60,$J$10:$J$53)</f>
        <v>0</v>
      </c>
      <c r="K60" s="232">
        <f ca="1">SUMIF($G$10:$G$53,$G$60,$K$10:$K$53)</f>
        <v>0</v>
      </c>
      <c r="L60" s="232">
        <f ca="1">SUMIF($G$10:$G$53,$G$60,$L$10:$L$53)</f>
        <v>0</v>
      </c>
      <c r="M60" s="232">
        <f ca="1">SUMIF($G$10:$G$53,$G$60,$M$10:$M$53)</f>
        <v>0</v>
      </c>
      <c r="N60" s="232">
        <f ca="1">SUMIF($G$10:$G$53,$G$60,$N$10:$N$53)</f>
        <v>0</v>
      </c>
      <c r="O60" s="232">
        <f ca="1">SUMIF($G$10:$G$53,$G$60,$O$10:$O$53)</f>
        <v>-350448.24735862686</v>
      </c>
      <c r="P60" s="232">
        <f ca="1">SUMIF($G$10:$G$53,$G$60,$P$10:$P$53)</f>
        <v>-338085.97529132752</v>
      </c>
      <c r="Q60" s="232">
        <f ca="1">SUMIF($G$10:$G$53,$G$60,$Q$10:$Q$53)</f>
        <v>-320581.71509541414</v>
      </c>
      <c r="R60" s="232">
        <f ca="1">SUMIF($G$10:$G$53,$G$60,$R$10:$R$53)</f>
        <v>-604415.29314978386</v>
      </c>
      <c r="S60" s="232">
        <f ca="1">SUMIF($G$10:$G$53,$G$60,$S$10:$S$53)</f>
        <v>0</v>
      </c>
      <c r="T60" s="232">
        <f ca="1">SUMIF($G$10:$G$53,$G$60,$T$10:$T$53)</f>
        <v>0</v>
      </c>
      <c r="V60" s="233">
        <f t="shared" ca="1" si="2"/>
        <v>-1613531.2308951523</v>
      </c>
    </row>
    <row r="61" spans="3:29" x14ac:dyDescent="0.25">
      <c r="G61" s="231" t="s">
        <v>659</v>
      </c>
      <c r="H61" s="232">
        <f ca="1">SUMIF($G$10:$G$53,$G$61,$H$10:$H$53)</f>
        <v>0</v>
      </c>
      <c r="I61" s="232">
        <f ca="1">SUMIF($G$10:$G$53,$G$61,$I$10:$I$53)</f>
        <v>0</v>
      </c>
      <c r="J61" s="232">
        <f ca="1">SUMIF($G$10:$G$53,$G$61,$J$10:$J$53)</f>
        <v>0</v>
      </c>
      <c r="K61" s="232">
        <f ca="1">SUMIF($G$10:$G$53,$G$61,$K$10:$K$53)</f>
        <v>0</v>
      </c>
      <c r="L61" s="232">
        <f ca="1">SUMIF($G$10:$G$53,$G$61,$L$10:$L$53)</f>
        <v>0</v>
      </c>
      <c r="M61" s="232">
        <f ca="1">SUMIF($G$10:$G$53,$G$61,$M$10:$M$53)</f>
        <v>0</v>
      </c>
      <c r="N61" s="232">
        <f ca="1">SUMIF($G$10:$G$53,$G$61,$N$10:$N$53)</f>
        <v>0</v>
      </c>
      <c r="O61" s="232">
        <f ca="1">SUMIF($G$10:$G$53,$G$61,$O$10:$O$53)</f>
        <v>3876924.9093444915</v>
      </c>
      <c r="P61" s="232">
        <f ca="1">SUMIF($G$10:$G$53,$G$61,$P$10:$P$53)</f>
        <v>3741861.3235192476</v>
      </c>
      <c r="Q61" s="232">
        <f ca="1">SUMIF($G$10:$G$53,$G$61,$Q$10:$Q$53)</f>
        <v>3551204.6047482612</v>
      </c>
      <c r="R61" s="232">
        <f ca="1">SUMIF($G$10:$G$53,$G$61,$R$10:$R$53)</f>
        <v>14406240.32642681</v>
      </c>
      <c r="S61" s="232">
        <f ca="1">SUMIF($G$10:$G$53,$G$61,$S$10:$S$53)</f>
        <v>7233295.3304984393</v>
      </c>
      <c r="T61" s="232">
        <f ca="1">SUMIF($G$10:$G$53,$G$61,$T$10:$T$53)</f>
        <v>4725535.691553711</v>
      </c>
      <c r="V61" s="233">
        <f t="shared" ca="1" si="2"/>
        <v>37535062.186090954</v>
      </c>
    </row>
    <row r="62" spans="3:29" x14ac:dyDescent="0.25">
      <c r="G62" s="231" t="s">
        <v>663</v>
      </c>
      <c r="H62" s="232">
        <f ca="1">SUMIF($G$10:$G$53,$G$62,$H$10:$H$53)</f>
        <v>0</v>
      </c>
      <c r="I62" s="232">
        <f ca="1">SUMIF($G$10:$G$53,$G$62,$I$10:$I$53)</f>
        <v>0</v>
      </c>
      <c r="J62" s="232">
        <f ca="1">SUMIF($G$10:$G$53,$G$62,$J$10:$J$53)</f>
        <v>0</v>
      </c>
      <c r="K62" s="232">
        <f ca="1">SUMIF($G$10:$G$53,$G$62,$K$10:$K$53)</f>
        <v>0</v>
      </c>
      <c r="L62" s="232">
        <f ca="1">SUMIF($G$10:$G$53,$G$62,$L$10:$L$53)</f>
        <v>0</v>
      </c>
      <c r="M62" s="232">
        <f ca="1">SUMIF($G$10:$G$53,$G$62,$M$10:$M$53)</f>
        <v>0</v>
      </c>
      <c r="N62" s="232">
        <f ca="1">SUMIF($G$10:$G$53,$G$62,$N$10:$N$53)</f>
        <v>0</v>
      </c>
      <c r="O62" s="232">
        <f ca="1">SUMIF($G$10:$G$53,$G$62,$O$10:$O$53)</f>
        <v>-3415526.2863053973</v>
      </c>
      <c r="P62" s="232">
        <f ca="1">SUMIF($G$10:$G$53,$G$62,$P$10:$P$53)</f>
        <v>-3296792.718276768</v>
      </c>
      <c r="Q62" s="232">
        <f ca="1">SUMIF($G$10:$G$53,$G$62,$Q$10:$Q$53)</f>
        <v>-3129250.6185083096</v>
      </c>
      <c r="R62" s="232">
        <f ca="1">SUMIF($G$10:$G$53,$G$62,$R$10:$R$53)</f>
        <v>-13789700.836489508</v>
      </c>
      <c r="S62" s="232">
        <f ca="1">SUMIF($G$10:$G$53,$G$62,$S$10:$S$53)</f>
        <v>-7401085.7142193336</v>
      </c>
      <c r="T62" s="232">
        <f ca="1">SUMIF($G$10:$G$53,$G$62,$T$10:$T$53)</f>
        <v>-4835060.3439881057</v>
      </c>
      <c r="V62" s="233">
        <f t="shared" ca="1" si="2"/>
        <v>-35867416.517787419</v>
      </c>
    </row>
    <row r="63" spans="3:29" x14ac:dyDescent="0.25">
      <c r="G63" s="231" t="s">
        <v>665</v>
      </c>
      <c r="H63" s="232">
        <f ca="1">SUMIF($G$10:$G$53,$G$63,$H$10:$H$53)</f>
        <v>0</v>
      </c>
      <c r="I63" s="232">
        <f ca="1">SUMIF($G$10:$G$53,$G$63,$I$10:$I$53)</f>
        <v>0</v>
      </c>
      <c r="J63" s="232">
        <f ca="1">SUMIF($G$10:$G$53,$G$63,$J$10:$J$53)</f>
        <v>0</v>
      </c>
      <c r="K63" s="232">
        <f ca="1">SUMIF($G$10:$G$53,$G$63,$K$10:$K$53)</f>
        <v>0</v>
      </c>
      <c r="L63" s="232">
        <f ca="1">SUMIF($G$10:$G$53,$G$63,$L$10:$L$53)</f>
        <v>0</v>
      </c>
      <c r="M63" s="232">
        <f ca="1">SUMIF($G$10:$G$53,$G$63,$M$10:$M$53)</f>
        <v>0</v>
      </c>
      <c r="N63" s="232">
        <f ca="1">SUMIF($G$10:$G$53,$G$63,$N$10:$N$53)</f>
        <v>0</v>
      </c>
      <c r="O63" s="232">
        <f ca="1">SUMIF($G$10:$G$53,$G$63,$O$10:$O$53)</f>
        <v>-204598.22275227567</v>
      </c>
      <c r="P63" s="232">
        <f ca="1">SUMIF($G$10:$G$53,$G$63,$P$10:$P$53)</f>
        <v>-197402.3036841962</v>
      </c>
      <c r="Q63" s="232">
        <f ca="1">SUMIF($G$10:$G$53,$G$63,$Q$10:$Q$53)</f>
        <v>-187182.09062322907</v>
      </c>
      <c r="R63" s="232">
        <f ca="1">SUMIF($G$10:$G$53,$G$63,$R$10:$R$53)</f>
        <v>-352847.6171689466</v>
      </c>
      <c r="S63" s="232">
        <f ca="1">SUMIF($G$10:$G$53,$G$63,$S$10:$S$53)</f>
        <v>0</v>
      </c>
      <c r="T63" s="232">
        <f ca="1">SUMIF($G$10:$G$53,$G$63,$T$10:$T$53)</f>
        <v>0</v>
      </c>
      <c r="V63" s="233">
        <f t="shared" ca="1" si="2"/>
        <v>-942030.23422864755</v>
      </c>
    </row>
    <row r="64" spans="3:29" x14ac:dyDescent="0.25">
      <c r="G64" s="231" t="s">
        <v>769</v>
      </c>
      <c r="H64" s="232">
        <f ca="1">SUMIF($G$10:$G$53,$G$64,$H$10:$H$53)</f>
        <v>0</v>
      </c>
      <c r="I64" s="232">
        <f ca="1">SUMIF($G$10:$G$53,$G$64,$I$10:$I$53)</f>
        <v>0</v>
      </c>
      <c r="J64" s="232">
        <f ca="1">SUMIF($G$10:$G$53,$G$64,$J$10:$J$53)</f>
        <v>0</v>
      </c>
      <c r="K64" s="232">
        <f ca="1">SUMIF($G$10:$G$53,$G$64,$K$10:$K$53)</f>
        <v>0</v>
      </c>
      <c r="L64" s="232">
        <f ca="1">SUMIF($G$10:$G$53,$G$64,$L$10:$L$53)</f>
        <v>0</v>
      </c>
      <c r="M64" s="232">
        <f ca="1">SUMIF($G$10:$G$53,$G$64,$M$10:$M$53)</f>
        <v>0</v>
      </c>
      <c r="N64" s="232">
        <f ca="1">SUMIF($G$10:$G$53,$G$64,$N$10:$N$53)</f>
        <v>0</v>
      </c>
      <c r="O64" s="232">
        <f ca="1">SUMIF($G$10:$G$53,$G$64,$O$10:$O$53)</f>
        <v>-199455.77075413355</v>
      </c>
      <c r="P64" s="232">
        <f ca="1">SUMIF($G$10:$G$53,$G$64,$P$10:$P$53)</f>
        <v>0</v>
      </c>
      <c r="Q64" s="232">
        <f ca="1">SUMIF($G$10:$G$53,$G$64,$Q$10:$Q$53)</f>
        <v>0</v>
      </c>
      <c r="R64" s="232">
        <f ca="1">SUMIF($G$10:$G$53,$G$64,$R$10:$R$53)</f>
        <v>0</v>
      </c>
      <c r="S64" s="232">
        <f ca="1">SUMIF($G$10:$G$53,$G$64,$S$10:$S$53)</f>
        <v>0</v>
      </c>
      <c r="T64" s="232">
        <f ca="1">SUMIF($G$10:$G$53,$G$64,$T$10:$T$53)</f>
        <v>0</v>
      </c>
      <c r="V64" s="233">
        <f t="shared" ca="1" si="2"/>
        <v>-199455.77075413355</v>
      </c>
    </row>
    <row r="65" spans="7:22" x14ac:dyDescent="0.25">
      <c r="G65" s="231" t="s">
        <v>600</v>
      </c>
      <c r="H65" s="232">
        <f ca="1">SUMIF($G$10:$G$53,$G$65,$H$10:$H$53)</f>
        <v>0</v>
      </c>
      <c r="I65" s="232">
        <f ca="1">SUMIF($G$10:$G$53,$G$65,$I$10:$I$53)</f>
        <v>0</v>
      </c>
      <c r="J65" s="232">
        <f ca="1">SUMIF($G$10:$G$53,$G$65,$J$10:$J$53)</f>
        <v>0</v>
      </c>
      <c r="K65" s="232">
        <f ca="1">SUMIF($G$10:$G$53,$G$65,$K$10:$K$53)</f>
        <v>0</v>
      </c>
      <c r="L65" s="232">
        <f ca="1">SUMIF($G$10:$G$53,$G$65,$L$10:$L$53)</f>
        <v>0</v>
      </c>
      <c r="M65" s="232">
        <f ca="1">SUMIF($G$10:$G$53,$G$65,$M$10:$M$53)</f>
        <v>0</v>
      </c>
      <c r="N65" s="232">
        <f ca="1">SUMIF($G$10:$G$53,$G$65,$N$10:$N$53)</f>
        <v>0</v>
      </c>
      <c r="O65" s="232">
        <f ca="1">SUMIF($G$10:$G$53,$G$65,$O$10:$O$53)</f>
        <v>1144836.6953853562</v>
      </c>
      <c r="P65" s="232">
        <f ca="1">SUMIF($G$10:$G$53,$G$65,$P$10:$P$53)</f>
        <v>0</v>
      </c>
      <c r="Q65" s="232">
        <f ca="1">SUMIF($G$10:$G$53,$G$65,$Q$10:$Q$53)</f>
        <v>0</v>
      </c>
      <c r="R65" s="232">
        <f ca="1">SUMIF($G$10:$G$53,$G$65,$R$10:$R$53)</f>
        <v>0</v>
      </c>
      <c r="S65" s="232">
        <f ca="1">SUMIF($G$10:$G$53,$G$65,$S$10:$S$53)</f>
        <v>0</v>
      </c>
      <c r="T65" s="232">
        <f ca="1">SUMIF($G$10:$G$53,$G$65,$T$10:$T$53)</f>
        <v>0</v>
      </c>
      <c r="V65" s="233">
        <f t="shared" ca="1" si="2"/>
        <v>1144836.6953853562</v>
      </c>
    </row>
    <row r="66" spans="7:22" x14ac:dyDescent="0.25">
      <c r="G66" s="231" t="s">
        <v>773</v>
      </c>
      <c r="H66" s="232">
        <f ca="1">SUMIF($G$10:$G$53,$G$66,$H$10:$H$53)</f>
        <v>0</v>
      </c>
      <c r="I66" s="232">
        <f ca="1">SUMIF($G$10:$G$53,$G$66,$I$10:$I$53)</f>
        <v>0</v>
      </c>
      <c r="J66" s="232">
        <f ca="1">SUMIF($G$10:$G$53,$G$66,$J$10:$J$53)</f>
        <v>0</v>
      </c>
      <c r="K66" s="232">
        <f ca="1">SUMIF($G$10:$G$53,$G$66,$K$10:$K$53)</f>
        <v>0</v>
      </c>
      <c r="L66" s="232">
        <f ca="1">SUMIF($G$10:$G$53,$G$66,$L$10:$L$53)</f>
        <v>0</v>
      </c>
      <c r="M66" s="232">
        <f ca="1">SUMIF($G$10:$G$53,$G$66,$M$10:$M$53)</f>
        <v>0</v>
      </c>
      <c r="N66" s="232">
        <f ca="1">SUMIF($G$10:$G$53,$G$66,$N$10:$N$53)</f>
        <v>0</v>
      </c>
      <c r="O66" s="232">
        <f ca="1">SUMIF($G$10:$G$53,$G$66,$O$10:$O$53)</f>
        <v>-292424.58712749573</v>
      </c>
      <c r="P66" s="232">
        <f ca="1">SUMIF($G$10:$G$53,$G$66,$P$10:$P$53)</f>
        <v>0</v>
      </c>
      <c r="Q66" s="232">
        <f ca="1">SUMIF($G$10:$G$53,$G$66,$Q$10:$Q$53)</f>
        <v>0</v>
      </c>
      <c r="R66" s="232">
        <f ca="1">SUMIF($G$10:$G$53,$G$66,$R$10:$R$53)</f>
        <v>0</v>
      </c>
      <c r="S66" s="232">
        <f ca="1">SUMIF($G$10:$G$53,$G$66,$S$10:$S$53)</f>
        <v>0</v>
      </c>
      <c r="T66" s="232">
        <f ca="1">SUMIF($G$10:$G$53,$G$66,$T$10:$T$53)</f>
        <v>0</v>
      </c>
      <c r="V66" s="233">
        <f t="shared" ca="1" si="2"/>
        <v>-292424.58712749573</v>
      </c>
    </row>
    <row r="67" spans="7:22" x14ac:dyDescent="0.25">
      <c r="G67" s="231" t="s">
        <v>599</v>
      </c>
      <c r="H67" s="232">
        <f ca="1">SUMIF($G$10:$G$53,$G$67,$H$10:$H$53)</f>
        <v>0</v>
      </c>
      <c r="I67" s="232">
        <f ca="1">SUMIF($G$10:$G$53,$G$67,$I$10:$I$53)</f>
        <v>0</v>
      </c>
      <c r="J67" s="232">
        <f ca="1">SUMIF($G$10:$G$53,$G$67,$J$10:$J$53)</f>
        <v>0</v>
      </c>
      <c r="K67" s="232">
        <f ca="1">SUMIF($G$10:$G$53,$G$67,$K$10:$K$53)</f>
        <v>0</v>
      </c>
      <c r="L67" s="232">
        <f ca="1">SUMIF($G$10:$G$53,$G$67,$L$10:$L$53)</f>
        <v>0</v>
      </c>
      <c r="M67" s="232">
        <f ca="1">SUMIF($G$10:$G$53,$G$67,$M$10:$M$53)</f>
        <v>0</v>
      </c>
      <c r="N67" s="232">
        <f ca="1">SUMIF($G$10:$G$53,$G$67,$N$10:$N$53)</f>
        <v>0</v>
      </c>
      <c r="O67" s="232">
        <f ca="1">SUMIF($G$10:$G$53,$G$67,$O$10:$O$53)</f>
        <v>-676066.6932718691</v>
      </c>
      <c r="P67" s="232">
        <f ca="1">SUMIF($G$10:$G$53,$G$67,$P$10:$P$53)</f>
        <v>0</v>
      </c>
      <c r="Q67" s="232">
        <f ca="1">SUMIF($G$10:$G$53,$G$67,$Q$10:$Q$53)</f>
        <v>0</v>
      </c>
      <c r="R67" s="232">
        <f ca="1">SUMIF($G$10:$G$53,$G$67,$R$10:$R$53)</f>
        <v>0</v>
      </c>
      <c r="S67" s="232">
        <f ca="1">SUMIF($G$10:$G$53,$G$67,$S$10:$S$53)</f>
        <v>0</v>
      </c>
      <c r="T67" s="232">
        <f ca="1">SUMIF($G$10:$G$53,$G$67,$T$10:$T$53)</f>
        <v>0</v>
      </c>
      <c r="V67" s="233">
        <f t="shared" ca="1" si="2"/>
        <v>-676066.6932718691</v>
      </c>
    </row>
    <row r="68" spans="7:22" x14ac:dyDescent="0.25">
      <c r="G68" s="231" t="s">
        <v>810</v>
      </c>
      <c r="H68" s="232">
        <f ca="1">SUMIF($G$10:$G$53,$G$68,$H$10:$H$53)</f>
        <v>0</v>
      </c>
      <c r="I68" s="232">
        <f ca="1">SUMIF($G$10:$G$53,$G$68,$I$10:$I$53)</f>
        <v>0</v>
      </c>
      <c r="J68" s="232">
        <f ca="1">SUMIF($G$10:$G$53,$G$68,$J$10:$J$53)</f>
        <v>0</v>
      </c>
      <c r="K68" s="232">
        <f ca="1">SUMIF($G$10:$G$53,$G$68,$K$10:$K$53)</f>
        <v>0</v>
      </c>
      <c r="L68" s="232">
        <f ca="1">SUMIF($G$10:$G$53,$G$68,$L$10:$L$53)</f>
        <v>0</v>
      </c>
      <c r="M68" s="232">
        <f ca="1">SUMIF($G$10:$G$53,$G$68,$M$10:$M$53)</f>
        <v>0</v>
      </c>
      <c r="N68" s="232">
        <f ca="1">SUMIF($G$10:$G$53,$G$68,$N$10:$N$53)</f>
        <v>0</v>
      </c>
      <c r="O68" s="232">
        <f ca="1">SUMIF($G$10:$G$53,$G$68,$O$10:$O$53)</f>
        <v>-707770.97120155464</v>
      </c>
      <c r="P68" s="232">
        <f ca="1">SUMIF($G$10:$G$53,$G$68,$P$10:$P$53)</f>
        <v>0</v>
      </c>
      <c r="Q68" s="232">
        <f ca="1">SUMIF($G$10:$G$53,$G$68,$Q$10:$Q$53)</f>
        <v>0</v>
      </c>
      <c r="R68" s="232">
        <f ca="1">SUMIF($G$10:$G$53,$G$68,$R$10:$R$53)</f>
        <v>0</v>
      </c>
      <c r="S68" s="232">
        <f ca="1">SUMIF($G$10:$G$53,$G$68,$S$10:$S$53)</f>
        <v>0</v>
      </c>
      <c r="T68" s="232">
        <f ca="1">SUMIF($G$10:$G$53,$G$68,$T$10:$T$53)</f>
        <v>0</v>
      </c>
      <c r="V68" s="233">
        <f t="shared" ca="1" si="2"/>
        <v>-707770.97120155464</v>
      </c>
    </row>
    <row r="69" spans="7:22" x14ac:dyDescent="0.25">
      <c r="G69" s="231" t="s">
        <v>814</v>
      </c>
      <c r="H69" s="232">
        <f ca="1">SUMIF($G$10:$G$53,$G$69,$H$10:$H$53)</f>
        <v>0</v>
      </c>
      <c r="I69" s="232">
        <f ca="1">SUMIF($G$10:$G$53,$G$69,$I$10:$I$53)</f>
        <v>0</v>
      </c>
      <c r="J69" s="232">
        <f ca="1">SUMIF($G$10:$G$53,$G$69,$J$10:$J$53)</f>
        <v>0</v>
      </c>
      <c r="K69" s="232">
        <f ca="1">SUMIF($G$10:$G$53,$G$69,$K$10:$K$53)</f>
        <v>0</v>
      </c>
      <c r="L69" s="232">
        <f ca="1">SUMIF($G$10:$G$53,$G$69,$L$10:$L$53)</f>
        <v>0</v>
      </c>
      <c r="M69" s="232">
        <f ca="1">SUMIF($G$10:$G$53,$G$69,$M$10:$M$53)</f>
        <v>0</v>
      </c>
      <c r="N69" s="232">
        <f ca="1">SUMIF($G$10:$G$53,$G$69,$N$10:$N$53)</f>
        <v>0</v>
      </c>
      <c r="O69" s="232">
        <f ca="1">SUMIF($G$10:$G$53,$G$69,$O$10:$O$53)</f>
        <v>-2040328.2922524014</v>
      </c>
      <c r="P69" s="232">
        <f ca="1">SUMIF($G$10:$G$53,$G$69,$P$10:$P$53)</f>
        <v>0</v>
      </c>
      <c r="Q69" s="232">
        <f ca="1">SUMIF($G$10:$G$53,$G$69,$Q$10:$Q$53)</f>
        <v>0</v>
      </c>
      <c r="R69" s="232">
        <f ca="1">SUMIF($G$10:$G$53,$G$69,$R$10:$R$53)</f>
        <v>0</v>
      </c>
      <c r="S69" s="232">
        <f ca="1">SUMIF($G$10:$G$53,$G$69,$S$10:$S$53)</f>
        <v>0</v>
      </c>
      <c r="T69" s="232">
        <f ca="1">SUMIF($G$10:$G$53,$G$69,$T$10:$T$53)</f>
        <v>0</v>
      </c>
      <c r="V69" s="233">
        <f t="shared" ca="1" si="2"/>
        <v>-2040328.2922524014</v>
      </c>
    </row>
    <row r="70" spans="7:22" x14ac:dyDescent="0.25">
      <c r="G70" s="231" t="s">
        <v>817</v>
      </c>
      <c r="H70" s="232">
        <f ca="1">SUMIF($G$10:$G$53,$G$70,$H$10:$H$53)</f>
        <v>0</v>
      </c>
      <c r="I70" s="232">
        <f ca="1">SUMIF($G$10:$G$53,$G$70,$I$10:$I$53)</f>
        <v>0</v>
      </c>
      <c r="J70" s="232">
        <f ca="1">SUMIF($G$10:$G$53,$G$70,$J$10:$J$53)</f>
        <v>0</v>
      </c>
      <c r="K70" s="232">
        <f ca="1">SUMIF($G$10:$G$53,$G$70,$K$10:$K$53)</f>
        <v>0</v>
      </c>
      <c r="L70" s="232">
        <f ca="1">SUMIF($G$10:$G$53,$G$70,$L$10:$L$53)</f>
        <v>0</v>
      </c>
      <c r="M70" s="232">
        <f ca="1">SUMIF($G$10:$G$53,$G$70,$M$10:$M$53)</f>
        <v>0</v>
      </c>
      <c r="N70" s="232">
        <f ca="1">SUMIF($G$10:$G$53,$G$70,$N$10:$N$53)</f>
        <v>0</v>
      </c>
      <c r="O70" s="232">
        <f ca="1">SUMIF($G$10:$G$53,$G$70,$O$10:$O$53)</f>
        <v>-1245563.2225350181</v>
      </c>
      <c r="P70" s="232">
        <f ca="1">SUMIF($G$10:$G$53,$G$70,$P$10:$P$53)</f>
        <v>0</v>
      </c>
      <c r="Q70" s="232">
        <f ca="1">SUMIF($G$10:$G$53,$G$70,$Q$10:$Q$53)</f>
        <v>0</v>
      </c>
      <c r="R70" s="232">
        <f ca="1">SUMIF($G$10:$G$53,$G$70,$R$10:$R$53)</f>
        <v>0</v>
      </c>
      <c r="S70" s="232">
        <f ca="1">SUMIF($G$10:$G$53,$G$70,$S$10:$S$53)</f>
        <v>0</v>
      </c>
      <c r="T70" s="232">
        <f ca="1">SUMIF($G$10:$G$53,$G$70,$T$10:$T$53)</f>
        <v>0</v>
      </c>
      <c r="V70" s="233">
        <f t="shared" ca="1" si="2"/>
        <v>-1245563.2225350181</v>
      </c>
    </row>
    <row r="71" spans="7:22" x14ac:dyDescent="0.25">
      <c r="G71" s="231" t="s">
        <v>821</v>
      </c>
      <c r="H71" s="232">
        <f ca="1">SUMIF($G$10:$G$53,$G$71,$H$10:$H$53)</f>
        <v>0</v>
      </c>
      <c r="I71" s="232">
        <f ca="1">SUMIF($G$10:$G$53,$G$71,$I$10:$I$53)</f>
        <v>0</v>
      </c>
      <c r="J71" s="232">
        <f ca="1">SUMIF($G$10:$G$53,$G$71,$J$10:$J$53)</f>
        <v>0</v>
      </c>
      <c r="K71" s="232">
        <f ca="1">SUMIF($G$10:$G$53,$G$71,$K$10:$K$53)</f>
        <v>0</v>
      </c>
      <c r="L71" s="232">
        <f ca="1">SUMIF($G$10:$G$53,$G$71,$L$10:$L$53)</f>
        <v>0</v>
      </c>
      <c r="M71" s="232">
        <f ca="1">SUMIF($G$10:$G$53,$G$71,$M$10:$M$53)</f>
        <v>0</v>
      </c>
      <c r="N71" s="232">
        <f ca="1">SUMIF($G$10:$G$53,$G$71,$N$10:$N$53)</f>
        <v>0</v>
      </c>
      <c r="O71" s="232">
        <f ca="1">SUMIF($G$10:$G$53,$G$71,$O$10:$O$53)</f>
        <v>-39022.263672176021</v>
      </c>
      <c r="P71" s="232">
        <f ca="1">SUMIF($G$10:$G$53,$G$71,$P$10:$P$53)</f>
        <v>0</v>
      </c>
      <c r="Q71" s="232">
        <f ca="1">SUMIF($G$10:$G$53,$G$71,$Q$10:$Q$53)</f>
        <v>0</v>
      </c>
      <c r="R71" s="232">
        <f ca="1">SUMIF($G$10:$G$53,$G$71,$R$10:$R$53)</f>
        <v>0</v>
      </c>
      <c r="S71" s="232">
        <f ca="1">SUMIF($G$10:$G$53,$G$71,$S$10:$S$53)</f>
        <v>0</v>
      </c>
      <c r="T71" s="232">
        <f ca="1">SUMIF($G$10:$G$53,$G$71,$T$10:$T$53)</f>
        <v>0</v>
      </c>
      <c r="V71" s="233">
        <f t="shared" ca="1" si="2"/>
        <v>-39022.263672176021</v>
      </c>
    </row>
    <row r="72" spans="7:22" x14ac:dyDescent="0.25">
      <c r="G72" s="231" t="s">
        <v>823</v>
      </c>
      <c r="H72" s="232">
        <f ca="1">SUMIF($G$10:$G$53,$G$72,$H$10:$H$53)</f>
        <v>0</v>
      </c>
      <c r="I72" s="232">
        <f ca="1">SUMIF($G$10:$G$53,$G$72,$I$10:$I$53)</f>
        <v>0</v>
      </c>
      <c r="J72" s="232">
        <f ca="1">SUMIF($G$10:$G$53,$G$72,$J$10:$J$53)</f>
        <v>0</v>
      </c>
      <c r="K72" s="232">
        <f ca="1">SUMIF($G$10:$G$53,$G$72,$K$10:$K$53)</f>
        <v>0</v>
      </c>
      <c r="L72" s="232">
        <f ca="1">SUMIF($G$10:$G$53,$G$72,$L$10:$L$53)</f>
        <v>0</v>
      </c>
      <c r="M72" s="232">
        <f ca="1">SUMIF($G$10:$G$53,$G$72,$M$10:$M$53)</f>
        <v>0</v>
      </c>
      <c r="N72" s="232">
        <f ca="1">SUMIF($G$10:$G$53,$G$72,$N$10:$N$53)</f>
        <v>0</v>
      </c>
      <c r="O72" s="232">
        <f ca="1">SUMIF($G$10:$G$53,$G$72,$O$10:$O$53)</f>
        <v>3545892.9666148964</v>
      </c>
      <c r="P72" s="232">
        <f ca="1">SUMIF($G$10:$G$53,$G$72,$P$10:$P$53)</f>
        <v>0</v>
      </c>
      <c r="Q72" s="232">
        <f ca="1">SUMIF($G$10:$G$53,$G$72,$Q$10:$Q$53)</f>
        <v>0</v>
      </c>
      <c r="R72" s="232">
        <f ca="1">SUMIF($G$10:$G$53,$G$72,$R$10:$R$53)</f>
        <v>0</v>
      </c>
      <c r="S72" s="232">
        <f ca="1">SUMIF($G$10:$G$53,$G$72,$S$10:$S$53)</f>
        <v>0</v>
      </c>
      <c r="T72" s="232">
        <f ca="1">SUMIF($G$10:$G$53,$G$72,$T$10:$T$53)</f>
        <v>0</v>
      </c>
      <c r="V72" s="233">
        <f t="shared" ca="1" si="2"/>
        <v>3545892.9666148964</v>
      </c>
    </row>
    <row r="74" spans="7:22" x14ac:dyDescent="0.25">
      <c r="G74" s="252" t="s">
        <v>198</v>
      </c>
    </row>
    <row r="75" spans="7:22" ht="13.8" thickBot="1" x14ac:dyDescent="0.3">
      <c r="G75" s="231" t="s">
        <v>199</v>
      </c>
      <c r="H75" s="232">
        <f ca="1">SUMIF($H$10:$H$53,"&gt;0",$H$10:$H$53)</f>
        <v>0</v>
      </c>
      <c r="I75" s="232">
        <f ca="1">SUMIF($I$10:$I$53,"&gt;0",$I$10:$I$53)</f>
        <v>0</v>
      </c>
      <c r="J75" s="232">
        <f ca="1">SUMIF($J$10:$J$53,"&gt;0",$J$10:$J$53)</f>
        <v>0</v>
      </c>
      <c r="K75" s="232">
        <f ca="1">SUMIF($K$10:$K$53,"&gt;0",$K$10:$K$53)</f>
        <v>0</v>
      </c>
      <c r="L75" s="232">
        <f ca="1">SUMIF($L$10:$L$53,"&gt;0",$L$10:$L$53)</f>
        <v>0</v>
      </c>
      <c r="M75" s="232">
        <f ca="1">SUMIF($M$10:$M$53,"&gt;0",$M$10:$M$53)</f>
        <v>0</v>
      </c>
      <c r="N75" s="232">
        <f ca="1">SUMIF($N$10:$N$53,"&gt;0",$N$10:$N$53)</f>
        <v>0</v>
      </c>
      <c r="O75" s="232">
        <f ca="1">SUMIF($O$10:$O$53,"&gt;0",$O$10:$O$53)</f>
        <v>33992494.470976844</v>
      </c>
      <c r="P75" s="232">
        <f ca="1">SUMIF($P$10:$P$53,"&gt;0",$P$10:$P$53)</f>
        <v>27628948.652300932</v>
      </c>
      <c r="Q75" s="232">
        <f ca="1">SUMIF($Q$10:$Q$53,"&gt;0",$Q$10:$Q$53)</f>
        <v>14140759.991505237</v>
      </c>
      <c r="R75" s="232">
        <f ca="1">SUMIF($R$10:$R$53,"&gt;0",$R$10:$R$53)</f>
        <v>22573460.129492741</v>
      </c>
      <c r="S75" s="232">
        <f ca="1">SUMIF($S$10:$S$53,"&gt;0",$S$10:$S$53)</f>
        <v>7233295.3304984393</v>
      </c>
      <c r="T75" s="232">
        <f ca="1">SUMIF($T$10:$T$53,"&gt;0",$T$10:$T$53)</f>
        <v>4725535.691553711</v>
      </c>
      <c r="V75" s="282"/>
    </row>
    <row r="76" spans="7:22" x14ac:dyDescent="0.25">
      <c r="G76" s="231" t="s">
        <v>200</v>
      </c>
      <c r="H76" s="232">
        <f ca="1">SUMIF($H$10:$H$53,"&lt;0",$H$10:$H$53)</f>
        <v>0</v>
      </c>
      <c r="I76" s="232">
        <f ca="1">SUMIF($I$10:$I$53,"&lt;0",$I$10:$I$53)</f>
        <v>0</v>
      </c>
      <c r="J76" s="232">
        <f ca="1">SUMIF($J$10:$J$53,"&lt;0",$J$10:$J$53)</f>
        <v>0</v>
      </c>
      <c r="K76" s="232">
        <f ca="1">SUMIF($K$10:$K$53,"&lt;0",$K$10:$K$53)</f>
        <v>0</v>
      </c>
      <c r="L76" s="232">
        <f ca="1">SUMIF($L$10:$L$53,"&lt;0",$L$10:$L$53)</f>
        <v>0</v>
      </c>
      <c r="M76" s="232">
        <f ca="1">SUMIF($M$10:$M$53,"&lt;0",$M$10:$M$53)</f>
        <v>0</v>
      </c>
      <c r="N76" s="232">
        <f ca="1">SUMIF($N$10:$N$53,"&lt;0",$N$10:$N$53)</f>
        <v>0</v>
      </c>
      <c r="O76" s="232">
        <f ca="1">SUMIF($O$10:$O$53,"&lt;0",$O$10:$O$53)</f>
        <v>-34402961.670014843</v>
      </c>
      <c r="P76" s="232">
        <f ca="1">SUMIF($P$10:$P$53,"&lt;0",$P$10:$P$53)</f>
        <v>-27807286.234608386</v>
      </c>
      <c r="Q76" s="232">
        <f ca="1">SUMIF($Q$10:$Q$53,"&lt;0",$Q$10:$Q$53)</f>
        <v>-14270607.233544474</v>
      </c>
      <c r="R76" s="232">
        <f ca="1">SUMIF($R$10:$R$53,"&lt;0",$R$10:$R$53)</f>
        <v>-22930476.409548759</v>
      </c>
      <c r="S76" s="232">
        <f ca="1">SUMIF($S$10:$S$53,"&lt;0",$S$10:$S$53)</f>
        <v>-7401085.7142193336</v>
      </c>
      <c r="T76" s="232">
        <f ca="1">SUMIF($T$10:$T$53,"&lt;0",$T$10:$T$53)</f>
        <v>-4835060.3439881057</v>
      </c>
      <c r="V76" s="233">
        <f ca="1">SUM(M75:T76)</f>
        <v>-1352983.3395959828</v>
      </c>
    </row>
  </sheetData>
  <sheetCalcPr fullCalcOnLoad="1"/>
  <mergeCells count="68">
    <mergeCell ref="C52:C53"/>
    <mergeCell ref="E52:E53"/>
    <mergeCell ref="F52:F53"/>
    <mergeCell ref="C48:C49"/>
    <mergeCell ref="E48:E49"/>
    <mergeCell ref="F48:F49"/>
    <mergeCell ref="C50:C51"/>
    <mergeCell ref="E50:E51"/>
    <mergeCell ref="F50:F51"/>
    <mergeCell ref="C44:C45"/>
    <mergeCell ref="E44:E45"/>
    <mergeCell ref="F44:F45"/>
    <mergeCell ref="C46:C47"/>
    <mergeCell ref="E46:E47"/>
    <mergeCell ref="F46:F47"/>
    <mergeCell ref="C40:C41"/>
    <mergeCell ref="E40:E41"/>
    <mergeCell ref="F40:F41"/>
    <mergeCell ref="C42:C43"/>
    <mergeCell ref="E42:E43"/>
    <mergeCell ref="F42:F43"/>
    <mergeCell ref="C36:C37"/>
    <mergeCell ref="E36:E37"/>
    <mergeCell ref="F36:F37"/>
    <mergeCell ref="C38:C39"/>
    <mergeCell ref="E38:E39"/>
    <mergeCell ref="F38:F39"/>
    <mergeCell ref="C32:C33"/>
    <mergeCell ref="E32:E33"/>
    <mergeCell ref="F32:F33"/>
    <mergeCell ref="C34:C35"/>
    <mergeCell ref="E34:E35"/>
    <mergeCell ref="F34:F35"/>
    <mergeCell ref="C12:C13"/>
    <mergeCell ref="E12:E13"/>
    <mergeCell ref="F12:F13"/>
    <mergeCell ref="C14:C15"/>
    <mergeCell ref="E14:E15"/>
    <mergeCell ref="F14:F15"/>
    <mergeCell ref="C30:C31"/>
    <mergeCell ref="E30:E31"/>
    <mergeCell ref="F30:F31"/>
    <mergeCell ref="E28:E29"/>
    <mergeCell ref="F28:F29"/>
    <mergeCell ref="C28:C29"/>
    <mergeCell ref="C26:C27"/>
    <mergeCell ref="C24:C25"/>
    <mergeCell ref="E24:E25"/>
    <mergeCell ref="F24:F25"/>
    <mergeCell ref="E26:E27"/>
    <mergeCell ref="F26:F27"/>
    <mergeCell ref="C16:C17"/>
    <mergeCell ref="E22:E23"/>
    <mergeCell ref="F22:F23"/>
    <mergeCell ref="V8:V9"/>
    <mergeCell ref="C10:C11"/>
    <mergeCell ref="F10:F11"/>
    <mergeCell ref="E10:E11"/>
    <mergeCell ref="C8:C9"/>
    <mergeCell ref="E16:E17"/>
    <mergeCell ref="F16:F17"/>
    <mergeCell ref="F20:F21"/>
    <mergeCell ref="C22:C23"/>
    <mergeCell ref="E18:E19"/>
    <mergeCell ref="F18:F19"/>
    <mergeCell ref="C18:C19"/>
    <mergeCell ref="C20:C21"/>
    <mergeCell ref="E20:E21"/>
  </mergeCells>
  <phoneticPr fontId="0" type="noConversion"/>
  <pageMargins left="0.75" right="0.75" top="1" bottom="0.36" header="0.5" footer="0.31"/>
  <pageSetup paperSize="5" scale="57"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2770"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pageSetUpPr autoPageBreaks="0" fitToPage="1"/>
  </sheetPr>
  <dimension ref="A1:AC20"/>
  <sheetViews>
    <sheetView topLeftCell="P1" zoomScale="80" workbookViewId="0">
      <selection activeCell="C6" sqref="C6:V20"/>
    </sheetView>
  </sheetViews>
  <sheetFormatPr defaultColWidth="9.109375" defaultRowHeight="13.2" x14ac:dyDescent="0.25"/>
  <cols>
    <col min="1" max="2" width="3.6640625" style="29" customWidth="1"/>
    <col min="3" max="3" width="9.109375" style="29"/>
    <col min="4" max="4" width="3.6640625" style="29" customWidth="1"/>
    <col min="5" max="5" width="9.33203125" style="29" bestFit="1" customWidth="1"/>
    <col min="6" max="6" width="24" style="230" customWidth="1"/>
    <col min="7" max="7" width="30.6640625" style="231" customWidth="1"/>
    <col min="8" max="20" width="13.6640625" style="232" customWidth="1"/>
    <col min="21" max="21" width="3.6640625" style="233" customWidth="1"/>
    <col min="22" max="22" width="13.6640625" style="29" customWidth="1"/>
    <col min="23" max="23" width="9.109375" style="29"/>
    <col min="24" max="24" width="14.33203125" style="29" customWidth="1"/>
    <col min="25" max="26" width="23.109375" style="29" customWidth="1"/>
    <col min="27" max="27" width="35.5546875" style="29" customWidth="1"/>
    <col min="28" max="28" width="26.33203125" style="29" customWidth="1"/>
    <col min="29" max="16384" width="9.109375" style="29"/>
  </cols>
  <sheetData>
    <row r="1" spans="1:29" x14ac:dyDescent="0.25">
      <c r="A1" s="180" t="s">
        <v>179</v>
      </c>
    </row>
    <row r="2" spans="1:29" x14ac:dyDescent="0.25">
      <c r="A2" s="180" t="str">
        <f>ADDRESS(ROW($F$3),COLUMN($F$3))</f>
        <v>$F$3</v>
      </c>
      <c r="F2" s="29"/>
    </row>
    <row r="3" spans="1:29" x14ac:dyDescent="0.25">
      <c r="A3" s="180" t="str">
        <f>ADDRESS(ROW($C$10),COLUMN($C$10))</f>
        <v>$C$10</v>
      </c>
      <c r="E3" s="234" t="s">
        <v>47</v>
      </c>
      <c r="F3" s="221" t="s">
        <v>720</v>
      </c>
    </row>
    <row r="7" spans="1:29" ht="17.399999999999999" x14ac:dyDescent="0.3">
      <c r="E7" s="253" t="str">
        <f>CONCATENATE("POSITION REPORT : ",UPPER(F3))</f>
        <v>POSITION REPORT : ONTARIO</v>
      </c>
    </row>
    <row r="8" spans="1:29" s="235" customFormat="1" x14ac:dyDescent="0.25">
      <c r="C8" s="699" t="s">
        <v>164</v>
      </c>
      <c r="D8" s="29"/>
      <c r="E8" s="217"/>
      <c r="F8" s="218"/>
      <c r="G8" s="241" t="s">
        <v>181</v>
      </c>
      <c r="H8" s="237">
        <f t="array" ref="H8:T8">TRANSPOSE(Configuration!D25:D37)</f>
        <v>37043</v>
      </c>
      <c r="I8" s="222">
        <v>37073</v>
      </c>
      <c r="J8" s="222">
        <v>37104</v>
      </c>
      <c r="K8" s="222">
        <v>37135</v>
      </c>
      <c r="L8" s="222">
        <v>37165</v>
      </c>
      <c r="M8" s="222">
        <v>37196</v>
      </c>
      <c r="N8" s="222">
        <v>37226</v>
      </c>
      <c r="O8" s="222">
        <v>37257</v>
      </c>
      <c r="P8" s="222">
        <v>37622</v>
      </c>
      <c r="Q8" s="222">
        <v>37987</v>
      </c>
      <c r="R8" s="222">
        <v>38353</v>
      </c>
      <c r="S8" s="222">
        <v>40544</v>
      </c>
      <c r="T8" s="223">
        <v>42370</v>
      </c>
      <c r="V8" s="699" t="s">
        <v>183</v>
      </c>
    </row>
    <row r="9" spans="1:29" s="235" customFormat="1" x14ac:dyDescent="0.25">
      <c r="C9" s="700"/>
      <c r="D9" s="29"/>
      <c r="E9" s="220" t="s">
        <v>0</v>
      </c>
      <c r="F9" s="219" t="s">
        <v>173</v>
      </c>
      <c r="G9" s="242" t="s">
        <v>182</v>
      </c>
      <c r="H9" s="238">
        <f t="array" ref="H9:T9">TRANSPOSE(Configuration!E25:E37)</f>
        <v>37072</v>
      </c>
      <c r="I9" s="224">
        <v>37103</v>
      </c>
      <c r="J9" s="224">
        <v>37134</v>
      </c>
      <c r="K9" s="224">
        <v>37164</v>
      </c>
      <c r="L9" s="224">
        <v>37195</v>
      </c>
      <c r="M9" s="224">
        <v>37225</v>
      </c>
      <c r="N9" s="224">
        <v>37256</v>
      </c>
      <c r="O9" s="224">
        <v>37621</v>
      </c>
      <c r="P9" s="224">
        <v>37986</v>
      </c>
      <c r="Q9" s="224">
        <v>38352</v>
      </c>
      <c r="R9" s="224">
        <v>40543</v>
      </c>
      <c r="S9" s="224">
        <v>42369</v>
      </c>
      <c r="T9" s="225">
        <v>45657</v>
      </c>
      <c r="V9" s="700"/>
    </row>
    <row r="10" spans="1:29" x14ac:dyDescent="0.25">
      <c r="C10" s="685">
        <v>62</v>
      </c>
      <c r="E10" s="687">
        <f>GetPipeName($Z10,$AC10)</f>
        <v>0</v>
      </c>
      <c r="F10" s="689" t="str">
        <f>CONCATENATE(GetRcptPoint($Z10,$AC10)," to ",GetDelPoint($Z10,$AC10))</f>
        <v>Parkway to Niagara</v>
      </c>
      <c r="G10" s="243" t="str">
        <f>GetRcptBasis($Z10,$AC10)</f>
        <v>CGPR-PARKWAY Basis Mid</v>
      </c>
      <c r="H10" s="226">
        <f t="array" aca="1" ref="H10" ca="1">SUM((INDIRECT($AA10)&gt;'Ontario Position Rpt'!H$8)*(INDIRECT($AA10)&lt;'Ontario Position Rpt'!H$9)*(INDIRECT($AB10)))</f>
        <v>0</v>
      </c>
      <c r="I10" s="226">
        <f t="array" aca="1" ref="I10" ca="1">SUM((INDIRECT($AA10)&gt;'Ontario Position Rpt'!I$8)*(INDIRECT($AA10)&lt;'Ontario Position Rpt'!I$9)*(INDIRECT($AB10)))</f>
        <v>0</v>
      </c>
      <c r="J10" s="226">
        <f t="array" aca="1" ref="J10" ca="1">SUM((INDIRECT($AA10)&gt;'Ontario Position Rpt'!J$8)*(INDIRECT($AA10)&lt;'Ontario Position Rpt'!J$9)*(INDIRECT($AB10)))</f>
        <v>0</v>
      </c>
      <c r="K10" s="226">
        <f t="array" aca="1" ref="K10" ca="1">SUM((INDIRECT($AA10)&gt;'Ontario Position Rpt'!K$8)*(INDIRECT($AA10)&lt;'Ontario Position Rpt'!K$9)*(INDIRECT($AB10)))</f>
        <v>0</v>
      </c>
      <c r="L10" s="226">
        <f t="array" aca="1" ref="L10" ca="1">SUM((INDIRECT($AA10)&gt;'Ontario Position Rpt'!L$8)*(INDIRECT($AA10)&lt;'Ontario Position Rpt'!L$9)*(INDIRECT($AB10)))</f>
        <v>0</v>
      </c>
      <c r="M10" s="226">
        <f t="array" aca="1" ref="M10" ca="1">SUM((INDIRECT($AA10)&gt;'Ontario Position Rpt'!M$8)*(INDIRECT($AA10)&lt;'Ontario Position Rpt'!M$9)*(INDIRECT($AB10)))</f>
        <v>0</v>
      </c>
      <c r="N10" s="226">
        <f t="array" aca="1" ref="N10" ca="1">SUM((INDIRECT($AA10)&gt;'Ontario Position Rpt'!N$8)*(INDIRECT($AA10)&lt;'Ontario Position Rpt'!N$9)*(INDIRECT($AB10)))</f>
        <v>0</v>
      </c>
      <c r="O10" s="226">
        <f t="array" aca="1" ref="O10" ca="1">SUM((INDIRECT($AA10)&gt;'Ontario Position Rpt'!O$8)*(INDIRECT($AA10)&lt;'Ontario Position Rpt'!O$9)*(INDIRECT($AB10)))</f>
        <v>-752776.92095498368</v>
      </c>
      <c r="P10" s="226">
        <f t="array" aca="1" ref="P10" ca="1">SUM((INDIRECT($AA10)&gt;'Ontario Position Rpt'!P$8)*(INDIRECT($AA10)&lt;'Ontario Position Rpt'!P$9)*(INDIRECT($AB10)))</f>
        <v>-728461.03034303</v>
      </c>
      <c r="Q10" s="226">
        <f t="array" aca="1" ref="Q10" ca="1">SUM((INDIRECT($AA10)&gt;'Ontario Position Rpt'!Q$8)*(INDIRECT($AA10)&lt;'Ontario Position Rpt'!Q$9)*(INDIRECT($AB10)))</f>
        <v>-691120.63991257572</v>
      </c>
      <c r="R10" s="226">
        <f t="array" aca="1" ref="R10" ca="1">SUM((INDIRECT($AA10)&gt;'Ontario Position Rpt'!R$8)*(INDIRECT($AA10)&lt;'Ontario Position Rpt'!R$9)*(INDIRECT($AB10)))</f>
        <v>-1969342.2642091338</v>
      </c>
      <c r="S10" s="226">
        <f t="array" aca="1" ref="S10" ca="1">SUM((INDIRECT($AA10)&gt;'Ontario Position Rpt'!S$8)*(INDIRECT($AA10)&lt;'Ontario Position Rpt'!S$9)*(INDIRECT($AB10)))</f>
        <v>0</v>
      </c>
      <c r="T10" s="227">
        <f t="array" aca="1" ref="T10" ca="1">SUM((INDIRECT($AA10)&gt;'Ontario Position Rpt'!T$8)*(INDIRECT($AA10)&lt;'Ontario Position Rpt'!T$9)*(INDIRECT($AB10)))</f>
        <v>0</v>
      </c>
      <c r="V10" s="245">
        <f ca="1">SUM(H10:T10)</f>
        <v>-4141700.8554197233</v>
      </c>
      <c r="Y10" s="236" t="str">
        <f>GetWorkSheet($C10)</f>
        <v>LongTerm62</v>
      </c>
      <c r="Z10" s="303" t="str">
        <f>FetchDBPage(Y10)</f>
        <v>Contract DB (Ontario)</v>
      </c>
      <c r="AA10" s="236" t="str">
        <f>IF(NOT($Y10="#VALUE#"),CONCATENATE($Y10,"!",GetDateStart($Y10),":",GetDateEnd($Y10)),"")</f>
        <v>LongTerm62!$D$22:$D$99</v>
      </c>
      <c r="AB10" s="236" t="str">
        <f>IF(NOT($Y10="#VALUE#"),CONCATENATE($Y10,"!",GetReceiptStart($Y10),":",GetReceiptEnd($Y10)),"")</f>
        <v>LongTerm62!$S$22:$S$99</v>
      </c>
      <c r="AC10" s="236">
        <f>GetRecNdx($Z10,$C10)</f>
        <v>1</v>
      </c>
    </row>
    <row r="11" spans="1:29" x14ac:dyDescent="0.25">
      <c r="C11" s="686"/>
      <c r="E11" s="688"/>
      <c r="F11" s="690"/>
      <c r="G11" s="244" t="str">
        <f>GetDelBasis($Z10,$AC11)</f>
        <v>CGPR-NIAGARA Basis Mid</v>
      </c>
      <c r="H11" s="240">
        <f t="array" aca="1" ref="H11" ca="1">SUM((INDIRECT($AA11)&gt;'Ontario Position Rpt'!H$8)*(INDIRECT($AA11)&lt;'Ontario Position Rpt'!H$9)*(INDIRECT($AB11)))</f>
        <v>0</v>
      </c>
      <c r="I11" s="228">
        <f t="array" aca="1" ref="I11" ca="1">SUM((INDIRECT($AA11)&gt;'Ontario Position Rpt'!I$8)*(INDIRECT($AA11)&lt;'Ontario Position Rpt'!I$9)*(INDIRECT($AB11)))</f>
        <v>0</v>
      </c>
      <c r="J11" s="228">
        <f t="array" aca="1" ref="J11" ca="1">SUM((INDIRECT($AA11)&gt;'Ontario Position Rpt'!J$8)*(INDIRECT($AA11)&lt;'Ontario Position Rpt'!J$9)*(INDIRECT($AB11)))</f>
        <v>0</v>
      </c>
      <c r="K11" s="228">
        <f t="array" aca="1" ref="K11" ca="1">SUM((INDIRECT($AA11)&gt;'Ontario Position Rpt'!K$8)*(INDIRECT($AA11)&lt;'Ontario Position Rpt'!K$9)*(INDIRECT($AB11)))</f>
        <v>0</v>
      </c>
      <c r="L11" s="228">
        <f t="array" aca="1" ref="L11" ca="1">SUM((INDIRECT($AA11)&gt;'Ontario Position Rpt'!L$8)*(INDIRECT($AA11)&lt;'Ontario Position Rpt'!L$9)*(INDIRECT($AB11)))</f>
        <v>0</v>
      </c>
      <c r="M11" s="228">
        <f t="array" aca="1" ref="M11" ca="1">SUM((INDIRECT($AA11)&gt;'Ontario Position Rpt'!M$8)*(INDIRECT($AA11)&lt;'Ontario Position Rpt'!M$9)*(INDIRECT($AB11)))</f>
        <v>0</v>
      </c>
      <c r="N11" s="228">
        <f t="array" aca="1" ref="N11" ca="1">SUM((INDIRECT($AA11)&gt;'Ontario Position Rpt'!N$8)*(INDIRECT($AA11)&lt;'Ontario Position Rpt'!N$9)*(INDIRECT($AB11)))</f>
        <v>0</v>
      </c>
      <c r="O11" s="228">
        <f t="array" aca="1" ref="O11" ca="1">SUM((INDIRECT($AA11)&gt;'Ontario Position Rpt'!O$8)*(INDIRECT($AA11)&lt;'Ontario Position Rpt'!O$9)*(INDIRECT($AB11)))</f>
        <v>757340.07902719534</v>
      </c>
      <c r="P11" s="228">
        <f t="array" aca="1" ref="P11" ca="1">SUM((INDIRECT($AA11)&gt;'Ontario Position Rpt'!P$8)*(INDIRECT($AA11)&lt;'Ontario Position Rpt'!P$9)*(INDIRECT($AB11)))</f>
        <v>728461.03034303</v>
      </c>
      <c r="Q11" s="228">
        <f t="array" aca="1" ref="Q11" ca="1">SUM((INDIRECT($AA11)&gt;'Ontario Position Rpt'!Q$8)*(INDIRECT($AA11)&lt;'Ontario Position Rpt'!Q$9)*(INDIRECT($AB11)))</f>
        <v>691120.63991257572</v>
      </c>
      <c r="R11" s="228">
        <f t="array" aca="1" ref="R11" ca="1">SUM((INDIRECT($AA11)&gt;'Ontario Position Rpt'!R$8)*(INDIRECT($AA11)&lt;'Ontario Position Rpt'!R$9)*(INDIRECT($AB11)))</f>
        <v>1969342.2642091338</v>
      </c>
      <c r="S11" s="228">
        <f t="array" aca="1" ref="S11" ca="1">SUM((INDIRECT($AA11)&gt;'Ontario Position Rpt'!S$8)*(INDIRECT($AA11)&lt;'Ontario Position Rpt'!S$9)*(INDIRECT($AB11)))</f>
        <v>0</v>
      </c>
      <c r="T11" s="229">
        <f t="array" aca="1" ref="T11" ca="1">SUM((INDIRECT($AA11)&gt;'Ontario Position Rpt'!T$8)*(INDIRECT($AA11)&lt;'Ontario Position Rpt'!T$9)*(INDIRECT($AB11)))</f>
        <v>0</v>
      </c>
      <c r="V11" s="246">
        <f ca="1">SUM(H11:T11)</f>
        <v>4146264.0134919351</v>
      </c>
      <c r="Y11" s="236" t="str">
        <f>GetWorkSheet($C10)</f>
        <v>LongTerm62</v>
      </c>
      <c r="Z11" s="303"/>
      <c r="AA11" s="236" t="str">
        <f>IF(NOT($Y11="#VALUE#"),CONCATENATE($Y11,"!",GetDateStart($Y11),":",GetDateEnd($Y11)),"")</f>
        <v>LongTerm62!$D$22:$D$99</v>
      </c>
      <c r="AB11" s="236" t="str">
        <f>IF(NOT($Y11="#VALUE#"),CONCATENATE($Y11,"!",GetDeliveryStart($Y11),":",GetDeliveryEnd($Y11)),"")</f>
        <v>LongTerm62!$T$22:$T$99</v>
      </c>
      <c r="AC11" s="236">
        <f>GetRecNdx($Z10,$C10)</f>
        <v>1</v>
      </c>
    </row>
    <row r="14" spans="1:29" x14ac:dyDescent="0.25">
      <c r="G14" s="251" t="s">
        <v>197</v>
      </c>
    </row>
    <row r="15" spans="1:29" x14ac:dyDescent="0.25">
      <c r="G15" s="231" t="s">
        <v>716</v>
      </c>
      <c r="H15" s="232">
        <f ca="1">SUMIF($G$10:$G$11,$G$15,$H$10:$H$11)</f>
        <v>0</v>
      </c>
      <c r="I15" s="232">
        <f ca="1">SUMIF($G$10:$G$11,$G$15,$I$10:$I$11)</f>
        <v>0</v>
      </c>
      <c r="J15" s="232">
        <f ca="1">SUMIF($G$10:$G$11,$G$15,$J$10:$J$11)</f>
        <v>0</v>
      </c>
      <c r="K15" s="232">
        <f ca="1">SUMIF($G$10:$G$11,$G$15,$K$10:$K$11)</f>
        <v>0</v>
      </c>
      <c r="L15" s="232">
        <f ca="1">SUMIF($G$10:$G$11,$G$15,$L$10:$L$11)</f>
        <v>0</v>
      </c>
      <c r="M15" s="232">
        <f ca="1">SUMIF($G$10:$G$11,$G$15,$M$10:$M$11)</f>
        <v>0</v>
      </c>
      <c r="N15" s="232">
        <f ca="1">SUMIF($G$10:$G$11,$G$15,$N$10:$N$11)</f>
        <v>0</v>
      </c>
      <c r="O15" s="232">
        <f ca="1">SUMIF($G$10:$G$11,$G$15,$O$10:$O$11)</f>
        <v>-752776.92095498368</v>
      </c>
      <c r="P15" s="232">
        <f ca="1">SUMIF($G$10:$G$11,$G$15,$P$10:$P$11)</f>
        <v>-728461.03034303</v>
      </c>
      <c r="Q15" s="232">
        <f ca="1">SUMIF($G$10:$G$11,$G$15,$Q$10:$Q$11)</f>
        <v>-691120.63991257572</v>
      </c>
      <c r="R15" s="232">
        <f ca="1">SUMIF($G$10:$G$11,$G$15,$R$10:$R$11)</f>
        <v>-1969342.2642091338</v>
      </c>
      <c r="S15" s="232">
        <f ca="1">SUMIF($G$10:$G$11,$G$15,$S$10:$S$11)</f>
        <v>0</v>
      </c>
      <c r="T15" s="232">
        <f ca="1">SUMIF($G$10:$G$11,$G$15,$T$10:$T$11)</f>
        <v>0</v>
      </c>
    </row>
    <row r="16" spans="1:29" x14ac:dyDescent="0.25">
      <c r="G16" s="231" t="s">
        <v>717</v>
      </c>
      <c r="H16" s="232">
        <f ca="1">SUMIF($G$10:$G$11,$G$16,$H$10:$H$11)</f>
        <v>0</v>
      </c>
      <c r="I16" s="232">
        <f ca="1">SUMIF($G$10:$G$11,$G$16,$I$10:$I$11)</f>
        <v>0</v>
      </c>
      <c r="J16" s="232">
        <f ca="1">SUMIF($G$10:$G$11,$G$16,$J$10:$J$11)</f>
        <v>0</v>
      </c>
      <c r="K16" s="232">
        <f ca="1">SUMIF($G$10:$G$11,$G$16,$K$10:$K$11)</f>
        <v>0</v>
      </c>
      <c r="L16" s="232">
        <f ca="1">SUMIF($G$10:$G$11,$G$16,$L$10:$L$11)</f>
        <v>0</v>
      </c>
      <c r="M16" s="232">
        <f ca="1">SUMIF($G$10:$G$11,$G$16,$M$10:$M$11)</f>
        <v>0</v>
      </c>
      <c r="N16" s="232">
        <f ca="1">SUMIF($G$10:$G$11,$G$16,$N$10:$N$11)</f>
        <v>0</v>
      </c>
      <c r="O16" s="232">
        <f ca="1">SUMIF($G$10:$G$11,$G$16,$O$10:$O$11)</f>
        <v>757340.07902719534</v>
      </c>
      <c r="P16" s="232">
        <f ca="1">SUMIF($G$10:$G$11,$G$16,$P$10:$P$11)</f>
        <v>728461.03034303</v>
      </c>
      <c r="Q16" s="232">
        <f ca="1">SUMIF($G$10:$G$11,$G$16,$Q$10:$Q$11)</f>
        <v>691120.63991257572</v>
      </c>
      <c r="R16" s="232">
        <f ca="1">SUMIF($G$10:$G$11,$G$16,$R$10:$R$11)</f>
        <v>1969342.2642091338</v>
      </c>
      <c r="S16" s="232">
        <f ca="1">SUMIF($G$10:$G$11,$G$16,$S$10:$S$11)</f>
        <v>0</v>
      </c>
      <c r="T16" s="232">
        <f ca="1">SUMIF($G$10:$G$11,$G$16,$T$10:$T$11)</f>
        <v>0</v>
      </c>
    </row>
    <row r="18" spans="7:20" x14ac:dyDescent="0.25">
      <c r="G18" s="252" t="s">
        <v>198</v>
      </c>
    </row>
    <row r="19" spans="7:20" x14ac:dyDescent="0.25">
      <c r="G19" s="231" t="s">
        <v>199</v>
      </c>
      <c r="H19" s="232">
        <f ca="1">SUMIF($H$10:$H$11,"&gt;0",$H$10:$H$11)</f>
        <v>0</v>
      </c>
      <c r="I19" s="232">
        <f ca="1">SUMIF($I$10:$I$11,"&gt;0",$I$10:$I$11)</f>
        <v>0</v>
      </c>
      <c r="J19" s="232">
        <f ca="1">SUMIF($J$10:$J$11,"&gt;0",$J$10:$J$11)</f>
        <v>0</v>
      </c>
      <c r="K19" s="232">
        <f ca="1">SUMIF($K$10:$K$11,"&gt;0",$K$10:$K$11)</f>
        <v>0</v>
      </c>
      <c r="L19" s="232">
        <f ca="1">SUMIF($L$10:$L$11,"&gt;0",$L$10:$L$11)</f>
        <v>0</v>
      </c>
      <c r="M19" s="232">
        <f ca="1">SUMIF($M$10:$M$11,"&gt;0",$M$10:$M$11)</f>
        <v>0</v>
      </c>
      <c r="N19" s="232">
        <f ca="1">SUMIF($N$10:$N$11,"&gt;0",$N$10:$N$11)</f>
        <v>0</v>
      </c>
      <c r="O19" s="232">
        <f ca="1">SUMIF($O$10:$O$11,"&gt;0",$O$10:$O$11)</f>
        <v>757340.07902719534</v>
      </c>
      <c r="P19" s="232">
        <f ca="1">SUMIF($P$10:$P$11,"&gt;0",$P$10:$P$11)</f>
        <v>728461.03034303</v>
      </c>
      <c r="Q19" s="232">
        <f ca="1">SUMIF($Q$10:$Q$11,"&gt;0",$Q$10:$Q$11)</f>
        <v>691120.63991257572</v>
      </c>
      <c r="R19" s="232">
        <f ca="1">SUMIF($R$10:$R$11,"&gt;0",$R$10:$R$11)</f>
        <v>1969342.2642091338</v>
      </c>
      <c r="S19" s="232">
        <f ca="1">SUMIF($S$10:$S$11,"&gt;0",$S$10:$S$11)</f>
        <v>0</v>
      </c>
      <c r="T19" s="232">
        <f ca="1">SUMIF($T$10:$T$11,"&gt;0",$T$10:$T$11)</f>
        <v>0</v>
      </c>
    </row>
    <row r="20" spans="7:20" x14ac:dyDescent="0.25">
      <c r="G20" s="231" t="s">
        <v>200</v>
      </c>
      <c r="H20" s="232">
        <f ca="1">SUMIF($H$10:$H$11,"&lt;0",$H$10:$H$11)</f>
        <v>0</v>
      </c>
      <c r="I20" s="232">
        <f ca="1">SUMIF($I$10:$I$11,"&lt;0",$I$10:$I$11)</f>
        <v>0</v>
      </c>
      <c r="J20" s="232">
        <f ca="1">SUMIF($J$10:$J$11,"&lt;0",$J$10:$J$11)</f>
        <v>0</v>
      </c>
      <c r="K20" s="232">
        <f ca="1">SUMIF($K$10:$K$11,"&lt;0",$K$10:$K$11)</f>
        <v>0</v>
      </c>
      <c r="L20" s="232">
        <f ca="1">SUMIF($L$10:$L$11,"&lt;0",$L$10:$L$11)</f>
        <v>0</v>
      </c>
      <c r="M20" s="232">
        <f ca="1">SUMIF($M$10:$M$11,"&lt;0",$M$10:$M$11)</f>
        <v>0</v>
      </c>
      <c r="N20" s="232">
        <f ca="1">SUMIF($N$10:$N$11,"&lt;0",$N$10:$N$11)</f>
        <v>0</v>
      </c>
      <c r="O20" s="232">
        <f ca="1">SUMIF($O$10:$O$11,"&lt;0",$O$10:$O$11)</f>
        <v>-752776.92095498368</v>
      </c>
      <c r="P20" s="232">
        <f ca="1">SUMIF($P$10:$P$11,"&lt;0",$P$10:$P$11)</f>
        <v>-728461.03034303</v>
      </c>
      <c r="Q20" s="232">
        <f ca="1">SUMIF($Q$10:$Q$11,"&lt;0",$Q$10:$Q$11)</f>
        <v>-691120.63991257572</v>
      </c>
      <c r="R20" s="232">
        <f ca="1">SUMIF($R$10:$R$11,"&lt;0",$R$10:$R$11)</f>
        <v>-1969342.2642091338</v>
      </c>
      <c r="S20" s="232">
        <f ca="1">SUMIF($S$10:$S$11,"&lt;0",$S$10:$S$11)</f>
        <v>0</v>
      </c>
      <c r="T20" s="232">
        <f ca="1">SUMIF($T$10:$T$11,"&lt;0",$T$10:$T$11)</f>
        <v>0</v>
      </c>
    </row>
  </sheetData>
  <sheetCalcPr fullCalcOnLoad="1"/>
  <mergeCells count="5">
    <mergeCell ref="V8:V9"/>
    <mergeCell ref="C10:C11"/>
    <mergeCell ref="F10:F11"/>
    <mergeCell ref="E10:E11"/>
    <mergeCell ref="C8:C9"/>
  </mergeCells>
  <phoneticPr fontId="0" type="noConversion"/>
  <pageMargins left="0.75" right="0.75" top="1" bottom="1" header="0.5" footer="0.5"/>
  <pageSetup paperSize="5" scale="59" orientation="landscape"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6434" r:id="rId4" name="Button 2">
              <controlPr defaultSize="0" print="0" autoFill="0" autoPict="0" macro="[0]!Button2_Click">
                <anchor moveWithCells="1" sizeWithCells="1">
                  <from>
                    <xdr:col>1</xdr:col>
                    <xdr:colOff>182880</xdr:colOff>
                    <xdr:row>1</xdr:row>
                    <xdr:rowOff>76200</xdr:rowOff>
                  </from>
                  <to>
                    <xdr:col>3</xdr:col>
                    <xdr:colOff>45720</xdr:colOff>
                    <xdr:row>4</xdr:row>
                    <xdr:rowOff>68580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pageSetUpPr fitToPage="1"/>
  </sheetPr>
  <dimension ref="B2:CN164"/>
  <sheetViews>
    <sheetView showGridLines="0" topLeftCell="BT5" workbookViewId="0">
      <selection activeCell="CC17" sqref="CC17"/>
    </sheetView>
  </sheetViews>
  <sheetFormatPr defaultColWidth="9.109375" defaultRowHeight="13.2" x14ac:dyDescent="0.25"/>
  <cols>
    <col min="1" max="1" width="1" style="433" customWidth="1"/>
    <col min="2" max="2" width="9.109375" style="433"/>
    <col min="3" max="3" width="9.109375" style="433" hidden="1" customWidth="1"/>
    <col min="4" max="4" width="6.109375" style="433" customWidth="1"/>
    <col min="5" max="5" width="7.5546875" style="433" customWidth="1"/>
    <col min="6" max="6" width="7.109375" style="433" bestFit="1" customWidth="1"/>
    <col min="7" max="7" width="7.44140625" style="433" bestFit="1" customWidth="1"/>
    <col min="8" max="8" width="5.33203125" style="433" bestFit="1" customWidth="1"/>
    <col min="9" max="9" width="7.88671875" style="433" customWidth="1"/>
    <col min="10" max="12" width="0" style="433" hidden="1" customWidth="1"/>
    <col min="13" max="15" width="9.109375" style="433"/>
    <col min="16" max="16" width="3" style="433" customWidth="1"/>
    <col min="17" max="17" width="9.109375" style="520"/>
    <col min="18" max="18" width="6" style="520" bestFit="1" customWidth="1"/>
    <col min="19" max="19" width="9" style="520" bestFit="1" customWidth="1"/>
    <col min="20" max="20" width="8.109375" style="520" bestFit="1" customWidth="1"/>
    <col min="21" max="21" width="9" style="520" bestFit="1" customWidth="1"/>
    <col min="22" max="22" width="7.88671875" style="520" bestFit="1" customWidth="1"/>
    <col min="23" max="23" width="6.88671875" style="520" bestFit="1" customWidth="1"/>
    <col min="24" max="25" width="9.33203125" style="520" bestFit="1" customWidth="1"/>
    <col min="26" max="26" width="9.33203125" style="520" customWidth="1"/>
    <col min="27" max="27" width="3.109375" style="520" customWidth="1"/>
    <col min="28" max="28" width="9.109375" style="520"/>
    <col min="29" max="30" width="5.33203125" style="520" bestFit="1" customWidth="1"/>
    <col min="31" max="31" width="7.109375" style="520" bestFit="1" customWidth="1"/>
    <col min="32" max="32" width="7.33203125" style="520" customWidth="1"/>
    <col min="33" max="33" width="7.6640625" style="520" bestFit="1" customWidth="1"/>
    <col min="34" max="34" width="9" style="520" customWidth="1"/>
    <col min="35" max="35" width="10.5546875" style="520" customWidth="1"/>
    <col min="36" max="37" width="8.44140625" style="520" customWidth="1"/>
    <col min="38" max="39" width="9.109375" style="433"/>
    <col min="40" max="51" width="12.6640625" style="433" customWidth="1"/>
    <col min="52" max="58" width="12.6640625" style="433" hidden="1" customWidth="1"/>
    <col min="59" max="66" width="12.6640625" style="433" customWidth="1"/>
    <col min="67" max="69" width="9.109375" style="433"/>
    <col min="70" max="70" width="13.109375" style="433" customWidth="1"/>
    <col min="71" max="76" width="12.6640625" style="433" customWidth="1"/>
    <col min="77" max="79" width="12.6640625" style="555" customWidth="1"/>
    <col min="80" max="80" width="14.44140625" style="433" customWidth="1"/>
    <col min="81" max="81" width="13.44140625" style="433" customWidth="1"/>
    <col min="82" max="88" width="9.109375" style="433"/>
    <col min="89" max="89" width="9.109375" style="526"/>
    <col min="90" max="16384" width="9.109375" style="433"/>
  </cols>
  <sheetData>
    <row r="2" spans="2:92" x14ac:dyDescent="0.25">
      <c r="B2" s="532"/>
      <c r="C2" s="448"/>
      <c r="D2" s="536" t="s">
        <v>657</v>
      </c>
      <c r="E2" s="536"/>
      <c r="F2" s="536"/>
      <c r="G2" s="536"/>
      <c r="H2" s="536"/>
      <c r="I2" s="537"/>
      <c r="J2" s="537"/>
      <c r="K2" s="537"/>
      <c r="L2" s="538"/>
      <c r="M2" s="539"/>
      <c r="N2" s="540"/>
      <c r="O2" s="614"/>
    </row>
    <row r="3" spans="2:92" x14ac:dyDescent="0.25">
      <c r="B3" s="533"/>
      <c r="D3" s="564" t="s">
        <v>574</v>
      </c>
      <c r="E3" s="564" t="s">
        <v>641</v>
      </c>
      <c r="F3" s="564" t="s">
        <v>255</v>
      </c>
      <c r="G3" s="564" t="s">
        <v>254</v>
      </c>
      <c r="H3" s="564" t="s">
        <v>748</v>
      </c>
      <c r="I3" s="564" t="s">
        <v>699</v>
      </c>
      <c r="J3" s="543"/>
      <c r="K3" s="543"/>
      <c r="L3" s="543"/>
      <c r="M3" s="544" t="s">
        <v>715</v>
      </c>
      <c r="N3" s="544" t="s">
        <v>714</v>
      </c>
      <c r="O3" s="564" t="s">
        <v>830</v>
      </c>
    </row>
    <row r="4" spans="2:92" x14ac:dyDescent="0.25">
      <c r="B4" s="534">
        <v>2001</v>
      </c>
      <c r="D4" s="565">
        <f t="shared" ref="D4:I12" si="0">SUMIF($C$17:$C$65536,$B4,D$17:D$65536)</f>
        <v>0</v>
      </c>
      <c r="E4" s="565">
        <f t="shared" si="0"/>
        <v>0</v>
      </c>
      <c r="F4" s="565">
        <f t="shared" si="0"/>
        <v>0</v>
      </c>
      <c r="G4" s="565">
        <f t="shared" si="0"/>
        <v>0</v>
      </c>
      <c r="H4" s="565">
        <f t="shared" si="0"/>
        <v>0</v>
      </c>
      <c r="I4" s="565">
        <f t="shared" si="0"/>
        <v>0</v>
      </c>
      <c r="J4" s="447"/>
      <c r="K4" s="447"/>
      <c r="L4" s="445"/>
      <c r="M4" s="445">
        <f t="shared" ref="M4:O12" si="1">SUMIF($C$17:$C$65536,$B4,M$17:M$65536)</f>
        <v>0</v>
      </c>
      <c r="N4" s="613">
        <f t="shared" si="1"/>
        <v>0</v>
      </c>
      <c r="O4" s="562">
        <f t="shared" si="1"/>
        <v>0</v>
      </c>
    </row>
    <row r="5" spans="2:92" x14ac:dyDescent="0.25">
      <c r="B5" s="534">
        <v>2002</v>
      </c>
      <c r="D5" s="565">
        <f t="shared" si="0"/>
        <v>-27.199352998675224</v>
      </c>
      <c r="E5" s="565">
        <f t="shared" si="0"/>
        <v>-146.14040195130465</v>
      </c>
      <c r="F5" s="565">
        <f t="shared" si="0"/>
        <v>-7.6718805015541172</v>
      </c>
      <c r="G5" s="565">
        <f t="shared" si="0"/>
        <v>-25.900643681197948</v>
      </c>
      <c r="H5" s="565">
        <f t="shared" si="0"/>
        <v>-27.759177664929425</v>
      </c>
      <c r="I5" s="565">
        <f t="shared" si="0"/>
        <v>28.673442420029623</v>
      </c>
      <c r="J5" s="447"/>
      <c r="K5" s="447"/>
      <c r="L5" s="445"/>
      <c r="M5" s="445">
        <f t="shared" si="1"/>
        <v>-5.5426998838666712</v>
      </c>
      <c r="N5" s="565">
        <f t="shared" si="1"/>
        <v>6.4840293523900332</v>
      </c>
      <c r="O5" s="565">
        <f t="shared" si="1"/>
        <v>106.95797891175789</v>
      </c>
    </row>
    <row r="6" spans="2:92" x14ac:dyDescent="0.25">
      <c r="B6" s="534">
        <v>2003</v>
      </c>
      <c r="D6" s="565">
        <f t="shared" si="0"/>
        <v>7.8339194876473774</v>
      </c>
      <c r="E6" s="565">
        <f t="shared" si="0"/>
        <v>-137.99211833000214</v>
      </c>
      <c r="F6" s="565">
        <f t="shared" si="0"/>
        <v>-0.40531524187281676</v>
      </c>
      <c r="G6" s="565">
        <f t="shared" si="0"/>
        <v>132.98448458692425</v>
      </c>
      <c r="H6" s="565">
        <f t="shared" si="0"/>
        <v>0</v>
      </c>
      <c r="I6" s="565">
        <f t="shared" si="0"/>
        <v>0</v>
      </c>
      <c r="J6" s="447"/>
      <c r="K6" s="447"/>
      <c r="L6" s="445"/>
      <c r="M6" s="445">
        <f t="shared" si="1"/>
        <v>-6.5340550752508832</v>
      </c>
      <c r="N6" s="565">
        <f t="shared" si="1"/>
        <v>7.0790452785236067</v>
      </c>
      <c r="O6" s="565">
        <f t="shared" si="1"/>
        <v>73.801878269325414</v>
      </c>
    </row>
    <row r="7" spans="2:92" x14ac:dyDescent="0.25">
      <c r="B7" s="534">
        <v>2004</v>
      </c>
      <c r="D7" s="565">
        <f t="shared" si="0"/>
        <v>5.0170958290204322</v>
      </c>
      <c r="E7" s="565">
        <f t="shared" si="0"/>
        <v>-37.929801900483696</v>
      </c>
      <c r="F7" s="565">
        <f t="shared" si="0"/>
        <v>0.3137218867708178</v>
      </c>
      <c r="G7" s="565">
        <f t="shared" si="0"/>
        <v>18.673137736192658</v>
      </c>
      <c r="H7" s="565">
        <f t="shared" si="0"/>
        <v>0</v>
      </c>
      <c r="I7" s="565">
        <f t="shared" si="0"/>
        <v>0</v>
      </c>
      <c r="J7" s="447"/>
      <c r="K7" s="447"/>
      <c r="L7" s="445"/>
      <c r="M7" s="445">
        <f t="shared" si="1"/>
        <v>-4.3113925383629486</v>
      </c>
      <c r="N7" s="565">
        <f t="shared" si="1"/>
        <v>5.6714306449035465</v>
      </c>
      <c r="O7" s="565">
        <f t="shared" si="1"/>
        <v>0</v>
      </c>
    </row>
    <row r="8" spans="2:92" x14ac:dyDescent="0.25">
      <c r="B8" s="534">
        <v>2005</v>
      </c>
      <c r="D8" s="565">
        <f t="shared" si="0"/>
        <v>9.4061009407677005</v>
      </c>
      <c r="E8" s="565">
        <f t="shared" si="0"/>
        <v>-8.64680256857865</v>
      </c>
      <c r="F8" s="565">
        <f t="shared" si="0"/>
        <v>2.3433185965075154</v>
      </c>
      <c r="G8" s="565">
        <f t="shared" si="0"/>
        <v>-13.143209173679409</v>
      </c>
      <c r="H8" s="565">
        <f t="shared" si="0"/>
        <v>0</v>
      </c>
      <c r="I8" s="565">
        <f t="shared" si="0"/>
        <v>0</v>
      </c>
      <c r="J8" s="447"/>
      <c r="K8" s="447"/>
      <c r="L8" s="445"/>
      <c r="M8" s="445">
        <f t="shared" si="1"/>
        <v>-7.7246569013836872</v>
      </c>
      <c r="N8" s="565">
        <f t="shared" si="1"/>
        <v>8.9774509879018769</v>
      </c>
      <c r="O8" s="565">
        <f t="shared" si="1"/>
        <v>0</v>
      </c>
      <c r="P8" s="555"/>
    </row>
    <row r="9" spans="2:92" x14ac:dyDescent="0.25">
      <c r="B9" s="534">
        <v>2006</v>
      </c>
      <c r="D9" s="565">
        <f t="shared" si="0"/>
        <v>16.831352914131287</v>
      </c>
      <c r="E9" s="565">
        <f t="shared" si="0"/>
        <v>-22.044725582013371</v>
      </c>
      <c r="F9" s="565">
        <f t="shared" si="0"/>
        <v>-1.4700617243803649</v>
      </c>
      <c r="G9" s="565">
        <f t="shared" si="0"/>
        <v>22.370192982107568</v>
      </c>
      <c r="H9" s="565">
        <f t="shared" si="0"/>
        <v>0</v>
      </c>
      <c r="I9" s="565">
        <f t="shared" si="0"/>
        <v>0</v>
      </c>
      <c r="J9" s="447"/>
      <c r="K9" s="447"/>
      <c r="L9" s="445"/>
      <c r="M9" s="445">
        <f t="shared" si="1"/>
        <v>-6.3431329205941669</v>
      </c>
      <c r="N9" s="565">
        <f t="shared" si="1"/>
        <v>7.5190801590116561</v>
      </c>
      <c r="O9" s="565">
        <f t="shared" si="1"/>
        <v>0</v>
      </c>
    </row>
    <row r="10" spans="2:92" x14ac:dyDescent="0.25">
      <c r="B10" s="534">
        <v>2007</v>
      </c>
      <c r="D10" s="565">
        <f t="shared" si="0"/>
        <v>21.311668625381323</v>
      </c>
      <c r="E10" s="565">
        <f t="shared" si="0"/>
        <v>-38.980954753311693</v>
      </c>
      <c r="F10" s="565">
        <f t="shared" si="0"/>
        <v>-2.7208114214642123</v>
      </c>
      <c r="G10" s="565">
        <f t="shared" si="0"/>
        <v>40.921324330770972</v>
      </c>
      <c r="H10" s="565">
        <f t="shared" si="0"/>
        <v>0</v>
      </c>
      <c r="I10" s="565">
        <f t="shared" si="0"/>
        <v>0</v>
      </c>
      <c r="J10" s="447"/>
      <c r="K10" s="447"/>
      <c r="L10" s="445"/>
      <c r="M10" s="445">
        <f t="shared" si="1"/>
        <v>-6.3699735042517283</v>
      </c>
      <c r="N10" s="565">
        <f t="shared" si="1"/>
        <v>7.462083973637915</v>
      </c>
      <c r="O10" s="565">
        <f t="shared" si="1"/>
        <v>0</v>
      </c>
    </row>
    <row r="11" spans="2:92" x14ac:dyDescent="0.25">
      <c r="B11" s="534">
        <v>2008</v>
      </c>
      <c r="D11" s="565">
        <f t="shared" si="0"/>
        <v>23.730817015574321</v>
      </c>
      <c r="E11" s="565">
        <f t="shared" si="0"/>
        <v>-58.127365716135841</v>
      </c>
      <c r="F11" s="565">
        <f t="shared" si="0"/>
        <v>-5.7603348289907608</v>
      </c>
      <c r="G11" s="565">
        <f t="shared" si="0"/>
        <v>63.882983361975519</v>
      </c>
      <c r="H11" s="565">
        <f t="shared" si="0"/>
        <v>0</v>
      </c>
      <c r="I11" s="565">
        <f t="shared" si="0"/>
        <v>0</v>
      </c>
      <c r="J11" s="447"/>
      <c r="K11" s="447"/>
      <c r="L11" s="445"/>
      <c r="M11" s="445">
        <f t="shared" si="1"/>
        <v>-1.2807610493890156</v>
      </c>
      <c r="N11" s="565">
        <f t="shared" si="1"/>
        <v>1.916295248114416</v>
      </c>
      <c r="O11" s="565">
        <f t="shared" si="1"/>
        <v>0</v>
      </c>
    </row>
    <row r="12" spans="2:92" ht="13.8" thickBot="1" x14ac:dyDescent="0.3">
      <c r="B12" s="535">
        <v>2009</v>
      </c>
      <c r="D12" s="565" t="e">
        <f t="shared" si="0"/>
        <v>#N/A</v>
      </c>
      <c r="E12" s="565" t="e">
        <f t="shared" si="0"/>
        <v>#N/A</v>
      </c>
      <c r="F12" s="565" t="e">
        <f t="shared" si="0"/>
        <v>#N/A</v>
      </c>
      <c r="G12" s="565" t="e">
        <f t="shared" si="0"/>
        <v>#N/A</v>
      </c>
      <c r="H12" s="565" t="e">
        <f t="shared" si="0"/>
        <v>#N/A</v>
      </c>
      <c r="I12" s="565" t="e">
        <f t="shared" si="0"/>
        <v>#N/A</v>
      </c>
      <c r="J12" s="447"/>
      <c r="K12" s="447"/>
      <c r="L12" s="445"/>
      <c r="M12" s="565" t="e">
        <f t="shared" si="1"/>
        <v>#N/A</v>
      </c>
      <c r="N12" s="569" t="e">
        <f t="shared" si="1"/>
        <v>#N/A</v>
      </c>
      <c r="O12" s="565" t="e">
        <f t="shared" si="1"/>
        <v>#N/A</v>
      </c>
    </row>
    <row r="13" spans="2:92" ht="13.8" thickBot="1" x14ac:dyDescent="0.3">
      <c r="D13" s="566" t="e">
        <f t="shared" ref="D13:I13" si="2">SUM(D4:D12)</f>
        <v>#N/A</v>
      </c>
      <c r="E13" s="567" t="e">
        <f t="shared" si="2"/>
        <v>#N/A</v>
      </c>
      <c r="F13" s="567" t="e">
        <f t="shared" si="2"/>
        <v>#N/A</v>
      </c>
      <c r="G13" s="567" t="e">
        <f t="shared" si="2"/>
        <v>#N/A</v>
      </c>
      <c r="H13" s="567" t="e">
        <f t="shared" si="2"/>
        <v>#N/A</v>
      </c>
      <c r="I13" s="567" t="e">
        <f t="shared" si="2"/>
        <v>#N/A</v>
      </c>
      <c r="J13" s="530"/>
      <c r="K13" s="530"/>
      <c r="L13" s="530"/>
      <c r="M13" s="568" t="e">
        <f>SUM(M4:M12)</f>
        <v>#N/A</v>
      </c>
      <c r="N13" s="531" t="e">
        <f>SUM(N4:N12)</f>
        <v>#N/A</v>
      </c>
      <c r="O13" s="615" t="e">
        <f>SUM(O4:O12)</f>
        <v>#N/A</v>
      </c>
    </row>
    <row r="14" spans="2:92" ht="13.8" thickBot="1" x14ac:dyDescent="0.3">
      <c r="AF14" s="522"/>
      <c r="AN14" s="584" t="s">
        <v>640</v>
      </c>
      <c r="AO14" s="585"/>
      <c r="AP14" s="586"/>
      <c r="AR14" s="584" t="s">
        <v>642</v>
      </c>
      <c r="AS14" s="585"/>
      <c r="AT14" s="586"/>
      <c r="AV14" s="584" t="s">
        <v>798</v>
      </c>
      <c r="AW14" s="585"/>
      <c r="AX14" s="586"/>
      <c r="AZ14" s="442"/>
      <c r="BA14" s="443"/>
      <c r="BB14" s="444"/>
      <c r="BD14" s="442"/>
      <c r="BE14" s="443"/>
      <c r="BF14" s="444"/>
      <c r="BH14" s="584" t="s">
        <v>643</v>
      </c>
      <c r="BI14" s="585"/>
      <c r="BJ14" s="586"/>
      <c r="BL14" s="584" t="s">
        <v>644</v>
      </c>
      <c r="BM14" s="585"/>
      <c r="BN14" s="586"/>
      <c r="BQ14" s="584" t="s">
        <v>796</v>
      </c>
      <c r="BR14" s="585"/>
      <c r="BS14" s="586"/>
      <c r="BT14" s="597"/>
      <c r="BV14" s="584" t="s">
        <v>834</v>
      </c>
      <c r="BW14" s="585"/>
      <c r="BX14" s="601"/>
      <c r="BY14" s="597"/>
      <c r="BZ14" s="433"/>
      <c r="CA14" s="584" t="s">
        <v>835</v>
      </c>
      <c r="CB14" s="585"/>
      <c r="CC14" s="601"/>
      <c r="CD14" s="555"/>
    </row>
    <row r="15" spans="2:92" x14ac:dyDescent="0.25">
      <c r="B15" s="532"/>
      <c r="C15" s="545"/>
      <c r="D15" s="546"/>
      <c r="E15" s="546"/>
      <c r="F15" s="547" t="s">
        <v>795</v>
      </c>
      <c r="G15" s="545"/>
      <c r="H15" s="545"/>
      <c r="I15" s="545"/>
      <c r="J15" s="545"/>
      <c r="K15" s="545"/>
      <c r="L15" s="545"/>
      <c r="M15" s="545"/>
      <c r="N15" s="548"/>
      <c r="O15" s="612"/>
      <c r="Q15" s="602" t="s">
        <v>646</v>
      </c>
      <c r="R15" s="603"/>
      <c r="S15" s="603"/>
      <c r="T15" s="603"/>
      <c r="U15" s="603"/>
      <c r="V15" s="603"/>
      <c r="W15" s="603"/>
      <c r="X15" s="603"/>
      <c r="Y15" s="604"/>
      <c r="Z15" s="605"/>
      <c r="AA15" s="521"/>
      <c r="AB15" s="532"/>
      <c r="AC15" s="536" t="s">
        <v>647</v>
      </c>
      <c r="AD15" s="550"/>
      <c r="AE15" s="550"/>
      <c r="AF15" s="545"/>
      <c r="AG15" s="550"/>
      <c r="AH15" s="550"/>
      <c r="AI15" s="550"/>
      <c r="AJ15" s="551"/>
      <c r="AK15" s="610"/>
      <c r="AN15" s="587"/>
      <c r="AO15" s="588" t="s">
        <v>191</v>
      </c>
      <c r="AP15" s="589" t="s">
        <v>188</v>
      </c>
      <c r="AR15" s="587"/>
      <c r="AS15" s="588" t="s">
        <v>191</v>
      </c>
      <c r="AT15" s="589" t="s">
        <v>188</v>
      </c>
      <c r="AV15" s="587"/>
      <c r="AW15" s="588" t="s">
        <v>191</v>
      </c>
      <c r="AX15" s="589" t="s">
        <v>188</v>
      </c>
      <c r="AZ15" s="436"/>
      <c r="BA15" s="437"/>
      <c r="BB15" s="438"/>
      <c r="BD15" s="436"/>
      <c r="BE15" s="437"/>
      <c r="BF15" s="438"/>
      <c r="BH15" s="587"/>
      <c r="BI15" s="588" t="s">
        <v>191</v>
      </c>
      <c r="BJ15" s="589" t="s">
        <v>188</v>
      </c>
      <c r="BL15" s="587"/>
      <c r="BM15" s="588" t="s">
        <v>191</v>
      </c>
      <c r="BN15" s="589" t="s">
        <v>188</v>
      </c>
      <c r="BQ15" s="587"/>
      <c r="BR15" s="588" t="s">
        <v>191</v>
      </c>
      <c r="BS15" s="589" t="s">
        <v>188</v>
      </c>
      <c r="BT15" s="598"/>
      <c r="BV15" s="587"/>
      <c r="BW15" s="588" t="s">
        <v>191</v>
      </c>
      <c r="BX15" s="589" t="s">
        <v>188</v>
      </c>
      <c r="BY15" s="598"/>
      <c r="BZ15" s="433"/>
      <c r="CA15" s="587"/>
      <c r="CB15" s="588" t="s">
        <v>191</v>
      </c>
      <c r="CC15" s="589" t="s">
        <v>188</v>
      </c>
      <c r="CD15" s="555"/>
    </row>
    <row r="16" spans="2:92" ht="13.8" thickBot="1" x14ac:dyDescent="0.3">
      <c r="B16" s="532"/>
      <c r="C16" s="545"/>
      <c r="D16" s="544" t="s">
        <v>574</v>
      </c>
      <c r="E16" s="544" t="s">
        <v>641</v>
      </c>
      <c r="F16" s="544" t="s">
        <v>255</v>
      </c>
      <c r="G16" s="544" t="s">
        <v>254</v>
      </c>
      <c r="H16" s="549" t="s">
        <v>748</v>
      </c>
      <c r="I16" s="549" t="s">
        <v>699</v>
      </c>
      <c r="J16" s="542"/>
      <c r="K16" s="542"/>
      <c r="L16" s="542"/>
      <c r="M16" s="549" t="s">
        <v>715</v>
      </c>
      <c r="N16" s="549" t="s">
        <v>714</v>
      </c>
      <c r="O16" s="564" t="s">
        <v>830</v>
      </c>
      <c r="Q16" s="606"/>
      <c r="R16" s="607" t="s">
        <v>574</v>
      </c>
      <c r="S16" s="608" t="s">
        <v>641</v>
      </c>
      <c r="T16" s="608" t="s">
        <v>255</v>
      </c>
      <c r="U16" s="608" t="s">
        <v>254</v>
      </c>
      <c r="V16" s="608" t="s">
        <v>737</v>
      </c>
      <c r="W16" s="608" t="s">
        <v>699</v>
      </c>
      <c r="X16" s="608" t="s">
        <v>715</v>
      </c>
      <c r="Y16" s="609" t="s">
        <v>714</v>
      </c>
      <c r="Z16" s="564" t="s">
        <v>830</v>
      </c>
      <c r="AA16" s="437"/>
      <c r="AB16" s="541"/>
      <c r="AC16" s="544" t="s">
        <v>574</v>
      </c>
      <c r="AD16" s="564" t="s">
        <v>641</v>
      </c>
      <c r="AE16" s="564" t="s">
        <v>255</v>
      </c>
      <c r="AF16" s="564" t="s">
        <v>645</v>
      </c>
      <c r="AG16" s="564" t="s">
        <v>737</v>
      </c>
      <c r="AH16" s="564" t="s">
        <v>699</v>
      </c>
      <c r="AI16" s="564" t="s">
        <v>715</v>
      </c>
      <c r="AJ16" s="549" t="s">
        <v>714</v>
      </c>
      <c r="AK16" s="564" t="s">
        <v>830</v>
      </c>
      <c r="AN16" s="587" t="s">
        <v>574</v>
      </c>
      <c r="AO16" s="588" t="s">
        <v>254</v>
      </c>
      <c r="AP16" s="589" t="s">
        <v>641</v>
      </c>
      <c r="AR16" s="587" t="s">
        <v>574</v>
      </c>
      <c r="AS16" s="588" t="s">
        <v>254</v>
      </c>
      <c r="AT16" s="589" t="s">
        <v>255</v>
      </c>
      <c r="AV16" s="590" t="s">
        <v>574</v>
      </c>
      <c r="AW16" s="591" t="s">
        <v>746</v>
      </c>
      <c r="AX16" s="592" t="s">
        <v>747</v>
      </c>
      <c r="AZ16" s="439"/>
      <c r="BA16" s="440"/>
      <c r="BB16" s="441"/>
      <c r="BD16" s="439"/>
      <c r="BE16" s="440"/>
      <c r="BF16" s="441"/>
      <c r="BH16" s="587" t="s">
        <v>574</v>
      </c>
      <c r="BI16" s="588" t="s">
        <v>254</v>
      </c>
      <c r="BJ16" s="589" t="s">
        <v>255</v>
      </c>
      <c r="BL16" s="587" t="s">
        <v>574</v>
      </c>
      <c r="BM16" s="588" t="s">
        <v>254</v>
      </c>
      <c r="BN16" s="589" t="s">
        <v>255</v>
      </c>
      <c r="BQ16" s="587" t="s">
        <v>574</v>
      </c>
      <c r="BR16" s="588" t="s">
        <v>715</v>
      </c>
      <c r="BS16" s="589" t="s">
        <v>714</v>
      </c>
      <c r="BT16" s="598"/>
      <c r="BV16" s="587" t="s">
        <v>574</v>
      </c>
      <c r="BW16" s="588" t="s">
        <v>830</v>
      </c>
      <c r="BX16" s="589" t="s">
        <v>253</v>
      </c>
      <c r="BY16" s="598"/>
      <c r="BZ16" s="433"/>
      <c r="CA16" s="587" t="s">
        <v>574</v>
      </c>
      <c r="CB16" s="588" t="s">
        <v>836</v>
      </c>
      <c r="CC16" s="589" t="s">
        <v>253</v>
      </c>
      <c r="CD16" s="555"/>
      <c r="CF16" s="616"/>
      <c r="CG16" s="617" t="s">
        <v>647</v>
      </c>
      <c r="CH16" s="618"/>
      <c r="CI16" s="618"/>
      <c r="CJ16" s="618"/>
      <c r="CK16" s="619"/>
      <c r="CL16" s="618"/>
      <c r="CM16" s="618"/>
      <c r="CN16" s="620"/>
    </row>
    <row r="17" spans="2:92" x14ac:dyDescent="0.25">
      <c r="B17" s="552">
        <f>Q17</f>
        <v>37271</v>
      </c>
      <c r="C17" s="435">
        <f>YEAR(B17)</f>
        <v>2002</v>
      </c>
      <c r="D17" s="445">
        <f>R17+AC17</f>
        <v>-8.594179564261875</v>
      </c>
      <c r="E17" s="445">
        <f>S17+AD17</f>
        <v>-5.7420364294357</v>
      </c>
      <c r="F17" s="445">
        <f>+T17+AE17</f>
        <v>-0.51751801524303431</v>
      </c>
      <c r="G17" s="445">
        <f>+U17+AF17</f>
        <v>2.6089887246254193</v>
      </c>
      <c r="H17" s="445">
        <f>V17+AG17</f>
        <v>-7.6538744409306325</v>
      </c>
      <c r="I17" s="445">
        <f>W17+AH17</f>
        <v>8.0409812691614988</v>
      </c>
      <c r="J17" s="447"/>
      <c r="K17" s="447"/>
      <c r="L17" s="447"/>
      <c r="M17" s="562">
        <f>X17+AI17</f>
        <v>0.43965101616211122</v>
      </c>
      <c r="N17" s="613">
        <f>Y17+AJ17</f>
        <v>3.4082625430118085E-2</v>
      </c>
      <c r="O17" s="613">
        <f>Z17+AK17</f>
        <v>4.8955456859683295</v>
      </c>
      <c r="Q17" s="553">
        <f>AM17</f>
        <v>37271</v>
      </c>
      <c r="R17" s="445">
        <f>SUMIF(AM:AM,$Q17,AN:AN)+SUMIF(AQ:AQ,$Q17,AR:AR)+SUMIF(AU:AU,$Q17,AV:AV)+SUMIF(BU:BU,$Q17,BV:BV)+SUMIF(BZ:BZ,$Q17,CA:CA)+SUMIF(BG:BG,$Q17,BH:BH)+SUMIF(BK:BK,$Q17,BL:BL)+SUMIF(BP:BP,$Q17,BQ:BQ)</f>
        <v>2.9058204357381254</v>
      </c>
      <c r="S17" s="565">
        <f>SUMIF(AM:AM,$Q17,AP:AP)+SUMIF(BU:BU,$Q17,BW:BW)+SUMIF(BZ:BZ,$Q17,CB:CB)</f>
        <v>-103.34203642943569</v>
      </c>
      <c r="T17" s="565">
        <f t="shared" ref="T17:T48" si="3">SUMIF(AQ:AQ,$Q17,AT:AT)+SUMIF(BG:BG,$Q17,BJ:BJ)+SUMIF(BK:BK,$Q17,BN:BN)</f>
        <v>-32.017518015243034</v>
      </c>
      <c r="U17" s="565">
        <f t="shared" ref="U17:U48" si="4">SUMIF(AM:AM,$Q17,AO:AO)+SUMIF(AQ:AQ,$Q17,AS:AS)+SUMIF(BG:BG,$Q17,BI:BI)+SUMIF(BK:BK,$Q17,BM:BM)</f>
        <v>166.40898872462543</v>
      </c>
      <c r="V17" s="565">
        <f t="shared" ref="V17:V80" si="5">SUMIF(AU:AU,$Q17,AW:AW)</f>
        <v>7.7461255590693678</v>
      </c>
      <c r="W17" s="565">
        <f t="shared" ref="W17:W80" si="6">SUMIF(AU:AU,$Q17,AX:AX)</f>
        <v>-7.3590187308385007</v>
      </c>
      <c r="X17" s="565">
        <f>SUMIF(BP:BP,$Q17,BR:BR)</f>
        <v>15.739651016162112</v>
      </c>
      <c r="Y17" s="445">
        <f>SUMIF(BP:BP,$Q17,BS:BS)</f>
        <v>-15.265917374569883</v>
      </c>
      <c r="Z17" s="565">
        <f>SUMIF(BU:BU,$Q17,BX:BX)+SUMIF(BZ:BZ,$Q17,CC:CC)</f>
        <v>-29.004454314031669</v>
      </c>
      <c r="AA17" s="447"/>
      <c r="AB17" s="553">
        <f>B17</f>
        <v>37271</v>
      </c>
      <c r="AC17" s="571">
        <f t="shared" ref="AC17:AC48" si="7">VLOOKUP(AB17,CE18:CK123,7,FALSE)</f>
        <v>-11.5</v>
      </c>
      <c r="AD17" s="565">
        <f t="shared" ref="AD17:AD48" si="8">VLOOKUP(AB17,CE18:CJ123,3,FALSE)</f>
        <v>97.6</v>
      </c>
      <c r="AE17" s="565">
        <f t="shared" ref="AE17:AE48" si="9">VLOOKUP(AB17,CE18:CJ123,2,FALSE)</f>
        <v>31.5</v>
      </c>
      <c r="AF17" s="565">
        <f t="shared" ref="AF17:AF48" si="10">VLOOKUP(AB17,CE18:CJ123,4,FALSE)</f>
        <v>-163.80000000000001</v>
      </c>
      <c r="AG17" s="565">
        <f t="shared" ref="AG17:AG48" si="11">VLOOKUP(AB17,CE18:CJ123,5,FALSE)</f>
        <v>-15.4</v>
      </c>
      <c r="AH17" s="565">
        <f t="shared" ref="AH17:AH48" si="12">VLOOKUP(AB17,CE18:CJ123,6,FALSE)</f>
        <v>15.4</v>
      </c>
      <c r="AI17" s="565">
        <f>VLOOKUP(AB17,CE18:CM123,8,FALSE)</f>
        <v>-15.3</v>
      </c>
      <c r="AJ17" s="445">
        <f>VLOOKUP(AB17,CE18:CM123,9,FALSE)</f>
        <v>15.3</v>
      </c>
      <c r="AK17" s="565">
        <f>VLOOKUP(AB17,CE18:CN123,10,FALSE)</f>
        <v>33.9</v>
      </c>
      <c r="AM17" s="593">
        <f>LongTerm1!D22</f>
        <v>37271</v>
      </c>
      <c r="AN17" s="594">
        <f>(LongTerm1!BM22+LongTerm1!BL22/(1-LongTerm1!AR22))*(LongTerm1!F22*LongTerm1!AF22*LongTerm1!AH22)/10000</f>
        <v>2.1983690775066482</v>
      </c>
      <c r="AO17" s="594">
        <f>LongTerm1!BM22*(LongTerm1!F22*LongTerm1!AF22*LongTerm1!AH22)/10000</f>
        <v>135.53464053635926</v>
      </c>
      <c r="AP17" s="594">
        <f>(LongTerm1!BL22/(1-LongTerm1!AR22))*(LongTerm1!F22*LongTerm1!AF22*LongTerm1!AH22)/10000</f>
        <v>-133.33627145885259</v>
      </c>
      <c r="AQ17" s="593">
        <f>LongTerm2!D22</f>
        <v>37271</v>
      </c>
      <c r="AR17" s="594">
        <f>(LongTerm2!BM22+LongTerm2!BL22/(1-LongTerm2!AR22))*(LongTerm2!F22*LongTerm2!AF22*LongTerm2!AH22)/10000</f>
        <v>-1.1431698269768538</v>
      </c>
      <c r="AS17" s="594">
        <f>LongTerm2!BM22*(LongTerm2!F22*LongTerm2!AF22*LongTerm2!AH22)/10000</f>
        <v>30.874348188266183</v>
      </c>
      <c r="AT17" s="594">
        <f>(LongTerm2!BL22/(1-LongTerm2!AR22))*(LongTerm2!F22*LongTerm2!AF22*LongTerm2!AH22)/10000</f>
        <v>-32.017518015243034</v>
      </c>
      <c r="AU17" s="593">
        <f>LongTerm72!D22</f>
        <v>37271</v>
      </c>
      <c r="AV17" s="594">
        <f>(LongTerm72!BM22+LongTerm72!BL22/(1-LongTerm72!AR22))*(LongTerm72!F22*LongTerm72!AF22*LongTerm72!AH22)/10000</f>
        <v>0.38710682823086662</v>
      </c>
      <c r="AW17" s="594">
        <f>LongTerm72!BM22*(LongTerm72!F22*LongTerm72!AF22*LongTerm72!AH22)/10000</f>
        <v>7.7461255590693678</v>
      </c>
      <c r="AX17" s="594">
        <f>(LongTerm72!BL22/(1-LongTerm72!AR22))*(LongTerm72!F22*LongTerm72!AF22*LongTerm72!AH22)/10000</f>
        <v>-7.3590187308385007</v>
      </c>
      <c r="AY17" s="434"/>
      <c r="AZ17" s="435"/>
      <c r="BA17" s="435"/>
      <c r="BB17" s="435"/>
      <c r="BC17" s="434"/>
      <c r="BD17" s="435"/>
      <c r="BE17" s="435"/>
      <c r="BF17" s="435"/>
      <c r="BG17" s="593">
        <f>LongTerm25!D22</f>
        <v>37330</v>
      </c>
      <c r="BH17" s="594">
        <f>(LongTerm25!$BM22+LongTerm25!$BL22/(1-LongTerm25!$AR22))*(LongTerm25!$F22*LongTerm25!$AF22*LongTerm25!$AH22)/10000</f>
        <v>-1.0591656323365721</v>
      </c>
      <c r="BI17" s="594">
        <f>LongTerm25!$BM22*(LongTerm25!$F22*LongTerm25!$AF22*LongTerm25!$AH22)/10000</f>
        <v>28.617574114766832</v>
      </c>
      <c r="BJ17" s="594">
        <f>(LongTerm25!$BL22/(1-LongTerm25!$AR22))*(LongTerm25!$F22*LongTerm25!$AF22*LongTerm25!$AH22)/10000</f>
        <v>-29.676739747103408</v>
      </c>
      <c r="BK17" s="593">
        <f>LongTerm26!D22</f>
        <v>39887</v>
      </c>
      <c r="BL17" s="594">
        <f>(LongTerm26!BM22+LongTerm26!BL22/(1-LongTerm26!AR22))*(LongTerm26!F22*LongTerm26!AF22*LongTerm26!AH22)/10000</f>
        <v>-1.1285143565455067</v>
      </c>
      <c r="BM17" s="594">
        <f>LongTerm26!BM22*(LongTerm26!F22*LongTerm26!AF22*LongTerm26!AH22)/10000</f>
        <v>30.516124331248736</v>
      </c>
      <c r="BN17" s="594">
        <f>(LongTerm26!BL22/(1-LongTerm26!AR22))*(LongTerm26!F22*LongTerm26!AF22*LongTerm26!AH22)/10000</f>
        <v>-31.644638687794249</v>
      </c>
      <c r="BP17" s="596">
        <f>LongTerm62!D22</f>
        <v>37271</v>
      </c>
      <c r="BQ17" s="594">
        <f>(LongTerm62!$BM22+LongTerm62!$BL22/(1-LongTerm62!$AR22))*(LongTerm62!$F22*LongTerm62!$AF22*LongTerm62!$AH22)/10000</f>
        <v>0.47373364159223036</v>
      </c>
      <c r="BR17" s="594">
        <f>LongTerm62!$BM22*(LongTerm62!$F22*LongTerm62!$AF22*LongTerm62!$AH22)/10000</f>
        <v>15.739651016162112</v>
      </c>
      <c r="BS17" s="594">
        <f>(LongTerm62!$BL22/(1-LongTerm62!$AR22))*(LongTerm62!$F22*LongTerm62!$AF22*LongTerm62!$AH22)/10000</f>
        <v>-15.265917374569883</v>
      </c>
      <c r="BT17" s="447"/>
      <c r="BU17" s="596">
        <f>LongTerm107!D22</f>
        <v>37271</v>
      </c>
      <c r="BV17" s="594">
        <f>(LongTerm107!$BM22+LongTerm107!$BL22/(1-LongTerm107!$AR22))*(LongTerm107!$F22*LongTerm107!$AF22*LongTerm107!$AH22)/10000</f>
        <v>0.98978071538523416</v>
      </c>
      <c r="BW17" s="594">
        <f>LongTerm107!$BM22*(LongTerm107!$F22*LongTerm107!$AF22*LongTerm107!$AH22)/10000</f>
        <v>29.994235029416902</v>
      </c>
      <c r="BX17" s="594">
        <f>(LongTerm107!$BL22/(1-LongTerm107!$AR22))*(LongTerm107!$F22*LongTerm107!$AF22*LongTerm107!$AH22)/10000</f>
        <v>-29.004454314031669</v>
      </c>
      <c r="BY17" s="599"/>
      <c r="BZ17" s="596">
        <f>LongTerm108!D22</f>
        <v>37575</v>
      </c>
      <c r="CA17" s="594">
        <f>(LongTerm108!$BM22+LongTerm108!$BL22/(1-LongTerm108!$AR22))*(LongTerm108!$F22*LongTerm108!$AF22*LongTerm108!$AH22)/10000</f>
        <v>1.3114087495706113</v>
      </c>
      <c r="CB17" s="594">
        <f>LongTerm108!$BM22*(LongTerm108!$F22*LongTerm108!$AF22*LongTerm108!$AH22)/10000</f>
        <v>40.470893785801614</v>
      </c>
      <c r="CC17" s="594">
        <f>(LongTerm108!$BL22/(1-LongTerm108!$AR22))*(LongTerm108!$F22*LongTerm108!$AF22*LongTerm108!$AH22)/10000</f>
        <v>-39.159485036231004</v>
      </c>
      <c r="CE17" s="491"/>
      <c r="CF17" s="621" t="s">
        <v>255</v>
      </c>
      <c r="CG17" s="621" t="s">
        <v>641</v>
      </c>
      <c r="CH17" s="621" t="s">
        <v>645</v>
      </c>
      <c r="CI17" s="622" t="s">
        <v>737</v>
      </c>
      <c r="CJ17" s="622" t="s">
        <v>699</v>
      </c>
      <c r="CK17" s="623" t="s">
        <v>574</v>
      </c>
      <c r="CL17" s="621" t="s">
        <v>715</v>
      </c>
      <c r="CM17" s="621" t="s">
        <v>714</v>
      </c>
      <c r="CN17" s="624" t="s">
        <v>830</v>
      </c>
    </row>
    <row r="18" spans="2:92" x14ac:dyDescent="0.25">
      <c r="B18" s="553">
        <f t="shared" ref="B18:B81" si="13">Q18</f>
        <v>37302</v>
      </c>
      <c r="C18" s="435">
        <f t="shared" ref="C18:C81" si="14">YEAR(B18)</f>
        <v>2002</v>
      </c>
      <c r="D18" s="445">
        <f t="shared" ref="D18:D81" si="15">R18+AC18</f>
        <v>-8.0856428350872012</v>
      </c>
      <c r="E18" s="445">
        <f t="shared" ref="E18:E81" si="16">S18+AD18</f>
        <v>2.2096420933443284</v>
      </c>
      <c r="F18" s="445">
        <f t="shared" ref="F18:F81" si="17">+T18+AE18</f>
        <v>-0.4323529956407981</v>
      </c>
      <c r="G18" s="445">
        <f t="shared" ref="G18:G81" si="18">+U18+AF18</f>
        <v>-15.476046069999711</v>
      </c>
      <c r="H18" s="445">
        <f t="shared" ref="H18:H81" si="19">V18+AG18</f>
        <v>-8.5561503485964181</v>
      </c>
      <c r="I18" s="445">
        <f t="shared" ref="I18:I81" si="20">W18+AH18</f>
        <v>8.8772308500103279</v>
      </c>
      <c r="J18" s="447"/>
      <c r="K18" s="447"/>
      <c r="L18" s="447"/>
      <c r="M18" s="445">
        <f t="shared" ref="M18:M81" si="21">X18+AI18</f>
        <v>0.13456084570396065</v>
      </c>
      <c r="N18" s="565">
        <f t="shared" ref="N18:N81" si="22">Y18+AJ18</f>
        <v>0.32035205276053524</v>
      </c>
      <c r="O18" s="565">
        <f t="shared" ref="O18:O81" si="23">Z18+AK18</f>
        <v>7.2371207373306063</v>
      </c>
      <c r="Q18" s="553">
        <f t="shared" ref="Q18:Q49" si="24">EOMONTH(Q17,0)+15</f>
        <v>37302</v>
      </c>
      <c r="R18" s="445">
        <f t="shared" ref="R18:R81" si="25">SUMIF(AM:AM,$Q18,AN:AN)+SUMIF(AQ:AQ,$Q18,AR:AR)+SUMIF(AU:AU,$Q18,AV:AV)+SUMIF(BU:BU,$Q18,BV:BV)+SUMIF(BZ:BZ,$Q18,CA:CA)+SUMIF(BG:BG,$Q18,BH:BH)+SUMIF(BK:BK,$Q18,BL:BL)+SUMIF(BP:BP,$Q18,BQ:BQ)</f>
        <v>3.3143571649127992</v>
      </c>
      <c r="S18" s="565">
        <f t="shared" ref="S18:S81" si="26">SUMIF(AM:AM,$Q18,AP:AP)+SUMIF(BU:BU,$Q18,BW:BW)+SUMIF(BZ:BZ,$Q18,CB:CB)</f>
        <v>-83.290357906655672</v>
      </c>
      <c r="T18" s="565">
        <f t="shared" si="3"/>
        <v>-28.632352995640797</v>
      </c>
      <c r="U18" s="565">
        <f t="shared" si="4"/>
        <v>137.02395393000029</v>
      </c>
      <c r="V18" s="565">
        <f t="shared" si="5"/>
        <v>5.3438496514035823</v>
      </c>
      <c r="W18" s="565">
        <f t="shared" si="6"/>
        <v>-5.0227691499896734</v>
      </c>
      <c r="X18" s="565">
        <f t="shared" ref="X18:X81" si="27">SUMIF(BP:BP,$Q18,BR:BR)</f>
        <v>14.134560845703961</v>
      </c>
      <c r="Y18" s="445">
        <f t="shared" ref="Y18:Y81" si="28">SUMIF(BP:BP,$Q18,BS:BS)</f>
        <v>-13.679647947239465</v>
      </c>
      <c r="Z18" s="565">
        <f t="shared" ref="Z18:Z81" si="29">SUMIF(BU:BU,$Q18,BX:BX)+SUMIF(BZ:BZ,$Q18,CC:CC)</f>
        <v>-22.562879262669394</v>
      </c>
      <c r="AA18" s="447"/>
      <c r="AB18" s="553">
        <f t="shared" ref="AB18:AB81" si="30">Q18</f>
        <v>37302</v>
      </c>
      <c r="AC18" s="571">
        <f t="shared" si="7"/>
        <v>-11.4</v>
      </c>
      <c r="AD18" s="565">
        <f t="shared" si="8"/>
        <v>85.5</v>
      </c>
      <c r="AE18" s="565">
        <f t="shared" si="9"/>
        <v>28.2</v>
      </c>
      <c r="AF18" s="565">
        <f t="shared" si="10"/>
        <v>-152.5</v>
      </c>
      <c r="AG18" s="565">
        <f t="shared" si="11"/>
        <v>-13.9</v>
      </c>
      <c r="AH18" s="565">
        <f t="shared" si="12"/>
        <v>13.9</v>
      </c>
      <c r="AI18" s="565">
        <f t="shared" ref="AI18:AI81" si="31">VLOOKUP(AB18,CE19:CM124,8,FALSE)</f>
        <v>-14</v>
      </c>
      <c r="AJ18" s="445">
        <f t="shared" ref="AJ18:AJ81" si="32">VLOOKUP(AB18,CE19:CM124,9,FALSE)</f>
        <v>14</v>
      </c>
      <c r="AK18" s="565">
        <f t="shared" ref="AK18:AK81" si="33">VLOOKUP(AB18,CE19:CN124,10,FALSE)</f>
        <v>29.8</v>
      </c>
      <c r="AM18" s="593">
        <f>LongTerm1!D23</f>
        <v>37302</v>
      </c>
      <c r="AN18" s="594">
        <f>(LongTerm1!BM23+LongTerm1!BL23/(1-LongTerm1!AR23))*(LongTerm1!F23*LongTerm1!AF23*LongTerm1!AH23)/10000</f>
        <v>2.5739320598369515</v>
      </c>
      <c r="AO18" s="594">
        <f>LongTerm1!BM23*(LongTerm1!F23*LongTerm1!AF23*LongTerm1!AH23)/10000</f>
        <v>109.39048637500902</v>
      </c>
      <c r="AP18" s="594">
        <f>(LongTerm1!BL23/(1-LongTerm1!AR23))*(LongTerm1!F23*LongTerm1!AF23*LongTerm1!AH23)/10000</f>
        <v>-106.81655431517204</v>
      </c>
      <c r="AQ18" s="593">
        <f>LongTerm2!D23</f>
        <v>37302</v>
      </c>
      <c r="AR18" s="594">
        <f>(LongTerm2!BM23+LongTerm2!BL23/(1-LongTerm2!AR23))*(LongTerm2!F23*LongTerm2!AF23*LongTerm2!AH23)/10000</f>
        <v>-0.998885440649524</v>
      </c>
      <c r="AS18" s="594">
        <f>LongTerm2!BM23*(LongTerm2!F23*LongTerm2!AF23*LongTerm2!AH23)/10000</f>
        <v>27.633467554991267</v>
      </c>
      <c r="AT18" s="594">
        <f>(LongTerm2!BL23/(1-LongTerm2!AR23))*(LongTerm2!F23*LongTerm2!AF23*LongTerm2!AH23)/10000</f>
        <v>-28.632352995640797</v>
      </c>
      <c r="AU18" s="593">
        <f>LongTerm72!D23</f>
        <v>37302</v>
      </c>
      <c r="AV18" s="594">
        <f>(LongTerm72!BM23+LongTerm72!BL23/(1-LongTerm72!AR23))*(LongTerm72!F23*LongTerm72!AF23*LongTerm72!AH23)/10000</f>
        <v>0.32108050141390898</v>
      </c>
      <c r="AW18" s="594">
        <f>LongTerm72!BM23*(LongTerm72!F23*LongTerm72!AF23*LongTerm72!AH23)/10000</f>
        <v>5.3438496514035823</v>
      </c>
      <c r="AX18" s="594">
        <f>(LongTerm72!BL23/(1-LongTerm72!AR23))*(LongTerm72!F23*LongTerm72!AF23*LongTerm72!AH23)/10000</f>
        <v>-5.0227691499896734</v>
      </c>
      <c r="AY18" s="434"/>
      <c r="AZ18" s="435"/>
      <c r="BA18" s="435"/>
      <c r="BB18" s="435"/>
      <c r="BC18" s="434"/>
      <c r="BD18" s="435"/>
      <c r="BE18" s="435"/>
      <c r="BF18" s="435"/>
      <c r="BG18" s="593">
        <f>LongTerm25!D23</f>
        <v>37361</v>
      </c>
      <c r="BH18" s="594">
        <f>(LongTerm25!BM23+LongTerm25!BL23/(1-LongTerm25!AR23))*(LongTerm25!F23*LongTerm25!AF23*LongTerm25!AH23)/10000</f>
        <v>-1.0351820798945688</v>
      </c>
      <c r="BI18" s="594">
        <f>LongTerm25!BM23*(LongTerm25!F23*LongTerm25!AF23*LongTerm25!AH23)/10000</f>
        <v>27.720317501953563</v>
      </c>
      <c r="BJ18" s="594">
        <f>(LongTerm25!BL23/(1-LongTerm25!AR23))*(LongTerm25!F23*LongTerm25!AF23*LongTerm25!AH23)/10000</f>
        <v>-28.755499581848131</v>
      </c>
      <c r="BK18" s="593">
        <f>LongTerm26!D23</f>
        <v>39918</v>
      </c>
      <c r="BL18" s="594">
        <f>(LongTerm26!BM23+LongTerm26!BL23/(1-LongTerm26!AR23))*(LongTerm26!F23*LongTerm26!AF23*LongTerm26!AH23)/10000</f>
        <v>-1.1005470477978978</v>
      </c>
      <c r="BM18" s="594">
        <f>LongTerm26!BM23*(LongTerm26!F23*LongTerm26!AF23*LongTerm26!AH23)/10000</f>
        <v>29.481420652090431</v>
      </c>
      <c r="BN18" s="594">
        <f>(LongTerm26!BL23/(1-LongTerm26!AR23))*(LongTerm26!F23*LongTerm26!AF23*LongTerm26!AH23)/10000</f>
        <v>-30.581967699888331</v>
      </c>
      <c r="BP18" s="596">
        <f>LongTerm62!D23</f>
        <v>37302</v>
      </c>
      <c r="BQ18" s="594">
        <f>(LongTerm62!$BM23+LongTerm62!$BL23/(1-LongTerm62!$AR23))*(LongTerm62!$F23*LongTerm62!$AF23*LongTerm62!$AH23)/10000</f>
        <v>0.45491289846449362</v>
      </c>
      <c r="BR18" s="594">
        <f>LongTerm62!$BM23*(LongTerm62!$F23*LongTerm62!$AF23*LongTerm62!$AH23)/10000</f>
        <v>14.134560845703961</v>
      </c>
      <c r="BS18" s="594">
        <f>(LongTerm62!$BL23/(1-LongTerm62!$AR23))*(LongTerm62!$F23*LongTerm62!$AF23*LongTerm62!$AH23)/10000</f>
        <v>-13.679647947239465</v>
      </c>
      <c r="BT18" s="447"/>
      <c r="BU18" s="596">
        <f>LongTerm107!D23</f>
        <v>37302</v>
      </c>
      <c r="BV18" s="594">
        <f>(LongTerm107!$BM23+LongTerm107!$BL23/(1-LongTerm107!$AR23))*(LongTerm107!$F23*LongTerm107!$AF23*LongTerm107!$AH23)/10000</f>
        <v>0.96331714584696915</v>
      </c>
      <c r="BW18" s="594">
        <f>LongTerm107!$BM23*(LongTerm107!$F23*LongTerm107!$AF23*LongTerm107!$AH23)/10000</f>
        <v>23.526196408516366</v>
      </c>
      <c r="BX18" s="594">
        <f>(LongTerm107!$BL23/(1-LongTerm107!$AR23))*(LongTerm107!$F23*LongTerm107!$AF23*LongTerm107!$AH23)/10000</f>
        <v>-22.562879262669394</v>
      </c>
      <c r="BY18" s="599"/>
      <c r="BZ18" s="596">
        <f>LongTerm108!D23</f>
        <v>37605</v>
      </c>
      <c r="CA18" s="594">
        <f>(LongTerm108!$BM23+LongTerm108!$BL23/(1-LongTerm108!$AR23))*(LongTerm108!$F23*LongTerm108!$AF23*LongTerm108!$AH23)/10000</f>
        <v>1.6418307277969073</v>
      </c>
      <c r="CB18" s="594">
        <f>LongTerm108!$BM23*(LongTerm108!$F23*LongTerm108!$AF23*LongTerm108!$AH23)/10000</f>
        <v>46.328825054091908</v>
      </c>
      <c r="CC18" s="594">
        <f>(LongTerm108!$BL23/(1-LongTerm108!$AR23))*(LongTerm108!$F23*LongTerm108!$AF23*LongTerm108!$AH23)/10000</f>
        <v>-44.686994326295</v>
      </c>
      <c r="CD18" s="492"/>
      <c r="CE18" s="595">
        <v>37057</v>
      </c>
      <c r="CF18" s="581"/>
      <c r="CG18" s="581"/>
      <c r="CH18" s="581"/>
      <c r="CI18" s="581"/>
      <c r="CJ18" s="525"/>
      <c r="CK18" s="582"/>
      <c r="CL18" s="525"/>
      <c r="CM18" s="525"/>
      <c r="CN18" s="525"/>
    </row>
    <row r="19" spans="2:92" x14ac:dyDescent="0.25">
      <c r="B19" s="553">
        <f t="shared" si="13"/>
        <v>37330</v>
      </c>
      <c r="C19" s="435">
        <f t="shared" si="14"/>
        <v>2002</v>
      </c>
      <c r="D19" s="445">
        <f t="shared" si="15"/>
        <v>-9.0167915457712393</v>
      </c>
      <c r="E19" s="445">
        <f t="shared" si="16"/>
        <v>2.2509022857103673</v>
      </c>
      <c r="F19" s="445">
        <f t="shared" si="17"/>
        <v>-0.77673974710340943</v>
      </c>
      <c r="G19" s="445">
        <f t="shared" si="18"/>
        <v>-24.142671740148728</v>
      </c>
      <c r="H19" s="445">
        <f t="shared" si="19"/>
        <v>-11.549152875402374</v>
      </c>
      <c r="I19" s="445">
        <f t="shared" si="20"/>
        <v>11.755230300857797</v>
      </c>
      <c r="J19" s="447"/>
      <c r="K19" s="447"/>
      <c r="L19" s="447"/>
      <c r="M19" s="445">
        <f t="shared" si="21"/>
        <v>-0.26537261421645475</v>
      </c>
      <c r="N19" s="565">
        <f t="shared" si="22"/>
        <v>-0.35178928584867108</v>
      </c>
      <c r="O19" s="565">
        <f t="shared" si="23"/>
        <v>7.4628021303802292</v>
      </c>
      <c r="Q19" s="553">
        <f t="shared" si="24"/>
        <v>37330</v>
      </c>
      <c r="R19" s="445">
        <f t="shared" si="25"/>
        <v>2.4832084542287611</v>
      </c>
      <c r="S19" s="565">
        <f t="shared" si="26"/>
        <v>-93.04909771428963</v>
      </c>
      <c r="T19" s="565">
        <f t="shared" si="3"/>
        <v>-29.676739747103408</v>
      </c>
      <c r="U19" s="565">
        <f t="shared" si="4"/>
        <v>149.95732825985127</v>
      </c>
      <c r="V19" s="565">
        <f t="shared" si="5"/>
        <v>3.8508471245976259</v>
      </c>
      <c r="W19" s="565">
        <f t="shared" si="6"/>
        <v>-3.6447696991422047</v>
      </c>
      <c r="X19" s="565">
        <f t="shared" si="27"/>
        <v>15.934627385783545</v>
      </c>
      <c r="Y19" s="445">
        <f t="shared" si="28"/>
        <v>-15.55178928584867</v>
      </c>
      <c r="Z19" s="565">
        <f t="shared" si="29"/>
        <v>-25.337197869619768</v>
      </c>
      <c r="AA19" s="447"/>
      <c r="AB19" s="553">
        <f t="shared" si="30"/>
        <v>37330</v>
      </c>
      <c r="AC19" s="571">
        <f t="shared" si="7"/>
        <v>-11.5</v>
      </c>
      <c r="AD19" s="565">
        <f t="shared" si="8"/>
        <v>95.3</v>
      </c>
      <c r="AE19" s="565">
        <f t="shared" si="9"/>
        <v>28.9</v>
      </c>
      <c r="AF19" s="565">
        <f t="shared" si="10"/>
        <v>-174.1</v>
      </c>
      <c r="AG19" s="565">
        <f t="shared" si="11"/>
        <v>-15.4</v>
      </c>
      <c r="AH19" s="565">
        <f t="shared" si="12"/>
        <v>15.4</v>
      </c>
      <c r="AI19" s="565">
        <f t="shared" si="31"/>
        <v>-16.2</v>
      </c>
      <c r="AJ19" s="445">
        <f t="shared" si="32"/>
        <v>15.2</v>
      </c>
      <c r="AK19" s="565">
        <f t="shared" si="33"/>
        <v>32.799999999999997</v>
      </c>
      <c r="AM19" s="593">
        <f>LongTerm1!D24</f>
        <v>37330</v>
      </c>
      <c r="AN19" s="594">
        <f>(LongTerm1!BM24+LongTerm1!BL24/(1-LongTerm1!AR24))*(LongTerm1!F24*LongTerm1!AF24*LongTerm1!AH24)/10000</f>
        <v>2.0922602044590715</v>
      </c>
      <c r="AO19" s="594">
        <f>LongTerm1!BM24*(LongTerm1!F24*LongTerm1!AF24*LongTerm1!AH24)/10000</f>
        <v>121.33975414508444</v>
      </c>
      <c r="AP19" s="594">
        <f>(LongTerm1!BL24/(1-LongTerm1!AR24))*(LongTerm1!F24*LongTerm1!AF24*LongTerm1!AH24)/10000</f>
        <v>-119.24749394062536</v>
      </c>
      <c r="AQ19" s="593">
        <f>LongTerm2!D24</f>
        <v>37330</v>
      </c>
      <c r="AR19" s="594">
        <f>(LongTerm2!BM24+LongTerm2!BL24/(1-LongTerm2!AR24))*(LongTerm2!F24*LongTerm2!AF24*LongTerm2!AH24)/10000</f>
        <v>0</v>
      </c>
      <c r="AS19" s="594">
        <f>LongTerm2!BM24*(LongTerm2!F24*LongTerm2!AF24*LongTerm2!AH24)/10000</f>
        <v>0</v>
      </c>
      <c r="AT19" s="594">
        <f>(LongTerm2!BL24/(1-LongTerm2!AR24))*(LongTerm2!F24*LongTerm2!AF24*LongTerm2!AH24)/10000</f>
        <v>0</v>
      </c>
      <c r="AU19" s="593">
        <f>LongTerm72!D24</f>
        <v>37330</v>
      </c>
      <c r="AV19" s="594">
        <f>(LongTerm72!BM24+LongTerm72!BL24/(1-LongTerm72!AR24))*(LongTerm72!F24*LongTerm72!AF24*LongTerm72!AH24)/10000</f>
        <v>0.20607742545542101</v>
      </c>
      <c r="AW19" s="594">
        <f>LongTerm72!BM24*(LongTerm72!F24*LongTerm72!AF24*LongTerm72!AH24)/10000</f>
        <v>3.8508471245976259</v>
      </c>
      <c r="AX19" s="594">
        <f>(LongTerm72!BL24/(1-LongTerm72!AR24))*(LongTerm72!F24*LongTerm72!AF24*LongTerm72!AH24)/10000</f>
        <v>-3.6447696991422047</v>
      </c>
      <c r="AY19" s="434"/>
      <c r="AZ19" s="435"/>
      <c r="BA19" s="435"/>
      <c r="BB19" s="435"/>
      <c r="BC19" s="434"/>
      <c r="BD19" s="435"/>
      <c r="BE19" s="435"/>
      <c r="BF19" s="435"/>
      <c r="BG19" s="593">
        <f>LongTerm25!D24</f>
        <v>37391</v>
      </c>
      <c r="BH19" s="594">
        <f>(LongTerm25!BM24+LongTerm25!BL24/(1-LongTerm25!AR24))*(LongTerm25!F24*LongTerm25!AF24*LongTerm25!AH24)/10000</f>
        <v>-1.0675490606621709</v>
      </c>
      <c r="BI19" s="594">
        <f>LongTerm25!BM24*(LongTerm25!F24*LongTerm25!AF24*LongTerm25!AH24)/10000</f>
        <v>28.593514994364639</v>
      </c>
      <c r="BJ19" s="594">
        <f>(LongTerm25!BL24/(1-LongTerm25!AR24))*(LongTerm25!F24*LongTerm25!AF24*LongTerm25!AH24)/10000</f>
        <v>-29.661064055026813</v>
      </c>
      <c r="BK19" s="593">
        <f>LongTerm26!D24</f>
        <v>39948</v>
      </c>
      <c r="BL19" s="594">
        <f>(LongTerm26!BM24+LongTerm26!BL24/(1-LongTerm26!AR24))*(LongTerm26!F24*LongTerm26!AF24*LongTerm26!AH24)/10000</f>
        <v>-1.1306672629685495</v>
      </c>
      <c r="BM19" s="594">
        <f>LongTerm26!BM24*(LongTerm26!F24*LongTerm26!AF24*LongTerm26!AH24)/10000</f>
        <v>30.294794894996226</v>
      </c>
      <c r="BN19" s="594">
        <f>(LongTerm26!BL24/(1-LongTerm26!AR24))*(LongTerm26!F24*LongTerm26!AF24*LongTerm26!AH24)/10000</f>
        <v>-31.425462157964777</v>
      </c>
      <c r="BP19" s="596">
        <f>LongTerm62!D24</f>
        <v>37330</v>
      </c>
      <c r="BQ19" s="594">
        <f>(LongTerm62!$BM24+LongTerm62!$BL24/(1-LongTerm62!$AR24))*(LongTerm62!$F24*LongTerm62!$AF24*LongTerm62!$AH24)/10000</f>
        <v>0.38283809993487222</v>
      </c>
      <c r="BR19" s="594">
        <f>LongTerm62!$BM24*(LongTerm62!$F24*LongTerm62!$AF24*LongTerm62!$AH24)/10000</f>
        <v>15.934627385783545</v>
      </c>
      <c r="BS19" s="594">
        <f>(LongTerm62!$BL24/(1-LongTerm62!$AR24))*(LongTerm62!$F24*LongTerm62!$AF24*LongTerm62!$AH24)/10000</f>
        <v>-15.55178928584867</v>
      </c>
      <c r="BT19" s="447"/>
      <c r="BU19" s="596">
        <f>LongTerm107!D24</f>
        <v>37330</v>
      </c>
      <c r="BV19" s="594">
        <f>(LongTerm107!$BM24+LongTerm107!$BL24/(1-LongTerm107!$AR24))*(LongTerm107!$F24*LongTerm107!$AF24*LongTerm107!$AH24)/10000</f>
        <v>0.86119835671596845</v>
      </c>
      <c r="BW19" s="594">
        <f>LongTerm107!$BM24*(LongTerm107!$F24*LongTerm107!$AF24*LongTerm107!$AH24)/10000</f>
        <v>26.198396226335735</v>
      </c>
      <c r="BX19" s="594">
        <f>(LongTerm107!$BL24/(1-LongTerm107!$AR24))*(LongTerm107!$F24*LongTerm107!$AF24*LongTerm107!$AH24)/10000</f>
        <v>-25.337197869619768</v>
      </c>
      <c r="BY19" s="599"/>
      <c r="BZ19" s="596">
        <f>LongTerm108!D24</f>
        <v>37636</v>
      </c>
      <c r="CA19" s="594">
        <f>(LongTerm108!$BM24+LongTerm108!$BL24/(1-LongTerm108!$AR24))*(LongTerm108!$F24*LongTerm108!$AF24*LongTerm108!$AH24)/10000</f>
        <v>1.6844714982775582</v>
      </c>
      <c r="CB19" s="594">
        <f>LongTerm108!$BM24*(LongTerm108!$F24*LongTerm108!$AF24*LongTerm108!$AH24)/10000</f>
        <v>45.964809420198677</v>
      </c>
      <c r="CC19" s="594">
        <f>(LongTerm108!$BL24/(1-LongTerm108!$AR24))*(LongTerm108!$F24*LongTerm108!$AF24*LongTerm108!$AH24)/10000</f>
        <v>-44.280337921921124</v>
      </c>
      <c r="CD19" s="492"/>
      <c r="CE19" s="595">
        <f t="shared" ref="CE19:CE50" si="34">EOMONTH(CE18,0)+15</f>
        <v>37087</v>
      </c>
      <c r="CF19" s="581"/>
      <c r="CG19" s="581"/>
      <c r="CH19" s="581"/>
      <c r="CI19" s="581"/>
      <c r="CJ19" s="581"/>
      <c r="CK19" s="582"/>
      <c r="CL19" s="525"/>
      <c r="CM19" s="525"/>
      <c r="CN19" s="525"/>
    </row>
    <row r="20" spans="2:92" x14ac:dyDescent="0.25">
      <c r="B20" s="553">
        <f t="shared" si="13"/>
        <v>37361</v>
      </c>
      <c r="C20" s="435">
        <f t="shared" si="14"/>
        <v>2002</v>
      </c>
      <c r="D20" s="445">
        <f t="shared" si="15"/>
        <v>-1.6568575443829983</v>
      </c>
      <c r="E20" s="445">
        <f t="shared" si="16"/>
        <v>-18.311096309383672</v>
      </c>
      <c r="F20" s="445">
        <f t="shared" si="17"/>
        <v>-0.55549958184813164</v>
      </c>
      <c r="G20" s="445">
        <f t="shared" si="18"/>
        <v>-0.6085533560007832</v>
      </c>
      <c r="H20" s="445">
        <f t="shared" si="19"/>
        <v>0</v>
      </c>
      <c r="I20" s="445">
        <f t="shared" si="20"/>
        <v>0</v>
      </c>
      <c r="J20" s="447"/>
      <c r="K20" s="447"/>
      <c r="L20" s="447"/>
      <c r="M20" s="445">
        <f t="shared" si="21"/>
        <v>0</v>
      </c>
      <c r="N20" s="565">
        <f t="shared" si="22"/>
        <v>0</v>
      </c>
      <c r="O20" s="565">
        <f t="shared" si="23"/>
        <v>13.018291702849535</v>
      </c>
      <c r="Q20" s="553">
        <f t="shared" si="24"/>
        <v>37361</v>
      </c>
      <c r="R20" s="445">
        <f t="shared" si="25"/>
        <v>-2.1568575443829983</v>
      </c>
      <c r="S20" s="565">
        <f t="shared" si="26"/>
        <v>-141.11109630938367</v>
      </c>
      <c r="T20" s="565">
        <f t="shared" si="3"/>
        <v>-28.755499581848131</v>
      </c>
      <c r="U20" s="565">
        <f t="shared" si="4"/>
        <v>197.29144664399922</v>
      </c>
      <c r="V20" s="565">
        <f t="shared" si="5"/>
        <v>0</v>
      </c>
      <c r="W20" s="565">
        <f t="shared" si="6"/>
        <v>0</v>
      </c>
      <c r="X20" s="565">
        <f t="shared" si="27"/>
        <v>0</v>
      </c>
      <c r="Y20" s="445">
        <f t="shared" si="28"/>
        <v>0</v>
      </c>
      <c r="Z20" s="565">
        <f t="shared" si="29"/>
        <v>-29.581708297150467</v>
      </c>
      <c r="AA20" s="447"/>
      <c r="AB20" s="553">
        <f t="shared" si="30"/>
        <v>37361</v>
      </c>
      <c r="AC20" s="571">
        <f t="shared" si="7"/>
        <v>0.5</v>
      </c>
      <c r="AD20" s="565">
        <f t="shared" si="8"/>
        <v>122.8</v>
      </c>
      <c r="AE20" s="565">
        <f t="shared" si="9"/>
        <v>28.2</v>
      </c>
      <c r="AF20" s="565">
        <f t="shared" si="10"/>
        <v>-197.9</v>
      </c>
      <c r="AG20" s="565">
        <f t="shared" si="11"/>
        <v>0</v>
      </c>
      <c r="AH20" s="565">
        <f t="shared" si="12"/>
        <v>0</v>
      </c>
      <c r="AI20" s="565">
        <f t="shared" si="31"/>
        <v>0</v>
      </c>
      <c r="AJ20" s="445">
        <f t="shared" si="32"/>
        <v>0</v>
      </c>
      <c r="AK20" s="565">
        <f t="shared" si="33"/>
        <v>42.6</v>
      </c>
      <c r="AM20" s="593">
        <f>LongTerm1!D25</f>
        <v>37361</v>
      </c>
      <c r="AN20" s="594">
        <f>(LongTerm1!BM25+LongTerm1!BL25/(1-LongTerm1!AR25))*(LongTerm1!F25*LongTerm1!AF25*LongTerm1!AH25)/10000</f>
        <v>-1.4593089122361569</v>
      </c>
      <c r="AO20" s="594">
        <f>LongTerm1!BM25*(LongTerm1!F25*LongTerm1!AF25*LongTerm1!AH25)/10000</f>
        <v>169.57112914204566</v>
      </c>
      <c r="AP20" s="594">
        <f>(LongTerm1!BL25/(1-LongTerm1!AR25))*(LongTerm1!F25*LongTerm1!AF25*LongTerm1!AH25)/10000</f>
        <v>-171.03043805428186</v>
      </c>
      <c r="AQ20" s="593">
        <f>LongTerm2!D25</f>
        <v>37330</v>
      </c>
      <c r="AR20" s="594">
        <f>(LongTerm2!BM25+LongTerm2!BL25/(1-LongTerm2!AR25))*(LongTerm2!F25*LongTerm2!AF25*LongTerm2!AH25)/10000</f>
        <v>0</v>
      </c>
      <c r="AS20" s="594">
        <f>LongTerm2!BM25*(LongTerm2!F25*LongTerm2!AF25*LongTerm2!AH25)/10000</f>
        <v>0</v>
      </c>
      <c r="AT20" s="594">
        <f>(LongTerm2!BL25/(1-LongTerm2!AR25))*(LongTerm2!F25*LongTerm2!AF25*LongTerm2!AH25)/10000</f>
        <v>0</v>
      </c>
      <c r="AU20" s="593">
        <f>LongTerm72!D25</f>
        <v>37361</v>
      </c>
      <c r="AV20" s="594">
        <f>(LongTerm72!BM25+LongTerm72!BL25/(1-LongTerm72!AR25))*(LongTerm72!F25*LongTerm72!AF25*LongTerm72!AH25)/10000</f>
        <v>0</v>
      </c>
      <c r="AW20" s="594">
        <f>LongTerm72!BM25*(LongTerm72!F25*LongTerm72!AF25*LongTerm72!AH25)/10000</f>
        <v>0</v>
      </c>
      <c r="AX20" s="594">
        <f>(LongTerm72!BL25/(1-LongTerm72!AR25))*(LongTerm72!F25*LongTerm72!AF25*LongTerm72!AH25)/10000</f>
        <v>0</v>
      </c>
      <c r="AY20" s="434"/>
      <c r="AZ20" s="435"/>
      <c r="BA20" s="435"/>
      <c r="BB20" s="435"/>
      <c r="BC20" s="434"/>
      <c r="BD20" s="435"/>
      <c r="BE20" s="435"/>
      <c r="BF20" s="435"/>
      <c r="BG20" s="593">
        <f>LongTerm25!D25</f>
        <v>37422</v>
      </c>
      <c r="BH20" s="594">
        <f>(LongTerm25!BM25+LongTerm25!BL25/(1-LongTerm25!AR25))*(LongTerm25!F25*LongTerm25!AF25*LongTerm25!AH25)/10000</f>
        <v>-1.0312703480060594</v>
      </c>
      <c r="BI20" s="594">
        <f>LongTerm25!BM25*(LongTerm25!F25*LongTerm25!AF25*LongTerm25!AH25)/10000</f>
        <v>27.62118703562275</v>
      </c>
      <c r="BJ20" s="594">
        <f>(LongTerm25!BL25/(1-LongTerm25!AR25))*(LongTerm25!F25*LongTerm25!AF25*LongTerm25!AH25)/10000</f>
        <v>-28.652457383628807</v>
      </c>
      <c r="BK20" s="434"/>
      <c r="BL20" s="435"/>
      <c r="BM20" s="435"/>
      <c r="BN20" s="435"/>
      <c r="BP20" s="596">
        <f>LongTerm62!D25</f>
        <v>37361</v>
      </c>
      <c r="BQ20" s="594">
        <f>(LongTerm62!$BM25+LongTerm62!$BL25/(1-LongTerm62!$AR25))*(LongTerm62!$F25*LongTerm62!$AF25*LongTerm62!$AH25)/10000</f>
        <v>0</v>
      </c>
      <c r="BR20" s="594">
        <f>LongTerm62!$BM25*(LongTerm62!$F25*LongTerm62!$AF25*LongTerm62!$AH25)/10000</f>
        <v>0</v>
      </c>
      <c r="BS20" s="594">
        <f>(LongTerm62!$BL25/(1-LongTerm62!$AR25))*(LongTerm62!$F25*LongTerm62!$AF25*LongTerm62!$AH25)/10000</f>
        <v>0</v>
      </c>
      <c r="BT20" s="447"/>
      <c r="BU20" s="596">
        <f>LongTerm107!D25</f>
        <v>37361</v>
      </c>
      <c r="BV20" s="594">
        <f>(LongTerm107!$BM25+LongTerm107!$BL25/(1-LongTerm107!$AR25))*(LongTerm107!$F25*LongTerm107!$AF25*LongTerm107!$AH25)/10000</f>
        <v>0.33763344774772736</v>
      </c>
      <c r="BW20" s="594">
        <f>LongTerm107!$BM25*(LongTerm107!$F25*LongTerm107!$AF25*LongTerm107!$AH25)/10000</f>
        <v>29.919341744898194</v>
      </c>
      <c r="BX20" s="594">
        <f>(LongTerm107!$BL25/(1-LongTerm107!$AR25))*(LongTerm107!$F25*LongTerm107!$AF25*LongTerm107!$AH25)/10000</f>
        <v>-29.581708297150467</v>
      </c>
      <c r="BY20" s="599"/>
      <c r="BZ20" s="596">
        <f>LongTerm108!D25</f>
        <v>37667</v>
      </c>
      <c r="CA20" s="594">
        <f>(LongTerm108!$BM25+LongTerm108!$BL25/(1-LongTerm108!$AR25))*(LongTerm108!$F25*LongTerm108!$AF25*LongTerm108!$AH25)/10000</f>
        <v>1.4409316855858514</v>
      </c>
      <c r="CB20" s="594">
        <f>LongTerm108!$BM25*(LongTerm108!$F25*LongTerm108!$AF25*LongTerm108!$AH25)/10000</f>
        <v>40.817935665491234</v>
      </c>
      <c r="CC20" s="594">
        <f>(LongTerm108!$BL25/(1-LongTerm108!$AR25))*(LongTerm108!$F25*LongTerm108!$AF25*LongTerm108!$AH25)/10000</f>
        <v>-39.377003979905389</v>
      </c>
      <c r="CD20" s="492"/>
      <c r="CE20" s="595">
        <f t="shared" si="34"/>
        <v>37118</v>
      </c>
      <c r="CF20" s="581"/>
      <c r="CG20" s="581"/>
      <c r="CH20" s="581"/>
      <c r="CI20" s="581"/>
      <c r="CJ20" s="581"/>
      <c r="CK20" s="582"/>
      <c r="CL20" s="525"/>
      <c r="CM20" s="525"/>
      <c r="CN20" s="525"/>
    </row>
    <row r="21" spans="2:92" x14ac:dyDescent="0.25">
      <c r="B21" s="553">
        <f t="shared" si="13"/>
        <v>37391</v>
      </c>
      <c r="C21" s="435">
        <f t="shared" si="14"/>
        <v>2002</v>
      </c>
      <c r="D21" s="445">
        <f t="shared" si="15"/>
        <v>-1.3984223647623515</v>
      </c>
      <c r="E21" s="445">
        <f t="shared" si="16"/>
        <v>-17.514726871251696</v>
      </c>
      <c r="F21" s="445">
        <f t="shared" si="17"/>
        <v>-6.1064055026811559E-2</v>
      </c>
      <c r="G21" s="445">
        <f t="shared" si="18"/>
        <v>-1.317661911994179</v>
      </c>
      <c r="H21" s="445">
        <f t="shared" si="19"/>
        <v>0</v>
      </c>
      <c r="I21" s="445">
        <f t="shared" si="20"/>
        <v>0</v>
      </c>
      <c r="J21" s="447"/>
      <c r="K21" s="447"/>
      <c r="L21" s="447"/>
      <c r="M21" s="445">
        <f t="shared" si="21"/>
        <v>0</v>
      </c>
      <c r="N21" s="565">
        <f t="shared" si="22"/>
        <v>0</v>
      </c>
      <c r="O21" s="565">
        <f t="shared" si="23"/>
        <v>12.895030473510282</v>
      </c>
      <c r="Q21" s="553">
        <f t="shared" si="24"/>
        <v>37391</v>
      </c>
      <c r="R21" s="445">
        <f t="shared" si="25"/>
        <v>-1.7984223647623514</v>
      </c>
      <c r="S21" s="565">
        <f t="shared" si="26"/>
        <v>-141.11472687125169</v>
      </c>
      <c r="T21" s="565">
        <f t="shared" si="3"/>
        <v>-29.661064055026813</v>
      </c>
      <c r="U21" s="565">
        <f t="shared" si="4"/>
        <v>198.58233808800583</v>
      </c>
      <c r="V21" s="565">
        <f t="shared" si="5"/>
        <v>0</v>
      </c>
      <c r="W21" s="565">
        <f t="shared" si="6"/>
        <v>0</v>
      </c>
      <c r="X21" s="565">
        <f t="shared" si="27"/>
        <v>0</v>
      </c>
      <c r="Y21" s="445">
        <f t="shared" si="28"/>
        <v>0</v>
      </c>
      <c r="Z21" s="565">
        <f t="shared" si="29"/>
        <v>-29.604969526489718</v>
      </c>
      <c r="AA21" s="447"/>
      <c r="AB21" s="553">
        <f t="shared" si="30"/>
        <v>37391</v>
      </c>
      <c r="AC21" s="571">
        <f t="shared" si="7"/>
        <v>0.4</v>
      </c>
      <c r="AD21" s="565">
        <f t="shared" si="8"/>
        <v>123.6</v>
      </c>
      <c r="AE21" s="565">
        <f t="shared" si="9"/>
        <v>29.6</v>
      </c>
      <c r="AF21" s="565">
        <f t="shared" si="10"/>
        <v>-199.9</v>
      </c>
      <c r="AG21" s="565">
        <f t="shared" si="11"/>
        <v>0</v>
      </c>
      <c r="AH21" s="565">
        <f t="shared" si="12"/>
        <v>0</v>
      </c>
      <c r="AI21" s="565">
        <f t="shared" si="31"/>
        <v>0</v>
      </c>
      <c r="AJ21" s="445">
        <f t="shared" si="32"/>
        <v>0</v>
      </c>
      <c r="AK21" s="565">
        <f t="shared" si="33"/>
        <v>42.5</v>
      </c>
      <c r="AM21" s="593">
        <f>LongTerm1!D26</f>
        <v>37391</v>
      </c>
      <c r="AN21" s="594">
        <f>(LongTerm1!BM26+LongTerm1!BL26/(1-LongTerm1!AR26))*(LongTerm1!F26*LongTerm1!AF26*LongTerm1!AH26)/10000</f>
        <v>-1.1518425054531822</v>
      </c>
      <c r="AO21" s="594">
        <f>LongTerm1!BM26*(LongTerm1!F26*LongTerm1!AF26*LongTerm1!AH26)/10000</f>
        <v>169.9888230936412</v>
      </c>
      <c r="AP21" s="594">
        <f>(LongTerm1!BL26/(1-LongTerm1!AR26))*(LongTerm1!F26*LongTerm1!AF26*LongTerm1!AH26)/10000</f>
        <v>-171.1406655990944</v>
      </c>
      <c r="AQ21" s="593">
        <f>LongTerm2!D26</f>
        <v>37330</v>
      </c>
      <c r="AR21" s="594">
        <f>(LongTerm2!BM26+LongTerm2!BL26/(1-LongTerm2!AR26))*(LongTerm2!F26*LongTerm2!AF26*LongTerm2!AH26)/10000</f>
        <v>0</v>
      </c>
      <c r="AS21" s="594">
        <f>LongTerm2!BM26*(LongTerm2!F26*LongTerm2!AF26*LongTerm2!AH26)/10000</f>
        <v>0</v>
      </c>
      <c r="AT21" s="594">
        <f>(LongTerm2!BL26/(1-LongTerm2!AR26))*(LongTerm2!F26*LongTerm2!AF26*LongTerm2!AH26)/10000</f>
        <v>0</v>
      </c>
      <c r="AU21" s="593">
        <f>LongTerm72!D26</f>
        <v>37361</v>
      </c>
      <c r="AV21" s="594">
        <f>(LongTerm72!BM26+LongTerm72!BL26/(1-LongTerm72!AR26))*(LongTerm72!F26*LongTerm72!AF26*LongTerm72!AH26)/10000</f>
        <v>0</v>
      </c>
      <c r="AW21" s="594">
        <f>LongTerm72!BM26*(LongTerm72!F26*LongTerm72!AF26*LongTerm72!AH26)/10000</f>
        <v>0</v>
      </c>
      <c r="AX21" s="594">
        <f>(LongTerm72!BL26/(1-LongTerm72!AR26))*(LongTerm72!F26*LongTerm72!AF26*LongTerm72!AH26)/10000</f>
        <v>0</v>
      </c>
      <c r="AY21" s="434"/>
      <c r="AZ21" s="435"/>
      <c r="BA21" s="435"/>
      <c r="BB21" s="435"/>
      <c r="BC21" s="434"/>
      <c r="BD21" s="435"/>
      <c r="BE21" s="435"/>
      <c r="BF21" s="435"/>
      <c r="BG21" s="593">
        <f>LongTerm25!D26</f>
        <v>37452</v>
      </c>
      <c r="BH21" s="594">
        <f>(LongTerm25!BM26+LongTerm25!BL26/(1-LongTerm25!AR26))*(LongTerm25!F26*LongTerm25!AF26*LongTerm25!AH26)/10000</f>
        <v>-1.062666703469185</v>
      </c>
      <c r="BI21" s="594">
        <f>LongTerm25!BM26*(LongTerm25!F26*LongTerm25!AF26*LongTerm25!AH26)/10000</f>
        <v>28.482188887401502</v>
      </c>
      <c r="BJ21" s="594">
        <f>(LongTerm25!BL26/(1-LongTerm25!AR26))*(LongTerm25!F26*LongTerm25!AF26*LongTerm25!AH26)/10000</f>
        <v>-29.544855590870686</v>
      </c>
      <c r="BK21" s="435"/>
      <c r="BL21" s="435"/>
      <c r="BM21" s="435"/>
      <c r="BN21" s="435"/>
      <c r="BP21" s="596">
        <f>LongTerm62!D26</f>
        <v>37391</v>
      </c>
      <c r="BQ21" s="594">
        <f>(LongTerm62!$BM26+LongTerm62!$BL26/(1-LongTerm62!$AR26))*(LongTerm62!$F26*LongTerm62!$AF26*LongTerm62!$AH26)/10000</f>
        <v>0</v>
      </c>
      <c r="BR21" s="594">
        <f>LongTerm62!$BM26*(LongTerm62!$F26*LongTerm62!$AF26*LongTerm62!$AH26)/10000</f>
        <v>0</v>
      </c>
      <c r="BS21" s="594">
        <f>(LongTerm62!$BL26/(1-LongTerm62!$AR26))*(LongTerm62!$F26*LongTerm62!$AF26*LongTerm62!$AH26)/10000</f>
        <v>0</v>
      </c>
      <c r="BT21" s="447"/>
      <c r="BU21" s="596">
        <f>LongTerm107!D26</f>
        <v>37391</v>
      </c>
      <c r="BV21" s="594">
        <f>(LongTerm107!$BM26+LongTerm107!$BL26/(1-LongTerm107!$AR26))*(LongTerm107!$F26*LongTerm107!$AF26*LongTerm107!$AH26)/10000</f>
        <v>0.42096920135300181</v>
      </c>
      <c r="BW21" s="594">
        <f>LongTerm107!$BM26*(LongTerm107!$F26*LongTerm107!$AF26*LongTerm107!$AH26)/10000</f>
        <v>30.025938727842725</v>
      </c>
      <c r="BX21" s="594">
        <f>(LongTerm107!$BL26/(1-LongTerm107!$AR26))*(LongTerm107!$F26*LongTerm107!$AF26*LongTerm107!$AH26)/10000</f>
        <v>-29.604969526489718</v>
      </c>
      <c r="BY21" s="599"/>
      <c r="BZ21" s="596">
        <f>LongTerm108!D26</f>
        <v>37695</v>
      </c>
      <c r="CA21" s="594">
        <f>(LongTerm108!$BM26+LongTerm108!$BL26/(1-LongTerm108!$AR26))*(LongTerm108!$F26*LongTerm108!$AF26*LongTerm108!$AH26)/10000</f>
        <v>1.2749937491071233</v>
      </c>
      <c r="CB21" s="594">
        <f>LongTerm108!$BM26*(LongTerm108!$F26*LongTerm108!$AF26*LongTerm108!$AH26)/10000</f>
        <v>48.839987568321185</v>
      </c>
      <c r="CC21" s="594">
        <f>(LongTerm108!$BL26/(1-LongTerm108!$AR26))*(LongTerm108!$F26*LongTerm108!$AF26*LongTerm108!$AH26)/10000</f>
        <v>-47.564993819214067</v>
      </c>
      <c r="CD21" s="492"/>
      <c r="CE21" s="595">
        <f t="shared" si="34"/>
        <v>37149</v>
      </c>
      <c r="CF21" s="581"/>
      <c r="CG21" s="581"/>
      <c r="CH21" s="581"/>
      <c r="CI21" s="581"/>
      <c r="CJ21" s="581"/>
      <c r="CK21" s="582"/>
      <c r="CL21" s="525"/>
      <c r="CM21" s="525"/>
      <c r="CN21" s="525"/>
    </row>
    <row r="22" spans="2:92" x14ac:dyDescent="0.25">
      <c r="B22" s="553">
        <f t="shared" si="13"/>
        <v>37422</v>
      </c>
      <c r="C22" s="435">
        <f t="shared" si="14"/>
        <v>2002</v>
      </c>
      <c r="D22" s="445">
        <f t="shared" si="15"/>
        <v>-1.3184971230905933</v>
      </c>
      <c r="E22" s="445">
        <f t="shared" si="16"/>
        <v>-17.2133233291068</v>
      </c>
      <c r="F22" s="445">
        <f t="shared" si="17"/>
        <v>-1.0524573836288056</v>
      </c>
      <c r="G22" s="445">
        <f t="shared" si="18"/>
        <v>-0.71165724046778678</v>
      </c>
      <c r="H22" s="445">
        <f t="shared" si="19"/>
        <v>0</v>
      </c>
      <c r="I22" s="445">
        <f t="shared" si="20"/>
        <v>0</v>
      </c>
      <c r="J22" s="447"/>
      <c r="K22" s="447"/>
      <c r="L22" s="447"/>
      <c r="M22" s="445">
        <f t="shared" si="21"/>
        <v>0</v>
      </c>
      <c r="N22" s="565">
        <f t="shared" si="22"/>
        <v>0</v>
      </c>
      <c r="O22" s="565">
        <f t="shared" si="23"/>
        <v>12.958940830112848</v>
      </c>
      <c r="Q22" s="553">
        <f t="shared" si="24"/>
        <v>37422</v>
      </c>
      <c r="R22" s="445">
        <f t="shared" si="25"/>
        <v>-1.8184971230905933</v>
      </c>
      <c r="S22" s="565">
        <f t="shared" si="26"/>
        <v>-137.61332332910681</v>
      </c>
      <c r="T22" s="565">
        <f t="shared" si="3"/>
        <v>-28.652457383628807</v>
      </c>
      <c r="U22" s="565">
        <f t="shared" si="4"/>
        <v>192.9883427595322</v>
      </c>
      <c r="V22" s="565">
        <f t="shared" si="5"/>
        <v>0</v>
      </c>
      <c r="W22" s="565">
        <f t="shared" si="6"/>
        <v>0</v>
      </c>
      <c r="X22" s="565">
        <f t="shared" si="27"/>
        <v>0</v>
      </c>
      <c r="Y22" s="445">
        <f t="shared" si="28"/>
        <v>0</v>
      </c>
      <c r="Z22" s="565">
        <f t="shared" si="29"/>
        <v>-28.541059169887152</v>
      </c>
      <c r="AA22" s="447"/>
      <c r="AB22" s="553">
        <f t="shared" si="30"/>
        <v>37422</v>
      </c>
      <c r="AC22" s="571">
        <f t="shared" si="7"/>
        <v>0.5</v>
      </c>
      <c r="AD22" s="565">
        <f t="shared" si="8"/>
        <v>120.4</v>
      </c>
      <c r="AE22" s="565">
        <f t="shared" si="9"/>
        <v>27.6</v>
      </c>
      <c r="AF22" s="565">
        <f t="shared" si="10"/>
        <v>-193.7</v>
      </c>
      <c r="AG22" s="565">
        <f t="shared" si="11"/>
        <v>0</v>
      </c>
      <c r="AH22" s="565">
        <f t="shared" si="12"/>
        <v>0</v>
      </c>
      <c r="AI22" s="565">
        <f t="shared" si="31"/>
        <v>0</v>
      </c>
      <c r="AJ22" s="445">
        <f t="shared" si="32"/>
        <v>0</v>
      </c>
      <c r="AK22" s="565">
        <f t="shared" si="33"/>
        <v>41.5</v>
      </c>
      <c r="AM22" s="593">
        <f>LongTerm1!D27</f>
        <v>37422</v>
      </c>
      <c r="AN22" s="594">
        <f>(LongTerm1!BM27+LongTerm1!BL27/(1-LongTerm1!AR27))*(LongTerm1!F27*LongTerm1!AF27*LongTerm1!AH27)/10000</f>
        <v>-1.1872893471100743</v>
      </c>
      <c r="AO22" s="594">
        <f>LongTerm1!BM27*(LongTerm1!F27*LongTerm1!AF27*LongTerm1!AH27)/10000</f>
        <v>165.36715572390946</v>
      </c>
      <c r="AP22" s="594">
        <f>(LongTerm1!BL27/(1-LongTerm1!AR27))*(LongTerm1!F27*LongTerm1!AF27*LongTerm1!AH27)/10000</f>
        <v>-166.5544450710195</v>
      </c>
      <c r="AQ22" s="593">
        <f>LongTerm2!D27</f>
        <v>37330</v>
      </c>
      <c r="AR22" s="594">
        <f>(LongTerm2!BM27+LongTerm2!BL27/(1-LongTerm2!AR27))*(LongTerm2!F27*LongTerm2!AF27*LongTerm2!AH27)/10000</f>
        <v>0</v>
      </c>
      <c r="AS22" s="594">
        <f>LongTerm2!BM27*(LongTerm2!F27*LongTerm2!AF27*LongTerm2!AH27)/10000</f>
        <v>0</v>
      </c>
      <c r="AT22" s="594">
        <f>(LongTerm2!BL27/(1-LongTerm2!AR27))*(LongTerm2!F27*LongTerm2!AF27*LongTerm2!AH27)/10000</f>
        <v>0</v>
      </c>
      <c r="AU22" s="593">
        <f>LongTerm72!D27</f>
        <v>37361</v>
      </c>
      <c r="AV22" s="594">
        <f>(LongTerm72!BM27+LongTerm72!BL27/(1-LongTerm72!AR27))*(LongTerm72!F27*LongTerm72!AF27*LongTerm72!AH27)/10000</f>
        <v>0</v>
      </c>
      <c r="AW22" s="594">
        <f>LongTerm72!BM27*(LongTerm72!F27*LongTerm72!AF27*LongTerm72!AH27)/10000</f>
        <v>0</v>
      </c>
      <c r="AX22" s="594">
        <f>(LongTerm72!BL27/(1-LongTerm72!AR27))*(LongTerm72!F27*LongTerm72!AF27*LongTerm72!AH27)/10000</f>
        <v>0</v>
      </c>
      <c r="AY22" s="434"/>
      <c r="AZ22" s="435"/>
      <c r="BA22" s="435"/>
      <c r="BB22" s="435"/>
      <c r="BC22" s="434"/>
      <c r="BD22" s="435"/>
      <c r="BE22" s="435"/>
      <c r="BF22" s="435"/>
      <c r="BG22" s="593">
        <f>LongTerm25!D27</f>
        <v>37483</v>
      </c>
      <c r="BH22" s="594">
        <f>(LongTerm25!BM27+LongTerm25!BL27/(1-LongTerm25!AR27))*(LongTerm25!F27*LongTerm25!AF27*LongTerm25!AH27)/10000</f>
        <v>-1.0581901281612682</v>
      </c>
      <c r="BI22" s="594">
        <f>LongTerm25!BM27*(LongTerm25!F27*LongTerm25!AF27*LongTerm25!AH27)/10000</f>
        <v>28.407121975087176</v>
      </c>
      <c r="BJ22" s="594">
        <f>(LongTerm25!BL27/(1-LongTerm25!AR27))*(LongTerm25!F27*LongTerm25!AF27*LongTerm25!AH27)/10000</f>
        <v>-29.465312103248447</v>
      </c>
      <c r="BK22" s="435"/>
      <c r="BL22" s="435"/>
      <c r="BM22" s="435"/>
      <c r="BN22" s="435"/>
      <c r="BP22" s="596">
        <f>LongTerm62!D27</f>
        <v>37422</v>
      </c>
      <c r="BQ22" s="594">
        <f>(LongTerm62!$BM27+LongTerm62!$BL27/(1-LongTerm62!$AR27))*(LongTerm62!$F27*LongTerm62!$AF27*LongTerm62!$AH27)/10000</f>
        <v>0</v>
      </c>
      <c r="BR22" s="594">
        <f>LongTerm62!$BM27*(LongTerm62!$F27*LongTerm62!$AF27*LongTerm62!$AH27)/10000</f>
        <v>0</v>
      </c>
      <c r="BS22" s="594">
        <f>(LongTerm62!$BL27/(1-LongTerm62!$AR27))*(LongTerm62!$F27*LongTerm62!$AF27*LongTerm62!$AH27)/10000</f>
        <v>0</v>
      </c>
      <c r="BT22" s="447"/>
      <c r="BU22" s="596">
        <f>LongTerm107!D27</f>
        <v>37422</v>
      </c>
      <c r="BV22" s="594">
        <f>(LongTerm107!$BM27+LongTerm107!$BL27/(1-LongTerm107!$AR27))*(LongTerm107!$F27*LongTerm107!$AF27*LongTerm107!$AH27)/10000</f>
        <v>0.40006257202554035</v>
      </c>
      <c r="BW22" s="594">
        <f>LongTerm107!$BM27*(LongTerm107!$F27*LongTerm107!$AF27*LongTerm107!$AH27)/10000</f>
        <v>28.941121741912688</v>
      </c>
      <c r="BX22" s="594">
        <f>(LongTerm107!$BL27/(1-LongTerm107!$AR27))*(LongTerm107!$F27*LongTerm107!$AF27*LongTerm107!$AH27)/10000</f>
        <v>-28.541059169887152</v>
      </c>
      <c r="BY22" s="599"/>
      <c r="BZ22" s="596">
        <f>LongTerm108!D27</f>
        <v>37726</v>
      </c>
      <c r="CA22" s="594">
        <f>(LongTerm108!$BM27+LongTerm108!$BL27/(1-LongTerm108!$AR27))*(LongTerm108!$F27*LongTerm108!$AF27*LongTerm108!$AH27)/10000</f>
        <v>0.39680280406171442</v>
      </c>
      <c r="CB22" s="594">
        <f>LongTerm108!$BM27*(LongTerm108!$F27*LongTerm108!$AF27*LongTerm108!$AH27)/10000</f>
        <v>55.017409861462667</v>
      </c>
      <c r="CC22" s="594">
        <f>(LongTerm108!$BL27/(1-LongTerm108!$AR27))*(LongTerm108!$F27*LongTerm108!$AF27*LongTerm108!$AH27)/10000</f>
        <v>-54.620607057400953</v>
      </c>
      <c r="CD22" s="492"/>
      <c r="CE22" s="595">
        <f t="shared" si="34"/>
        <v>37179</v>
      </c>
      <c r="CF22" s="581"/>
      <c r="CG22" s="581"/>
      <c r="CH22" s="581"/>
      <c r="CI22" s="581"/>
      <c r="CJ22" s="581"/>
      <c r="CK22" s="582"/>
      <c r="CL22" s="525"/>
      <c r="CM22" s="525"/>
      <c r="CN22" s="525"/>
    </row>
    <row r="23" spans="2:92" x14ac:dyDescent="0.25">
      <c r="B23" s="553">
        <f t="shared" si="13"/>
        <v>37452</v>
      </c>
      <c r="C23" s="435">
        <f t="shared" si="14"/>
        <v>2002</v>
      </c>
      <c r="D23" s="445">
        <f t="shared" si="15"/>
        <v>-1.1284096273558357</v>
      </c>
      <c r="E23" s="445">
        <f t="shared" si="16"/>
        <v>-17.070840877390495</v>
      </c>
      <c r="F23" s="445">
        <f t="shared" si="17"/>
        <v>-0.64485559087068722</v>
      </c>
      <c r="G23" s="445">
        <f t="shared" si="18"/>
        <v>-1.5585246803393318</v>
      </c>
      <c r="H23" s="445">
        <f t="shared" si="19"/>
        <v>0</v>
      </c>
      <c r="I23" s="445">
        <f t="shared" si="20"/>
        <v>0</v>
      </c>
      <c r="J23" s="447"/>
      <c r="K23" s="447"/>
      <c r="L23" s="447"/>
      <c r="M23" s="445">
        <f t="shared" si="21"/>
        <v>0</v>
      </c>
      <c r="N23" s="565">
        <f t="shared" si="22"/>
        <v>0</v>
      </c>
      <c r="O23" s="565">
        <f t="shared" si="23"/>
        <v>12.545811521244676</v>
      </c>
      <c r="Q23" s="553">
        <f t="shared" si="24"/>
        <v>37452</v>
      </c>
      <c r="R23" s="445">
        <f t="shared" si="25"/>
        <v>-1.5284096273558356</v>
      </c>
      <c r="S23" s="565">
        <f t="shared" si="26"/>
        <v>-138.2708408773905</v>
      </c>
      <c r="T23" s="565">
        <f t="shared" si="3"/>
        <v>-29.544855590870686</v>
      </c>
      <c r="U23" s="565">
        <f t="shared" si="4"/>
        <v>195.14147531966066</v>
      </c>
      <c r="V23" s="565">
        <f t="shared" si="5"/>
        <v>0</v>
      </c>
      <c r="W23" s="565">
        <f t="shared" si="6"/>
        <v>0</v>
      </c>
      <c r="X23" s="565">
        <f t="shared" si="27"/>
        <v>0</v>
      </c>
      <c r="Y23" s="445">
        <f t="shared" si="28"/>
        <v>0</v>
      </c>
      <c r="Z23" s="565">
        <f t="shared" si="29"/>
        <v>-28.854188478755322</v>
      </c>
      <c r="AA23" s="447"/>
      <c r="AB23" s="553">
        <f t="shared" si="30"/>
        <v>37452</v>
      </c>
      <c r="AC23" s="571">
        <f t="shared" si="7"/>
        <v>0.4</v>
      </c>
      <c r="AD23" s="565">
        <f t="shared" si="8"/>
        <v>121.2</v>
      </c>
      <c r="AE23" s="565">
        <f t="shared" si="9"/>
        <v>28.9</v>
      </c>
      <c r="AF23" s="565">
        <f t="shared" si="10"/>
        <v>-196.7</v>
      </c>
      <c r="AG23" s="565">
        <f t="shared" si="11"/>
        <v>0</v>
      </c>
      <c r="AH23" s="565">
        <f t="shared" si="12"/>
        <v>0</v>
      </c>
      <c r="AI23" s="565">
        <f t="shared" si="31"/>
        <v>0</v>
      </c>
      <c r="AJ23" s="445">
        <f t="shared" si="32"/>
        <v>0</v>
      </c>
      <c r="AK23" s="565">
        <f t="shared" si="33"/>
        <v>41.4</v>
      </c>
      <c r="AM23" s="593">
        <f>LongTerm1!D28</f>
        <v>37452</v>
      </c>
      <c r="AN23" s="594">
        <f>(LongTerm1!BM28+LongTerm1!BL28/(1-LongTerm1!AR28))*(LongTerm1!F28*LongTerm1!AF28*LongTerm1!AH28)/10000</f>
        <v>-0.93351197192370217</v>
      </c>
      <c r="AO23" s="594">
        <f>LongTerm1!BM28*(LongTerm1!F28*LongTerm1!AF28*LongTerm1!AH28)/10000</f>
        <v>166.65928643225917</v>
      </c>
      <c r="AP23" s="594">
        <f>(LongTerm1!BL28/(1-LongTerm1!AR28))*(LongTerm1!F28*LongTerm1!AF28*LongTerm1!AH28)/10000</f>
        <v>-167.59279840418287</v>
      </c>
      <c r="AQ23" s="593">
        <f>LongTerm2!D28</f>
        <v>37330</v>
      </c>
      <c r="AR23" s="594">
        <f>(LongTerm2!BM28+LongTerm2!BL28/(1-LongTerm2!AR28))*(LongTerm2!F28*LongTerm2!AF28*LongTerm2!AH28)/10000</f>
        <v>0</v>
      </c>
      <c r="AS23" s="594">
        <f>LongTerm2!BM28*(LongTerm2!F28*LongTerm2!AF28*LongTerm2!AH28)/10000</f>
        <v>0</v>
      </c>
      <c r="AT23" s="594">
        <f>(LongTerm2!BL28/(1-LongTerm2!AR28))*(LongTerm2!F28*LongTerm2!AF28*LongTerm2!AH28)/10000</f>
        <v>0</v>
      </c>
      <c r="AU23" s="593">
        <f>LongTerm72!D28</f>
        <v>37361</v>
      </c>
      <c r="AV23" s="594">
        <f>(LongTerm72!BM28+LongTerm72!BL28/(1-LongTerm72!AR28))*(LongTerm72!F28*LongTerm72!AF28*LongTerm72!AH28)/10000</f>
        <v>0</v>
      </c>
      <c r="AW23" s="594">
        <f>LongTerm72!BM28*(LongTerm72!F28*LongTerm72!AF28*LongTerm72!AH28)/10000</f>
        <v>0</v>
      </c>
      <c r="AX23" s="594">
        <f>(LongTerm72!BL28/(1-LongTerm72!AR28))*(LongTerm72!F28*LongTerm72!AF28*LongTerm72!AH28)/10000</f>
        <v>0</v>
      </c>
      <c r="AY23" s="435"/>
      <c r="AZ23" s="435"/>
      <c r="BA23" s="435"/>
      <c r="BB23" s="435"/>
      <c r="BC23" s="435"/>
      <c r="BD23" s="435"/>
      <c r="BE23" s="435"/>
      <c r="BF23" s="435"/>
      <c r="BG23" s="593">
        <f>LongTerm25!D28</f>
        <v>37514</v>
      </c>
      <c r="BH23" s="594">
        <f>(LongTerm25!BM28+LongTerm25!BL28/(1-LongTerm25!AR28))*(LongTerm25!F28*LongTerm25!AF28*LongTerm25!AH28)/10000</f>
        <v>-1.0223785949807331</v>
      </c>
      <c r="BI23" s="594">
        <f>LongTerm25!BM28*(LongTerm25!F28*LongTerm25!AF28*LongTerm25!AH28)/10000</f>
        <v>27.432909592794172</v>
      </c>
      <c r="BJ23" s="594">
        <f>(LongTerm25!BL28/(1-LongTerm25!AR28))*(LongTerm25!F28*LongTerm25!AF28*LongTerm25!AH28)/10000</f>
        <v>-28.455288187774904</v>
      </c>
      <c r="BK23" s="435"/>
      <c r="BL23" s="435"/>
      <c r="BM23" s="435"/>
      <c r="BN23" s="435"/>
      <c r="BP23" s="596">
        <f>LongTerm62!D28</f>
        <v>37452</v>
      </c>
      <c r="BQ23" s="594">
        <f>(LongTerm62!$BM28+LongTerm62!$BL28/(1-LongTerm62!$AR28))*(LongTerm62!$F28*LongTerm62!$AF28*LongTerm62!$AH28)/10000</f>
        <v>0</v>
      </c>
      <c r="BR23" s="594">
        <f>LongTerm62!$BM28*(LongTerm62!$F28*LongTerm62!$AF28*LongTerm62!$AH28)/10000</f>
        <v>0</v>
      </c>
      <c r="BS23" s="594">
        <f>(LongTerm62!$BL28/(1-LongTerm62!$AR28))*(LongTerm62!$F28*LongTerm62!$AF28*LongTerm62!$AH28)/10000</f>
        <v>0</v>
      </c>
      <c r="BT23" s="447"/>
      <c r="BU23" s="596">
        <f>LongTerm107!D28</f>
        <v>37452</v>
      </c>
      <c r="BV23" s="594">
        <f>(LongTerm107!$BM28+LongTerm107!$BL28/(1-LongTerm107!$AR28))*(LongTerm107!$F28*LongTerm107!$AF28*LongTerm107!$AH28)/10000</f>
        <v>0.46776904803705155</v>
      </c>
      <c r="BW23" s="594">
        <f>LongTerm107!$BM28*(LongTerm107!$F28*LongTerm107!$AF28*LongTerm107!$AH28)/10000</f>
        <v>29.321957526792378</v>
      </c>
      <c r="BX23" s="594">
        <f>(LongTerm107!$BL28/(1-LongTerm107!$AR28))*(LongTerm107!$F28*LongTerm107!$AF28*LongTerm107!$AH28)/10000</f>
        <v>-28.854188478755322</v>
      </c>
      <c r="BY23" s="599"/>
      <c r="BZ23" s="596">
        <f>LongTerm108!D28</f>
        <v>37756</v>
      </c>
      <c r="CA23" s="594">
        <f>(LongTerm108!$BM28+LongTerm108!$BL28/(1-LongTerm108!$AR28))*(LongTerm108!$F28*LongTerm108!$AF28*LongTerm108!$AH28)/10000</f>
        <v>0.54704272885477989</v>
      </c>
      <c r="CB23" s="594">
        <f>LongTerm108!$BM28*(LongTerm108!$F28*LongTerm108!$AF28*LongTerm108!$AH28)/10000</f>
        <v>54.638535531749504</v>
      </c>
      <c r="CC23" s="594">
        <f>(LongTerm108!$BL28/(1-LongTerm108!$AR28))*(LongTerm108!$F28*LongTerm108!$AF28*LongTerm108!$AH28)/10000</f>
        <v>-54.091492802894734</v>
      </c>
      <c r="CD23" s="492"/>
      <c r="CE23" s="595">
        <f t="shared" si="34"/>
        <v>37210</v>
      </c>
      <c r="CF23" s="583">
        <v>30.7</v>
      </c>
      <c r="CG23" s="583">
        <v>90.1</v>
      </c>
      <c r="CH23" s="583">
        <v>-142</v>
      </c>
      <c r="CI23" s="583">
        <v>-15</v>
      </c>
      <c r="CJ23" s="583">
        <v>15</v>
      </c>
      <c r="CK23" s="583">
        <v>0</v>
      </c>
      <c r="CL23" s="583">
        <v>-16.899999999999999</v>
      </c>
      <c r="CM23" s="583">
        <v>15.9</v>
      </c>
      <c r="CN23" s="583">
        <v>31</v>
      </c>
    </row>
    <row r="24" spans="2:92" x14ac:dyDescent="0.25">
      <c r="B24" s="553">
        <f t="shared" si="13"/>
        <v>37483</v>
      </c>
      <c r="C24" s="435">
        <f t="shared" si="14"/>
        <v>2002</v>
      </c>
      <c r="D24" s="445">
        <f t="shared" si="15"/>
        <v>-0.81522593950814304</v>
      </c>
      <c r="E24" s="445">
        <f t="shared" si="16"/>
        <v>-16.670387979704827</v>
      </c>
      <c r="F24" s="445">
        <f t="shared" si="17"/>
        <v>-0.86531210324844565</v>
      </c>
      <c r="G24" s="445">
        <f t="shared" si="18"/>
        <v>-0.83289041100178451</v>
      </c>
      <c r="H24" s="445">
        <f t="shared" si="19"/>
        <v>0</v>
      </c>
      <c r="I24" s="445">
        <f t="shared" si="20"/>
        <v>0</v>
      </c>
      <c r="J24" s="447"/>
      <c r="K24" s="447"/>
      <c r="L24" s="447"/>
      <c r="M24" s="445">
        <f t="shared" si="21"/>
        <v>0</v>
      </c>
      <c r="N24" s="565">
        <f t="shared" si="22"/>
        <v>0</v>
      </c>
      <c r="O24" s="565">
        <f t="shared" si="23"/>
        <v>11.95336455444691</v>
      </c>
      <c r="Q24" s="553">
        <f t="shared" si="24"/>
        <v>37483</v>
      </c>
      <c r="R24" s="445">
        <f t="shared" si="25"/>
        <v>-1.2152259395081431</v>
      </c>
      <c r="S24" s="565">
        <f t="shared" si="26"/>
        <v>-134.67038797970483</v>
      </c>
      <c r="T24" s="565">
        <f t="shared" si="3"/>
        <v>-29.465312103248447</v>
      </c>
      <c r="U24" s="565">
        <f t="shared" si="4"/>
        <v>191.26710958899821</v>
      </c>
      <c r="V24" s="565">
        <f t="shared" si="5"/>
        <v>0</v>
      </c>
      <c r="W24" s="565">
        <f t="shared" si="6"/>
        <v>0</v>
      </c>
      <c r="X24" s="565">
        <f t="shared" si="27"/>
        <v>0</v>
      </c>
      <c r="Y24" s="445">
        <f t="shared" si="28"/>
        <v>0</v>
      </c>
      <c r="Z24" s="565">
        <f t="shared" si="29"/>
        <v>-28.346635445553087</v>
      </c>
      <c r="AA24" s="447"/>
      <c r="AB24" s="553">
        <f t="shared" si="30"/>
        <v>37483</v>
      </c>
      <c r="AC24" s="571">
        <f t="shared" si="7"/>
        <v>0.4</v>
      </c>
      <c r="AD24" s="565">
        <f t="shared" si="8"/>
        <v>118</v>
      </c>
      <c r="AE24" s="565">
        <f t="shared" si="9"/>
        <v>28.6</v>
      </c>
      <c r="AF24" s="565">
        <f t="shared" si="10"/>
        <v>-192.1</v>
      </c>
      <c r="AG24" s="565">
        <f t="shared" si="11"/>
        <v>0</v>
      </c>
      <c r="AH24" s="565">
        <f t="shared" si="12"/>
        <v>0</v>
      </c>
      <c r="AI24" s="565">
        <f t="shared" si="31"/>
        <v>0</v>
      </c>
      <c r="AJ24" s="445">
        <f t="shared" si="32"/>
        <v>0</v>
      </c>
      <c r="AK24" s="565">
        <f t="shared" si="33"/>
        <v>40.299999999999997</v>
      </c>
      <c r="AM24" s="593">
        <f>LongTerm1!D29</f>
        <v>37483</v>
      </c>
      <c r="AN24" s="594">
        <f>(LongTerm1!BM29+LongTerm1!BL29/(1-LongTerm1!AR29))*(LongTerm1!F29*LongTerm1!AF29*LongTerm1!AH29)/10000</f>
        <v>-0.66958294836820698</v>
      </c>
      <c r="AO24" s="594">
        <f>LongTerm1!BM29*(LongTerm1!F29*LongTerm1!AF29*LongTerm1!AH29)/10000</f>
        <v>162.85998761391104</v>
      </c>
      <c r="AP24" s="594">
        <f>(LongTerm1!BL29/(1-LongTerm1!AR29))*(LongTerm1!F29*LongTerm1!AF29*LongTerm1!AH29)/10000</f>
        <v>-163.52957056227925</v>
      </c>
      <c r="AQ24" s="593">
        <f>LongTerm2!D29</f>
        <v>37330</v>
      </c>
      <c r="AR24" s="594">
        <f>(LongTerm2!BM29+LongTerm2!BL29/(1-LongTerm2!AR29))*(LongTerm2!F29*LongTerm2!AF29*LongTerm2!AH29)/10000</f>
        <v>0</v>
      </c>
      <c r="AS24" s="594">
        <f>LongTerm2!BM29*(LongTerm2!F29*LongTerm2!AF29*LongTerm2!AH29)/10000</f>
        <v>0</v>
      </c>
      <c r="AT24" s="594">
        <f>(LongTerm2!BL29/(1-LongTerm2!AR29))*(LongTerm2!F29*LongTerm2!AF29*LongTerm2!AH29)/10000</f>
        <v>0</v>
      </c>
      <c r="AU24" s="593">
        <f>LongTerm72!D29</f>
        <v>37361</v>
      </c>
      <c r="AV24" s="594">
        <f>(LongTerm72!BM29+LongTerm72!BL29/(1-LongTerm72!AR29))*(LongTerm72!F29*LongTerm72!AF29*LongTerm72!AH29)/10000</f>
        <v>0</v>
      </c>
      <c r="AW24" s="594">
        <f>LongTerm72!BM29*(LongTerm72!F29*LongTerm72!AF29*LongTerm72!AH29)/10000</f>
        <v>0</v>
      </c>
      <c r="AX24" s="594">
        <f>(LongTerm72!BL29/(1-LongTerm72!AR29))*(LongTerm72!F29*LongTerm72!AF29*LongTerm72!AH29)/10000</f>
        <v>0</v>
      </c>
      <c r="AY24" s="435"/>
      <c r="AZ24" s="435"/>
      <c r="BA24" s="435"/>
      <c r="BB24" s="435"/>
      <c r="BC24" s="435"/>
      <c r="BD24" s="435"/>
      <c r="BE24" s="435"/>
      <c r="BF24" s="435"/>
      <c r="BG24" s="593">
        <f>LongTerm25!D29</f>
        <v>37544</v>
      </c>
      <c r="BH24" s="594">
        <f>(LongTerm25!BM29+LongTerm25!BL29/(1-LongTerm25!AR29))*(LongTerm25!F29*LongTerm25!AF29*LongTerm25!AH29)/10000</f>
        <v>-1.0500519144395692</v>
      </c>
      <c r="BI24" s="594">
        <f>LongTerm25!BM29*(LongTerm25!F29*LongTerm25!AF29*LongTerm25!AH29)/10000</f>
        <v>28.255929352876933</v>
      </c>
      <c r="BJ24" s="594">
        <f>(LongTerm25!BL29/(1-LongTerm25!AR29))*(LongTerm25!F29*LongTerm25!AF29*LongTerm25!AH29)/10000</f>
        <v>-29.305981267316504</v>
      </c>
      <c r="BK24" s="435"/>
      <c r="BL24" s="435"/>
      <c r="BM24" s="435"/>
      <c r="BN24" s="435"/>
      <c r="BP24" s="596">
        <f>LongTerm62!D29</f>
        <v>37483</v>
      </c>
      <c r="BQ24" s="594">
        <f>(LongTerm62!$BM29+LongTerm62!$BL29/(1-LongTerm62!$AR29))*(LongTerm62!$F29*LongTerm62!$AF29*LongTerm62!$AH29)/10000</f>
        <v>0</v>
      </c>
      <c r="BR24" s="594">
        <f>LongTerm62!$BM29*(LongTerm62!$F29*LongTerm62!$AF29*LongTerm62!$AH29)/10000</f>
        <v>0</v>
      </c>
      <c r="BS24" s="594">
        <f>(LongTerm62!$BL29/(1-LongTerm62!$AR29))*(LongTerm62!$F29*LongTerm62!$AF29*LongTerm62!$AH29)/10000</f>
        <v>0</v>
      </c>
      <c r="BT24" s="447"/>
      <c r="BU24" s="596">
        <f>LongTerm107!D29</f>
        <v>37483</v>
      </c>
      <c r="BV24" s="594">
        <f>(LongTerm107!$BM29+LongTerm107!$BL29/(1-LongTerm107!$AR29))*(LongTerm107!$F29*LongTerm107!$AF29*LongTerm107!$AH29)/10000</f>
        <v>0.51254713702133214</v>
      </c>
      <c r="BW24" s="594">
        <f>LongTerm107!$BM29*(LongTerm107!$F29*LongTerm107!$AF29*LongTerm107!$AH29)/10000</f>
        <v>28.859182582574427</v>
      </c>
      <c r="BX24" s="594">
        <f>(LongTerm107!$BL29/(1-LongTerm107!$AR29))*(LongTerm107!$F29*LongTerm107!$AF29*LongTerm107!$AH29)/10000</f>
        <v>-28.346635445553087</v>
      </c>
      <c r="BY24" s="599"/>
      <c r="BZ24" s="596">
        <f>LongTerm108!D29</f>
        <v>37787</v>
      </c>
      <c r="CA24" s="594">
        <f>(LongTerm108!$BM29+LongTerm108!$BL29/(1-LongTerm108!$AR29))*(LongTerm108!$F29*LongTerm108!$AF29*LongTerm108!$AH29)/10000</f>
        <v>0.5156889391763142</v>
      </c>
      <c r="CB24" s="594">
        <f>LongTerm108!$BM29*(LongTerm108!$F29*LongTerm108!$AF29*LongTerm108!$AH29)/10000</f>
        <v>52.663070791160536</v>
      </c>
      <c r="CC24" s="594">
        <f>(LongTerm108!$BL29/(1-LongTerm108!$AR29))*(LongTerm108!$F29*LongTerm108!$AF29*LongTerm108!$AH29)/10000</f>
        <v>-52.147381851984214</v>
      </c>
      <c r="CD24" s="492"/>
      <c r="CE24" s="595">
        <f t="shared" si="34"/>
        <v>37240</v>
      </c>
      <c r="CF24" s="583">
        <v>32.1</v>
      </c>
      <c r="CG24" s="583">
        <v>90.3</v>
      </c>
      <c r="CH24" s="583">
        <v>-144</v>
      </c>
      <c r="CI24" s="583">
        <v>-15.5</v>
      </c>
      <c r="CJ24" s="583">
        <v>15.5</v>
      </c>
      <c r="CK24" s="583">
        <v>-10.7</v>
      </c>
      <c r="CL24" s="583">
        <v>-16.3</v>
      </c>
      <c r="CM24" s="583">
        <v>15.3</v>
      </c>
      <c r="CN24" s="583">
        <v>31.9</v>
      </c>
    </row>
    <row r="25" spans="2:92" x14ac:dyDescent="0.25">
      <c r="B25" s="553">
        <f t="shared" si="13"/>
        <v>37514</v>
      </c>
      <c r="C25" s="435">
        <f t="shared" si="14"/>
        <v>2002</v>
      </c>
      <c r="D25" s="445">
        <f t="shared" si="15"/>
        <v>-0.74177966704061893</v>
      </c>
      <c r="E25" s="445">
        <f t="shared" si="16"/>
        <v>-15.948601047108937</v>
      </c>
      <c r="F25" s="445">
        <f t="shared" si="17"/>
        <v>-0.75528818777490514</v>
      </c>
      <c r="G25" s="445">
        <f t="shared" si="18"/>
        <v>-0.57624784047064281</v>
      </c>
      <c r="H25" s="445">
        <f t="shared" si="19"/>
        <v>0</v>
      </c>
      <c r="I25" s="445">
        <f t="shared" si="20"/>
        <v>0</v>
      </c>
      <c r="J25" s="447"/>
      <c r="K25" s="447"/>
      <c r="L25" s="447"/>
      <c r="M25" s="445">
        <f t="shared" si="21"/>
        <v>0</v>
      </c>
      <c r="N25" s="565">
        <f t="shared" si="22"/>
        <v>0</v>
      </c>
      <c r="O25" s="565">
        <f t="shared" si="23"/>
        <v>11.738357408313892</v>
      </c>
      <c r="Q25" s="553">
        <f t="shared" si="24"/>
        <v>37514</v>
      </c>
      <c r="R25" s="445">
        <f t="shared" si="25"/>
        <v>-1.2417796670406189</v>
      </c>
      <c r="S25" s="565">
        <f t="shared" si="26"/>
        <v>-130.74860104710893</v>
      </c>
      <c r="T25" s="565">
        <f t="shared" si="3"/>
        <v>-28.455288187774904</v>
      </c>
      <c r="U25" s="565">
        <f t="shared" si="4"/>
        <v>185.42375215952936</v>
      </c>
      <c r="V25" s="565">
        <f t="shared" si="5"/>
        <v>0</v>
      </c>
      <c r="W25" s="565">
        <f t="shared" si="6"/>
        <v>0</v>
      </c>
      <c r="X25" s="565">
        <f t="shared" si="27"/>
        <v>0</v>
      </c>
      <c r="Y25" s="445">
        <f t="shared" si="28"/>
        <v>0</v>
      </c>
      <c r="Z25" s="565">
        <f t="shared" si="29"/>
        <v>-27.461642591686111</v>
      </c>
      <c r="AA25" s="447"/>
      <c r="AB25" s="553">
        <f t="shared" si="30"/>
        <v>37514</v>
      </c>
      <c r="AC25" s="571">
        <f t="shared" si="7"/>
        <v>0.5</v>
      </c>
      <c r="AD25" s="565">
        <f t="shared" si="8"/>
        <v>114.8</v>
      </c>
      <c r="AE25" s="565">
        <f t="shared" si="9"/>
        <v>27.7</v>
      </c>
      <c r="AF25" s="565">
        <f t="shared" si="10"/>
        <v>-186</v>
      </c>
      <c r="AG25" s="565">
        <f t="shared" si="11"/>
        <v>0</v>
      </c>
      <c r="AH25" s="565">
        <f t="shared" si="12"/>
        <v>0</v>
      </c>
      <c r="AI25" s="565">
        <f t="shared" si="31"/>
        <v>0</v>
      </c>
      <c r="AJ25" s="445">
        <f t="shared" si="32"/>
        <v>0</v>
      </c>
      <c r="AK25" s="565">
        <f t="shared" si="33"/>
        <v>39.200000000000003</v>
      </c>
      <c r="AM25" s="593">
        <f>LongTerm1!D30</f>
        <v>37514</v>
      </c>
      <c r="AN25" s="594">
        <f>(LongTerm1!BM30+LongTerm1!BL30/(1-LongTerm1!AR30))*(LongTerm1!F30*LongTerm1!AF30*LongTerm1!AH30)/10000</f>
        <v>-0.70412566531247167</v>
      </c>
      <c r="AO25" s="594">
        <f>LongTerm1!BM30*(LongTerm1!F30*LongTerm1!AF30*LongTerm1!AH30)/10000</f>
        <v>157.99084256673518</v>
      </c>
      <c r="AP25" s="594">
        <f>(LongTerm1!BL30/(1-LongTerm1!AR30))*(LongTerm1!F30*LongTerm1!AF30*LongTerm1!AH30)/10000</f>
        <v>-158.69496823204764</v>
      </c>
      <c r="AQ25" s="593">
        <f>LongTerm2!D30</f>
        <v>37330</v>
      </c>
      <c r="AR25" s="594">
        <f>(LongTerm2!BM30+LongTerm2!BL30/(1-LongTerm2!AR30))*(LongTerm2!F30*LongTerm2!AF30*LongTerm2!AH30)/10000</f>
        <v>0</v>
      </c>
      <c r="AS25" s="594">
        <f>LongTerm2!BM30*(LongTerm2!F30*LongTerm2!AF30*LongTerm2!AH30)/10000</f>
        <v>0</v>
      </c>
      <c r="AT25" s="594">
        <f>(LongTerm2!BL30/(1-LongTerm2!AR30))*(LongTerm2!F30*LongTerm2!AF30*LongTerm2!AH30)/10000</f>
        <v>0</v>
      </c>
      <c r="AU25" s="593">
        <f>LongTerm72!D30</f>
        <v>37361</v>
      </c>
      <c r="AV25" s="594">
        <f>(LongTerm72!BM30+LongTerm72!BL30/(1-LongTerm72!AR30))*(LongTerm72!F30*LongTerm72!AF30*LongTerm72!AH30)/10000</f>
        <v>0</v>
      </c>
      <c r="AW25" s="594">
        <f>LongTerm72!BM30*(LongTerm72!F30*LongTerm72!AF30*LongTerm72!AH30)/10000</f>
        <v>0</v>
      </c>
      <c r="AX25" s="594">
        <f>(LongTerm72!BL30/(1-LongTerm72!AR30))*(LongTerm72!F30*LongTerm72!AF30*LongTerm72!AH30)/10000</f>
        <v>0</v>
      </c>
      <c r="AY25" s="435"/>
      <c r="AZ25" s="435"/>
      <c r="BA25" s="435"/>
      <c r="BB25" s="435"/>
      <c r="BC25" s="435"/>
      <c r="BD25" s="435"/>
      <c r="BE25" s="435"/>
      <c r="BF25" s="435"/>
      <c r="BG25" s="593">
        <f>LongTerm25!D30</f>
        <v>37575</v>
      </c>
      <c r="BH25" s="594">
        <f>(LongTerm25!BM30+LongTerm25!BL30/(1-LongTerm25!AR30))*(LongTerm25!F30*LongTerm25!AF30*LongTerm25!AH30)/10000</f>
        <v>-1.0181862714068752</v>
      </c>
      <c r="BI25" s="594">
        <f>LongTerm25!BM30*(LongTerm25!F30*LongTerm25!AF30*LongTerm25!AH30)/10000</f>
        <v>27.300377251452662</v>
      </c>
      <c r="BJ25" s="594">
        <f>(LongTerm25!BL30/(1-LongTerm25!AR30))*(LongTerm25!F30*LongTerm25!AF30*LongTerm25!AH30)/10000</f>
        <v>-28.318563522859534</v>
      </c>
      <c r="BK25" s="435"/>
      <c r="BL25" s="435"/>
      <c r="BM25" s="435"/>
      <c r="BN25" s="435"/>
      <c r="BP25" s="596">
        <f>LongTerm62!D30</f>
        <v>37514</v>
      </c>
      <c r="BQ25" s="594">
        <f>(LongTerm62!$BM30+LongTerm62!$BL30/(1-LongTerm62!$AR30))*(LongTerm62!$F30*LongTerm62!$AF30*LongTerm62!$AH30)/10000</f>
        <v>0</v>
      </c>
      <c r="BR25" s="594">
        <f>LongTerm62!$BM30*(LongTerm62!$F30*LongTerm62!$AF30*LongTerm62!$AH30)/10000</f>
        <v>0</v>
      </c>
      <c r="BS25" s="594">
        <f>(LongTerm62!$BL30/(1-LongTerm62!$AR30))*(LongTerm62!$F30*LongTerm62!$AF30*LongTerm62!$AH30)/10000</f>
        <v>0</v>
      </c>
      <c r="BT25" s="447"/>
      <c r="BU25" s="596">
        <f>LongTerm107!D30</f>
        <v>37514</v>
      </c>
      <c r="BV25" s="594">
        <f>(LongTerm107!$BM30+LongTerm107!$BL30/(1-LongTerm107!$AR30))*(LongTerm107!$F30*LongTerm107!$AF30*LongTerm107!$AH30)/10000</f>
        <v>0.48472459325258599</v>
      </c>
      <c r="BW25" s="594">
        <f>LongTerm107!$BM30*(LongTerm107!$F30*LongTerm107!$AF30*LongTerm107!$AH30)/10000</f>
        <v>27.946367184938694</v>
      </c>
      <c r="BX25" s="594">
        <f>(LongTerm107!$BL30/(1-LongTerm107!$AR30))*(LongTerm107!$F30*LongTerm107!$AF30*LongTerm107!$AH30)/10000</f>
        <v>-27.461642591686111</v>
      </c>
      <c r="BY25" s="599"/>
      <c r="BZ25" s="596">
        <f>LongTerm108!D30</f>
        <v>37817</v>
      </c>
      <c r="CA25" s="594">
        <f>(LongTerm108!$BM30+LongTerm108!$BL30/(1-LongTerm108!$AR30))*(LongTerm108!$F30*LongTerm108!$AF30*LongTerm108!$AH30)/10000</f>
        <v>0.62628010539328816</v>
      </c>
      <c r="CB25" s="594">
        <f>LongTerm108!$BM30*(LongTerm108!$F30*LongTerm108!$AF30*LongTerm108!$AH30)/10000</f>
        <v>52.893726214543314</v>
      </c>
      <c r="CC25" s="594">
        <f>(LongTerm108!$BL30/(1-LongTerm108!$AR30))*(LongTerm108!$F30*LongTerm108!$AF30*LongTerm108!$AH30)/10000</f>
        <v>-52.267446109150029</v>
      </c>
      <c r="CD25" s="492"/>
      <c r="CE25" s="595">
        <f t="shared" si="34"/>
        <v>37271</v>
      </c>
      <c r="CF25" s="583">
        <v>31.5</v>
      </c>
      <c r="CG25" s="583">
        <v>97.6</v>
      </c>
      <c r="CH25" s="583">
        <v>-163.80000000000001</v>
      </c>
      <c r="CI25" s="583">
        <v>-15.4</v>
      </c>
      <c r="CJ25" s="583">
        <v>15.4</v>
      </c>
      <c r="CK25" s="583">
        <v>-11.5</v>
      </c>
      <c r="CL25" s="583">
        <v>-15.3</v>
      </c>
      <c r="CM25" s="583">
        <v>15.3</v>
      </c>
      <c r="CN25" s="583">
        <v>33.9</v>
      </c>
    </row>
    <row r="26" spans="2:92" x14ac:dyDescent="0.25">
      <c r="B26" s="553">
        <f t="shared" si="13"/>
        <v>37544</v>
      </c>
      <c r="C26" s="435">
        <f t="shared" si="14"/>
        <v>2002</v>
      </c>
      <c r="D26" s="445">
        <f t="shared" si="15"/>
        <v>-0.53077473680081877</v>
      </c>
      <c r="E26" s="445">
        <f t="shared" si="16"/>
        <v>-15.868271353395727</v>
      </c>
      <c r="F26" s="445">
        <f t="shared" si="17"/>
        <v>-1.3059812673165041</v>
      </c>
      <c r="G26" s="445">
        <f t="shared" si="18"/>
        <v>-1.2557153462151973</v>
      </c>
      <c r="H26" s="445">
        <f t="shared" si="19"/>
        <v>0</v>
      </c>
      <c r="I26" s="445">
        <f t="shared" si="20"/>
        <v>0</v>
      </c>
      <c r="J26" s="447"/>
      <c r="K26" s="447"/>
      <c r="L26" s="447"/>
      <c r="M26" s="445">
        <f t="shared" si="21"/>
        <v>0</v>
      </c>
      <c r="N26" s="565">
        <f t="shared" si="22"/>
        <v>0</v>
      </c>
      <c r="O26" s="565">
        <f t="shared" si="23"/>
        <v>11.29919323012659</v>
      </c>
      <c r="Q26" s="553">
        <f t="shared" si="24"/>
        <v>37544</v>
      </c>
      <c r="R26" s="445">
        <f t="shared" si="25"/>
        <v>-0.93077473680081879</v>
      </c>
      <c r="S26" s="565">
        <f t="shared" si="26"/>
        <v>-131.36827135339573</v>
      </c>
      <c r="T26" s="565">
        <f t="shared" si="3"/>
        <v>-29.305981267316504</v>
      </c>
      <c r="U26" s="565">
        <f t="shared" si="4"/>
        <v>187.64428465378481</v>
      </c>
      <c r="V26" s="565">
        <f t="shared" si="5"/>
        <v>0</v>
      </c>
      <c r="W26" s="565">
        <f t="shared" si="6"/>
        <v>0</v>
      </c>
      <c r="X26" s="565">
        <f t="shared" si="27"/>
        <v>0</v>
      </c>
      <c r="Y26" s="445">
        <f t="shared" si="28"/>
        <v>0</v>
      </c>
      <c r="Z26" s="565">
        <f t="shared" si="29"/>
        <v>-27.900806769873412</v>
      </c>
      <c r="AA26" s="447"/>
      <c r="AB26" s="553">
        <f t="shared" si="30"/>
        <v>37544</v>
      </c>
      <c r="AC26" s="571">
        <f t="shared" si="7"/>
        <v>0.4</v>
      </c>
      <c r="AD26" s="565">
        <f t="shared" si="8"/>
        <v>115.5</v>
      </c>
      <c r="AE26" s="565">
        <f t="shared" si="9"/>
        <v>28</v>
      </c>
      <c r="AF26" s="565">
        <f t="shared" si="10"/>
        <v>-188.9</v>
      </c>
      <c r="AG26" s="565">
        <f t="shared" si="11"/>
        <v>0</v>
      </c>
      <c r="AH26" s="565">
        <f t="shared" si="12"/>
        <v>0</v>
      </c>
      <c r="AI26" s="565">
        <f t="shared" si="31"/>
        <v>0</v>
      </c>
      <c r="AJ26" s="445">
        <f t="shared" si="32"/>
        <v>0</v>
      </c>
      <c r="AK26" s="565">
        <f t="shared" si="33"/>
        <v>39.200000000000003</v>
      </c>
      <c r="AM26" s="593">
        <f>LongTerm1!D31</f>
        <v>37544</v>
      </c>
      <c r="AN26" s="594">
        <f>(LongTerm1!BM31+LongTerm1!BL31/(1-LongTerm1!AR31))*(LongTerm1!F31*LongTerm1!AF31*LongTerm1!AH31)/10000</f>
        <v>-0.43544831560878244</v>
      </c>
      <c r="AO26" s="594">
        <f>LongTerm1!BM31*(LongTerm1!F31*LongTerm1!AF31*LongTerm1!AH31)/10000</f>
        <v>159.38835530090788</v>
      </c>
      <c r="AP26" s="594">
        <f>(LongTerm1!BL31/(1-LongTerm1!AR31))*(LongTerm1!F31*LongTerm1!AF31*LongTerm1!AH31)/10000</f>
        <v>-159.82380361651667</v>
      </c>
      <c r="AQ26" s="593"/>
      <c r="AR26" s="594"/>
      <c r="AS26" s="594"/>
      <c r="AT26" s="594"/>
      <c r="AU26" s="593">
        <f>LongTerm72!D31</f>
        <v>37361</v>
      </c>
      <c r="AV26" s="594">
        <f>(LongTerm72!BM31+LongTerm72!BL31/(1-LongTerm72!AR31))*(LongTerm72!F31*LongTerm72!AF31*LongTerm72!AH31)/10000</f>
        <v>0</v>
      </c>
      <c r="AW26" s="594">
        <f>LongTerm72!BM31*(LongTerm72!F31*LongTerm72!AF31*LongTerm72!AH31)/10000</f>
        <v>0</v>
      </c>
      <c r="AX26" s="594">
        <f>(LongTerm72!BL31/(1-LongTerm72!AR31))*(LongTerm72!F31*LongTerm72!AF31*LongTerm72!AH31)/10000</f>
        <v>0</v>
      </c>
      <c r="AY26" s="435"/>
      <c r="AZ26" s="435"/>
      <c r="BA26" s="435"/>
      <c r="BB26" s="435"/>
      <c r="BC26" s="435"/>
      <c r="BD26" s="435"/>
      <c r="BE26" s="435"/>
      <c r="BF26" s="435"/>
      <c r="BG26" s="593">
        <f>LongTerm25!D31</f>
        <v>37605</v>
      </c>
      <c r="BH26" s="594">
        <f>(LongTerm25!BM31+LongTerm25!BL31/(1-LongTerm25!AR31))*(LongTerm25!F31*LongTerm25!AF31*LongTerm25!AH31)/10000</f>
        <v>-1.0496874729649457</v>
      </c>
      <c r="BI26" s="594">
        <f>LongTerm25!BM31*(LongTerm25!F31*LongTerm25!AF31*LongTerm25!AH31)/10000</f>
        <v>28.136560578028107</v>
      </c>
      <c r="BJ26" s="594">
        <f>(LongTerm25!BL31/(1-LongTerm25!AR31))*(LongTerm25!F31*LongTerm25!AF31*LongTerm25!AH31)/10000</f>
        <v>-29.186248050993051</v>
      </c>
      <c r="BK26" s="435"/>
      <c r="BL26" s="435"/>
      <c r="BM26" s="435"/>
      <c r="BN26" s="435"/>
      <c r="BP26" s="596">
        <f>LongTerm62!D31</f>
        <v>37544</v>
      </c>
      <c r="BQ26" s="594">
        <f>(LongTerm62!$BM31+LongTerm62!$BL31/(1-LongTerm62!$AR31))*(LongTerm62!$F31*LongTerm62!$AF31*LongTerm62!$AH31)/10000</f>
        <v>0</v>
      </c>
      <c r="BR26" s="594">
        <f>LongTerm62!$BM31*(LongTerm62!$F31*LongTerm62!$AF31*LongTerm62!$AH31)/10000</f>
        <v>0</v>
      </c>
      <c r="BS26" s="594">
        <f>(LongTerm62!$BL31/(1-LongTerm62!$AR31))*(LongTerm62!$F31*LongTerm62!$AF31*LongTerm62!$AH31)/10000</f>
        <v>0</v>
      </c>
      <c r="BT26" s="447"/>
      <c r="BU26" s="596">
        <f>LongTerm107!D31</f>
        <v>37544</v>
      </c>
      <c r="BV26" s="594">
        <f>(LongTerm107!$BM31+LongTerm107!$BL31/(1-LongTerm107!$AR31))*(LongTerm107!$F31*LongTerm107!$AF31*LongTerm107!$AH31)/10000</f>
        <v>0.55472549324753295</v>
      </c>
      <c r="BW26" s="594">
        <f>LongTerm107!$BM31*(LongTerm107!$F31*LongTerm107!$AF31*LongTerm107!$AH31)/10000</f>
        <v>28.455532263120944</v>
      </c>
      <c r="BX26" s="594">
        <f>(LongTerm107!$BL31/(1-LongTerm107!$AR31))*(LongTerm107!$F31*LongTerm107!$AF31*LongTerm107!$AH31)/10000</f>
        <v>-27.900806769873412</v>
      </c>
      <c r="BY26" s="599"/>
      <c r="BZ26" s="596">
        <f>LongTerm108!D31</f>
        <v>37848</v>
      </c>
      <c r="CA26" s="594">
        <f>(LongTerm108!$BM31+LongTerm108!$BL31/(1-LongTerm108!$AR31))*(LongTerm108!$F31*LongTerm108!$AF31*LongTerm108!$AH31)/10000</f>
        <v>0.70332762176715091</v>
      </c>
      <c r="CB26" s="594">
        <f>LongTerm108!$BM31*(LongTerm108!$F31*LongTerm108!$AF31*LongTerm108!$AH31)/10000</f>
        <v>51.701609302871148</v>
      </c>
      <c r="CC26" s="594">
        <f>(LongTerm108!$BL31/(1-LongTerm108!$AR31))*(LongTerm108!$F31*LongTerm108!$AF31*LongTerm108!$AH31)/10000</f>
        <v>-50.998281681103997</v>
      </c>
      <c r="CD26" s="492"/>
      <c r="CE26" s="595">
        <f t="shared" si="34"/>
        <v>37302</v>
      </c>
      <c r="CF26" s="583">
        <v>28.2</v>
      </c>
      <c r="CG26" s="583">
        <v>85.5</v>
      </c>
      <c r="CH26" s="583">
        <v>-152.5</v>
      </c>
      <c r="CI26" s="583">
        <v>-13.9</v>
      </c>
      <c r="CJ26" s="583">
        <v>13.9</v>
      </c>
      <c r="CK26" s="583">
        <v>-11.4</v>
      </c>
      <c r="CL26" s="583">
        <v>-14</v>
      </c>
      <c r="CM26" s="583">
        <v>14</v>
      </c>
      <c r="CN26" s="583">
        <v>29.8</v>
      </c>
    </row>
    <row r="27" spans="2:92" x14ac:dyDescent="0.25">
      <c r="B27" s="553">
        <f t="shared" si="13"/>
        <v>37575</v>
      </c>
      <c r="C27" s="435">
        <f t="shared" si="14"/>
        <v>2002</v>
      </c>
      <c r="D27" s="445">
        <f t="shared" si="15"/>
        <v>2.5796706101921707</v>
      </c>
      <c r="E27" s="445">
        <f t="shared" si="16"/>
        <v>-16.473449619819462</v>
      </c>
      <c r="F27" s="445">
        <f t="shared" si="17"/>
        <v>-0.6185635228595352</v>
      </c>
      <c r="G27" s="445">
        <f t="shared" si="18"/>
        <v>5.2710593931836911</v>
      </c>
      <c r="H27" s="445">
        <f t="shared" si="19"/>
        <v>0</v>
      </c>
      <c r="I27" s="445">
        <f t="shared" si="20"/>
        <v>0</v>
      </c>
      <c r="J27" s="447"/>
      <c r="K27" s="447"/>
      <c r="L27" s="447"/>
      <c r="M27" s="445">
        <f t="shared" si="21"/>
        <v>-4.2296972764083236</v>
      </c>
      <c r="N27" s="565">
        <f t="shared" si="22"/>
        <v>4.4898066723268109</v>
      </c>
      <c r="O27" s="565">
        <f t="shared" si="23"/>
        <v>1.8405149637689959</v>
      </c>
      <c r="Q27" s="553">
        <f t="shared" si="24"/>
        <v>37575</v>
      </c>
      <c r="R27" s="445">
        <f t="shared" si="25"/>
        <v>2.0796706101921707</v>
      </c>
      <c r="S27" s="565">
        <f t="shared" si="26"/>
        <v>-77.973449619819462</v>
      </c>
      <c r="T27" s="565">
        <f t="shared" si="3"/>
        <v>-28.318563522859534</v>
      </c>
      <c r="U27" s="565">
        <f t="shared" si="4"/>
        <v>147.27105939318369</v>
      </c>
      <c r="V27" s="565">
        <f t="shared" si="5"/>
        <v>0</v>
      </c>
      <c r="W27" s="565">
        <f t="shared" si="6"/>
        <v>0</v>
      </c>
      <c r="X27" s="565">
        <f t="shared" si="27"/>
        <v>14.870302723591678</v>
      </c>
      <c r="Y27" s="445">
        <f t="shared" si="28"/>
        <v>-14.610193327673191</v>
      </c>
      <c r="Z27" s="565">
        <f t="shared" si="29"/>
        <v>-39.159485036231004</v>
      </c>
      <c r="AA27" s="447"/>
      <c r="AB27" s="553">
        <f t="shared" si="30"/>
        <v>37575</v>
      </c>
      <c r="AC27" s="571">
        <f t="shared" si="7"/>
        <v>0.5</v>
      </c>
      <c r="AD27" s="565">
        <f t="shared" si="8"/>
        <v>61.5</v>
      </c>
      <c r="AE27" s="565">
        <f t="shared" si="9"/>
        <v>27.7</v>
      </c>
      <c r="AF27" s="565">
        <f t="shared" si="10"/>
        <v>-142</v>
      </c>
      <c r="AG27" s="565">
        <f t="shared" si="11"/>
        <v>0</v>
      </c>
      <c r="AH27" s="565">
        <f t="shared" si="12"/>
        <v>0</v>
      </c>
      <c r="AI27" s="565">
        <f t="shared" si="31"/>
        <v>-19.100000000000001</v>
      </c>
      <c r="AJ27" s="445">
        <f t="shared" si="32"/>
        <v>19.100000000000001</v>
      </c>
      <c r="AK27" s="565">
        <f t="shared" si="33"/>
        <v>41</v>
      </c>
      <c r="AM27" s="593">
        <f>LongTerm1!D32</f>
        <v>37575</v>
      </c>
      <c r="AN27" s="594">
        <f>(LongTerm1!BM32+LongTerm1!BL32/(1-LongTerm1!AR32))*(LongTerm1!F32*LongTerm1!AF32*LongTerm1!AH32)/10000</f>
        <v>1.5263387361099467</v>
      </c>
      <c r="AO27" s="594">
        <f>LongTerm1!BM32*(LongTerm1!F32*LongTerm1!AF32*LongTerm1!AH32)/10000</f>
        <v>119.97068214173103</v>
      </c>
      <c r="AP27" s="594">
        <f>(LongTerm1!BL32/(1-LongTerm1!AR32))*(LongTerm1!F32*LongTerm1!AF32*LongTerm1!AH32)/10000</f>
        <v>-118.44434340562108</v>
      </c>
      <c r="AQ27" s="434"/>
      <c r="AR27" s="435"/>
      <c r="AS27" s="435"/>
      <c r="AT27" s="435"/>
      <c r="AU27" s="434"/>
      <c r="AV27" s="435"/>
      <c r="AW27" s="435"/>
      <c r="AX27" s="435"/>
      <c r="AY27" s="435"/>
      <c r="AZ27" s="435"/>
      <c r="BA27" s="435"/>
      <c r="BB27" s="435"/>
      <c r="BC27" s="435"/>
      <c r="BD27" s="435"/>
      <c r="BE27" s="435"/>
      <c r="BF27" s="435"/>
      <c r="BG27" s="593">
        <f>LongTerm25!D32</f>
        <v>37636</v>
      </c>
      <c r="BH27" s="594">
        <f>(LongTerm25!BM32+LongTerm25!BL32/(1-LongTerm25!AR32))*(LongTerm25!F32*LongTerm25!AF32*LongTerm25!AH32)/10000</f>
        <v>-1.0465574723330906</v>
      </c>
      <c r="BI27" s="594">
        <f>LongTerm25!BM32*(LongTerm25!F32*LongTerm25!AF32*LongTerm25!AH32)/10000</f>
        <v>28.051904844758532</v>
      </c>
      <c r="BJ27" s="594">
        <f>(LongTerm25!BL32/(1-LongTerm25!AR32))*(LongTerm25!F32*LongTerm25!AF32*LongTerm25!AH32)/10000</f>
        <v>-29.098462317091624</v>
      </c>
      <c r="BK27" s="435"/>
      <c r="BL27" s="435"/>
      <c r="BM27" s="435"/>
      <c r="BN27" s="435"/>
      <c r="BP27" s="596">
        <f>LongTerm62!D32</f>
        <v>37575</v>
      </c>
      <c r="BQ27" s="594">
        <f>(LongTerm62!$BM32+LongTerm62!$BL32/(1-LongTerm62!$AR32))*(LongTerm62!$F32*LongTerm62!$AF32*LongTerm62!$AH32)/10000</f>
        <v>0.26010939591848781</v>
      </c>
      <c r="BR27" s="594">
        <f>LongTerm62!$BM32*(LongTerm62!$F32*LongTerm62!$AF32*LongTerm62!$AH32)/10000</f>
        <v>14.870302723591678</v>
      </c>
      <c r="BS27" s="594">
        <f>(LongTerm62!$BL32/(1-LongTerm62!$AR32))*(LongTerm62!$F32*LongTerm62!$AF32*LongTerm62!$AH32)/10000</f>
        <v>-14.610193327673191</v>
      </c>
      <c r="BT27" s="447"/>
      <c r="BU27" s="596">
        <f>LongTerm107!D32</f>
        <v>37575</v>
      </c>
      <c r="BV27" s="594">
        <f>(LongTerm107!$BM32+LongTerm107!$BL32/(1-LongTerm107!$AR32))*(LongTerm107!$F32*LongTerm107!$AF32*LongTerm107!$AH32)/10000</f>
        <v>0</v>
      </c>
      <c r="BW27" s="594">
        <f>LongTerm107!$BM32*(LongTerm107!$F32*LongTerm107!$AF32*LongTerm107!$AH32)/10000</f>
        <v>0</v>
      </c>
      <c r="BX27" s="594">
        <f>(LongTerm107!$BL32/(1-LongTerm107!$AR32))*(LongTerm107!$F32*LongTerm107!$AF32*LongTerm107!$AH32)/10000</f>
        <v>0</v>
      </c>
      <c r="BY27" s="599"/>
      <c r="BZ27" s="596">
        <f>LongTerm108!D32</f>
        <v>37879</v>
      </c>
      <c r="CA27" s="594">
        <f>(LongTerm108!$BM32+LongTerm108!$BL32/(1-LongTerm108!$AR32))*(LongTerm108!$F32*LongTerm108!$AF32*LongTerm108!$AH32)/10000</f>
        <v>0.66125926975890514</v>
      </c>
      <c r="CB27" s="594">
        <f>LongTerm108!$BM32*(LongTerm108!$F32*LongTerm108!$AF32*LongTerm108!$AH32)/10000</f>
        <v>49.986592539758156</v>
      </c>
      <c r="CC27" s="594">
        <f>(LongTerm108!$BL32/(1-LongTerm108!$AR32))*(LongTerm108!$F32*LongTerm108!$AF32*LongTerm108!$AH32)/10000</f>
        <v>-49.325333269999248</v>
      </c>
      <c r="CD27" s="492"/>
      <c r="CE27" s="595">
        <f t="shared" si="34"/>
        <v>37330</v>
      </c>
      <c r="CF27" s="583">
        <v>28.9</v>
      </c>
      <c r="CG27" s="583">
        <v>95.3</v>
      </c>
      <c r="CH27" s="583">
        <v>-174.1</v>
      </c>
      <c r="CI27" s="583">
        <v>-15.4</v>
      </c>
      <c r="CJ27" s="583">
        <v>15.4</v>
      </c>
      <c r="CK27" s="583">
        <v>-11.5</v>
      </c>
      <c r="CL27" s="583">
        <v>-16.2</v>
      </c>
      <c r="CM27" s="583">
        <v>15.2</v>
      </c>
      <c r="CN27" s="583">
        <v>32.799999999999997</v>
      </c>
    </row>
    <row r="28" spans="2:92" x14ac:dyDescent="0.25">
      <c r="B28" s="553">
        <f t="shared" si="13"/>
        <v>37605</v>
      </c>
      <c r="C28" s="435">
        <f t="shared" si="14"/>
        <v>2002</v>
      </c>
      <c r="D28" s="445">
        <f t="shared" si="15"/>
        <v>3.5075573391942907</v>
      </c>
      <c r="E28" s="445">
        <f t="shared" si="16"/>
        <v>-9.7882125137620335</v>
      </c>
      <c r="F28" s="445">
        <f t="shared" si="17"/>
        <v>-8.6248050993049219E-2</v>
      </c>
      <c r="G28" s="445">
        <f t="shared" si="18"/>
        <v>12.699276797631086</v>
      </c>
      <c r="H28" s="445">
        <f t="shared" si="19"/>
        <v>0</v>
      </c>
      <c r="I28" s="445">
        <f t="shared" si="20"/>
        <v>0</v>
      </c>
      <c r="J28" s="447"/>
      <c r="K28" s="447"/>
      <c r="L28" s="447"/>
      <c r="M28" s="445">
        <f t="shared" si="21"/>
        <v>-1.6218418551079647</v>
      </c>
      <c r="N28" s="565">
        <f t="shared" si="22"/>
        <v>1.9915772877212401</v>
      </c>
      <c r="O28" s="565">
        <f t="shared" si="23"/>
        <v>-0.88699432629500308</v>
      </c>
      <c r="Q28" s="553">
        <f t="shared" si="24"/>
        <v>37605</v>
      </c>
      <c r="R28" s="445">
        <f t="shared" si="25"/>
        <v>3.1075573391942908</v>
      </c>
      <c r="S28" s="565">
        <f t="shared" si="26"/>
        <v>-76.988212513762036</v>
      </c>
      <c r="T28" s="565">
        <f t="shared" si="3"/>
        <v>-29.186248050993051</v>
      </c>
      <c r="U28" s="565">
        <f t="shared" si="4"/>
        <v>153.59927679763109</v>
      </c>
      <c r="V28" s="565">
        <f t="shared" si="5"/>
        <v>0</v>
      </c>
      <c r="W28" s="565">
        <f t="shared" si="6"/>
        <v>0</v>
      </c>
      <c r="X28" s="565">
        <f t="shared" si="27"/>
        <v>14.978158144892037</v>
      </c>
      <c r="Y28" s="445">
        <f t="shared" si="28"/>
        <v>-14.608422712278761</v>
      </c>
      <c r="Z28" s="565">
        <f t="shared" si="29"/>
        <v>-44.686994326295</v>
      </c>
      <c r="AA28" s="447"/>
      <c r="AB28" s="553">
        <f t="shared" si="30"/>
        <v>37605</v>
      </c>
      <c r="AC28" s="571">
        <f t="shared" si="7"/>
        <v>0.4</v>
      </c>
      <c r="AD28" s="565">
        <f t="shared" si="8"/>
        <v>67.2</v>
      </c>
      <c r="AE28" s="565">
        <f t="shared" si="9"/>
        <v>29.1</v>
      </c>
      <c r="AF28" s="565">
        <f t="shared" si="10"/>
        <v>-140.9</v>
      </c>
      <c r="AG28" s="565">
        <f t="shared" si="11"/>
        <v>0</v>
      </c>
      <c r="AH28" s="565">
        <f t="shared" si="12"/>
        <v>0</v>
      </c>
      <c r="AI28" s="565">
        <f t="shared" si="31"/>
        <v>-16.600000000000001</v>
      </c>
      <c r="AJ28" s="445">
        <f t="shared" si="32"/>
        <v>16.600000000000001</v>
      </c>
      <c r="AK28" s="565">
        <f t="shared" si="33"/>
        <v>43.8</v>
      </c>
      <c r="AM28" s="593">
        <f>LongTerm1!D33</f>
        <v>37605</v>
      </c>
      <c r="AN28" s="594">
        <f>(LongTerm1!BM33+LongTerm1!BL33/(1-LongTerm1!AR33))*(LongTerm1!F33*LongTerm1!AF33*LongTerm1!AH33)/10000</f>
        <v>2.145678651749054</v>
      </c>
      <c r="AO28" s="594">
        <f>LongTerm1!BM33*(LongTerm1!F33*LongTerm1!AF33*LongTerm1!AH33)/10000</f>
        <v>125.462716219603</v>
      </c>
      <c r="AP28" s="594">
        <f>(LongTerm1!BL33/(1-LongTerm1!AR33))*(LongTerm1!F33*LongTerm1!AF33*LongTerm1!AH33)/10000</f>
        <v>-123.31703756785394</v>
      </c>
      <c r="AQ28" s="434"/>
      <c r="AR28" s="435"/>
      <c r="AS28" s="435"/>
      <c r="AT28" s="435"/>
      <c r="AU28" s="434"/>
      <c r="AV28" s="435"/>
      <c r="AW28" s="435"/>
      <c r="AX28" s="435"/>
      <c r="AY28" s="435"/>
      <c r="AZ28" s="435"/>
      <c r="BA28" s="435"/>
      <c r="BB28" s="435"/>
      <c r="BC28" s="435"/>
      <c r="BD28" s="435"/>
      <c r="BE28" s="435"/>
      <c r="BF28" s="435"/>
      <c r="BG28" s="593">
        <f>LongTerm25!D33</f>
        <v>37667</v>
      </c>
      <c r="BH28" s="594">
        <f>(LongTerm25!BM33+LongTerm25!BL33/(1-LongTerm25!AR33))*(LongTerm25!F33*LongTerm25!AF33*LongTerm25!AH33)/10000</f>
        <v>-0.94278499231945101</v>
      </c>
      <c r="BI28" s="594">
        <f>LongTerm25!BM33*(LongTerm25!F33*LongTerm25!AF33*LongTerm25!AH33)/10000</f>
        <v>25.258212456441989</v>
      </c>
      <c r="BJ28" s="594">
        <f>(LongTerm25!BL33/(1-LongTerm25!AR33))*(LongTerm25!F33*LongTerm25!AF33*LongTerm25!AH33)/10000</f>
        <v>-26.200997448761438</v>
      </c>
      <c r="BK28" s="435"/>
      <c r="BL28" s="435"/>
      <c r="BM28" s="435"/>
      <c r="BN28" s="435"/>
      <c r="BP28" s="596">
        <f>LongTerm62!D33</f>
        <v>37605</v>
      </c>
      <c r="BQ28" s="594">
        <f>(LongTerm62!$BM33+LongTerm62!$BL33/(1-LongTerm62!$AR33))*(LongTerm62!$F33*LongTerm62!$AF33*LongTerm62!$AH33)/10000</f>
        <v>0.36973543261327479</v>
      </c>
      <c r="BR28" s="594">
        <f>LongTerm62!$BM33*(LongTerm62!$F33*LongTerm62!$AF33*LongTerm62!$AH33)/10000</f>
        <v>14.978158144892037</v>
      </c>
      <c r="BS28" s="594">
        <f>(LongTerm62!$BL33/(1-LongTerm62!$AR33))*(LongTerm62!$F33*LongTerm62!$AF33*LongTerm62!$AH33)/10000</f>
        <v>-14.608422712278761</v>
      </c>
      <c r="BT28" s="447"/>
      <c r="BU28" s="596">
        <f>LongTerm107!D33</f>
        <v>37575</v>
      </c>
      <c r="BV28" s="594">
        <f>(LongTerm107!$BM33+LongTerm107!$BL33/(1-LongTerm107!$AR33))*(LongTerm107!$F33*LongTerm107!$AF33*LongTerm107!$AH33)/10000</f>
        <v>0</v>
      </c>
      <c r="BW28" s="594">
        <f>LongTerm107!$BM33*(LongTerm107!$F33*LongTerm107!$AF33*LongTerm107!$AH33)/10000</f>
        <v>0</v>
      </c>
      <c r="BX28" s="594">
        <f>(LongTerm107!$BL33/(1-LongTerm107!$AR33))*(LongTerm107!$F33*LongTerm107!$AF33*LongTerm107!$AH33)/10000</f>
        <v>0</v>
      </c>
      <c r="BY28" s="599"/>
      <c r="BZ28" s="596">
        <f>LongTerm108!D33</f>
        <v>37909</v>
      </c>
      <c r="CA28" s="594">
        <f>(LongTerm108!$BM33+LongTerm108!$BL33/(1-LongTerm108!$AR33))*(LongTerm108!$F33*LongTerm108!$AF33*LongTerm108!$AH33)/10000</f>
        <v>0.77444673530842434</v>
      </c>
      <c r="CB28" s="594">
        <f>LongTerm108!$BM33*(LongTerm108!$F33*LongTerm108!$AF33*LongTerm108!$AH33)/10000</f>
        <v>50.499689972409271</v>
      </c>
      <c r="CC28" s="594">
        <f>(LongTerm108!$BL33/(1-LongTerm108!$AR33))*(LongTerm108!$F33*LongTerm108!$AF33*LongTerm108!$AH33)/10000</f>
        <v>-49.725243237100841</v>
      </c>
      <c r="CD28" s="492"/>
      <c r="CE28" s="595">
        <f t="shared" si="34"/>
        <v>37361</v>
      </c>
      <c r="CF28" s="583">
        <v>28.2</v>
      </c>
      <c r="CG28" s="583">
        <v>122.8</v>
      </c>
      <c r="CH28" s="583">
        <v>-197.9</v>
      </c>
      <c r="CI28" s="583">
        <v>0</v>
      </c>
      <c r="CJ28" s="583">
        <v>0</v>
      </c>
      <c r="CK28" s="583">
        <v>0.5</v>
      </c>
      <c r="CL28" s="583">
        <v>0</v>
      </c>
      <c r="CM28" s="583">
        <v>0</v>
      </c>
      <c r="CN28" s="583">
        <v>42.6</v>
      </c>
    </row>
    <row r="29" spans="2:92" x14ac:dyDescent="0.25">
      <c r="B29" s="553">
        <f t="shared" si="13"/>
        <v>37636</v>
      </c>
      <c r="C29" s="435">
        <f t="shared" si="14"/>
        <v>2003</v>
      </c>
      <c r="D29" s="445">
        <f t="shared" si="15"/>
        <v>4.0152549570785201</v>
      </c>
      <c r="E29" s="445">
        <f t="shared" si="16"/>
        <v>-10.892329083558451</v>
      </c>
      <c r="F29" s="445">
        <f t="shared" si="17"/>
        <v>-9.8462317091623675E-2</v>
      </c>
      <c r="G29" s="445">
        <f t="shared" si="18"/>
        <v>6.8079742366472829</v>
      </c>
      <c r="H29" s="445">
        <f t="shared" si="19"/>
        <v>0</v>
      </c>
      <c r="I29" s="445">
        <f t="shared" si="20"/>
        <v>0</v>
      </c>
      <c r="J29" s="447"/>
      <c r="K29" s="447"/>
      <c r="L29" s="447"/>
      <c r="M29" s="445">
        <f t="shared" si="21"/>
        <v>-0.70627272570380839</v>
      </c>
      <c r="N29" s="565">
        <f t="shared" si="22"/>
        <v>1.0846827687062355</v>
      </c>
      <c r="O29" s="565">
        <f t="shared" si="23"/>
        <v>3.3196620780788777</v>
      </c>
      <c r="Q29" s="553">
        <f t="shared" si="24"/>
        <v>37636</v>
      </c>
      <c r="R29" s="445">
        <f t="shared" si="25"/>
        <v>3.3152549570785204</v>
      </c>
      <c r="S29" s="565">
        <f t="shared" si="26"/>
        <v>-74.992329083558445</v>
      </c>
      <c r="T29" s="565">
        <f t="shared" si="3"/>
        <v>-29.098462317091624</v>
      </c>
      <c r="U29" s="565">
        <f t="shared" si="4"/>
        <v>151.30797423664728</v>
      </c>
      <c r="V29" s="565">
        <f t="shared" si="5"/>
        <v>0</v>
      </c>
      <c r="W29" s="565">
        <f t="shared" si="6"/>
        <v>0</v>
      </c>
      <c r="X29" s="565">
        <f t="shared" si="27"/>
        <v>14.893727274296191</v>
      </c>
      <c r="Y29" s="445">
        <f t="shared" si="28"/>
        <v>-14.515317231293764</v>
      </c>
      <c r="Z29" s="565">
        <f t="shared" si="29"/>
        <v>-44.280337921921124</v>
      </c>
      <c r="AA29" s="447"/>
      <c r="AB29" s="553">
        <f t="shared" si="30"/>
        <v>37636</v>
      </c>
      <c r="AC29" s="571">
        <f t="shared" si="7"/>
        <v>0.7</v>
      </c>
      <c r="AD29" s="565">
        <f t="shared" si="8"/>
        <v>64.099999999999994</v>
      </c>
      <c r="AE29" s="565">
        <f t="shared" si="9"/>
        <v>29</v>
      </c>
      <c r="AF29" s="565">
        <f t="shared" si="10"/>
        <v>-144.5</v>
      </c>
      <c r="AG29" s="565">
        <f t="shared" si="11"/>
        <v>0</v>
      </c>
      <c r="AH29" s="565">
        <f t="shared" si="12"/>
        <v>0</v>
      </c>
      <c r="AI29" s="565">
        <f t="shared" si="31"/>
        <v>-15.6</v>
      </c>
      <c r="AJ29" s="445">
        <f t="shared" si="32"/>
        <v>15.6</v>
      </c>
      <c r="AK29" s="565">
        <f t="shared" si="33"/>
        <v>47.6</v>
      </c>
      <c r="AM29" s="593">
        <f>LongTerm1!D34</f>
        <v>37636</v>
      </c>
      <c r="AN29" s="594">
        <f>(LongTerm1!BM34+LongTerm1!BL34/(1-LongTerm1!AR34))*(LongTerm1!F34*LongTerm1!AF34*LongTerm1!AH34)/10000</f>
        <v>2.2989308881316264</v>
      </c>
      <c r="AO29" s="594">
        <f>LongTerm1!BM34*(LongTerm1!F34*LongTerm1!AF34*LongTerm1!AH34)/10000</f>
        <v>123.25606939188876</v>
      </c>
      <c r="AP29" s="594">
        <f>(LongTerm1!BL34/(1-LongTerm1!AR34))*(LongTerm1!F34*LongTerm1!AF34*LongTerm1!AH34)/10000</f>
        <v>-120.95713850375712</v>
      </c>
      <c r="AQ29" s="434"/>
      <c r="AR29" s="435"/>
      <c r="AS29" s="435"/>
      <c r="AT29" s="435"/>
      <c r="AU29" s="434"/>
      <c r="AV29" s="435"/>
      <c r="AW29" s="435"/>
      <c r="AX29" s="435"/>
      <c r="AY29" s="435"/>
      <c r="AZ29" s="435"/>
      <c r="BA29" s="435"/>
      <c r="BB29" s="435"/>
      <c r="BC29" s="435"/>
      <c r="BD29" s="435"/>
      <c r="BE29" s="435"/>
      <c r="BF29" s="435"/>
      <c r="BG29" s="593">
        <f>LongTerm25!D34</f>
        <v>37695</v>
      </c>
      <c r="BH29" s="594">
        <f>(LongTerm25!BM34+LongTerm25!BL34/(1-LongTerm25!AR34))*(LongTerm25!F34*LongTerm25!AF34*LongTerm25!AH34)/10000</f>
        <v>-1.0404578039179535</v>
      </c>
      <c r="BI29" s="594">
        <f>LongTerm25!BM34*(LongTerm25!F34*LongTerm25!AF34*LongTerm25!AH34)/10000</f>
        <v>27.877199058381706</v>
      </c>
      <c r="BJ29" s="594">
        <f>(LongTerm25!BL34/(1-LongTerm25!AR34))*(LongTerm25!F34*LongTerm25!AF34*LongTerm25!AH34)/10000</f>
        <v>-28.917656862299655</v>
      </c>
      <c r="BK29" s="435"/>
      <c r="BL29" s="435"/>
      <c r="BM29" s="435"/>
      <c r="BN29" s="435"/>
      <c r="BP29" s="596">
        <f>LongTerm62!D34</f>
        <v>37636</v>
      </c>
      <c r="BQ29" s="594">
        <f>(LongTerm62!$BM34+LongTerm62!$BL34/(1-LongTerm62!$AR34))*(LongTerm62!$F34*LongTerm62!$AF34*LongTerm62!$AH34)/10000</f>
        <v>0.37841004300242675</v>
      </c>
      <c r="BR29" s="594">
        <f>LongTerm62!$BM34*(LongTerm62!$F34*LongTerm62!$AF34*LongTerm62!$AH34)/10000</f>
        <v>14.893727274296191</v>
      </c>
      <c r="BS29" s="594">
        <f>(LongTerm62!$BL34/(1-LongTerm62!$AR34))*(LongTerm62!$F34*LongTerm62!$AF34*LongTerm62!$AH34)/10000</f>
        <v>-14.515317231293764</v>
      </c>
      <c r="BT29" s="447"/>
      <c r="BU29" s="596">
        <f>LongTerm107!D34</f>
        <v>37575</v>
      </c>
      <c r="BV29" s="594">
        <f>(LongTerm107!$BM34+LongTerm107!$BL34/(1-LongTerm107!$AR34))*(LongTerm107!$F34*LongTerm107!$AF34*LongTerm107!$AH34)/10000</f>
        <v>0</v>
      </c>
      <c r="BW29" s="594">
        <f>LongTerm107!$BM34*(LongTerm107!$F34*LongTerm107!$AF34*LongTerm107!$AH34)/10000</f>
        <v>0</v>
      </c>
      <c r="BX29" s="594">
        <f>(LongTerm107!$BL34/(1-LongTerm107!$AR34))*(LongTerm107!$F34*LongTerm107!$AF34*LongTerm107!$AH34)/10000</f>
        <v>0</v>
      </c>
      <c r="BY29" s="599"/>
      <c r="BZ29" s="596">
        <f>LongTerm108!D34</f>
        <v>37940</v>
      </c>
      <c r="CA29" s="594">
        <f>(LongTerm108!$BM34+LongTerm108!$BL34/(1-LongTerm108!$AR34))*(LongTerm108!$F34*LongTerm108!$AF34*LongTerm108!$AH34)/10000</f>
        <v>0</v>
      </c>
      <c r="CB29" s="594">
        <f>LongTerm108!$BM34*(LongTerm108!$F34*LongTerm108!$AF34*LongTerm108!$AH34)/10000</f>
        <v>0</v>
      </c>
      <c r="CC29" s="594">
        <f>(LongTerm108!$BL34/(1-LongTerm108!$AR34))*(LongTerm108!$F34*LongTerm108!$AF34*LongTerm108!$AH34)/10000</f>
        <v>0</v>
      </c>
      <c r="CD29" s="492"/>
      <c r="CE29" s="595">
        <f t="shared" si="34"/>
        <v>37391</v>
      </c>
      <c r="CF29" s="583">
        <v>29.6</v>
      </c>
      <c r="CG29" s="583">
        <v>123.6</v>
      </c>
      <c r="CH29" s="583">
        <v>-199.9</v>
      </c>
      <c r="CI29" s="583">
        <v>0</v>
      </c>
      <c r="CJ29" s="583">
        <v>0</v>
      </c>
      <c r="CK29" s="583">
        <v>0.4</v>
      </c>
      <c r="CL29" s="583">
        <v>0</v>
      </c>
      <c r="CM29" s="583">
        <v>0</v>
      </c>
      <c r="CN29" s="583">
        <v>42.5</v>
      </c>
    </row>
    <row r="30" spans="2:92" x14ac:dyDescent="0.25">
      <c r="B30" s="553">
        <f t="shared" si="13"/>
        <v>37667</v>
      </c>
      <c r="C30" s="435">
        <f t="shared" si="14"/>
        <v>2003</v>
      </c>
      <c r="D30" s="445">
        <f t="shared" si="15"/>
        <v>3.5080153080063496</v>
      </c>
      <c r="E30" s="445">
        <f t="shared" si="16"/>
        <v>-8.7515823234854437</v>
      </c>
      <c r="F30" s="445">
        <f t="shared" si="17"/>
        <v>0.39900255123856354</v>
      </c>
      <c r="G30" s="445">
        <f t="shared" si="18"/>
        <v>7.4133631022133386</v>
      </c>
      <c r="H30" s="445">
        <f t="shared" si="19"/>
        <v>0</v>
      </c>
      <c r="I30" s="445">
        <f t="shared" si="20"/>
        <v>0</v>
      </c>
      <c r="J30" s="447"/>
      <c r="K30" s="447"/>
      <c r="L30" s="447"/>
      <c r="M30" s="445">
        <f t="shared" si="21"/>
        <v>-0.84379729516905932</v>
      </c>
      <c r="N30" s="565">
        <f t="shared" si="22"/>
        <v>0.16803325311433959</v>
      </c>
      <c r="O30" s="565">
        <f t="shared" si="23"/>
        <v>4.2229960200946124</v>
      </c>
      <c r="Q30" s="553">
        <f t="shared" si="24"/>
        <v>37667</v>
      </c>
      <c r="R30" s="445">
        <f t="shared" si="25"/>
        <v>2.7080153080063494</v>
      </c>
      <c r="S30" s="565">
        <f t="shared" si="26"/>
        <v>-68.851582323485445</v>
      </c>
      <c r="T30" s="565">
        <f t="shared" si="3"/>
        <v>-26.200997448761438</v>
      </c>
      <c r="U30" s="565">
        <f t="shared" si="4"/>
        <v>136.81336310221334</v>
      </c>
      <c r="V30" s="565">
        <f t="shared" si="5"/>
        <v>0</v>
      </c>
      <c r="W30" s="565">
        <f t="shared" si="6"/>
        <v>0</v>
      </c>
      <c r="X30" s="565">
        <f t="shared" si="27"/>
        <v>13.456202704830941</v>
      </c>
      <c r="Y30" s="445">
        <f t="shared" si="28"/>
        <v>-13.131966746885661</v>
      </c>
      <c r="Z30" s="565">
        <f t="shared" si="29"/>
        <v>-39.377003979905389</v>
      </c>
      <c r="AA30" s="447"/>
      <c r="AB30" s="553">
        <f t="shared" si="30"/>
        <v>37667</v>
      </c>
      <c r="AC30" s="571">
        <f t="shared" si="7"/>
        <v>0.8</v>
      </c>
      <c r="AD30" s="565">
        <f t="shared" si="8"/>
        <v>60.1</v>
      </c>
      <c r="AE30" s="565">
        <f t="shared" si="9"/>
        <v>26.6</v>
      </c>
      <c r="AF30" s="565">
        <f t="shared" si="10"/>
        <v>-129.4</v>
      </c>
      <c r="AG30" s="565">
        <f t="shared" si="11"/>
        <v>0</v>
      </c>
      <c r="AH30" s="565">
        <f t="shared" si="12"/>
        <v>0</v>
      </c>
      <c r="AI30" s="565">
        <f t="shared" si="31"/>
        <v>-14.3</v>
      </c>
      <c r="AJ30" s="445">
        <f t="shared" si="32"/>
        <v>13.3</v>
      </c>
      <c r="AK30" s="565">
        <f t="shared" si="33"/>
        <v>43.6</v>
      </c>
      <c r="AM30" s="593">
        <f>LongTerm1!D35</f>
        <v>37667</v>
      </c>
      <c r="AN30" s="594">
        <f>(LongTerm1!BM35+LongTerm1!BL35/(1-LongTerm1!AR35))*(LongTerm1!F35*LongTerm1!AF35*LongTerm1!AH35)/10000</f>
        <v>1.8856326567946686</v>
      </c>
      <c r="AO30" s="594">
        <f>LongTerm1!BM35*(LongTerm1!F35*LongTerm1!AF35*LongTerm1!AH35)/10000</f>
        <v>111.55515064577135</v>
      </c>
      <c r="AP30" s="594">
        <f>(LongTerm1!BL35/(1-LongTerm1!AR35))*(LongTerm1!F35*LongTerm1!AF35*LongTerm1!AH35)/10000</f>
        <v>-109.66951798897668</v>
      </c>
      <c r="AQ30" s="434"/>
      <c r="AR30" s="435"/>
      <c r="AS30" s="435"/>
      <c r="AT30" s="435"/>
      <c r="AU30" s="434"/>
      <c r="AV30" s="435"/>
      <c r="AW30" s="435"/>
      <c r="AX30" s="435"/>
      <c r="AY30" s="435"/>
      <c r="AZ30" s="435"/>
      <c r="BA30" s="435"/>
      <c r="BB30" s="435"/>
      <c r="BC30" s="435"/>
      <c r="BD30" s="435"/>
      <c r="BE30" s="435"/>
      <c r="BF30" s="435"/>
      <c r="BG30" s="593">
        <f>LongTerm25!D35</f>
        <v>37726</v>
      </c>
      <c r="BH30" s="594">
        <f>(LongTerm25!BM35+LongTerm25!BL35/(1-LongTerm25!AR35))*(LongTerm25!F35*LongTerm25!AF35*LongTerm25!AH35)/10000</f>
        <v>-1.0039007170900307</v>
      </c>
      <c r="BI30" s="594">
        <f>LongTerm25!BM35*(LongTerm25!F35*LongTerm25!AF35*LongTerm25!AH35)/10000</f>
        <v>26.884531463954701</v>
      </c>
      <c r="BJ30" s="594">
        <f>(LongTerm25!BL35/(1-LongTerm25!AR35))*(LongTerm25!F35*LongTerm25!AF35*LongTerm25!AH35)/10000</f>
        <v>-27.888432181044731</v>
      </c>
      <c r="BK30" s="435"/>
      <c r="BL30" s="435"/>
      <c r="BM30" s="435"/>
      <c r="BN30" s="435"/>
      <c r="BP30" s="596">
        <f>LongTerm62!D35</f>
        <v>37667</v>
      </c>
      <c r="BQ30" s="594">
        <f>(LongTerm62!$BM35+LongTerm62!$BL35/(1-LongTerm62!$AR35))*(LongTerm62!$F35*LongTerm62!$AF35*LongTerm62!$AH35)/10000</f>
        <v>0.32423595794528082</v>
      </c>
      <c r="BR30" s="594">
        <f>LongTerm62!$BM35*(LongTerm62!$F35*LongTerm62!$AF35*LongTerm62!$AH35)/10000</f>
        <v>13.456202704830941</v>
      </c>
      <c r="BS30" s="594">
        <f>(LongTerm62!$BL35/(1-LongTerm62!$AR35))*(LongTerm62!$F35*LongTerm62!$AF35*LongTerm62!$AH35)/10000</f>
        <v>-13.131966746885661</v>
      </c>
      <c r="BT30" s="447"/>
      <c r="BU30" s="596">
        <f>LongTerm107!D35</f>
        <v>37575</v>
      </c>
      <c r="BV30" s="594">
        <f>(LongTerm107!$BM35+LongTerm107!$BL35/(1-LongTerm107!$AR35))*(LongTerm107!$F35*LongTerm107!$AF35*LongTerm107!$AH35)/10000</f>
        <v>0</v>
      </c>
      <c r="BW30" s="594">
        <f>LongTerm107!$BM35*(LongTerm107!$F35*LongTerm107!$AF35*LongTerm107!$AH35)/10000</f>
        <v>0</v>
      </c>
      <c r="BX30" s="594">
        <f>(LongTerm107!$BL35/(1-LongTerm107!$AR35))*(LongTerm107!$F35*LongTerm107!$AF35*LongTerm107!$AH35)/10000</f>
        <v>0</v>
      </c>
      <c r="BY30" s="599"/>
      <c r="BZ30" s="596">
        <f>LongTerm108!D35</f>
        <v>37940</v>
      </c>
      <c r="CA30" s="594">
        <f>(LongTerm108!$BM35+LongTerm108!$BL35/(1-LongTerm108!$AR35))*(LongTerm108!$F35*LongTerm108!$AF35*LongTerm108!$AH35)/10000</f>
        <v>0</v>
      </c>
      <c r="CB30" s="594">
        <f>LongTerm108!$BM35*(LongTerm108!$F35*LongTerm108!$AF35*LongTerm108!$AH35)/10000</f>
        <v>0</v>
      </c>
      <c r="CC30" s="594">
        <f>(LongTerm108!$BL35/(1-LongTerm108!$AR35))*(LongTerm108!$F35*LongTerm108!$AF35*LongTerm108!$AH35)/10000</f>
        <v>0</v>
      </c>
      <c r="CD30" s="492"/>
      <c r="CE30" s="595">
        <f t="shared" si="34"/>
        <v>37422</v>
      </c>
      <c r="CF30" s="583">
        <v>27.6</v>
      </c>
      <c r="CG30" s="583">
        <v>120.4</v>
      </c>
      <c r="CH30" s="583">
        <v>-193.7</v>
      </c>
      <c r="CI30" s="583">
        <v>0</v>
      </c>
      <c r="CJ30" s="583">
        <v>0</v>
      </c>
      <c r="CK30" s="583">
        <v>0.5</v>
      </c>
      <c r="CL30" s="583">
        <v>0</v>
      </c>
      <c r="CM30" s="583">
        <v>0</v>
      </c>
      <c r="CN30" s="583">
        <v>41.5</v>
      </c>
    </row>
    <row r="31" spans="2:92" x14ac:dyDescent="0.25">
      <c r="B31" s="553">
        <f t="shared" si="13"/>
        <v>37695</v>
      </c>
      <c r="C31" s="435">
        <f t="shared" si="14"/>
        <v>2003</v>
      </c>
      <c r="D31" s="445">
        <f t="shared" si="15"/>
        <v>2.2640097504739725</v>
      </c>
      <c r="E31" s="445">
        <f t="shared" si="16"/>
        <v>-7.0697383455581218</v>
      </c>
      <c r="F31" s="445">
        <f t="shared" si="17"/>
        <v>-0.41765686229965482</v>
      </c>
      <c r="G31" s="445">
        <f t="shared" si="18"/>
        <v>18.363054107521691</v>
      </c>
      <c r="H31" s="445">
        <f t="shared" si="19"/>
        <v>0</v>
      </c>
      <c r="I31" s="445">
        <f t="shared" si="20"/>
        <v>0</v>
      </c>
      <c r="J31" s="447"/>
      <c r="K31" s="447"/>
      <c r="L31" s="447"/>
      <c r="M31" s="445">
        <f t="shared" si="21"/>
        <v>0.57036319787275147</v>
      </c>
      <c r="N31" s="565">
        <f t="shared" si="22"/>
        <v>-0.31701852784861728</v>
      </c>
      <c r="O31" s="565">
        <f t="shared" si="23"/>
        <v>1.7350061807859305</v>
      </c>
      <c r="Q31" s="553">
        <f t="shared" si="24"/>
        <v>37695</v>
      </c>
      <c r="R31" s="445">
        <f t="shared" si="25"/>
        <v>1.5640097504739727</v>
      </c>
      <c r="S31" s="565">
        <f t="shared" si="26"/>
        <v>-85.369738345558119</v>
      </c>
      <c r="T31" s="565">
        <f t="shared" si="3"/>
        <v>-28.917656862299655</v>
      </c>
      <c r="U31" s="565">
        <f t="shared" si="4"/>
        <v>163.1630541075217</v>
      </c>
      <c r="V31" s="565">
        <f t="shared" si="5"/>
        <v>0</v>
      </c>
      <c r="W31" s="565">
        <f t="shared" si="6"/>
        <v>0</v>
      </c>
      <c r="X31" s="565">
        <f t="shared" si="27"/>
        <v>16.070363197872751</v>
      </c>
      <c r="Y31" s="445">
        <f t="shared" si="28"/>
        <v>-15.817018527848617</v>
      </c>
      <c r="Z31" s="565">
        <f t="shared" si="29"/>
        <v>-47.564993819214067</v>
      </c>
      <c r="AA31" s="447"/>
      <c r="AB31" s="553">
        <f t="shared" si="30"/>
        <v>37695</v>
      </c>
      <c r="AC31" s="571">
        <f t="shared" si="7"/>
        <v>0.7</v>
      </c>
      <c r="AD31" s="565">
        <f t="shared" si="8"/>
        <v>78.3</v>
      </c>
      <c r="AE31" s="565">
        <f t="shared" si="9"/>
        <v>28.5</v>
      </c>
      <c r="AF31" s="565">
        <f t="shared" si="10"/>
        <v>-144.80000000000001</v>
      </c>
      <c r="AG31" s="565">
        <f t="shared" si="11"/>
        <v>0</v>
      </c>
      <c r="AH31" s="565">
        <f t="shared" si="12"/>
        <v>0</v>
      </c>
      <c r="AI31" s="565">
        <f t="shared" si="31"/>
        <v>-15.5</v>
      </c>
      <c r="AJ31" s="445">
        <f t="shared" si="32"/>
        <v>15.5</v>
      </c>
      <c r="AK31" s="565">
        <f t="shared" si="33"/>
        <v>49.3</v>
      </c>
      <c r="AM31" s="593">
        <f>LongTerm1!D36</f>
        <v>37695</v>
      </c>
      <c r="AN31" s="594">
        <f>(LongTerm1!BM36+LongTerm1!BL36/(1-LongTerm1!AR36))*(LongTerm1!F36*LongTerm1!AF36*LongTerm1!AH36)/10000</f>
        <v>1.0761291352606688</v>
      </c>
      <c r="AO31" s="594">
        <f>LongTerm1!BM36*(LongTerm1!F36*LongTerm1!AF36*LongTerm1!AH36)/10000</f>
        <v>135.28585504914</v>
      </c>
      <c r="AP31" s="594">
        <f>(LongTerm1!BL36/(1-LongTerm1!AR36))*(LongTerm1!F36*LongTerm1!AF36*LongTerm1!AH36)/10000</f>
        <v>-134.20972591387931</v>
      </c>
      <c r="AQ31" s="434"/>
      <c r="AR31" s="435"/>
      <c r="AS31" s="435"/>
      <c r="AT31" s="435"/>
      <c r="AU31" s="434"/>
      <c r="AV31" s="435"/>
      <c r="AW31" s="435"/>
      <c r="AX31" s="435"/>
      <c r="AY31" s="435"/>
      <c r="AZ31" s="435"/>
      <c r="BA31" s="435"/>
      <c r="BB31" s="435"/>
      <c r="BC31" s="435"/>
      <c r="BD31" s="435"/>
      <c r="BE31" s="435"/>
      <c r="BF31" s="435"/>
      <c r="BG31" s="593">
        <f>LongTerm25!D36</f>
        <v>37756</v>
      </c>
      <c r="BH31" s="594">
        <f>(LongTerm25!BM36+LongTerm25!BL36/(1-LongTerm25!AR36))*(LongTerm25!F36*LongTerm25!AF36*LongTerm25!AH36)/10000</f>
        <v>-1.032330008959212</v>
      </c>
      <c r="BI31" s="594">
        <f>LongTerm25!BM36*(LongTerm25!F36*LongTerm25!AF36*LongTerm25!AH36)/10000</f>
        <v>27.669730248847284</v>
      </c>
      <c r="BJ31" s="594">
        <f>(LongTerm25!BL36/(1-LongTerm25!AR36))*(LongTerm25!F36*LongTerm25!AF36*LongTerm25!AH36)/10000</f>
        <v>-28.702060257806494</v>
      </c>
      <c r="BK31" s="435"/>
      <c r="BL31" s="435"/>
      <c r="BM31" s="435"/>
      <c r="BN31" s="435"/>
      <c r="BP31" s="596">
        <f>LongTerm62!D36</f>
        <v>37695</v>
      </c>
      <c r="BQ31" s="594">
        <f>(LongTerm62!$BM36+LongTerm62!$BL36/(1-LongTerm62!$AR36))*(LongTerm62!$F36*LongTerm62!$AF36*LongTerm62!$AH36)/10000</f>
        <v>0.25334467002413408</v>
      </c>
      <c r="BR31" s="594">
        <f>LongTerm62!$BM36*(LongTerm62!$F36*LongTerm62!$AF36*LongTerm62!$AH36)/10000</f>
        <v>16.070363197872751</v>
      </c>
      <c r="BS31" s="594">
        <f>(LongTerm62!$BL36/(1-LongTerm62!$AR36))*(LongTerm62!$F36*LongTerm62!$AF36*LongTerm62!$AH36)/10000</f>
        <v>-15.817018527848617</v>
      </c>
      <c r="BT31" s="447"/>
      <c r="BU31" s="596">
        <f>LongTerm107!D36</f>
        <v>37575</v>
      </c>
      <c r="BV31" s="594">
        <f>(LongTerm107!$BM36+LongTerm107!$BL36/(1-LongTerm107!$AR36))*(LongTerm107!$F36*LongTerm107!$AF36*LongTerm107!$AH36)/10000</f>
        <v>0</v>
      </c>
      <c r="BW31" s="594">
        <f>LongTerm107!$BM36*(LongTerm107!$F36*LongTerm107!$AF36*LongTerm107!$AH36)/10000</f>
        <v>0</v>
      </c>
      <c r="BX31" s="594">
        <f>(LongTerm107!$BL36/(1-LongTerm107!$AR36))*(LongTerm107!$F36*LongTerm107!$AF36*LongTerm107!$AH36)/10000</f>
        <v>0</v>
      </c>
      <c r="BY31" s="599"/>
      <c r="BZ31" s="596">
        <f>LongTerm108!D36</f>
        <v>37940</v>
      </c>
      <c r="CA31" s="594">
        <f>(LongTerm108!$BM36+LongTerm108!$BL36/(1-LongTerm108!$AR36))*(LongTerm108!$F36*LongTerm108!$AF36*LongTerm108!$AH36)/10000</f>
        <v>0</v>
      </c>
      <c r="CB31" s="594">
        <f>LongTerm108!$BM36*(LongTerm108!$F36*LongTerm108!$AF36*LongTerm108!$AH36)/10000</f>
        <v>0</v>
      </c>
      <c r="CC31" s="594">
        <f>(LongTerm108!$BL36/(1-LongTerm108!$AR36))*(LongTerm108!$F36*LongTerm108!$AF36*LongTerm108!$AH36)/10000</f>
        <v>0</v>
      </c>
      <c r="CD31" s="492"/>
      <c r="CE31" s="595">
        <f t="shared" si="34"/>
        <v>37452</v>
      </c>
      <c r="CF31" s="583">
        <v>28.9</v>
      </c>
      <c r="CG31" s="583">
        <v>121.2</v>
      </c>
      <c r="CH31" s="583">
        <v>-196.7</v>
      </c>
      <c r="CI31" s="583">
        <v>0</v>
      </c>
      <c r="CJ31" s="583">
        <v>0</v>
      </c>
      <c r="CK31" s="583">
        <v>0.4</v>
      </c>
      <c r="CL31" s="583">
        <v>0</v>
      </c>
      <c r="CM31" s="583">
        <v>0</v>
      </c>
      <c r="CN31" s="583">
        <v>41.4</v>
      </c>
    </row>
    <row r="32" spans="2:92" x14ac:dyDescent="0.25">
      <c r="B32" s="553">
        <f t="shared" si="13"/>
        <v>37726</v>
      </c>
      <c r="C32" s="435">
        <f t="shared" si="14"/>
        <v>2003</v>
      </c>
      <c r="D32" s="445">
        <f t="shared" si="15"/>
        <v>-1.6203031897592608</v>
      </c>
      <c r="E32" s="445">
        <f t="shared" si="16"/>
        <v>-12.228329280061629</v>
      </c>
      <c r="F32" s="445">
        <f t="shared" si="17"/>
        <v>-8.8432181044730385E-2</v>
      </c>
      <c r="G32" s="445">
        <f t="shared" si="18"/>
        <v>45.01706532874806</v>
      </c>
      <c r="H32" s="445">
        <f t="shared" si="19"/>
        <v>0</v>
      </c>
      <c r="I32" s="445">
        <f t="shared" si="20"/>
        <v>0</v>
      </c>
      <c r="J32" s="447"/>
      <c r="K32" s="447"/>
      <c r="L32" s="447"/>
      <c r="M32" s="445">
        <f t="shared" si="21"/>
        <v>0</v>
      </c>
      <c r="N32" s="565">
        <f t="shared" si="22"/>
        <v>0</v>
      </c>
      <c r="O32" s="565">
        <f t="shared" si="23"/>
        <v>7.0793929425990498</v>
      </c>
      <c r="Q32" s="553">
        <f t="shared" si="24"/>
        <v>37726</v>
      </c>
      <c r="R32" s="445">
        <f t="shared" si="25"/>
        <v>-2.3203031897592608</v>
      </c>
      <c r="S32" s="565">
        <f t="shared" si="26"/>
        <v>-115.32832928006162</v>
      </c>
      <c r="T32" s="565">
        <f t="shared" si="3"/>
        <v>-27.888432181044731</v>
      </c>
      <c r="U32" s="565">
        <f t="shared" si="4"/>
        <v>195.51706532874806</v>
      </c>
      <c r="V32" s="565">
        <f t="shared" si="5"/>
        <v>0</v>
      </c>
      <c r="W32" s="565">
        <f t="shared" si="6"/>
        <v>0</v>
      </c>
      <c r="X32" s="565">
        <f t="shared" si="27"/>
        <v>0</v>
      </c>
      <c r="Y32" s="445">
        <f t="shared" si="28"/>
        <v>0</v>
      </c>
      <c r="Z32" s="565">
        <f t="shared" si="29"/>
        <v>-54.620607057400953</v>
      </c>
      <c r="AB32" s="553">
        <f t="shared" si="30"/>
        <v>37726</v>
      </c>
      <c r="AC32" s="571">
        <f t="shared" si="7"/>
        <v>0.7</v>
      </c>
      <c r="AD32" s="565">
        <f t="shared" si="8"/>
        <v>103.1</v>
      </c>
      <c r="AE32" s="565">
        <f t="shared" si="9"/>
        <v>27.8</v>
      </c>
      <c r="AF32" s="565">
        <f t="shared" si="10"/>
        <v>-150.5</v>
      </c>
      <c r="AG32" s="565">
        <f t="shared" si="11"/>
        <v>0</v>
      </c>
      <c r="AH32" s="565">
        <f t="shared" si="12"/>
        <v>0</v>
      </c>
      <c r="AI32" s="565">
        <f t="shared" si="31"/>
        <v>0</v>
      </c>
      <c r="AJ32" s="445">
        <f t="shared" si="32"/>
        <v>0</v>
      </c>
      <c r="AK32" s="565">
        <f t="shared" si="33"/>
        <v>61.7</v>
      </c>
      <c r="AM32" s="593">
        <f>LongTerm1!D37</f>
        <v>37726</v>
      </c>
      <c r="AN32" s="594">
        <f>(LongTerm1!BM37+LongTerm1!BL37/(1-LongTerm1!AR37))*(LongTerm1!F37*LongTerm1!AF37*LongTerm1!AH37)/10000</f>
        <v>-1.7132052767309447</v>
      </c>
      <c r="AO32" s="594">
        <f>LongTerm1!BM37*(LongTerm1!F37*LongTerm1!AF37*LongTerm1!AH37)/10000</f>
        <v>168.63253386479334</v>
      </c>
      <c r="AP32" s="594">
        <f>(LongTerm1!BL37/(1-LongTerm1!AR37))*(LongTerm1!F37*LongTerm1!AF37*LongTerm1!AH37)/10000</f>
        <v>-170.34573914152429</v>
      </c>
      <c r="AQ32" s="434"/>
      <c r="AR32" s="435"/>
      <c r="AS32" s="435"/>
      <c r="AT32" s="435"/>
      <c r="AU32" s="434"/>
      <c r="AV32" s="435"/>
      <c r="AW32" s="435"/>
      <c r="AX32" s="435"/>
      <c r="AY32" s="435"/>
      <c r="AZ32" s="435"/>
      <c r="BA32" s="435"/>
      <c r="BB32" s="435"/>
      <c r="BC32" s="435"/>
      <c r="BD32" s="435"/>
      <c r="BE32" s="435"/>
      <c r="BF32" s="435"/>
      <c r="BG32" s="593">
        <f>LongTerm25!D37</f>
        <v>37787</v>
      </c>
      <c r="BH32" s="594">
        <f>(LongTerm25!BM37+LongTerm25!BL37/(1-LongTerm25!AR37))*(LongTerm25!F37*LongTerm25!AF37*LongTerm25!AH37)/10000</f>
        <v>-0.99508997092758023</v>
      </c>
      <c r="BI32" s="594">
        <f>LongTerm25!BM37*(LongTerm25!F37*LongTerm25!AF37*LongTerm25!AH37)/10000</f>
        <v>26.671448114794302</v>
      </c>
      <c r="BJ32" s="594">
        <f>(LongTerm25!BL37/(1-LongTerm25!AR37))*(LongTerm25!F37*LongTerm25!AF37*LongTerm25!AH37)/10000</f>
        <v>-27.666538085721882</v>
      </c>
      <c r="BK32" s="435"/>
      <c r="BL32" s="435"/>
      <c r="BM32" s="435"/>
      <c r="BN32" s="435"/>
      <c r="BP32" s="596">
        <f>LongTerm62!D37</f>
        <v>37726</v>
      </c>
      <c r="BQ32" s="594">
        <f>(LongTerm62!$BM37+LongTerm62!$BL37/(1-LongTerm62!$AR37))*(LongTerm62!$F37*LongTerm62!$AF37*LongTerm62!$AH37)/10000</f>
        <v>0</v>
      </c>
      <c r="BR32" s="594">
        <f>LongTerm62!$BM37*(LongTerm62!$F37*LongTerm62!$AF37*LongTerm62!$AH37)/10000</f>
        <v>0</v>
      </c>
      <c r="BS32" s="594">
        <f>(LongTerm62!$BL37/(1-LongTerm62!$AR37))*(LongTerm62!$F37*LongTerm62!$AF37*LongTerm62!$AH37)/10000</f>
        <v>0</v>
      </c>
      <c r="BT32" s="447"/>
      <c r="BU32" s="596">
        <f>LongTerm107!D37</f>
        <v>37575</v>
      </c>
      <c r="BV32" s="594">
        <f>(LongTerm107!$BM37+LongTerm107!$BL37/(1-LongTerm107!$AR37))*(LongTerm107!$F37*LongTerm107!$AF37*LongTerm107!$AH37)/10000</f>
        <v>0</v>
      </c>
      <c r="BW32" s="594">
        <f>LongTerm107!$BM37*(LongTerm107!$F37*LongTerm107!$AF37*LongTerm107!$AH37)/10000</f>
        <v>0</v>
      </c>
      <c r="BX32" s="594">
        <f>(LongTerm107!$BL37/(1-LongTerm107!$AR37))*(LongTerm107!$F37*LongTerm107!$AF37*LongTerm107!$AH37)/10000</f>
        <v>0</v>
      </c>
      <c r="BY32" s="599"/>
      <c r="BZ32" s="596">
        <f>LongTerm108!D37</f>
        <v>37940</v>
      </c>
      <c r="CA32" s="594">
        <f>(LongTerm108!$BM37+LongTerm108!$BL37/(1-LongTerm108!$AR37))*(LongTerm108!$F37*LongTerm108!$AF37*LongTerm108!$AH37)/10000</f>
        <v>0</v>
      </c>
      <c r="CB32" s="594">
        <f>LongTerm108!$BM37*(LongTerm108!$F37*LongTerm108!$AF37*LongTerm108!$AH37)/10000</f>
        <v>0</v>
      </c>
      <c r="CC32" s="594">
        <f>(LongTerm108!$BL37/(1-LongTerm108!$AR37))*(LongTerm108!$F37*LongTerm108!$AF37*LongTerm108!$AH37)/10000</f>
        <v>0</v>
      </c>
      <c r="CD32" s="492"/>
      <c r="CE32" s="595">
        <f t="shared" si="34"/>
        <v>37483</v>
      </c>
      <c r="CF32" s="583">
        <v>28.6</v>
      </c>
      <c r="CG32" s="583">
        <v>118</v>
      </c>
      <c r="CH32" s="583">
        <v>-192.1</v>
      </c>
      <c r="CI32" s="583">
        <v>0</v>
      </c>
      <c r="CJ32" s="583">
        <v>0</v>
      </c>
      <c r="CK32" s="583">
        <v>0.4</v>
      </c>
      <c r="CL32" s="583">
        <v>0</v>
      </c>
      <c r="CM32" s="583">
        <v>0</v>
      </c>
      <c r="CN32" s="583">
        <v>40.299999999999997</v>
      </c>
    </row>
    <row r="33" spans="2:92" x14ac:dyDescent="0.25">
      <c r="B33" s="553">
        <f t="shared" si="13"/>
        <v>37756</v>
      </c>
      <c r="C33" s="435">
        <f t="shared" si="14"/>
        <v>2003</v>
      </c>
      <c r="D33" s="445">
        <f t="shared" si="15"/>
        <v>-1.2729641069349269</v>
      </c>
      <c r="E33" s="445">
        <f t="shared" si="16"/>
        <v>-14.542145553358836</v>
      </c>
      <c r="F33" s="445">
        <f t="shared" si="17"/>
        <v>0.29793974219350616</v>
      </c>
      <c r="G33" s="445">
        <f t="shared" si="18"/>
        <v>6.4627345071251341</v>
      </c>
      <c r="H33" s="445">
        <f t="shared" si="19"/>
        <v>0</v>
      </c>
      <c r="I33" s="445">
        <f t="shared" si="20"/>
        <v>0</v>
      </c>
      <c r="J33" s="447"/>
      <c r="K33" s="447"/>
      <c r="L33" s="447"/>
      <c r="M33" s="445">
        <f t="shared" si="21"/>
        <v>0</v>
      </c>
      <c r="N33" s="565">
        <f t="shared" si="22"/>
        <v>0</v>
      </c>
      <c r="O33" s="565">
        <f t="shared" si="23"/>
        <v>8.4085071971052656</v>
      </c>
      <c r="Q33" s="553">
        <f t="shared" si="24"/>
        <v>37756</v>
      </c>
      <c r="R33" s="445">
        <f t="shared" si="25"/>
        <v>-1.9729641069349269</v>
      </c>
      <c r="S33" s="565">
        <f t="shared" si="26"/>
        <v>-116.44214555335884</v>
      </c>
      <c r="T33" s="565">
        <f t="shared" si="3"/>
        <v>-28.702060257806494</v>
      </c>
      <c r="U33" s="565">
        <f t="shared" si="4"/>
        <v>197.26273450712515</v>
      </c>
      <c r="V33" s="565">
        <f t="shared" si="5"/>
        <v>0</v>
      </c>
      <c r="W33" s="565">
        <f t="shared" si="6"/>
        <v>0</v>
      </c>
      <c r="X33" s="565">
        <f t="shared" si="27"/>
        <v>0</v>
      </c>
      <c r="Y33" s="445">
        <f t="shared" si="28"/>
        <v>0</v>
      </c>
      <c r="Z33" s="565">
        <f t="shared" si="29"/>
        <v>-54.091492802894734</v>
      </c>
      <c r="AB33" s="553">
        <f t="shared" si="30"/>
        <v>37756</v>
      </c>
      <c r="AC33" s="571">
        <f t="shared" si="7"/>
        <v>0.7</v>
      </c>
      <c r="AD33" s="565">
        <f t="shared" si="8"/>
        <v>101.9</v>
      </c>
      <c r="AE33" s="565">
        <f t="shared" si="9"/>
        <v>29</v>
      </c>
      <c r="AF33" s="565">
        <f t="shared" si="10"/>
        <v>-190.8</v>
      </c>
      <c r="AG33" s="565">
        <f t="shared" si="11"/>
        <v>0</v>
      </c>
      <c r="AH33" s="565">
        <f t="shared" si="12"/>
        <v>0</v>
      </c>
      <c r="AI33" s="565">
        <f t="shared" si="31"/>
        <v>0</v>
      </c>
      <c r="AJ33" s="445">
        <f t="shared" si="32"/>
        <v>0</v>
      </c>
      <c r="AK33" s="565">
        <f t="shared" si="33"/>
        <v>62.5</v>
      </c>
      <c r="AM33" s="593">
        <f>LongTerm1!D38</f>
        <v>37756</v>
      </c>
      <c r="AN33" s="594">
        <f>(LongTerm1!BM38+LongTerm1!BL38/(1-LongTerm1!AR38))*(LongTerm1!F38*LongTerm1!AF38*LongTerm1!AH38)/10000</f>
        <v>-1.4876768268304947</v>
      </c>
      <c r="AO33" s="594">
        <f>LongTerm1!BM38*(LongTerm1!F38*LongTerm1!AF38*LongTerm1!AH38)/10000</f>
        <v>169.59300425827786</v>
      </c>
      <c r="AP33" s="594">
        <f>(LongTerm1!BL38/(1-LongTerm1!AR38))*(LongTerm1!F38*LongTerm1!AF38*LongTerm1!AH38)/10000</f>
        <v>-171.08068108510835</v>
      </c>
      <c r="AQ33" s="434"/>
      <c r="AR33" s="435"/>
      <c r="AS33" s="435"/>
      <c r="AT33" s="435"/>
      <c r="AU33" s="435"/>
      <c r="AV33" s="435"/>
      <c r="AW33" s="435"/>
      <c r="AX33" s="435"/>
      <c r="AY33" s="435"/>
      <c r="AZ33" s="435"/>
      <c r="BA33" s="435"/>
      <c r="BB33" s="435"/>
      <c r="BC33" s="435"/>
      <c r="BD33" s="435"/>
      <c r="BE33" s="435"/>
      <c r="BF33" s="435"/>
      <c r="BG33" s="593">
        <f>LongTerm25!D38</f>
        <v>37817</v>
      </c>
      <c r="BH33" s="594">
        <f>(LongTerm25!BM38+LongTerm25!BL38/(1-LongTerm25!AR38))*(LongTerm25!F38*LongTerm25!AF38*LongTerm25!AH38)/10000</f>
        <v>-1.0208068630982341</v>
      </c>
      <c r="BI33" s="594">
        <f>LongTerm25!BM38*(LongTerm25!F38*LongTerm25!AF38*LongTerm25!AH38)/10000</f>
        <v>27.425163296870782</v>
      </c>
      <c r="BJ33" s="594">
        <f>(LongTerm25!BL38/(1-LongTerm25!AR38))*(LongTerm25!F38*LongTerm25!AF38*LongTerm25!AH38)/10000</f>
        <v>-28.445970159969015</v>
      </c>
      <c r="BK33" s="435"/>
      <c r="BL33" s="435"/>
      <c r="BM33" s="435"/>
      <c r="BN33" s="435"/>
      <c r="BP33" s="596">
        <f>LongTerm62!D38</f>
        <v>37756</v>
      </c>
      <c r="BQ33" s="594">
        <f>(LongTerm62!$BM38+LongTerm62!$BL38/(1-LongTerm62!$AR38))*(LongTerm62!$F38*LongTerm62!$AF38*LongTerm62!$AH38)/10000</f>
        <v>0</v>
      </c>
      <c r="BR33" s="594">
        <f>LongTerm62!$BM38*(LongTerm62!$F38*LongTerm62!$AF38*LongTerm62!$AH38)/10000</f>
        <v>0</v>
      </c>
      <c r="BS33" s="594">
        <f>(LongTerm62!$BL38/(1-LongTerm62!$AR38))*(LongTerm62!$F38*LongTerm62!$AF38*LongTerm62!$AH38)/10000</f>
        <v>0</v>
      </c>
      <c r="BT33" s="447"/>
      <c r="BU33" s="596">
        <f>LongTerm107!D38</f>
        <v>37575</v>
      </c>
      <c r="BV33" s="594">
        <f>(LongTerm107!$BM38+LongTerm107!$BL38/(1-LongTerm107!$AR38))*(LongTerm107!$F38*LongTerm107!$AF38*LongTerm107!$AH38)/10000</f>
        <v>0</v>
      </c>
      <c r="BW33" s="594">
        <f>LongTerm107!$BM38*(LongTerm107!$F38*LongTerm107!$AF38*LongTerm107!$AH38)/10000</f>
        <v>0</v>
      </c>
      <c r="BX33" s="594">
        <f>(LongTerm107!$BL38/(1-LongTerm107!$AR38))*(LongTerm107!$F38*LongTerm107!$AF38*LongTerm107!$AH38)/10000</f>
        <v>0</v>
      </c>
      <c r="BY33" s="599"/>
      <c r="BZ33" s="596">
        <f>LongTerm108!D38</f>
        <v>37940</v>
      </c>
      <c r="CA33" s="594">
        <f>(LongTerm108!$BM38+LongTerm108!$BL38/(1-LongTerm108!$AR38))*(LongTerm108!$F38*LongTerm108!$AF38*LongTerm108!$AH38)/10000</f>
        <v>0</v>
      </c>
      <c r="CB33" s="594">
        <f>LongTerm108!$BM38*(LongTerm108!$F38*LongTerm108!$AF38*LongTerm108!$AH38)/10000</f>
        <v>0</v>
      </c>
      <c r="CC33" s="594">
        <f>(LongTerm108!$BL38/(1-LongTerm108!$AR38))*(LongTerm108!$F38*LongTerm108!$AF38*LongTerm108!$AH38)/10000</f>
        <v>0</v>
      </c>
      <c r="CD33" s="492"/>
      <c r="CE33" s="595">
        <f t="shared" si="34"/>
        <v>37514</v>
      </c>
      <c r="CF33" s="583">
        <v>27.7</v>
      </c>
      <c r="CG33" s="583">
        <v>114.8</v>
      </c>
      <c r="CH33" s="583">
        <v>-186</v>
      </c>
      <c r="CI33" s="583">
        <v>0</v>
      </c>
      <c r="CJ33" s="583">
        <v>0</v>
      </c>
      <c r="CK33" s="583">
        <v>0.5</v>
      </c>
      <c r="CL33" s="583">
        <v>0</v>
      </c>
      <c r="CM33" s="583">
        <v>0</v>
      </c>
      <c r="CN33" s="583">
        <v>39.200000000000003</v>
      </c>
    </row>
    <row r="34" spans="2:92" x14ac:dyDescent="0.25">
      <c r="B34" s="553">
        <f t="shared" si="13"/>
        <v>37787</v>
      </c>
      <c r="C34" s="435">
        <f t="shared" si="14"/>
        <v>2003</v>
      </c>
      <c r="D34" s="445">
        <f t="shared" si="15"/>
        <v>-1.2231469512522133</v>
      </c>
      <c r="E34" s="445">
        <f t="shared" si="16"/>
        <v>-14.597224345702045</v>
      </c>
      <c r="F34" s="445">
        <f t="shared" si="17"/>
        <v>-0.46653808572188282</v>
      </c>
      <c r="G34" s="445">
        <f t="shared" si="18"/>
        <v>11.287997332155925</v>
      </c>
      <c r="H34" s="445">
        <f t="shared" si="19"/>
        <v>0</v>
      </c>
      <c r="I34" s="445">
        <f t="shared" si="20"/>
        <v>0</v>
      </c>
      <c r="J34" s="447"/>
      <c r="K34" s="447"/>
      <c r="L34" s="447"/>
      <c r="M34" s="445">
        <f t="shared" si="21"/>
        <v>0</v>
      </c>
      <c r="N34" s="565">
        <f t="shared" si="22"/>
        <v>0</v>
      </c>
      <c r="O34" s="565">
        <f t="shared" si="23"/>
        <v>9.1526181480157831</v>
      </c>
      <c r="Q34" s="553">
        <f t="shared" si="24"/>
        <v>37787</v>
      </c>
      <c r="R34" s="445">
        <f t="shared" si="25"/>
        <v>-1.9231469512522132</v>
      </c>
      <c r="S34" s="565">
        <f t="shared" si="26"/>
        <v>-112.29722434570205</v>
      </c>
      <c r="T34" s="565">
        <f t="shared" si="3"/>
        <v>-27.666538085721882</v>
      </c>
      <c r="U34" s="565">
        <f t="shared" si="4"/>
        <v>190.18799733215593</v>
      </c>
      <c r="V34" s="565">
        <f t="shared" si="5"/>
        <v>0</v>
      </c>
      <c r="W34" s="565">
        <f t="shared" si="6"/>
        <v>0</v>
      </c>
      <c r="X34" s="565">
        <f t="shared" si="27"/>
        <v>0</v>
      </c>
      <c r="Y34" s="445">
        <f t="shared" si="28"/>
        <v>0</v>
      </c>
      <c r="Z34" s="565">
        <f t="shared" si="29"/>
        <v>-52.147381851984214</v>
      </c>
      <c r="AB34" s="553">
        <f t="shared" si="30"/>
        <v>37787</v>
      </c>
      <c r="AC34" s="571">
        <f t="shared" si="7"/>
        <v>0.7</v>
      </c>
      <c r="AD34" s="565">
        <f t="shared" si="8"/>
        <v>97.7</v>
      </c>
      <c r="AE34" s="565">
        <f t="shared" si="9"/>
        <v>27.2</v>
      </c>
      <c r="AF34" s="565">
        <f t="shared" si="10"/>
        <v>-178.9</v>
      </c>
      <c r="AG34" s="565">
        <f t="shared" si="11"/>
        <v>0</v>
      </c>
      <c r="AH34" s="565">
        <f t="shared" si="12"/>
        <v>0</v>
      </c>
      <c r="AI34" s="565">
        <f t="shared" si="31"/>
        <v>0</v>
      </c>
      <c r="AJ34" s="445">
        <f t="shared" si="32"/>
        <v>0</v>
      </c>
      <c r="AK34" s="565">
        <f t="shared" si="33"/>
        <v>61.3</v>
      </c>
      <c r="AM34" s="593">
        <f>LongTerm1!D39</f>
        <v>37787</v>
      </c>
      <c r="AN34" s="594">
        <f>(LongTerm1!BM39+LongTerm1!BL39/(1-LongTerm1!AR39))*(LongTerm1!F39*LongTerm1!AF39*LongTerm1!AH39)/10000</f>
        <v>-1.4437459195009472</v>
      </c>
      <c r="AO34" s="594">
        <f>LongTerm1!BM39*(LongTerm1!F39*LongTerm1!AF39*LongTerm1!AH39)/10000</f>
        <v>163.51654921736164</v>
      </c>
      <c r="AP34" s="594">
        <f>(LongTerm1!BL39/(1-LongTerm1!AR39))*(LongTerm1!F39*LongTerm1!AF39*LongTerm1!AH39)/10000</f>
        <v>-164.96029513686258</v>
      </c>
      <c r="AQ34" s="434"/>
      <c r="AR34" s="435"/>
      <c r="AS34" s="435"/>
      <c r="AT34" s="435"/>
      <c r="AU34" s="435"/>
      <c r="AV34" s="435"/>
      <c r="AW34" s="435"/>
      <c r="AX34" s="435"/>
      <c r="AY34" s="435"/>
      <c r="AZ34" s="435"/>
      <c r="BA34" s="435"/>
      <c r="BB34" s="435"/>
      <c r="BC34" s="435"/>
      <c r="BD34" s="435"/>
      <c r="BE34" s="435"/>
      <c r="BF34" s="435"/>
      <c r="BG34" s="593">
        <f>LongTerm25!D39</f>
        <v>37848</v>
      </c>
      <c r="BH34" s="594">
        <f>(LongTerm25!BM39+LongTerm25!BL39/(1-LongTerm25!AR39))*(LongTerm25!F39*LongTerm25!AF39*LongTerm25!AH39)/10000</f>
        <v>-1.0102593570707166</v>
      </c>
      <c r="BI34" s="594">
        <f>LongTerm25!BM39*(LongTerm25!F39*LongTerm25!AF39*LongTerm25!AH39)/10000</f>
        <v>27.260575088360095</v>
      </c>
      <c r="BJ34" s="594">
        <f>(LongTerm25!BL39/(1-LongTerm25!AR39))*(LongTerm25!F39*LongTerm25!AF39*LongTerm25!AH39)/10000</f>
        <v>-28.270834445430815</v>
      </c>
      <c r="BK34" s="435"/>
      <c r="BL34" s="435"/>
      <c r="BM34" s="435"/>
      <c r="BN34" s="435"/>
      <c r="BP34" s="596">
        <f>LongTerm62!D39</f>
        <v>37787</v>
      </c>
      <c r="BQ34" s="594">
        <f>(LongTerm62!$BM39+LongTerm62!$BL39/(1-LongTerm62!$AR39))*(LongTerm62!$F39*LongTerm62!$AF39*LongTerm62!$AH39)/10000</f>
        <v>0</v>
      </c>
      <c r="BR34" s="594">
        <f>LongTerm62!$BM39*(LongTerm62!$F39*LongTerm62!$AF39*LongTerm62!$AH39)/10000</f>
        <v>0</v>
      </c>
      <c r="BS34" s="594">
        <f>(LongTerm62!$BL39/(1-LongTerm62!$AR39))*(LongTerm62!$F39*LongTerm62!$AF39*LongTerm62!$AH39)/10000</f>
        <v>0</v>
      </c>
      <c r="BT34" s="447"/>
      <c r="BU34" s="596">
        <f>LongTerm107!D39</f>
        <v>37575</v>
      </c>
      <c r="BV34" s="594">
        <f>(LongTerm107!$BM39+LongTerm107!$BL39/(1-LongTerm107!$AR39))*(LongTerm107!$F39*LongTerm107!$AF39*LongTerm107!$AH39)/10000</f>
        <v>0</v>
      </c>
      <c r="BW34" s="594">
        <f>LongTerm107!$BM39*(LongTerm107!$F39*LongTerm107!$AF39*LongTerm107!$AH39)/10000</f>
        <v>0</v>
      </c>
      <c r="BX34" s="594">
        <f>(LongTerm107!$BL39/(1-LongTerm107!$AR39))*(LongTerm107!$F39*LongTerm107!$AF39*LongTerm107!$AH39)/10000</f>
        <v>0</v>
      </c>
      <c r="BY34" s="599"/>
      <c r="BZ34" s="596">
        <f>LongTerm108!D39</f>
        <v>37940</v>
      </c>
      <c r="CA34" s="594">
        <f>(LongTerm108!$BM39+LongTerm108!$BL39/(1-LongTerm108!$AR39))*(LongTerm108!$F39*LongTerm108!$AF39*LongTerm108!$AH39)/10000</f>
        <v>0</v>
      </c>
      <c r="CB34" s="594">
        <f>LongTerm108!$BM39*(LongTerm108!$F39*LongTerm108!$AF39*LongTerm108!$AH39)/10000</f>
        <v>0</v>
      </c>
      <c r="CC34" s="594">
        <f>(LongTerm108!$BL39/(1-LongTerm108!$AR39))*(LongTerm108!$F39*LongTerm108!$AF39*LongTerm108!$AH39)/10000</f>
        <v>0</v>
      </c>
      <c r="CD34" s="492"/>
      <c r="CE34" s="595">
        <f t="shared" si="34"/>
        <v>37544</v>
      </c>
      <c r="CF34" s="583">
        <v>28</v>
      </c>
      <c r="CG34" s="583">
        <v>115.5</v>
      </c>
      <c r="CH34" s="583">
        <v>-188.9</v>
      </c>
      <c r="CI34" s="583">
        <v>0</v>
      </c>
      <c r="CJ34" s="583">
        <v>0</v>
      </c>
      <c r="CK34" s="583">
        <v>0.4</v>
      </c>
      <c r="CL34" s="583">
        <v>0</v>
      </c>
      <c r="CM34" s="583">
        <v>0</v>
      </c>
      <c r="CN34" s="583">
        <v>39.200000000000003</v>
      </c>
    </row>
    <row r="35" spans="2:92" x14ac:dyDescent="0.25">
      <c r="B35" s="553">
        <f t="shared" si="13"/>
        <v>37817</v>
      </c>
      <c r="C35" s="435">
        <f t="shared" si="14"/>
        <v>2003</v>
      </c>
      <c r="D35" s="445">
        <f t="shared" si="15"/>
        <v>-0.92932617961650954</v>
      </c>
      <c r="E35" s="445">
        <f t="shared" si="16"/>
        <v>-15.584334892151844</v>
      </c>
      <c r="F35" s="445">
        <f t="shared" si="17"/>
        <v>-4.5970159969016322E-2</v>
      </c>
      <c r="G35" s="445">
        <f t="shared" si="18"/>
        <v>8.6684249816543684</v>
      </c>
      <c r="H35" s="445">
        <f t="shared" si="19"/>
        <v>0</v>
      </c>
      <c r="I35" s="445">
        <f t="shared" si="20"/>
        <v>0</v>
      </c>
      <c r="J35" s="447"/>
      <c r="K35" s="447"/>
      <c r="L35" s="447"/>
      <c r="M35" s="445">
        <f t="shared" si="21"/>
        <v>0</v>
      </c>
      <c r="N35" s="565">
        <f t="shared" si="22"/>
        <v>0</v>
      </c>
      <c r="O35" s="565">
        <f t="shared" si="23"/>
        <v>9.8325538908499723</v>
      </c>
      <c r="Q35" s="553">
        <f t="shared" si="24"/>
        <v>37817</v>
      </c>
      <c r="R35" s="445">
        <f t="shared" si="25"/>
        <v>-1.6293261796165095</v>
      </c>
      <c r="S35" s="565">
        <f t="shared" si="26"/>
        <v>-112.98433489215185</v>
      </c>
      <c r="T35" s="565">
        <f t="shared" si="3"/>
        <v>-28.445970159969015</v>
      </c>
      <c r="U35" s="565">
        <f t="shared" si="4"/>
        <v>192.06842498165437</v>
      </c>
      <c r="V35" s="565">
        <f t="shared" si="5"/>
        <v>0</v>
      </c>
      <c r="W35" s="565">
        <f t="shared" si="6"/>
        <v>0</v>
      </c>
      <c r="X35" s="565">
        <f t="shared" si="27"/>
        <v>0</v>
      </c>
      <c r="Y35" s="445">
        <f t="shared" si="28"/>
        <v>0</v>
      </c>
      <c r="Z35" s="565">
        <f t="shared" si="29"/>
        <v>-52.267446109150029</v>
      </c>
      <c r="AB35" s="553">
        <f t="shared" si="30"/>
        <v>37817</v>
      </c>
      <c r="AC35" s="571">
        <f t="shared" si="7"/>
        <v>0.7</v>
      </c>
      <c r="AD35" s="565">
        <f t="shared" si="8"/>
        <v>97.4</v>
      </c>
      <c r="AE35" s="565">
        <f t="shared" si="9"/>
        <v>28.4</v>
      </c>
      <c r="AF35" s="565">
        <f t="shared" si="10"/>
        <v>-183.4</v>
      </c>
      <c r="AG35" s="565">
        <f t="shared" si="11"/>
        <v>0</v>
      </c>
      <c r="AH35" s="565">
        <f t="shared" si="12"/>
        <v>0</v>
      </c>
      <c r="AI35" s="565">
        <f t="shared" si="31"/>
        <v>0</v>
      </c>
      <c r="AJ35" s="445">
        <f t="shared" si="32"/>
        <v>0</v>
      </c>
      <c r="AK35" s="565">
        <f t="shared" si="33"/>
        <v>62.1</v>
      </c>
      <c r="AM35" s="593">
        <f>LongTerm1!D40</f>
        <v>37817</v>
      </c>
      <c r="AN35" s="594">
        <f>(LongTerm1!BM40+LongTerm1!BL40/(1-LongTerm1!AR40))*(LongTerm1!F40*LongTerm1!AF40*LongTerm1!AH40)/10000</f>
        <v>-1.2347994219115634</v>
      </c>
      <c r="AO35" s="594">
        <f>LongTerm1!BM40*(LongTerm1!F40*LongTerm1!AF40*LongTerm1!AH40)/10000</f>
        <v>164.6432616847836</v>
      </c>
      <c r="AP35" s="594">
        <f>(LongTerm1!BL40/(1-LongTerm1!AR40))*(LongTerm1!F40*LongTerm1!AF40*LongTerm1!AH40)/10000</f>
        <v>-165.87806110669516</v>
      </c>
      <c r="AQ35" s="434"/>
      <c r="AR35" s="435"/>
      <c r="AS35" s="435"/>
      <c r="AT35" s="435"/>
      <c r="AU35" s="435"/>
      <c r="AV35" s="435"/>
      <c r="AW35" s="435"/>
      <c r="AX35" s="435"/>
      <c r="AY35" s="435"/>
      <c r="AZ35" s="435"/>
      <c r="BA35" s="435"/>
      <c r="BB35" s="435"/>
      <c r="BC35" s="435"/>
      <c r="BD35" s="435"/>
      <c r="BE35" s="435"/>
      <c r="BF35" s="435"/>
      <c r="BG35" s="593">
        <f>LongTerm25!D40</f>
        <v>37879</v>
      </c>
      <c r="BH35" s="594">
        <f>(LongTerm25!BM40+LongTerm25!BL40/(1-LongTerm25!AR40))*(LongTerm25!F40*LongTerm25!AF40*LongTerm25!AH40)/10000</f>
        <v>-0.97486270394179186</v>
      </c>
      <c r="BI35" s="594">
        <f>LongTerm25!BM40*(LongTerm25!F40*LongTerm25!AF40*LongTerm25!AH40)/10000</f>
        <v>26.276468340341339</v>
      </c>
      <c r="BJ35" s="594">
        <f>(LongTerm25!BL40/(1-LongTerm25!AR40))*(LongTerm25!F40*LongTerm25!AF40*LongTerm25!AH40)/10000</f>
        <v>-27.25133104428313</v>
      </c>
      <c r="BK35" s="435"/>
      <c r="BL35" s="435"/>
      <c r="BM35" s="435"/>
      <c r="BN35" s="435"/>
      <c r="BP35" s="596">
        <f>LongTerm62!D40</f>
        <v>37817</v>
      </c>
      <c r="BQ35" s="594">
        <f>(LongTerm62!$BM40+LongTerm62!$BL40/(1-LongTerm62!$AR40))*(LongTerm62!$F40*LongTerm62!$AF40*LongTerm62!$AH40)/10000</f>
        <v>0</v>
      </c>
      <c r="BR35" s="594">
        <f>LongTerm62!$BM40*(LongTerm62!$F40*LongTerm62!$AF40*LongTerm62!$AH40)/10000</f>
        <v>0</v>
      </c>
      <c r="BS35" s="594">
        <f>(LongTerm62!$BL40/(1-LongTerm62!$AR40))*(LongTerm62!$F40*LongTerm62!$AF40*LongTerm62!$AH40)/10000</f>
        <v>0</v>
      </c>
      <c r="BT35" s="447"/>
      <c r="BU35" s="596">
        <f>LongTerm107!D40</f>
        <v>37575</v>
      </c>
      <c r="BV35" s="594">
        <f>(LongTerm107!$BM40+LongTerm107!$BL40/(1-LongTerm107!$AR40))*(LongTerm107!$F40*LongTerm107!$AF40*LongTerm107!$AH40)/10000</f>
        <v>0</v>
      </c>
      <c r="BW35" s="594">
        <f>LongTerm107!$BM40*(LongTerm107!$F40*LongTerm107!$AF40*LongTerm107!$AH40)/10000</f>
        <v>0</v>
      </c>
      <c r="BX35" s="594">
        <f>(LongTerm107!$BL40/(1-LongTerm107!$AR40))*(LongTerm107!$F40*LongTerm107!$AF40*LongTerm107!$AH40)/10000</f>
        <v>0</v>
      </c>
      <c r="BY35" s="599"/>
      <c r="BZ35" s="596">
        <f>LongTerm108!D40</f>
        <v>37940</v>
      </c>
      <c r="CA35" s="594">
        <f>(LongTerm108!$BM40+LongTerm108!$BL40/(1-LongTerm108!$AR40))*(LongTerm108!$F40*LongTerm108!$AF40*LongTerm108!$AH40)/10000</f>
        <v>0</v>
      </c>
      <c r="CB35" s="594">
        <f>LongTerm108!$BM40*(LongTerm108!$F40*LongTerm108!$AF40*LongTerm108!$AH40)/10000</f>
        <v>0</v>
      </c>
      <c r="CC35" s="594">
        <f>(LongTerm108!$BL40/(1-LongTerm108!$AR40))*(LongTerm108!$F40*LongTerm108!$AF40*LongTerm108!$AH40)/10000</f>
        <v>0</v>
      </c>
      <c r="CD35" s="492"/>
      <c r="CE35" s="595">
        <f t="shared" si="34"/>
        <v>37575</v>
      </c>
      <c r="CF35" s="583">
        <v>27.7</v>
      </c>
      <c r="CG35" s="583">
        <v>61.5</v>
      </c>
      <c r="CH35" s="583">
        <v>-142</v>
      </c>
      <c r="CI35" s="583">
        <v>0</v>
      </c>
      <c r="CJ35" s="583">
        <v>0</v>
      </c>
      <c r="CK35" s="583">
        <v>0.5</v>
      </c>
      <c r="CL35" s="583">
        <v>-19.100000000000001</v>
      </c>
      <c r="CM35" s="583">
        <v>19.100000000000001</v>
      </c>
      <c r="CN35" s="583">
        <v>41</v>
      </c>
    </row>
    <row r="36" spans="2:92" x14ac:dyDescent="0.25">
      <c r="B36" s="553">
        <f t="shared" si="13"/>
        <v>37848</v>
      </c>
      <c r="C36" s="435">
        <f t="shared" si="14"/>
        <v>2003</v>
      </c>
      <c r="D36" s="445">
        <f t="shared" si="15"/>
        <v>-0.60197996523844055</v>
      </c>
      <c r="E36" s="445">
        <f t="shared" si="16"/>
        <v>-15.71032600100699</v>
      </c>
      <c r="F36" s="445">
        <f t="shared" si="17"/>
        <v>-0.2708344454308147</v>
      </c>
      <c r="G36" s="445">
        <f t="shared" si="18"/>
        <v>9.1774621623033568</v>
      </c>
      <c r="H36" s="445">
        <f t="shared" si="19"/>
        <v>0</v>
      </c>
      <c r="I36" s="445">
        <f t="shared" si="20"/>
        <v>0</v>
      </c>
      <c r="J36" s="447"/>
      <c r="K36" s="447"/>
      <c r="L36" s="447"/>
      <c r="M36" s="445">
        <f t="shared" si="21"/>
        <v>0</v>
      </c>
      <c r="N36" s="565">
        <f t="shared" si="22"/>
        <v>0</v>
      </c>
      <c r="O36" s="565">
        <f t="shared" si="23"/>
        <v>9.9017183188960018</v>
      </c>
      <c r="Q36" s="553">
        <f t="shared" si="24"/>
        <v>37848</v>
      </c>
      <c r="R36" s="445">
        <f t="shared" si="25"/>
        <v>-1.3019799652384405</v>
      </c>
      <c r="S36" s="565">
        <f t="shared" si="26"/>
        <v>-109.91032600100699</v>
      </c>
      <c r="T36" s="565">
        <f t="shared" si="3"/>
        <v>-28.270834445430815</v>
      </c>
      <c r="U36" s="565">
        <f t="shared" si="4"/>
        <v>187.87746216230335</v>
      </c>
      <c r="V36" s="565">
        <f t="shared" si="5"/>
        <v>0</v>
      </c>
      <c r="W36" s="565">
        <f t="shared" si="6"/>
        <v>0</v>
      </c>
      <c r="X36" s="565">
        <f t="shared" si="27"/>
        <v>0</v>
      </c>
      <c r="Y36" s="445">
        <f t="shared" si="28"/>
        <v>0</v>
      </c>
      <c r="Z36" s="565">
        <f t="shared" si="29"/>
        <v>-50.998281681103997</v>
      </c>
      <c r="AB36" s="553">
        <f t="shared" si="30"/>
        <v>37848</v>
      </c>
      <c r="AC36" s="571">
        <f t="shared" si="7"/>
        <v>0.7</v>
      </c>
      <c r="AD36" s="565">
        <f t="shared" si="8"/>
        <v>94.2</v>
      </c>
      <c r="AE36" s="565">
        <f t="shared" si="9"/>
        <v>28</v>
      </c>
      <c r="AF36" s="565">
        <f t="shared" si="10"/>
        <v>-178.7</v>
      </c>
      <c r="AG36" s="565">
        <f t="shared" si="11"/>
        <v>0</v>
      </c>
      <c r="AH36" s="565">
        <f t="shared" si="12"/>
        <v>0</v>
      </c>
      <c r="AI36" s="565">
        <f t="shared" si="31"/>
        <v>0</v>
      </c>
      <c r="AJ36" s="445">
        <f t="shared" si="32"/>
        <v>0</v>
      </c>
      <c r="AK36" s="565">
        <f t="shared" si="33"/>
        <v>60.9</v>
      </c>
      <c r="AM36" s="593">
        <f>LongTerm1!D41</f>
        <v>37848</v>
      </c>
      <c r="AN36" s="594">
        <f>(LongTerm1!BM41+LongTerm1!BL41/(1-LongTerm1!AR41))*(LongTerm1!F41*LongTerm1!AF41*LongTerm1!AH41)/10000</f>
        <v>-0.99504822993487485</v>
      </c>
      <c r="AO36" s="594">
        <f>LongTerm1!BM41*(LongTerm1!F41*LongTerm1!AF41*LongTerm1!AH41)/10000</f>
        <v>160.61688707394325</v>
      </c>
      <c r="AP36" s="594">
        <f>(LongTerm1!BL41/(1-LongTerm1!AR41))*(LongTerm1!F41*LongTerm1!AF41*LongTerm1!AH41)/10000</f>
        <v>-161.61193530387814</v>
      </c>
      <c r="AQ36" s="434"/>
      <c r="AR36" s="435"/>
      <c r="AS36" s="435"/>
      <c r="AT36" s="435"/>
      <c r="AU36" s="435"/>
      <c r="AV36" s="435"/>
      <c r="AW36" s="435"/>
      <c r="AX36" s="435"/>
      <c r="AY36" s="435"/>
      <c r="AZ36" s="435"/>
      <c r="BA36" s="435"/>
      <c r="BB36" s="435"/>
      <c r="BC36" s="435"/>
      <c r="BD36" s="435"/>
      <c r="BE36" s="435"/>
      <c r="BF36" s="435"/>
      <c r="BG36" s="593">
        <f>LongTerm25!D41</f>
        <v>37909</v>
      </c>
      <c r="BH36" s="594">
        <f>(LongTerm25!BM41+LongTerm25!BL41/(1-LongTerm25!AR41))*(LongTerm25!F41*LongTerm25!AF41*LongTerm25!AH41)/10000</f>
        <v>-0.99223012689673051</v>
      </c>
      <c r="BI36" s="594">
        <f>LongTerm25!BM41*(LongTerm25!F41*LongTerm25!AF41*LongTerm25!AH41)/10000</f>
        <v>26.951321608573675</v>
      </c>
      <c r="BJ36" s="594">
        <f>(LongTerm25!BL41/(1-LongTerm25!AR41))*(LongTerm25!F41*LongTerm25!AF41*LongTerm25!AH41)/10000</f>
        <v>-27.943551735470404</v>
      </c>
      <c r="BK36" s="435"/>
      <c r="BL36" s="435"/>
      <c r="BM36" s="435"/>
      <c r="BN36" s="435"/>
      <c r="BP36" s="596">
        <f>LongTerm62!D41</f>
        <v>37848</v>
      </c>
      <c r="BQ36" s="594">
        <f>(LongTerm62!$BM41+LongTerm62!$BL41/(1-LongTerm62!$AR41))*(LongTerm62!$F41*LongTerm62!$AF41*LongTerm62!$AH41)/10000</f>
        <v>0</v>
      </c>
      <c r="BR36" s="594">
        <f>LongTerm62!$BM41*(LongTerm62!$F41*LongTerm62!$AF41*LongTerm62!$AH41)/10000</f>
        <v>0</v>
      </c>
      <c r="BS36" s="594">
        <f>(LongTerm62!$BL41/(1-LongTerm62!$AR41))*(LongTerm62!$F41*LongTerm62!$AF41*LongTerm62!$AH41)/10000</f>
        <v>0</v>
      </c>
      <c r="BT36" s="447"/>
      <c r="BU36" s="596">
        <f>LongTerm107!D41</f>
        <v>37575</v>
      </c>
      <c r="BV36" s="594">
        <f>(LongTerm107!$BM41+LongTerm107!$BL41/(1-LongTerm107!$AR41))*(LongTerm107!$F41*LongTerm107!$AF41*LongTerm107!$AH41)/10000</f>
        <v>0</v>
      </c>
      <c r="BW36" s="594">
        <f>LongTerm107!$BM41*(LongTerm107!$F41*LongTerm107!$AF41*LongTerm107!$AH41)/10000</f>
        <v>0</v>
      </c>
      <c r="BX36" s="594">
        <f>(LongTerm107!$BL41/(1-LongTerm107!$AR41))*(LongTerm107!$F41*LongTerm107!$AF41*LongTerm107!$AH41)/10000</f>
        <v>0</v>
      </c>
      <c r="BY36" s="599"/>
      <c r="BZ36" s="596">
        <f>LongTerm108!D41</f>
        <v>37940</v>
      </c>
      <c r="CA36" s="594">
        <f>(LongTerm108!$BM41+LongTerm108!$BL41/(1-LongTerm108!$AR41))*(LongTerm108!$F41*LongTerm108!$AF41*LongTerm108!$AH41)/10000</f>
        <v>0</v>
      </c>
      <c r="CB36" s="594">
        <f>LongTerm108!$BM41*(LongTerm108!$F41*LongTerm108!$AF41*LongTerm108!$AH41)/10000</f>
        <v>0</v>
      </c>
      <c r="CC36" s="594">
        <f>(LongTerm108!$BL41/(1-LongTerm108!$AR41))*(LongTerm108!$F41*LongTerm108!$AF41*LongTerm108!$AH41)/10000</f>
        <v>0</v>
      </c>
      <c r="CD36" s="492"/>
      <c r="CE36" s="595">
        <f t="shared" si="34"/>
        <v>37605</v>
      </c>
      <c r="CF36" s="583">
        <v>29.1</v>
      </c>
      <c r="CG36" s="583">
        <v>67.2</v>
      </c>
      <c r="CH36" s="583">
        <v>-140.9</v>
      </c>
      <c r="CI36" s="583">
        <v>0</v>
      </c>
      <c r="CJ36" s="583">
        <v>0</v>
      </c>
      <c r="CK36" s="583">
        <v>0.4</v>
      </c>
      <c r="CL36" s="583">
        <v>-16.600000000000001</v>
      </c>
      <c r="CM36" s="583">
        <v>16.600000000000001</v>
      </c>
      <c r="CN36" s="583">
        <v>43.8</v>
      </c>
    </row>
    <row r="37" spans="2:92" x14ac:dyDescent="0.25">
      <c r="B37" s="553">
        <f t="shared" si="13"/>
        <v>37879</v>
      </c>
      <c r="C37" s="435">
        <f t="shared" si="14"/>
        <v>2003</v>
      </c>
      <c r="D37" s="445">
        <f t="shared" si="15"/>
        <v>-0.61940666852841253</v>
      </c>
      <c r="E37" s="445">
        <f t="shared" si="16"/>
        <v>-15.414333264193345</v>
      </c>
      <c r="F37" s="445">
        <f t="shared" si="17"/>
        <v>-5.1331044283131178E-2</v>
      </c>
      <c r="G37" s="445">
        <f t="shared" si="18"/>
        <v>12.771590909947321</v>
      </c>
      <c r="H37" s="445">
        <f t="shared" si="19"/>
        <v>0</v>
      </c>
      <c r="I37" s="445">
        <f t="shared" si="20"/>
        <v>0</v>
      </c>
      <c r="J37" s="447"/>
      <c r="K37" s="447"/>
      <c r="L37" s="447"/>
      <c r="M37" s="445">
        <f t="shared" si="21"/>
        <v>0</v>
      </c>
      <c r="N37" s="565">
        <f t="shared" si="22"/>
        <v>0</v>
      </c>
      <c r="O37" s="565">
        <f t="shared" si="23"/>
        <v>10.374666730000754</v>
      </c>
      <c r="Q37" s="553">
        <f t="shared" si="24"/>
        <v>37879</v>
      </c>
      <c r="R37" s="445">
        <f t="shared" si="25"/>
        <v>-1.3194066685284125</v>
      </c>
      <c r="S37" s="565">
        <f t="shared" si="26"/>
        <v>-106.41433326419335</v>
      </c>
      <c r="T37" s="565">
        <f t="shared" si="3"/>
        <v>-27.25133104428313</v>
      </c>
      <c r="U37" s="565">
        <f t="shared" si="4"/>
        <v>181.67159090994733</v>
      </c>
      <c r="V37" s="565">
        <f t="shared" si="5"/>
        <v>0</v>
      </c>
      <c r="W37" s="565">
        <f t="shared" si="6"/>
        <v>0</v>
      </c>
      <c r="X37" s="565">
        <f t="shared" si="27"/>
        <v>0</v>
      </c>
      <c r="Y37" s="445">
        <f t="shared" si="28"/>
        <v>0</v>
      </c>
      <c r="Z37" s="565">
        <f t="shared" si="29"/>
        <v>-49.325333269999248</v>
      </c>
      <c r="AB37" s="553">
        <f t="shared" si="30"/>
        <v>37879</v>
      </c>
      <c r="AC37" s="571">
        <f t="shared" si="7"/>
        <v>0.7</v>
      </c>
      <c r="AD37" s="565">
        <f t="shared" si="8"/>
        <v>91</v>
      </c>
      <c r="AE37" s="565">
        <f t="shared" si="9"/>
        <v>27.2</v>
      </c>
      <c r="AF37" s="565">
        <f t="shared" si="10"/>
        <v>-168.9</v>
      </c>
      <c r="AG37" s="565">
        <f t="shared" si="11"/>
        <v>0</v>
      </c>
      <c r="AH37" s="565">
        <f t="shared" si="12"/>
        <v>0</v>
      </c>
      <c r="AI37" s="565">
        <f t="shared" si="31"/>
        <v>0</v>
      </c>
      <c r="AJ37" s="445">
        <f t="shared" si="32"/>
        <v>0</v>
      </c>
      <c r="AK37" s="565">
        <f t="shared" si="33"/>
        <v>59.7</v>
      </c>
      <c r="AM37" s="593">
        <f>LongTerm1!D42</f>
        <v>37879</v>
      </c>
      <c r="AN37" s="594">
        <f>(LongTerm1!BM42+LongTerm1!BL42/(1-LongTerm1!AR42))*(LongTerm1!F42*LongTerm1!AF42*LongTerm1!AH42)/10000</f>
        <v>-1.0058032343455259</v>
      </c>
      <c r="AO37" s="594">
        <f>LongTerm1!BM42*(LongTerm1!F42*LongTerm1!AF42*LongTerm1!AH42)/10000</f>
        <v>155.39512256960597</v>
      </c>
      <c r="AP37" s="594">
        <f>(LongTerm1!BL42/(1-LongTerm1!AR42))*(LongTerm1!F42*LongTerm1!AF42*LongTerm1!AH42)/10000</f>
        <v>-156.40092580395151</v>
      </c>
      <c r="AQ37" s="434"/>
      <c r="AR37" s="435"/>
      <c r="AS37" s="435"/>
      <c r="AT37" s="435"/>
      <c r="AU37" s="435"/>
      <c r="AV37" s="435"/>
      <c r="AW37" s="435"/>
      <c r="AX37" s="435"/>
      <c r="AY37" s="435"/>
      <c r="AZ37" s="435"/>
      <c r="BA37" s="435"/>
      <c r="BB37" s="435"/>
      <c r="BC37" s="435"/>
      <c r="BD37" s="435"/>
      <c r="BE37" s="435"/>
      <c r="BF37" s="435"/>
      <c r="BG37" s="593">
        <f>LongTerm25!D42</f>
        <v>37940</v>
      </c>
      <c r="BH37" s="594">
        <f>(LongTerm25!BM42+LongTerm25!BL42/(1-LongTerm25!AR42))*(LongTerm25!F42*LongTerm25!AF42*LongTerm25!AH42)/10000</f>
        <v>-0.96941757267504036</v>
      </c>
      <c r="BI37" s="594">
        <f>LongTerm25!BM42*(LongTerm25!F42*LongTerm25!AF42*LongTerm25!AH42)/10000</f>
        <v>26.068863069560642</v>
      </c>
      <c r="BJ37" s="594">
        <f>(LongTerm25!BL42/(1-LongTerm25!AR42))*(LongTerm25!F42*LongTerm25!AF42*LongTerm25!AH42)/10000</f>
        <v>-27.03828064223568</v>
      </c>
      <c r="BK37" s="435"/>
      <c r="BL37" s="435"/>
      <c r="BM37" s="435"/>
      <c r="BN37" s="435"/>
      <c r="BP37" s="596">
        <f>LongTerm62!D42</f>
        <v>37879</v>
      </c>
      <c r="BQ37" s="594">
        <f>(LongTerm62!$BM42+LongTerm62!$BL42/(1-LongTerm62!$AR42))*(LongTerm62!$F42*LongTerm62!$AF42*LongTerm62!$AH42)/10000</f>
        <v>0</v>
      </c>
      <c r="BR37" s="594">
        <f>LongTerm62!$BM42*(LongTerm62!$F42*LongTerm62!$AF42*LongTerm62!$AH42)/10000</f>
        <v>0</v>
      </c>
      <c r="BS37" s="594">
        <f>(LongTerm62!$BL42/(1-LongTerm62!$AR42))*(LongTerm62!$F42*LongTerm62!$AF42*LongTerm62!$AH42)/10000</f>
        <v>0</v>
      </c>
      <c r="BT37" s="447"/>
      <c r="BU37" s="596">
        <f>LongTerm107!D42</f>
        <v>37575</v>
      </c>
      <c r="BV37" s="594">
        <f>(LongTerm107!$BM42+LongTerm107!$BL42/(1-LongTerm107!$AR42))*(LongTerm107!$F42*LongTerm107!$AF42*LongTerm107!$AH42)/10000</f>
        <v>0</v>
      </c>
      <c r="BW37" s="594">
        <f>LongTerm107!$BM42*(LongTerm107!$F42*LongTerm107!$AF42*LongTerm107!$AH42)/10000</f>
        <v>0</v>
      </c>
      <c r="BX37" s="594">
        <f>(LongTerm107!$BL42/(1-LongTerm107!$AR42))*(LongTerm107!$F42*LongTerm107!$AF42*LongTerm107!$AH42)/10000</f>
        <v>0</v>
      </c>
      <c r="BY37" s="599"/>
      <c r="BZ37" s="596">
        <f>LongTerm108!D42</f>
        <v>37940</v>
      </c>
      <c r="CA37" s="594">
        <f>(LongTerm108!$BM42+LongTerm108!$BL42/(1-LongTerm108!$AR42))*(LongTerm108!$F42*LongTerm108!$AF42*LongTerm108!$AH42)/10000</f>
        <v>0</v>
      </c>
      <c r="CB37" s="594">
        <f>LongTerm108!$BM42*(LongTerm108!$F42*LongTerm108!$AF42*LongTerm108!$AH42)/10000</f>
        <v>0</v>
      </c>
      <c r="CC37" s="594">
        <f>(LongTerm108!$BL42/(1-LongTerm108!$AR42))*(LongTerm108!$F42*LongTerm108!$AF42*LongTerm108!$AH42)/10000</f>
        <v>0</v>
      </c>
      <c r="CD37" s="492"/>
      <c r="CE37" s="595">
        <f t="shared" si="34"/>
        <v>37636</v>
      </c>
      <c r="CF37" s="583">
        <v>29</v>
      </c>
      <c r="CG37" s="583">
        <v>64.099999999999994</v>
      </c>
      <c r="CH37" s="583">
        <v>-144.5</v>
      </c>
      <c r="CI37" s="583">
        <v>0</v>
      </c>
      <c r="CJ37" s="583">
        <v>0</v>
      </c>
      <c r="CK37" s="583">
        <v>0.7</v>
      </c>
      <c r="CL37" s="583">
        <v>-15.6</v>
      </c>
      <c r="CM37" s="583">
        <v>15.6</v>
      </c>
      <c r="CN37" s="583">
        <v>47.6</v>
      </c>
    </row>
    <row r="38" spans="2:92" x14ac:dyDescent="0.25">
      <c r="B38" s="553">
        <f t="shared" si="13"/>
        <v>37909</v>
      </c>
      <c r="C38" s="435">
        <f t="shared" si="14"/>
        <v>2003</v>
      </c>
      <c r="D38" s="445">
        <f t="shared" si="15"/>
        <v>-0.27744900288780061</v>
      </c>
      <c r="E38" s="445">
        <f t="shared" si="16"/>
        <v>-15.74861510354215</v>
      </c>
      <c r="F38" s="445">
        <f t="shared" si="17"/>
        <v>0.35644826452959677</v>
      </c>
      <c r="G38" s="445">
        <f t="shared" si="18"/>
        <v>8.9399610732256178</v>
      </c>
      <c r="H38" s="445">
        <f t="shared" si="19"/>
        <v>0</v>
      </c>
      <c r="I38" s="445">
        <f t="shared" si="20"/>
        <v>0</v>
      </c>
      <c r="J38" s="447"/>
      <c r="K38" s="447"/>
      <c r="L38" s="447"/>
      <c r="M38" s="445">
        <f t="shared" si="21"/>
        <v>0</v>
      </c>
      <c r="N38" s="565">
        <f t="shared" si="22"/>
        <v>0</v>
      </c>
      <c r="O38" s="565">
        <f t="shared" si="23"/>
        <v>9.774756762899159</v>
      </c>
      <c r="Q38" s="553">
        <f t="shared" si="24"/>
        <v>37909</v>
      </c>
      <c r="R38" s="445">
        <f t="shared" si="25"/>
        <v>-0.97744900288780057</v>
      </c>
      <c r="S38" s="565">
        <f t="shared" si="26"/>
        <v>-106.44861510354215</v>
      </c>
      <c r="T38" s="565">
        <f t="shared" si="3"/>
        <v>-27.943551735470404</v>
      </c>
      <c r="U38" s="565">
        <f t="shared" si="4"/>
        <v>183.13996107322561</v>
      </c>
      <c r="V38" s="565">
        <f t="shared" si="5"/>
        <v>0</v>
      </c>
      <c r="W38" s="565">
        <f t="shared" si="6"/>
        <v>0</v>
      </c>
      <c r="X38" s="565">
        <f t="shared" si="27"/>
        <v>0</v>
      </c>
      <c r="Y38" s="445">
        <f t="shared" si="28"/>
        <v>0</v>
      </c>
      <c r="Z38" s="565">
        <f t="shared" si="29"/>
        <v>-49.725243237100841</v>
      </c>
      <c r="AB38" s="553">
        <f t="shared" si="30"/>
        <v>37909</v>
      </c>
      <c r="AC38" s="571">
        <f t="shared" si="7"/>
        <v>0.7</v>
      </c>
      <c r="AD38" s="565">
        <f t="shared" si="8"/>
        <v>90.7</v>
      </c>
      <c r="AE38" s="565">
        <f t="shared" si="9"/>
        <v>28.3</v>
      </c>
      <c r="AF38" s="565">
        <f t="shared" si="10"/>
        <v>-174.2</v>
      </c>
      <c r="AG38" s="565">
        <f t="shared" si="11"/>
        <v>0</v>
      </c>
      <c r="AH38" s="565">
        <f t="shared" si="12"/>
        <v>0</v>
      </c>
      <c r="AI38" s="565">
        <f t="shared" si="31"/>
        <v>0</v>
      </c>
      <c r="AJ38" s="445">
        <f t="shared" si="32"/>
        <v>0</v>
      </c>
      <c r="AK38" s="565">
        <f t="shared" si="33"/>
        <v>59.5</v>
      </c>
      <c r="AM38" s="593">
        <f>LongTerm1!D43</f>
        <v>37909</v>
      </c>
      <c r="AN38" s="594">
        <f>(LongTerm1!BM43+LongTerm1!BL43/(1-LongTerm1!AR43))*(LongTerm1!F43*LongTerm1!AF43*LongTerm1!AH43)/10000</f>
        <v>-0.75966561129949439</v>
      </c>
      <c r="AO38" s="594">
        <f>LongTerm1!BM43*(LongTerm1!F43*LongTerm1!AF43*LongTerm1!AH43)/10000</f>
        <v>156.18863946465194</v>
      </c>
      <c r="AP38" s="594">
        <f>(LongTerm1!BL43/(1-LongTerm1!AR43))*(LongTerm1!F43*LongTerm1!AF43*LongTerm1!AH43)/10000</f>
        <v>-156.94830507595142</v>
      </c>
      <c r="AQ38" s="434"/>
      <c r="AR38" s="435"/>
      <c r="AS38" s="435"/>
      <c r="AT38" s="435"/>
      <c r="AU38" s="435"/>
      <c r="AV38" s="435"/>
      <c r="AW38" s="435"/>
      <c r="AX38" s="435"/>
      <c r="AY38" s="435"/>
      <c r="AZ38" s="435"/>
      <c r="BA38" s="435"/>
      <c r="BB38" s="435"/>
      <c r="BC38" s="435"/>
      <c r="BD38" s="435"/>
      <c r="BE38" s="435"/>
      <c r="BF38" s="435"/>
      <c r="BG38" s="593">
        <f>LongTerm25!D43</f>
        <v>37970</v>
      </c>
      <c r="BH38" s="594">
        <f>(LongTerm25!BM43+LongTerm25!BL43/(1-LongTerm25!AR43))*(LongTerm25!F43*LongTerm25!AF43*LongTerm25!AH43)/10000</f>
        <v>-0.99384859407357251</v>
      </c>
      <c r="BI38" s="594">
        <f>LongTerm25!BM43*(LongTerm25!F43*LongTerm25!AF43*LongTerm25!AH43)/10000</f>
        <v>26.787351467684378</v>
      </c>
      <c r="BJ38" s="594">
        <f>(LongTerm25!BL43/(1-LongTerm25!AR43))*(LongTerm25!F43*LongTerm25!AF43*LongTerm25!AH43)/10000</f>
        <v>-27.78120006175795</v>
      </c>
      <c r="BK38" s="435"/>
      <c r="BL38" s="435"/>
      <c r="BM38" s="435"/>
      <c r="BN38" s="435"/>
      <c r="BP38" s="596">
        <f>LongTerm62!D43</f>
        <v>37909</v>
      </c>
      <c r="BQ38" s="594">
        <f>(LongTerm62!$BM43+LongTerm62!$BL43/(1-LongTerm62!$AR43))*(LongTerm62!$F43*LongTerm62!$AF43*LongTerm62!$AH43)/10000</f>
        <v>0</v>
      </c>
      <c r="BR38" s="594">
        <f>LongTerm62!$BM43*(LongTerm62!$F43*LongTerm62!$AF43*LongTerm62!$AH43)/10000</f>
        <v>0</v>
      </c>
      <c r="BS38" s="594">
        <f>(LongTerm62!$BL43/(1-LongTerm62!$AR43))*(LongTerm62!$F43*LongTerm62!$AF43*LongTerm62!$AH43)/10000</f>
        <v>0</v>
      </c>
      <c r="BT38" s="447"/>
      <c r="BU38" s="596">
        <f>LongTerm107!D43</f>
        <v>37575</v>
      </c>
      <c r="BV38" s="594">
        <f>(LongTerm107!$BM43+LongTerm107!$BL43/(1-LongTerm107!$AR43))*(LongTerm107!$F43*LongTerm107!$AF43*LongTerm107!$AH43)/10000</f>
        <v>0</v>
      </c>
      <c r="BW38" s="594">
        <f>LongTerm107!$BM43*(LongTerm107!$F43*LongTerm107!$AF43*LongTerm107!$AH43)/10000</f>
        <v>0</v>
      </c>
      <c r="BX38" s="594">
        <f>(LongTerm107!$BL43/(1-LongTerm107!$AR43))*(LongTerm107!$F43*LongTerm107!$AF43*LongTerm107!$AH43)/10000</f>
        <v>0</v>
      </c>
      <c r="BY38" s="599"/>
      <c r="BZ38" s="596">
        <f>LongTerm108!D43</f>
        <v>37940</v>
      </c>
      <c r="CA38" s="594">
        <f>(LongTerm108!$BM43+LongTerm108!$BL43/(1-LongTerm108!$AR43))*(LongTerm108!$F43*LongTerm108!$AF43*LongTerm108!$AH43)/10000</f>
        <v>0</v>
      </c>
      <c r="CB38" s="594">
        <f>LongTerm108!$BM43*(LongTerm108!$F43*LongTerm108!$AF43*LongTerm108!$AH43)/10000</f>
        <v>0</v>
      </c>
      <c r="CC38" s="594">
        <f>(LongTerm108!$BL43/(1-LongTerm108!$AR43))*(LongTerm108!$F43*LongTerm108!$AF43*LongTerm108!$AH43)/10000</f>
        <v>0</v>
      </c>
      <c r="CD38" s="492"/>
      <c r="CE38" s="595">
        <f t="shared" si="34"/>
        <v>37667</v>
      </c>
      <c r="CF38" s="583">
        <v>26.6</v>
      </c>
      <c r="CG38" s="583">
        <v>60.1</v>
      </c>
      <c r="CH38" s="583">
        <v>-129.4</v>
      </c>
      <c r="CI38" s="583">
        <v>0</v>
      </c>
      <c r="CJ38" s="583">
        <v>0</v>
      </c>
      <c r="CK38" s="583">
        <v>0.8</v>
      </c>
      <c r="CL38" s="583">
        <v>-14.3</v>
      </c>
      <c r="CM38" s="583">
        <v>13.3</v>
      </c>
      <c r="CN38" s="583">
        <v>43.6</v>
      </c>
    </row>
    <row r="39" spans="2:92" x14ac:dyDescent="0.25">
      <c r="B39" s="553">
        <f t="shared" si="13"/>
        <v>37940</v>
      </c>
      <c r="C39" s="435">
        <f t="shared" si="14"/>
        <v>2003</v>
      </c>
      <c r="D39" s="445">
        <f t="shared" si="15"/>
        <v>1.6744918941101754</v>
      </c>
      <c r="E39" s="445">
        <f t="shared" si="16"/>
        <v>-4.2776463809896939</v>
      </c>
      <c r="F39" s="445">
        <f t="shared" si="17"/>
        <v>6.1719357764321359E-2</v>
      </c>
      <c r="G39" s="445">
        <f t="shared" si="18"/>
        <v>-1.6514960842678761</v>
      </c>
      <c r="H39" s="445">
        <f t="shared" si="19"/>
        <v>0</v>
      </c>
      <c r="I39" s="445">
        <f t="shared" si="20"/>
        <v>0</v>
      </c>
      <c r="J39" s="447"/>
      <c r="K39" s="447"/>
      <c r="L39" s="447"/>
      <c r="M39" s="445">
        <f t="shared" si="21"/>
        <v>-5.4201766567090406</v>
      </c>
      <c r="N39" s="565">
        <f t="shared" si="22"/>
        <v>5.6620916583124803</v>
      </c>
      <c r="O39" s="565">
        <f t="shared" si="23"/>
        <v>0</v>
      </c>
      <c r="Q39" s="553">
        <f t="shared" si="24"/>
        <v>37940</v>
      </c>
      <c r="R39" s="445">
        <f t="shared" si="25"/>
        <v>0.97449189411017545</v>
      </c>
      <c r="S39" s="565">
        <f t="shared" si="26"/>
        <v>-116.27764638098969</v>
      </c>
      <c r="T39" s="565">
        <f t="shared" si="3"/>
        <v>-27.03828064223568</v>
      </c>
      <c r="U39" s="565">
        <f t="shared" si="4"/>
        <v>144.04850391573211</v>
      </c>
      <c r="V39" s="565">
        <f t="shared" si="5"/>
        <v>0</v>
      </c>
      <c r="W39" s="565">
        <f t="shared" si="6"/>
        <v>0</v>
      </c>
      <c r="X39" s="565">
        <f t="shared" si="27"/>
        <v>14.279823343290959</v>
      </c>
      <c r="Y39" s="445">
        <f t="shared" si="28"/>
        <v>-14.037908341687519</v>
      </c>
      <c r="Z39" s="565">
        <f t="shared" si="29"/>
        <v>0</v>
      </c>
      <c r="AB39" s="553">
        <f t="shared" si="30"/>
        <v>37940</v>
      </c>
      <c r="AC39" s="571">
        <f t="shared" si="7"/>
        <v>0.7</v>
      </c>
      <c r="AD39" s="565">
        <f t="shared" si="8"/>
        <v>112</v>
      </c>
      <c r="AE39" s="565">
        <f t="shared" si="9"/>
        <v>27.1</v>
      </c>
      <c r="AF39" s="565">
        <f t="shared" si="10"/>
        <v>-145.69999999999999</v>
      </c>
      <c r="AG39" s="565">
        <f t="shared" si="11"/>
        <v>0</v>
      </c>
      <c r="AH39" s="565">
        <f t="shared" si="12"/>
        <v>0</v>
      </c>
      <c r="AI39" s="565">
        <f t="shared" si="31"/>
        <v>-19.7</v>
      </c>
      <c r="AJ39" s="445">
        <f t="shared" si="32"/>
        <v>19.7</v>
      </c>
      <c r="AK39" s="565">
        <f t="shared" si="33"/>
        <v>0</v>
      </c>
      <c r="AM39" s="593">
        <f>LongTerm1!D44</f>
        <v>37940</v>
      </c>
      <c r="AN39" s="594">
        <f>(LongTerm1!BM44+LongTerm1!BL44/(1-LongTerm1!AR44))*(LongTerm1!F44*LongTerm1!AF44*LongTerm1!AH44)/10000</f>
        <v>1.7019944651817753</v>
      </c>
      <c r="AO39" s="594">
        <f>LongTerm1!BM44*(LongTerm1!F44*LongTerm1!AF44*LongTerm1!AH44)/10000</f>
        <v>117.97964084617146</v>
      </c>
      <c r="AP39" s="594">
        <f>(LongTerm1!BL44/(1-LongTerm1!AR44))*(LongTerm1!F44*LongTerm1!AF44*LongTerm1!AH44)/10000</f>
        <v>-116.27764638098969</v>
      </c>
      <c r="AQ39" s="434"/>
      <c r="AR39" s="435"/>
      <c r="AS39" s="435"/>
      <c r="AT39" s="435"/>
      <c r="AU39" s="435"/>
      <c r="AV39" s="435"/>
      <c r="AW39" s="435"/>
      <c r="AX39" s="435"/>
      <c r="AY39" s="435"/>
      <c r="AZ39" s="435"/>
      <c r="BA39" s="435"/>
      <c r="BB39" s="435"/>
      <c r="BC39" s="435"/>
      <c r="BD39" s="435"/>
      <c r="BE39" s="435"/>
      <c r="BF39" s="435"/>
      <c r="BG39" s="593">
        <f>LongTerm25!D44</f>
        <v>38001</v>
      </c>
      <c r="BH39" s="594">
        <f>(LongTerm25!BM44+LongTerm25!BL44/(1-LongTerm25!AR44))*(LongTerm25!F44*LongTerm25!AF44*LongTerm25!AH44)/10000</f>
        <v>-0.98901300224602096</v>
      </c>
      <c r="BI39" s="594">
        <f>LongTerm25!BM44*(LongTerm25!F44*LongTerm25!AF44*LongTerm25!AH44)/10000</f>
        <v>26.656482610701904</v>
      </c>
      <c r="BJ39" s="594">
        <f>(LongTerm25!BL44/(1-LongTerm25!AR44))*(LongTerm25!F44*LongTerm25!AF44*LongTerm25!AH44)/10000</f>
        <v>-27.645495612947929</v>
      </c>
      <c r="BK39" s="435"/>
      <c r="BL39" s="435"/>
      <c r="BM39" s="435"/>
      <c r="BN39" s="435"/>
      <c r="BP39" s="596">
        <f>LongTerm62!D44</f>
        <v>37940</v>
      </c>
      <c r="BQ39" s="594">
        <f>(LongTerm62!$BM44+LongTerm62!$BL44/(1-LongTerm62!$AR44))*(LongTerm62!$F44*LongTerm62!$AF44*LongTerm62!$AH44)/10000</f>
        <v>0.24191500160344045</v>
      </c>
      <c r="BR39" s="594">
        <f>LongTerm62!$BM44*(LongTerm62!$F44*LongTerm62!$AF44*LongTerm62!$AH44)/10000</f>
        <v>14.279823343290959</v>
      </c>
      <c r="BS39" s="594">
        <f>(LongTerm62!$BL44/(1-LongTerm62!$AR44))*(LongTerm62!$F44*LongTerm62!$AF44*LongTerm62!$AH44)/10000</f>
        <v>-14.037908341687519</v>
      </c>
      <c r="BT39" s="447"/>
      <c r="BU39" s="596">
        <f>LongTerm107!D44</f>
        <v>37575</v>
      </c>
      <c r="BV39" s="594">
        <f>(LongTerm107!$BM44+LongTerm107!$BL44/(1-LongTerm107!$AR44))*(LongTerm107!$F44*LongTerm107!$AF44*LongTerm107!$AH44)/10000</f>
        <v>0</v>
      </c>
      <c r="BW39" s="594">
        <f>LongTerm107!$BM44*(LongTerm107!$F44*LongTerm107!$AF44*LongTerm107!$AH44)/10000</f>
        <v>0</v>
      </c>
      <c r="BX39" s="594">
        <f>(LongTerm107!$BL44/(1-LongTerm107!$AR44))*(LongTerm107!$F44*LongTerm107!$AF44*LongTerm107!$AH44)/10000</f>
        <v>0</v>
      </c>
      <c r="BY39" s="599"/>
      <c r="BZ39" s="596">
        <f>LongTerm108!D44</f>
        <v>37940</v>
      </c>
      <c r="CA39" s="594">
        <f>(LongTerm108!$BM44+LongTerm108!$BL44/(1-LongTerm108!$AR44))*(LongTerm108!$F44*LongTerm108!$AF44*LongTerm108!$AH44)/10000</f>
        <v>0</v>
      </c>
      <c r="CB39" s="594">
        <f>LongTerm108!$BM44*(LongTerm108!$F44*LongTerm108!$AF44*LongTerm108!$AH44)/10000</f>
        <v>0</v>
      </c>
      <c r="CC39" s="594">
        <f>(LongTerm108!$BL44/(1-LongTerm108!$AR44))*(LongTerm108!$F44*LongTerm108!$AF44*LongTerm108!$AH44)/10000</f>
        <v>0</v>
      </c>
      <c r="CD39" s="492"/>
      <c r="CE39" s="595">
        <f t="shared" si="34"/>
        <v>37695</v>
      </c>
      <c r="CF39" s="583">
        <v>28.5</v>
      </c>
      <c r="CG39" s="583">
        <v>78.3</v>
      </c>
      <c r="CH39" s="583">
        <v>-144.80000000000001</v>
      </c>
      <c r="CI39" s="583">
        <v>0</v>
      </c>
      <c r="CJ39" s="583">
        <v>0</v>
      </c>
      <c r="CK39" s="583">
        <v>0.7</v>
      </c>
      <c r="CL39" s="583">
        <v>-15.5</v>
      </c>
      <c r="CM39" s="583">
        <v>15.5</v>
      </c>
      <c r="CN39" s="583">
        <v>49.3</v>
      </c>
    </row>
    <row r="40" spans="2:92" x14ac:dyDescent="0.25">
      <c r="B40" s="553">
        <f t="shared" si="13"/>
        <v>37970</v>
      </c>
      <c r="C40" s="435">
        <f t="shared" si="14"/>
        <v>2003</v>
      </c>
      <c r="D40" s="445">
        <f t="shared" si="15"/>
        <v>2.9167236421959233</v>
      </c>
      <c r="E40" s="445">
        <f t="shared" si="16"/>
        <v>-3.1755137563936131</v>
      </c>
      <c r="F40" s="445">
        <f t="shared" si="17"/>
        <v>-8.1200061757950692E-2</v>
      </c>
      <c r="G40" s="445">
        <f t="shared" si="18"/>
        <v>-0.27364707034996627</v>
      </c>
      <c r="H40" s="445">
        <f t="shared" si="19"/>
        <v>0</v>
      </c>
      <c r="I40" s="445">
        <f t="shared" si="20"/>
        <v>0</v>
      </c>
      <c r="J40" s="447"/>
      <c r="K40" s="447"/>
      <c r="L40" s="447"/>
      <c r="M40" s="445">
        <f t="shared" si="21"/>
        <v>-0.13417159554172642</v>
      </c>
      <c r="N40" s="565">
        <f t="shared" si="22"/>
        <v>0.48125612623916858</v>
      </c>
      <c r="O40" s="565">
        <f t="shared" si="23"/>
        <v>0</v>
      </c>
      <c r="Q40" s="553">
        <f t="shared" si="24"/>
        <v>37970</v>
      </c>
      <c r="R40" s="445">
        <f t="shared" si="25"/>
        <v>2.2167236421959231</v>
      </c>
      <c r="S40" s="565">
        <f t="shared" si="26"/>
        <v>-110.07551375639362</v>
      </c>
      <c r="T40" s="565">
        <f t="shared" si="3"/>
        <v>-27.78120006175795</v>
      </c>
      <c r="U40" s="565">
        <f t="shared" si="4"/>
        <v>139.72635292965003</v>
      </c>
      <c r="V40" s="565">
        <f t="shared" si="5"/>
        <v>0</v>
      </c>
      <c r="W40" s="565">
        <f t="shared" si="6"/>
        <v>0</v>
      </c>
      <c r="X40" s="565">
        <f t="shared" si="27"/>
        <v>14.265828404458274</v>
      </c>
      <c r="Y40" s="445">
        <f t="shared" si="28"/>
        <v>-13.918743873760832</v>
      </c>
      <c r="Z40" s="565">
        <f t="shared" si="29"/>
        <v>0</v>
      </c>
      <c r="AB40" s="553">
        <f t="shared" si="30"/>
        <v>37970</v>
      </c>
      <c r="AC40" s="571">
        <f t="shared" si="7"/>
        <v>0.7</v>
      </c>
      <c r="AD40" s="565">
        <f t="shared" si="8"/>
        <v>106.9</v>
      </c>
      <c r="AE40" s="565">
        <f t="shared" si="9"/>
        <v>27.7</v>
      </c>
      <c r="AF40" s="565">
        <f t="shared" si="10"/>
        <v>-140</v>
      </c>
      <c r="AG40" s="565">
        <f t="shared" si="11"/>
        <v>0</v>
      </c>
      <c r="AH40" s="565">
        <f t="shared" si="12"/>
        <v>0</v>
      </c>
      <c r="AI40" s="565">
        <f t="shared" si="31"/>
        <v>-14.4</v>
      </c>
      <c r="AJ40" s="445">
        <f t="shared" si="32"/>
        <v>14.4</v>
      </c>
      <c r="AK40" s="565">
        <f t="shared" si="33"/>
        <v>0</v>
      </c>
      <c r="AM40" s="593">
        <f>LongTerm1!D45</f>
        <v>37970</v>
      </c>
      <c r="AN40" s="594">
        <f>(LongTerm1!BM45+LongTerm1!BL45/(1-LongTerm1!AR45))*(LongTerm1!F45*LongTerm1!AF45*LongTerm1!AH45)/10000</f>
        <v>2.8634877055720533</v>
      </c>
      <c r="AO40" s="594">
        <f>LongTerm1!BM45*(LongTerm1!F45*LongTerm1!AF45*LongTerm1!AH45)/10000</f>
        <v>112.93900146196566</v>
      </c>
      <c r="AP40" s="594">
        <f>(LongTerm1!BL45/(1-LongTerm1!AR45))*(LongTerm1!F45*LongTerm1!AF45*LongTerm1!AH45)/10000</f>
        <v>-110.07551375639362</v>
      </c>
      <c r="AQ40" s="434"/>
      <c r="AR40" s="435"/>
      <c r="AS40" s="435"/>
      <c r="AT40" s="435"/>
      <c r="AU40" s="435"/>
      <c r="AV40" s="435"/>
      <c r="AW40" s="435"/>
      <c r="AX40" s="435"/>
      <c r="AY40" s="435"/>
      <c r="AZ40" s="435"/>
      <c r="BA40" s="435"/>
      <c r="BB40" s="435"/>
      <c r="BC40" s="435"/>
      <c r="BD40" s="435"/>
      <c r="BE40" s="435"/>
      <c r="BF40" s="435"/>
      <c r="BG40" s="593">
        <f>LongTerm25!D45</f>
        <v>38032</v>
      </c>
      <c r="BH40" s="594">
        <f>(LongTerm25!BM45+LongTerm25!BL45/(1-LongTerm25!AR45))*(LongTerm25!F45*LongTerm25!AF45*LongTerm25!AH45)/10000</f>
        <v>-0.92452390453012667</v>
      </c>
      <c r="BI40" s="594">
        <f>LongTerm25!BM45*(LongTerm25!F45*LongTerm25!AF45*LongTerm25!AH45)/10000</f>
        <v>24.845308143625498</v>
      </c>
      <c r="BJ40" s="594">
        <f>(LongTerm25!BL45/(1-LongTerm25!AR45))*(LongTerm25!F45*LongTerm25!AF45*LongTerm25!AH45)/10000</f>
        <v>-25.769832048155628</v>
      </c>
      <c r="BK40" s="435"/>
      <c r="BL40" s="435"/>
      <c r="BM40" s="435"/>
      <c r="BN40" s="435"/>
      <c r="BP40" s="596">
        <f>LongTerm62!D45</f>
        <v>37970</v>
      </c>
      <c r="BQ40" s="594">
        <f>(LongTerm62!$BM45+LongTerm62!$BL45/(1-LongTerm62!$AR45))*(LongTerm62!$F45*LongTerm62!$AF45*LongTerm62!$AH45)/10000</f>
        <v>0.34708453069744238</v>
      </c>
      <c r="BR40" s="594">
        <f>LongTerm62!$BM45*(LongTerm62!$F45*LongTerm62!$AF45*LongTerm62!$AH45)/10000</f>
        <v>14.265828404458274</v>
      </c>
      <c r="BS40" s="594">
        <f>(LongTerm62!$BL45/(1-LongTerm62!$AR45))*(LongTerm62!$F45*LongTerm62!$AF45*LongTerm62!$AH45)/10000</f>
        <v>-13.918743873760832</v>
      </c>
      <c r="BT40" s="447"/>
      <c r="BU40" s="596">
        <f>LongTerm107!D45</f>
        <v>37575</v>
      </c>
      <c r="BV40" s="594">
        <f>(LongTerm107!$BM45+LongTerm107!$BL45/(1-LongTerm107!$AR45))*(LongTerm107!$F45*LongTerm107!$AF45*LongTerm107!$AH45)/10000</f>
        <v>0</v>
      </c>
      <c r="BW40" s="594">
        <f>LongTerm107!$BM45*(LongTerm107!$F45*LongTerm107!$AF45*LongTerm107!$AH45)/10000</f>
        <v>0</v>
      </c>
      <c r="BX40" s="594">
        <f>(LongTerm107!$BL45/(1-LongTerm107!$AR45))*(LongTerm107!$F45*LongTerm107!$AF45*LongTerm107!$AH45)/10000</f>
        <v>0</v>
      </c>
      <c r="BY40" s="599"/>
      <c r="BZ40" s="596">
        <f>LongTerm108!D45</f>
        <v>37940</v>
      </c>
      <c r="CA40" s="594">
        <f>(LongTerm108!$BM45+LongTerm108!$BL45/(1-LongTerm108!$AR45))*(LongTerm108!$F45*LongTerm108!$AF45*LongTerm108!$AH45)/10000</f>
        <v>0</v>
      </c>
      <c r="CB40" s="594">
        <f>LongTerm108!$BM45*(LongTerm108!$F45*LongTerm108!$AF45*LongTerm108!$AH45)/10000</f>
        <v>0</v>
      </c>
      <c r="CC40" s="594">
        <f>(LongTerm108!$BL45/(1-LongTerm108!$AR45))*(LongTerm108!$F45*LongTerm108!$AF45*LongTerm108!$AH45)/10000</f>
        <v>0</v>
      </c>
      <c r="CD40" s="492"/>
      <c r="CE40" s="595">
        <f t="shared" si="34"/>
        <v>37726</v>
      </c>
      <c r="CF40" s="583">
        <v>27.8</v>
      </c>
      <c r="CG40" s="583">
        <v>103.1</v>
      </c>
      <c r="CH40" s="583">
        <v>-150.5</v>
      </c>
      <c r="CI40" s="583">
        <v>0</v>
      </c>
      <c r="CJ40" s="583">
        <v>0</v>
      </c>
      <c r="CK40" s="583">
        <v>0.7</v>
      </c>
      <c r="CL40" s="583">
        <v>0</v>
      </c>
      <c r="CM40" s="583">
        <v>0</v>
      </c>
      <c r="CN40" s="583">
        <v>61.7</v>
      </c>
    </row>
    <row r="41" spans="2:92" x14ac:dyDescent="0.25">
      <c r="B41" s="553">
        <f t="shared" si="13"/>
        <v>38001</v>
      </c>
      <c r="C41" s="435">
        <f t="shared" si="14"/>
        <v>2004</v>
      </c>
      <c r="D41" s="445">
        <f t="shared" si="15"/>
        <v>3.172725619356374</v>
      </c>
      <c r="E41" s="445">
        <f t="shared" si="16"/>
        <v>-2.8062499698085475</v>
      </c>
      <c r="F41" s="445">
        <f t="shared" si="17"/>
        <v>-0.14549561294792923</v>
      </c>
      <c r="G41" s="445">
        <f t="shared" si="18"/>
        <v>-0.51175886297767192</v>
      </c>
      <c r="H41" s="445">
        <f t="shared" si="19"/>
        <v>0</v>
      </c>
      <c r="I41" s="445">
        <f t="shared" si="20"/>
        <v>0</v>
      </c>
      <c r="J41" s="447"/>
      <c r="K41" s="447"/>
      <c r="L41" s="447"/>
      <c r="M41" s="445">
        <f t="shared" si="21"/>
        <v>-9.8049383929273759E-2</v>
      </c>
      <c r="N41" s="565">
        <f t="shared" si="22"/>
        <v>0.43427944901977078</v>
      </c>
      <c r="O41" s="565">
        <f t="shared" si="23"/>
        <v>0</v>
      </c>
      <c r="Q41" s="553">
        <f t="shared" si="24"/>
        <v>38001</v>
      </c>
      <c r="R41" s="445">
        <f t="shared" si="25"/>
        <v>2.2727256193563741</v>
      </c>
      <c r="S41" s="565">
        <f t="shared" si="26"/>
        <v>-103.70624996980855</v>
      </c>
      <c r="T41" s="565">
        <f t="shared" si="3"/>
        <v>-27.645495612947929</v>
      </c>
      <c r="U41" s="565">
        <f t="shared" si="4"/>
        <v>133.28824113702234</v>
      </c>
      <c r="V41" s="565">
        <f t="shared" si="5"/>
        <v>0</v>
      </c>
      <c r="W41" s="565">
        <f t="shared" si="6"/>
        <v>0</v>
      </c>
      <c r="X41" s="565">
        <f t="shared" si="27"/>
        <v>14.201950616070727</v>
      </c>
      <c r="Y41" s="445">
        <f t="shared" si="28"/>
        <v>-13.86572055098023</v>
      </c>
      <c r="Z41" s="565">
        <f t="shared" si="29"/>
        <v>0</v>
      </c>
      <c r="AB41" s="553">
        <f t="shared" si="30"/>
        <v>38001</v>
      </c>
      <c r="AC41" s="571">
        <f t="shared" si="7"/>
        <v>0.9</v>
      </c>
      <c r="AD41" s="565">
        <f t="shared" si="8"/>
        <v>100.9</v>
      </c>
      <c r="AE41" s="565">
        <f t="shared" si="9"/>
        <v>27.5</v>
      </c>
      <c r="AF41" s="565">
        <f t="shared" si="10"/>
        <v>-133.80000000000001</v>
      </c>
      <c r="AG41" s="565">
        <f t="shared" si="11"/>
        <v>0</v>
      </c>
      <c r="AH41" s="565">
        <f t="shared" si="12"/>
        <v>0</v>
      </c>
      <c r="AI41" s="565">
        <f t="shared" si="31"/>
        <v>-14.3</v>
      </c>
      <c r="AJ41" s="445">
        <f t="shared" si="32"/>
        <v>14.3</v>
      </c>
      <c r="AK41" s="565">
        <f t="shared" si="33"/>
        <v>0</v>
      </c>
      <c r="AM41" s="593">
        <f>LongTerm1!D46</f>
        <v>38001</v>
      </c>
      <c r="AN41" s="594">
        <f>(LongTerm1!BM46+LongTerm1!BL46/(1-LongTerm1!AR46))*(LongTerm1!F46*LongTerm1!AF46*LongTerm1!AH46)/10000</f>
        <v>2.9255085565118972</v>
      </c>
      <c r="AO41" s="594">
        <f>LongTerm1!BM46*(LongTerm1!F46*LongTerm1!AF46*LongTerm1!AH46)/10000</f>
        <v>106.63175852632043</v>
      </c>
      <c r="AP41" s="594">
        <f>(LongTerm1!BL46/(1-LongTerm1!AR46))*(LongTerm1!F46*LongTerm1!AF46*LongTerm1!AH46)/10000</f>
        <v>-103.70624996980855</v>
      </c>
      <c r="AQ41" s="434"/>
      <c r="AR41" s="435"/>
      <c r="AS41" s="435"/>
      <c r="AT41" s="435"/>
      <c r="AU41" s="435"/>
      <c r="AV41" s="435"/>
      <c r="AW41" s="435"/>
      <c r="AX41" s="435"/>
      <c r="AY41" s="435"/>
      <c r="AZ41" s="435"/>
      <c r="BA41" s="435"/>
      <c r="BB41" s="435"/>
      <c r="BC41" s="435"/>
      <c r="BD41" s="435"/>
      <c r="BE41" s="435"/>
      <c r="BF41" s="435"/>
      <c r="BG41" s="593">
        <f>LongTerm25!D46</f>
        <v>38061</v>
      </c>
      <c r="BH41" s="594">
        <f>(LongTerm25!BM46+LongTerm25!BL46/(1-LongTerm25!AR46))*(LongTerm25!F46*LongTerm25!AF46*LongTerm25!AH46)/10000</f>
        <v>-0.98451636099278639</v>
      </c>
      <c r="BI41" s="594">
        <f>LongTerm25!BM46*(LongTerm25!F46*LongTerm25!AF46*LongTerm25!AH46)/10000</f>
        <v>26.441739797235513</v>
      </c>
      <c r="BJ41" s="594">
        <f>(LongTerm25!BL46/(1-LongTerm25!AR46))*(LongTerm25!F46*LongTerm25!AF46*LongTerm25!AH46)/10000</f>
        <v>-27.426256158228298</v>
      </c>
      <c r="BK41" s="435"/>
      <c r="BL41" s="435"/>
      <c r="BM41" s="435"/>
      <c r="BN41" s="435"/>
      <c r="BP41" s="596">
        <f>LongTerm62!D46</f>
        <v>38001</v>
      </c>
      <c r="BQ41" s="594">
        <f>(LongTerm62!$BM46+LongTerm62!$BL46/(1-LongTerm62!$AR46))*(LongTerm62!$F46*LongTerm62!$AF46*LongTerm62!$AH46)/10000</f>
        <v>0.33623006509049808</v>
      </c>
      <c r="BR41" s="594">
        <f>LongTerm62!$BM46*(LongTerm62!$F46*LongTerm62!$AF46*LongTerm62!$AH46)/10000</f>
        <v>14.201950616070727</v>
      </c>
      <c r="BS41" s="594">
        <f>(LongTerm62!$BL46/(1-LongTerm62!$AR46))*(LongTerm62!$F46*LongTerm62!$AF46*LongTerm62!$AH46)/10000</f>
        <v>-13.86572055098023</v>
      </c>
      <c r="BT41" s="447"/>
      <c r="BU41" s="596">
        <f>LongTerm107!D46</f>
        <v>37575</v>
      </c>
      <c r="BV41" s="594">
        <f>(LongTerm107!$BM46+LongTerm107!$BL46/(1-LongTerm107!$AR46))*(LongTerm107!$F46*LongTerm107!$AF46*LongTerm107!$AH46)/10000</f>
        <v>0</v>
      </c>
      <c r="BW41" s="594">
        <f>LongTerm107!$BM46*(LongTerm107!$F46*LongTerm107!$AF46*LongTerm107!$AH46)/10000</f>
        <v>0</v>
      </c>
      <c r="BX41" s="594">
        <f>(LongTerm107!$BL46/(1-LongTerm107!$AR46))*(LongTerm107!$F46*LongTerm107!$AF46*LongTerm107!$AH46)/10000</f>
        <v>0</v>
      </c>
      <c r="BY41" s="599"/>
      <c r="BZ41" s="596">
        <f>LongTerm108!D46</f>
        <v>37940</v>
      </c>
      <c r="CA41" s="594">
        <f>(LongTerm108!$BM46+LongTerm108!$BL46/(1-LongTerm108!$AR46))*(LongTerm108!$F46*LongTerm108!$AF46*LongTerm108!$AH46)/10000</f>
        <v>0</v>
      </c>
      <c r="CB41" s="594">
        <f>LongTerm108!$BM46*(LongTerm108!$F46*LongTerm108!$AF46*LongTerm108!$AH46)/10000</f>
        <v>0</v>
      </c>
      <c r="CC41" s="594">
        <f>(LongTerm108!$BL46/(1-LongTerm108!$AR46))*(LongTerm108!$F46*LongTerm108!$AF46*LongTerm108!$AH46)/10000</f>
        <v>0</v>
      </c>
      <c r="CD41" s="492"/>
      <c r="CE41" s="595">
        <f t="shared" si="34"/>
        <v>37756</v>
      </c>
      <c r="CF41" s="583">
        <v>29</v>
      </c>
      <c r="CG41" s="583">
        <v>101.9</v>
      </c>
      <c r="CH41" s="583">
        <v>-190.8</v>
      </c>
      <c r="CI41" s="583">
        <v>0</v>
      </c>
      <c r="CJ41" s="583">
        <v>0</v>
      </c>
      <c r="CK41" s="583">
        <v>0.7</v>
      </c>
      <c r="CL41" s="583">
        <v>0</v>
      </c>
      <c r="CM41" s="583">
        <v>0</v>
      </c>
      <c r="CN41" s="583">
        <v>62.5</v>
      </c>
    </row>
    <row r="42" spans="2:92" x14ac:dyDescent="0.25">
      <c r="B42" s="553">
        <f t="shared" si="13"/>
        <v>38032</v>
      </c>
      <c r="C42" s="435">
        <f t="shared" si="14"/>
        <v>2004</v>
      </c>
      <c r="D42" s="445">
        <f t="shared" si="15"/>
        <v>2.7998243164645866</v>
      </c>
      <c r="E42" s="445">
        <f t="shared" si="16"/>
        <v>-2.5197986957504099</v>
      </c>
      <c r="F42" s="445">
        <f t="shared" si="17"/>
        <v>-0.36983204815562942</v>
      </c>
      <c r="G42" s="445">
        <f t="shared" si="18"/>
        <v>-0.21337358562853126</v>
      </c>
      <c r="H42" s="445">
        <f t="shared" si="19"/>
        <v>0</v>
      </c>
      <c r="I42" s="445">
        <f t="shared" si="20"/>
        <v>0</v>
      </c>
      <c r="J42" s="447"/>
      <c r="K42" s="447"/>
      <c r="L42" s="447"/>
      <c r="M42" s="445">
        <f t="shared" si="21"/>
        <v>-0.24133540559311584</v>
      </c>
      <c r="N42" s="565">
        <f t="shared" si="22"/>
        <v>0.54416405159225434</v>
      </c>
      <c r="O42" s="565">
        <f t="shared" si="23"/>
        <v>0</v>
      </c>
      <c r="Q42" s="553">
        <f t="shared" si="24"/>
        <v>38032</v>
      </c>
      <c r="R42" s="445">
        <f t="shared" si="25"/>
        <v>1.8998243164645867</v>
      </c>
      <c r="S42" s="565">
        <f t="shared" si="26"/>
        <v>-99.319798695750407</v>
      </c>
      <c r="T42" s="565">
        <f t="shared" si="3"/>
        <v>-25.769832048155628</v>
      </c>
      <c r="U42" s="565">
        <f t="shared" si="4"/>
        <v>126.68662641437147</v>
      </c>
      <c r="V42" s="565">
        <f t="shared" si="5"/>
        <v>0</v>
      </c>
      <c r="W42" s="565">
        <f t="shared" si="6"/>
        <v>0</v>
      </c>
      <c r="X42" s="565">
        <f t="shared" si="27"/>
        <v>13.258664594406884</v>
      </c>
      <c r="Y42" s="445">
        <f t="shared" si="28"/>
        <v>-12.955835948407746</v>
      </c>
      <c r="Z42" s="565">
        <f t="shared" si="29"/>
        <v>0</v>
      </c>
      <c r="AB42" s="553">
        <f t="shared" si="30"/>
        <v>38032</v>
      </c>
      <c r="AC42" s="571">
        <f t="shared" si="7"/>
        <v>0.9</v>
      </c>
      <c r="AD42" s="565">
        <f t="shared" si="8"/>
        <v>96.8</v>
      </c>
      <c r="AE42" s="565">
        <f t="shared" si="9"/>
        <v>25.4</v>
      </c>
      <c r="AF42" s="565">
        <f t="shared" si="10"/>
        <v>-126.9</v>
      </c>
      <c r="AG42" s="565">
        <f t="shared" si="11"/>
        <v>0</v>
      </c>
      <c r="AH42" s="565">
        <f t="shared" si="12"/>
        <v>0</v>
      </c>
      <c r="AI42" s="565">
        <f t="shared" si="31"/>
        <v>-13.5</v>
      </c>
      <c r="AJ42" s="445">
        <f t="shared" si="32"/>
        <v>13.5</v>
      </c>
      <c r="AK42" s="565">
        <f t="shared" si="33"/>
        <v>0</v>
      </c>
      <c r="AM42" s="593">
        <f>LongTerm1!D47</f>
        <v>38032</v>
      </c>
      <c r="AN42" s="594">
        <f>(LongTerm1!BM47+LongTerm1!BL47/(1-LongTerm1!AR47))*(LongTerm1!F47*LongTerm1!AF47*LongTerm1!AH47)/10000</f>
        <v>2.5215195749955739</v>
      </c>
      <c r="AO42" s="594">
        <f>LongTerm1!BM47*(LongTerm1!F47*LongTerm1!AF47*LongTerm1!AH47)/10000</f>
        <v>101.84131827074597</v>
      </c>
      <c r="AP42" s="594">
        <f>(LongTerm1!BL47/(1-LongTerm1!AR47))*(LongTerm1!F47*LongTerm1!AF47*LongTerm1!AH47)/10000</f>
        <v>-99.319798695750407</v>
      </c>
      <c r="AQ42" s="434"/>
      <c r="AR42" s="435"/>
      <c r="AS42" s="435"/>
      <c r="AT42" s="435"/>
      <c r="AU42" s="435"/>
      <c r="AV42" s="435"/>
      <c r="AW42" s="435"/>
      <c r="AX42" s="435"/>
      <c r="AY42" s="435"/>
      <c r="AZ42" s="435"/>
      <c r="BA42" s="435"/>
      <c r="BB42" s="435"/>
      <c r="BC42" s="435"/>
      <c r="BD42" s="435"/>
      <c r="BE42" s="435"/>
      <c r="BF42" s="435"/>
      <c r="BG42" s="593">
        <f>LongTerm25!D47</f>
        <v>38092</v>
      </c>
      <c r="BH42" s="594">
        <f>(LongTerm25!BM47+LongTerm25!BL47/(1-LongTerm25!AR47))*(LongTerm25!F47*LongTerm25!AF47*LongTerm25!AH47)/10000</f>
        <v>-0.95119251246806247</v>
      </c>
      <c r="BI42" s="594">
        <f>LongTerm25!BM47*(LongTerm25!F47*LongTerm25!AF47*LongTerm25!AH47)/10000</f>
        <v>25.48337528581142</v>
      </c>
      <c r="BJ42" s="594">
        <f>(LongTerm25!BL47/(1-LongTerm25!AR47))*(LongTerm25!F47*LongTerm25!AF47*LongTerm25!AH47)/10000</f>
        <v>-26.434567798279481</v>
      </c>
      <c r="BK42" s="435"/>
      <c r="BL42" s="435"/>
      <c r="BM42" s="435"/>
      <c r="BN42" s="435"/>
      <c r="BP42" s="596">
        <f>LongTerm62!D47</f>
        <v>38032</v>
      </c>
      <c r="BQ42" s="594">
        <f>(LongTerm62!$BM47+LongTerm62!$BL47/(1-LongTerm62!$AR47))*(LongTerm62!$F47*LongTerm62!$AF47*LongTerm62!$AH47)/10000</f>
        <v>0.30282864599913928</v>
      </c>
      <c r="BR42" s="594">
        <f>LongTerm62!$BM47*(LongTerm62!$F47*LongTerm62!$AF47*LongTerm62!$AH47)/10000</f>
        <v>13.258664594406884</v>
      </c>
      <c r="BS42" s="594">
        <f>(LongTerm62!$BL47/(1-LongTerm62!$AR47))*(LongTerm62!$F47*LongTerm62!$AF47*LongTerm62!$AH47)/10000</f>
        <v>-12.955835948407746</v>
      </c>
      <c r="BT42" s="447"/>
      <c r="BU42" s="596">
        <f>LongTerm107!D47</f>
        <v>37575</v>
      </c>
      <c r="BV42" s="594">
        <f>(LongTerm107!$BM47+LongTerm107!$BL47/(1-LongTerm107!$AR47))*(LongTerm107!$F47*LongTerm107!$AF47*LongTerm107!$AH47)/10000</f>
        <v>0</v>
      </c>
      <c r="BW42" s="594">
        <f>LongTerm107!$BM47*(LongTerm107!$F47*LongTerm107!$AF47*LongTerm107!$AH47)/10000</f>
        <v>0</v>
      </c>
      <c r="BX42" s="594">
        <f>(LongTerm107!$BL47/(1-LongTerm107!$AR47))*(LongTerm107!$F47*LongTerm107!$AF47*LongTerm107!$AH47)/10000</f>
        <v>0</v>
      </c>
      <c r="BY42" s="599"/>
      <c r="BZ42" s="596">
        <f>LongTerm108!D47</f>
        <v>37940</v>
      </c>
      <c r="CA42" s="594">
        <f>(LongTerm108!$BM47+LongTerm108!$BL47/(1-LongTerm108!$AR47))*(LongTerm108!$F47*LongTerm108!$AF47*LongTerm108!$AH47)/10000</f>
        <v>0</v>
      </c>
      <c r="CB42" s="594">
        <f>LongTerm108!$BM47*(LongTerm108!$F47*LongTerm108!$AF47*LongTerm108!$AH47)/10000</f>
        <v>0</v>
      </c>
      <c r="CC42" s="594">
        <f>(LongTerm108!$BL47/(1-LongTerm108!$AR47))*(LongTerm108!$F47*LongTerm108!$AF47*LongTerm108!$AH47)/10000</f>
        <v>0</v>
      </c>
      <c r="CD42" s="492"/>
      <c r="CE42" s="595">
        <f t="shared" si="34"/>
        <v>37787</v>
      </c>
      <c r="CF42" s="583">
        <v>27.2</v>
      </c>
      <c r="CG42" s="583">
        <v>97.7</v>
      </c>
      <c r="CH42" s="583">
        <v>-178.9</v>
      </c>
      <c r="CI42" s="583">
        <v>0</v>
      </c>
      <c r="CJ42" s="583">
        <v>0</v>
      </c>
      <c r="CK42" s="583">
        <v>0.7</v>
      </c>
      <c r="CL42" s="583">
        <v>0</v>
      </c>
      <c r="CM42" s="583">
        <v>0</v>
      </c>
      <c r="CN42" s="583">
        <v>61.3</v>
      </c>
    </row>
    <row r="43" spans="2:92" x14ac:dyDescent="0.25">
      <c r="B43" s="553">
        <f t="shared" si="13"/>
        <v>38061</v>
      </c>
      <c r="C43" s="435">
        <f t="shared" si="14"/>
        <v>2004</v>
      </c>
      <c r="D43" s="445">
        <f t="shared" si="15"/>
        <v>1.5710708069438424</v>
      </c>
      <c r="E43" s="445">
        <f t="shared" si="16"/>
        <v>-4.3433143467761965</v>
      </c>
      <c r="F43" s="445">
        <f t="shared" si="17"/>
        <v>0.37374384177170228</v>
      </c>
      <c r="G43" s="445">
        <f t="shared" si="18"/>
        <v>0.339543260274354</v>
      </c>
      <c r="H43" s="445">
        <f t="shared" si="19"/>
        <v>0</v>
      </c>
      <c r="I43" s="445">
        <f t="shared" si="20"/>
        <v>0</v>
      </c>
      <c r="J43" s="447"/>
      <c r="K43" s="447"/>
      <c r="L43" s="447"/>
      <c r="M43" s="445">
        <f t="shared" si="21"/>
        <v>2.6334544451821991</v>
      </c>
      <c r="N43" s="565">
        <f t="shared" si="22"/>
        <v>-2.4323563935082397</v>
      </c>
      <c r="O43" s="565">
        <f t="shared" si="23"/>
        <v>0</v>
      </c>
      <c r="Q43" s="553">
        <f t="shared" si="24"/>
        <v>38061</v>
      </c>
      <c r="R43" s="445">
        <f t="shared" si="25"/>
        <v>0.67107080694384236</v>
      </c>
      <c r="S43" s="565">
        <f t="shared" si="26"/>
        <v>-120.2433143467762</v>
      </c>
      <c r="T43" s="565">
        <f t="shared" si="3"/>
        <v>-27.426256158228298</v>
      </c>
      <c r="U43" s="565">
        <f t="shared" si="4"/>
        <v>148.13954326027437</v>
      </c>
      <c r="V43" s="565">
        <f t="shared" si="5"/>
        <v>0</v>
      </c>
      <c r="W43" s="565">
        <f t="shared" si="6"/>
        <v>0</v>
      </c>
      <c r="X43" s="565">
        <f t="shared" si="27"/>
        <v>16.833454445182198</v>
      </c>
      <c r="Y43" s="445">
        <f t="shared" si="28"/>
        <v>-16.632356393508239</v>
      </c>
      <c r="Z43" s="565">
        <f t="shared" si="29"/>
        <v>0</v>
      </c>
      <c r="AB43" s="553">
        <f t="shared" si="30"/>
        <v>38061</v>
      </c>
      <c r="AC43" s="571">
        <f t="shared" si="7"/>
        <v>0.9</v>
      </c>
      <c r="AD43" s="565">
        <f t="shared" si="8"/>
        <v>115.9</v>
      </c>
      <c r="AE43" s="565">
        <f t="shared" si="9"/>
        <v>27.8</v>
      </c>
      <c r="AF43" s="565">
        <f t="shared" si="10"/>
        <v>-147.80000000000001</v>
      </c>
      <c r="AG43" s="565">
        <f t="shared" si="11"/>
        <v>0</v>
      </c>
      <c r="AH43" s="565">
        <f t="shared" si="12"/>
        <v>0</v>
      </c>
      <c r="AI43" s="565">
        <f t="shared" si="31"/>
        <v>-14.2</v>
      </c>
      <c r="AJ43" s="445">
        <f t="shared" si="32"/>
        <v>14.2</v>
      </c>
      <c r="AK43" s="565">
        <f t="shared" si="33"/>
        <v>0</v>
      </c>
      <c r="AM43" s="593">
        <f>LongTerm1!D48</f>
        <v>38061</v>
      </c>
      <c r="AN43" s="594">
        <f>(LongTerm1!BM48+LongTerm1!BL48/(1-LongTerm1!AR48))*(LongTerm1!F48*LongTerm1!AF48*LongTerm1!AH48)/10000</f>
        <v>1.454489116262673</v>
      </c>
      <c r="AO43" s="594">
        <f>LongTerm1!BM48*(LongTerm1!F48*LongTerm1!AF48*LongTerm1!AH48)/10000</f>
        <v>121.69780346303887</v>
      </c>
      <c r="AP43" s="594">
        <f>(LongTerm1!BL48/(1-LongTerm1!AR48))*(LongTerm1!F48*LongTerm1!AF48*LongTerm1!AH48)/10000</f>
        <v>-120.2433143467762</v>
      </c>
      <c r="AQ43" s="434"/>
      <c r="AR43" s="435"/>
      <c r="AS43" s="435"/>
      <c r="AT43" s="435"/>
      <c r="AU43" s="435"/>
      <c r="AV43" s="435"/>
      <c r="AW43" s="435"/>
      <c r="AX43" s="435"/>
      <c r="AY43" s="435"/>
      <c r="AZ43" s="435"/>
      <c r="BA43" s="435"/>
      <c r="BB43" s="435"/>
      <c r="BC43" s="435"/>
      <c r="BD43" s="435"/>
      <c r="BE43" s="435"/>
      <c r="BF43" s="435"/>
      <c r="BG43" s="593">
        <f>LongTerm25!D48</f>
        <v>38122</v>
      </c>
      <c r="BH43" s="594">
        <f>(LongTerm25!BM48+LongTerm25!BL48/(1-LongTerm25!AR48))*(LongTerm25!F48*LongTerm25!AF48*LongTerm25!AH48)/10000</f>
        <v>-0.97775783251359893</v>
      </c>
      <c r="BI43" s="594">
        <f>LongTerm25!BM48*(LongTerm25!F48*LongTerm25!AF48*LongTerm25!AH48)/10000</f>
        <v>26.201976480715736</v>
      </c>
      <c r="BJ43" s="594">
        <f>(LongTerm25!BL48/(1-LongTerm25!AR48))*(LongTerm25!F48*LongTerm25!AF48*LongTerm25!AH48)/10000</f>
        <v>-27.179734313229339</v>
      </c>
      <c r="BK43" s="435"/>
      <c r="BL43" s="435"/>
      <c r="BM43" s="435"/>
      <c r="BN43" s="435"/>
      <c r="BP43" s="596">
        <f>LongTerm62!D48</f>
        <v>38061</v>
      </c>
      <c r="BQ43" s="594">
        <f>(LongTerm62!$BM48+LongTerm62!$BL48/(1-LongTerm62!$AR48))*(LongTerm62!$F48*LongTerm62!$AF48*LongTerm62!$AH48)/10000</f>
        <v>0.20109805167395581</v>
      </c>
      <c r="BR43" s="594">
        <f>LongTerm62!$BM48*(LongTerm62!$F48*LongTerm62!$AF48*LongTerm62!$AH48)/10000</f>
        <v>16.833454445182198</v>
      </c>
      <c r="BS43" s="594">
        <f>(LongTerm62!$BL48/(1-LongTerm62!$AR48))*(LongTerm62!$F48*LongTerm62!$AF48*LongTerm62!$AH48)/10000</f>
        <v>-16.632356393508239</v>
      </c>
      <c r="BT43" s="447"/>
      <c r="BU43" s="596">
        <f>LongTerm107!D48</f>
        <v>37575</v>
      </c>
      <c r="BV43" s="594">
        <f>(LongTerm107!$BM48+LongTerm107!$BL48/(1-LongTerm107!$AR48))*(LongTerm107!$F48*LongTerm107!$AF48*LongTerm107!$AH48)/10000</f>
        <v>0</v>
      </c>
      <c r="BW43" s="594">
        <f>LongTerm107!$BM48*(LongTerm107!$F48*LongTerm107!$AF48*LongTerm107!$AH48)/10000</f>
        <v>0</v>
      </c>
      <c r="BX43" s="594">
        <f>(LongTerm107!$BL48/(1-LongTerm107!$AR48))*(LongTerm107!$F48*LongTerm107!$AF48*LongTerm107!$AH48)/10000</f>
        <v>0</v>
      </c>
      <c r="BY43" s="599"/>
      <c r="BZ43" s="596">
        <f>LongTerm108!D48</f>
        <v>37940</v>
      </c>
      <c r="CA43" s="594">
        <f>(LongTerm108!$BM48+LongTerm108!$BL48/(1-LongTerm108!$AR48))*(LongTerm108!$F48*LongTerm108!$AF48*LongTerm108!$AH48)/10000</f>
        <v>0</v>
      </c>
      <c r="CB43" s="594">
        <f>LongTerm108!$BM48*(LongTerm108!$F48*LongTerm108!$AF48*LongTerm108!$AH48)/10000</f>
        <v>0</v>
      </c>
      <c r="CC43" s="594">
        <f>(LongTerm108!$BL48/(1-LongTerm108!$AR48))*(LongTerm108!$F48*LongTerm108!$AF48*LongTerm108!$AH48)/10000</f>
        <v>0</v>
      </c>
      <c r="CD43" s="492"/>
      <c r="CE43" s="595">
        <f t="shared" si="34"/>
        <v>37817</v>
      </c>
      <c r="CF43" s="583">
        <v>28.4</v>
      </c>
      <c r="CG43" s="583">
        <v>97.4</v>
      </c>
      <c r="CH43" s="583">
        <v>-183.4</v>
      </c>
      <c r="CI43" s="583">
        <v>0</v>
      </c>
      <c r="CJ43" s="583">
        <v>0</v>
      </c>
      <c r="CK43" s="583">
        <v>0.7</v>
      </c>
      <c r="CL43" s="583">
        <v>0</v>
      </c>
      <c r="CM43" s="583">
        <v>0</v>
      </c>
      <c r="CN43" s="583">
        <v>62.1</v>
      </c>
    </row>
    <row r="44" spans="2:92" x14ac:dyDescent="0.25">
      <c r="B44" s="553">
        <f t="shared" si="13"/>
        <v>38092</v>
      </c>
      <c r="C44" s="435">
        <f t="shared" si="14"/>
        <v>2004</v>
      </c>
      <c r="D44" s="445">
        <f t="shared" si="15"/>
        <v>-1.5275656860786326</v>
      </c>
      <c r="E44" s="445">
        <f t="shared" si="16"/>
        <v>-5.9105715137851575</v>
      </c>
      <c r="F44" s="445">
        <f t="shared" si="17"/>
        <v>-0.23456779827948182</v>
      </c>
      <c r="G44" s="445">
        <f t="shared" si="18"/>
        <v>6.1175736259860116</v>
      </c>
      <c r="H44" s="445">
        <f t="shared" si="19"/>
        <v>0</v>
      </c>
      <c r="I44" s="445">
        <f t="shared" si="20"/>
        <v>0</v>
      </c>
      <c r="J44" s="447"/>
      <c r="K44" s="447"/>
      <c r="L44" s="447"/>
      <c r="M44" s="445">
        <f t="shared" si="21"/>
        <v>0</v>
      </c>
      <c r="N44" s="565">
        <f t="shared" si="22"/>
        <v>0</v>
      </c>
      <c r="O44" s="565">
        <f t="shared" si="23"/>
        <v>0</v>
      </c>
      <c r="Q44" s="553">
        <f t="shared" si="24"/>
        <v>38092</v>
      </c>
      <c r="R44" s="445">
        <f t="shared" si="25"/>
        <v>-2.4275656860786325</v>
      </c>
      <c r="S44" s="565">
        <f t="shared" si="26"/>
        <v>-159.21057151378517</v>
      </c>
      <c r="T44" s="565">
        <f t="shared" si="3"/>
        <v>-26.434567798279481</v>
      </c>
      <c r="U44" s="565">
        <f t="shared" si="4"/>
        <v>183.21757362598601</v>
      </c>
      <c r="V44" s="565">
        <f t="shared" si="5"/>
        <v>0</v>
      </c>
      <c r="W44" s="565">
        <f t="shared" si="6"/>
        <v>0</v>
      </c>
      <c r="X44" s="565">
        <f t="shared" si="27"/>
        <v>0</v>
      </c>
      <c r="Y44" s="445">
        <f t="shared" si="28"/>
        <v>0</v>
      </c>
      <c r="Z44" s="565">
        <f t="shared" si="29"/>
        <v>0</v>
      </c>
      <c r="AB44" s="553">
        <f t="shared" si="30"/>
        <v>38092</v>
      </c>
      <c r="AC44" s="571">
        <f t="shared" si="7"/>
        <v>0.9</v>
      </c>
      <c r="AD44" s="565">
        <f t="shared" si="8"/>
        <v>153.30000000000001</v>
      </c>
      <c r="AE44" s="565">
        <f t="shared" si="9"/>
        <v>26.2</v>
      </c>
      <c r="AF44" s="565">
        <f t="shared" si="10"/>
        <v>-177.1</v>
      </c>
      <c r="AG44" s="565">
        <f t="shared" si="11"/>
        <v>0</v>
      </c>
      <c r="AH44" s="565">
        <f t="shared" si="12"/>
        <v>0</v>
      </c>
      <c r="AI44" s="565">
        <f t="shared" si="31"/>
        <v>0</v>
      </c>
      <c r="AJ44" s="445">
        <f t="shared" si="32"/>
        <v>0</v>
      </c>
      <c r="AK44" s="565">
        <f t="shared" si="33"/>
        <v>0</v>
      </c>
      <c r="AM44" s="593">
        <f>LongTerm1!D49</f>
        <v>38092</v>
      </c>
      <c r="AN44" s="594">
        <f>(LongTerm1!BM49+LongTerm1!BL49/(1-LongTerm1!AR49))*(LongTerm1!F49*LongTerm1!AF49*LongTerm1!AH49)/10000</f>
        <v>-1.4763731736105701</v>
      </c>
      <c r="AO44" s="594">
        <f>LongTerm1!BM49*(LongTerm1!F49*LongTerm1!AF49*LongTerm1!AH49)/10000</f>
        <v>157.7341983401746</v>
      </c>
      <c r="AP44" s="594">
        <f>(LongTerm1!BL49/(1-LongTerm1!AR49))*(LongTerm1!F49*LongTerm1!AF49*LongTerm1!AH49)/10000</f>
        <v>-159.21057151378517</v>
      </c>
      <c r="AQ44" s="434"/>
      <c r="AR44" s="435"/>
      <c r="AS44" s="435"/>
      <c r="AT44" s="435"/>
      <c r="AU44" s="435"/>
      <c r="AV44" s="435"/>
      <c r="AW44" s="435"/>
      <c r="AX44" s="435"/>
      <c r="AY44" s="435"/>
      <c r="AZ44" s="435"/>
      <c r="BA44" s="435"/>
      <c r="BB44" s="435"/>
      <c r="BC44" s="435"/>
      <c r="BD44" s="435"/>
      <c r="BE44" s="435"/>
      <c r="BF44" s="435"/>
      <c r="BG44" s="593">
        <f>LongTerm25!D49</f>
        <v>38153</v>
      </c>
      <c r="BH44" s="594">
        <f>(LongTerm25!BM49+LongTerm25!BL49/(1-LongTerm25!AR49))*(LongTerm25!F49*LongTerm25!AF49*LongTerm25!AH49)/10000</f>
        <v>-0.94116270188239071</v>
      </c>
      <c r="BI44" s="594">
        <f>LongTerm25!BM49*(LongTerm25!F49*LongTerm25!AF49*LongTerm25!AH49)/10000</f>
        <v>25.224766873075993</v>
      </c>
      <c r="BJ44" s="594">
        <f>(LongTerm25!BL49/(1-LongTerm25!AR49))*(LongTerm25!F49*LongTerm25!AF49*LongTerm25!AH49)/10000</f>
        <v>-26.165929574958383</v>
      </c>
      <c r="BK44" s="435"/>
      <c r="BL44" s="435"/>
      <c r="BM44" s="435"/>
      <c r="BN44" s="435"/>
      <c r="BP44" s="596">
        <f>LongTerm62!D49</f>
        <v>38092</v>
      </c>
      <c r="BQ44" s="594">
        <f>(LongTerm62!$BM49+LongTerm62!$BL49/(1-LongTerm62!$AR49))*(LongTerm62!$F49*LongTerm62!$AF49*LongTerm62!$AH49)/10000</f>
        <v>0</v>
      </c>
      <c r="BR44" s="594">
        <f>LongTerm62!$BM49*(LongTerm62!$F49*LongTerm62!$AF49*LongTerm62!$AH49)/10000</f>
        <v>0</v>
      </c>
      <c r="BS44" s="594">
        <f>(LongTerm62!$BL49/(1-LongTerm62!$AR49))*(LongTerm62!$F49*LongTerm62!$AF49*LongTerm62!$AH49)/10000</f>
        <v>0</v>
      </c>
      <c r="BT44" s="447"/>
      <c r="BU44" s="596">
        <f>LongTerm107!D49</f>
        <v>37575</v>
      </c>
      <c r="BV44" s="594">
        <f>(LongTerm107!$BM49+LongTerm107!$BL49/(1-LongTerm107!$AR49))*(LongTerm107!$F49*LongTerm107!$AF49*LongTerm107!$AH49)/10000</f>
        <v>0</v>
      </c>
      <c r="BW44" s="594">
        <f>LongTerm107!$BM49*(LongTerm107!$F49*LongTerm107!$AF49*LongTerm107!$AH49)/10000</f>
        <v>0</v>
      </c>
      <c r="BX44" s="594">
        <f>(LongTerm107!$BL49/(1-LongTerm107!$AR49))*(LongTerm107!$F49*LongTerm107!$AF49*LongTerm107!$AH49)/10000</f>
        <v>0</v>
      </c>
      <c r="BY44" s="599"/>
      <c r="BZ44" s="596">
        <f>LongTerm108!D49</f>
        <v>37940</v>
      </c>
      <c r="CA44" s="594">
        <f>(LongTerm108!$BM49+LongTerm108!$BL49/(1-LongTerm108!$AR49))*(LongTerm108!$F49*LongTerm108!$AF49*LongTerm108!$AH49)/10000</f>
        <v>0</v>
      </c>
      <c r="CB44" s="594">
        <f>LongTerm108!$BM49*(LongTerm108!$F49*LongTerm108!$AF49*LongTerm108!$AH49)/10000</f>
        <v>0</v>
      </c>
      <c r="CC44" s="594">
        <f>(LongTerm108!$BL49/(1-LongTerm108!$AR49))*(LongTerm108!$F49*LongTerm108!$AF49*LongTerm108!$AH49)/10000</f>
        <v>0</v>
      </c>
      <c r="CD44" s="492"/>
      <c r="CE44" s="595">
        <f t="shared" si="34"/>
        <v>37848</v>
      </c>
      <c r="CF44" s="583">
        <v>28</v>
      </c>
      <c r="CG44" s="583">
        <v>94.2</v>
      </c>
      <c r="CH44" s="583">
        <v>-178.7</v>
      </c>
      <c r="CI44" s="583">
        <v>0</v>
      </c>
      <c r="CJ44" s="583">
        <v>0</v>
      </c>
      <c r="CK44" s="583">
        <v>0.7</v>
      </c>
      <c r="CL44" s="583">
        <v>0</v>
      </c>
      <c r="CM44" s="583">
        <v>0</v>
      </c>
      <c r="CN44" s="583">
        <v>60.9</v>
      </c>
    </row>
    <row r="45" spans="2:92" x14ac:dyDescent="0.25">
      <c r="B45" s="553">
        <f t="shared" si="13"/>
        <v>38122</v>
      </c>
      <c r="C45" s="435">
        <f t="shared" si="14"/>
        <v>2004</v>
      </c>
      <c r="D45" s="445">
        <f t="shared" si="15"/>
        <v>-1.3043344632574674</v>
      </c>
      <c r="E45" s="445">
        <f t="shared" si="16"/>
        <v>-3.9893881694151219</v>
      </c>
      <c r="F45" s="445">
        <f t="shared" si="17"/>
        <v>0.12026568677066152</v>
      </c>
      <c r="G45" s="445">
        <f t="shared" si="18"/>
        <v>3.064788019386981</v>
      </c>
      <c r="H45" s="445">
        <f t="shared" si="19"/>
        <v>0</v>
      </c>
      <c r="I45" s="445">
        <f t="shared" si="20"/>
        <v>0</v>
      </c>
      <c r="J45" s="447"/>
      <c r="K45" s="447"/>
      <c r="L45" s="447"/>
      <c r="M45" s="445">
        <f t="shared" si="21"/>
        <v>0</v>
      </c>
      <c r="N45" s="565">
        <f t="shared" si="22"/>
        <v>0</v>
      </c>
      <c r="O45" s="565">
        <f t="shared" si="23"/>
        <v>0</v>
      </c>
      <c r="Q45" s="553">
        <f t="shared" si="24"/>
        <v>38122</v>
      </c>
      <c r="R45" s="445">
        <f t="shared" si="25"/>
        <v>-2.2043344632574673</v>
      </c>
      <c r="S45" s="565">
        <f t="shared" si="26"/>
        <v>-159.38938816941513</v>
      </c>
      <c r="T45" s="565">
        <f t="shared" si="3"/>
        <v>-27.179734313229339</v>
      </c>
      <c r="U45" s="565">
        <f t="shared" si="4"/>
        <v>184.36478801938699</v>
      </c>
      <c r="V45" s="565">
        <f t="shared" si="5"/>
        <v>0</v>
      </c>
      <c r="W45" s="565">
        <f t="shared" si="6"/>
        <v>0</v>
      </c>
      <c r="X45" s="565">
        <f t="shared" si="27"/>
        <v>0</v>
      </c>
      <c r="Y45" s="445">
        <f t="shared" si="28"/>
        <v>0</v>
      </c>
      <c r="Z45" s="565">
        <f t="shared" si="29"/>
        <v>0</v>
      </c>
      <c r="AB45" s="553">
        <f t="shared" si="30"/>
        <v>38122</v>
      </c>
      <c r="AC45" s="571">
        <f t="shared" si="7"/>
        <v>0.9</v>
      </c>
      <c r="AD45" s="565">
        <f t="shared" si="8"/>
        <v>155.4</v>
      </c>
      <c r="AE45" s="565">
        <f t="shared" si="9"/>
        <v>27.3</v>
      </c>
      <c r="AF45" s="565">
        <f t="shared" si="10"/>
        <v>-181.3</v>
      </c>
      <c r="AG45" s="565">
        <f t="shared" si="11"/>
        <v>0</v>
      </c>
      <c r="AH45" s="565">
        <f t="shared" si="12"/>
        <v>0</v>
      </c>
      <c r="AI45" s="565">
        <f t="shared" si="31"/>
        <v>0</v>
      </c>
      <c r="AJ45" s="445">
        <f t="shared" si="32"/>
        <v>0</v>
      </c>
      <c r="AK45" s="565">
        <f t="shared" si="33"/>
        <v>0</v>
      </c>
      <c r="AM45" s="593">
        <f>LongTerm1!D50</f>
        <v>38122</v>
      </c>
      <c r="AN45" s="594">
        <f>(LongTerm1!BM50+LongTerm1!BL50/(1-LongTerm1!AR50))*(LongTerm1!F50*LongTerm1!AF50*LongTerm1!AH50)/10000</f>
        <v>-1.2265766307438686</v>
      </c>
      <c r="AO45" s="594">
        <f>LongTerm1!BM50*(LongTerm1!F50*LongTerm1!AF50*LongTerm1!AH50)/10000</f>
        <v>158.16281153867126</v>
      </c>
      <c r="AP45" s="594">
        <f>(LongTerm1!BL50/(1-LongTerm1!AR50))*(LongTerm1!F50*LongTerm1!AF50*LongTerm1!AH50)/10000</f>
        <v>-159.38938816941513</v>
      </c>
      <c r="AQ45" s="434"/>
      <c r="AR45" s="435"/>
      <c r="AS45" s="435"/>
      <c r="AT45" s="435"/>
      <c r="AU45" s="435"/>
      <c r="AV45" s="435"/>
      <c r="AW45" s="435"/>
      <c r="AX45" s="435"/>
      <c r="AY45" s="435"/>
      <c r="AZ45" s="435"/>
      <c r="BA45" s="435"/>
      <c r="BB45" s="435"/>
      <c r="BC45" s="435"/>
      <c r="BD45" s="435"/>
      <c r="BE45" s="435"/>
      <c r="BF45" s="435"/>
      <c r="BG45" s="593">
        <f>LongTerm25!D50</f>
        <v>38183</v>
      </c>
      <c r="BH45" s="594">
        <f>(LongTerm25!BM50+LongTerm25!BL50/(1-LongTerm25!AR50))*(LongTerm25!F50*LongTerm25!AF50*LongTerm25!AH50)/10000</f>
        <v>-0.96509845701045871</v>
      </c>
      <c r="BI45" s="594">
        <f>LongTerm25!BM50*(LongTerm25!F50*LongTerm25!AF50*LongTerm25!AH50)/10000</f>
        <v>25.914907228884669</v>
      </c>
      <c r="BJ45" s="594">
        <f>(LongTerm25!BL50/(1-LongTerm25!AR50))*(LongTerm25!F50*LongTerm25!AF50*LongTerm25!AH50)/10000</f>
        <v>-26.880005685895128</v>
      </c>
      <c r="BK45" s="435"/>
      <c r="BL45" s="435"/>
      <c r="BM45" s="435"/>
      <c r="BN45" s="435"/>
      <c r="BP45" s="596">
        <f>LongTerm62!D50</f>
        <v>38122</v>
      </c>
      <c r="BQ45" s="594">
        <f>(LongTerm62!$BM50+LongTerm62!$BL50/(1-LongTerm62!$AR50))*(LongTerm62!$F50*LongTerm62!$AF50*LongTerm62!$AH50)/10000</f>
        <v>0</v>
      </c>
      <c r="BR45" s="594">
        <f>LongTerm62!$BM50*(LongTerm62!$F50*LongTerm62!$AF50*LongTerm62!$AH50)/10000</f>
        <v>0</v>
      </c>
      <c r="BS45" s="594">
        <f>(LongTerm62!$BL50/(1-LongTerm62!$AR50))*(LongTerm62!$F50*LongTerm62!$AF50*LongTerm62!$AH50)/10000</f>
        <v>0</v>
      </c>
      <c r="BT45" s="447"/>
      <c r="BU45" s="596">
        <f>LongTerm107!D50</f>
        <v>37575</v>
      </c>
      <c r="BV45" s="594">
        <f>(LongTerm107!$BM50+LongTerm107!$BL50/(1-LongTerm107!$AR50))*(LongTerm107!$F50*LongTerm107!$AF50*LongTerm107!$AH50)/10000</f>
        <v>0</v>
      </c>
      <c r="BW45" s="594">
        <f>LongTerm107!$BM50*(LongTerm107!$F50*LongTerm107!$AF50*LongTerm107!$AH50)/10000</f>
        <v>0</v>
      </c>
      <c r="BX45" s="594">
        <f>(LongTerm107!$BL50/(1-LongTerm107!$AR50))*(LongTerm107!$F50*LongTerm107!$AF50*LongTerm107!$AH50)/10000</f>
        <v>0</v>
      </c>
      <c r="BY45" s="599"/>
      <c r="BZ45" s="596">
        <f>LongTerm108!D50</f>
        <v>37940</v>
      </c>
      <c r="CA45" s="594">
        <f>(LongTerm108!$BM50+LongTerm108!$BL50/(1-LongTerm108!$AR50))*(LongTerm108!$F50*LongTerm108!$AF50*LongTerm108!$AH50)/10000</f>
        <v>0</v>
      </c>
      <c r="CB45" s="594">
        <f>LongTerm108!$BM50*(LongTerm108!$F50*LongTerm108!$AF50*LongTerm108!$AH50)/10000</f>
        <v>0</v>
      </c>
      <c r="CC45" s="594">
        <f>(LongTerm108!$BL50/(1-LongTerm108!$AR50))*(LongTerm108!$F50*LongTerm108!$AF50*LongTerm108!$AH50)/10000</f>
        <v>0</v>
      </c>
      <c r="CD45" s="492"/>
      <c r="CE45" s="595">
        <f t="shared" si="34"/>
        <v>37879</v>
      </c>
      <c r="CF45" s="583">
        <v>27.2</v>
      </c>
      <c r="CG45" s="583">
        <v>91</v>
      </c>
      <c r="CH45" s="583">
        <v>-168.9</v>
      </c>
      <c r="CI45" s="583">
        <v>0</v>
      </c>
      <c r="CJ45" s="583">
        <v>0</v>
      </c>
      <c r="CK45" s="583">
        <v>0.7</v>
      </c>
      <c r="CL45" s="583">
        <v>0</v>
      </c>
      <c r="CM45" s="583">
        <v>0</v>
      </c>
      <c r="CN45" s="583">
        <v>59.7</v>
      </c>
    </row>
    <row r="46" spans="2:92" x14ac:dyDescent="0.25">
      <c r="B46" s="553">
        <f t="shared" si="13"/>
        <v>38153</v>
      </c>
      <c r="C46" s="435">
        <f t="shared" si="14"/>
        <v>2004</v>
      </c>
      <c r="D46" s="445">
        <f t="shared" si="15"/>
        <v>-1.2349859793155189</v>
      </c>
      <c r="E46" s="445">
        <f t="shared" si="16"/>
        <v>-4.2282019052842372</v>
      </c>
      <c r="F46" s="445">
        <f t="shared" si="17"/>
        <v>0.43407042504161808</v>
      </c>
      <c r="G46" s="445">
        <f t="shared" si="18"/>
        <v>3.1591455009271101</v>
      </c>
      <c r="H46" s="445">
        <f t="shared" si="19"/>
        <v>0</v>
      </c>
      <c r="I46" s="445">
        <f t="shared" si="20"/>
        <v>0</v>
      </c>
      <c r="J46" s="447"/>
      <c r="K46" s="447"/>
      <c r="L46" s="447"/>
      <c r="M46" s="445">
        <f t="shared" si="21"/>
        <v>0</v>
      </c>
      <c r="N46" s="565">
        <f t="shared" si="22"/>
        <v>0</v>
      </c>
      <c r="O46" s="565">
        <f t="shared" si="23"/>
        <v>0</v>
      </c>
      <c r="Q46" s="553">
        <f t="shared" si="24"/>
        <v>38153</v>
      </c>
      <c r="R46" s="445">
        <f t="shared" si="25"/>
        <v>-2.1349859793155188</v>
      </c>
      <c r="S46" s="565">
        <f t="shared" si="26"/>
        <v>-153.52820190528425</v>
      </c>
      <c r="T46" s="565">
        <f t="shared" si="3"/>
        <v>-26.165929574958383</v>
      </c>
      <c r="U46" s="565">
        <f t="shared" si="4"/>
        <v>177.55914550092712</v>
      </c>
      <c r="V46" s="565">
        <f t="shared" si="5"/>
        <v>0</v>
      </c>
      <c r="W46" s="565">
        <f t="shared" si="6"/>
        <v>0</v>
      </c>
      <c r="X46" s="565">
        <f t="shared" si="27"/>
        <v>0</v>
      </c>
      <c r="Y46" s="445">
        <f t="shared" si="28"/>
        <v>0</v>
      </c>
      <c r="Z46" s="565">
        <f t="shared" si="29"/>
        <v>0</v>
      </c>
      <c r="AB46" s="553">
        <f t="shared" si="30"/>
        <v>38153</v>
      </c>
      <c r="AC46" s="571">
        <f t="shared" si="7"/>
        <v>0.9</v>
      </c>
      <c r="AD46" s="565">
        <f t="shared" si="8"/>
        <v>149.30000000000001</v>
      </c>
      <c r="AE46" s="565">
        <f t="shared" si="9"/>
        <v>26.6</v>
      </c>
      <c r="AF46" s="565">
        <f t="shared" si="10"/>
        <v>-174.4</v>
      </c>
      <c r="AG46" s="565">
        <f t="shared" si="11"/>
        <v>0</v>
      </c>
      <c r="AH46" s="565">
        <f t="shared" si="12"/>
        <v>0</v>
      </c>
      <c r="AI46" s="565">
        <f t="shared" si="31"/>
        <v>0</v>
      </c>
      <c r="AJ46" s="445">
        <f t="shared" si="32"/>
        <v>0</v>
      </c>
      <c r="AK46" s="565">
        <f t="shared" si="33"/>
        <v>0</v>
      </c>
      <c r="AM46" s="593">
        <f>LongTerm1!D51</f>
        <v>38153</v>
      </c>
      <c r="AN46" s="594">
        <f>(LongTerm1!BM51+LongTerm1!BL51/(1-LongTerm1!AR51))*(LongTerm1!F51*LongTerm1!AF51*LongTerm1!AH51)/10000</f>
        <v>-1.1938232774331281</v>
      </c>
      <c r="AO46" s="594">
        <f>LongTerm1!BM51*(LongTerm1!F51*LongTerm1!AF51*LongTerm1!AH51)/10000</f>
        <v>152.33437862785112</v>
      </c>
      <c r="AP46" s="594">
        <f>(LongTerm1!BL51/(1-LongTerm1!AR51))*(LongTerm1!F51*LongTerm1!AF51*LongTerm1!AH51)/10000</f>
        <v>-153.52820190528425</v>
      </c>
      <c r="AQ46" s="434"/>
      <c r="AR46" s="435"/>
      <c r="AS46" s="435"/>
      <c r="AT46" s="435"/>
      <c r="AU46" s="435"/>
      <c r="AV46" s="435"/>
      <c r="AW46" s="435"/>
      <c r="AX46" s="435"/>
      <c r="AY46" s="435"/>
      <c r="AZ46" s="435"/>
      <c r="BA46" s="435"/>
      <c r="BB46" s="435"/>
      <c r="BC46" s="435"/>
      <c r="BD46" s="435"/>
      <c r="BE46" s="435"/>
      <c r="BF46" s="435"/>
      <c r="BG46" s="593">
        <f>LongTerm25!D51</f>
        <v>38214</v>
      </c>
      <c r="BH46" s="594">
        <f>(LongTerm25!BM51+LongTerm25!BL51/(1-LongTerm25!AR51))*(LongTerm25!F51*LongTerm25!AF51*LongTerm25!AH51)/10000</f>
        <v>-0.95479656577552419</v>
      </c>
      <c r="BI46" s="594">
        <f>LongTerm25!BM51*(LongTerm25!F51*LongTerm25!AF51*LongTerm25!AH51)/10000</f>
        <v>25.73873606947415</v>
      </c>
      <c r="BJ46" s="594">
        <f>(LongTerm25!BL51/(1-LongTerm25!AR51))*(LongTerm25!F51*LongTerm25!AF51*LongTerm25!AH51)/10000</f>
        <v>-26.693532635249674</v>
      </c>
      <c r="BK46" s="435"/>
      <c r="BL46" s="435"/>
      <c r="BM46" s="435"/>
      <c r="BN46" s="435"/>
      <c r="BP46" s="596">
        <f>LongTerm62!D51</f>
        <v>38153</v>
      </c>
      <c r="BQ46" s="594">
        <f>(LongTerm62!$BM51+LongTerm62!$BL51/(1-LongTerm62!$AR51))*(LongTerm62!$F51*LongTerm62!$AF51*LongTerm62!$AH51)/10000</f>
        <v>0</v>
      </c>
      <c r="BR46" s="594">
        <f>LongTerm62!$BM51*(LongTerm62!$F51*LongTerm62!$AF51*LongTerm62!$AH51)/10000</f>
        <v>0</v>
      </c>
      <c r="BS46" s="594">
        <f>(LongTerm62!$BL51/(1-LongTerm62!$AR51))*(LongTerm62!$F51*LongTerm62!$AF51*LongTerm62!$AH51)/10000</f>
        <v>0</v>
      </c>
      <c r="BT46" s="447"/>
      <c r="BU46" s="596">
        <f>LongTerm107!D51</f>
        <v>37575</v>
      </c>
      <c r="BV46" s="594">
        <f>(LongTerm107!$BM51+LongTerm107!$BL51/(1-LongTerm107!$AR51))*(LongTerm107!$F51*LongTerm107!$AF51*LongTerm107!$AH51)/10000</f>
        <v>0</v>
      </c>
      <c r="BW46" s="594">
        <f>LongTerm107!$BM51*(LongTerm107!$F51*LongTerm107!$AF51*LongTerm107!$AH51)/10000</f>
        <v>0</v>
      </c>
      <c r="BX46" s="594">
        <f>(LongTerm107!$BL51/(1-LongTerm107!$AR51))*(LongTerm107!$F51*LongTerm107!$AF51*LongTerm107!$AH51)/10000</f>
        <v>0</v>
      </c>
      <c r="BY46" s="599"/>
      <c r="BZ46" s="596">
        <f>LongTerm108!D51</f>
        <v>37940</v>
      </c>
      <c r="CA46" s="594">
        <f>(LongTerm108!$BM51+LongTerm108!$BL51/(1-LongTerm108!$AR51))*(LongTerm108!$F51*LongTerm108!$AF51*LongTerm108!$AH51)/10000</f>
        <v>0</v>
      </c>
      <c r="CB46" s="594">
        <f>LongTerm108!$BM51*(LongTerm108!$F51*LongTerm108!$AF51*LongTerm108!$AH51)/10000</f>
        <v>0</v>
      </c>
      <c r="CC46" s="594">
        <f>(LongTerm108!$BL51/(1-LongTerm108!$AR51))*(LongTerm108!$F51*LongTerm108!$AF51*LongTerm108!$AH51)/10000</f>
        <v>0</v>
      </c>
      <c r="CD46" s="492"/>
      <c r="CE46" s="595">
        <f t="shared" si="34"/>
        <v>37909</v>
      </c>
      <c r="CF46" s="583">
        <v>28.3</v>
      </c>
      <c r="CG46" s="583">
        <v>90.7</v>
      </c>
      <c r="CH46" s="583">
        <v>-174.2</v>
      </c>
      <c r="CI46" s="583">
        <v>0</v>
      </c>
      <c r="CJ46" s="583">
        <v>0</v>
      </c>
      <c r="CK46" s="583">
        <v>0.7</v>
      </c>
      <c r="CL46" s="583">
        <v>0</v>
      </c>
      <c r="CM46" s="583">
        <v>0</v>
      </c>
      <c r="CN46" s="583">
        <v>59.5</v>
      </c>
    </row>
    <row r="47" spans="2:92" x14ac:dyDescent="0.25">
      <c r="B47" s="553">
        <f t="shared" si="13"/>
        <v>38183</v>
      </c>
      <c r="C47" s="435">
        <f t="shared" si="14"/>
        <v>2004</v>
      </c>
      <c r="D47" s="445">
        <f t="shared" si="15"/>
        <v>-1.0005187635993686</v>
      </c>
      <c r="E47" s="445">
        <f t="shared" si="16"/>
        <v>-3.9421075091478599</v>
      </c>
      <c r="F47" s="445">
        <f t="shared" si="17"/>
        <v>-0.18000568589512866</v>
      </c>
      <c r="G47" s="445">
        <f t="shared" si="18"/>
        <v>3.6215944314436115</v>
      </c>
      <c r="H47" s="445">
        <f t="shared" si="19"/>
        <v>0</v>
      </c>
      <c r="I47" s="445">
        <f t="shared" si="20"/>
        <v>0</v>
      </c>
      <c r="J47" s="447"/>
      <c r="K47" s="447"/>
      <c r="L47" s="447"/>
      <c r="M47" s="445">
        <f t="shared" si="21"/>
        <v>0</v>
      </c>
      <c r="N47" s="565">
        <f t="shared" si="22"/>
        <v>0</v>
      </c>
      <c r="O47" s="565">
        <f t="shared" si="23"/>
        <v>0</v>
      </c>
      <c r="Q47" s="553">
        <f t="shared" si="24"/>
        <v>38183</v>
      </c>
      <c r="R47" s="445">
        <f t="shared" si="25"/>
        <v>-1.9005187635993686</v>
      </c>
      <c r="S47" s="565">
        <f t="shared" si="26"/>
        <v>-153.54210750914785</v>
      </c>
      <c r="T47" s="565">
        <f t="shared" si="3"/>
        <v>-26.880005685895128</v>
      </c>
      <c r="U47" s="565">
        <f t="shared" si="4"/>
        <v>178.52159443144362</v>
      </c>
      <c r="V47" s="565">
        <f t="shared" si="5"/>
        <v>0</v>
      </c>
      <c r="W47" s="565">
        <f t="shared" si="6"/>
        <v>0</v>
      </c>
      <c r="X47" s="565">
        <f t="shared" si="27"/>
        <v>0</v>
      </c>
      <c r="Y47" s="445">
        <f t="shared" si="28"/>
        <v>0</v>
      </c>
      <c r="Z47" s="565">
        <f t="shared" si="29"/>
        <v>0</v>
      </c>
      <c r="AB47" s="553">
        <f t="shared" si="30"/>
        <v>38183</v>
      </c>
      <c r="AC47" s="571">
        <f t="shared" si="7"/>
        <v>0.9</v>
      </c>
      <c r="AD47" s="565">
        <f t="shared" si="8"/>
        <v>149.6</v>
      </c>
      <c r="AE47" s="565">
        <f t="shared" si="9"/>
        <v>26.7</v>
      </c>
      <c r="AF47" s="565">
        <f t="shared" si="10"/>
        <v>-174.9</v>
      </c>
      <c r="AG47" s="565">
        <f t="shared" si="11"/>
        <v>0</v>
      </c>
      <c r="AH47" s="565">
        <f t="shared" si="12"/>
        <v>0</v>
      </c>
      <c r="AI47" s="565">
        <f t="shared" si="31"/>
        <v>0</v>
      </c>
      <c r="AJ47" s="445">
        <f t="shared" si="32"/>
        <v>0</v>
      </c>
      <c r="AK47" s="565">
        <f t="shared" si="33"/>
        <v>0</v>
      </c>
      <c r="AM47" s="593">
        <f>LongTerm1!D52</f>
        <v>38183</v>
      </c>
      <c r="AN47" s="594">
        <f>(LongTerm1!BM52+LongTerm1!BL52/(1-LongTerm1!AR52))*(LongTerm1!F52*LongTerm1!AF52*LongTerm1!AH52)/10000</f>
        <v>-0.93542030658890996</v>
      </c>
      <c r="AO47" s="594">
        <f>LongTerm1!BM52*(LongTerm1!F52*LongTerm1!AF52*LongTerm1!AH52)/10000</f>
        <v>152.60668720255896</v>
      </c>
      <c r="AP47" s="594">
        <f>(LongTerm1!BL52/(1-LongTerm1!AR52))*(LongTerm1!F52*LongTerm1!AF52*LongTerm1!AH52)/10000</f>
        <v>-153.54210750914785</v>
      </c>
      <c r="AQ47" s="434"/>
      <c r="AR47" s="435"/>
      <c r="AS47" s="435"/>
      <c r="AT47" s="435"/>
      <c r="AU47" s="435"/>
      <c r="AV47" s="435"/>
      <c r="AW47" s="435"/>
      <c r="AX47" s="435"/>
      <c r="AY47" s="435"/>
      <c r="AZ47" s="435"/>
      <c r="BA47" s="435"/>
      <c r="BB47" s="435"/>
      <c r="BC47" s="435"/>
      <c r="BD47" s="435"/>
      <c r="BE47" s="435"/>
      <c r="BF47" s="435"/>
      <c r="BG47" s="593">
        <f>LongTerm25!D52</f>
        <v>38245</v>
      </c>
      <c r="BH47" s="594">
        <f>(LongTerm25!BM52+LongTerm25!BL52/(1-LongTerm25!AR52))*(LongTerm25!F52*LongTerm25!AF52*LongTerm25!AH52)/10000</f>
        <v>-0.92040535786591338</v>
      </c>
      <c r="BI47" s="594">
        <f>LongTerm25!BM52*(LongTerm25!F52*LongTerm25!AF52*LongTerm25!AH52)/10000</f>
        <v>24.787137149808345</v>
      </c>
      <c r="BJ47" s="594">
        <f>(LongTerm25!BL52/(1-LongTerm25!AR52))*(LongTerm25!F52*LongTerm25!AF52*LongTerm25!AH52)/10000</f>
        <v>-25.707542507674258</v>
      </c>
      <c r="BK47" s="435"/>
      <c r="BL47" s="435"/>
      <c r="BM47" s="435"/>
      <c r="BN47" s="435"/>
      <c r="BP47" s="596">
        <f>LongTerm62!D52</f>
        <v>38183</v>
      </c>
      <c r="BQ47" s="594">
        <f>(LongTerm62!$BM52+LongTerm62!$BL52/(1-LongTerm62!$AR52))*(LongTerm62!$F52*LongTerm62!$AF52*LongTerm62!$AH52)/10000</f>
        <v>0</v>
      </c>
      <c r="BR47" s="594">
        <f>LongTerm62!$BM52*(LongTerm62!$F52*LongTerm62!$AF52*LongTerm62!$AH52)/10000</f>
        <v>0</v>
      </c>
      <c r="BS47" s="594">
        <f>(LongTerm62!$BL52/(1-LongTerm62!$AR52))*(LongTerm62!$F52*LongTerm62!$AF52*LongTerm62!$AH52)/10000</f>
        <v>0</v>
      </c>
      <c r="BT47" s="447"/>
      <c r="BU47" s="596">
        <f>LongTerm107!D52</f>
        <v>37575</v>
      </c>
      <c r="BV47" s="594">
        <f>(LongTerm107!$BM52+LongTerm107!$BL52/(1-LongTerm107!$AR52))*(LongTerm107!$F52*LongTerm107!$AF52*LongTerm107!$AH52)/10000</f>
        <v>0</v>
      </c>
      <c r="BW47" s="594">
        <f>LongTerm107!$BM52*(LongTerm107!$F52*LongTerm107!$AF52*LongTerm107!$AH52)/10000</f>
        <v>0</v>
      </c>
      <c r="BX47" s="594">
        <f>(LongTerm107!$BL52/(1-LongTerm107!$AR52))*(LongTerm107!$F52*LongTerm107!$AF52*LongTerm107!$AH52)/10000</f>
        <v>0</v>
      </c>
      <c r="BY47" s="599"/>
      <c r="BZ47" s="596">
        <f>LongTerm108!D52</f>
        <v>37940</v>
      </c>
      <c r="CA47" s="594">
        <f>(LongTerm108!$BM52+LongTerm108!$BL52/(1-LongTerm108!$AR52))*(LongTerm108!$F52*LongTerm108!$AF52*LongTerm108!$AH52)/10000</f>
        <v>0</v>
      </c>
      <c r="CB47" s="594">
        <f>LongTerm108!$BM52*(LongTerm108!$F52*LongTerm108!$AF52*LongTerm108!$AH52)/10000</f>
        <v>0</v>
      </c>
      <c r="CC47" s="594">
        <f>(LongTerm108!$BL52/(1-LongTerm108!$AR52))*(LongTerm108!$F52*LongTerm108!$AF52*LongTerm108!$AH52)/10000</f>
        <v>0</v>
      </c>
      <c r="CD47" s="492"/>
      <c r="CE47" s="595">
        <f t="shared" si="34"/>
        <v>37940</v>
      </c>
      <c r="CF47" s="583">
        <v>27.1</v>
      </c>
      <c r="CG47" s="583">
        <v>112</v>
      </c>
      <c r="CH47" s="583">
        <v>-145.69999999999999</v>
      </c>
      <c r="CI47" s="583">
        <v>0</v>
      </c>
      <c r="CJ47" s="583">
        <v>0</v>
      </c>
      <c r="CK47" s="583">
        <v>0.7</v>
      </c>
      <c r="CL47" s="583">
        <v>-19.7</v>
      </c>
      <c r="CM47" s="583">
        <v>19.7</v>
      </c>
      <c r="CN47" s="583">
        <v>0</v>
      </c>
    </row>
    <row r="48" spans="2:92" x14ac:dyDescent="0.25">
      <c r="B48" s="553">
        <f t="shared" si="13"/>
        <v>38214</v>
      </c>
      <c r="C48" s="435">
        <f t="shared" si="14"/>
        <v>2004</v>
      </c>
      <c r="D48" s="445">
        <f t="shared" si="15"/>
        <v>-0.71833467645439375</v>
      </c>
      <c r="E48" s="445">
        <f t="shared" si="16"/>
        <v>-4.5391736585395392</v>
      </c>
      <c r="F48" s="445">
        <f t="shared" si="17"/>
        <v>-0.29353263524967588</v>
      </c>
      <c r="G48" s="445">
        <f t="shared" si="18"/>
        <v>3.714371617334848</v>
      </c>
      <c r="H48" s="445">
        <f t="shared" si="19"/>
        <v>0</v>
      </c>
      <c r="I48" s="445">
        <f t="shared" si="20"/>
        <v>0</v>
      </c>
      <c r="J48" s="447"/>
      <c r="K48" s="447"/>
      <c r="L48" s="447"/>
      <c r="M48" s="445">
        <f t="shared" si="21"/>
        <v>0</v>
      </c>
      <c r="N48" s="565">
        <f t="shared" si="22"/>
        <v>0</v>
      </c>
      <c r="O48" s="565">
        <f t="shared" si="23"/>
        <v>0</v>
      </c>
      <c r="Q48" s="553">
        <f t="shared" si="24"/>
        <v>38214</v>
      </c>
      <c r="R48" s="445">
        <f t="shared" si="25"/>
        <v>-1.6183346764543938</v>
      </c>
      <c r="S48" s="565">
        <f t="shared" si="26"/>
        <v>-148.93917365853954</v>
      </c>
      <c r="T48" s="565">
        <f t="shared" si="3"/>
        <v>-26.693532635249674</v>
      </c>
      <c r="U48" s="565">
        <f t="shared" si="4"/>
        <v>174.01437161733486</v>
      </c>
      <c r="V48" s="565">
        <f t="shared" si="5"/>
        <v>0</v>
      </c>
      <c r="W48" s="565">
        <f t="shared" si="6"/>
        <v>0</v>
      </c>
      <c r="X48" s="565">
        <f t="shared" si="27"/>
        <v>0</v>
      </c>
      <c r="Y48" s="445">
        <f t="shared" si="28"/>
        <v>0</v>
      </c>
      <c r="Z48" s="565">
        <f t="shared" si="29"/>
        <v>0</v>
      </c>
      <c r="AB48" s="553">
        <f t="shared" si="30"/>
        <v>38214</v>
      </c>
      <c r="AC48" s="571">
        <f t="shared" si="7"/>
        <v>0.9</v>
      </c>
      <c r="AD48" s="565">
        <f t="shared" si="8"/>
        <v>144.4</v>
      </c>
      <c r="AE48" s="565">
        <f t="shared" si="9"/>
        <v>26.4</v>
      </c>
      <c r="AF48" s="565">
        <f t="shared" si="10"/>
        <v>-170.3</v>
      </c>
      <c r="AG48" s="565">
        <f t="shared" si="11"/>
        <v>0</v>
      </c>
      <c r="AH48" s="565">
        <f t="shared" si="12"/>
        <v>0</v>
      </c>
      <c r="AI48" s="565">
        <f t="shared" si="31"/>
        <v>0</v>
      </c>
      <c r="AJ48" s="445">
        <f t="shared" si="32"/>
        <v>0</v>
      </c>
      <c r="AK48" s="565">
        <f t="shared" si="33"/>
        <v>0</v>
      </c>
      <c r="AM48" s="593">
        <f>LongTerm1!D53</f>
        <v>38214</v>
      </c>
      <c r="AN48" s="594">
        <f>(LongTerm1!BM53+LongTerm1!BL53/(1-LongTerm1!AR53))*(LongTerm1!F53*LongTerm1!AF53*LongTerm1!AH53)/10000</f>
        <v>-0.66353811067886959</v>
      </c>
      <c r="AO48" s="594">
        <f>LongTerm1!BM53*(LongTerm1!F53*LongTerm1!AF53*LongTerm1!AH53)/10000</f>
        <v>148.2756355478607</v>
      </c>
      <c r="AP48" s="594">
        <f>(LongTerm1!BL53/(1-LongTerm1!AR53))*(LongTerm1!F53*LongTerm1!AF53*LongTerm1!AH53)/10000</f>
        <v>-148.93917365853954</v>
      </c>
      <c r="AQ48" s="434"/>
      <c r="AR48" s="435"/>
      <c r="AS48" s="435"/>
      <c r="AT48" s="435"/>
      <c r="AU48" s="435"/>
      <c r="AV48" s="435"/>
      <c r="AW48" s="435"/>
      <c r="AX48" s="435"/>
      <c r="AY48" s="435"/>
      <c r="AZ48" s="435"/>
      <c r="BA48" s="435"/>
      <c r="BB48" s="435"/>
      <c r="BC48" s="435"/>
      <c r="BD48" s="435"/>
      <c r="BE48" s="435"/>
      <c r="BF48" s="435"/>
      <c r="BG48" s="593">
        <f>LongTerm25!D53</f>
        <v>38275</v>
      </c>
      <c r="BH48" s="594">
        <f>(LongTerm25!BM53+LongTerm25!BL53/(1-LongTerm25!AR53))*(LongTerm25!F53*LongTerm25!AF53*LongTerm25!AH53)/10000</f>
        <v>-0.93679387766947531</v>
      </c>
      <c r="BI48" s="594">
        <f>LongTerm25!BM53*(LongTerm25!F53*LongTerm25!AF53*LongTerm25!AH53)/10000</f>
        <v>25.40820745852503</v>
      </c>
      <c r="BJ48" s="594">
        <f>(LongTerm25!BL53/(1-LongTerm25!AR53))*(LongTerm25!F53*LongTerm25!AF53*LongTerm25!AH53)/10000</f>
        <v>-26.34500133619451</v>
      </c>
      <c r="BK48" s="435"/>
      <c r="BL48" s="435"/>
      <c r="BM48" s="435"/>
      <c r="BN48" s="435"/>
      <c r="BP48" s="596">
        <f>LongTerm62!D53</f>
        <v>38214</v>
      </c>
      <c r="BQ48" s="594">
        <f>(LongTerm62!$BM53+LongTerm62!$BL53/(1-LongTerm62!$AR53))*(LongTerm62!$F53*LongTerm62!$AF53*LongTerm62!$AH53)/10000</f>
        <v>0</v>
      </c>
      <c r="BR48" s="594">
        <f>LongTerm62!$BM53*(LongTerm62!$F53*LongTerm62!$AF53*LongTerm62!$AH53)/10000</f>
        <v>0</v>
      </c>
      <c r="BS48" s="594">
        <f>(LongTerm62!$BL53/(1-LongTerm62!$AR53))*(LongTerm62!$F53*LongTerm62!$AF53*LongTerm62!$AH53)/10000</f>
        <v>0</v>
      </c>
      <c r="BT48" s="447"/>
      <c r="BU48" s="596">
        <f>LongTerm107!D53</f>
        <v>37575</v>
      </c>
      <c r="BV48" s="594">
        <f>(LongTerm107!$BM53+LongTerm107!$BL53/(1-LongTerm107!$AR53))*(LongTerm107!$F53*LongTerm107!$AF53*LongTerm107!$AH53)/10000</f>
        <v>0</v>
      </c>
      <c r="BW48" s="594">
        <f>LongTerm107!$BM53*(LongTerm107!$F53*LongTerm107!$AF53*LongTerm107!$AH53)/10000</f>
        <v>0</v>
      </c>
      <c r="BX48" s="594">
        <f>(LongTerm107!$BL53/(1-LongTerm107!$AR53))*(LongTerm107!$F53*LongTerm107!$AF53*LongTerm107!$AH53)/10000</f>
        <v>0</v>
      </c>
      <c r="BY48" s="599"/>
      <c r="BZ48" s="596">
        <f>LongTerm108!D53</f>
        <v>37940</v>
      </c>
      <c r="CA48" s="594">
        <f>(LongTerm108!$BM53+LongTerm108!$BL53/(1-LongTerm108!$AR53))*(LongTerm108!$F53*LongTerm108!$AF53*LongTerm108!$AH53)/10000</f>
        <v>0</v>
      </c>
      <c r="CB48" s="594">
        <f>LongTerm108!$BM53*(LongTerm108!$F53*LongTerm108!$AF53*LongTerm108!$AH53)/10000</f>
        <v>0</v>
      </c>
      <c r="CC48" s="594">
        <f>(LongTerm108!$BL53/(1-LongTerm108!$AR53))*(LongTerm108!$F53*LongTerm108!$AF53*LongTerm108!$AH53)/10000</f>
        <v>0</v>
      </c>
      <c r="CD48" s="492"/>
      <c r="CE48" s="595">
        <f t="shared" si="34"/>
        <v>37970</v>
      </c>
      <c r="CF48" s="583">
        <v>27.7</v>
      </c>
      <c r="CG48" s="583">
        <v>106.9</v>
      </c>
      <c r="CH48" s="583">
        <v>-140</v>
      </c>
      <c r="CI48" s="583">
        <v>0</v>
      </c>
      <c r="CJ48" s="583">
        <v>0</v>
      </c>
      <c r="CK48" s="583">
        <v>0.7</v>
      </c>
      <c r="CL48" s="583">
        <v>-14.4</v>
      </c>
      <c r="CM48" s="583">
        <v>14.4</v>
      </c>
      <c r="CN48" s="583">
        <v>0</v>
      </c>
    </row>
    <row r="49" spans="2:92" x14ac:dyDescent="0.25">
      <c r="B49" s="553">
        <f t="shared" si="13"/>
        <v>38245</v>
      </c>
      <c r="C49" s="435">
        <f t="shared" si="14"/>
        <v>2004</v>
      </c>
      <c r="D49" s="445">
        <f t="shared" si="15"/>
        <v>-0.70986938428354118</v>
      </c>
      <c r="E49" s="445">
        <f t="shared" si="16"/>
        <v>-4.8726367009879255</v>
      </c>
      <c r="F49" s="445">
        <f t="shared" si="17"/>
        <v>-7.5425076742590136E-3</v>
      </c>
      <c r="G49" s="445">
        <f t="shared" si="18"/>
        <v>4.5703098243786542</v>
      </c>
      <c r="H49" s="445">
        <f t="shared" si="19"/>
        <v>0</v>
      </c>
      <c r="I49" s="445">
        <f t="shared" si="20"/>
        <v>0</v>
      </c>
      <c r="J49" s="447"/>
      <c r="K49" s="447"/>
      <c r="L49" s="447"/>
      <c r="M49" s="445">
        <f t="shared" si="21"/>
        <v>0</v>
      </c>
      <c r="N49" s="565">
        <f t="shared" si="22"/>
        <v>0</v>
      </c>
      <c r="O49" s="565">
        <f t="shared" si="23"/>
        <v>0</v>
      </c>
      <c r="Q49" s="553">
        <f t="shared" si="24"/>
        <v>38245</v>
      </c>
      <c r="R49" s="445">
        <f t="shared" si="25"/>
        <v>-1.6098693842835412</v>
      </c>
      <c r="S49" s="565">
        <f t="shared" si="26"/>
        <v>-144.07263670098791</v>
      </c>
      <c r="T49" s="565">
        <f t="shared" ref="T49:T80" si="35">SUMIF(AQ:AQ,$Q49,AT:AT)+SUMIF(BG:BG,$Q49,BJ:BJ)+SUMIF(BK:BK,$Q49,BN:BN)</f>
        <v>-25.707542507674258</v>
      </c>
      <c r="U49" s="565">
        <f t="shared" ref="U49:U80" si="36">SUMIF(AM:AM,$Q49,AO:AO)+SUMIF(AQ:AQ,$Q49,AS:AS)+SUMIF(BG:BG,$Q49,BI:BI)+SUMIF(BK:BK,$Q49,BM:BM)</f>
        <v>168.17030982437865</v>
      </c>
      <c r="V49" s="565">
        <f t="shared" si="5"/>
        <v>0</v>
      </c>
      <c r="W49" s="565">
        <f t="shared" si="6"/>
        <v>0</v>
      </c>
      <c r="X49" s="565">
        <f t="shared" si="27"/>
        <v>0</v>
      </c>
      <c r="Y49" s="445">
        <f t="shared" si="28"/>
        <v>0</v>
      </c>
      <c r="Z49" s="565">
        <f t="shared" si="29"/>
        <v>0</v>
      </c>
      <c r="AB49" s="553">
        <f t="shared" si="30"/>
        <v>38245</v>
      </c>
      <c r="AC49" s="571">
        <f t="shared" ref="AC49:AC80" si="37">VLOOKUP(AB49,CE50:CK155,7,FALSE)</f>
        <v>0.9</v>
      </c>
      <c r="AD49" s="565">
        <f t="shared" ref="AD49:AD80" si="38">VLOOKUP(AB49,CE50:CJ155,3,FALSE)</f>
        <v>139.19999999999999</v>
      </c>
      <c r="AE49" s="565">
        <f t="shared" ref="AE49:AE80" si="39">VLOOKUP(AB49,CE50:CJ155,2,FALSE)</f>
        <v>25.7</v>
      </c>
      <c r="AF49" s="565">
        <f t="shared" ref="AF49:AF80" si="40">VLOOKUP(AB49,CE50:CJ155,4,FALSE)</f>
        <v>-163.6</v>
      </c>
      <c r="AG49" s="565">
        <f t="shared" ref="AG49:AG80" si="41">VLOOKUP(AB49,CE50:CJ155,5,FALSE)</f>
        <v>0</v>
      </c>
      <c r="AH49" s="565">
        <f t="shared" ref="AH49:AH80" si="42">VLOOKUP(AB49,CE50:CJ155,6,FALSE)</f>
        <v>0</v>
      </c>
      <c r="AI49" s="565">
        <f t="shared" si="31"/>
        <v>0</v>
      </c>
      <c r="AJ49" s="445">
        <f t="shared" si="32"/>
        <v>0</v>
      </c>
      <c r="AK49" s="565">
        <f t="shared" si="33"/>
        <v>0</v>
      </c>
      <c r="AM49" s="593">
        <f>LongTerm1!D54</f>
        <v>38245</v>
      </c>
      <c r="AN49" s="594">
        <f>(LongTerm1!BM54+LongTerm1!BL54/(1-LongTerm1!AR54))*(LongTerm1!F54*LongTerm1!AF54*LongTerm1!AH54)/10000</f>
        <v>-0.68946402641762772</v>
      </c>
      <c r="AO49" s="594">
        <f>LongTerm1!BM54*(LongTerm1!F54*LongTerm1!AF54*LongTerm1!AH54)/10000</f>
        <v>143.38317267457029</v>
      </c>
      <c r="AP49" s="594">
        <f>(LongTerm1!BL54/(1-LongTerm1!AR54))*(LongTerm1!F54*LongTerm1!AF54*LongTerm1!AH54)/10000</f>
        <v>-144.07263670098791</v>
      </c>
      <c r="AQ49" s="434"/>
      <c r="AR49" s="435"/>
      <c r="AS49" s="435"/>
      <c r="AT49" s="435"/>
      <c r="AU49" s="435"/>
      <c r="AV49" s="435"/>
      <c r="AW49" s="435"/>
      <c r="AX49" s="435"/>
      <c r="AY49" s="435"/>
      <c r="AZ49" s="435"/>
      <c r="BA49" s="435"/>
      <c r="BB49" s="435"/>
      <c r="BC49" s="435"/>
      <c r="BD49" s="435"/>
      <c r="BE49" s="435"/>
      <c r="BF49" s="435"/>
      <c r="BG49" s="593">
        <f>LongTerm25!D54</f>
        <v>38306</v>
      </c>
      <c r="BH49" s="594">
        <f>(LongTerm25!BM54+LongTerm25!BL54/(1-LongTerm25!AR54))*(LongTerm25!F54*LongTerm25!AF54*LongTerm25!AH54)/10000</f>
        <v>-0.90979023360092903</v>
      </c>
      <c r="BI49" s="594">
        <f>LongTerm25!BM54*(LongTerm25!F54*LongTerm25!AF54*LongTerm25!AH54)/10000</f>
        <v>24.523200757123046</v>
      </c>
      <c r="BJ49" s="594">
        <f>(LongTerm25!BL54/(1-LongTerm25!AR54))*(LongTerm25!F54*LongTerm25!AF54*LongTerm25!AH54)/10000</f>
        <v>-25.432990990723976</v>
      </c>
      <c r="BK49" s="435"/>
      <c r="BL49" s="435"/>
      <c r="BM49" s="435"/>
      <c r="BN49" s="435"/>
      <c r="BP49" s="596">
        <f>LongTerm62!D54</f>
        <v>38245</v>
      </c>
      <c r="BQ49" s="594">
        <f>(LongTerm62!$BM54+LongTerm62!$BL54/(1-LongTerm62!$AR54))*(LongTerm62!$F54*LongTerm62!$AF54*LongTerm62!$AH54)/10000</f>
        <v>0</v>
      </c>
      <c r="BR49" s="594">
        <f>LongTerm62!$BM54*(LongTerm62!$F54*LongTerm62!$AF54*LongTerm62!$AH54)/10000</f>
        <v>0</v>
      </c>
      <c r="BS49" s="594">
        <f>(LongTerm62!$BL54/(1-LongTerm62!$AR54))*(LongTerm62!$F54*LongTerm62!$AF54*LongTerm62!$AH54)/10000</f>
        <v>0</v>
      </c>
      <c r="BT49" s="447"/>
      <c r="BU49" s="596">
        <f>LongTerm107!D54</f>
        <v>37575</v>
      </c>
      <c r="BV49" s="594">
        <f>(LongTerm107!$BM54+LongTerm107!$BL54/(1-LongTerm107!$AR54))*(LongTerm107!$F54*LongTerm107!$AF54*LongTerm107!$AH54)/10000</f>
        <v>0</v>
      </c>
      <c r="BW49" s="594">
        <f>LongTerm107!$BM54*(LongTerm107!$F54*LongTerm107!$AF54*LongTerm107!$AH54)/10000</f>
        <v>0</v>
      </c>
      <c r="BX49" s="594">
        <f>(LongTerm107!$BL54/(1-LongTerm107!$AR54))*(LongTerm107!$F54*LongTerm107!$AF54*LongTerm107!$AH54)/10000</f>
        <v>0</v>
      </c>
      <c r="BY49" s="599"/>
      <c r="BZ49" s="596">
        <f>LongTerm108!D54</f>
        <v>37940</v>
      </c>
      <c r="CA49" s="594">
        <f>(LongTerm108!$BM54+LongTerm108!$BL54/(1-LongTerm108!$AR54))*(LongTerm108!$F54*LongTerm108!$AF54*LongTerm108!$AH54)/10000</f>
        <v>0</v>
      </c>
      <c r="CB49" s="594">
        <f>LongTerm108!$BM54*(LongTerm108!$F54*LongTerm108!$AF54*LongTerm108!$AH54)/10000</f>
        <v>0</v>
      </c>
      <c r="CC49" s="594">
        <f>(LongTerm108!$BL54/(1-LongTerm108!$AR54))*(LongTerm108!$F54*LongTerm108!$AF54*LongTerm108!$AH54)/10000</f>
        <v>0</v>
      </c>
      <c r="CD49" s="492"/>
      <c r="CE49" s="595">
        <f t="shared" si="34"/>
        <v>38001</v>
      </c>
      <c r="CF49" s="583">
        <v>27.5</v>
      </c>
      <c r="CG49" s="583">
        <v>100.9</v>
      </c>
      <c r="CH49" s="583">
        <v>-133.80000000000001</v>
      </c>
      <c r="CI49" s="583">
        <v>0</v>
      </c>
      <c r="CJ49" s="583">
        <v>0</v>
      </c>
      <c r="CK49" s="583">
        <v>0.9</v>
      </c>
      <c r="CL49" s="583">
        <v>-14.3</v>
      </c>
      <c r="CM49" s="583">
        <v>14.3</v>
      </c>
      <c r="CN49" s="583">
        <v>0</v>
      </c>
    </row>
    <row r="50" spans="2:92" x14ac:dyDescent="0.25">
      <c r="B50" s="553">
        <f t="shared" si="13"/>
        <v>38275</v>
      </c>
      <c r="C50" s="435">
        <f t="shared" si="14"/>
        <v>2004</v>
      </c>
      <c r="D50" s="445">
        <f t="shared" si="15"/>
        <v>-0.53777706174667483</v>
      </c>
      <c r="E50" s="445">
        <f t="shared" si="16"/>
        <v>-4.3907107185785037</v>
      </c>
      <c r="F50" s="445">
        <f t="shared" si="17"/>
        <v>0.35499866380548895</v>
      </c>
      <c r="G50" s="445">
        <f t="shared" si="18"/>
        <v>4.097934993026314</v>
      </c>
      <c r="H50" s="445">
        <f t="shared" si="19"/>
        <v>0</v>
      </c>
      <c r="I50" s="445">
        <f t="shared" si="20"/>
        <v>0</v>
      </c>
      <c r="J50" s="447"/>
      <c r="K50" s="447"/>
      <c r="L50" s="447"/>
      <c r="M50" s="445">
        <f t="shared" si="21"/>
        <v>0</v>
      </c>
      <c r="N50" s="565">
        <f t="shared" si="22"/>
        <v>0</v>
      </c>
      <c r="O50" s="565">
        <f t="shared" si="23"/>
        <v>0</v>
      </c>
      <c r="Q50" s="553">
        <f t="shared" ref="Q50:Q81" si="43">EOMONTH(Q49,0)+15</f>
        <v>38275</v>
      </c>
      <c r="R50" s="445">
        <f t="shared" si="25"/>
        <v>-1.3377770617466749</v>
      </c>
      <c r="S50" s="565">
        <f t="shared" si="26"/>
        <v>-143.9907107185785</v>
      </c>
      <c r="T50" s="565">
        <f t="shared" si="35"/>
        <v>-26.34500133619451</v>
      </c>
      <c r="U50" s="565">
        <f t="shared" si="36"/>
        <v>168.99793499302632</v>
      </c>
      <c r="V50" s="565">
        <f t="shared" si="5"/>
        <v>0</v>
      </c>
      <c r="W50" s="565">
        <f t="shared" si="6"/>
        <v>0</v>
      </c>
      <c r="X50" s="565">
        <f t="shared" si="27"/>
        <v>0</v>
      </c>
      <c r="Y50" s="445">
        <f t="shared" si="28"/>
        <v>0</v>
      </c>
      <c r="Z50" s="565">
        <f t="shared" si="29"/>
        <v>0</v>
      </c>
      <c r="AB50" s="553">
        <f t="shared" si="30"/>
        <v>38275</v>
      </c>
      <c r="AC50" s="571">
        <f t="shared" si="37"/>
        <v>0.8</v>
      </c>
      <c r="AD50" s="565">
        <f t="shared" si="38"/>
        <v>139.6</v>
      </c>
      <c r="AE50" s="565">
        <f t="shared" si="39"/>
        <v>26.7</v>
      </c>
      <c r="AF50" s="565">
        <f t="shared" si="40"/>
        <v>-164.9</v>
      </c>
      <c r="AG50" s="565">
        <f t="shared" si="41"/>
        <v>0</v>
      </c>
      <c r="AH50" s="565">
        <f t="shared" si="42"/>
        <v>0</v>
      </c>
      <c r="AI50" s="565">
        <f t="shared" si="31"/>
        <v>0</v>
      </c>
      <c r="AJ50" s="445">
        <f t="shared" si="32"/>
        <v>0</v>
      </c>
      <c r="AK50" s="565">
        <f t="shared" si="33"/>
        <v>0</v>
      </c>
      <c r="AM50" s="593">
        <f>LongTerm1!D55</f>
        <v>38275</v>
      </c>
      <c r="AN50" s="594">
        <f>(LongTerm1!BM55+LongTerm1!BL55/(1-LongTerm1!AR55))*(LongTerm1!F55*LongTerm1!AF55*LongTerm1!AH55)/10000</f>
        <v>-0.40098318407719957</v>
      </c>
      <c r="AO50" s="594">
        <f>LongTerm1!BM55*(LongTerm1!F55*LongTerm1!AF55*LongTerm1!AH55)/10000</f>
        <v>143.58972753450129</v>
      </c>
      <c r="AP50" s="594">
        <f>(LongTerm1!BL55/(1-LongTerm1!AR55))*(LongTerm1!F55*LongTerm1!AF55*LongTerm1!AH55)/10000</f>
        <v>-143.9907107185785</v>
      </c>
      <c r="AQ50" s="434"/>
      <c r="AR50" s="435"/>
      <c r="AS50" s="435"/>
      <c r="AT50" s="435"/>
      <c r="AU50" s="435"/>
      <c r="AV50" s="435"/>
      <c r="AW50" s="435"/>
      <c r="AX50" s="435"/>
      <c r="AY50" s="435"/>
      <c r="AZ50" s="435"/>
      <c r="BA50" s="435"/>
      <c r="BB50" s="435"/>
      <c r="BC50" s="435"/>
      <c r="BD50" s="435"/>
      <c r="BE50" s="435"/>
      <c r="BF50" s="435"/>
      <c r="BG50" s="593">
        <f>LongTerm25!D55</f>
        <v>38336</v>
      </c>
      <c r="BH50" s="594">
        <f>(LongTerm25!BM55+LongTerm25!BL55/(1-LongTerm25!AR55))*(LongTerm25!F55*LongTerm25!AF55*LongTerm25!AH55)/10000</f>
        <v>-0.93125309172808579</v>
      </c>
      <c r="BI50" s="594">
        <f>LongTerm25!BM55*(LongTerm25!F55*LongTerm25!AF55*LongTerm25!AH55)/10000</f>
        <v>25.174136359964486</v>
      </c>
      <c r="BJ50" s="594">
        <f>(LongTerm25!BL55/(1-LongTerm25!AR55))*(LongTerm25!F55*LongTerm25!AF55*LongTerm25!AH55)/10000</f>
        <v>-26.105389451692574</v>
      </c>
      <c r="BK50" s="435"/>
      <c r="BL50" s="435"/>
      <c r="BM50" s="435"/>
      <c r="BN50" s="435"/>
      <c r="BP50" s="596">
        <f>LongTerm62!D55</f>
        <v>38275</v>
      </c>
      <c r="BQ50" s="594">
        <f>(LongTerm62!$BM55+LongTerm62!$BL55/(1-LongTerm62!$AR55))*(LongTerm62!$F55*LongTerm62!$AF55*LongTerm62!$AH55)/10000</f>
        <v>0</v>
      </c>
      <c r="BR50" s="594">
        <f>LongTerm62!$BM55*(LongTerm62!$F55*LongTerm62!$AF55*LongTerm62!$AH55)/10000</f>
        <v>0</v>
      </c>
      <c r="BS50" s="594">
        <f>(LongTerm62!$BL55/(1-LongTerm62!$AR55))*(LongTerm62!$F55*LongTerm62!$AF55*LongTerm62!$AH55)/10000</f>
        <v>0</v>
      </c>
      <c r="BT50" s="447"/>
      <c r="BU50" s="596">
        <f>LongTerm107!D55</f>
        <v>37575</v>
      </c>
      <c r="BV50" s="594">
        <f>(LongTerm107!$BM55+LongTerm107!$BL55/(1-LongTerm107!$AR55))*(LongTerm107!$F55*LongTerm107!$AF55*LongTerm107!$AH55)/10000</f>
        <v>0</v>
      </c>
      <c r="BW50" s="594">
        <f>LongTerm107!$BM55*(LongTerm107!$F55*LongTerm107!$AF55*LongTerm107!$AH55)/10000</f>
        <v>0</v>
      </c>
      <c r="BX50" s="594">
        <f>(LongTerm107!$BL55/(1-LongTerm107!$AR55))*(LongTerm107!$F55*LongTerm107!$AF55*LongTerm107!$AH55)/10000</f>
        <v>0</v>
      </c>
      <c r="BY50" s="599"/>
      <c r="BZ50" s="596">
        <f>LongTerm108!D55</f>
        <v>37940</v>
      </c>
      <c r="CA50" s="594">
        <f>(LongTerm108!$BM55+LongTerm108!$BL55/(1-LongTerm108!$AR55))*(LongTerm108!$F55*LongTerm108!$AF55*LongTerm108!$AH55)/10000</f>
        <v>0</v>
      </c>
      <c r="CB50" s="594">
        <f>LongTerm108!$BM55*(LongTerm108!$F55*LongTerm108!$AF55*LongTerm108!$AH55)/10000</f>
        <v>0</v>
      </c>
      <c r="CC50" s="594">
        <f>(LongTerm108!$BL55/(1-LongTerm108!$AR55))*(LongTerm108!$F55*LongTerm108!$AF55*LongTerm108!$AH55)/10000</f>
        <v>0</v>
      </c>
      <c r="CD50" s="492"/>
      <c r="CE50" s="595">
        <f t="shared" si="34"/>
        <v>38032</v>
      </c>
      <c r="CF50" s="583">
        <v>25.4</v>
      </c>
      <c r="CG50" s="583">
        <v>96.8</v>
      </c>
      <c r="CH50" s="583">
        <v>-126.9</v>
      </c>
      <c r="CI50" s="583">
        <v>0</v>
      </c>
      <c r="CJ50" s="583">
        <v>0</v>
      </c>
      <c r="CK50" s="583">
        <v>0.9</v>
      </c>
      <c r="CL50" s="583">
        <v>-13.5</v>
      </c>
      <c r="CM50" s="583">
        <v>13.5</v>
      </c>
      <c r="CN50" s="583">
        <v>0</v>
      </c>
    </row>
    <row r="51" spans="2:92" x14ac:dyDescent="0.25">
      <c r="B51" s="553">
        <f t="shared" si="13"/>
        <v>38306</v>
      </c>
      <c r="C51" s="435">
        <f t="shared" si="14"/>
        <v>2004</v>
      </c>
      <c r="D51" s="445">
        <f t="shared" si="15"/>
        <v>1.7145299339194928</v>
      </c>
      <c r="E51" s="445">
        <f t="shared" si="16"/>
        <v>2.6393667111054668</v>
      </c>
      <c r="F51" s="445">
        <f t="shared" si="17"/>
        <v>-0.23299099072397667</v>
      </c>
      <c r="G51" s="445">
        <f t="shared" si="18"/>
        <v>-7.9926726980960154</v>
      </c>
      <c r="H51" s="445">
        <f t="shared" si="19"/>
        <v>0</v>
      </c>
      <c r="I51" s="445">
        <f t="shared" si="20"/>
        <v>0</v>
      </c>
      <c r="J51" s="447"/>
      <c r="K51" s="447"/>
      <c r="L51" s="447"/>
      <c r="M51" s="445">
        <f t="shared" si="21"/>
        <v>-6.4520445181699184</v>
      </c>
      <c r="N51" s="565">
        <f t="shared" si="22"/>
        <v>6.6528714298039198</v>
      </c>
      <c r="O51" s="565">
        <f t="shared" si="23"/>
        <v>0</v>
      </c>
      <c r="Q51" s="553">
        <f t="shared" si="43"/>
        <v>38306</v>
      </c>
      <c r="R51" s="445">
        <f t="shared" si="25"/>
        <v>0.8145299339194928</v>
      </c>
      <c r="S51" s="565">
        <f t="shared" si="26"/>
        <v>-109.46063328889453</v>
      </c>
      <c r="T51" s="565">
        <f t="shared" si="35"/>
        <v>-25.432990990723976</v>
      </c>
      <c r="U51" s="565">
        <f t="shared" si="36"/>
        <v>135.50732730190398</v>
      </c>
      <c r="V51" s="565">
        <f t="shared" si="5"/>
        <v>0</v>
      </c>
      <c r="W51" s="565">
        <f t="shared" si="6"/>
        <v>0</v>
      </c>
      <c r="X51" s="565">
        <f t="shared" si="27"/>
        <v>12.247955481830081</v>
      </c>
      <c r="Y51" s="445">
        <f t="shared" si="28"/>
        <v>-12.04712857019608</v>
      </c>
      <c r="Z51" s="565">
        <f t="shared" si="29"/>
        <v>0</v>
      </c>
      <c r="AB51" s="553">
        <f t="shared" si="30"/>
        <v>38306</v>
      </c>
      <c r="AC51" s="571">
        <f t="shared" si="37"/>
        <v>0.9</v>
      </c>
      <c r="AD51" s="565">
        <f t="shared" si="38"/>
        <v>112.1</v>
      </c>
      <c r="AE51" s="565">
        <f t="shared" si="39"/>
        <v>25.2</v>
      </c>
      <c r="AF51" s="565">
        <f t="shared" si="40"/>
        <v>-143.5</v>
      </c>
      <c r="AG51" s="565">
        <f t="shared" si="41"/>
        <v>0</v>
      </c>
      <c r="AH51" s="565">
        <f t="shared" si="42"/>
        <v>0</v>
      </c>
      <c r="AI51" s="565">
        <f t="shared" si="31"/>
        <v>-18.7</v>
      </c>
      <c r="AJ51" s="445">
        <f t="shared" si="32"/>
        <v>18.7</v>
      </c>
      <c r="AK51" s="565">
        <f t="shared" si="33"/>
        <v>0</v>
      </c>
      <c r="AM51" s="593">
        <f>LongTerm1!D56</f>
        <v>38306</v>
      </c>
      <c r="AN51" s="594">
        <f>(LongTerm1!BM56+LongTerm1!BL56/(1-LongTerm1!AR56))*(LongTerm1!F56*LongTerm1!AF56*LongTerm1!AH56)/10000</f>
        <v>1.5234932558864211</v>
      </c>
      <c r="AO51" s="594">
        <f>LongTerm1!BM56*(LongTerm1!F56*LongTerm1!AF56*LongTerm1!AH56)/10000</f>
        <v>110.98412654478093</v>
      </c>
      <c r="AP51" s="594">
        <f>(LongTerm1!BL56/(1-LongTerm1!AR56))*(LongTerm1!F56*LongTerm1!AF56*LongTerm1!AH56)/10000</f>
        <v>-109.46063328889453</v>
      </c>
      <c r="AQ51" s="434"/>
      <c r="AR51" s="435"/>
      <c r="AS51" s="435"/>
      <c r="AT51" s="435"/>
      <c r="AU51" s="435"/>
      <c r="AV51" s="435"/>
      <c r="AW51" s="435"/>
      <c r="AX51" s="435"/>
      <c r="AY51" s="435"/>
      <c r="AZ51" s="435"/>
      <c r="BA51" s="435"/>
      <c r="BB51" s="435"/>
      <c r="BC51" s="435"/>
      <c r="BD51" s="435"/>
      <c r="BE51" s="435"/>
      <c r="BF51" s="435"/>
      <c r="BG51" s="593">
        <f>LongTerm25!D56</f>
        <v>38367</v>
      </c>
      <c r="BH51" s="594">
        <f>(LongTerm25!BM56+LongTerm25!BL56/(1-LongTerm25!AR56))*(LongTerm25!F56*LongTerm25!AF56*LongTerm25!AH56)/10000</f>
        <v>-0.92377363140950441</v>
      </c>
      <c r="BI51" s="594">
        <f>LongTerm25!BM56*(LongTerm25!F56*LongTerm25!AF56*LongTerm25!AH56)/10000</f>
        <v>25.016515850701218</v>
      </c>
      <c r="BJ51" s="594">
        <f>(LongTerm25!BL56/(1-LongTerm25!AR56))*(LongTerm25!F56*LongTerm25!AF56*LongTerm25!AH56)/10000</f>
        <v>-25.940289482110725</v>
      </c>
      <c r="BK51" s="435"/>
      <c r="BL51" s="435"/>
      <c r="BM51" s="435"/>
      <c r="BN51" s="435"/>
      <c r="BP51" s="596">
        <f>LongTerm62!D56</f>
        <v>38306</v>
      </c>
      <c r="BQ51" s="594">
        <f>(LongTerm62!$BM56+LongTerm62!$BL56/(1-LongTerm62!$AR56))*(LongTerm62!$F56*LongTerm62!$AF56*LongTerm62!$AH56)/10000</f>
        <v>0.20082691163400068</v>
      </c>
      <c r="BR51" s="594">
        <f>LongTerm62!$BM56*(LongTerm62!$F56*LongTerm62!$AF56*LongTerm62!$AH56)/10000</f>
        <v>12.247955481830081</v>
      </c>
      <c r="BS51" s="594">
        <f>(LongTerm62!$BL56/(1-LongTerm62!$AR56))*(LongTerm62!$F56*LongTerm62!$AF56*LongTerm62!$AH56)/10000</f>
        <v>-12.04712857019608</v>
      </c>
      <c r="BT51" s="447"/>
      <c r="BU51" s="596">
        <f>LongTerm107!D56</f>
        <v>37575</v>
      </c>
      <c r="BV51" s="594">
        <f>(LongTerm107!$BM56+LongTerm107!$BL56/(1-LongTerm107!$AR56))*(LongTerm107!$F56*LongTerm107!$AF56*LongTerm107!$AH56)/10000</f>
        <v>0</v>
      </c>
      <c r="BW51" s="594">
        <f>LongTerm107!$BM56*(LongTerm107!$F56*LongTerm107!$AF56*LongTerm107!$AH56)/10000</f>
        <v>0</v>
      </c>
      <c r="BX51" s="594">
        <f>(LongTerm107!$BL56/(1-LongTerm107!$AR56))*(LongTerm107!$F56*LongTerm107!$AF56*LongTerm107!$AH56)/10000</f>
        <v>0</v>
      </c>
      <c r="BY51" s="599"/>
      <c r="BZ51" s="596">
        <f>LongTerm108!D56</f>
        <v>37940</v>
      </c>
      <c r="CA51" s="594">
        <f>(LongTerm108!$BM56+LongTerm108!$BL56/(1-LongTerm108!$AR56))*(LongTerm108!$F56*LongTerm108!$AF56*LongTerm108!$AH56)/10000</f>
        <v>0</v>
      </c>
      <c r="CB51" s="594">
        <f>LongTerm108!$BM56*(LongTerm108!$F56*LongTerm108!$AF56*LongTerm108!$AH56)/10000</f>
        <v>0</v>
      </c>
      <c r="CC51" s="594">
        <f>(LongTerm108!$BL56/(1-LongTerm108!$AR56))*(LongTerm108!$F56*LongTerm108!$AF56*LongTerm108!$AH56)/10000</f>
        <v>0</v>
      </c>
      <c r="CD51" s="492"/>
      <c r="CE51" s="595">
        <f t="shared" ref="CE51:CE82" si="44">EOMONTH(CE50,0)+15</f>
        <v>38061</v>
      </c>
      <c r="CF51" s="583">
        <v>27.8</v>
      </c>
      <c r="CG51" s="583">
        <v>115.9</v>
      </c>
      <c r="CH51" s="583">
        <v>-147.80000000000001</v>
      </c>
      <c r="CI51" s="583">
        <v>0</v>
      </c>
      <c r="CJ51" s="583">
        <v>0</v>
      </c>
      <c r="CK51" s="583">
        <v>0.9</v>
      </c>
      <c r="CL51" s="583">
        <v>-14.2</v>
      </c>
      <c r="CM51" s="583">
        <v>14.2</v>
      </c>
      <c r="CN51" s="583">
        <v>0</v>
      </c>
    </row>
    <row r="52" spans="2:92" x14ac:dyDescent="0.25">
      <c r="B52" s="553">
        <f t="shared" si="13"/>
        <v>38336</v>
      </c>
      <c r="C52" s="435">
        <f t="shared" si="14"/>
        <v>2004</v>
      </c>
      <c r="D52" s="445">
        <f t="shared" si="15"/>
        <v>2.7923311670717341</v>
      </c>
      <c r="E52" s="445">
        <f t="shared" si="16"/>
        <v>0.97298457648433612</v>
      </c>
      <c r="F52" s="445">
        <f t="shared" si="17"/>
        <v>0.49461054830742768</v>
      </c>
      <c r="G52" s="445">
        <f t="shared" si="18"/>
        <v>-1.2943183898630082</v>
      </c>
      <c r="H52" s="445">
        <f t="shared" si="19"/>
        <v>0</v>
      </c>
      <c r="I52" s="445">
        <f t="shared" si="20"/>
        <v>0</v>
      </c>
      <c r="J52" s="447"/>
      <c r="K52" s="447"/>
      <c r="L52" s="447"/>
      <c r="M52" s="445">
        <f t="shared" si="21"/>
        <v>-0.15341767585283961</v>
      </c>
      <c r="N52" s="565">
        <f t="shared" si="22"/>
        <v>0.47247210799584138</v>
      </c>
      <c r="O52" s="565">
        <f t="shared" si="23"/>
        <v>0</v>
      </c>
      <c r="Q52" s="553">
        <f t="shared" si="43"/>
        <v>38336</v>
      </c>
      <c r="R52" s="445">
        <f t="shared" si="25"/>
        <v>1.9923311670717341</v>
      </c>
      <c r="S52" s="565">
        <f t="shared" si="26"/>
        <v>-103.42701542351567</v>
      </c>
      <c r="T52" s="565">
        <f t="shared" si="35"/>
        <v>-26.105389451692574</v>
      </c>
      <c r="U52" s="565">
        <f t="shared" si="36"/>
        <v>131.20568161013699</v>
      </c>
      <c r="V52" s="565">
        <f t="shared" si="5"/>
        <v>0</v>
      </c>
      <c r="W52" s="565">
        <f t="shared" si="6"/>
        <v>0</v>
      </c>
      <c r="X52" s="565">
        <f t="shared" si="27"/>
        <v>12.646582324147161</v>
      </c>
      <c r="Y52" s="445">
        <f t="shared" si="28"/>
        <v>-12.327527892004159</v>
      </c>
      <c r="Z52" s="565">
        <f t="shared" si="29"/>
        <v>0</v>
      </c>
      <c r="AB52" s="553">
        <f t="shared" si="30"/>
        <v>38336</v>
      </c>
      <c r="AC52" s="571">
        <f t="shared" si="37"/>
        <v>0.8</v>
      </c>
      <c r="AD52" s="565">
        <f t="shared" si="38"/>
        <v>104.4</v>
      </c>
      <c r="AE52" s="565">
        <f t="shared" si="39"/>
        <v>26.6</v>
      </c>
      <c r="AF52" s="565">
        <f t="shared" si="40"/>
        <v>-132.5</v>
      </c>
      <c r="AG52" s="565">
        <f t="shared" si="41"/>
        <v>0</v>
      </c>
      <c r="AH52" s="565">
        <f t="shared" si="42"/>
        <v>0</v>
      </c>
      <c r="AI52" s="565">
        <f t="shared" si="31"/>
        <v>-12.8</v>
      </c>
      <c r="AJ52" s="445">
        <f t="shared" si="32"/>
        <v>12.8</v>
      </c>
      <c r="AK52" s="565">
        <f t="shared" si="33"/>
        <v>0</v>
      </c>
      <c r="AM52" s="593">
        <f>LongTerm1!D57</f>
        <v>38336</v>
      </c>
      <c r="AN52" s="594">
        <f>(LongTerm1!BM57+LongTerm1!BL57/(1-LongTerm1!AR57))*(LongTerm1!F57*LongTerm1!AF57*LongTerm1!AH57)/10000</f>
        <v>2.6045298266568184</v>
      </c>
      <c r="AO52" s="594">
        <f>LongTerm1!BM57*(LongTerm1!F57*LongTerm1!AF57*LongTerm1!AH57)/10000</f>
        <v>106.0315452501725</v>
      </c>
      <c r="AP52" s="594">
        <f>(LongTerm1!BL57/(1-LongTerm1!AR57))*(LongTerm1!F57*LongTerm1!AF57*LongTerm1!AH57)/10000</f>
        <v>-103.42701542351567</v>
      </c>
      <c r="AQ52" s="434"/>
      <c r="AV52" s="435"/>
      <c r="AW52" s="435"/>
      <c r="AX52" s="435"/>
      <c r="AY52" s="435"/>
      <c r="AZ52" s="435"/>
      <c r="BA52" s="435"/>
      <c r="BB52" s="435"/>
      <c r="BC52" s="435"/>
      <c r="BD52" s="435"/>
      <c r="BE52" s="435"/>
      <c r="BF52" s="435"/>
      <c r="BG52" s="593">
        <f>LongTerm25!D57</f>
        <v>38398</v>
      </c>
      <c r="BH52" s="594">
        <f>(LongTerm25!BM57+LongTerm25!BL57/(1-LongTerm25!AR57))*(LongTerm25!F57*LongTerm25!AF57*LongTerm25!AH57)/10000</f>
        <v>-0.83415977852505929</v>
      </c>
      <c r="BI52" s="594">
        <f>LongTerm25!BM57*(LongTerm25!F57*LongTerm25!AF57*LongTerm25!AH57)/10000</f>
        <v>22.509325649374226</v>
      </c>
      <c r="BJ52" s="594">
        <f>(LongTerm25!BL57/(1-LongTerm25!AR57))*(LongTerm25!F57*LongTerm25!AF57*LongTerm25!AH57)/10000</f>
        <v>-23.343485427899285</v>
      </c>
      <c r="BK52" s="435"/>
      <c r="BL52" s="435"/>
      <c r="BM52" s="435"/>
      <c r="BN52" s="435"/>
      <c r="BP52" s="596">
        <f>LongTerm62!D57</f>
        <v>38336</v>
      </c>
      <c r="BQ52" s="594">
        <f>(LongTerm62!$BM57+LongTerm62!$BL57/(1-LongTerm62!$AR57))*(LongTerm62!$F57*LongTerm62!$AF57*LongTerm62!$AH57)/10000</f>
        <v>0.31905443214300155</v>
      </c>
      <c r="BR52" s="594">
        <f>LongTerm62!$BM57*(LongTerm62!$F57*LongTerm62!$AF57*LongTerm62!$AH57)/10000</f>
        <v>12.646582324147161</v>
      </c>
      <c r="BS52" s="594">
        <f>(LongTerm62!$BL57/(1-LongTerm62!$AR57))*(LongTerm62!$F57*LongTerm62!$AF57*LongTerm62!$AH57)/10000</f>
        <v>-12.327527892004159</v>
      </c>
      <c r="BT52" s="447"/>
      <c r="BU52" s="596">
        <f>LongTerm107!D57</f>
        <v>37575</v>
      </c>
      <c r="BV52" s="594">
        <f>(LongTerm107!$BM57+LongTerm107!$BL57/(1-LongTerm107!$AR57))*(LongTerm107!$F57*LongTerm107!$AF57*LongTerm107!$AH57)/10000</f>
        <v>0</v>
      </c>
      <c r="BW52" s="594">
        <f>LongTerm107!$BM57*(LongTerm107!$F57*LongTerm107!$AF57*LongTerm107!$AH57)/10000</f>
        <v>0</v>
      </c>
      <c r="BX52" s="594">
        <f>(LongTerm107!$BL57/(1-LongTerm107!$AR57))*(LongTerm107!$F57*LongTerm107!$AF57*LongTerm107!$AH57)/10000</f>
        <v>0</v>
      </c>
      <c r="BY52" s="599"/>
      <c r="BZ52" s="596">
        <f>LongTerm108!D57</f>
        <v>37940</v>
      </c>
      <c r="CA52" s="594">
        <f>(LongTerm108!$BM57+LongTerm108!$BL57/(1-LongTerm108!$AR57))*(LongTerm108!$F57*LongTerm108!$AF57*LongTerm108!$AH57)/10000</f>
        <v>0</v>
      </c>
      <c r="CB52" s="594">
        <f>LongTerm108!$BM57*(LongTerm108!$F57*LongTerm108!$AF57*LongTerm108!$AH57)/10000</f>
        <v>0</v>
      </c>
      <c r="CC52" s="594">
        <f>(LongTerm108!$BL57/(1-LongTerm108!$AR57))*(LongTerm108!$F57*LongTerm108!$AF57*LongTerm108!$AH57)/10000</f>
        <v>0</v>
      </c>
      <c r="CD52" s="492"/>
      <c r="CE52" s="595">
        <f t="shared" si="44"/>
        <v>38092</v>
      </c>
      <c r="CF52" s="583">
        <v>26.2</v>
      </c>
      <c r="CG52" s="583">
        <v>153.30000000000001</v>
      </c>
      <c r="CH52" s="583">
        <v>-177.1</v>
      </c>
      <c r="CI52" s="583">
        <v>0</v>
      </c>
      <c r="CJ52" s="583">
        <v>0</v>
      </c>
      <c r="CK52" s="583">
        <v>0.9</v>
      </c>
      <c r="CL52" s="583">
        <v>0</v>
      </c>
      <c r="CM52" s="583">
        <v>0</v>
      </c>
      <c r="CN52" s="583">
        <v>0</v>
      </c>
    </row>
    <row r="53" spans="2:92" x14ac:dyDescent="0.25">
      <c r="B53" s="553">
        <f t="shared" si="13"/>
        <v>38367</v>
      </c>
      <c r="C53" s="435">
        <f t="shared" si="14"/>
        <v>2005</v>
      </c>
      <c r="D53" s="445">
        <f t="shared" si="15"/>
        <v>3.3646237016351028</v>
      </c>
      <c r="E53" s="445">
        <f t="shared" si="16"/>
        <v>0.81498660513659615</v>
      </c>
      <c r="F53" s="445">
        <f t="shared" si="17"/>
        <v>0.45971051788927397</v>
      </c>
      <c r="G53" s="445">
        <f t="shared" si="18"/>
        <v>-1.8274076358397053</v>
      </c>
      <c r="H53" s="445">
        <f t="shared" si="19"/>
        <v>0</v>
      </c>
      <c r="I53" s="445">
        <f t="shared" si="20"/>
        <v>0</v>
      </c>
      <c r="J53" s="447"/>
      <c r="K53" s="447"/>
      <c r="L53" s="447"/>
      <c r="M53" s="445">
        <f t="shared" si="21"/>
        <v>-0.1218364415408093</v>
      </c>
      <c r="N53" s="565">
        <f t="shared" si="22"/>
        <v>0.43917065598975391</v>
      </c>
      <c r="O53" s="565">
        <f t="shared" si="23"/>
        <v>0</v>
      </c>
      <c r="Q53" s="553">
        <f t="shared" si="43"/>
        <v>38367</v>
      </c>
      <c r="R53" s="445">
        <f t="shared" si="25"/>
        <v>2.1646237016351026</v>
      </c>
      <c r="S53" s="565">
        <f t="shared" si="26"/>
        <v>-96.885013394863407</v>
      </c>
      <c r="T53" s="565">
        <f t="shared" si="35"/>
        <v>-25.940289482110725</v>
      </c>
      <c r="U53" s="565">
        <f t="shared" si="36"/>
        <v>124.67259236416029</v>
      </c>
      <c r="V53" s="565">
        <f t="shared" si="5"/>
        <v>0</v>
      </c>
      <c r="W53" s="565">
        <f t="shared" si="6"/>
        <v>0</v>
      </c>
      <c r="X53" s="565">
        <f t="shared" si="27"/>
        <v>12.57816355845919</v>
      </c>
      <c r="Y53" s="445">
        <f t="shared" si="28"/>
        <v>-12.260829344010245</v>
      </c>
      <c r="Z53" s="565">
        <f t="shared" si="29"/>
        <v>0</v>
      </c>
      <c r="AB53" s="553">
        <f t="shared" si="30"/>
        <v>38367</v>
      </c>
      <c r="AC53" s="571">
        <f t="shared" si="37"/>
        <v>1.2</v>
      </c>
      <c r="AD53" s="565">
        <f t="shared" si="38"/>
        <v>97.7</v>
      </c>
      <c r="AE53" s="565">
        <f t="shared" si="39"/>
        <v>26.4</v>
      </c>
      <c r="AF53" s="565">
        <f t="shared" si="40"/>
        <v>-126.5</v>
      </c>
      <c r="AG53" s="565">
        <f t="shared" si="41"/>
        <v>0</v>
      </c>
      <c r="AH53" s="565">
        <f t="shared" si="42"/>
        <v>0</v>
      </c>
      <c r="AI53" s="565">
        <f t="shared" si="31"/>
        <v>-12.7</v>
      </c>
      <c r="AJ53" s="445">
        <f t="shared" si="32"/>
        <v>12.7</v>
      </c>
      <c r="AK53" s="565">
        <f t="shared" si="33"/>
        <v>0</v>
      </c>
      <c r="AM53" s="593">
        <f>LongTerm1!D58</f>
        <v>38367</v>
      </c>
      <c r="AN53" s="594">
        <f>(LongTerm1!BM58+LongTerm1!BL58/(1-LongTerm1!AR58))*(LongTerm1!F58*LongTerm1!AF58*LongTerm1!AH58)/10000</f>
        <v>2.7710631185956625</v>
      </c>
      <c r="AO53" s="594">
        <f>LongTerm1!BM58*(LongTerm1!F58*LongTerm1!AF58*LongTerm1!AH58)/10000</f>
        <v>99.65607651345907</v>
      </c>
      <c r="AP53" s="594">
        <f>(LongTerm1!BL58/(1-LongTerm1!AR58))*(LongTerm1!F58*LongTerm1!AF58*LongTerm1!AH58)/10000</f>
        <v>-96.885013394863407</v>
      </c>
      <c r="AQ53" s="434"/>
      <c r="AV53" s="435"/>
      <c r="AW53" s="435"/>
      <c r="AX53" s="435"/>
      <c r="AY53" s="435"/>
      <c r="AZ53" s="435"/>
      <c r="BA53" s="435"/>
      <c r="BB53" s="435"/>
      <c r="BC53" s="435"/>
      <c r="BD53" s="435"/>
      <c r="BE53" s="435"/>
      <c r="BF53" s="435"/>
      <c r="BG53" s="593">
        <f>LongTerm25!D58</f>
        <v>38426</v>
      </c>
      <c r="BH53" s="594">
        <f>(LongTerm25!BM58+LongTerm25!BL58/(1-LongTerm25!AR58))*(LongTerm25!F58*LongTerm25!AF58*LongTerm25!AH58)/10000</f>
        <v>-0.9215781679228161</v>
      </c>
      <c r="BI53" s="594">
        <f>LongTerm25!BM58*(LongTerm25!F58*LongTerm25!AF58*LongTerm25!AH58)/10000</f>
        <v>24.819761714109344</v>
      </c>
      <c r="BJ53" s="594">
        <f>(LongTerm25!BL58/(1-LongTerm25!AR58))*(LongTerm25!F58*LongTerm25!AF58*LongTerm25!AH58)/10000</f>
        <v>-25.741339882032161</v>
      </c>
      <c r="BK53" s="435"/>
      <c r="BL53" s="435"/>
      <c r="BM53" s="435"/>
      <c r="BN53" s="435"/>
      <c r="BP53" s="596">
        <f>LongTerm62!D58</f>
        <v>38367</v>
      </c>
      <c r="BQ53" s="594">
        <f>(LongTerm62!$BM58+LongTerm62!$BL58/(1-LongTerm62!$AR58))*(LongTerm62!$F58*LongTerm62!$AF58*LongTerm62!$AH58)/10000</f>
        <v>0.31733421444894455</v>
      </c>
      <c r="BR53" s="594">
        <f>LongTerm62!$BM58*(LongTerm62!$F58*LongTerm62!$AF58*LongTerm62!$AH58)/10000</f>
        <v>12.57816355845919</v>
      </c>
      <c r="BS53" s="594">
        <f>(LongTerm62!$BL58/(1-LongTerm62!$AR58))*(LongTerm62!$F58*LongTerm62!$AF58*LongTerm62!$AH58)/10000</f>
        <v>-12.260829344010245</v>
      </c>
      <c r="BT53" s="447"/>
      <c r="BU53" s="596">
        <f>LongTerm107!D58</f>
        <v>37575</v>
      </c>
      <c r="BV53" s="594">
        <f>(LongTerm107!$BM58+LongTerm107!$BL58/(1-LongTerm107!$AR58))*(LongTerm107!$F58*LongTerm107!$AF58*LongTerm107!$AH58)/10000</f>
        <v>0</v>
      </c>
      <c r="BW53" s="594">
        <f>LongTerm107!$BM58*(LongTerm107!$F58*LongTerm107!$AF58*LongTerm107!$AH58)/10000</f>
        <v>0</v>
      </c>
      <c r="BX53" s="594">
        <f>(LongTerm107!$BL58/(1-LongTerm107!$AR58))*(LongTerm107!$F58*LongTerm107!$AF58*LongTerm107!$AH58)/10000</f>
        <v>0</v>
      </c>
      <c r="BY53" s="599"/>
      <c r="BZ53" s="596">
        <f>LongTerm108!D58</f>
        <v>37940</v>
      </c>
      <c r="CA53" s="594">
        <f>(LongTerm108!$BM58+LongTerm108!$BL58/(1-LongTerm108!$AR58))*(LongTerm108!$F58*LongTerm108!$AF58*LongTerm108!$AH58)/10000</f>
        <v>0</v>
      </c>
      <c r="CB53" s="594">
        <f>LongTerm108!$BM58*(LongTerm108!$F58*LongTerm108!$AF58*LongTerm108!$AH58)/10000</f>
        <v>0</v>
      </c>
      <c r="CC53" s="594">
        <f>(LongTerm108!$BL58/(1-LongTerm108!$AR58))*(LongTerm108!$F58*LongTerm108!$AF58*LongTerm108!$AH58)/10000</f>
        <v>0</v>
      </c>
      <c r="CD53" s="492"/>
      <c r="CE53" s="595">
        <f t="shared" si="44"/>
        <v>38122</v>
      </c>
      <c r="CF53" s="583">
        <v>27.3</v>
      </c>
      <c r="CG53" s="583">
        <v>155.4</v>
      </c>
      <c r="CH53" s="583">
        <v>-181.3</v>
      </c>
      <c r="CI53" s="583">
        <v>0</v>
      </c>
      <c r="CJ53" s="583">
        <v>0</v>
      </c>
      <c r="CK53" s="583">
        <v>0.9</v>
      </c>
      <c r="CL53" s="583">
        <v>0</v>
      </c>
      <c r="CM53" s="583">
        <v>0</v>
      </c>
      <c r="CN53" s="583">
        <v>0</v>
      </c>
    </row>
    <row r="54" spans="2:92" x14ac:dyDescent="0.25">
      <c r="B54" s="553">
        <f t="shared" si="13"/>
        <v>38398</v>
      </c>
      <c r="C54" s="435">
        <f t="shared" si="14"/>
        <v>2005</v>
      </c>
      <c r="D54" s="445">
        <f t="shared" si="15"/>
        <v>2.8790441859396472</v>
      </c>
      <c r="E54" s="445">
        <f t="shared" si="16"/>
        <v>-0.51474858045686744</v>
      </c>
      <c r="F54" s="445">
        <f t="shared" si="17"/>
        <v>0.55651457210071342</v>
      </c>
      <c r="G54" s="445">
        <f t="shared" si="18"/>
        <v>-1.233822429495703</v>
      </c>
      <c r="H54" s="445">
        <f t="shared" si="19"/>
        <v>0</v>
      </c>
      <c r="I54" s="445">
        <f t="shared" si="20"/>
        <v>0</v>
      </c>
      <c r="J54" s="447"/>
      <c r="K54" s="447"/>
      <c r="L54" s="447"/>
      <c r="M54" s="445">
        <f t="shared" si="21"/>
        <v>-0.20792197073145147</v>
      </c>
      <c r="N54" s="565">
        <f t="shared" si="22"/>
        <v>0.47902259452295937</v>
      </c>
      <c r="O54" s="565">
        <f t="shared" si="23"/>
        <v>0</v>
      </c>
      <c r="Q54" s="553">
        <f t="shared" si="43"/>
        <v>38398</v>
      </c>
      <c r="R54" s="445">
        <f t="shared" si="25"/>
        <v>1.6790441859396474</v>
      </c>
      <c r="S54" s="565">
        <f t="shared" si="26"/>
        <v>-89.814748580456865</v>
      </c>
      <c r="T54" s="565">
        <f t="shared" si="35"/>
        <v>-23.343485427899285</v>
      </c>
      <c r="U54" s="565">
        <f t="shared" si="36"/>
        <v>114.56617757050429</v>
      </c>
      <c r="V54" s="565">
        <f t="shared" si="5"/>
        <v>0</v>
      </c>
      <c r="W54" s="565">
        <f t="shared" si="6"/>
        <v>0</v>
      </c>
      <c r="X54" s="565">
        <f t="shared" si="27"/>
        <v>11.292078029268549</v>
      </c>
      <c r="Y54" s="445">
        <f t="shared" si="28"/>
        <v>-11.020977405477041</v>
      </c>
      <c r="Z54" s="565">
        <f t="shared" si="29"/>
        <v>0</v>
      </c>
      <c r="AB54" s="553">
        <f t="shared" si="30"/>
        <v>38398</v>
      </c>
      <c r="AC54" s="571">
        <f t="shared" si="37"/>
        <v>1.2</v>
      </c>
      <c r="AD54" s="565">
        <f t="shared" si="38"/>
        <v>89.3</v>
      </c>
      <c r="AE54" s="565">
        <f t="shared" si="39"/>
        <v>23.9</v>
      </c>
      <c r="AF54" s="565">
        <f t="shared" si="40"/>
        <v>-115.8</v>
      </c>
      <c r="AG54" s="565">
        <f t="shared" si="41"/>
        <v>0</v>
      </c>
      <c r="AH54" s="565">
        <f t="shared" si="42"/>
        <v>0</v>
      </c>
      <c r="AI54" s="565">
        <f t="shared" si="31"/>
        <v>-11.5</v>
      </c>
      <c r="AJ54" s="445">
        <f t="shared" si="32"/>
        <v>11.5</v>
      </c>
      <c r="AK54" s="565">
        <f t="shared" si="33"/>
        <v>0</v>
      </c>
      <c r="AM54" s="593">
        <f>LongTerm1!D59</f>
        <v>38398</v>
      </c>
      <c r="AN54" s="594">
        <f>(LongTerm1!BM59+LongTerm1!BL59/(1-LongTerm1!AR59))*(LongTerm1!F59*LongTerm1!AF59*LongTerm1!AH59)/10000</f>
        <v>2.2421033406731983</v>
      </c>
      <c r="AO54" s="594">
        <f>LongTerm1!BM59*(LongTerm1!F59*LongTerm1!AF59*LongTerm1!AH59)/10000</f>
        <v>92.056851921130061</v>
      </c>
      <c r="AP54" s="594">
        <f>(LongTerm1!BL59/(1-LongTerm1!AR59))*(LongTerm1!F59*LongTerm1!AF59*LongTerm1!AH59)/10000</f>
        <v>-89.814748580456865</v>
      </c>
      <c r="AQ54" s="434"/>
      <c r="AV54" s="435"/>
      <c r="AW54" s="435"/>
      <c r="AX54" s="435"/>
      <c r="AY54" s="435"/>
      <c r="AZ54" s="435"/>
      <c r="BA54" s="435"/>
      <c r="BB54" s="435"/>
      <c r="BC54" s="435"/>
      <c r="BD54" s="435"/>
      <c r="BE54" s="435"/>
      <c r="BF54" s="435"/>
      <c r="BG54" s="593">
        <f>LongTerm25!D59</f>
        <v>38457</v>
      </c>
      <c r="BH54" s="594">
        <f>(LongTerm25!BM59+LongTerm25!BL59/(1-LongTerm25!AR59))*(LongTerm25!F59*LongTerm25!AF59*LongTerm25!AH59)/10000</f>
        <v>-0.89116192784892501</v>
      </c>
      <c r="BI54" s="594">
        <f>LongTerm25!BM59*(LongTerm25!F59*LongTerm25!AF59*LongTerm25!AH59)/10000</f>
        <v>23.918408881950139</v>
      </c>
      <c r="BJ54" s="594">
        <f>(LongTerm25!BL59/(1-LongTerm25!AR59))*(LongTerm25!F59*LongTerm25!AF59*LongTerm25!AH59)/10000</f>
        <v>-24.809570809799066</v>
      </c>
      <c r="BK54" s="435"/>
      <c r="BL54" s="435"/>
      <c r="BM54" s="435"/>
      <c r="BN54" s="435"/>
      <c r="BP54" s="596">
        <f>LongTerm62!D59</f>
        <v>38398</v>
      </c>
      <c r="BQ54" s="594">
        <f>(LongTerm62!$BM59+LongTerm62!$BL59/(1-LongTerm62!$AR59))*(LongTerm62!$F59*LongTerm62!$AF59*LongTerm62!$AH59)/10000</f>
        <v>0.27110062379150829</v>
      </c>
      <c r="BR54" s="594">
        <f>LongTerm62!$BM59*(LongTerm62!$F59*LongTerm62!$AF59*LongTerm62!$AH59)/10000</f>
        <v>11.292078029268549</v>
      </c>
      <c r="BS54" s="594">
        <f>(LongTerm62!$BL59/(1-LongTerm62!$AR59))*(LongTerm62!$F59*LongTerm62!$AF59*LongTerm62!$AH59)/10000</f>
        <v>-11.020977405477041</v>
      </c>
      <c r="BT54" s="447"/>
      <c r="BU54" s="596">
        <f>LongTerm107!D59</f>
        <v>37575</v>
      </c>
      <c r="BV54" s="594">
        <f>(LongTerm107!$BM59+LongTerm107!$BL59/(1-LongTerm107!$AR59))*(LongTerm107!$F59*LongTerm107!$AF59*LongTerm107!$AH59)/10000</f>
        <v>0</v>
      </c>
      <c r="BW54" s="594">
        <f>LongTerm107!$BM59*(LongTerm107!$F59*LongTerm107!$AF59*LongTerm107!$AH59)/10000</f>
        <v>0</v>
      </c>
      <c r="BX54" s="594">
        <f>(LongTerm107!$BL59/(1-LongTerm107!$AR59))*(LongTerm107!$F59*LongTerm107!$AF59*LongTerm107!$AH59)/10000</f>
        <v>0</v>
      </c>
      <c r="BY54" s="599"/>
      <c r="BZ54" s="596">
        <f>LongTerm108!D59</f>
        <v>37940</v>
      </c>
      <c r="CA54" s="594">
        <f>(LongTerm108!$BM59+LongTerm108!$BL59/(1-LongTerm108!$AR59))*(LongTerm108!$F59*LongTerm108!$AF59*LongTerm108!$AH59)/10000</f>
        <v>0</v>
      </c>
      <c r="CB54" s="594">
        <f>LongTerm108!$BM59*(LongTerm108!$F59*LongTerm108!$AF59*LongTerm108!$AH59)/10000</f>
        <v>0</v>
      </c>
      <c r="CC54" s="594">
        <f>(LongTerm108!$BL59/(1-LongTerm108!$AR59))*(LongTerm108!$F59*LongTerm108!$AF59*LongTerm108!$AH59)/10000</f>
        <v>0</v>
      </c>
      <c r="CD54" s="492"/>
      <c r="CE54" s="595">
        <f t="shared" si="44"/>
        <v>38153</v>
      </c>
      <c r="CF54" s="583">
        <v>26.6</v>
      </c>
      <c r="CG54" s="583">
        <v>149.30000000000001</v>
      </c>
      <c r="CH54" s="583">
        <v>-174.4</v>
      </c>
      <c r="CI54" s="583">
        <v>0</v>
      </c>
      <c r="CJ54" s="583">
        <v>0</v>
      </c>
      <c r="CK54" s="583">
        <v>0.9</v>
      </c>
      <c r="CL54" s="583">
        <v>0</v>
      </c>
      <c r="CM54" s="583">
        <v>0</v>
      </c>
      <c r="CN54" s="583">
        <v>0</v>
      </c>
    </row>
    <row r="55" spans="2:92" x14ac:dyDescent="0.25">
      <c r="B55" s="553">
        <f t="shared" si="13"/>
        <v>38426</v>
      </c>
      <c r="C55" s="435">
        <f t="shared" si="14"/>
        <v>2005</v>
      </c>
      <c r="D55" s="445">
        <f t="shared" si="15"/>
        <v>1.867564305373085</v>
      </c>
      <c r="E55" s="445">
        <f t="shared" si="16"/>
        <v>-0.93412025508042973</v>
      </c>
      <c r="F55" s="445">
        <f t="shared" si="17"/>
        <v>0.45866011796783823</v>
      </c>
      <c r="G55" s="445">
        <f t="shared" si="18"/>
        <v>-0.33976921905792778</v>
      </c>
      <c r="H55" s="445">
        <f t="shared" si="19"/>
        <v>0</v>
      </c>
      <c r="I55" s="445">
        <f t="shared" si="20"/>
        <v>0</v>
      </c>
      <c r="J55" s="447"/>
      <c r="K55" s="447"/>
      <c r="L55" s="447"/>
      <c r="M55" s="445">
        <f t="shared" si="21"/>
        <v>-0.21845165108285336</v>
      </c>
      <c r="N55" s="565">
        <f t="shared" si="22"/>
        <v>0.40124531262645569</v>
      </c>
      <c r="O55" s="565">
        <f t="shared" si="23"/>
        <v>0</v>
      </c>
      <c r="Q55" s="553">
        <f t="shared" si="43"/>
        <v>38426</v>
      </c>
      <c r="R55" s="445">
        <f t="shared" si="25"/>
        <v>0.66756430537308509</v>
      </c>
      <c r="S55" s="565">
        <f t="shared" si="26"/>
        <v>-111.93412025508043</v>
      </c>
      <c r="T55" s="565">
        <f t="shared" si="35"/>
        <v>-25.741339882032161</v>
      </c>
      <c r="U55" s="565">
        <f t="shared" si="36"/>
        <v>138.16023078094207</v>
      </c>
      <c r="V55" s="565">
        <f t="shared" si="5"/>
        <v>0</v>
      </c>
      <c r="W55" s="565">
        <f t="shared" si="6"/>
        <v>0</v>
      </c>
      <c r="X55" s="565">
        <f t="shared" si="27"/>
        <v>12.381548348917146</v>
      </c>
      <c r="Y55" s="445">
        <f t="shared" si="28"/>
        <v>-12.198754687373544</v>
      </c>
      <c r="Z55" s="565">
        <f t="shared" si="29"/>
        <v>0</v>
      </c>
      <c r="AB55" s="553">
        <f t="shared" si="30"/>
        <v>38426</v>
      </c>
      <c r="AC55" s="571">
        <f t="shared" si="37"/>
        <v>1.2</v>
      </c>
      <c r="AD55" s="565">
        <f t="shared" si="38"/>
        <v>111</v>
      </c>
      <c r="AE55" s="565">
        <f t="shared" si="39"/>
        <v>26.2</v>
      </c>
      <c r="AF55" s="565">
        <f t="shared" si="40"/>
        <v>-138.5</v>
      </c>
      <c r="AG55" s="565">
        <f t="shared" si="41"/>
        <v>0</v>
      </c>
      <c r="AH55" s="565">
        <f t="shared" si="42"/>
        <v>0</v>
      </c>
      <c r="AI55" s="565">
        <f t="shared" si="31"/>
        <v>-12.6</v>
      </c>
      <c r="AJ55" s="445">
        <f t="shared" si="32"/>
        <v>12.6</v>
      </c>
      <c r="AK55" s="565">
        <f t="shared" si="33"/>
        <v>0</v>
      </c>
      <c r="AM55" s="593">
        <f>LongTerm1!D60</f>
        <v>38426</v>
      </c>
      <c r="AN55" s="594">
        <f>(LongTerm1!BM60+LongTerm1!BL60/(1-LongTerm1!AR60))*(LongTerm1!F60*LongTerm1!AF60*LongTerm1!AH60)/10000</f>
        <v>1.4063488117522991</v>
      </c>
      <c r="AO55" s="594">
        <f>LongTerm1!BM60*(LongTerm1!F60*LongTerm1!AF60*LongTerm1!AH60)/10000</f>
        <v>113.34046906683272</v>
      </c>
      <c r="AP55" s="594">
        <f>(LongTerm1!BL60/(1-LongTerm1!AR60))*(LongTerm1!F60*LongTerm1!AF60*LongTerm1!AH60)/10000</f>
        <v>-111.93412025508043</v>
      </c>
      <c r="AQ55" s="434"/>
      <c r="AV55" s="435"/>
      <c r="AW55" s="435"/>
      <c r="AX55" s="435"/>
      <c r="AY55" s="435"/>
      <c r="AZ55" s="435"/>
      <c r="BA55" s="435"/>
      <c r="BB55" s="435"/>
      <c r="BC55" s="435"/>
      <c r="BD55" s="435"/>
      <c r="BE55" s="435"/>
      <c r="BF55" s="435"/>
      <c r="BG55" s="593">
        <f>LongTerm25!D60</f>
        <v>38487</v>
      </c>
      <c r="BH55" s="594">
        <f>(LongTerm25!BM60+LongTerm25!BL60/(1-LongTerm25!AR60))*(LongTerm25!F60*LongTerm25!AF60*LongTerm25!AH60)/10000</f>
        <v>-0.9150225474174104</v>
      </c>
      <c r="BI55" s="594">
        <f>LongTerm25!BM60*(LongTerm25!F60*LongTerm25!AF60*LongTerm25!AH60)/10000</f>
        <v>24.577256448392873</v>
      </c>
      <c r="BJ55" s="594">
        <f>(LongTerm25!BL60/(1-LongTerm25!AR60))*(LongTerm25!F60*LongTerm25!AF60*LongTerm25!AH60)/10000</f>
        <v>-25.492278995810285</v>
      </c>
      <c r="BK55" s="435"/>
      <c r="BL55" s="435"/>
      <c r="BM55" s="435"/>
      <c r="BN55" s="435"/>
      <c r="BP55" s="596">
        <f>LongTerm62!D60</f>
        <v>38426</v>
      </c>
      <c r="BQ55" s="594">
        <f>(LongTerm62!$BM60+LongTerm62!$BL60/(1-LongTerm62!$AR60))*(LongTerm62!$F60*LongTerm62!$AF60*LongTerm62!$AH60)/10000</f>
        <v>0.18279366154360216</v>
      </c>
      <c r="BR55" s="594">
        <f>LongTerm62!$BM60*(LongTerm62!$F60*LongTerm62!$AF60*LongTerm62!$AH60)/10000</f>
        <v>12.381548348917146</v>
      </c>
      <c r="BS55" s="594">
        <f>(LongTerm62!$BL60/(1-LongTerm62!$AR60))*(LongTerm62!$F60*LongTerm62!$AF60*LongTerm62!$AH60)/10000</f>
        <v>-12.198754687373544</v>
      </c>
      <c r="BT55" s="447"/>
      <c r="BU55" s="596">
        <f>LongTerm107!D60</f>
        <v>37575</v>
      </c>
      <c r="BV55" s="594">
        <f>(LongTerm107!$BM60+LongTerm107!$BL60/(1-LongTerm107!$AR60))*(LongTerm107!$F60*LongTerm107!$AF60*LongTerm107!$AH60)/10000</f>
        <v>0</v>
      </c>
      <c r="BW55" s="594">
        <f>LongTerm107!$BM60*(LongTerm107!$F60*LongTerm107!$AF60*LongTerm107!$AH60)/10000</f>
        <v>0</v>
      </c>
      <c r="BX55" s="594">
        <f>(LongTerm107!$BL60/(1-LongTerm107!$AR60))*(LongTerm107!$F60*LongTerm107!$AF60*LongTerm107!$AH60)/10000</f>
        <v>0</v>
      </c>
      <c r="BY55" s="599"/>
      <c r="BZ55" s="596">
        <f>LongTerm108!D60</f>
        <v>37940</v>
      </c>
      <c r="CA55" s="594">
        <f>(LongTerm108!$BM60+LongTerm108!$BL60/(1-LongTerm108!$AR60))*(LongTerm108!$F60*LongTerm108!$AF60*LongTerm108!$AH60)/10000</f>
        <v>0</v>
      </c>
      <c r="CB55" s="594">
        <f>LongTerm108!$BM60*(LongTerm108!$F60*LongTerm108!$AF60*LongTerm108!$AH60)/10000</f>
        <v>0</v>
      </c>
      <c r="CC55" s="594">
        <f>(LongTerm108!$BL60/(1-LongTerm108!$AR60))*(LongTerm108!$F60*LongTerm108!$AF60*LongTerm108!$AH60)/10000</f>
        <v>0</v>
      </c>
      <c r="CD55" s="492"/>
      <c r="CE55" s="595">
        <f t="shared" si="44"/>
        <v>38183</v>
      </c>
      <c r="CF55" s="583">
        <v>26.7</v>
      </c>
      <c r="CG55" s="583">
        <v>149.6</v>
      </c>
      <c r="CH55" s="583">
        <v>-174.9</v>
      </c>
      <c r="CI55" s="583">
        <v>0</v>
      </c>
      <c r="CJ55" s="583">
        <v>0</v>
      </c>
      <c r="CK55" s="583">
        <v>0.9</v>
      </c>
      <c r="CL55" s="583">
        <v>0</v>
      </c>
      <c r="CM55" s="583">
        <v>0</v>
      </c>
      <c r="CN55" s="583">
        <v>0</v>
      </c>
    </row>
    <row r="56" spans="2:92" x14ac:dyDescent="0.25">
      <c r="B56" s="553">
        <f t="shared" si="13"/>
        <v>38457</v>
      </c>
      <c r="C56" s="435">
        <f t="shared" si="14"/>
        <v>2005</v>
      </c>
      <c r="D56" s="445">
        <f t="shared" si="15"/>
        <v>-1.021825321948459</v>
      </c>
      <c r="E56" s="445">
        <f t="shared" si="16"/>
        <v>-5.621506614836818</v>
      </c>
      <c r="F56" s="445">
        <f t="shared" si="17"/>
        <v>-0.10957080979906664</v>
      </c>
      <c r="G56" s="445">
        <f t="shared" si="18"/>
        <v>-1.290747897312599</v>
      </c>
      <c r="H56" s="445">
        <f t="shared" si="19"/>
        <v>0</v>
      </c>
      <c r="I56" s="445">
        <f t="shared" si="20"/>
        <v>0</v>
      </c>
      <c r="J56" s="447"/>
      <c r="K56" s="447"/>
      <c r="L56" s="447"/>
      <c r="M56" s="445">
        <f t="shared" si="21"/>
        <v>0</v>
      </c>
      <c r="N56" s="565">
        <f t="shared" si="22"/>
        <v>0</v>
      </c>
      <c r="O56" s="565">
        <f t="shared" si="23"/>
        <v>0</v>
      </c>
      <c r="Q56" s="553">
        <f t="shared" si="43"/>
        <v>38457</v>
      </c>
      <c r="R56" s="445">
        <f t="shared" si="25"/>
        <v>-2.2218253219484589</v>
      </c>
      <c r="S56" s="565">
        <f t="shared" si="26"/>
        <v>-148.52150661483682</v>
      </c>
      <c r="T56" s="565">
        <f t="shared" si="35"/>
        <v>-24.809570809799066</v>
      </c>
      <c r="U56" s="565">
        <f t="shared" si="36"/>
        <v>171.10925210268741</v>
      </c>
      <c r="V56" s="565">
        <f t="shared" si="5"/>
        <v>0</v>
      </c>
      <c r="W56" s="565">
        <f t="shared" si="6"/>
        <v>0</v>
      </c>
      <c r="X56" s="565">
        <f t="shared" si="27"/>
        <v>0</v>
      </c>
      <c r="Y56" s="445">
        <f t="shared" si="28"/>
        <v>0</v>
      </c>
      <c r="Z56" s="565">
        <f t="shared" si="29"/>
        <v>0</v>
      </c>
      <c r="AB56" s="553">
        <f t="shared" si="30"/>
        <v>38457</v>
      </c>
      <c r="AC56" s="571">
        <f t="shared" si="37"/>
        <v>1.2</v>
      </c>
      <c r="AD56" s="565">
        <f t="shared" si="38"/>
        <v>142.9</v>
      </c>
      <c r="AE56" s="565">
        <f t="shared" si="39"/>
        <v>24.7</v>
      </c>
      <c r="AF56" s="565">
        <f t="shared" si="40"/>
        <v>-172.4</v>
      </c>
      <c r="AG56" s="565">
        <f t="shared" si="41"/>
        <v>0</v>
      </c>
      <c r="AH56" s="565">
        <f t="shared" si="42"/>
        <v>0</v>
      </c>
      <c r="AI56" s="565">
        <f t="shared" si="31"/>
        <v>0</v>
      </c>
      <c r="AJ56" s="445">
        <f t="shared" si="32"/>
        <v>0</v>
      </c>
      <c r="AK56" s="565">
        <f t="shared" si="33"/>
        <v>0</v>
      </c>
      <c r="AM56" s="593">
        <f>LongTerm1!D61</f>
        <v>38457</v>
      </c>
      <c r="AN56" s="594">
        <f>(LongTerm1!BM61+LongTerm1!BL61/(1-LongTerm1!AR61))*(LongTerm1!F61*LongTerm1!AF61*LongTerm1!AH61)/10000</f>
        <v>-1.3306633940995338</v>
      </c>
      <c r="AO56" s="594">
        <f>LongTerm1!BM61*(LongTerm1!F61*LongTerm1!AF61*LongTerm1!AH61)/10000</f>
        <v>147.19084322073726</v>
      </c>
      <c r="AP56" s="594">
        <f>(LongTerm1!BL61/(1-LongTerm1!AR61))*(LongTerm1!F61*LongTerm1!AF61*LongTerm1!AH61)/10000</f>
        <v>-148.52150661483682</v>
      </c>
      <c r="AQ56" s="434"/>
      <c r="AV56" s="435"/>
      <c r="AW56" s="435"/>
      <c r="AX56" s="435"/>
      <c r="AY56" s="435"/>
      <c r="AZ56" s="435"/>
      <c r="BA56" s="435"/>
      <c r="BB56" s="435"/>
      <c r="BC56" s="435"/>
      <c r="BD56" s="435"/>
      <c r="BE56" s="435"/>
      <c r="BF56" s="435"/>
      <c r="BG56" s="593">
        <f>LongTerm25!D61</f>
        <v>38518</v>
      </c>
      <c r="BH56" s="594">
        <f>(LongTerm25!BM61+LongTerm25!BL61/(1-LongTerm25!AR61))*(LongTerm25!F61*LongTerm25!AF61*LongTerm25!AH61)/10000</f>
        <v>-0.8797651668576848</v>
      </c>
      <c r="BI56" s="594">
        <f>LongTerm25!BM61*(LongTerm25!F61*LongTerm25!AF61*LongTerm25!AH61)/10000</f>
        <v>23.645735085947987</v>
      </c>
      <c r="BJ56" s="594">
        <f>(LongTerm25!BL61/(1-LongTerm25!AR61))*(LongTerm25!F61*LongTerm25!AF61*LongTerm25!AH61)/10000</f>
        <v>-24.525500252805671</v>
      </c>
      <c r="BK56" s="435"/>
      <c r="BL56" s="435"/>
      <c r="BM56" s="435"/>
      <c r="BN56" s="435"/>
      <c r="BP56" s="596">
        <f>LongTerm62!D61</f>
        <v>38457</v>
      </c>
      <c r="BQ56" s="594">
        <f>(LongTerm62!$BM61+LongTerm62!$BL61/(1-LongTerm62!$AR61))*(LongTerm62!$F61*LongTerm62!$AF61*LongTerm62!$AH61)/10000</f>
        <v>0</v>
      </c>
      <c r="BR56" s="594">
        <f>LongTerm62!$BM61*(LongTerm62!$F61*LongTerm62!$AF61*LongTerm62!$AH61)/10000</f>
        <v>0</v>
      </c>
      <c r="BS56" s="594">
        <f>(LongTerm62!$BL61/(1-LongTerm62!$AR61))*(LongTerm62!$F61*LongTerm62!$AF61*LongTerm62!$AH61)/10000</f>
        <v>0</v>
      </c>
      <c r="BT56" s="447"/>
      <c r="BU56" s="596">
        <f>LongTerm107!D61</f>
        <v>37575</v>
      </c>
      <c r="BV56" s="594">
        <f>(LongTerm107!$BM61+LongTerm107!$BL61/(1-LongTerm107!$AR61))*(LongTerm107!$F61*LongTerm107!$AF61*LongTerm107!$AH61)/10000</f>
        <v>0</v>
      </c>
      <c r="BW56" s="594">
        <f>LongTerm107!$BM61*(LongTerm107!$F61*LongTerm107!$AF61*LongTerm107!$AH61)/10000</f>
        <v>0</v>
      </c>
      <c r="BX56" s="594">
        <f>(LongTerm107!$BL61/(1-LongTerm107!$AR61))*(LongTerm107!$F61*LongTerm107!$AF61*LongTerm107!$AH61)/10000</f>
        <v>0</v>
      </c>
      <c r="BY56" s="599"/>
      <c r="BZ56" s="596">
        <f>LongTerm108!D61</f>
        <v>37940</v>
      </c>
      <c r="CA56" s="594">
        <f>(LongTerm108!$BM61+LongTerm108!$BL61/(1-LongTerm108!$AR61))*(LongTerm108!$F61*LongTerm108!$AF61*LongTerm108!$AH61)/10000</f>
        <v>0</v>
      </c>
      <c r="CB56" s="594">
        <f>LongTerm108!$BM61*(LongTerm108!$F61*LongTerm108!$AF61*LongTerm108!$AH61)/10000</f>
        <v>0</v>
      </c>
      <c r="CC56" s="594">
        <f>(LongTerm108!$BL61/(1-LongTerm108!$AR61))*(LongTerm108!$F61*LongTerm108!$AF61*LongTerm108!$AH61)/10000</f>
        <v>0</v>
      </c>
      <c r="CD56" s="492"/>
      <c r="CE56" s="595">
        <f t="shared" si="44"/>
        <v>38214</v>
      </c>
      <c r="CF56" s="583">
        <v>26.4</v>
      </c>
      <c r="CG56" s="583">
        <v>144.4</v>
      </c>
      <c r="CH56" s="583">
        <v>-170.3</v>
      </c>
      <c r="CI56" s="583">
        <v>0</v>
      </c>
      <c r="CJ56" s="583">
        <v>0</v>
      </c>
      <c r="CK56" s="583">
        <v>0.9</v>
      </c>
      <c r="CL56" s="583">
        <v>0</v>
      </c>
      <c r="CM56" s="583">
        <v>0</v>
      </c>
      <c r="CN56" s="583">
        <v>0</v>
      </c>
    </row>
    <row r="57" spans="2:92" x14ac:dyDescent="0.25">
      <c r="B57" s="553">
        <f t="shared" si="13"/>
        <v>38487</v>
      </c>
      <c r="C57" s="435">
        <f t="shared" si="14"/>
        <v>2005</v>
      </c>
      <c r="D57" s="445">
        <f t="shared" si="15"/>
        <v>-0.81002518565878856</v>
      </c>
      <c r="E57" s="445">
        <f t="shared" si="16"/>
        <v>-1.0573725198411523</v>
      </c>
      <c r="F57" s="445">
        <f t="shared" si="17"/>
        <v>0.10772100418971675</v>
      </c>
      <c r="G57" s="445">
        <f t="shared" si="18"/>
        <v>-0.66037367000734548</v>
      </c>
      <c r="H57" s="445">
        <f t="shared" si="19"/>
        <v>0</v>
      </c>
      <c r="I57" s="445">
        <f t="shared" si="20"/>
        <v>0</v>
      </c>
      <c r="J57" s="447"/>
      <c r="K57" s="447"/>
      <c r="L57" s="447"/>
      <c r="M57" s="445">
        <f t="shared" si="21"/>
        <v>0</v>
      </c>
      <c r="N57" s="565">
        <f t="shared" si="22"/>
        <v>0</v>
      </c>
      <c r="O57" s="565">
        <f t="shared" si="23"/>
        <v>0</v>
      </c>
      <c r="Q57" s="553">
        <f t="shared" si="43"/>
        <v>38487</v>
      </c>
      <c r="R57" s="445">
        <f t="shared" si="25"/>
        <v>-2.0100251856587885</v>
      </c>
      <c r="S57" s="565">
        <f t="shared" si="26"/>
        <v>-148.55737251984115</v>
      </c>
      <c r="T57" s="565">
        <f t="shared" si="35"/>
        <v>-25.492278995810285</v>
      </c>
      <c r="U57" s="565">
        <f t="shared" si="36"/>
        <v>172.03962632999264</v>
      </c>
      <c r="V57" s="565">
        <f t="shared" si="5"/>
        <v>0</v>
      </c>
      <c r="W57" s="565">
        <f t="shared" si="6"/>
        <v>0</v>
      </c>
      <c r="X57" s="565">
        <f t="shared" si="27"/>
        <v>0</v>
      </c>
      <c r="Y57" s="445">
        <f t="shared" si="28"/>
        <v>0</v>
      </c>
      <c r="Z57" s="565">
        <f t="shared" si="29"/>
        <v>0</v>
      </c>
      <c r="AB57" s="553">
        <f t="shared" si="30"/>
        <v>38487</v>
      </c>
      <c r="AC57" s="571">
        <f t="shared" si="37"/>
        <v>1.2</v>
      </c>
      <c r="AD57" s="565">
        <f t="shared" si="38"/>
        <v>147.5</v>
      </c>
      <c r="AE57" s="565">
        <f t="shared" si="39"/>
        <v>25.6</v>
      </c>
      <c r="AF57" s="565">
        <f t="shared" si="40"/>
        <v>-172.7</v>
      </c>
      <c r="AG57" s="565">
        <f t="shared" si="41"/>
        <v>0</v>
      </c>
      <c r="AH57" s="565">
        <f t="shared" si="42"/>
        <v>0</v>
      </c>
      <c r="AI57" s="565">
        <f t="shared" si="31"/>
        <v>0</v>
      </c>
      <c r="AJ57" s="445">
        <f t="shared" si="32"/>
        <v>0</v>
      </c>
      <c r="AK57" s="565">
        <f t="shared" si="33"/>
        <v>0</v>
      </c>
      <c r="AM57" s="593">
        <f>LongTerm1!D62</f>
        <v>38487</v>
      </c>
      <c r="AN57" s="594">
        <f>(LongTerm1!BM62+LongTerm1!BL62/(1-LongTerm1!AR62))*(LongTerm1!F62*LongTerm1!AF62*LongTerm1!AH62)/10000</f>
        <v>-1.095002638241378</v>
      </c>
      <c r="AO57" s="594">
        <f>LongTerm1!BM62*(LongTerm1!F62*LongTerm1!AF62*LongTerm1!AH62)/10000</f>
        <v>147.46236988159976</v>
      </c>
      <c r="AP57" s="594">
        <f>(LongTerm1!BL62/(1-LongTerm1!AR62))*(LongTerm1!F62*LongTerm1!AF62*LongTerm1!AH62)/10000</f>
        <v>-148.55737251984115</v>
      </c>
      <c r="AQ57" s="434"/>
      <c r="AV57" s="435"/>
      <c r="AW57" s="435"/>
      <c r="AX57" s="435"/>
      <c r="AY57" s="435"/>
      <c r="AZ57" s="435"/>
      <c r="BA57" s="435"/>
      <c r="BB57" s="435"/>
      <c r="BC57" s="435"/>
      <c r="BD57" s="435"/>
      <c r="BE57" s="435"/>
      <c r="BF57" s="435"/>
      <c r="BG57" s="593">
        <f>LongTerm25!D62</f>
        <v>38548</v>
      </c>
      <c r="BH57" s="594">
        <f>(LongTerm25!BM62+LongTerm25!BL62/(1-LongTerm25!AR62))*(LongTerm25!F62*LongTerm25!AF62*LongTerm25!AH62)/10000</f>
        <v>-0.90156107203678548</v>
      </c>
      <c r="BI57" s="594">
        <f>LongTerm25!BM62*(LongTerm25!F62*LongTerm25!AF62*LongTerm25!AH62)/10000</f>
        <v>24.280712360239942</v>
      </c>
      <c r="BJ57" s="594">
        <f>(LongTerm25!BL62/(1-LongTerm25!AR62))*(LongTerm25!F62*LongTerm25!AF62*LongTerm25!AH62)/10000</f>
        <v>-25.18227343227673</v>
      </c>
      <c r="BK57" s="435"/>
      <c r="BL57" s="435"/>
      <c r="BM57" s="435"/>
      <c r="BN57" s="435"/>
      <c r="BP57" s="596">
        <f>LongTerm62!D62</f>
        <v>38487</v>
      </c>
      <c r="BQ57" s="594">
        <f>(LongTerm62!$BM62+LongTerm62!$BL62/(1-LongTerm62!$AR62))*(LongTerm62!$F62*LongTerm62!$AF62*LongTerm62!$AH62)/10000</f>
        <v>0</v>
      </c>
      <c r="BR57" s="594">
        <f>LongTerm62!$BM62*(LongTerm62!$F62*LongTerm62!$AF62*LongTerm62!$AH62)/10000</f>
        <v>0</v>
      </c>
      <c r="BS57" s="594">
        <f>(LongTerm62!$BL62/(1-LongTerm62!$AR62))*(LongTerm62!$F62*LongTerm62!$AF62*LongTerm62!$AH62)/10000</f>
        <v>0</v>
      </c>
      <c r="BT57" s="447"/>
      <c r="BU57" s="596">
        <f>LongTerm107!D62</f>
        <v>37575</v>
      </c>
      <c r="BV57" s="594">
        <f>(LongTerm107!$BM62+LongTerm107!$BL62/(1-LongTerm107!$AR62))*(LongTerm107!$F62*LongTerm107!$AF62*LongTerm107!$AH62)/10000</f>
        <v>0</v>
      </c>
      <c r="BW57" s="594">
        <f>LongTerm107!$BM62*(LongTerm107!$F62*LongTerm107!$AF62*LongTerm107!$AH62)/10000</f>
        <v>0</v>
      </c>
      <c r="BX57" s="594">
        <f>(LongTerm107!$BL62/(1-LongTerm107!$AR62))*(LongTerm107!$F62*LongTerm107!$AF62*LongTerm107!$AH62)/10000</f>
        <v>0</v>
      </c>
      <c r="BY57" s="599"/>
      <c r="BZ57" s="596">
        <f>LongTerm108!D62</f>
        <v>37940</v>
      </c>
      <c r="CA57" s="594">
        <f>(LongTerm108!$BM62+LongTerm108!$BL62/(1-LongTerm108!$AR62))*(LongTerm108!$F62*LongTerm108!$AF62*LongTerm108!$AH62)/10000</f>
        <v>0</v>
      </c>
      <c r="CB57" s="594">
        <f>LongTerm108!$BM62*(LongTerm108!$F62*LongTerm108!$AF62*LongTerm108!$AH62)/10000</f>
        <v>0</v>
      </c>
      <c r="CC57" s="594">
        <f>(LongTerm108!$BL62/(1-LongTerm108!$AR62))*(LongTerm108!$F62*LongTerm108!$AF62*LongTerm108!$AH62)/10000</f>
        <v>0</v>
      </c>
      <c r="CD57" s="492"/>
      <c r="CE57" s="595">
        <f t="shared" si="44"/>
        <v>38245</v>
      </c>
      <c r="CF57" s="583">
        <v>25.7</v>
      </c>
      <c r="CG57" s="583">
        <v>139.19999999999999</v>
      </c>
      <c r="CH57" s="583">
        <v>-163.6</v>
      </c>
      <c r="CI57" s="583">
        <v>0</v>
      </c>
      <c r="CJ57" s="583">
        <v>0</v>
      </c>
      <c r="CK57" s="583">
        <v>0.9</v>
      </c>
      <c r="CL57" s="583">
        <v>0</v>
      </c>
      <c r="CM57" s="583">
        <v>0</v>
      </c>
      <c r="CN57" s="583">
        <v>0</v>
      </c>
    </row>
    <row r="58" spans="2:92" x14ac:dyDescent="0.25">
      <c r="B58" s="553">
        <f t="shared" si="13"/>
        <v>38518</v>
      </c>
      <c r="C58" s="435">
        <f t="shared" si="14"/>
        <v>2005</v>
      </c>
      <c r="D58" s="445">
        <f t="shared" si="15"/>
        <v>-0.7470557408460714</v>
      </c>
      <c r="E58" s="445">
        <f t="shared" si="16"/>
        <v>-1.4541170096335065</v>
      </c>
      <c r="F58" s="445">
        <f t="shared" si="17"/>
        <v>0.4744997471943293</v>
      </c>
      <c r="G58" s="445">
        <f t="shared" si="18"/>
        <v>-0.56743847840689909</v>
      </c>
      <c r="H58" s="445">
        <f t="shared" si="19"/>
        <v>0</v>
      </c>
      <c r="I58" s="445">
        <f t="shared" si="20"/>
        <v>0</v>
      </c>
      <c r="J58" s="447"/>
      <c r="K58" s="447"/>
      <c r="L58" s="447"/>
      <c r="M58" s="445">
        <f t="shared" si="21"/>
        <v>0</v>
      </c>
      <c r="N58" s="565">
        <f t="shared" si="22"/>
        <v>0</v>
      </c>
      <c r="O58" s="565">
        <f t="shared" si="23"/>
        <v>0</v>
      </c>
      <c r="Q58" s="553">
        <f t="shared" si="43"/>
        <v>38518</v>
      </c>
      <c r="R58" s="445">
        <f t="shared" si="25"/>
        <v>-1.9470557408460714</v>
      </c>
      <c r="S58" s="565">
        <f t="shared" si="26"/>
        <v>-143.0541170096335</v>
      </c>
      <c r="T58" s="565">
        <f t="shared" si="35"/>
        <v>-24.525500252805671</v>
      </c>
      <c r="U58" s="565">
        <f t="shared" si="36"/>
        <v>165.63256152159309</v>
      </c>
      <c r="V58" s="565">
        <f t="shared" si="5"/>
        <v>0</v>
      </c>
      <c r="W58" s="565">
        <f t="shared" si="6"/>
        <v>0</v>
      </c>
      <c r="X58" s="565">
        <f t="shared" si="27"/>
        <v>0</v>
      </c>
      <c r="Y58" s="445">
        <f t="shared" si="28"/>
        <v>0</v>
      </c>
      <c r="Z58" s="565">
        <f t="shared" si="29"/>
        <v>0</v>
      </c>
      <c r="AB58" s="553">
        <f t="shared" si="30"/>
        <v>38518</v>
      </c>
      <c r="AC58" s="571">
        <f t="shared" si="37"/>
        <v>1.2</v>
      </c>
      <c r="AD58" s="565">
        <f t="shared" si="38"/>
        <v>141.6</v>
      </c>
      <c r="AE58" s="565">
        <f t="shared" si="39"/>
        <v>25</v>
      </c>
      <c r="AF58" s="565">
        <f t="shared" si="40"/>
        <v>-166.2</v>
      </c>
      <c r="AG58" s="565">
        <f t="shared" si="41"/>
        <v>0</v>
      </c>
      <c r="AH58" s="565">
        <f t="shared" si="42"/>
        <v>0</v>
      </c>
      <c r="AI58" s="565">
        <f t="shared" si="31"/>
        <v>0</v>
      </c>
      <c r="AJ58" s="445">
        <f t="shared" si="32"/>
        <v>0</v>
      </c>
      <c r="AK58" s="565">
        <f t="shared" si="33"/>
        <v>0</v>
      </c>
      <c r="AM58" s="593">
        <f>LongTerm1!D63</f>
        <v>38518</v>
      </c>
      <c r="AN58" s="594">
        <f>(LongTerm1!BM63+LongTerm1!BL63/(1-LongTerm1!AR63))*(LongTerm1!F63*LongTerm1!AF63*LongTerm1!AH63)/10000</f>
        <v>-1.0672905739883864</v>
      </c>
      <c r="AO58" s="594">
        <f>LongTerm1!BM63*(LongTerm1!F63*LongTerm1!AF63*LongTerm1!AH63)/10000</f>
        <v>141.9868264356451</v>
      </c>
      <c r="AP58" s="594">
        <f>(LongTerm1!BL63/(1-LongTerm1!AR63))*(LongTerm1!F63*LongTerm1!AF63*LongTerm1!AH63)/10000</f>
        <v>-143.0541170096335</v>
      </c>
      <c r="AQ58" s="434"/>
      <c r="AV58" s="435"/>
      <c r="AW58" s="435"/>
      <c r="AX58" s="435"/>
      <c r="AY58" s="435"/>
      <c r="AZ58" s="435"/>
      <c r="BA58" s="435"/>
      <c r="BB58" s="435"/>
      <c r="BC58" s="435"/>
      <c r="BD58" s="435"/>
      <c r="BE58" s="435"/>
      <c r="BF58" s="435"/>
      <c r="BG58" s="593">
        <f>LongTerm25!D63</f>
        <v>38579</v>
      </c>
      <c r="BH58" s="594">
        <f>(LongTerm25!BM63+LongTerm25!BL63/(1-LongTerm25!AR63))*(LongTerm25!F63*LongTerm25!AF63*LongTerm25!AH63)/10000</f>
        <v>-0.88820613066524534</v>
      </c>
      <c r="BI58" s="594">
        <f>LongTerm25!BM63*(LongTerm25!F63*LongTerm25!AF63*LongTerm25!AH63)/10000</f>
        <v>24.076807729506228</v>
      </c>
      <c r="BJ58" s="594">
        <f>(LongTerm25!BL63/(1-LongTerm25!AR63))*(LongTerm25!F63*LongTerm25!AF63*LongTerm25!AH63)/10000</f>
        <v>-24.965013860171474</v>
      </c>
      <c r="BK58" s="435"/>
      <c r="BL58" s="435"/>
      <c r="BM58" s="435"/>
      <c r="BN58" s="435"/>
      <c r="BP58" s="596">
        <f>LongTerm62!D63</f>
        <v>38518</v>
      </c>
      <c r="BQ58" s="594">
        <f>(LongTerm62!$BM63+LongTerm62!$BL63/(1-LongTerm62!$AR63))*(LongTerm62!$F63*LongTerm62!$AF63*LongTerm62!$AH63)/10000</f>
        <v>0</v>
      </c>
      <c r="BR58" s="594">
        <f>LongTerm62!$BM63*(LongTerm62!$F63*LongTerm62!$AF63*LongTerm62!$AH63)/10000</f>
        <v>0</v>
      </c>
      <c r="BS58" s="594">
        <f>(LongTerm62!$BL63/(1-LongTerm62!$AR63))*(LongTerm62!$F63*LongTerm62!$AF63*LongTerm62!$AH63)/10000</f>
        <v>0</v>
      </c>
      <c r="BT58" s="447"/>
      <c r="BU58" s="596">
        <f>LongTerm107!D63</f>
        <v>37575</v>
      </c>
      <c r="BV58" s="594">
        <f>(LongTerm107!$BM63+LongTerm107!$BL63/(1-LongTerm107!$AR63))*(LongTerm107!$F63*LongTerm107!$AF63*LongTerm107!$AH63)/10000</f>
        <v>0</v>
      </c>
      <c r="BW58" s="594">
        <f>LongTerm107!$BM63*(LongTerm107!$F63*LongTerm107!$AF63*LongTerm107!$AH63)/10000</f>
        <v>0</v>
      </c>
      <c r="BX58" s="594">
        <f>(LongTerm107!$BL63/(1-LongTerm107!$AR63))*(LongTerm107!$F63*LongTerm107!$AF63*LongTerm107!$AH63)/10000</f>
        <v>0</v>
      </c>
      <c r="BY58" s="599"/>
      <c r="BZ58" s="596">
        <f>LongTerm108!D63</f>
        <v>37940</v>
      </c>
      <c r="CA58" s="594">
        <f>(LongTerm108!$BM63+LongTerm108!$BL63/(1-LongTerm108!$AR63))*(LongTerm108!$F63*LongTerm108!$AF63*LongTerm108!$AH63)/10000</f>
        <v>0</v>
      </c>
      <c r="CB58" s="594">
        <f>LongTerm108!$BM63*(LongTerm108!$F63*LongTerm108!$AF63*LongTerm108!$AH63)/10000</f>
        <v>0</v>
      </c>
      <c r="CC58" s="594">
        <f>(LongTerm108!$BL63/(1-LongTerm108!$AR63))*(LongTerm108!$F63*LongTerm108!$AF63*LongTerm108!$AH63)/10000</f>
        <v>0</v>
      </c>
      <c r="CD58" s="492"/>
      <c r="CE58" s="595">
        <f t="shared" si="44"/>
        <v>38275</v>
      </c>
      <c r="CF58" s="583">
        <v>26.7</v>
      </c>
      <c r="CG58" s="583">
        <v>139.6</v>
      </c>
      <c r="CH58" s="583">
        <v>-164.9</v>
      </c>
      <c r="CI58" s="583">
        <v>0</v>
      </c>
      <c r="CJ58" s="583">
        <v>0</v>
      </c>
      <c r="CK58" s="583">
        <v>0.8</v>
      </c>
      <c r="CL58" s="583">
        <v>0</v>
      </c>
      <c r="CM58" s="583">
        <v>0</v>
      </c>
      <c r="CN58" s="583">
        <v>0</v>
      </c>
    </row>
    <row r="59" spans="2:92" x14ac:dyDescent="0.25">
      <c r="B59" s="553">
        <f t="shared" si="13"/>
        <v>38548</v>
      </c>
      <c r="C59" s="435">
        <f t="shared" si="14"/>
        <v>2005</v>
      </c>
      <c r="D59" s="445">
        <f t="shared" si="15"/>
        <v>-0.51900967056619884</v>
      </c>
      <c r="E59" s="445">
        <f t="shared" si="16"/>
        <v>-1.0669270834631277</v>
      </c>
      <c r="F59" s="445">
        <f t="shared" si="17"/>
        <v>-8.2273432276728897E-2</v>
      </c>
      <c r="G59" s="445">
        <f t="shared" si="18"/>
        <v>-1.0698091548263733</v>
      </c>
      <c r="H59" s="445">
        <f t="shared" si="19"/>
        <v>0</v>
      </c>
      <c r="I59" s="445">
        <f t="shared" si="20"/>
        <v>0</v>
      </c>
      <c r="J59" s="447"/>
      <c r="K59" s="447"/>
      <c r="L59" s="447"/>
      <c r="M59" s="445">
        <f t="shared" si="21"/>
        <v>0</v>
      </c>
      <c r="N59" s="565">
        <f t="shared" si="22"/>
        <v>0</v>
      </c>
      <c r="O59" s="565">
        <f t="shared" si="23"/>
        <v>0</v>
      </c>
      <c r="Q59" s="553">
        <f t="shared" si="43"/>
        <v>38548</v>
      </c>
      <c r="R59" s="445">
        <f t="shared" si="25"/>
        <v>-1.7190096705661988</v>
      </c>
      <c r="S59" s="565">
        <f t="shared" si="26"/>
        <v>-142.86692708346314</v>
      </c>
      <c r="T59" s="565">
        <f t="shared" si="35"/>
        <v>-25.18227343227673</v>
      </c>
      <c r="U59" s="565">
        <f t="shared" si="36"/>
        <v>166.33019084517363</v>
      </c>
      <c r="V59" s="565">
        <f t="shared" si="5"/>
        <v>0</v>
      </c>
      <c r="W59" s="565">
        <f t="shared" si="6"/>
        <v>0</v>
      </c>
      <c r="X59" s="565">
        <f t="shared" si="27"/>
        <v>0</v>
      </c>
      <c r="Y59" s="445">
        <f t="shared" si="28"/>
        <v>0</v>
      </c>
      <c r="Z59" s="565">
        <f t="shared" si="29"/>
        <v>0</v>
      </c>
      <c r="AB59" s="553">
        <f t="shared" si="30"/>
        <v>38548</v>
      </c>
      <c r="AC59" s="571">
        <f t="shared" si="37"/>
        <v>1.2</v>
      </c>
      <c r="AD59" s="565">
        <f t="shared" si="38"/>
        <v>141.80000000000001</v>
      </c>
      <c r="AE59" s="565">
        <f t="shared" si="39"/>
        <v>25.1</v>
      </c>
      <c r="AF59" s="565">
        <f t="shared" si="40"/>
        <v>-167.4</v>
      </c>
      <c r="AG59" s="565">
        <f t="shared" si="41"/>
        <v>0</v>
      </c>
      <c r="AH59" s="565">
        <f t="shared" si="42"/>
        <v>0</v>
      </c>
      <c r="AI59" s="565">
        <f t="shared" si="31"/>
        <v>0</v>
      </c>
      <c r="AJ59" s="445">
        <f t="shared" si="32"/>
        <v>0</v>
      </c>
      <c r="AK59" s="565">
        <f t="shared" si="33"/>
        <v>0</v>
      </c>
      <c r="AM59" s="593">
        <f>LongTerm1!D64</f>
        <v>38548</v>
      </c>
      <c r="AN59" s="594">
        <f>(LongTerm1!BM64+LongTerm1!BL64/(1-LongTerm1!AR64))*(LongTerm1!F64*LongTerm1!AF64*LongTerm1!AH64)/10000</f>
        <v>-0.81744859852941332</v>
      </c>
      <c r="AO59" s="594">
        <f>LongTerm1!BM64*(LongTerm1!F64*LongTerm1!AF64*LongTerm1!AH64)/10000</f>
        <v>142.0494784849337</v>
      </c>
      <c r="AP59" s="594">
        <f>(LongTerm1!BL64/(1-LongTerm1!AR64))*(LongTerm1!F64*LongTerm1!AF64*LongTerm1!AH64)/10000</f>
        <v>-142.86692708346314</v>
      </c>
      <c r="AQ59" s="434"/>
      <c r="AV59" s="435"/>
      <c r="AW59" s="435"/>
      <c r="AX59" s="435"/>
      <c r="AY59" s="435"/>
      <c r="AZ59" s="435"/>
      <c r="BA59" s="435"/>
      <c r="BB59" s="435"/>
      <c r="BC59" s="435"/>
      <c r="BD59" s="435"/>
      <c r="BE59" s="435"/>
      <c r="BF59" s="435"/>
      <c r="BG59" s="593">
        <f>LongTerm25!D64</f>
        <v>38610</v>
      </c>
      <c r="BH59" s="594">
        <f>(LongTerm25!BM64+LongTerm25!BL64/(1-LongTerm25!AR64))*(LongTerm25!F64*LongTerm25!AF64*LongTerm25!AH64)/10000</f>
        <v>-0.8567065245124873</v>
      </c>
      <c r="BI59" s="594">
        <f>LongTerm25!BM64*(LongTerm25!F64*LongTerm25!AF64*LongTerm25!AH64)/10000</f>
        <v>23.186190231225847</v>
      </c>
      <c r="BJ59" s="594">
        <f>(LongTerm25!BL64/(1-LongTerm25!AR64))*(LongTerm25!F64*LongTerm25!AF64*LongTerm25!AH64)/10000</f>
        <v>-24.042896755738337</v>
      </c>
      <c r="BK59" s="435"/>
      <c r="BL59" s="435"/>
      <c r="BM59" s="435"/>
      <c r="BN59" s="435"/>
      <c r="BP59" s="596">
        <f>LongTerm62!D64</f>
        <v>38548</v>
      </c>
      <c r="BQ59" s="594">
        <f>(LongTerm62!$BM64+LongTerm62!$BL64/(1-LongTerm62!$AR64))*(LongTerm62!$F64*LongTerm62!$AF64*LongTerm62!$AH64)/10000</f>
        <v>0</v>
      </c>
      <c r="BR59" s="594">
        <f>LongTerm62!$BM64*(LongTerm62!$F64*LongTerm62!$AF64*LongTerm62!$AH64)/10000</f>
        <v>0</v>
      </c>
      <c r="BS59" s="594">
        <f>(LongTerm62!$BL64/(1-LongTerm62!$AR64))*(LongTerm62!$F64*LongTerm62!$AF64*LongTerm62!$AH64)/10000</f>
        <v>0</v>
      </c>
      <c r="BT59" s="447"/>
      <c r="BU59" s="596">
        <f>LongTerm107!D64</f>
        <v>37575</v>
      </c>
      <c r="BV59" s="594">
        <f>(LongTerm107!$BM64+LongTerm107!$BL64/(1-LongTerm107!$AR64))*(LongTerm107!$F64*LongTerm107!$AF64*LongTerm107!$AH64)/10000</f>
        <v>0</v>
      </c>
      <c r="BW59" s="594">
        <f>LongTerm107!$BM64*(LongTerm107!$F64*LongTerm107!$AF64*LongTerm107!$AH64)/10000</f>
        <v>0</v>
      </c>
      <c r="BX59" s="594">
        <f>(LongTerm107!$BL64/(1-LongTerm107!$AR64))*(LongTerm107!$F64*LongTerm107!$AF64*LongTerm107!$AH64)/10000</f>
        <v>0</v>
      </c>
      <c r="BY59" s="599"/>
      <c r="BZ59" s="596">
        <f>LongTerm108!D64</f>
        <v>37940</v>
      </c>
      <c r="CA59" s="594">
        <f>(LongTerm108!$BM64+LongTerm108!$BL64/(1-LongTerm108!$AR64))*(LongTerm108!$F64*LongTerm108!$AF64*LongTerm108!$AH64)/10000</f>
        <v>0</v>
      </c>
      <c r="CB59" s="594">
        <f>LongTerm108!$BM64*(LongTerm108!$F64*LongTerm108!$AF64*LongTerm108!$AH64)/10000</f>
        <v>0</v>
      </c>
      <c r="CC59" s="594">
        <f>(LongTerm108!$BL64/(1-LongTerm108!$AR64))*(LongTerm108!$F64*LongTerm108!$AF64*LongTerm108!$AH64)/10000</f>
        <v>0</v>
      </c>
      <c r="CD59" s="492"/>
      <c r="CE59" s="595">
        <f t="shared" si="44"/>
        <v>38306</v>
      </c>
      <c r="CF59" s="583">
        <v>25.2</v>
      </c>
      <c r="CG59" s="583">
        <v>112.1</v>
      </c>
      <c r="CH59" s="583">
        <v>-143.5</v>
      </c>
      <c r="CI59" s="583">
        <v>0</v>
      </c>
      <c r="CJ59" s="583">
        <v>0</v>
      </c>
      <c r="CK59" s="583">
        <v>0.9</v>
      </c>
      <c r="CL59" s="583">
        <v>-18.7</v>
      </c>
      <c r="CM59" s="583">
        <v>18.7</v>
      </c>
      <c r="CN59" s="583">
        <v>0</v>
      </c>
    </row>
    <row r="60" spans="2:92" x14ac:dyDescent="0.25">
      <c r="B60" s="553">
        <f t="shared" si="13"/>
        <v>38579</v>
      </c>
      <c r="C60" s="435">
        <f t="shared" si="14"/>
        <v>2005</v>
      </c>
      <c r="D60" s="445">
        <f t="shared" si="15"/>
        <v>-0.2485463194911941</v>
      </c>
      <c r="E60" s="445">
        <f t="shared" si="16"/>
        <v>-0.74996894440252504</v>
      </c>
      <c r="F60" s="445">
        <f t="shared" si="17"/>
        <v>-0.16501386017147368</v>
      </c>
      <c r="G60" s="445">
        <f t="shared" si="18"/>
        <v>-1.0335635149172049</v>
      </c>
      <c r="H60" s="445">
        <f t="shared" si="19"/>
        <v>0</v>
      </c>
      <c r="I60" s="445">
        <f t="shared" si="20"/>
        <v>0</v>
      </c>
      <c r="J60" s="447"/>
      <c r="K60" s="447"/>
      <c r="L60" s="447"/>
      <c r="M60" s="445">
        <f t="shared" si="21"/>
        <v>0</v>
      </c>
      <c r="N60" s="565">
        <f t="shared" si="22"/>
        <v>0</v>
      </c>
      <c r="O60" s="565">
        <f t="shared" si="23"/>
        <v>0</v>
      </c>
      <c r="Q60" s="553">
        <f t="shared" si="43"/>
        <v>38579</v>
      </c>
      <c r="R60" s="445">
        <f t="shared" si="25"/>
        <v>-1.4485463194911941</v>
      </c>
      <c r="S60" s="565">
        <f t="shared" si="26"/>
        <v>-138.44996894440251</v>
      </c>
      <c r="T60" s="565">
        <f t="shared" si="35"/>
        <v>-24.965013860171474</v>
      </c>
      <c r="U60" s="565">
        <f t="shared" si="36"/>
        <v>161.9664364850828</v>
      </c>
      <c r="V60" s="565">
        <f t="shared" si="5"/>
        <v>0</v>
      </c>
      <c r="W60" s="565">
        <f t="shared" si="6"/>
        <v>0</v>
      </c>
      <c r="X60" s="565">
        <f t="shared" si="27"/>
        <v>0</v>
      </c>
      <c r="Y60" s="445">
        <f t="shared" si="28"/>
        <v>0</v>
      </c>
      <c r="Z60" s="565">
        <f t="shared" si="29"/>
        <v>0</v>
      </c>
      <c r="AB60" s="553">
        <f t="shared" si="30"/>
        <v>38579</v>
      </c>
      <c r="AC60" s="571">
        <f t="shared" si="37"/>
        <v>1.2</v>
      </c>
      <c r="AD60" s="565">
        <f t="shared" si="38"/>
        <v>137.69999999999999</v>
      </c>
      <c r="AE60" s="565">
        <f t="shared" si="39"/>
        <v>24.8</v>
      </c>
      <c r="AF60" s="565">
        <f t="shared" si="40"/>
        <v>-163</v>
      </c>
      <c r="AG60" s="565">
        <f t="shared" si="41"/>
        <v>0</v>
      </c>
      <c r="AH60" s="565">
        <f t="shared" si="42"/>
        <v>0</v>
      </c>
      <c r="AI60" s="565">
        <f t="shared" si="31"/>
        <v>0</v>
      </c>
      <c r="AJ60" s="445">
        <f t="shared" si="32"/>
        <v>0</v>
      </c>
      <c r="AK60" s="565">
        <f t="shared" si="33"/>
        <v>0</v>
      </c>
      <c r="AM60" s="593">
        <f>LongTerm1!D65</f>
        <v>38579</v>
      </c>
      <c r="AN60" s="594">
        <f>(LongTerm1!BM65+LongTerm1!BL65/(1-LongTerm1!AR65))*(LongTerm1!F65*LongTerm1!AF65*LongTerm1!AH65)/10000</f>
        <v>-0.56034018882594872</v>
      </c>
      <c r="AO60" s="594">
        <f>LongTerm1!BM65*(LongTerm1!F65*LongTerm1!AF65*LongTerm1!AH65)/10000</f>
        <v>137.88962875557655</v>
      </c>
      <c r="AP60" s="594">
        <f>(LongTerm1!BL65/(1-LongTerm1!AR65))*(LongTerm1!F65*LongTerm1!AF65*LongTerm1!AH65)/10000</f>
        <v>-138.44996894440251</v>
      </c>
      <c r="AQ60" s="434"/>
      <c r="AV60" s="435"/>
      <c r="AW60" s="435"/>
      <c r="AX60" s="435"/>
      <c r="AY60" s="435"/>
      <c r="AZ60" s="435"/>
      <c r="BA60" s="435"/>
      <c r="BB60" s="435"/>
      <c r="BC60" s="435"/>
      <c r="BD60" s="435"/>
      <c r="BE60" s="435"/>
      <c r="BF60" s="435"/>
      <c r="BG60" s="593">
        <f>LongTerm25!D65</f>
        <v>38640</v>
      </c>
      <c r="BH60" s="594">
        <f>(LongTerm25!BM65+LongTerm25!BL65/(1-LongTerm25!AR65))*(LongTerm25!F65*LongTerm25!AF65*LongTerm25!AH65)/10000</f>
        <v>-0.8888238574609133</v>
      </c>
      <c r="BI60" s="594">
        <f>LongTerm25!BM65*(LongTerm25!F65*LongTerm25!AF65*LongTerm25!AH65)/10000</f>
        <v>23.898508985228204</v>
      </c>
      <c r="BJ60" s="594">
        <f>(LongTerm25!BL65/(1-LongTerm25!AR65))*(LongTerm25!F65*LongTerm25!AF65*LongTerm25!AH65)/10000</f>
        <v>-24.787332842689118</v>
      </c>
      <c r="BK60" s="435"/>
      <c r="BL60" s="435"/>
      <c r="BM60" s="435"/>
      <c r="BN60" s="435"/>
      <c r="BP60" s="596">
        <f>LongTerm62!D65</f>
        <v>38579</v>
      </c>
      <c r="BQ60" s="594">
        <f>(LongTerm62!$BM65+LongTerm62!$BL65/(1-LongTerm62!$AR65))*(LongTerm62!$F65*LongTerm62!$AF65*LongTerm62!$AH65)/10000</f>
        <v>0</v>
      </c>
      <c r="BR60" s="594">
        <f>LongTerm62!$BM65*(LongTerm62!$F65*LongTerm62!$AF65*LongTerm62!$AH65)/10000</f>
        <v>0</v>
      </c>
      <c r="BS60" s="594">
        <f>(LongTerm62!$BL65/(1-LongTerm62!$AR65))*(LongTerm62!$F65*LongTerm62!$AF65*LongTerm62!$AH65)/10000</f>
        <v>0</v>
      </c>
      <c r="BT60" s="447"/>
      <c r="BU60" s="596">
        <f>LongTerm107!D65</f>
        <v>37575</v>
      </c>
      <c r="BV60" s="594">
        <f>(LongTerm107!$BM65+LongTerm107!$BL65/(1-LongTerm107!$AR65))*(LongTerm107!$F65*LongTerm107!$AF65*LongTerm107!$AH65)/10000</f>
        <v>0</v>
      </c>
      <c r="BW60" s="594">
        <f>LongTerm107!$BM65*(LongTerm107!$F65*LongTerm107!$AF65*LongTerm107!$AH65)/10000</f>
        <v>0</v>
      </c>
      <c r="BX60" s="594">
        <f>(LongTerm107!$BL65/(1-LongTerm107!$AR65))*(LongTerm107!$F65*LongTerm107!$AF65*LongTerm107!$AH65)/10000</f>
        <v>0</v>
      </c>
      <c r="BY60" s="599"/>
      <c r="BZ60" s="596">
        <f>LongTerm108!D65</f>
        <v>37940</v>
      </c>
      <c r="CA60" s="594">
        <f>(LongTerm108!$BM65+LongTerm108!$BL65/(1-LongTerm108!$AR65))*(LongTerm108!$F65*LongTerm108!$AF65*LongTerm108!$AH65)/10000</f>
        <v>0</v>
      </c>
      <c r="CB60" s="594">
        <f>LongTerm108!$BM65*(LongTerm108!$F65*LongTerm108!$AF65*LongTerm108!$AH65)/10000</f>
        <v>0</v>
      </c>
      <c r="CC60" s="594">
        <f>(LongTerm108!$BL65/(1-LongTerm108!$AR65))*(LongTerm108!$F65*LongTerm108!$AF65*LongTerm108!$AH65)/10000</f>
        <v>0</v>
      </c>
      <c r="CD60" s="492"/>
      <c r="CE60" s="595">
        <f t="shared" si="44"/>
        <v>38336</v>
      </c>
      <c r="CF60" s="583">
        <v>26.6</v>
      </c>
      <c r="CG60" s="583">
        <v>104.4</v>
      </c>
      <c r="CH60" s="583">
        <v>-132.5</v>
      </c>
      <c r="CI60" s="583">
        <v>0</v>
      </c>
      <c r="CJ60" s="583">
        <v>0</v>
      </c>
      <c r="CK60" s="583">
        <v>0.8</v>
      </c>
      <c r="CL60" s="583">
        <v>-12.8</v>
      </c>
      <c r="CM60" s="583">
        <v>12.8</v>
      </c>
      <c r="CN60" s="583">
        <v>0</v>
      </c>
    </row>
    <row r="61" spans="2:92" x14ac:dyDescent="0.25">
      <c r="B61" s="553">
        <f t="shared" si="13"/>
        <v>38610</v>
      </c>
      <c r="C61" s="435">
        <f t="shared" si="14"/>
        <v>2005</v>
      </c>
      <c r="D61" s="445">
        <f t="shared" si="15"/>
        <v>-0.24404799601175253</v>
      </c>
      <c r="E61" s="445">
        <f t="shared" si="16"/>
        <v>-2.0018582286541857</v>
      </c>
      <c r="F61" s="445">
        <f t="shared" si="17"/>
        <v>0.15710324426166267</v>
      </c>
      <c r="G61" s="445">
        <f t="shared" si="18"/>
        <v>-0.89929301161922126</v>
      </c>
      <c r="H61" s="445">
        <f t="shared" si="19"/>
        <v>0</v>
      </c>
      <c r="I61" s="445">
        <f t="shared" si="20"/>
        <v>0</v>
      </c>
      <c r="J61" s="447"/>
      <c r="K61" s="447"/>
      <c r="L61" s="447"/>
      <c r="M61" s="445">
        <f t="shared" si="21"/>
        <v>0</v>
      </c>
      <c r="N61" s="565">
        <f t="shared" si="22"/>
        <v>0</v>
      </c>
      <c r="O61" s="565">
        <f t="shared" si="23"/>
        <v>0</v>
      </c>
      <c r="Q61" s="553">
        <f t="shared" si="43"/>
        <v>38610</v>
      </c>
      <c r="R61" s="445">
        <f t="shared" si="25"/>
        <v>-1.4440479960117525</v>
      </c>
      <c r="S61" s="565">
        <f t="shared" si="26"/>
        <v>-133.90185822865419</v>
      </c>
      <c r="T61" s="565">
        <f t="shared" si="35"/>
        <v>-24.042896755738337</v>
      </c>
      <c r="U61" s="565">
        <f t="shared" si="36"/>
        <v>156.50070698838078</v>
      </c>
      <c r="V61" s="565">
        <f t="shared" si="5"/>
        <v>0</v>
      </c>
      <c r="W61" s="565">
        <f t="shared" si="6"/>
        <v>0</v>
      </c>
      <c r="X61" s="565">
        <f t="shared" si="27"/>
        <v>0</v>
      </c>
      <c r="Y61" s="445">
        <f t="shared" si="28"/>
        <v>0</v>
      </c>
      <c r="Z61" s="565">
        <f t="shared" si="29"/>
        <v>0</v>
      </c>
      <c r="AB61" s="553">
        <f t="shared" si="30"/>
        <v>38610</v>
      </c>
      <c r="AC61" s="571">
        <f t="shared" si="37"/>
        <v>1.2</v>
      </c>
      <c r="AD61" s="565">
        <f t="shared" si="38"/>
        <v>131.9</v>
      </c>
      <c r="AE61" s="565">
        <f t="shared" si="39"/>
        <v>24.2</v>
      </c>
      <c r="AF61" s="565">
        <f t="shared" si="40"/>
        <v>-157.4</v>
      </c>
      <c r="AG61" s="565">
        <f t="shared" si="41"/>
        <v>0</v>
      </c>
      <c r="AH61" s="565">
        <f t="shared" si="42"/>
        <v>0</v>
      </c>
      <c r="AI61" s="565">
        <f t="shared" si="31"/>
        <v>0</v>
      </c>
      <c r="AJ61" s="445">
        <f t="shared" si="32"/>
        <v>0</v>
      </c>
      <c r="AK61" s="565">
        <f t="shared" si="33"/>
        <v>0</v>
      </c>
      <c r="AM61" s="593">
        <f>LongTerm1!D66</f>
        <v>38610</v>
      </c>
      <c r="AN61" s="594">
        <f>(LongTerm1!BM66+LongTerm1!BL66/(1-LongTerm1!AR66))*(LongTerm1!F66*LongTerm1!AF66*LongTerm1!AH66)/10000</f>
        <v>-0.5873414714992653</v>
      </c>
      <c r="AO61" s="594">
        <f>LongTerm1!BM66*(LongTerm1!F66*LongTerm1!AF66*LongTerm1!AH66)/10000</f>
        <v>133.31451675715493</v>
      </c>
      <c r="AP61" s="594">
        <f>(LongTerm1!BL66/(1-LongTerm1!AR66))*(LongTerm1!F66*LongTerm1!AF66*LongTerm1!AH66)/10000</f>
        <v>-133.90185822865419</v>
      </c>
      <c r="AQ61" s="434"/>
      <c r="AV61" s="435"/>
      <c r="AW61" s="435"/>
      <c r="AX61" s="435"/>
      <c r="AY61" s="435"/>
      <c r="AZ61" s="435"/>
      <c r="BA61" s="435"/>
      <c r="BB61" s="435"/>
      <c r="BC61" s="435"/>
      <c r="BD61" s="435"/>
      <c r="BE61" s="435"/>
      <c r="BF61" s="435"/>
      <c r="BG61" s="593">
        <f>LongTerm25!D66</f>
        <v>38671</v>
      </c>
      <c r="BH61" s="594">
        <f>(LongTerm25!BM66+LongTerm25!BL66/(1-LongTerm25!AR66))*(LongTerm25!F66*LongTerm25!AF66*LongTerm25!AH66)/10000</f>
        <v>-0.85002267556827105</v>
      </c>
      <c r="BI61" s="594">
        <f>LongTerm25!BM66*(LongTerm25!F66*LongTerm25!AF66*LongTerm25!AH66)/10000</f>
        <v>22.959502667896771</v>
      </c>
      <c r="BJ61" s="594">
        <f>(LongTerm25!BL66/(1-LongTerm25!AR66))*(LongTerm25!F66*LongTerm25!AF66*LongTerm25!AH66)/10000</f>
        <v>-23.80952534346504</v>
      </c>
      <c r="BK61" s="435"/>
      <c r="BL61" s="435"/>
      <c r="BM61" s="435"/>
      <c r="BN61" s="435"/>
      <c r="BP61" s="596">
        <f>LongTerm62!D66</f>
        <v>38610</v>
      </c>
      <c r="BQ61" s="594">
        <f>(LongTerm62!$BM66+LongTerm62!$BL66/(1-LongTerm62!$AR66))*(LongTerm62!$F66*LongTerm62!$AF66*LongTerm62!$AH66)/10000</f>
        <v>0</v>
      </c>
      <c r="BR61" s="594">
        <f>LongTerm62!$BM66*(LongTerm62!$F66*LongTerm62!$AF66*LongTerm62!$AH66)/10000</f>
        <v>0</v>
      </c>
      <c r="BS61" s="594">
        <f>(LongTerm62!$BL66/(1-LongTerm62!$AR66))*(LongTerm62!$F66*LongTerm62!$AF66*LongTerm62!$AH66)/10000</f>
        <v>0</v>
      </c>
      <c r="BT61" s="447"/>
      <c r="BU61" s="596">
        <f>LongTerm107!D66</f>
        <v>37575</v>
      </c>
      <c r="BV61" s="594">
        <f>(LongTerm107!$BM66+LongTerm107!$BL66/(1-LongTerm107!$AR66))*(LongTerm107!$F66*LongTerm107!$AF66*LongTerm107!$AH66)/10000</f>
        <v>0</v>
      </c>
      <c r="BW61" s="594">
        <f>LongTerm107!$BM66*(LongTerm107!$F66*LongTerm107!$AF66*LongTerm107!$AH66)/10000</f>
        <v>0</v>
      </c>
      <c r="BX61" s="594">
        <f>(LongTerm107!$BL66/(1-LongTerm107!$AR66))*(LongTerm107!$F66*LongTerm107!$AF66*LongTerm107!$AH66)/10000</f>
        <v>0</v>
      </c>
      <c r="BY61" s="599"/>
      <c r="BZ61" s="596">
        <f>LongTerm108!D66</f>
        <v>37940</v>
      </c>
      <c r="CA61" s="594">
        <f>(LongTerm108!$BM66+LongTerm108!$BL66/(1-LongTerm108!$AR66))*(LongTerm108!$F66*LongTerm108!$AF66*LongTerm108!$AH66)/10000</f>
        <v>0</v>
      </c>
      <c r="CB61" s="594">
        <f>LongTerm108!$BM66*(LongTerm108!$F66*LongTerm108!$AF66*LongTerm108!$AH66)/10000</f>
        <v>0</v>
      </c>
      <c r="CC61" s="594">
        <f>(LongTerm108!$BL66/(1-LongTerm108!$AR66))*(LongTerm108!$F66*LongTerm108!$AF66*LongTerm108!$AH66)/10000</f>
        <v>0</v>
      </c>
      <c r="CD61" s="492"/>
      <c r="CE61" s="595">
        <f t="shared" si="44"/>
        <v>38367</v>
      </c>
      <c r="CF61" s="583">
        <v>26.4</v>
      </c>
      <c r="CG61" s="583">
        <v>97.7</v>
      </c>
      <c r="CH61" s="583">
        <v>-126.5</v>
      </c>
      <c r="CI61" s="583">
        <v>0</v>
      </c>
      <c r="CJ61" s="583">
        <v>0</v>
      </c>
      <c r="CK61" s="583">
        <v>1.2</v>
      </c>
      <c r="CL61" s="583">
        <v>-12.7</v>
      </c>
      <c r="CM61" s="583">
        <v>12.7</v>
      </c>
      <c r="CN61" s="583">
        <v>0</v>
      </c>
    </row>
    <row r="62" spans="2:92" x14ac:dyDescent="0.25">
      <c r="B62" s="553">
        <f t="shared" si="13"/>
        <v>38640</v>
      </c>
      <c r="C62" s="435">
        <f t="shared" si="14"/>
        <v>2005</v>
      </c>
      <c r="D62" s="445">
        <f t="shared" si="15"/>
        <v>-0.1024023501187421</v>
      </c>
      <c r="E62" s="445">
        <f t="shared" si="16"/>
        <v>-0.71325938849858517</v>
      </c>
      <c r="F62" s="445">
        <f t="shared" si="17"/>
        <v>0.31266715731088368</v>
      </c>
      <c r="G62" s="445">
        <f t="shared" si="18"/>
        <v>-1.30181011893103</v>
      </c>
      <c r="H62" s="445">
        <f t="shared" si="19"/>
        <v>0</v>
      </c>
      <c r="I62" s="445">
        <f t="shared" si="20"/>
        <v>0</v>
      </c>
      <c r="J62" s="447"/>
      <c r="K62" s="447"/>
      <c r="L62" s="447"/>
      <c r="M62" s="445">
        <f t="shared" si="21"/>
        <v>0</v>
      </c>
      <c r="N62" s="565">
        <f t="shared" si="22"/>
        <v>0</v>
      </c>
      <c r="O62" s="565">
        <f t="shared" si="23"/>
        <v>0</v>
      </c>
      <c r="Q62" s="553">
        <f t="shared" si="43"/>
        <v>38640</v>
      </c>
      <c r="R62" s="445">
        <f t="shared" si="25"/>
        <v>-1.2024023501187422</v>
      </c>
      <c r="S62" s="565">
        <f t="shared" si="26"/>
        <v>-133.71325938849859</v>
      </c>
      <c r="T62" s="565">
        <f t="shared" si="35"/>
        <v>-24.787332842689118</v>
      </c>
      <c r="U62" s="565">
        <f t="shared" si="36"/>
        <v>157.29818988106896</v>
      </c>
      <c r="V62" s="565">
        <f t="shared" si="5"/>
        <v>0</v>
      </c>
      <c r="W62" s="565">
        <f t="shared" si="6"/>
        <v>0</v>
      </c>
      <c r="X62" s="565">
        <f t="shared" si="27"/>
        <v>0</v>
      </c>
      <c r="Y62" s="445">
        <f t="shared" si="28"/>
        <v>0</v>
      </c>
      <c r="Z62" s="565">
        <f t="shared" si="29"/>
        <v>0</v>
      </c>
      <c r="AB62" s="553">
        <f t="shared" si="30"/>
        <v>38640</v>
      </c>
      <c r="AC62" s="571">
        <f t="shared" si="37"/>
        <v>1.1000000000000001</v>
      </c>
      <c r="AD62" s="565">
        <f t="shared" si="38"/>
        <v>133</v>
      </c>
      <c r="AE62" s="565">
        <f t="shared" si="39"/>
        <v>25.1</v>
      </c>
      <c r="AF62" s="565">
        <f t="shared" si="40"/>
        <v>-158.6</v>
      </c>
      <c r="AG62" s="565">
        <f t="shared" si="41"/>
        <v>0</v>
      </c>
      <c r="AH62" s="565">
        <f t="shared" si="42"/>
        <v>0</v>
      </c>
      <c r="AI62" s="565">
        <f t="shared" si="31"/>
        <v>0</v>
      </c>
      <c r="AJ62" s="445">
        <f t="shared" si="32"/>
        <v>0</v>
      </c>
      <c r="AK62" s="565">
        <f t="shared" si="33"/>
        <v>0</v>
      </c>
      <c r="AM62" s="593">
        <f>LongTerm1!D67</f>
        <v>38640</v>
      </c>
      <c r="AN62" s="594">
        <f>(LongTerm1!BM67+LongTerm1!BL67/(1-LongTerm1!AR67))*(LongTerm1!F67*LongTerm1!AF67*LongTerm1!AH67)/10000</f>
        <v>-0.31357849265782889</v>
      </c>
      <c r="AO62" s="594">
        <f>LongTerm1!BM67*(LongTerm1!F67*LongTerm1!AF67*LongTerm1!AH67)/10000</f>
        <v>133.39968089584076</v>
      </c>
      <c r="AP62" s="594">
        <f>(LongTerm1!BL67/(1-LongTerm1!AR67))*(LongTerm1!F67*LongTerm1!AF67*LongTerm1!AH67)/10000</f>
        <v>-133.71325938849859</v>
      </c>
      <c r="AQ62" s="434"/>
      <c r="AV62" s="435"/>
      <c r="AW62" s="435"/>
      <c r="AX62" s="435"/>
      <c r="AY62" s="435"/>
      <c r="AZ62" s="435"/>
      <c r="BA62" s="435"/>
      <c r="BB62" s="435"/>
      <c r="BC62" s="435"/>
      <c r="BD62" s="435"/>
      <c r="BE62" s="435"/>
      <c r="BF62" s="435"/>
      <c r="BG62" s="593">
        <f>LongTerm25!D67</f>
        <v>38701</v>
      </c>
      <c r="BH62" s="594">
        <f>(LongTerm25!BM67+LongTerm25!BL67/(1-LongTerm25!AR67))*(LongTerm25!F67*LongTerm25!AF67*LongTerm25!AH67)/10000</f>
        <v>-0.86823868609444121</v>
      </c>
      <c r="BI62" s="594">
        <f>LongTerm25!BM67*(LongTerm25!F67*LongTerm25!AF67*LongTerm25!AH67)/10000</f>
        <v>23.548935632600148</v>
      </c>
      <c r="BJ62" s="594">
        <f>(LongTerm25!BL67/(1-LongTerm25!AR67))*(LongTerm25!F67*LongTerm25!AF67*LongTerm25!AH67)/10000</f>
        <v>-24.417174318694592</v>
      </c>
      <c r="BK62" s="435"/>
      <c r="BL62" s="435"/>
      <c r="BM62" s="435"/>
      <c r="BN62" s="435"/>
      <c r="BP62" s="596">
        <f>LongTerm62!D67</f>
        <v>38640</v>
      </c>
      <c r="BQ62" s="594">
        <f>(LongTerm62!$BM67+LongTerm62!$BL67/(1-LongTerm62!$AR67))*(LongTerm62!$F67*LongTerm62!$AF67*LongTerm62!$AH67)/10000</f>
        <v>0</v>
      </c>
      <c r="BR62" s="594">
        <f>LongTerm62!$BM67*(LongTerm62!$F67*LongTerm62!$AF67*LongTerm62!$AH67)/10000</f>
        <v>0</v>
      </c>
      <c r="BS62" s="594">
        <f>(LongTerm62!$BL67/(1-LongTerm62!$AR67))*(LongTerm62!$F67*LongTerm62!$AF67*LongTerm62!$AH67)/10000</f>
        <v>0</v>
      </c>
      <c r="BT62" s="447"/>
      <c r="BU62" s="596">
        <f>LongTerm107!D67</f>
        <v>37575</v>
      </c>
      <c r="BV62" s="594">
        <f>(LongTerm107!$BM67+LongTerm107!$BL67/(1-LongTerm107!$AR67))*(LongTerm107!$F67*LongTerm107!$AF67*LongTerm107!$AH67)/10000</f>
        <v>0</v>
      </c>
      <c r="BW62" s="594">
        <f>LongTerm107!$BM67*(LongTerm107!$F67*LongTerm107!$AF67*LongTerm107!$AH67)/10000</f>
        <v>0</v>
      </c>
      <c r="BX62" s="594">
        <f>(LongTerm107!$BL67/(1-LongTerm107!$AR67))*(LongTerm107!$F67*LongTerm107!$AF67*LongTerm107!$AH67)/10000</f>
        <v>0</v>
      </c>
      <c r="BY62" s="599"/>
      <c r="BZ62" s="596">
        <f>LongTerm108!D67</f>
        <v>37940</v>
      </c>
      <c r="CA62" s="594">
        <f>(LongTerm108!$BM67+LongTerm108!$BL67/(1-LongTerm108!$AR67))*(LongTerm108!$F67*LongTerm108!$AF67*LongTerm108!$AH67)/10000</f>
        <v>0</v>
      </c>
      <c r="CB62" s="594">
        <f>LongTerm108!$BM67*(LongTerm108!$F67*LongTerm108!$AF67*LongTerm108!$AH67)/10000</f>
        <v>0</v>
      </c>
      <c r="CC62" s="594">
        <f>(LongTerm108!$BL67/(1-LongTerm108!$AR67))*(LongTerm108!$F67*LongTerm108!$AF67*LongTerm108!$AH67)/10000</f>
        <v>0</v>
      </c>
      <c r="CD62" s="492"/>
      <c r="CE62" s="595">
        <f t="shared" si="44"/>
        <v>38398</v>
      </c>
      <c r="CF62" s="583">
        <v>23.9</v>
      </c>
      <c r="CG62" s="583">
        <v>89.3</v>
      </c>
      <c r="CH62" s="583">
        <v>-115.8</v>
      </c>
      <c r="CI62" s="583">
        <v>0</v>
      </c>
      <c r="CJ62" s="583">
        <v>0</v>
      </c>
      <c r="CK62" s="583">
        <v>1.2</v>
      </c>
      <c r="CL62" s="583">
        <v>-11.5</v>
      </c>
      <c r="CM62" s="583">
        <v>11.5</v>
      </c>
      <c r="CN62" s="583">
        <v>0</v>
      </c>
    </row>
    <row r="63" spans="2:92" x14ac:dyDescent="0.25">
      <c r="B63" s="553">
        <f t="shared" si="13"/>
        <v>38671</v>
      </c>
      <c r="C63" s="435">
        <f t="shared" si="14"/>
        <v>2005</v>
      </c>
      <c r="D63" s="445">
        <f t="shared" si="15"/>
        <v>1.9929721937522185</v>
      </c>
      <c r="E63" s="445">
        <f t="shared" si="16"/>
        <v>3.6402801293397573</v>
      </c>
      <c r="F63" s="445">
        <f t="shared" si="17"/>
        <v>9.0474656534958342E-2</v>
      </c>
      <c r="G63" s="445">
        <f t="shared" si="18"/>
        <v>-2.2203752169369011</v>
      </c>
      <c r="H63" s="445">
        <f t="shared" si="19"/>
        <v>0</v>
      </c>
      <c r="I63" s="445">
        <f t="shared" si="20"/>
        <v>0</v>
      </c>
      <c r="J63" s="447"/>
      <c r="K63" s="447"/>
      <c r="L63" s="447"/>
      <c r="M63" s="445">
        <f t="shared" si="21"/>
        <v>-7.0250509195095887</v>
      </c>
      <c r="N63" s="565">
        <f t="shared" si="22"/>
        <v>7.2076435443239824</v>
      </c>
      <c r="O63" s="565">
        <f t="shared" si="23"/>
        <v>0</v>
      </c>
      <c r="Q63" s="553">
        <f t="shared" si="43"/>
        <v>38671</v>
      </c>
      <c r="R63" s="445">
        <f t="shared" si="25"/>
        <v>0.7929721937522185</v>
      </c>
      <c r="S63" s="565">
        <f t="shared" si="26"/>
        <v>-101.65971987066024</v>
      </c>
      <c r="T63" s="565">
        <f t="shared" si="35"/>
        <v>-23.80952534346504</v>
      </c>
      <c r="U63" s="565">
        <f t="shared" si="36"/>
        <v>126.07962478306311</v>
      </c>
      <c r="V63" s="565">
        <f t="shared" si="5"/>
        <v>0</v>
      </c>
      <c r="W63" s="565">
        <f t="shared" si="6"/>
        <v>0</v>
      </c>
      <c r="X63" s="565">
        <f t="shared" si="27"/>
        <v>11.474949080490411</v>
      </c>
      <c r="Y63" s="445">
        <f t="shared" si="28"/>
        <v>-11.292356455676018</v>
      </c>
      <c r="Z63" s="565">
        <f t="shared" si="29"/>
        <v>0</v>
      </c>
      <c r="AB63" s="553">
        <f t="shared" si="30"/>
        <v>38671</v>
      </c>
      <c r="AC63" s="571">
        <f t="shared" si="37"/>
        <v>1.2</v>
      </c>
      <c r="AD63" s="565">
        <f t="shared" si="38"/>
        <v>105.3</v>
      </c>
      <c r="AE63" s="565">
        <f t="shared" si="39"/>
        <v>23.9</v>
      </c>
      <c r="AF63" s="565">
        <f t="shared" si="40"/>
        <v>-128.30000000000001</v>
      </c>
      <c r="AG63" s="565">
        <f t="shared" si="41"/>
        <v>0</v>
      </c>
      <c r="AH63" s="565">
        <f t="shared" si="42"/>
        <v>0</v>
      </c>
      <c r="AI63" s="565">
        <f t="shared" si="31"/>
        <v>-18.5</v>
      </c>
      <c r="AJ63" s="445">
        <f t="shared" si="32"/>
        <v>18.5</v>
      </c>
      <c r="AK63" s="565">
        <f t="shared" si="33"/>
        <v>0</v>
      </c>
      <c r="AM63" s="593">
        <f>LongTerm1!D68</f>
        <v>38671</v>
      </c>
      <c r="AN63" s="594">
        <f>(LongTerm1!BM68+LongTerm1!BL68/(1-LongTerm1!AR68))*(LongTerm1!F68*LongTerm1!AF68*LongTerm1!AH68)/10000</f>
        <v>1.460402244506096</v>
      </c>
      <c r="AO63" s="594">
        <f>LongTerm1!BM68*(LongTerm1!F68*LongTerm1!AF68*LongTerm1!AH68)/10000</f>
        <v>103.12012211516634</v>
      </c>
      <c r="AP63" s="594">
        <f>(LongTerm1!BL68/(1-LongTerm1!AR68))*(LongTerm1!F68*LongTerm1!AF68*LongTerm1!AH68)/10000</f>
        <v>-101.65971987066024</v>
      </c>
      <c r="AQ63" s="434"/>
      <c r="AV63" s="435"/>
      <c r="AW63" s="435"/>
      <c r="AX63" s="435"/>
      <c r="AY63" s="435"/>
      <c r="AZ63" s="435"/>
      <c r="BA63" s="435"/>
      <c r="BB63" s="435"/>
      <c r="BC63" s="435"/>
      <c r="BD63" s="435"/>
      <c r="BE63" s="435"/>
      <c r="BF63" s="435"/>
      <c r="BG63" s="593">
        <f>LongTerm25!D68</f>
        <v>38732</v>
      </c>
      <c r="BH63" s="594">
        <f>(LongTerm25!BM68+LongTerm25!BL68/(1-LongTerm25!AR68))*(LongTerm25!F68*LongTerm25!AF68*LongTerm25!AH68)/10000</f>
        <v>-0.86002609452828005</v>
      </c>
      <c r="BI63" s="594">
        <f>LongTerm25!BM68*(LongTerm25!F68*LongTerm25!AF68*LongTerm25!AH68)/10000</f>
        <v>23.38775583606154</v>
      </c>
      <c r="BJ63" s="594">
        <f>(LongTerm25!BL68/(1-LongTerm25!AR68))*(LongTerm25!F68*LongTerm25!AF68*LongTerm25!AH68)/10000</f>
        <v>-24.24778193058982</v>
      </c>
      <c r="BK63" s="435"/>
      <c r="BL63" s="435"/>
      <c r="BM63" s="435"/>
      <c r="BN63" s="435"/>
      <c r="BP63" s="596">
        <f>LongTerm62!D68</f>
        <v>38671</v>
      </c>
      <c r="BQ63" s="594">
        <f>(LongTerm62!$BM68+LongTerm62!$BL68/(1-LongTerm62!$AR68))*(LongTerm62!$F68*LongTerm62!$AF68*LongTerm62!$AH68)/10000</f>
        <v>0.18259262481439356</v>
      </c>
      <c r="BR63" s="594">
        <f>LongTerm62!$BM68*(LongTerm62!$F68*LongTerm62!$AF68*LongTerm62!$AH68)/10000</f>
        <v>11.474949080490411</v>
      </c>
      <c r="BS63" s="594">
        <f>(LongTerm62!$BL68/(1-LongTerm62!$AR68))*(LongTerm62!$F68*LongTerm62!$AF68*LongTerm62!$AH68)/10000</f>
        <v>-11.292356455676018</v>
      </c>
      <c r="BT63" s="447"/>
      <c r="BU63" s="596">
        <f>LongTerm107!D68</f>
        <v>37575</v>
      </c>
      <c r="BV63" s="594">
        <f>(LongTerm107!$BM68+LongTerm107!$BL68/(1-LongTerm107!$AR68))*(LongTerm107!$F68*LongTerm107!$AF68*LongTerm107!$AH68)/10000</f>
        <v>0</v>
      </c>
      <c r="BW63" s="594">
        <f>LongTerm107!$BM68*(LongTerm107!$F68*LongTerm107!$AF68*LongTerm107!$AH68)/10000</f>
        <v>0</v>
      </c>
      <c r="BX63" s="594">
        <f>(LongTerm107!$BL68/(1-LongTerm107!$AR68))*(LongTerm107!$F68*LongTerm107!$AF68*LongTerm107!$AH68)/10000</f>
        <v>0</v>
      </c>
      <c r="BY63" s="599"/>
      <c r="BZ63" s="596">
        <f>LongTerm108!D68</f>
        <v>37940</v>
      </c>
      <c r="CA63" s="594">
        <f>(LongTerm108!$BM68+LongTerm108!$BL68/(1-LongTerm108!$AR68))*(LongTerm108!$F68*LongTerm108!$AF68*LongTerm108!$AH68)/10000</f>
        <v>0</v>
      </c>
      <c r="CB63" s="594">
        <f>LongTerm108!$BM68*(LongTerm108!$F68*LongTerm108!$AF68*LongTerm108!$AH68)/10000</f>
        <v>0</v>
      </c>
      <c r="CC63" s="594">
        <f>(LongTerm108!$BL68/(1-LongTerm108!$AR68))*(LongTerm108!$F68*LongTerm108!$AF68*LongTerm108!$AH68)/10000</f>
        <v>0</v>
      </c>
      <c r="CD63" s="492"/>
      <c r="CE63" s="595">
        <f t="shared" si="44"/>
        <v>38426</v>
      </c>
      <c r="CF63" s="583">
        <v>26.2</v>
      </c>
      <c r="CG63" s="583">
        <v>111</v>
      </c>
      <c r="CH63" s="583">
        <v>-138.5</v>
      </c>
      <c r="CI63" s="583">
        <v>0</v>
      </c>
      <c r="CJ63" s="583">
        <v>0</v>
      </c>
      <c r="CK63" s="583">
        <v>1.2</v>
      </c>
      <c r="CL63" s="583">
        <v>-12.6</v>
      </c>
      <c r="CM63" s="583">
        <v>12.6</v>
      </c>
      <c r="CN63" s="583">
        <v>0</v>
      </c>
    </row>
    <row r="64" spans="2:92" x14ac:dyDescent="0.25">
      <c r="B64" s="553">
        <f t="shared" si="13"/>
        <v>38701</v>
      </c>
      <c r="C64" s="435">
        <f t="shared" si="14"/>
        <v>2005</v>
      </c>
      <c r="D64" s="445">
        <f t="shared" si="15"/>
        <v>2.9948091387088516</v>
      </c>
      <c r="E64" s="445">
        <f t="shared" si="16"/>
        <v>1.0118093218121942</v>
      </c>
      <c r="F64" s="445">
        <f t="shared" si="17"/>
        <v>8.2825681305408239E-2</v>
      </c>
      <c r="G64" s="445">
        <f t="shared" si="18"/>
        <v>-0.69879882632849899</v>
      </c>
      <c r="H64" s="445">
        <f t="shared" si="19"/>
        <v>0</v>
      </c>
      <c r="I64" s="445">
        <f t="shared" si="20"/>
        <v>0</v>
      </c>
      <c r="J64" s="447"/>
      <c r="K64" s="447"/>
      <c r="L64" s="447"/>
      <c r="M64" s="445">
        <f t="shared" si="21"/>
        <v>-0.15139591851898437</v>
      </c>
      <c r="N64" s="565">
        <f t="shared" si="22"/>
        <v>0.45036888043872558</v>
      </c>
      <c r="O64" s="565">
        <f t="shared" si="23"/>
        <v>0</v>
      </c>
      <c r="Q64" s="553">
        <f t="shared" si="43"/>
        <v>38701</v>
      </c>
      <c r="R64" s="445">
        <f t="shared" si="25"/>
        <v>1.8948091387088515</v>
      </c>
      <c r="S64" s="565">
        <f t="shared" si="26"/>
        <v>-96.188190678187809</v>
      </c>
      <c r="T64" s="565">
        <f t="shared" si="35"/>
        <v>-24.417174318694592</v>
      </c>
      <c r="U64" s="565">
        <f t="shared" si="36"/>
        <v>122.20120117367151</v>
      </c>
      <c r="V64" s="565">
        <f t="shared" si="5"/>
        <v>0</v>
      </c>
      <c r="W64" s="565">
        <f t="shared" si="6"/>
        <v>0</v>
      </c>
      <c r="X64" s="565">
        <f t="shared" si="27"/>
        <v>11.848604081481016</v>
      </c>
      <c r="Y64" s="445">
        <f t="shared" si="28"/>
        <v>-11.549631119561274</v>
      </c>
      <c r="Z64" s="565">
        <f t="shared" si="29"/>
        <v>0</v>
      </c>
      <c r="AB64" s="553">
        <f t="shared" si="30"/>
        <v>38701</v>
      </c>
      <c r="AC64" s="571">
        <f t="shared" si="37"/>
        <v>1.1000000000000001</v>
      </c>
      <c r="AD64" s="565">
        <f t="shared" si="38"/>
        <v>97.2</v>
      </c>
      <c r="AE64" s="565">
        <f t="shared" si="39"/>
        <v>24.5</v>
      </c>
      <c r="AF64" s="565">
        <f t="shared" si="40"/>
        <v>-122.9</v>
      </c>
      <c r="AG64" s="565">
        <f t="shared" si="41"/>
        <v>0</v>
      </c>
      <c r="AH64" s="565">
        <f t="shared" si="42"/>
        <v>0</v>
      </c>
      <c r="AI64" s="565">
        <f t="shared" si="31"/>
        <v>-12</v>
      </c>
      <c r="AJ64" s="445">
        <f t="shared" si="32"/>
        <v>12</v>
      </c>
      <c r="AK64" s="565">
        <f t="shared" si="33"/>
        <v>0</v>
      </c>
      <c r="AM64" s="593">
        <f>LongTerm1!D69</f>
        <v>38701</v>
      </c>
      <c r="AN64" s="594">
        <f>(LongTerm1!BM69+LongTerm1!BL69/(1-LongTerm1!AR69))*(LongTerm1!F69*LongTerm1!AF69*LongTerm1!AH69)/10000</f>
        <v>2.4640748628835505</v>
      </c>
      <c r="AO64" s="594">
        <f>LongTerm1!BM69*(LongTerm1!F69*LongTerm1!AF69*LongTerm1!AH69)/10000</f>
        <v>98.652265541071358</v>
      </c>
      <c r="AP64" s="594">
        <f>(LongTerm1!BL69/(1-LongTerm1!AR69))*(LongTerm1!F69*LongTerm1!AF69*LongTerm1!AH69)/10000</f>
        <v>-96.188190678187809</v>
      </c>
      <c r="AQ64" s="434"/>
      <c r="AV64" s="435"/>
      <c r="AW64" s="435"/>
      <c r="AX64" s="435"/>
      <c r="AY64" s="435"/>
      <c r="AZ64" s="435"/>
      <c r="BA64" s="435"/>
      <c r="BB64" s="435"/>
      <c r="BC64" s="435"/>
      <c r="BD64" s="435"/>
      <c r="BE64" s="435"/>
      <c r="BF64" s="435"/>
      <c r="BG64" s="593">
        <f>LongTerm25!D69</f>
        <v>38763</v>
      </c>
      <c r="BH64" s="594">
        <f>(LongTerm25!BM69+LongTerm25!BL69/(1-LongTerm25!AR69))*(LongTerm25!F69*LongTerm25!AF69*LongTerm25!AH69)/10000</f>
        <v>-0.77832052656874673</v>
      </c>
      <c r="BI64" s="594">
        <f>LongTerm25!BM69*(LongTerm25!F69*LongTerm25!AF69*LongTerm25!AH69)/10000</f>
        <v>21.058078952916038</v>
      </c>
      <c r="BJ64" s="594">
        <f>(LongTerm25!BL69/(1-LongTerm25!AR69))*(LongTerm25!F69*LongTerm25!AF69*LongTerm25!AH69)/10000</f>
        <v>-21.836399479484783</v>
      </c>
      <c r="BK64" s="435"/>
      <c r="BL64" s="435"/>
      <c r="BM64" s="435"/>
      <c r="BN64" s="435"/>
      <c r="BP64" s="596">
        <f>LongTerm62!D69</f>
        <v>38701</v>
      </c>
      <c r="BQ64" s="594">
        <f>(LongTerm62!$BM69+LongTerm62!$BL69/(1-LongTerm62!$AR69))*(LongTerm62!$F69*LongTerm62!$AF69*LongTerm62!$AH69)/10000</f>
        <v>0.29897296191974221</v>
      </c>
      <c r="BR64" s="594">
        <f>LongTerm62!$BM69*(LongTerm62!$F69*LongTerm62!$AF69*LongTerm62!$AH69)/10000</f>
        <v>11.848604081481016</v>
      </c>
      <c r="BS64" s="594">
        <f>(LongTerm62!$BL69/(1-LongTerm62!$AR69))*(LongTerm62!$F69*LongTerm62!$AF69*LongTerm62!$AH69)/10000</f>
        <v>-11.549631119561274</v>
      </c>
      <c r="BT64" s="447"/>
      <c r="BU64" s="596">
        <f>LongTerm107!D69</f>
        <v>37575</v>
      </c>
      <c r="BV64" s="594">
        <f>(LongTerm107!$BM69+LongTerm107!$BL69/(1-LongTerm107!$AR69))*(LongTerm107!$F69*LongTerm107!$AF69*LongTerm107!$AH69)/10000</f>
        <v>0</v>
      </c>
      <c r="BW64" s="594">
        <f>LongTerm107!$BM69*(LongTerm107!$F69*LongTerm107!$AF69*LongTerm107!$AH69)/10000</f>
        <v>0</v>
      </c>
      <c r="BX64" s="594">
        <f>(LongTerm107!$BL69/(1-LongTerm107!$AR69))*(LongTerm107!$F69*LongTerm107!$AF69*LongTerm107!$AH69)/10000</f>
        <v>0</v>
      </c>
      <c r="BY64" s="599"/>
      <c r="BZ64" s="596">
        <f>LongTerm108!D69</f>
        <v>37940</v>
      </c>
      <c r="CA64" s="594">
        <f>(LongTerm108!$BM69+LongTerm108!$BL69/(1-LongTerm108!$AR69))*(LongTerm108!$F69*LongTerm108!$AF69*LongTerm108!$AH69)/10000</f>
        <v>0</v>
      </c>
      <c r="CB64" s="594">
        <f>LongTerm108!$BM69*(LongTerm108!$F69*LongTerm108!$AF69*LongTerm108!$AH69)/10000</f>
        <v>0</v>
      </c>
      <c r="CC64" s="594">
        <f>(LongTerm108!$BL69/(1-LongTerm108!$AR69))*(LongTerm108!$F69*LongTerm108!$AF69*LongTerm108!$AH69)/10000</f>
        <v>0</v>
      </c>
      <c r="CD64" s="492"/>
      <c r="CE64" s="595">
        <f t="shared" si="44"/>
        <v>38457</v>
      </c>
      <c r="CF64" s="583">
        <v>24.7</v>
      </c>
      <c r="CG64" s="583">
        <v>142.9</v>
      </c>
      <c r="CH64" s="583">
        <v>-172.4</v>
      </c>
      <c r="CI64" s="583">
        <v>0</v>
      </c>
      <c r="CJ64" s="583">
        <v>0</v>
      </c>
      <c r="CK64" s="583">
        <v>1.2</v>
      </c>
      <c r="CL64" s="583">
        <v>0</v>
      </c>
      <c r="CM64" s="583">
        <v>0</v>
      </c>
      <c r="CN64" s="583">
        <v>0</v>
      </c>
    </row>
    <row r="65" spans="2:92" x14ac:dyDescent="0.25">
      <c r="B65" s="553">
        <f t="shared" si="13"/>
        <v>38732</v>
      </c>
      <c r="C65" s="435">
        <f t="shared" si="14"/>
        <v>2006</v>
      </c>
      <c r="D65" s="445">
        <f t="shared" si="15"/>
        <v>3.7485766539074836</v>
      </c>
      <c r="E65" s="445">
        <f t="shared" si="16"/>
        <v>0.59975334046302464</v>
      </c>
      <c r="F65" s="445">
        <f t="shared" si="17"/>
        <v>5.221806941018059E-2</v>
      </c>
      <c r="G65" s="445">
        <f t="shared" si="18"/>
        <v>-0.10069750187108184</v>
      </c>
      <c r="H65" s="445">
        <f t="shared" si="19"/>
        <v>0</v>
      </c>
      <c r="I65" s="445">
        <f t="shared" si="20"/>
        <v>0</v>
      </c>
      <c r="J65" s="447"/>
      <c r="K65" s="447"/>
      <c r="L65" s="447"/>
      <c r="M65" s="445">
        <f t="shared" si="21"/>
        <v>-0.21771226229902041</v>
      </c>
      <c r="N65" s="565">
        <f t="shared" si="22"/>
        <v>0.51501500820438295</v>
      </c>
      <c r="O65" s="565">
        <f t="shared" si="23"/>
        <v>0</v>
      </c>
      <c r="Q65" s="553">
        <f t="shared" si="43"/>
        <v>38732</v>
      </c>
      <c r="R65" s="445">
        <f t="shared" si="25"/>
        <v>2.0485766539074834</v>
      </c>
      <c r="S65" s="565">
        <f t="shared" si="26"/>
        <v>-90.200246659536973</v>
      </c>
      <c r="T65" s="565">
        <f t="shared" si="35"/>
        <v>-24.24778193058982</v>
      </c>
      <c r="U65" s="565">
        <f t="shared" si="36"/>
        <v>116.19930249812892</v>
      </c>
      <c r="V65" s="565">
        <f t="shared" si="5"/>
        <v>0</v>
      </c>
      <c r="W65" s="565">
        <f t="shared" si="6"/>
        <v>0</v>
      </c>
      <c r="X65" s="565">
        <f t="shared" si="27"/>
        <v>11.78228773770098</v>
      </c>
      <c r="Y65" s="445">
        <f t="shared" si="28"/>
        <v>-11.484984991795617</v>
      </c>
      <c r="Z65" s="565">
        <f t="shared" si="29"/>
        <v>0</v>
      </c>
      <c r="AB65" s="553">
        <f t="shared" si="30"/>
        <v>38732</v>
      </c>
      <c r="AC65" s="571">
        <f t="shared" si="37"/>
        <v>1.7</v>
      </c>
      <c r="AD65" s="565">
        <f t="shared" si="38"/>
        <v>90.8</v>
      </c>
      <c r="AE65" s="565">
        <f t="shared" si="39"/>
        <v>24.3</v>
      </c>
      <c r="AF65" s="565">
        <f t="shared" si="40"/>
        <v>-116.3</v>
      </c>
      <c r="AG65" s="565">
        <f t="shared" si="41"/>
        <v>0</v>
      </c>
      <c r="AH65" s="565">
        <f t="shared" si="42"/>
        <v>0</v>
      </c>
      <c r="AI65" s="565">
        <f t="shared" si="31"/>
        <v>-12</v>
      </c>
      <c r="AJ65" s="445">
        <f t="shared" si="32"/>
        <v>12</v>
      </c>
      <c r="AK65" s="565">
        <f t="shared" si="33"/>
        <v>0</v>
      </c>
      <c r="AM65" s="593">
        <f>LongTerm1!D70</f>
        <v>38732</v>
      </c>
      <c r="AN65" s="594">
        <f>(LongTerm1!BM70+LongTerm1!BL70/(1-LongTerm1!AR70))*(LongTerm1!F70*LongTerm1!AF70*LongTerm1!AH70)/10000</f>
        <v>2.6113000025304021</v>
      </c>
      <c r="AO65" s="594">
        <f>LongTerm1!BM70*(LongTerm1!F70*LongTerm1!AF70*LongTerm1!AH70)/10000</f>
        <v>92.811546662067371</v>
      </c>
      <c r="AP65" s="594">
        <f>(LongTerm1!BL70/(1-LongTerm1!AR70))*(LongTerm1!F70*LongTerm1!AF70*LongTerm1!AH70)/10000</f>
        <v>-90.200246659536973</v>
      </c>
      <c r="AQ65" s="434"/>
      <c r="AV65" s="435"/>
      <c r="AW65" s="435"/>
      <c r="AX65" s="435"/>
      <c r="AY65" s="435"/>
      <c r="AZ65" s="435"/>
      <c r="BA65" s="435"/>
      <c r="BB65" s="435"/>
      <c r="BC65" s="435"/>
      <c r="BD65" s="435"/>
      <c r="BE65" s="435"/>
      <c r="BF65" s="435"/>
      <c r="BG65" s="593">
        <f>LongTerm25!D70</f>
        <v>38791</v>
      </c>
      <c r="BH65" s="594">
        <f>(LongTerm25!BM70+LongTerm25!BL70/(1-LongTerm25!AR70))*(LongTerm25!F70*LongTerm25!AF70*LongTerm25!AH70)/10000</f>
        <v>-0.86101503478176733</v>
      </c>
      <c r="BI65" s="594">
        <f>LongTerm25!BM70*(LongTerm25!F70*LongTerm25!AF70*LongTerm25!AH70)/10000</f>
        <v>23.229257138555138</v>
      </c>
      <c r="BJ65" s="594">
        <f>(LongTerm25!BL70/(1-LongTerm25!AR70))*(LongTerm25!F70*LongTerm25!AF70*LongTerm25!AH70)/10000</f>
        <v>-24.090272173336903</v>
      </c>
      <c r="BK65" s="435"/>
      <c r="BL65" s="435"/>
      <c r="BM65" s="435"/>
      <c r="BN65" s="435"/>
      <c r="BP65" s="596">
        <f>LongTerm62!D70</f>
        <v>38732</v>
      </c>
      <c r="BQ65" s="594">
        <f>(LongTerm62!$BM70+LongTerm62!$BL70/(1-LongTerm62!$AR70))*(LongTerm62!$F70*LongTerm62!$AF70*LongTerm62!$AH70)/10000</f>
        <v>0.29730274590536127</v>
      </c>
      <c r="BR65" s="594">
        <f>LongTerm62!$BM70*(LongTerm62!$F70*LongTerm62!$AF70*LongTerm62!$AH70)/10000</f>
        <v>11.78228773770098</v>
      </c>
      <c r="BS65" s="594">
        <f>(LongTerm62!$BL70/(1-LongTerm62!$AR70))*(LongTerm62!$F70*LongTerm62!$AF70*LongTerm62!$AH70)/10000</f>
        <v>-11.484984991795617</v>
      </c>
      <c r="BT65" s="447"/>
      <c r="BU65" s="596">
        <f>LongTerm107!D70</f>
        <v>37575</v>
      </c>
      <c r="BV65" s="594">
        <f>(LongTerm107!$BM70+LongTerm107!$BL70/(1-LongTerm107!$AR70))*(LongTerm107!$F70*LongTerm107!$AF70*LongTerm107!$AH70)/10000</f>
        <v>0</v>
      </c>
      <c r="BW65" s="594">
        <f>LongTerm107!$BM70*(LongTerm107!$F70*LongTerm107!$AF70*LongTerm107!$AH70)/10000</f>
        <v>0</v>
      </c>
      <c r="BX65" s="594">
        <f>(LongTerm107!$BL70/(1-LongTerm107!$AR70))*(LongTerm107!$F70*LongTerm107!$AF70*LongTerm107!$AH70)/10000</f>
        <v>0</v>
      </c>
      <c r="BY65" s="599"/>
      <c r="BZ65" s="596">
        <f>LongTerm108!D70</f>
        <v>37940</v>
      </c>
      <c r="CA65" s="594">
        <f>(LongTerm108!$BM70+LongTerm108!$BL70/(1-LongTerm108!$AR70))*(LongTerm108!$F70*LongTerm108!$AF70*LongTerm108!$AH70)/10000</f>
        <v>0</v>
      </c>
      <c r="CB65" s="594">
        <f>LongTerm108!$BM70*(LongTerm108!$F70*LongTerm108!$AF70*LongTerm108!$AH70)/10000</f>
        <v>0</v>
      </c>
      <c r="CC65" s="594">
        <f>(LongTerm108!$BL70/(1-LongTerm108!$AR70))*(LongTerm108!$F70*LongTerm108!$AF70*LongTerm108!$AH70)/10000</f>
        <v>0</v>
      </c>
      <c r="CD65" s="492"/>
      <c r="CE65" s="595">
        <f t="shared" si="44"/>
        <v>38487</v>
      </c>
      <c r="CF65" s="583">
        <v>25.6</v>
      </c>
      <c r="CG65" s="583">
        <v>147.5</v>
      </c>
      <c r="CH65" s="583">
        <v>-172.7</v>
      </c>
      <c r="CI65" s="583">
        <v>0</v>
      </c>
      <c r="CJ65" s="583">
        <v>0</v>
      </c>
      <c r="CK65" s="583">
        <v>1.2</v>
      </c>
      <c r="CL65" s="583">
        <v>0</v>
      </c>
      <c r="CM65" s="583">
        <v>0</v>
      </c>
      <c r="CN65" s="583">
        <v>0</v>
      </c>
    </row>
    <row r="66" spans="2:92" x14ac:dyDescent="0.25">
      <c r="B66" s="553">
        <f t="shared" si="13"/>
        <v>38763</v>
      </c>
      <c r="C66" s="435">
        <f t="shared" si="14"/>
        <v>2006</v>
      </c>
      <c r="D66" s="445">
        <f t="shared" si="15"/>
        <v>3.3920952398352133</v>
      </c>
      <c r="E66" s="445">
        <f t="shared" si="16"/>
        <v>-0.66238264406223379</v>
      </c>
      <c r="F66" s="445">
        <f t="shared" si="17"/>
        <v>-0.23639947948478124</v>
      </c>
      <c r="G66" s="445">
        <f t="shared" si="18"/>
        <v>0.63694444526242933</v>
      </c>
      <c r="H66" s="445">
        <f t="shared" si="19"/>
        <v>0</v>
      </c>
      <c r="I66" s="445">
        <f t="shared" si="20"/>
        <v>0</v>
      </c>
      <c r="J66" s="447"/>
      <c r="K66" s="447"/>
      <c r="L66" s="447"/>
      <c r="M66" s="445">
        <f t="shared" si="21"/>
        <v>-0.32300379410890834</v>
      </c>
      <c r="N66" s="565">
        <f t="shared" si="22"/>
        <v>0.57693671222872034</v>
      </c>
      <c r="O66" s="565">
        <f t="shared" si="23"/>
        <v>0</v>
      </c>
      <c r="Q66" s="553">
        <f t="shared" si="43"/>
        <v>38763</v>
      </c>
      <c r="R66" s="445">
        <f t="shared" si="25"/>
        <v>1.5920952398352131</v>
      </c>
      <c r="S66" s="565">
        <f t="shared" si="26"/>
        <v>-83.562382644062239</v>
      </c>
      <c r="T66" s="565">
        <f t="shared" si="35"/>
        <v>-21.836399479484783</v>
      </c>
      <c r="U66" s="565">
        <f t="shared" si="36"/>
        <v>106.73694444526242</v>
      </c>
      <c r="V66" s="565">
        <f t="shared" si="5"/>
        <v>0</v>
      </c>
      <c r="W66" s="565">
        <f t="shared" si="6"/>
        <v>0</v>
      </c>
      <c r="X66" s="565">
        <f t="shared" si="27"/>
        <v>10.576996205891092</v>
      </c>
      <c r="Y66" s="445">
        <f t="shared" si="28"/>
        <v>-10.32306328777128</v>
      </c>
      <c r="Z66" s="565">
        <f t="shared" si="29"/>
        <v>0</v>
      </c>
      <c r="AB66" s="553">
        <f t="shared" si="30"/>
        <v>38763</v>
      </c>
      <c r="AC66" s="571">
        <f t="shared" si="37"/>
        <v>1.8</v>
      </c>
      <c r="AD66" s="565">
        <f t="shared" si="38"/>
        <v>82.9</v>
      </c>
      <c r="AE66" s="565">
        <f t="shared" si="39"/>
        <v>21.6</v>
      </c>
      <c r="AF66" s="565">
        <f t="shared" si="40"/>
        <v>-106.1</v>
      </c>
      <c r="AG66" s="565">
        <f t="shared" si="41"/>
        <v>0</v>
      </c>
      <c r="AH66" s="565">
        <f t="shared" si="42"/>
        <v>0</v>
      </c>
      <c r="AI66" s="565">
        <f t="shared" si="31"/>
        <v>-10.9</v>
      </c>
      <c r="AJ66" s="445">
        <f t="shared" si="32"/>
        <v>10.9</v>
      </c>
      <c r="AK66" s="565">
        <f t="shared" si="33"/>
        <v>0</v>
      </c>
      <c r="AM66" s="593">
        <f>LongTerm1!D71</f>
        <v>38763</v>
      </c>
      <c r="AN66" s="594">
        <f>(LongTerm1!BM71+LongTerm1!BL71/(1-LongTerm1!AR71))*(LongTerm1!F71*LongTerm1!AF71*LongTerm1!AH71)/10000</f>
        <v>2.1164828482841491</v>
      </c>
      <c r="AO66" s="594">
        <f>LongTerm1!BM71*(LongTerm1!F71*LongTerm1!AF71*LongTerm1!AH71)/10000</f>
        <v>85.678865492346389</v>
      </c>
      <c r="AP66" s="594">
        <f>(LongTerm1!BL71/(1-LongTerm1!AR71))*(LongTerm1!F71*LongTerm1!AF71*LongTerm1!AH71)/10000</f>
        <v>-83.562382644062239</v>
      </c>
      <c r="AQ66" s="434"/>
      <c r="AV66" s="435"/>
      <c r="AW66" s="435"/>
      <c r="AX66" s="435"/>
      <c r="AY66" s="435"/>
      <c r="AZ66" s="435"/>
      <c r="BA66" s="435"/>
      <c r="BB66" s="435"/>
      <c r="BC66" s="435"/>
      <c r="BD66" s="435"/>
      <c r="BE66" s="435"/>
      <c r="BF66" s="435"/>
      <c r="BG66" s="593">
        <f>LongTerm25!D71</f>
        <v>38822</v>
      </c>
      <c r="BH66" s="594">
        <f>(LongTerm25!BM71+LongTerm25!BL71/(1-LongTerm25!AR71))*(LongTerm25!F71*LongTerm25!AF71*LongTerm25!AH71)/10000</f>
        <v>-0.83453305940044498</v>
      </c>
      <c r="BI66" s="594">
        <f>LongTerm25!BM71*(LongTerm25!F71*LongTerm25!AF71*LongTerm25!AH71)/10000</f>
        <v>22.399511851318444</v>
      </c>
      <c r="BJ66" s="594">
        <f>(LongTerm25!BL71/(1-LongTerm25!AR71))*(LongTerm25!F71*LongTerm25!AF71*LongTerm25!AH71)/10000</f>
        <v>-23.23404491071889</v>
      </c>
      <c r="BK66" s="435"/>
      <c r="BL66" s="435"/>
      <c r="BM66" s="435"/>
      <c r="BN66" s="435"/>
      <c r="BP66" s="596">
        <f>LongTerm62!D71</f>
        <v>38763</v>
      </c>
      <c r="BQ66" s="594">
        <f>(LongTerm62!$BM71+LongTerm62!$BL71/(1-LongTerm62!$AR71))*(LongTerm62!$F71*LongTerm62!$AF71*LongTerm62!$AH71)/10000</f>
        <v>0.25393291811981072</v>
      </c>
      <c r="BR66" s="594">
        <f>LongTerm62!$BM71*(LongTerm62!$F71*LongTerm62!$AF71*LongTerm62!$AH71)/10000</f>
        <v>10.576996205891092</v>
      </c>
      <c r="BS66" s="594">
        <f>(LongTerm62!$BL71/(1-LongTerm62!$AR71))*(LongTerm62!$F71*LongTerm62!$AF71*LongTerm62!$AH71)/10000</f>
        <v>-10.32306328777128</v>
      </c>
      <c r="BT66" s="447"/>
      <c r="BU66" s="596">
        <f>LongTerm107!D71</f>
        <v>37575</v>
      </c>
      <c r="BV66" s="594">
        <f>(LongTerm107!$BM71+LongTerm107!$BL71/(1-LongTerm107!$AR71))*(LongTerm107!$F71*LongTerm107!$AF71*LongTerm107!$AH71)/10000</f>
        <v>0</v>
      </c>
      <c r="BW66" s="594">
        <f>LongTerm107!$BM71*(LongTerm107!$F71*LongTerm107!$AF71*LongTerm107!$AH71)/10000</f>
        <v>0</v>
      </c>
      <c r="BX66" s="594">
        <f>(LongTerm107!$BL71/(1-LongTerm107!$AR71))*(LongTerm107!$F71*LongTerm107!$AF71*LongTerm107!$AH71)/10000</f>
        <v>0</v>
      </c>
      <c r="BY66" s="599"/>
      <c r="BZ66" s="596">
        <f>LongTerm108!D71</f>
        <v>37940</v>
      </c>
      <c r="CA66" s="594">
        <f>(LongTerm108!$BM71+LongTerm108!$BL71/(1-LongTerm108!$AR71))*(LongTerm108!$F71*LongTerm108!$AF71*LongTerm108!$AH71)/10000</f>
        <v>0</v>
      </c>
      <c r="CB66" s="594">
        <f>LongTerm108!$BM71*(LongTerm108!$F71*LongTerm108!$AF71*LongTerm108!$AH71)/10000</f>
        <v>0</v>
      </c>
      <c r="CC66" s="594">
        <f>(LongTerm108!$BL71/(1-LongTerm108!$AR71))*(LongTerm108!$F71*LongTerm108!$AF71*LongTerm108!$AH71)/10000</f>
        <v>0</v>
      </c>
      <c r="CD66" s="492"/>
      <c r="CE66" s="595">
        <f t="shared" si="44"/>
        <v>38518</v>
      </c>
      <c r="CF66" s="583">
        <v>25</v>
      </c>
      <c r="CG66" s="583">
        <v>141.6</v>
      </c>
      <c r="CH66" s="583">
        <v>-166.2</v>
      </c>
      <c r="CI66" s="583">
        <v>0</v>
      </c>
      <c r="CJ66" s="583">
        <v>0</v>
      </c>
      <c r="CK66" s="583">
        <v>1.2</v>
      </c>
      <c r="CL66" s="583">
        <v>0</v>
      </c>
      <c r="CM66" s="583">
        <v>0</v>
      </c>
      <c r="CN66" s="583">
        <v>0</v>
      </c>
    </row>
    <row r="67" spans="2:92" x14ac:dyDescent="0.25">
      <c r="B67" s="553">
        <f t="shared" si="13"/>
        <v>38791</v>
      </c>
      <c r="C67" s="435">
        <f t="shared" si="14"/>
        <v>2006</v>
      </c>
      <c r="D67" s="445">
        <f t="shared" si="15"/>
        <v>2.3590203289703688</v>
      </c>
      <c r="E67" s="445">
        <f t="shared" si="16"/>
        <v>-2.2412506176166147</v>
      </c>
      <c r="F67" s="445">
        <f t="shared" si="17"/>
        <v>-0.39027217333690345</v>
      </c>
      <c r="G67" s="445">
        <f t="shared" si="18"/>
        <v>1.8201588709016363</v>
      </c>
      <c r="H67" s="445">
        <f t="shared" si="19"/>
        <v>0</v>
      </c>
      <c r="I67" s="445">
        <f t="shared" si="20"/>
        <v>0</v>
      </c>
      <c r="J67" s="447"/>
      <c r="K67" s="447"/>
      <c r="L67" s="447"/>
      <c r="M67" s="445">
        <f t="shared" si="21"/>
        <v>-0.30312639346941239</v>
      </c>
      <c r="N67" s="565">
        <f t="shared" si="22"/>
        <v>0.47351064249166441</v>
      </c>
      <c r="O67" s="565">
        <f t="shared" si="23"/>
        <v>0</v>
      </c>
      <c r="Q67" s="553">
        <f t="shared" si="43"/>
        <v>38791</v>
      </c>
      <c r="R67" s="445">
        <f t="shared" si="25"/>
        <v>0.65902032897036877</v>
      </c>
      <c r="S67" s="565">
        <f t="shared" si="26"/>
        <v>-103.94125061761662</v>
      </c>
      <c r="T67" s="565">
        <f t="shared" si="35"/>
        <v>-24.090272173336903</v>
      </c>
      <c r="U67" s="565">
        <f t="shared" si="36"/>
        <v>128.52015887090164</v>
      </c>
      <c r="V67" s="565">
        <f t="shared" si="5"/>
        <v>0</v>
      </c>
      <c r="W67" s="565">
        <f t="shared" si="6"/>
        <v>0</v>
      </c>
      <c r="X67" s="565">
        <f t="shared" si="27"/>
        <v>11.596873606530588</v>
      </c>
      <c r="Y67" s="445">
        <f t="shared" si="28"/>
        <v>-11.426489357508336</v>
      </c>
      <c r="Z67" s="565">
        <f t="shared" si="29"/>
        <v>0</v>
      </c>
      <c r="AB67" s="553">
        <f t="shared" si="30"/>
        <v>38791</v>
      </c>
      <c r="AC67" s="571">
        <f t="shared" si="37"/>
        <v>1.7</v>
      </c>
      <c r="AD67" s="565">
        <f t="shared" si="38"/>
        <v>101.7</v>
      </c>
      <c r="AE67" s="565">
        <f t="shared" si="39"/>
        <v>23.7</v>
      </c>
      <c r="AF67" s="565">
        <f t="shared" si="40"/>
        <v>-126.7</v>
      </c>
      <c r="AG67" s="565">
        <f t="shared" si="41"/>
        <v>0</v>
      </c>
      <c r="AH67" s="565">
        <f t="shared" si="42"/>
        <v>0</v>
      </c>
      <c r="AI67" s="565">
        <f t="shared" si="31"/>
        <v>-11.9</v>
      </c>
      <c r="AJ67" s="445">
        <f t="shared" si="32"/>
        <v>11.9</v>
      </c>
      <c r="AK67" s="565">
        <f t="shared" si="33"/>
        <v>0</v>
      </c>
      <c r="AM67" s="593">
        <f>LongTerm1!D72</f>
        <v>38791</v>
      </c>
      <c r="AN67" s="594">
        <f>(LongTerm1!BM72+LongTerm1!BL72/(1-LongTerm1!AR72))*(LongTerm1!F72*LongTerm1!AF72*LongTerm1!AH72)/10000</f>
        <v>1.349651114729886</v>
      </c>
      <c r="AO67" s="594">
        <f>LongTerm1!BM72*(LongTerm1!F72*LongTerm1!AF72*LongTerm1!AH72)/10000</f>
        <v>105.29090173234651</v>
      </c>
      <c r="AP67" s="594">
        <f>(LongTerm1!BL72/(1-LongTerm1!AR72))*(LongTerm1!F72*LongTerm1!AF72*LongTerm1!AH72)/10000</f>
        <v>-103.94125061761662</v>
      </c>
      <c r="AQ67" s="434"/>
      <c r="AV67" s="435"/>
      <c r="AW67" s="435"/>
      <c r="AX67" s="435"/>
      <c r="AY67" s="435"/>
      <c r="AZ67" s="435"/>
      <c r="BA67" s="435"/>
      <c r="BB67" s="435"/>
      <c r="BC67" s="435"/>
      <c r="BD67" s="435"/>
      <c r="BE67" s="435"/>
      <c r="BF67" s="435"/>
      <c r="BG67" s="593">
        <f>LongTerm25!D72</f>
        <v>38852</v>
      </c>
      <c r="BH67" s="594">
        <f>(LongTerm25!BM72+LongTerm25!BL72/(1-LongTerm25!AR72))*(LongTerm25!F72*LongTerm25!AF72*LongTerm25!AH72)/10000</f>
        <v>-0.85658460152306848</v>
      </c>
      <c r="BI67" s="594">
        <f>LongTerm25!BM72*(LongTerm25!F72*LongTerm25!AF72*LongTerm25!AH72)/10000</f>
        <v>23.010782656665391</v>
      </c>
      <c r="BJ67" s="594">
        <f>(LongTerm25!BL72/(1-LongTerm25!AR72))*(LongTerm25!F72*LongTerm25!AF72*LongTerm25!AH72)/10000</f>
        <v>-23.867367258188459</v>
      </c>
      <c r="BK67" s="435"/>
      <c r="BL67" s="435"/>
      <c r="BM67" s="435"/>
      <c r="BN67" s="435"/>
      <c r="BP67" s="596">
        <f>LongTerm62!D72</f>
        <v>38791</v>
      </c>
      <c r="BQ67" s="594">
        <f>(LongTerm62!$BM72+LongTerm62!$BL72/(1-LongTerm62!$AR72))*(LongTerm62!$F72*LongTerm62!$AF72*LongTerm62!$AH72)/10000</f>
        <v>0.17038424902225011</v>
      </c>
      <c r="BR67" s="594">
        <f>LongTerm62!$BM72*(LongTerm62!$F72*LongTerm62!$AF72*LongTerm62!$AH72)/10000</f>
        <v>11.596873606530588</v>
      </c>
      <c r="BS67" s="594">
        <f>(LongTerm62!$BL72/(1-LongTerm62!$AR72))*(LongTerm62!$F72*LongTerm62!$AF72*LongTerm62!$AH72)/10000</f>
        <v>-11.426489357508336</v>
      </c>
      <c r="BT67" s="447"/>
      <c r="BU67" s="596">
        <f>LongTerm107!D72</f>
        <v>37575</v>
      </c>
      <c r="BV67" s="594">
        <f>(LongTerm107!$BM72+LongTerm107!$BL72/(1-LongTerm107!$AR72))*(LongTerm107!$F72*LongTerm107!$AF72*LongTerm107!$AH72)/10000</f>
        <v>0</v>
      </c>
      <c r="BW67" s="594">
        <f>LongTerm107!$BM72*(LongTerm107!$F72*LongTerm107!$AF72*LongTerm107!$AH72)/10000</f>
        <v>0</v>
      </c>
      <c r="BX67" s="594">
        <f>(LongTerm107!$BL72/(1-LongTerm107!$AR72))*(LongTerm107!$F72*LongTerm107!$AF72*LongTerm107!$AH72)/10000</f>
        <v>0</v>
      </c>
      <c r="BY67" s="599"/>
      <c r="BZ67" s="596">
        <f>LongTerm108!D72</f>
        <v>37940</v>
      </c>
      <c r="CA67" s="594">
        <f>(LongTerm108!$BM72+LongTerm108!$BL72/(1-LongTerm108!$AR72))*(LongTerm108!$F72*LongTerm108!$AF72*LongTerm108!$AH72)/10000</f>
        <v>0</v>
      </c>
      <c r="CB67" s="594">
        <f>LongTerm108!$BM72*(LongTerm108!$F72*LongTerm108!$AF72*LongTerm108!$AH72)/10000</f>
        <v>0</v>
      </c>
      <c r="CC67" s="594">
        <f>(LongTerm108!$BL72/(1-LongTerm108!$AR72))*(LongTerm108!$F72*LongTerm108!$AF72*LongTerm108!$AH72)/10000</f>
        <v>0</v>
      </c>
      <c r="CD67" s="492"/>
      <c r="CE67" s="595">
        <f t="shared" si="44"/>
        <v>38548</v>
      </c>
      <c r="CF67" s="583">
        <v>25.1</v>
      </c>
      <c r="CG67" s="583">
        <v>141.80000000000001</v>
      </c>
      <c r="CH67" s="583">
        <v>-167.4</v>
      </c>
      <c r="CI67" s="583">
        <v>0</v>
      </c>
      <c r="CJ67" s="583">
        <v>0</v>
      </c>
      <c r="CK67" s="583">
        <v>1.2</v>
      </c>
      <c r="CL67" s="583">
        <v>0</v>
      </c>
      <c r="CM67" s="583">
        <v>0</v>
      </c>
      <c r="CN67" s="583">
        <v>0</v>
      </c>
    </row>
    <row r="68" spans="2:92" x14ac:dyDescent="0.25">
      <c r="B68" s="553">
        <f t="shared" si="13"/>
        <v>38822</v>
      </c>
      <c r="C68" s="435">
        <f t="shared" si="14"/>
        <v>2006</v>
      </c>
      <c r="D68" s="445">
        <f t="shared" si="15"/>
        <v>-0.35236399802377272</v>
      </c>
      <c r="E68" s="445">
        <f t="shared" si="16"/>
        <v>-7.4663307564854051</v>
      </c>
      <c r="F68" s="445">
        <f t="shared" si="17"/>
        <v>-3.4044910718890264E-2</v>
      </c>
      <c r="G68" s="445">
        <f t="shared" si="18"/>
        <v>7.4480116691805449</v>
      </c>
      <c r="H68" s="445">
        <f t="shared" si="19"/>
        <v>0</v>
      </c>
      <c r="I68" s="445">
        <f t="shared" si="20"/>
        <v>0</v>
      </c>
      <c r="J68" s="447"/>
      <c r="K68" s="447"/>
      <c r="L68" s="447"/>
      <c r="M68" s="445">
        <f t="shared" si="21"/>
        <v>0</v>
      </c>
      <c r="N68" s="565">
        <f t="shared" si="22"/>
        <v>0</v>
      </c>
      <c r="O68" s="565">
        <f t="shared" si="23"/>
        <v>0</v>
      </c>
      <c r="Q68" s="553">
        <f t="shared" si="43"/>
        <v>38822</v>
      </c>
      <c r="R68" s="445">
        <f t="shared" si="25"/>
        <v>-2.0523639980237727</v>
      </c>
      <c r="S68" s="565">
        <f t="shared" si="26"/>
        <v>-138.46633075648541</v>
      </c>
      <c r="T68" s="565">
        <f t="shared" si="35"/>
        <v>-23.23404491071889</v>
      </c>
      <c r="U68" s="565">
        <f t="shared" si="36"/>
        <v>159.64801166918053</v>
      </c>
      <c r="V68" s="565">
        <f t="shared" si="5"/>
        <v>0</v>
      </c>
      <c r="W68" s="565">
        <f t="shared" si="6"/>
        <v>0</v>
      </c>
      <c r="X68" s="565">
        <f t="shared" si="27"/>
        <v>0</v>
      </c>
      <c r="Y68" s="445">
        <f t="shared" si="28"/>
        <v>0</v>
      </c>
      <c r="Z68" s="565">
        <f t="shared" si="29"/>
        <v>0</v>
      </c>
      <c r="AB68" s="553">
        <f t="shared" si="30"/>
        <v>38822</v>
      </c>
      <c r="AC68" s="571">
        <f t="shared" si="37"/>
        <v>1.7</v>
      </c>
      <c r="AD68" s="565">
        <f t="shared" si="38"/>
        <v>131</v>
      </c>
      <c r="AE68" s="565">
        <f t="shared" si="39"/>
        <v>23.2</v>
      </c>
      <c r="AF68" s="565">
        <f t="shared" si="40"/>
        <v>-152.19999999999999</v>
      </c>
      <c r="AG68" s="565">
        <f t="shared" si="41"/>
        <v>0</v>
      </c>
      <c r="AH68" s="565">
        <f t="shared" si="42"/>
        <v>0</v>
      </c>
      <c r="AI68" s="565">
        <f t="shared" si="31"/>
        <v>0</v>
      </c>
      <c r="AJ68" s="445">
        <f t="shared" si="32"/>
        <v>0</v>
      </c>
      <c r="AK68" s="565">
        <f t="shared" si="33"/>
        <v>0</v>
      </c>
      <c r="AM68" s="593">
        <f>LongTerm1!D73</f>
        <v>38822</v>
      </c>
      <c r="AN68" s="594">
        <f>(LongTerm1!BM73+LongTerm1!BL73/(1-LongTerm1!AR73))*(LongTerm1!F73*LongTerm1!AF73*LongTerm1!AH73)/10000</f>
        <v>-1.2178309386233277</v>
      </c>
      <c r="AO68" s="594">
        <f>LongTerm1!BM73*(LongTerm1!F73*LongTerm1!AF73*LongTerm1!AH73)/10000</f>
        <v>137.2484998178621</v>
      </c>
      <c r="AP68" s="594">
        <f>(LongTerm1!BL73/(1-LongTerm1!AR73))*(LongTerm1!F73*LongTerm1!AF73*LongTerm1!AH73)/10000</f>
        <v>-138.46633075648541</v>
      </c>
      <c r="AQ68" s="434"/>
      <c r="AV68" s="435"/>
      <c r="AW68" s="435"/>
      <c r="AX68" s="435"/>
      <c r="AY68" s="435"/>
      <c r="AZ68" s="435"/>
      <c r="BA68" s="435"/>
      <c r="BB68" s="435"/>
      <c r="BC68" s="435"/>
      <c r="BD68" s="435"/>
      <c r="BE68" s="435"/>
      <c r="BF68" s="435"/>
      <c r="BG68" s="593">
        <f>LongTerm25!D73</f>
        <v>38883</v>
      </c>
      <c r="BH68" s="594">
        <f>(LongTerm25!BM73+LongTerm25!BL73/(1-LongTerm25!AR73))*(LongTerm25!F73*LongTerm25!AF73*LongTerm25!AH73)/10000</f>
        <v>-0.82316348502475356</v>
      </c>
      <c r="BI68" s="594">
        <f>LongTerm25!BM73*(LongTerm25!F73*LongTerm25!AF73*LongTerm25!AH73)/10000</f>
        <v>22.132271792513748</v>
      </c>
      <c r="BJ68" s="594">
        <f>(LongTerm25!BL73/(1-LongTerm25!AR73))*(LongTerm25!F73*LongTerm25!AF73*LongTerm25!AH73)/10000</f>
        <v>-22.955435277538502</v>
      </c>
      <c r="BK68" s="435"/>
      <c r="BL68" s="435"/>
      <c r="BM68" s="435"/>
      <c r="BN68" s="435"/>
      <c r="BP68" s="596">
        <f>LongTerm62!D73</f>
        <v>38822</v>
      </c>
      <c r="BQ68" s="594">
        <f>(LongTerm62!$BM73+LongTerm62!$BL73/(1-LongTerm62!$AR73))*(LongTerm62!$F73*LongTerm62!$AF73*LongTerm62!$AH73)/10000</f>
        <v>0</v>
      </c>
      <c r="BR68" s="594">
        <f>LongTerm62!$BM73*(LongTerm62!$F73*LongTerm62!$AF73*LongTerm62!$AH73)/10000</f>
        <v>0</v>
      </c>
      <c r="BS68" s="594">
        <f>(LongTerm62!$BL73/(1-LongTerm62!$AR73))*(LongTerm62!$F73*LongTerm62!$AF73*LongTerm62!$AH73)/10000</f>
        <v>0</v>
      </c>
      <c r="BT68" s="447"/>
      <c r="BU68" s="596">
        <f>LongTerm107!D73</f>
        <v>37575</v>
      </c>
      <c r="BV68" s="594">
        <f>(LongTerm107!$BM73+LongTerm107!$BL73/(1-LongTerm107!$AR73))*(LongTerm107!$F73*LongTerm107!$AF73*LongTerm107!$AH73)/10000</f>
        <v>0</v>
      </c>
      <c r="BW68" s="594">
        <f>LongTerm107!$BM73*(LongTerm107!$F73*LongTerm107!$AF73*LongTerm107!$AH73)/10000</f>
        <v>0</v>
      </c>
      <c r="BX68" s="594">
        <f>(LongTerm107!$BL73/(1-LongTerm107!$AR73))*(LongTerm107!$F73*LongTerm107!$AF73*LongTerm107!$AH73)/10000</f>
        <v>0</v>
      </c>
      <c r="BY68" s="599"/>
      <c r="BZ68" s="596">
        <f>LongTerm108!D73</f>
        <v>37940</v>
      </c>
      <c r="CA68" s="594">
        <f>(LongTerm108!$BM73+LongTerm108!$BL73/(1-LongTerm108!$AR73))*(LongTerm108!$F73*LongTerm108!$AF73*LongTerm108!$AH73)/10000</f>
        <v>0</v>
      </c>
      <c r="CB68" s="594">
        <f>LongTerm108!$BM73*(LongTerm108!$F73*LongTerm108!$AF73*LongTerm108!$AH73)/10000</f>
        <v>0</v>
      </c>
      <c r="CC68" s="594">
        <f>(LongTerm108!$BL73/(1-LongTerm108!$AR73))*(LongTerm108!$F73*LongTerm108!$AF73*LongTerm108!$AH73)/10000</f>
        <v>0</v>
      </c>
      <c r="CD68" s="492"/>
      <c r="CE68" s="595">
        <f t="shared" si="44"/>
        <v>38579</v>
      </c>
      <c r="CF68" s="583">
        <v>24.8</v>
      </c>
      <c r="CG68" s="583">
        <v>137.69999999999999</v>
      </c>
      <c r="CH68" s="583">
        <v>-163</v>
      </c>
      <c r="CI68" s="583">
        <v>0</v>
      </c>
      <c r="CJ68" s="583">
        <v>0</v>
      </c>
      <c r="CK68" s="583">
        <v>1.2</v>
      </c>
      <c r="CL68" s="583">
        <v>0</v>
      </c>
      <c r="CM68" s="583">
        <v>0</v>
      </c>
      <c r="CN68" s="583">
        <v>0</v>
      </c>
    </row>
    <row r="69" spans="2:92" x14ac:dyDescent="0.25">
      <c r="B69" s="553">
        <f t="shared" si="13"/>
        <v>38852</v>
      </c>
      <c r="C69" s="435">
        <f t="shared" si="14"/>
        <v>2006</v>
      </c>
      <c r="D69" s="445">
        <f t="shared" si="15"/>
        <v>-0.13248102806343409</v>
      </c>
      <c r="E69" s="445">
        <f t="shared" si="16"/>
        <v>-1.1187312171111614</v>
      </c>
      <c r="F69" s="445">
        <f t="shared" si="17"/>
        <v>0.23263274181154259</v>
      </c>
      <c r="G69" s="445">
        <f t="shared" si="18"/>
        <v>1.8536174472361608</v>
      </c>
      <c r="H69" s="445">
        <f t="shared" si="19"/>
        <v>0</v>
      </c>
      <c r="I69" s="445">
        <f t="shared" si="20"/>
        <v>0</v>
      </c>
      <c r="J69" s="447"/>
      <c r="K69" s="447"/>
      <c r="L69" s="447"/>
      <c r="M69" s="445">
        <f t="shared" si="21"/>
        <v>0</v>
      </c>
      <c r="N69" s="565">
        <f t="shared" si="22"/>
        <v>0</v>
      </c>
      <c r="O69" s="565">
        <f t="shared" si="23"/>
        <v>0</v>
      </c>
      <c r="Q69" s="553">
        <f t="shared" si="43"/>
        <v>38852</v>
      </c>
      <c r="R69" s="445">
        <f t="shared" si="25"/>
        <v>-1.832481028063434</v>
      </c>
      <c r="S69" s="565">
        <f t="shared" si="26"/>
        <v>-138.11873121711116</v>
      </c>
      <c r="T69" s="565">
        <f t="shared" si="35"/>
        <v>-23.867367258188459</v>
      </c>
      <c r="U69" s="565">
        <f t="shared" si="36"/>
        <v>160.15361744723617</v>
      </c>
      <c r="V69" s="565">
        <f t="shared" si="5"/>
        <v>0</v>
      </c>
      <c r="W69" s="565">
        <f t="shared" si="6"/>
        <v>0</v>
      </c>
      <c r="X69" s="565">
        <f t="shared" si="27"/>
        <v>0</v>
      </c>
      <c r="Y69" s="445">
        <f t="shared" si="28"/>
        <v>0</v>
      </c>
      <c r="Z69" s="565">
        <f t="shared" si="29"/>
        <v>0</v>
      </c>
      <c r="AB69" s="553">
        <f t="shared" si="30"/>
        <v>38852</v>
      </c>
      <c r="AC69" s="571">
        <f t="shared" si="37"/>
        <v>1.7</v>
      </c>
      <c r="AD69" s="565">
        <f t="shared" si="38"/>
        <v>137</v>
      </c>
      <c r="AE69" s="565">
        <f t="shared" si="39"/>
        <v>24.1</v>
      </c>
      <c r="AF69" s="565">
        <f t="shared" si="40"/>
        <v>-158.30000000000001</v>
      </c>
      <c r="AG69" s="565">
        <f t="shared" si="41"/>
        <v>0</v>
      </c>
      <c r="AH69" s="565">
        <f t="shared" si="42"/>
        <v>0</v>
      </c>
      <c r="AI69" s="565">
        <f t="shared" si="31"/>
        <v>0</v>
      </c>
      <c r="AJ69" s="445">
        <f t="shared" si="32"/>
        <v>0</v>
      </c>
      <c r="AK69" s="565">
        <f t="shared" si="33"/>
        <v>0</v>
      </c>
      <c r="AM69" s="593">
        <f>LongTerm1!D74</f>
        <v>38852</v>
      </c>
      <c r="AN69" s="594">
        <f>(LongTerm1!BM74+LongTerm1!BL74/(1-LongTerm1!AR74))*(LongTerm1!F74*LongTerm1!AF74*LongTerm1!AH74)/10000</f>
        <v>-0.97589642654036557</v>
      </c>
      <c r="AO69" s="594">
        <f>LongTerm1!BM74*(LongTerm1!F74*LongTerm1!AF74*LongTerm1!AH74)/10000</f>
        <v>137.14283479057079</v>
      </c>
      <c r="AP69" s="594">
        <f>(LongTerm1!BL74/(1-LongTerm1!AR74))*(LongTerm1!F74*LongTerm1!AF74*LongTerm1!AH74)/10000</f>
        <v>-138.11873121711116</v>
      </c>
      <c r="AQ69" s="434"/>
      <c r="AV69" s="435"/>
      <c r="AW69" s="435"/>
      <c r="AX69" s="435"/>
      <c r="AY69" s="435"/>
      <c r="AZ69" s="435"/>
      <c r="BA69" s="435"/>
      <c r="BB69" s="435"/>
      <c r="BC69" s="435"/>
      <c r="BD69" s="435"/>
      <c r="BE69" s="435"/>
      <c r="BF69" s="435"/>
      <c r="BG69" s="593">
        <f>LongTerm25!D74</f>
        <v>38913</v>
      </c>
      <c r="BH69" s="594">
        <f>(LongTerm25!BM74+LongTerm25!BL74/(1-LongTerm25!AR74))*(LongTerm25!F74*LongTerm25!AF74*LongTerm25!AH74)/10000</f>
        <v>-0.84147928223267099</v>
      </c>
      <c r="BI69" s="594">
        <f>LongTerm25!BM74*(LongTerm25!F74*LongTerm25!AF74*LongTerm25!AH74)/10000</f>
        <v>22.705050925581304</v>
      </c>
      <c r="BJ69" s="594">
        <f>(LongTerm25!BL74/(1-LongTerm25!AR74))*(LongTerm25!F74*LongTerm25!AF74*LongTerm25!AH74)/10000</f>
        <v>-23.546530207813973</v>
      </c>
      <c r="BK69" s="435"/>
      <c r="BL69" s="435"/>
      <c r="BM69" s="435"/>
      <c r="BN69" s="435"/>
      <c r="BP69" s="596">
        <f>LongTerm62!D74</f>
        <v>38852</v>
      </c>
      <c r="BQ69" s="594">
        <f>(LongTerm62!$BM74+LongTerm62!$BL74/(1-LongTerm62!$AR74))*(LongTerm62!$F74*LongTerm62!$AF74*LongTerm62!$AH74)/10000</f>
        <v>0</v>
      </c>
      <c r="BR69" s="594">
        <f>LongTerm62!$BM74*(LongTerm62!$F74*LongTerm62!$AF74*LongTerm62!$AH74)/10000</f>
        <v>0</v>
      </c>
      <c r="BS69" s="594">
        <f>(LongTerm62!$BL74/(1-LongTerm62!$AR74))*(LongTerm62!$F74*LongTerm62!$AF74*LongTerm62!$AH74)/10000</f>
        <v>0</v>
      </c>
      <c r="BT69" s="447"/>
      <c r="BU69" s="596">
        <f>LongTerm107!D74</f>
        <v>37575</v>
      </c>
      <c r="BV69" s="594">
        <f>(LongTerm107!$BM74+LongTerm107!$BL74/(1-LongTerm107!$AR74))*(LongTerm107!$F74*LongTerm107!$AF74*LongTerm107!$AH74)/10000</f>
        <v>0</v>
      </c>
      <c r="BW69" s="594">
        <f>LongTerm107!$BM74*(LongTerm107!$F74*LongTerm107!$AF74*LongTerm107!$AH74)/10000</f>
        <v>0</v>
      </c>
      <c r="BX69" s="594">
        <f>(LongTerm107!$BL74/(1-LongTerm107!$AR74))*(LongTerm107!$F74*LongTerm107!$AF74*LongTerm107!$AH74)/10000</f>
        <v>0</v>
      </c>
      <c r="BY69" s="599"/>
      <c r="BZ69" s="596">
        <f>LongTerm108!D74</f>
        <v>37940</v>
      </c>
      <c r="CA69" s="594">
        <f>(LongTerm108!$BM74+LongTerm108!$BL74/(1-LongTerm108!$AR74))*(LongTerm108!$F74*LongTerm108!$AF74*LongTerm108!$AH74)/10000</f>
        <v>0</v>
      </c>
      <c r="CB69" s="594">
        <f>LongTerm108!$BM74*(LongTerm108!$F74*LongTerm108!$AF74*LongTerm108!$AH74)/10000</f>
        <v>0</v>
      </c>
      <c r="CC69" s="594">
        <f>(LongTerm108!$BL74/(1-LongTerm108!$AR74))*(LongTerm108!$F74*LongTerm108!$AF74*LongTerm108!$AH74)/10000</f>
        <v>0</v>
      </c>
      <c r="CD69" s="492"/>
      <c r="CE69" s="595">
        <f t="shared" si="44"/>
        <v>38610</v>
      </c>
      <c r="CF69" s="583">
        <v>24.2</v>
      </c>
      <c r="CG69" s="583">
        <v>131.9</v>
      </c>
      <c r="CH69" s="583">
        <v>-157.4</v>
      </c>
      <c r="CI69" s="583">
        <v>0</v>
      </c>
      <c r="CJ69" s="583">
        <v>0</v>
      </c>
      <c r="CK69" s="583">
        <v>1.2</v>
      </c>
      <c r="CL69" s="583">
        <v>0</v>
      </c>
      <c r="CM69" s="583">
        <v>0</v>
      </c>
      <c r="CN69" s="583">
        <v>0</v>
      </c>
    </row>
    <row r="70" spans="2:92" x14ac:dyDescent="0.25">
      <c r="B70" s="553">
        <f t="shared" si="13"/>
        <v>38883</v>
      </c>
      <c r="C70" s="435">
        <f t="shared" si="14"/>
        <v>2006</v>
      </c>
      <c r="D70" s="445">
        <f t="shared" si="15"/>
        <v>-7.587586789700751E-2</v>
      </c>
      <c r="E70" s="445">
        <f t="shared" si="16"/>
        <v>-2.3905210591931336</v>
      </c>
      <c r="F70" s="445">
        <f t="shared" si="17"/>
        <v>-0.2554352775385027</v>
      </c>
      <c r="G70" s="445">
        <f t="shared" si="18"/>
        <v>1.9700804688346238</v>
      </c>
      <c r="H70" s="445">
        <f t="shared" si="19"/>
        <v>0</v>
      </c>
      <c r="I70" s="445">
        <f t="shared" si="20"/>
        <v>0</v>
      </c>
      <c r="J70" s="447"/>
      <c r="K70" s="447"/>
      <c r="L70" s="447"/>
      <c r="M70" s="445">
        <f t="shared" si="21"/>
        <v>0</v>
      </c>
      <c r="N70" s="565">
        <f t="shared" si="22"/>
        <v>0</v>
      </c>
      <c r="O70" s="565">
        <f t="shared" si="23"/>
        <v>0</v>
      </c>
      <c r="Q70" s="553">
        <f t="shared" si="43"/>
        <v>38883</v>
      </c>
      <c r="R70" s="445">
        <f t="shared" si="25"/>
        <v>-1.7758758678970075</v>
      </c>
      <c r="S70" s="565">
        <f t="shared" si="26"/>
        <v>-132.99052105919313</v>
      </c>
      <c r="T70" s="565">
        <f t="shared" si="35"/>
        <v>-22.955435277538502</v>
      </c>
      <c r="U70" s="565">
        <f t="shared" si="36"/>
        <v>154.17008046883461</v>
      </c>
      <c r="V70" s="565">
        <f t="shared" si="5"/>
        <v>0</v>
      </c>
      <c r="W70" s="565">
        <f t="shared" si="6"/>
        <v>0</v>
      </c>
      <c r="X70" s="565">
        <f t="shared" si="27"/>
        <v>0</v>
      </c>
      <c r="Y70" s="445">
        <f t="shared" si="28"/>
        <v>0</v>
      </c>
      <c r="Z70" s="565">
        <f t="shared" si="29"/>
        <v>0</v>
      </c>
      <c r="AB70" s="553">
        <f t="shared" si="30"/>
        <v>38883</v>
      </c>
      <c r="AC70" s="571">
        <f t="shared" si="37"/>
        <v>1.7</v>
      </c>
      <c r="AD70" s="565">
        <f t="shared" si="38"/>
        <v>130.6</v>
      </c>
      <c r="AE70" s="565">
        <f t="shared" si="39"/>
        <v>22.7</v>
      </c>
      <c r="AF70" s="565">
        <f t="shared" si="40"/>
        <v>-152.19999999999999</v>
      </c>
      <c r="AG70" s="565">
        <f t="shared" si="41"/>
        <v>0</v>
      </c>
      <c r="AH70" s="565">
        <f t="shared" si="42"/>
        <v>0</v>
      </c>
      <c r="AI70" s="565">
        <f t="shared" si="31"/>
        <v>0</v>
      </c>
      <c r="AJ70" s="445">
        <f t="shared" si="32"/>
        <v>0</v>
      </c>
      <c r="AK70" s="565">
        <f t="shared" si="33"/>
        <v>0</v>
      </c>
      <c r="AM70" s="593">
        <f>LongTerm1!D75</f>
        <v>38883</v>
      </c>
      <c r="AN70" s="594">
        <f>(LongTerm1!BM75+LongTerm1!BL75/(1-LongTerm1!AR75))*(LongTerm1!F75*LongTerm1!AF75*LongTerm1!AH75)/10000</f>
        <v>-0.9527123828722539</v>
      </c>
      <c r="AO70" s="594">
        <f>LongTerm1!BM75*(LongTerm1!F75*LongTerm1!AF75*LongTerm1!AH75)/10000</f>
        <v>132.03780867632088</v>
      </c>
      <c r="AP70" s="594">
        <f>(LongTerm1!BL75/(1-LongTerm1!AR75))*(LongTerm1!F75*LongTerm1!AF75*LongTerm1!AH75)/10000</f>
        <v>-132.99052105919313</v>
      </c>
      <c r="AQ70" s="434"/>
      <c r="AV70" s="435"/>
      <c r="AW70" s="435"/>
      <c r="AX70" s="435"/>
      <c r="AY70" s="435"/>
      <c r="AZ70" s="435"/>
      <c r="BA70" s="435"/>
      <c r="BB70" s="435"/>
      <c r="BC70" s="435"/>
      <c r="BD70" s="435"/>
      <c r="BE70" s="435"/>
      <c r="BF70" s="435"/>
      <c r="BG70" s="593">
        <f>LongTerm25!D75</f>
        <v>38944</v>
      </c>
      <c r="BH70" s="594">
        <f>(LongTerm25!BM75+LongTerm25!BL75/(1-LongTerm25!AR75))*(LongTerm25!F75*LongTerm25!AF75*LongTerm25!AH75)/10000</f>
        <v>-0.82707998494952428</v>
      </c>
      <c r="BI70" s="594">
        <f>LongTerm25!BM75*(LongTerm25!F75*LongTerm25!AF75*LongTerm25!AH75)/10000</f>
        <v>22.492138667270893</v>
      </c>
      <c r="BJ70" s="594">
        <f>(LongTerm25!BL75/(1-LongTerm25!AR75))*(LongTerm25!F75*LongTerm25!AF75*LongTerm25!AH75)/10000</f>
        <v>-23.319218652220417</v>
      </c>
      <c r="BK70" s="435"/>
      <c r="BL70" s="435"/>
      <c r="BM70" s="435"/>
      <c r="BN70" s="435"/>
      <c r="BP70" s="596">
        <f>LongTerm62!D75</f>
        <v>38883</v>
      </c>
      <c r="BQ70" s="594">
        <f>(LongTerm62!$BM75+LongTerm62!$BL75/(1-LongTerm62!$AR75))*(LongTerm62!$F75*LongTerm62!$AF75*LongTerm62!$AH75)/10000</f>
        <v>0</v>
      </c>
      <c r="BR70" s="594">
        <f>LongTerm62!$BM75*(LongTerm62!$F75*LongTerm62!$AF75*LongTerm62!$AH75)/10000</f>
        <v>0</v>
      </c>
      <c r="BS70" s="594">
        <f>(LongTerm62!$BL75/(1-LongTerm62!$AR75))*(LongTerm62!$F75*LongTerm62!$AF75*LongTerm62!$AH75)/10000</f>
        <v>0</v>
      </c>
      <c r="BT70" s="447"/>
      <c r="BU70" s="596">
        <f>LongTerm107!D75</f>
        <v>37575</v>
      </c>
      <c r="BV70" s="594">
        <f>(LongTerm107!$BM75+LongTerm107!$BL75/(1-LongTerm107!$AR75))*(LongTerm107!$F75*LongTerm107!$AF75*LongTerm107!$AH75)/10000</f>
        <v>0</v>
      </c>
      <c r="BW70" s="594">
        <f>LongTerm107!$BM75*(LongTerm107!$F75*LongTerm107!$AF75*LongTerm107!$AH75)/10000</f>
        <v>0</v>
      </c>
      <c r="BX70" s="594">
        <f>(LongTerm107!$BL75/(1-LongTerm107!$AR75))*(LongTerm107!$F75*LongTerm107!$AF75*LongTerm107!$AH75)/10000</f>
        <v>0</v>
      </c>
      <c r="BY70" s="599"/>
      <c r="BZ70" s="596">
        <f>LongTerm108!D75</f>
        <v>37940</v>
      </c>
      <c r="CA70" s="594">
        <f>(LongTerm108!$BM75+LongTerm108!$BL75/(1-LongTerm108!$AR75))*(LongTerm108!$F75*LongTerm108!$AF75*LongTerm108!$AH75)/10000</f>
        <v>0</v>
      </c>
      <c r="CB70" s="594">
        <f>LongTerm108!$BM75*(LongTerm108!$F75*LongTerm108!$AF75*LongTerm108!$AH75)/10000</f>
        <v>0</v>
      </c>
      <c r="CC70" s="594">
        <f>(LongTerm108!$BL75/(1-LongTerm108!$AR75))*(LongTerm108!$F75*LongTerm108!$AF75*LongTerm108!$AH75)/10000</f>
        <v>0</v>
      </c>
      <c r="CD70" s="492"/>
      <c r="CE70" s="595">
        <f t="shared" si="44"/>
        <v>38640</v>
      </c>
      <c r="CF70" s="583">
        <v>25.1</v>
      </c>
      <c r="CG70" s="583">
        <v>133</v>
      </c>
      <c r="CH70" s="583">
        <v>-158.6</v>
      </c>
      <c r="CI70" s="583">
        <v>0</v>
      </c>
      <c r="CJ70" s="583">
        <v>0</v>
      </c>
      <c r="CK70" s="583">
        <v>1.1000000000000001</v>
      </c>
      <c r="CL70" s="583">
        <v>0</v>
      </c>
      <c r="CM70" s="583">
        <v>0</v>
      </c>
      <c r="CN70" s="583">
        <v>0</v>
      </c>
    </row>
    <row r="71" spans="2:92" x14ac:dyDescent="0.25">
      <c r="B71" s="553">
        <f t="shared" si="13"/>
        <v>38913</v>
      </c>
      <c r="C71" s="435">
        <f t="shared" si="14"/>
        <v>2006</v>
      </c>
      <c r="D71" s="445">
        <f t="shared" si="15"/>
        <v>0.14518928080114812</v>
      </c>
      <c r="E71" s="445">
        <f t="shared" si="16"/>
        <v>-1.8666996480300782</v>
      </c>
      <c r="F71" s="445">
        <f t="shared" si="17"/>
        <v>-4.6530207813972879E-2</v>
      </c>
      <c r="G71" s="445">
        <f t="shared" si="18"/>
        <v>1.458419136645233</v>
      </c>
      <c r="H71" s="445">
        <f t="shared" si="19"/>
        <v>0</v>
      </c>
      <c r="I71" s="445">
        <f t="shared" si="20"/>
        <v>0</v>
      </c>
      <c r="J71" s="447"/>
      <c r="K71" s="447"/>
      <c r="L71" s="447"/>
      <c r="M71" s="445">
        <f t="shared" si="21"/>
        <v>0</v>
      </c>
      <c r="N71" s="565">
        <f t="shared" si="22"/>
        <v>0</v>
      </c>
      <c r="O71" s="565">
        <f t="shared" si="23"/>
        <v>0</v>
      </c>
      <c r="Q71" s="553">
        <f t="shared" si="43"/>
        <v>38913</v>
      </c>
      <c r="R71" s="445">
        <f t="shared" si="25"/>
        <v>-1.5548107191988518</v>
      </c>
      <c r="S71" s="565">
        <f t="shared" si="26"/>
        <v>-132.66669964803009</v>
      </c>
      <c r="T71" s="565">
        <f t="shared" si="35"/>
        <v>-23.546530207813973</v>
      </c>
      <c r="U71" s="565">
        <f t="shared" si="36"/>
        <v>154.65841913664522</v>
      </c>
      <c r="V71" s="565">
        <f t="shared" si="5"/>
        <v>0</v>
      </c>
      <c r="W71" s="565">
        <f t="shared" si="6"/>
        <v>0</v>
      </c>
      <c r="X71" s="565">
        <f t="shared" si="27"/>
        <v>0</v>
      </c>
      <c r="Y71" s="445">
        <f t="shared" si="28"/>
        <v>0</v>
      </c>
      <c r="Z71" s="565">
        <f t="shared" si="29"/>
        <v>0</v>
      </c>
      <c r="AB71" s="553">
        <f t="shared" si="30"/>
        <v>38913</v>
      </c>
      <c r="AC71" s="571">
        <f t="shared" si="37"/>
        <v>1.7</v>
      </c>
      <c r="AD71" s="565">
        <f t="shared" si="38"/>
        <v>130.80000000000001</v>
      </c>
      <c r="AE71" s="565">
        <f t="shared" si="39"/>
        <v>23.5</v>
      </c>
      <c r="AF71" s="565">
        <f t="shared" si="40"/>
        <v>-153.19999999999999</v>
      </c>
      <c r="AG71" s="565">
        <f t="shared" si="41"/>
        <v>0</v>
      </c>
      <c r="AH71" s="565">
        <f t="shared" si="42"/>
        <v>0</v>
      </c>
      <c r="AI71" s="565">
        <f t="shared" si="31"/>
        <v>0</v>
      </c>
      <c r="AJ71" s="445">
        <f t="shared" si="32"/>
        <v>0</v>
      </c>
      <c r="AK71" s="565">
        <f t="shared" si="33"/>
        <v>0</v>
      </c>
      <c r="AM71" s="593">
        <f>LongTerm1!D76</f>
        <v>38913</v>
      </c>
      <c r="AN71" s="594">
        <f>(LongTerm1!BM76+LongTerm1!BL76/(1-LongTerm1!AR76))*(LongTerm1!F76*LongTerm1!AF76*LongTerm1!AH76)/10000</f>
        <v>-0.71333143696618095</v>
      </c>
      <c r="AO71" s="594">
        <f>LongTerm1!BM76*(LongTerm1!F76*LongTerm1!AF76*LongTerm1!AH76)/10000</f>
        <v>131.95336821106392</v>
      </c>
      <c r="AP71" s="594">
        <f>(LongTerm1!BL76/(1-LongTerm1!AR76))*(LongTerm1!F76*LongTerm1!AF76*LongTerm1!AH76)/10000</f>
        <v>-132.66669964803009</v>
      </c>
      <c r="AQ71" s="434"/>
      <c r="AV71" s="435"/>
      <c r="AW71" s="435"/>
      <c r="AX71" s="435"/>
      <c r="AY71" s="435"/>
      <c r="AZ71" s="435"/>
      <c r="BA71" s="435"/>
      <c r="BB71" s="435"/>
      <c r="BC71" s="435"/>
      <c r="BD71" s="435"/>
      <c r="BE71" s="435"/>
      <c r="BF71" s="435"/>
      <c r="BG71" s="593">
        <f>LongTerm25!D76</f>
        <v>38975</v>
      </c>
      <c r="BH71" s="594">
        <f>(LongTerm25!BM76+LongTerm25!BL76/(1-LongTerm25!AR76))*(LongTerm25!F76*LongTerm25!AF76*LongTerm25!AH76)/10000</f>
        <v>-0.79789669012008746</v>
      </c>
      <c r="BI71" s="594">
        <f>LongTerm25!BM76*(LongTerm25!F76*LongTerm25!AF76*LongTerm25!AH76)/10000</f>
        <v>21.657550230785187</v>
      </c>
      <c r="BJ71" s="594">
        <f>(LongTerm25!BL76/(1-LongTerm25!AR76))*(LongTerm25!F76*LongTerm25!AF76*LongTerm25!AH76)/10000</f>
        <v>-22.455446920905274</v>
      </c>
      <c r="BK71" s="435"/>
      <c r="BL71" s="435"/>
      <c r="BM71" s="435"/>
      <c r="BN71" s="435"/>
      <c r="BP71" s="596">
        <f>LongTerm62!D76</f>
        <v>38913</v>
      </c>
      <c r="BQ71" s="594">
        <f>(LongTerm62!$BM76+LongTerm62!$BL76/(1-LongTerm62!$AR76))*(LongTerm62!$F76*LongTerm62!$AF76*LongTerm62!$AH76)/10000</f>
        <v>0</v>
      </c>
      <c r="BR71" s="594">
        <f>LongTerm62!$BM76*(LongTerm62!$F76*LongTerm62!$AF76*LongTerm62!$AH76)/10000</f>
        <v>0</v>
      </c>
      <c r="BS71" s="594">
        <f>(LongTerm62!$BL76/(1-LongTerm62!$AR76))*(LongTerm62!$F76*LongTerm62!$AF76*LongTerm62!$AH76)/10000</f>
        <v>0</v>
      </c>
      <c r="BT71" s="447"/>
      <c r="BU71" s="596">
        <f>LongTerm107!D76</f>
        <v>37575</v>
      </c>
      <c r="BV71" s="594">
        <f>(LongTerm107!$BM76+LongTerm107!$BL76/(1-LongTerm107!$AR76))*(LongTerm107!$F76*LongTerm107!$AF76*LongTerm107!$AH76)/10000</f>
        <v>0</v>
      </c>
      <c r="BW71" s="594">
        <f>LongTerm107!$BM76*(LongTerm107!$F76*LongTerm107!$AF76*LongTerm107!$AH76)/10000</f>
        <v>0</v>
      </c>
      <c r="BX71" s="594">
        <f>(LongTerm107!$BL76/(1-LongTerm107!$AR76))*(LongTerm107!$F76*LongTerm107!$AF76*LongTerm107!$AH76)/10000</f>
        <v>0</v>
      </c>
      <c r="BY71" s="599"/>
      <c r="BZ71" s="596">
        <f>LongTerm108!D76</f>
        <v>37940</v>
      </c>
      <c r="CA71" s="594">
        <f>(LongTerm108!$BM76+LongTerm108!$BL76/(1-LongTerm108!$AR76))*(LongTerm108!$F76*LongTerm108!$AF76*LongTerm108!$AH76)/10000</f>
        <v>0</v>
      </c>
      <c r="CB71" s="594">
        <f>LongTerm108!$BM76*(LongTerm108!$F76*LongTerm108!$AF76*LongTerm108!$AH76)/10000</f>
        <v>0</v>
      </c>
      <c r="CC71" s="594">
        <f>(LongTerm108!$BL76/(1-LongTerm108!$AR76))*(LongTerm108!$F76*LongTerm108!$AF76*LongTerm108!$AH76)/10000</f>
        <v>0</v>
      </c>
      <c r="CD71" s="492"/>
      <c r="CE71" s="595">
        <f t="shared" si="44"/>
        <v>38671</v>
      </c>
      <c r="CF71" s="583">
        <v>23.9</v>
      </c>
      <c r="CG71" s="583">
        <v>105.3</v>
      </c>
      <c r="CH71" s="583">
        <v>-128.30000000000001</v>
      </c>
      <c r="CI71" s="583">
        <v>0</v>
      </c>
      <c r="CJ71" s="583">
        <v>0</v>
      </c>
      <c r="CK71" s="583">
        <v>1.2</v>
      </c>
      <c r="CL71" s="583">
        <v>-18.5</v>
      </c>
      <c r="CM71" s="583">
        <v>18.5</v>
      </c>
      <c r="CN71" s="583">
        <v>0</v>
      </c>
    </row>
    <row r="72" spans="2:92" x14ac:dyDescent="0.25">
      <c r="B72" s="553">
        <f t="shared" si="13"/>
        <v>38944</v>
      </c>
      <c r="C72" s="435">
        <f t="shared" si="14"/>
        <v>2006</v>
      </c>
      <c r="D72" s="445">
        <f t="shared" si="15"/>
        <v>0.40144572562793868</v>
      </c>
      <c r="E72" s="445">
        <f t="shared" si="16"/>
        <v>-2.3611073510569156</v>
      </c>
      <c r="F72" s="445">
        <f t="shared" si="17"/>
        <v>-1.9218652220416743E-2</v>
      </c>
      <c r="G72" s="445">
        <f t="shared" si="18"/>
        <v>2.2817717289052553</v>
      </c>
      <c r="H72" s="445">
        <f t="shared" si="19"/>
        <v>0</v>
      </c>
      <c r="I72" s="445">
        <f t="shared" si="20"/>
        <v>0</v>
      </c>
      <c r="J72" s="447"/>
      <c r="K72" s="447"/>
      <c r="L72" s="447"/>
      <c r="M72" s="445">
        <f t="shared" si="21"/>
        <v>0</v>
      </c>
      <c r="N72" s="565">
        <f t="shared" si="22"/>
        <v>0</v>
      </c>
      <c r="O72" s="565">
        <f t="shared" si="23"/>
        <v>0</v>
      </c>
      <c r="Q72" s="553">
        <f t="shared" si="43"/>
        <v>38944</v>
      </c>
      <c r="R72" s="445">
        <f t="shared" si="25"/>
        <v>-1.2985542743720613</v>
      </c>
      <c r="S72" s="565">
        <f t="shared" si="26"/>
        <v>-128.46110735105691</v>
      </c>
      <c r="T72" s="565">
        <f t="shared" si="35"/>
        <v>-23.319218652220417</v>
      </c>
      <c r="U72" s="565">
        <f t="shared" si="36"/>
        <v>150.48177172890524</v>
      </c>
      <c r="V72" s="565">
        <f t="shared" si="5"/>
        <v>0</v>
      </c>
      <c r="W72" s="565">
        <f t="shared" si="6"/>
        <v>0</v>
      </c>
      <c r="X72" s="565">
        <f t="shared" si="27"/>
        <v>0</v>
      </c>
      <c r="Y72" s="445">
        <f t="shared" si="28"/>
        <v>0</v>
      </c>
      <c r="Z72" s="565">
        <f t="shared" si="29"/>
        <v>0</v>
      </c>
      <c r="AB72" s="553">
        <f t="shared" si="30"/>
        <v>38944</v>
      </c>
      <c r="AC72" s="571">
        <f t="shared" si="37"/>
        <v>1.7</v>
      </c>
      <c r="AD72" s="565">
        <f t="shared" si="38"/>
        <v>126.1</v>
      </c>
      <c r="AE72" s="565">
        <f t="shared" si="39"/>
        <v>23.3</v>
      </c>
      <c r="AF72" s="565">
        <f t="shared" si="40"/>
        <v>-148.19999999999999</v>
      </c>
      <c r="AG72" s="565">
        <f t="shared" si="41"/>
        <v>0</v>
      </c>
      <c r="AH72" s="565">
        <f t="shared" si="42"/>
        <v>0</v>
      </c>
      <c r="AI72" s="565">
        <f t="shared" si="31"/>
        <v>0</v>
      </c>
      <c r="AJ72" s="445">
        <f t="shared" si="32"/>
        <v>0</v>
      </c>
      <c r="AK72" s="565">
        <f t="shared" si="33"/>
        <v>0</v>
      </c>
      <c r="AM72" s="593">
        <f>LongTerm1!D77</f>
        <v>38944</v>
      </c>
      <c r="AN72" s="594">
        <f>(LongTerm1!BM77+LongTerm1!BL77/(1-LongTerm1!AR77))*(LongTerm1!F77*LongTerm1!AF77*LongTerm1!AH77)/10000</f>
        <v>-0.471474289422537</v>
      </c>
      <c r="AO72" s="594">
        <f>LongTerm1!BM77*(LongTerm1!F77*LongTerm1!AF77*LongTerm1!AH77)/10000</f>
        <v>127.98963306163435</v>
      </c>
      <c r="AP72" s="594">
        <f>(LongTerm1!BL77/(1-LongTerm1!AR77))*(LongTerm1!F77*LongTerm1!AF77*LongTerm1!AH77)/10000</f>
        <v>-128.46110735105691</v>
      </c>
      <c r="AQ72" s="434"/>
      <c r="AV72" s="435"/>
      <c r="AW72" s="435"/>
      <c r="AX72" s="435"/>
      <c r="AY72" s="435"/>
      <c r="AZ72" s="435"/>
      <c r="BA72" s="435"/>
      <c r="BB72" s="435"/>
      <c r="BC72" s="435"/>
      <c r="BD72" s="435"/>
      <c r="BE72" s="435"/>
      <c r="BF72" s="435"/>
      <c r="BG72" s="593">
        <f>LongTerm25!D77</f>
        <v>39005</v>
      </c>
      <c r="BH72" s="594">
        <f>(LongTerm25!BM77+LongTerm25!BL77/(1-LongTerm25!AR77))*(LongTerm25!F77*LongTerm25!AF77*LongTerm25!AH77)/10000</f>
        <v>-0.83049550401514294</v>
      </c>
      <c r="BI72" s="594">
        <f>LongTerm25!BM77*(LongTerm25!F77*LongTerm25!AF77*LongTerm25!AH77)/10000</f>
        <v>22.34216196681631</v>
      </c>
      <c r="BJ72" s="594">
        <f>(LongTerm25!BL77/(1-LongTerm25!AR77))*(LongTerm25!F77*LongTerm25!AF77*LongTerm25!AH77)/10000</f>
        <v>-23.172657470831453</v>
      </c>
      <c r="BK72" s="435"/>
      <c r="BL72" s="435"/>
      <c r="BM72" s="435"/>
      <c r="BN72" s="435"/>
      <c r="BP72" s="596">
        <f>LongTerm62!D77</f>
        <v>38944</v>
      </c>
      <c r="BQ72" s="594">
        <f>(LongTerm62!$BM77+LongTerm62!$BL77/(1-LongTerm62!$AR77))*(LongTerm62!$F77*LongTerm62!$AF77*LongTerm62!$AH77)/10000</f>
        <v>0</v>
      </c>
      <c r="BR72" s="594">
        <f>LongTerm62!$BM77*(LongTerm62!$F77*LongTerm62!$AF77*LongTerm62!$AH77)/10000</f>
        <v>0</v>
      </c>
      <c r="BS72" s="594">
        <f>(LongTerm62!$BL77/(1-LongTerm62!$AR77))*(LongTerm62!$F77*LongTerm62!$AF77*LongTerm62!$AH77)/10000</f>
        <v>0</v>
      </c>
      <c r="BT72" s="447"/>
      <c r="BU72" s="596">
        <f>LongTerm107!D77</f>
        <v>37575</v>
      </c>
      <c r="BV72" s="594">
        <f>(LongTerm107!$BM77+LongTerm107!$BL77/(1-LongTerm107!$AR77))*(LongTerm107!$F77*LongTerm107!$AF77*LongTerm107!$AH77)/10000</f>
        <v>0</v>
      </c>
      <c r="BW72" s="594">
        <f>LongTerm107!$BM77*(LongTerm107!$F77*LongTerm107!$AF77*LongTerm107!$AH77)/10000</f>
        <v>0</v>
      </c>
      <c r="BX72" s="594">
        <f>(LongTerm107!$BL77/(1-LongTerm107!$AR77))*(LongTerm107!$F77*LongTerm107!$AF77*LongTerm107!$AH77)/10000</f>
        <v>0</v>
      </c>
      <c r="BY72" s="599"/>
      <c r="BZ72" s="596">
        <f>LongTerm108!D77</f>
        <v>37940</v>
      </c>
      <c r="CA72" s="594">
        <f>(LongTerm108!$BM77+LongTerm108!$BL77/(1-LongTerm108!$AR77))*(LongTerm108!$F77*LongTerm108!$AF77*LongTerm108!$AH77)/10000</f>
        <v>0</v>
      </c>
      <c r="CB72" s="594">
        <f>LongTerm108!$BM77*(LongTerm108!$F77*LongTerm108!$AF77*LongTerm108!$AH77)/10000</f>
        <v>0</v>
      </c>
      <c r="CC72" s="594">
        <f>(LongTerm108!$BL77/(1-LongTerm108!$AR77))*(LongTerm108!$F77*LongTerm108!$AF77*LongTerm108!$AH77)/10000</f>
        <v>0</v>
      </c>
      <c r="CD72" s="492"/>
      <c r="CE72" s="595">
        <f t="shared" si="44"/>
        <v>38701</v>
      </c>
      <c r="CF72" s="583">
        <v>24.5</v>
      </c>
      <c r="CG72" s="583">
        <v>97.2</v>
      </c>
      <c r="CH72" s="583">
        <v>-122.9</v>
      </c>
      <c r="CI72" s="583">
        <v>0</v>
      </c>
      <c r="CJ72" s="583">
        <v>0</v>
      </c>
      <c r="CK72" s="583">
        <v>1.1000000000000001</v>
      </c>
      <c r="CL72" s="583">
        <v>-12</v>
      </c>
      <c r="CM72" s="583">
        <v>12</v>
      </c>
      <c r="CN72" s="583">
        <v>0</v>
      </c>
    </row>
    <row r="73" spans="2:92" x14ac:dyDescent="0.25">
      <c r="B73" s="553">
        <f t="shared" si="13"/>
        <v>38975</v>
      </c>
      <c r="C73" s="435">
        <f t="shared" si="14"/>
        <v>2006</v>
      </c>
      <c r="D73" s="445">
        <f t="shared" si="15"/>
        <v>0.40319111249134232</v>
      </c>
      <c r="E73" s="445">
        <f t="shared" si="16"/>
        <v>-2.8194001248368465</v>
      </c>
      <c r="F73" s="445">
        <f t="shared" si="17"/>
        <v>0.24455307909472523</v>
      </c>
      <c r="G73" s="445">
        <f t="shared" si="18"/>
        <v>3.1780381582334769</v>
      </c>
      <c r="H73" s="445">
        <f t="shared" si="19"/>
        <v>0</v>
      </c>
      <c r="I73" s="445">
        <f t="shared" si="20"/>
        <v>0</v>
      </c>
      <c r="J73" s="447"/>
      <c r="K73" s="447"/>
      <c r="L73" s="447"/>
      <c r="M73" s="445">
        <f t="shared" si="21"/>
        <v>0</v>
      </c>
      <c r="N73" s="565">
        <f t="shared" si="22"/>
        <v>0</v>
      </c>
      <c r="O73" s="565">
        <f t="shared" si="23"/>
        <v>0</v>
      </c>
      <c r="Q73" s="553">
        <f t="shared" si="43"/>
        <v>38975</v>
      </c>
      <c r="R73" s="445">
        <f t="shared" si="25"/>
        <v>-1.2968088875086576</v>
      </c>
      <c r="S73" s="565">
        <f t="shared" si="26"/>
        <v>-124.21940012483685</v>
      </c>
      <c r="T73" s="565">
        <f t="shared" si="35"/>
        <v>-22.455446920905274</v>
      </c>
      <c r="U73" s="565">
        <f t="shared" si="36"/>
        <v>145.37803815823347</v>
      </c>
      <c r="V73" s="565">
        <f t="shared" si="5"/>
        <v>0</v>
      </c>
      <c r="W73" s="565">
        <f t="shared" si="6"/>
        <v>0</v>
      </c>
      <c r="X73" s="565">
        <f t="shared" si="27"/>
        <v>0</v>
      </c>
      <c r="Y73" s="445">
        <f t="shared" si="28"/>
        <v>0</v>
      </c>
      <c r="Z73" s="565">
        <f t="shared" si="29"/>
        <v>0</v>
      </c>
      <c r="AB73" s="553">
        <f t="shared" si="30"/>
        <v>38975</v>
      </c>
      <c r="AC73" s="571">
        <f t="shared" si="37"/>
        <v>1.7</v>
      </c>
      <c r="AD73" s="565">
        <f t="shared" si="38"/>
        <v>121.4</v>
      </c>
      <c r="AE73" s="565">
        <f t="shared" si="39"/>
        <v>22.7</v>
      </c>
      <c r="AF73" s="565">
        <f t="shared" si="40"/>
        <v>-142.19999999999999</v>
      </c>
      <c r="AG73" s="565">
        <f t="shared" si="41"/>
        <v>0</v>
      </c>
      <c r="AH73" s="565">
        <f t="shared" si="42"/>
        <v>0</v>
      </c>
      <c r="AI73" s="565">
        <f t="shared" si="31"/>
        <v>0</v>
      </c>
      <c r="AJ73" s="445">
        <f t="shared" si="32"/>
        <v>0</v>
      </c>
      <c r="AK73" s="565">
        <f t="shared" si="33"/>
        <v>0</v>
      </c>
      <c r="AM73" s="593">
        <f>LongTerm1!D78</f>
        <v>38975</v>
      </c>
      <c r="AN73" s="594">
        <f>(LongTerm1!BM78+LongTerm1!BL78/(1-LongTerm1!AR78))*(LongTerm1!F78*LongTerm1!AF78*LongTerm1!AH78)/10000</f>
        <v>-0.49891219738857018</v>
      </c>
      <c r="AO73" s="594">
        <f>LongTerm1!BM78*(LongTerm1!F78*LongTerm1!AF78*LongTerm1!AH78)/10000</f>
        <v>123.72048792744829</v>
      </c>
      <c r="AP73" s="594">
        <f>(LongTerm1!BL78/(1-LongTerm1!AR78))*(LongTerm1!F78*LongTerm1!AF78*LongTerm1!AH78)/10000</f>
        <v>-124.21940012483685</v>
      </c>
      <c r="AQ73" s="434"/>
      <c r="AV73" s="435"/>
      <c r="AW73" s="435"/>
      <c r="AX73" s="435"/>
      <c r="AY73" s="435"/>
      <c r="AZ73" s="435"/>
      <c r="BA73" s="435"/>
      <c r="BB73" s="435"/>
      <c r="BC73" s="435"/>
      <c r="BD73" s="435"/>
      <c r="BE73" s="435"/>
      <c r="BF73" s="435"/>
      <c r="BG73" s="593">
        <f>LongTerm25!D78</f>
        <v>39036</v>
      </c>
      <c r="BH73" s="594">
        <f>(LongTerm25!BM78+LongTerm25!BL78/(1-LongTerm25!AR78))*(LongTerm25!F78*LongTerm25!AF78*LongTerm25!AH78)/10000</f>
        <v>-0.79736981225587522</v>
      </c>
      <c r="BI73" s="594">
        <f>LongTerm25!BM78*(LongTerm25!F78*LongTerm25!AF78*LongTerm25!AH78)/10000</f>
        <v>21.485846306406891</v>
      </c>
      <c r="BJ73" s="594">
        <f>(LongTerm25!BL78/(1-LongTerm25!AR78))*(LongTerm25!F78*LongTerm25!AF78*LongTerm25!AH78)/10000</f>
        <v>-22.283216118662768</v>
      </c>
      <c r="BK73" s="435"/>
      <c r="BL73" s="435"/>
      <c r="BM73" s="435"/>
      <c r="BN73" s="435"/>
      <c r="BP73" s="596">
        <f>LongTerm62!D78</f>
        <v>38975</v>
      </c>
      <c r="BQ73" s="594">
        <f>(LongTerm62!$BM78+LongTerm62!$BL78/(1-LongTerm62!$AR78))*(LongTerm62!$F78*LongTerm62!$AF78*LongTerm62!$AH78)/10000</f>
        <v>0</v>
      </c>
      <c r="BR73" s="594">
        <f>LongTerm62!$BM78*(LongTerm62!$F78*LongTerm62!$AF78*LongTerm62!$AH78)/10000</f>
        <v>0</v>
      </c>
      <c r="BS73" s="594">
        <f>(LongTerm62!$BL78/(1-LongTerm62!$AR78))*(LongTerm62!$F78*LongTerm62!$AF78*LongTerm62!$AH78)/10000</f>
        <v>0</v>
      </c>
      <c r="BT73" s="447"/>
      <c r="BU73" s="596">
        <f>LongTerm107!D78</f>
        <v>37575</v>
      </c>
      <c r="BV73" s="594">
        <f>(LongTerm107!$BM78+LongTerm107!$BL78/(1-LongTerm107!$AR78))*(LongTerm107!$F78*LongTerm107!$AF78*LongTerm107!$AH78)/10000</f>
        <v>0</v>
      </c>
      <c r="BW73" s="594">
        <f>LongTerm107!$BM78*(LongTerm107!$F78*LongTerm107!$AF78*LongTerm107!$AH78)/10000</f>
        <v>0</v>
      </c>
      <c r="BX73" s="594">
        <f>(LongTerm107!$BL78/(1-LongTerm107!$AR78))*(LongTerm107!$F78*LongTerm107!$AF78*LongTerm107!$AH78)/10000</f>
        <v>0</v>
      </c>
      <c r="BY73" s="599"/>
      <c r="BZ73" s="596">
        <f>LongTerm108!D78</f>
        <v>37940</v>
      </c>
      <c r="CA73" s="594">
        <f>(LongTerm108!$BM78+LongTerm108!$BL78/(1-LongTerm108!$AR78))*(LongTerm108!$F78*LongTerm108!$AF78*LongTerm108!$AH78)/10000</f>
        <v>0</v>
      </c>
      <c r="CB73" s="594">
        <f>LongTerm108!$BM78*(LongTerm108!$F78*LongTerm108!$AF78*LongTerm108!$AH78)/10000</f>
        <v>0</v>
      </c>
      <c r="CC73" s="594">
        <f>(LongTerm108!$BL78/(1-LongTerm108!$AR78))*(LongTerm108!$F78*LongTerm108!$AF78*LongTerm108!$AH78)/10000</f>
        <v>0</v>
      </c>
      <c r="CD73" s="492"/>
      <c r="CE73" s="595">
        <f t="shared" si="44"/>
        <v>38732</v>
      </c>
      <c r="CF73" s="583">
        <v>24.3</v>
      </c>
      <c r="CG73" s="583">
        <v>90.8</v>
      </c>
      <c r="CH73" s="583">
        <v>-116.3</v>
      </c>
      <c r="CI73" s="583">
        <v>0</v>
      </c>
      <c r="CJ73" s="583">
        <v>0</v>
      </c>
      <c r="CK73" s="583">
        <v>1.7</v>
      </c>
      <c r="CL73" s="583">
        <v>-12</v>
      </c>
      <c r="CM73" s="583">
        <v>12</v>
      </c>
      <c r="CN73" s="583">
        <v>0</v>
      </c>
    </row>
    <row r="74" spans="2:92" x14ac:dyDescent="0.25">
      <c r="B74" s="553">
        <f t="shared" si="13"/>
        <v>39005</v>
      </c>
      <c r="C74" s="435">
        <f t="shared" si="14"/>
        <v>2006</v>
      </c>
      <c r="D74" s="445">
        <f t="shared" si="15"/>
        <v>0.71245319024251619</v>
      </c>
      <c r="E74" s="445">
        <f t="shared" si="16"/>
        <v>-1.6992849130918728</v>
      </c>
      <c r="F74" s="445">
        <f t="shared" si="17"/>
        <v>-0.47265747083145371</v>
      </c>
      <c r="G74" s="445">
        <f t="shared" si="18"/>
        <v>2.2843955741658419</v>
      </c>
      <c r="H74" s="445">
        <f t="shared" si="19"/>
        <v>0</v>
      </c>
      <c r="I74" s="445">
        <f t="shared" si="20"/>
        <v>0</v>
      </c>
      <c r="J74" s="447"/>
      <c r="K74" s="447"/>
      <c r="L74" s="447"/>
      <c r="M74" s="445">
        <f t="shared" si="21"/>
        <v>0</v>
      </c>
      <c r="N74" s="565">
        <f t="shared" si="22"/>
        <v>0</v>
      </c>
      <c r="O74" s="565">
        <f t="shared" si="23"/>
        <v>0</v>
      </c>
      <c r="Q74" s="553">
        <f t="shared" si="43"/>
        <v>39005</v>
      </c>
      <c r="R74" s="445">
        <f t="shared" si="25"/>
        <v>-0.8875468097574839</v>
      </c>
      <c r="S74" s="565">
        <f t="shared" si="26"/>
        <v>-121.69928491309187</v>
      </c>
      <c r="T74" s="565">
        <f t="shared" si="35"/>
        <v>-23.172657470831453</v>
      </c>
      <c r="U74" s="565">
        <f t="shared" si="36"/>
        <v>143.98439557416583</v>
      </c>
      <c r="V74" s="565">
        <f t="shared" si="5"/>
        <v>0</v>
      </c>
      <c r="W74" s="565">
        <f t="shared" si="6"/>
        <v>0</v>
      </c>
      <c r="X74" s="565">
        <f t="shared" si="27"/>
        <v>0</v>
      </c>
      <c r="Y74" s="445">
        <f t="shared" si="28"/>
        <v>0</v>
      </c>
      <c r="Z74" s="565">
        <f t="shared" si="29"/>
        <v>0</v>
      </c>
      <c r="AB74" s="553">
        <f t="shared" si="30"/>
        <v>39005</v>
      </c>
      <c r="AC74" s="571">
        <f t="shared" si="37"/>
        <v>1.6</v>
      </c>
      <c r="AD74" s="565">
        <f t="shared" si="38"/>
        <v>120</v>
      </c>
      <c r="AE74" s="565">
        <f t="shared" si="39"/>
        <v>22.7</v>
      </c>
      <c r="AF74" s="565">
        <f t="shared" si="40"/>
        <v>-141.69999999999999</v>
      </c>
      <c r="AG74" s="565">
        <f t="shared" si="41"/>
        <v>0</v>
      </c>
      <c r="AH74" s="565">
        <f t="shared" si="42"/>
        <v>0</v>
      </c>
      <c r="AI74" s="565">
        <f t="shared" si="31"/>
        <v>0</v>
      </c>
      <c r="AJ74" s="445">
        <f t="shared" si="32"/>
        <v>0</v>
      </c>
      <c r="AK74" s="565">
        <f t="shared" si="33"/>
        <v>0</v>
      </c>
      <c r="AM74" s="593">
        <f>LongTerm1!D79</f>
        <v>39005</v>
      </c>
      <c r="AN74" s="594">
        <f>(LongTerm1!BM79+LongTerm1!BL79/(1-LongTerm1!AR79))*(LongTerm1!F79*LongTerm1!AF79*LongTerm1!AH79)/10000</f>
        <v>-5.7051305742340956E-2</v>
      </c>
      <c r="AO74" s="594">
        <f>LongTerm1!BM79*(LongTerm1!F79*LongTerm1!AF79*LongTerm1!AH79)/10000</f>
        <v>121.64223360734952</v>
      </c>
      <c r="AP74" s="594">
        <f>(LongTerm1!BL79/(1-LongTerm1!AR79))*(LongTerm1!F79*LongTerm1!AF79*LongTerm1!AH79)/10000</f>
        <v>-121.69928491309187</v>
      </c>
      <c r="AQ74" s="434"/>
      <c r="AV74" s="435"/>
      <c r="AW74" s="435"/>
      <c r="AX74" s="435"/>
      <c r="AY74" s="435"/>
      <c r="AZ74" s="435"/>
      <c r="BA74" s="435"/>
      <c r="BB74" s="435"/>
      <c r="BC74" s="435"/>
      <c r="BD74" s="435"/>
      <c r="BE74" s="435"/>
      <c r="BF74" s="435"/>
      <c r="BG74" s="593">
        <f>LongTerm25!D79</f>
        <v>39066</v>
      </c>
      <c r="BH74" s="594">
        <f>(LongTerm25!BM79+LongTerm25!BL79/(1-LongTerm25!AR79))*(LongTerm25!F79*LongTerm25!AF79*LongTerm25!AH79)/10000</f>
        <v>-0.81601584461050691</v>
      </c>
      <c r="BI74" s="594">
        <f>LongTerm25!BM79*(LongTerm25!F79*LongTerm25!AF79*LongTerm25!AH79)/10000</f>
        <v>22.045675479478614</v>
      </c>
      <c r="BJ74" s="594">
        <f>(LongTerm25!BL79/(1-LongTerm25!AR79))*(LongTerm25!F79*LongTerm25!AF79*LongTerm25!AH79)/10000</f>
        <v>-22.861691324089122</v>
      </c>
      <c r="BK74" s="435"/>
      <c r="BL74" s="435"/>
      <c r="BM74" s="435"/>
      <c r="BN74" s="435"/>
      <c r="BP74" s="596">
        <f>LongTerm62!D79</f>
        <v>39005</v>
      </c>
      <c r="BQ74" s="594">
        <f>(LongTerm62!$BM79+LongTerm62!$BL79/(1-LongTerm62!$AR79))*(LongTerm62!$F79*LongTerm62!$AF79*LongTerm62!$AH79)/10000</f>
        <v>0</v>
      </c>
      <c r="BR74" s="594">
        <f>LongTerm62!$BM79*(LongTerm62!$F79*LongTerm62!$AF79*LongTerm62!$AH79)/10000</f>
        <v>0</v>
      </c>
      <c r="BS74" s="594">
        <f>(LongTerm62!$BL79/(1-LongTerm62!$AR79))*(LongTerm62!$F79*LongTerm62!$AF79*LongTerm62!$AH79)/10000</f>
        <v>0</v>
      </c>
      <c r="BT74" s="447"/>
      <c r="BU74" s="596">
        <f>LongTerm107!D79</f>
        <v>37575</v>
      </c>
      <c r="BV74" s="594">
        <f>(LongTerm107!$BM79+LongTerm107!$BL79/(1-LongTerm107!$AR79))*(LongTerm107!$F79*LongTerm107!$AF79*LongTerm107!$AH79)/10000</f>
        <v>0</v>
      </c>
      <c r="BW74" s="594">
        <f>LongTerm107!$BM79*(LongTerm107!$F79*LongTerm107!$AF79*LongTerm107!$AH79)/10000</f>
        <v>0</v>
      </c>
      <c r="BX74" s="594">
        <f>(LongTerm107!$BL79/(1-LongTerm107!$AR79))*(LongTerm107!$F79*LongTerm107!$AF79*LongTerm107!$AH79)/10000</f>
        <v>0</v>
      </c>
      <c r="BY74" s="599"/>
      <c r="BZ74" s="596">
        <f>LongTerm108!D79</f>
        <v>37940</v>
      </c>
      <c r="CA74" s="594">
        <f>(LongTerm108!$BM79+LongTerm108!$BL79/(1-LongTerm108!$AR79))*(LongTerm108!$F79*LongTerm108!$AF79*LongTerm108!$AH79)/10000</f>
        <v>0</v>
      </c>
      <c r="CB74" s="594">
        <f>LongTerm108!$BM79*(LongTerm108!$F79*LongTerm108!$AF79*LongTerm108!$AH79)/10000</f>
        <v>0</v>
      </c>
      <c r="CC74" s="594">
        <f>(LongTerm108!$BL79/(1-LongTerm108!$AR79))*(LongTerm108!$F79*LongTerm108!$AF79*LongTerm108!$AH79)/10000</f>
        <v>0</v>
      </c>
      <c r="CD74" s="492"/>
      <c r="CE74" s="595">
        <f t="shared" si="44"/>
        <v>38763</v>
      </c>
      <c r="CF74" s="583">
        <v>21.6</v>
      </c>
      <c r="CG74" s="583">
        <v>82.9</v>
      </c>
      <c r="CH74" s="583">
        <v>-106.1</v>
      </c>
      <c r="CI74" s="583">
        <v>0</v>
      </c>
      <c r="CJ74" s="583">
        <v>0</v>
      </c>
      <c r="CK74" s="583">
        <v>1.8</v>
      </c>
      <c r="CL74" s="583">
        <v>-10.9</v>
      </c>
      <c r="CM74" s="583">
        <v>10.9</v>
      </c>
      <c r="CN74" s="583">
        <v>0</v>
      </c>
    </row>
    <row r="75" spans="2:92" x14ac:dyDescent="0.25">
      <c r="B75" s="553">
        <f t="shared" si="13"/>
        <v>39036</v>
      </c>
      <c r="C75" s="435">
        <f t="shared" si="14"/>
        <v>2006</v>
      </c>
      <c r="D75" s="445">
        <f t="shared" si="15"/>
        <v>2.6150216915284825</v>
      </c>
      <c r="E75" s="445">
        <f t="shared" si="16"/>
        <v>1.2479555260834587</v>
      </c>
      <c r="F75" s="445">
        <f t="shared" si="17"/>
        <v>0.11678388133723061</v>
      </c>
      <c r="G75" s="445">
        <f t="shared" si="18"/>
        <v>-1.3246441192805491</v>
      </c>
      <c r="H75" s="445">
        <f t="shared" si="19"/>
        <v>0</v>
      </c>
      <c r="I75" s="445">
        <f t="shared" si="20"/>
        <v>0</v>
      </c>
      <c r="J75" s="447"/>
      <c r="K75" s="447"/>
      <c r="L75" s="447"/>
      <c r="M75" s="445">
        <f t="shared" si="21"/>
        <v>-5.1711157775997254</v>
      </c>
      <c r="N75" s="565">
        <f t="shared" si="22"/>
        <v>5.3460421809880678</v>
      </c>
      <c r="O75" s="565">
        <f t="shared" si="23"/>
        <v>0</v>
      </c>
      <c r="Q75" s="553">
        <f t="shared" si="43"/>
        <v>39036</v>
      </c>
      <c r="R75" s="445">
        <f t="shared" si="25"/>
        <v>0.91502169152848267</v>
      </c>
      <c r="S75" s="565">
        <f t="shared" si="26"/>
        <v>-94.152044473916547</v>
      </c>
      <c r="T75" s="565">
        <f t="shared" si="35"/>
        <v>-22.283216118662768</v>
      </c>
      <c r="U75" s="565">
        <f t="shared" si="36"/>
        <v>117.17535588071945</v>
      </c>
      <c r="V75" s="565">
        <f t="shared" si="5"/>
        <v>0</v>
      </c>
      <c r="W75" s="565">
        <f t="shared" si="6"/>
        <v>0</v>
      </c>
      <c r="X75" s="565">
        <f t="shared" si="27"/>
        <v>10.728884222400275</v>
      </c>
      <c r="Y75" s="445">
        <f t="shared" si="28"/>
        <v>-10.553957819011933</v>
      </c>
      <c r="Z75" s="565">
        <f t="shared" si="29"/>
        <v>0</v>
      </c>
      <c r="AB75" s="553">
        <f t="shared" si="30"/>
        <v>39036</v>
      </c>
      <c r="AC75" s="571">
        <f t="shared" si="37"/>
        <v>1.7</v>
      </c>
      <c r="AD75" s="565">
        <f t="shared" si="38"/>
        <v>95.4</v>
      </c>
      <c r="AE75" s="565">
        <f t="shared" si="39"/>
        <v>22.4</v>
      </c>
      <c r="AF75" s="565">
        <f t="shared" si="40"/>
        <v>-118.5</v>
      </c>
      <c r="AG75" s="565">
        <f t="shared" si="41"/>
        <v>0</v>
      </c>
      <c r="AH75" s="565">
        <f t="shared" si="42"/>
        <v>0</v>
      </c>
      <c r="AI75" s="565">
        <f t="shared" si="31"/>
        <v>-15.9</v>
      </c>
      <c r="AJ75" s="445">
        <f t="shared" si="32"/>
        <v>15.9</v>
      </c>
      <c r="AK75" s="565">
        <f t="shared" si="33"/>
        <v>0</v>
      </c>
      <c r="AM75" s="593">
        <f>LongTerm1!D80</f>
        <v>39036</v>
      </c>
      <c r="AN75" s="594">
        <f>(LongTerm1!BM80+LongTerm1!BL80/(1-LongTerm1!AR80))*(LongTerm1!F80*LongTerm1!AF80*LongTerm1!AH80)/10000</f>
        <v>1.5374651003960138</v>
      </c>
      <c r="AO75" s="594">
        <f>LongTerm1!BM80*(LongTerm1!F80*LongTerm1!AF80*LongTerm1!AH80)/10000</f>
        <v>95.689509574312567</v>
      </c>
      <c r="AP75" s="594">
        <f>(LongTerm1!BL80/(1-LongTerm1!AR80))*(LongTerm1!F80*LongTerm1!AF80*LongTerm1!AH80)/10000</f>
        <v>-94.152044473916547</v>
      </c>
      <c r="AQ75" s="434"/>
      <c r="AV75" s="435"/>
      <c r="AW75" s="435"/>
      <c r="AX75" s="435"/>
      <c r="AY75" s="435"/>
      <c r="AZ75" s="435"/>
      <c r="BA75" s="435"/>
      <c r="BB75" s="435"/>
      <c r="BC75" s="435"/>
      <c r="BD75" s="435"/>
      <c r="BE75" s="435"/>
      <c r="BF75" s="435"/>
      <c r="BG75" s="593">
        <f>LongTerm25!D80</f>
        <v>39097</v>
      </c>
      <c r="BH75" s="594">
        <f>(LongTerm25!BM80+LongTerm25!BL80/(1-LongTerm25!AR80))*(LongTerm25!F80*LongTerm25!AF80*LongTerm25!AH80)/10000</f>
        <v>-0.80963471800559628</v>
      </c>
      <c r="BI75" s="594">
        <f>LongTerm25!BM80*(LongTerm25!F80*LongTerm25!AF80*LongTerm25!AH80)/10000</f>
        <v>21.904074410019675</v>
      </c>
      <c r="BJ75" s="594">
        <f>(LongTerm25!BL80/(1-LongTerm25!AR80))*(LongTerm25!F80*LongTerm25!AF80*LongTerm25!AH80)/10000</f>
        <v>-22.713709128025272</v>
      </c>
      <c r="BK75" s="435"/>
      <c r="BL75" s="435"/>
      <c r="BM75" s="435"/>
      <c r="BN75" s="435"/>
      <c r="BP75" s="596">
        <f>LongTerm62!D80</f>
        <v>39036</v>
      </c>
      <c r="BQ75" s="594">
        <f>(LongTerm62!$BM80+LongTerm62!$BL80/(1-LongTerm62!$AR80))*(LongTerm62!$F80*LongTerm62!$AF80*LongTerm62!$AH80)/10000</f>
        <v>0.17492640338834409</v>
      </c>
      <c r="BR75" s="594">
        <f>LongTerm62!$BM80*(LongTerm62!$F80*LongTerm62!$AF80*LongTerm62!$AH80)/10000</f>
        <v>10.728884222400275</v>
      </c>
      <c r="BS75" s="594">
        <f>(LongTerm62!$BL80/(1-LongTerm62!$AR80))*(LongTerm62!$F80*LongTerm62!$AF80*LongTerm62!$AH80)/10000</f>
        <v>-10.553957819011933</v>
      </c>
      <c r="BT75" s="447"/>
      <c r="BU75" s="596">
        <f>LongTerm107!D80</f>
        <v>37575</v>
      </c>
      <c r="BV75" s="594">
        <f>(LongTerm107!$BM80+LongTerm107!$BL80/(1-LongTerm107!$AR80))*(LongTerm107!$F80*LongTerm107!$AF80*LongTerm107!$AH80)/10000</f>
        <v>0</v>
      </c>
      <c r="BW75" s="594">
        <f>LongTerm107!$BM80*(LongTerm107!$F80*LongTerm107!$AF80*LongTerm107!$AH80)/10000</f>
        <v>0</v>
      </c>
      <c r="BX75" s="594">
        <f>(LongTerm107!$BL80/(1-LongTerm107!$AR80))*(LongTerm107!$F80*LongTerm107!$AF80*LongTerm107!$AH80)/10000</f>
        <v>0</v>
      </c>
      <c r="BY75" s="599"/>
      <c r="BZ75" s="596">
        <f>LongTerm108!D80</f>
        <v>37940</v>
      </c>
      <c r="CA75" s="594">
        <f>(LongTerm108!$BM80+LongTerm108!$BL80/(1-LongTerm108!$AR80))*(LongTerm108!$F80*LongTerm108!$AF80*LongTerm108!$AH80)/10000</f>
        <v>0</v>
      </c>
      <c r="CB75" s="594">
        <f>LongTerm108!$BM80*(LongTerm108!$F80*LongTerm108!$AF80*LongTerm108!$AH80)/10000</f>
        <v>0</v>
      </c>
      <c r="CC75" s="594">
        <f>(LongTerm108!$BL80/(1-LongTerm108!$AR80))*(LongTerm108!$F80*LongTerm108!$AF80*LongTerm108!$AH80)/10000</f>
        <v>0</v>
      </c>
      <c r="CD75" s="492"/>
      <c r="CE75" s="595">
        <f t="shared" si="44"/>
        <v>38791</v>
      </c>
      <c r="CF75" s="583">
        <v>23.7</v>
      </c>
      <c r="CG75" s="583">
        <v>101.7</v>
      </c>
      <c r="CH75" s="583">
        <v>-126.7</v>
      </c>
      <c r="CI75" s="583">
        <v>0</v>
      </c>
      <c r="CJ75" s="583">
        <v>0</v>
      </c>
      <c r="CK75" s="583">
        <v>1.7</v>
      </c>
      <c r="CL75" s="583">
        <v>-11.9</v>
      </c>
      <c r="CM75" s="583">
        <v>11.9</v>
      </c>
      <c r="CN75" s="583">
        <v>0</v>
      </c>
    </row>
    <row r="76" spans="2:92" x14ac:dyDescent="0.25">
      <c r="B76" s="553">
        <f t="shared" si="13"/>
        <v>39066</v>
      </c>
      <c r="C76" s="435">
        <f t="shared" si="14"/>
        <v>2006</v>
      </c>
      <c r="D76" s="445">
        <f t="shared" si="15"/>
        <v>3.6150805847110088</v>
      </c>
      <c r="E76" s="445">
        <f t="shared" si="16"/>
        <v>-1.2667261170755921</v>
      </c>
      <c r="F76" s="445">
        <f t="shared" si="17"/>
        <v>-0.6616913240891229</v>
      </c>
      <c r="G76" s="445">
        <f t="shared" si="18"/>
        <v>0.86409710389399663</v>
      </c>
      <c r="H76" s="445">
        <f t="shared" si="19"/>
        <v>0</v>
      </c>
      <c r="I76" s="445">
        <f t="shared" si="20"/>
        <v>0</v>
      </c>
      <c r="J76" s="447"/>
      <c r="K76" s="447"/>
      <c r="L76" s="447"/>
      <c r="M76" s="445">
        <f t="shared" si="21"/>
        <v>-0.32817469311710035</v>
      </c>
      <c r="N76" s="565">
        <f t="shared" si="22"/>
        <v>0.60757561509882052</v>
      </c>
      <c r="O76" s="565">
        <f t="shared" si="23"/>
        <v>0</v>
      </c>
      <c r="Q76" s="553">
        <f t="shared" si="43"/>
        <v>39066</v>
      </c>
      <c r="R76" s="445">
        <f t="shared" si="25"/>
        <v>2.0150805847110087</v>
      </c>
      <c r="S76" s="565">
        <f t="shared" si="26"/>
        <v>-89.066726117075589</v>
      </c>
      <c r="T76" s="565">
        <f t="shared" si="35"/>
        <v>-22.861691324089122</v>
      </c>
      <c r="U76" s="565">
        <f t="shared" si="36"/>
        <v>113.66409710389399</v>
      </c>
      <c r="V76" s="565">
        <f t="shared" si="5"/>
        <v>0</v>
      </c>
      <c r="W76" s="565">
        <f t="shared" si="6"/>
        <v>0</v>
      </c>
      <c r="X76" s="565">
        <f t="shared" si="27"/>
        <v>11.0718253068829</v>
      </c>
      <c r="Y76" s="445">
        <f t="shared" si="28"/>
        <v>-10.79242438490118</v>
      </c>
      <c r="Z76" s="565">
        <f t="shared" si="29"/>
        <v>0</v>
      </c>
      <c r="AB76" s="553">
        <f t="shared" si="30"/>
        <v>39066</v>
      </c>
      <c r="AC76" s="571">
        <f t="shared" si="37"/>
        <v>1.6</v>
      </c>
      <c r="AD76" s="565">
        <f t="shared" si="38"/>
        <v>87.8</v>
      </c>
      <c r="AE76" s="565">
        <f t="shared" si="39"/>
        <v>22.2</v>
      </c>
      <c r="AF76" s="565">
        <f t="shared" si="40"/>
        <v>-112.8</v>
      </c>
      <c r="AG76" s="565">
        <f t="shared" si="41"/>
        <v>0</v>
      </c>
      <c r="AH76" s="565">
        <f t="shared" si="42"/>
        <v>0</v>
      </c>
      <c r="AI76" s="565">
        <f t="shared" si="31"/>
        <v>-11.4</v>
      </c>
      <c r="AJ76" s="445">
        <f t="shared" si="32"/>
        <v>11.4</v>
      </c>
      <c r="AK76" s="565">
        <f t="shared" si="33"/>
        <v>0</v>
      </c>
      <c r="AM76" s="593">
        <f>LongTerm1!D81</f>
        <v>39066</v>
      </c>
      <c r="AN76" s="594">
        <f>(LongTerm1!BM81+LongTerm1!BL81/(1-LongTerm1!AR81))*(LongTerm1!F81*LongTerm1!AF81*LongTerm1!AH81)/10000</f>
        <v>2.5516955073397947</v>
      </c>
      <c r="AO76" s="594">
        <f>LongTerm1!BM81*(LongTerm1!F81*LongTerm1!AF81*LongTerm1!AH81)/10000</f>
        <v>91.618421624415376</v>
      </c>
      <c r="AP76" s="594">
        <f>(LongTerm1!BL81/(1-LongTerm1!AR81))*(LongTerm1!F81*LongTerm1!AF81*LongTerm1!AH81)/10000</f>
        <v>-89.066726117075589</v>
      </c>
      <c r="AQ76" s="434"/>
      <c r="AV76" s="435"/>
      <c r="AW76" s="435"/>
      <c r="AX76" s="435"/>
      <c r="AY76" s="435"/>
      <c r="AZ76" s="435"/>
      <c r="BA76" s="435"/>
      <c r="BB76" s="435"/>
      <c r="BC76" s="435"/>
      <c r="BD76" s="435"/>
      <c r="BE76" s="435"/>
      <c r="BF76" s="435"/>
      <c r="BG76" s="593">
        <f>LongTerm25!D81</f>
        <v>39128</v>
      </c>
      <c r="BH76" s="594">
        <f>(LongTerm25!BM81+LongTerm25!BL81/(1-LongTerm25!AR81))*(LongTerm25!F81*LongTerm25!AF81*LongTerm25!AH81)/10000</f>
        <v>-0.73159061446124807</v>
      </c>
      <c r="BI76" s="594">
        <f>LongTerm25!BM81*(LongTerm25!F81*LongTerm25!AF81*LongTerm25!AH81)/10000</f>
        <v>19.712503224585323</v>
      </c>
      <c r="BJ76" s="594">
        <f>(LongTerm25!BL81/(1-LongTerm25!AR81))*(LongTerm25!F81*LongTerm25!AF81*LongTerm25!AH81)/10000</f>
        <v>-20.444093839046573</v>
      </c>
      <c r="BK76" s="435"/>
      <c r="BL76" s="435"/>
      <c r="BM76" s="435"/>
      <c r="BN76" s="435"/>
      <c r="BP76" s="596">
        <f>LongTerm62!D81</f>
        <v>39066</v>
      </c>
      <c r="BQ76" s="594">
        <f>(LongTerm62!$BM81+LongTerm62!$BL81/(1-LongTerm62!$AR81))*(LongTerm62!$F81*LongTerm62!$AF81*LongTerm62!$AH81)/10000</f>
        <v>0.27940092198172084</v>
      </c>
      <c r="BR76" s="594">
        <f>LongTerm62!$BM81*(LongTerm62!$F81*LongTerm62!$AF81*LongTerm62!$AH81)/10000</f>
        <v>11.0718253068829</v>
      </c>
      <c r="BS76" s="594">
        <f>(LongTerm62!$BL81/(1-LongTerm62!$AR81))*(LongTerm62!$F81*LongTerm62!$AF81*LongTerm62!$AH81)/10000</f>
        <v>-10.79242438490118</v>
      </c>
      <c r="BT76" s="447"/>
      <c r="BU76" s="596">
        <f>LongTerm107!D81</f>
        <v>37575</v>
      </c>
      <c r="BV76" s="594">
        <f>(LongTerm107!$BM81+LongTerm107!$BL81/(1-LongTerm107!$AR81))*(LongTerm107!$F81*LongTerm107!$AF81*LongTerm107!$AH81)/10000</f>
        <v>0</v>
      </c>
      <c r="BW76" s="594">
        <f>LongTerm107!$BM81*(LongTerm107!$F81*LongTerm107!$AF81*LongTerm107!$AH81)/10000</f>
        <v>0</v>
      </c>
      <c r="BX76" s="594">
        <f>(LongTerm107!$BL81/(1-LongTerm107!$AR81))*(LongTerm107!$F81*LongTerm107!$AF81*LongTerm107!$AH81)/10000</f>
        <v>0</v>
      </c>
      <c r="BY76" s="599"/>
      <c r="BZ76" s="596">
        <f>LongTerm108!D81</f>
        <v>37940</v>
      </c>
      <c r="CA76" s="594">
        <f>(LongTerm108!$BM81+LongTerm108!$BL81/(1-LongTerm108!$AR81))*(LongTerm108!$F81*LongTerm108!$AF81*LongTerm108!$AH81)/10000</f>
        <v>0</v>
      </c>
      <c r="CB76" s="594">
        <f>LongTerm108!$BM81*(LongTerm108!$F81*LongTerm108!$AF81*LongTerm108!$AH81)/10000</f>
        <v>0</v>
      </c>
      <c r="CC76" s="594">
        <f>(LongTerm108!$BL81/(1-LongTerm108!$AR81))*(LongTerm108!$F81*LongTerm108!$AF81*LongTerm108!$AH81)/10000</f>
        <v>0</v>
      </c>
      <c r="CD76" s="492"/>
      <c r="CE76" s="595">
        <f t="shared" si="44"/>
        <v>38822</v>
      </c>
      <c r="CF76" s="583">
        <v>23.2</v>
      </c>
      <c r="CG76" s="583">
        <v>131</v>
      </c>
      <c r="CH76" s="583">
        <v>-152.19999999999999</v>
      </c>
      <c r="CI76" s="583">
        <v>0</v>
      </c>
      <c r="CJ76" s="583">
        <v>0</v>
      </c>
      <c r="CK76" s="583">
        <v>1.7</v>
      </c>
      <c r="CL76" s="583">
        <v>0</v>
      </c>
      <c r="CM76" s="583">
        <v>0</v>
      </c>
      <c r="CN76" s="583">
        <v>0</v>
      </c>
    </row>
    <row r="77" spans="2:92" x14ac:dyDescent="0.25">
      <c r="B77" s="553">
        <f t="shared" si="13"/>
        <v>39097</v>
      </c>
      <c r="C77" s="435">
        <f t="shared" si="14"/>
        <v>2007</v>
      </c>
      <c r="D77" s="445">
        <f t="shared" si="15"/>
        <v>4.0463319296238893</v>
      </c>
      <c r="E77" s="445">
        <f t="shared" si="16"/>
        <v>-1.276082893207132</v>
      </c>
      <c r="F77" s="445">
        <f t="shared" si="17"/>
        <v>-1.3709128025272577E-2</v>
      </c>
      <c r="G77" s="445">
        <f t="shared" si="18"/>
        <v>1.2583302499077718</v>
      </c>
      <c r="H77" s="445">
        <f t="shared" si="19"/>
        <v>0</v>
      </c>
      <c r="I77" s="445">
        <f t="shared" si="20"/>
        <v>0</v>
      </c>
      <c r="J77" s="447"/>
      <c r="K77" s="447"/>
      <c r="L77" s="447"/>
      <c r="M77" s="445">
        <f t="shared" si="21"/>
        <v>-0.29193859588933968</v>
      </c>
      <c r="N77" s="565">
        <f t="shared" si="22"/>
        <v>0.56973229683784332</v>
      </c>
      <c r="O77" s="565">
        <f t="shared" si="23"/>
        <v>0</v>
      </c>
      <c r="Q77" s="553">
        <f t="shared" si="43"/>
        <v>39097</v>
      </c>
      <c r="R77" s="445">
        <f t="shared" si="25"/>
        <v>2.146331929623889</v>
      </c>
      <c r="S77" s="565">
        <f t="shared" si="26"/>
        <v>-83.876082893207126</v>
      </c>
      <c r="T77" s="565">
        <f t="shared" si="35"/>
        <v>-22.713709128025272</v>
      </c>
      <c r="U77" s="565">
        <f t="shared" si="36"/>
        <v>108.45833024990777</v>
      </c>
      <c r="V77" s="565">
        <f t="shared" si="5"/>
        <v>0</v>
      </c>
      <c r="W77" s="565">
        <f t="shared" si="6"/>
        <v>0</v>
      </c>
      <c r="X77" s="565">
        <f t="shared" si="27"/>
        <v>11.008061404110661</v>
      </c>
      <c r="Y77" s="445">
        <f t="shared" si="28"/>
        <v>-10.730267703162157</v>
      </c>
      <c r="Z77" s="565">
        <f t="shared" si="29"/>
        <v>0</v>
      </c>
      <c r="AB77" s="553">
        <f t="shared" si="30"/>
        <v>39097</v>
      </c>
      <c r="AC77" s="571">
        <f t="shared" si="37"/>
        <v>1.9</v>
      </c>
      <c r="AD77" s="565">
        <f t="shared" si="38"/>
        <v>82.6</v>
      </c>
      <c r="AE77" s="565">
        <f t="shared" si="39"/>
        <v>22.7</v>
      </c>
      <c r="AF77" s="565">
        <f t="shared" si="40"/>
        <v>-107.2</v>
      </c>
      <c r="AG77" s="565">
        <f t="shared" si="41"/>
        <v>0</v>
      </c>
      <c r="AH77" s="565">
        <f t="shared" si="42"/>
        <v>0</v>
      </c>
      <c r="AI77" s="565">
        <f t="shared" si="31"/>
        <v>-11.3</v>
      </c>
      <c r="AJ77" s="445">
        <f t="shared" si="32"/>
        <v>11.3</v>
      </c>
      <c r="AK77" s="565">
        <f t="shared" si="33"/>
        <v>0</v>
      </c>
      <c r="AM77" s="593">
        <f>LongTerm1!D82</f>
        <v>39097</v>
      </c>
      <c r="AN77" s="594">
        <f>(LongTerm1!BM82+LongTerm1!BL82/(1-LongTerm1!AR82))*(LongTerm1!F82*LongTerm1!AF82*LongTerm1!AH82)/10000</f>
        <v>2.6781729466809803</v>
      </c>
      <c r="AO77" s="594">
        <f>LongTerm1!BM82*(LongTerm1!F82*LongTerm1!AF82*LongTerm1!AH82)/10000</f>
        <v>86.5542558398881</v>
      </c>
      <c r="AP77" s="594">
        <f>(LongTerm1!BL82/(1-LongTerm1!AR82))*(LongTerm1!F82*LongTerm1!AF82*LongTerm1!AH82)/10000</f>
        <v>-83.876082893207126</v>
      </c>
      <c r="AQ77" s="434"/>
      <c r="AV77" s="435"/>
      <c r="AW77" s="435"/>
      <c r="AX77" s="435"/>
      <c r="AY77" s="435"/>
      <c r="AZ77" s="435"/>
      <c r="BA77" s="435"/>
      <c r="BB77" s="435"/>
      <c r="BC77" s="435"/>
      <c r="BD77" s="435"/>
      <c r="BE77" s="435"/>
      <c r="BF77" s="435"/>
      <c r="BG77" s="593">
        <f>LongTerm25!D82</f>
        <v>39156</v>
      </c>
      <c r="BH77" s="594">
        <f>(LongTerm25!BM82+LongTerm25!BL82/(1-LongTerm25!AR82))*(LongTerm25!F82*LongTerm25!AF82*LongTerm25!AH82)/10000</f>
        <v>-0.80710084310257246</v>
      </c>
      <c r="BI77" s="594">
        <f>LongTerm25!BM82*(LongTerm25!F82*LongTerm25!AF82*LongTerm25!AH82)/10000</f>
        <v>21.727603712254307</v>
      </c>
      <c r="BJ77" s="594">
        <f>(LongTerm25!BL82/(1-LongTerm25!AR82))*(LongTerm25!F82*LongTerm25!AF82*LongTerm25!AH82)/10000</f>
        <v>-22.534704555356878</v>
      </c>
      <c r="BK77" s="435"/>
      <c r="BL77" s="435"/>
      <c r="BM77" s="435"/>
      <c r="BN77" s="435"/>
      <c r="BP77" s="596">
        <f>LongTerm62!D82</f>
        <v>39097</v>
      </c>
      <c r="BQ77" s="594">
        <f>(LongTerm62!$BM82+LongTerm62!$BL82/(1-LongTerm62!$AR82))*(LongTerm62!$F82*LongTerm62!$AF82*LongTerm62!$AH82)/10000</f>
        <v>0.2777937009485052</v>
      </c>
      <c r="BR77" s="594">
        <f>LongTerm62!$BM82*(LongTerm62!$F82*LongTerm62!$AF82*LongTerm62!$AH82)/10000</f>
        <v>11.008061404110661</v>
      </c>
      <c r="BS77" s="594">
        <f>(LongTerm62!$BL82/(1-LongTerm62!$AR82))*(LongTerm62!$F82*LongTerm62!$AF82*LongTerm62!$AH82)/10000</f>
        <v>-10.730267703162157</v>
      </c>
      <c r="BT77" s="447"/>
      <c r="BU77" s="596">
        <f>LongTerm107!D82</f>
        <v>37575</v>
      </c>
      <c r="BV77" s="594">
        <f>(LongTerm107!$BM82+LongTerm107!$BL82/(1-LongTerm107!$AR82))*(LongTerm107!$F82*LongTerm107!$AF82*LongTerm107!$AH82)/10000</f>
        <v>0</v>
      </c>
      <c r="BW77" s="594">
        <f>LongTerm107!$BM82*(LongTerm107!$F82*LongTerm107!$AF82*LongTerm107!$AH82)/10000</f>
        <v>0</v>
      </c>
      <c r="BX77" s="594">
        <f>(LongTerm107!$BL82/(1-LongTerm107!$AR82))*(LongTerm107!$F82*LongTerm107!$AF82*LongTerm107!$AH82)/10000</f>
        <v>0</v>
      </c>
      <c r="BY77" s="599"/>
      <c r="BZ77" s="596">
        <f>LongTerm108!D82</f>
        <v>37940</v>
      </c>
      <c r="CA77" s="594">
        <f>(LongTerm108!$BM82+LongTerm108!$BL82/(1-LongTerm108!$AR82))*(LongTerm108!$F82*LongTerm108!$AF82*LongTerm108!$AH82)/10000</f>
        <v>0</v>
      </c>
      <c r="CB77" s="594">
        <f>LongTerm108!$BM82*(LongTerm108!$F82*LongTerm108!$AF82*LongTerm108!$AH82)/10000</f>
        <v>0</v>
      </c>
      <c r="CC77" s="594">
        <f>(LongTerm108!$BL82/(1-LongTerm108!$AR82))*(LongTerm108!$F82*LongTerm108!$AF82*LongTerm108!$AH82)/10000</f>
        <v>0</v>
      </c>
      <c r="CD77" s="492"/>
      <c r="CE77" s="595">
        <f t="shared" si="44"/>
        <v>38852</v>
      </c>
      <c r="CF77" s="583">
        <v>24.1</v>
      </c>
      <c r="CG77" s="583">
        <v>137</v>
      </c>
      <c r="CH77" s="583">
        <v>-158.30000000000001</v>
      </c>
      <c r="CI77" s="583">
        <v>0</v>
      </c>
      <c r="CJ77" s="583">
        <v>0</v>
      </c>
      <c r="CK77" s="583">
        <v>1.7</v>
      </c>
      <c r="CL77" s="583">
        <v>0</v>
      </c>
      <c r="CM77" s="583">
        <v>0</v>
      </c>
      <c r="CN77" s="583">
        <v>0</v>
      </c>
    </row>
    <row r="78" spans="2:92" x14ac:dyDescent="0.25">
      <c r="B78" s="553">
        <f t="shared" si="13"/>
        <v>39128</v>
      </c>
      <c r="C78" s="435">
        <f t="shared" si="14"/>
        <v>2007</v>
      </c>
      <c r="D78" s="445">
        <f t="shared" si="15"/>
        <v>3.6888812896375032</v>
      </c>
      <c r="E78" s="445">
        <f t="shared" si="16"/>
        <v>-2.4958758569562036</v>
      </c>
      <c r="F78" s="445">
        <f t="shared" si="17"/>
        <v>-0.44409383904657318</v>
      </c>
      <c r="G78" s="445">
        <f t="shared" si="18"/>
        <v>2.8915865470343505</v>
      </c>
      <c r="H78" s="445">
        <f t="shared" si="19"/>
        <v>0</v>
      </c>
      <c r="I78" s="445">
        <f t="shared" si="20"/>
        <v>0</v>
      </c>
      <c r="J78" s="447"/>
      <c r="K78" s="447"/>
      <c r="L78" s="447"/>
      <c r="M78" s="445">
        <f t="shared" si="21"/>
        <v>-0.41729056674136977</v>
      </c>
      <c r="N78" s="565">
        <f t="shared" si="22"/>
        <v>0.65455500534729616</v>
      </c>
      <c r="O78" s="565">
        <f t="shared" si="23"/>
        <v>0</v>
      </c>
      <c r="Q78" s="553">
        <f t="shared" si="43"/>
        <v>39128</v>
      </c>
      <c r="R78" s="445">
        <f t="shared" si="25"/>
        <v>1.6888812896375032</v>
      </c>
      <c r="S78" s="565">
        <f t="shared" si="26"/>
        <v>-77.595875856956198</v>
      </c>
      <c r="T78" s="565">
        <f t="shared" si="35"/>
        <v>-20.444093839046573</v>
      </c>
      <c r="U78" s="565">
        <f t="shared" si="36"/>
        <v>99.491586547034345</v>
      </c>
      <c r="V78" s="565">
        <f t="shared" si="5"/>
        <v>0</v>
      </c>
      <c r="W78" s="565">
        <f t="shared" si="6"/>
        <v>0</v>
      </c>
      <c r="X78" s="565">
        <f t="shared" si="27"/>
        <v>9.8827094332586309</v>
      </c>
      <c r="Y78" s="445">
        <f t="shared" si="28"/>
        <v>-9.6454449946527046</v>
      </c>
      <c r="Z78" s="565">
        <f t="shared" si="29"/>
        <v>0</v>
      </c>
      <c r="AB78" s="553">
        <f t="shared" si="30"/>
        <v>39128</v>
      </c>
      <c r="AC78" s="571">
        <f t="shared" si="37"/>
        <v>2</v>
      </c>
      <c r="AD78" s="565">
        <f t="shared" si="38"/>
        <v>75.099999999999994</v>
      </c>
      <c r="AE78" s="565">
        <f t="shared" si="39"/>
        <v>20</v>
      </c>
      <c r="AF78" s="565">
        <f t="shared" si="40"/>
        <v>-96.6</v>
      </c>
      <c r="AG78" s="565">
        <f t="shared" si="41"/>
        <v>0</v>
      </c>
      <c r="AH78" s="565">
        <f t="shared" si="42"/>
        <v>0</v>
      </c>
      <c r="AI78" s="565">
        <f t="shared" si="31"/>
        <v>-10.3</v>
      </c>
      <c r="AJ78" s="445">
        <f t="shared" si="32"/>
        <v>10.3</v>
      </c>
      <c r="AK78" s="565">
        <f t="shared" si="33"/>
        <v>0</v>
      </c>
      <c r="AM78" s="593">
        <f>LongTerm1!D83</f>
        <v>39128</v>
      </c>
      <c r="AN78" s="594">
        <f>(LongTerm1!BM83+LongTerm1!BL83/(1-LongTerm1!AR83))*(LongTerm1!F83*LongTerm1!AF83*LongTerm1!AH83)/10000</f>
        <v>2.1832074654928246</v>
      </c>
      <c r="AO78" s="594">
        <f>LongTerm1!BM83*(LongTerm1!F83*LongTerm1!AF83*LongTerm1!AH83)/10000</f>
        <v>79.779083322449026</v>
      </c>
      <c r="AP78" s="594">
        <f>(LongTerm1!BL83/(1-LongTerm1!AR83))*(LongTerm1!F83*LongTerm1!AF83*LongTerm1!AH83)/10000</f>
        <v>-77.595875856956198</v>
      </c>
      <c r="AQ78" s="434"/>
      <c r="AV78" s="435"/>
      <c r="AW78" s="435"/>
      <c r="AX78" s="435"/>
      <c r="AY78" s="435"/>
      <c r="AZ78" s="435"/>
      <c r="BA78" s="435"/>
      <c r="BB78" s="435"/>
      <c r="BC78" s="435"/>
      <c r="BD78" s="435"/>
      <c r="BE78" s="435"/>
      <c r="BF78" s="435"/>
      <c r="BG78" s="593">
        <f>LongTerm25!D83</f>
        <v>39187</v>
      </c>
      <c r="BH78" s="594">
        <f>(LongTerm25!BM83+LongTerm25!BL83/(1-LongTerm25!AR83))*(LongTerm25!F83*LongTerm25!AF83*LongTerm25!AH83)/10000</f>
        <v>-0.77941501589780948</v>
      </c>
      <c r="BI78" s="594">
        <f>LongTerm25!BM83*(LongTerm25!F83*LongTerm25!AF83*LongTerm25!AH83)/10000</f>
        <v>20.930026043495019</v>
      </c>
      <c r="BJ78" s="594">
        <f>(LongTerm25!BL83/(1-LongTerm25!AR83))*(LongTerm25!F83*LongTerm25!AF83*LongTerm25!AH83)/10000</f>
        <v>-21.709441059392827</v>
      </c>
      <c r="BK78" s="435"/>
      <c r="BL78" s="435"/>
      <c r="BM78" s="435"/>
      <c r="BN78" s="435"/>
      <c r="BP78" s="596">
        <f>LongTerm62!D83</f>
        <v>39128</v>
      </c>
      <c r="BQ78" s="594">
        <f>(LongTerm62!$BM83+LongTerm62!$BL83/(1-LongTerm62!$AR83))*(LongTerm62!$F83*LongTerm62!$AF83*LongTerm62!$AH83)/10000</f>
        <v>0.2372644386059265</v>
      </c>
      <c r="BR78" s="594">
        <f>LongTerm62!$BM83*(LongTerm62!$F83*LongTerm62!$AF83*LongTerm62!$AH83)/10000</f>
        <v>9.8827094332586309</v>
      </c>
      <c r="BS78" s="594">
        <f>(LongTerm62!$BL83/(1-LongTerm62!$AR83))*(LongTerm62!$F83*LongTerm62!$AF83*LongTerm62!$AH83)/10000</f>
        <v>-9.6454449946527046</v>
      </c>
      <c r="BT78" s="447"/>
      <c r="BU78" s="596">
        <f>LongTerm107!D83</f>
        <v>37575</v>
      </c>
      <c r="BV78" s="594">
        <f>(LongTerm107!$BM83+LongTerm107!$BL83/(1-LongTerm107!$AR83))*(LongTerm107!$F83*LongTerm107!$AF83*LongTerm107!$AH83)/10000</f>
        <v>0</v>
      </c>
      <c r="BW78" s="594">
        <f>LongTerm107!$BM83*(LongTerm107!$F83*LongTerm107!$AF83*LongTerm107!$AH83)/10000</f>
        <v>0</v>
      </c>
      <c r="BX78" s="594">
        <f>(LongTerm107!$BL83/(1-LongTerm107!$AR83))*(LongTerm107!$F83*LongTerm107!$AF83*LongTerm107!$AH83)/10000</f>
        <v>0</v>
      </c>
      <c r="BY78" s="599"/>
      <c r="BZ78" s="596">
        <f>LongTerm108!D83</f>
        <v>37940</v>
      </c>
      <c r="CA78" s="594">
        <f>(LongTerm108!$BM83+LongTerm108!$BL83/(1-LongTerm108!$AR83))*(LongTerm108!$F83*LongTerm108!$AF83*LongTerm108!$AH83)/10000</f>
        <v>0</v>
      </c>
      <c r="CB78" s="594">
        <f>LongTerm108!$BM83*(LongTerm108!$F83*LongTerm108!$AF83*LongTerm108!$AH83)/10000</f>
        <v>0</v>
      </c>
      <c r="CC78" s="594">
        <f>(LongTerm108!$BL83/(1-LongTerm108!$AR83))*(LongTerm108!$F83*LongTerm108!$AF83*LongTerm108!$AH83)/10000</f>
        <v>0</v>
      </c>
      <c r="CD78" s="492"/>
      <c r="CE78" s="595">
        <f t="shared" si="44"/>
        <v>38883</v>
      </c>
      <c r="CF78" s="583">
        <v>22.7</v>
      </c>
      <c r="CG78" s="583">
        <v>130.6</v>
      </c>
      <c r="CH78" s="583">
        <v>-152.19999999999999</v>
      </c>
      <c r="CI78" s="583">
        <v>0</v>
      </c>
      <c r="CJ78" s="583">
        <v>0</v>
      </c>
      <c r="CK78" s="583">
        <v>1.7</v>
      </c>
      <c r="CL78" s="583">
        <v>0</v>
      </c>
      <c r="CM78" s="583">
        <v>0</v>
      </c>
      <c r="CN78" s="583">
        <v>0</v>
      </c>
    </row>
    <row r="79" spans="2:92" x14ac:dyDescent="0.25">
      <c r="B79" s="553">
        <f t="shared" si="13"/>
        <v>39156</v>
      </c>
      <c r="C79" s="435">
        <f t="shared" si="14"/>
        <v>2007</v>
      </c>
      <c r="D79" s="445">
        <f t="shared" si="15"/>
        <v>2.6795308100429693</v>
      </c>
      <c r="E79" s="445">
        <f t="shared" si="16"/>
        <v>-4.9632670244867683</v>
      </c>
      <c r="F79" s="445">
        <f t="shared" si="17"/>
        <v>-0.23470455535687762</v>
      </c>
      <c r="G79" s="445">
        <f t="shared" si="18"/>
        <v>4.5165954376912225</v>
      </c>
      <c r="H79" s="445">
        <f t="shared" si="19"/>
        <v>0</v>
      </c>
      <c r="I79" s="445">
        <f t="shared" si="20"/>
        <v>0</v>
      </c>
      <c r="J79" s="447"/>
      <c r="K79" s="447"/>
      <c r="L79" s="447"/>
      <c r="M79" s="445">
        <f t="shared" si="21"/>
        <v>-0.3625566057833165</v>
      </c>
      <c r="N79" s="565">
        <f t="shared" si="22"/>
        <v>0.5234635579786957</v>
      </c>
      <c r="O79" s="565">
        <f t="shared" si="23"/>
        <v>0</v>
      </c>
      <c r="Q79" s="553">
        <f t="shared" si="43"/>
        <v>39156</v>
      </c>
      <c r="R79" s="445">
        <f t="shared" si="25"/>
        <v>0.77953081004296965</v>
      </c>
      <c r="S79" s="565">
        <f t="shared" si="26"/>
        <v>-96.263267024486765</v>
      </c>
      <c r="T79" s="565">
        <f t="shared" si="35"/>
        <v>-22.534704555356878</v>
      </c>
      <c r="U79" s="565">
        <f t="shared" si="36"/>
        <v>119.41659543769123</v>
      </c>
      <c r="V79" s="565">
        <f t="shared" si="5"/>
        <v>0</v>
      </c>
      <c r="W79" s="565">
        <f t="shared" si="6"/>
        <v>0</v>
      </c>
      <c r="X79" s="565">
        <f t="shared" si="27"/>
        <v>10.837443394216683</v>
      </c>
      <c r="Y79" s="445">
        <f t="shared" si="28"/>
        <v>-10.676536442021304</v>
      </c>
      <c r="Z79" s="565">
        <f t="shared" si="29"/>
        <v>0</v>
      </c>
      <c r="AB79" s="553">
        <f t="shared" si="30"/>
        <v>39156</v>
      </c>
      <c r="AC79" s="571">
        <f t="shared" si="37"/>
        <v>1.9</v>
      </c>
      <c r="AD79" s="565">
        <f t="shared" si="38"/>
        <v>91.3</v>
      </c>
      <c r="AE79" s="565">
        <f t="shared" si="39"/>
        <v>22.3</v>
      </c>
      <c r="AF79" s="565">
        <f t="shared" si="40"/>
        <v>-114.9</v>
      </c>
      <c r="AG79" s="565">
        <f t="shared" si="41"/>
        <v>0</v>
      </c>
      <c r="AH79" s="565">
        <f t="shared" si="42"/>
        <v>0</v>
      </c>
      <c r="AI79" s="565">
        <f t="shared" si="31"/>
        <v>-11.2</v>
      </c>
      <c r="AJ79" s="445">
        <f t="shared" si="32"/>
        <v>11.2</v>
      </c>
      <c r="AK79" s="565">
        <f t="shared" si="33"/>
        <v>0</v>
      </c>
      <c r="AM79" s="593">
        <f>LongTerm1!D84</f>
        <v>39156</v>
      </c>
      <c r="AN79" s="594">
        <f>(LongTerm1!BM84+LongTerm1!BL84/(1-LongTerm1!AR84))*(LongTerm1!F84*LongTerm1!AF84*LongTerm1!AH84)/10000</f>
        <v>1.4257247009501641</v>
      </c>
      <c r="AO79" s="594">
        <f>LongTerm1!BM84*(LongTerm1!F84*LongTerm1!AF84*LongTerm1!AH84)/10000</f>
        <v>97.688991725436921</v>
      </c>
      <c r="AP79" s="594">
        <f>(LongTerm1!BL84/(1-LongTerm1!AR84))*(LongTerm1!F84*LongTerm1!AF84*LongTerm1!AH84)/10000</f>
        <v>-96.263267024486765</v>
      </c>
      <c r="AQ79" s="434"/>
      <c r="AV79" s="435"/>
      <c r="AW79" s="435"/>
      <c r="AX79" s="435"/>
      <c r="AY79" s="435"/>
      <c r="AZ79" s="435"/>
      <c r="BA79" s="435"/>
      <c r="BB79" s="435"/>
      <c r="BC79" s="435"/>
      <c r="BD79" s="435"/>
      <c r="BE79" s="435"/>
      <c r="BF79" s="435"/>
      <c r="BG79" s="593">
        <f>LongTerm25!D84</f>
        <v>39217</v>
      </c>
      <c r="BH79" s="594">
        <f>(LongTerm25!BM84+LongTerm25!BL84/(1-LongTerm25!AR84))*(LongTerm25!F84*LongTerm25!AF84*LongTerm25!AH84)/10000</f>
        <v>-0.79936841642161938</v>
      </c>
      <c r="BI79" s="594">
        <f>LongTerm25!BM84*(LongTerm25!F84*LongTerm25!AF84*LongTerm25!AH84)/10000</f>
        <v>21.498302382684052</v>
      </c>
      <c r="BJ79" s="594">
        <f>(LongTerm25!BL84/(1-LongTerm25!AR84))*(LongTerm25!F84*LongTerm25!AF84*LongTerm25!AH84)/10000</f>
        <v>-22.297670799105674</v>
      </c>
      <c r="BK79" s="435"/>
      <c r="BL79" s="435"/>
      <c r="BM79" s="435"/>
      <c r="BN79" s="435"/>
      <c r="BP79" s="596">
        <f>LongTerm62!D84</f>
        <v>39156</v>
      </c>
      <c r="BQ79" s="594">
        <f>(LongTerm62!$BM84+LongTerm62!$BL84/(1-LongTerm62!$AR84))*(LongTerm62!$F84*LongTerm62!$AF84*LongTerm62!$AH84)/10000</f>
        <v>0.16090695219537793</v>
      </c>
      <c r="BR79" s="594">
        <f>LongTerm62!$BM84*(LongTerm62!$F84*LongTerm62!$AF84*LongTerm62!$AH84)/10000</f>
        <v>10.837443394216683</v>
      </c>
      <c r="BS79" s="594">
        <f>(LongTerm62!$BL84/(1-LongTerm62!$AR84))*(LongTerm62!$F84*LongTerm62!$AF84*LongTerm62!$AH84)/10000</f>
        <v>-10.676536442021304</v>
      </c>
      <c r="BT79" s="447"/>
      <c r="BU79" s="596">
        <f>LongTerm107!D84</f>
        <v>37575</v>
      </c>
      <c r="BV79" s="594">
        <f>(LongTerm107!$BM84+LongTerm107!$BL84/(1-LongTerm107!$AR84))*(LongTerm107!$F84*LongTerm107!$AF84*LongTerm107!$AH84)/10000</f>
        <v>0</v>
      </c>
      <c r="BW79" s="594">
        <f>LongTerm107!$BM84*(LongTerm107!$F84*LongTerm107!$AF84*LongTerm107!$AH84)/10000</f>
        <v>0</v>
      </c>
      <c r="BX79" s="594">
        <f>(LongTerm107!$BL84/(1-LongTerm107!$AR84))*(LongTerm107!$F84*LongTerm107!$AF84*LongTerm107!$AH84)/10000</f>
        <v>0</v>
      </c>
      <c r="BY79" s="599"/>
      <c r="BZ79" s="596">
        <f>LongTerm108!D84</f>
        <v>37940</v>
      </c>
      <c r="CA79" s="594">
        <f>(LongTerm108!$BM84+LongTerm108!$BL84/(1-LongTerm108!$AR84))*(LongTerm108!$F84*LongTerm108!$AF84*LongTerm108!$AH84)/10000</f>
        <v>0</v>
      </c>
      <c r="CB79" s="594">
        <f>LongTerm108!$BM84*(LongTerm108!$F84*LongTerm108!$AF84*LongTerm108!$AH84)/10000</f>
        <v>0</v>
      </c>
      <c r="CC79" s="594">
        <f>(LongTerm108!$BL84/(1-LongTerm108!$AR84))*(LongTerm108!$F84*LongTerm108!$AF84*LongTerm108!$AH84)/10000</f>
        <v>0</v>
      </c>
      <c r="CD79" s="492"/>
      <c r="CE79" s="595">
        <f t="shared" si="44"/>
        <v>38913</v>
      </c>
      <c r="CF79" s="583">
        <v>23.5</v>
      </c>
      <c r="CG79" s="583">
        <v>130.80000000000001</v>
      </c>
      <c r="CH79" s="583">
        <v>-153.19999999999999</v>
      </c>
      <c r="CI79" s="583">
        <v>0</v>
      </c>
      <c r="CJ79" s="583">
        <v>0</v>
      </c>
      <c r="CK79" s="583">
        <v>1.7</v>
      </c>
      <c r="CL79" s="583">
        <v>0</v>
      </c>
      <c r="CM79" s="583">
        <v>0</v>
      </c>
      <c r="CN79" s="583">
        <v>0</v>
      </c>
    </row>
    <row r="80" spans="2:92" x14ac:dyDescent="0.25">
      <c r="B80" s="553">
        <f t="shared" si="13"/>
        <v>39187</v>
      </c>
      <c r="C80" s="435">
        <f t="shared" si="14"/>
        <v>2007</v>
      </c>
      <c r="D80" s="445">
        <f t="shared" si="15"/>
        <v>0.13270610444516784</v>
      </c>
      <c r="E80" s="445">
        <f t="shared" si="16"/>
        <v>-9.376350278248168</v>
      </c>
      <c r="F80" s="445">
        <f t="shared" si="17"/>
        <v>0.19055894060717193</v>
      </c>
      <c r="G80" s="445">
        <f t="shared" si="18"/>
        <v>9.3184974420861408</v>
      </c>
      <c r="H80" s="445">
        <f t="shared" si="19"/>
        <v>0</v>
      </c>
      <c r="I80" s="445">
        <f t="shared" si="20"/>
        <v>0</v>
      </c>
      <c r="J80" s="447"/>
      <c r="K80" s="447"/>
      <c r="L80" s="447"/>
      <c r="M80" s="445">
        <f t="shared" si="21"/>
        <v>0</v>
      </c>
      <c r="N80" s="565">
        <f t="shared" si="22"/>
        <v>0</v>
      </c>
      <c r="O80" s="565">
        <f t="shared" si="23"/>
        <v>0</v>
      </c>
      <c r="Q80" s="553">
        <f t="shared" si="43"/>
        <v>39187</v>
      </c>
      <c r="R80" s="445">
        <f t="shared" si="25"/>
        <v>-1.7672938955548321</v>
      </c>
      <c r="S80" s="565">
        <f t="shared" si="26"/>
        <v>-126.87635027824817</v>
      </c>
      <c r="T80" s="565">
        <f t="shared" si="35"/>
        <v>-21.709441059392827</v>
      </c>
      <c r="U80" s="565">
        <f t="shared" si="36"/>
        <v>146.81849744208614</v>
      </c>
      <c r="V80" s="565">
        <f t="shared" si="5"/>
        <v>0</v>
      </c>
      <c r="W80" s="565">
        <f t="shared" si="6"/>
        <v>0</v>
      </c>
      <c r="X80" s="565">
        <f t="shared" si="27"/>
        <v>0</v>
      </c>
      <c r="Y80" s="445">
        <f t="shared" si="28"/>
        <v>0</v>
      </c>
      <c r="Z80" s="565">
        <f t="shared" si="29"/>
        <v>0</v>
      </c>
      <c r="AB80" s="553">
        <f t="shared" si="30"/>
        <v>39187</v>
      </c>
      <c r="AC80" s="571">
        <f t="shared" si="37"/>
        <v>1.9</v>
      </c>
      <c r="AD80" s="565">
        <f t="shared" si="38"/>
        <v>117.5</v>
      </c>
      <c r="AE80" s="565">
        <f t="shared" si="39"/>
        <v>21.9</v>
      </c>
      <c r="AF80" s="565">
        <f t="shared" si="40"/>
        <v>-137.5</v>
      </c>
      <c r="AG80" s="565">
        <f t="shared" si="41"/>
        <v>0</v>
      </c>
      <c r="AH80" s="565">
        <f t="shared" si="42"/>
        <v>0</v>
      </c>
      <c r="AI80" s="565">
        <f t="shared" si="31"/>
        <v>0</v>
      </c>
      <c r="AJ80" s="445">
        <f t="shared" si="32"/>
        <v>0</v>
      </c>
      <c r="AK80" s="565">
        <f t="shared" si="33"/>
        <v>0</v>
      </c>
      <c r="AM80" s="593">
        <f>LongTerm1!D85</f>
        <v>39187</v>
      </c>
      <c r="AN80" s="594">
        <f>(LongTerm1!BM85+LongTerm1!BL85/(1-LongTerm1!AR85))*(LongTerm1!F85*LongTerm1!AF85*LongTerm1!AH85)/10000</f>
        <v>-0.9878788796570227</v>
      </c>
      <c r="AO80" s="594">
        <f>LongTerm1!BM85*(LongTerm1!F85*LongTerm1!AF85*LongTerm1!AH85)/10000</f>
        <v>125.88847139859114</v>
      </c>
      <c r="AP80" s="594">
        <f>(LongTerm1!BL85/(1-LongTerm1!AR85))*(LongTerm1!F85*LongTerm1!AF85*LongTerm1!AH85)/10000</f>
        <v>-126.87635027824817</v>
      </c>
      <c r="AQ80" s="434"/>
      <c r="AV80" s="435"/>
      <c r="AW80" s="435"/>
      <c r="AX80" s="435"/>
      <c r="AY80" s="435"/>
      <c r="AZ80" s="435"/>
      <c r="BA80" s="435"/>
      <c r="BB80" s="435"/>
      <c r="BC80" s="435"/>
      <c r="BD80" s="435"/>
      <c r="BE80" s="435"/>
      <c r="BF80" s="435"/>
      <c r="BG80" s="593">
        <f>LongTerm25!D85</f>
        <v>39248</v>
      </c>
      <c r="BH80" s="594">
        <f>(LongTerm25!BM85+LongTerm25!BL85/(1-LongTerm25!AR85))*(LongTerm25!F85*LongTerm25!AF85*LongTerm25!AH85)/10000</f>
        <v>-0.76856342898146712</v>
      </c>
      <c r="BI80" s="594">
        <f>LongTerm25!BM85*(LongTerm25!F85*LongTerm25!AF85*LongTerm25!AH85)/10000</f>
        <v>20.683183562329326</v>
      </c>
      <c r="BJ80" s="594">
        <f>(LongTerm25!BL85/(1-LongTerm25!AR85))*(LongTerm25!F85*LongTerm25!AF85*LongTerm25!AH85)/10000</f>
        <v>-21.451746991310792</v>
      </c>
      <c r="BK80" s="435"/>
      <c r="BL80" s="435"/>
      <c r="BM80" s="435"/>
      <c r="BN80" s="435"/>
      <c r="BP80" s="596">
        <f>LongTerm62!D85</f>
        <v>39187</v>
      </c>
      <c r="BQ80" s="594">
        <f>(LongTerm62!$BM85+LongTerm62!$BL85/(1-LongTerm62!$AR85))*(LongTerm62!$F85*LongTerm62!$AF85*LongTerm62!$AH85)/10000</f>
        <v>0</v>
      </c>
      <c r="BR80" s="594">
        <f>LongTerm62!$BM85*(LongTerm62!$F85*LongTerm62!$AF85*LongTerm62!$AH85)/10000</f>
        <v>0</v>
      </c>
      <c r="BS80" s="594">
        <f>(LongTerm62!$BL85/(1-LongTerm62!$AR85))*(LongTerm62!$F85*LongTerm62!$AF85*LongTerm62!$AH85)/10000</f>
        <v>0</v>
      </c>
      <c r="BT80" s="447"/>
      <c r="BU80" s="596">
        <f>LongTerm107!D85</f>
        <v>37575</v>
      </c>
      <c r="BV80" s="594">
        <f>(LongTerm107!$BM85+LongTerm107!$BL85/(1-LongTerm107!$AR85))*(LongTerm107!$F85*LongTerm107!$AF85*LongTerm107!$AH85)/10000</f>
        <v>0</v>
      </c>
      <c r="BW80" s="594">
        <f>LongTerm107!$BM85*(LongTerm107!$F85*LongTerm107!$AF85*LongTerm107!$AH85)/10000</f>
        <v>0</v>
      </c>
      <c r="BX80" s="594">
        <f>(LongTerm107!$BL85/(1-LongTerm107!$AR85))*(LongTerm107!$F85*LongTerm107!$AF85*LongTerm107!$AH85)/10000</f>
        <v>0</v>
      </c>
      <c r="BY80" s="599"/>
      <c r="BZ80" s="596">
        <f>LongTerm108!D85</f>
        <v>37940</v>
      </c>
      <c r="CA80" s="594">
        <f>(LongTerm108!$BM85+LongTerm108!$BL85/(1-LongTerm108!$AR85))*(LongTerm108!$F85*LongTerm108!$AF85*LongTerm108!$AH85)/10000</f>
        <v>0</v>
      </c>
      <c r="CB80" s="594">
        <f>LongTerm108!$BM85*(LongTerm108!$F85*LongTerm108!$AF85*LongTerm108!$AH85)/10000</f>
        <v>0</v>
      </c>
      <c r="CC80" s="594">
        <f>(LongTerm108!$BL85/(1-LongTerm108!$AR85))*(LongTerm108!$F85*LongTerm108!$AF85*LongTerm108!$AH85)/10000</f>
        <v>0</v>
      </c>
      <c r="CD80" s="492"/>
      <c r="CE80" s="595">
        <f t="shared" si="44"/>
        <v>38944</v>
      </c>
      <c r="CF80" s="583">
        <v>23.3</v>
      </c>
      <c r="CG80" s="583">
        <v>126.1</v>
      </c>
      <c r="CH80" s="583">
        <v>-148.19999999999999</v>
      </c>
      <c r="CI80" s="583">
        <v>0</v>
      </c>
      <c r="CJ80" s="583">
        <v>0</v>
      </c>
      <c r="CK80" s="583">
        <v>1.7</v>
      </c>
      <c r="CL80" s="583">
        <v>0</v>
      </c>
      <c r="CM80" s="583">
        <v>0</v>
      </c>
      <c r="CN80" s="583">
        <v>0</v>
      </c>
    </row>
    <row r="81" spans="2:92" x14ac:dyDescent="0.25">
      <c r="B81" s="553">
        <f t="shared" si="13"/>
        <v>39217</v>
      </c>
      <c r="C81" s="435">
        <f t="shared" si="14"/>
        <v>2007</v>
      </c>
      <c r="D81" s="445">
        <f t="shared" si="15"/>
        <v>0.35956564155975945</v>
      </c>
      <c r="E81" s="445">
        <f t="shared" si="16"/>
        <v>-2.3472942976362532</v>
      </c>
      <c r="F81" s="445">
        <f t="shared" si="17"/>
        <v>-0.3976707991056756</v>
      </c>
      <c r="G81" s="445">
        <f t="shared" si="18"/>
        <v>3.1045307383016905</v>
      </c>
      <c r="H81" s="445">
        <f t="shared" si="19"/>
        <v>0</v>
      </c>
      <c r="I81" s="445">
        <f t="shared" si="20"/>
        <v>0</v>
      </c>
      <c r="J81" s="447"/>
      <c r="K81" s="447"/>
      <c r="L81" s="447"/>
      <c r="M81" s="445">
        <f t="shared" si="21"/>
        <v>0</v>
      </c>
      <c r="N81" s="565">
        <f t="shared" si="22"/>
        <v>0</v>
      </c>
      <c r="O81" s="565">
        <f t="shared" si="23"/>
        <v>0</v>
      </c>
      <c r="Q81" s="553">
        <f t="shared" si="43"/>
        <v>39217</v>
      </c>
      <c r="R81" s="445">
        <f t="shared" si="25"/>
        <v>-1.5404343584402405</v>
      </c>
      <c r="S81" s="565">
        <f t="shared" si="26"/>
        <v>-126.34729429763625</v>
      </c>
      <c r="T81" s="565">
        <f t="shared" ref="T81:T112" si="45">SUMIF(AQ:AQ,$Q81,AT:AT)+SUMIF(BG:BG,$Q81,BJ:BJ)+SUMIF(BK:BK,$Q81,BN:BN)</f>
        <v>-22.297670799105674</v>
      </c>
      <c r="U81" s="565">
        <f t="shared" ref="U81:U112" si="46">SUMIF(AM:AM,$Q81,AO:AO)+SUMIF(AQ:AQ,$Q81,AS:AS)+SUMIF(BG:BG,$Q81,BI:BI)+SUMIF(BK:BK,$Q81,BM:BM)</f>
        <v>147.10453073830169</v>
      </c>
      <c r="V81" s="565">
        <f t="shared" ref="V81:V112" si="47">SUMIF(AU:AU,$Q81,AW:AW)</f>
        <v>0</v>
      </c>
      <c r="W81" s="565">
        <f t="shared" ref="W81:W112" si="48">SUMIF(AU:AU,$Q81,AX:AX)</f>
        <v>0</v>
      </c>
      <c r="X81" s="565">
        <f t="shared" si="27"/>
        <v>0</v>
      </c>
      <c r="Y81" s="445">
        <f t="shared" si="28"/>
        <v>0</v>
      </c>
      <c r="Z81" s="565">
        <f t="shared" si="29"/>
        <v>0</v>
      </c>
      <c r="AB81" s="553">
        <f t="shared" si="30"/>
        <v>39217</v>
      </c>
      <c r="AC81" s="571">
        <f t="shared" ref="AC81:AC106" si="49">VLOOKUP(AB81,CE82:CK187,7,FALSE)</f>
        <v>1.9</v>
      </c>
      <c r="AD81" s="565">
        <f t="shared" ref="AD81:AD106" si="50">VLOOKUP(AB81,CE82:CJ187,3,FALSE)</f>
        <v>124</v>
      </c>
      <c r="AE81" s="565">
        <f t="shared" ref="AE81:AE106" si="51">VLOOKUP(AB81,CE82:CJ187,2,FALSE)</f>
        <v>21.9</v>
      </c>
      <c r="AF81" s="565">
        <f t="shared" ref="AF81:AF106" si="52">VLOOKUP(AB81,CE82:CJ187,4,FALSE)</f>
        <v>-144</v>
      </c>
      <c r="AG81" s="565">
        <f t="shared" ref="AG81:AG106" si="53">VLOOKUP(AB81,CE82:CJ187,5,FALSE)</f>
        <v>0</v>
      </c>
      <c r="AH81" s="565">
        <f t="shared" ref="AH81:AH106" si="54">VLOOKUP(AB81,CE82:CJ187,6,FALSE)</f>
        <v>0</v>
      </c>
      <c r="AI81" s="565">
        <f t="shared" si="31"/>
        <v>0</v>
      </c>
      <c r="AJ81" s="445">
        <f t="shared" si="32"/>
        <v>0</v>
      </c>
      <c r="AK81" s="565">
        <f t="shared" si="33"/>
        <v>0</v>
      </c>
      <c r="AM81" s="593">
        <f>LongTerm1!D86</f>
        <v>39217</v>
      </c>
      <c r="AN81" s="594">
        <f>(LongTerm1!BM86+LongTerm1!BL86/(1-LongTerm1!AR86))*(LongTerm1!F86*LongTerm1!AF86*LongTerm1!AH86)/10000</f>
        <v>-0.74106594201862119</v>
      </c>
      <c r="AO81" s="594">
        <f>LongTerm1!BM86*(LongTerm1!F86*LongTerm1!AF86*LongTerm1!AH86)/10000</f>
        <v>125.60622835561763</v>
      </c>
      <c r="AP81" s="594">
        <f>(LongTerm1!BL86/(1-LongTerm1!AR86))*(LongTerm1!F86*LongTerm1!AF86*LongTerm1!AH86)/10000</f>
        <v>-126.34729429763625</v>
      </c>
      <c r="AQ81" s="434"/>
      <c r="AV81" s="435"/>
      <c r="AW81" s="435"/>
      <c r="AX81" s="435"/>
      <c r="AY81" s="435"/>
      <c r="AZ81" s="435"/>
      <c r="BA81" s="435"/>
      <c r="BB81" s="435"/>
      <c r="BC81" s="435"/>
      <c r="BD81" s="435"/>
      <c r="BE81" s="435"/>
      <c r="BF81" s="435"/>
      <c r="BG81" s="593">
        <f>LongTerm25!D86</f>
        <v>39278</v>
      </c>
      <c r="BH81" s="594">
        <f>(LongTerm25!BM86+LongTerm25!BL86/(1-LongTerm25!AR86))*(LongTerm25!F86*LongTerm25!AF86*LongTerm25!AH86)/10000</f>
        <v>-0.78704536168754691</v>
      </c>
      <c r="BI81" s="594">
        <f>LongTerm25!BM86*(LongTerm25!F86*LongTerm25!AF86*LongTerm25!AH86)/10000</f>
        <v>21.233255372430307</v>
      </c>
      <c r="BJ81" s="594">
        <f>(LongTerm25!BL86/(1-LongTerm25!AR86))*(LongTerm25!F86*LongTerm25!AF86*LongTerm25!AH86)/10000</f>
        <v>-22.020300734117853</v>
      </c>
      <c r="BK81" s="435"/>
      <c r="BL81" s="435"/>
      <c r="BM81" s="435"/>
      <c r="BN81" s="435"/>
      <c r="BP81" s="596">
        <f>LongTerm62!D86</f>
        <v>39217</v>
      </c>
      <c r="BQ81" s="594">
        <f>(LongTerm62!$BM86+LongTerm62!$BL86/(1-LongTerm62!$AR86))*(LongTerm62!$F86*LongTerm62!$AF86*LongTerm62!$AH86)/10000</f>
        <v>0</v>
      </c>
      <c r="BR81" s="594">
        <f>LongTerm62!$BM86*(LongTerm62!$F86*LongTerm62!$AF86*LongTerm62!$AH86)/10000</f>
        <v>0</v>
      </c>
      <c r="BS81" s="594">
        <f>(LongTerm62!$BL86/(1-LongTerm62!$AR86))*(LongTerm62!$F86*LongTerm62!$AF86*LongTerm62!$AH86)/10000</f>
        <v>0</v>
      </c>
      <c r="BT81" s="447"/>
      <c r="BU81" s="596">
        <f>LongTerm107!D86</f>
        <v>37575</v>
      </c>
      <c r="BV81" s="594">
        <f>(LongTerm107!$BM86+LongTerm107!$BL86/(1-LongTerm107!$AR86))*(LongTerm107!$F86*LongTerm107!$AF86*LongTerm107!$AH86)/10000</f>
        <v>0</v>
      </c>
      <c r="BW81" s="594">
        <f>LongTerm107!$BM86*(LongTerm107!$F86*LongTerm107!$AF86*LongTerm107!$AH86)/10000</f>
        <v>0</v>
      </c>
      <c r="BX81" s="594">
        <f>(LongTerm107!$BL86/(1-LongTerm107!$AR86))*(LongTerm107!$F86*LongTerm107!$AF86*LongTerm107!$AH86)/10000</f>
        <v>0</v>
      </c>
      <c r="BY81" s="599"/>
      <c r="BZ81" s="596">
        <f>LongTerm108!D86</f>
        <v>37940</v>
      </c>
      <c r="CA81" s="594">
        <f>(LongTerm108!$BM86+LongTerm108!$BL86/(1-LongTerm108!$AR86))*(LongTerm108!$F86*LongTerm108!$AF86*LongTerm108!$AH86)/10000</f>
        <v>0</v>
      </c>
      <c r="CB81" s="594">
        <f>LongTerm108!$BM86*(LongTerm108!$F86*LongTerm108!$AF86*LongTerm108!$AH86)/10000</f>
        <v>0</v>
      </c>
      <c r="CC81" s="594">
        <f>(LongTerm108!$BL86/(1-LongTerm108!$AR86))*(LongTerm108!$F86*LongTerm108!$AF86*LongTerm108!$AH86)/10000</f>
        <v>0</v>
      </c>
      <c r="CD81" s="492"/>
      <c r="CE81" s="595">
        <f t="shared" si="44"/>
        <v>38975</v>
      </c>
      <c r="CF81" s="583">
        <v>22.7</v>
      </c>
      <c r="CG81" s="583">
        <v>121.4</v>
      </c>
      <c r="CH81" s="583">
        <v>-142.19999999999999</v>
      </c>
      <c r="CI81" s="583">
        <v>0</v>
      </c>
      <c r="CJ81" s="583">
        <v>0</v>
      </c>
      <c r="CK81" s="583">
        <v>1.7</v>
      </c>
      <c r="CL81" s="583">
        <v>0</v>
      </c>
      <c r="CM81" s="583">
        <v>0</v>
      </c>
      <c r="CN81" s="583">
        <v>0</v>
      </c>
    </row>
    <row r="82" spans="2:92" x14ac:dyDescent="0.25">
      <c r="B82" s="553">
        <f t="shared" ref="B82:B112" si="55">Q82</f>
        <v>39248</v>
      </c>
      <c r="C82" s="435">
        <f t="shared" ref="C82:C112" si="56">YEAR(B82)</f>
        <v>2007</v>
      </c>
      <c r="D82" s="445">
        <f t="shared" ref="D82:D112" si="57">R82+AC82</f>
        <v>0.40270841008099323</v>
      </c>
      <c r="E82" s="445">
        <f t="shared" ref="E82:E112" si="58">S82+AD82</f>
        <v>-3.792398437625053</v>
      </c>
      <c r="F82" s="445">
        <f t="shared" ref="F82:F112" si="59">+T82+AE82</f>
        <v>-5.1746991310793078E-2</v>
      </c>
      <c r="G82" s="445">
        <f t="shared" ref="G82:G112" si="60">+U82+AF82</f>
        <v>3.3468538390168305</v>
      </c>
      <c r="H82" s="445">
        <f t="shared" ref="H82:H112" si="61">V82+AG82</f>
        <v>0</v>
      </c>
      <c r="I82" s="445">
        <f t="shared" ref="I82:I112" si="62">W82+AH82</f>
        <v>0</v>
      </c>
      <c r="J82" s="447"/>
      <c r="K82" s="447"/>
      <c r="L82" s="447"/>
      <c r="M82" s="445">
        <f t="shared" ref="M82:M112" si="63">X82+AI82</f>
        <v>0</v>
      </c>
      <c r="N82" s="565">
        <f t="shared" ref="N82:N112" si="64">Y82+AJ82</f>
        <v>0</v>
      </c>
      <c r="O82" s="565">
        <f t="shared" ref="O82:O112" si="65">Z82+AK82</f>
        <v>0</v>
      </c>
      <c r="Q82" s="553">
        <f t="shared" ref="Q82:Q112" si="66">EOMONTH(Q81,0)+15</f>
        <v>39248</v>
      </c>
      <c r="R82" s="445">
        <f t="shared" ref="R82:R112" si="67">SUMIF(AM:AM,$Q82,AN:AN)+SUMIF(AQ:AQ,$Q82,AR:AR)+SUMIF(AU:AU,$Q82,AV:AV)+SUMIF(BU:BU,$Q82,BV:BV)+SUMIF(BZ:BZ,$Q82,CA:CA)+SUMIF(BG:BG,$Q82,BH:BH)+SUMIF(BK:BK,$Q82,BL:BL)+SUMIF(BP:BP,$Q82,BQ:BQ)</f>
        <v>-1.4972915899190067</v>
      </c>
      <c r="S82" s="565">
        <f t="shared" ref="S82:S112" si="68">SUMIF(AM:AM,$Q82,AP:AP)+SUMIF(BU:BU,$Q82,BW:BW)+SUMIF(BZ:BZ,$Q82,CB:CB)</f>
        <v>-121.69239843762506</v>
      </c>
      <c r="T82" s="565">
        <f t="shared" si="45"/>
        <v>-21.451746991310792</v>
      </c>
      <c r="U82" s="565">
        <f t="shared" si="46"/>
        <v>141.64685383901684</v>
      </c>
      <c r="V82" s="565">
        <f t="shared" si="47"/>
        <v>0</v>
      </c>
      <c r="W82" s="565">
        <f t="shared" si="48"/>
        <v>0</v>
      </c>
      <c r="X82" s="565">
        <f t="shared" ref="X82:X112" si="69">SUMIF(BP:BP,$Q82,BR:BR)</f>
        <v>0</v>
      </c>
      <c r="Y82" s="445">
        <f t="shared" ref="Y82:Y112" si="70">SUMIF(BP:BP,$Q82,BS:BS)</f>
        <v>0</v>
      </c>
      <c r="Z82" s="565">
        <f t="shared" ref="Z82:Z112" si="71">SUMIF(BU:BU,$Q82,BX:BX)+SUMIF(BZ:BZ,$Q82,CC:CC)</f>
        <v>0</v>
      </c>
      <c r="AB82" s="553">
        <f t="shared" ref="AB82:AB112" si="72">Q82</f>
        <v>39248</v>
      </c>
      <c r="AC82" s="571">
        <f t="shared" si="49"/>
        <v>1.9</v>
      </c>
      <c r="AD82" s="565">
        <f t="shared" si="50"/>
        <v>117.9</v>
      </c>
      <c r="AE82" s="565">
        <f t="shared" si="51"/>
        <v>21.4</v>
      </c>
      <c r="AF82" s="565">
        <f t="shared" si="52"/>
        <v>-138.30000000000001</v>
      </c>
      <c r="AG82" s="565">
        <f t="shared" si="53"/>
        <v>0</v>
      </c>
      <c r="AH82" s="565">
        <f t="shared" si="54"/>
        <v>0</v>
      </c>
      <c r="AI82" s="565">
        <f t="shared" ref="AI82:AI106" si="73">VLOOKUP(AB82,CE83:CM188,8,FALSE)</f>
        <v>0</v>
      </c>
      <c r="AJ82" s="445">
        <f t="shared" ref="AJ82:AJ106" si="74">VLOOKUP(AB82,CE83:CM188,9,FALSE)</f>
        <v>0</v>
      </c>
      <c r="AK82" s="565">
        <f t="shared" ref="AK82:AK106" si="75">VLOOKUP(AB82,CE83:CN188,10,FALSE)</f>
        <v>0</v>
      </c>
      <c r="AM82" s="593">
        <f>LongTerm1!D87</f>
        <v>39248</v>
      </c>
      <c r="AN82" s="594">
        <f>(LongTerm1!BM87+LongTerm1!BL87/(1-LongTerm1!AR87))*(LongTerm1!F87*LongTerm1!AF87*LongTerm1!AH87)/10000</f>
        <v>-0.72872816093753956</v>
      </c>
      <c r="AO82" s="594">
        <f>LongTerm1!BM87*(LongTerm1!F87*LongTerm1!AF87*LongTerm1!AH87)/10000</f>
        <v>120.96367027668752</v>
      </c>
      <c r="AP82" s="594">
        <f>(LongTerm1!BL87/(1-LongTerm1!AR87))*(LongTerm1!F87*LongTerm1!AF87*LongTerm1!AH87)/10000</f>
        <v>-121.69239843762506</v>
      </c>
      <c r="AQ82" s="434"/>
      <c r="AV82" s="435"/>
      <c r="AW82" s="435"/>
      <c r="AX82" s="435"/>
      <c r="AY82" s="435"/>
      <c r="AZ82" s="435"/>
      <c r="BA82" s="435"/>
      <c r="BB82" s="435"/>
      <c r="BC82" s="435"/>
      <c r="BD82" s="435"/>
      <c r="BE82" s="435"/>
      <c r="BF82" s="435"/>
      <c r="BG82" s="593">
        <f>LongTerm25!D87</f>
        <v>39309</v>
      </c>
      <c r="BH82" s="594">
        <f>(LongTerm25!BM87+LongTerm25!BL87/(1-LongTerm25!AR87))*(LongTerm25!F87*LongTerm25!AF87*LongTerm25!AH87)/10000</f>
        <v>-0.7769616782213139</v>
      </c>
      <c r="BI82" s="594">
        <f>LongTerm25!BM87*(LongTerm25!F87*LongTerm25!AF87*LongTerm25!AH87)/10000</f>
        <v>21.066592743890247</v>
      </c>
      <c r="BJ82" s="594">
        <f>(LongTerm25!BL87/(1-LongTerm25!AR87))*(LongTerm25!F87*LongTerm25!AF87*LongTerm25!AH87)/10000</f>
        <v>-21.843554422111563</v>
      </c>
      <c r="BK82" s="435"/>
      <c r="BL82" s="435"/>
      <c r="BM82" s="435"/>
      <c r="BN82" s="435"/>
      <c r="BP82" s="596">
        <f>LongTerm62!D87</f>
        <v>39248</v>
      </c>
      <c r="BQ82" s="594">
        <f>(LongTerm62!$BM87+LongTerm62!$BL87/(1-LongTerm62!$AR87))*(LongTerm62!$F87*LongTerm62!$AF87*LongTerm62!$AH87)/10000</f>
        <v>0</v>
      </c>
      <c r="BR82" s="594">
        <f>LongTerm62!$BM87*(LongTerm62!$F87*LongTerm62!$AF87*LongTerm62!$AH87)/10000</f>
        <v>0</v>
      </c>
      <c r="BS82" s="594">
        <f>(LongTerm62!$BL87/(1-LongTerm62!$AR87))*(LongTerm62!$F87*LongTerm62!$AF87*LongTerm62!$AH87)/10000</f>
        <v>0</v>
      </c>
      <c r="BT82" s="447"/>
      <c r="BU82" s="596">
        <f>LongTerm107!D87</f>
        <v>37575</v>
      </c>
      <c r="BV82" s="594">
        <f>(LongTerm107!$BM87+LongTerm107!$BL87/(1-LongTerm107!$AR87))*(LongTerm107!$F87*LongTerm107!$AF87*LongTerm107!$AH87)/10000</f>
        <v>0</v>
      </c>
      <c r="BW82" s="594">
        <f>LongTerm107!$BM87*(LongTerm107!$F87*LongTerm107!$AF87*LongTerm107!$AH87)/10000</f>
        <v>0</v>
      </c>
      <c r="BX82" s="594">
        <f>(LongTerm107!$BL87/(1-LongTerm107!$AR87))*(LongTerm107!$F87*LongTerm107!$AF87*LongTerm107!$AH87)/10000</f>
        <v>0</v>
      </c>
      <c r="BY82" s="599"/>
      <c r="BZ82" s="596">
        <f>LongTerm108!D87</f>
        <v>37940</v>
      </c>
      <c r="CA82" s="594">
        <f>(LongTerm108!$BM87+LongTerm108!$BL87/(1-LongTerm108!$AR87))*(LongTerm108!$F87*LongTerm108!$AF87*LongTerm108!$AH87)/10000</f>
        <v>0</v>
      </c>
      <c r="CB82" s="594">
        <f>LongTerm108!$BM87*(LongTerm108!$F87*LongTerm108!$AF87*LongTerm108!$AH87)/10000</f>
        <v>0</v>
      </c>
      <c r="CC82" s="594">
        <f>(LongTerm108!$BL87/(1-LongTerm108!$AR87))*(LongTerm108!$F87*LongTerm108!$AF87*LongTerm108!$AH87)/10000</f>
        <v>0</v>
      </c>
      <c r="CD82" s="492"/>
      <c r="CE82" s="595">
        <f t="shared" si="44"/>
        <v>39005</v>
      </c>
      <c r="CF82" s="583">
        <v>22.7</v>
      </c>
      <c r="CG82" s="583">
        <v>120</v>
      </c>
      <c r="CH82" s="583">
        <v>-141.69999999999999</v>
      </c>
      <c r="CI82" s="583">
        <v>0</v>
      </c>
      <c r="CJ82" s="583">
        <v>0</v>
      </c>
      <c r="CK82" s="583">
        <v>1.6</v>
      </c>
      <c r="CL82" s="583">
        <v>0</v>
      </c>
      <c r="CM82" s="583">
        <v>0</v>
      </c>
      <c r="CN82" s="583">
        <v>0</v>
      </c>
    </row>
    <row r="83" spans="2:92" x14ac:dyDescent="0.25">
      <c r="B83" s="553">
        <f t="shared" si="55"/>
        <v>39278</v>
      </c>
      <c r="C83" s="435">
        <f t="shared" si="56"/>
        <v>2007</v>
      </c>
      <c r="D83" s="445">
        <f t="shared" si="57"/>
        <v>0.63660009020626962</v>
      </c>
      <c r="E83" s="445">
        <f t="shared" si="58"/>
        <v>-2.9850834259100765</v>
      </c>
      <c r="F83" s="445">
        <f t="shared" si="59"/>
        <v>0.17969926588214591</v>
      </c>
      <c r="G83" s="445">
        <f t="shared" si="60"/>
        <v>3.3419842502341908</v>
      </c>
      <c r="H83" s="445">
        <f t="shared" si="61"/>
        <v>0</v>
      </c>
      <c r="I83" s="445">
        <f t="shared" si="62"/>
        <v>0</v>
      </c>
      <c r="J83" s="447"/>
      <c r="K83" s="447"/>
      <c r="L83" s="447"/>
      <c r="M83" s="445">
        <f t="shared" si="63"/>
        <v>0</v>
      </c>
      <c r="N83" s="565">
        <f t="shared" si="64"/>
        <v>0</v>
      </c>
      <c r="O83" s="565">
        <f t="shared" si="65"/>
        <v>0</v>
      </c>
      <c r="Q83" s="553">
        <f t="shared" si="66"/>
        <v>39278</v>
      </c>
      <c r="R83" s="445">
        <f t="shared" si="67"/>
        <v>-1.2633999097937303</v>
      </c>
      <c r="S83" s="565">
        <f t="shared" si="68"/>
        <v>-121.08508342591007</v>
      </c>
      <c r="T83" s="565">
        <f t="shared" si="45"/>
        <v>-22.020300734117853</v>
      </c>
      <c r="U83" s="565">
        <f t="shared" si="46"/>
        <v>141.84198425023419</v>
      </c>
      <c r="V83" s="565">
        <f t="shared" si="47"/>
        <v>0</v>
      </c>
      <c r="W83" s="565">
        <f t="shared" si="48"/>
        <v>0</v>
      </c>
      <c r="X83" s="565">
        <f t="shared" si="69"/>
        <v>0</v>
      </c>
      <c r="Y83" s="445">
        <f t="shared" si="70"/>
        <v>0</v>
      </c>
      <c r="Z83" s="565">
        <f t="shared" si="71"/>
        <v>0</v>
      </c>
      <c r="AB83" s="553">
        <f t="shared" si="72"/>
        <v>39278</v>
      </c>
      <c r="AC83" s="571">
        <f t="shared" si="49"/>
        <v>1.9</v>
      </c>
      <c r="AD83" s="565">
        <f t="shared" si="50"/>
        <v>118.1</v>
      </c>
      <c r="AE83" s="565">
        <f t="shared" si="51"/>
        <v>22.2</v>
      </c>
      <c r="AF83" s="565">
        <f t="shared" si="52"/>
        <v>-138.5</v>
      </c>
      <c r="AG83" s="565">
        <f t="shared" si="53"/>
        <v>0</v>
      </c>
      <c r="AH83" s="565">
        <f t="shared" si="54"/>
        <v>0</v>
      </c>
      <c r="AI83" s="565">
        <f t="shared" si="73"/>
        <v>0</v>
      </c>
      <c r="AJ83" s="445">
        <f t="shared" si="74"/>
        <v>0</v>
      </c>
      <c r="AK83" s="565">
        <f t="shared" si="75"/>
        <v>0</v>
      </c>
      <c r="AM83" s="593">
        <f>LongTerm1!D88</f>
        <v>39278</v>
      </c>
      <c r="AN83" s="594">
        <f>(LongTerm1!BM88+LongTerm1!BL88/(1-LongTerm1!AR88))*(LongTerm1!F88*LongTerm1!AF88*LongTerm1!AH88)/10000</f>
        <v>-0.4763545481061835</v>
      </c>
      <c r="AO83" s="594">
        <f>LongTerm1!BM88*(LongTerm1!F88*LongTerm1!AF88*LongTerm1!AH88)/10000</f>
        <v>120.6087288778039</v>
      </c>
      <c r="AP83" s="594">
        <f>(LongTerm1!BL88/(1-LongTerm1!AR88))*(LongTerm1!F88*LongTerm1!AF88*LongTerm1!AH88)/10000</f>
        <v>-121.08508342591007</v>
      </c>
      <c r="AQ83" s="434"/>
      <c r="AV83" s="435"/>
      <c r="AW83" s="435"/>
      <c r="AX83" s="435"/>
      <c r="AY83" s="435"/>
      <c r="AZ83" s="435"/>
      <c r="BA83" s="435"/>
      <c r="BB83" s="435"/>
      <c r="BC83" s="435"/>
      <c r="BD83" s="435"/>
      <c r="BE83" s="435"/>
      <c r="BF83" s="435"/>
      <c r="BG83" s="593">
        <f>LongTerm25!D88</f>
        <v>39340</v>
      </c>
      <c r="BH83" s="594">
        <f>(LongTerm25!BM88+LongTerm25!BL88/(1-LongTerm25!AR88))*(LongTerm25!F88*LongTerm25!AF88*LongTerm25!AH88)/10000</f>
        <v>-0.74940086432064645</v>
      </c>
      <c r="BI83" s="594">
        <f>LongTerm25!BM88*(LongTerm25!F88*LongTerm25!AF88*LongTerm25!AH88)/10000</f>
        <v>20.28667640774955</v>
      </c>
      <c r="BJ83" s="594">
        <f>(LongTerm25!BL88/(1-LongTerm25!AR88))*(LongTerm25!F88*LongTerm25!AF88*LongTerm25!AH88)/10000</f>
        <v>-21.036077272070198</v>
      </c>
      <c r="BK83" s="435"/>
      <c r="BL83" s="435"/>
      <c r="BM83" s="435"/>
      <c r="BN83" s="435"/>
      <c r="BP83" s="596">
        <f>LongTerm62!D88</f>
        <v>39278</v>
      </c>
      <c r="BQ83" s="594">
        <f>(LongTerm62!$BM88+LongTerm62!$BL88/(1-LongTerm62!$AR88))*(LongTerm62!$F88*LongTerm62!$AF88*LongTerm62!$AH88)/10000</f>
        <v>0</v>
      </c>
      <c r="BR83" s="594">
        <f>LongTerm62!$BM88*(LongTerm62!$F88*LongTerm62!$AF88*LongTerm62!$AH88)/10000</f>
        <v>0</v>
      </c>
      <c r="BS83" s="594">
        <f>(LongTerm62!$BL88/(1-LongTerm62!$AR88))*(LongTerm62!$F88*LongTerm62!$AF88*LongTerm62!$AH88)/10000</f>
        <v>0</v>
      </c>
      <c r="BT83" s="447"/>
      <c r="BU83" s="596">
        <f>LongTerm107!D88</f>
        <v>37575</v>
      </c>
      <c r="BV83" s="594">
        <f>(LongTerm107!$BM88+LongTerm107!$BL88/(1-LongTerm107!$AR88))*(LongTerm107!$F88*LongTerm107!$AF88*LongTerm107!$AH88)/10000</f>
        <v>0</v>
      </c>
      <c r="BW83" s="594">
        <f>LongTerm107!$BM88*(LongTerm107!$F88*LongTerm107!$AF88*LongTerm107!$AH88)/10000</f>
        <v>0</v>
      </c>
      <c r="BX83" s="594">
        <f>(LongTerm107!$BL88/(1-LongTerm107!$AR88))*(LongTerm107!$F88*LongTerm107!$AF88*LongTerm107!$AH88)/10000</f>
        <v>0</v>
      </c>
      <c r="BY83" s="599"/>
      <c r="BZ83" s="596">
        <f>LongTerm108!D88</f>
        <v>37940</v>
      </c>
      <c r="CA83" s="594">
        <f>(LongTerm108!$BM88+LongTerm108!$BL88/(1-LongTerm108!$AR88))*(LongTerm108!$F88*LongTerm108!$AF88*LongTerm108!$AH88)/10000</f>
        <v>0</v>
      </c>
      <c r="CB83" s="594">
        <f>LongTerm108!$BM88*(LongTerm108!$F88*LongTerm108!$AF88*LongTerm108!$AH88)/10000</f>
        <v>0</v>
      </c>
      <c r="CC83" s="594">
        <f>(LongTerm108!$BL88/(1-LongTerm108!$AR88))*(LongTerm108!$F88*LongTerm108!$AF88*LongTerm108!$AH88)/10000</f>
        <v>0</v>
      </c>
      <c r="CD83" s="492"/>
      <c r="CE83" s="595">
        <f t="shared" ref="CE83:CE113" si="76">EOMONTH(CE82,0)+15</f>
        <v>39036</v>
      </c>
      <c r="CF83" s="583">
        <v>22.4</v>
      </c>
      <c r="CG83" s="583">
        <v>95.4</v>
      </c>
      <c r="CH83" s="583">
        <v>-118.5</v>
      </c>
      <c r="CI83" s="583">
        <v>0</v>
      </c>
      <c r="CJ83" s="583">
        <v>0</v>
      </c>
      <c r="CK83" s="583">
        <v>1.7</v>
      </c>
      <c r="CL83" s="583">
        <v>-15.9</v>
      </c>
      <c r="CM83" s="583">
        <v>15.9</v>
      </c>
      <c r="CN83" s="583">
        <v>0</v>
      </c>
    </row>
    <row r="84" spans="2:92" x14ac:dyDescent="0.25">
      <c r="B84" s="553">
        <f t="shared" si="55"/>
        <v>39309</v>
      </c>
      <c r="C84" s="435">
        <f t="shared" si="56"/>
        <v>2007</v>
      </c>
      <c r="D84" s="445">
        <f t="shared" si="57"/>
        <v>0.88832457985117008</v>
      </c>
      <c r="E84" s="445">
        <f t="shared" si="58"/>
        <v>-3.3716750251357865</v>
      </c>
      <c r="F84" s="445">
        <f t="shared" si="59"/>
        <v>5.6445577888435849E-2</v>
      </c>
      <c r="G84" s="445">
        <f t="shared" si="60"/>
        <v>3.303554027098528</v>
      </c>
      <c r="H84" s="445">
        <f t="shared" si="61"/>
        <v>0</v>
      </c>
      <c r="I84" s="445">
        <f t="shared" si="62"/>
        <v>0</v>
      </c>
      <c r="J84" s="447"/>
      <c r="K84" s="447"/>
      <c r="L84" s="447"/>
      <c r="M84" s="445">
        <f t="shared" si="63"/>
        <v>0</v>
      </c>
      <c r="N84" s="565">
        <f t="shared" si="64"/>
        <v>0</v>
      </c>
      <c r="O84" s="565">
        <f t="shared" si="65"/>
        <v>0</v>
      </c>
      <c r="Q84" s="553">
        <f t="shared" si="66"/>
        <v>39309</v>
      </c>
      <c r="R84" s="445">
        <f t="shared" si="67"/>
        <v>-1.0116754201488298</v>
      </c>
      <c r="S84" s="565">
        <f t="shared" si="68"/>
        <v>-117.07167502513579</v>
      </c>
      <c r="T84" s="565">
        <f t="shared" si="45"/>
        <v>-21.843554422111563</v>
      </c>
      <c r="U84" s="565">
        <f t="shared" si="46"/>
        <v>137.90355402709852</v>
      </c>
      <c r="V84" s="565">
        <f t="shared" si="47"/>
        <v>0</v>
      </c>
      <c r="W84" s="565">
        <f t="shared" si="48"/>
        <v>0</v>
      </c>
      <c r="X84" s="565">
        <f t="shared" si="69"/>
        <v>0</v>
      </c>
      <c r="Y84" s="445">
        <f t="shared" si="70"/>
        <v>0</v>
      </c>
      <c r="Z84" s="565">
        <f t="shared" si="71"/>
        <v>0</v>
      </c>
      <c r="AB84" s="553">
        <f t="shared" si="72"/>
        <v>39309</v>
      </c>
      <c r="AC84" s="571">
        <f t="shared" si="49"/>
        <v>1.9</v>
      </c>
      <c r="AD84" s="565">
        <f t="shared" si="50"/>
        <v>113.7</v>
      </c>
      <c r="AE84" s="565">
        <f t="shared" si="51"/>
        <v>21.9</v>
      </c>
      <c r="AF84" s="565">
        <f t="shared" si="52"/>
        <v>-134.6</v>
      </c>
      <c r="AG84" s="565">
        <f t="shared" si="53"/>
        <v>0</v>
      </c>
      <c r="AH84" s="565">
        <f t="shared" si="54"/>
        <v>0</v>
      </c>
      <c r="AI84" s="565">
        <f t="shared" si="73"/>
        <v>0</v>
      </c>
      <c r="AJ84" s="445">
        <f t="shared" si="74"/>
        <v>0</v>
      </c>
      <c r="AK84" s="565">
        <f t="shared" si="75"/>
        <v>0</v>
      </c>
      <c r="AM84" s="593">
        <f>LongTerm1!D89</f>
        <v>39309</v>
      </c>
      <c r="AN84" s="594">
        <f>(LongTerm1!BM89+LongTerm1!BL89/(1-LongTerm1!AR89))*(LongTerm1!F89*LongTerm1!AF89*LongTerm1!AH89)/10000</f>
        <v>-0.23471374192751604</v>
      </c>
      <c r="AO84" s="594">
        <f>LongTerm1!BM89*(LongTerm1!F89*LongTerm1!AF89*LongTerm1!AH89)/10000</f>
        <v>116.83696128320827</v>
      </c>
      <c r="AP84" s="594">
        <f>(LongTerm1!BL89/(1-LongTerm1!AR89))*(LongTerm1!F89*LongTerm1!AF89*LongTerm1!AH89)/10000</f>
        <v>-117.07167502513579</v>
      </c>
      <c r="AQ84" s="434"/>
      <c r="AV84" s="435"/>
      <c r="AW84" s="435"/>
      <c r="AX84" s="435"/>
      <c r="AY84" s="435"/>
      <c r="AZ84" s="435"/>
      <c r="BA84" s="435"/>
      <c r="BB84" s="435"/>
      <c r="BC84" s="435"/>
      <c r="BD84" s="435"/>
      <c r="BE84" s="435"/>
      <c r="BF84" s="435"/>
      <c r="BG84" s="593">
        <f>LongTerm25!D89</f>
        <v>39370</v>
      </c>
      <c r="BH84" s="594">
        <f>(LongTerm25!BM89+LongTerm25!BL89/(1-LongTerm25!AR89))*(LongTerm25!F89*LongTerm25!AF89*LongTerm25!AH89)/10000</f>
        <v>-0.77653017817767078</v>
      </c>
      <c r="BI84" s="594">
        <f>LongTerm25!BM89*(LongTerm25!F89*LongTerm25!AF89*LongTerm25!AH89)/10000</f>
        <v>20.901243862764563</v>
      </c>
      <c r="BJ84" s="594">
        <f>(LongTerm25!BL89/(1-LongTerm25!AR89))*(LongTerm25!F89*LongTerm25!AF89*LongTerm25!AH89)/10000</f>
        <v>-21.677774040942236</v>
      </c>
      <c r="BK84" s="435"/>
      <c r="BL84" s="435"/>
      <c r="BM84" s="435"/>
      <c r="BN84" s="435"/>
      <c r="BP84" s="596">
        <f>LongTerm62!D89</f>
        <v>39309</v>
      </c>
      <c r="BQ84" s="594">
        <f>(LongTerm62!$BM89+LongTerm62!$BL89/(1-LongTerm62!$AR89))*(LongTerm62!$F89*LongTerm62!$AF89*LongTerm62!$AH89)/10000</f>
        <v>0</v>
      </c>
      <c r="BR84" s="594">
        <f>LongTerm62!$BM89*(LongTerm62!$F89*LongTerm62!$AF89*LongTerm62!$AH89)/10000</f>
        <v>0</v>
      </c>
      <c r="BS84" s="594">
        <f>(LongTerm62!$BL89/(1-LongTerm62!$AR89))*(LongTerm62!$F89*LongTerm62!$AF89*LongTerm62!$AH89)/10000</f>
        <v>0</v>
      </c>
      <c r="BT84" s="447"/>
      <c r="BU84" s="596">
        <f>LongTerm107!D89</f>
        <v>37575</v>
      </c>
      <c r="BV84" s="594">
        <f>(LongTerm107!$BM89+LongTerm107!$BL89/(1-LongTerm107!$AR89))*(LongTerm107!$F89*LongTerm107!$AF89*LongTerm107!$AH89)/10000</f>
        <v>0</v>
      </c>
      <c r="BW84" s="594">
        <f>LongTerm107!$BM89*(LongTerm107!$F89*LongTerm107!$AF89*LongTerm107!$AH89)/10000</f>
        <v>0</v>
      </c>
      <c r="BX84" s="594">
        <f>(LongTerm107!$BL89/(1-LongTerm107!$AR89))*(LongTerm107!$F89*LongTerm107!$AF89*LongTerm107!$AH89)/10000</f>
        <v>0</v>
      </c>
      <c r="BY84" s="599"/>
      <c r="BZ84" s="596">
        <f>LongTerm108!D89</f>
        <v>37940</v>
      </c>
      <c r="CA84" s="594">
        <f>(LongTerm108!$BM89+LongTerm108!$BL89/(1-LongTerm108!$AR89))*(LongTerm108!$F89*LongTerm108!$AF89*LongTerm108!$AH89)/10000</f>
        <v>0</v>
      </c>
      <c r="CB84" s="594">
        <f>LongTerm108!$BM89*(LongTerm108!$F89*LongTerm108!$AF89*LongTerm108!$AH89)/10000</f>
        <v>0</v>
      </c>
      <c r="CC84" s="594">
        <f>(LongTerm108!$BL89/(1-LongTerm108!$AR89))*(LongTerm108!$F89*LongTerm108!$AF89*LongTerm108!$AH89)/10000</f>
        <v>0</v>
      </c>
      <c r="CD84" s="492"/>
      <c r="CE84" s="595">
        <f t="shared" si="76"/>
        <v>39066</v>
      </c>
      <c r="CF84" s="583">
        <v>22.2</v>
      </c>
      <c r="CG84" s="583">
        <v>87.8</v>
      </c>
      <c r="CH84" s="583">
        <v>-112.8</v>
      </c>
      <c r="CI84" s="583">
        <v>0</v>
      </c>
      <c r="CJ84" s="583">
        <v>0</v>
      </c>
      <c r="CK84" s="583">
        <v>1.6</v>
      </c>
      <c r="CL84" s="583">
        <v>-11.4</v>
      </c>
      <c r="CM84" s="583">
        <v>11.4</v>
      </c>
      <c r="CN84" s="583">
        <v>0</v>
      </c>
    </row>
    <row r="85" spans="2:92" x14ac:dyDescent="0.25">
      <c r="B85" s="553">
        <f t="shared" si="55"/>
        <v>39340</v>
      </c>
      <c r="C85" s="435">
        <f t="shared" si="56"/>
        <v>2007</v>
      </c>
      <c r="D85" s="445">
        <f t="shared" si="57"/>
        <v>0.87974845756319442</v>
      </c>
      <c r="E85" s="445">
        <f t="shared" si="58"/>
        <v>-3.9592242541285998</v>
      </c>
      <c r="F85" s="445">
        <f t="shared" si="59"/>
        <v>-0.33607727207019877</v>
      </c>
      <c r="G85" s="445">
        <f t="shared" si="60"/>
        <v>4.2750499837619884</v>
      </c>
      <c r="H85" s="445">
        <f t="shared" si="61"/>
        <v>0</v>
      </c>
      <c r="I85" s="445">
        <f t="shared" si="62"/>
        <v>0</v>
      </c>
      <c r="J85" s="447"/>
      <c r="K85" s="447"/>
      <c r="L85" s="447"/>
      <c r="M85" s="445">
        <f t="shared" si="63"/>
        <v>0</v>
      </c>
      <c r="N85" s="565">
        <f t="shared" si="64"/>
        <v>0</v>
      </c>
      <c r="O85" s="565">
        <f t="shared" si="65"/>
        <v>0</v>
      </c>
      <c r="Q85" s="553">
        <f t="shared" si="66"/>
        <v>39340</v>
      </c>
      <c r="R85" s="445">
        <f t="shared" si="67"/>
        <v>-1.0202515424368055</v>
      </c>
      <c r="S85" s="565">
        <f t="shared" si="68"/>
        <v>-113.2592242541286</v>
      </c>
      <c r="T85" s="565">
        <f t="shared" si="45"/>
        <v>-21.036077272070198</v>
      </c>
      <c r="U85" s="565">
        <f t="shared" si="46"/>
        <v>133.27504998376199</v>
      </c>
      <c r="V85" s="565">
        <f t="shared" si="47"/>
        <v>0</v>
      </c>
      <c r="W85" s="565">
        <f t="shared" si="48"/>
        <v>0</v>
      </c>
      <c r="X85" s="565">
        <f t="shared" si="69"/>
        <v>0</v>
      </c>
      <c r="Y85" s="445">
        <f t="shared" si="70"/>
        <v>0</v>
      </c>
      <c r="Z85" s="565">
        <f t="shared" si="71"/>
        <v>0</v>
      </c>
      <c r="AB85" s="553">
        <f t="shared" si="72"/>
        <v>39340</v>
      </c>
      <c r="AC85" s="571">
        <f t="shared" si="49"/>
        <v>1.9</v>
      </c>
      <c r="AD85" s="565">
        <f t="shared" si="50"/>
        <v>109.3</v>
      </c>
      <c r="AE85" s="565">
        <f t="shared" si="51"/>
        <v>20.7</v>
      </c>
      <c r="AF85" s="565">
        <f t="shared" si="52"/>
        <v>-129</v>
      </c>
      <c r="AG85" s="565">
        <f t="shared" si="53"/>
        <v>0</v>
      </c>
      <c r="AH85" s="565">
        <f t="shared" si="54"/>
        <v>0</v>
      </c>
      <c r="AI85" s="565">
        <f t="shared" si="73"/>
        <v>0</v>
      </c>
      <c r="AJ85" s="445">
        <f t="shared" si="74"/>
        <v>0</v>
      </c>
      <c r="AK85" s="565">
        <f t="shared" si="75"/>
        <v>0</v>
      </c>
      <c r="AM85" s="593">
        <f>LongTerm1!D90</f>
        <v>39340</v>
      </c>
      <c r="AN85" s="594">
        <f>(LongTerm1!BM90+LongTerm1!BL90/(1-LongTerm1!AR90))*(LongTerm1!F90*LongTerm1!AF90*LongTerm1!AH90)/10000</f>
        <v>-0.27085067811615904</v>
      </c>
      <c r="AO85" s="594">
        <f>LongTerm1!BM90*(LongTerm1!F90*LongTerm1!AF90*LongTerm1!AH90)/10000</f>
        <v>112.98837357601244</v>
      </c>
      <c r="AP85" s="594">
        <f>(LongTerm1!BL90/(1-LongTerm1!AR90))*(LongTerm1!F90*LongTerm1!AF90*LongTerm1!AH90)/10000</f>
        <v>-113.2592242541286</v>
      </c>
      <c r="AQ85" s="434"/>
      <c r="AV85" s="435"/>
      <c r="AW85" s="435"/>
      <c r="AX85" s="435"/>
      <c r="AY85" s="435"/>
      <c r="AZ85" s="435"/>
      <c r="BA85" s="435"/>
      <c r="BB85" s="435"/>
      <c r="BC85" s="435"/>
      <c r="BD85" s="435"/>
      <c r="BE85" s="435"/>
      <c r="BF85" s="435"/>
      <c r="BG85" s="593">
        <f>LongTerm25!D90</f>
        <v>39401</v>
      </c>
      <c r="BH85" s="594">
        <f>(LongTerm25!BM90+LongTerm25!BL90/(1-LongTerm25!AR90))*(LongTerm25!F90*LongTerm25!AF90*LongTerm25!AH90)/10000</f>
        <v>-0.74426421866750592</v>
      </c>
      <c r="BI85" s="594">
        <f>LongTerm25!BM90*(LongTerm25!F90*LongTerm25!AF90*LongTerm25!AH90)/10000</f>
        <v>20.092056228614151</v>
      </c>
      <c r="BJ85" s="594">
        <f>(LongTerm25!BL90/(1-LongTerm25!AR90))*(LongTerm25!F90*LongTerm25!AF90*LongTerm25!AH90)/10000</f>
        <v>-20.836320447281654</v>
      </c>
      <c r="BK85" s="435"/>
      <c r="BL85" s="435"/>
      <c r="BM85" s="435"/>
      <c r="BN85" s="435"/>
      <c r="BP85" s="596">
        <f>LongTerm62!D90</f>
        <v>39340</v>
      </c>
      <c r="BQ85" s="594">
        <f>(LongTerm62!$BM90+LongTerm62!$BL90/(1-LongTerm62!$AR90))*(LongTerm62!$F90*LongTerm62!$AF90*LongTerm62!$AH90)/10000</f>
        <v>0</v>
      </c>
      <c r="BR85" s="594">
        <f>LongTerm62!$BM90*(LongTerm62!$F90*LongTerm62!$AF90*LongTerm62!$AH90)/10000</f>
        <v>0</v>
      </c>
      <c r="BS85" s="594">
        <f>(LongTerm62!$BL90/(1-LongTerm62!$AR90))*(LongTerm62!$F90*LongTerm62!$AF90*LongTerm62!$AH90)/10000</f>
        <v>0</v>
      </c>
      <c r="BT85" s="447"/>
      <c r="BU85" s="596">
        <f>LongTerm107!D90</f>
        <v>37575</v>
      </c>
      <c r="BV85" s="594">
        <f>(LongTerm107!$BM90+LongTerm107!$BL90/(1-LongTerm107!$AR90))*(LongTerm107!$F90*LongTerm107!$AF90*LongTerm107!$AH90)/10000</f>
        <v>0</v>
      </c>
      <c r="BW85" s="594">
        <f>LongTerm107!$BM90*(LongTerm107!$F90*LongTerm107!$AF90*LongTerm107!$AH90)/10000</f>
        <v>0</v>
      </c>
      <c r="BX85" s="594">
        <f>(LongTerm107!$BL90/(1-LongTerm107!$AR90))*(LongTerm107!$F90*LongTerm107!$AF90*LongTerm107!$AH90)/10000</f>
        <v>0</v>
      </c>
      <c r="BY85" s="599"/>
      <c r="BZ85" s="596">
        <f>LongTerm108!D90</f>
        <v>37940</v>
      </c>
      <c r="CA85" s="594">
        <f>(LongTerm108!$BM90+LongTerm108!$BL90/(1-LongTerm108!$AR90))*(LongTerm108!$F90*LongTerm108!$AF90*LongTerm108!$AH90)/10000</f>
        <v>0</v>
      </c>
      <c r="CB85" s="594">
        <f>LongTerm108!$BM90*(LongTerm108!$F90*LongTerm108!$AF90*LongTerm108!$AH90)/10000</f>
        <v>0</v>
      </c>
      <c r="CC85" s="594">
        <f>(LongTerm108!$BL90/(1-LongTerm108!$AR90))*(LongTerm108!$F90*LongTerm108!$AF90*LongTerm108!$AH90)/10000</f>
        <v>0</v>
      </c>
      <c r="CD85" s="492"/>
      <c r="CE85" s="595">
        <f t="shared" si="76"/>
        <v>39097</v>
      </c>
      <c r="CF85" s="583">
        <v>22.7</v>
      </c>
      <c r="CG85" s="583">
        <v>82.6</v>
      </c>
      <c r="CH85" s="583">
        <v>-107.2</v>
      </c>
      <c r="CI85" s="583">
        <v>0</v>
      </c>
      <c r="CJ85" s="583">
        <v>0</v>
      </c>
      <c r="CK85" s="583">
        <v>1.9</v>
      </c>
      <c r="CL85" s="583">
        <v>-11.3</v>
      </c>
      <c r="CM85" s="583">
        <v>11.3</v>
      </c>
      <c r="CN85" s="583">
        <v>0</v>
      </c>
    </row>
    <row r="86" spans="2:92" x14ac:dyDescent="0.25">
      <c r="B86" s="553">
        <f t="shared" si="55"/>
        <v>39370</v>
      </c>
      <c r="C86" s="435">
        <f t="shared" si="56"/>
        <v>2007</v>
      </c>
      <c r="D86" s="445">
        <f t="shared" si="57"/>
        <v>1.1161455149864852</v>
      </c>
      <c r="E86" s="445">
        <f t="shared" si="58"/>
        <v>-3.2912128867017145</v>
      </c>
      <c r="F86" s="445">
        <f t="shared" si="59"/>
        <v>-0.27777404094223712</v>
      </c>
      <c r="G86" s="445">
        <f t="shared" si="60"/>
        <v>3.7851324426304416</v>
      </c>
      <c r="H86" s="445">
        <f t="shared" si="61"/>
        <v>0</v>
      </c>
      <c r="I86" s="445">
        <f t="shared" si="62"/>
        <v>0</v>
      </c>
      <c r="J86" s="447"/>
      <c r="K86" s="447"/>
      <c r="L86" s="447"/>
      <c r="M86" s="445">
        <f t="shared" si="63"/>
        <v>0</v>
      </c>
      <c r="N86" s="565">
        <f t="shared" si="64"/>
        <v>0</v>
      </c>
      <c r="O86" s="565">
        <f t="shared" si="65"/>
        <v>0</v>
      </c>
      <c r="Q86" s="553">
        <f t="shared" si="66"/>
        <v>39370</v>
      </c>
      <c r="R86" s="445">
        <f t="shared" si="67"/>
        <v>-0.78385448501351473</v>
      </c>
      <c r="S86" s="565">
        <f t="shared" si="68"/>
        <v>-112.89121288670171</v>
      </c>
      <c r="T86" s="565">
        <f t="shared" si="45"/>
        <v>-21.677774040942236</v>
      </c>
      <c r="U86" s="565">
        <f t="shared" si="46"/>
        <v>133.78513244263044</v>
      </c>
      <c r="V86" s="565">
        <f t="shared" si="47"/>
        <v>0</v>
      </c>
      <c r="W86" s="565">
        <f t="shared" si="48"/>
        <v>0</v>
      </c>
      <c r="X86" s="565">
        <f t="shared" si="69"/>
        <v>0</v>
      </c>
      <c r="Y86" s="445">
        <f t="shared" si="70"/>
        <v>0</v>
      </c>
      <c r="Z86" s="565">
        <f t="shared" si="71"/>
        <v>0</v>
      </c>
      <c r="AB86" s="553">
        <f t="shared" si="72"/>
        <v>39370</v>
      </c>
      <c r="AC86" s="571">
        <f t="shared" si="49"/>
        <v>1.9</v>
      </c>
      <c r="AD86" s="565">
        <f t="shared" si="50"/>
        <v>109.6</v>
      </c>
      <c r="AE86" s="565">
        <f t="shared" si="51"/>
        <v>21.4</v>
      </c>
      <c r="AF86" s="565">
        <f t="shared" si="52"/>
        <v>-130</v>
      </c>
      <c r="AG86" s="565">
        <f t="shared" si="53"/>
        <v>0</v>
      </c>
      <c r="AH86" s="565">
        <f t="shared" si="54"/>
        <v>0</v>
      </c>
      <c r="AI86" s="565">
        <f t="shared" si="73"/>
        <v>0</v>
      </c>
      <c r="AJ86" s="445">
        <f t="shared" si="74"/>
        <v>0</v>
      </c>
      <c r="AK86" s="565">
        <f t="shared" si="75"/>
        <v>0</v>
      </c>
      <c r="AM86" s="593">
        <f>LongTerm1!D91</f>
        <v>39370</v>
      </c>
      <c r="AN86" s="594">
        <f>(LongTerm1!BM91+LongTerm1!BL91/(1-LongTerm1!AR91))*(LongTerm1!F91*LongTerm1!AF91*LongTerm1!AH91)/10000</f>
        <v>-7.3243068358439531E-3</v>
      </c>
      <c r="AO86" s="594">
        <f>LongTerm1!BM91*(LongTerm1!F91*LongTerm1!AF91*LongTerm1!AH91)/10000</f>
        <v>112.88388857986587</v>
      </c>
      <c r="AP86" s="594">
        <f>(LongTerm1!BL91/(1-LongTerm1!AR91))*(LongTerm1!F91*LongTerm1!AF91*LongTerm1!AH91)/10000</f>
        <v>-112.89121288670171</v>
      </c>
      <c r="AQ86" s="434"/>
      <c r="AV86" s="435"/>
      <c r="AW86" s="435"/>
      <c r="AX86" s="435"/>
      <c r="AY86" s="435"/>
      <c r="AZ86" s="435"/>
      <c r="BA86" s="435"/>
      <c r="BB86" s="435"/>
      <c r="BC86" s="435"/>
      <c r="BD86" s="435"/>
      <c r="BE86" s="435"/>
      <c r="BF86" s="435"/>
      <c r="BG86" s="593">
        <f>LongTerm25!D91</f>
        <v>39431</v>
      </c>
      <c r="BH86" s="594">
        <f>(LongTerm25!BM91+LongTerm25!BL91/(1-LongTerm25!AR91))*(LongTerm25!F91*LongTerm25!AF91*LongTerm25!AH91)/10000</f>
        <v>-0.75886356796884302</v>
      </c>
      <c r="BI86" s="594">
        <f>LongTerm25!BM91*(LongTerm25!F91*LongTerm25!AF91*LongTerm25!AH91)/10000</f>
        <v>20.596554564733843</v>
      </c>
      <c r="BJ86" s="594">
        <f>(LongTerm25!BL91/(1-LongTerm25!AR91))*(LongTerm25!F91*LongTerm25!AF91*LongTerm25!AH91)/10000</f>
        <v>-21.355418132702685</v>
      </c>
      <c r="BK86" s="435"/>
      <c r="BL86" s="435"/>
      <c r="BM86" s="435"/>
      <c r="BN86" s="435"/>
      <c r="BP86" s="596">
        <f>LongTerm62!D91</f>
        <v>39370</v>
      </c>
      <c r="BQ86" s="594">
        <f>(LongTerm62!$BM91+LongTerm62!$BL91/(1-LongTerm62!$AR91))*(LongTerm62!$F91*LongTerm62!$AF91*LongTerm62!$AH91)/10000</f>
        <v>0</v>
      </c>
      <c r="BR86" s="594">
        <f>LongTerm62!$BM91*(LongTerm62!$F91*LongTerm62!$AF91*LongTerm62!$AH91)/10000</f>
        <v>0</v>
      </c>
      <c r="BS86" s="594">
        <f>(LongTerm62!$BL91/(1-LongTerm62!$AR91))*(LongTerm62!$F91*LongTerm62!$AF91*LongTerm62!$AH91)/10000</f>
        <v>0</v>
      </c>
      <c r="BT86" s="447"/>
      <c r="BU86" s="596">
        <f>LongTerm107!D91</f>
        <v>37575</v>
      </c>
      <c r="BV86" s="594">
        <f>(LongTerm107!$BM91+LongTerm107!$BL91/(1-LongTerm107!$AR91))*(LongTerm107!$F91*LongTerm107!$AF91*LongTerm107!$AH91)/10000</f>
        <v>0</v>
      </c>
      <c r="BW86" s="594">
        <f>LongTerm107!$BM91*(LongTerm107!$F91*LongTerm107!$AF91*LongTerm107!$AH91)/10000</f>
        <v>0</v>
      </c>
      <c r="BX86" s="594">
        <f>(LongTerm107!$BL91/(1-LongTerm107!$AR91))*(LongTerm107!$F91*LongTerm107!$AF91*LongTerm107!$AH91)/10000</f>
        <v>0</v>
      </c>
      <c r="BY86" s="599"/>
      <c r="BZ86" s="596">
        <f>LongTerm108!D91</f>
        <v>37940</v>
      </c>
      <c r="CA86" s="594">
        <f>(LongTerm108!$BM91+LongTerm108!$BL91/(1-LongTerm108!$AR91))*(LongTerm108!$F91*LongTerm108!$AF91*LongTerm108!$AH91)/10000</f>
        <v>0</v>
      </c>
      <c r="CB86" s="594">
        <f>LongTerm108!$BM91*(LongTerm108!$F91*LongTerm108!$AF91*LongTerm108!$AH91)/10000</f>
        <v>0</v>
      </c>
      <c r="CC86" s="594">
        <f>(LongTerm108!$BL91/(1-LongTerm108!$AR91))*(LongTerm108!$F91*LongTerm108!$AF91*LongTerm108!$AH91)/10000</f>
        <v>0</v>
      </c>
      <c r="CD86" s="492"/>
      <c r="CE86" s="595">
        <f t="shared" si="76"/>
        <v>39128</v>
      </c>
      <c r="CF86" s="583">
        <v>20</v>
      </c>
      <c r="CG86" s="583">
        <v>75.099999999999994</v>
      </c>
      <c r="CH86" s="583">
        <v>-96.6</v>
      </c>
      <c r="CI86" s="583">
        <v>0</v>
      </c>
      <c r="CJ86" s="583">
        <v>0</v>
      </c>
      <c r="CK86" s="583">
        <v>2</v>
      </c>
      <c r="CL86" s="583">
        <v>-10.3</v>
      </c>
      <c r="CM86" s="583">
        <v>10.3</v>
      </c>
      <c r="CN86" s="583">
        <v>0</v>
      </c>
    </row>
    <row r="87" spans="2:92" x14ac:dyDescent="0.25">
      <c r="B87" s="553">
        <f t="shared" si="55"/>
        <v>39401</v>
      </c>
      <c r="C87" s="435">
        <f t="shared" si="56"/>
        <v>2007</v>
      </c>
      <c r="D87" s="445">
        <f t="shared" si="57"/>
        <v>2.7726940385808483</v>
      </c>
      <c r="E87" s="445">
        <f t="shared" si="58"/>
        <v>0.34854804872900047</v>
      </c>
      <c r="F87" s="445">
        <f t="shared" si="59"/>
        <v>-0.5363204472816534</v>
      </c>
      <c r="G87" s="445">
        <f t="shared" si="60"/>
        <v>-0.49409280706392167</v>
      </c>
      <c r="H87" s="445">
        <f t="shared" si="61"/>
        <v>0</v>
      </c>
      <c r="I87" s="445">
        <f t="shared" si="62"/>
        <v>0</v>
      </c>
      <c r="J87" s="447"/>
      <c r="K87" s="447"/>
      <c r="L87" s="447"/>
      <c r="M87" s="445">
        <f t="shared" si="63"/>
        <v>-4.963366096758099</v>
      </c>
      <c r="N87" s="565">
        <f t="shared" si="64"/>
        <v>5.1179253409555177</v>
      </c>
      <c r="O87" s="565">
        <f t="shared" si="65"/>
        <v>0</v>
      </c>
      <c r="Q87" s="553">
        <f t="shared" si="66"/>
        <v>39401</v>
      </c>
      <c r="R87" s="445">
        <f t="shared" si="67"/>
        <v>0.87269403858084815</v>
      </c>
      <c r="S87" s="565">
        <f t="shared" si="68"/>
        <v>-87.451451951270997</v>
      </c>
      <c r="T87" s="565">
        <f t="shared" si="45"/>
        <v>-20.836320447281654</v>
      </c>
      <c r="U87" s="565">
        <f t="shared" si="46"/>
        <v>109.00590719293608</v>
      </c>
      <c r="V87" s="565">
        <f t="shared" si="47"/>
        <v>0</v>
      </c>
      <c r="W87" s="565">
        <f t="shared" si="48"/>
        <v>0</v>
      </c>
      <c r="X87" s="565">
        <f t="shared" si="69"/>
        <v>10.036633903241901</v>
      </c>
      <c r="Y87" s="445">
        <f t="shared" si="70"/>
        <v>-9.8820746590444823</v>
      </c>
      <c r="Z87" s="565">
        <f t="shared" si="71"/>
        <v>0</v>
      </c>
      <c r="AB87" s="553">
        <f t="shared" si="72"/>
        <v>39401</v>
      </c>
      <c r="AC87" s="571">
        <f t="shared" si="49"/>
        <v>1.9</v>
      </c>
      <c r="AD87" s="565">
        <f t="shared" si="50"/>
        <v>87.8</v>
      </c>
      <c r="AE87" s="565">
        <f t="shared" si="51"/>
        <v>20.3</v>
      </c>
      <c r="AF87" s="565">
        <f t="shared" si="52"/>
        <v>-109.5</v>
      </c>
      <c r="AG87" s="565">
        <f t="shared" si="53"/>
        <v>0</v>
      </c>
      <c r="AH87" s="565">
        <f t="shared" si="54"/>
        <v>0</v>
      </c>
      <c r="AI87" s="565">
        <f t="shared" si="73"/>
        <v>-15</v>
      </c>
      <c r="AJ87" s="445">
        <f t="shared" si="74"/>
        <v>15</v>
      </c>
      <c r="AK87" s="565">
        <f t="shared" si="75"/>
        <v>0</v>
      </c>
      <c r="AM87" s="593">
        <f>LongTerm1!D92</f>
        <v>39401</v>
      </c>
      <c r="AN87" s="594">
        <f>(LongTerm1!BM92+LongTerm1!BL92/(1-LongTerm1!AR92))*(LongTerm1!F92*LongTerm1!AF92*LongTerm1!AH92)/10000</f>
        <v>1.4623990130509357</v>
      </c>
      <c r="AO87" s="594">
        <f>LongTerm1!BM92*(LongTerm1!F92*LongTerm1!AF92*LongTerm1!AH92)/10000</f>
        <v>88.913850964321924</v>
      </c>
      <c r="AP87" s="594">
        <f>(LongTerm1!BL92/(1-LongTerm1!AR92))*(LongTerm1!F92*LongTerm1!AF92*LongTerm1!AH92)/10000</f>
        <v>-87.451451951270997</v>
      </c>
      <c r="AQ87" s="434"/>
      <c r="AV87" s="435"/>
      <c r="AW87" s="435"/>
      <c r="AX87" s="435"/>
      <c r="AY87" s="435"/>
      <c r="AZ87" s="435"/>
      <c r="BA87" s="435"/>
      <c r="BB87" s="435"/>
      <c r="BC87" s="435"/>
      <c r="BD87" s="435"/>
      <c r="BE87" s="435"/>
      <c r="BF87" s="435"/>
      <c r="BG87" s="593">
        <f>LongTerm25!D92</f>
        <v>39462</v>
      </c>
      <c r="BH87" s="594">
        <f>(LongTerm25!BM92+LongTerm25!BL92/(1-LongTerm25!AR92))*(LongTerm25!F92*LongTerm25!AF92*LongTerm25!AH92)/10000</f>
        <v>-0.75206709719067577</v>
      </c>
      <c r="BI87" s="594">
        <f>LongTerm25!BM92*(LongTerm25!F92*LongTerm25!AF92*LongTerm25!AH92)/10000</f>
        <v>20.456992900046821</v>
      </c>
      <c r="BJ87" s="594">
        <f>(LongTerm25!BL92/(1-LongTerm25!AR92))*(LongTerm25!F92*LongTerm25!AF92*LongTerm25!AH92)/10000</f>
        <v>-21.209059997237492</v>
      </c>
      <c r="BK87" s="435"/>
      <c r="BL87" s="435"/>
      <c r="BM87" s="435"/>
      <c r="BN87" s="435"/>
      <c r="BP87" s="596">
        <f>LongTerm62!D92</f>
        <v>39401</v>
      </c>
      <c r="BQ87" s="594">
        <f>(LongTerm62!$BM92+LongTerm62!$BL92/(1-LongTerm62!$AR92))*(LongTerm62!$F92*LongTerm62!$AF92*LongTerm62!$AH92)/10000</f>
        <v>0.15455924419741837</v>
      </c>
      <c r="BR87" s="594">
        <f>LongTerm62!$BM92*(LongTerm62!$F92*LongTerm62!$AF92*LongTerm62!$AH92)/10000</f>
        <v>10.036633903241901</v>
      </c>
      <c r="BS87" s="594">
        <f>(LongTerm62!$BL92/(1-LongTerm62!$AR92))*(LongTerm62!$F92*LongTerm62!$AF92*LongTerm62!$AH92)/10000</f>
        <v>-9.8820746590444823</v>
      </c>
      <c r="BT87" s="447"/>
      <c r="BU87" s="596">
        <f>LongTerm107!D92</f>
        <v>37575</v>
      </c>
      <c r="BV87" s="594">
        <f>(LongTerm107!$BM92+LongTerm107!$BL92/(1-LongTerm107!$AR92))*(LongTerm107!$F92*LongTerm107!$AF92*LongTerm107!$AH92)/10000</f>
        <v>0</v>
      </c>
      <c r="BW87" s="594">
        <f>LongTerm107!$BM92*(LongTerm107!$F92*LongTerm107!$AF92*LongTerm107!$AH92)/10000</f>
        <v>0</v>
      </c>
      <c r="BX87" s="594">
        <f>(LongTerm107!$BL92/(1-LongTerm107!$AR92))*(LongTerm107!$F92*LongTerm107!$AF92*LongTerm107!$AH92)/10000</f>
        <v>0</v>
      </c>
      <c r="BY87" s="599"/>
      <c r="BZ87" s="596">
        <f>LongTerm108!D92</f>
        <v>37940</v>
      </c>
      <c r="CA87" s="594">
        <f>(LongTerm108!$BM92+LongTerm108!$BL92/(1-LongTerm108!$AR92))*(LongTerm108!$F92*LongTerm108!$AF92*LongTerm108!$AH92)/10000</f>
        <v>0</v>
      </c>
      <c r="CB87" s="594">
        <f>LongTerm108!$BM92*(LongTerm108!$F92*LongTerm108!$AF92*LongTerm108!$AH92)/10000</f>
        <v>0</v>
      </c>
      <c r="CC87" s="594">
        <f>(LongTerm108!$BL92/(1-LongTerm108!$AR92))*(LongTerm108!$F92*LongTerm108!$AF92*LongTerm108!$AH92)/10000</f>
        <v>0</v>
      </c>
      <c r="CD87" s="492"/>
      <c r="CE87" s="595">
        <f t="shared" si="76"/>
        <v>39156</v>
      </c>
      <c r="CF87" s="583">
        <v>22.3</v>
      </c>
      <c r="CG87" s="583">
        <v>91.3</v>
      </c>
      <c r="CH87" s="583">
        <v>-114.9</v>
      </c>
      <c r="CI87" s="583">
        <v>0</v>
      </c>
      <c r="CJ87" s="583">
        <v>0</v>
      </c>
      <c r="CK87" s="583">
        <v>1.9</v>
      </c>
      <c r="CL87" s="583">
        <v>-11.2</v>
      </c>
      <c r="CM87" s="583">
        <v>11.2</v>
      </c>
      <c r="CN87" s="583">
        <v>0</v>
      </c>
    </row>
    <row r="88" spans="2:92" x14ac:dyDescent="0.25">
      <c r="B88" s="553">
        <f t="shared" si="55"/>
        <v>39431</v>
      </c>
      <c r="C88" s="435">
        <f t="shared" si="56"/>
        <v>2007</v>
      </c>
      <c r="D88" s="445">
        <f t="shared" si="57"/>
        <v>3.7084317588030737</v>
      </c>
      <c r="E88" s="445">
        <f t="shared" si="58"/>
        <v>-1.4710384220049377</v>
      </c>
      <c r="F88" s="445">
        <f t="shared" si="59"/>
        <v>-0.85541813270268463</v>
      </c>
      <c r="G88" s="445">
        <f t="shared" si="60"/>
        <v>2.2733021800717381</v>
      </c>
      <c r="H88" s="445">
        <f t="shared" si="61"/>
        <v>0</v>
      </c>
      <c r="I88" s="445">
        <f t="shared" si="62"/>
        <v>0</v>
      </c>
      <c r="J88" s="447"/>
      <c r="K88" s="447"/>
      <c r="L88" s="447"/>
      <c r="M88" s="445">
        <f t="shared" si="63"/>
        <v>-0.33482163907960327</v>
      </c>
      <c r="N88" s="565">
        <f t="shared" si="64"/>
        <v>0.59640777251856214</v>
      </c>
      <c r="O88" s="565">
        <f t="shared" si="65"/>
        <v>0</v>
      </c>
      <c r="Q88" s="553">
        <f t="shared" si="66"/>
        <v>39431</v>
      </c>
      <c r="R88" s="445">
        <f t="shared" si="67"/>
        <v>1.9084317588030737</v>
      </c>
      <c r="S88" s="565">
        <f t="shared" si="68"/>
        <v>-82.871038422004943</v>
      </c>
      <c r="T88" s="565">
        <f t="shared" si="45"/>
        <v>-21.355418132702685</v>
      </c>
      <c r="U88" s="565">
        <f t="shared" si="46"/>
        <v>105.87330218007173</v>
      </c>
      <c r="V88" s="565">
        <f t="shared" si="47"/>
        <v>0</v>
      </c>
      <c r="W88" s="565">
        <f t="shared" si="48"/>
        <v>0</v>
      </c>
      <c r="X88" s="565">
        <f t="shared" si="69"/>
        <v>10.365178360920396</v>
      </c>
      <c r="Y88" s="445">
        <f t="shared" si="70"/>
        <v>-10.103592227481437</v>
      </c>
      <c r="Z88" s="565">
        <f t="shared" si="71"/>
        <v>0</v>
      </c>
      <c r="AB88" s="553">
        <f t="shared" si="72"/>
        <v>39431</v>
      </c>
      <c r="AC88" s="571">
        <f t="shared" si="49"/>
        <v>1.8</v>
      </c>
      <c r="AD88" s="565">
        <f t="shared" si="50"/>
        <v>81.400000000000006</v>
      </c>
      <c r="AE88" s="565">
        <f t="shared" si="51"/>
        <v>20.5</v>
      </c>
      <c r="AF88" s="565">
        <f t="shared" si="52"/>
        <v>-103.6</v>
      </c>
      <c r="AG88" s="565">
        <f t="shared" si="53"/>
        <v>0</v>
      </c>
      <c r="AH88" s="565">
        <f t="shared" si="54"/>
        <v>0</v>
      </c>
      <c r="AI88" s="565">
        <f t="shared" si="73"/>
        <v>-10.7</v>
      </c>
      <c r="AJ88" s="445">
        <f t="shared" si="74"/>
        <v>10.7</v>
      </c>
      <c r="AK88" s="565">
        <f t="shared" si="75"/>
        <v>0</v>
      </c>
      <c r="AM88" s="593">
        <f>LongTerm1!D93</f>
        <v>39431</v>
      </c>
      <c r="AN88" s="594">
        <f>(LongTerm1!BM93+LongTerm1!BL93/(1-LongTerm1!AR93))*(LongTerm1!F93*LongTerm1!AF93*LongTerm1!AH93)/10000</f>
        <v>2.4057091933329589</v>
      </c>
      <c r="AO88" s="594">
        <f>LongTerm1!BM93*(LongTerm1!F93*LongTerm1!AF93*LongTerm1!AH93)/10000</f>
        <v>85.276747615337896</v>
      </c>
      <c r="AP88" s="594">
        <f>(LongTerm1!BL93/(1-LongTerm1!AR93))*(LongTerm1!F93*LongTerm1!AF93*LongTerm1!AH93)/10000</f>
        <v>-82.871038422004943</v>
      </c>
      <c r="AQ88" s="434"/>
      <c r="AV88" s="435"/>
      <c r="AW88" s="435"/>
      <c r="AX88" s="435"/>
      <c r="AY88" s="435"/>
      <c r="AZ88" s="435"/>
      <c r="BA88" s="435"/>
      <c r="BB88" s="435"/>
      <c r="BC88" s="435"/>
      <c r="BD88" s="435"/>
      <c r="BE88" s="435"/>
      <c r="BF88" s="435"/>
      <c r="BG88" s="593">
        <f>LongTerm25!D93</f>
        <v>39493</v>
      </c>
      <c r="BH88" s="594">
        <f>(LongTerm25!BM93+LongTerm25!BL93/(1-LongTerm25!AR93))*(LongTerm25!F93*LongTerm25!AF93*LongTerm25!AH93)/10000</f>
        <v>-0.70332514289062009</v>
      </c>
      <c r="BI88" s="594">
        <f>LongTerm25!BM93*(LongTerm25!F93*LongTerm25!AF93*LongTerm25!AH93)/10000</f>
        <v>19.059996341580732</v>
      </c>
      <c r="BJ88" s="594">
        <f>(LongTerm25!BL93/(1-LongTerm25!AR93))*(LongTerm25!F93*LongTerm25!AF93*LongTerm25!AH93)/10000</f>
        <v>-19.763321484471351</v>
      </c>
      <c r="BK88" s="435"/>
      <c r="BL88" s="435"/>
      <c r="BM88" s="435"/>
      <c r="BN88" s="435"/>
      <c r="BP88" s="596">
        <f>LongTerm62!D93</f>
        <v>39431</v>
      </c>
      <c r="BQ88" s="594">
        <f>(LongTerm62!$BM93+LongTerm62!$BL93/(1-LongTerm62!$AR93))*(LongTerm62!$F93*LongTerm62!$AF93*LongTerm62!$AH93)/10000</f>
        <v>0.26158613343895781</v>
      </c>
      <c r="BR88" s="594">
        <f>LongTerm62!$BM93*(LongTerm62!$F93*LongTerm62!$AF93*LongTerm62!$AH93)/10000</f>
        <v>10.365178360920396</v>
      </c>
      <c r="BS88" s="594">
        <f>(LongTerm62!$BL93/(1-LongTerm62!$AR93))*(LongTerm62!$F93*LongTerm62!$AF93*LongTerm62!$AH93)/10000</f>
        <v>-10.103592227481437</v>
      </c>
      <c r="BT88" s="447"/>
      <c r="BU88" s="596">
        <f>LongTerm107!D93</f>
        <v>37575</v>
      </c>
      <c r="BV88" s="594">
        <f>(LongTerm107!$BM93+LongTerm107!$BL93/(1-LongTerm107!$AR93))*(LongTerm107!$F93*LongTerm107!$AF93*LongTerm107!$AH93)/10000</f>
        <v>0</v>
      </c>
      <c r="BW88" s="594">
        <f>LongTerm107!$BM93*(LongTerm107!$F93*LongTerm107!$AF93*LongTerm107!$AH93)/10000</f>
        <v>0</v>
      </c>
      <c r="BX88" s="594">
        <f>(LongTerm107!$BL93/(1-LongTerm107!$AR93))*(LongTerm107!$F93*LongTerm107!$AF93*LongTerm107!$AH93)/10000</f>
        <v>0</v>
      </c>
      <c r="BY88" s="599"/>
      <c r="BZ88" s="596">
        <f>LongTerm108!D93</f>
        <v>37940</v>
      </c>
      <c r="CA88" s="594">
        <f>(LongTerm108!$BM93+LongTerm108!$BL93/(1-LongTerm108!$AR93))*(LongTerm108!$F93*LongTerm108!$AF93*LongTerm108!$AH93)/10000</f>
        <v>0</v>
      </c>
      <c r="CB88" s="594">
        <f>LongTerm108!$BM93*(LongTerm108!$F93*LongTerm108!$AF93*LongTerm108!$AH93)/10000</f>
        <v>0</v>
      </c>
      <c r="CC88" s="594">
        <f>(LongTerm108!$BL93/(1-LongTerm108!$AR93))*(LongTerm108!$F93*LongTerm108!$AF93*LongTerm108!$AH93)/10000</f>
        <v>0</v>
      </c>
      <c r="CD88" s="492"/>
      <c r="CE88" s="595">
        <f t="shared" si="76"/>
        <v>39187</v>
      </c>
      <c r="CF88" s="583">
        <v>21.9</v>
      </c>
      <c r="CG88" s="583">
        <v>117.5</v>
      </c>
      <c r="CH88" s="583">
        <v>-137.5</v>
      </c>
      <c r="CI88" s="583">
        <v>0</v>
      </c>
      <c r="CJ88" s="583">
        <v>0</v>
      </c>
      <c r="CK88" s="583">
        <v>1.9</v>
      </c>
      <c r="CL88" s="583">
        <v>0</v>
      </c>
      <c r="CM88" s="583">
        <v>0</v>
      </c>
      <c r="CN88" s="583">
        <v>0</v>
      </c>
    </row>
    <row r="89" spans="2:92" x14ac:dyDescent="0.25">
      <c r="B89" s="553">
        <f t="shared" si="55"/>
        <v>39462</v>
      </c>
      <c r="C89" s="435">
        <f t="shared" si="56"/>
        <v>2008</v>
      </c>
      <c r="D89" s="445">
        <f t="shared" si="57"/>
        <v>4.1267180116336775</v>
      </c>
      <c r="E89" s="445">
        <f t="shared" si="58"/>
        <v>-2.4119051993030496</v>
      </c>
      <c r="F89" s="445">
        <f t="shared" si="59"/>
        <v>-0.40905999723749176</v>
      </c>
      <c r="G89" s="445">
        <f t="shared" si="60"/>
        <v>2.7875991911528075</v>
      </c>
      <c r="H89" s="445">
        <f t="shared" si="61"/>
        <v>0</v>
      </c>
      <c r="I89" s="445">
        <f t="shared" si="62"/>
        <v>0</v>
      </c>
      <c r="J89" s="447"/>
      <c r="K89" s="447"/>
      <c r="L89" s="447"/>
      <c r="M89" s="445">
        <f t="shared" si="63"/>
        <v>-0.39439063937244612</v>
      </c>
      <c r="N89" s="565">
        <f t="shared" si="64"/>
        <v>0.65447465639387303</v>
      </c>
      <c r="O89" s="565">
        <f t="shared" si="65"/>
        <v>0</v>
      </c>
      <c r="Q89" s="553">
        <f t="shared" si="66"/>
        <v>39462</v>
      </c>
      <c r="R89" s="445">
        <f t="shared" si="67"/>
        <v>2.0267180116336769</v>
      </c>
      <c r="S89" s="565">
        <f t="shared" si="68"/>
        <v>-78.111905199303052</v>
      </c>
      <c r="T89" s="565">
        <f t="shared" si="45"/>
        <v>-21.209059997237492</v>
      </c>
      <c r="U89" s="565">
        <f t="shared" si="46"/>
        <v>101.0875991911528</v>
      </c>
      <c r="V89" s="565">
        <f t="shared" si="47"/>
        <v>0</v>
      </c>
      <c r="W89" s="565">
        <f t="shared" si="48"/>
        <v>0</v>
      </c>
      <c r="X89" s="565">
        <f t="shared" si="69"/>
        <v>10.305609360627553</v>
      </c>
      <c r="Y89" s="445">
        <f t="shared" si="70"/>
        <v>-10.045525343606126</v>
      </c>
      <c r="Z89" s="565">
        <f t="shared" si="71"/>
        <v>0</v>
      </c>
      <c r="AB89" s="553">
        <f t="shared" si="72"/>
        <v>39462</v>
      </c>
      <c r="AC89" s="571">
        <f t="shared" si="49"/>
        <v>2.1</v>
      </c>
      <c r="AD89" s="565">
        <f t="shared" si="50"/>
        <v>75.7</v>
      </c>
      <c r="AE89" s="565">
        <f t="shared" si="51"/>
        <v>20.8</v>
      </c>
      <c r="AF89" s="565">
        <f t="shared" si="52"/>
        <v>-98.3</v>
      </c>
      <c r="AG89" s="565">
        <f t="shared" si="53"/>
        <v>0</v>
      </c>
      <c r="AH89" s="565">
        <f t="shared" si="54"/>
        <v>0</v>
      </c>
      <c r="AI89" s="565">
        <f t="shared" si="73"/>
        <v>-10.7</v>
      </c>
      <c r="AJ89" s="445">
        <f t="shared" si="74"/>
        <v>10.7</v>
      </c>
      <c r="AK89" s="565">
        <f t="shared" si="75"/>
        <v>0</v>
      </c>
      <c r="AM89" s="593">
        <f>LongTerm1!D94</f>
        <v>39462</v>
      </c>
      <c r="AN89" s="594">
        <f>(LongTerm1!BM94+LongTerm1!BL94/(1-LongTerm1!AR94))*(LongTerm1!F94*LongTerm1!AF94*LongTerm1!AH94)/10000</f>
        <v>2.5187010918029262</v>
      </c>
      <c r="AO89" s="594">
        <f>LongTerm1!BM94*(LongTerm1!F94*LongTerm1!AF94*LongTerm1!AH94)/10000</f>
        <v>80.630606291105977</v>
      </c>
      <c r="AP89" s="594">
        <f>(LongTerm1!BL94/(1-LongTerm1!AR94))*(LongTerm1!F94*LongTerm1!AF94*LongTerm1!AH94)/10000</f>
        <v>-78.111905199303052</v>
      </c>
      <c r="AQ89" s="434"/>
      <c r="AV89" s="435"/>
      <c r="AW89" s="435"/>
      <c r="AX89" s="435"/>
      <c r="AY89" s="435"/>
      <c r="AZ89" s="435"/>
      <c r="BA89" s="435"/>
      <c r="BB89" s="435"/>
      <c r="BC89" s="435"/>
      <c r="BD89" s="435"/>
      <c r="BE89" s="435"/>
      <c r="BF89" s="435"/>
      <c r="BG89" s="593">
        <f>LongTerm25!D94</f>
        <v>39522</v>
      </c>
      <c r="BH89" s="594">
        <f>(LongTerm25!BM94+LongTerm25!BL94/(1-LongTerm25!AR94))*(LongTerm25!F94*LongTerm25!AF94*LongTerm25!AH94)/10000</f>
        <v>-0.75262286813648094</v>
      </c>
      <c r="BI89" s="594">
        <f>LongTerm25!BM94*(LongTerm25!F94*LongTerm25!AF94*LongTerm25!AH94)/10000</f>
        <v>20.304619411442026</v>
      </c>
      <c r="BJ89" s="594">
        <f>(LongTerm25!BL94/(1-LongTerm25!AR94))*(LongTerm25!F94*LongTerm25!AF94*LongTerm25!AH94)/10000</f>
        <v>-21.057242279578507</v>
      </c>
      <c r="BK89" s="435"/>
      <c r="BL89" s="435"/>
      <c r="BM89" s="435"/>
      <c r="BN89" s="435"/>
      <c r="BP89" s="596">
        <f>LongTerm62!D94</f>
        <v>39462</v>
      </c>
      <c r="BQ89" s="594">
        <f>(LongTerm62!$BM94+LongTerm62!$BL94/(1-LongTerm62!$AR94))*(LongTerm62!$F94*LongTerm62!$AF94*LongTerm62!$AH94)/10000</f>
        <v>0.26008401702142625</v>
      </c>
      <c r="BR89" s="594">
        <f>LongTerm62!$BM94*(LongTerm62!$F94*LongTerm62!$AF94*LongTerm62!$AH94)/10000</f>
        <v>10.305609360627553</v>
      </c>
      <c r="BS89" s="594">
        <f>(LongTerm62!$BL94/(1-LongTerm62!$AR94))*(LongTerm62!$F94*LongTerm62!$AF94*LongTerm62!$AH94)/10000</f>
        <v>-10.045525343606126</v>
      </c>
      <c r="BT89" s="447"/>
      <c r="BU89" s="596">
        <f>LongTerm107!D94</f>
        <v>37575</v>
      </c>
      <c r="BV89" s="594">
        <f>(LongTerm107!$BM94+LongTerm107!$BL94/(1-LongTerm107!$AR94))*(LongTerm107!$F94*LongTerm107!$AF94*LongTerm107!$AH94)/10000</f>
        <v>0</v>
      </c>
      <c r="BW89" s="594">
        <f>LongTerm107!$BM94*(LongTerm107!$F94*LongTerm107!$AF94*LongTerm107!$AH94)/10000</f>
        <v>0</v>
      </c>
      <c r="BX89" s="594">
        <f>(LongTerm107!$BL94/(1-LongTerm107!$AR94))*(LongTerm107!$F94*LongTerm107!$AF94*LongTerm107!$AH94)/10000</f>
        <v>0</v>
      </c>
      <c r="BY89" s="599"/>
      <c r="BZ89" s="596">
        <f>LongTerm108!D94</f>
        <v>37940</v>
      </c>
      <c r="CA89" s="594">
        <f>(LongTerm108!$BM94+LongTerm108!$BL94/(1-LongTerm108!$AR94))*(LongTerm108!$F94*LongTerm108!$AF94*LongTerm108!$AH94)/10000</f>
        <v>0</v>
      </c>
      <c r="CB89" s="594">
        <f>LongTerm108!$BM94*(LongTerm108!$F94*LongTerm108!$AF94*LongTerm108!$AH94)/10000</f>
        <v>0</v>
      </c>
      <c r="CC89" s="594">
        <f>(LongTerm108!$BL94/(1-LongTerm108!$AR94))*(LongTerm108!$F94*LongTerm108!$AF94*LongTerm108!$AH94)/10000</f>
        <v>0</v>
      </c>
      <c r="CD89" s="492"/>
      <c r="CE89" s="595">
        <f t="shared" si="76"/>
        <v>39217</v>
      </c>
      <c r="CF89" s="583">
        <v>21.9</v>
      </c>
      <c r="CG89" s="583">
        <v>124</v>
      </c>
      <c r="CH89" s="583">
        <v>-144</v>
      </c>
      <c r="CI89" s="583">
        <v>0</v>
      </c>
      <c r="CJ89" s="583">
        <v>0</v>
      </c>
      <c r="CK89" s="583">
        <v>1.9</v>
      </c>
      <c r="CL89" s="583">
        <v>0</v>
      </c>
      <c r="CM89" s="583">
        <v>0</v>
      </c>
      <c r="CN89" s="583">
        <v>0</v>
      </c>
    </row>
    <row r="90" spans="2:92" x14ac:dyDescent="0.25">
      <c r="B90" s="553">
        <f t="shared" si="55"/>
        <v>39493</v>
      </c>
      <c r="C90" s="435">
        <f t="shared" si="56"/>
        <v>2008</v>
      </c>
      <c r="D90" s="445">
        <f t="shared" si="57"/>
        <v>3.9190930800014447</v>
      </c>
      <c r="E90" s="445">
        <f t="shared" si="58"/>
        <v>-3.7161024198627359</v>
      </c>
      <c r="F90" s="445">
        <f t="shared" si="59"/>
        <v>-0.16332148447134998</v>
      </c>
      <c r="G90" s="445">
        <f t="shared" si="60"/>
        <v>3.9644978497048129</v>
      </c>
      <c r="H90" s="445">
        <f t="shared" si="61"/>
        <v>0</v>
      </c>
      <c r="I90" s="445">
        <f t="shared" si="62"/>
        <v>0</v>
      </c>
      <c r="J90" s="447"/>
      <c r="K90" s="447"/>
      <c r="L90" s="447"/>
      <c r="M90" s="445">
        <f t="shared" si="63"/>
        <v>-0.41890495679133011</v>
      </c>
      <c r="N90" s="565">
        <f t="shared" si="64"/>
        <v>0.65292409142204377</v>
      </c>
      <c r="O90" s="565">
        <f t="shared" si="65"/>
        <v>0</v>
      </c>
      <c r="Q90" s="553">
        <f t="shared" si="66"/>
        <v>39493</v>
      </c>
      <c r="R90" s="445">
        <f t="shared" si="67"/>
        <v>1.7190930800014443</v>
      </c>
      <c r="S90" s="565">
        <f t="shared" si="68"/>
        <v>-74.516102419862733</v>
      </c>
      <c r="T90" s="565">
        <f t="shared" si="45"/>
        <v>-19.763321484471351</v>
      </c>
      <c r="U90" s="565">
        <f t="shared" si="46"/>
        <v>95.76449784970481</v>
      </c>
      <c r="V90" s="565">
        <f t="shared" si="47"/>
        <v>0</v>
      </c>
      <c r="W90" s="565">
        <f t="shared" si="48"/>
        <v>0</v>
      </c>
      <c r="X90" s="565">
        <f t="shared" si="69"/>
        <v>9.5810950432086699</v>
      </c>
      <c r="Y90" s="445">
        <f t="shared" si="70"/>
        <v>-9.3470759085779562</v>
      </c>
      <c r="Z90" s="565">
        <f t="shared" si="71"/>
        <v>0</v>
      </c>
      <c r="AB90" s="553">
        <f t="shared" si="72"/>
        <v>39493</v>
      </c>
      <c r="AC90" s="571">
        <f t="shared" si="49"/>
        <v>2.2000000000000002</v>
      </c>
      <c r="AD90" s="565">
        <f t="shared" si="50"/>
        <v>70.8</v>
      </c>
      <c r="AE90" s="565">
        <f t="shared" si="51"/>
        <v>19.600000000000001</v>
      </c>
      <c r="AF90" s="565">
        <f t="shared" si="52"/>
        <v>-91.8</v>
      </c>
      <c r="AG90" s="565">
        <f t="shared" si="53"/>
        <v>0</v>
      </c>
      <c r="AH90" s="565">
        <f t="shared" si="54"/>
        <v>0</v>
      </c>
      <c r="AI90" s="565">
        <f t="shared" si="73"/>
        <v>-10</v>
      </c>
      <c r="AJ90" s="445">
        <f t="shared" si="74"/>
        <v>10</v>
      </c>
      <c r="AK90" s="565">
        <f t="shared" si="75"/>
        <v>0</v>
      </c>
      <c r="AM90" s="593">
        <f>LongTerm1!D95</f>
        <v>39493</v>
      </c>
      <c r="AN90" s="594">
        <f>(LongTerm1!BM95+LongTerm1!BL95/(1-LongTerm1!AR95))*(LongTerm1!F95*LongTerm1!AF95*LongTerm1!AH95)/10000</f>
        <v>2.1883990882613507</v>
      </c>
      <c r="AO90" s="594">
        <f>LongTerm1!BM95*(LongTerm1!F95*LongTerm1!AF95*LongTerm1!AH95)/10000</f>
        <v>76.704501508124082</v>
      </c>
      <c r="AP90" s="594">
        <f>(LongTerm1!BL95/(1-LongTerm1!AR95))*(LongTerm1!F95*LongTerm1!AF95*LongTerm1!AH95)/10000</f>
        <v>-74.516102419862733</v>
      </c>
      <c r="AQ90" s="434"/>
      <c r="AV90" s="435"/>
      <c r="AW90" s="435"/>
      <c r="AX90" s="435"/>
      <c r="AY90" s="435"/>
      <c r="AZ90" s="435"/>
      <c r="BA90" s="435"/>
      <c r="BB90" s="435"/>
      <c r="BC90" s="435"/>
      <c r="BD90" s="435"/>
      <c r="BE90" s="435"/>
      <c r="BF90" s="435"/>
      <c r="BG90" s="593">
        <f>LongTerm25!D95</f>
        <v>39553</v>
      </c>
      <c r="BH90" s="594">
        <f>(LongTerm25!BM95+LongTerm25!BL95/(1-LongTerm25!AR95))*(LongTerm25!F95*LongTerm25!AF95*LongTerm25!AH95)/10000</f>
        <v>-0.72808913848810253</v>
      </c>
      <c r="BI90" s="594">
        <f>LongTerm25!BM95*(LongTerm25!F95*LongTerm25!AF95*LongTerm25!AH95)/10000</f>
        <v>19.5650638619346</v>
      </c>
      <c r="BJ90" s="594">
        <f>(LongTerm25!BL95/(1-LongTerm25!AR95))*(LongTerm25!F95*LongTerm25!AF95*LongTerm25!AH95)/10000</f>
        <v>-20.293153000422706</v>
      </c>
      <c r="BK90" s="435"/>
      <c r="BL90" s="435"/>
      <c r="BM90" s="435"/>
      <c r="BN90" s="435"/>
      <c r="BP90" s="596">
        <f>LongTerm62!D95</f>
        <v>39493</v>
      </c>
      <c r="BQ90" s="594">
        <f>(LongTerm62!$BM95+LongTerm62!$BL95/(1-LongTerm62!$AR95))*(LongTerm62!$F95*LongTerm62!$AF95*LongTerm62!$AH95)/10000</f>
        <v>0.23401913463071383</v>
      </c>
      <c r="BR90" s="594">
        <f>LongTerm62!$BM95*(LongTerm62!$F95*LongTerm62!$AF95*LongTerm62!$AH95)/10000</f>
        <v>9.5810950432086699</v>
      </c>
      <c r="BS90" s="594">
        <f>(LongTerm62!$BL95/(1-LongTerm62!$AR95))*(LongTerm62!$F95*LongTerm62!$AF95*LongTerm62!$AH95)/10000</f>
        <v>-9.3470759085779562</v>
      </c>
      <c r="BT90" s="447"/>
      <c r="BU90" s="596">
        <f>LongTerm107!D95</f>
        <v>37575</v>
      </c>
      <c r="BV90" s="594">
        <f>(LongTerm107!$BM95+LongTerm107!$BL95/(1-LongTerm107!$AR95))*(LongTerm107!$F95*LongTerm107!$AF95*LongTerm107!$AH95)/10000</f>
        <v>0</v>
      </c>
      <c r="BW90" s="594">
        <f>LongTerm107!$BM95*(LongTerm107!$F95*LongTerm107!$AF95*LongTerm107!$AH95)/10000</f>
        <v>0</v>
      </c>
      <c r="BX90" s="594">
        <f>(LongTerm107!$BL95/(1-LongTerm107!$AR95))*(LongTerm107!$F95*LongTerm107!$AF95*LongTerm107!$AH95)/10000</f>
        <v>0</v>
      </c>
      <c r="BY90" s="599"/>
      <c r="BZ90" s="596">
        <f>LongTerm108!D95</f>
        <v>37940</v>
      </c>
      <c r="CA90" s="594">
        <f>(LongTerm108!$BM95+LongTerm108!$BL95/(1-LongTerm108!$AR95))*(LongTerm108!$F95*LongTerm108!$AF95*LongTerm108!$AH95)/10000</f>
        <v>0</v>
      </c>
      <c r="CB90" s="594">
        <f>LongTerm108!$BM95*(LongTerm108!$F95*LongTerm108!$AF95*LongTerm108!$AH95)/10000</f>
        <v>0</v>
      </c>
      <c r="CC90" s="594">
        <f>(LongTerm108!$BL95/(1-LongTerm108!$AR95))*(LongTerm108!$F95*LongTerm108!$AF95*LongTerm108!$AH95)/10000</f>
        <v>0</v>
      </c>
      <c r="CD90" s="492"/>
      <c r="CE90" s="595">
        <f t="shared" si="76"/>
        <v>39248</v>
      </c>
      <c r="CF90" s="583">
        <v>21.4</v>
      </c>
      <c r="CG90" s="583">
        <v>117.9</v>
      </c>
      <c r="CH90" s="583">
        <v>-138.30000000000001</v>
      </c>
      <c r="CI90" s="583">
        <v>0</v>
      </c>
      <c r="CJ90" s="583">
        <v>0</v>
      </c>
      <c r="CK90" s="583">
        <v>1.9</v>
      </c>
      <c r="CL90" s="583">
        <v>0</v>
      </c>
      <c r="CM90" s="583">
        <v>0</v>
      </c>
      <c r="CN90" s="583">
        <v>0</v>
      </c>
    </row>
    <row r="91" spans="2:92" x14ac:dyDescent="0.25">
      <c r="B91" s="553">
        <f t="shared" si="55"/>
        <v>39522</v>
      </c>
      <c r="C91" s="435">
        <f t="shared" si="56"/>
        <v>2008</v>
      </c>
      <c r="D91" s="445">
        <f t="shared" si="57"/>
        <v>2.8463829876665727</v>
      </c>
      <c r="E91" s="445">
        <f t="shared" si="58"/>
        <v>-6.2664677674851106</v>
      </c>
      <c r="F91" s="445">
        <f t="shared" si="59"/>
        <v>-0.75724227957850587</v>
      </c>
      <c r="G91" s="445">
        <f t="shared" si="60"/>
        <v>6.328661987656929</v>
      </c>
      <c r="H91" s="445">
        <f t="shared" si="61"/>
        <v>0</v>
      </c>
      <c r="I91" s="445">
        <f t="shared" si="62"/>
        <v>0</v>
      </c>
      <c r="J91" s="447"/>
      <c r="K91" s="447"/>
      <c r="L91" s="447"/>
      <c r="M91" s="445">
        <f t="shared" si="63"/>
        <v>-0.46746545322523936</v>
      </c>
      <c r="N91" s="565">
        <f t="shared" si="64"/>
        <v>0.60889650029849918</v>
      </c>
      <c r="O91" s="565">
        <f t="shared" si="65"/>
        <v>0</v>
      </c>
      <c r="Q91" s="553">
        <f t="shared" si="66"/>
        <v>39522</v>
      </c>
      <c r="R91" s="445">
        <f t="shared" si="67"/>
        <v>0.74638298766657274</v>
      </c>
      <c r="S91" s="565">
        <f t="shared" si="68"/>
        <v>-89.366467767485105</v>
      </c>
      <c r="T91" s="565">
        <f t="shared" si="45"/>
        <v>-21.057242279578507</v>
      </c>
      <c r="U91" s="565">
        <f t="shared" si="46"/>
        <v>111.02866198765693</v>
      </c>
      <c r="V91" s="565">
        <f t="shared" si="47"/>
        <v>0</v>
      </c>
      <c r="W91" s="565">
        <f t="shared" si="48"/>
        <v>0</v>
      </c>
      <c r="X91" s="565">
        <f t="shared" si="69"/>
        <v>10.13253454677476</v>
      </c>
      <c r="Y91" s="445">
        <f t="shared" si="70"/>
        <v>-9.9911034997015005</v>
      </c>
      <c r="Z91" s="565">
        <f t="shared" si="71"/>
        <v>0</v>
      </c>
      <c r="AB91" s="553">
        <f t="shared" si="72"/>
        <v>39522</v>
      </c>
      <c r="AC91" s="571">
        <f t="shared" si="49"/>
        <v>2.1</v>
      </c>
      <c r="AD91" s="565">
        <f t="shared" si="50"/>
        <v>83.1</v>
      </c>
      <c r="AE91" s="565">
        <f t="shared" si="51"/>
        <v>20.3</v>
      </c>
      <c r="AF91" s="565">
        <f t="shared" si="52"/>
        <v>-104.7</v>
      </c>
      <c r="AG91" s="565">
        <f t="shared" si="53"/>
        <v>0</v>
      </c>
      <c r="AH91" s="565">
        <f t="shared" si="54"/>
        <v>0</v>
      </c>
      <c r="AI91" s="565">
        <f t="shared" si="73"/>
        <v>-10.6</v>
      </c>
      <c r="AJ91" s="445">
        <f t="shared" si="74"/>
        <v>10.6</v>
      </c>
      <c r="AK91" s="565">
        <f t="shared" si="75"/>
        <v>0</v>
      </c>
      <c r="AM91" s="593">
        <f>LongTerm1!D96</f>
        <v>39522</v>
      </c>
      <c r="AN91" s="594">
        <f>(LongTerm1!BM96+LongTerm1!BL96/(1-LongTerm1!AR96))*(LongTerm1!F96*LongTerm1!AF96*LongTerm1!AH96)/10000</f>
        <v>1.3575748087297952</v>
      </c>
      <c r="AO91" s="594">
        <f>LongTerm1!BM96*(LongTerm1!F96*LongTerm1!AF96*LongTerm1!AH96)/10000</f>
        <v>90.724042576214899</v>
      </c>
      <c r="AP91" s="594">
        <f>(LongTerm1!BL96/(1-LongTerm1!AR96))*(LongTerm1!F96*LongTerm1!AF96*LongTerm1!AH96)/10000</f>
        <v>-89.366467767485105</v>
      </c>
      <c r="AQ91" s="434"/>
      <c r="AV91" s="435"/>
      <c r="AW91" s="435"/>
      <c r="AX91" s="435"/>
      <c r="AY91" s="435"/>
      <c r="AZ91" s="435"/>
      <c r="BA91" s="435"/>
      <c r="BB91" s="435"/>
      <c r="BC91" s="435"/>
      <c r="BD91" s="435"/>
      <c r="BE91" s="435"/>
      <c r="BF91" s="435"/>
      <c r="BG91" s="593">
        <f>LongTerm25!D96</f>
        <v>39583</v>
      </c>
      <c r="BH91" s="594">
        <f>(LongTerm25!BM96+LongTerm25!BL96/(1-LongTerm25!AR96))*(LongTerm25!F96*LongTerm25!AF96*LongTerm25!AH96)/10000</f>
        <v>-0.74617831771696652</v>
      </c>
      <c r="BI91" s="594">
        <f>LongTerm25!BM96*(LongTerm25!F96*LongTerm25!AF96*LongTerm25!AH96)/10000</f>
        <v>20.087133195364252</v>
      </c>
      <c r="BJ91" s="594">
        <f>(LongTerm25!BL96/(1-LongTerm25!AR96))*(LongTerm25!F96*LongTerm25!AF96*LongTerm25!AH96)/10000</f>
        <v>-20.83331151308122</v>
      </c>
      <c r="BK91" s="435"/>
      <c r="BL91" s="435"/>
      <c r="BM91" s="435"/>
      <c r="BN91" s="435"/>
      <c r="BP91" s="596">
        <f>LongTerm62!D96</f>
        <v>39522</v>
      </c>
      <c r="BQ91" s="594">
        <f>(LongTerm62!$BM96+LongTerm62!$BL96/(1-LongTerm62!$AR96))*(LongTerm62!$F96*LongTerm62!$AF96*LongTerm62!$AH96)/10000</f>
        <v>0.14143104707325846</v>
      </c>
      <c r="BR91" s="594">
        <f>LongTerm62!$BM96*(LongTerm62!$F96*LongTerm62!$AF96*LongTerm62!$AH96)/10000</f>
        <v>10.13253454677476</v>
      </c>
      <c r="BS91" s="594">
        <f>(LongTerm62!$BL96/(1-LongTerm62!$AR96))*(LongTerm62!$F96*LongTerm62!$AF96*LongTerm62!$AH96)/10000</f>
        <v>-9.9911034997015005</v>
      </c>
      <c r="BT91" s="447"/>
      <c r="BU91" s="596">
        <f>LongTerm107!D96</f>
        <v>37575</v>
      </c>
      <c r="BV91" s="594">
        <f>(LongTerm107!$BM96+LongTerm107!$BL96/(1-LongTerm107!$AR96))*(LongTerm107!$F96*LongTerm107!$AF96*LongTerm107!$AH96)/10000</f>
        <v>0</v>
      </c>
      <c r="BW91" s="594">
        <f>LongTerm107!$BM96*(LongTerm107!$F96*LongTerm107!$AF96*LongTerm107!$AH96)/10000</f>
        <v>0</v>
      </c>
      <c r="BX91" s="594">
        <f>(LongTerm107!$BL96/(1-LongTerm107!$AR96))*(LongTerm107!$F96*LongTerm107!$AF96*LongTerm107!$AH96)/10000</f>
        <v>0</v>
      </c>
      <c r="BY91" s="599"/>
      <c r="BZ91" s="596">
        <f>LongTerm108!D96</f>
        <v>37940</v>
      </c>
      <c r="CA91" s="594">
        <f>(LongTerm108!$BM96+LongTerm108!$BL96/(1-LongTerm108!$AR96))*(LongTerm108!$F96*LongTerm108!$AF96*LongTerm108!$AH96)/10000</f>
        <v>0</v>
      </c>
      <c r="CB91" s="594">
        <f>LongTerm108!$BM96*(LongTerm108!$F96*LongTerm108!$AF96*LongTerm108!$AH96)/10000</f>
        <v>0</v>
      </c>
      <c r="CC91" s="594">
        <f>(LongTerm108!$BL96/(1-LongTerm108!$AR96))*(LongTerm108!$F96*LongTerm108!$AF96*LongTerm108!$AH96)/10000</f>
        <v>0</v>
      </c>
      <c r="CD91" s="492"/>
      <c r="CE91" s="595">
        <f t="shared" si="76"/>
        <v>39278</v>
      </c>
      <c r="CF91" s="583">
        <v>22.2</v>
      </c>
      <c r="CG91" s="583">
        <v>118.1</v>
      </c>
      <c r="CH91" s="583">
        <v>-138.5</v>
      </c>
      <c r="CI91" s="583">
        <v>0</v>
      </c>
      <c r="CJ91" s="583">
        <v>0</v>
      </c>
      <c r="CK91" s="583">
        <v>1.9</v>
      </c>
      <c r="CL91" s="583">
        <v>0</v>
      </c>
      <c r="CM91" s="583">
        <v>0</v>
      </c>
      <c r="CN91" s="583">
        <v>0</v>
      </c>
    </row>
    <row r="92" spans="2:92" x14ac:dyDescent="0.25">
      <c r="B92" s="553">
        <f t="shared" si="55"/>
        <v>39553</v>
      </c>
      <c r="C92" s="435">
        <f t="shared" si="56"/>
        <v>2008</v>
      </c>
      <c r="D92" s="445">
        <f t="shared" si="57"/>
        <v>0.49112900478536625</v>
      </c>
      <c r="E92" s="445">
        <f t="shared" si="58"/>
        <v>-11.50114399593636</v>
      </c>
      <c r="F92" s="445">
        <f t="shared" si="59"/>
        <v>-0.39315300042270707</v>
      </c>
      <c r="G92" s="445">
        <f t="shared" si="60"/>
        <v>11.885426001144424</v>
      </c>
      <c r="H92" s="445">
        <f t="shared" si="61"/>
        <v>0</v>
      </c>
      <c r="I92" s="445">
        <f t="shared" si="62"/>
        <v>0</v>
      </c>
      <c r="J92" s="447"/>
      <c r="K92" s="447"/>
      <c r="L92" s="447"/>
      <c r="M92" s="445">
        <f t="shared" si="63"/>
        <v>0</v>
      </c>
      <c r="N92" s="565">
        <f t="shared" si="64"/>
        <v>0</v>
      </c>
      <c r="O92" s="565">
        <f t="shared" si="65"/>
        <v>0</v>
      </c>
      <c r="Q92" s="553">
        <f t="shared" si="66"/>
        <v>39553</v>
      </c>
      <c r="R92" s="445">
        <f t="shared" si="67"/>
        <v>-1.6088709952146338</v>
      </c>
      <c r="S92" s="565">
        <f t="shared" si="68"/>
        <v>-117.80114399593636</v>
      </c>
      <c r="T92" s="565">
        <f t="shared" si="45"/>
        <v>-20.293153000422706</v>
      </c>
      <c r="U92" s="565">
        <f t="shared" si="46"/>
        <v>136.48542600114442</v>
      </c>
      <c r="V92" s="565">
        <f t="shared" si="47"/>
        <v>0</v>
      </c>
      <c r="W92" s="565">
        <f t="shared" si="48"/>
        <v>0</v>
      </c>
      <c r="X92" s="565">
        <f t="shared" si="69"/>
        <v>0</v>
      </c>
      <c r="Y92" s="445">
        <f t="shared" si="70"/>
        <v>0</v>
      </c>
      <c r="Z92" s="565">
        <f t="shared" si="71"/>
        <v>0</v>
      </c>
      <c r="AB92" s="553">
        <f t="shared" si="72"/>
        <v>39553</v>
      </c>
      <c r="AC92" s="571">
        <f t="shared" si="49"/>
        <v>2.1</v>
      </c>
      <c r="AD92" s="565">
        <f t="shared" si="50"/>
        <v>106.3</v>
      </c>
      <c r="AE92" s="565">
        <f t="shared" si="51"/>
        <v>19.899999999999999</v>
      </c>
      <c r="AF92" s="565">
        <f t="shared" si="52"/>
        <v>-124.6</v>
      </c>
      <c r="AG92" s="565">
        <f t="shared" si="53"/>
        <v>0</v>
      </c>
      <c r="AH92" s="565">
        <f t="shared" si="54"/>
        <v>0</v>
      </c>
      <c r="AI92" s="565">
        <f t="shared" si="73"/>
        <v>0</v>
      </c>
      <c r="AJ92" s="445">
        <f t="shared" si="74"/>
        <v>0</v>
      </c>
      <c r="AK92" s="565">
        <f t="shared" si="75"/>
        <v>0</v>
      </c>
      <c r="AM92" s="593">
        <f>LongTerm1!D97</f>
        <v>39553</v>
      </c>
      <c r="AN92" s="594">
        <f>(LongTerm1!BM97+LongTerm1!BL97/(1-LongTerm1!AR97))*(LongTerm1!F97*LongTerm1!AF97*LongTerm1!AH97)/10000</f>
        <v>-0.88078185672653131</v>
      </c>
      <c r="AO92" s="594">
        <f>LongTerm1!BM97*(LongTerm1!F97*LongTerm1!AF97*LongTerm1!AH97)/10000</f>
        <v>116.92036213920983</v>
      </c>
      <c r="AP92" s="594">
        <f>(LongTerm1!BL97/(1-LongTerm1!AR97))*(LongTerm1!F97*LongTerm1!AF97*LongTerm1!AH97)/10000</f>
        <v>-117.80114399593636</v>
      </c>
      <c r="AQ92" s="434"/>
      <c r="AV92" s="435"/>
      <c r="AW92" s="435"/>
      <c r="AX92" s="435"/>
      <c r="AY92" s="435"/>
      <c r="AZ92" s="435"/>
      <c r="BA92" s="435"/>
      <c r="BB92" s="435"/>
      <c r="BC92" s="435"/>
      <c r="BD92" s="435"/>
      <c r="BE92" s="435"/>
      <c r="BF92" s="435"/>
      <c r="BG92" s="593">
        <f>LongTerm25!D97</f>
        <v>39614</v>
      </c>
      <c r="BH92" s="594">
        <f>(LongTerm25!BM97+LongTerm25!BL97/(1-LongTerm25!AR97))*(LongTerm25!F97*LongTerm25!AF97*LongTerm25!AH97)/10000</f>
        <v>-0.71714540966854479</v>
      </c>
      <c r="BI92" s="594">
        <f>LongTerm25!BM97*(LongTerm25!F97*LongTerm25!AF97*LongTerm25!AH97)/10000</f>
        <v>19.318447372462352</v>
      </c>
      <c r="BJ92" s="594">
        <f>(LongTerm25!BL97/(1-LongTerm25!AR97))*(LongTerm25!F97*LongTerm25!AF97*LongTerm25!AH97)/10000</f>
        <v>-20.035592782130898</v>
      </c>
      <c r="BK92" s="435"/>
      <c r="BL92" s="435"/>
      <c r="BM92" s="435"/>
      <c r="BN92" s="435"/>
      <c r="BP92" s="596">
        <f>LongTerm62!D97</f>
        <v>39553</v>
      </c>
      <c r="BQ92" s="594">
        <f>(LongTerm62!$BM97+LongTerm62!$BL97/(1-LongTerm62!$AR97))*(LongTerm62!$F97*LongTerm62!$AF97*LongTerm62!$AH97)/10000</f>
        <v>0</v>
      </c>
      <c r="BR92" s="594">
        <f>LongTerm62!$BM97*(LongTerm62!$F97*LongTerm62!$AF97*LongTerm62!$AH97)/10000</f>
        <v>0</v>
      </c>
      <c r="BS92" s="594">
        <f>(LongTerm62!$BL97/(1-LongTerm62!$AR97))*(LongTerm62!$F97*LongTerm62!$AF97*LongTerm62!$AH97)/10000</f>
        <v>0</v>
      </c>
      <c r="BT92" s="447"/>
      <c r="BU92" s="596">
        <f>LongTerm107!D97</f>
        <v>37575</v>
      </c>
      <c r="BV92" s="594">
        <f>(LongTerm107!$BM97+LongTerm107!$BL97/(1-LongTerm107!$AR97))*(LongTerm107!$F97*LongTerm107!$AF97*LongTerm107!$AH97)/10000</f>
        <v>0</v>
      </c>
      <c r="BW92" s="594">
        <f>LongTerm107!$BM97*(LongTerm107!$F97*LongTerm107!$AF97*LongTerm107!$AH97)/10000</f>
        <v>0</v>
      </c>
      <c r="BX92" s="594">
        <f>(LongTerm107!$BL97/(1-LongTerm107!$AR97))*(LongTerm107!$F97*LongTerm107!$AF97*LongTerm107!$AH97)/10000</f>
        <v>0</v>
      </c>
      <c r="BY92" s="599"/>
      <c r="BZ92" s="596">
        <f>LongTerm108!D97</f>
        <v>37940</v>
      </c>
      <c r="CA92" s="594">
        <f>(LongTerm108!$BM97+LongTerm108!$BL97/(1-LongTerm108!$AR97))*(LongTerm108!$F97*LongTerm108!$AF97*LongTerm108!$AH97)/10000</f>
        <v>0</v>
      </c>
      <c r="CB92" s="594">
        <f>LongTerm108!$BM97*(LongTerm108!$F97*LongTerm108!$AF97*LongTerm108!$AH97)/10000</f>
        <v>0</v>
      </c>
      <c r="CC92" s="594">
        <f>(LongTerm108!$BL97/(1-LongTerm108!$AR97))*(LongTerm108!$F97*LongTerm108!$AF97*LongTerm108!$AH97)/10000</f>
        <v>0</v>
      </c>
      <c r="CD92" s="492"/>
      <c r="CE92" s="595">
        <f t="shared" si="76"/>
        <v>39309</v>
      </c>
      <c r="CF92" s="583">
        <v>21.9</v>
      </c>
      <c r="CG92" s="583">
        <v>113.7</v>
      </c>
      <c r="CH92" s="583">
        <v>-134.6</v>
      </c>
      <c r="CI92" s="583">
        <v>0</v>
      </c>
      <c r="CJ92" s="583">
        <v>0</v>
      </c>
      <c r="CK92" s="583">
        <v>1.9</v>
      </c>
      <c r="CL92" s="583">
        <v>0</v>
      </c>
      <c r="CM92" s="583">
        <v>0</v>
      </c>
      <c r="CN92" s="583">
        <v>0</v>
      </c>
    </row>
    <row r="93" spans="2:92" x14ac:dyDescent="0.25">
      <c r="B93" s="553">
        <f t="shared" si="55"/>
        <v>39583</v>
      </c>
      <c r="C93" s="435">
        <f t="shared" si="56"/>
        <v>2008</v>
      </c>
      <c r="D93" s="445">
        <f t="shared" si="57"/>
        <v>0.70228046062467531</v>
      </c>
      <c r="E93" s="445">
        <f t="shared" si="58"/>
        <v>-4.8400842364573293</v>
      </c>
      <c r="F93" s="445">
        <f t="shared" si="59"/>
        <v>-0.23331151308121889</v>
      </c>
      <c r="G93" s="445">
        <f t="shared" si="60"/>
        <v>5.3756762101632205</v>
      </c>
      <c r="H93" s="445">
        <f t="shared" si="61"/>
        <v>0</v>
      </c>
      <c r="I93" s="445">
        <f t="shared" si="62"/>
        <v>0</v>
      </c>
      <c r="J93" s="447"/>
      <c r="K93" s="447"/>
      <c r="L93" s="447"/>
      <c r="M93" s="445">
        <f t="shared" si="63"/>
        <v>0</v>
      </c>
      <c r="N93" s="565">
        <f t="shared" si="64"/>
        <v>0</v>
      </c>
      <c r="O93" s="565">
        <f t="shared" si="65"/>
        <v>0</v>
      </c>
      <c r="Q93" s="553">
        <f t="shared" si="66"/>
        <v>39583</v>
      </c>
      <c r="R93" s="445">
        <f t="shared" si="67"/>
        <v>-1.3977195393753248</v>
      </c>
      <c r="S93" s="565">
        <f t="shared" si="68"/>
        <v>-117.24008423645734</v>
      </c>
      <c r="T93" s="565">
        <f t="shared" si="45"/>
        <v>-20.83331151308122</v>
      </c>
      <c r="U93" s="565">
        <f t="shared" si="46"/>
        <v>136.67567621016323</v>
      </c>
      <c r="V93" s="565">
        <f t="shared" si="47"/>
        <v>0</v>
      </c>
      <c r="W93" s="565">
        <f t="shared" si="48"/>
        <v>0</v>
      </c>
      <c r="X93" s="565">
        <f t="shared" si="69"/>
        <v>0</v>
      </c>
      <c r="Y93" s="445">
        <f t="shared" si="70"/>
        <v>0</v>
      </c>
      <c r="Z93" s="565">
        <f t="shared" si="71"/>
        <v>0</v>
      </c>
      <c r="AB93" s="553">
        <f t="shared" si="72"/>
        <v>39583</v>
      </c>
      <c r="AC93" s="571">
        <f t="shared" si="49"/>
        <v>2.1</v>
      </c>
      <c r="AD93" s="565">
        <f t="shared" si="50"/>
        <v>112.4</v>
      </c>
      <c r="AE93" s="565">
        <f t="shared" si="51"/>
        <v>20.6</v>
      </c>
      <c r="AF93" s="565">
        <f t="shared" si="52"/>
        <v>-131.30000000000001</v>
      </c>
      <c r="AG93" s="565">
        <f t="shared" si="53"/>
        <v>0</v>
      </c>
      <c r="AH93" s="565">
        <f t="shared" si="54"/>
        <v>0</v>
      </c>
      <c r="AI93" s="565">
        <f t="shared" si="73"/>
        <v>0</v>
      </c>
      <c r="AJ93" s="445">
        <f t="shared" si="74"/>
        <v>0</v>
      </c>
      <c r="AK93" s="565">
        <f t="shared" si="75"/>
        <v>0</v>
      </c>
      <c r="AM93" s="593">
        <f>LongTerm1!D98</f>
        <v>39583</v>
      </c>
      <c r="AN93" s="594">
        <f>(LongTerm1!BM98+LongTerm1!BL98/(1-LongTerm1!AR98))*(LongTerm1!F98*LongTerm1!AF98*LongTerm1!AH98)/10000</f>
        <v>-0.65154122165835826</v>
      </c>
      <c r="AO93" s="594">
        <f>LongTerm1!BM98*(LongTerm1!F98*LongTerm1!AF98*LongTerm1!AH98)/10000</f>
        <v>116.58854301479897</v>
      </c>
      <c r="AP93" s="594">
        <f>(LongTerm1!BL98/(1-LongTerm1!AR98))*(LongTerm1!F98*LongTerm1!AF98*LongTerm1!AH98)/10000</f>
        <v>-117.24008423645734</v>
      </c>
      <c r="AQ93" s="434"/>
      <c r="AV93" s="435"/>
      <c r="AW93" s="435"/>
      <c r="AX93" s="435"/>
      <c r="AY93" s="435"/>
      <c r="AZ93" s="435"/>
      <c r="BA93" s="435"/>
      <c r="BB93" s="435"/>
      <c r="BC93" s="435"/>
      <c r="BD93" s="435"/>
      <c r="BE93" s="435"/>
      <c r="BF93" s="435"/>
      <c r="BG93" s="593">
        <f>LongTerm25!D98</f>
        <v>39644</v>
      </c>
      <c r="BH93" s="594">
        <f>(LongTerm25!BM98+LongTerm25!BL98/(1-LongTerm25!AR98))*(LongTerm25!F98*LongTerm25!AF98*LongTerm25!AH98)/10000</f>
        <v>-0.73384970835434937</v>
      </c>
      <c r="BI93" s="594">
        <f>LongTerm25!BM98*(LongTerm25!F98*LongTerm25!AF98*LongTerm25!AH98)/10000</f>
        <v>19.823211498032578</v>
      </c>
      <c r="BJ93" s="594">
        <f>(LongTerm25!BL98/(1-LongTerm25!AR98))*(LongTerm25!F98*LongTerm25!AF98*LongTerm25!AH98)/10000</f>
        <v>-20.55706120638693</v>
      </c>
      <c r="BK93" s="435"/>
      <c r="BL93" s="435"/>
      <c r="BM93" s="435"/>
      <c r="BN93" s="435"/>
      <c r="BP93" s="596">
        <f>LongTerm62!D98</f>
        <v>39553</v>
      </c>
      <c r="BQ93" s="594">
        <f>(LongTerm62!$BM98+LongTerm62!$BL98/(1-LongTerm62!$AR98))*(LongTerm62!$F98*LongTerm62!$AF98*LongTerm62!$AH98)/10000</f>
        <v>0</v>
      </c>
      <c r="BR93" s="594">
        <f>LongTerm62!$BM98*(LongTerm62!$F98*LongTerm62!$AF98*LongTerm62!$AH98)/10000</f>
        <v>0</v>
      </c>
      <c r="BS93" s="594">
        <f>(LongTerm62!$BL98/(1-LongTerm62!$AR98))*(LongTerm62!$F98*LongTerm62!$AF98*LongTerm62!$AH98)/10000</f>
        <v>0</v>
      </c>
      <c r="BT93" s="447"/>
      <c r="BU93" s="596">
        <f>LongTerm107!D98</f>
        <v>37575</v>
      </c>
      <c r="BV93" s="594">
        <f>(LongTerm107!$BM98+LongTerm107!$BL98/(1-LongTerm107!$AR98))*(LongTerm107!$F98*LongTerm107!$AF98*LongTerm107!$AH98)/10000</f>
        <v>0</v>
      </c>
      <c r="BW93" s="594">
        <f>LongTerm107!$BM98*(LongTerm107!$F98*LongTerm107!$AF98*LongTerm107!$AH98)/10000</f>
        <v>0</v>
      </c>
      <c r="BX93" s="594">
        <f>(LongTerm107!$BL98/(1-LongTerm107!$AR98))*(LongTerm107!$F98*LongTerm107!$AF98*LongTerm107!$AH98)/10000</f>
        <v>0</v>
      </c>
      <c r="BY93" s="599"/>
      <c r="BZ93" s="596">
        <f>LongTerm108!D98</f>
        <v>37940</v>
      </c>
      <c r="CA93" s="594">
        <f>(LongTerm108!$BM98+LongTerm108!$BL98/(1-LongTerm108!$AR98))*(LongTerm108!$F98*LongTerm108!$AF98*LongTerm108!$AH98)/10000</f>
        <v>0</v>
      </c>
      <c r="CB93" s="594">
        <f>LongTerm108!$BM98*(LongTerm108!$F98*LongTerm108!$AF98*LongTerm108!$AH98)/10000</f>
        <v>0</v>
      </c>
      <c r="CC93" s="594">
        <f>(LongTerm108!$BL98/(1-LongTerm108!$AR98))*(LongTerm108!$F98*LongTerm108!$AF98*LongTerm108!$AH98)/10000</f>
        <v>0</v>
      </c>
      <c r="CD93" s="492"/>
      <c r="CE93" s="595">
        <f t="shared" si="76"/>
        <v>39340</v>
      </c>
      <c r="CF93" s="583">
        <v>20.7</v>
      </c>
      <c r="CG93" s="583">
        <v>109.3</v>
      </c>
      <c r="CH93" s="583">
        <v>-129</v>
      </c>
      <c r="CI93" s="583">
        <v>0</v>
      </c>
      <c r="CJ93" s="583">
        <v>0</v>
      </c>
      <c r="CK93" s="583">
        <v>1.9</v>
      </c>
      <c r="CL93" s="583">
        <v>0</v>
      </c>
      <c r="CM93" s="583">
        <v>0</v>
      </c>
      <c r="CN93" s="583">
        <v>0</v>
      </c>
    </row>
    <row r="94" spans="2:92" x14ac:dyDescent="0.25">
      <c r="B94" s="553">
        <f t="shared" si="55"/>
        <v>39614</v>
      </c>
      <c r="C94" s="435">
        <f t="shared" si="56"/>
        <v>2008</v>
      </c>
      <c r="D94" s="445">
        <f t="shared" si="57"/>
        <v>0.7407443346337943</v>
      </c>
      <c r="E94" s="445">
        <f t="shared" si="58"/>
        <v>-5.4890871464495206</v>
      </c>
      <c r="F94" s="445">
        <f t="shared" si="59"/>
        <v>-0.53559278213089812</v>
      </c>
      <c r="G94" s="445">
        <f t="shared" si="60"/>
        <v>5.5654242632141973</v>
      </c>
      <c r="H94" s="445">
        <f t="shared" si="61"/>
        <v>0</v>
      </c>
      <c r="I94" s="445">
        <f t="shared" si="62"/>
        <v>0</v>
      </c>
      <c r="J94" s="447"/>
      <c r="K94" s="447"/>
      <c r="L94" s="447"/>
      <c r="M94" s="445">
        <f t="shared" si="63"/>
        <v>0</v>
      </c>
      <c r="N94" s="565">
        <f t="shared" si="64"/>
        <v>0</v>
      </c>
      <c r="O94" s="565">
        <f t="shared" si="65"/>
        <v>0</v>
      </c>
      <c r="Q94" s="553">
        <f t="shared" si="66"/>
        <v>39614</v>
      </c>
      <c r="R94" s="445">
        <f t="shared" si="67"/>
        <v>-1.3592556653662058</v>
      </c>
      <c r="S94" s="565">
        <f t="shared" si="68"/>
        <v>-112.88908714644953</v>
      </c>
      <c r="T94" s="565">
        <f t="shared" si="45"/>
        <v>-20.035592782130898</v>
      </c>
      <c r="U94" s="565">
        <f t="shared" si="46"/>
        <v>131.5654242632142</v>
      </c>
      <c r="V94" s="565">
        <f t="shared" si="47"/>
        <v>0</v>
      </c>
      <c r="W94" s="565">
        <f t="shared" si="48"/>
        <v>0</v>
      </c>
      <c r="X94" s="565">
        <f t="shared" si="69"/>
        <v>0</v>
      </c>
      <c r="Y94" s="445">
        <f t="shared" si="70"/>
        <v>0</v>
      </c>
      <c r="Z94" s="565">
        <f t="shared" si="71"/>
        <v>0</v>
      </c>
      <c r="AB94" s="553">
        <f t="shared" si="72"/>
        <v>39614</v>
      </c>
      <c r="AC94" s="571">
        <f t="shared" si="49"/>
        <v>2.1</v>
      </c>
      <c r="AD94" s="565">
        <f t="shared" si="50"/>
        <v>107.4</v>
      </c>
      <c r="AE94" s="565">
        <f t="shared" si="51"/>
        <v>19.5</v>
      </c>
      <c r="AF94" s="565">
        <f t="shared" si="52"/>
        <v>-126</v>
      </c>
      <c r="AG94" s="565">
        <f t="shared" si="53"/>
        <v>0</v>
      </c>
      <c r="AH94" s="565">
        <f t="shared" si="54"/>
        <v>0</v>
      </c>
      <c r="AI94" s="565">
        <f t="shared" si="73"/>
        <v>0</v>
      </c>
      <c r="AJ94" s="445">
        <f t="shared" si="74"/>
        <v>0</v>
      </c>
      <c r="AK94" s="565">
        <f t="shared" si="75"/>
        <v>0</v>
      </c>
      <c r="AM94" s="593">
        <f>LongTerm1!D99</f>
        <v>39614</v>
      </c>
      <c r="AN94" s="594">
        <f>(LongTerm1!BM99+LongTerm1!BL99/(1-LongTerm1!AR99))*(LongTerm1!F99*LongTerm1!AF99*LongTerm1!AH99)/10000</f>
        <v>-0.642110255697661</v>
      </c>
      <c r="AO94" s="594">
        <f>LongTerm1!BM99*(LongTerm1!F99*LongTerm1!AF99*LongTerm1!AH99)/10000</f>
        <v>112.24697689075185</v>
      </c>
      <c r="AP94" s="594">
        <f>(LongTerm1!BL99/(1-LongTerm1!AR99))*(LongTerm1!F99*LongTerm1!AF99*LongTerm1!AH99)/10000</f>
        <v>-112.88908714644953</v>
      </c>
      <c r="AQ94" s="434"/>
      <c r="AV94" s="435"/>
      <c r="AW94" s="435"/>
      <c r="AX94" s="435"/>
      <c r="AY94" s="435"/>
      <c r="AZ94" s="435"/>
      <c r="BA94" s="435"/>
      <c r="BB94" s="435"/>
      <c r="BC94" s="435"/>
      <c r="BD94" s="435"/>
      <c r="BE94" s="435"/>
      <c r="BF94" s="435"/>
      <c r="BG94" s="593">
        <f>LongTerm25!D99</f>
        <v>39675</v>
      </c>
      <c r="BH94" s="594">
        <f>(LongTerm25!BM99+LongTerm25!BL99/(1-LongTerm25!AR99))*(LongTerm25!F99*LongTerm25!AF99*LongTerm25!AH99)/10000</f>
        <v>-0.72589282762193619</v>
      </c>
      <c r="BI94" s="594">
        <f>LongTerm25!BM99*(LongTerm25!F99*LongTerm25!AF99*LongTerm25!AH99)/10000</f>
        <v>19.67476423279976</v>
      </c>
      <c r="BJ94" s="594">
        <f>(LongTerm25!BL99/(1-LongTerm25!AR99))*(LongTerm25!F99*LongTerm25!AF99*LongTerm25!AH99)/10000</f>
        <v>-20.400657060421693</v>
      </c>
      <c r="BK94" s="435"/>
      <c r="BL94" s="435"/>
      <c r="BM94" s="435"/>
      <c r="BN94" s="435"/>
      <c r="BP94" s="596">
        <f>LongTerm62!D99</f>
        <v>39553</v>
      </c>
      <c r="BQ94" s="594">
        <f>(LongTerm62!$BM99+LongTerm62!$BL99/(1-LongTerm62!$AR99))*(LongTerm62!$F99*LongTerm62!$AF99*LongTerm62!$AH99)/10000</f>
        <v>0</v>
      </c>
      <c r="BR94" s="594">
        <f>LongTerm62!$BM99*(LongTerm62!$F99*LongTerm62!$AF99*LongTerm62!$AH99)/10000</f>
        <v>0</v>
      </c>
      <c r="BS94" s="594">
        <f>(LongTerm62!$BL99/(1-LongTerm62!$AR99))*(LongTerm62!$F99*LongTerm62!$AF99*LongTerm62!$AH99)/10000</f>
        <v>0</v>
      </c>
      <c r="BT94" s="447"/>
      <c r="BU94" s="596">
        <f>LongTerm107!D99</f>
        <v>37575</v>
      </c>
      <c r="BV94" s="594">
        <f>(LongTerm107!$BM99+LongTerm107!$BL99/(1-LongTerm107!$AR99))*(LongTerm107!$F99*LongTerm107!$AF99*LongTerm107!$AH99)/10000</f>
        <v>0</v>
      </c>
      <c r="BW94" s="594">
        <f>LongTerm107!$BM99*(LongTerm107!$F99*LongTerm107!$AF99*LongTerm107!$AH99)/10000</f>
        <v>0</v>
      </c>
      <c r="BX94" s="594">
        <f>(LongTerm107!$BL99/(1-LongTerm107!$AR99))*(LongTerm107!$F99*LongTerm107!$AF99*LongTerm107!$AH99)/10000</f>
        <v>0</v>
      </c>
      <c r="BY94" s="599"/>
      <c r="BZ94" s="596">
        <f>LongTerm108!D99</f>
        <v>37940</v>
      </c>
      <c r="CA94" s="594">
        <f>(LongTerm108!$BM99+LongTerm108!$BL99/(1-LongTerm108!$AR99))*(LongTerm108!$F99*LongTerm108!$AF99*LongTerm108!$AH99)/10000</f>
        <v>0</v>
      </c>
      <c r="CB94" s="594">
        <f>LongTerm108!$BM99*(LongTerm108!$F99*LongTerm108!$AF99*LongTerm108!$AH99)/10000</f>
        <v>0</v>
      </c>
      <c r="CC94" s="594">
        <f>(LongTerm108!$BL99/(1-LongTerm108!$AR99))*(LongTerm108!$F99*LongTerm108!$AF99*LongTerm108!$AH99)/10000</f>
        <v>0</v>
      </c>
      <c r="CD94" s="492"/>
      <c r="CE94" s="595">
        <f t="shared" si="76"/>
        <v>39370</v>
      </c>
      <c r="CF94" s="583">
        <v>21.4</v>
      </c>
      <c r="CG94" s="583">
        <v>109.6</v>
      </c>
      <c r="CH94" s="583">
        <v>-130</v>
      </c>
      <c r="CI94" s="583">
        <v>0</v>
      </c>
      <c r="CJ94" s="583">
        <v>0</v>
      </c>
      <c r="CK94" s="583">
        <v>1.9</v>
      </c>
      <c r="CL94" s="583">
        <v>0</v>
      </c>
      <c r="CM94" s="583">
        <v>0</v>
      </c>
      <c r="CN94" s="583">
        <v>0</v>
      </c>
    </row>
    <row r="95" spans="2:92" x14ac:dyDescent="0.25">
      <c r="B95" s="553">
        <f t="shared" si="55"/>
        <v>39644</v>
      </c>
      <c r="C95" s="435">
        <f t="shared" si="56"/>
        <v>2008</v>
      </c>
      <c r="D95" s="445">
        <f t="shared" si="57"/>
        <v>0.96251557884106975</v>
      </c>
      <c r="E95" s="445">
        <f t="shared" si="58"/>
        <v>-4.6203626810472684</v>
      </c>
      <c r="F95" s="445">
        <f t="shared" si="59"/>
        <v>-0.35706120638693051</v>
      </c>
      <c r="G95" s="445">
        <f t="shared" si="60"/>
        <v>5.5399394662752854</v>
      </c>
      <c r="H95" s="445">
        <f t="shared" si="61"/>
        <v>0</v>
      </c>
      <c r="I95" s="445">
        <f t="shared" si="62"/>
        <v>0</v>
      </c>
      <c r="J95" s="447"/>
      <c r="K95" s="447"/>
      <c r="L95" s="447"/>
      <c r="M95" s="445">
        <f t="shared" si="63"/>
        <v>0</v>
      </c>
      <c r="N95" s="565">
        <f t="shared" si="64"/>
        <v>0</v>
      </c>
      <c r="O95" s="565">
        <f t="shared" si="65"/>
        <v>0</v>
      </c>
      <c r="Q95" s="553">
        <f t="shared" si="66"/>
        <v>39644</v>
      </c>
      <c r="R95" s="445">
        <f t="shared" si="67"/>
        <v>-1.1374844211589303</v>
      </c>
      <c r="S95" s="565">
        <f t="shared" si="68"/>
        <v>-112.22036268104726</v>
      </c>
      <c r="T95" s="565">
        <f t="shared" si="45"/>
        <v>-20.55706120638693</v>
      </c>
      <c r="U95" s="565">
        <f t="shared" si="46"/>
        <v>131.63993946627528</v>
      </c>
      <c r="V95" s="565">
        <f t="shared" si="47"/>
        <v>0</v>
      </c>
      <c r="W95" s="565">
        <f t="shared" si="48"/>
        <v>0</v>
      </c>
      <c r="X95" s="565">
        <f t="shared" si="69"/>
        <v>0</v>
      </c>
      <c r="Y95" s="445">
        <f t="shared" si="70"/>
        <v>0</v>
      </c>
      <c r="Z95" s="565">
        <f t="shared" si="71"/>
        <v>0</v>
      </c>
      <c r="AB95" s="553">
        <f t="shared" si="72"/>
        <v>39644</v>
      </c>
      <c r="AC95" s="571">
        <f t="shared" si="49"/>
        <v>2.1</v>
      </c>
      <c r="AD95" s="565">
        <f t="shared" si="50"/>
        <v>107.6</v>
      </c>
      <c r="AE95" s="565">
        <f t="shared" si="51"/>
        <v>20.2</v>
      </c>
      <c r="AF95" s="565">
        <f t="shared" si="52"/>
        <v>-126.1</v>
      </c>
      <c r="AG95" s="565">
        <f t="shared" si="53"/>
        <v>0</v>
      </c>
      <c r="AH95" s="565">
        <f t="shared" si="54"/>
        <v>0</v>
      </c>
      <c r="AI95" s="565">
        <f t="shared" si="73"/>
        <v>0</v>
      </c>
      <c r="AJ95" s="445">
        <f t="shared" si="74"/>
        <v>0</v>
      </c>
      <c r="AK95" s="565">
        <f t="shared" si="75"/>
        <v>0</v>
      </c>
      <c r="AM95" s="593">
        <f>LongTerm1!D100</f>
        <v>39644</v>
      </c>
      <c r="AN95" s="594">
        <f>(LongTerm1!BM100+LongTerm1!BL100/(1-LongTerm1!AR100))*(LongTerm1!F100*LongTerm1!AF100*LongTerm1!AH100)/10000</f>
        <v>-0.40363471280458096</v>
      </c>
      <c r="AO95" s="594">
        <f>LongTerm1!BM100*(LongTerm1!F100*LongTerm1!AF100*LongTerm1!AH100)/10000</f>
        <v>111.81672796824269</v>
      </c>
      <c r="AP95" s="594">
        <f>(LongTerm1!BL100/(1-LongTerm1!AR100))*(LongTerm1!F100*LongTerm1!AF100*LongTerm1!AH100)/10000</f>
        <v>-112.22036268104726</v>
      </c>
      <c r="AQ95" s="434"/>
      <c r="AV95" s="435"/>
      <c r="AW95" s="435"/>
      <c r="AX95" s="435"/>
      <c r="AY95" s="435"/>
      <c r="AZ95" s="435"/>
      <c r="BA95" s="435"/>
      <c r="BB95" s="435"/>
      <c r="BC95" s="435"/>
      <c r="BD95" s="435"/>
      <c r="BE95" s="435"/>
      <c r="BF95" s="435"/>
      <c r="BG95" s="593">
        <f>LongTerm25!D100</f>
        <v>39706</v>
      </c>
      <c r="BH95" s="594">
        <f>(LongTerm25!BM100+LongTerm25!BL100/(1-LongTerm25!AR100))*(LongTerm25!F100*LongTerm25!AF100*LongTerm25!AH100)/10000</f>
        <v>-0.69850174346251326</v>
      </c>
      <c r="BI95" s="594">
        <f>LongTerm25!BM100*(LongTerm25!F100*LongTerm25!AF100*LongTerm25!AH100)/10000</f>
        <v>18.928253544282931</v>
      </c>
      <c r="BJ95" s="594">
        <f>(LongTerm25!BL100/(1-LongTerm25!AR100))*(LongTerm25!F100*LongTerm25!AF100*LongTerm25!AH100)/10000</f>
        <v>-19.626755287745443</v>
      </c>
      <c r="BK95" s="435"/>
      <c r="BL95" s="435"/>
      <c r="BM95" s="435"/>
      <c r="BN95" s="435"/>
      <c r="BP95" s="434"/>
      <c r="BQ95" s="435"/>
      <c r="BR95" s="435"/>
      <c r="BS95" s="435"/>
      <c r="BT95" s="435"/>
      <c r="BU95" s="434"/>
      <c r="BV95" s="435"/>
      <c r="BW95" s="435"/>
      <c r="BX95" s="435"/>
      <c r="BY95" s="600"/>
      <c r="BZ95" s="434"/>
      <c r="CA95" s="435"/>
      <c r="CB95" s="435"/>
      <c r="CC95" s="435"/>
      <c r="CD95" s="492"/>
      <c r="CE95" s="595">
        <f t="shared" si="76"/>
        <v>39401</v>
      </c>
      <c r="CF95" s="583">
        <v>20.3</v>
      </c>
      <c r="CG95" s="583">
        <v>87.8</v>
      </c>
      <c r="CH95" s="583">
        <v>-109.5</v>
      </c>
      <c r="CI95" s="583">
        <v>0</v>
      </c>
      <c r="CJ95" s="583">
        <v>0</v>
      </c>
      <c r="CK95" s="583">
        <v>1.9</v>
      </c>
      <c r="CL95" s="583">
        <v>-15</v>
      </c>
      <c r="CM95" s="583">
        <v>15</v>
      </c>
      <c r="CN95" s="583">
        <v>0</v>
      </c>
    </row>
    <row r="96" spans="2:92" x14ac:dyDescent="0.25">
      <c r="B96" s="553">
        <f t="shared" si="55"/>
        <v>39675</v>
      </c>
      <c r="C96" s="435">
        <f t="shared" si="56"/>
        <v>2008</v>
      </c>
      <c r="D96" s="445">
        <f t="shared" si="57"/>
        <v>1.1958890237324158</v>
      </c>
      <c r="E96" s="445">
        <f t="shared" si="58"/>
        <v>-5.0309435414541213</v>
      </c>
      <c r="F96" s="445">
        <f t="shared" si="59"/>
        <v>-0.50065706042169467</v>
      </c>
      <c r="G96" s="445">
        <f t="shared" si="60"/>
        <v>5.4274896256082457</v>
      </c>
      <c r="H96" s="445">
        <f t="shared" si="61"/>
        <v>0</v>
      </c>
      <c r="I96" s="445">
        <f t="shared" si="62"/>
        <v>0</v>
      </c>
      <c r="J96" s="447"/>
      <c r="K96" s="447"/>
      <c r="L96" s="447"/>
      <c r="M96" s="445">
        <f t="shared" si="63"/>
        <v>0</v>
      </c>
      <c r="N96" s="565">
        <f t="shared" si="64"/>
        <v>0</v>
      </c>
      <c r="O96" s="565">
        <f t="shared" si="65"/>
        <v>0</v>
      </c>
      <c r="Q96" s="553">
        <f t="shared" si="66"/>
        <v>39675</v>
      </c>
      <c r="R96" s="445">
        <f t="shared" si="67"/>
        <v>-0.90411097626758419</v>
      </c>
      <c r="S96" s="565">
        <f t="shared" si="68"/>
        <v>-108.43094354145413</v>
      </c>
      <c r="T96" s="565">
        <f t="shared" si="45"/>
        <v>-20.400657060421693</v>
      </c>
      <c r="U96" s="565">
        <f t="shared" si="46"/>
        <v>127.92748962560825</v>
      </c>
      <c r="V96" s="565">
        <f t="shared" si="47"/>
        <v>0</v>
      </c>
      <c r="W96" s="565">
        <f t="shared" si="48"/>
        <v>0</v>
      </c>
      <c r="X96" s="565">
        <f t="shared" si="69"/>
        <v>0</v>
      </c>
      <c r="Y96" s="445">
        <f t="shared" si="70"/>
        <v>0</v>
      </c>
      <c r="Z96" s="565">
        <f t="shared" si="71"/>
        <v>0</v>
      </c>
      <c r="AB96" s="553">
        <f t="shared" si="72"/>
        <v>39675</v>
      </c>
      <c r="AC96" s="571">
        <f t="shared" si="49"/>
        <v>2.1</v>
      </c>
      <c r="AD96" s="565">
        <f t="shared" si="50"/>
        <v>103.4</v>
      </c>
      <c r="AE96" s="565">
        <f t="shared" si="51"/>
        <v>19.899999999999999</v>
      </c>
      <c r="AF96" s="565">
        <f t="shared" si="52"/>
        <v>-122.5</v>
      </c>
      <c r="AG96" s="565">
        <f t="shared" si="53"/>
        <v>0</v>
      </c>
      <c r="AH96" s="565">
        <f t="shared" si="54"/>
        <v>0</v>
      </c>
      <c r="AI96" s="565">
        <f t="shared" si="73"/>
        <v>0</v>
      </c>
      <c r="AJ96" s="445">
        <f t="shared" si="74"/>
        <v>0</v>
      </c>
      <c r="AK96" s="565">
        <f t="shared" si="75"/>
        <v>0</v>
      </c>
      <c r="AM96" s="593">
        <f>LongTerm1!D101</f>
        <v>39675</v>
      </c>
      <c r="AN96" s="594">
        <f>(LongTerm1!BM101+LongTerm1!BL101/(1-LongTerm1!AR101))*(LongTerm1!F101*LongTerm1!AF101*LongTerm1!AH101)/10000</f>
        <v>-0.178218148645648</v>
      </c>
      <c r="AO96" s="594">
        <f>LongTerm1!BM101*(LongTerm1!F101*LongTerm1!AF101*LongTerm1!AH101)/10000</f>
        <v>108.25272539280849</v>
      </c>
      <c r="AP96" s="594">
        <f>(LongTerm1!BL101/(1-LongTerm1!AR101))*(LongTerm1!F101*LongTerm1!AF101*LongTerm1!AH101)/10000</f>
        <v>-108.43094354145413</v>
      </c>
      <c r="AQ96" s="434"/>
      <c r="AV96" s="435"/>
      <c r="AW96" s="435"/>
      <c r="AX96" s="435"/>
      <c r="AY96" s="435"/>
      <c r="AZ96" s="435"/>
      <c r="BA96" s="435"/>
      <c r="BB96" s="435"/>
      <c r="BC96" s="435"/>
      <c r="BD96" s="435"/>
      <c r="BE96" s="435"/>
      <c r="BF96" s="435"/>
      <c r="BG96" s="593">
        <f>LongTerm25!D101</f>
        <v>39736</v>
      </c>
      <c r="BH96" s="594">
        <f>(LongTerm25!BM101+LongTerm25!BL101/(1-LongTerm25!AR101))*(LongTerm25!F101*LongTerm25!AF101*LongTerm25!AH101)/10000</f>
        <v>-0.72393637222867235</v>
      </c>
      <c r="BI96" s="594">
        <f>LongTerm25!BM101*(LongTerm25!F101*LongTerm25!AF101*LongTerm25!AH101)/10000</f>
        <v>19.497667178347143</v>
      </c>
      <c r="BJ96" s="594">
        <f>(LongTerm25!BL101/(1-LongTerm25!AR101))*(LongTerm25!F101*LongTerm25!AF101*LongTerm25!AH101)/10000</f>
        <v>-20.221603550575814</v>
      </c>
      <c r="BK96" s="435"/>
      <c r="BL96" s="435"/>
      <c r="BM96" s="435"/>
      <c r="BN96" s="435"/>
      <c r="BP96" s="434"/>
      <c r="BQ96" s="435"/>
      <c r="BR96" s="435"/>
      <c r="BS96" s="435"/>
      <c r="BT96" s="435"/>
      <c r="BU96" s="434"/>
      <c r="BV96" s="435"/>
      <c r="BW96" s="435"/>
      <c r="BX96" s="435"/>
      <c r="BY96" s="600"/>
      <c r="BZ96" s="434"/>
      <c r="CA96" s="435"/>
      <c r="CB96" s="435"/>
      <c r="CC96" s="435"/>
      <c r="CD96" s="492"/>
      <c r="CE96" s="595">
        <f t="shared" si="76"/>
        <v>39431</v>
      </c>
      <c r="CF96" s="583">
        <v>20.5</v>
      </c>
      <c r="CG96" s="583">
        <v>81.400000000000006</v>
      </c>
      <c r="CH96" s="583">
        <v>-103.6</v>
      </c>
      <c r="CI96" s="583">
        <v>0</v>
      </c>
      <c r="CJ96" s="583">
        <v>0</v>
      </c>
      <c r="CK96" s="583">
        <v>1.8</v>
      </c>
      <c r="CL96" s="583">
        <v>-10.7</v>
      </c>
      <c r="CM96" s="583">
        <v>10.7</v>
      </c>
      <c r="CN96" s="583">
        <v>0</v>
      </c>
    </row>
    <row r="97" spans="2:92" x14ac:dyDescent="0.25">
      <c r="B97" s="553">
        <f t="shared" si="55"/>
        <v>39706</v>
      </c>
      <c r="C97" s="435">
        <f t="shared" si="56"/>
        <v>2008</v>
      </c>
      <c r="D97" s="445">
        <f t="shared" si="57"/>
        <v>1.1880645285841376</v>
      </c>
      <c r="E97" s="445">
        <f t="shared" si="58"/>
        <v>-5.5677670135602852</v>
      </c>
      <c r="F97" s="445">
        <f t="shared" si="59"/>
        <v>-0.72675528774544418</v>
      </c>
      <c r="G97" s="445">
        <f t="shared" si="60"/>
        <v>6.3825868298898598</v>
      </c>
      <c r="H97" s="445">
        <f t="shared" si="61"/>
        <v>0</v>
      </c>
      <c r="I97" s="445">
        <f t="shared" si="62"/>
        <v>0</v>
      </c>
      <c r="J97" s="447"/>
      <c r="K97" s="447"/>
      <c r="L97" s="447"/>
      <c r="M97" s="445">
        <f t="shared" si="63"/>
        <v>0</v>
      </c>
      <c r="N97" s="565">
        <f t="shared" si="64"/>
        <v>0</v>
      </c>
      <c r="O97" s="565">
        <f t="shared" si="65"/>
        <v>0</v>
      </c>
      <c r="Q97" s="553">
        <f t="shared" si="66"/>
        <v>39706</v>
      </c>
      <c r="R97" s="445">
        <f t="shared" si="67"/>
        <v>-0.91193547141586262</v>
      </c>
      <c r="S97" s="565">
        <f t="shared" si="68"/>
        <v>-104.86776701356028</v>
      </c>
      <c r="T97" s="565">
        <f t="shared" si="45"/>
        <v>-19.626755287745443</v>
      </c>
      <c r="U97" s="565">
        <f t="shared" si="46"/>
        <v>123.58258682988986</v>
      </c>
      <c r="V97" s="565">
        <f t="shared" si="47"/>
        <v>0</v>
      </c>
      <c r="W97" s="565">
        <f t="shared" si="48"/>
        <v>0</v>
      </c>
      <c r="X97" s="565">
        <f t="shared" si="69"/>
        <v>0</v>
      </c>
      <c r="Y97" s="445">
        <f t="shared" si="70"/>
        <v>0</v>
      </c>
      <c r="Z97" s="565">
        <f t="shared" si="71"/>
        <v>0</v>
      </c>
      <c r="AB97" s="553">
        <f t="shared" si="72"/>
        <v>39706</v>
      </c>
      <c r="AC97" s="571">
        <f t="shared" si="49"/>
        <v>2.1</v>
      </c>
      <c r="AD97" s="565">
        <f t="shared" si="50"/>
        <v>99.3</v>
      </c>
      <c r="AE97" s="565">
        <f t="shared" si="51"/>
        <v>18.899999999999999</v>
      </c>
      <c r="AF97" s="565">
        <f t="shared" si="52"/>
        <v>-117.2</v>
      </c>
      <c r="AG97" s="565">
        <f t="shared" si="53"/>
        <v>0</v>
      </c>
      <c r="AH97" s="565">
        <f t="shared" si="54"/>
        <v>0</v>
      </c>
      <c r="AI97" s="565">
        <f t="shared" si="73"/>
        <v>0</v>
      </c>
      <c r="AJ97" s="445">
        <f t="shared" si="74"/>
        <v>0</v>
      </c>
      <c r="AK97" s="565">
        <f t="shared" si="75"/>
        <v>0</v>
      </c>
      <c r="AM97" s="593">
        <f>LongTerm1!D102</f>
        <v>39706</v>
      </c>
      <c r="AN97" s="594">
        <f>(LongTerm1!BM102+LongTerm1!BL102/(1-LongTerm1!AR102))*(LongTerm1!F102*LongTerm1!AF102*LongTerm1!AH102)/10000</f>
        <v>-0.21343372795334936</v>
      </c>
      <c r="AO97" s="594">
        <f>LongTerm1!BM102*(LongTerm1!F102*LongTerm1!AF102*LongTerm1!AH102)/10000</f>
        <v>104.65433328560694</v>
      </c>
      <c r="AP97" s="594">
        <f>(LongTerm1!BL102/(1-LongTerm1!AR102))*(LongTerm1!F102*LongTerm1!AF102*LongTerm1!AH102)/10000</f>
        <v>-104.86776701356028</v>
      </c>
      <c r="AQ97" s="434"/>
      <c r="AV97" s="435"/>
      <c r="AW97" s="435"/>
      <c r="AX97" s="435"/>
      <c r="AY97" s="435"/>
      <c r="AZ97" s="435"/>
      <c r="BA97" s="435"/>
      <c r="BB97" s="435"/>
      <c r="BC97" s="435"/>
      <c r="BD97" s="435"/>
      <c r="BE97" s="435"/>
      <c r="BF97" s="435"/>
      <c r="BG97" s="593">
        <f>LongTerm25!D102</f>
        <v>39767</v>
      </c>
      <c r="BH97" s="594">
        <f>(LongTerm25!BM102+LongTerm25!BL102/(1-LongTerm25!AR102))*(LongTerm25!F102*LongTerm25!AF102*LongTerm25!AH102)/10000</f>
        <v>-0.6903887401836718</v>
      </c>
      <c r="BI97" s="594">
        <f>LongTerm25!BM102*(LongTerm25!F102*LongTerm25!AF102*LongTerm25!AH102)/10000</f>
        <v>18.709343470118956</v>
      </c>
      <c r="BJ97" s="594">
        <f>(LongTerm25!BL102/(1-LongTerm25!AR102))*(LongTerm25!F102*LongTerm25!AF102*LongTerm25!AH102)/10000</f>
        <v>-19.399732210302627</v>
      </c>
      <c r="BK97" s="435"/>
      <c r="BL97" s="435"/>
      <c r="BM97" s="435"/>
      <c r="BN97" s="435"/>
      <c r="BP97" s="434"/>
      <c r="BQ97" s="435"/>
      <c r="BR97" s="435"/>
      <c r="BS97" s="435"/>
      <c r="BT97" s="435"/>
      <c r="BU97" s="434"/>
      <c r="BV97" s="435"/>
      <c r="BW97" s="435"/>
      <c r="BX97" s="435"/>
      <c r="BY97" s="600"/>
      <c r="BZ97" s="434"/>
      <c r="CA97" s="435"/>
      <c r="CB97" s="435"/>
      <c r="CC97" s="435"/>
      <c r="CD97" s="492"/>
      <c r="CE97" s="595">
        <f t="shared" si="76"/>
        <v>39462</v>
      </c>
      <c r="CF97" s="583">
        <v>20.8</v>
      </c>
      <c r="CG97" s="583">
        <v>75.7</v>
      </c>
      <c r="CH97" s="583">
        <v>-98.3</v>
      </c>
      <c r="CI97" s="583">
        <v>0</v>
      </c>
      <c r="CJ97" s="583">
        <v>0</v>
      </c>
      <c r="CK97" s="583">
        <v>2.1</v>
      </c>
      <c r="CL97" s="583">
        <v>-10.7</v>
      </c>
      <c r="CM97" s="583">
        <v>10.7</v>
      </c>
      <c r="CN97" s="583">
        <v>0</v>
      </c>
    </row>
    <row r="98" spans="2:92" x14ac:dyDescent="0.25">
      <c r="B98" s="553">
        <f t="shared" si="55"/>
        <v>39736</v>
      </c>
      <c r="C98" s="435">
        <f t="shared" si="56"/>
        <v>2008</v>
      </c>
      <c r="D98" s="445">
        <f t="shared" si="57"/>
        <v>1.3092065789587868</v>
      </c>
      <c r="E98" s="445">
        <f t="shared" si="58"/>
        <v>-4.9696172918647363</v>
      </c>
      <c r="F98" s="445">
        <f t="shared" si="59"/>
        <v>-0.72160355057581427</v>
      </c>
      <c r="G98" s="445">
        <f t="shared" si="60"/>
        <v>5.9004274213993426</v>
      </c>
      <c r="H98" s="445">
        <f t="shared" si="61"/>
        <v>0</v>
      </c>
      <c r="I98" s="445">
        <f t="shared" si="62"/>
        <v>0</v>
      </c>
      <c r="J98" s="447"/>
      <c r="K98" s="447"/>
      <c r="L98" s="447"/>
      <c r="M98" s="445">
        <f t="shared" si="63"/>
        <v>0</v>
      </c>
      <c r="N98" s="565">
        <f t="shared" si="64"/>
        <v>0</v>
      </c>
      <c r="O98" s="565">
        <f t="shared" si="65"/>
        <v>0</v>
      </c>
      <c r="Q98" s="553">
        <f t="shared" si="66"/>
        <v>39736</v>
      </c>
      <c r="R98" s="445">
        <f t="shared" si="67"/>
        <v>-0.69079342104121333</v>
      </c>
      <c r="S98" s="565">
        <f t="shared" si="68"/>
        <v>-104.46961729186474</v>
      </c>
      <c r="T98" s="565">
        <f t="shared" si="45"/>
        <v>-20.221603550575814</v>
      </c>
      <c r="U98" s="565">
        <f t="shared" si="46"/>
        <v>124.00042742139934</v>
      </c>
      <c r="V98" s="565">
        <f t="shared" si="47"/>
        <v>0</v>
      </c>
      <c r="W98" s="565">
        <f t="shared" si="48"/>
        <v>0</v>
      </c>
      <c r="X98" s="565">
        <f t="shared" si="69"/>
        <v>0</v>
      </c>
      <c r="Y98" s="445">
        <f t="shared" si="70"/>
        <v>0</v>
      </c>
      <c r="Z98" s="565">
        <f t="shared" si="71"/>
        <v>0</v>
      </c>
      <c r="AB98" s="553">
        <f t="shared" si="72"/>
        <v>39736</v>
      </c>
      <c r="AC98" s="571">
        <f t="shared" si="49"/>
        <v>2</v>
      </c>
      <c r="AD98" s="565">
        <f t="shared" si="50"/>
        <v>99.5</v>
      </c>
      <c r="AE98" s="565">
        <f t="shared" si="51"/>
        <v>19.5</v>
      </c>
      <c r="AF98" s="565">
        <f t="shared" si="52"/>
        <v>-118.1</v>
      </c>
      <c r="AG98" s="565">
        <f t="shared" si="53"/>
        <v>0</v>
      </c>
      <c r="AH98" s="565">
        <f t="shared" si="54"/>
        <v>0</v>
      </c>
      <c r="AI98" s="565">
        <f t="shared" si="73"/>
        <v>0</v>
      </c>
      <c r="AJ98" s="445">
        <f t="shared" si="74"/>
        <v>0</v>
      </c>
      <c r="AK98" s="565">
        <f t="shared" si="75"/>
        <v>0</v>
      </c>
      <c r="AM98" s="593">
        <f>LongTerm1!D103</f>
        <v>39736</v>
      </c>
      <c r="AN98" s="594">
        <f>(LongTerm1!BM103+LongTerm1!BL103/(1-LongTerm1!AR103))*(LongTerm1!F103*LongTerm1!AF103*LongTerm1!AH103)/10000</f>
        <v>3.3142951187459024E-2</v>
      </c>
      <c r="AO98" s="594">
        <f>LongTerm1!BM103*(LongTerm1!F103*LongTerm1!AF103*LongTerm1!AH103)/10000</f>
        <v>104.50276024305219</v>
      </c>
      <c r="AP98" s="594">
        <f>(LongTerm1!BL103/(1-LongTerm1!AR103))*(LongTerm1!F103*LongTerm1!AF103*LongTerm1!AH103)/10000</f>
        <v>-104.46961729186474</v>
      </c>
      <c r="AQ98" s="434"/>
      <c r="AV98" s="435"/>
      <c r="AW98" s="435"/>
      <c r="AX98" s="435"/>
      <c r="AY98" s="435"/>
      <c r="AZ98" s="435"/>
      <c r="BA98" s="435"/>
      <c r="BB98" s="435"/>
      <c r="BC98" s="435"/>
      <c r="BD98" s="435"/>
      <c r="BE98" s="435"/>
      <c r="BF98" s="435"/>
      <c r="BG98" s="593">
        <f>LongTerm25!D103</f>
        <v>39797</v>
      </c>
      <c r="BH98" s="594">
        <f>(LongTerm25!BM103+LongTerm25!BL103/(1-LongTerm25!AR103))*(LongTerm25!F103*LongTerm25!AF103*LongTerm25!AH103)/10000</f>
        <v>-0.7023784498553296</v>
      </c>
      <c r="BI98" s="594">
        <f>LongTerm25!BM103*(LongTerm25!F103*LongTerm25!AF103*LongTerm25!AH103)/10000</f>
        <v>19.160466006780744</v>
      </c>
      <c r="BJ98" s="594">
        <f>(LongTerm25!BL103/(1-LongTerm25!AR103))*(LongTerm25!F103*LongTerm25!AF103*LongTerm25!AH103)/10000</f>
        <v>-19.862844456636076</v>
      </c>
      <c r="BK98" s="435"/>
      <c r="BL98" s="435"/>
      <c r="BM98" s="435"/>
      <c r="BN98" s="435"/>
      <c r="BP98" s="434"/>
      <c r="BQ98" s="435"/>
      <c r="BR98" s="435"/>
      <c r="BS98" s="435"/>
      <c r="BT98" s="435"/>
      <c r="BU98" s="434"/>
      <c r="BV98" s="435"/>
      <c r="BW98" s="435"/>
      <c r="BX98" s="435"/>
      <c r="BY98" s="600"/>
      <c r="BZ98" s="434"/>
      <c r="CA98" s="435"/>
      <c r="CB98" s="435"/>
      <c r="CC98" s="435"/>
      <c r="CD98" s="492"/>
      <c r="CE98" s="595">
        <f t="shared" si="76"/>
        <v>39493</v>
      </c>
      <c r="CF98" s="583">
        <v>19.600000000000001</v>
      </c>
      <c r="CG98" s="583">
        <v>70.8</v>
      </c>
      <c r="CH98" s="583">
        <v>-91.8</v>
      </c>
      <c r="CI98" s="583">
        <v>0</v>
      </c>
      <c r="CJ98" s="583">
        <v>0</v>
      </c>
      <c r="CK98" s="583">
        <v>2.2000000000000002</v>
      </c>
      <c r="CL98" s="583">
        <v>-10</v>
      </c>
      <c r="CM98" s="583">
        <v>10</v>
      </c>
      <c r="CN98" s="583">
        <v>0</v>
      </c>
    </row>
    <row r="99" spans="2:92" x14ac:dyDescent="0.25">
      <c r="B99" s="553">
        <f t="shared" si="55"/>
        <v>39767</v>
      </c>
      <c r="C99" s="435">
        <f t="shared" si="56"/>
        <v>2008</v>
      </c>
      <c r="D99" s="445">
        <f t="shared" si="57"/>
        <v>2.6936930881511305</v>
      </c>
      <c r="E99" s="445">
        <f t="shared" si="58"/>
        <v>-0.58849956705012119</v>
      </c>
      <c r="F99" s="445">
        <f t="shared" si="59"/>
        <v>-0.49973221030262849</v>
      </c>
      <c r="G99" s="445">
        <f t="shared" si="60"/>
        <v>1.1819248655038734</v>
      </c>
      <c r="H99" s="445">
        <f t="shared" si="61"/>
        <v>0</v>
      </c>
      <c r="I99" s="445">
        <f t="shared" si="62"/>
        <v>0</v>
      </c>
      <c r="J99" s="447"/>
      <c r="K99" s="447"/>
      <c r="L99" s="447"/>
      <c r="M99" s="445">
        <f t="shared" si="63"/>
        <v>0</v>
      </c>
      <c r="N99" s="565">
        <f t="shared" si="64"/>
        <v>0</v>
      </c>
      <c r="O99" s="565">
        <f t="shared" si="65"/>
        <v>0</v>
      </c>
      <c r="Q99" s="553">
        <f t="shared" si="66"/>
        <v>39767</v>
      </c>
      <c r="R99" s="445">
        <f t="shared" si="67"/>
        <v>0.6936930881511304</v>
      </c>
      <c r="S99" s="565">
        <f t="shared" si="68"/>
        <v>-80.988499567050127</v>
      </c>
      <c r="T99" s="565">
        <f t="shared" si="45"/>
        <v>-19.399732210302627</v>
      </c>
      <c r="U99" s="565">
        <f t="shared" si="46"/>
        <v>101.08192486550388</v>
      </c>
      <c r="V99" s="565">
        <f t="shared" si="47"/>
        <v>0</v>
      </c>
      <c r="W99" s="565">
        <f t="shared" si="48"/>
        <v>0</v>
      </c>
      <c r="X99" s="565">
        <f t="shared" si="69"/>
        <v>0</v>
      </c>
      <c r="Y99" s="445">
        <f t="shared" si="70"/>
        <v>0</v>
      </c>
      <c r="Z99" s="565">
        <f t="shared" si="71"/>
        <v>0</v>
      </c>
      <c r="AB99" s="553">
        <f t="shared" si="72"/>
        <v>39767</v>
      </c>
      <c r="AC99" s="571">
        <f t="shared" si="49"/>
        <v>2</v>
      </c>
      <c r="AD99" s="565">
        <f t="shared" si="50"/>
        <v>80.400000000000006</v>
      </c>
      <c r="AE99" s="565">
        <f t="shared" si="51"/>
        <v>18.899999999999999</v>
      </c>
      <c r="AF99" s="565">
        <f t="shared" si="52"/>
        <v>-99.9</v>
      </c>
      <c r="AG99" s="565">
        <f t="shared" si="53"/>
        <v>0</v>
      </c>
      <c r="AH99" s="565">
        <f t="shared" si="54"/>
        <v>0</v>
      </c>
      <c r="AI99" s="565">
        <f t="shared" si="73"/>
        <v>0</v>
      </c>
      <c r="AJ99" s="445">
        <f t="shared" si="74"/>
        <v>0</v>
      </c>
      <c r="AK99" s="565">
        <f t="shared" si="75"/>
        <v>0</v>
      </c>
      <c r="AM99" s="593">
        <f>LongTerm1!D104</f>
        <v>39767</v>
      </c>
      <c r="AN99" s="594">
        <f>(LongTerm1!BM104+LongTerm1!BL104/(1-LongTerm1!AR104))*(LongTerm1!F104*LongTerm1!AF104*LongTerm1!AH104)/10000</f>
        <v>1.3840818283348022</v>
      </c>
      <c r="AO99" s="594">
        <f>LongTerm1!BM104*(LongTerm1!F104*LongTerm1!AF104*LongTerm1!AH104)/10000</f>
        <v>82.372581395384927</v>
      </c>
      <c r="AP99" s="594">
        <f>(LongTerm1!BL104/(1-LongTerm1!AR104))*(LongTerm1!F104*LongTerm1!AF104*LongTerm1!AH104)/10000</f>
        <v>-80.988499567050127</v>
      </c>
      <c r="AQ99" s="434"/>
      <c r="AV99" s="435"/>
      <c r="AW99" s="435"/>
      <c r="AX99" s="435"/>
      <c r="AY99" s="435"/>
      <c r="AZ99" s="435"/>
      <c r="BA99" s="435"/>
      <c r="BB99" s="435"/>
      <c r="BC99" s="435"/>
      <c r="BD99" s="435"/>
      <c r="BE99" s="435"/>
      <c r="BF99" s="435"/>
      <c r="BG99" s="593">
        <f>LongTerm25!D104</f>
        <v>39828</v>
      </c>
      <c r="BH99" s="594">
        <f>(LongTerm25!BM104+LongTerm25!BL104/(1-LongTerm25!AR104))*(LongTerm25!F104*LongTerm25!AF104*LongTerm25!AH104)/10000</f>
        <v>-0.69548052676679162</v>
      </c>
      <c r="BI99" s="594">
        <f>LongTerm25!BM104*(LongTerm25!F104*LongTerm25!AF104*LongTerm25!AH104)/10000</f>
        <v>19.023298920268612</v>
      </c>
      <c r="BJ99" s="594">
        <f>(LongTerm25!BL104/(1-LongTerm25!AR104))*(LongTerm25!F104*LongTerm25!AF104*LongTerm25!AH104)/10000</f>
        <v>-19.718779447035406</v>
      </c>
      <c r="BK99" s="435"/>
      <c r="BL99" s="435"/>
      <c r="BM99" s="435"/>
      <c r="BN99" s="435"/>
      <c r="BP99" s="434"/>
      <c r="BQ99" s="435"/>
      <c r="BR99" s="435"/>
      <c r="BS99" s="435"/>
      <c r="BT99" s="435"/>
      <c r="BU99" s="434"/>
      <c r="BV99" s="435"/>
      <c r="BW99" s="435"/>
      <c r="BX99" s="435"/>
      <c r="BY99" s="600"/>
      <c r="BZ99" s="434"/>
      <c r="CA99" s="435"/>
      <c r="CB99" s="435"/>
      <c r="CC99" s="435"/>
      <c r="CD99" s="492"/>
      <c r="CE99" s="595">
        <f t="shared" si="76"/>
        <v>39522</v>
      </c>
      <c r="CF99" s="583">
        <v>20.3</v>
      </c>
      <c r="CG99" s="583">
        <v>83.1</v>
      </c>
      <c r="CH99" s="583">
        <v>-104.7</v>
      </c>
      <c r="CI99" s="583">
        <v>0</v>
      </c>
      <c r="CJ99" s="583">
        <v>0</v>
      </c>
      <c r="CK99" s="583">
        <v>2.1</v>
      </c>
      <c r="CL99" s="583">
        <v>-10.6</v>
      </c>
      <c r="CM99" s="583">
        <v>10.6</v>
      </c>
      <c r="CN99" s="583">
        <v>0</v>
      </c>
    </row>
    <row r="100" spans="2:92" x14ac:dyDescent="0.25">
      <c r="B100" s="553">
        <f t="shared" si="55"/>
        <v>39797</v>
      </c>
      <c r="C100" s="435">
        <f t="shared" si="56"/>
        <v>2008</v>
      </c>
      <c r="D100" s="445">
        <f t="shared" si="57"/>
        <v>3.555100337961246</v>
      </c>
      <c r="E100" s="445">
        <f t="shared" si="58"/>
        <v>-3.1253848556652031</v>
      </c>
      <c r="F100" s="445">
        <f t="shared" si="59"/>
        <v>-0.46284445663607698</v>
      </c>
      <c r="G100" s="445">
        <f t="shared" si="60"/>
        <v>3.5433296502625211</v>
      </c>
      <c r="H100" s="445">
        <f t="shared" si="61"/>
        <v>0</v>
      </c>
      <c r="I100" s="445">
        <f t="shared" si="62"/>
        <v>0</v>
      </c>
      <c r="J100" s="447"/>
      <c r="K100" s="447"/>
      <c r="L100" s="447"/>
      <c r="M100" s="445">
        <f t="shared" si="63"/>
        <v>0</v>
      </c>
      <c r="N100" s="565">
        <f t="shared" si="64"/>
        <v>0</v>
      </c>
      <c r="O100" s="565">
        <f t="shared" si="65"/>
        <v>0</v>
      </c>
      <c r="Q100" s="553">
        <f t="shared" si="66"/>
        <v>39797</v>
      </c>
      <c r="R100" s="445">
        <f t="shared" si="67"/>
        <v>1.5551003379612462</v>
      </c>
      <c r="S100" s="565">
        <f t="shared" si="68"/>
        <v>-76.825384855665206</v>
      </c>
      <c r="T100" s="565">
        <f t="shared" si="45"/>
        <v>-19.862844456636076</v>
      </c>
      <c r="U100" s="565">
        <f t="shared" si="46"/>
        <v>98.243329650262524</v>
      </c>
      <c r="V100" s="565">
        <f t="shared" si="47"/>
        <v>0</v>
      </c>
      <c r="W100" s="565">
        <f t="shared" si="48"/>
        <v>0</v>
      </c>
      <c r="X100" s="565">
        <f t="shared" si="69"/>
        <v>0</v>
      </c>
      <c r="Y100" s="445">
        <f t="shared" si="70"/>
        <v>0</v>
      </c>
      <c r="Z100" s="565">
        <f t="shared" si="71"/>
        <v>0</v>
      </c>
      <c r="AB100" s="553">
        <f t="shared" si="72"/>
        <v>39797</v>
      </c>
      <c r="AC100" s="571">
        <f t="shared" si="49"/>
        <v>2</v>
      </c>
      <c r="AD100" s="565">
        <f t="shared" si="50"/>
        <v>73.7</v>
      </c>
      <c r="AE100" s="565">
        <f t="shared" si="51"/>
        <v>19.399999999999999</v>
      </c>
      <c r="AF100" s="565">
        <f t="shared" si="52"/>
        <v>-94.7</v>
      </c>
      <c r="AG100" s="565">
        <f t="shared" si="53"/>
        <v>0</v>
      </c>
      <c r="AH100" s="565">
        <f t="shared" si="54"/>
        <v>0</v>
      </c>
      <c r="AI100" s="565">
        <f t="shared" si="73"/>
        <v>0</v>
      </c>
      <c r="AJ100" s="445">
        <f t="shared" si="74"/>
        <v>0</v>
      </c>
      <c r="AK100" s="565">
        <f t="shared" si="75"/>
        <v>0</v>
      </c>
      <c r="AM100" s="593">
        <f>LongTerm1!D105</f>
        <v>39797</v>
      </c>
      <c r="AN100" s="594">
        <f>(LongTerm1!BM105+LongTerm1!BL105/(1-LongTerm1!AR105))*(LongTerm1!F105*LongTerm1!AF105*LongTerm1!AH105)/10000</f>
        <v>2.2574787878165758</v>
      </c>
      <c r="AO100" s="594">
        <f>LongTerm1!BM105*(LongTerm1!F105*LongTerm1!AF105*LongTerm1!AH105)/10000</f>
        <v>79.082863643481787</v>
      </c>
      <c r="AP100" s="594">
        <f>(LongTerm1!BL105/(1-LongTerm1!AR105))*(LongTerm1!F105*LongTerm1!AF105*LongTerm1!AH105)/10000</f>
        <v>-76.825384855665206</v>
      </c>
      <c r="AQ100" s="434"/>
      <c r="AV100" s="435"/>
      <c r="AW100" s="435"/>
      <c r="AX100" s="435"/>
      <c r="AY100" s="435"/>
      <c r="AZ100" s="435"/>
      <c r="BA100" s="435"/>
      <c r="BB100" s="435"/>
      <c r="BC100" s="435"/>
      <c r="BD100" s="435"/>
      <c r="BE100" s="435"/>
      <c r="BF100" s="435"/>
      <c r="BG100" s="593">
        <f>LongTerm25!D105</f>
        <v>39859</v>
      </c>
      <c r="BH100" s="594">
        <f>(LongTerm25!BM105+LongTerm25!BL105/(1-LongTerm25!AR105))*(LongTerm25!F105*LongTerm25!AF105*LongTerm25!AH105)/10000</f>
        <v>-0.63028787689423038</v>
      </c>
      <c r="BI100" s="594">
        <f>LongTerm25!BM105*(LongTerm25!F105*LongTerm25!AF105*LongTerm25!AH105)/10000</f>
        <v>17.134595612941606</v>
      </c>
      <c r="BJ100" s="594">
        <f>(LongTerm25!BL105/(1-LongTerm25!AR105))*(LongTerm25!F105*LongTerm25!AF105*LongTerm25!AH105)/10000</f>
        <v>-17.764883489835839</v>
      </c>
      <c r="BK100" s="435"/>
      <c r="BL100" s="435"/>
      <c r="BM100" s="435"/>
      <c r="BN100" s="435"/>
      <c r="BP100" s="434"/>
      <c r="BQ100" s="435"/>
      <c r="BR100" s="435"/>
      <c r="BS100" s="435"/>
      <c r="BT100" s="435"/>
      <c r="BU100" s="434"/>
      <c r="BV100" s="435"/>
      <c r="BW100" s="435"/>
      <c r="BX100" s="435"/>
      <c r="BY100" s="600"/>
      <c r="BZ100" s="434"/>
      <c r="CA100" s="435"/>
      <c r="CB100" s="435"/>
      <c r="CC100" s="435"/>
      <c r="CD100" s="492"/>
      <c r="CE100" s="595">
        <f t="shared" si="76"/>
        <v>39553</v>
      </c>
      <c r="CF100" s="583">
        <v>19.899999999999999</v>
      </c>
      <c r="CG100" s="583">
        <v>106.3</v>
      </c>
      <c r="CH100" s="583">
        <v>-124.6</v>
      </c>
      <c r="CI100" s="583">
        <v>0</v>
      </c>
      <c r="CJ100" s="583">
        <v>0</v>
      </c>
      <c r="CK100" s="583">
        <v>2.1</v>
      </c>
      <c r="CL100" s="583">
        <v>0</v>
      </c>
      <c r="CM100" s="583">
        <v>0</v>
      </c>
      <c r="CN100" s="583">
        <v>0</v>
      </c>
    </row>
    <row r="101" spans="2:92" x14ac:dyDescent="0.25">
      <c r="B101" s="553">
        <f t="shared" si="55"/>
        <v>39828</v>
      </c>
      <c r="C101" s="435">
        <f t="shared" si="56"/>
        <v>2009</v>
      </c>
      <c r="D101" s="445">
        <f t="shared" si="57"/>
        <v>4.4630585840822539</v>
      </c>
      <c r="E101" s="445">
        <f t="shared" si="58"/>
        <v>-3.3412138964533966</v>
      </c>
      <c r="F101" s="445">
        <f t="shared" si="59"/>
        <v>-0.71877944703540564</v>
      </c>
      <c r="G101" s="445">
        <f t="shared" si="60"/>
        <v>4.4230519275710378</v>
      </c>
      <c r="H101" s="445">
        <f t="shared" si="61"/>
        <v>0</v>
      </c>
      <c r="I101" s="445">
        <f t="shared" si="62"/>
        <v>0</v>
      </c>
      <c r="J101" s="447"/>
      <c r="K101" s="447"/>
      <c r="L101" s="447"/>
      <c r="M101" s="445">
        <f t="shared" si="63"/>
        <v>0</v>
      </c>
      <c r="N101" s="565">
        <f t="shared" si="64"/>
        <v>0</v>
      </c>
      <c r="O101" s="565">
        <f t="shared" si="65"/>
        <v>0</v>
      </c>
      <c r="Q101" s="553">
        <f t="shared" si="66"/>
        <v>39828</v>
      </c>
      <c r="R101" s="445">
        <f t="shared" si="67"/>
        <v>1.6630585840822538</v>
      </c>
      <c r="S101" s="565">
        <f t="shared" si="68"/>
        <v>-72.441213896453391</v>
      </c>
      <c r="T101" s="565">
        <f t="shared" si="45"/>
        <v>-19.718779447035406</v>
      </c>
      <c r="U101" s="565">
        <f t="shared" si="46"/>
        <v>93.823051927571044</v>
      </c>
      <c r="V101" s="565">
        <f t="shared" si="47"/>
        <v>0</v>
      </c>
      <c r="W101" s="565">
        <f t="shared" si="48"/>
        <v>0</v>
      </c>
      <c r="X101" s="565">
        <f t="shared" si="69"/>
        <v>0</v>
      </c>
      <c r="Y101" s="445">
        <f t="shared" si="70"/>
        <v>0</v>
      </c>
      <c r="Z101" s="565">
        <f t="shared" si="71"/>
        <v>0</v>
      </c>
      <c r="AB101" s="553">
        <f t="shared" si="72"/>
        <v>39828</v>
      </c>
      <c r="AC101" s="571">
        <f t="shared" si="49"/>
        <v>2.8</v>
      </c>
      <c r="AD101" s="565">
        <f t="shared" si="50"/>
        <v>69.099999999999994</v>
      </c>
      <c r="AE101" s="565">
        <f t="shared" si="51"/>
        <v>19</v>
      </c>
      <c r="AF101" s="565">
        <f t="shared" si="52"/>
        <v>-89.4</v>
      </c>
      <c r="AG101" s="565">
        <f t="shared" si="53"/>
        <v>0</v>
      </c>
      <c r="AH101" s="565">
        <f t="shared" si="54"/>
        <v>0</v>
      </c>
      <c r="AI101" s="565">
        <f t="shared" si="73"/>
        <v>0</v>
      </c>
      <c r="AJ101" s="445">
        <f t="shared" si="74"/>
        <v>0</v>
      </c>
      <c r="AK101" s="565">
        <f t="shared" si="75"/>
        <v>0</v>
      </c>
      <c r="AM101" s="593">
        <f>LongTerm1!D106</f>
        <v>39828</v>
      </c>
      <c r="AN101" s="594">
        <f>(LongTerm1!BM106+LongTerm1!BL106/(1-LongTerm1!AR106))*(LongTerm1!F106*LongTerm1!AF106*LongTerm1!AH106)/10000</f>
        <v>2.3585391108490454</v>
      </c>
      <c r="AO101" s="594">
        <f>LongTerm1!BM106*(LongTerm1!F106*LongTerm1!AF106*LongTerm1!AH106)/10000</f>
        <v>74.799753007302428</v>
      </c>
      <c r="AP101" s="594">
        <f>(LongTerm1!BL106/(1-LongTerm1!AR106))*(LongTerm1!F106*LongTerm1!AF106*LongTerm1!AH106)/10000</f>
        <v>-72.441213896453391</v>
      </c>
      <c r="AQ101" s="434"/>
      <c r="AV101" s="435"/>
      <c r="AW101" s="435"/>
      <c r="AX101" s="435"/>
      <c r="AY101" s="435"/>
      <c r="AZ101" s="435"/>
      <c r="BA101" s="435"/>
      <c r="BB101" s="435"/>
      <c r="BC101" s="435"/>
      <c r="BD101" s="435"/>
      <c r="BE101" s="435"/>
      <c r="BF101" s="435"/>
      <c r="BG101" s="434"/>
      <c r="BH101" s="435"/>
      <c r="BI101" s="435"/>
      <c r="BJ101" s="435"/>
      <c r="BK101" s="435"/>
      <c r="BL101" s="435"/>
      <c r="BM101" s="435"/>
      <c r="BN101" s="435"/>
      <c r="BZ101" s="433"/>
      <c r="CA101" s="433"/>
      <c r="CD101" s="492"/>
      <c r="CE101" s="595">
        <f t="shared" si="76"/>
        <v>39583</v>
      </c>
      <c r="CF101" s="583">
        <v>20.6</v>
      </c>
      <c r="CG101" s="583">
        <v>112.4</v>
      </c>
      <c r="CH101" s="583">
        <v>-131.30000000000001</v>
      </c>
      <c r="CI101" s="583">
        <v>0</v>
      </c>
      <c r="CJ101" s="583">
        <v>0</v>
      </c>
      <c r="CK101" s="583">
        <v>2.1</v>
      </c>
      <c r="CL101" s="583">
        <v>0</v>
      </c>
      <c r="CM101" s="583">
        <v>0</v>
      </c>
      <c r="CN101" s="583">
        <v>0</v>
      </c>
    </row>
    <row r="102" spans="2:92" x14ac:dyDescent="0.25">
      <c r="B102" s="553">
        <f t="shared" si="55"/>
        <v>39859</v>
      </c>
      <c r="C102" s="435">
        <f t="shared" si="56"/>
        <v>2009</v>
      </c>
      <c r="D102" s="445">
        <f t="shared" si="57"/>
        <v>4.0973600903970295</v>
      </c>
      <c r="E102" s="445">
        <f t="shared" si="58"/>
        <v>-4.5317681867949986</v>
      </c>
      <c r="F102" s="445">
        <f t="shared" si="59"/>
        <v>-0.26488348983583876</v>
      </c>
      <c r="G102" s="445">
        <f t="shared" si="60"/>
        <v>4.8940117670278767</v>
      </c>
      <c r="H102" s="445">
        <f t="shared" si="61"/>
        <v>0</v>
      </c>
      <c r="I102" s="445">
        <f t="shared" si="62"/>
        <v>0</v>
      </c>
      <c r="J102" s="447"/>
      <c r="K102" s="447"/>
      <c r="L102" s="447"/>
      <c r="M102" s="445">
        <f t="shared" si="63"/>
        <v>0</v>
      </c>
      <c r="N102" s="565">
        <f t="shared" si="64"/>
        <v>0</v>
      </c>
      <c r="O102" s="565">
        <f t="shared" si="65"/>
        <v>0</v>
      </c>
      <c r="Q102" s="553">
        <f t="shared" si="66"/>
        <v>39859</v>
      </c>
      <c r="R102" s="445">
        <f t="shared" si="67"/>
        <v>1.2973600903970295</v>
      </c>
      <c r="S102" s="565">
        <f t="shared" si="68"/>
        <v>-66.931768186794997</v>
      </c>
      <c r="T102" s="565">
        <f t="shared" si="45"/>
        <v>-17.764883489835839</v>
      </c>
      <c r="U102" s="565">
        <f t="shared" si="46"/>
        <v>85.994011767027871</v>
      </c>
      <c r="V102" s="565">
        <f t="shared" si="47"/>
        <v>0</v>
      </c>
      <c r="W102" s="565">
        <f t="shared" si="48"/>
        <v>0</v>
      </c>
      <c r="X102" s="565">
        <f t="shared" si="69"/>
        <v>0</v>
      </c>
      <c r="Y102" s="445">
        <f t="shared" si="70"/>
        <v>0</v>
      </c>
      <c r="Z102" s="565">
        <f t="shared" si="71"/>
        <v>0</v>
      </c>
      <c r="AB102" s="553">
        <f t="shared" si="72"/>
        <v>39859</v>
      </c>
      <c r="AC102" s="571">
        <f t="shared" si="49"/>
        <v>2.8</v>
      </c>
      <c r="AD102" s="565">
        <f t="shared" si="50"/>
        <v>62.4</v>
      </c>
      <c r="AE102" s="565">
        <f t="shared" si="51"/>
        <v>17.5</v>
      </c>
      <c r="AF102" s="565">
        <f t="shared" si="52"/>
        <v>-81.099999999999994</v>
      </c>
      <c r="AG102" s="565">
        <f t="shared" si="53"/>
        <v>0</v>
      </c>
      <c r="AH102" s="565">
        <f t="shared" si="54"/>
        <v>0</v>
      </c>
      <c r="AI102" s="565">
        <f t="shared" si="73"/>
        <v>0</v>
      </c>
      <c r="AJ102" s="445">
        <f t="shared" si="74"/>
        <v>0</v>
      </c>
      <c r="AK102" s="565">
        <f t="shared" si="75"/>
        <v>0</v>
      </c>
      <c r="AM102" s="593">
        <f>LongTerm1!D107</f>
        <v>39859</v>
      </c>
      <c r="AN102" s="594">
        <f>(LongTerm1!BM107+LongTerm1!BL107/(1-LongTerm1!AR107))*(LongTerm1!F107*LongTerm1!AF107*LongTerm1!AH107)/10000</f>
        <v>1.9276479672912599</v>
      </c>
      <c r="AO102" s="594">
        <f>LongTerm1!BM107*(LongTerm1!F107*LongTerm1!AF107*LongTerm1!AH107)/10000</f>
        <v>68.859416154086261</v>
      </c>
      <c r="AP102" s="594">
        <f>(LongTerm1!BL107/(1-LongTerm1!AR107))*(LongTerm1!F107*LongTerm1!AF107*LongTerm1!AH107)/10000</f>
        <v>-66.931768186794997</v>
      </c>
      <c r="AQ102" s="434"/>
      <c r="AV102" s="435"/>
      <c r="AW102" s="435"/>
      <c r="AX102" s="435"/>
      <c r="AY102" s="435"/>
      <c r="AZ102" s="435"/>
      <c r="BA102" s="435"/>
      <c r="BB102" s="435"/>
      <c r="BC102" s="435"/>
      <c r="BD102" s="435"/>
      <c r="BE102" s="435"/>
      <c r="BF102" s="435"/>
      <c r="BG102" s="434"/>
      <c r="BH102" s="435"/>
      <c r="BI102" s="435"/>
      <c r="BJ102" s="435"/>
      <c r="BK102" s="435"/>
      <c r="BL102" s="435"/>
      <c r="BM102" s="435"/>
      <c r="BN102" s="435"/>
      <c r="BZ102" s="433"/>
      <c r="CA102" s="433"/>
      <c r="CD102" s="492"/>
      <c r="CE102" s="595">
        <f t="shared" si="76"/>
        <v>39614</v>
      </c>
      <c r="CF102" s="583">
        <v>19.5</v>
      </c>
      <c r="CG102" s="583">
        <v>107.4</v>
      </c>
      <c r="CH102" s="583">
        <v>-126</v>
      </c>
      <c r="CI102" s="583">
        <v>0</v>
      </c>
      <c r="CJ102" s="583">
        <v>0</v>
      </c>
      <c r="CK102" s="583">
        <v>2.1</v>
      </c>
      <c r="CL102" s="583">
        <v>0</v>
      </c>
      <c r="CM102" s="583">
        <v>0</v>
      </c>
      <c r="CN102" s="583">
        <v>0</v>
      </c>
    </row>
    <row r="103" spans="2:92" x14ac:dyDescent="0.25">
      <c r="B103" s="553">
        <f t="shared" si="55"/>
        <v>39887</v>
      </c>
      <c r="C103" s="435">
        <f t="shared" si="56"/>
        <v>2009</v>
      </c>
      <c r="D103" s="445">
        <f t="shared" si="57"/>
        <v>2.9596675544276136</v>
      </c>
      <c r="E103" s="445">
        <f t="shared" si="58"/>
        <v>-7.3300053831250551</v>
      </c>
      <c r="F103" s="445">
        <f t="shared" si="59"/>
        <v>-1.6446386877942487</v>
      </c>
      <c r="G103" s="445">
        <f t="shared" si="60"/>
        <v>8.4343116253469219</v>
      </c>
      <c r="H103" s="445">
        <f t="shared" si="61"/>
        <v>0</v>
      </c>
      <c r="I103" s="445">
        <f t="shared" si="62"/>
        <v>0</v>
      </c>
      <c r="J103" s="447"/>
      <c r="K103" s="447"/>
      <c r="L103" s="447"/>
      <c r="M103" s="445">
        <f t="shared" si="63"/>
        <v>0</v>
      </c>
      <c r="N103" s="565">
        <f t="shared" si="64"/>
        <v>0</v>
      </c>
      <c r="O103" s="565">
        <f t="shared" si="65"/>
        <v>0</v>
      </c>
      <c r="Q103" s="553">
        <f t="shared" si="66"/>
        <v>39887</v>
      </c>
      <c r="R103" s="445">
        <f t="shared" si="67"/>
        <v>0.1596675544276136</v>
      </c>
      <c r="S103" s="565">
        <f t="shared" si="68"/>
        <v>-82.730005383125061</v>
      </c>
      <c r="T103" s="565">
        <f t="shared" si="45"/>
        <v>-31.644638687794249</v>
      </c>
      <c r="U103" s="565">
        <f t="shared" si="46"/>
        <v>114.53431162534692</v>
      </c>
      <c r="V103" s="565">
        <f t="shared" si="47"/>
        <v>0</v>
      </c>
      <c r="W103" s="565">
        <f t="shared" si="48"/>
        <v>0</v>
      </c>
      <c r="X103" s="565">
        <f t="shared" si="69"/>
        <v>0</v>
      </c>
      <c r="Y103" s="445">
        <f t="shared" si="70"/>
        <v>0</v>
      </c>
      <c r="Z103" s="565">
        <f t="shared" si="71"/>
        <v>0</v>
      </c>
      <c r="AB103" s="553">
        <f t="shared" si="72"/>
        <v>39887</v>
      </c>
      <c r="AC103" s="571">
        <f t="shared" si="49"/>
        <v>2.8</v>
      </c>
      <c r="AD103" s="565">
        <f t="shared" si="50"/>
        <v>75.400000000000006</v>
      </c>
      <c r="AE103" s="565">
        <f t="shared" si="51"/>
        <v>30</v>
      </c>
      <c r="AF103" s="565">
        <f t="shared" si="52"/>
        <v>-106.1</v>
      </c>
      <c r="AG103" s="565">
        <f t="shared" si="53"/>
        <v>0</v>
      </c>
      <c r="AH103" s="565">
        <f t="shared" si="54"/>
        <v>0</v>
      </c>
      <c r="AI103" s="565">
        <f t="shared" si="73"/>
        <v>0</v>
      </c>
      <c r="AJ103" s="445">
        <f t="shared" si="74"/>
        <v>0</v>
      </c>
      <c r="AK103" s="565">
        <f t="shared" si="75"/>
        <v>0</v>
      </c>
      <c r="AM103" s="593">
        <f>LongTerm1!D108</f>
        <v>39887</v>
      </c>
      <c r="AN103" s="594">
        <f>(LongTerm1!BM108+LongTerm1!BL108/(1-LongTerm1!AR108))*(LongTerm1!F108*LongTerm1!AF108*LongTerm1!AH108)/10000</f>
        <v>1.2881819109731203</v>
      </c>
      <c r="AO103" s="594">
        <f>LongTerm1!BM108*(LongTerm1!F108*LongTerm1!AF108*LongTerm1!AH108)/10000</f>
        <v>84.018187294098183</v>
      </c>
      <c r="AP103" s="594">
        <f>(LongTerm1!BL108/(1-LongTerm1!AR108))*(LongTerm1!F108*LongTerm1!AF108*LongTerm1!AH108)/10000</f>
        <v>-82.730005383125061</v>
      </c>
      <c r="AQ103" s="434"/>
      <c r="AV103" s="435"/>
      <c r="AW103" s="435"/>
      <c r="AX103" s="435"/>
      <c r="AY103" s="435"/>
      <c r="AZ103" s="435"/>
      <c r="BA103" s="435"/>
      <c r="BB103" s="435"/>
      <c r="BC103" s="435"/>
      <c r="BD103" s="435"/>
      <c r="BE103" s="435"/>
      <c r="BF103" s="435"/>
      <c r="BG103" s="434"/>
      <c r="BH103" s="435"/>
      <c r="BI103" s="435"/>
      <c r="BJ103" s="435"/>
      <c r="BK103" s="435"/>
      <c r="BL103" s="435"/>
      <c r="BM103" s="435"/>
      <c r="BN103" s="435"/>
      <c r="BZ103" s="433"/>
      <c r="CA103" s="433"/>
      <c r="CD103" s="492"/>
      <c r="CE103" s="595">
        <f t="shared" si="76"/>
        <v>39644</v>
      </c>
      <c r="CF103" s="583">
        <v>20.2</v>
      </c>
      <c r="CG103" s="583">
        <v>107.6</v>
      </c>
      <c r="CH103" s="583">
        <v>-126.1</v>
      </c>
      <c r="CI103" s="583">
        <v>0</v>
      </c>
      <c r="CJ103" s="583">
        <v>0</v>
      </c>
      <c r="CK103" s="583">
        <v>2.1</v>
      </c>
      <c r="CL103" s="583">
        <v>0</v>
      </c>
      <c r="CM103" s="583">
        <v>0</v>
      </c>
      <c r="CN103" s="583">
        <v>0</v>
      </c>
    </row>
    <row r="104" spans="2:92" x14ac:dyDescent="0.25">
      <c r="B104" s="553">
        <f t="shared" si="55"/>
        <v>39918</v>
      </c>
      <c r="C104" s="435">
        <f t="shared" si="56"/>
        <v>2009</v>
      </c>
      <c r="D104" s="445">
        <f t="shared" si="57"/>
        <v>-1.8949148724883895</v>
      </c>
      <c r="E104" s="445">
        <f t="shared" si="58"/>
        <v>-13.355929795640094</v>
      </c>
      <c r="F104" s="445">
        <f t="shared" si="59"/>
        <v>-1.3819676998883317</v>
      </c>
      <c r="G104" s="445">
        <f t="shared" si="60"/>
        <v>14.242982623040049</v>
      </c>
      <c r="H104" s="445">
        <f t="shared" si="61"/>
        <v>0</v>
      </c>
      <c r="I104" s="445">
        <f t="shared" si="62"/>
        <v>0</v>
      </c>
      <c r="J104" s="447"/>
      <c r="K104" s="447"/>
      <c r="L104" s="447"/>
      <c r="M104" s="445">
        <f t="shared" si="63"/>
        <v>0</v>
      </c>
      <c r="N104" s="565">
        <f t="shared" si="64"/>
        <v>0</v>
      </c>
      <c r="O104" s="565">
        <f t="shared" si="65"/>
        <v>0</v>
      </c>
      <c r="Q104" s="553">
        <f t="shared" si="66"/>
        <v>39918</v>
      </c>
      <c r="R104" s="445">
        <f t="shared" si="67"/>
        <v>-1.8949148724883895</v>
      </c>
      <c r="S104" s="565">
        <f t="shared" si="68"/>
        <v>-109.2559297956401</v>
      </c>
      <c r="T104" s="565">
        <f t="shared" si="45"/>
        <v>-30.581967699888331</v>
      </c>
      <c r="U104" s="565">
        <f t="shared" si="46"/>
        <v>137.94298262304005</v>
      </c>
      <c r="V104" s="565">
        <f t="shared" si="47"/>
        <v>0</v>
      </c>
      <c r="W104" s="565">
        <f t="shared" si="48"/>
        <v>0</v>
      </c>
      <c r="X104" s="565">
        <f t="shared" si="69"/>
        <v>0</v>
      </c>
      <c r="Y104" s="445">
        <f t="shared" si="70"/>
        <v>0</v>
      </c>
      <c r="Z104" s="565">
        <f t="shared" si="71"/>
        <v>0</v>
      </c>
      <c r="AB104" s="553">
        <f t="shared" si="72"/>
        <v>39918</v>
      </c>
      <c r="AC104" s="571">
        <f t="shared" si="49"/>
        <v>0</v>
      </c>
      <c r="AD104" s="565">
        <f t="shared" si="50"/>
        <v>95.9</v>
      </c>
      <c r="AE104" s="565">
        <f t="shared" si="51"/>
        <v>29.2</v>
      </c>
      <c r="AF104" s="565">
        <f t="shared" si="52"/>
        <v>-123.7</v>
      </c>
      <c r="AG104" s="565">
        <f t="shared" si="53"/>
        <v>0</v>
      </c>
      <c r="AH104" s="565">
        <f t="shared" si="54"/>
        <v>0</v>
      </c>
      <c r="AI104" s="565">
        <f t="shared" si="73"/>
        <v>0</v>
      </c>
      <c r="AJ104" s="445">
        <f t="shared" si="74"/>
        <v>0</v>
      </c>
      <c r="AK104" s="565">
        <f t="shared" si="75"/>
        <v>0</v>
      </c>
      <c r="AM104" s="593">
        <f>LongTerm1!D109</f>
        <v>39918</v>
      </c>
      <c r="AN104" s="594">
        <f>(LongTerm1!BM109+LongTerm1!BL109/(1-LongTerm1!AR109))*(LongTerm1!F109*LongTerm1!AF109*LongTerm1!AH109)/10000</f>
        <v>-0.79436782469049172</v>
      </c>
      <c r="AO104" s="594">
        <f>LongTerm1!BM109*(LongTerm1!F109*LongTerm1!AF109*LongTerm1!AH109)/10000</f>
        <v>108.46156197094962</v>
      </c>
      <c r="AP104" s="594">
        <f>(LongTerm1!BL109/(1-LongTerm1!AR109))*(LongTerm1!F109*LongTerm1!AF109*LongTerm1!AH109)/10000</f>
        <v>-109.2559297956401</v>
      </c>
      <c r="AQ104" s="434"/>
      <c r="AV104" s="435"/>
      <c r="AW104" s="435"/>
      <c r="AX104" s="435"/>
      <c r="AY104" s="435"/>
      <c r="AZ104" s="435"/>
      <c r="BA104" s="435"/>
      <c r="BB104" s="435"/>
      <c r="BC104" s="435"/>
      <c r="BD104" s="435"/>
      <c r="BE104" s="435"/>
      <c r="BF104" s="435"/>
      <c r="BG104" s="434"/>
      <c r="BH104" s="435"/>
      <c r="BI104" s="435"/>
      <c r="BJ104" s="435"/>
      <c r="BK104" s="435"/>
      <c r="BL104" s="435"/>
      <c r="BM104" s="435"/>
      <c r="BN104" s="435"/>
      <c r="BZ104" s="433"/>
      <c r="CA104" s="433"/>
      <c r="CD104" s="492"/>
      <c r="CE104" s="595">
        <f t="shared" si="76"/>
        <v>39675</v>
      </c>
      <c r="CF104" s="583">
        <v>19.899999999999999</v>
      </c>
      <c r="CG104" s="583">
        <v>103.4</v>
      </c>
      <c r="CH104" s="583">
        <v>-122.5</v>
      </c>
      <c r="CI104" s="583">
        <v>0</v>
      </c>
      <c r="CJ104" s="583">
        <v>0</v>
      </c>
      <c r="CK104" s="583">
        <v>2.1</v>
      </c>
      <c r="CL104" s="583">
        <v>0</v>
      </c>
      <c r="CM104" s="583">
        <v>0</v>
      </c>
      <c r="CN104" s="583">
        <v>0</v>
      </c>
    </row>
    <row r="105" spans="2:92" x14ac:dyDescent="0.25">
      <c r="B105" s="553">
        <f t="shared" si="55"/>
        <v>39948</v>
      </c>
      <c r="C105" s="435">
        <f t="shared" si="56"/>
        <v>2009</v>
      </c>
      <c r="D105" s="445">
        <f t="shared" si="57"/>
        <v>-1.6998072681549883</v>
      </c>
      <c r="E105" s="445">
        <f t="shared" si="58"/>
        <v>-6.2734250399231257</v>
      </c>
      <c r="F105" s="445">
        <f t="shared" si="59"/>
        <v>-1.7254621579647775</v>
      </c>
      <c r="G105" s="445">
        <f t="shared" si="60"/>
        <v>7.599079929732909</v>
      </c>
      <c r="H105" s="445">
        <f t="shared" si="61"/>
        <v>0</v>
      </c>
      <c r="I105" s="445">
        <f t="shared" si="62"/>
        <v>0</v>
      </c>
      <c r="J105" s="447"/>
      <c r="K105" s="447"/>
      <c r="L105" s="447"/>
      <c r="M105" s="445">
        <f t="shared" si="63"/>
        <v>0</v>
      </c>
      <c r="N105" s="565">
        <f t="shared" si="64"/>
        <v>0</v>
      </c>
      <c r="O105" s="565">
        <f t="shared" si="65"/>
        <v>0</v>
      </c>
      <c r="Q105" s="553">
        <f t="shared" si="66"/>
        <v>39948</v>
      </c>
      <c r="R105" s="445">
        <f t="shared" si="67"/>
        <v>-1.6998072681549883</v>
      </c>
      <c r="S105" s="565">
        <f t="shared" si="68"/>
        <v>-108.57342503992312</v>
      </c>
      <c r="T105" s="565">
        <f t="shared" si="45"/>
        <v>-31.425462157964777</v>
      </c>
      <c r="U105" s="565">
        <f t="shared" si="46"/>
        <v>138.2990799297329</v>
      </c>
      <c r="V105" s="565">
        <f t="shared" si="47"/>
        <v>0</v>
      </c>
      <c r="W105" s="565">
        <f t="shared" si="48"/>
        <v>0</v>
      </c>
      <c r="X105" s="565">
        <f t="shared" si="69"/>
        <v>0</v>
      </c>
      <c r="Y105" s="445">
        <f t="shared" si="70"/>
        <v>0</v>
      </c>
      <c r="Z105" s="565">
        <f t="shared" si="71"/>
        <v>0</v>
      </c>
      <c r="AB105" s="553">
        <f t="shared" si="72"/>
        <v>39948</v>
      </c>
      <c r="AC105" s="571">
        <f t="shared" si="49"/>
        <v>0</v>
      </c>
      <c r="AD105" s="565">
        <f t="shared" si="50"/>
        <v>102.3</v>
      </c>
      <c r="AE105" s="565">
        <f t="shared" si="51"/>
        <v>29.7</v>
      </c>
      <c r="AF105" s="565">
        <f t="shared" si="52"/>
        <v>-130.69999999999999</v>
      </c>
      <c r="AG105" s="565">
        <f t="shared" si="53"/>
        <v>0</v>
      </c>
      <c r="AH105" s="565">
        <f t="shared" si="54"/>
        <v>0</v>
      </c>
      <c r="AI105" s="565">
        <f t="shared" si="73"/>
        <v>0</v>
      </c>
      <c r="AJ105" s="445">
        <f t="shared" si="74"/>
        <v>0</v>
      </c>
      <c r="AK105" s="565">
        <f t="shared" si="75"/>
        <v>0</v>
      </c>
      <c r="AM105" s="593">
        <f>LongTerm1!D110</f>
        <v>39948</v>
      </c>
      <c r="AN105" s="594">
        <f>(LongTerm1!BM110+LongTerm1!BL110/(1-LongTerm1!AR110))*(LongTerm1!F110*LongTerm1!AF110*LongTerm1!AH110)/10000</f>
        <v>-0.56914000518643881</v>
      </c>
      <c r="AO105" s="594">
        <f>LongTerm1!BM110*(LongTerm1!F110*LongTerm1!AF110*LongTerm1!AH110)/10000</f>
        <v>108.00428503473667</v>
      </c>
      <c r="AP105" s="594">
        <f>(LongTerm1!BL110/(1-LongTerm1!AR110))*(LongTerm1!F110*LongTerm1!AF110*LongTerm1!AH110)/10000</f>
        <v>-108.57342503992312</v>
      </c>
      <c r="AQ105" s="434"/>
      <c r="AV105" s="435"/>
      <c r="AW105" s="435"/>
      <c r="AX105" s="435"/>
      <c r="AY105" s="435"/>
      <c r="AZ105" s="435"/>
      <c r="BA105" s="435"/>
      <c r="BB105" s="435"/>
      <c r="BC105" s="435"/>
      <c r="BD105" s="435"/>
      <c r="BE105" s="435"/>
      <c r="BF105" s="435"/>
      <c r="BG105" s="434"/>
      <c r="BH105" s="435"/>
      <c r="BI105" s="435"/>
      <c r="BJ105" s="435"/>
      <c r="BK105" s="435"/>
      <c r="BL105" s="435"/>
      <c r="BM105" s="435"/>
      <c r="BN105" s="435"/>
      <c r="BZ105" s="433"/>
      <c r="CA105" s="433"/>
      <c r="CD105" s="492"/>
      <c r="CE105" s="595">
        <f t="shared" si="76"/>
        <v>39706</v>
      </c>
      <c r="CF105" s="583">
        <v>18.899999999999999</v>
      </c>
      <c r="CG105" s="583">
        <v>99.3</v>
      </c>
      <c r="CH105" s="583">
        <v>-117.2</v>
      </c>
      <c r="CI105" s="583">
        <v>0</v>
      </c>
      <c r="CJ105" s="583">
        <v>0</v>
      </c>
      <c r="CK105" s="583">
        <v>2.1</v>
      </c>
      <c r="CL105" s="583">
        <v>0</v>
      </c>
      <c r="CM105" s="583">
        <v>0</v>
      </c>
      <c r="CN105" s="583">
        <v>0</v>
      </c>
    </row>
    <row r="106" spans="2:92" x14ac:dyDescent="0.25">
      <c r="B106" s="553">
        <f t="shared" si="55"/>
        <v>39979</v>
      </c>
      <c r="C106" s="435">
        <f t="shared" si="56"/>
        <v>2009</v>
      </c>
      <c r="D106" s="445" t="e">
        <f t="shared" si="57"/>
        <v>#N/A</v>
      </c>
      <c r="E106" s="445" t="e">
        <f t="shared" si="58"/>
        <v>#N/A</v>
      </c>
      <c r="F106" s="445" t="e">
        <f t="shared" si="59"/>
        <v>#N/A</v>
      </c>
      <c r="G106" s="445" t="e">
        <f t="shared" si="60"/>
        <v>#N/A</v>
      </c>
      <c r="H106" s="445" t="e">
        <f t="shared" si="61"/>
        <v>#N/A</v>
      </c>
      <c r="I106" s="445" t="e">
        <f t="shared" si="62"/>
        <v>#N/A</v>
      </c>
      <c r="J106" s="447"/>
      <c r="K106" s="447"/>
      <c r="L106" s="447"/>
      <c r="M106" s="445" t="e">
        <f t="shared" si="63"/>
        <v>#N/A</v>
      </c>
      <c r="N106" s="565" t="e">
        <f t="shared" si="64"/>
        <v>#N/A</v>
      </c>
      <c r="O106" s="565" t="e">
        <f t="shared" si="65"/>
        <v>#N/A</v>
      </c>
      <c r="Q106" s="553">
        <f t="shared" si="66"/>
        <v>39979</v>
      </c>
      <c r="R106" s="445">
        <f t="shared" si="67"/>
        <v>0</v>
      </c>
      <c r="S106" s="565">
        <f t="shared" si="68"/>
        <v>0</v>
      </c>
      <c r="T106" s="565">
        <f t="shared" si="45"/>
        <v>0</v>
      </c>
      <c r="U106" s="565">
        <f t="shared" si="46"/>
        <v>0</v>
      </c>
      <c r="V106" s="565">
        <f t="shared" si="47"/>
        <v>0</v>
      </c>
      <c r="W106" s="565">
        <f t="shared" si="48"/>
        <v>0</v>
      </c>
      <c r="X106" s="565">
        <f t="shared" si="69"/>
        <v>0</v>
      </c>
      <c r="Y106" s="445">
        <f t="shared" si="70"/>
        <v>0</v>
      </c>
      <c r="Z106" s="565">
        <f t="shared" si="71"/>
        <v>0</v>
      </c>
      <c r="AB106" s="553">
        <f t="shared" si="72"/>
        <v>39979</v>
      </c>
      <c r="AC106" s="571" t="e">
        <f t="shared" si="49"/>
        <v>#N/A</v>
      </c>
      <c r="AD106" s="565" t="e">
        <f t="shared" si="50"/>
        <v>#N/A</v>
      </c>
      <c r="AE106" s="565" t="e">
        <f t="shared" si="51"/>
        <v>#N/A</v>
      </c>
      <c r="AF106" s="565" t="e">
        <f t="shared" si="52"/>
        <v>#N/A</v>
      </c>
      <c r="AG106" s="565" t="e">
        <f t="shared" si="53"/>
        <v>#N/A</v>
      </c>
      <c r="AH106" s="565" t="e">
        <f t="shared" si="54"/>
        <v>#N/A</v>
      </c>
      <c r="AI106" s="565" t="e">
        <f t="shared" si="73"/>
        <v>#N/A</v>
      </c>
      <c r="AJ106" s="445" t="e">
        <f t="shared" si="74"/>
        <v>#N/A</v>
      </c>
      <c r="AK106" s="565" t="e">
        <f t="shared" si="75"/>
        <v>#N/A</v>
      </c>
      <c r="AM106" s="593">
        <f>LongTerm1!D111</f>
        <v>39979</v>
      </c>
      <c r="AN106" s="594">
        <f>(LongTerm1!BM111+LongTerm1!BL111/(1-LongTerm1!AR111))*(LongTerm1!F111*LongTerm1!AF111*LongTerm1!AH111)/10000</f>
        <v>0</v>
      </c>
      <c r="AO106" s="594">
        <f>LongTerm1!BM111*(LongTerm1!F111*LongTerm1!AF111*LongTerm1!AH111)/10000</f>
        <v>0</v>
      </c>
      <c r="AP106" s="594">
        <f>(LongTerm1!BL111/(1-LongTerm1!AR111))*(LongTerm1!F111*LongTerm1!AF111*LongTerm1!AH111)/10000</f>
        <v>0</v>
      </c>
      <c r="AQ106" s="434"/>
      <c r="AV106" s="435"/>
      <c r="AW106" s="435"/>
      <c r="AX106" s="435"/>
      <c r="AY106" s="435"/>
      <c r="AZ106" s="435"/>
      <c r="BA106" s="435"/>
      <c r="BB106" s="435"/>
      <c r="BC106" s="435"/>
      <c r="BD106" s="435"/>
      <c r="BE106" s="435"/>
      <c r="BF106" s="435"/>
      <c r="BG106" s="435"/>
      <c r="BH106" s="435"/>
      <c r="BI106" s="435"/>
      <c r="BJ106" s="435"/>
      <c r="BK106" s="435"/>
      <c r="BL106" s="435"/>
      <c r="BM106" s="435"/>
      <c r="BN106" s="435"/>
      <c r="BZ106" s="433"/>
      <c r="CA106" s="433"/>
      <c r="CD106" s="492"/>
      <c r="CE106" s="595">
        <f t="shared" si="76"/>
        <v>39736</v>
      </c>
      <c r="CF106" s="583">
        <v>19.5</v>
      </c>
      <c r="CG106" s="583">
        <v>99.5</v>
      </c>
      <c r="CH106" s="583">
        <v>-118.1</v>
      </c>
      <c r="CI106" s="583">
        <v>0</v>
      </c>
      <c r="CJ106" s="583">
        <v>0</v>
      </c>
      <c r="CK106" s="583">
        <v>2</v>
      </c>
      <c r="CL106" s="583">
        <v>0</v>
      </c>
      <c r="CM106" s="583">
        <v>0</v>
      </c>
      <c r="CN106" s="583">
        <v>0</v>
      </c>
    </row>
    <row r="107" spans="2:92" x14ac:dyDescent="0.25">
      <c r="B107" s="553">
        <f t="shared" si="55"/>
        <v>40009</v>
      </c>
      <c r="C107" s="435">
        <f t="shared" si="56"/>
        <v>2009</v>
      </c>
      <c r="D107" s="445">
        <f t="shared" si="57"/>
        <v>0</v>
      </c>
      <c r="E107" s="445">
        <f t="shared" si="58"/>
        <v>0</v>
      </c>
      <c r="F107" s="445">
        <f t="shared" si="59"/>
        <v>0</v>
      </c>
      <c r="G107" s="445">
        <f t="shared" si="60"/>
        <v>0</v>
      </c>
      <c r="H107" s="445">
        <f t="shared" si="61"/>
        <v>0</v>
      </c>
      <c r="I107" s="445">
        <f t="shared" si="62"/>
        <v>0</v>
      </c>
      <c r="J107" s="447"/>
      <c r="K107" s="447"/>
      <c r="L107" s="447"/>
      <c r="M107" s="445">
        <f t="shared" si="63"/>
        <v>0</v>
      </c>
      <c r="N107" s="565">
        <f t="shared" si="64"/>
        <v>0</v>
      </c>
      <c r="O107" s="565">
        <f t="shared" si="65"/>
        <v>0</v>
      </c>
      <c r="Q107" s="553">
        <f t="shared" si="66"/>
        <v>40009</v>
      </c>
      <c r="R107" s="445">
        <f t="shared" si="67"/>
        <v>0</v>
      </c>
      <c r="S107" s="565">
        <f t="shared" si="68"/>
        <v>0</v>
      </c>
      <c r="T107" s="565">
        <f t="shared" si="45"/>
        <v>0</v>
      </c>
      <c r="U107" s="565">
        <f t="shared" si="46"/>
        <v>0</v>
      </c>
      <c r="V107" s="565">
        <f t="shared" si="47"/>
        <v>0</v>
      </c>
      <c r="W107" s="565">
        <f t="shared" si="48"/>
        <v>0</v>
      </c>
      <c r="X107" s="565">
        <f t="shared" si="69"/>
        <v>0</v>
      </c>
      <c r="Y107" s="445">
        <f t="shared" si="70"/>
        <v>0</v>
      </c>
      <c r="Z107" s="565">
        <f t="shared" si="71"/>
        <v>0</v>
      </c>
      <c r="AB107" s="553">
        <f t="shared" si="72"/>
        <v>40009</v>
      </c>
      <c r="AC107" s="571"/>
      <c r="AD107" s="565"/>
      <c r="AE107" s="565"/>
      <c r="AF107" s="565"/>
      <c r="AG107" s="565"/>
      <c r="AH107" s="565"/>
      <c r="AI107" s="565"/>
      <c r="AJ107" s="445"/>
      <c r="AK107" s="565"/>
      <c r="AM107" s="593">
        <f>LongTerm1!D112</f>
        <v>39979</v>
      </c>
      <c r="AN107" s="594">
        <f>(LongTerm1!BM112+LongTerm1!BL112/(1-LongTerm1!AR112))*(LongTerm1!F112*LongTerm1!AF112*LongTerm1!AH112)/10000</f>
        <v>0</v>
      </c>
      <c r="AO107" s="594">
        <f>LongTerm1!BM112*(LongTerm1!F112*LongTerm1!AF112*LongTerm1!AH112)/10000</f>
        <v>0</v>
      </c>
      <c r="AP107" s="594">
        <f>(LongTerm1!BL112/(1-LongTerm1!AR112))*(LongTerm1!F112*LongTerm1!AF112*LongTerm1!AH112)/10000</f>
        <v>0</v>
      </c>
      <c r="AQ107" s="434"/>
      <c r="AV107" s="435"/>
      <c r="AW107" s="435"/>
      <c r="AX107" s="435"/>
      <c r="AY107" s="435"/>
      <c r="AZ107" s="435"/>
      <c r="BA107" s="435"/>
      <c r="BB107" s="435"/>
      <c r="BC107" s="435"/>
      <c r="BD107" s="435"/>
      <c r="BE107" s="435"/>
      <c r="BF107" s="435"/>
      <c r="BG107" s="435"/>
      <c r="BH107" s="435"/>
      <c r="BI107" s="435"/>
      <c r="BJ107" s="435"/>
      <c r="BK107" s="435"/>
      <c r="BL107" s="435"/>
      <c r="BM107" s="435"/>
      <c r="BN107" s="435"/>
      <c r="BZ107" s="433"/>
      <c r="CA107" s="433"/>
      <c r="CD107" s="492"/>
      <c r="CE107" s="595">
        <f t="shared" si="76"/>
        <v>39767</v>
      </c>
      <c r="CF107" s="583">
        <v>18.899999999999999</v>
      </c>
      <c r="CG107" s="583">
        <v>80.400000000000006</v>
      </c>
      <c r="CH107" s="583">
        <v>-99.9</v>
      </c>
      <c r="CI107" s="583">
        <v>0</v>
      </c>
      <c r="CJ107" s="583">
        <v>0</v>
      </c>
      <c r="CK107" s="583">
        <v>2</v>
      </c>
      <c r="CL107" s="583">
        <v>0</v>
      </c>
      <c r="CM107" s="583">
        <v>0</v>
      </c>
      <c r="CN107" s="583">
        <v>0</v>
      </c>
    </row>
    <row r="108" spans="2:92" x14ac:dyDescent="0.25">
      <c r="B108" s="553">
        <f t="shared" si="55"/>
        <v>40040</v>
      </c>
      <c r="C108" s="435">
        <f t="shared" si="56"/>
        <v>2009</v>
      </c>
      <c r="D108" s="445">
        <f t="shared" si="57"/>
        <v>0</v>
      </c>
      <c r="E108" s="445">
        <f t="shared" si="58"/>
        <v>0</v>
      </c>
      <c r="F108" s="445">
        <f t="shared" si="59"/>
        <v>0</v>
      </c>
      <c r="G108" s="445">
        <f t="shared" si="60"/>
        <v>0</v>
      </c>
      <c r="H108" s="445">
        <f t="shared" si="61"/>
        <v>0</v>
      </c>
      <c r="I108" s="445">
        <f t="shared" si="62"/>
        <v>0</v>
      </c>
      <c r="J108" s="447"/>
      <c r="K108" s="447"/>
      <c r="L108" s="447"/>
      <c r="M108" s="445">
        <f t="shared" si="63"/>
        <v>0</v>
      </c>
      <c r="N108" s="565">
        <f t="shared" si="64"/>
        <v>0</v>
      </c>
      <c r="O108" s="565">
        <f t="shared" si="65"/>
        <v>0</v>
      </c>
      <c r="Q108" s="553">
        <f t="shared" si="66"/>
        <v>40040</v>
      </c>
      <c r="R108" s="445">
        <f t="shared" si="67"/>
        <v>0</v>
      </c>
      <c r="S108" s="565">
        <f t="shared" si="68"/>
        <v>0</v>
      </c>
      <c r="T108" s="565">
        <f t="shared" si="45"/>
        <v>0</v>
      </c>
      <c r="U108" s="565">
        <f t="shared" si="46"/>
        <v>0</v>
      </c>
      <c r="V108" s="565">
        <f t="shared" si="47"/>
        <v>0</v>
      </c>
      <c r="W108" s="565">
        <f t="shared" si="48"/>
        <v>0</v>
      </c>
      <c r="X108" s="565">
        <f t="shared" si="69"/>
        <v>0</v>
      </c>
      <c r="Y108" s="445">
        <f t="shared" si="70"/>
        <v>0</v>
      </c>
      <c r="Z108" s="565">
        <f t="shared" si="71"/>
        <v>0</v>
      </c>
      <c r="AB108" s="553">
        <f t="shared" si="72"/>
        <v>40040</v>
      </c>
      <c r="AC108" s="571"/>
      <c r="AD108" s="565"/>
      <c r="AE108" s="565"/>
      <c r="AF108" s="565"/>
      <c r="AG108" s="565"/>
      <c r="AH108" s="565"/>
      <c r="AI108" s="565"/>
      <c r="AJ108" s="445"/>
      <c r="AK108" s="565"/>
      <c r="AM108" s="593">
        <f>LongTerm1!D113</f>
        <v>39979</v>
      </c>
      <c r="AN108" s="594">
        <f>(LongTerm1!BM113+LongTerm1!BL113/(1-LongTerm1!AR113))*(LongTerm1!F113*LongTerm1!AF113*LongTerm1!AH113)/10000</f>
        <v>0</v>
      </c>
      <c r="AO108" s="594">
        <f>LongTerm1!BM113*(LongTerm1!F113*LongTerm1!AF113*LongTerm1!AH113)/10000</f>
        <v>0</v>
      </c>
      <c r="AP108" s="594">
        <f>(LongTerm1!BL113/(1-LongTerm1!AR113))*(LongTerm1!F113*LongTerm1!AF113*LongTerm1!AH113)/10000</f>
        <v>0</v>
      </c>
      <c r="AQ108" s="434"/>
      <c r="AV108" s="435"/>
      <c r="AW108" s="435"/>
      <c r="AX108" s="435"/>
      <c r="AY108" s="435"/>
      <c r="AZ108" s="435"/>
      <c r="BA108" s="435"/>
      <c r="BB108" s="435"/>
      <c r="BC108" s="435"/>
      <c r="BD108" s="435"/>
      <c r="BE108" s="435"/>
      <c r="BF108" s="435"/>
      <c r="BG108" s="435"/>
      <c r="BH108" s="435"/>
      <c r="BI108" s="435"/>
      <c r="BJ108" s="435"/>
      <c r="BK108" s="435"/>
      <c r="BL108" s="435"/>
      <c r="BM108" s="435"/>
      <c r="BN108" s="435"/>
      <c r="BZ108" s="433"/>
      <c r="CA108" s="433"/>
      <c r="CD108" s="492"/>
      <c r="CE108" s="595">
        <f t="shared" si="76"/>
        <v>39797</v>
      </c>
      <c r="CF108" s="583">
        <v>19.399999999999999</v>
      </c>
      <c r="CG108" s="583">
        <v>73.7</v>
      </c>
      <c r="CH108" s="583">
        <v>-94.7</v>
      </c>
      <c r="CI108" s="583">
        <v>0</v>
      </c>
      <c r="CJ108" s="583">
        <v>0</v>
      </c>
      <c r="CK108" s="583">
        <v>2</v>
      </c>
      <c r="CL108" s="583">
        <v>0</v>
      </c>
      <c r="CM108" s="583">
        <v>0</v>
      </c>
      <c r="CN108" s="583">
        <v>0</v>
      </c>
    </row>
    <row r="109" spans="2:92" x14ac:dyDescent="0.25">
      <c r="B109" s="553">
        <f t="shared" si="55"/>
        <v>40071</v>
      </c>
      <c r="C109" s="435">
        <f t="shared" si="56"/>
        <v>2009</v>
      </c>
      <c r="D109" s="445">
        <f t="shared" si="57"/>
        <v>0</v>
      </c>
      <c r="E109" s="445">
        <f t="shared" si="58"/>
        <v>0</v>
      </c>
      <c r="F109" s="445">
        <f t="shared" si="59"/>
        <v>0</v>
      </c>
      <c r="G109" s="445">
        <f t="shared" si="60"/>
        <v>0</v>
      </c>
      <c r="H109" s="445">
        <f t="shared" si="61"/>
        <v>0</v>
      </c>
      <c r="I109" s="445">
        <f t="shared" si="62"/>
        <v>0</v>
      </c>
      <c r="J109" s="447"/>
      <c r="K109" s="447"/>
      <c r="L109" s="447"/>
      <c r="M109" s="445">
        <f t="shared" si="63"/>
        <v>0</v>
      </c>
      <c r="N109" s="565">
        <f t="shared" si="64"/>
        <v>0</v>
      </c>
      <c r="O109" s="565">
        <f t="shared" si="65"/>
        <v>0</v>
      </c>
      <c r="Q109" s="553">
        <f t="shared" si="66"/>
        <v>40071</v>
      </c>
      <c r="R109" s="445">
        <f t="shared" si="67"/>
        <v>0</v>
      </c>
      <c r="S109" s="565">
        <f t="shared" si="68"/>
        <v>0</v>
      </c>
      <c r="T109" s="565">
        <f t="shared" si="45"/>
        <v>0</v>
      </c>
      <c r="U109" s="565">
        <f t="shared" si="46"/>
        <v>0</v>
      </c>
      <c r="V109" s="565">
        <f t="shared" si="47"/>
        <v>0</v>
      </c>
      <c r="W109" s="565">
        <f t="shared" si="48"/>
        <v>0</v>
      </c>
      <c r="X109" s="565">
        <f t="shared" si="69"/>
        <v>0</v>
      </c>
      <c r="Y109" s="445">
        <f t="shared" si="70"/>
        <v>0</v>
      </c>
      <c r="Z109" s="565">
        <f t="shared" si="71"/>
        <v>0</v>
      </c>
      <c r="AB109" s="553">
        <f t="shared" si="72"/>
        <v>40071</v>
      </c>
      <c r="AC109" s="571"/>
      <c r="AD109" s="565"/>
      <c r="AE109" s="565"/>
      <c r="AF109" s="565"/>
      <c r="AG109" s="565"/>
      <c r="AH109" s="565"/>
      <c r="AI109" s="565"/>
      <c r="AJ109" s="445"/>
      <c r="AK109" s="565"/>
      <c r="AM109" s="593">
        <f>LongTerm1!D114</f>
        <v>39979</v>
      </c>
      <c r="AN109" s="594">
        <f>(LongTerm1!BM114+LongTerm1!BL114/(1-LongTerm1!AR114))*(LongTerm1!F114*LongTerm1!AF114*LongTerm1!AH114)/10000</f>
        <v>0</v>
      </c>
      <c r="AO109" s="594">
        <f>LongTerm1!BM114*(LongTerm1!F114*LongTerm1!AF114*LongTerm1!AH114)/10000</f>
        <v>0</v>
      </c>
      <c r="AP109" s="594">
        <f>(LongTerm1!BL114/(1-LongTerm1!AR114))*(LongTerm1!F114*LongTerm1!AF114*LongTerm1!AH114)/10000</f>
        <v>0</v>
      </c>
      <c r="AQ109" s="434"/>
      <c r="AV109" s="435"/>
      <c r="AW109" s="435"/>
      <c r="AX109" s="435"/>
      <c r="AY109" s="435"/>
      <c r="AZ109" s="435"/>
      <c r="BA109" s="435"/>
      <c r="BB109" s="435"/>
      <c r="BC109" s="435"/>
      <c r="BD109" s="435"/>
      <c r="BE109" s="435"/>
      <c r="BF109" s="435"/>
      <c r="BG109" s="435"/>
      <c r="BH109" s="435"/>
      <c r="BI109" s="435"/>
      <c r="BJ109" s="435"/>
      <c r="BK109" s="435"/>
      <c r="BL109" s="435"/>
      <c r="BM109" s="435"/>
      <c r="BN109" s="435"/>
      <c r="BZ109" s="433"/>
      <c r="CA109" s="433"/>
      <c r="CD109" s="492"/>
      <c r="CE109" s="595">
        <f t="shared" si="76"/>
        <v>39828</v>
      </c>
      <c r="CF109" s="583">
        <v>19</v>
      </c>
      <c r="CG109" s="583">
        <v>69.099999999999994</v>
      </c>
      <c r="CH109" s="583">
        <v>-89.4</v>
      </c>
      <c r="CI109" s="583">
        <v>0</v>
      </c>
      <c r="CJ109" s="583">
        <v>0</v>
      </c>
      <c r="CK109" s="583">
        <v>2.8</v>
      </c>
      <c r="CL109" s="583">
        <v>0</v>
      </c>
      <c r="CM109" s="583">
        <v>0</v>
      </c>
      <c r="CN109" s="583">
        <v>0</v>
      </c>
    </row>
    <row r="110" spans="2:92" x14ac:dyDescent="0.25">
      <c r="B110" s="553">
        <f t="shared" si="55"/>
        <v>40101</v>
      </c>
      <c r="C110" s="435">
        <f t="shared" si="56"/>
        <v>2009</v>
      </c>
      <c r="D110" s="445">
        <f t="shared" si="57"/>
        <v>0</v>
      </c>
      <c r="E110" s="445">
        <f t="shared" si="58"/>
        <v>0</v>
      </c>
      <c r="F110" s="445">
        <f t="shared" si="59"/>
        <v>0</v>
      </c>
      <c r="G110" s="445">
        <f t="shared" si="60"/>
        <v>0</v>
      </c>
      <c r="H110" s="445">
        <f t="shared" si="61"/>
        <v>0</v>
      </c>
      <c r="I110" s="445">
        <f t="shared" si="62"/>
        <v>0</v>
      </c>
      <c r="J110" s="447"/>
      <c r="K110" s="447"/>
      <c r="L110" s="447"/>
      <c r="M110" s="445">
        <f t="shared" si="63"/>
        <v>0</v>
      </c>
      <c r="N110" s="565">
        <f t="shared" si="64"/>
        <v>0</v>
      </c>
      <c r="O110" s="565">
        <f t="shared" si="65"/>
        <v>0</v>
      </c>
      <c r="Q110" s="553">
        <f t="shared" si="66"/>
        <v>40101</v>
      </c>
      <c r="R110" s="445">
        <f t="shared" si="67"/>
        <v>0</v>
      </c>
      <c r="S110" s="565">
        <f t="shared" si="68"/>
        <v>0</v>
      </c>
      <c r="T110" s="565">
        <f t="shared" si="45"/>
        <v>0</v>
      </c>
      <c r="U110" s="565">
        <f t="shared" si="46"/>
        <v>0</v>
      </c>
      <c r="V110" s="565">
        <f t="shared" si="47"/>
        <v>0</v>
      </c>
      <c r="W110" s="565">
        <f t="shared" si="48"/>
        <v>0</v>
      </c>
      <c r="X110" s="565">
        <f t="shared" si="69"/>
        <v>0</v>
      </c>
      <c r="Y110" s="445">
        <f t="shared" si="70"/>
        <v>0</v>
      </c>
      <c r="Z110" s="565">
        <f t="shared" si="71"/>
        <v>0</v>
      </c>
      <c r="AB110" s="553">
        <f t="shared" si="72"/>
        <v>40101</v>
      </c>
      <c r="AC110" s="571"/>
      <c r="AD110" s="565"/>
      <c r="AE110" s="565"/>
      <c r="AF110" s="565"/>
      <c r="AG110" s="565"/>
      <c r="AH110" s="565"/>
      <c r="AI110" s="565"/>
      <c r="AJ110" s="445"/>
      <c r="AK110" s="565"/>
      <c r="AM110" s="593">
        <f>LongTerm1!D115</f>
        <v>39979</v>
      </c>
      <c r="AN110" s="594">
        <f>(LongTerm1!BM115+LongTerm1!BL115/(1-LongTerm1!AR115))*(LongTerm1!F115*LongTerm1!AF115*LongTerm1!AH115)/10000</f>
        <v>0</v>
      </c>
      <c r="AO110" s="594">
        <f>LongTerm1!BM115*(LongTerm1!F115*LongTerm1!AF115*LongTerm1!AH115)/10000</f>
        <v>0</v>
      </c>
      <c r="AP110" s="594">
        <f>(LongTerm1!BL115/(1-LongTerm1!AR115))*(LongTerm1!F115*LongTerm1!AF115*LongTerm1!AH115)/10000</f>
        <v>0</v>
      </c>
      <c r="AQ110" s="434"/>
      <c r="AV110" s="435"/>
      <c r="AW110" s="435"/>
      <c r="AX110" s="435"/>
      <c r="AY110" s="435"/>
      <c r="AZ110" s="435"/>
      <c r="BA110" s="435"/>
      <c r="BB110" s="435"/>
      <c r="BC110" s="435"/>
      <c r="BD110" s="435"/>
      <c r="BE110" s="435"/>
      <c r="BF110" s="435"/>
      <c r="BG110" s="435"/>
      <c r="BH110" s="435"/>
      <c r="BI110" s="435"/>
      <c r="BJ110" s="435"/>
      <c r="BK110" s="435"/>
      <c r="BL110" s="435"/>
      <c r="BM110" s="435"/>
      <c r="BN110" s="435"/>
      <c r="BZ110" s="433"/>
      <c r="CA110" s="433"/>
      <c r="CD110" s="492"/>
      <c r="CE110" s="595">
        <f t="shared" si="76"/>
        <v>39859</v>
      </c>
      <c r="CF110" s="583">
        <v>17.5</v>
      </c>
      <c r="CG110" s="583">
        <v>62.4</v>
      </c>
      <c r="CH110" s="583">
        <v>-81.099999999999994</v>
      </c>
      <c r="CI110" s="583">
        <v>0</v>
      </c>
      <c r="CJ110" s="583">
        <v>0</v>
      </c>
      <c r="CK110" s="583">
        <v>2.8</v>
      </c>
      <c r="CL110" s="583">
        <v>0</v>
      </c>
      <c r="CM110" s="583">
        <v>0</v>
      </c>
      <c r="CN110" s="583">
        <v>0</v>
      </c>
    </row>
    <row r="111" spans="2:92" x14ac:dyDescent="0.25">
      <c r="B111" s="553">
        <f t="shared" si="55"/>
        <v>40132</v>
      </c>
      <c r="C111" s="435">
        <f t="shared" si="56"/>
        <v>2009</v>
      </c>
      <c r="D111" s="445">
        <f t="shared" si="57"/>
        <v>0</v>
      </c>
      <c r="E111" s="445">
        <f t="shared" si="58"/>
        <v>0</v>
      </c>
      <c r="F111" s="445">
        <f t="shared" si="59"/>
        <v>0</v>
      </c>
      <c r="G111" s="445">
        <f t="shared" si="60"/>
        <v>0</v>
      </c>
      <c r="H111" s="445">
        <f t="shared" si="61"/>
        <v>0</v>
      </c>
      <c r="I111" s="445">
        <f t="shared" si="62"/>
        <v>0</v>
      </c>
      <c r="J111" s="447"/>
      <c r="K111" s="447"/>
      <c r="L111" s="447"/>
      <c r="M111" s="445">
        <f t="shared" si="63"/>
        <v>0</v>
      </c>
      <c r="N111" s="565">
        <f t="shared" si="64"/>
        <v>0</v>
      </c>
      <c r="O111" s="565">
        <f t="shared" si="65"/>
        <v>0</v>
      </c>
      <c r="Q111" s="553">
        <f t="shared" si="66"/>
        <v>40132</v>
      </c>
      <c r="R111" s="445">
        <f t="shared" si="67"/>
        <v>0</v>
      </c>
      <c r="S111" s="565">
        <f t="shared" si="68"/>
        <v>0</v>
      </c>
      <c r="T111" s="565">
        <f t="shared" si="45"/>
        <v>0</v>
      </c>
      <c r="U111" s="565">
        <f t="shared" si="46"/>
        <v>0</v>
      </c>
      <c r="V111" s="565">
        <f t="shared" si="47"/>
        <v>0</v>
      </c>
      <c r="W111" s="565">
        <f t="shared" si="48"/>
        <v>0</v>
      </c>
      <c r="X111" s="565">
        <f t="shared" si="69"/>
        <v>0</v>
      </c>
      <c r="Y111" s="445">
        <f t="shared" si="70"/>
        <v>0</v>
      </c>
      <c r="Z111" s="565">
        <f t="shared" si="71"/>
        <v>0</v>
      </c>
      <c r="AB111" s="553">
        <f t="shared" si="72"/>
        <v>40132</v>
      </c>
      <c r="AC111" s="571"/>
      <c r="AD111" s="565"/>
      <c r="AE111" s="565"/>
      <c r="AF111" s="565"/>
      <c r="AG111" s="565"/>
      <c r="AH111" s="565"/>
      <c r="AI111" s="565"/>
      <c r="AJ111" s="445"/>
      <c r="AK111" s="565"/>
      <c r="AM111" s="593">
        <f>LongTerm1!D116</f>
        <v>39979</v>
      </c>
      <c r="AN111" s="594">
        <f>(LongTerm1!BM116+LongTerm1!BL116/(1-LongTerm1!AR116))*(LongTerm1!F116*LongTerm1!AF116*LongTerm1!AH116)/10000</f>
        <v>0</v>
      </c>
      <c r="AO111" s="594">
        <f>LongTerm1!BM116*(LongTerm1!F116*LongTerm1!AF116*LongTerm1!AH116)/10000</f>
        <v>0</v>
      </c>
      <c r="AP111" s="594">
        <f>(LongTerm1!BL116/(1-LongTerm1!AR116))*(LongTerm1!F116*LongTerm1!AF116*LongTerm1!AH116)/10000</f>
        <v>0</v>
      </c>
      <c r="AQ111" s="434"/>
      <c r="AV111" s="435"/>
      <c r="AW111" s="435"/>
      <c r="AX111" s="435"/>
      <c r="AY111" s="435"/>
      <c r="AZ111" s="435"/>
      <c r="BA111" s="435"/>
      <c r="BB111" s="435"/>
      <c r="BC111" s="435"/>
      <c r="BD111" s="435"/>
      <c r="BE111" s="435"/>
      <c r="BF111" s="435"/>
      <c r="BG111" s="435"/>
      <c r="BH111" s="435"/>
      <c r="BI111" s="435"/>
      <c r="BJ111" s="435"/>
      <c r="BK111" s="435"/>
      <c r="BL111" s="435"/>
      <c r="BM111" s="435"/>
      <c r="BN111" s="435"/>
      <c r="BZ111" s="433"/>
      <c r="CA111" s="433"/>
      <c r="CD111" s="492"/>
      <c r="CE111" s="595">
        <f t="shared" si="76"/>
        <v>39887</v>
      </c>
      <c r="CF111" s="583">
        <v>30</v>
      </c>
      <c r="CG111" s="583">
        <v>75.400000000000006</v>
      </c>
      <c r="CH111" s="583">
        <v>-106.1</v>
      </c>
      <c r="CI111" s="583">
        <v>0</v>
      </c>
      <c r="CJ111" s="583">
        <v>0</v>
      </c>
      <c r="CK111" s="583">
        <v>2.8</v>
      </c>
      <c r="CL111" s="583">
        <v>0</v>
      </c>
      <c r="CM111" s="583">
        <v>0</v>
      </c>
      <c r="CN111" s="583">
        <v>0</v>
      </c>
    </row>
    <row r="112" spans="2:92" ht="13.8" thickBot="1" x14ac:dyDescent="0.3">
      <c r="B112" s="554">
        <f t="shared" si="55"/>
        <v>40162</v>
      </c>
      <c r="C112" s="435">
        <f t="shared" si="56"/>
        <v>2009</v>
      </c>
      <c r="D112" s="557">
        <f t="shared" si="57"/>
        <v>0</v>
      </c>
      <c r="E112" s="557">
        <f t="shared" si="58"/>
        <v>0</v>
      </c>
      <c r="F112" s="557">
        <f t="shared" si="59"/>
        <v>0</v>
      </c>
      <c r="G112" s="557">
        <f t="shared" si="60"/>
        <v>0</v>
      </c>
      <c r="H112" s="557">
        <f t="shared" si="61"/>
        <v>0</v>
      </c>
      <c r="I112" s="557">
        <f t="shared" si="62"/>
        <v>0</v>
      </c>
      <c r="J112" s="556"/>
      <c r="K112" s="556"/>
      <c r="L112" s="556"/>
      <c r="M112" s="557">
        <f t="shared" si="63"/>
        <v>0</v>
      </c>
      <c r="N112" s="569">
        <f t="shared" si="64"/>
        <v>0</v>
      </c>
      <c r="O112" s="565">
        <f t="shared" si="65"/>
        <v>0</v>
      </c>
      <c r="Q112" s="554">
        <f t="shared" si="66"/>
        <v>40162</v>
      </c>
      <c r="R112" s="445">
        <f t="shared" si="67"/>
        <v>0</v>
      </c>
      <c r="S112" s="565">
        <f t="shared" si="68"/>
        <v>0</v>
      </c>
      <c r="T112" s="569">
        <f t="shared" si="45"/>
        <v>0</v>
      </c>
      <c r="U112" s="569">
        <f t="shared" si="46"/>
        <v>0</v>
      </c>
      <c r="V112" s="569">
        <f t="shared" si="47"/>
        <v>0</v>
      </c>
      <c r="W112" s="569">
        <f t="shared" si="48"/>
        <v>0</v>
      </c>
      <c r="X112" s="569">
        <f t="shared" si="69"/>
        <v>0</v>
      </c>
      <c r="Y112" s="557">
        <f t="shared" si="70"/>
        <v>0</v>
      </c>
      <c r="Z112" s="565">
        <f t="shared" si="71"/>
        <v>0</v>
      </c>
      <c r="AB112" s="558">
        <f t="shared" si="72"/>
        <v>40162</v>
      </c>
      <c r="AC112" s="572"/>
      <c r="AD112" s="565"/>
      <c r="AE112" s="565"/>
      <c r="AF112" s="565"/>
      <c r="AG112" s="565"/>
      <c r="AH112" s="565"/>
      <c r="AI112" s="565"/>
      <c r="AJ112" s="445"/>
      <c r="AK112" s="565"/>
      <c r="AM112" s="593">
        <f>LongTerm1!D117</f>
        <v>39979</v>
      </c>
      <c r="AN112" s="594">
        <f>(LongTerm1!BM117+LongTerm1!BL117/(1-LongTerm1!AR117))*(LongTerm1!F117*LongTerm1!AF117*LongTerm1!AH117)/10000</f>
        <v>0</v>
      </c>
      <c r="AO112" s="594">
        <f>LongTerm1!BM117*(LongTerm1!F117*LongTerm1!AF117*LongTerm1!AH117)/10000</f>
        <v>0</v>
      </c>
      <c r="AP112" s="594">
        <f>(LongTerm1!BL117/(1-LongTerm1!AR117))*(LongTerm1!F117*LongTerm1!AF117*LongTerm1!AH117)/10000</f>
        <v>0</v>
      </c>
      <c r="AQ112" s="434"/>
      <c r="AV112" s="435"/>
      <c r="AW112" s="435"/>
      <c r="AX112" s="435"/>
      <c r="AY112" s="435"/>
      <c r="AZ112" s="435"/>
      <c r="BA112" s="435"/>
      <c r="BB112" s="435"/>
      <c r="BC112" s="435"/>
      <c r="BD112" s="435"/>
      <c r="BE112" s="435"/>
      <c r="BF112" s="435"/>
      <c r="BG112" s="435"/>
      <c r="BH112" s="435"/>
      <c r="BI112" s="435"/>
      <c r="BJ112" s="435"/>
      <c r="BK112" s="435"/>
      <c r="BL112" s="435"/>
      <c r="BM112" s="435"/>
      <c r="BN112" s="435"/>
      <c r="BZ112" s="433"/>
      <c r="CA112" s="433"/>
      <c r="CD112" s="492"/>
      <c r="CE112" s="595">
        <f t="shared" si="76"/>
        <v>39918</v>
      </c>
      <c r="CF112" s="583">
        <v>29.2</v>
      </c>
      <c r="CG112" s="583">
        <v>95.9</v>
      </c>
      <c r="CH112" s="583">
        <v>-123.7</v>
      </c>
      <c r="CI112" s="583">
        <v>0</v>
      </c>
      <c r="CJ112" s="583">
        <v>0</v>
      </c>
      <c r="CK112" s="583">
        <v>0</v>
      </c>
      <c r="CL112" s="583">
        <v>0</v>
      </c>
      <c r="CM112" s="583">
        <v>0</v>
      </c>
      <c r="CN112" s="583">
        <v>0</v>
      </c>
    </row>
    <row r="113" spans="2:92" ht="13.8" thickBot="1" x14ac:dyDescent="0.3">
      <c r="B113" s="434"/>
      <c r="C113" s="435"/>
      <c r="D113" s="563" t="e">
        <f t="shared" ref="D113:I113" si="77">SUM(D17:D112)</f>
        <v>#N/A</v>
      </c>
      <c r="E113" s="561" t="e">
        <f t="shared" si="77"/>
        <v>#N/A</v>
      </c>
      <c r="F113" s="561" t="e">
        <f t="shared" si="77"/>
        <v>#N/A</v>
      </c>
      <c r="G113" s="561" t="e">
        <f t="shared" si="77"/>
        <v>#N/A</v>
      </c>
      <c r="H113" s="561" t="e">
        <f t="shared" si="77"/>
        <v>#N/A</v>
      </c>
      <c r="I113" s="561" t="e">
        <f t="shared" si="77"/>
        <v>#N/A</v>
      </c>
      <c r="J113" s="559"/>
      <c r="K113" s="559"/>
      <c r="L113" s="559"/>
      <c r="M113" s="561" t="e">
        <f>SUM(M17:M112)</f>
        <v>#N/A</v>
      </c>
      <c r="N113" s="625" t="e">
        <f>SUM(N17:N112)</f>
        <v>#N/A</v>
      </c>
      <c r="O113" s="611" t="e">
        <f>SUM(O17:O112)</f>
        <v>#N/A</v>
      </c>
      <c r="Q113" s="523"/>
      <c r="R113" s="611">
        <f t="shared" ref="R113:Z113" si="78">SUM(R17:R112)</f>
        <v>-14.543034097889251</v>
      </c>
      <c r="S113" s="560">
        <f t="shared" si="78"/>
        <v>-9971.7945131037668</v>
      </c>
      <c r="T113" s="561">
        <f t="shared" si="78"/>
        <v>-2213.9070947175028</v>
      </c>
      <c r="U113" s="570">
        <f t="shared" si="78"/>
        <v>13016.681708015809</v>
      </c>
      <c r="V113" s="570">
        <f t="shared" si="78"/>
        <v>16.940822335070575</v>
      </c>
      <c r="W113" s="570">
        <f t="shared" si="78"/>
        <v>-16.02655757997038</v>
      </c>
      <c r="X113" s="570">
        <f t="shared" si="78"/>
        <v>415.29332812690086</v>
      </c>
      <c r="Y113" s="560">
        <f t="shared" si="78"/>
        <v>-406.29058435551696</v>
      </c>
      <c r="Z113" s="611">
        <f t="shared" si="78"/>
        <v>-855.44014281891668</v>
      </c>
      <c r="AB113" s="523"/>
      <c r="AC113" s="573" t="e">
        <f>SUM(AC17:AC112)</f>
        <v>#N/A</v>
      </c>
      <c r="AD113" s="570" t="e">
        <f t="shared" ref="AD113:AK113" si="79">SUM(AD17:AD112)</f>
        <v>#N/A</v>
      </c>
      <c r="AE113" s="570" t="e">
        <f t="shared" si="79"/>
        <v>#N/A</v>
      </c>
      <c r="AF113" s="570" t="e">
        <f t="shared" si="79"/>
        <v>#N/A</v>
      </c>
      <c r="AG113" s="570" t="e">
        <f t="shared" si="79"/>
        <v>#N/A</v>
      </c>
      <c r="AH113" s="570" t="e">
        <f t="shared" si="79"/>
        <v>#N/A</v>
      </c>
      <c r="AI113" s="570" t="e">
        <f t="shared" si="79"/>
        <v>#N/A</v>
      </c>
      <c r="AJ113" s="560" t="e">
        <f t="shared" si="79"/>
        <v>#N/A</v>
      </c>
      <c r="AK113" s="560" t="e">
        <f t="shared" si="79"/>
        <v>#N/A</v>
      </c>
      <c r="AM113" s="434" t="e">
        <f>LongTerm1!#REF!</f>
        <v>#REF!</v>
      </c>
      <c r="AN113" s="435" t="e">
        <f>(LongTerm1!#REF!+LongTerm1!#REF!/(1-LongTerm1!#REF!))*(LongTerm1!#REF!*LongTerm1!#REF!*LongTerm1!#REF!)/10000</f>
        <v>#REF!</v>
      </c>
      <c r="AO113" s="435" t="e">
        <f>LongTerm1!#REF!*(LongTerm1!#REF!*LongTerm1!#REF!*LongTerm1!#REF!)/10000</f>
        <v>#REF!</v>
      </c>
      <c r="AP113" s="435" t="e">
        <f>(LongTerm1!#REF!/(1-LongTerm1!#REF!))*(LongTerm1!#REF!*LongTerm1!#REF!*LongTerm1!#REF!)/10000</f>
        <v>#REF!</v>
      </c>
      <c r="AQ113" s="434"/>
      <c r="AV113" s="435"/>
      <c r="AW113" s="435"/>
      <c r="AX113" s="435"/>
      <c r="AY113" s="435"/>
      <c r="AZ113" s="435"/>
      <c r="BA113" s="435"/>
      <c r="BB113" s="435"/>
      <c r="BC113" s="435"/>
      <c r="BD113" s="435"/>
      <c r="BE113" s="435"/>
      <c r="BF113" s="435"/>
      <c r="BG113" s="435"/>
      <c r="BH113" s="435"/>
      <c r="BI113" s="435"/>
      <c r="BJ113" s="435"/>
      <c r="BK113" s="435"/>
      <c r="BL113" s="435"/>
      <c r="BM113" s="435"/>
      <c r="BN113" s="435"/>
      <c r="BZ113" s="433"/>
      <c r="CA113" s="433"/>
      <c r="CD113" s="492"/>
      <c r="CE113" s="595">
        <f t="shared" si="76"/>
        <v>39948</v>
      </c>
      <c r="CF113" s="583">
        <v>29.7</v>
      </c>
      <c r="CG113" s="583">
        <v>102.3</v>
      </c>
      <c r="CH113" s="583">
        <v>-130.69999999999999</v>
      </c>
      <c r="CI113" s="583">
        <v>0</v>
      </c>
      <c r="CJ113" s="583">
        <v>0</v>
      </c>
      <c r="CK113" s="583">
        <v>0</v>
      </c>
      <c r="CL113" s="583">
        <v>0</v>
      </c>
      <c r="CM113" s="583">
        <v>0</v>
      </c>
      <c r="CN113" s="525">
        <v>0</v>
      </c>
    </row>
    <row r="114" spans="2:92" x14ac:dyDescent="0.25">
      <c r="B114" s="434"/>
      <c r="C114" s="435"/>
      <c r="D114" s="435"/>
      <c r="E114" s="435"/>
      <c r="F114" s="435"/>
      <c r="G114" s="435"/>
      <c r="H114" s="435"/>
      <c r="I114" s="435"/>
      <c r="J114" s="435"/>
      <c r="K114" s="435"/>
      <c r="L114" s="435"/>
      <c r="M114" s="435"/>
      <c r="N114" s="435"/>
      <c r="O114" s="435"/>
      <c r="Q114" s="523"/>
      <c r="R114" s="447"/>
      <c r="S114" s="447"/>
      <c r="T114" s="447"/>
      <c r="U114" s="447"/>
      <c r="AB114" s="523"/>
      <c r="AC114" s="524"/>
      <c r="AD114" s="447"/>
      <c r="AE114" s="447"/>
      <c r="AF114" s="447"/>
      <c r="AG114" s="447"/>
      <c r="AH114" s="447"/>
      <c r="AI114" s="447"/>
      <c r="AJ114" s="447"/>
      <c r="AK114" s="447"/>
      <c r="AM114" s="434" t="e">
        <f>LongTerm1!#REF!</f>
        <v>#REF!</v>
      </c>
      <c r="AN114" s="435" t="e">
        <f>(LongTerm1!#REF!+LongTerm1!#REF!/(1-LongTerm1!#REF!))*(LongTerm1!#REF!*LongTerm1!#REF!*LongTerm1!#REF!)/10000</f>
        <v>#REF!</v>
      </c>
      <c r="AO114" s="435" t="e">
        <f>LongTerm1!#REF!*(LongTerm1!#REF!*LongTerm1!#REF!*LongTerm1!#REF!)/10000</f>
        <v>#REF!</v>
      </c>
      <c r="AP114" s="435" t="e">
        <f>(LongTerm1!#REF!/(1-LongTerm1!#REF!))*(LongTerm1!#REF!*LongTerm1!#REF!*LongTerm1!#REF!)/10000</f>
        <v>#REF!</v>
      </c>
      <c r="AQ114" s="434"/>
      <c r="AV114" s="435"/>
      <c r="AW114" s="435"/>
      <c r="AX114" s="435"/>
      <c r="AY114" s="435"/>
      <c r="AZ114" s="435"/>
      <c r="BA114" s="435"/>
      <c r="BB114" s="435"/>
      <c r="BC114" s="435"/>
      <c r="BD114" s="435"/>
      <c r="BE114" s="435"/>
      <c r="BF114" s="435"/>
      <c r="BG114" s="435"/>
      <c r="BH114" s="435"/>
      <c r="BI114" s="435"/>
      <c r="BJ114" s="435"/>
      <c r="BK114" s="435"/>
      <c r="BL114" s="435"/>
      <c r="BM114" s="435"/>
      <c r="BN114" s="435"/>
      <c r="BZ114" s="433"/>
      <c r="CA114" s="433"/>
      <c r="CD114" s="492"/>
      <c r="CE114" s="492"/>
      <c r="CF114" s="494"/>
      <c r="CG114" s="493"/>
      <c r="CH114" s="493"/>
      <c r="CI114" s="493"/>
      <c r="CJ114" s="493"/>
      <c r="CK114" s="527"/>
    </row>
    <row r="115" spans="2:92" x14ac:dyDescent="0.25">
      <c r="B115" s="434"/>
      <c r="C115" s="435"/>
      <c r="D115" s="435"/>
      <c r="E115" s="435"/>
      <c r="F115" s="435"/>
      <c r="G115" s="435"/>
      <c r="H115" s="435"/>
      <c r="I115" s="435"/>
      <c r="J115" s="435"/>
      <c r="K115" s="435"/>
      <c r="L115" s="435"/>
      <c r="M115" s="435"/>
      <c r="N115" s="435"/>
      <c r="O115" s="435"/>
      <c r="Q115" s="523"/>
      <c r="R115" s="447"/>
      <c r="S115" s="447"/>
      <c r="T115" s="447"/>
      <c r="U115" s="447"/>
      <c r="AB115" s="523"/>
      <c r="AC115" s="524"/>
      <c r="AD115" s="447"/>
      <c r="AE115" s="447"/>
      <c r="AF115" s="447"/>
      <c r="AG115" s="447"/>
      <c r="AH115" s="447"/>
      <c r="AI115" s="447"/>
      <c r="AJ115" s="447"/>
      <c r="AK115" s="447"/>
      <c r="AM115" s="434" t="e">
        <f>LongTerm1!#REF!</f>
        <v>#REF!</v>
      </c>
      <c r="AN115" s="435" t="e">
        <f>(LongTerm1!#REF!+LongTerm1!#REF!/(1-LongTerm1!#REF!))*(LongTerm1!#REF!*LongTerm1!#REF!*LongTerm1!#REF!)/10000</f>
        <v>#REF!</v>
      </c>
      <c r="AO115" s="435" t="e">
        <f>LongTerm1!#REF!*(LongTerm1!#REF!*LongTerm1!#REF!*LongTerm1!#REF!)/10000</f>
        <v>#REF!</v>
      </c>
      <c r="AP115" s="435" t="e">
        <f>(LongTerm1!#REF!/(1-LongTerm1!#REF!))*(LongTerm1!#REF!*LongTerm1!#REF!*LongTerm1!#REF!)/10000</f>
        <v>#REF!</v>
      </c>
      <c r="AQ115" s="434"/>
      <c r="AV115" s="435"/>
      <c r="AW115" s="435"/>
      <c r="AX115" s="435"/>
      <c r="AY115" s="435"/>
      <c r="AZ115" s="435"/>
      <c r="BA115" s="435"/>
      <c r="BB115" s="435"/>
      <c r="BC115" s="435"/>
      <c r="BD115" s="435"/>
      <c r="BE115" s="435"/>
      <c r="BF115" s="435"/>
      <c r="BG115" s="435"/>
      <c r="BH115" s="435"/>
      <c r="BI115" s="435"/>
      <c r="BJ115" s="435"/>
      <c r="BK115" s="435"/>
      <c r="BL115" s="435"/>
      <c r="BM115" s="435"/>
      <c r="BN115" s="435"/>
      <c r="BZ115" s="433"/>
      <c r="CA115" s="433"/>
      <c r="CD115" s="492"/>
      <c r="CE115" s="492"/>
      <c r="CF115" s="494"/>
      <c r="CG115" s="493"/>
      <c r="CH115" s="493"/>
      <c r="CI115" s="493"/>
      <c r="CJ115" s="493"/>
      <c r="CK115" s="527"/>
    </row>
    <row r="116" spans="2:92" x14ac:dyDescent="0.25">
      <c r="B116" s="434"/>
      <c r="C116" s="435"/>
      <c r="D116" s="435"/>
      <c r="E116" s="435"/>
      <c r="F116" s="435"/>
      <c r="G116" s="435"/>
      <c r="H116" s="435"/>
      <c r="I116" s="435"/>
      <c r="J116" s="435"/>
      <c r="K116" s="435"/>
      <c r="L116" s="435"/>
      <c r="M116" s="435"/>
      <c r="N116" s="435"/>
      <c r="O116" s="435"/>
      <c r="Q116" s="523"/>
      <c r="R116" s="447"/>
      <c r="S116" s="447"/>
      <c r="T116" s="447"/>
      <c r="U116" s="447"/>
      <c r="AB116" s="523"/>
      <c r="AC116" s="524"/>
      <c r="AD116" s="447"/>
      <c r="AE116" s="447"/>
      <c r="AF116" s="447"/>
      <c r="AG116" s="447"/>
      <c r="AH116" s="447"/>
      <c r="AI116" s="447"/>
      <c r="AJ116" s="447"/>
      <c r="AK116" s="447"/>
      <c r="AM116" s="434" t="e">
        <f>LongTerm1!#REF!</f>
        <v>#REF!</v>
      </c>
      <c r="AN116" s="435" t="e">
        <f>(LongTerm1!#REF!+LongTerm1!#REF!/(1-LongTerm1!#REF!))*(LongTerm1!#REF!*LongTerm1!#REF!*LongTerm1!#REF!)/10000</f>
        <v>#REF!</v>
      </c>
      <c r="AO116" s="435" t="e">
        <f>LongTerm1!#REF!*(LongTerm1!#REF!*LongTerm1!#REF!*LongTerm1!#REF!)/10000</f>
        <v>#REF!</v>
      </c>
      <c r="AP116" s="435" t="e">
        <f>(LongTerm1!#REF!/(1-LongTerm1!#REF!))*(LongTerm1!#REF!*LongTerm1!#REF!*LongTerm1!#REF!)/10000</f>
        <v>#REF!</v>
      </c>
      <c r="AQ116" s="434"/>
      <c r="AV116" s="435"/>
      <c r="AW116" s="435"/>
      <c r="AX116" s="435"/>
      <c r="AY116" s="435"/>
      <c r="AZ116" s="435"/>
      <c r="BA116" s="435"/>
      <c r="BB116" s="435"/>
      <c r="BC116" s="435"/>
      <c r="BD116" s="435"/>
      <c r="BE116" s="435"/>
      <c r="BF116" s="435"/>
      <c r="BG116" s="435"/>
      <c r="BH116" s="435"/>
      <c r="BI116" s="435"/>
      <c r="BJ116" s="435"/>
      <c r="BK116" s="435"/>
      <c r="BL116" s="435"/>
      <c r="BM116" s="435"/>
      <c r="BN116" s="435"/>
      <c r="BZ116" s="433"/>
      <c r="CA116" s="433"/>
      <c r="CD116" s="492"/>
      <c r="CE116" s="492"/>
      <c r="CF116" s="494"/>
      <c r="CG116" s="493"/>
      <c r="CH116" s="493"/>
      <c r="CI116" s="493"/>
      <c r="CJ116" s="493"/>
      <c r="CK116" s="527"/>
    </row>
    <row r="117" spans="2:92" x14ac:dyDescent="0.25">
      <c r="B117" s="434"/>
      <c r="C117" s="435"/>
      <c r="D117" s="435"/>
      <c r="E117" s="435"/>
      <c r="F117" s="435"/>
      <c r="G117" s="435"/>
      <c r="H117" s="435"/>
      <c r="I117" s="435"/>
      <c r="J117" s="435"/>
      <c r="K117" s="435"/>
      <c r="L117" s="435"/>
      <c r="M117" s="435"/>
      <c r="N117" s="435"/>
      <c r="O117" s="435"/>
      <c r="Q117" s="523"/>
      <c r="R117" s="447"/>
      <c r="S117" s="447"/>
      <c r="T117" s="447"/>
      <c r="U117" s="447"/>
      <c r="AB117" s="523"/>
      <c r="AC117" s="524"/>
      <c r="AD117" s="447"/>
      <c r="AE117" s="447"/>
      <c r="AF117" s="447"/>
      <c r="AG117" s="447"/>
      <c r="AH117" s="447"/>
      <c r="AI117" s="447"/>
      <c r="AJ117" s="447"/>
      <c r="AK117" s="447"/>
      <c r="AM117" s="434" t="e">
        <f>LongTerm1!#REF!</f>
        <v>#REF!</v>
      </c>
      <c r="AN117" s="435" t="e">
        <f>(LongTerm1!#REF!+LongTerm1!#REF!/(1-LongTerm1!#REF!))*(LongTerm1!#REF!*LongTerm1!#REF!*LongTerm1!#REF!)/10000</f>
        <v>#REF!</v>
      </c>
      <c r="AO117" s="435" t="e">
        <f>LongTerm1!#REF!*(LongTerm1!#REF!*LongTerm1!#REF!*LongTerm1!#REF!)/10000</f>
        <v>#REF!</v>
      </c>
      <c r="AP117" s="435" t="e">
        <f>(LongTerm1!#REF!/(1-LongTerm1!#REF!))*(LongTerm1!#REF!*LongTerm1!#REF!*LongTerm1!#REF!)/10000</f>
        <v>#REF!</v>
      </c>
      <c r="AQ117" s="434"/>
      <c r="AV117" s="435"/>
      <c r="AW117" s="435"/>
      <c r="AX117" s="435"/>
      <c r="AY117" s="435"/>
      <c r="AZ117" s="435"/>
      <c r="BA117" s="435"/>
      <c r="BB117" s="435"/>
      <c r="BC117" s="435"/>
      <c r="BD117" s="435"/>
      <c r="BE117" s="435"/>
      <c r="BF117" s="435"/>
      <c r="BG117" s="435"/>
      <c r="BH117" s="435"/>
      <c r="BI117" s="435"/>
      <c r="BJ117" s="435"/>
      <c r="BK117" s="435"/>
      <c r="BL117" s="435"/>
      <c r="BM117" s="435"/>
      <c r="BN117" s="435"/>
      <c r="BZ117" s="433"/>
      <c r="CA117" s="433"/>
      <c r="CD117" s="492"/>
      <c r="CE117" s="492"/>
      <c r="CF117" s="494"/>
      <c r="CG117" s="493"/>
      <c r="CH117" s="493"/>
      <c r="CI117" s="493"/>
      <c r="CJ117" s="493"/>
      <c r="CK117" s="527"/>
    </row>
    <row r="118" spans="2:92" x14ac:dyDescent="0.25">
      <c r="B118" s="434"/>
      <c r="C118" s="435"/>
      <c r="D118" s="435"/>
      <c r="E118" s="435"/>
      <c r="F118" s="435"/>
      <c r="G118" s="435"/>
      <c r="H118" s="435"/>
      <c r="I118" s="435"/>
      <c r="J118" s="435"/>
      <c r="K118" s="435"/>
      <c r="L118" s="435"/>
      <c r="M118" s="435"/>
      <c r="N118" s="435"/>
      <c r="O118" s="435"/>
      <c r="Q118" s="523"/>
      <c r="R118" s="447"/>
      <c r="S118" s="447"/>
      <c r="T118" s="447"/>
      <c r="U118" s="447"/>
      <c r="AD118" s="447"/>
      <c r="AE118" s="447"/>
      <c r="AF118" s="447"/>
      <c r="AG118" s="447"/>
      <c r="AH118" s="447"/>
      <c r="AI118" s="447"/>
      <c r="AJ118" s="447"/>
      <c r="AK118" s="447"/>
      <c r="AM118" s="434" t="e">
        <f>LongTerm1!#REF!</f>
        <v>#REF!</v>
      </c>
      <c r="AN118" s="435" t="e">
        <f>(LongTerm1!#REF!+LongTerm1!#REF!/(1-LongTerm1!#REF!))*(LongTerm1!#REF!*LongTerm1!#REF!*LongTerm1!#REF!)/10000</f>
        <v>#REF!</v>
      </c>
      <c r="AO118" s="435" t="e">
        <f>LongTerm1!#REF!*(LongTerm1!#REF!*LongTerm1!#REF!*LongTerm1!#REF!)/10000</f>
        <v>#REF!</v>
      </c>
      <c r="AP118" s="435" t="e">
        <f>(LongTerm1!#REF!/(1-LongTerm1!#REF!))*(LongTerm1!#REF!*LongTerm1!#REF!*LongTerm1!#REF!)/10000</f>
        <v>#REF!</v>
      </c>
      <c r="AQ118" s="434"/>
      <c r="AV118" s="435"/>
      <c r="AW118" s="435"/>
      <c r="AX118" s="435"/>
      <c r="AY118" s="435"/>
      <c r="AZ118" s="435"/>
      <c r="BA118" s="435"/>
      <c r="BB118" s="435"/>
      <c r="BC118" s="435"/>
      <c r="BD118" s="435"/>
      <c r="BE118" s="435"/>
      <c r="BF118" s="435"/>
      <c r="BG118" s="435"/>
      <c r="BH118" s="435"/>
      <c r="BI118" s="435"/>
      <c r="BJ118" s="435"/>
      <c r="BK118" s="435"/>
      <c r="BL118" s="435"/>
      <c r="BM118" s="435"/>
      <c r="BN118" s="435"/>
      <c r="BZ118" s="433"/>
      <c r="CA118" s="433"/>
      <c r="CD118" s="492"/>
      <c r="CE118" s="492"/>
      <c r="CF118" s="494"/>
      <c r="CG118" s="493"/>
      <c r="CH118" s="493"/>
      <c r="CI118" s="493"/>
      <c r="CJ118" s="493"/>
      <c r="CK118" s="527"/>
    </row>
    <row r="119" spans="2:92" x14ac:dyDescent="0.25">
      <c r="B119" s="434"/>
      <c r="C119" s="435"/>
      <c r="D119" s="435"/>
      <c r="E119" s="435"/>
      <c r="F119" s="435"/>
      <c r="G119" s="435"/>
      <c r="H119" s="435"/>
      <c r="I119" s="435"/>
      <c r="J119" s="435"/>
      <c r="K119" s="435"/>
      <c r="L119" s="435"/>
      <c r="M119" s="435"/>
      <c r="N119" s="435"/>
      <c r="O119" s="435"/>
      <c r="Q119" s="523"/>
      <c r="R119" s="447"/>
      <c r="S119" s="447"/>
      <c r="T119" s="447"/>
      <c r="U119" s="447"/>
      <c r="AM119" s="434" t="e">
        <f>LongTerm1!#REF!</f>
        <v>#REF!</v>
      </c>
      <c r="AN119" s="435" t="e">
        <f>(LongTerm1!#REF!+LongTerm1!#REF!/(1-LongTerm1!#REF!))*(LongTerm1!#REF!*LongTerm1!#REF!*LongTerm1!#REF!)/10000</f>
        <v>#REF!</v>
      </c>
      <c r="AO119" s="435" t="e">
        <f>LongTerm1!#REF!*(LongTerm1!#REF!*LongTerm1!#REF!*LongTerm1!#REF!)/10000</f>
        <v>#REF!</v>
      </c>
      <c r="AP119" s="435" t="e">
        <f>(LongTerm1!#REF!/(1-LongTerm1!#REF!))*(LongTerm1!#REF!*LongTerm1!#REF!*LongTerm1!#REF!)/10000</f>
        <v>#REF!</v>
      </c>
      <c r="AQ119" s="434"/>
      <c r="AV119" s="435"/>
      <c r="AW119" s="435"/>
      <c r="AX119" s="435"/>
      <c r="AY119" s="435"/>
      <c r="AZ119" s="435"/>
      <c r="BA119" s="435"/>
      <c r="BB119" s="435"/>
      <c r="BC119" s="435"/>
      <c r="BD119" s="435"/>
      <c r="BE119" s="435"/>
      <c r="BF119" s="435"/>
      <c r="BG119" s="435"/>
      <c r="BH119" s="435"/>
      <c r="BI119" s="435"/>
      <c r="BJ119" s="435"/>
      <c r="BK119" s="435"/>
      <c r="BL119" s="435"/>
      <c r="BM119" s="435"/>
      <c r="BN119" s="435"/>
      <c r="BZ119" s="433"/>
      <c r="CA119" s="433"/>
      <c r="CD119" s="492"/>
      <c r="CE119" s="492"/>
      <c r="CF119" s="494"/>
      <c r="CG119" s="493"/>
      <c r="CH119" s="493"/>
      <c r="CI119" s="493"/>
      <c r="CJ119" s="493"/>
      <c r="CK119" s="527"/>
    </row>
    <row r="120" spans="2:92" x14ac:dyDescent="0.25">
      <c r="AM120" s="434"/>
      <c r="AN120" s="435"/>
      <c r="AO120" s="435"/>
      <c r="AP120" s="435"/>
      <c r="AQ120" s="435"/>
      <c r="BZ120" s="433"/>
      <c r="CA120" s="433"/>
      <c r="CD120" s="492"/>
      <c r="CE120" s="492"/>
      <c r="CF120" s="494"/>
      <c r="CG120" s="493"/>
      <c r="CH120" s="493"/>
      <c r="CI120" s="493"/>
      <c r="CJ120" s="493"/>
      <c r="CK120" s="527"/>
    </row>
    <row r="121" spans="2:92" x14ac:dyDescent="0.25">
      <c r="AM121" s="434"/>
      <c r="AN121" s="435"/>
      <c r="AO121" s="435"/>
      <c r="AP121" s="435"/>
      <c r="AQ121" s="435"/>
      <c r="BZ121" s="433"/>
      <c r="CA121" s="433"/>
      <c r="CD121" s="492"/>
      <c r="CE121" s="492"/>
      <c r="CF121" s="494"/>
      <c r="CG121" s="493"/>
      <c r="CH121" s="493"/>
      <c r="CI121" s="493"/>
      <c r="CJ121" s="493"/>
      <c r="CK121" s="527"/>
    </row>
    <row r="122" spans="2:92" x14ac:dyDescent="0.25">
      <c r="AM122" s="434"/>
      <c r="AN122" s="435"/>
      <c r="AO122" s="435"/>
      <c r="AP122" s="435"/>
      <c r="AQ122" s="435"/>
      <c r="BZ122" s="433"/>
      <c r="CA122" s="433"/>
      <c r="CD122" s="492"/>
      <c r="CE122" s="492"/>
      <c r="CF122" s="494"/>
      <c r="CG122" s="493"/>
      <c r="CH122" s="493"/>
      <c r="CI122" s="493"/>
      <c r="CJ122" s="493"/>
      <c r="CK122" s="527"/>
    </row>
    <row r="123" spans="2:92" x14ac:dyDescent="0.25">
      <c r="AM123" s="434"/>
      <c r="AN123" s="435"/>
      <c r="AO123" s="435"/>
      <c r="AP123" s="435"/>
      <c r="AQ123" s="435"/>
      <c r="BZ123" s="433"/>
      <c r="CA123" s="433"/>
      <c r="CD123" s="492"/>
      <c r="CE123" s="492"/>
      <c r="CF123" s="495"/>
      <c r="CG123" s="496"/>
      <c r="CH123" s="496"/>
      <c r="CI123" s="496"/>
      <c r="CJ123" s="496"/>
      <c r="CK123" s="528"/>
    </row>
    <row r="124" spans="2:92" x14ac:dyDescent="0.25">
      <c r="AM124" s="434"/>
      <c r="AN124" s="435"/>
      <c r="AO124" s="435"/>
      <c r="AP124" s="435"/>
      <c r="AQ124" s="435"/>
      <c r="BZ124" s="433"/>
      <c r="CA124" s="433"/>
      <c r="CK124" s="529"/>
    </row>
    <row r="125" spans="2:92" x14ac:dyDescent="0.25">
      <c r="AM125" s="434"/>
      <c r="AN125" s="435"/>
      <c r="AO125" s="435"/>
      <c r="AP125" s="435"/>
      <c r="AQ125" s="435"/>
      <c r="BZ125" s="433"/>
      <c r="CA125" s="433"/>
      <c r="CK125" s="529"/>
    </row>
    <row r="126" spans="2:92" x14ac:dyDescent="0.25">
      <c r="AM126" s="434"/>
      <c r="AN126" s="435"/>
      <c r="AO126" s="435"/>
      <c r="AP126" s="435"/>
      <c r="AQ126" s="435"/>
      <c r="BZ126" s="433"/>
      <c r="CA126" s="433"/>
      <c r="CK126" s="529"/>
    </row>
    <row r="127" spans="2:92" x14ac:dyDescent="0.25">
      <c r="AM127" s="434"/>
      <c r="AN127" s="435"/>
      <c r="AO127" s="435"/>
      <c r="AP127" s="435"/>
      <c r="AQ127" s="435"/>
      <c r="BZ127" s="433"/>
      <c r="CA127" s="433"/>
      <c r="CK127" s="529"/>
    </row>
    <row r="128" spans="2:92" x14ac:dyDescent="0.25">
      <c r="AM128" s="434"/>
      <c r="AN128" s="435"/>
      <c r="AO128" s="435"/>
      <c r="AP128" s="435"/>
      <c r="AQ128" s="435"/>
      <c r="BZ128" s="433"/>
      <c r="CA128" s="433"/>
      <c r="CK128" s="529"/>
    </row>
    <row r="129" spans="39:89" x14ac:dyDescent="0.25">
      <c r="AM129" s="434"/>
      <c r="AN129" s="435"/>
      <c r="AO129" s="435"/>
      <c r="AP129" s="435"/>
      <c r="AQ129" s="435"/>
      <c r="BZ129" s="433"/>
      <c r="CA129" s="433"/>
      <c r="CK129" s="529"/>
    </row>
    <row r="130" spans="39:89" x14ac:dyDescent="0.25">
      <c r="AM130" s="434"/>
      <c r="AN130" s="435"/>
      <c r="AO130" s="435"/>
      <c r="AP130" s="435"/>
      <c r="AQ130" s="435"/>
      <c r="BZ130" s="433"/>
      <c r="CA130" s="433"/>
      <c r="CK130" s="529"/>
    </row>
    <row r="131" spans="39:89" x14ac:dyDescent="0.25">
      <c r="AM131" s="434"/>
      <c r="AN131" s="435"/>
      <c r="AO131" s="435"/>
      <c r="AP131" s="435"/>
      <c r="AQ131" s="435"/>
      <c r="BZ131" s="433"/>
      <c r="CA131" s="433"/>
      <c r="CK131" s="529"/>
    </row>
    <row r="132" spans="39:89" x14ac:dyDescent="0.25">
      <c r="AM132" s="434"/>
      <c r="AN132" s="435"/>
      <c r="AO132" s="435"/>
      <c r="AP132" s="435"/>
      <c r="AQ132" s="435"/>
      <c r="BZ132" s="433"/>
      <c r="CA132" s="433"/>
      <c r="CK132" s="529"/>
    </row>
    <row r="133" spans="39:89" x14ac:dyDescent="0.25">
      <c r="AM133" s="434"/>
      <c r="AN133" s="435"/>
      <c r="AO133" s="435"/>
      <c r="AP133" s="435"/>
      <c r="AQ133" s="435"/>
      <c r="BZ133" s="433"/>
      <c r="CA133" s="433"/>
      <c r="CK133" s="529"/>
    </row>
    <row r="134" spans="39:89" x14ac:dyDescent="0.25">
      <c r="AM134" s="434"/>
      <c r="AN134" s="435"/>
      <c r="AO134" s="435"/>
      <c r="AP134" s="435"/>
      <c r="AQ134" s="435"/>
      <c r="BZ134" s="433"/>
      <c r="CA134" s="433"/>
      <c r="CK134" s="529"/>
    </row>
    <row r="135" spans="39:89" x14ac:dyDescent="0.25">
      <c r="AM135" s="434"/>
      <c r="AN135" s="435"/>
      <c r="AO135" s="435"/>
      <c r="AP135" s="435"/>
      <c r="AQ135" s="435"/>
      <c r="BZ135" s="433"/>
      <c r="CA135" s="433"/>
      <c r="CK135" s="529"/>
    </row>
    <row r="136" spans="39:89" x14ac:dyDescent="0.25">
      <c r="AM136" s="434"/>
      <c r="AN136" s="435"/>
      <c r="AO136" s="435"/>
      <c r="AP136" s="435"/>
      <c r="AQ136" s="435"/>
      <c r="BZ136" s="433"/>
      <c r="CA136" s="433"/>
      <c r="CK136" s="529"/>
    </row>
    <row r="137" spans="39:89" x14ac:dyDescent="0.25">
      <c r="AM137" s="434"/>
      <c r="AN137" s="435"/>
      <c r="AO137" s="435"/>
      <c r="AP137" s="435"/>
      <c r="AQ137" s="435"/>
      <c r="BZ137" s="433"/>
      <c r="CA137" s="433"/>
      <c r="CK137" s="529"/>
    </row>
    <row r="138" spans="39:89" x14ac:dyDescent="0.25">
      <c r="AM138" s="434"/>
      <c r="AN138" s="435"/>
      <c r="AO138" s="435"/>
      <c r="AP138" s="435"/>
      <c r="AQ138" s="435"/>
      <c r="BZ138" s="433"/>
      <c r="CA138" s="433"/>
      <c r="CK138" s="529"/>
    </row>
    <row r="139" spans="39:89" x14ac:dyDescent="0.25">
      <c r="AM139" s="434"/>
      <c r="AN139" s="435"/>
      <c r="AO139" s="435"/>
      <c r="AP139" s="435"/>
      <c r="AQ139" s="435"/>
      <c r="BZ139" s="433"/>
      <c r="CA139" s="433"/>
      <c r="CK139" s="529"/>
    </row>
    <row r="140" spans="39:89" x14ac:dyDescent="0.25">
      <c r="AM140" s="434"/>
      <c r="AN140" s="435"/>
      <c r="AO140" s="435"/>
      <c r="AP140" s="435"/>
      <c r="AQ140" s="435"/>
      <c r="BZ140" s="433"/>
      <c r="CA140" s="433"/>
      <c r="CK140" s="529"/>
    </row>
    <row r="141" spans="39:89" x14ac:dyDescent="0.25">
      <c r="AM141" s="434"/>
      <c r="AN141" s="435"/>
      <c r="AO141" s="435"/>
      <c r="AP141" s="435"/>
      <c r="AQ141" s="435"/>
      <c r="BZ141" s="433"/>
      <c r="CA141" s="433"/>
      <c r="CK141" s="529"/>
    </row>
    <row r="142" spans="39:89" x14ac:dyDescent="0.25">
      <c r="AM142" s="434"/>
      <c r="AN142" s="435"/>
      <c r="AO142" s="435"/>
      <c r="AP142" s="435"/>
      <c r="AQ142" s="435"/>
      <c r="BZ142" s="433"/>
      <c r="CA142" s="433"/>
      <c r="CK142" s="529"/>
    </row>
    <row r="143" spans="39:89" x14ac:dyDescent="0.25">
      <c r="AM143" s="434"/>
      <c r="AN143" s="435"/>
      <c r="AO143" s="435"/>
      <c r="AP143" s="435"/>
      <c r="AQ143" s="435"/>
      <c r="BZ143" s="433"/>
      <c r="CA143" s="433"/>
      <c r="CK143" s="529"/>
    </row>
    <row r="144" spans="39:89" x14ac:dyDescent="0.25">
      <c r="AM144" s="434"/>
      <c r="AN144" s="435"/>
      <c r="AO144" s="435"/>
      <c r="AP144" s="435"/>
      <c r="AQ144" s="435"/>
      <c r="BZ144" s="433"/>
      <c r="CA144" s="433"/>
      <c r="CK144" s="529"/>
    </row>
    <row r="145" spans="39:89" x14ac:dyDescent="0.25">
      <c r="AM145" s="434"/>
      <c r="AN145" s="435"/>
      <c r="AO145" s="435"/>
      <c r="AP145" s="435"/>
      <c r="AQ145" s="435"/>
      <c r="BZ145" s="433"/>
      <c r="CA145" s="433"/>
      <c r="CK145" s="529"/>
    </row>
    <row r="146" spans="39:89" x14ac:dyDescent="0.25">
      <c r="AM146" s="434"/>
      <c r="AN146" s="435"/>
      <c r="AO146" s="435"/>
      <c r="AP146" s="435"/>
      <c r="AQ146" s="435"/>
      <c r="BZ146" s="433"/>
      <c r="CA146" s="433"/>
      <c r="CK146" s="529"/>
    </row>
    <row r="147" spans="39:89" x14ac:dyDescent="0.25">
      <c r="AM147" s="434"/>
      <c r="AN147" s="435"/>
      <c r="AO147" s="435"/>
      <c r="AP147" s="435"/>
      <c r="AQ147" s="435"/>
      <c r="BZ147" s="433"/>
      <c r="CA147" s="433"/>
      <c r="CK147" s="529"/>
    </row>
    <row r="148" spans="39:89" x14ac:dyDescent="0.25">
      <c r="AM148" s="434"/>
      <c r="AN148" s="435"/>
      <c r="AO148" s="435"/>
      <c r="AP148" s="435"/>
      <c r="AQ148" s="435"/>
      <c r="BZ148" s="433"/>
      <c r="CA148" s="433"/>
      <c r="CK148" s="529"/>
    </row>
    <row r="149" spans="39:89" x14ac:dyDescent="0.25">
      <c r="AM149" s="434"/>
      <c r="AN149" s="435"/>
      <c r="AO149" s="435"/>
      <c r="AP149" s="435"/>
      <c r="AQ149" s="435"/>
      <c r="BZ149" s="433"/>
      <c r="CA149" s="433"/>
      <c r="CK149" s="529"/>
    </row>
    <row r="150" spans="39:89" x14ac:dyDescent="0.25">
      <c r="AM150" s="434"/>
      <c r="AN150" s="435"/>
      <c r="AO150" s="435"/>
      <c r="AP150" s="435"/>
      <c r="AQ150" s="435"/>
      <c r="BZ150" s="433"/>
      <c r="CA150" s="433"/>
      <c r="CK150" s="529"/>
    </row>
    <row r="151" spans="39:89" x14ac:dyDescent="0.25">
      <c r="AM151" s="434"/>
      <c r="AN151" s="435"/>
      <c r="AO151" s="435"/>
      <c r="AP151" s="435"/>
      <c r="AQ151" s="435"/>
      <c r="BZ151" s="433"/>
      <c r="CA151" s="433"/>
      <c r="CK151" s="529"/>
    </row>
    <row r="152" spans="39:89" x14ac:dyDescent="0.25">
      <c r="BZ152" s="433"/>
      <c r="CA152" s="433"/>
      <c r="CK152" s="529"/>
    </row>
    <row r="153" spans="39:89" x14ac:dyDescent="0.25">
      <c r="BZ153" s="433"/>
      <c r="CA153" s="433"/>
    </row>
    <row r="154" spans="39:89" x14ac:dyDescent="0.25">
      <c r="BZ154" s="433"/>
      <c r="CA154" s="433"/>
    </row>
    <row r="155" spans="39:89" x14ac:dyDescent="0.25">
      <c r="BZ155" s="433"/>
      <c r="CA155" s="433"/>
    </row>
    <row r="156" spans="39:89" x14ac:dyDescent="0.25">
      <c r="BZ156" s="433"/>
      <c r="CA156" s="433"/>
    </row>
    <row r="157" spans="39:89" x14ac:dyDescent="0.25">
      <c r="BZ157" s="433"/>
      <c r="CA157" s="433"/>
    </row>
    <row r="158" spans="39:89" x14ac:dyDescent="0.25">
      <c r="BZ158" s="433"/>
      <c r="CA158" s="433"/>
    </row>
    <row r="159" spans="39:89" x14ac:dyDescent="0.25">
      <c r="BZ159" s="433"/>
      <c r="CA159" s="433"/>
    </row>
    <row r="160" spans="39:89" x14ac:dyDescent="0.25">
      <c r="BZ160" s="433"/>
      <c r="CA160" s="433"/>
    </row>
    <row r="161" spans="78:79" x14ac:dyDescent="0.25">
      <c r="BZ161" s="433"/>
      <c r="CA161" s="433"/>
    </row>
    <row r="162" spans="78:79" x14ac:dyDescent="0.25">
      <c r="BZ162" s="433"/>
      <c r="CA162" s="433"/>
    </row>
    <row r="163" spans="78:79" x14ac:dyDescent="0.25">
      <c r="BZ163" s="433"/>
      <c r="CA163" s="433"/>
    </row>
    <row r="164" spans="78:79" x14ac:dyDescent="0.25">
      <c r="BZ164" s="433"/>
      <c r="CA164" s="433"/>
    </row>
  </sheetData>
  <sheetCalcPr fullCalcOnLoad="1"/>
  <phoneticPr fontId="0" type="noConversion"/>
  <pageMargins left="0.75" right="0.75" top="1" bottom="1" header="0.5" footer="0.5"/>
  <pageSetup paperSize="5" scale="41" fitToHeight="5" orientation="portrait" r:id="rId1"/>
  <headerFooter alignWithMargins="0"/>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pageSetUpPr autoPageBreaks="0"/>
  </sheetPr>
  <dimension ref="A1:CX129"/>
  <sheetViews>
    <sheetView zoomScale="80" workbookViewId="0">
      <pane xSplit="5" ySplit="21" topLeftCell="O22" activePane="bottomRight" state="frozen"/>
      <selection activeCell="N24" sqref="N24"/>
      <selection pane="topRight" activeCell="N24" sqref="N24"/>
      <selection pane="bottomLeft" activeCell="N24" sqref="N24"/>
      <selection pane="bottomRight" activeCell="CI21" sqref="CI21:CI117"/>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v>
      </c>
      <c r="F2" s="178" t="str">
        <f>GetRcptPoint($AH$12,$AH$13)</f>
        <v>Ventura</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5">
      <c r="A4" s="269" t="str">
        <f>ADDRESS(ROW($S$22),COLUMN($S$22))</f>
        <v>$S$22</v>
      </c>
      <c r="L4" s="721" t="s">
        <v>201</v>
      </c>
      <c r="M4" s="722"/>
      <c r="N4" s="352">
        <f ca="1">SUMPRODUCT(INDIRECT(CONCATENATE(AV4,":",AW4)),INDIRECT(CONCATENATE($AV$2,":",$AW$2)),INDIRECT(CONCATENATE($AV$3,":",$AW$3)))</f>
        <v>17989602.529776391</v>
      </c>
      <c r="O4" s="352">
        <v>17986906.469999999</v>
      </c>
      <c r="P4" s="354">
        <f t="shared" ref="P4:P19" ca="1" si="0">N4-O4</f>
        <v>2696.059776391834</v>
      </c>
      <c r="S4" s="427" t="s">
        <v>635</v>
      </c>
      <c r="T4" s="422">
        <f ca="1">SUMPRODUCT(INDIRECT(CONCATENATE(V4,":",W4)),INDIRECT(CONCATENATE(AV2,":",AW2)),INDIRECT(CONCATENATE(AV3,":",AW3)))</f>
        <v>14722731.042511342</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60000</v>
      </c>
      <c r="AN4" s="46">
        <f>GetCommodity($AH$12,$AH$13,AT4)</f>
        <v>0</v>
      </c>
      <c r="AO4" s="47">
        <f>GetFuelRate($AH$12,$AH$13,AT4)</f>
        <v>1.15E-2</v>
      </c>
      <c r="AP4" s="46">
        <f t="shared" ref="AP4:AP15" si="1">GetSurcharge($AH$12,$AH$13,$AT4)</f>
        <v>0</v>
      </c>
      <c r="AQ4" s="46">
        <f t="shared" ref="AQ4:AQ15" si="2">GetRcptIndexAdj($AH$12,$AH$13,$AT4)</f>
        <v>0</v>
      </c>
      <c r="AR4" s="132">
        <f t="shared" ref="AR4:AR15" si="3">GetDelIndexAdj($AH$12,$AH$13,$AT4)</f>
        <v>0</v>
      </c>
      <c r="AS4" s="48">
        <f t="shared" ref="AS4:AS15" si="4">GetDemandRate($AH$12,$AH$13,$AT4)</f>
        <v>0.1431</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19413442.430596001</v>
      </c>
      <c r="O5" s="352">
        <v>19406731.719999999</v>
      </c>
      <c r="P5" s="355">
        <f t="shared" ca="1" si="0"/>
        <v>6710.7105960026383</v>
      </c>
      <c r="S5" s="428" t="s">
        <v>636</v>
      </c>
      <c r="T5" s="423">
        <f ca="1">SUMPRODUCT(INDIRECT(CONCATENATE(V5,":",W5)),INDIRECT(CONCATENATE(AV2,":",AW2)),INDIRECT(CONCATENATE(AV3,":",AW3)))</f>
        <v>3266871.4872650509</v>
      </c>
      <c r="V5" s="30" t="str">
        <f>ADDRESS(ROW(L22),COLUMN(L22))</f>
        <v>$L$22</v>
      </c>
      <c r="W5" s="30" t="str">
        <f ca="1">GetEnd($AV$1,V5)</f>
        <v>$L$117</v>
      </c>
      <c r="AF5" s="28"/>
      <c r="AG5" s="103" t="s">
        <v>33</v>
      </c>
      <c r="AH5" s="104">
        <f>GetDelBasisCol($AH$12,$AH$13)</f>
        <v>22</v>
      </c>
      <c r="AI5" s="29"/>
      <c r="AJ5" s="103" t="s">
        <v>77</v>
      </c>
      <c r="AK5" s="104" t="str">
        <f>LiborCurve</f>
        <v>Libor AA</v>
      </c>
      <c r="AL5" s="34">
        <v>2</v>
      </c>
      <c r="AM5" s="37">
        <f t="shared" ref="AM5:AM15" si="5">GetVolume($AH$12,$AH$13,AT5)</f>
        <v>60000</v>
      </c>
      <c r="AN5" s="38">
        <f t="shared" ref="AN5:AN15" si="6">GetCommodity($AH$12,$AH$13,AT5)</f>
        <v>0</v>
      </c>
      <c r="AO5" s="39">
        <f t="shared" ref="AO5:AO15" si="7">GetFuelRate($AH$12,$AH$13,AT5)</f>
        <v>1.15E-2</v>
      </c>
      <c r="AP5" s="38">
        <f t="shared" si="1"/>
        <v>0</v>
      </c>
      <c r="AQ5" s="38">
        <f t="shared" si="2"/>
        <v>0</v>
      </c>
      <c r="AR5" s="133">
        <f t="shared" si="3"/>
        <v>0</v>
      </c>
      <c r="AS5" s="40">
        <f t="shared" si="4"/>
        <v>0.1431</v>
      </c>
      <c r="AT5" s="35">
        <f t="shared" ref="AT5:AT15" si="8">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5">
      <c r="A6" s="269" t="str">
        <f>ADDRESS(ROW($BW$2),COLUMN($BW$2))</f>
        <v>$BW$2</v>
      </c>
      <c r="F6" s="187"/>
      <c r="G6" s="187"/>
      <c r="L6" s="704" t="s">
        <v>149</v>
      </c>
      <c r="M6" s="705"/>
      <c r="N6" s="356">
        <f ca="1">N4-N5</f>
        <v>-1423839.9008196108</v>
      </c>
      <c r="O6" s="357">
        <v>-1419825.25</v>
      </c>
      <c r="P6" s="358">
        <f t="shared" ca="1" si="0"/>
        <v>-4014.6508196108043</v>
      </c>
      <c r="S6" s="428" t="s">
        <v>637</v>
      </c>
      <c r="T6" s="424">
        <f ca="1">SUMPRODUCT(INDIRECT(CONCATENATE(V6,":",W6)),INDIRECT(CONCATENATE(AV3,":",AW3)),INDIRECT(CONCATENATE(AX3,":",AY3)))</f>
        <v>135663469.11667365</v>
      </c>
      <c r="V6" s="30" t="str">
        <f>ADDRESS(ROW(G22),COLUMN(G22))</f>
        <v>$G$22</v>
      </c>
      <c r="W6" s="30" t="str">
        <f ca="1">GetEnd($AV$1,V6)</f>
        <v>$G$117</v>
      </c>
      <c r="AF6" s="28"/>
      <c r="AG6" s="103" t="s">
        <v>34</v>
      </c>
      <c r="AH6" s="104">
        <f>GetDelIndexCol($AH$12,$AH$13)</f>
        <v>35</v>
      </c>
      <c r="AI6" s="29"/>
      <c r="AJ6" s="103" t="s">
        <v>79</v>
      </c>
      <c r="AK6" s="104">
        <f>GetLiborCol(AK5)</f>
        <v>4</v>
      </c>
      <c r="AL6" s="34">
        <v>3</v>
      </c>
      <c r="AM6" s="37">
        <f t="shared" si="5"/>
        <v>60000</v>
      </c>
      <c r="AN6" s="38">
        <f t="shared" si="6"/>
        <v>0</v>
      </c>
      <c r="AO6" s="39">
        <f t="shared" si="7"/>
        <v>1.15E-2</v>
      </c>
      <c r="AP6" s="38">
        <f t="shared" si="1"/>
        <v>0</v>
      </c>
      <c r="AQ6" s="38">
        <f t="shared" si="2"/>
        <v>0</v>
      </c>
      <c r="AR6" s="133">
        <f t="shared" si="3"/>
        <v>0</v>
      </c>
      <c r="AS6" s="40">
        <f t="shared" si="4"/>
        <v>0.1431</v>
      </c>
      <c r="AT6" s="35">
        <f t="shared" si="8"/>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58799.48</v>
      </c>
      <c r="P7" s="355">
        <f ca="1">N7</f>
        <v>0</v>
      </c>
      <c r="S7" s="428" t="s">
        <v>638</v>
      </c>
      <c r="T7" s="425">
        <f ca="1">T5/T6</f>
        <v>2.4080701374778111E-2</v>
      </c>
      <c r="AF7" s="28"/>
      <c r="AG7" s="103" t="s">
        <v>76</v>
      </c>
      <c r="AH7" s="104">
        <f>GetRcptOmicronCol($AH$12,$AH$13)</f>
        <v>10</v>
      </c>
      <c r="AI7" s="29"/>
      <c r="AJ7" s="103" t="s">
        <v>80</v>
      </c>
      <c r="AK7" s="104" t="str">
        <f>Configuration!$D$8</f>
        <v>Nymex Vol</v>
      </c>
      <c r="AL7" s="34">
        <v>4</v>
      </c>
      <c r="AM7" s="37">
        <f t="shared" si="5"/>
        <v>60000</v>
      </c>
      <c r="AN7" s="38">
        <f t="shared" si="6"/>
        <v>0</v>
      </c>
      <c r="AO7" s="39">
        <f t="shared" si="7"/>
        <v>1.15E-2</v>
      </c>
      <c r="AP7" s="38">
        <f t="shared" si="1"/>
        <v>0</v>
      </c>
      <c r="AQ7" s="38">
        <f t="shared" si="2"/>
        <v>0</v>
      </c>
      <c r="AR7" s="133">
        <f t="shared" si="3"/>
        <v>0</v>
      </c>
      <c r="AS7" s="40">
        <f t="shared" si="4"/>
        <v>0.1431</v>
      </c>
      <c r="AT7" s="35">
        <f t="shared" si="8"/>
        <v>1</v>
      </c>
      <c r="AU7" s="361" t="s">
        <v>574</v>
      </c>
      <c r="AV7" s="339" t="str">
        <f>ADDRESS(ROW($AL$22),COLUMN($AL$22))</f>
        <v>$AL$22</v>
      </c>
      <c r="AW7" s="138" t="str">
        <f ca="1">GetEnd($AV$1,AV7)</f>
        <v>$AL$117</v>
      </c>
      <c r="AX7" s="339" t="str">
        <f>ADDRESS(ROW($AV$22),COLUMN($AV$22))</f>
        <v>$AV$22</v>
      </c>
      <c r="AY7" s="138" t="str">
        <f t="shared" ref="AY7:AY13" ca="1" si="9">GetEnd($AV$1,AX7)</f>
        <v>$AV$117</v>
      </c>
    </row>
    <row r="8" spans="1:102" x14ac:dyDescent="0.25">
      <c r="A8" s="270" t="s">
        <v>224</v>
      </c>
      <c r="F8" s="186" t="s">
        <v>26</v>
      </c>
      <c r="G8" s="190">
        <f>GetMonthEnd($AH$12,$AH$13)</f>
        <v>39955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0.99676308795456137</v>
      </c>
      <c r="V8" s="30" t="str">
        <f>ADDRESS(ROW(P22),COLUMN(P22))</f>
        <v>$P$22</v>
      </c>
      <c r="W8" s="30" t="str">
        <f ca="1">GetEnd($AV$1,V8)</f>
        <v>$P$117</v>
      </c>
      <c r="Y8" s="334">
        <f ca="1">SUMIF(INDIRECT(CONCATENATE(V8,":",W8)),"&gt;0",INDIRECT(CONCATENATE(V8,":",W8)))</f>
        <v>88.711914827955965</v>
      </c>
      <c r="Z8" s="334">
        <f ca="1">COUNTIF(INDIRECT(CONCATENATE(V8,":",W8)),"&gt;0")</f>
        <v>89</v>
      </c>
      <c r="AF8" s="28"/>
      <c r="AG8" s="103" t="s">
        <v>75</v>
      </c>
      <c r="AH8" s="105">
        <f>GetDelOmicronCol($AH$12,$AH$13)</f>
        <v>16</v>
      </c>
      <c r="AI8" s="29"/>
      <c r="AJ8" s="103" t="s">
        <v>81</v>
      </c>
      <c r="AK8" s="104">
        <f>GetNGOmicronCol(AK7)</f>
        <v>5</v>
      </c>
      <c r="AL8" s="34">
        <v>5</v>
      </c>
      <c r="AM8" s="37">
        <f t="shared" si="5"/>
        <v>60000</v>
      </c>
      <c r="AN8" s="38">
        <f t="shared" si="6"/>
        <v>0</v>
      </c>
      <c r="AO8" s="39">
        <f t="shared" si="7"/>
        <v>1.15E-2</v>
      </c>
      <c r="AP8" s="38">
        <f t="shared" si="1"/>
        <v>0</v>
      </c>
      <c r="AQ8" s="38">
        <f t="shared" si="2"/>
        <v>0</v>
      </c>
      <c r="AR8" s="133">
        <f t="shared" si="3"/>
        <v>0</v>
      </c>
      <c r="AS8" s="40">
        <f t="shared" si="4"/>
        <v>0.1431</v>
      </c>
      <c r="AT8" s="35">
        <f t="shared" si="8"/>
        <v>1</v>
      </c>
      <c r="AU8" s="362" t="s">
        <v>575</v>
      </c>
      <c r="AV8" s="339" t="str">
        <f>ADDRESS(ROW($AM$22),COLUMN($AM$22))</f>
        <v>$AM$22</v>
      </c>
      <c r="AW8" s="138" t="str">
        <f ca="1">GetEnd($AV$1,AV8)</f>
        <v>$AM$117</v>
      </c>
      <c r="AX8" s="339" t="str">
        <f>ADDRESS(ROW($AO$22),COLUMN($AO$22))</f>
        <v>$AO$22</v>
      </c>
      <c r="AY8" s="138" t="str">
        <f t="shared" ca="1" si="9"/>
        <v>$AO$117</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5"/>
        <v>60000</v>
      </c>
      <c r="AN9" s="38">
        <f t="shared" si="6"/>
        <v>0</v>
      </c>
      <c r="AO9" s="39">
        <f t="shared" si="7"/>
        <v>1.15E-2</v>
      </c>
      <c r="AP9" s="38">
        <f t="shared" si="1"/>
        <v>0</v>
      </c>
      <c r="AQ9" s="38">
        <f t="shared" si="2"/>
        <v>0</v>
      </c>
      <c r="AR9" s="133">
        <f t="shared" si="3"/>
        <v>0</v>
      </c>
      <c r="AS9" s="40">
        <f t="shared" si="4"/>
        <v>0.1431</v>
      </c>
      <c r="AT9" s="35">
        <f t="shared" si="8"/>
        <v>1</v>
      </c>
      <c r="AU9" s="361" t="s">
        <v>578</v>
      </c>
      <c r="AV9" s="339" t="str">
        <f>ADDRESS(ROW($AN$22),COLUMN($AN$22))</f>
        <v>$AN$22</v>
      </c>
      <c r="AW9" s="138" t="str">
        <f ca="1">GetEnd($AV$1,AV9)</f>
        <v>$AN$117</v>
      </c>
      <c r="AX9" s="339" t="str">
        <f>ADDRESS(ROW($AP$22),COLUMN($AP$22))</f>
        <v>$AP$22</v>
      </c>
      <c r="AY9" s="138" t="str">
        <f t="shared" ca="1" si="9"/>
        <v>$AP$117</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-5325286.3298058473</v>
      </c>
      <c r="O10" s="352">
        <v>-5323408.41</v>
      </c>
      <c r="P10" s="355">
        <f t="shared" ca="1" si="0"/>
        <v>-1877.9198058471084</v>
      </c>
      <c r="AF10" s="28"/>
      <c r="AG10" s="103" t="s">
        <v>142</v>
      </c>
      <c r="AH10" s="119" t="b">
        <f>GetGRIFactor($AH$12,$AH$13)</f>
        <v>0</v>
      </c>
      <c r="AI10" s="29"/>
      <c r="AJ10" s="29"/>
      <c r="AK10" s="29"/>
      <c r="AL10" s="34">
        <v>7</v>
      </c>
      <c r="AM10" s="37">
        <f t="shared" si="5"/>
        <v>60000</v>
      </c>
      <c r="AN10" s="38">
        <f t="shared" si="6"/>
        <v>0</v>
      </c>
      <c r="AO10" s="39">
        <f t="shared" si="7"/>
        <v>1.15E-2</v>
      </c>
      <c r="AP10" s="38">
        <f t="shared" si="1"/>
        <v>0</v>
      </c>
      <c r="AQ10" s="38">
        <f t="shared" si="2"/>
        <v>0</v>
      </c>
      <c r="AR10" s="133">
        <f t="shared" si="3"/>
        <v>0</v>
      </c>
      <c r="AS10" s="40">
        <f t="shared" si="4"/>
        <v>0.1431</v>
      </c>
      <c r="AT10" s="35">
        <f t="shared" si="8"/>
        <v>1</v>
      </c>
      <c r="AU10" s="361" t="s">
        <v>577</v>
      </c>
      <c r="AV10" s="339" t="str">
        <f>ADDRESS(ROW($AS$22),COLUMN($AS$22))</f>
        <v>$AS$22</v>
      </c>
      <c r="AW10" s="138" t="str">
        <f ca="1">GetEnd($AV$1,AV10)</f>
        <v>$AS$117</v>
      </c>
      <c r="AX10" s="339" t="str">
        <f>ADDRESS(ROW($CC$22),COLUMN($CC$22))</f>
        <v>$CC$22</v>
      </c>
      <c r="AY10" s="138" t="str">
        <f t="shared" ca="1" si="9"/>
        <v>$CC$117</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0"/>
        <v>0</v>
      </c>
      <c r="AL11" s="34">
        <v>8</v>
      </c>
      <c r="AM11" s="37">
        <f t="shared" si="5"/>
        <v>60000</v>
      </c>
      <c r="AN11" s="38">
        <f t="shared" si="6"/>
        <v>0</v>
      </c>
      <c r="AO11" s="39">
        <f t="shared" si="7"/>
        <v>1.15E-2</v>
      </c>
      <c r="AP11" s="38">
        <f t="shared" si="1"/>
        <v>0</v>
      </c>
      <c r="AQ11" s="38">
        <f t="shared" si="2"/>
        <v>0</v>
      </c>
      <c r="AR11" s="133">
        <f t="shared" si="3"/>
        <v>0</v>
      </c>
      <c r="AS11" s="40">
        <f t="shared" si="4"/>
        <v>0.1431</v>
      </c>
      <c r="AT11" s="35">
        <f t="shared" si="8"/>
        <v>1</v>
      </c>
      <c r="AU11" s="361" t="s">
        <v>579</v>
      </c>
      <c r="AV11" s="339" t="str">
        <f>ADDRESS(ROW($AQ$22),COLUMN($AQ$22))</f>
        <v>$AQ$22</v>
      </c>
      <c r="AW11" s="138" t="str">
        <f ca="1">GetEnd($AV$1,AV11)</f>
        <v>$AQ$117</v>
      </c>
      <c r="AX11" s="339" t="str">
        <f>ADDRESS(ROW($CD$22),COLUMN($CD$22))</f>
        <v>$CD$22</v>
      </c>
      <c r="AY11" s="138" t="str">
        <f t="shared" ca="1" si="9"/>
        <v>$CD$117</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14192.53</v>
      </c>
      <c r="P12" s="355">
        <f t="shared" ca="1" si="0"/>
        <v>-14192.53</v>
      </c>
      <c r="AG12" s="248" t="s">
        <v>185</v>
      </c>
      <c r="AH12" s="119" t="str">
        <f>GetDBPage($D$2)</f>
        <v>Contract DB (Central)</v>
      </c>
      <c r="AL12" s="34">
        <v>9</v>
      </c>
      <c r="AM12" s="37">
        <f t="shared" si="5"/>
        <v>60000</v>
      </c>
      <c r="AN12" s="38">
        <f t="shared" si="6"/>
        <v>0</v>
      </c>
      <c r="AO12" s="39">
        <f t="shared" si="7"/>
        <v>1.15E-2</v>
      </c>
      <c r="AP12" s="38">
        <f t="shared" si="1"/>
        <v>0</v>
      </c>
      <c r="AQ12" s="38">
        <f t="shared" si="2"/>
        <v>0</v>
      </c>
      <c r="AR12" s="133">
        <f t="shared" si="3"/>
        <v>0</v>
      </c>
      <c r="AS12" s="40">
        <f t="shared" si="4"/>
        <v>0.1431</v>
      </c>
      <c r="AT12" s="35">
        <f t="shared" si="8"/>
        <v>1</v>
      </c>
      <c r="AU12" s="361" t="s">
        <v>271</v>
      </c>
      <c r="AV12" s="339" t="str">
        <f>ADDRESS(ROW($X$22),COLUMN($X$22))</f>
        <v>$X$22</v>
      </c>
      <c r="AW12" s="138" t="str">
        <f t="shared" ref="AW12:AW17" ca="1" si="11">GetEnd($AV$1,AV12)</f>
        <v>$X$117</v>
      </c>
      <c r="AX12" s="339" t="str">
        <f>ADDRESS(ROW($CE$22),COLUMN($CE$22))</f>
        <v>$CE$22</v>
      </c>
      <c r="AY12" s="138" t="str">
        <f t="shared" ca="1" si="9"/>
        <v>$CE$117</v>
      </c>
    </row>
    <row r="13" spans="1:102" x14ac:dyDescent="0.25">
      <c r="A13" s="270" t="s">
        <v>224</v>
      </c>
      <c r="D13" s="170"/>
      <c r="E13" s="171"/>
      <c r="F13" s="172"/>
      <c r="G13" s="172"/>
      <c r="H13" s="173"/>
      <c r="L13" s="706" t="s">
        <v>155</v>
      </c>
      <c r="M13" s="707"/>
      <c r="N13" s="352">
        <f t="shared" ca="1" si="10"/>
        <v>0</v>
      </c>
      <c r="O13" s="352">
        <v>371.43</v>
      </c>
      <c r="P13" s="355">
        <f t="shared" ca="1" si="0"/>
        <v>-371.43</v>
      </c>
      <c r="AG13" s="248" t="s">
        <v>186</v>
      </c>
      <c r="AH13" s="119">
        <f>GetRecNdx($AH$12,$D$2)</f>
        <v>1</v>
      </c>
      <c r="AL13" s="34">
        <v>10</v>
      </c>
      <c r="AM13" s="37">
        <f t="shared" si="5"/>
        <v>60000</v>
      </c>
      <c r="AN13" s="38">
        <f t="shared" si="6"/>
        <v>0</v>
      </c>
      <c r="AO13" s="39">
        <f t="shared" si="7"/>
        <v>1.15E-2</v>
      </c>
      <c r="AP13" s="38">
        <f t="shared" si="1"/>
        <v>0</v>
      </c>
      <c r="AQ13" s="38">
        <f t="shared" si="2"/>
        <v>0</v>
      </c>
      <c r="AR13" s="133">
        <f t="shared" si="3"/>
        <v>0</v>
      </c>
      <c r="AS13" s="40">
        <f t="shared" si="4"/>
        <v>0.1431</v>
      </c>
      <c r="AT13" s="35">
        <f t="shared" si="8"/>
        <v>1</v>
      </c>
      <c r="AU13" s="361" t="s">
        <v>155</v>
      </c>
      <c r="AV13" s="339" t="str">
        <f>ADDRESS(ROW($Y$22),COLUMN($Y$22))</f>
        <v>$Y$22</v>
      </c>
      <c r="AW13" s="138" t="str">
        <f t="shared" ca="1" si="11"/>
        <v>$Y$117</v>
      </c>
      <c r="AX13" s="339" t="str">
        <f>ADDRESS(ROW($CF$22),COLUMN($CF$22))</f>
        <v>$CF$22</v>
      </c>
      <c r="AY13" s="138" t="str">
        <f t="shared" ca="1" si="9"/>
        <v>$CF$117</v>
      </c>
    </row>
    <row r="14" spans="1:102" x14ac:dyDescent="0.25">
      <c r="A14" s="270" t="s">
        <v>224</v>
      </c>
      <c r="D14" s="170"/>
      <c r="E14" s="171"/>
      <c r="F14" s="172"/>
      <c r="G14" s="172"/>
      <c r="H14" s="173"/>
      <c r="K14" s="185"/>
      <c r="L14" s="706" t="s">
        <v>156</v>
      </c>
      <c r="M14" s="707"/>
      <c r="N14" s="352">
        <f t="shared" ca="1" si="10"/>
        <v>-11980.962347996116</v>
      </c>
      <c r="O14" s="352">
        <v>-3787.91</v>
      </c>
      <c r="P14" s="355">
        <f t="shared" ca="1" si="0"/>
        <v>-8193.0523479961157</v>
      </c>
      <c r="S14" s="181">
        <f>F22/(1-AR22)*AH22*AU22</f>
        <v>1878850.4017912813</v>
      </c>
      <c r="T14" s="181">
        <f>F22*AH22*AU22</f>
        <v>1857243.6221706816</v>
      </c>
      <c r="AL14" s="34">
        <v>11</v>
      </c>
      <c r="AM14" s="37">
        <f t="shared" si="5"/>
        <v>60000</v>
      </c>
      <c r="AN14" s="38">
        <f t="shared" si="6"/>
        <v>0</v>
      </c>
      <c r="AO14" s="39">
        <f t="shared" si="7"/>
        <v>1.15E-2</v>
      </c>
      <c r="AP14" s="38">
        <f t="shared" si="1"/>
        <v>0</v>
      </c>
      <c r="AQ14" s="38">
        <f t="shared" si="2"/>
        <v>0</v>
      </c>
      <c r="AR14" s="133">
        <f t="shared" si="3"/>
        <v>0</v>
      </c>
      <c r="AS14" s="40">
        <f t="shared" si="4"/>
        <v>0.1431</v>
      </c>
      <c r="AT14" s="35">
        <f t="shared" si="8"/>
        <v>1</v>
      </c>
      <c r="AU14" s="361" t="s">
        <v>156</v>
      </c>
      <c r="AV14" s="339" t="str">
        <f>ADDRESS(ROW($Z$22),COLUMN($Z$22))</f>
        <v>$Z$22</v>
      </c>
      <c r="AW14" s="138" t="str">
        <f t="shared" ca="1" si="11"/>
        <v>$Z$117</v>
      </c>
      <c r="AX14" s="353" t="str">
        <f ca="1">CONCATENATE(AX8,":",AY8)</f>
        <v>$AO$22:$AO$117</v>
      </c>
      <c r="AY14" s="353" t="str">
        <f ca="1">CONCATENATE(AX10,":",AY10)</f>
        <v>$CC$22:$CC$117</v>
      </c>
    </row>
    <row r="15" spans="1:102" ht="13.8" thickBot="1" x14ac:dyDescent="0.3">
      <c r="A15" s="270" t="s">
        <v>224</v>
      </c>
      <c r="D15" s="170"/>
      <c r="E15" s="171"/>
      <c r="F15" s="172"/>
      <c r="G15" s="172"/>
      <c r="H15" s="173"/>
      <c r="L15" s="706" t="s">
        <v>157</v>
      </c>
      <c r="M15" s="707"/>
      <c r="N15" s="352">
        <f t="shared" ca="1" si="10"/>
        <v>3079.8131764006735</v>
      </c>
      <c r="O15" s="352">
        <v>20530.18</v>
      </c>
      <c r="P15" s="355">
        <f t="shared" ca="1" si="0"/>
        <v>-17450.366823599328</v>
      </c>
      <c r="AL15" s="34">
        <v>12</v>
      </c>
      <c r="AM15" s="41">
        <f t="shared" si="5"/>
        <v>60000</v>
      </c>
      <c r="AN15" s="42">
        <f t="shared" si="6"/>
        <v>0</v>
      </c>
      <c r="AO15" s="43">
        <f t="shared" si="7"/>
        <v>1.15E-2</v>
      </c>
      <c r="AP15" s="42">
        <f t="shared" si="1"/>
        <v>0</v>
      </c>
      <c r="AQ15" s="42">
        <f t="shared" si="2"/>
        <v>0</v>
      </c>
      <c r="AR15" s="134">
        <f t="shared" si="3"/>
        <v>0</v>
      </c>
      <c r="AS15" s="44">
        <f t="shared" si="4"/>
        <v>0.1431</v>
      </c>
      <c r="AT15" s="35">
        <f t="shared" si="8"/>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5">
      <c r="D16" s="174"/>
      <c r="E16" s="175"/>
      <c r="F16" s="176"/>
      <c r="G16" s="176"/>
      <c r="H16" s="177"/>
      <c r="L16" s="706" t="s">
        <v>158</v>
      </c>
      <c r="M16" s="707"/>
      <c r="N16" s="352">
        <f t="shared" ca="1" si="10"/>
        <v>0</v>
      </c>
      <c r="O16" s="352">
        <v>3945.57</v>
      </c>
      <c r="P16" s="355">
        <f t="shared" ca="1" si="0"/>
        <v>-3945.57</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5">
      <c r="D17" s="171"/>
      <c r="E17" s="171"/>
      <c r="F17" s="172"/>
      <c r="G17" s="172"/>
      <c r="H17" s="172"/>
      <c r="L17" s="704" t="s">
        <v>211</v>
      </c>
      <c r="M17" s="705"/>
      <c r="N17" s="356">
        <f t="shared" ca="1" si="10"/>
        <v>6370.3763451208579</v>
      </c>
      <c r="O17" s="357">
        <v>2083.04</v>
      </c>
      <c r="P17" s="358">
        <f t="shared" ca="1" si="0"/>
        <v>4287.3363451208579</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5">
      <c r="D18" s="171"/>
      <c r="E18" s="171"/>
      <c r="F18" s="172"/>
      <c r="G18" s="172"/>
      <c r="H18" s="172"/>
      <c r="L18" s="706" t="s">
        <v>623</v>
      </c>
      <c r="M18" s="707"/>
      <c r="N18" s="352">
        <f ca="1">SUMPRODUCT(INDIRECT(CONCATENATE(AX4,":",AY4)),INDIRECT(CONCATENATE($AV$2,":",$AW$2)),INDIRECT(CONCATENATE($AV$3,":",$AW$3)))</f>
        <v>14722731.042511342</v>
      </c>
      <c r="O18" s="352">
        <v>14717627.25</v>
      </c>
      <c r="P18" s="355">
        <f t="shared" ca="1" si="0"/>
        <v>5103.7925113420933</v>
      </c>
      <c r="AU18" s="361"/>
      <c r="AV18" s="339"/>
      <c r="AW18" s="138"/>
      <c r="AX18" s="339" t="str">
        <f>ADDRESS(ROW($CI$22),COLUMN($CI$22))</f>
        <v>$CI$22</v>
      </c>
      <c r="AY18" s="138" t="str">
        <f ca="1">GetEnd($AV$1,AX18)</f>
        <v>$CI$117</v>
      </c>
    </row>
    <row r="19" spans="1:91" x14ac:dyDescent="0.25">
      <c r="D19" s="171"/>
      <c r="E19" s="171"/>
      <c r="F19" s="172"/>
      <c r="G19" s="172"/>
      <c r="H19" s="172"/>
      <c r="L19" s="724" t="s">
        <v>624</v>
      </c>
      <c r="M19" s="725"/>
      <c r="N19" s="359">
        <f ca="1">SUMPRODUCT(INDIRECT(CONCATENATE(AX5,":",AY5)),INDIRECT(CONCATENATE($AV$2,":",$AW$2)),INDIRECT(CONCATENATE($AV$3,":",$AW$3)))</f>
        <v>3266871.4872650509</v>
      </c>
      <c r="O19" s="359">
        <v>3269279.22</v>
      </c>
      <c r="P19" s="360">
        <f t="shared" ca="1" si="0"/>
        <v>-2407.732734949328</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NGI/CHI. GATE Basis Mid</v>
      </c>
      <c r="U20" s="158"/>
      <c r="V20" s="158"/>
      <c r="W20" s="158"/>
      <c r="X20" s="158"/>
      <c r="Y20" s="335"/>
      <c r="Z20" s="335"/>
      <c r="AA20" s="335"/>
      <c r="AB20" s="335"/>
      <c r="AC20" s="335"/>
      <c r="AI20" s="138"/>
      <c r="AM20" s="702" t="str">
        <f>GetRcptPoint($AH$12,$AH$13)</f>
        <v>Ventura</v>
      </c>
      <c r="AN20" s="703"/>
      <c r="AO20" s="702" t="str">
        <f>GetDelPoint($AH$12,$AH$13)</f>
        <v>Chicago</v>
      </c>
      <c r="AP20" s="703"/>
      <c r="AQ20" s="137"/>
      <c r="AS20" s="137"/>
      <c r="AU20" s="136" t="s">
        <v>576</v>
      </c>
      <c r="AV20" s="353">
        <f ca="1">SUMPRODUCT(INDIRECT(CONCATENATE(AV8,":",AW8)),INDIRECT(CONCATENATE($AV$2,":",$AW$2)),INDIRECT(CONCATENATE($AV$3,":",$AW$3)),INDIRECT(CONCATENATE(AX3,":",AY3)))</f>
        <v>-7836000</v>
      </c>
      <c r="AW20" s="353">
        <f ca="1">SUMPRODUCT(INDIRECT(CONCATENATE(AX8,":",AY8)),INDIRECT(CONCATENATE($AV$2,":",$AW$2)),INDIRECT(CONCATENATE($AV$3,":",$AW$3)),INDIRECT(CONCATENATE(AX3,":",AY3)))</f>
        <v>12145800</v>
      </c>
      <c r="AX20" s="353">
        <f ca="1">SUMPRODUCT(INDIRECT(CONCATENATE(AV9,":",AW9)),INDIRECT(CONCATENATE($AV$2,":",$AW$2)),INDIRECT(CONCATENATE($AV$3,":",$AW$3)),INDIRECT(CONCATENATE(AX3,":",AY3)))</f>
        <v>1987200</v>
      </c>
      <c r="AY20" s="353">
        <f ca="1">SUMPRODUCT(INDIRECT(CONCATENATE(AX9,":",AY9)),INDIRECT(CONCATENATE($AV$2,":",$AW$2)),INDIRECT(CONCATENATE($AV$3,":",$AW$3)),INDIRECT(CONCATENATE(AX3,":",AY3)))</f>
        <v>6073500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53" si="12">VLOOKUP(AG22,$AL$4:$AS$15,2)</f>
        <v>60000</v>
      </c>
      <c r="G22" s="28">
        <f t="shared" ref="G22:G117" si="13">F22*$AU22</f>
        <v>59911.084586151017</v>
      </c>
      <c r="H22" s="52">
        <f t="shared" ref="H22:H53" si="14">(AL22+AM22+AN22)/(1-(AR22))</f>
        <v>2.8791097622660597</v>
      </c>
      <c r="I22" s="52">
        <f t="shared" ref="I22:I53" si="15">(AL22+AO22+AP22)</f>
        <v>2.9810000000000003</v>
      </c>
      <c r="K22" s="52">
        <f>MAX(((I22-H22)-AQ22)*AU22*AH22,0)</f>
        <v>3.1539165698802609</v>
      </c>
      <c r="L22" s="135">
        <f>MAX(Q22-K22,0)</f>
        <v>0.90436351420352779</v>
      </c>
      <c r="N22" s="131">
        <f>SQRT(($AX22^2*($AH22/2)+$AW22^2*$AI22)/(($AH22/2)+$AI22))</f>
        <v>1.0449417585150498</v>
      </c>
      <c r="O22" s="131">
        <f>SQRT(($AY22^2*($AH22/2)+$AW22^2*$AI22)/(($AH22/2)+$AI22))</f>
        <v>1.0162176738552315</v>
      </c>
      <c r="P22" s="55">
        <f>(VLOOKUP(AI22,CorrelationTwo,2)*(AW22^2)*AI22+VLOOKUP(D22,CorrelationOne,$AK$9)*AX22*AY22*(AH22/2))/((AI22+(AH22/2))*O22*N22)*AF22</f>
        <v>0.98005377727809406</v>
      </c>
      <c r="Q22" s="135">
        <f>_xll.xSPRDOPT(I22,H22,AQ22,0,O22,N22,P22,D22-$G$5,1,0)*AH22*AU22</f>
        <v>4.0582800840837887</v>
      </c>
      <c r="R22" s="135"/>
      <c r="S22" s="181">
        <f>_xll.xSPRDOPT(I22,H22,AQ22,AT22,O22,N22,P22,D22-$G$5,1,2)*AF22*(F22/(1-AR22))*AH22</f>
        <v>-1341187.5905092964</v>
      </c>
      <c r="T22" s="181">
        <f>_xll.xSPRDOPT(I22,H22,AQ22,AT22,O22,N22,P22,D22-$G$5,1,1)*AF22*F22*AH22</f>
        <v>1362131.8706702567</v>
      </c>
      <c r="U22" s="135"/>
      <c r="V22" s="146">
        <f t="shared" ref="V22:V53" si="16">VLOOKUP($AG22,$AL$4:$AS$15,8)*AH22*AU22</f>
        <v>4.429526038877075</v>
      </c>
      <c r="W22" s="146"/>
      <c r="X22" s="338">
        <f t="shared" ref="X22:X53" si="17">((BM22*BC22)+(BL22*BB22))*AH22*F22</f>
        <v>0</v>
      </c>
      <c r="Y22" s="338">
        <f t="shared" ref="Y22:Y117" si="18">($F22*$AH22)*((($BG22/2)*($BC22)^2)+(($BF22/2)*($BB22)^2)+($BH22*$BC22*$BB22))</f>
        <v>0</v>
      </c>
      <c r="Z22" s="338">
        <f t="shared" ref="Z22:Z117" si="19">($BI22*$F22*$AH22*($G$5-$BV$5))/365.25</f>
        <v>-5085.1777775334122</v>
      </c>
      <c r="AA22" s="338">
        <f t="shared" ref="AA22:AA117" si="20">(($BK22*$BE22)+($BJ22*$BD22))*$F22*$AH22*$AF22</f>
        <v>1565.8902734562701</v>
      </c>
      <c r="AB22" s="338">
        <f t="shared" ref="AB22:AB53" si="21">BN22*(AT22-CA22)*F22*AH22</f>
        <v>0</v>
      </c>
      <c r="AC22" s="338">
        <f t="shared" ref="AC22:AC53" si="22">BO22*CB22*F22*AH22*CA22*($G$5-$BV$5)/365.25</f>
        <v>37.845828045453288</v>
      </c>
      <c r="AF22" s="138">
        <f t="shared" ref="AF22:AF53" si="23">IF(AND(D22&gt;=$G$7,D22&lt;=$G$8),1,0)</f>
        <v>1</v>
      </c>
      <c r="AG22" s="138">
        <f t="shared" ref="AG22:AG53" si="24">MONTH(D22)</f>
        <v>1</v>
      </c>
      <c r="AH22" s="138">
        <f t="shared" ref="AH22:AH53" si="25">(EOMONTH(D22,0)-EOMONTH(D22-DAY(D22),0))*AF22</f>
        <v>31</v>
      </c>
      <c r="AI22" s="138">
        <f>MAX(0,(D22-DAY(D22))-$G$5+1)</f>
        <v>15</v>
      </c>
      <c r="AJ22" s="138">
        <f t="shared" ref="AJ22:AJ53" si="26">D22-$BV$5</f>
        <v>32</v>
      </c>
      <c r="AL22" s="136">
        <f t="shared" ref="AL22:AL117" si="27">VLOOKUP($D22,CurveTbl,$AK$4)</f>
        <v>2.8460000000000001</v>
      </c>
      <c r="AM22" s="258">
        <f>VLOOKUP($D22,CurveTbl,$AH$3)</f>
        <v>-1.4999999999999999E-2</v>
      </c>
      <c r="AN22" s="258">
        <f t="shared" ref="AN22:AN117" si="28">VLOOKUP($D22,CurveTbl,$AH$4)+VLOOKUP($AG22,$AL$3:$AS$15,6)</f>
        <v>1.4999999999999999E-2</v>
      </c>
      <c r="AO22" s="258">
        <f t="shared" ref="AO22:AO117" si="29">VLOOKUP($D22,CurveTbl,$AH$5)</f>
        <v>0.12</v>
      </c>
      <c r="AP22" s="258">
        <f t="shared" ref="AP22:AP117" si="30">VLOOKUP($D22,CurveTbl,$AH$6)+VLOOKUP($AG22,$AL$3:$AS$15,7)</f>
        <v>1.4999999999999999E-2</v>
      </c>
      <c r="AQ22" s="136">
        <f t="shared" ref="AQ22:AQ53" si="31">VLOOKUP($AG22,$AL$4:$AS$15,3)+VLOOKUP($AG22,$AL$4:$AS$15,5)+($AH$10*VLOOKUP(D22,GRITable,2))</f>
        <v>0</v>
      </c>
      <c r="AR22" s="137">
        <f t="shared" ref="AR22:AR117" si="32">VLOOKUP($AG22,$AL$4:$AS$15,4)</f>
        <v>1.15E-2</v>
      </c>
      <c r="AS22" s="136">
        <f>(AL22+AM22+AN22)</f>
        <v>2.8460000000000001</v>
      </c>
      <c r="AT22" s="137">
        <f t="shared" ref="AT22:AT53" si="33">VLOOKUP(D22,CurveTbl,$AK$6)</f>
        <v>1.8765908157160699E-2</v>
      </c>
      <c r="AU22" s="137">
        <f t="shared" ref="AU22:AU117" si="34">(1+$AT22/2)^(-2*($D22-$G$5)/365.25)*$AF22</f>
        <v>0.99851807643585033</v>
      </c>
      <c r="AV22" s="394">
        <f>ROUND((F22/(1-AR22))-F22,0)*AF22*AH22*AU22</f>
        <v>21605.934137918928</v>
      </c>
      <c r="AW22" s="137">
        <f t="shared" ref="AW22:AW117" si="35">VLOOKUP($D22,CurveTbl,$AK$8)</f>
        <v>0.87</v>
      </c>
      <c r="AX22" s="137">
        <f t="shared" ref="AX22:AX117" si="36">VLOOKUP($D22,CurveTbl,$AH$7)</f>
        <v>1.19</v>
      </c>
      <c r="AY22" s="137">
        <f t="shared" ref="AY22:AY117" si="37">VLOOKUP($D22,CurveTbl,$AH$8)</f>
        <v>1.1399999999999999</v>
      </c>
      <c r="AZ22" s="137"/>
      <c r="BA22" s="264"/>
      <c r="BB22" s="258">
        <f t="shared" ref="BB22:BB117" si="38">$H22-$BV22</f>
        <v>0</v>
      </c>
      <c r="BC22" s="258">
        <f t="shared" ref="BC22:BC53" si="39">I22-BW22</f>
        <v>0</v>
      </c>
      <c r="BD22" s="137">
        <f t="shared" ref="BD22:BD53" si="40">N22-BX22</f>
        <v>1.4454987578796041E-2</v>
      </c>
      <c r="BE22" s="137">
        <f t="shared" ref="BE22:BE53" si="41">O22-BY22</f>
        <v>1.2225642014340954E-2</v>
      </c>
      <c r="BF22" s="137">
        <f>_xll.xSPRDOPT($BW22,$BV22,$CG22,0,$BY22,$BX22,$BZ22,$AJ22,1,4)*$CB22</f>
        <v>1.9891029907174489</v>
      </c>
      <c r="BG22" s="137">
        <f>_xll.xSPRDOPT($BW22,$BV22,$CG22,0,$BY22,$BX22,$BZ22,$AJ22,1,3)*$CB22</f>
        <v>1.8554521529526462</v>
      </c>
      <c r="BH22" s="137">
        <f>IF(OR(BF22&lt;&gt;0,BG22&lt;&gt;0),_xll.xSPRDOPT($BW22,$BV22,$CG22,0,$BY22,$BX22,$BZ22,$AJ22,1,12)*$CB22,0)</f>
        <v>-1.9211160988808798</v>
      </c>
      <c r="BI22" s="137">
        <f>_xll.xSPRDOPT($BW22,$BV22,$CG22,2*LN(1+CA22/2),$BY22,$BX22,$BZ22,$AJ22,1,9)</f>
        <v>-0.33286042710467362</v>
      </c>
      <c r="BJ22" s="137">
        <f>_xll.xSPRDOPT($BW22,$BV22,$CG22,0,$BY22,$BX22,$BZ22,$AJ22,1,6)*$CB22</f>
        <v>6.6289138862163324E-2</v>
      </c>
      <c r="BK22" s="137">
        <f>_xll.xSPRDOPT($BW22,$BV22,$CG22,0,$BY22,$BX22,$BZ22,$AJ22,1,5)*$CB22</f>
        <v>-9.5154256618732135E-3</v>
      </c>
      <c r="BL22" s="137">
        <f>_xll.xSPRDOPT(BW22,BV22,CG22,0,BY22,BX22,BZ22,AJ22,1,2)*CB22</f>
        <v>-0.70861776525309572</v>
      </c>
      <c r="BM22" s="137">
        <f>_xll.xSPRDOPT(BW22,BV22,CG22,0,BY22,BX22,BZ22,AJ22,1,1)*CB22</f>
        <v>0.72868086309870561</v>
      </c>
      <c r="BN22" s="137">
        <f>IF(AH22&lt;&gt;0,_xll.xSPRDOPT($BW22,$BV22,$CG22,2*LN(1+CA22/2),$BY22,$BX22,$BZ22,$AJ22,1,8)+(AJ22/365.25)*CH22/AH22,0)</f>
        <v>9.51172342397116E-4</v>
      </c>
      <c r="BO22" s="137">
        <f>_xll.xSPRDOPT($BW22,$BV22,$CG22,0,$BY22,$BX22,$BZ22,$AJ22,1,0)</f>
        <v>0.1322254784989311</v>
      </c>
      <c r="BP22" s="137"/>
      <c r="BQ22" s="137"/>
      <c r="BR22" s="137"/>
      <c r="BS22" s="137"/>
      <c r="BV22" s="262">
        <v>2.8791097622660597</v>
      </c>
      <c r="BW22" s="136">
        <v>2.9810000000000003</v>
      </c>
      <c r="BX22" s="137">
        <v>1.0304867709362537</v>
      </c>
      <c r="BY22" s="137">
        <v>1.0039920318408906</v>
      </c>
      <c r="BZ22" s="137">
        <v>0.9806820963516063</v>
      </c>
      <c r="CA22" s="137">
        <v>1.8765908157160699E-2</v>
      </c>
      <c r="CB22" s="137">
        <v>0.99836489939579565</v>
      </c>
      <c r="CC22" s="258">
        <v>-1.4999999999999999E-2</v>
      </c>
      <c r="CD22" s="258">
        <v>1.4999999999999999E-2</v>
      </c>
      <c r="CE22" s="258">
        <v>0.12</v>
      </c>
      <c r="CF22" s="258">
        <v>1.4999999999999999E-2</v>
      </c>
      <c r="CG22" s="258">
        <v>0</v>
      </c>
      <c r="CH22" s="258">
        <v>4.4288465302096887</v>
      </c>
      <c r="CI22" s="258">
        <v>2.8460000000000001</v>
      </c>
      <c r="CJ22" s="258"/>
      <c r="CK22" s="258"/>
      <c r="CL22" s="258"/>
      <c r="CM22" s="258"/>
    </row>
    <row r="23" spans="1:91" x14ac:dyDescent="0.25">
      <c r="A23" s="723"/>
      <c r="B23" s="723"/>
      <c r="D23" s="31">
        <f t="shared" ref="D23:D54" si="42">D22+AH22</f>
        <v>37302</v>
      </c>
      <c r="F23" s="28">
        <f t="shared" si="12"/>
        <v>60000</v>
      </c>
      <c r="G23" s="28">
        <f t="shared" si="13"/>
        <v>59810.729621246741</v>
      </c>
      <c r="H23" s="52">
        <f t="shared" si="14"/>
        <v>2.9519473950429944</v>
      </c>
      <c r="I23" s="52">
        <f t="shared" si="15"/>
        <v>3.0180000000000002</v>
      </c>
      <c r="K23" s="52">
        <f t="shared" ref="K23:K86" si="43">MAX(((I23-H23)-AQ23)*AU23*AH23,0)</f>
        <v>1.8436387647358323</v>
      </c>
      <c r="L23" s="135">
        <f t="shared" ref="L23:L86" si="44">MAX(Q23-K23,0)</f>
        <v>1.2160489276550628</v>
      </c>
      <c r="N23" s="131">
        <f t="shared" ref="N23:N86" si="45">SQRT(($AX23^2*($AH23/2)+$AW23^2*$AI23)/(($AH23/2)+$AI23))</f>
        <v>0.95082201278683076</v>
      </c>
      <c r="O23" s="131">
        <f t="shared" ref="O23:O86" si="46">SQRT(($AY23^2*($AH23/2)+$AW23^2*$AI23)/(($AH23/2)+$AI23))</f>
        <v>0.93641826480834234</v>
      </c>
      <c r="P23" s="55">
        <f t="shared" ref="P23:P86" si="47">(VLOOKUP(AI23,CorrelationTwo,2)*(AW23^2)*AI23+VLOOKUP(D23,CorrelationOne,$AK$9)*AX23*AY23*(AH23/2))/((AI23+(AH23/2))*O23*N23)*AF23</f>
        <v>0.98767965648098666</v>
      </c>
      <c r="Q23" s="135">
        <f>_xll.xSPRDOPT(I23,H23,AQ23,0,O23,N23,P23,D23-$G$5,1,0)*AH23*AU23</f>
        <v>3.0596876923908951</v>
      </c>
      <c r="R23" s="135"/>
      <c r="S23" s="181">
        <f>_xll.xSPRDOPT(I23,H23,AQ23,AT23,O23,N23,P23,D23-$G$5,1,2)*AF23*(F23/(1-AR23))*AH23</f>
        <v>-1070435.4209853264</v>
      </c>
      <c r="T23" s="181">
        <f>_xll.xSPRDOPT(I23,H23,AQ23,AT23,O23,N23,P23,D23-$G$5,1,1)*AF23*F23*AH23</f>
        <v>1095794.8392926774</v>
      </c>
      <c r="U23" s="135"/>
      <c r="V23" s="146">
        <f t="shared" si="16"/>
        <v>3.9941605241068574</v>
      </c>
      <c r="W23" s="146"/>
      <c r="X23" s="338">
        <f t="shared" si="17"/>
        <v>0</v>
      </c>
      <c r="Y23" s="338">
        <f t="shared" si="18"/>
        <v>0</v>
      </c>
      <c r="Z23" s="338">
        <f t="shared" si="19"/>
        <v>-2672.1427976123564</v>
      </c>
      <c r="AA23" s="338">
        <f t="shared" si="20"/>
        <v>475.77681625449475</v>
      </c>
      <c r="AB23" s="338">
        <f t="shared" si="21"/>
        <v>0</v>
      </c>
      <c r="AC23" s="338">
        <f t="shared" si="22"/>
        <v>29.286598954267763</v>
      </c>
      <c r="AF23" s="138">
        <f t="shared" si="23"/>
        <v>1</v>
      </c>
      <c r="AG23" s="138">
        <f t="shared" si="24"/>
        <v>2</v>
      </c>
      <c r="AH23" s="138">
        <f t="shared" si="25"/>
        <v>28</v>
      </c>
      <c r="AI23" s="138">
        <f t="shared" ref="AI23:AI54" si="48">AI22+AH22</f>
        <v>46</v>
      </c>
      <c r="AJ23" s="138">
        <f t="shared" si="26"/>
        <v>63</v>
      </c>
      <c r="AL23" s="136">
        <f t="shared" si="27"/>
        <v>2.9079999999999999</v>
      </c>
      <c r="AM23" s="258">
        <f t="shared" ref="AM23:AM117" si="49">VLOOKUP($D23,CurveTbl,$AH$3)</f>
        <v>-5.0000000000000001E-3</v>
      </c>
      <c r="AN23" s="258">
        <f t="shared" si="28"/>
        <v>1.4999999999999999E-2</v>
      </c>
      <c r="AO23" s="258">
        <f t="shared" si="29"/>
        <v>9.5000000000000001E-2</v>
      </c>
      <c r="AP23" s="258">
        <f t="shared" si="30"/>
        <v>1.4999999999999999E-2</v>
      </c>
      <c r="AQ23" s="136">
        <f t="shared" si="31"/>
        <v>0</v>
      </c>
      <c r="AR23" s="137">
        <f t="shared" si="32"/>
        <v>1.15E-2</v>
      </c>
      <c r="AS23" s="136">
        <f t="shared" ref="AS23:AS86" si="50">(AL23+AM23+AN23)</f>
        <v>2.9180000000000001</v>
      </c>
      <c r="AT23" s="137">
        <f t="shared" si="33"/>
        <v>1.9326187282006298E-2</v>
      </c>
      <c r="AU23" s="137">
        <f t="shared" si="34"/>
        <v>0.99684549368744568</v>
      </c>
      <c r="AV23" s="394">
        <f t="shared" ref="AV23:AV86" si="51">ROUND((F23/(1-AR23))-F23,0)*AF23*AH23*AU23</f>
        <v>19482.348328627439</v>
      </c>
      <c r="AW23" s="137">
        <f t="shared" si="35"/>
        <v>0.86499999999999999</v>
      </c>
      <c r="AX23" s="137">
        <f t="shared" si="36"/>
        <v>1.19</v>
      </c>
      <c r="AY23" s="137">
        <f t="shared" si="37"/>
        <v>1.1399999999999999</v>
      </c>
      <c r="AZ23" s="137"/>
      <c r="BA23" s="264"/>
      <c r="BB23" s="258">
        <f t="shared" si="38"/>
        <v>0</v>
      </c>
      <c r="BC23" s="258">
        <f t="shared" si="39"/>
        <v>0</v>
      </c>
      <c r="BD23" s="137">
        <f t="shared" si="40"/>
        <v>3.9103660812541685E-3</v>
      </c>
      <c r="BE23" s="137">
        <f t="shared" si="41"/>
        <v>3.2769155060097255E-3</v>
      </c>
      <c r="BF23" s="137">
        <f>_xll.xSPRDOPT($BW23,$BV23,$CG23,0,$BY23,$BX23,$BZ23,$AJ23,1,4)*$CB23</f>
        <v>2.0948297136591121</v>
      </c>
      <c r="BG23" s="137">
        <f>_xll.xSPRDOPT($BW23,$BV23,$CG23,0,$BY23,$BX23,$BZ23,$AJ23,1,3)*$CB23</f>
        <v>2.004137284972773</v>
      </c>
      <c r="BH23" s="137">
        <f>IF(OR(BF23&lt;&gt;0,BG23&lt;&gt;0),_xll.xSPRDOPT($BW23,$BV23,$CG23,0,$BY23,$BX23,$BZ23,$AJ23,1,12)*$CB23,0)</f>
        <v>-2.0489824673065167</v>
      </c>
      <c r="BI23" s="137">
        <f>_xll.xSPRDOPT($BW23,$BV23,$CG23,2*LN(1+CA23/2),$BY23,$BX23,$BZ23,$AJ23,1,9)</f>
        <v>-0.19365082476744311</v>
      </c>
      <c r="BJ23" s="137">
        <f>_xll.xSPRDOPT($BW23,$BV23,$CG23,0,$BY23,$BX23,$BZ23,$AJ23,1,6)*$CB23</f>
        <v>7.8700898550166848E-2</v>
      </c>
      <c r="BK23" s="137">
        <f>_xll.xSPRDOPT($BW23,$BV23,$CG23,0,$BY23,$BX23,$BZ23,$AJ23,1,5)*$CB23</f>
        <v>-7.4914468633706247E-3</v>
      </c>
      <c r="BL23" s="137">
        <f>_xll.xSPRDOPT(BW23,BV23,CG23,0,BY23,BX23,BZ23,AJ23,1,2)*CB23</f>
        <v>-0.6285009758365927</v>
      </c>
      <c r="BM23" s="137">
        <f>_xll.xSPRDOPT(BW23,BV23,CG23,0,BY23,BX23,BZ23,AJ23,1,1)*CB23</f>
        <v>0.65113384747029168</v>
      </c>
      <c r="BN23" s="137">
        <f>IF(AH23&lt;&gt;0,_xll.xSPRDOPT($BW23,$BV23,$CG23,2*LN(1+CA23/2),$BY23,$BX23,$BZ23,$AJ23,1,8)+(AJ23/365.25)*CH23/AH23,0)</f>
        <v>5.658495779608131E-3</v>
      </c>
      <c r="BO23" s="137">
        <f>_xll.xSPRDOPT($BW23,$BV23,$CG23,0,$BY23,$BX23,$BZ23,$AJ23,1,0)</f>
        <v>0.11018518419966879</v>
      </c>
      <c r="BP23" s="137"/>
      <c r="BQ23" s="137"/>
      <c r="BR23" s="137"/>
      <c r="BS23" s="137"/>
      <c r="BV23" s="262">
        <v>2.9519473950429944</v>
      </c>
      <c r="BW23" s="136">
        <v>3.0180000000000002</v>
      </c>
      <c r="BX23" s="137">
        <v>0.94691164670557659</v>
      </c>
      <c r="BY23" s="137">
        <v>0.93314134930233261</v>
      </c>
      <c r="BZ23" s="137">
        <v>0.98797038391070735</v>
      </c>
      <c r="CA23" s="137">
        <v>1.9326187282006298E-2</v>
      </c>
      <c r="CB23" s="137">
        <v>0.99668802984454063</v>
      </c>
      <c r="CC23" s="258">
        <v>-5.0000000000000001E-3</v>
      </c>
      <c r="CD23" s="258">
        <v>1.4999999999999999E-2</v>
      </c>
      <c r="CE23" s="258">
        <v>9.5000000000000001E-2</v>
      </c>
      <c r="CF23" s="258">
        <v>1.4999999999999999E-2</v>
      </c>
      <c r="CG23" s="258">
        <v>0</v>
      </c>
      <c r="CH23" s="258">
        <v>3.9935295979811056</v>
      </c>
      <c r="CI23" s="258">
        <v>2.9079999999999999</v>
      </c>
      <c r="CJ23" s="258"/>
      <c r="CK23" s="258"/>
      <c r="CL23" s="258"/>
      <c r="CM23" s="258"/>
    </row>
    <row r="24" spans="1:91" x14ac:dyDescent="0.25">
      <c r="A24" s="723"/>
      <c r="B24" s="723"/>
      <c r="D24" s="31">
        <f t="shared" si="42"/>
        <v>37330</v>
      </c>
      <c r="F24" s="28">
        <f t="shared" si="12"/>
        <v>60000</v>
      </c>
      <c r="G24" s="28">
        <f t="shared" si="13"/>
        <v>59723.363388447156</v>
      </c>
      <c r="H24" s="52">
        <f t="shared" si="14"/>
        <v>2.9458775923115836</v>
      </c>
      <c r="I24" s="52">
        <f t="shared" si="15"/>
        <v>3.0020000000000002</v>
      </c>
      <c r="K24" s="52">
        <f t="shared" si="43"/>
        <v>1.7317731234484404</v>
      </c>
      <c r="L24" s="135">
        <f t="shared" si="44"/>
        <v>1.0951790737645752</v>
      </c>
      <c r="N24" s="131">
        <f t="shared" si="45"/>
        <v>0.80820478349675651</v>
      </c>
      <c r="O24" s="131">
        <f t="shared" si="46"/>
        <v>0.79</v>
      </c>
      <c r="P24" s="55">
        <f t="shared" si="47"/>
        <v>0.99211504222462454</v>
      </c>
      <c r="Q24" s="135">
        <f>_xll.xSPRDOPT(I24,H24,AQ24,0,O24,N24,P24,D24-$G$5,1,0)*AH24*AU24</f>
        <v>2.8269521972130156</v>
      </c>
      <c r="R24" s="135"/>
      <c r="S24" s="181">
        <f>_xll.xSPRDOPT(I24,H24,AQ24,AT24,O24,N24,P24,D24-$G$5,1,2)*AF24*(F24/(1-AR24))*AH24</f>
        <v>-1194124.2031700695</v>
      </c>
      <c r="T24" s="181">
        <f>_xll.xSPRDOPT(I24,H24,AQ24,AT24,O24,N24,P24,D24-$G$5,1,1)*AF24*F24*AH24</f>
        <v>1214824.4362562969</v>
      </c>
      <c r="U24" s="135"/>
      <c r="V24" s="146">
        <f t="shared" si="16"/>
        <v>4.4156468721248405</v>
      </c>
      <c r="W24" s="146"/>
      <c r="X24" s="338">
        <f t="shared" si="17"/>
        <v>0</v>
      </c>
      <c r="Y24" s="338">
        <f t="shared" si="18"/>
        <v>0</v>
      </c>
      <c r="Z24" s="338">
        <f t="shared" si="19"/>
        <v>-1670.6321665948335</v>
      </c>
      <c r="AA24" s="338">
        <f t="shared" si="20"/>
        <v>140.35024272739736</v>
      </c>
      <c r="AB24" s="338">
        <f t="shared" si="21"/>
        <v>0</v>
      </c>
      <c r="AC24" s="338">
        <f t="shared" si="22"/>
        <v>26.93218254261701</v>
      </c>
      <c r="AF24" s="138">
        <f t="shared" si="23"/>
        <v>1</v>
      </c>
      <c r="AG24" s="138">
        <f t="shared" si="24"/>
        <v>3</v>
      </c>
      <c r="AH24" s="138">
        <f t="shared" si="25"/>
        <v>31</v>
      </c>
      <c r="AI24" s="138">
        <f t="shared" si="48"/>
        <v>74</v>
      </c>
      <c r="AJ24" s="138">
        <f t="shared" si="26"/>
        <v>91</v>
      </c>
      <c r="AL24" s="136">
        <f t="shared" si="27"/>
        <v>2.9020000000000001</v>
      </c>
      <c r="AM24" s="258">
        <f t="shared" si="49"/>
        <v>-5.0000000000000001E-3</v>
      </c>
      <c r="AN24" s="258">
        <f t="shared" si="28"/>
        <v>1.4999999999999999E-2</v>
      </c>
      <c r="AO24" s="258">
        <f t="shared" si="29"/>
        <v>8.5000000000000006E-2</v>
      </c>
      <c r="AP24" s="258">
        <f t="shared" si="30"/>
        <v>1.4999999999999999E-2</v>
      </c>
      <c r="AQ24" s="136">
        <f t="shared" si="31"/>
        <v>0</v>
      </c>
      <c r="AR24" s="137">
        <f t="shared" si="32"/>
        <v>1.15E-2</v>
      </c>
      <c r="AS24" s="136">
        <f t="shared" si="50"/>
        <v>2.9120000000000004</v>
      </c>
      <c r="AT24" s="137">
        <f t="shared" si="33"/>
        <v>1.9273175363903501E-2</v>
      </c>
      <c r="AU24" s="137">
        <f t="shared" si="34"/>
        <v>0.99538938980745262</v>
      </c>
      <c r="AV24" s="394">
        <f t="shared" si="51"/>
        <v>21538.235616653659</v>
      </c>
      <c r="AW24" s="137">
        <f t="shared" si="35"/>
        <v>0.79</v>
      </c>
      <c r="AX24" s="137">
        <f t="shared" si="36"/>
        <v>0.89</v>
      </c>
      <c r="AY24" s="137">
        <f t="shared" si="37"/>
        <v>0.79</v>
      </c>
      <c r="AZ24" s="137"/>
      <c r="BA24" s="264"/>
      <c r="BB24" s="258">
        <f t="shared" si="38"/>
        <v>0</v>
      </c>
      <c r="BC24" s="258">
        <f t="shared" si="39"/>
        <v>0</v>
      </c>
      <c r="BD24" s="137">
        <f t="shared" si="40"/>
        <v>5.8398674165105469E-4</v>
      </c>
      <c r="BE24" s="137">
        <f t="shared" si="41"/>
        <v>0</v>
      </c>
      <c r="BF24" s="137">
        <f>_xll.xSPRDOPT($BW24,$BV24,$CG24,0,$BY24,$BX24,$BZ24,$AJ24,1,4)*$CB24</f>
        <v>2.5193016908722288</v>
      </c>
      <c r="BG24" s="137">
        <f>_xll.xSPRDOPT($BW24,$BV24,$CG24,0,$BY24,$BX24,$BZ24,$AJ24,1,3)*$CB24</f>
        <v>2.4259854139341503</v>
      </c>
      <c r="BH24" s="137">
        <f>IF(OR(BF24&lt;&gt;0,BG24&lt;&gt;0),_xll.xSPRDOPT($BW24,$BV24,$CG24,0,$BY24,$BX24,$BZ24,$AJ24,1,12)*$CB24,0)</f>
        <v>-2.4722038411342364</v>
      </c>
      <c r="BI24" s="137">
        <f>_xll.xSPRDOPT($BW24,$BV24,$CG24,2*LN(1+CA24/2),$BY24,$BX24,$BZ24,$AJ24,1,9)</f>
        <v>-0.10935455176501128</v>
      </c>
      <c r="BJ24" s="137">
        <f>_xll.xSPRDOPT($BW24,$BV24,$CG24,0,$BY24,$BX24,$BZ24,$AJ24,1,6)*$CB24</f>
        <v>0.12921033024239426</v>
      </c>
      <c r="BK24" s="137">
        <f>_xll.xSPRDOPT($BW24,$BV24,$CG24,0,$BY24,$BX24,$BZ24,$AJ24,1,5)*$CB24</f>
        <v>-6.201084963356665E-2</v>
      </c>
      <c r="BL24" s="137">
        <f>_xll.xSPRDOPT(BW24,BV24,CG24,0,BY24,BX24,BZ24,AJ24,1,2)*CB24</f>
        <v>-0.63374272989412994</v>
      </c>
      <c r="BM24" s="137">
        <f>_xll.xSPRDOPT(BW24,BV24,CG24,0,BY24,BX24,BZ24,AJ24,1,1)*CB24</f>
        <v>0.65236426959722815</v>
      </c>
      <c r="BN24" s="137">
        <f>IF(AH24&lt;&gt;0,_xll.xSPRDOPT($BW24,$BV24,$CG24,2*LN(1+CA24/2),$BY24,$BX24,$BZ24,$AJ24,1,8)+(AJ24/365.25)*CH24/AH24,0)</f>
        <v>1.2693585593153187E-2</v>
      </c>
      <c r="BO24" s="137">
        <f>_xll.xSPRDOPT($BW24,$BV24,$CG24,0,$BY24,$BX24,$BZ24,$AJ24,1,0)</f>
        <v>9.1907238055560656E-2</v>
      </c>
      <c r="BP24" s="137"/>
      <c r="BQ24" s="137"/>
      <c r="BR24" s="137"/>
      <c r="BS24" s="137"/>
      <c r="BV24" s="262">
        <v>2.9458775923115836</v>
      </c>
      <c r="BW24" s="136">
        <v>3.0020000000000002</v>
      </c>
      <c r="BX24" s="137">
        <v>0.80762079675510545</v>
      </c>
      <c r="BY24" s="137">
        <v>0.79</v>
      </c>
      <c r="BZ24" s="137">
        <v>0.99227796949281377</v>
      </c>
      <c r="CA24" s="137">
        <v>1.9273175363903501E-2</v>
      </c>
      <c r="CB24" s="137">
        <v>0.99523258517239033</v>
      </c>
      <c r="CC24" s="258">
        <v>-5.0000000000000001E-3</v>
      </c>
      <c r="CD24" s="258">
        <v>1.4999999999999999E-2</v>
      </c>
      <c r="CE24" s="258">
        <v>8.5000000000000006E-2</v>
      </c>
      <c r="CF24" s="258">
        <v>1.4999999999999999E-2</v>
      </c>
      <c r="CG24" s="258">
        <v>0</v>
      </c>
      <c r="CH24" s="258">
        <v>4.4149512710832406</v>
      </c>
      <c r="CI24" s="258">
        <v>2.9020000000000001</v>
      </c>
      <c r="CJ24" s="258"/>
      <c r="CK24" s="258"/>
      <c r="CL24" s="258"/>
      <c r="CM24" s="258"/>
    </row>
    <row r="25" spans="1:91" x14ac:dyDescent="0.25">
      <c r="A25" s="723"/>
      <c r="B25" s="723"/>
      <c r="D25" s="31">
        <f t="shared" si="42"/>
        <v>37361</v>
      </c>
      <c r="F25" s="28">
        <f t="shared" si="12"/>
        <v>60000</v>
      </c>
      <c r="G25" s="28">
        <f t="shared" si="13"/>
        <v>59623.340269387925</v>
      </c>
      <c r="H25" s="52">
        <f t="shared" si="14"/>
        <v>2.7900859888720282</v>
      </c>
      <c r="I25" s="52">
        <f t="shared" si="15"/>
        <v>2.9104999999999999</v>
      </c>
      <c r="K25" s="52">
        <f t="shared" si="43"/>
        <v>3.5897427793424601</v>
      </c>
      <c r="L25" s="135">
        <f t="shared" si="44"/>
        <v>4.9948273509479169E-2</v>
      </c>
      <c r="N25" s="131">
        <f t="shared" si="45"/>
        <v>0.60633118013178244</v>
      </c>
      <c r="O25" s="131">
        <f t="shared" si="46"/>
        <v>0.60633118013178244</v>
      </c>
      <c r="P25" s="55">
        <f t="shared" si="47"/>
        <v>0.99714052565366673</v>
      </c>
      <c r="Q25" s="135">
        <f>_xll.xSPRDOPT(I25,H25,AQ25,0,O25,N25,P25,D25-$G$5,1,0)*AH25*AU25</f>
        <v>3.6396910528519393</v>
      </c>
      <c r="R25" s="135"/>
      <c r="S25" s="181">
        <f>_xll.xSPRDOPT(I25,H25,AQ25,AT25,O25,N25,P25,D25-$G$5,1,2)*AF25*(F25/(1-AR25))*AH25</f>
        <v>-1710557.1123825614</v>
      </c>
      <c r="T25" s="181">
        <f>_xll.xSPRDOPT(I25,H25,AQ25,AT25,O25,N25,P25,D25-$G$5,1,1)*AF25*F25*AH25</f>
        <v>1695959.8924585253</v>
      </c>
      <c r="U25" s="135"/>
      <c r="V25" s="146">
        <f t="shared" si="16"/>
        <v>4.266049996274706</v>
      </c>
      <c r="W25" s="146"/>
      <c r="X25" s="338">
        <f t="shared" si="17"/>
        <v>0</v>
      </c>
      <c r="Y25" s="338">
        <f t="shared" si="18"/>
        <v>0</v>
      </c>
      <c r="Z25" s="338">
        <f t="shared" si="19"/>
        <v>-143.13757215351521</v>
      </c>
      <c r="AA25" s="338">
        <f t="shared" si="20"/>
        <v>-2.1402004309970235</v>
      </c>
      <c r="AB25" s="338">
        <f t="shared" si="21"/>
        <v>0</v>
      </c>
      <c r="AC25" s="338">
        <f t="shared" si="22"/>
        <v>34.832854307201615</v>
      </c>
      <c r="AF25" s="138">
        <f t="shared" si="23"/>
        <v>1</v>
      </c>
      <c r="AG25" s="138">
        <f t="shared" si="24"/>
        <v>4</v>
      </c>
      <c r="AH25" s="138">
        <f t="shared" si="25"/>
        <v>30</v>
      </c>
      <c r="AI25" s="138">
        <f t="shared" si="48"/>
        <v>105</v>
      </c>
      <c r="AJ25" s="138">
        <f t="shared" si="26"/>
        <v>122</v>
      </c>
      <c r="AL25" s="136">
        <f t="shared" si="27"/>
        <v>2.8479999999999999</v>
      </c>
      <c r="AM25" s="258">
        <f t="shared" si="49"/>
        <v>-0.09</v>
      </c>
      <c r="AN25" s="258">
        <f t="shared" si="28"/>
        <v>0</v>
      </c>
      <c r="AO25" s="258">
        <f t="shared" si="29"/>
        <v>2.75E-2</v>
      </c>
      <c r="AP25" s="258">
        <f t="shared" si="30"/>
        <v>3.5000000000000003E-2</v>
      </c>
      <c r="AQ25" s="136">
        <f t="shared" si="31"/>
        <v>0</v>
      </c>
      <c r="AR25" s="137">
        <f t="shared" si="32"/>
        <v>1.15E-2</v>
      </c>
      <c r="AS25" s="136">
        <f t="shared" si="50"/>
        <v>2.758</v>
      </c>
      <c r="AT25" s="137">
        <f t="shared" si="33"/>
        <v>1.9422640119623601E-2</v>
      </c>
      <c r="AU25" s="137">
        <f t="shared" si="34"/>
        <v>0.99372233782313213</v>
      </c>
      <c r="AV25" s="394">
        <f t="shared" si="51"/>
        <v>20808.545754016388</v>
      </c>
      <c r="AW25" s="137">
        <f t="shared" si="35"/>
        <v>0.61</v>
      </c>
      <c r="AX25" s="137">
        <f t="shared" si="36"/>
        <v>0.57999999999999996</v>
      </c>
      <c r="AY25" s="137">
        <f t="shared" si="37"/>
        <v>0.57999999999999996</v>
      </c>
      <c r="AZ25" s="137"/>
      <c r="BA25" s="264"/>
      <c r="BB25" s="258">
        <f t="shared" si="38"/>
        <v>0</v>
      </c>
      <c r="BC25" s="258">
        <f t="shared" si="39"/>
        <v>0</v>
      </c>
      <c r="BD25" s="137">
        <f t="shared" si="40"/>
        <v>-8.9747494742220546E-5</v>
      </c>
      <c r="BE25" s="137">
        <f t="shared" si="41"/>
        <v>-8.9747494742220546E-5</v>
      </c>
      <c r="BF25" s="137">
        <f>_xll.xSPRDOPT($BW25,$BV25,$CG25,0,$BY25,$BX25,$BZ25,$AJ25,1,4)*$CB25</f>
        <v>1.5063210239503395</v>
      </c>
      <c r="BG25" s="137">
        <f>_xll.xSPRDOPT($BW25,$BV25,$CG25,0,$BY25,$BX25,$BZ25,$AJ25,1,3)*$CB25</f>
        <v>1.3842593581346379</v>
      </c>
      <c r="BH25" s="137">
        <f>IF(OR(BF25&lt;&gt;0,BG25&lt;&gt;0),_xll.xSPRDOPT($BW25,$BV25,$CG25,0,$BY25,$BX25,$BZ25,$AJ25,1,12)*$CB25,0)</f>
        <v>-1.4440050146151358</v>
      </c>
      <c r="BI25" s="137">
        <f>_xll.xSPRDOPT($BW25,$BV25,$CG25,2*LN(1+CA25/2),$BY25,$BX25,$BZ25,$AJ25,1,9)</f>
        <v>-9.6816663387169315E-3</v>
      </c>
      <c r="BJ25" s="137">
        <f>_xll.xSPRDOPT($BW25,$BV25,$CG25,0,$BY25,$BX25,$BZ25,$AJ25,1,6)*$CB25</f>
        <v>6.6239303568483981E-3</v>
      </c>
      <c r="BK25" s="137">
        <f>_xll.xSPRDOPT($BW25,$BV25,$CG25,0,$BY25,$BX25,$BZ25,$AJ25,1,5)*$CB25</f>
        <v>6.624352983627302E-3</v>
      </c>
      <c r="BL25" s="137">
        <f>_xll.xSPRDOPT(BW25,BV25,CG25,0,BY25,BX25,BZ25,AJ25,1,2)*CB25</f>
        <v>-0.93924215564809777</v>
      </c>
      <c r="BM25" s="137">
        <f>_xll.xSPRDOPT(BW25,BV25,CG25,0,BY25,BX25,BZ25,AJ25,1,1)*CB25</f>
        <v>0.94206182856692045</v>
      </c>
      <c r="BN25" s="137">
        <f>IF(AH25&lt;&gt;0,_xll.xSPRDOPT($BW25,$BV25,$CG25,2*LN(1+CA25/2),$BY25,$BX25,$BZ25,$AJ25,1,8)+(AJ25/365.25)*CH25/AH25,0)</f>
        <v>6.9724524703474733E-3</v>
      </c>
      <c r="BO25" s="137">
        <f>_xll.xSPRDOPT($BW25,$BV25,$CG25,0,$BY25,$BX25,$BZ25,$AJ25,1,0)</f>
        <v>0.12209029994517331</v>
      </c>
      <c r="BP25" s="137"/>
      <c r="BQ25" s="137"/>
      <c r="BR25" s="137"/>
      <c r="BS25" s="137"/>
      <c r="BV25" s="262">
        <v>2.7900859888720282</v>
      </c>
      <c r="BW25" s="136">
        <v>2.9104999999999999</v>
      </c>
      <c r="BX25" s="137">
        <v>0.60642092762652466</v>
      </c>
      <c r="BY25" s="137">
        <v>0.60642092762652466</v>
      </c>
      <c r="BZ25" s="137">
        <v>0.99721109460391566</v>
      </c>
      <c r="CA25" s="137">
        <v>1.9422640119623601E-2</v>
      </c>
      <c r="CB25" s="137">
        <v>0.99356458774998258</v>
      </c>
      <c r="CC25" s="258">
        <v>-0.09</v>
      </c>
      <c r="CD25" s="258">
        <v>0</v>
      </c>
      <c r="CE25" s="258">
        <v>2.75E-2</v>
      </c>
      <c r="CF25" s="258">
        <v>3.5000000000000003E-2</v>
      </c>
      <c r="CG25" s="258">
        <v>0</v>
      </c>
      <c r="CH25" s="258">
        <v>4.2653727752106754</v>
      </c>
      <c r="CI25" s="258">
        <v>2.8479999999999999</v>
      </c>
      <c r="CJ25" s="258"/>
      <c r="CK25" s="258"/>
      <c r="CL25" s="258"/>
      <c r="CM25" s="258"/>
    </row>
    <row r="26" spans="1:91" x14ac:dyDescent="0.25">
      <c r="A26" s="723"/>
      <c r="B26" s="723"/>
      <c r="D26" s="31">
        <f t="shared" si="42"/>
        <v>37391</v>
      </c>
      <c r="F26" s="28">
        <f t="shared" si="12"/>
        <v>60000</v>
      </c>
      <c r="G26" s="28">
        <f t="shared" si="13"/>
        <v>59521.795605075749</v>
      </c>
      <c r="H26" s="52">
        <f t="shared" si="14"/>
        <v>2.838644410723318</v>
      </c>
      <c r="I26" s="52">
        <f t="shared" si="15"/>
        <v>2.9584999999999999</v>
      </c>
      <c r="K26" s="52">
        <f t="shared" si="43"/>
        <v>3.6859102749771617</v>
      </c>
      <c r="L26" s="135">
        <f t="shared" si="44"/>
        <v>9.6531344938417973E-2</v>
      </c>
      <c r="N26" s="131">
        <f t="shared" si="45"/>
        <v>0.57775797476853397</v>
      </c>
      <c r="O26" s="131">
        <f t="shared" si="46"/>
        <v>0.58312535051959857</v>
      </c>
      <c r="P26" s="55">
        <f t="shared" si="47"/>
        <v>0.99686811971705225</v>
      </c>
      <c r="Q26" s="135">
        <f>_xll.xSPRDOPT(I26,H26,AQ26,0,O26,N26,P26,D26-$G$5,1,0)*AH26*AU26</f>
        <v>3.7824416199155797</v>
      </c>
      <c r="R26" s="135"/>
      <c r="S26" s="181">
        <f>_xll.xSPRDOPT(I26,H26,AQ26,AT26,O26,N26,P26,D26-$G$5,1,2)*AF26*(F26/(1-AR26))*AH26</f>
        <v>-1711654.727513704</v>
      </c>
      <c r="T26" s="181">
        <f>_xll.xSPRDOPT(I26,H26,AQ26,AT26,O26,N26,P26,D26-$G$5,1,1)*AF26*F26*AH26</f>
        <v>1700132.0673217555</v>
      </c>
      <c r="U26" s="135"/>
      <c r="V26" s="146">
        <f t="shared" si="16"/>
        <v>4.4007439580612751</v>
      </c>
      <c r="W26" s="146"/>
      <c r="X26" s="338">
        <f t="shared" si="17"/>
        <v>0</v>
      </c>
      <c r="Y26" s="338">
        <f t="shared" si="18"/>
        <v>0</v>
      </c>
      <c r="Z26" s="338">
        <f t="shared" si="19"/>
        <v>-196.84475800065576</v>
      </c>
      <c r="AA26" s="338">
        <f t="shared" si="20"/>
        <v>8.487097387485484</v>
      </c>
      <c r="AB26" s="338">
        <f t="shared" si="21"/>
        <v>0</v>
      </c>
      <c r="AC26" s="338">
        <f t="shared" si="22"/>
        <v>36.738650662938952</v>
      </c>
      <c r="AF26" s="138">
        <f t="shared" si="23"/>
        <v>1</v>
      </c>
      <c r="AG26" s="138">
        <f t="shared" si="24"/>
        <v>5</v>
      </c>
      <c r="AH26" s="138">
        <f t="shared" si="25"/>
        <v>31</v>
      </c>
      <c r="AI26" s="138">
        <f t="shared" si="48"/>
        <v>135</v>
      </c>
      <c r="AJ26" s="138">
        <f t="shared" si="26"/>
        <v>152</v>
      </c>
      <c r="AL26" s="136">
        <f t="shared" si="27"/>
        <v>2.8959999999999999</v>
      </c>
      <c r="AM26" s="258">
        <f t="shared" si="49"/>
        <v>-0.09</v>
      </c>
      <c r="AN26" s="258">
        <f t="shared" si="28"/>
        <v>0</v>
      </c>
      <c r="AO26" s="258">
        <f t="shared" si="29"/>
        <v>2.75E-2</v>
      </c>
      <c r="AP26" s="258">
        <f t="shared" si="30"/>
        <v>3.5000000000000003E-2</v>
      </c>
      <c r="AQ26" s="136">
        <f t="shared" si="31"/>
        <v>0</v>
      </c>
      <c r="AR26" s="137">
        <f t="shared" si="32"/>
        <v>1.15E-2</v>
      </c>
      <c r="AS26" s="136">
        <f t="shared" si="50"/>
        <v>2.806</v>
      </c>
      <c r="AT26" s="137">
        <f t="shared" si="33"/>
        <v>1.9712159578257001E-2</v>
      </c>
      <c r="AU26" s="137">
        <f t="shared" si="34"/>
        <v>0.99202992675126245</v>
      </c>
      <c r="AV26" s="394">
        <f t="shared" si="51"/>
        <v>21465.543555043816</v>
      </c>
      <c r="AW26" s="137">
        <f t="shared" si="35"/>
        <v>0.57750000000000001</v>
      </c>
      <c r="AX26" s="137">
        <f t="shared" si="36"/>
        <v>0.57999999999999996</v>
      </c>
      <c r="AY26" s="137">
        <f t="shared" si="37"/>
        <v>0.63</v>
      </c>
      <c r="AZ26" s="137"/>
      <c r="BA26" s="264"/>
      <c r="BB26" s="258">
        <f t="shared" si="38"/>
        <v>0</v>
      </c>
      <c r="BC26" s="258">
        <f t="shared" si="39"/>
        <v>0</v>
      </c>
      <c r="BD26" s="137">
        <f t="shared" si="40"/>
        <v>5.0407485243653127E-6</v>
      </c>
      <c r="BE26" s="137">
        <f t="shared" si="41"/>
        <v>1.0942167210792331E-4</v>
      </c>
      <c r="BF26" s="137">
        <f>_xll.xSPRDOPT($BW26,$BV26,$CG26,0,$BY26,$BX26,$BZ26,$AJ26,1,4)*$CB26</f>
        <v>1.8080767220538772</v>
      </c>
      <c r="BG26" s="137">
        <f>_xll.xSPRDOPT($BW26,$BV26,$CG26,0,$BY26,$BX26,$BZ26,$AJ26,1,3)*$CB26</f>
        <v>1.6645455075383071</v>
      </c>
      <c r="BH26" s="137">
        <f>IF(OR(BF26&lt;&gt;0,BG26&lt;&gt;0),_xll.xSPRDOPT($BW26,$BV26,$CG26,0,$BY26,$BX26,$BZ26,$AJ26,1,12)*$CB26,0)</f>
        <v>-1.7348297304349964</v>
      </c>
      <c r="BI26" s="137">
        <f>_xll.xSPRDOPT($BW26,$BV26,$CG26,2*LN(1+CA26/2),$BY26,$BX26,$BZ26,$AJ26,1,9)</f>
        <v>-1.2884865207838624E-2</v>
      </c>
      <c r="BJ26" s="137">
        <f>_xll.xSPRDOPT($BW26,$BV26,$CG26,0,$BY26,$BX26,$BZ26,$AJ26,1,6)*$CB26</f>
        <v>-2.1049840926032386E-2</v>
      </c>
      <c r="BK26" s="137">
        <f>_xll.xSPRDOPT($BW26,$BV26,$CG26,0,$BY26,$BX26,$BZ26,$AJ26,1,5)*$CB26</f>
        <v>4.2670363642866943E-2</v>
      </c>
      <c r="BL26" s="137">
        <f>_xll.xSPRDOPT(BW26,BV26,CG26,0,BY26,BX26,BZ26,AJ26,1,2)*CB26</f>
        <v>-0.90952982765970325</v>
      </c>
      <c r="BM26" s="137">
        <f>_xll.xSPRDOPT(BW26,BV26,CG26,0,BY26,BX26,BZ26,AJ26,1,1)*CB26</f>
        <v>0.91391840372925381</v>
      </c>
      <c r="BN26" s="137">
        <f>IF(AH26&lt;&gt;0,_xll.xSPRDOPT($BW26,$BV26,$CG26,2*LN(1+CA26/2),$BY26,$BX26,$BZ26,$AJ26,1,8)+(AJ26/365.25)*CH26/AH26,0)</f>
        <v>8.298418841413191E-3</v>
      </c>
      <c r="BO26" s="137">
        <f>_xll.xSPRDOPT($BW26,$BV26,$CG26,0,$BY26,$BX26,$BZ26,$AJ26,1,0)</f>
        <v>0.12299578200319448</v>
      </c>
      <c r="BP26" s="137"/>
      <c r="BQ26" s="137"/>
      <c r="BR26" s="137"/>
      <c r="BS26" s="137"/>
      <c r="BV26" s="262">
        <v>2.838644410723318</v>
      </c>
      <c r="BW26" s="136">
        <v>2.9584999999999999</v>
      </c>
      <c r="BX26" s="137">
        <v>0.5777529340200096</v>
      </c>
      <c r="BY26" s="137">
        <v>0.58301592884749065</v>
      </c>
      <c r="BZ26" s="137">
        <v>0.99692791467439357</v>
      </c>
      <c r="CA26" s="137">
        <v>1.9712159578257001E-2</v>
      </c>
      <c r="CB26" s="137">
        <v>0.99187010954216859</v>
      </c>
      <c r="CC26" s="258">
        <v>-0.09</v>
      </c>
      <c r="CD26" s="258">
        <v>0</v>
      </c>
      <c r="CE26" s="258">
        <v>2.75E-2</v>
      </c>
      <c r="CF26" s="258">
        <v>3.5000000000000003E-2</v>
      </c>
      <c r="CG26" s="258">
        <v>0</v>
      </c>
      <c r="CH26" s="258">
        <v>4.4000349929400135</v>
      </c>
      <c r="CI26" s="258">
        <v>2.8959999999999999</v>
      </c>
      <c r="CJ26" s="258"/>
      <c r="CK26" s="258"/>
      <c r="CL26" s="258"/>
      <c r="CM26" s="258"/>
    </row>
    <row r="27" spans="1:91" x14ac:dyDescent="0.25">
      <c r="A27" s="726"/>
      <c r="B27" s="726"/>
      <c r="C27" s="726"/>
      <c r="D27" s="31">
        <f t="shared" si="42"/>
        <v>37422</v>
      </c>
      <c r="F27" s="28">
        <f t="shared" si="12"/>
        <v>60000</v>
      </c>
      <c r="G27" s="28">
        <f t="shared" si="13"/>
        <v>59414.109181387896</v>
      </c>
      <c r="H27" s="52">
        <f t="shared" si="14"/>
        <v>2.8892261001517454</v>
      </c>
      <c r="I27" s="52">
        <f t="shared" si="15"/>
        <v>3.0135000000000001</v>
      </c>
      <c r="K27" s="52">
        <f t="shared" si="43"/>
        <v>3.6918115269905334</v>
      </c>
      <c r="L27" s="135">
        <f t="shared" si="44"/>
        <v>8.4528219906798707E-2</v>
      </c>
      <c r="N27" s="131">
        <f t="shared" si="45"/>
        <v>0.5502663217587267</v>
      </c>
      <c r="O27" s="131">
        <f t="shared" si="46"/>
        <v>0.5548034219582415</v>
      </c>
      <c r="P27" s="55">
        <f t="shared" si="47"/>
        <v>0.99721463615751704</v>
      </c>
      <c r="Q27" s="135">
        <f>_xll.xSPRDOPT(I27,H27,AQ27,0,O27,N27,P27,D27-$G$5,1,0)*AH27*AU27</f>
        <v>3.7763397468973321</v>
      </c>
      <c r="R27" s="135"/>
      <c r="S27" s="181">
        <f>_xll.xSPRDOPT(I27,H27,AQ27,AT27,O27,N27,P27,D27-$G$5,1,2)*AF27*(F27/(1-AR27))*AH27</f>
        <v>-1665752.3089944655</v>
      </c>
      <c r="T27" s="181">
        <f>_xll.xSPRDOPT(I27,H27,AQ27,AT27,O27,N27,P27,D27-$G$5,1,1)*AF27*F27*AH27</f>
        <v>1653876.840132053</v>
      </c>
      <c r="U27" s="135"/>
      <c r="V27" s="146">
        <f t="shared" si="16"/>
        <v>4.251079511928304</v>
      </c>
      <c r="W27" s="146"/>
      <c r="X27" s="338">
        <f t="shared" si="17"/>
        <v>0</v>
      </c>
      <c r="Y27" s="338">
        <f t="shared" si="18"/>
        <v>0</v>
      </c>
      <c r="Z27" s="338">
        <f t="shared" si="19"/>
        <v>-139.01785145760067</v>
      </c>
      <c r="AA27" s="338">
        <f t="shared" si="20"/>
        <v>7.2832932060757294</v>
      </c>
      <c r="AB27" s="338">
        <f t="shared" si="21"/>
        <v>0</v>
      </c>
      <c r="AC27" s="338">
        <f t="shared" si="22"/>
        <v>37.235751632148521</v>
      </c>
      <c r="AF27" s="138">
        <f t="shared" si="23"/>
        <v>1</v>
      </c>
      <c r="AG27" s="138">
        <f t="shared" si="24"/>
        <v>6</v>
      </c>
      <c r="AH27" s="138">
        <f t="shared" si="25"/>
        <v>30</v>
      </c>
      <c r="AI27" s="138">
        <f t="shared" si="48"/>
        <v>166</v>
      </c>
      <c r="AJ27" s="138">
        <f t="shared" si="26"/>
        <v>183</v>
      </c>
      <c r="AL27" s="136">
        <f t="shared" si="27"/>
        <v>2.9460000000000002</v>
      </c>
      <c r="AM27" s="258">
        <f t="shared" si="49"/>
        <v>-0.09</v>
      </c>
      <c r="AN27" s="258">
        <f t="shared" si="28"/>
        <v>0</v>
      </c>
      <c r="AO27" s="258">
        <f t="shared" si="29"/>
        <v>2.75E-2</v>
      </c>
      <c r="AP27" s="258">
        <f t="shared" si="30"/>
        <v>0.04</v>
      </c>
      <c r="AQ27" s="136">
        <f t="shared" si="31"/>
        <v>0</v>
      </c>
      <c r="AR27" s="137">
        <f t="shared" si="32"/>
        <v>1.15E-2</v>
      </c>
      <c r="AS27" s="136">
        <f t="shared" si="50"/>
        <v>2.8560000000000003</v>
      </c>
      <c r="AT27" s="137">
        <f t="shared" si="33"/>
        <v>2.0011329715354399E-2</v>
      </c>
      <c r="AU27" s="137">
        <f t="shared" si="34"/>
        <v>0.99023515302313159</v>
      </c>
      <c r="AV27" s="394">
        <f t="shared" si="51"/>
        <v>20735.524104304375</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1"/>
        <v>1.1830637855325676E-4</v>
      </c>
      <c r="BF27" s="137">
        <f>_xll.xSPRDOPT($BW27,$BV27,$CG27,0,$BY27,$BX27,$BZ27,$AJ27,1,4)*$CB27</f>
        <v>1.685155678318883</v>
      </c>
      <c r="BG27" s="137">
        <f>_xll.xSPRDOPT($BW27,$BV27,$CG27,0,$BY27,$BX27,$BZ27,$AJ27,1,3)*$CB27</f>
        <v>1.5490330145199815</v>
      </c>
      <c r="BH27" s="137">
        <f>IF(OR(BF27&lt;&gt;0,BG27&lt;&gt;0),_xll.xSPRDOPT($BW27,$BV27,$CG27,0,$BY27,$BX27,$BZ27,$AJ27,1,12)*$CB27,0)</f>
        <v>-1.6156642630611495</v>
      </c>
      <c r="BI27" s="137">
        <f>_xll.xSPRDOPT($BW27,$BV27,$CG27,2*LN(1+CA27/2),$BY27,$BX27,$BZ27,$AJ27,1,9)</f>
        <v>-9.4030130083127099E-3</v>
      </c>
      <c r="BJ27" s="137">
        <f>_xll.xSPRDOPT($BW27,$BV27,$CG27,0,$BY27,$BX27,$BZ27,$AJ27,1,6)*$CB27</f>
        <v>-2.0743004149544431E-2</v>
      </c>
      <c r="BK27" s="137">
        <f>_xll.xSPRDOPT($BW27,$BV27,$CG27,0,$BY27,$BX27,$BZ27,$AJ27,1,5)*$CB27</f>
        <v>4.2090154004820649E-2</v>
      </c>
      <c r="BL27" s="137">
        <f>_xll.xSPRDOPT(BW27,BV27,CG27,0,BY27,BX27,BZ27,AJ27,1,2)*CB27</f>
        <v>-0.9146614941816823</v>
      </c>
      <c r="BM27" s="137">
        <f>_xll.xSPRDOPT(BW27,BV27,CG27,0,BY27,BX27,BZ27,AJ27,1,1)*CB27</f>
        <v>0.91870642068838582</v>
      </c>
      <c r="BN27" s="137">
        <f>IF(AH27&lt;&gt;0,_xll.xSPRDOPT($BW27,$BV27,$CG27,2*LN(1+CA27/2),$BY27,$BX27,$BZ27,$AJ27,1,8)+(AJ27/365.25)*CH27/AH27,0)</f>
        <v>7.9270091614889598E-3</v>
      </c>
      <c r="BO27" s="137">
        <f>_xll.xSPRDOPT($BW27,$BV27,$CG27,0,$BY27,$BX27,$BZ27,$AJ27,1,0)</f>
        <v>0.12711983780132957</v>
      </c>
      <c r="BP27" s="137"/>
      <c r="BQ27" s="137"/>
      <c r="BR27" s="137"/>
      <c r="BS27" s="137"/>
      <c r="BV27" s="262">
        <v>2.8892261001517454</v>
      </c>
      <c r="BW27" s="136">
        <v>3.0135000000000001</v>
      </c>
      <c r="BX27" s="137">
        <v>0.55022133021926811</v>
      </c>
      <c r="BY27" s="137">
        <v>0.55468511557968825</v>
      </c>
      <c r="BZ27" s="137">
        <v>0.99725870997230137</v>
      </c>
      <c r="CA27" s="137">
        <v>2.0011329715354399E-2</v>
      </c>
      <c r="CB27" s="137">
        <v>0.99007321601711695</v>
      </c>
      <c r="CC27" s="258">
        <v>-0.09</v>
      </c>
      <c r="CD27" s="258">
        <v>0</v>
      </c>
      <c r="CE27" s="258">
        <v>2.75E-2</v>
      </c>
      <c r="CF27" s="258">
        <v>0.04</v>
      </c>
      <c r="CG27" s="258">
        <v>0</v>
      </c>
      <c r="CH27" s="258">
        <v>4.2503843163614832</v>
      </c>
      <c r="CI27" s="258">
        <v>2.9460000000000002</v>
      </c>
      <c r="CJ27" s="258"/>
      <c r="CK27" s="258"/>
      <c r="CL27" s="258"/>
      <c r="CM27" s="258"/>
    </row>
    <row r="28" spans="1:91" x14ac:dyDescent="0.25">
      <c r="A28" s="723"/>
      <c r="B28" s="723"/>
      <c r="D28" s="31">
        <f t="shared" si="42"/>
        <v>37452</v>
      </c>
      <c r="F28" s="28">
        <f t="shared" si="12"/>
        <v>60000</v>
      </c>
      <c r="G28" s="28">
        <f t="shared" si="13"/>
        <v>59302.930861081528</v>
      </c>
      <c r="H28" s="52">
        <f t="shared" si="14"/>
        <v>2.9276681841173495</v>
      </c>
      <c r="I28" s="52">
        <f t="shared" si="15"/>
        <v>3.0514999999999999</v>
      </c>
      <c r="K28" s="52">
        <f t="shared" si="43"/>
        <v>3.7941879681070119</v>
      </c>
      <c r="L28" s="135">
        <f t="shared" si="44"/>
        <v>0.13098497392990627</v>
      </c>
      <c r="N28" s="131">
        <f t="shared" si="45"/>
        <v>0.54938596714727361</v>
      </c>
      <c r="O28" s="131">
        <f t="shared" si="46"/>
        <v>0.55373746243591337</v>
      </c>
      <c r="P28" s="55">
        <f t="shared" si="47"/>
        <v>0.99714993757363546</v>
      </c>
      <c r="Q28" s="135">
        <f>_xll.xSPRDOPT(I28,H28,AQ28,0,O28,N28,P28,D28-$G$5,1,0)*AH28*AU28</f>
        <v>3.9251729420369181</v>
      </c>
      <c r="R28" s="135"/>
      <c r="S28" s="181">
        <f>_xll.xSPRDOPT(I28,H28,AQ28,AT28,O28,N28,P28,D28-$G$5,1,2)*AF28*(F28/(1-AR28))*AH28</f>
        <v>-1676129.2467943039</v>
      </c>
      <c r="T28" s="181">
        <f>_xll.xSPRDOPT(I28,H28,AQ28,AT28,O28,N28,P28,D28-$G$5,1,1)*AF28*F28*AH28</f>
        <v>1666791.5381678906</v>
      </c>
      <c r="U28" s="135"/>
      <c r="V28" s="146">
        <f t="shared" si="16"/>
        <v>4.3845621932140624</v>
      </c>
      <c r="W28" s="146"/>
      <c r="X28" s="338">
        <f t="shared" si="17"/>
        <v>0</v>
      </c>
      <c r="Y28" s="338">
        <f t="shared" si="18"/>
        <v>0</v>
      </c>
      <c r="Z28" s="338">
        <f t="shared" si="19"/>
        <v>-169.839932127315</v>
      </c>
      <c r="AA28" s="338">
        <f t="shared" si="20"/>
        <v>11.10492359926895</v>
      </c>
      <c r="AB28" s="338">
        <f t="shared" si="21"/>
        <v>0</v>
      </c>
      <c r="AC28" s="338">
        <f t="shared" si="22"/>
        <v>39.510320243024267</v>
      </c>
      <c r="AF28" s="138">
        <f t="shared" si="23"/>
        <v>1</v>
      </c>
      <c r="AG28" s="138">
        <f t="shared" si="24"/>
        <v>7</v>
      </c>
      <c r="AH28" s="138">
        <f t="shared" si="25"/>
        <v>31</v>
      </c>
      <c r="AI28" s="138">
        <f t="shared" si="48"/>
        <v>196</v>
      </c>
      <c r="AJ28" s="138">
        <f t="shared" si="26"/>
        <v>213</v>
      </c>
      <c r="AL28" s="136">
        <f t="shared" si="27"/>
        <v>2.984</v>
      </c>
      <c r="AM28" s="258">
        <f t="shared" si="49"/>
        <v>-0.09</v>
      </c>
      <c r="AN28" s="258">
        <f t="shared" si="28"/>
        <v>0</v>
      </c>
      <c r="AO28" s="258">
        <f t="shared" si="29"/>
        <v>2.75E-2</v>
      </c>
      <c r="AP28" s="258">
        <f t="shared" si="30"/>
        <v>0.04</v>
      </c>
      <c r="AQ28" s="136">
        <f t="shared" si="31"/>
        <v>0</v>
      </c>
      <c r="AR28" s="137">
        <f t="shared" si="32"/>
        <v>1.15E-2</v>
      </c>
      <c r="AS28" s="136">
        <f t="shared" si="50"/>
        <v>2.8940000000000001</v>
      </c>
      <c r="AT28" s="137">
        <f t="shared" si="33"/>
        <v>2.0428629809483099E-2</v>
      </c>
      <c r="AU28" s="137">
        <f t="shared" si="34"/>
        <v>0.98838218101802544</v>
      </c>
      <c r="AV28" s="394">
        <f t="shared" si="51"/>
        <v>21386.613632868033</v>
      </c>
      <c r="AW28" s="137">
        <f t="shared" si="35"/>
        <v>0.54249999999999998</v>
      </c>
      <c r="AX28" s="137">
        <f t="shared" si="36"/>
        <v>0.63</v>
      </c>
      <c r="AY28" s="137">
        <f t="shared" si="37"/>
        <v>0.68</v>
      </c>
      <c r="AZ28" s="137"/>
      <c r="BA28" s="264"/>
      <c r="BB28" s="258">
        <f t="shared" si="38"/>
        <v>0</v>
      </c>
      <c r="BC28" s="258">
        <f t="shared" si="39"/>
        <v>0</v>
      </c>
      <c r="BD28" s="137">
        <f t="shared" si="40"/>
        <v>9.5712015904636516E-5</v>
      </c>
      <c r="BE28" s="137">
        <f t="shared" si="41"/>
        <v>1.555944024809186E-4</v>
      </c>
      <c r="BF28" s="137">
        <f>_xll.xSPRDOPT($BW28,$BV28,$CG28,0,$BY28,$BX28,$BZ28,$AJ28,1,4)*$CB28</f>
        <v>1.8481607369328548</v>
      </c>
      <c r="BG28" s="137">
        <f>_xll.xSPRDOPT($BW28,$BV28,$CG28,0,$BY28,$BX28,$BZ28,$AJ28,1,3)*$CB28</f>
        <v>1.7012050862082384</v>
      </c>
      <c r="BH28" s="137">
        <f>IF(OR(BF28&lt;&gt;0,BG28&lt;&gt;0),_xll.xSPRDOPT($BW28,$BV28,$CG28,0,$BY28,$BX28,$BZ28,$AJ28,1,12)*$CB28,0)</f>
        <v>-1.7731619886745216</v>
      </c>
      <c r="BI28" s="137">
        <f>_xll.xSPRDOPT($BW28,$BV28,$CG28,2*LN(1+CA28/2),$BY28,$BX28,$BZ28,$AJ28,1,9)</f>
        <v>-1.1117210611021828E-2</v>
      </c>
      <c r="BJ28" s="137">
        <f>_xll.xSPRDOPT($BW28,$BV28,$CG28,0,$BY28,$BX28,$BZ28,$AJ28,1,6)*$CB28</f>
        <v>-2.5265274688004085E-2</v>
      </c>
      <c r="BK28" s="137">
        <f>_xll.xSPRDOPT($BW28,$BV28,$CG28,0,$BY28,$BX28,$BZ28,$AJ28,1,5)*$CB28</f>
        <v>5.3913118151323096E-2</v>
      </c>
      <c r="BL28" s="137">
        <f>_xll.xSPRDOPT(BW28,BV28,CG28,0,BY28,BX28,BZ28,AJ28,1,2)*CB28</f>
        <v>-0.89067463022868154</v>
      </c>
      <c r="BM28" s="137">
        <f>_xll.xSPRDOPT(BW28,BV28,CG28,0,BY28,BX28,BZ28,AJ28,1,1)*CB28</f>
        <v>0.89601766899064061</v>
      </c>
      <c r="BN28" s="137">
        <f>IF(AH28&lt;&gt;0,_xll.xSPRDOPT($BW28,$BV28,$CG28,2*LN(1+CA28/2),$BY28,$BX28,$BZ28,$AJ28,1,8)+(AJ28/365.25)*CH28/AH28,0)</f>
        <v>8.6399780295525752E-3</v>
      </c>
      <c r="BO28" s="137">
        <f>_xll.xSPRDOPT($BW28,$BV28,$CG28,0,$BY28,$BX28,$BZ28,$AJ28,1,0)</f>
        <v>0.12810761060811987</v>
      </c>
      <c r="BP28" s="137"/>
      <c r="BQ28" s="137"/>
      <c r="BR28" s="137"/>
      <c r="BS28" s="137"/>
      <c r="BV28" s="262">
        <v>2.9276681841173495</v>
      </c>
      <c r="BW28" s="136">
        <v>3.0514999999999999</v>
      </c>
      <c r="BX28" s="137">
        <v>0.54929025513136898</v>
      </c>
      <c r="BY28" s="137">
        <v>0.55358186803343246</v>
      </c>
      <c r="BZ28" s="137">
        <v>0.99718810334020791</v>
      </c>
      <c r="CA28" s="137">
        <v>2.0428629809483099E-2</v>
      </c>
      <c r="CB28" s="137">
        <v>0.98821719380072837</v>
      </c>
      <c r="CC28" s="258">
        <v>-0.09</v>
      </c>
      <c r="CD28" s="258">
        <v>0</v>
      </c>
      <c r="CE28" s="258">
        <v>2.75E-2</v>
      </c>
      <c r="CF28" s="258">
        <v>0.04</v>
      </c>
      <c r="CG28" s="258">
        <v>0</v>
      </c>
      <c r="CH28" s="258">
        <v>4.3838302934194111</v>
      </c>
      <c r="CI28" s="258">
        <v>2.984</v>
      </c>
      <c r="CJ28" s="258"/>
      <c r="CK28" s="258"/>
      <c r="CL28" s="258"/>
      <c r="CM28" s="258"/>
    </row>
    <row r="29" spans="1:91" x14ac:dyDescent="0.25">
      <c r="A29" s="723"/>
      <c r="B29" s="723"/>
      <c r="D29" s="31">
        <f t="shared" si="42"/>
        <v>37483</v>
      </c>
      <c r="F29" s="28">
        <f t="shared" si="12"/>
        <v>60000</v>
      </c>
      <c r="G29" s="28">
        <f t="shared" si="13"/>
        <v>59176.120586868092</v>
      </c>
      <c r="H29" s="52">
        <f t="shared" si="14"/>
        <v>2.9701568032372281</v>
      </c>
      <c r="I29" s="52">
        <f t="shared" si="15"/>
        <v>3.0934999999999997</v>
      </c>
      <c r="K29" s="52">
        <f t="shared" si="43"/>
        <v>3.771135474021845</v>
      </c>
      <c r="L29" s="135">
        <f t="shared" si="44"/>
        <v>0.17694635420060223</v>
      </c>
      <c r="N29" s="131">
        <f t="shared" si="45"/>
        <v>0.55001555741820785</v>
      </c>
      <c r="O29" s="131">
        <f t="shared" si="46"/>
        <v>0.55409683176234836</v>
      </c>
      <c r="P29" s="55">
        <f t="shared" si="47"/>
        <v>0.99716242396125854</v>
      </c>
      <c r="Q29" s="135">
        <f>_xll.xSPRDOPT(I29,H29,AQ29,0,O29,N29,P29,D29-$G$5,1,0)*AH29*AU29</f>
        <v>3.9480818282224472</v>
      </c>
      <c r="R29" s="135"/>
      <c r="S29" s="181">
        <f>_xll.xSPRDOPT(I29,H29,AQ29,AT29,O29,N29,P29,D29-$G$5,1,2)*AF29*(F29/(1-AR29))*AH29</f>
        <v>-1635475.3319135949</v>
      </c>
      <c r="T29" s="181">
        <f>_xll.xSPRDOPT(I29,H29,AQ29,AT29,O29,N29,P29,D29-$G$5,1,1)*AF29*F29*AH29</f>
        <v>1628777.5187985962</v>
      </c>
      <c r="U29" s="135"/>
      <c r="V29" s="146">
        <f t="shared" si="16"/>
        <v>4.375186475590092</v>
      </c>
      <c r="W29" s="146"/>
      <c r="X29" s="338">
        <f t="shared" si="17"/>
        <v>0</v>
      </c>
      <c r="Y29" s="338">
        <f t="shared" si="18"/>
        <v>0</v>
      </c>
      <c r="Z29" s="338">
        <f t="shared" si="19"/>
        <v>-184.86054365896877</v>
      </c>
      <c r="AA29" s="338">
        <f t="shared" si="20"/>
        <v>13.779331804071322</v>
      </c>
      <c r="AB29" s="338">
        <f t="shared" si="21"/>
        <v>0</v>
      </c>
      <c r="AC29" s="338">
        <f t="shared" si="22"/>
        <v>40.978671043082983</v>
      </c>
      <c r="AF29" s="138">
        <f t="shared" si="23"/>
        <v>1</v>
      </c>
      <c r="AG29" s="138">
        <f t="shared" si="24"/>
        <v>8</v>
      </c>
      <c r="AH29" s="138">
        <f t="shared" si="25"/>
        <v>31</v>
      </c>
      <c r="AI29" s="138">
        <f t="shared" si="48"/>
        <v>227</v>
      </c>
      <c r="AJ29" s="138">
        <f t="shared" si="26"/>
        <v>244</v>
      </c>
      <c r="AL29" s="136">
        <f t="shared" si="27"/>
        <v>3.0259999999999998</v>
      </c>
      <c r="AM29" s="258">
        <f t="shared" si="49"/>
        <v>-0.09</v>
      </c>
      <c r="AN29" s="258">
        <f t="shared" si="28"/>
        <v>0</v>
      </c>
      <c r="AO29" s="258">
        <f t="shared" si="29"/>
        <v>2.75E-2</v>
      </c>
      <c r="AP29" s="258">
        <f t="shared" si="30"/>
        <v>0.04</v>
      </c>
      <c r="AQ29" s="136">
        <f t="shared" si="31"/>
        <v>0</v>
      </c>
      <c r="AR29" s="137">
        <f t="shared" si="32"/>
        <v>1.15E-2</v>
      </c>
      <c r="AS29" s="136">
        <f t="shared" si="50"/>
        <v>2.9359999999999999</v>
      </c>
      <c r="AT29" s="137">
        <f t="shared" si="33"/>
        <v>2.1065008234303999E-2</v>
      </c>
      <c r="AU29" s="137">
        <f t="shared" si="34"/>
        <v>0.98626867644780158</v>
      </c>
      <c r="AV29" s="394">
        <f t="shared" si="51"/>
        <v>21340.881620977532</v>
      </c>
      <c r="AW29" s="137">
        <f t="shared" si="35"/>
        <v>0.54</v>
      </c>
      <c r="AX29" s="137">
        <f t="shared" si="36"/>
        <v>0.68</v>
      </c>
      <c r="AY29" s="137">
        <f t="shared" si="37"/>
        <v>0.73</v>
      </c>
      <c r="AZ29" s="137"/>
      <c r="BA29" s="264"/>
      <c r="BB29" s="258">
        <f t="shared" si="38"/>
        <v>0</v>
      </c>
      <c r="BC29" s="258">
        <f t="shared" si="39"/>
        <v>0</v>
      </c>
      <c r="BD29" s="137">
        <f t="shared" si="40"/>
        <v>1.2128874378558585E-4</v>
      </c>
      <c r="BE29" s="137">
        <f t="shared" si="41"/>
        <v>1.7009754209929007E-4</v>
      </c>
      <c r="BF29" s="137">
        <f>_xll.xSPRDOPT($BW29,$BV29,$CG29,0,$BY29,$BX29,$BZ29,$AJ29,1,4)*$CB29</f>
        <v>1.941145294284736</v>
      </c>
      <c r="BG29" s="137">
        <f>_xll.xSPRDOPT($BW29,$BV29,$CG29,0,$BY29,$BX29,$BZ29,$AJ29,1,3)*$CB29</f>
        <v>1.789437485598564</v>
      </c>
      <c r="BH29" s="137">
        <f>IF(OR(BF29&lt;&gt;0,BG29&lt;&gt;0),_xll.xSPRDOPT($BW29,$BV29,$CG29,0,$BY29,$BX29,$BZ29,$AJ29,1,12)*$CB29,0)</f>
        <v>-1.8637474718539986</v>
      </c>
      <c r="BI29" s="137">
        <f>_xll.xSPRDOPT($BW29,$BV29,$CG29,2*LN(1+CA29/2),$BY29,$BX29,$BZ29,$AJ29,1,9)</f>
        <v>-1.2100414618537335E-2</v>
      </c>
      <c r="BJ29" s="137">
        <f>_xll.xSPRDOPT($BW29,$BV29,$CG29,0,$BY29,$BX29,$BZ29,$AJ29,1,6)*$CB29</f>
        <v>-2.8357874476650575E-2</v>
      </c>
      <c r="BK29" s="137">
        <f>_xll.xSPRDOPT($BW29,$BV29,$CG29,0,$BY29,$BX29,$BZ29,$AJ29,1,5)*$CB29</f>
        <v>6.3773607444514865E-2</v>
      </c>
      <c r="BL29" s="137">
        <f>_xll.xSPRDOPT(BW29,BV29,CG29,0,BY29,BX29,BZ29,AJ29,1,2)*CB29</f>
        <v>-0.86908054032695181</v>
      </c>
      <c r="BM29" s="137">
        <f>_xll.xSPRDOPT(BW29,BV29,CG29,0,BY29,BX29,BZ29,AJ29,1,1)*CB29</f>
        <v>0.87559133125758626</v>
      </c>
      <c r="BN29" s="137">
        <f>IF(AH29&lt;&gt;0,_xll.xSPRDOPT($BW29,$BV29,$CG29,2*LN(1+CA29/2),$BY29,$BX29,$BZ29,$AJ29,1,8)+(AJ29/365.25)*CH29/AH29,0)</f>
        <v>9.2018214446735608E-3</v>
      </c>
      <c r="BO29" s="137">
        <f>_xll.xSPRDOPT($BW29,$BV29,$CG29,0,$BY29,$BX29,$BZ29,$AJ29,1,0)</f>
        <v>0.12913137341324776</v>
      </c>
      <c r="BP29" s="137"/>
      <c r="BQ29" s="137"/>
      <c r="BR29" s="137"/>
      <c r="BS29" s="137"/>
      <c r="BV29" s="262">
        <v>2.9701568032372281</v>
      </c>
      <c r="BW29" s="136">
        <v>3.0934999999999997</v>
      </c>
      <c r="BX29" s="137">
        <v>0.54989426867442226</v>
      </c>
      <c r="BY29" s="137">
        <v>0.55392673422024907</v>
      </c>
      <c r="BZ29" s="137">
        <v>0.9971953039547915</v>
      </c>
      <c r="CA29" s="137">
        <v>2.1065008234303999E-2</v>
      </c>
      <c r="CB29" s="137">
        <v>0.98609894066797232</v>
      </c>
      <c r="CC29" s="258">
        <v>-0.09</v>
      </c>
      <c r="CD29" s="258">
        <v>0</v>
      </c>
      <c r="CE29" s="258">
        <v>2.75E-2</v>
      </c>
      <c r="CF29" s="258">
        <v>0.04</v>
      </c>
      <c r="CG29" s="258">
        <v>0</v>
      </c>
      <c r="CH29" s="258">
        <v>4.3744335106971919</v>
      </c>
      <c r="CI29" s="258">
        <v>3.0259999999999998</v>
      </c>
      <c r="CJ29" s="258"/>
      <c r="CK29" s="258"/>
      <c r="CL29" s="258"/>
      <c r="CM29" s="258"/>
    </row>
    <row r="30" spans="1:91" x14ac:dyDescent="0.25">
      <c r="A30" s="723"/>
      <c r="B30" s="723"/>
      <c r="D30" s="31">
        <f t="shared" si="42"/>
        <v>37514</v>
      </c>
      <c r="F30" s="28">
        <f t="shared" si="12"/>
        <v>60000</v>
      </c>
      <c r="G30" s="28">
        <f t="shared" si="13"/>
        <v>59043.277294054933</v>
      </c>
      <c r="H30" s="52">
        <f t="shared" si="14"/>
        <v>2.9620637329286796</v>
      </c>
      <c r="I30" s="52">
        <f t="shared" si="15"/>
        <v>3.0854999999999997</v>
      </c>
      <c r="K30" s="52">
        <f t="shared" si="43"/>
        <v>3.6440408724174858</v>
      </c>
      <c r="L30" s="135">
        <f t="shared" si="44"/>
        <v>0.16026877910437953</v>
      </c>
      <c r="N30" s="131">
        <f t="shared" si="45"/>
        <v>0.54862064797509713</v>
      </c>
      <c r="O30" s="131">
        <f t="shared" si="46"/>
        <v>0.55213969406142294</v>
      </c>
      <c r="P30" s="55">
        <f t="shared" si="47"/>
        <v>0.99754268680602187</v>
      </c>
      <c r="Q30" s="135">
        <f>_xll.xSPRDOPT(I30,H30,AQ30,0,O30,N30,P30,D30-$G$5,1,0)*AH30*AU30</f>
        <v>3.8043096515218653</v>
      </c>
      <c r="R30" s="135"/>
      <c r="S30" s="181">
        <f>_xll.xSPRDOPT(I30,H30,AQ30,AT30,O30,N30,P30,D30-$G$5,1,2)*AF30*(F30/(1-AR30))*AH30</f>
        <v>-1587101.4487851362</v>
      </c>
      <c r="T30" s="181">
        <f>_xll.xSPRDOPT(I30,H30,AQ30,AT30,O30,N30,P30,D30-$G$5,1,1)*AF30*F30*AH30</f>
        <v>1580058.9004872506</v>
      </c>
      <c r="U30" s="135"/>
      <c r="V30" s="146">
        <f t="shared" si="16"/>
        <v>4.2245464903896313</v>
      </c>
      <c r="W30" s="146"/>
      <c r="X30" s="338">
        <f t="shared" si="17"/>
        <v>0</v>
      </c>
      <c r="Y30" s="338">
        <f t="shared" si="18"/>
        <v>0</v>
      </c>
      <c r="Z30" s="338">
        <f t="shared" si="19"/>
        <v>-144.33815060265124</v>
      </c>
      <c r="AA30" s="338">
        <f t="shared" si="20"/>
        <v>9.8029258378104682</v>
      </c>
      <c r="AB30" s="338">
        <f t="shared" si="21"/>
        <v>0</v>
      </c>
      <c r="AC30" s="338">
        <f t="shared" si="22"/>
        <v>40.67896749709665</v>
      </c>
      <c r="AF30" s="138">
        <f t="shared" si="23"/>
        <v>1</v>
      </c>
      <c r="AG30" s="138">
        <f t="shared" si="24"/>
        <v>9</v>
      </c>
      <c r="AH30" s="138">
        <f t="shared" si="25"/>
        <v>30</v>
      </c>
      <c r="AI30" s="138">
        <f t="shared" si="48"/>
        <v>258</v>
      </c>
      <c r="AJ30" s="138">
        <f t="shared" si="26"/>
        <v>275</v>
      </c>
      <c r="AL30" s="136">
        <f t="shared" si="27"/>
        <v>3.0179999999999998</v>
      </c>
      <c r="AM30" s="258">
        <f t="shared" si="49"/>
        <v>-0.09</v>
      </c>
      <c r="AN30" s="258">
        <f t="shared" si="28"/>
        <v>0</v>
      </c>
      <c r="AO30" s="258">
        <f t="shared" si="29"/>
        <v>2.75E-2</v>
      </c>
      <c r="AP30" s="258">
        <f t="shared" si="30"/>
        <v>0.04</v>
      </c>
      <c r="AQ30" s="136">
        <f t="shared" si="31"/>
        <v>0</v>
      </c>
      <c r="AR30" s="137">
        <f t="shared" si="32"/>
        <v>1.15E-2</v>
      </c>
      <c r="AS30" s="136">
        <f t="shared" si="50"/>
        <v>2.9279999999999999</v>
      </c>
      <c r="AT30" s="137">
        <f t="shared" si="33"/>
        <v>2.1701386796276499E-2</v>
      </c>
      <c r="AU30" s="137">
        <f t="shared" si="34"/>
        <v>0.98405462156758228</v>
      </c>
      <c r="AV30" s="394">
        <f t="shared" si="51"/>
        <v>20606.103775625172</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1"/>
        <v>1.3051801922825401E-4</v>
      </c>
      <c r="BF30" s="137">
        <f>_xll.xSPRDOPT($BW30,$BV30,$CG30,0,$BY30,$BX30,$BZ30,$AJ30,1,4)*$CB30</f>
        <v>1.9190090021443134</v>
      </c>
      <c r="BG30" s="137">
        <f>_xll.xSPRDOPT($BW30,$BV30,$CG30,0,$BY30,$BX30,$BZ30,$AJ30,1,3)*$CB30</f>
        <v>1.7685391627017475</v>
      </c>
      <c r="BH30" s="137">
        <f>IF(OR(BF30&lt;&gt;0,BG30&lt;&gt;0),_xll.xSPRDOPT($BW30,$BV30,$CG30,0,$BY30,$BX30,$BZ30,$AJ30,1,12)*$CB30,0)</f>
        <v>-1.8422378912568822</v>
      </c>
      <c r="BI30" s="137">
        <f>_xll.xSPRDOPT($BW30,$BV30,$CG30,2*LN(1+CA30/2),$BY30,$BX30,$BZ30,$AJ30,1,9)</f>
        <v>-9.7628721310404377E-3</v>
      </c>
      <c r="BJ30" s="137">
        <f>_xll.xSPRDOPT($BW30,$BV30,$CG30,0,$BY30,$BX30,$BZ30,$AJ30,1,6)*$CB30</f>
        <v>-2.7117252188277225E-2</v>
      </c>
      <c r="BK30" s="137">
        <f>_xll.xSPRDOPT($BW30,$BV30,$CG30,0,$BY30,$BX30,$BZ30,$AJ30,1,5)*$CB30</f>
        <v>6.1043523073051754E-2</v>
      </c>
      <c r="BL30" s="137">
        <f>_xll.xSPRDOPT(BW30,BV30,CG30,0,BY30,BX30,BZ30,AJ30,1,2)*CB30</f>
        <v>-0.8714998672076617</v>
      </c>
      <c r="BM30" s="137">
        <f>_xll.xSPRDOPT(BW30,BV30,CG30,0,BY30,BX30,BZ30,AJ30,1,1)*CB30</f>
        <v>0.87772690314852875</v>
      </c>
      <c r="BN30" s="137">
        <f>IF(AH30&lt;&gt;0,_xll.xSPRDOPT($BW30,$BV30,$CG30,2*LN(1+CA30/2),$BY30,$BX30,$BZ30,$AJ30,1,8)+(AJ30/365.25)*CH30/AH30,0)</f>
        <v>1.0544516749669469E-2</v>
      </c>
      <c r="BO30" s="137">
        <f>_xll.xSPRDOPT($BW30,$BV30,$CG30,0,$BY30,$BX30,$BZ30,$AJ30,1,0)</f>
        <v>0.1288655070872666</v>
      </c>
      <c r="BP30" s="137"/>
      <c r="BQ30" s="137"/>
      <c r="BR30" s="137"/>
      <c r="BS30" s="137"/>
      <c r="BV30" s="262">
        <v>2.9620637329286796</v>
      </c>
      <c r="BW30" s="136">
        <v>3.0854999999999997</v>
      </c>
      <c r="BX30" s="137">
        <v>0.54852767359145349</v>
      </c>
      <c r="BY30" s="137">
        <v>0.55200917604219468</v>
      </c>
      <c r="BZ30" s="137">
        <v>0.99756819822540166</v>
      </c>
      <c r="CA30" s="137">
        <v>2.1701386796276499E-2</v>
      </c>
      <c r="CB30" s="137">
        <v>0.98388017854127463</v>
      </c>
      <c r="CC30" s="258">
        <v>-0.09</v>
      </c>
      <c r="CD30" s="258">
        <v>0</v>
      </c>
      <c r="CE30" s="258">
        <v>2.75E-2</v>
      </c>
      <c r="CF30" s="258">
        <v>0.04</v>
      </c>
      <c r="CG30" s="258">
        <v>0</v>
      </c>
      <c r="CH30" s="258">
        <v>4.2237976064776923</v>
      </c>
      <c r="CI30" s="258">
        <v>3.0179999999999998</v>
      </c>
      <c r="CJ30" s="258"/>
      <c r="CK30" s="258"/>
      <c r="CL30" s="258"/>
      <c r="CM30" s="258"/>
    </row>
    <row r="31" spans="1:91" x14ac:dyDescent="0.25">
      <c r="A31" s="723"/>
      <c r="B31" s="723"/>
      <c r="D31" s="31">
        <f t="shared" si="42"/>
        <v>37544</v>
      </c>
      <c r="F31" s="28">
        <f t="shared" si="12"/>
        <v>60000</v>
      </c>
      <c r="G31" s="28">
        <f t="shared" si="13"/>
        <v>58904.541212512835</v>
      </c>
      <c r="H31" s="52">
        <f t="shared" si="14"/>
        <v>2.9752149721800709</v>
      </c>
      <c r="I31" s="52">
        <f t="shared" si="15"/>
        <v>3.0985</v>
      </c>
      <c r="K31" s="52">
        <f t="shared" si="43"/>
        <v>3.7520581344208161</v>
      </c>
      <c r="L31" s="135">
        <f t="shared" si="44"/>
        <v>0.21915396532773013</v>
      </c>
      <c r="N31" s="131">
        <f t="shared" si="45"/>
        <v>0.55129247567847639</v>
      </c>
      <c r="O31" s="131">
        <f t="shared" si="46"/>
        <v>0.554778552374395</v>
      </c>
      <c r="P31" s="55">
        <f t="shared" si="47"/>
        <v>0.99743414155795906</v>
      </c>
      <c r="Q31" s="135">
        <f>_xll.xSPRDOPT(I31,H31,AQ31,0,O31,N31,P31,D31-$G$5,1,0)*AH31*AU31</f>
        <v>3.9712120997485463</v>
      </c>
      <c r="R31" s="135"/>
      <c r="S31" s="181">
        <f>_xll.xSPRDOPT(I31,H31,AQ31,AT31,O31,N31,P31,D31-$G$5,1,2)*AF31*(F31/(1-AR31))*AH31</f>
        <v>-1598377.0030116271</v>
      </c>
      <c r="T31" s="181">
        <f>_xll.xSPRDOPT(I31,H31,AQ31,AT31,O31,N31,P31,D31-$G$5,1,1)*AF31*F31*AH31</f>
        <v>1594021.2732381434</v>
      </c>
      <c r="U31" s="135"/>
      <c r="V31" s="146">
        <f t="shared" si="16"/>
        <v>4.3551072545471357</v>
      </c>
      <c r="W31" s="146"/>
      <c r="X31" s="338">
        <f t="shared" si="17"/>
        <v>0</v>
      </c>
      <c r="Y31" s="338">
        <f t="shared" si="18"/>
        <v>0</v>
      </c>
      <c r="Z31" s="338">
        <f t="shared" si="19"/>
        <v>-165.78417336861182</v>
      </c>
      <c r="AA31" s="338">
        <f t="shared" si="20"/>
        <v>12.759406063335309</v>
      </c>
      <c r="AB31" s="338">
        <f t="shared" si="21"/>
        <v>0</v>
      </c>
      <c r="AC31" s="338">
        <f t="shared" si="22"/>
        <v>43.850322411285809</v>
      </c>
      <c r="AF31" s="138">
        <f t="shared" si="23"/>
        <v>1</v>
      </c>
      <c r="AG31" s="138">
        <f t="shared" si="24"/>
        <v>10</v>
      </c>
      <c r="AH31" s="138">
        <f t="shared" si="25"/>
        <v>31</v>
      </c>
      <c r="AI31" s="138">
        <f t="shared" si="48"/>
        <v>288</v>
      </c>
      <c r="AJ31" s="138">
        <f t="shared" si="26"/>
        <v>305</v>
      </c>
      <c r="AL31" s="136">
        <f t="shared" si="27"/>
        <v>3.0310000000000001</v>
      </c>
      <c r="AM31" s="258">
        <f t="shared" si="49"/>
        <v>-0.09</v>
      </c>
      <c r="AN31" s="258">
        <f t="shared" si="28"/>
        <v>0</v>
      </c>
      <c r="AO31" s="258">
        <f t="shared" si="29"/>
        <v>2.75E-2</v>
      </c>
      <c r="AP31" s="258">
        <f t="shared" si="30"/>
        <v>0.04</v>
      </c>
      <c r="AQ31" s="136">
        <f t="shared" si="31"/>
        <v>0</v>
      </c>
      <c r="AR31" s="137">
        <f t="shared" si="32"/>
        <v>1.15E-2</v>
      </c>
      <c r="AS31" s="136">
        <f t="shared" si="50"/>
        <v>2.9410000000000003</v>
      </c>
      <c r="AT31" s="137">
        <f t="shared" si="33"/>
        <v>2.2410164045373999E-2</v>
      </c>
      <c r="AU31" s="137">
        <f t="shared" si="34"/>
        <v>0.98174235354188055</v>
      </c>
      <c r="AV31" s="394">
        <f t="shared" si="51"/>
        <v>21242.941045939213</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1"/>
        <v>1.4274311435447107E-4</v>
      </c>
      <c r="BF31" s="137">
        <f>_xll.xSPRDOPT($BW31,$BV31,$CG31,0,$BY31,$BX31,$BZ31,$AJ31,1,4)*$CB31</f>
        <v>1.9772775350000618</v>
      </c>
      <c r="BG31" s="137">
        <f>_xll.xSPRDOPT($BW31,$BV31,$CG31,0,$BY31,$BX31,$BZ31,$AJ31,1,3)*$CB31</f>
        <v>1.8230614391214659</v>
      </c>
      <c r="BH31" s="137">
        <f>IF(OR(BF31&lt;&gt;0,BG31&lt;&gt;0),_xll.xSPRDOPT($BW31,$BV31,$CG31,0,$BY31,$BX31,$BZ31,$AJ31,1,12)*$CB31,0)</f>
        <v>-1.8986022850893793</v>
      </c>
      <c r="BI31" s="137">
        <f>_xll.xSPRDOPT($BW31,$BV31,$CG31,2*LN(1+CA31/2),$BY31,$BX31,$BZ31,$AJ31,1,9)</f>
        <v>-1.0851732853563705E-2</v>
      </c>
      <c r="BJ31" s="137">
        <f>_xll.xSPRDOPT($BW31,$BV31,$CG31,0,$BY31,$BX31,$BZ31,$AJ31,1,6)*$CB31</f>
        <v>-2.9857365951084659E-2</v>
      </c>
      <c r="BK31" s="137">
        <f>_xll.xSPRDOPT($BW31,$BV31,$CG31,0,$BY31,$BX31,$BZ31,$AJ31,1,5)*$CB31</f>
        <v>7.0942500247125936E-2</v>
      </c>
      <c r="BL31" s="137">
        <f>_xll.xSPRDOPT(BW31,BV31,CG31,0,BY31,BX31,BZ31,AJ31,1,2)*CB31</f>
        <v>-0.849386182123262</v>
      </c>
      <c r="BM31" s="137">
        <f>_xll.xSPRDOPT(BW31,BV31,CG31,0,BY31,BX31,BZ31,AJ31,1,1)*CB31</f>
        <v>0.85692664140273056</v>
      </c>
      <c r="BN31" s="137">
        <f>IF(AH31&lt;&gt;0,_xll.xSPRDOPT($BW31,$BV31,$CG31,2*LN(1+CA31/2),$BY31,$BX31,$BZ31,$AJ31,1,8)+(AJ31/365.25)*CH31/AH31,0)</f>
        <v>1.033859546011108E-2</v>
      </c>
      <c r="BO31" s="137">
        <f>_xll.xSPRDOPT($BW31,$BV31,$CG31,0,$BY31,$BX31,$BZ31,$AJ31,1,0)</f>
        <v>0.13048654986175626</v>
      </c>
      <c r="BP31" s="137"/>
      <c r="BQ31" s="137"/>
      <c r="BR31" s="137"/>
      <c r="BS31" s="137"/>
      <c r="BV31" s="262">
        <v>2.9752149721800709</v>
      </c>
      <c r="BW31" s="136">
        <v>3.0985</v>
      </c>
      <c r="BX31" s="137">
        <v>0.55118306690820029</v>
      </c>
      <c r="BY31" s="137">
        <v>0.55463580926004052</v>
      </c>
      <c r="BZ31" s="137">
        <v>0.99745791388185301</v>
      </c>
      <c r="CA31" s="137">
        <v>2.2410164045373999E-2</v>
      </c>
      <c r="CB31" s="137">
        <v>0.98156266847823481</v>
      </c>
      <c r="CC31" s="258">
        <v>-0.09</v>
      </c>
      <c r="CD31" s="258">
        <v>0</v>
      </c>
      <c r="CE31" s="258">
        <v>2.75E-2</v>
      </c>
      <c r="CF31" s="258">
        <v>0.04</v>
      </c>
      <c r="CG31" s="258">
        <v>0</v>
      </c>
      <c r="CH31" s="258">
        <v>4.3543101536362974</v>
      </c>
      <c r="CI31" s="258">
        <v>3.0310000000000001</v>
      </c>
      <c r="CJ31" s="258"/>
      <c r="CK31" s="258"/>
      <c r="CL31" s="258"/>
      <c r="CM31" s="258"/>
    </row>
    <row r="32" spans="1:91" x14ac:dyDescent="0.25">
      <c r="A32" s="723"/>
      <c r="B32" s="723"/>
      <c r="D32" s="31">
        <f t="shared" si="42"/>
        <v>37575</v>
      </c>
      <c r="F32" s="28">
        <f t="shared" si="12"/>
        <v>60000</v>
      </c>
      <c r="G32" s="28">
        <f t="shared" si="13"/>
        <v>58747.465446501868</v>
      </c>
      <c r="H32" s="52">
        <f t="shared" si="14"/>
        <v>3.2787051087506316</v>
      </c>
      <c r="I32" s="52">
        <f t="shared" si="15"/>
        <v>3.3460000000000001</v>
      </c>
      <c r="K32" s="52">
        <f t="shared" si="43"/>
        <v>1.9767021491991883</v>
      </c>
      <c r="L32" s="135">
        <f t="shared" si="44"/>
        <v>0.94779791203978081</v>
      </c>
      <c r="N32" s="131">
        <f t="shared" si="45"/>
        <v>0.56483238995521046</v>
      </c>
      <c r="O32" s="131">
        <f t="shared" si="46"/>
        <v>0.55763051961597798</v>
      </c>
      <c r="P32" s="55">
        <f t="shared" si="47"/>
        <v>0.9964909373122427</v>
      </c>
      <c r="Q32" s="135">
        <f>_xll.xSPRDOPT(I32,H32,AQ32,0,O32,N32,P32,D32-$G$5,1,0)*AH32*AU32</f>
        <v>2.9245000612389691</v>
      </c>
      <c r="R32" s="135"/>
      <c r="S32" s="181">
        <f>_xll.xSPRDOPT(I32,H32,AQ32,AT32,O32,N32,P32,D32-$G$5,1,2)*AF32*(F32/(1-AR32))*AH32</f>
        <v>-1184527.5236766394</v>
      </c>
      <c r="T32" s="181">
        <f>_xll.xSPRDOPT(I32,H32,AQ32,AT32,O32,N32,P32,D32-$G$5,1,1)*AF32*F32*AH32</f>
        <v>1199791.4318221314</v>
      </c>
      <c r="U32" s="135"/>
      <c r="V32" s="146">
        <f t="shared" si="16"/>
        <v>4.2033811526972089</v>
      </c>
      <c r="W32" s="146"/>
      <c r="X32" s="338">
        <f t="shared" si="17"/>
        <v>0</v>
      </c>
      <c r="Y32" s="338">
        <f t="shared" si="18"/>
        <v>0</v>
      </c>
      <c r="Z32" s="338">
        <f t="shared" si="19"/>
        <v>-393.67687391917838</v>
      </c>
      <c r="AA32" s="338">
        <f t="shared" si="20"/>
        <v>49.662253370498561</v>
      </c>
      <c r="AB32" s="338">
        <f t="shared" si="21"/>
        <v>0</v>
      </c>
      <c r="AC32" s="338">
        <f t="shared" si="22"/>
        <v>33.537198515396966</v>
      </c>
      <c r="AF32" s="138">
        <f t="shared" si="23"/>
        <v>1</v>
      </c>
      <c r="AG32" s="138">
        <f t="shared" si="24"/>
        <v>11</v>
      </c>
      <c r="AH32" s="138">
        <f t="shared" si="25"/>
        <v>30</v>
      </c>
      <c r="AI32" s="138">
        <f t="shared" si="48"/>
        <v>319</v>
      </c>
      <c r="AJ32" s="138">
        <f t="shared" si="26"/>
        <v>336</v>
      </c>
      <c r="AL32" s="136">
        <f t="shared" si="27"/>
        <v>3.2109999999999999</v>
      </c>
      <c r="AM32" s="258">
        <f t="shared" si="49"/>
        <v>0</v>
      </c>
      <c r="AN32" s="258">
        <f t="shared" si="28"/>
        <v>0.03</v>
      </c>
      <c r="AO32" s="258">
        <f t="shared" si="29"/>
        <v>9.5000000000000001E-2</v>
      </c>
      <c r="AP32" s="258">
        <f t="shared" si="30"/>
        <v>0.04</v>
      </c>
      <c r="AQ32" s="136">
        <f t="shared" si="31"/>
        <v>0</v>
      </c>
      <c r="AR32" s="137">
        <f t="shared" si="32"/>
        <v>1.15E-2</v>
      </c>
      <c r="AS32" s="136">
        <f t="shared" si="50"/>
        <v>3.2409999999999997</v>
      </c>
      <c r="AT32" s="137">
        <f t="shared" si="33"/>
        <v>2.3274064967752799E-2</v>
      </c>
      <c r="AU32" s="137">
        <f t="shared" si="34"/>
        <v>0.97912442410836453</v>
      </c>
      <c r="AV32" s="394">
        <f t="shared" si="51"/>
        <v>20502.865440829155</v>
      </c>
      <c r="AW32" s="137">
        <f t="shared" si="35"/>
        <v>0.54</v>
      </c>
      <c r="AX32" s="137">
        <f t="shared" si="36"/>
        <v>0.95</v>
      </c>
      <c r="AY32" s="137">
        <f t="shared" si="37"/>
        <v>0.85</v>
      </c>
      <c r="AZ32" s="137"/>
      <c r="BA32" s="264"/>
      <c r="BB32" s="258">
        <f t="shared" si="38"/>
        <v>0</v>
      </c>
      <c r="BC32" s="258">
        <f t="shared" si="39"/>
        <v>0</v>
      </c>
      <c r="BD32" s="137">
        <f t="shared" si="40"/>
        <v>2.1624188755753337E-4</v>
      </c>
      <c r="BE32" s="137">
        <f t="shared" si="41"/>
        <v>1.5448854150035274E-4</v>
      </c>
      <c r="BF32" s="137">
        <f>_xll.xSPRDOPT($BW32,$BV32,$CG32,0,$BY32,$BX32,$BZ32,$AJ32,1,4)*$CB32</f>
        <v>2.3965924192274488</v>
      </c>
      <c r="BG32" s="137">
        <f>_xll.xSPRDOPT($BW32,$BV32,$CG32,0,$BY32,$BX32,$BZ32,$AJ32,1,3)*$CB32</f>
        <v>2.3011610179649988</v>
      </c>
      <c r="BH32" s="137">
        <f>IF(OR(BF32&lt;&gt;0,BG32&lt;&gt;0),_xll.xSPRDOPT($BW32,$BV32,$CG32,0,$BY32,$BX32,$BZ32,$AJ32,1,12)*$CB32,0)</f>
        <v>-2.3483930420099992</v>
      </c>
      <c r="BI32" s="137">
        <f>_xll.xSPRDOPT($BW32,$BV32,$CG32,2*LN(1+CA32/2),$BY32,$BX32,$BZ32,$AJ32,1,9)</f>
        <v>-2.6627866333144425E-2</v>
      </c>
      <c r="BJ32" s="137">
        <f>_xll.xSPRDOPT($BW32,$BV32,$CG32,0,$BY32,$BX32,$BZ32,$AJ32,1,6)*$CB32</f>
        <v>0.21520525874218055</v>
      </c>
      <c r="BK32" s="137">
        <f>_xll.xSPRDOPT($BW32,$BV32,$CG32,0,$BY32,$BX32,$BZ32,$AJ32,1,5)*$CB32</f>
        <v>-0.12263854922395739</v>
      </c>
      <c r="BL32" s="137">
        <f>_xll.xSPRDOPT(BW32,BV32,CG32,0,BY32,BX32,BZ32,AJ32,1,2)*CB32</f>
        <v>-0.65045685253586916</v>
      </c>
      <c r="BM32" s="137">
        <f>_xll.xSPRDOPT(BW32,BV32,CG32,0,BY32,BX32,BZ32,AJ32,1,1)*CB32</f>
        <v>0.66650378967628354</v>
      </c>
      <c r="BN32" s="137">
        <f>IF(AH32&lt;&gt;0,_xll.xSPRDOPT($BW32,$BV32,$CG32,2*LN(1+CA32/2),$BY32,$BX32,$BZ32,$AJ32,1,8)+(AJ32/365.25)*CH32/AH32,0)</f>
        <v>3.9207412662312924E-2</v>
      </c>
      <c r="BO32" s="137">
        <f>_xll.xSPRDOPT($BW32,$BV32,$CG32,0,$BY32,$BX32,$BZ32,$AJ32,1,0)</f>
        <v>9.9562469832411377E-2</v>
      </c>
      <c r="BP32" s="137"/>
      <c r="BQ32" s="137"/>
      <c r="BR32" s="137"/>
      <c r="BS32" s="137"/>
      <c r="BV32" s="262">
        <v>3.2787051087506316</v>
      </c>
      <c r="BW32" s="136">
        <v>3.3460000000000001</v>
      </c>
      <c r="BX32" s="137">
        <v>0.56461614806765292</v>
      </c>
      <c r="BY32" s="137">
        <v>0.55747603107447763</v>
      </c>
      <c r="BZ32" s="137">
        <v>0.99651920570355157</v>
      </c>
      <c r="CA32" s="137">
        <v>2.3274064967752799E-2</v>
      </c>
      <c r="CB32" s="137">
        <v>0.97893835036076038</v>
      </c>
      <c r="CC32" s="258">
        <v>0</v>
      </c>
      <c r="CD32" s="258">
        <v>0.03</v>
      </c>
      <c r="CE32" s="258">
        <v>9.5000000000000001E-2</v>
      </c>
      <c r="CF32" s="258">
        <v>0.04</v>
      </c>
      <c r="CG32" s="258">
        <v>0</v>
      </c>
      <c r="CH32" s="258">
        <v>4.2025823380987442</v>
      </c>
      <c r="CI32" s="258">
        <v>3.2109999999999999</v>
      </c>
      <c r="CJ32" s="258"/>
      <c r="CK32" s="258"/>
      <c r="CL32" s="258"/>
      <c r="CM32" s="258"/>
    </row>
    <row r="33" spans="1:91" x14ac:dyDescent="0.25">
      <c r="A33" s="723"/>
      <c r="B33" s="723"/>
      <c r="D33" s="31">
        <f t="shared" si="42"/>
        <v>37605</v>
      </c>
      <c r="F33" s="28">
        <f t="shared" si="12"/>
        <v>60000</v>
      </c>
      <c r="G33" s="28">
        <f t="shared" si="13"/>
        <v>58587.787163383742</v>
      </c>
      <c r="H33" s="52">
        <f t="shared" si="14"/>
        <v>3.4456246838644407</v>
      </c>
      <c r="I33" s="52">
        <f t="shared" si="15"/>
        <v>3.536</v>
      </c>
      <c r="K33" s="52">
        <f t="shared" si="43"/>
        <v>2.7356930563963981</v>
      </c>
      <c r="L33" s="135">
        <f t="shared" si="44"/>
        <v>1.2014378166756616</v>
      </c>
      <c r="N33" s="131">
        <f t="shared" si="45"/>
        <v>0.58346770939036086</v>
      </c>
      <c r="O33" s="131">
        <f t="shared" si="46"/>
        <v>0.57917009354464755</v>
      </c>
      <c r="P33" s="55">
        <f t="shared" si="47"/>
        <v>0.99552862532048636</v>
      </c>
      <c r="Q33" s="135">
        <f>_xll.xSPRDOPT(I33,H33,AQ33,0,O33,N33,P33,D33-$G$5,1,0)*AH33*AU33</f>
        <v>3.9371308730720598</v>
      </c>
      <c r="R33" s="135"/>
      <c r="S33" s="181">
        <f>_xll.xSPRDOPT(I33,H33,AQ33,AT33,O33,N33,P33,D33-$G$5,1,2)*AF33*(F33/(1-AR33))*AH33</f>
        <v>-1233242.019490903</v>
      </c>
      <c r="T33" s="181">
        <f>_xll.xSPRDOPT(I33,H33,AQ33,AT33,O33,N33,P33,D33-$G$5,1,1)*AF33*F33*AH33</f>
        <v>1254699.1566833018</v>
      </c>
      <c r="U33" s="135"/>
      <c r="V33" s="146">
        <f t="shared" si="16"/>
        <v>4.3316880439247765</v>
      </c>
      <c r="W33" s="146"/>
      <c r="X33" s="338">
        <f t="shared" si="17"/>
        <v>0</v>
      </c>
      <c r="Y33" s="338">
        <f t="shared" si="18"/>
        <v>0</v>
      </c>
      <c r="Z33" s="338">
        <f t="shared" si="19"/>
        <v>-463.185196333759</v>
      </c>
      <c r="AA33" s="338">
        <f t="shared" si="20"/>
        <v>74.963890531680477</v>
      </c>
      <c r="AB33" s="338">
        <f t="shared" si="21"/>
        <v>0</v>
      </c>
      <c r="AC33" s="338">
        <f t="shared" si="22"/>
        <v>46.771304444025169</v>
      </c>
      <c r="AF33" s="138">
        <f t="shared" si="23"/>
        <v>1</v>
      </c>
      <c r="AG33" s="138">
        <f t="shared" si="24"/>
        <v>12</v>
      </c>
      <c r="AH33" s="138">
        <f t="shared" si="25"/>
        <v>31</v>
      </c>
      <c r="AI33" s="138">
        <f t="shared" si="48"/>
        <v>349</v>
      </c>
      <c r="AJ33" s="138">
        <f t="shared" si="26"/>
        <v>366</v>
      </c>
      <c r="AL33" s="136">
        <f t="shared" si="27"/>
        <v>3.371</v>
      </c>
      <c r="AM33" s="258">
        <f t="shared" si="49"/>
        <v>5.0000000000000001E-3</v>
      </c>
      <c r="AN33" s="258">
        <f t="shared" si="28"/>
        <v>0.03</v>
      </c>
      <c r="AO33" s="258">
        <f t="shared" si="29"/>
        <v>0.125</v>
      </c>
      <c r="AP33" s="258">
        <f t="shared" si="30"/>
        <v>0.04</v>
      </c>
      <c r="AQ33" s="136">
        <f t="shared" si="31"/>
        <v>0</v>
      </c>
      <c r="AR33" s="137">
        <f t="shared" si="32"/>
        <v>1.15E-2</v>
      </c>
      <c r="AS33" s="136">
        <f t="shared" si="50"/>
        <v>3.4059999999999997</v>
      </c>
      <c r="AT33" s="137">
        <f t="shared" si="33"/>
        <v>2.4110098358835999E-2</v>
      </c>
      <c r="AU33" s="137">
        <f t="shared" si="34"/>
        <v>0.97646311938972907</v>
      </c>
      <c r="AV33" s="394">
        <f t="shared" si="51"/>
        <v>21128.708977354956</v>
      </c>
      <c r="AW33" s="137">
        <f t="shared" si="35"/>
        <v>0.54</v>
      </c>
      <c r="AX33" s="137">
        <f t="shared" si="36"/>
        <v>1.2</v>
      </c>
      <c r="AY33" s="137">
        <f t="shared" si="37"/>
        <v>1.1499999999999999</v>
      </c>
      <c r="AZ33" s="137"/>
      <c r="BA33" s="264"/>
      <c r="BB33" s="258">
        <f t="shared" si="38"/>
        <v>0</v>
      </c>
      <c r="BC33" s="258">
        <f t="shared" si="39"/>
        <v>0</v>
      </c>
      <c r="BD33" s="137">
        <f t="shared" si="40"/>
        <v>3.4172097332341167E-4</v>
      </c>
      <c r="BE33" s="137">
        <f t="shared" si="41"/>
        <v>3.0902553746003925E-4</v>
      </c>
      <c r="BF33" s="137">
        <f>_xll.xSPRDOPT($BW33,$BV33,$CG33,0,$BY33,$BX33,$BZ33,$AJ33,1,4)*$CB33</f>
        <v>1.863651933447273</v>
      </c>
      <c r="BG33" s="137">
        <f>_xll.xSPRDOPT($BW33,$BV33,$CG33,0,$BY33,$BX33,$BZ33,$AJ33,1,3)*$CB33</f>
        <v>1.7696044906210395</v>
      </c>
      <c r="BH33" s="137">
        <f>IF(OR(BF33&lt;&gt;0,BG33&lt;&gt;0),_xll.xSPRDOPT($BW33,$BV33,$CG33,0,$BY33,$BX33,$BZ33,$AJ33,1,12)*$CB33,0)</f>
        <v>-1.8160211667613835</v>
      </c>
      <c r="BI33" s="137">
        <f>_xll.xSPRDOPT($BW33,$BV33,$CG33,2*LN(1+CA33/2),$BY33,$BX33,$BZ33,$AJ33,1,9)</f>
        <v>-3.0318708415932878E-2</v>
      </c>
      <c r="BJ33" s="137">
        <f>_xll.xSPRDOPT($BW33,$BV33,$CG33,0,$BY33,$BX33,$BZ33,$AJ33,1,6)*$CB33</f>
        <v>0.15153397547546682</v>
      </c>
      <c r="BK33" s="137">
        <f>_xll.xSPRDOPT($BW33,$BV33,$CG33,0,$BY33,$BX33,$BZ33,$AJ33,1,5)*$CB33</f>
        <v>-3.7146349563458088E-2</v>
      </c>
      <c r="BL33" s="137">
        <f>_xll.xSPRDOPT(BW33,BV33,CG33,0,BY33,BX33,BZ33,AJ33,1,2)*CB33</f>
        <v>-0.65537038513883672</v>
      </c>
      <c r="BM33" s="137">
        <f>_xll.xSPRDOPT(BW33,BV33,CG33,0,BY33,BX33,BZ33,AJ33,1,1)*CB33</f>
        <v>0.67453073236345695</v>
      </c>
      <c r="BN33" s="137">
        <f>IF(AH33&lt;&gt;0,_xll.xSPRDOPT($BW33,$BV33,$CG33,2*LN(1+CA33/2),$BY33,$BX33,$BZ33,$AJ33,1,8)+(AJ33/365.25)*CH33/AH33,0)</f>
        <v>1.275014503465291E-2</v>
      </c>
      <c r="BO33" s="137">
        <f>_xll.xSPRDOPT($BW33,$BV33,$CG33,0,$BY33,$BX33,$BZ33,$AJ33,1,0)</f>
        <v>0.13006671451601443</v>
      </c>
      <c r="BP33" s="137"/>
      <c r="BQ33" s="137"/>
      <c r="BR33" s="137"/>
      <c r="BS33" s="137"/>
      <c r="BV33" s="262">
        <v>3.4456246838644407</v>
      </c>
      <c r="BW33" s="136">
        <v>3.536</v>
      </c>
      <c r="BX33" s="137">
        <v>0.58312598841703744</v>
      </c>
      <c r="BY33" s="137">
        <v>0.57886106800718751</v>
      </c>
      <c r="BZ33" s="137">
        <v>0.99555996712720607</v>
      </c>
      <c r="CA33" s="137">
        <v>2.4110098358835999E-2</v>
      </c>
      <c r="CB33" s="137">
        <v>0.97627092599980836</v>
      </c>
      <c r="CC33" s="258">
        <v>5.0000000000000001E-3</v>
      </c>
      <c r="CD33" s="258">
        <v>0.03</v>
      </c>
      <c r="CE33" s="258">
        <v>0.125</v>
      </c>
      <c r="CF33" s="258">
        <v>0.04</v>
      </c>
      <c r="CG33" s="258">
        <v>0</v>
      </c>
      <c r="CH33" s="258">
        <v>4.3308354548277492</v>
      </c>
      <c r="CI33" s="258">
        <v>3.371</v>
      </c>
      <c r="CJ33" s="258"/>
      <c r="CK33" s="258"/>
      <c r="CL33" s="258"/>
      <c r="CM33" s="258"/>
    </row>
    <row r="34" spans="1:91" x14ac:dyDescent="0.25">
      <c r="A34" s="723"/>
      <c r="B34" s="723"/>
      <c r="D34" s="31">
        <f t="shared" si="42"/>
        <v>37636</v>
      </c>
      <c r="F34" s="28">
        <f t="shared" si="12"/>
        <v>60000</v>
      </c>
      <c r="G34" s="28">
        <f t="shared" si="13"/>
        <v>58410.925373840735</v>
      </c>
      <c r="H34" s="52">
        <f t="shared" si="14"/>
        <v>3.5417298937784518</v>
      </c>
      <c r="I34" s="52">
        <f t="shared" si="15"/>
        <v>3.6310000000000002</v>
      </c>
      <c r="K34" s="52">
        <f t="shared" si="43"/>
        <v>2.6940805815212117</v>
      </c>
      <c r="L34" s="135">
        <f t="shared" si="44"/>
        <v>1.3186848003920573</v>
      </c>
      <c r="N34" s="131">
        <f t="shared" si="45"/>
        <v>0.58040991007805343</v>
      </c>
      <c r="O34" s="131">
        <f t="shared" si="46"/>
        <v>0.57632730332360438</v>
      </c>
      <c r="P34" s="55">
        <f t="shared" si="47"/>
        <v>0.99562729469721922</v>
      </c>
      <c r="Q34" s="135">
        <f>_xll.xSPRDOPT(I34,H34,AQ34,0,O34,N34,P34,D34-$G$5,1,0)*AH34*AU34</f>
        <v>4.0127653819132689</v>
      </c>
      <c r="R34" s="135"/>
      <c r="S34" s="181">
        <f>_xll.xSPRDOPT(I34,H34,AQ34,AT34,O34,N34,P34,D34-$G$5,1,2)*AF34*(F34/(1-AR34))*AH34</f>
        <v>-1209620.3055491573</v>
      </c>
      <c r="T34" s="181">
        <f>_xll.xSPRDOPT(I34,H34,AQ34,AT34,O34,N34,P34,D34-$G$5,1,1)*AF34*F34*AH34</f>
        <v>1232609.7742729415</v>
      </c>
      <c r="U34" s="135"/>
      <c r="V34" s="146">
        <f t="shared" si="16"/>
        <v>4.3186117675149145</v>
      </c>
      <c r="W34" s="146"/>
      <c r="X34" s="338">
        <f t="shared" si="17"/>
        <v>0</v>
      </c>
      <c r="Y34" s="338">
        <f t="shared" si="18"/>
        <v>0</v>
      </c>
      <c r="Z34" s="338">
        <f t="shared" si="19"/>
        <v>-450.62312431136098</v>
      </c>
      <c r="AA34" s="338">
        <f t="shared" si="20"/>
        <v>72.800658213516186</v>
      </c>
      <c r="AB34" s="338">
        <f t="shared" si="21"/>
        <v>0</v>
      </c>
      <c r="AC34" s="338">
        <f t="shared" si="22"/>
        <v>49.504848607046291</v>
      </c>
      <c r="AF34" s="138">
        <f t="shared" si="23"/>
        <v>1</v>
      </c>
      <c r="AG34" s="138">
        <f t="shared" si="24"/>
        <v>1</v>
      </c>
      <c r="AH34" s="138">
        <f t="shared" si="25"/>
        <v>31</v>
      </c>
      <c r="AI34" s="138">
        <f t="shared" si="48"/>
        <v>380</v>
      </c>
      <c r="AJ34" s="138">
        <f t="shared" si="26"/>
        <v>397</v>
      </c>
      <c r="AL34" s="136">
        <f t="shared" si="27"/>
        <v>3.4460000000000002</v>
      </c>
      <c r="AM34" s="258">
        <f t="shared" si="49"/>
        <v>2.5000000000000001E-2</v>
      </c>
      <c r="AN34" s="258">
        <f t="shared" si="28"/>
        <v>0.03</v>
      </c>
      <c r="AO34" s="258">
        <f t="shared" si="29"/>
        <v>0.14499999999999999</v>
      </c>
      <c r="AP34" s="258">
        <f t="shared" si="30"/>
        <v>0.04</v>
      </c>
      <c r="AQ34" s="136">
        <f t="shared" si="31"/>
        <v>0</v>
      </c>
      <c r="AR34" s="137">
        <f t="shared" si="32"/>
        <v>1.15E-2</v>
      </c>
      <c r="AS34" s="136">
        <f t="shared" si="50"/>
        <v>3.5009999999999999</v>
      </c>
      <c r="AT34" s="137">
        <f t="shared" si="33"/>
        <v>2.50384261928196E-2</v>
      </c>
      <c r="AU34" s="137">
        <f t="shared" si="34"/>
        <v>0.97351542289734561</v>
      </c>
      <c r="AV34" s="394">
        <f t="shared" si="51"/>
        <v>21064.926720652766</v>
      </c>
      <c r="AW34" s="137">
        <f t="shared" si="35"/>
        <v>0.53749999999999998</v>
      </c>
      <c r="AX34" s="137">
        <f t="shared" si="36"/>
        <v>1.23</v>
      </c>
      <c r="AY34" s="137">
        <f t="shared" si="37"/>
        <v>1.18</v>
      </c>
      <c r="AZ34" s="137"/>
      <c r="BA34" s="264"/>
      <c r="BB34" s="258">
        <f t="shared" si="38"/>
        <v>0</v>
      </c>
      <c r="BC34" s="258">
        <f t="shared" si="39"/>
        <v>0</v>
      </c>
      <c r="BD34" s="137">
        <f t="shared" si="40"/>
        <v>3.1117805404756727E-4</v>
      </c>
      <c r="BE34" s="137">
        <f t="shared" si="41"/>
        <v>2.8252396234673682E-4</v>
      </c>
      <c r="BF34" s="137">
        <f>_xll.xSPRDOPT($BW34,$BV34,$CG34,0,$BY34,$BX34,$BZ34,$AJ34,1,4)*$CB34</f>
        <v>1.7864880848445326</v>
      </c>
      <c r="BG34" s="137">
        <f>_xll.xSPRDOPT($BW34,$BV34,$CG34,0,$BY34,$BX34,$BZ34,$AJ34,1,3)*$CB34</f>
        <v>1.699724292048977</v>
      </c>
      <c r="BH34" s="137">
        <f>IF(OR(BF34&lt;&gt;0,BG34&lt;&gt;0),_xll.xSPRDOPT($BW34,$BV34,$CG34,0,$BY34,$BX34,$BZ34,$AJ34,1,12)*$CB34,0)</f>
        <v>-1.7425678143274528</v>
      </c>
      <c r="BI34" s="137">
        <f>_xll.xSPRDOPT($BW34,$BV34,$CG34,2*LN(1+CA34/2),$BY34,$BX34,$BZ34,$AJ34,1,9)</f>
        <v>-2.9496433002638812E-2</v>
      </c>
      <c r="BJ34" s="137">
        <f>_xll.xSPRDOPT($BW34,$BV34,$CG34,0,$BY34,$BX34,$BZ34,$AJ34,1,6)*$CB34</f>
        <v>0.1596910135361993</v>
      </c>
      <c r="BK34" s="137">
        <f>_xll.xSPRDOPT($BW34,$BV34,$CG34,0,$BY34,$BX34,$BZ34,$AJ34,1,5)*$CB34</f>
        <v>-3.7349752314660707E-2</v>
      </c>
      <c r="BL34" s="137">
        <f>_xll.xSPRDOPT(BW34,BV34,CG34,0,BY34,BX34,BZ34,AJ34,1,2)*CB34</f>
        <v>-0.64282866349980605</v>
      </c>
      <c r="BM34" s="137">
        <f>_xll.xSPRDOPT(BW34,BV34,CG34,0,BY34,BX34,BZ34,AJ34,1,1)*CB34</f>
        <v>0.66266703974133734</v>
      </c>
      <c r="BN34" s="137">
        <f>IF(AH34&lt;&gt;0,_xll.xSPRDOPT($BW34,$BV34,$CG34,2*LN(1+CA34/2),$BY34,$BX34,$BZ34,$AJ34,1,8)+(AJ34/365.25)*CH34/AH34,0)</f>
        <v>1.0720333562710654E-2</v>
      </c>
      <c r="BO34" s="137">
        <f>_xll.xSPRDOPT($BW34,$BV34,$CG34,0,$BY34,$BX34,$BZ34,$AJ34,1,0)</f>
        <v>0.13296662906583651</v>
      </c>
      <c r="BP34" s="137"/>
      <c r="BQ34" s="137"/>
      <c r="BR34" s="137"/>
      <c r="BS34" s="137"/>
      <c r="BV34" s="262">
        <v>3.5417298937784518</v>
      </c>
      <c r="BW34" s="136">
        <v>3.6310000000000002</v>
      </c>
      <c r="BX34" s="137">
        <v>0.58009873202400586</v>
      </c>
      <c r="BY34" s="137">
        <v>0.57604477936125764</v>
      </c>
      <c r="BZ34" s="137">
        <v>0.99565559476111032</v>
      </c>
      <c r="CA34" s="137">
        <v>2.50384261928196E-2</v>
      </c>
      <c r="CB34" s="137">
        <v>0.97331647833327972</v>
      </c>
      <c r="CC34" s="258">
        <v>2.5000000000000001E-2</v>
      </c>
      <c r="CD34" s="258">
        <v>0.03</v>
      </c>
      <c r="CE34" s="258">
        <v>0.14499999999999999</v>
      </c>
      <c r="CF34" s="258">
        <v>0.04</v>
      </c>
      <c r="CG34" s="258">
        <v>0</v>
      </c>
      <c r="CH34" s="258">
        <v>4.3177292295342617</v>
      </c>
      <c r="CI34" s="258">
        <v>3.4460000000000002</v>
      </c>
      <c r="CJ34" s="258"/>
      <c r="CK34" s="258"/>
      <c r="CL34" s="258"/>
      <c r="CM34" s="258"/>
    </row>
    <row r="35" spans="1:91" x14ac:dyDescent="0.25">
      <c r="A35" s="723"/>
      <c r="B35" s="723"/>
      <c r="D35" s="31">
        <f t="shared" si="42"/>
        <v>37667</v>
      </c>
      <c r="F35" s="28">
        <f t="shared" si="12"/>
        <v>60000</v>
      </c>
      <c r="G35" s="28">
        <f t="shared" si="13"/>
        <v>58220.329395590212</v>
      </c>
      <c r="H35" s="52">
        <f t="shared" si="14"/>
        <v>3.4607991906929687</v>
      </c>
      <c r="I35" s="52">
        <f t="shared" si="15"/>
        <v>3.5460000000000003</v>
      </c>
      <c r="K35" s="52">
        <f t="shared" si="43"/>
        <v>2.3148622852255816</v>
      </c>
      <c r="L35" s="135">
        <f t="shared" si="44"/>
        <v>1.085052666406908</v>
      </c>
      <c r="N35" s="131">
        <f t="shared" si="45"/>
        <v>0.56473610443025402</v>
      </c>
      <c r="O35" s="131">
        <f t="shared" si="46"/>
        <v>0.56121070542386564</v>
      </c>
      <c r="P35" s="55">
        <f t="shared" si="47"/>
        <v>0.99611835498852885</v>
      </c>
      <c r="Q35" s="135">
        <f>_xll.xSPRDOPT(I35,H35,AQ35,0,O35,N35,P35,D35-$G$5,1,0)*AH35*AU35</f>
        <v>3.3999149516324896</v>
      </c>
      <c r="R35" s="135"/>
      <c r="S35" s="181">
        <f>_xll.xSPRDOPT(I35,H35,AQ35,AT35,O35,N35,P35,D35-$G$5,1,2)*AF35*(F35/(1-AR35))*AH35</f>
        <v>-1096713.72597234</v>
      </c>
      <c r="T35" s="181">
        <f>_xll.xSPRDOPT(I35,H35,AQ35,AT35,O35,N35,P35,D35-$G$5,1,1)*AF35*F35*AH35</f>
        <v>1115570.3712242849</v>
      </c>
      <c r="U35" s="135"/>
      <c r="V35" s="146">
        <f t="shared" si="16"/>
        <v>3.8879535970375145</v>
      </c>
      <c r="W35" s="146"/>
      <c r="X35" s="338">
        <f t="shared" si="17"/>
        <v>0</v>
      </c>
      <c r="Y35" s="338">
        <f t="shared" si="18"/>
        <v>0</v>
      </c>
      <c r="Z35" s="338">
        <f t="shared" si="19"/>
        <v>-342.89743250371373</v>
      </c>
      <c r="AA35" s="338">
        <f t="shared" si="20"/>
        <v>50.574758133321716</v>
      </c>
      <c r="AB35" s="338">
        <f t="shared" si="21"/>
        <v>0</v>
      </c>
      <c r="AC35" s="338">
        <f t="shared" si="22"/>
        <v>43.629693728880518</v>
      </c>
      <c r="AF35" s="138">
        <f t="shared" si="23"/>
        <v>1</v>
      </c>
      <c r="AG35" s="138">
        <f t="shared" si="24"/>
        <v>2</v>
      </c>
      <c r="AH35" s="138">
        <f t="shared" si="25"/>
        <v>28</v>
      </c>
      <c r="AI35" s="138">
        <f t="shared" si="48"/>
        <v>411</v>
      </c>
      <c r="AJ35" s="138">
        <f t="shared" si="26"/>
        <v>428</v>
      </c>
      <c r="AL35" s="136">
        <f t="shared" si="27"/>
        <v>3.371</v>
      </c>
      <c r="AM35" s="258">
        <f t="shared" si="49"/>
        <v>0.02</v>
      </c>
      <c r="AN35" s="258">
        <f t="shared" si="28"/>
        <v>0.03</v>
      </c>
      <c r="AO35" s="258">
        <f t="shared" si="29"/>
        <v>0.13500000000000001</v>
      </c>
      <c r="AP35" s="258">
        <f t="shared" si="30"/>
        <v>0.04</v>
      </c>
      <c r="AQ35" s="136">
        <f t="shared" si="31"/>
        <v>0</v>
      </c>
      <c r="AR35" s="137">
        <f t="shared" si="32"/>
        <v>1.15E-2</v>
      </c>
      <c r="AS35" s="136">
        <f t="shared" si="50"/>
        <v>3.4209999999999998</v>
      </c>
      <c r="AT35" s="137">
        <f t="shared" si="33"/>
        <v>2.6044986419747399E-2</v>
      </c>
      <c r="AU35" s="137">
        <f t="shared" si="34"/>
        <v>0.97033882325983689</v>
      </c>
      <c r="AV35" s="394">
        <f t="shared" si="51"/>
        <v>18964.301961790254</v>
      </c>
      <c r="AW35" s="137">
        <f t="shared" si="35"/>
        <v>0.52749999999999997</v>
      </c>
      <c r="AX35" s="137">
        <f t="shared" si="36"/>
        <v>1.23</v>
      </c>
      <c r="AY35" s="137">
        <f t="shared" si="37"/>
        <v>1.18</v>
      </c>
      <c r="AZ35" s="137"/>
      <c r="BA35" s="264"/>
      <c r="BB35" s="258">
        <f t="shared" si="38"/>
        <v>0</v>
      </c>
      <c r="BC35" s="258">
        <f t="shared" si="39"/>
        <v>0</v>
      </c>
      <c r="BD35" s="137">
        <f t="shared" si="40"/>
        <v>2.524525639673314E-4</v>
      </c>
      <c r="BE35" s="137">
        <f t="shared" si="41"/>
        <v>2.2924009791358557E-4</v>
      </c>
      <c r="BF35" s="137">
        <f>_xll.xSPRDOPT($BW35,$BV35,$CG35,0,$BY35,$BX35,$BZ35,$AJ35,1,4)*$CB35</f>
        <v>1.9034876144424122</v>
      </c>
      <c r="BG35" s="137">
        <f>_xll.xSPRDOPT($BW35,$BV35,$CG35,0,$BY35,$BX35,$BZ35,$AJ35,1,3)*$CB35</f>
        <v>1.8131150994519671</v>
      </c>
      <c r="BH35" s="137">
        <f>IF(OR(BF35&lt;&gt;0,BG35&lt;&gt;0),_xll.xSPRDOPT($BW35,$BV35,$CG35,0,$BY35,$BX35,$BZ35,$AJ35,1,12)*$CB35,0)</f>
        <v>-1.8577537006114246</v>
      </c>
      <c r="BI35" s="137">
        <f>_xll.xSPRDOPT($BW35,$BV35,$CG35,2*LN(1+CA35/2),$BY35,$BX35,$BZ35,$AJ35,1,9)</f>
        <v>-2.4849858575789974E-2</v>
      </c>
      <c r="BJ35" s="137">
        <f>_xll.xSPRDOPT($BW35,$BV35,$CG35,0,$BY35,$BX35,$BZ35,$AJ35,1,6)*$CB35</f>
        <v>0.15136797815245623</v>
      </c>
      <c r="BK35" s="137">
        <f>_xll.xSPRDOPT($BW35,$BV35,$CG35,0,$BY35,$BX35,$BZ35,$AJ35,1,5)*$CB35</f>
        <v>-3.5374315237771556E-2</v>
      </c>
      <c r="BL35" s="137">
        <f>_xll.xSPRDOPT(BW35,BV35,CG35,0,BY35,BX35,BZ35,AJ35,1,2)*CB35</f>
        <v>-0.64528761031013959</v>
      </c>
      <c r="BM35" s="137">
        <f>_xll.xSPRDOPT(BW35,BV35,CG35,0,BY35,BX35,BZ35,AJ35,1,1)*CB35</f>
        <v>0.6640187538438771</v>
      </c>
      <c r="BN35" s="137">
        <f>IF(AH35&lt;&gt;0,_xll.xSPRDOPT($BW35,$BV35,$CG35,2*LN(1+CA35/2),$BY35,$BX35,$BZ35,$AJ35,1,8)+(AJ35/365.25)*CH35/AH35,0)</f>
        <v>2.0420078963417437E-2</v>
      </c>
      <c r="BO35" s="137">
        <f>_xll.xSPRDOPT($BW35,$BV35,$CG35,0,$BY35,$BX35,$BZ35,$AJ35,1,0)</f>
        <v>0.12513725228783915</v>
      </c>
      <c r="BP35" s="137"/>
      <c r="BQ35" s="137"/>
      <c r="BR35" s="137"/>
      <c r="BS35" s="137"/>
      <c r="BV35" s="262">
        <v>3.4607991906929687</v>
      </c>
      <c r="BW35" s="136">
        <v>3.5460000000000003</v>
      </c>
      <c r="BX35" s="137">
        <v>0.56448365186628668</v>
      </c>
      <c r="BY35" s="137">
        <v>0.56098146532595206</v>
      </c>
      <c r="BZ35" s="137">
        <v>0.99614214316447303</v>
      </c>
      <c r="CA35" s="137">
        <v>2.6044986419747399E-2</v>
      </c>
      <c r="CB35" s="137">
        <v>0.97013260845196225</v>
      </c>
      <c r="CC35" s="258">
        <v>0.02</v>
      </c>
      <c r="CD35" s="258">
        <v>0.03</v>
      </c>
      <c r="CE35" s="258">
        <v>0.13500000000000001</v>
      </c>
      <c r="CF35" s="258">
        <v>0.04</v>
      </c>
      <c r="CG35" s="258">
        <v>0</v>
      </c>
      <c r="CH35" s="258">
        <v>3.8871273355453226</v>
      </c>
      <c r="CI35" s="258">
        <v>3.371</v>
      </c>
      <c r="CJ35" s="258"/>
      <c r="CK35" s="258"/>
      <c r="CL35" s="258"/>
      <c r="CM35" s="258"/>
    </row>
    <row r="36" spans="1:91" x14ac:dyDescent="0.25">
      <c r="A36" s="723"/>
      <c r="B36" s="723"/>
      <c r="D36" s="31">
        <f t="shared" si="42"/>
        <v>37695</v>
      </c>
      <c r="F36" s="28">
        <f t="shared" si="12"/>
        <v>60000</v>
      </c>
      <c r="G36" s="28">
        <f t="shared" si="13"/>
        <v>58040.326504925979</v>
      </c>
      <c r="H36" s="52">
        <f t="shared" si="14"/>
        <v>3.3495194739504299</v>
      </c>
      <c r="I36" s="52">
        <f t="shared" si="15"/>
        <v>3.4510000000000001</v>
      </c>
      <c r="K36" s="52">
        <f t="shared" si="43"/>
        <v>3.0431474806678267</v>
      </c>
      <c r="L36" s="135">
        <f t="shared" si="44"/>
        <v>0.70817386629681955</v>
      </c>
      <c r="N36" s="131">
        <f t="shared" si="45"/>
        <v>0.50896699400854961</v>
      </c>
      <c r="O36" s="131">
        <f t="shared" si="46"/>
        <v>0.50303598357381651</v>
      </c>
      <c r="P36" s="55">
        <f t="shared" si="47"/>
        <v>0.9968322335309554</v>
      </c>
      <c r="Q36" s="135">
        <f>_xll.xSPRDOPT(I36,H36,AQ36,0,O36,N36,P36,D36-$G$5,1,0)*AH36*AU36</f>
        <v>3.7513213469646463</v>
      </c>
      <c r="R36" s="135"/>
      <c r="S36" s="181">
        <f>_xll.xSPRDOPT(I36,H36,AQ36,AT36,O36,N36,P36,D36-$G$5,1,2)*AF36*(F36/(1-AR36))*AH36</f>
        <v>-1342097.144275201</v>
      </c>
      <c r="T36" s="181">
        <f>_xll.xSPRDOPT(I36,H36,AQ36,AT36,O36,N36,P36,D36-$G$5,1,1)*AF36*F36*AH36</f>
        <v>1352857.9415167954</v>
      </c>
      <c r="U36" s="135"/>
      <c r="V36" s="146">
        <f t="shared" si="16"/>
        <v>4.2912115401417017</v>
      </c>
      <c r="W36" s="146"/>
      <c r="X36" s="338">
        <f t="shared" si="17"/>
        <v>0</v>
      </c>
      <c r="Y36" s="338">
        <f t="shared" si="18"/>
        <v>0</v>
      </c>
      <c r="Z36" s="338">
        <f t="shared" si="19"/>
        <v>-243.41745876941224</v>
      </c>
      <c r="AA36" s="338">
        <f t="shared" si="20"/>
        <v>32.451118823797295</v>
      </c>
      <c r="AB36" s="338">
        <f t="shared" si="21"/>
        <v>0</v>
      </c>
      <c r="AC36" s="338">
        <f t="shared" si="22"/>
        <v>49.819384142234902</v>
      </c>
      <c r="AF36" s="138">
        <f t="shared" si="23"/>
        <v>1</v>
      </c>
      <c r="AG36" s="138">
        <f t="shared" si="24"/>
        <v>3</v>
      </c>
      <c r="AH36" s="138">
        <f t="shared" si="25"/>
        <v>31</v>
      </c>
      <c r="AI36" s="138">
        <f t="shared" si="48"/>
        <v>439</v>
      </c>
      <c r="AJ36" s="138">
        <f t="shared" si="26"/>
        <v>456</v>
      </c>
      <c r="AL36" s="136">
        <f t="shared" si="27"/>
        <v>3.2810000000000001</v>
      </c>
      <c r="AM36" s="258">
        <f t="shared" si="49"/>
        <v>0</v>
      </c>
      <c r="AN36" s="258">
        <f t="shared" si="28"/>
        <v>0.03</v>
      </c>
      <c r="AO36" s="258">
        <f t="shared" si="29"/>
        <v>0.13</v>
      </c>
      <c r="AP36" s="258">
        <f t="shared" si="30"/>
        <v>0.04</v>
      </c>
      <c r="AQ36" s="136">
        <f t="shared" si="31"/>
        <v>0</v>
      </c>
      <c r="AR36" s="137">
        <f t="shared" si="32"/>
        <v>1.15E-2</v>
      </c>
      <c r="AS36" s="136">
        <f t="shared" si="50"/>
        <v>3.3109999999999999</v>
      </c>
      <c r="AT36" s="137">
        <f t="shared" si="33"/>
        <v>2.6954137886657601E-2</v>
      </c>
      <c r="AU36" s="137">
        <f t="shared" si="34"/>
        <v>0.96733877508209964</v>
      </c>
      <c r="AV36" s="394">
        <f t="shared" si="51"/>
        <v>20931.276415226472</v>
      </c>
      <c r="AW36" s="137">
        <f t="shared" si="35"/>
        <v>0.48749999999999999</v>
      </c>
      <c r="AX36" s="137">
        <f t="shared" si="36"/>
        <v>0.93</v>
      </c>
      <c r="AY36" s="137">
        <f t="shared" si="37"/>
        <v>0.83</v>
      </c>
      <c r="AZ36" s="137"/>
      <c r="BA36" s="264"/>
      <c r="BB36" s="258">
        <f t="shared" si="38"/>
        <v>0</v>
      </c>
      <c r="BC36" s="258">
        <f t="shared" si="39"/>
        <v>0</v>
      </c>
      <c r="BD36" s="137">
        <f t="shared" si="40"/>
        <v>1.3781722370664884E-4</v>
      </c>
      <c r="BE36" s="137">
        <f t="shared" si="41"/>
        <v>1.0031212319616678E-4</v>
      </c>
      <c r="BF36" s="137">
        <f>_xll.xSPRDOPT($BW36,$BV36,$CG36,0,$BY36,$BX36,$BZ36,$AJ36,1,4)*$CB36</f>
        <v>2.0759321826314463</v>
      </c>
      <c r="BG36" s="137">
        <f>_xll.xSPRDOPT($BW36,$BV36,$CG36,0,$BY36,$BX36,$BZ36,$AJ36,1,3)*$CB36</f>
        <v>1.9556369823430024</v>
      </c>
      <c r="BH36" s="137">
        <f>IF(OR(BF36&lt;&gt;0,BG36&lt;&gt;0),_xll.xSPRDOPT($BW36,$BV36,$CG36,0,$BY36,$BX36,$BZ36,$AJ36,1,12)*$CB36,0)</f>
        <v>-2.0148873326370009</v>
      </c>
      <c r="BI36" s="137">
        <f>_xll.xSPRDOPT($BW36,$BV36,$CG36,2*LN(1+CA36/2),$BY36,$BX36,$BZ36,$AJ36,1,9)</f>
        <v>-1.5933373981277386E-2</v>
      </c>
      <c r="BJ36" s="137">
        <f>_xll.xSPRDOPT($BW36,$BV36,$CG36,0,$BY36,$BX36,$BZ36,$AJ36,1,6)*$CB36</f>
        <v>0.21741257165107358</v>
      </c>
      <c r="BK36" s="137">
        <f>_xll.xSPRDOPT($BW36,$BV36,$CG36,0,$BY36,$BX36,$BZ36,$AJ36,1,5)*$CB36</f>
        <v>-0.12477414043053311</v>
      </c>
      <c r="BL36" s="137">
        <f>_xll.xSPRDOPT(BW36,BV36,CG36,0,BY36,BX36,BZ36,AJ36,1,2)*CB36</f>
        <v>-0.71325975304231026</v>
      </c>
      <c r="BM36" s="137">
        <f>_xll.xSPRDOPT(BW36,BV36,CG36,0,BY36,BX36,BZ36,AJ36,1,1)*CB36</f>
        <v>0.72734330671580638</v>
      </c>
      <c r="BN36" s="137">
        <f>IF(AH36&lt;&gt;0,_xll.xSPRDOPT($BW36,$BV36,$CG36,2*LN(1+CA36/2),$BY36,$BX36,$BZ36,$AJ36,1,8)+(AJ36/365.25)*CH36/AH36,0)</f>
        <v>2.1737514860028312E-2</v>
      </c>
      <c r="BO36" s="137">
        <f>_xll.xSPRDOPT($BW36,$BV36,$CG36,0,$BY36,$BX36,$BZ36,$AJ36,1,0)</f>
        <v>0.12509669731132975</v>
      </c>
      <c r="BP36" s="137"/>
      <c r="BQ36" s="137"/>
      <c r="BR36" s="137"/>
      <c r="BS36" s="137"/>
      <c r="BV36" s="262">
        <v>3.3495194739504299</v>
      </c>
      <c r="BW36" s="136">
        <v>3.4510000000000001</v>
      </c>
      <c r="BX36" s="137">
        <v>0.50882917678484296</v>
      </c>
      <c r="BY36" s="137">
        <v>0.50293567145062035</v>
      </c>
      <c r="BZ36" s="137">
        <v>0.99685110975702862</v>
      </c>
      <c r="CA36" s="137">
        <v>2.6954137886657601E-2</v>
      </c>
      <c r="CB36" s="137">
        <v>0.96712607036861076</v>
      </c>
      <c r="CC36" s="258">
        <v>0</v>
      </c>
      <c r="CD36" s="258">
        <v>0.03</v>
      </c>
      <c r="CE36" s="258">
        <v>0.13</v>
      </c>
      <c r="CF36" s="258">
        <v>0.04</v>
      </c>
      <c r="CG36" s="258">
        <v>0</v>
      </c>
      <c r="CH36" s="258">
        <v>4.2902679607621943</v>
      </c>
      <c r="CI36" s="258">
        <v>3.2810000000000001</v>
      </c>
      <c r="CJ36" s="258"/>
      <c r="CK36" s="258"/>
      <c r="CL36" s="258"/>
      <c r="CM36" s="258"/>
    </row>
    <row r="37" spans="1:91" x14ac:dyDescent="0.25">
      <c r="A37" s="726"/>
      <c r="B37" s="723"/>
      <c r="D37" s="31">
        <f t="shared" si="42"/>
        <v>37726</v>
      </c>
      <c r="F37" s="28">
        <f t="shared" si="12"/>
        <v>60000</v>
      </c>
      <c r="G37" s="28">
        <f t="shared" si="13"/>
        <v>57831.391346017568</v>
      </c>
      <c r="H37" s="52">
        <f t="shared" si="14"/>
        <v>3.0713201820940816</v>
      </c>
      <c r="I37" s="52">
        <f t="shared" si="15"/>
        <v>3.2010000000000001</v>
      </c>
      <c r="K37" s="52">
        <f t="shared" si="43"/>
        <v>3.7497821494987327</v>
      </c>
      <c r="L37" s="135">
        <f t="shared" si="44"/>
        <v>2.1590933508654153E-2</v>
      </c>
      <c r="N37" s="131">
        <f t="shared" si="45"/>
        <v>0.39068915452558645</v>
      </c>
      <c r="O37" s="131">
        <f t="shared" si="46"/>
        <v>0.39068915452558645</v>
      </c>
      <c r="P37" s="55">
        <f t="shared" si="47"/>
        <v>0.9988328967108524</v>
      </c>
      <c r="Q37" s="135">
        <f>_xll.xSPRDOPT(I37,H37,AQ37,0,O37,N37,P37,D37-$G$5,1,0)*AH37*AU37</f>
        <v>3.7713730830073868</v>
      </c>
      <c r="R37" s="135"/>
      <c r="S37" s="181">
        <f>_xll.xSPRDOPT(I37,H37,AQ37,AT37,O37,N37,P37,D37-$G$5,1,2)*AF37*(F37/(1-AR37))*AH37</f>
        <v>-1703409.9547936169</v>
      </c>
      <c r="T37" s="181">
        <f>_xll.xSPRDOPT(I37,H37,AQ37,AT37,O37,N37,P37,D37-$G$5,1,1)*AF37*F37*AH37</f>
        <v>1686278.3049242154</v>
      </c>
      <c r="U37" s="135"/>
      <c r="V37" s="146">
        <f t="shared" si="16"/>
        <v>4.1378360508075573</v>
      </c>
      <c r="W37" s="146"/>
      <c r="X37" s="338">
        <f t="shared" si="17"/>
        <v>0</v>
      </c>
      <c r="Y37" s="338">
        <f t="shared" si="18"/>
        <v>0</v>
      </c>
      <c r="Z37" s="338">
        <f t="shared" si="19"/>
        <v>27.88749022918342</v>
      </c>
      <c r="AA37" s="338">
        <f t="shared" si="20"/>
        <v>0.38512715779214074</v>
      </c>
      <c r="AB37" s="338">
        <f t="shared" si="21"/>
        <v>0</v>
      </c>
      <c r="AC37" s="338">
        <f t="shared" si="22"/>
        <v>51.981236345936217</v>
      </c>
      <c r="AF37" s="138">
        <f t="shared" si="23"/>
        <v>1</v>
      </c>
      <c r="AG37" s="138">
        <f t="shared" si="24"/>
        <v>4</v>
      </c>
      <c r="AH37" s="138">
        <f t="shared" si="25"/>
        <v>30</v>
      </c>
      <c r="AI37" s="138">
        <f t="shared" si="48"/>
        <v>470</v>
      </c>
      <c r="AJ37" s="138">
        <f t="shared" si="26"/>
        <v>487</v>
      </c>
      <c r="AL37" s="136">
        <f t="shared" si="27"/>
        <v>3.1259999999999999</v>
      </c>
      <c r="AM37" s="258">
        <f t="shared" si="49"/>
        <v>-0.09</v>
      </c>
      <c r="AN37" s="258">
        <f t="shared" si="28"/>
        <v>0</v>
      </c>
      <c r="AO37" s="258">
        <f t="shared" si="29"/>
        <v>3.5000000000000003E-2</v>
      </c>
      <c r="AP37" s="258">
        <f t="shared" si="30"/>
        <v>0.04</v>
      </c>
      <c r="AQ37" s="136">
        <f t="shared" si="31"/>
        <v>0</v>
      </c>
      <c r="AR37" s="137">
        <f t="shared" si="32"/>
        <v>1.15E-2</v>
      </c>
      <c r="AS37" s="136">
        <f t="shared" si="50"/>
        <v>3.036</v>
      </c>
      <c r="AT37" s="137">
        <f t="shared" si="33"/>
        <v>2.79745964320606E-2</v>
      </c>
      <c r="AU37" s="137">
        <f t="shared" si="34"/>
        <v>0.96385652243362618</v>
      </c>
      <c r="AV37" s="394">
        <f t="shared" si="51"/>
        <v>20183.155579760132</v>
      </c>
      <c r="AW37" s="137">
        <f t="shared" si="35"/>
        <v>0.38750000000000001</v>
      </c>
      <c r="AX37" s="137">
        <f t="shared" si="36"/>
        <v>0.48</v>
      </c>
      <c r="AY37" s="137">
        <f t="shared" si="37"/>
        <v>0.48</v>
      </c>
      <c r="AZ37" s="137"/>
      <c r="BA37" s="264"/>
      <c r="BB37" s="258">
        <f t="shared" si="38"/>
        <v>0</v>
      </c>
      <c r="BC37" s="258">
        <f t="shared" si="39"/>
        <v>0</v>
      </c>
      <c r="BD37" s="137">
        <f t="shared" si="40"/>
        <v>1.9525927436481183E-5</v>
      </c>
      <c r="BE37" s="137">
        <f t="shared" si="41"/>
        <v>1.9525927436481183E-5</v>
      </c>
      <c r="BF37" s="137">
        <f>_xll.xSPRDOPT($BW37,$BV37,$CG37,0,$BY37,$BX37,$BZ37,$AJ37,1,4)*$CB37</f>
        <v>0.96117811578558354</v>
      </c>
      <c r="BG37" s="137">
        <f>_xll.xSPRDOPT($BW37,$BV37,$CG37,0,$BY37,$BX37,$BZ37,$AJ37,1,3)*$CB37</f>
        <v>0.88487650022252951</v>
      </c>
      <c r="BH37" s="137">
        <f>IF(OR(BF37&lt;&gt;0,BG37&lt;&gt;0),_xll.xSPRDOPT($BW37,$BV37,$CG37,0,$BY37,$BX37,$BZ37,$AJ37,1,12)*$CB37,0)</f>
        <v>-0.92223952544374088</v>
      </c>
      <c r="BI37" s="137">
        <f>_xll.xSPRDOPT($BW37,$BV37,$CG37,2*LN(1+CA37/2),$BY37,$BX37,$BZ37,$AJ37,1,9)</f>
        <v>1.8862788530017119E-3</v>
      </c>
      <c r="BJ37" s="137">
        <f>_xll.xSPRDOPT($BW37,$BV37,$CG37,0,$BY37,$BX37,$BZ37,$AJ37,1,6)*$CB37</f>
        <v>5.4788498372371746E-3</v>
      </c>
      <c r="BK37" s="137">
        <f>_xll.xSPRDOPT($BW37,$BV37,$CG37,0,$BY37,$BX37,$BZ37,$AJ37,1,5)*$CB37</f>
        <v>5.4788643508732696E-3</v>
      </c>
      <c r="BL37" s="137">
        <f>_xll.xSPRDOPT(BW37,BV37,CG37,0,BY37,BX37,BZ37,AJ37,1,2)*CB37</f>
        <v>-0.93548201745220427</v>
      </c>
      <c r="BM37" s="137">
        <f>_xll.xSPRDOPT(BW37,BV37,CG37,0,BY37,BX37,BZ37,AJ37,1,1)*CB37</f>
        <v>0.936847410359963</v>
      </c>
      <c r="BN37" s="137">
        <f>IF(AH37&lt;&gt;0,_xll.xSPRDOPT($BW37,$BV37,$CG37,2*LN(1+CA37/2),$BY37,$BX37,$BZ37,$AJ37,1,8)+(AJ37/365.25)*CH37/AH37,0)</f>
        <v>1.628349080734845E-2</v>
      </c>
      <c r="BO37" s="137">
        <f>_xll.xSPRDOPT($BW37,$BV37,$CG37,0,$BY37,$BX37,$BZ37,$AJ37,1,0)</f>
        <v>0.1304265316999598</v>
      </c>
      <c r="BP37" s="137"/>
      <c r="BQ37" s="137"/>
      <c r="BR37" s="137"/>
      <c r="BS37" s="137"/>
      <c r="BV37" s="262">
        <v>3.0713201820940816</v>
      </c>
      <c r="BW37" s="136">
        <v>3.2010000000000001</v>
      </c>
      <c r="BX37" s="137">
        <v>0.39066962859814997</v>
      </c>
      <c r="BY37" s="137">
        <v>0.39066962859814997</v>
      </c>
      <c r="BZ37" s="137">
        <v>0.99883995557526639</v>
      </c>
      <c r="CA37" s="137">
        <v>2.79745964320606E-2</v>
      </c>
      <c r="CB37" s="137">
        <v>0.96363661599031902</v>
      </c>
      <c r="CC37" s="258">
        <v>-0.09</v>
      </c>
      <c r="CD37" s="258">
        <v>0</v>
      </c>
      <c r="CE37" s="258">
        <v>3.5000000000000003E-2</v>
      </c>
      <c r="CF37" s="258">
        <v>0.04</v>
      </c>
      <c r="CG37" s="258">
        <v>0</v>
      </c>
      <c r="CH37" s="258">
        <v>4.13689199244644</v>
      </c>
      <c r="CI37" s="258">
        <v>3.1259999999999999</v>
      </c>
      <c r="CJ37" s="258"/>
      <c r="CK37" s="258"/>
      <c r="CL37" s="258"/>
      <c r="CM37" s="258"/>
    </row>
    <row r="38" spans="1:91" x14ac:dyDescent="0.25">
      <c r="A38" s="723"/>
      <c r="B38" s="723"/>
      <c r="D38" s="31">
        <f t="shared" si="42"/>
        <v>37756</v>
      </c>
      <c r="F38" s="28">
        <f t="shared" si="12"/>
        <v>60000</v>
      </c>
      <c r="G38" s="28">
        <f t="shared" si="13"/>
        <v>57620.49263555881</v>
      </c>
      <c r="H38" s="52">
        <f t="shared" si="14"/>
        <v>3.0723318158826505</v>
      </c>
      <c r="I38" s="52">
        <f t="shared" si="15"/>
        <v>3.202</v>
      </c>
      <c r="K38" s="52">
        <f t="shared" si="43"/>
        <v>3.8602980681333432</v>
      </c>
      <c r="L38" s="135">
        <f t="shared" si="44"/>
        <v>5.1419568188984854E-2</v>
      </c>
      <c r="N38" s="131">
        <f t="shared" si="45"/>
        <v>0.3761805213924197</v>
      </c>
      <c r="O38" s="131">
        <f t="shared" si="46"/>
        <v>0.37819335449616648</v>
      </c>
      <c r="P38" s="55">
        <f t="shared" si="47"/>
        <v>0.99840590025323617</v>
      </c>
      <c r="Q38" s="135">
        <f>_xll.xSPRDOPT(I38,H38,AQ38,0,O38,N38,P38,D38-$G$5,1,0)*AH38*AU38</f>
        <v>3.9117176363223281</v>
      </c>
      <c r="R38" s="135"/>
      <c r="S38" s="181">
        <f>_xll.xSPRDOPT(I38,H38,AQ38,AT38,O38,N38,P38,D38-$G$5,1,2)*AF38*(F38/(1-AR38))*AH38</f>
        <v>-1710713.5062807621</v>
      </c>
      <c r="T38" s="181">
        <f>_xll.xSPRDOPT(I38,H38,AQ38,AT38,O38,N38,P38,D38-$G$5,1,1)*AF38*F38*AH38</f>
        <v>1695837.3938105484</v>
      </c>
      <c r="U38" s="135"/>
      <c r="V38" s="146">
        <f t="shared" si="16"/>
        <v>4.2601711230100401</v>
      </c>
      <c r="W38" s="146"/>
      <c r="X38" s="338">
        <f t="shared" si="17"/>
        <v>0</v>
      </c>
      <c r="Y38" s="338">
        <f t="shared" si="18"/>
        <v>0</v>
      </c>
      <c r="Z38" s="338">
        <f t="shared" si="19"/>
        <v>11.76789644948283</v>
      </c>
      <c r="AA38" s="338">
        <f t="shared" si="20"/>
        <v>1.8259970992825023</v>
      </c>
      <c r="AB38" s="338">
        <f t="shared" si="21"/>
        <v>0</v>
      </c>
      <c r="AC38" s="338">
        <f t="shared" si="22"/>
        <v>55.820495144074364</v>
      </c>
      <c r="AF38" s="138">
        <f t="shared" si="23"/>
        <v>1</v>
      </c>
      <c r="AG38" s="138">
        <f t="shared" si="24"/>
        <v>5</v>
      </c>
      <c r="AH38" s="138">
        <f t="shared" si="25"/>
        <v>31</v>
      </c>
      <c r="AI38" s="138">
        <f t="shared" si="48"/>
        <v>500</v>
      </c>
      <c r="AJ38" s="138">
        <f t="shared" si="26"/>
        <v>517</v>
      </c>
      <c r="AL38" s="136">
        <f t="shared" si="27"/>
        <v>3.1269999999999998</v>
      </c>
      <c r="AM38" s="258">
        <f t="shared" si="49"/>
        <v>-0.09</v>
      </c>
      <c r="AN38" s="258">
        <f t="shared" si="28"/>
        <v>0</v>
      </c>
      <c r="AO38" s="258">
        <f t="shared" si="29"/>
        <v>3.5000000000000003E-2</v>
      </c>
      <c r="AP38" s="258">
        <f t="shared" si="30"/>
        <v>0.04</v>
      </c>
      <c r="AQ38" s="136">
        <f t="shared" si="31"/>
        <v>0</v>
      </c>
      <c r="AR38" s="137">
        <f t="shared" si="32"/>
        <v>1.15E-2</v>
      </c>
      <c r="AS38" s="136">
        <f t="shared" si="50"/>
        <v>3.0369999999999999</v>
      </c>
      <c r="AT38" s="137">
        <f t="shared" si="33"/>
        <v>2.8963180076380102E-2</v>
      </c>
      <c r="AU38" s="137">
        <f t="shared" si="34"/>
        <v>0.96034154392598015</v>
      </c>
      <c r="AV38" s="394">
        <f t="shared" si="51"/>
        <v>20779.870327470358</v>
      </c>
      <c r="AW38" s="137">
        <f t="shared" si="35"/>
        <v>0.3725</v>
      </c>
      <c r="AX38" s="137">
        <f t="shared" si="36"/>
        <v>0.48</v>
      </c>
      <c r="AY38" s="137">
        <f t="shared" si="37"/>
        <v>0.53</v>
      </c>
      <c r="AZ38" s="137"/>
      <c r="BA38" s="264"/>
      <c r="BB38" s="258">
        <f t="shared" si="38"/>
        <v>0</v>
      </c>
      <c r="BC38" s="258">
        <f t="shared" si="39"/>
        <v>0</v>
      </c>
      <c r="BD38" s="137">
        <f t="shared" si="40"/>
        <v>2.1191627312566741E-5</v>
      </c>
      <c r="BE38" s="137">
        <f t="shared" si="41"/>
        <v>3.26947616066664E-5</v>
      </c>
      <c r="BF38" s="137">
        <f>_xll.xSPRDOPT($BW38,$BV38,$CG38,0,$BY38,$BX38,$BZ38,$AJ38,1,4)*$CB38</f>
        <v>1.3306368838080191</v>
      </c>
      <c r="BG38" s="137">
        <f>_xll.xSPRDOPT($BW38,$BV38,$CG38,0,$BY38,$BX38,$BZ38,$AJ38,1,3)*$CB38</f>
        <v>1.2250480175680361</v>
      </c>
      <c r="BH38" s="137">
        <f>IF(OR(BF38&lt;&gt;0,BG38&lt;&gt;0),_xll.xSPRDOPT($BW38,$BV38,$CG38,0,$BY38,$BX38,$BZ38,$AJ38,1,12)*$CB38,0)</f>
        <v>-1.2767548425452386</v>
      </c>
      <c r="BI38" s="137">
        <f>_xll.xSPRDOPT($BW38,$BV38,$CG38,2*LN(1+CA38/2),$BY38,$BX38,$BZ38,$AJ38,1,9)</f>
        <v>7.7029107135727663E-4</v>
      </c>
      <c r="BJ38" s="137">
        <f>_xll.xSPRDOPT($BW38,$BV38,$CG38,0,$BY38,$BX38,$BZ38,$AJ38,1,6)*$CB38</f>
        <v>-2.4921833265285503E-2</v>
      </c>
      <c r="BK38" s="137">
        <f>_xll.xSPRDOPT($BW38,$BV38,$CG38,0,$BY38,$BX38,$BZ38,$AJ38,1,5)*$CB38</f>
        <v>4.6180274725661039E-2</v>
      </c>
      <c r="BL38" s="137">
        <f>_xll.xSPRDOPT(BW38,BV38,CG38,0,BY38,BX38,BZ38,AJ38,1,2)*CB38</f>
        <v>-0.90921103899263234</v>
      </c>
      <c r="BM38" s="137">
        <f>_xll.xSPRDOPT(BW38,BV38,CG38,0,BY38,BX38,BZ38,AJ38,1,1)*CB38</f>
        <v>0.91179034547461213</v>
      </c>
      <c r="BN38" s="137">
        <f>IF(AH38&lt;&gt;0,_xll.xSPRDOPT($BW38,$BV38,$CG38,2*LN(1+CA38/2),$BY38,$BX38,$BZ38,$AJ38,1,8)+(AJ38/365.25)*CH38/AH38,0)</f>
        <v>1.5906631742960947E-2</v>
      </c>
      <c r="BO38" s="137">
        <f>_xll.xSPRDOPT($BW38,$BV38,$CG38,0,$BY38,$BX38,$BZ38,$AJ38,1,0)</f>
        <v>0.13139544881259252</v>
      </c>
      <c r="BP38" s="137"/>
      <c r="BQ38" s="137"/>
      <c r="BR38" s="137"/>
      <c r="BS38" s="137"/>
      <c r="BV38" s="262">
        <v>3.0723318158826505</v>
      </c>
      <c r="BW38" s="136">
        <v>3.202</v>
      </c>
      <c r="BX38" s="137">
        <v>0.37615932976510713</v>
      </c>
      <c r="BY38" s="137">
        <v>0.37816065973455981</v>
      </c>
      <c r="BZ38" s="137">
        <v>0.99841481736077353</v>
      </c>
      <c r="CA38" s="137">
        <v>2.8963180076380102E-2</v>
      </c>
      <c r="CB38" s="137">
        <v>0.96011475289275328</v>
      </c>
      <c r="CC38" s="258">
        <v>-0.09</v>
      </c>
      <c r="CD38" s="258">
        <v>0</v>
      </c>
      <c r="CE38" s="258">
        <v>3.5000000000000003E-2</v>
      </c>
      <c r="CF38" s="258">
        <v>0.04</v>
      </c>
      <c r="CG38" s="258">
        <v>0</v>
      </c>
      <c r="CH38" s="258">
        <v>4.2591650553075429</v>
      </c>
      <c r="CI38" s="258">
        <v>3.1269999999999998</v>
      </c>
      <c r="CJ38" s="258"/>
      <c r="CK38" s="258"/>
      <c r="CL38" s="258"/>
      <c r="CM38" s="258"/>
    </row>
    <row r="39" spans="1:91" x14ac:dyDescent="0.25">
      <c r="A39" s="723"/>
      <c r="B39" s="723"/>
      <c r="D39" s="31">
        <f t="shared" si="42"/>
        <v>37787</v>
      </c>
      <c r="F39" s="28">
        <f t="shared" si="12"/>
        <v>60000</v>
      </c>
      <c r="G39" s="28">
        <f t="shared" si="13"/>
        <v>57393.759524495566</v>
      </c>
      <c r="H39" s="52">
        <f t="shared" si="14"/>
        <v>3.1077389984825494</v>
      </c>
      <c r="I39" s="52">
        <f t="shared" si="15"/>
        <v>3.2370000000000001</v>
      </c>
      <c r="K39" s="52">
        <f t="shared" si="43"/>
        <v>3.7093874184940101</v>
      </c>
      <c r="L39" s="135">
        <f t="shared" si="44"/>
        <v>4.903797122467024E-2</v>
      </c>
      <c r="N39" s="131">
        <f t="shared" si="45"/>
        <v>0.37586425134556289</v>
      </c>
      <c r="O39" s="131">
        <f t="shared" si="46"/>
        <v>0.37770530586281559</v>
      </c>
      <c r="P39" s="55">
        <f t="shared" si="47"/>
        <v>0.99853928893461608</v>
      </c>
      <c r="Q39" s="135">
        <f>_xll.xSPRDOPT(I39,H39,AQ39,0,O39,N39,P39,D39-$G$5,1,0)*AH39*AU39</f>
        <v>3.7584253897186803</v>
      </c>
      <c r="R39" s="135"/>
      <c r="S39" s="181">
        <f>_xll.xSPRDOPT(I39,H39,AQ39,AT39,O39,N39,P39,D39-$G$5,1,2)*AF39*(F39/(1-AR39))*AH39</f>
        <v>-1649459.9653308934</v>
      </c>
      <c r="T39" s="181">
        <f>_xll.xSPRDOPT(I39,H39,AQ39,AT39,O39,N39,P39,D39-$G$5,1,1)*AF39*F39*AH39</f>
        <v>1635023.6701101551</v>
      </c>
      <c r="U39" s="135"/>
      <c r="V39" s="146">
        <f t="shared" si="16"/>
        <v>4.106523493977658</v>
      </c>
      <c r="W39" s="146"/>
      <c r="X39" s="338">
        <f t="shared" si="17"/>
        <v>0</v>
      </c>
      <c r="Y39" s="338">
        <f t="shared" si="18"/>
        <v>0</v>
      </c>
      <c r="Z39" s="338">
        <f t="shared" si="19"/>
        <v>15.762969400899642</v>
      </c>
      <c r="AA39" s="338">
        <f t="shared" si="20"/>
        <v>1.5101247193766922</v>
      </c>
      <c r="AB39" s="338">
        <f t="shared" si="21"/>
        <v>0</v>
      </c>
      <c r="AC39" s="338">
        <f t="shared" si="22"/>
        <v>55.524178291115334</v>
      </c>
      <c r="AF39" s="138">
        <f t="shared" si="23"/>
        <v>1</v>
      </c>
      <c r="AG39" s="138">
        <f t="shared" si="24"/>
        <v>6</v>
      </c>
      <c r="AH39" s="138">
        <f t="shared" si="25"/>
        <v>30</v>
      </c>
      <c r="AI39" s="138">
        <f t="shared" si="48"/>
        <v>531</v>
      </c>
      <c r="AJ39" s="138">
        <f t="shared" si="26"/>
        <v>548</v>
      </c>
      <c r="AL39" s="136">
        <f t="shared" si="27"/>
        <v>3.1619999999999999</v>
      </c>
      <c r="AM39" s="258">
        <f t="shared" si="49"/>
        <v>-0.09</v>
      </c>
      <c r="AN39" s="258">
        <f t="shared" si="28"/>
        <v>0</v>
      </c>
      <c r="AO39" s="258">
        <f t="shared" si="29"/>
        <v>3.5000000000000003E-2</v>
      </c>
      <c r="AP39" s="258">
        <f t="shared" si="30"/>
        <v>0.04</v>
      </c>
      <c r="AQ39" s="136">
        <f t="shared" si="31"/>
        <v>0</v>
      </c>
      <c r="AR39" s="137">
        <f t="shared" si="32"/>
        <v>1.15E-2</v>
      </c>
      <c r="AS39" s="136">
        <f t="shared" si="50"/>
        <v>3.0720000000000001</v>
      </c>
      <c r="AT39" s="137">
        <f t="shared" si="33"/>
        <v>2.99847168551968E-2</v>
      </c>
      <c r="AU39" s="137">
        <f t="shared" si="34"/>
        <v>0.95656265874159274</v>
      </c>
      <c r="AV39" s="394">
        <f t="shared" si="51"/>
        <v>20030.422074048951</v>
      </c>
      <c r="AW39" s="137">
        <f t="shared" si="35"/>
        <v>0.3725</v>
      </c>
      <c r="AX39" s="137">
        <f t="shared" si="36"/>
        <v>0.48</v>
      </c>
      <c r="AY39" s="137">
        <f t="shared" si="37"/>
        <v>0.53</v>
      </c>
      <c r="AZ39" s="137"/>
      <c r="BA39" s="264"/>
      <c r="BB39" s="258">
        <f t="shared" si="38"/>
        <v>0</v>
      </c>
      <c r="BC39" s="258">
        <f t="shared" si="39"/>
        <v>0</v>
      </c>
      <c r="BD39" s="137">
        <f t="shared" si="40"/>
        <v>1.8302058320429637E-5</v>
      </c>
      <c r="BE39" s="137">
        <f t="shared" si="41"/>
        <v>2.8249349723397099E-5</v>
      </c>
      <c r="BF39" s="137">
        <f>_xll.xSPRDOPT($BW39,$BV39,$CG39,0,$BY39,$BX39,$BZ39,$AJ39,1,4)*$CB39</f>
        <v>1.3253759152499949</v>
      </c>
      <c r="BG39" s="137">
        <f>_xll.xSPRDOPT($BW39,$BV39,$CG39,0,$BY39,$BX39,$BZ39,$AJ39,1,3)*$CB39</f>
        <v>1.2216385347518059</v>
      </c>
      <c r="BH39" s="137">
        <f>IF(OR(BF39&lt;&gt;0,BG39&lt;&gt;0),_xll.xSPRDOPT($BW39,$BV39,$CG39,0,$BY39,$BX39,$BZ39,$AJ39,1,12)*$CB39,0)</f>
        <v>-1.27245397660614</v>
      </c>
      <c r="BI39" s="137">
        <f>_xll.xSPRDOPT($BW39,$BV39,$CG39,2*LN(1+CA39/2),$BY39,$BX39,$BZ39,$AJ39,1,9)</f>
        <v>1.0661897358664064E-3</v>
      </c>
      <c r="BJ39" s="137">
        <f>_xll.xSPRDOPT($BW39,$BV39,$CG39,0,$BY39,$BX39,$BZ39,$AJ39,1,6)*$CB39</f>
        <v>-2.462633991660856E-2</v>
      </c>
      <c r="BK39" s="137">
        <f>_xll.xSPRDOPT($BW39,$BV39,$CG39,0,$BY39,$BX39,$BZ39,$AJ39,1,5)*$CB39</f>
        <v>4.5653117662239118E-2</v>
      </c>
      <c r="BL39" s="137">
        <f>_xll.xSPRDOPT(BW39,BV39,CG39,0,BY39,BX39,BZ39,AJ39,1,2)*CB39</f>
        <v>-0.90590695412660371</v>
      </c>
      <c r="BM39" s="137">
        <f>_xll.xSPRDOPT(BW39,BV39,CG39,0,BY39,BX39,BZ39,AJ39,1,1)*CB39</f>
        <v>0.90842527342978685</v>
      </c>
      <c r="BN39" s="137">
        <f>IF(AH39&lt;&gt;0,_xll.xSPRDOPT($BW39,$BV39,$CG39,2*LN(1+CA39/2),$BY39,$BX39,$BZ39,$AJ39,1,8)+(AJ39/365.25)*CH39/AH39,0)</f>
        <v>1.7404561026573756E-2</v>
      </c>
      <c r="BO39" s="137">
        <f>_xll.xSPRDOPT($BW39,$BV39,$CG39,0,$BY39,$BX39,$BZ39,$AJ39,1,0)</f>
        <v>0.13096986926729245</v>
      </c>
      <c r="BP39" s="137"/>
      <c r="BQ39" s="137"/>
      <c r="BR39" s="137"/>
      <c r="BS39" s="137"/>
      <c r="BV39" s="262">
        <v>3.1077389984825494</v>
      </c>
      <c r="BW39" s="136">
        <v>3.2370000000000001</v>
      </c>
      <c r="BX39" s="137">
        <v>0.37584594928724246</v>
      </c>
      <c r="BY39" s="137">
        <v>0.37767705651309219</v>
      </c>
      <c r="BZ39" s="137">
        <v>0.99854702812921137</v>
      </c>
      <c r="CA39" s="137">
        <v>2.99847168551968E-2</v>
      </c>
      <c r="CB39" s="137">
        <v>0.95632885259143241</v>
      </c>
      <c r="CC39" s="258">
        <v>-0.09</v>
      </c>
      <c r="CD39" s="258">
        <v>0</v>
      </c>
      <c r="CE39" s="258">
        <v>3.5000000000000003E-2</v>
      </c>
      <c r="CF39" s="258">
        <v>0.04</v>
      </c>
      <c r="CG39" s="258">
        <v>0</v>
      </c>
      <c r="CH39" s="258">
        <v>4.1055197641750194</v>
      </c>
      <c r="CI39" s="258">
        <v>3.1619999999999999</v>
      </c>
      <c r="CJ39" s="258"/>
      <c r="CK39" s="258"/>
      <c r="CL39" s="258"/>
      <c r="CM39" s="258"/>
    </row>
    <row r="40" spans="1:91" x14ac:dyDescent="0.25">
      <c r="A40" s="723"/>
      <c r="B40" s="723"/>
      <c r="D40" s="31">
        <f t="shared" si="42"/>
        <v>37817</v>
      </c>
      <c r="F40" s="28">
        <f t="shared" si="12"/>
        <v>60000</v>
      </c>
      <c r="G40" s="28">
        <f t="shared" si="13"/>
        <v>57166.642275722894</v>
      </c>
      <c r="H40" s="52">
        <f t="shared" si="14"/>
        <v>3.150227617602428</v>
      </c>
      <c r="I40" s="52">
        <f t="shared" si="15"/>
        <v>3.2790000000000004</v>
      </c>
      <c r="K40" s="52">
        <f t="shared" si="43"/>
        <v>3.8034337717492179</v>
      </c>
      <c r="L40" s="135">
        <f t="shared" si="44"/>
        <v>8.437414971764623E-2</v>
      </c>
      <c r="N40" s="131">
        <f t="shared" si="45"/>
        <v>0.37759499646180722</v>
      </c>
      <c r="O40" s="131">
        <f t="shared" si="46"/>
        <v>0.37956577246742684</v>
      </c>
      <c r="P40" s="55">
        <f t="shared" si="47"/>
        <v>0.99833739670661004</v>
      </c>
      <c r="Q40" s="135">
        <f>_xll.xSPRDOPT(I40,H40,AQ40,0,O40,N40,P40,D40-$G$5,1,0)*AH40*AU40</f>
        <v>3.8878079214668642</v>
      </c>
      <c r="R40" s="135"/>
      <c r="S40" s="181">
        <f>_xll.xSPRDOPT(I40,H40,AQ40,AT40,O40,N40,P40,D40-$G$5,1,2)*AF40*(F40/(1-AR40))*AH40</f>
        <v>-1658582.1956804099</v>
      </c>
      <c r="T40" s="181">
        <f>_xll.xSPRDOPT(I40,H40,AQ40,AT40,O40,N40,P40,D40-$G$5,1,1)*AF40*F40*AH40</f>
        <v>1646235.5265136324</v>
      </c>
      <c r="U40" s="135"/>
      <c r="V40" s="146">
        <f t="shared" si="16"/>
        <v>4.2266156966555721</v>
      </c>
      <c r="W40" s="146"/>
      <c r="X40" s="338">
        <f t="shared" si="17"/>
        <v>0</v>
      </c>
      <c r="Y40" s="338">
        <f t="shared" si="18"/>
        <v>0</v>
      </c>
      <c r="Z40" s="338">
        <f t="shared" si="19"/>
        <v>2.7504130061372569</v>
      </c>
      <c r="AA40" s="338">
        <f t="shared" si="20"/>
        <v>2.6585188865598401</v>
      </c>
      <c r="AB40" s="338">
        <f t="shared" si="21"/>
        <v>0</v>
      </c>
      <c r="AC40" s="338">
        <f t="shared" si="22"/>
        <v>59.31338971429247</v>
      </c>
      <c r="AF40" s="138">
        <f t="shared" si="23"/>
        <v>1</v>
      </c>
      <c r="AG40" s="138">
        <f t="shared" si="24"/>
        <v>7</v>
      </c>
      <c r="AH40" s="138">
        <f t="shared" si="25"/>
        <v>31</v>
      </c>
      <c r="AI40" s="138">
        <f t="shared" si="48"/>
        <v>561</v>
      </c>
      <c r="AJ40" s="138">
        <f t="shared" si="26"/>
        <v>578</v>
      </c>
      <c r="AL40" s="136">
        <f t="shared" si="27"/>
        <v>3.2040000000000002</v>
      </c>
      <c r="AM40" s="258">
        <f t="shared" si="49"/>
        <v>-0.09</v>
      </c>
      <c r="AN40" s="258">
        <f t="shared" si="28"/>
        <v>0</v>
      </c>
      <c r="AO40" s="258">
        <f t="shared" si="29"/>
        <v>3.5000000000000003E-2</v>
      </c>
      <c r="AP40" s="258">
        <f t="shared" si="30"/>
        <v>0.04</v>
      </c>
      <c r="AQ40" s="136">
        <f t="shared" si="31"/>
        <v>0</v>
      </c>
      <c r="AR40" s="137">
        <f t="shared" si="32"/>
        <v>1.15E-2</v>
      </c>
      <c r="AS40" s="136">
        <f t="shared" si="50"/>
        <v>3.1140000000000003</v>
      </c>
      <c r="AT40" s="137">
        <f t="shared" si="33"/>
        <v>3.0965279300479799E-2</v>
      </c>
      <c r="AU40" s="137">
        <f t="shared" si="34"/>
        <v>0.9527773712620482</v>
      </c>
      <c r="AV40" s="394">
        <f t="shared" si="51"/>
        <v>20616.196759368198</v>
      </c>
      <c r="AW40" s="137">
        <f t="shared" si="35"/>
        <v>0.3725</v>
      </c>
      <c r="AX40" s="137">
        <f t="shared" si="36"/>
        <v>0.53</v>
      </c>
      <c r="AY40" s="137">
        <f t="shared" si="37"/>
        <v>0.57999999999999996</v>
      </c>
      <c r="AZ40" s="137"/>
      <c r="BA40" s="264"/>
      <c r="BB40" s="258">
        <f t="shared" si="38"/>
        <v>0</v>
      </c>
      <c r="BC40" s="258">
        <f t="shared" si="39"/>
        <v>0</v>
      </c>
      <c r="BD40" s="137">
        <f t="shared" si="40"/>
        <v>2.6199126392512095E-5</v>
      </c>
      <c r="BE40" s="137">
        <f t="shared" si="41"/>
        <v>3.6239899198153847E-5</v>
      </c>
      <c r="BF40" s="137">
        <f>_xll.xSPRDOPT($BW40,$BV40,$CG40,0,$BY40,$BX40,$BZ40,$AJ40,1,4)*$CB40</f>
        <v>1.5485767132677744</v>
      </c>
      <c r="BG40" s="137">
        <f>_xll.xSPRDOPT($BW40,$BV40,$CG40,0,$BY40,$BX40,$BZ40,$AJ40,1,3)*$CB40</f>
        <v>1.4293340379610575</v>
      </c>
      <c r="BH40" s="137">
        <f>IF(OR(BF40&lt;&gt;0,BG40&lt;&gt;0),_xll.xSPRDOPT($BW40,$BV40,$CG40,0,$BY40,$BX40,$BZ40,$AJ40,1,12)*$CB40,0)</f>
        <v>-1.4877639897521338</v>
      </c>
      <c r="BI40" s="137">
        <f>_xll.xSPRDOPT($BW40,$BV40,$CG40,2*LN(1+CA40/2),$BY40,$BX40,$BZ40,$AJ40,1,9)</f>
        <v>1.8003375456839303E-4</v>
      </c>
      <c r="BJ40" s="137">
        <f>_xll.xSPRDOPT($BW40,$BV40,$CG40,0,$BY40,$BX40,$BZ40,$AJ40,1,6)*$CB40</f>
        <v>-3.2413188251385373E-2</v>
      </c>
      <c r="BK40" s="137">
        <f>_xll.xSPRDOPT($BW40,$BV40,$CG40,0,$BY40,$BX40,$BZ40,$AJ40,1,5)*$CB40</f>
        <v>6.2872924470817895E-2</v>
      </c>
      <c r="BL40" s="137">
        <f>_xll.xSPRDOPT(BW40,BV40,CG40,0,BY40,BX40,BZ40,AJ40,1,2)*CB40</f>
        <v>-0.88156163120413</v>
      </c>
      <c r="BM40" s="137">
        <f>_xll.xSPRDOPT(BW40,BV40,CG40,0,BY40,BX40,BZ40,AJ40,1,1)*CB40</f>
        <v>0.8851788262622774</v>
      </c>
      <c r="BN40" s="137">
        <f>IF(AH40&lt;&gt;0,_xll.xSPRDOPT($BW40,$BV40,$CG40,2*LN(1+CA40/2),$BY40,$BX40,$BZ40,$AJ40,1,8)+(AJ40/365.25)*CH40/AH40,0)</f>
        <v>1.7290858593654895E-2</v>
      </c>
      <c r="BO40" s="137">
        <f>_xll.xSPRDOPT($BW40,$BV40,$CG40,0,$BY40,$BX40,$BZ40,$AJ40,1,0)</f>
        <v>0.13162910983878384</v>
      </c>
      <c r="BP40" s="137"/>
      <c r="BQ40" s="137"/>
      <c r="BR40" s="137"/>
      <c r="BS40" s="137"/>
      <c r="BV40" s="262">
        <v>3.150227617602428</v>
      </c>
      <c r="BW40" s="136">
        <v>3.2790000000000004</v>
      </c>
      <c r="BX40" s="137">
        <v>0.37756879733541471</v>
      </c>
      <c r="BY40" s="137">
        <v>0.37952953256822869</v>
      </c>
      <c r="BZ40" s="137">
        <v>0.99834566350305831</v>
      </c>
      <c r="CA40" s="137">
        <v>3.0965279300479799E-2</v>
      </c>
      <c r="CB40" s="137">
        <v>0.95253693379797033</v>
      </c>
      <c r="CC40" s="258">
        <v>-0.09</v>
      </c>
      <c r="CD40" s="258">
        <v>0</v>
      </c>
      <c r="CE40" s="258">
        <v>3.5000000000000003E-2</v>
      </c>
      <c r="CF40" s="258">
        <v>0.04</v>
      </c>
      <c r="CG40" s="258">
        <v>0</v>
      </c>
      <c r="CH40" s="258">
        <v>4.2255490920211756</v>
      </c>
      <c r="CI40" s="258">
        <v>3.2040000000000002</v>
      </c>
      <c r="CJ40" s="258"/>
      <c r="CK40" s="258"/>
      <c r="CL40" s="258"/>
      <c r="CM40" s="258"/>
    </row>
    <row r="41" spans="1:91" x14ac:dyDescent="0.25">
      <c r="A41" s="723"/>
      <c r="B41" s="723"/>
      <c r="D41" s="31">
        <f t="shared" si="42"/>
        <v>37848</v>
      </c>
      <c r="F41" s="28">
        <f t="shared" si="12"/>
        <v>60000</v>
      </c>
      <c r="G41" s="28">
        <f t="shared" si="13"/>
        <v>56924.519772491003</v>
      </c>
      <c r="H41" s="52">
        <f t="shared" si="14"/>
        <v>3.1927162367223065</v>
      </c>
      <c r="I41" s="52">
        <f t="shared" si="15"/>
        <v>3.3210000000000002</v>
      </c>
      <c r="K41" s="52">
        <f t="shared" si="43"/>
        <v>3.7729540032484907</v>
      </c>
      <c r="L41" s="135">
        <f t="shared" si="44"/>
        <v>0.12162682037560968</v>
      </c>
      <c r="N41" s="131">
        <f t="shared" si="45"/>
        <v>0.37920840226144648</v>
      </c>
      <c r="O41" s="131">
        <f t="shared" si="46"/>
        <v>0.38123828997735254</v>
      </c>
      <c r="P41" s="55">
        <f t="shared" si="47"/>
        <v>0.99818144078301874</v>
      </c>
      <c r="Q41" s="135">
        <f>_xll.xSPRDOPT(I41,H41,AQ41,0,O41,N41,P41,D41-$G$5,1,0)*AH41*AU41</f>
        <v>3.8945808236241004</v>
      </c>
      <c r="R41" s="135"/>
      <c r="S41" s="181">
        <f>_xll.xSPRDOPT(I41,H41,AQ41,AT41,O41,N41,P41,D41-$G$5,1,2)*AF41*(F41/(1-AR41))*AH41</f>
        <v>-1615865.0008701282</v>
      </c>
      <c r="T41" s="181">
        <f>_xll.xSPRDOPT(I41,H41,AQ41,AT41,O41,N41,P41,D41-$G$5,1,1)*AF41*F41*AH41</f>
        <v>1605915.926375617</v>
      </c>
      <c r="U41" s="135"/>
      <c r="V41" s="146">
        <f t="shared" si="16"/>
        <v>4.2087143693791216</v>
      </c>
      <c r="W41" s="146"/>
      <c r="X41" s="338">
        <f t="shared" si="17"/>
        <v>0</v>
      </c>
      <c r="Y41" s="338">
        <f t="shared" si="18"/>
        <v>0</v>
      </c>
      <c r="Z41" s="338">
        <f t="shared" si="19"/>
        <v>-8.3901777903898314</v>
      </c>
      <c r="AA41" s="338">
        <f t="shared" si="20"/>
        <v>3.807903547574552</v>
      </c>
      <c r="AB41" s="338">
        <f t="shared" si="21"/>
        <v>0</v>
      </c>
      <c r="AC41" s="338">
        <f t="shared" si="22"/>
        <v>61.338507505733396</v>
      </c>
      <c r="AF41" s="138">
        <f t="shared" si="23"/>
        <v>1</v>
      </c>
      <c r="AG41" s="138">
        <f t="shared" si="24"/>
        <v>8</v>
      </c>
      <c r="AH41" s="138">
        <f t="shared" si="25"/>
        <v>31</v>
      </c>
      <c r="AI41" s="138">
        <f t="shared" si="48"/>
        <v>592</v>
      </c>
      <c r="AJ41" s="138">
        <f t="shared" si="26"/>
        <v>609</v>
      </c>
      <c r="AL41" s="136">
        <f t="shared" si="27"/>
        <v>3.246</v>
      </c>
      <c r="AM41" s="258">
        <f t="shared" si="49"/>
        <v>-0.09</v>
      </c>
      <c r="AN41" s="258">
        <f t="shared" si="28"/>
        <v>0</v>
      </c>
      <c r="AO41" s="258">
        <f t="shared" si="29"/>
        <v>3.5000000000000003E-2</v>
      </c>
      <c r="AP41" s="258">
        <f t="shared" si="30"/>
        <v>0.04</v>
      </c>
      <c r="AQ41" s="136">
        <f t="shared" si="31"/>
        <v>0</v>
      </c>
      <c r="AR41" s="137">
        <f t="shared" si="32"/>
        <v>1.15E-2</v>
      </c>
      <c r="AS41" s="136">
        <f t="shared" si="50"/>
        <v>3.1560000000000001</v>
      </c>
      <c r="AT41" s="137">
        <f t="shared" si="33"/>
        <v>3.1967083332272501E-2</v>
      </c>
      <c r="AU41" s="137">
        <f t="shared" si="34"/>
        <v>0.94874199620818334</v>
      </c>
      <c r="AV41" s="394">
        <f t="shared" si="51"/>
        <v>20528.879313952672</v>
      </c>
      <c r="AW41" s="137">
        <f t="shared" si="35"/>
        <v>0.3725</v>
      </c>
      <c r="AX41" s="137">
        <f t="shared" si="36"/>
        <v>0.57999999999999996</v>
      </c>
      <c r="AY41" s="137">
        <f t="shared" si="37"/>
        <v>0.63</v>
      </c>
      <c r="AZ41" s="137"/>
      <c r="BA41" s="264"/>
      <c r="BB41" s="258">
        <f t="shared" si="38"/>
        <v>0</v>
      </c>
      <c r="BC41" s="258">
        <f t="shared" si="39"/>
        <v>0</v>
      </c>
      <c r="BD41" s="137">
        <f t="shared" si="40"/>
        <v>3.2674943976684911E-5</v>
      </c>
      <c r="BE41" s="137">
        <f t="shared" si="41"/>
        <v>4.245025350635423E-5</v>
      </c>
      <c r="BF41" s="137">
        <f>_xll.xSPRDOPT($BW41,$BV41,$CG41,0,$BY41,$BX41,$BZ41,$AJ41,1,4)*$CB41</f>
        <v>1.6864303227870128</v>
      </c>
      <c r="BG41" s="137">
        <f>_xll.xSPRDOPT($BW41,$BV41,$CG41,0,$BY41,$BX41,$BZ41,$AJ41,1,3)*$CB41</f>
        <v>1.5586595630881899</v>
      </c>
      <c r="BH41" s="137">
        <f>IF(OR(BF41&lt;&gt;0,BG41&lt;&gt;0),_xll.xSPRDOPT($BW41,$BV41,$CG41,0,$BY41,$BX41,$BZ41,$AJ41,1,12)*$CB41,0)</f>
        <v>-1.6212878998398521</v>
      </c>
      <c r="BI41" s="137">
        <f>_xll.xSPRDOPT($BW41,$BV41,$CG41,2*LN(1+CA41/2),$BY41,$BX41,$BZ41,$AJ41,1,9)</f>
        <v>-5.4919577740858167E-4</v>
      </c>
      <c r="BJ41" s="137">
        <f>_xll.xSPRDOPT($BW41,$BV41,$CG41,0,$BY41,$BX41,$BZ41,$AJ41,1,6)*$CB41</f>
        <v>-3.8124254685103637E-2</v>
      </c>
      <c r="BK41" s="137">
        <f>_xll.xSPRDOPT($BW41,$BV41,$CG41,0,$BY41,$BX41,$BZ41,$AJ41,1,5)*$CB41</f>
        <v>7.7572395587931914E-2</v>
      </c>
      <c r="BL41" s="137">
        <f>_xll.xSPRDOPT(BW41,BV41,CG41,0,BY41,BX41,BZ41,AJ41,1,2)*CB41</f>
        <v>-0.85888923681657814</v>
      </c>
      <c r="BM41" s="137">
        <f>_xll.xSPRDOPT(BW41,BV41,CG41,0,BY41,BX41,BZ41,AJ41,1,1)*CB41</f>
        <v>0.86353165093517881</v>
      </c>
      <c r="BN41" s="137">
        <f>IF(AH41&lt;&gt;0,_xll.xSPRDOPT($BW41,$BV41,$CG41,2*LN(1+CA41/2),$BY41,$BX41,$BZ41,$AJ41,1,8)+(AJ41/365.25)*CH41/AH41,0)</f>
        <v>1.6891282389721457E-2</v>
      </c>
      <c r="BO41" s="137">
        <f>_xll.xSPRDOPT($BW41,$BV41,$CG41,0,$BY41,$BX41,$BZ41,$AJ41,1,0)</f>
        <v>0.13241927932329844</v>
      </c>
      <c r="BP41" s="137"/>
      <c r="BQ41" s="137"/>
      <c r="BR41" s="137"/>
      <c r="BS41" s="137"/>
      <c r="BV41" s="262">
        <v>3.1927162367223065</v>
      </c>
      <c r="BW41" s="136">
        <v>3.3210000000000002</v>
      </c>
      <c r="BX41" s="137">
        <v>0.37917572731746979</v>
      </c>
      <c r="BY41" s="137">
        <v>0.38119583972384619</v>
      </c>
      <c r="BZ41" s="137">
        <v>0.99818995280275136</v>
      </c>
      <c r="CA41" s="137">
        <v>3.1967083332272501E-2</v>
      </c>
      <c r="CB41" s="137">
        <v>0.94849489337827508</v>
      </c>
      <c r="CC41" s="258">
        <v>-0.09</v>
      </c>
      <c r="CD41" s="258">
        <v>0</v>
      </c>
      <c r="CE41" s="258">
        <v>3.5000000000000003E-2</v>
      </c>
      <c r="CF41" s="258">
        <v>0.04</v>
      </c>
      <c r="CG41" s="258">
        <v>0</v>
      </c>
      <c r="CH41" s="258">
        <v>4.2076181965153658</v>
      </c>
      <c r="CI41" s="258">
        <v>3.246</v>
      </c>
      <c r="CJ41" s="258"/>
      <c r="CK41" s="258"/>
      <c r="CL41" s="258"/>
      <c r="CM41" s="258"/>
    </row>
    <row r="42" spans="1:91" x14ac:dyDescent="0.25">
      <c r="A42" s="723"/>
      <c r="B42" s="723"/>
      <c r="D42" s="31">
        <f t="shared" si="42"/>
        <v>37879</v>
      </c>
      <c r="F42" s="28">
        <f t="shared" si="12"/>
        <v>60000</v>
      </c>
      <c r="G42" s="28">
        <f t="shared" si="13"/>
        <v>56673.981682074133</v>
      </c>
      <c r="H42" s="52">
        <f t="shared" si="14"/>
        <v>3.1876580677794641</v>
      </c>
      <c r="I42" s="52">
        <f t="shared" si="15"/>
        <v>3.3160000000000003</v>
      </c>
      <c r="K42" s="52">
        <f t="shared" si="43"/>
        <v>3.6368241578543321</v>
      </c>
      <c r="L42" s="135">
        <f t="shared" si="44"/>
        <v>0.10933215189812806</v>
      </c>
      <c r="N42" s="131">
        <f t="shared" si="45"/>
        <v>0.3762850500238793</v>
      </c>
      <c r="O42" s="131">
        <f t="shared" si="46"/>
        <v>0.37817040162415777</v>
      </c>
      <c r="P42" s="55">
        <f t="shared" si="47"/>
        <v>0.99829666626367708</v>
      </c>
      <c r="Q42" s="135">
        <f>_xll.xSPRDOPT(I42,H42,AQ42,0,O42,N42,P42,D42-$G$5,1,0)*AH42*AU42</f>
        <v>3.7461563097524602</v>
      </c>
      <c r="R42" s="135"/>
      <c r="S42" s="181">
        <f>_xll.xSPRDOPT(I42,H42,AQ42,AT42,O42,N42,P42,D42-$G$5,1,2)*AF42*(F42/(1-AR42))*AH42</f>
        <v>-1563697.6079658091</v>
      </c>
      <c r="T42" s="181">
        <f>_xll.xSPRDOPT(I42,H42,AQ42,AT42,O42,N42,P42,D42-$G$5,1,1)*AF42*F42*AH42</f>
        <v>1553641.4903308037</v>
      </c>
      <c r="U42" s="135"/>
      <c r="V42" s="146">
        <f t="shared" si="16"/>
        <v>4.0550233893524039</v>
      </c>
      <c r="W42" s="146"/>
      <c r="X42" s="338">
        <f t="shared" si="17"/>
        <v>0</v>
      </c>
      <c r="Y42" s="338">
        <f t="shared" si="18"/>
        <v>0</v>
      </c>
      <c r="Z42" s="338">
        <f t="shared" si="19"/>
        <v>-4.958649466552642E-2</v>
      </c>
      <c r="AA42" s="338">
        <f t="shared" si="20"/>
        <v>3.1330158649196544</v>
      </c>
      <c r="AB42" s="338">
        <f t="shared" si="21"/>
        <v>0</v>
      </c>
      <c r="AC42" s="338">
        <f t="shared" si="22"/>
        <v>60.849359141029822</v>
      </c>
      <c r="AF42" s="138">
        <f t="shared" si="23"/>
        <v>1</v>
      </c>
      <c r="AG42" s="138">
        <f t="shared" si="24"/>
        <v>9</v>
      </c>
      <c r="AH42" s="138">
        <f t="shared" si="25"/>
        <v>30</v>
      </c>
      <c r="AI42" s="138">
        <f t="shared" si="48"/>
        <v>623</v>
      </c>
      <c r="AJ42" s="138">
        <f t="shared" si="26"/>
        <v>640</v>
      </c>
      <c r="AL42" s="136">
        <f t="shared" si="27"/>
        <v>3.2410000000000001</v>
      </c>
      <c r="AM42" s="258">
        <f t="shared" si="49"/>
        <v>-0.09</v>
      </c>
      <c r="AN42" s="258">
        <f t="shared" si="28"/>
        <v>0</v>
      </c>
      <c r="AO42" s="258">
        <f t="shared" si="29"/>
        <v>3.5000000000000003E-2</v>
      </c>
      <c r="AP42" s="258">
        <f t="shared" si="30"/>
        <v>0.04</v>
      </c>
      <c r="AQ42" s="136">
        <f t="shared" si="31"/>
        <v>0</v>
      </c>
      <c r="AR42" s="137">
        <f t="shared" si="32"/>
        <v>1.15E-2</v>
      </c>
      <c r="AS42" s="136">
        <f t="shared" si="50"/>
        <v>3.1510000000000002</v>
      </c>
      <c r="AT42" s="137">
        <f t="shared" si="33"/>
        <v>3.2968887702129003E-2</v>
      </c>
      <c r="AU42" s="137">
        <f t="shared" si="34"/>
        <v>0.94456636136790217</v>
      </c>
      <c r="AV42" s="394">
        <f t="shared" si="51"/>
        <v>19779.219607043873</v>
      </c>
      <c r="AW42" s="137">
        <f t="shared" si="35"/>
        <v>0.37</v>
      </c>
      <c r="AX42" s="137">
        <f t="shared" si="36"/>
        <v>0.57999999999999996</v>
      </c>
      <c r="AY42" s="137">
        <f t="shared" si="37"/>
        <v>0.63</v>
      </c>
      <c r="AZ42" s="137"/>
      <c r="BA42" s="264"/>
      <c r="BB42" s="258">
        <f t="shared" si="38"/>
        <v>0</v>
      </c>
      <c r="BC42" s="258">
        <f t="shared" si="39"/>
        <v>0</v>
      </c>
      <c r="BD42" s="137">
        <f t="shared" si="40"/>
        <v>2.9170681815626764E-5</v>
      </c>
      <c r="BE42" s="137">
        <f t="shared" si="41"/>
        <v>3.782782267369722E-5</v>
      </c>
      <c r="BF42" s="137">
        <f>_xll.xSPRDOPT($BW42,$BV42,$CG42,0,$BY42,$BX42,$BZ42,$AJ42,1,4)*$CB42</f>
        <v>1.6545366592534965</v>
      </c>
      <c r="BG42" s="137">
        <f>_xll.xSPRDOPT($BW42,$BV42,$CG42,0,$BY42,$BX42,$BZ42,$AJ42,1,3)*$CB42</f>
        <v>1.5289412046633133</v>
      </c>
      <c r="BH42" s="137">
        <f>IF(OR(BF42&lt;&gt;0,BG42&lt;&gt;0),_xll.xSPRDOPT($BW42,$BV42,$CG42,0,$BY42,$BX42,$BZ42,$AJ42,1,12)*$CB42,0)</f>
        <v>-1.5905011895197372</v>
      </c>
      <c r="BI42" s="137">
        <f>_xll.xSPRDOPT($BW42,$BV42,$CG42,2*LN(1+CA42/2),$BY42,$BX42,$BZ42,$AJ42,1,9)</f>
        <v>-3.3539754030710231E-6</v>
      </c>
      <c r="BJ42" s="137">
        <f>_xll.xSPRDOPT($BW42,$BV42,$CG42,0,$BY42,$BX42,$BZ42,$AJ42,1,6)*$CB42</f>
        <v>-3.6394596416921401E-2</v>
      </c>
      <c r="BK42" s="137">
        <f>_xll.xSPRDOPT($BW42,$BV42,$CG42,0,$BY42,$BX42,$BZ42,$AJ42,1,5)*$CB42</f>
        <v>7.4078267349879393E-2</v>
      </c>
      <c r="BL42" s="137">
        <f>_xll.xSPRDOPT(BW42,BV42,CG42,0,BY42,BX42,BZ42,AJ42,1,2)*CB42</f>
        <v>-0.85890175087336706</v>
      </c>
      <c r="BM42" s="137">
        <f>_xll.xSPRDOPT(BW42,BV42,CG42,0,BY42,BX42,BZ42,AJ42,1,1)*CB42</f>
        <v>0.86330623649781102</v>
      </c>
      <c r="BN42" s="137">
        <f>IF(AH42&lt;&gt;0,_xll.xSPRDOPT($BW42,$BV42,$CG42,2*LN(1+CA42/2),$BY42,$BX42,$BZ42,$AJ42,1,8)+(AJ42/365.25)*CH42/AH42,0)</f>
        <v>1.8035212059492739E-2</v>
      </c>
      <c r="BO42" s="137">
        <f>_xll.xSPRDOPT($BW42,$BV42,$CG42,0,$BY42,$BX42,$BZ42,$AJ42,1,0)</f>
        <v>0.13220027167692275</v>
      </c>
      <c r="BP42" s="137"/>
      <c r="BQ42" s="137"/>
      <c r="BR42" s="137"/>
      <c r="BS42" s="137"/>
      <c r="BV42" s="262">
        <v>3.1876580677794641</v>
      </c>
      <c r="BW42" s="136">
        <v>3.3160000000000003</v>
      </c>
      <c r="BX42" s="137">
        <v>0.37625587934206367</v>
      </c>
      <c r="BY42" s="137">
        <v>0.37813257380148407</v>
      </c>
      <c r="BZ42" s="137">
        <v>0.99830428113794611</v>
      </c>
      <c r="CA42" s="137">
        <v>3.2968887702129003E-2</v>
      </c>
      <c r="CB42" s="137">
        <v>0.94431270003290391</v>
      </c>
      <c r="CC42" s="258">
        <v>-0.09</v>
      </c>
      <c r="CD42" s="258">
        <v>0</v>
      </c>
      <c r="CE42" s="258">
        <v>3.5000000000000003E-2</v>
      </c>
      <c r="CF42" s="258">
        <v>0.04</v>
      </c>
      <c r="CG42" s="258">
        <v>0</v>
      </c>
      <c r="CH42" s="258">
        <v>4.0539344212412569</v>
      </c>
      <c r="CI42" s="258">
        <v>3.2410000000000001</v>
      </c>
      <c r="CJ42" s="258"/>
      <c r="CK42" s="258"/>
      <c r="CL42" s="258"/>
      <c r="CM42" s="258"/>
    </row>
    <row r="43" spans="1:91" x14ac:dyDescent="0.25">
      <c r="A43" s="723"/>
      <c r="B43" s="723"/>
      <c r="D43" s="31">
        <f t="shared" si="42"/>
        <v>37909</v>
      </c>
      <c r="F43" s="28">
        <f t="shared" si="12"/>
        <v>60000</v>
      </c>
      <c r="G43" s="28">
        <f t="shared" si="13"/>
        <v>56426.841838053311</v>
      </c>
      <c r="H43" s="52">
        <f t="shared" si="14"/>
        <v>3.2139605462822458</v>
      </c>
      <c r="I43" s="52">
        <f t="shared" si="15"/>
        <v>3.3420000000000001</v>
      </c>
      <c r="K43" s="52">
        <f t="shared" si="43"/>
        <v>3.7328453687139413</v>
      </c>
      <c r="L43" s="135">
        <f t="shared" si="44"/>
        <v>0.1611719385644439</v>
      </c>
      <c r="N43" s="131">
        <f t="shared" si="45"/>
        <v>0.3804492507364664</v>
      </c>
      <c r="O43" s="131">
        <f t="shared" si="46"/>
        <v>0.38243997040692113</v>
      </c>
      <c r="P43" s="55">
        <f t="shared" si="47"/>
        <v>0.99810771261748243</v>
      </c>
      <c r="Q43" s="135">
        <f>_xll.xSPRDOPT(I43,H43,AQ43,0,O43,N43,P43,D43-$G$5,1,0)*AH43*AU43</f>
        <v>3.8940173072783852</v>
      </c>
      <c r="R43" s="135"/>
      <c r="S43" s="181">
        <f>_xll.xSPRDOPT(I43,H43,AQ43,AT43,O43,N43,P43,D43-$G$5,1,2)*AF43*(F43/(1-AR43))*AH43</f>
        <v>-1569104.0698945576</v>
      </c>
      <c r="T43" s="181">
        <f>_xll.xSPRDOPT(I43,H43,AQ43,AT43,O43,N43,P43,D43-$G$5,1,1)*AF43*F43*AH43</f>
        <v>1561509.1024930063</v>
      </c>
      <c r="U43" s="135"/>
      <c r="V43" s="146">
        <f t="shared" si="16"/>
        <v>4.1719185512964714</v>
      </c>
      <c r="W43" s="146"/>
      <c r="X43" s="338">
        <f t="shared" si="17"/>
        <v>0</v>
      </c>
      <c r="Y43" s="338">
        <f t="shared" si="18"/>
        <v>0</v>
      </c>
      <c r="Z43" s="338">
        <f t="shared" si="19"/>
        <v>-12.176305851505324</v>
      </c>
      <c r="AA43" s="338">
        <f t="shared" si="20"/>
        <v>4.5882479475275728</v>
      </c>
      <c r="AB43" s="338">
        <f t="shared" si="21"/>
        <v>0</v>
      </c>
      <c r="AC43" s="338">
        <f t="shared" si="22"/>
        <v>65.049818637029517</v>
      </c>
      <c r="AF43" s="138">
        <f t="shared" si="23"/>
        <v>1</v>
      </c>
      <c r="AG43" s="138">
        <f t="shared" si="24"/>
        <v>10</v>
      </c>
      <c r="AH43" s="138">
        <f t="shared" si="25"/>
        <v>31</v>
      </c>
      <c r="AI43" s="138">
        <f t="shared" si="48"/>
        <v>653</v>
      </c>
      <c r="AJ43" s="138">
        <f t="shared" si="26"/>
        <v>670</v>
      </c>
      <c r="AL43" s="136">
        <f t="shared" si="27"/>
        <v>3.2669999999999999</v>
      </c>
      <c r="AM43" s="258">
        <f t="shared" si="49"/>
        <v>-0.09</v>
      </c>
      <c r="AN43" s="258">
        <f t="shared" si="28"/>
        <v>0</v>
      </c>
      <c r="AO43" s="258">
        <f t="shared" si="29"/>
        <v>3.5000000000000003E-2</v>
      </c>
      <c r="AP43" s="258">
        <f t="shared" si="30"/>
        <v>0.04</v>
      </c>
      <c r="AQ43" s="136">
        <f t="shared" si="31"/>
        <v>0</v>
      </c>
      <c r="AR43" s="137">
        <f t="shared" si="32"/>
        <v>1.15E-2</v>
      </c>
      <c r="AS43" s="136">
        <f t="shared" si="50"/>
        <v>3.177</v>
      </c>
      <c r="AT43" s="137">
        <f t="shared" si="33"/>
        <v>3.3906701822071103E-2</v>
      </c>
      <c r="AU43" s="137">
        <f t="shared" si="34"/>
        <v>0.94044736396755513</v>
      </c>
      <c r="AV43" s="394">
        <f t="shared" si="51"/>
        <v>20349.400061529959</v>
      </c>
      <c r="AW43" s="137">
        <f t="shared" si="35"/>
        <v>0.3725</v>
      </c>
      <c r="AX43" s="137">
        <f t="shared" si="36"/>
        <v>0.63</v>
      </c>
      <c r="AY43" s="137">
        <f t="shared" si="37"/>
        <v>0.68</v>
      </c>
      <c r="AZ43" s="137"/>
      <c r="BA43" s="264"/>
      <c r="BB43" s="258">
        <f t="shared" si="38"/>
        <v>0</v>
      </c>
      <c r="BC43" s="258">
        <f t="shared" si="39"/>
        <v>0</v>
      </c>
      <c r="BD43" s="137">
        <f t="shared" si="40"/>
        <v>3.5144750946347614E-5</v>
      </c>
      <c r="BE43" s="137">
        <f t="shared" si="41"/>
        <v>4.3833320035158163E-5</v>
      </c>
      <c r="BF43" s="137">
        <f>_xll.xSPRDOPT($BW43,$BV43,$CG43,0,$BY43,$BX43,$BZ43,$AJ43,1,4)*$CB43</f>
        <v>1.7601520320231909</v>
      </c>
      <c r="BG43" s="137">
        <f>_xll.xSPRDOPT($BW43,$BV43,$CG43,0,$BY43,$BX43,$BZ43,$AJ43,1,3)*$CB43</f>
        <v>1.6278648547702541</v>
      </c>
      <c r="BH43" s="137">
        <f>IF(OR(BF43&lt;&gt;0,BG43&lt;&gt;0),_xll.xSPRDOPT($BW43,$BV43,$CG43,0,$BY43,$BX43,$BZ43,$AJ43,1,12)*$CB43,0)</f>
        <v>-1.6927161989405346</v>
      </c>
      <c r="BI43" s="137">
        <f>_xll.xSPRDOPT($BW43,$BV43,$CG43,2*LN(1+CA43/2),$BY43,$BX43,$BZ43,$AJ43,1,9)</f>
        <v>-7.9702432119396413E-4</v>
      </c>
      <c r="BJ43" s="137">
        <f>_xll.xSPRDOPT($BW43,$BV43,$CG43,0,$BY43,$BX43,$BZ43,$AJ43,1,6)*$CB43</f>
        <v>-4.2072626187477688E-2</v>
      </c>
      <c r="BK43" s="137">
        <f>_xll.xSPRDOPT($BW43,$BV43,$CG43,0,$BY43,$BX43,$BZ43,$AJ43,1,5)*$CB43</f>
        <v>9.0009881470126424E-2</v>
      </c>
      <c r="BL43" s="137">
        <f>_xll.xSPRDOPT(BW43,BV43,CG43,0,BY43,BX43,BZ43,AJ43,1,2)*CB43</f>
        <v>-0.83410429875041936</v>
      </c>
      <c r="BM43" s="137">
        <f>_xll.xSPRDOPT(BW43,BV43,CG43,0,BY43,BX43,BZ43,AJ43,1,1)*CB43</f>
        <v>0.83972386808952659</v>
      </c>
      <c r="BN43" s="137">
        <f>IF(AH43&lt;&gt;0,_xll.xSPRDOPT($BW43,$BV43,$CG43,2*LN(1+CA43/2),$BY43,$BX43,$BZ43,$AJ43,1,8)+(AJ43/365.25)*CH43/AH43,0)</f>
        <v>1.6439513395853006E-2</v>
      </c>
      <c r="BO43" s="137">
        <f>_xll.xSPRDOPT($BW43,$BV43,$CG43,0,$BY43,$BX43,$BZ43,$AJ43,1,0)</f>
        <v>0.13356787296300326</v>
      </c>
      <c r="BP43" s="137"/>
      <c r="BQ43" s="137"/>
      <c r="BR43" s="137"/>
      <c r="BS43" s="137"/>
      <c r="BV43" s="262">
        <v>3.2139605462822458</v>
      </c>
      <c r="BW43" s="136">
        <v>3.3420000000000001</v>
      </c>
      <c r="BX43" s="137">
        <v>0.38041410598552006</v>
      </c>
      <c r="BY43" s="137">
        <v>0.38239613708688597</v>
      </c>
      <c r="BZ43" s="137">
        <v>0.99811571883279926</v>
      </c>
      <c r="CA43" s="137">
        <v>3.3906701822071103E-2</v>
      </c>
      <c r="CB43" s="137">
        <v>0.94018768577798628</v>
      </c>
      <c r="CC43" s="258">
        <v>-0.09</v>
      </c>
      <c r="CD43" s="258">
        <v>0</v>
      </c>
      <c r="CE43" s="258">
        <v>3.5000000000000003E-2</v>
      </c>
      <c r="CF43" s="258">
        <v>0.04</v>
      </c>
      <c r="CG43" s="258">
        <v>0</v>
      </c>
      <c r="CH43" s="258">
        <v>4.1707665928797244</v>
      </c>
      <c r="CI43" s="258">
        <v>3.2669999999999999</v>
      </c>
      <c r="CJ43" s="258"/>
      <c r="CK43" s="258"/>
      <c r="CL43" s="258"/>
      <c r="CM43" s="258"/>
    </row>
    <row r="44" spans="1:91" x14ac:dyDescent="0.25">
      <c r="A44" s="723"/>
      <c r="B44" s="723"/>
      <c r="D44" s="31">
        <f t="shared" si="42"/>
        <v>37940</v>
      </c>
      <c r="F44" s="28">
        <f t="shared" si="12"/>
        <v>60000</v>
      </c>
      <c r="G44" s="28">
        <f t="shared" si="13"/>
        <v>56167.883072118013</v>
      </c>
      <c r="H44" s="52">
        <f t="shared" si="14"/>
        <v>3.4719271623672228</v>
      </c>
      <c r="I44" s="52">
        <f t="shared" si="15"/>
        <v>3.5620000000000003</v>
      </c>
      <c r="K44" s="52">
        <f t="shared" si="43"/>
        <v>2.5296003060658592</v>
      </c>
      <c r="L44" s="135">
        <f t="shared" si="44"/>
        <v>1.001162937983763</v>
      </c>
      <c r="N44" s="131">
        <f t="shared" si="45"/>
        <v>0.39054105750428664</v>
      </c>
      <c r="O44" s="131">
        <f t="shared" si="46"/>
        <v>0.38567537328980672</v>
      </c>
      <c r="P44" s="55">
        <f t="shared" si="47"/>
        <v>0.99551717803949413</v>
      </c>
      <c r="Q44" s="135">
        <f>_xll.xSPRDOPT(I44,H44,AQ44,0,O44,N44,P44,D44-$G$5,1,0)*AH44*AU44</f>
        <v>3.5307632440496222</v>
      </c>
      <c r="R44" s="135"/>
      <c r="S44" s="181">
        <f>_xll.xSPRDOPT(I44,H44,AQ44,AT44,O44,N44,P44,D44-$G$5,1,2)*AF44*(F44/(1-AR44))*AH44</f>
        <v>-1162440.8981825004</v>
      </c>
      <c r="T44" s="181">
        <f>_xll.xSPRDOPT(I44,H44,AQ44,AT44,O44,N44,P44,D44-$G$5,1,1)*AF44*F44*AH44</f>
        <v>1179455.7892563457</v>
      </c>
      <c r="U44" s="135"/>
      <c r="V44" s="146">
        <f t="shared" si="16"/>
        <v>4.0188120338100441</v>
      </c>
      <c r="W44" s="146"/>
      <c r="X44" s="338">
        <f t="shared" si="17"/>
        <v>0</v>
      </c>
      <c r="Y44" s="338">
        <f t="shared" si="18"/>
        <v>0</v>
      </c>
      <c r="Z44" s="338">
        <f t="shared" si="19"/>
        <v>-168.56570958583927</v>
      </c>
      <c r="AA44" s="338">
        <f t="shared" si="20"/>
        <v>27.944972230805849</v>
      </c>
      <c r="AB44" s="338">
        <f t="shared" si="21"/>
        <v>0</v>
      </c>
      <c r="AC44" s="338">
        <f t="shared" si="22"/>
        <v>60.598036952365298</v>
      </c>
      <c r="AF44" s="138">
        <f t="shared" si="23"/>
        <v>1</v>
      </c>
      <c r="AG44" s="138">
        <f t="shared" si="24"/>
        <v>11</v>
      </c>
      <c r="AH44" s="138">
        <f t="shared" si="25"/>
        <v>30</v>
      </c>
      <c r="AI44" s="138">
        <f t="shared" si="48"/>
        <v>684</v>
      </c>
      <c r="AJ44" s="138">
        <f t="shared" si="26"/>
        <v>701</v>
      </c>
      <c r="AL44" s="136">
        <f t="shared" si="27"/>
        <v>3.4020000000000001</v>
      </c>
      <c r="AM44" s="258">
        <f t="shared" si="49"/>
        <v>0</v>
      </c>
      <c r="AN44" s="258">
        <f t="shared" si="28"/>
        <v>0.03</v>
      </c>
      <c r="AO44" s="258">
        <f t="shared" si="29"/>
        <v>0.125</v>
      </c>
      <c r="AP44" s="258">
        <f t="shared" si="30"/>
        <v>3.5000000000000003E-2</v>
      </c>
      <c r="AQ44" s="136">
        <f t="shared" si="31"/>
        <v>0</v>
      </c>
      <c r="AR44" s="137">
        <f t="shared" si="32"/>
        <v>1.15E-2</v>
      </c>
      <c r="AS44" s="136">
        <f t="shared" si="50"/>
        <v>3.4319999999999999</v>
      </c>
      <c r="AT44" s="137">
        <f t="shared" si="33"/>
        <v>3.4836153967131397E-2</v>
      </c>
      <c r="AU44" s="137">
        <f t="shared" si="34"/>
        <v>0.9361313845353002</v>
      </c>
      <c r="AV44" s="394">
        <f t="shared" si="51"/>
        <v>19602.591192169188</v>
      </c>
      <c r="AW44" s="137">
        <f t="shared" si="35"/>
        <v>0.37</v>
      </c>
      <c r="AX44" s="137">
        <f t="shared" si="36"/>
        <v>0.93</v>
      </c>
      <c r="AY44" s="137">
        <f t="shared" si="37"/>
        <v>0.83</v>
      </c>
      <c r="AZ44" s="137"/>
      <c r="BA44" s="264"/>
      <c r="BB44" s="258">
        <f t="shared" si="38"/>
        <v>0</v>
      </c>
      <c r="BC44" s="258">
        <f t="shared" si="39"/>
        <v>0</v>
      </c>
      <c r="BD44" s="137">
        <f t="shared" si="40"/>
        <v>8.5483135632558049E-5</v>
      </c>
      <c r="BE44" s="137">
        <f t="shared" si="41"/>
        <v>6.5633014911969934E-5</v>
      </c>
      <c r="BF44" s="137">
        <f>_xll.xSPRDOPT($BW44,$BV44,$CG44,0,$BY44,$BX44,$BZ44,$AJ44,1,4)*$CB44</f>
        <v>1.8753542041842699</v>
      </c>
      <c r="BG44" s="137">
        <f>_xll.xSPRDOPT($BW44,$BV44,$CG44,0,$BY44,$BX44,$BZ44,$AJ44,1,3)*$CB44</f>
        <v>1.7817085747776256</v>
      </c>
      <c r="BH44" s="137">
        <f>IF(OR(BF44&lt;&gt;0,BG44&lt;&gt;0),_xll.xSPRDOPT($BW44,$BV44,$CG44,0,$BY44,$BX44,$BZ44,$AJ44,1,12)*$CB44,0)</f>
        <v>-1.8279328133933215</v>
      </c>
      <c r="BI44" s="137">
        <f>_xll.xSPRDOPT($BW44,$BV44,$CG44,2*LN(1+CA44/2),$BY44,$BX44,$BZ44,$AJ44,1,9)</f>
        <v>-1.1401597301153296E-2</v>
      </c>
      <c r="BJ44" s="137">
        <f>_xll.xSPRDOPT($BW44,$BV44,$CG44,0,$BY44,$BX44,$BZ44,$AJ44,1,6)*$CB44</f>
        <v>0.28494576993014153</v>
      </c>
      <c r="BK44" s="137">
        <f>_xll.xSPRDOPT($BW44,$BV44,$CG44,0,$BY44,$BX44,$BZ44,$AJ44,1,5)*$CB44</f>
        <v>-0.13458277572711513</v>
      </c>
      <c r="BL44" s="137">
        <f>_xll.xSPRDOPT(BW44,BV44,CG44,0,BY44,BX44,BZ44,AJ44,1,2)*CB44</f>
        <v>-0.63855807470893511</v>
      </c>
      <c r="BM44" s="137">
        <f>_xll.xSPRDOPT(BW44,BV44,CG44,0,BY44,BX44,BZ44,AJ44,1,1)*CB44</f>
        <v>0.65544244914539707</v>
      </c>
      <c r="BN44" s="137">
        <f>IF(AH44&lt;&gt;0,_xll.xSPRDOPT($BW44,$BV44,$CG44,2*LN(1+CA44/2),$BY44,$BX44,$BZ44,$AJ44,1,8)+(AJ44/365.25)*CH44/AH44,0)</f>
        <v>3.1213446803952161E-2</v>
      </c>
      <c r="BO44" s="137">
        <f>_xll.xSPRDOPT($BW44,$BV44,$CG44,0,$BY44,$BX44,$BZ44,$AJ44,1,0)</f>
        <v>0.12572197873022525</v>
      </c>
      <c r="BP44" s="137"/>
      <c r="BQ44" s="137"/>
      <c r="BR44" s="137"/>
      <c r="BS44" s="137"/>
      <c r="BV44" s="262">
        <v>3.4719271623672228</v>
      </c>
      <c r="BW44" s="136">
        <v>3.5620000000000003</v>
      </c>
      <c r="BX44" s="137">
        <v>0.39045557436865408</v>
      </c>
      <c r="BY44" s="137">
        <v>0.38560974027489475</v>
      </c>
      <c r="BZ44" s="137">
        <v>0.99553429406133043</v>
      </c>
      <c r="CA44" s="137">
        <v>3.4836153967131397E-2</v>
      </c>
      <c r="CB44" s="137">
        <v>0.93586587426758006</v>
      </c>
      <c r="CC44" s="258">
        <v>0</v>
      </c>
      <c r="CD44" s="258">
        <v>0.03</v>
      </c>
      <c r="CE44" s="258">
        <v>0.125</v>
      </c>
      <c r="CF44" s="258">
        <v>3.5000000000000003E-2</v>
      </c>
      <c r="CG44" s="258">
        <v>0</v>
      </c>
      <c r="CH44" s="258">
        <v>4.0176721982307217</v>
      </c>
      <c r="CI44" s="258">
        <v>3.4020000000000001</v>
      </c>
      <c r="CJ44" s="258"/>
      <c r="CK44" s="258"/>
      <c r="CL44" s="258"/>
      <c r="CM44" s="258"/>
    </row>
    <row r="45" spans="1:91" x14ac:dyDescent="0.25">
      <c r="A45" s="723"/>
      <c r="B45" s="723"/>
      <c r="D45" s="31">
        <f t="shared" si="42"/>
        <v>37970</v>
      </c>
      <c r="F45" s="28">
        <f t="shared" si="12"/>
        <v>60000</v>
      </c>
      <c r="G45" s="28">
        <f t="shared" si="13"/>
        <v>55910.196161718974</v>
      </c>
      <c r="H45" s="52">
        <f t="shared" si="14"/>
        <v>3.6135558927668177</v>
      </c>
      <c r="I45" s="52">
        <f t="shared" si="15"/>
        <v>3.6970000000000001</v>
      </c>
      <c r="K45" s="52">
        <f t="shared" si="43"/>
        <v>2.4104444753724832</v>
      </c>
      <c r="L45" s="135">
        <f t="shared" si="44"/>
        <v>1.6483557992768048</v>
      </c>
      <c r="N45" s="131">
        <f t="shared" si="45"/>
        <v>0.4044454821686197</v>
      </c>
      <c r="O45" s="131">
        <f t="shared" si="46"/>
        <v>0.40140013690941595</v>
      </c>
      <c r="P45" s="55">
        <f t="shared" si="47"/>
        <v>0.99375698777919974</v>
      </c>
      <c r="Q45" s="135">
        <f>_xll.xSPRDOPT(I45,H45,AQ45,0,O45,N45,P45,D45-$G$5,1,0)*AH45*AU45</f>
        <v>4.0588002746492879</v>
      </c>
      <c r="R45" s="135"/>
      <c r="S45" s="181">
        <f>_xll.xSPRDOPT(I45,H45,AQ45,AT45,O45,N45,P45,D45-$G$5,1,2)*AF45*(F45/(1-AR45))*AH45</f>
        <v>-1100384.3165096473</v>
      </c>
      <c r="T45" s="181">
        <f>_xll.xSPRDOPT(I45,H45,AQ45,AT45,O45,N45,P45,D45-$G$5,1,1)*AF45*F45*AH45</f>
        <v>1129009.3095998107</v>
      </c>
      <c r="U45" s="135"/>
      <c r="V45" s="146">
        <f t="shared" si="16"/>
        <v>4.1337203532166917</v>
      </c>
      <c r="W45" s="146"/>
      <c r="X45" s="338">
        <f t="shared" si="17"/>
        <v>0</v>
      </c>
      <c r="Y45" s="338">
        <f t="shared" si="18"/>
        <v>0</v>
      </c>
      <c r="Z45" s="338">
        <f t="shared" si="19"/>
        <v>-238.7653802782097</v>
      </c>
      <c r="AA45" s="338">
        <f t="shared" si="20"/>
        <v>50.814953046185053</v>
      </c>
      <c r="AB45" s="338">
        <f t="shared" si="21"/>
        <v>0</v>
      </c>
      <c r="AC45" s="338">
        <f t="shared" si="22"/>
        <v>71.45886613668425</v>
      </c>
      <c r="AF45" s="138">
        <f t="shared" si="23"/>
        <v>1</v>
      </c>
      <c r="AG45" s="138">
        <f t="shared" si="24"/>
        <v>12</v>
      </c>
      <c r="AH45" s="138">
        <f t="shared" si="25"/>
        <v>31</v>
      </c>
      <c r="AI45" s="138">
        <f t="shared" si="48"/>
        <v>714</v>
      </c>
      <c r="AJ45" s="138">
        <f t="shared" si="26"/>
        <v>731</v>
      </c>
      <c r="AL45" s="136">
        <f t="shared" si="27"/>
        <v>3.5369999999999999</v>
      </c>
      <c r="AM45" s="258">
        <f t="shared" si="49"/>
        <v>5.0000000000000001E-3</v>
      </c>
      <c r="AN45" s="258">
        <f t="shared" si="28"/>
        <v>0.03</v>
      </c>
      <c r="AO45" s="258">
        <f t="shared" si="29"/>
        <v>0.125</v>
      </c>
      <c r="AP45" s="258">
        <f t="shared" si="30"/>
        <v>3.5000000000000003E-2</v>
      </c>
      <c r="AQ45" s="136">
        <f t="shared" si="31"/>
        <v>0</v>
      </c>
      <c r="AR45" s="137">
        <f t="shared" si="32"/>
        <v>1.15E-2</v>
      </c>
      <c r="AS45" s="136">
        <f t="shared" si="50"/>
        <v>3.5719999999999996</v>
      </c>
      <c r="AT45" s="137">
        <f t="shared" si="33"/>
        <v>3.5735624061610197E-2</v>
      </c>
      <c r="AU45" s="137">
        <f t="shared" si="34"/>
        <v>0.93183660269531621</v>
      </c>
      <c r="AV45" s="394">
        <f t="shared" si="51"/>
        <v>20163.080409121252</v>
      </c>
      <c r="AW45" s="137">
        <f t="shared" si="35"/>
        <v>0.37</v>
      </c>
      <c r="AX45" s="137">
        <f t="shared" si="36"/>
        <v>1.18</v>
      </c>
      <c r="AY45" s="137">
        <f t="shared" si="37"/>
        <v>1.1299999999999999</v>
      </c>
      <c r="AZ45" s="137"/>
      <c r="BA45" s="264"/>
      <c r="BB45" s="258">
        <f t="shared" si="38"/>
        <v>0</v>
      </c>
      <c r="BC45" s="258">
        <f t="shared" si="39"/>
        <v>0</v>
      </c>
      <c r="BD45" s="137">
        <f t="shared" si="40"/>
        <v>1.3508878508050604E-4</v>
      </c>
      <c r="BE45" s="137">
        <f t="shared" si="41"/>
        <v>1.2359025586688999E-4</v>
      </c>
      <c r="BF45" s="137">
        <f>_xll.xSPRDOPT($BW45,$BV45,$CG45,0,$BY45,$BX45,$BZ45,$AJ45,1,4)*$CB45</f>
        <v>1.5305495005738101</v>
      </c>
      <c r="BG45" s="137">
        <f>_xll.xSPRDOPT($BW45,$BV45,$CG45,0,$BY45,$BX45,$BZ45,$AJ45,1,3)*$CB45</f>
        <v>1.462237830016315</v>
      </c>
      <c r="BH45" s="137">
        <f>IF(OR(BF45&lt;&gt;0,BG45&lt;&gt;0),_xll.xSPRDOPT($BW45,$BV45,$CG45,0,$BY45,$BX45,$BZ45,$AJ45,1,12)*$CB45,0)</f>
        <v>-1.4960045223305654</v>
      </c>
      <c r="BI45" s="137">
        <f>_xll.xSPRDOPT($BW45,$BV45,$CG45,2*LN(1+CA45/2),$BY45,$BX45,$BZ45,$AJ45,1,9)</f>
        <v>-1.5628862929501091E-2</v>
      </c>
      <c r="BJ45" s="137">
        <f>_xll.xSPRDOPT($BW45,$BV45,$CG45,0,$BY45,$BX45,$BZ45,$AJ45,1,6)*$CB45</f>
        <v>0.2212047093540041</v>
      </c>
      <c r="BK45" s="137">
        <f>_xll.xSPRDOPT($BW45,$BV45,$CG45,0,$BY45,$BX45,$BZ45,$AJ45,1,5)*$CB45</f>
        <v>-2.0733092537221526E-2</v>
      </c>
      <c r="BL45" s="137">
        <f>_xll.xSPRDOPT(BW45,BV45,CG45,0,BY45,BX45,BZ45,AJ45,1,2)*CB45</f>
        <v>-0.58499809326986607</v>
      </c>
      <c r="BM45" s="137">
        <f>_xll.xSPRDOPT(BW45,BV45,CG45,0,BY45,BX45,BZ45,AJ45,1,1)*CB45</f>
        <v>0.60719893259121327</v>
      </c>
      <c r="BN45" s="137">
        <f>IF(AH45&lt;&gt;0,_xll.xSPRDOPT($BW45,$BV45,$CG45,2*LN(1+CA45/2),$BY45,$BX45,$BZ45,$AJ45,1,8)+(AJ45/365.25)*CH45/AH45,0)</f>
        <v>4.8347698824008356E-3</v>
      </c>
      <c r="BO45" s="137">
        <f>_xll.xSPRDOPT($BW45,$BV45,$CG45,0,$BY45,$BX45,$BZ45,$AJ45,1,0)</f>
        <v>0.14050680463179702</v>
      </c>
      <c r="BP45" s="137"/>
      <c r="BQ45" s="137"/>
      <c r="BR45" s="137"/>
      <c r="BS45" s="137"/>
      <c r="BV45" s="262">
        <v>3.6135558927668177</v>
      </c>
      <c r="BW45" s="136">
        <v>3.6970000000000001</v>
      </c>
      <c r="BX45" s="137">
        <v>0.40431039338353919</v>
      </c>
      <c r="BY45" s="137">
        <v>0.40127654665354906</v>
      </c>
      <c r="BZ45" s="137">
        <v>0.99377846511182599</v>
      </c>
      <c r="CA45" s="137">
        <v>3.5735624061610197E-2</v>
      </c>
      <c r="CB45" s="137">
        <v>0.93156554756707821</v>
      </c>
      <c r="CC45" s="258">
        <v>5.0000000000000001E-3</v>
      </c>
      <c r="CD45" s="258">
        <v>0.03</v>
      </c>
      <c r="CE45" s="258">
        <v>0.125</v>
      </c>
      <c r="CF45" s="258">
        <v>3.5000000000000003E-2</v>
      </c>
      <c r="CG45" s="258">
        <v>0</v>
      </c>
      <c r="CH45" s="258">
        <v>4.1325179255623157</v>
      </c>
      <c r="CI45" s="258">
        <v>3.5369999999999999</v>
      </c>
      <c r="CJ45" s="258"/>
      <c r="CK45" s="258"/>
      <c r="CL45" s="258"/>
      <c r="CM45" s="258"/>
    </row>
    <row r="46" spans="1:91" x14ac:dyDescent="0.25">
      <c r="A46" s="723"/>
      <c r="B46" s="723"/>
      <c r="D46" s="31">
        <f t="shared" si="42"/>
        <v>38001</v>
      </c>
      <c r="F46" s="28">
        <f t="shared" si="12"/>
        <v>60000</v>
      </c>
      <c r="G46" s="28">
        <f t="shared" si="13"/>
        <v>55640.772508080918</v>
      </c>
      <c r="H46" s="52">
        <f t="shared" si="14"/>
        <v>3.6944865958523008</v>
      </c>
      <c r="I46" s="52">
        <f t="shared" si="15"/>
        <v>3.7570000000000001</v>
      </c>
      <c r="K46" s="52">
        <f t="shared" si="43"/>
        <v>1.7971186177587284</v>
      </c>
      <c r="L46" s="135">
        <f t="shared" si="44"/>
        <v>1.8506777541122239</v>
      </c>
      <c r="N46" s="131">
        <f t="shared" si="45"/>
        <v>0.4013279239775156</v>
      </c>
      <c r="O46" s="131">
        <f t="shared" si="46"/>
        <v>0.39846104346073596</v>
      </c>
      <c r="P46" s="55">
        <f t="shared" si="47"/>
        <v>0.99422343824540593</v>
      </c>
      <c r="Q46" s="135">
        <f>_xll.xSPRDOPT(I46,H46,AQ46,0,O46,N46,P46,D46-$G$5,1,0)*AH46*AU46</f>
        <v>3.6477963718709523</v>
      </c>
      <c r="R46" s="135"/>
      <c r="S46" s="181">
        <f>_xll.xSPRDOPT(I46,H46,AQ46,AT46,O46,N46,P46,D46-$G$5,1,2)*AF46*(F46/(1-AR46))*AH46</f>
        <v>-1036658.3982798997</v>
      </c>
      <c r="T46" s="181">
        <f>_xll.xSPRDOPT(I46,H46,AQ46,AT46,O46,N46,P46,D46-$G$5,1,1)*AF46*F46*AH46</f>
        <v>1065901.881553665</v>
      </c>
      <c r="U46" s="135"/>
      <c r="V46" s="146">
        <f t="shared" si="16"/>
        <v>4.1138005153849626</v>
      </c>
      <c r="W46" s="146"/>
      <c r="X46" s="338">
        <f t="shared" si="17"/>
        <v>0</v>
      </c>
      <c r="Y46" s="338">
        <f t="shared" si="18"/>
        <v>0</v>
      </c>
      <c r="Z46" s="338">
        <f t="shared" si="19"/>
        <v>-236.6851850218176</v>
      </c>
      <c r="AA46" s="338">
        <f t="shared" si="20"/>
        <v>45.663452832273116</v>
      </c>
      <c r="AB46" s="338">
        <f t="shared" si="21"/>
        <v>0</v>
      </c>
      <c r="AC46" s="338">
        <f t="shared" si="22"/>
        <v>65.828562325417806</v>
      </c>
      <c r="AF46" s="138">
        <f t="shared" si="23"/>
        <v>1</v>
      </c>
      <c r="AG46" s="138">
        <f t="shared" si="24"/>
        <v>1</v>
      </c>
      <c r="AH46" s="138">
        <f t="shared" si="25"/>
        <v>31</v>
      </c>
      <c r="AI46" s="138">
        <f t="shared" si="48"/>
        <v>745</v>
      </c>
      <c r="AJ46" s="138">
        <f t="shared" si="26"/>
        <v>762</v>
      </c>
      <c r="AL46" s="136">
        <f t="shared" si="27"/>
        <v>3.597</v>
      </c>
      <c r="AM46" s="258">
        <f t="shared" si="49"/>
        <v>2.5000000000000001E-2</v>
      </c>
      <c r="AN46" s="258">
        <f t="shared" si="28"/>
        <v>0.03</v>
      </c>
      <c r="AO46" s="258">
        <f t="shared" si="29"/>
        <v>0.125</v>
      </c>
      <c r="AP46" s="258">
        <f t="shared" si="30"/>
        <v>3.5000000000000003E-2</v>
      </c>
      <c r="AQ46" s="136">
        <f t="shared" si="31"/>
        <v>0</v>
      </c>
      <c r="AR46" s="137">
        <f t="shared" si="32"/>
        <v>1.15E-2</v>
      </c>
      <c r="AS46" s="136">
        <f t="shared" si="50"/>
        <v>3.6519999999999997</v>
      </c>
      <c r="AT46" s="137">
        <f t="shared" si="33"/>
        <v>3.6629399588957501E-2</v>
      </c>
      <c r="AU46" s="137">
        <f t="shared" si="34"/>
        <v>0.9273462084680153</v>
      </c>
      <c r="AV46" s="394">
        <f t="shared" si="51"/>
        <v>20065.917258830916</v>
      </c>
      <c r="AW46" s="137">
        <f t="shared" si="35"/>
        <v>0.37</v>
      </c>
      <c r="AX46" s="137">
        <f t="shared" si="36"/>
        <v>1.1499999999999999</v>
      </c>
      <c r="AY46" s="137">
        <f t="shared" si="37"/>
        <v>1.1000000000000001</v>
      </c>
      <c r="AZ46" s="137"/>
      <c r="BA46" s="264"/>
      <c r="BB46" s="258">
        <f t="shared" si="38"/>
        <v>0</v>
      </c>
      <c r="BC46" s="258">
        <f t="shared" si="39"/>
        <v>0</v>
      </c>
      <c r="BD46" s="137">
        <f t="shared" si="40"/>
        <v>1.1830893035996715E-4</v>
      </c>
      <c r="BE46" s="137">
        <f t="shared" si="41"/>
        <v>1.0785190086759489E-4</v>
      </c>
      <c r="BF46" s="137">
        <f>_xll.xSPRDOPT($BW46,$BV46,$CG46,0,$BY46,$BX46,$BZ46,$AJ46,1,4)*$CB46</f>
        <v>1.5666261829864816</v>
      </c>
      <c r="BG46" s="137">
        <f>_xll.xSPRDOPT($BW46,$BV46,$CG46,0,$BY46,$BX46,$BZ46,$AJ46,1,3)*$CB46</f>
        <v>1.5149251206051715</v>
      </c>
      <c r="BH46" s="137">
        <f>IF(OR(BF46&lt;&gt;0,BG46&lt;&gt;0),_xll.xSPRDOPT($BW46,$BV46,$CG46,0,$BY46,$BX46,$BZ46,$AJ46,1,12)*$CB46,0)</f>
        <v>-1.540558477815835</v>
      </c>
      <c r="BI46" s="137">
        <f>_xll.xSPRDOPT($BW46,$BV46,$CG46,2*LN(1+CA46/2),$BY46,$BX46,$BZ46,$AJ46,1,9)</f>
        <v>-1.5492699610971127E-2</v>
      </c>
      <c r="BJ46" s="137">
        <f>_xll.xSPRDOPT($BW46,$BV46,$CG46,0,$BY46,$BX46,$BZ46,$AJ46,1,6)*$CB46</f>
        <v>0.22975104886730385</v>
      </c>
      <c r="BK46" s="137">
        <f>_xll.xSPRDOPT($BW46,$BV46,$CG46,0,$BY46,$BX46,$BZ46,$AJ46,1,5)*$CB46</f>
        <v>-2.4397876729037083E-2</v>
      </c>
      <c r="BL46" s="137">
        <f>_xll.xSPRDOPT(BW46,BV46,CG46,0,BY46,BX46,BZ46,AJ46,1,2)*CB46</f>
        <v>-0.55114853814599862</v>
      </c>
      <c r="BM46" s="137">
        <f>_xll.xSPRDOPT(BW46,BV46,CG46,0,BY46,BX46,BZ46,AJ46,1,1)*CB46</f>
        <v>0.57328902433505613</v>
      </c>
      <c r="BN46" s="137">
        <f>IF(AH46&lt;&gt;0,_xll.xSPRDOPT($BW46,$BV46,$CG46,2*LN(1+CA46/2),$BY46,$BX46,$BZ46,$AJ46,1,8)+(AJ46/365.25)*CH46/AH46,0)</f>
        <v>3.1351195343410243E-2</v>
      </c>
      <c r="BO46" s="137">
        <f>_xll.xSPRDOPT($BW46,$BV46,$CG46,0,$BY46,$BX46,$BZ46,$AJ46,1,0)</f>
        <v>0.12689022691630089</v>
      </c>
      <c r="BP46" s="137"/>
      <c r="BQ46" s="137"/>
      <c r="BR46" s="137"/>
      <c r="BS46" s="137"/>
      <c r="BV46" s="262">
        <v>3.6944865958523008</v>
      </c>
      <c r="BW46" s="136">
        <v>3.7570000000000001</v>
      </c>
      <c r="BX46" s="137">
        <v>0.40120961504715563</v>
      </c>
      <c r="BY46" s="137">
        <v>0.39835319155986837</v>
      </c>
      <c r="BZ46" s="137">
        <v>0.9942427947435547</v>
      </c>
      <c r="CA46" s="137">
        <v>3.6629399588957501E-2</v>
      </c>
      <c r="CB46" s="137">
        <v>0.92706977474295649</v>
      </c>
      <c r="CC46" s="258">
        <v>2.5000000000000001E-2</v>
      </c>
      <c r="CD46" s="258">
        <v>0.03</v>
      </c>
      <c r="CE46" s="258">
        <v>0.125</v>
      </c>
      <c r="CF46" s="258">
        <v>3.5000000000000003E-2</v>
      </c>
      <c r="CG46" s="258">
        <v>0</v>
      </c>
      <c r="CH46" s="258">
        <v>4.1125742277372286</v>
      </c>
      <c r="CI46" s="258">
        <v>3.597</v>
      </c>
      <c r="CJ46" s="258"/>
      <c r="CK46" s="258"/>
      <c r="CL46" s="258"/>
      <c r="CM46" s="258"/>
    </row>
    <row r="47" spans="1:91" x14ac:dyDescent="0.25">
      <c r="A47" s="723"/>
      <c r="B47" s="723"/>
      <c r="D47" s="31">
        <f t="shared" si="42"/>
        <v>38032</v>
      </c>
      <c r="F47" s="28">
        <f t="shared" si="12"/>
        <v>60000</v>
      </c>
      <c r="G47" s="28">
        <f t="shared" si="13"/>
        <v>55368.915657023368</v>
      </c>
      <c r="H47" s="52">
        <f t="shared" si="14"/>
        <v>3.6034395548811329</v>
      </c>
      <c r="I47" s="52">
        <f t="shared" si="15"/>
        <v>3.6720000000000002</v>
      </c>
      <c r="K47" s="52">
        <f t="shared" si="43"/>
        <v>1.8347901265440285</v>
      </c>
      <c r="L47" s="135">
        <f t="shared" si="44"/>
        <v>1.5302706202219052</v>
      </c>
      <c r="N47" s="131">
        <f t="shared" si="45"/>
        <v>0.39830547143725015</v>
      </c>
      <c r="O47" s="131">
        <f t="shared" si="46"/>
        <v>0.39570655947863848</v>
      </c>
      <c r="P47" s="55">
        <f t="shared" si="47"/>
        <v>0.99472324891877251</v>
      </c>
      <c r="Q47" s="135">
        <f>_xll.xSPRDOPT(I47,H47,AQ47,0,O47,N47,P47,D47-$G$5,1,0)*AH47*AU47</f>
        <v>3.3650607467659337</v>
      </c>
      <c r="R47" s="135"/>
      <c r="S47" s="181">
        <f>_xll.xSPRDOPT(I47,H47,AQ47,AT47,O47,N47,P47,D47-$G$5,1,2)*AF47*(F47/(1-AR47))*AH47</f>
        <v>-992755.97748435615</v>
      </c>
      <c r="T47" s="181">
        <f>_xll.xSPRDOPT(I47,H47,AQ47,AT47,O47,N47,P47,D47-$G$5,1,1)*AF47*F47*AH47</f>
        <v>1017959.8939920834</v>
      </c>
      <c r="U47" s="135"/>
      <c r="V47" s="146">
        <f t="shared" si="16"/>
        <v>3.8295910514180216</v>
      </c>
      <c r="W47" s="146"/>
      <c r="X47" s="338">
        <f t="shared" si="17"/>
        <v>0</v>
      </c>
      <c r="Y47" s="338">
        <f t="shared" si="18"/>
        <v>0</v>
      </c>
      <c r="Z47" s="338">
        <f t="shared" si="19"/>
        <v>-190.43634531091314</v>
      </c>
      <c r="AA47" s="338">
        <f t="shared" si="20"/>
        <v>34.874073054255398</v>
      </c>
      <c r="AB47" s="338">
        <f t="shared" si="21"/>
        <v>0</v>
      </c>
      <c r="AC47" s="338">
        <f t="shared" si="22"/>
        <v>62.144394145743505</v>
      </c>
      <c r="AF47" s="138">
        <f t="shared" si="23"/>
        <v>1</v>
      </c>
      <c r="AG47" s="138">
        <f t="shared" si="24"/>
        <v>2</v>
      </c>
      <c r="AH47" s="138">
        <f t="shared" si="25"/>
        <v>29</v>
      </c>
      <c r="AI47" s="138">
        <f t="shared" si="48"/>
        <v>776</v>
      </c>
      <c r="AJ47" s="138">
        <f t="shared" si="26"/>
        <v>793</v>
      </c>
      <c r="AL47" s="136">
        <f t="shared" si="27"/>
        <v>3.512</v>
      </c>
      <c r="AM47" s="258">
        <f t="shared" si="49"/>
        <v>0.02</v>
      </c>
      <c r="AN47" s="258">
        <f t="shared" si="28"/>
        <v>0.03</v>
      </c>
      <c r="AO47" s="258">
        <f t="shared" si="29"/>
        <v>0.125</v>
      </c>
      <c r="AP47" s="258">
        <f t="shared" si="30"/>
        <v>3.5000000000000003E-2</v>
      </c>
      <c r="AQ47" s="136">
        <f t="shared" si="31"/>
        <v>0</v>
      </c>
      <c r="AR47" s="137">
        <f t="shared" si="32"/>
        <v>1.15E-2</v>
      </c>
      <c r="AS47" s="136">
        <f t="shared" si="50"/>
        <v>3.5619999999999998</v>
      </c>
      <c r="AT47" s="137">
        <f t="shared" si="33"/>
        <v>3.74851197051385E-2</v>
      </c>
      <c r="AU47" s="137">
        <f t="shared" si="34"/>
        <v>0.92281526095038946</v>
      </c>
      <c r="AV47" s="394">
        <f t="shared" si="51"/>
        <v>18679.626512157782</v>
      </c>
      <c r="AW47" s="137">
        <f t="shared" si="35"/>
        <v>0.37</v>
      </c>
      <c r="AX47" s="137">
        <f t="shared" si="36"/>
        <v>1.1499999999999999</v>
      </c>
      <c r="AY47" s="137">
        <f t="shared" si="37"/>
        <v>1.1000000000000001</v>
      </c>
      <c r="AZ47" s="137"/>
      <c r="BA47" s="264"/>
      <c r="BB47" s="258">
        <f t="shared" si="38"/>
        <v>0</v>
      </c>
      <c r="BC47" s="258">
        <f t="shared" si="39"/>
        <v>0</v>
      </c>
      <c r="BD47" s="137">
        <f t="shared" si="40"/>
        <v>1.0322589437589125E-4</v>
      </c>
      <c r="BE47" s="137">
        <f t="shared" si="41"/>
        <v>9.4043549321132236E-5</v>
      </c>
      <c r="BF47" s="137">
        <f>_xll.xSPRDOPT($BW47,$BV47,$CG47,0,$BY47,$BX47,$BZ47,$AJ47,1,4)*$CB47</f>
        <v>1.632395994074944</v>
      </c>
      <c r="BG47" s="137">
        <f>_xll.xSPRDOPT($BW47,$BV47,$CG47,0,$BY47,$BX47,$BZ47,$AJ47,1,3)*$CB47</f>
        <v>1.5720076108940508</v>
      </c>
      <c r="BH47" s="137">
        <f>IF(OR(BF47&lt;&gt;0,BG47&lt;&gt;0),_xll.xSPRDOPT($BW47,$BV47,$CG47,0,$BY47,$BX47,$BZ47,$AJ47,1,12)*$CB47,0)</f>
        <v>-1.601917495383901</v>
      </c>
      <c r="BI47" s="137">
        <f>_xll.xSPRDOPT($BW47,$BV47,$CG47,2*LN(1+CA47/2),$BY47,$BX47,$BZ47,$AJ47,1,9)</f>
        <v>-1.3325071862990617E-2</v>
      </c>
      <c r="BJ47" s="137">
        <f>_xll.xSPRDOPT($BW47,$BV47,$CG47,0,$BY47,$BX47,$BZ47,$AJ47,1,6)*$CB47</f>
        <v>0.21493658214777239</v>
      </c>
      <c r="BK47" s="137">
        <f>_xll.xSPRDOPT($BW47,$BV47,$CG47,0,$BY47,$BX47,$BZ47,$AJ47,1,5)*$CB47</f>
        <v>-2.2802735763852305E-2</v>
      </c>
      <c r="BL47" s="137">
        <f>_xll.xSPRDOPT(BW47,BV47,CG47,0,BY47,BX47,BZ47,AJ47,1,2)*CB47</f>
        <v>-0.56423920121120275</v>
      </c>
      <c r="BM47" s="137">
        <f>_xll.xSPRDOPT(BW47,BV47,CG47,0,BY47,BX47,BZ47,AJ47,1,1)*CB47</f>
        <v>0.58529493259049414</v>
      </c>
      <c r="BN47" s="137">
        <f>IF(AH47&lt;&gt;0,_xll.xSPRDOPT($BW47,$BV47,$CG47,2*LN(1+CA47/2),$BY47,$BX47,$BZ47,$AJ47,1,8)+(AJ47/365.25)*CH47/AH47,0)</f>
        <v>3.4766747027440592E-2</v>
      </c>
      <c r="BO47" s="137">
        <f>_xll.xSPRDOPT($BW47,$BV47,$CG47,0,$BY47,$BX47,$BZ47,$AJ47,1,0)</f>
        <v>0.12574203523734043</v>
      </c>
      <c r="BP47" s="137"/>
      <c r="BQ47" s="137"/>
      <c r="BR47" s="137"/>
      <c r="BS47" s="137"/>
      <c r="BV47" s="262">
        <v>3.6034395548811329</v>
      </c>
      <c r="BW47" s="136">
        <v>3.6720000000000002</v>
      </c>
      <c r="BX47" s="137">
        <v>0.39820224554287426</v>
      </c>
      <c r="BY47" s="137">
        <v>0.39561251592931734</v>
      </c>
      <c r="BZ47" s="137">
        <v>0.99474051598951629</v>
      </c>
      <c r="CA47" s="137">
        <v>3.74851197051385E-2</v>
      </c>
      <c r="CB47" s="137">
        <v>0.92253381176270466</v>
      </c>
      <c r="CC47" s="258">
        <v>0.02</v>
      </c>
      <c r="CD47" s="258">
        <v>0.03</v>
      </c>
      <c r="CE47" s="258">
        <v>0.125</v>
      </c>
      <c r="CF47" s="258">
        <v>3.5000000000000003E-2</v>
      </c>
      <c r="CG47" s="258">
        <v>0</v>
      </c>
      <c r="CH47" s="258">
        <v>3.8284230654340488</v>
      </c>
      <c r="CI47" s="258">
        <v>3.512</v>
      </c>
      <c r="CJ47" s="258"/>
      <c r="CK47" s="258"/>
      <c r="CL47" s="258"/>
      <c r="CM47" s="258"/>
    </row>
    <row r="48" spans="1:91" x14ac:dyDescent="0.25">
      <c r="A48" s="723"/>
      <c r="B48" s="723"/>
      <c r="D48" s="31">
        <f t="shared" si="42"/>
        <v>38061</v>
      </c>
      <c r="F48" s="28">
        <f t="shared" si="12"/>
        <v>60000</v>
      </c>
      <c r="G48" s="28">
        <f t="shared" si="13"/>
        <v>55108.724542677985</v>
      </c>
      <c r="H48" s="52">
        <f t="shared" si="14"/>
        <v>3.4516944865958519</v>
      </c>
      <c r="I48" s="52">
        <f t="shared" si="15"/>
        <v>3.5420000000000003</v>
      </c>
      <c r="K48" s="52">
        <f t="shared" si="43"/>
        <v>2.5712545258184027</v>
      </c>
      <c r="L48" s="135">
        <f t="shared" si="44"/>
        <v>0.89372452965903504</v>
      </c>
      <c r="N48" s="131">
        <f t="shared" si="45"/>
        <v>0.37053064867669872</v>
      </c>
      <c r="O48" s="131">
        <f t="shared" si="46"/>
        <v>0.36642927609768672</v>
      </c>
      <c r="P48" s="55">
        <f t="shared" si="47"/>
        <v>0.99626180027109534</v>
      </c>
      <c r="Q48" s="135">
        <f>_xll.xSPRDOPT(I48,H48,AQ48,0,O48,N48,P48,D48-$G$5,1,0)*AH48*AU48</f>
        <v>3.4649790554774378</v>
      </c>
      <c r="R48" s="135"/>
      <c r="S48" s="181">
        <f>_xll.xSPRDOPT(I48,H48,AQ48,AT48,O48,N48,P48,D48-$G$5,1,2)*AF48*(F48/(1-AR48))*AH48</f>
        <v>-1201833.3783833568</v>
      </c>
      <c r="T48" s="181">
        <f>_xll.xSPRDOPT(I48,H48,AQ48,AT48,O48,N48,P48,D48-$G$5,1,1)*AF48*F48*AH48</f>
        <v>1216370.8661070077</v>
      </c>
      <c r="U48" s="135"/>
      <c r="V48" s="146">
        <f t="shared" si="16"/>
        <v>4.0744635490628971</v>
      </c>
      <c r="W48" s="146"/>
      <c r="X48" s="338">
        <f t="shared" si="17"/>
        <v>0</v>
      </c>
      <c r="Y48" s="338">
        <f t="shared" si="18"/>
        <v>0</v>
      </c>
      <c r="Z48" s="338">
        <f t="shared" si="19"/>
        <v>-116.25727362502251</v>
      </c>
      <c r="AA48" s="338">
        <f t="shared" si="20"/>
        <v>18.432892495209536</v>
      </c>
      <c r="AB48" s="338">
        <f t="shared" si="21"/>
        <v>0</v>
      </c>
      <c r="AC48" s="338">
        <f t="shared" si="22"/>
        <v>65.355799536668741</v>
      </c>
      <c r="AF48" s="138">
        <f t="shared" si="23"/>
        <v>1</v>
      </c>
      <c r="AG48" s="138">
        <f t="shared" si="24"/>
        <v>3</v>
      </c>
      <c r="AH48" s="138">
        <f t="shared" si="25"/>
        <v>31</v>
      </c>
      <c r="AI48" s="138">
        <f t="shared" si="48"/>
        <v>805</v>
      </c>
      <c r="AJ48" s="138">
        <f t="shared" si="26"/>
        <v>822</v>
      </c>
      <c r="AL48" s="136">
        <f t="shared" si="27"/>
        <v>3.3820000000000001</v>
      </c>
      <c r="AM48" s="258">
        <f t="shared" si="49"/>
        <v>0</v>
      </c>
      <c r="AN48" s="258">
        <f t="shared" si="28"/>
        <v>0.03</v>
      </c>
      <c r="AO48" s="258">
        <f t="shared" si="29"/>
        <v>0.125</v>
      </c>
      <c r="AP48" s="258">
        <f t="shared" si="30"/>
        <v>3.5000000000000003E-2</v>
      </c>
      <c r="AQ48" s="136">
        <f t="shared" si="31"/>
        <v>0</v>
      </c>
      <c r="AR48" s="137">
        <f t="shared" si="32"/>
        <v>1.15E-2</v>
      </c>
      <c r="AS48" s="136">
        <f t="shared" si="50"/>
        <v>3.4119999999999999</v>
      </c>
      <c r="AT48" s="137">
        <f t="shared" si="33"/>
        <v>3.8285632294587903E-2</v>
      </c>
      <c r="AU48" s="137">
        <f t="shared" si="34"/>
        <v>0.91847874237796645</v>
      </c>
      <c r="AV48" s="394">
        <f t="shared" si="51"/>
        <v>19874.043027574437</v>
      </c>
      <c r="AW48" s="137">
        <f t="shared" si="35"/>
        <v>0.35499999999999998</v>
      </c>
      <c r="AX48" s="137">
        <f t="shared" si="36"/>
        <v>0.85</v>
      </c>
      <c r="AY48" s="137">
        <f t="shared" si="37"/>
        <v>0.75</v>
      </c>
      <c r="AZ48" s="137"/>
      <c r="BA48" s="264"/>
      <c r="BB48" s="258">
        <f t="shared" si="38"/>
        <v>0</v>
      </c>
      <c r="BC48" s="258">
        <f t="shared" si="39"/>
        <v>0</v>
      </c>
      <c r="BD48" s="137">
        <f t="shared" si="40"/>
        <v>5.5396374596894393E-5</v>
      </c>
      <c r="BE48" s="137">
        <f t="shared" si="41"/>
        <v>4.0989655535617064E-5</v>
      </c>
      <c r="BF48" s="137">
        <f>_xll.xSPRDOPT($BW48,$BV48,$CG48,0,$BY48,$BX48,$BZ48,$AJ48,1,4)*$CB48</f>
        <v>1.9343228275329849</v>
      </c>
      <c r="BG48" s="137">
        <f>_xll.xSPRDOPT($BW48,$BV48,$CG48,0,$BY48,$BX48,$BZ48,$AJ48,1,3)*$CB48</f>
        <v>1.8369465667859382</v>
      </c>
      <c r="BH48" s="137">
        <f>IF(OR(BF48&lt;&gt;0,BG48&lt;&gt;0),_xll.xSPRDOPT($BW48,$BV48,$CG48,0,$BY48,$BX48,$BZ48,$AJ48,1,12)*$CB48,0)</f>
        <v>-1.885007098933474</v>
      </c>
      <c r="BI48" s="137">
        <f>_xll.xSPRDOPT($BW48,$BV48,$CG48,2*LN(1+CA48/2),$BY48,$BX48,$BZ48,$AJ48,1,9)</f>
        <v>-7.6098511095948869E-3</v>
      </c>
      <c r="BJ48" s="137">
        <f>_xll.xSPRDOPT($BW48,$BV48,$CG48,0,$BY48,$BX48,$BZ48,$AJ48,1,6)*$CB48</f>
        <v>0.28276093773299271</v>
      </c>
      <c r="BK48" s="137">
        <f>_xll.xSPRDOPT($BW48,$BV48,$CG48,0,$BY48,$BX48,$BZ48,$AJ48,1,5)*$CB48</f>
        <v>-0.14037135704976544</v>
      </c>
      <c r="BL48" s="137">
        <f>_xll.xSPRDOPT(BW48,BV48,CG48,0,BY48,BX48,BZ48,AJ48,1,2)*CB48</f>
        <v>-0.63903503350423807</v>
      </c>
      <c r="BM48" s="137">
        <f>_xll.xSPRDOPT(BW48,BV48,CG48,0,BY48,BX48,BZ48,AJ48,1,1)*CB48</f>
        <v>0.65428926593031655</v>
      </c>
      <c r="BN48" s="137">
        <f>IF(AH48&lt;&gt;0,_xll.xSPRDOPT($BW48,$BV48,$CG48,2*LN(1+CA48/2),$BY48,$BX48,$BZ48,$AJ48,1,8)+(AJ48/365.25)*CH48/AH48,0)</f>
        <v>4.42326897546651E-2</v>
      </c>
      <c r="BO48" s="137">
        <f>_xll.xSPRDOPT($BW48,$BV48,$CG48,0,$BY48,$BX48,$BZ48,$AJ48,1,0)</f>
        <v>0.12169437439912607</v>
      </c>
      <c r="BP48" s="137"/>
      <c r="BQ48" s="137"/>
      <c r="BR48" s="137"/>
      <c r="BS48" s="137"/>
      <c r="BV48" s="262">
        <v>3.4516944865958519</v>
      </c>
      <c r="BW48" s="136">
        <v>3.5420000000000003</v>
      </c>
      <c r="BX48" s="137">
        <v>0.37047525230210182</v>
      </c>
      <c r="BY48" s="137">
        <v>0.3663882864421511</v>
      </c>
      <c r="BZ48" s="137">
        <v>0.99627423599440124</v>
      </c>
      <c r="CA48" s="137">
        <v>3.8285632294587903E-2</v>
      </c>
      <c r="CB48" s="137">
        <v>0.91819269083412736</v>
      </c>
      <c r="CC48" s="258">
        <v>0</v>
      </c>
      <c r="CD48" s="258">
        <v>0.03</v>
      </c>
      <c r="CE48" s="258">
        <v>0.125</v>
      </c>
      <c r="CF48" s="258">
        <v>3.5000000000000003E-2</v>
      </c>
      <c r="CG48" s="258">
        <v>0</v>
      </c>
      <c r="CH48" s="258">
        <v>4.0731945958092721</v>
      </c>
      <c r="CI48" s="258">
        <v>3.3820000000000001</v>
      </c>
      <c r="CJ48" s="258"/>
      <c r="CK48" s="258"/>
      <c r="CL48" s="258"/>
      <c r="CM48" s="258"/>
    </row>
    <row r="49" spans="1:91" x14ac:dyDescent="0.25">
      <c r="A49" s="723"/>
      <c r="B49" s="723"/>
      <c r="D49" s="31">
        <f t="shared" si="42"/>
        <v>38092</v>
      </c>
      <c r="F49" s="28">
        <f t="shared" si="12"/>
        <v>60000</v>
      </c>
      <c r="G49" s="28">
        <f t="shared" si="13"/>
        <v>54831.508827998652</v>
      </c>
      <c r="H49" s="52">
        <f t="shared" si="14"/>
        <v>3.1431461810824484</v>
      </c>
      <c r="I49" s="52">
        <f t="shared" si="15"/>
        <v>3.2770000000000001</v>
      </c>
      <c r="K49" s="52">
        <f t="shared" si="43"/>
        <v>3.6697034268195363</v>
      </c>
      <c r="L49" s="135">
        <f t="shared" si="44"/>
        <v>3.6095235423363015E-2</v>
      </c>
      <c r="N49" s="131">
        <f t="shared" si="45"/>
        <v>0.33249033630585456</v>
      </c>
      <c r="O49" s="131">
        <f t="shared" si="46"/>
        <v>0.33249033630585456</v>
      </c>
      <c r="P49" s="55">
        <f t="shared" si="47"/>
        <v>0.99886995245429566</v>
      </c>
      <c r="Q49" s="135">
        <f>_xll.xSPRDOPT(I49,H49,AQ49,0,O49,N49,P49,D49-$G$5,1,0)*AH49*AU49</f>
        <v>3.7057986622428993</v>
      </c>
      <c r="R49" s="135"/>
      <c r="S49" s="181">
        <f>_xll.xSPRDOPT(I49,H49,AQ49,AT49,O49,N49,P49,D49-$G$5,1,2)*AF49*(F49/(1-AR49))*AH49</f>
        <v>-1591215.8604385373</v>
      </c>
      <c r="T49" s="181">
        <f>_xll.xSPRDOPT(I49,H49,AQ49,AT49,O49,N49,P49,D49-$G$5,1,1)*AF49*F49*AH49</f>
        <v>1576460.349962516</v>
      </c>
      <c r="U49" s="135"/>
      <c r="V49" s="146">
        <f t="shared" si="16"/>
        <v>3.9231944566433037</v>
      </c>
      <c r="W49" s="146"/>
      <c r="X49" s="338">
        <f t="shared" si="17"/>
        <v>0</v>
      </c>
      <c r="Y49" s="338">
        <f t="shared" si="18"/>
        <v>0</v>
      </c>
      <c r="Z49" s="338">
        <f t="shared" si="19"/>
        <v>50.6607780444754</v>
      </c>
      <c r="AA49" s="338">
        <f t="shared" si="20"/>
        <v>0.29824897943402023</v>
      </c>
      <c r="AB49" s="338">
        <f t="shared" si="21"/>
        <v>0</v>
      </c>
      <c r="AC49" s="338">
        <f t="shared" si="22"/>
        <v>71.356414160388098</v>
      </c>
      <c r="AF49" s="138">
        <f t="shared" si="23"/>
        <v>1</v>
      </c>
      <c r="AG49" s="138">
        <f t="shared" si="24"/>
        <v>4</v>
      </c>
      <c r="AH49" s="138">
        <f t="shared" si="25"/>
        <v>30</v>
      </c>
      <c r="AI49" s="138">
        <f t="shared" si="48"/>
        <v>836</v>
      </c>
      <c r="AJ49" s="138">
        <f t="shared" si="26"/>
        <v>853</v>
      </c>
      <c r="AL49" s="136">
        <f t="shared" si="27"/>
        <v>3.1970000000000001</v>
      </c>
      <c r="AM49" s="258">
        <f t="shared" si="49"/>
        <v>-0.09</v>
      </c>
      <c r="AN49" s="258">
        <f t="shared" si="28"/>
        <v>0</v>
      </c>
      <c r="AO49" s="258">
        <f t="shared" si="29"/>
        <v>0.04</v>
      </c>
      <c r="AP49" s="258">
        <f t="shared" si="30"/>
        <v>0.04</v>
      </c>
      <c r="AQ49" s="136">
        <f t="shared" si="31"/>
        <v>0</v>
      </c>
      <c r="AR49" s="137">
        <f t="shared" si="32"/>
        <v>1.15E-2</v>
      </c>
      <c r="AS49" s="136">
        <f t="shared" si="50"/>
        <v>3.1070000000000002</v>
      </c>
      <c r="AT49" s="137">
        <f t="shared" si="33"/>
        <v>3.9084714616572501E-2</v>
      </c>
      <c r="AU49" s="137">
        <f t="shared" si="34"/>
        <v>0.9138584804666442</v>
      </c>
      <c r="AV49" s="394">
        <f t="shared" si="51"/>
        <v>19136.196580971529</v>
      </c>
      <c r="AW49" s="137">
        <f t="shared" si="35"/>
        <v>0.33</v>
      </c>
      <c r="AX49" s="137">
        <f t="shared" si="36"/>
        <v>0.45</v>
      </c>
      <c r="AY49" s="137">
        <f t="shared" si="37"/>
        <v>0.45</v>
      </c>
      <c r="AZ49" s="137"/>
      <c r="BA49" s="264"/>
      <c r="BB49" s="258">
        <f t="shared" si="38"/>
        <v>0</v>
      </c>
      <c r="BC49" s="258">
        <f t="shared" si="39"/>
        <v>0</v>
      </c>
      <c r="BD49" s="137">
        <f t="shared" si="40"/>
        <v>8.715606236775475E-6</v>
      </c>
      <c r="BE49" s="137">
        <f t="shared" si="41"/>
        <v>8.715606236775475E-6</v>
      </c>
      <c r="BF49" s="137">
        <f>_xll.xSPRDOPT($BW49,$BV49,$CG49,0,$BY49,$BX49,$BZ49,$AJ49,1,4)*$CB49</f>
        <v>1.1003404013512121</v>
      </c>
      <c r="BG49" s="137">
        <f>_xll.xSPRDOPT($BW49,$BV49,$CG49,0,$BY49,$BX49,$BZ49,$AJ49,1,3)*$CB49</f>
        <v>1.0122861440419113</v>
      </c>
      <c r="BH49" s="137">
        <f>IF(OR(BF49&lt;&gt;0,BG49&lt;&gt;0),_xll.xSPRDOPT($BW49,$BV49,$CG49,0,$BY49,$BX49,$BZ49,$AJ49,1,12)*$CB49,0)</f>
        <v>-1.0553981579019815</v>
      </c>
      <c r="BI49" s="137">
        <f>_xll.xSPRDOPT($BW49,$BV49,$CG49,2*LN(1+CA49/2),$BY49,$BX49,$BZ49,$AJ49,1,9)</f>
        <v>3.4266387371749332E-3</v>
      </c>
      <c r="BJ49" s="137">
        <f>_xll.xSPRDOPT($BW49,$BV49,$CG49,0,$BY49,$BX49,$BZ49,$AJ49,1,6)*$CB49</f>
        <v>9.5054660208515347E-3</v>
      </c>
      <c r="BK49" s="137">
        <f>_xll.xSPRDOPT($BW49,$BV49,$CG49,0,$BY49,$BX49,$BZ49,$AJ49,1,5)*$CB49</f>
        <v>9.5057046266015088E-3</v>
      </c>
      <c r="BL49" s="137">
        <f>_xll.xSPRDOPT(BW49,BV49,CG49,0,BY49,BX49,BZ49,AJ49,1,2)*CB49</f>
        <v>-0.87433138856320358</v>
      </c>
      <c r="BM49" s="137">
        <f>_xll.xSPRDOPT(BW49,BV49,CG49,0,BY49,BX49,BZ49,AJ49,1,1)*CB49</f>
        <v>0.87630110188985888</v>
      </c>
      <c r="BN49" s="137">
        <f>IF(AH49&lt;&gt;0,_xll.xSPRDOPT($BW49,$BV49,$CG49,2*LN(1+CA49/2),$BY49,$BX49,$BZ49,$AJ49,1,8)+(AJ49/365.25)*CH49/AH49,0)</f>
        <v>1.6918031661392219E-2</v>
      </c>
      <c r="BO49" s="137">
        <f>_xll.xSPRDOPT($BW49,$BV49,$CG49,0,$BY49,$BX49,$BZ49,$AJ49,1,0)</f>
        <v>0.13517042055190165</v>
      </c>
      <c r="BP49" s="137"/>
      <c r="BQ49" s="137"/>
      <c r="BR49" s="137"/>
      <c r="BS49" s="137"/>
      <c r="BV49" s="262">
        <v>3.1431461810824484</v>
      </c>
      <c r="BW49" s="136">
        <v>3.2770000000000001</v>
      </c>
      <c r="BX49" s="137">
        <v>0.33248162069961779</v>
      </c>
      <c r="BY49" s="137">
        <v>0.33248162069961779</v>
      </c>
      <c r="BZ49" s="137">
        <v>0.99887386313802506</v>
      </c>
      <c r="CA49" s="137">
        <v>3.9084714616572501E-2</v>
      </c>
      <c r="CB49" s="137">
        <v>0.91356798559380814</v>
      </c>
      <c r="CC49" s="258">
        <v>-0.09</v>
      </c>
      <c r="CD49" s="258">
        <v>0</v>
      </c>
      <c r="CE49" s="258">
        <v>0.04</v>
      </c>
      <c r="CF49" s="258">
        <v>0.04</v>
      </c>
      <c r="CG49" s="258">
        <v>0</v>
      </c>
      <c r="CH49" s="258">
        <v>3.9219473621542185</v>
      </c>
      <c r="CI49" s="258">
        <v>3.1970000000000001</v>
      </c>
      <c r="CJ49" s="258"/>
      <c r="CK49" s="258"/>
      <c r="CL49" s="258"/>
      <c r="CM49" s="258"/>
    </row>
    <row r="50" spans="1:91" x14ac:dyDescent="0.25">
      <c r="A50" s="723"/>
      <c r="B50" s="723"/>
      <c r="D50" s="31">
        <f t="shared" si="42"/>
        <v>38122</v>
      </c>
      <c r="F50" s="28">
        <f t="shared" si="12"/>
        <v>60000</v>
      </c>
      <c r="G50" s="28">
        <f t="shared" si="13"/>
        <v>54565.224503692152</v>
      </c>
      <c r="H50" s="52">
        <f t="shared" si="14"/>
        <v>3.1380880121396055</v>
      </c>
      <c r="I50" s="52">
        <f t="shared" si="15"/>
        <v>3.2720000000000002</v>
      </c>
      <c r="K50" s="52">
        <f t="shared" si="43"/>
        <v>3.7752511353580371</v>
      </c>
      <c r="L50" s="135">
        <f t="shared" si="44"/>
        <v>7.3133543130499135E-2</v>
      </c>
      <c r="N50" s="131">
        <f t="shared" si="45"/>
        <v>0.32761016081651256</v>
      </c>
      <c r="O50" s="131">
        <f t="shared" si="46"/>
        <v>0.32888241290792086</v>
      </c>
      <c r="P50" s="55">
        <f t="shared" si="47"/>
        <v>0.99851834148241303</v>
      </c>
      <c r="Q50" s="135">
        <f>_xll.xSPRDOPT(I50,H50,AQ50,0,O50,N50,P50,D50-$G$5,1,0)*AH50*AU50</f>
        <v>3.8483846784885363</v>
      </c>
      <c r="R50" s="135"/>
      <c r="S50" s="181">
        <f>_xll.xSPRDOPT(I50,H50,AQ50,AT50,O50,N50,P50,D50-$G$5,1,2)*AF50*(F50/(1-AR50))*AH50</f>
        <v>-1592910.255275402</v>
      </c>
      <c r="T50" s="181">
        <f>_xll.xSPRDOPT(I50,H50,AQ50,AT50,O50,N50,P50,D50-$G$5,1,1)*AF50*F50*AH50</f>
        <v>1580651.9976078889</v>
      </c>
      <c r="U50" s="135"/>
      <c r="V50" s="146">
        <f t="shared" si="16"/>
        <v>4.0342798736804797</v>
      </c>
      <c r="W50" s="146"/>
      <c r="X50" s="338">
        <f t="shared" si="17"/>
        <v>0</v>
      </c>
      <c r="Y50" s="338">
        <f t="shared" si="18"/>
        <v>0</v>
      </c>
      <c r="Z50" s="338">
        <f t="shared" si="19"/>
        <v>41.71187432115952</v>
      </c>
      <c r="AA50" s="338">
        <f t="shared" si="20"/>
        <v>0.97400887351418652</v>
      </c>
      <c r="AB50" s="338">
        <f t="shared" si="21"/>
        <v>0</v>
      </c>
      <c r="AC50" s="338">
        <f t="shared" si="22"/>
        <v>75.456820939804587</v>
      </c>
      <c r="AF50" s="138">
        <f t="shared" si="23"/>
        <v>1</v>
      </c>
      <c r="AG50" s="138">
        <f t="shared" si="24"/>
        <v>5</v>
      </c>
      <c r="AH50" s="138">
        <f t="shared" si="25"/>
        <v>31</v>
      </c>
      <c r="AI50" s="138">
        <f t="shared" si="48"/>
        <v>866</v>
      </c>
      <c r="AJ50" s="138">
        <f t="shared" si="26"/>
        <v>883</v>
      </c>
      <c r="AL50" s="136">
        <f t="shared" si="27"/>
        <v>3.1920000000000002</v>
      </c>
      <c r="AM50" s="258">
        <f t="shared" si="49"/>
        <v>-0.09</v>
      </c>
      <c r="AN50" s="258">
        <f t="shared" si="28"/>
        <v>0</v>
      </c>
      <c r="AO50" s="258">
        <f t="shared" si="29"/>
        <v>0.04</v>
      </c>
      <c r="AP50" s="258">
        <f t="shared" si="30"/>
        <v>0.04</v>
      </c>
      <c r="AQ50" s="136">
        <f t="shared" si="31"/>
        <v>0</v>
      </c>
      <c r="AR50" s="137">
        <f t="shared" si="32"/>
        <v>1.15E-2</v>
      </c>
      <c r="AS50" s="136">
        <f t="shared" si="50"/>
        <v>3.1020000000000003</v>
      </c>
      <c r="AT50" s="137">
        <f t="shared" si="33"/>
        <v>3.9799554968306797E-2</v>
      </c>
      <c r="AU50" s="137">
        <f t="shared" si="34"/>
        <v>0.90942040839486926</v>
      </c>
      <c r="AV50" s="394">
        <f t="shared" si="51"/>
        <v>19678.038796848181</v>
      </c>
      <c r="AW50" s="137">
        <f t="shared" si="35"/>
        <v>0.32500000000000001</v>
      </c>
      <c r="AX50" s="137">
        <f t="shared" si="36"/>
        <v>0.45</v>
      </c>
      <c r="AY50" s="137">
        <f t="shared" si="37"/>
        <v>0.5</v>
      </c>
      <c r="AZ50" s="137"/>
      <c r="BA50" s="264"/>
      <c r="BB50" s="258">
        <f t="shared" si="38"/>
        <v>0</v>
      </c>
      <c r="BC50" s="258">
        <f t="shared" si="39"/>
        <v>0</v>
      </c>
      <c r="BD50" s="137">
        <f t="shared" si="40"/>
        <v>8.8178559663476541E-6</v>
      </c>
      <c r="BE50" s="137">
        <f t="shared" si="41"/>
        <v>1.3090697697226705E-5</v>
      </c>
      <c r="BF50" s="137">
        <f>_xll.xSPRDOPT($BW50,$BV50,$CG50,0,$BY50,$BX50,$BZ50,$AJ50,1,4)*$CB50</f>
        <v>1.3719216800790539</v>
      </c>
      <c r="BG50" s="137">
        <f>_xll.xSPRDOPT($BW50,$BV50,$CG50,0,$BY50,$BX50,$BZ50,$AJ50,1,3)*$CB50</f>
        <v>1.2619232475516338</v>
      </c>
      <c r="BH50" s="137">
        <f>IF(OR(BF50&lt;&gt;0,BG50&lt;&gt;0),_xll.xSPRDOPT($BW50,$BV50,$CG50,0,$BY50,$BX50,$BZ50,$AJ50,1,12)*$CB50,0)</f>
        <v>-1.3157764394974876</v>
      </c>
      <c r="BI50" s="137">
        <f>_xll.xSPRDOPT($BW50,$BV50,$CG50,2*LN(1+CA50/2),$BY50,$BX50,$BZ50,$AJ50,1,9)</f>
        <v>2.7303337089253608E-3</v>
      </c>
      <c r="BJ50" s="137">
        <f>_xll.xSPRDOPT($BW50,$BV50,$CG50,0,$BY50,$BX50,$BZ50,$AJ50,1,6)*$CB50</f>
        <v>-2.5549944307210637E-2</v>
      </c>
      <c r="BK50" s="137">
        <f>_xll.xSPRDOPT($BW50,$BV50,$CG50,0,$BY50,$BX50,$BZ50,$AJ50,1,5)*$CB50</f>
        <v>5.721287213689933E-2</v>
      </c>
      <c r="BL50" s="137">
        <f>_xll.xSPRDOPT(BW50,BV50,CG50,0,BY50,BX50,BZ50,AJ50,1,2)*CB50</f>
        <v>-0.84707747422294011</v>
      </c>
      <c r="BM50" s="137">
        <f>_xll.xSPRDOPT(BW50,BV50,CG50,0,BY50,BX50,BZ50,AJ50,1,1)*CB50</f>
        <v>0.8503376964444691</v>
      </c>
      <c r="BN50" s="137">
        <f>IF(AH50&lt;&gt;0,_xll.xSPRDOPT($BW50,$BV50,$CG50,2*LN(1+CA50/2),$BY50,$BX50,$BZ50,$AJ50,1,8)+(AJ50/365.25)*CH50/AH50,0)</f>
        <v>1.4492195632811733E-2</v>
      </c>
      <c r="BO50" s="137">
        <f>_xll.xSPRDOPT($BW50,$BV50,$CG50,0,$BY50,$BX50,$BZ50,$AJ50,1,0)</f>
        <v>0.1365061420327309</v>
      </c>
      <c r="BP50" s="137"/>
      <c r="BQ50" s="137"/>
      <c r="BR50" s="137"/>
      <c r="BS50" s="137"/>
      <c r="BV50" s="262">
        <v>3.1380880121396055</v>
      </c>
      <c r="BW50" s="136">
        <v>3.2720000000000002</v>
      </c>
      <c r="BX50" s="137">
        <v>0.32760134296054622</v>
      </c>
      <c r="BY50" s="137">
        <v>0.32886932221022364</v>
      </c>
      <c r="BZ50" s="137">
        <v>0.99852324347408972</v>
      </c>
      <c r="CA50" s="137">
        <v>3.9799554968306797E-2</v>
      </c>
      <c r="CB50" s="137">
        <v>0.90912608967752451</v>
      </c>
      <c r="CC50" s="258">
        <v>-0.09</v>
      </c>
      <c r="CD50" s="258">
        <v>0</v>
      </c>
      <c r="CE50" s="258">
        <v>0.04</v>
      </c>
      <c r="CF50" s="258">
        <v>0.04</v>
      </c>
      <c r="CG50" s="258">
        <v>0</v>
      </c>
      <c r="CH50" s="258">
        <v>4.0329742464184664</v>
      </c>
      <c r="CI50" s="258">
        <v>3.1920000000000002</v>
      </c>
      <c r="CJ50" s="258"/>
      <c r="CK50" s="258"/>
      <c r="CL50" s="258"/>
      <c r="CM50" s="258"/>
    </row>
    <row r="51" spans="1:91" x14ac:dyDescent="0.25">
      <c r="A51" s="723"/>
      <c r="B51" s="723"/>
      <c r="D51" s="31">
        <f t="shared" si="42"/>
        <v>38153</v>
      </c>
      <c r="F51" s="28">
        <f t="shared" si="12"/>
        <v>60000</v>
      </c>
      <c r="G51" s="28">
        <f t="shared" si="13"/>
        <v>54284.889749114918</v>
      </c>
      <c r="H51" s="52">
        <f t="shared" si="14"/>
        <v>3.173495194739504</v>
      </c>
      <c r="I51" s="52">
        <f t="shared" si="15"/>
        <v>3.3069999999999999</v>
      </c>
      <c r="K51" s="52">
        <f t="shared" si="43"/>
        <v>3.6236468172715393</v>
      </c>
      <c r="L51" s="135">
        <f t="shared" si="44"/>
        <v>6.9540537591580964E-2</v>
      </c>
      <c r="N51" s="131">
        <f t="shared" si="45"/>
        <v>0.32256221350143816</v>
      </c>
      <c r="O51" s="131">
        <f t="shared" si="46"/>
        <v>0.32377095542828943</v>
      </c>
      <c r="P51" s="55">
        <f t="shared" si="47"/>
        <v>0.99856992499189512</v>
      </c>
      <c r="Q51" s="135">
        <f>_xll.xSPRDOPT(I51,H51,AQ51,0,O51,N51,P51,D51-$G$5,1,0)*AH51*AU51</f>
        <v>3.6931873548631202</v>
      </c>
      <c r="R51" s="135"/>
      <c r="S51" s="181">
        <f>_xll.xSPRDOPT(I51,H51,AQ51,AT51,O51,N51,P51,D51-$G$5,1,2)*AF51*(F51/(1-AR51))*AH51</f>
        <v>-1534236.7790418915</v>
      </c>
      <c r="T51" s="181">
        <f>_xll.xSPRDOPT(I51,H51,AQ51,AT51,O51,N51,P51,D51-$G$5,1,1)*AF51*F51*AH51</f>
        <v>1522306.6381820289</v>
      </c>
      <c r="U51" s="135"/>
      <c r="V51" s="146">
        <f t="shared" si="16"/>
        <v>3.8840838615491728</v>
      </c>
      <c r="W51" s="146"/>
      <c r="X51" s="338">
        <f t="shared" si="17"/>
        <v>0</v>
      </c>
      <c r="Y51" s="338">
        <f t="shared" si="18"/>
        <v>0</v>
      </c>
      <c r="Z51" s="338">
        <f t="shared" si="19"/>
        <v>42.62660694089039</v>
      </c>
      <c r="AA51" s="338">
        <f t="shared" si="20"/>
        <v>0.88158791015646598</v>
      </c>
      <c r="AB51" s="338">
        <f t="shared" si="21"/>
        <v>0</v>
      </c>
      <c r="AC51" s="338">
        <f t="shared" si="22"/>
        <v>73.757339120951954</v>
      </c>
      <c r="AF51" s="138">
        <f t="shared" si="23"/>
        <v>1</v>
      </c>
      <c r="AG51" s="138">
        <f t="shared" si="24"/>
        <v>6</v>
      </c>
      <c r="AH51" s="138">
        <f t="shared" si="25"/>
        <v>30</v>
      </c>
      <c r="AI51" s="138">
        <f t="shared" si="48"/>
        <v>897</v>
      </c>
      <c r="AJ51" s="138">
        <f t="shared" si="26"/>
        <v>914</v>
      </c>
      <c r="AL51" s="136">
        <f t="shared" si="27"/>
        <v>3.2269999999999999</v>
      </c>
      <c r="AM51" s="258">
        <f t="shared" si="49"/>
        <v>-0.09</v>
      </c>
      <c r="AN51" s="258">
        <f t="shared" si="28"/>
        <v>0</v>
      </c>
      <c r="AO51" s="258">
        <f t="shared" si="29"/>
        <v>0.04</v>
      </c>
      <c r="AP51" s="258">
        <f t="shared" si="30"/>
        <v>0.04</v>
      </c>
      <c r="AQ51" s="136">
        <f t="shared" si="31"/>
        <v>0</v>
      </c>
      <c r="AR51" s="137">
        <f t="shared" si="32"/>
        <v>1.15E-2</v>
      </c>
      <c r="AS51" s="136">
        <f t="shared" si="50"/>
        <v>3.137</v>
      </c>
      <c r="AT51" s="137">
        <f t="shared" si="33"/>
        <v>4.0538223511899799E-2</v>
      </c>
      <c r="AU51" s="137">
        <f t="shared" si="34"/>
        <v>0.9047481624852487</v>
      </c>
      <c r="AV51" s="394">
        <f t="shared" si="51"/>
        <v>18945.426522441106</v>
      </c>
      <c r="AW51" s="137">
        <f t="shared" si="35"/>
        <v>0.32</v>
      </c>
      <c r="AX51" s="137">
        <f t="shared" si="36"/>
        <v>0.45</v>
      </c>
      <c r="AY51" s="137">
        <f t="shared" si="37"/>
        <v>0.5</v>
      </c>
      <c r="AZ51" s="137"/>
      <c r="BA51" s="264"/>
      <c r="BB51" s="258">
        <f t="shared" si="38"/>
        <v>0</v>
      </c>
      <c r="BC51" s="258">
        <f t="shared" si="39"/>
        <v>0</v>
      </c>
      <c r="BD51" s="137">
        <f t="shared" si="40"/>
        <v>8.3674438265957107E-6</v>
      </c>
      <c r="BE51" s="137">
        <f t="shared" si="41"/>
        <v>1.2292021196125269E-5</v>
      </c>
      <c r="BF51" s="137">
        <f>_xll.xSPRDOPT($BW51,$BV51,$CG51,0,$BY51,$BX51,$BZ51,$AJ51,1,4)*$CB51</f>
        <v>1.3645765527530622</v>
      </c>
      <c r="BG51" s="137">
        <f>_xll.xSPRDOPT($BW51,$BV51,$CG51,0,$BY51,$BX51,$BZ51,$AJ51,1,3)*$CB51</f>
        <v>1.2566235006249717</v>
      </c>
      <c r="BH51" s="137">
        <f>IF(OR(BF51&lt;&gt;0,BG51&lt;&gt;0),_xll.xSPRDOPT($BW51,$BV51,$CG51,0,$BY51,$BX51,$BZ51,$AJ51,1,12)*$CB51,0)</f>
        <v>-1.3094910240291955</v>
      </c>
      <c r="BI51" s="137">
        <f>_xll.xSPRDOPT($BW51,$BV51,$CG51,2*LN(1+CA51/2),$BY51,$BX51,$BZ51,$AJ51,1,9)</f>
        <v>2.8832163305852251E-3</v>
      </c>
      <c r="BJ51" s="137">
        <f>_xll.xSPRDOPT($BW51,$BV51,$CG51,0,$BY51,$BX51,$BZ51,$AJ51,1,6)*$CB51</f>
        <v>-2.5560476595015643E-2</v>
      </c>
      <c r="BK51" s="137">
        <f>_xll.xSPRDOPT($BW51,$BV51,$CG51,0,$BY51,$BX51,$BZ51,$AJ51,1,5)*$CB51</f>
        <v>5.7244199473854653E-2</v>
      </c>
      <c r="BL51" s="137">
        <f>_xll.xSPRDOPT(BW51,BV51,CG51,0,BY51,BX51,BZ51,AJ51,1,2)*CB51</f>
        <v>-0.84312570879651938</v>
      </c>
      <c r="BM51" s="137">
        <f>_xll.xSPRDOPT(BW51,BV51,CG51,0,BY51,BX51,BZ51,AJ51,1,1)*CB51</f>
        <v>0.84630210348806179</v>
      </c>
      <c r="BN51" s="137">
        <f>IF(AH51&lt;&gt;0,_xll.xSPRDOPT($BW51,$BV51,$CG51,2*LN(1+CA51/2),$BY51,$BX51,$BZ51,$AJ51,1,8)+(AJ51/365.25)*CH51/AH51,0)</f>
        <v>1.5917991782388785E-2</v>
      </c>
      <c r="BO51" s="137">
        <f>_xll.xSPRDOPT($BW51,$BV51,$CG51,0,$BY51,$BX51,$BZ51,$AJ51,1,0)</f>
        <v>0.13606688444124065</v>
      </c>
      <c r="BP51" s="137"/>
      <c r="BQ51" s="137"/>
      <c r="BR51" s="137"/>
      <c r="BS51" s="137"/>
      <c r="BV51" s="262">
        <v>3.173495194739504</v>
      </c>
      <c r="BW51" s="136">
        <v>3.3069999999999999</v>
      </c>
      <c r="BX51" s="137">
        <v>0.32255384605761156</v>
      </c>
      <c r="BY51" s="137">
        <v>0.32375866340709331</v>
      </c>
      <c r="BZ51" s="137">
        <v>0.99857450025134964</v>
      </c>
      <c r="CA51" s="137">
        <v>4.0538223511899799E-2</v>
      </c>
      <c r="CB51" s="137">
        <v>0.90444997650532444</v>
      </c>
      <c r="CC51" s="258">
        <v>-0.09</v>
      </c>
      <c r="CD51" s="258">
        <v>0</v>
      </c>
      <c r="CE51" s="258">
        <v>0.04</v>
      </c>
      <c r="CF51" s="258">
        <v>0.04</v>
      </c>
      <c r="CG51" s="258">
        <v>0</v>
      </c>
      <c r="CH51" s="258">
        <v>3.8828037491373579</v>
      </c>
      <c r="CI51" s="258">
        <v>3.2269999999999999</v>
      </c>
      <c r="CJ51" s="258"/>
      <c r="CK51" s="258"/>
      <c r="CL51" s="258"/>
      <c r="CM51" s="258"/>
    </row>
    <row r="52" spans="1:91" x14ac:dyDescent="0.25">
      <c r="A52" s="723"/>
      <c r="B52" s="723"/>
      <c r="D52" s="31">
        <f t="shared" si="42"/>
        <v>38183</v>
      </c>
      <c r="F52" s="28">
        <f t="shared" si="12"/>
        <v>60000</v>
      </c>
      <c r="G52" s="28">
        <f t="shared" si="13"/>
        <v>54013.838567539031</v>
      </c>
      <c r="H52" s="52">
        <f t="shared" si="14"/>
        <v>3.2139605462822458</v>
      </c>
      <c r="I52" s="52">
        <f t="shared" si="15"/>
        <v>3.347</v>
      </c>
      <c r="K52" s="52">
        <f t="shared" si="43"/>
        <v>3.7127519810492493</v>
      </c>
      <c r="L52" s="135">
        <f t="shared" si="44"/>
        <v>0.11708149374856225</v>
      </c>
      <c r="N52" s="131">
        <f t="shared" si="45"/>
        <v>0.32377055765666068</v>
      </c>
      <c r="O52" s="131">
        <f t="shared" si="46"/>
        <v>0.32510116768595165</v>
      </c>
      <c r="P52" s="55">
        <f t="shared" si="47"/>
        <v>0.998309291671449</v>
      </c>
      <c r="Q52" s="135">
        <f>_xll.xSPRDOPT(I52,H52,AQ52,0,O52,N52,P52,D52-$G$5,1,0)*AH52*AU52</f>
        <v>3.8298334747978116</v>
      </c>
      <c r="R52" s="135"/>
      <c r="S52" s="181">
        <f>_xll.xSPRDOPT(I52,H52,AQ52,AT52,O52,N52,P52,D52-$G$5,1,2)*AF52*(F52/(1-AR52))*AH52</f>
        <v>-1534279.7882207052</v>
      </c>
      <c r="T52" s="181">
        <f>_xll.xSPRDOPT(I52,H52,AQ52,AT52,O52,N52,P52,D52-$G$5,1,1)*AF52*F52*AH52</f>
        <v>1524932.4745504877</v>
      </c>
      <c r="U52" s="135"/>
      <c r="V52" s="146">
        <f t="shared" si="16"/>
        <v>3.9935131544909979</v>
      </c>
      <c r="W52" s="146"/>
      <c r="X52" s="338">
        <f t="shared" si="17"/>
        <v>0</v>
      </c>
      <c r="Y52" s="338">
        <f t="shared" si="18"/>
        <v>0</v>
      </c>
      <c r="Z52" s="338">
        <f t="shared" si="19"/>
        <v>33.707457145496505</v>
      </c>
      <c r="AA52" s="338">
        <f t="shared" si="20"/>
        <v>1.5887686974179194</v>
      </c>
      <c r="AB52" s="338">
        <f t="shared" si="21"/>
        <v>0</v>
      </c>
      <c r="AC52" s="338">
        <f t="shared" si="22"/>
        <v>77.763304573195143</v>
      </c>
      <c r="AF52" s="138">
        <f t="shared" si="23"/>
        <v>1</v>
      </c>
      <c r="AG52" s="138">
        <f t="shared" si="24"/>
        <v>7</v>
      </c>
      <c r="AH52" s="138">
        <f t="shared" si="25"/>
        <v>31</v>
      </c>
      <c r="AI52" s="138">
        <f t="shared" si="48"/>
        <v>927</v>
      </c>
      <c r="AJ52" s="138">
        <f t="shared" si="26"/>
        <v>944</v>
      </c>
      <c r="AL52" s="136">
        <f t="shared" si="27"/>
        <v>3.2669999999999999</v>
      </c>
      <c r="AM52" s="258">
        <f t="shared" si="49"/>
        <v>-0.09</v>
      </c>
      <c r="AN52" s="258">
        <f t="shared" si="28"/>
        <v>0</v>
      </c>
      <c r="AO52" s="258">
        <f t="shared" si="29"/>
        <v>0.04</v>
      </c>
      <c r="AP52" s="258">
        <f t="shared" si="30"/>
        <v>0.04</v>
      </c>
      <c r="AQ52" s="136">
        <f t="shared" si="31"/>
        <v>0</v>
      </c>
      <c r="AR52" s="137">
        <f t="shared" si="32"/>
        <v>1.15E-2</v>
      </c>
      <c r="AS52" s="136">
        <f t="shared" si="50"/>
        <v>3.177</v>
      </c>
      <c r="AT52" s="137">
        <f t="shared" si="33"/>
        <v>4.12152492802473E-2</v>
      </c>
      <c r="AU52" s="137">
        <f t="shared" si="34"/>
        <v>0.90023064279231713</v>
      </c>
      <c r="AV52" s="394">
        <f t="shared" si="51"/>
        <v>19479.190648740157</v>
      </c>
      <c r="AW52" s="137">
        <f t="shared" si="35"/>
        <v>0.32</v>
      </c>
      <c r="AX52" s="137">
        <f t="shared" si="36"/>
        <v>0.5</v>
      </c>
      <c r="AY52" s="137">
        <f t="shared" si="37"/>
        <v>0.55000000000000004</v>
      </c>
      <c r="AZ52" s="137"/>
      <c r="BA52" s="264"/>
      <c r="BB52" s="258">
        <f t="shared" si="38"/>
        <v>0</v>
      </c>
      <c r="BC52" s="258">
        <f t="shared" si="39"/>
        <v>0</v>
      </c>
      <c r="BD52" s="137">
        <f t="shared" si="40"/>
        <v>1.1894249567379056E-5</v>
      </c>
      <c r="BE52" s="137">
        <f t="shared" si="41"/>
        <v>1.6059031537174473E-5</v>
      </c>
      <c r="BF52" s="137">
        <f>_xll.xSPRDOPT($BW52,$BV52,$CG52,0,$BY52,$BX52,$BZ52,$AJ52,1,4)*$CB52</f>
        <v>1.5378794295607068</v>
      </c>
      <c r="BG52" s="137">
        <f>_xll.xSPRDOPT($BW52,$BV52,$CG52,0,$BY52,$BX52,$BZ52,$AJ52,1,3)*$CB52</f>
        <v>1.4180512262279326</v>
      </c>
      <c r="BH52" s="137">
        <f>IF(OR(BF52&lt;&gt;0,BG52&lt;&gt;0),_xll.xSPRDOPT($BW52,$BV52,$CG52,0,$BY52,$BX52,$BZ52,$AJ52,1,12)*$CB52,0)</f>
        <v>-1.4767515963431894</v>
      </c>
      <c r="BI52" s="137">
        <f>_xll.xSPRDOPT($BW52,$BV52,$CG52,2*LN(1+CA52/2),$BY52,$BX52,$BZ52,$AJ52,1,9)</f>
        <v>2.2063886599269895E-3</v>
      </c>
      <c r="BJ52" s="137">
        <f>_xll.xSPRDOPT($BW52,$BV52,$CG52,0,$BY52,$BX52,$BZ52,$AJ52,1,6)*$CB52</f>
        <v>-3.1962262728914795E-2</v>
      </c>
      <c r="BK52" s="137">
        <f>_xll.xSPRDOPT($BW52,$BV52,$CG52,0,$BY52,$BX52,$BZ52,$AJ52,1,5)*$CB52</f>
        <v>7.6862907070105971E-2</v>
      </c>
      <c r="BL52" s="137">
        <f>_xll.xSPRDOPT(BW52,BV52,CG52,0,BY52,BX52,BZ52,AJ52,1,2)*CB52</f>
        <v>-0.81600200684297142</v>
      </c>
      <c r="BM52" s="137">
        <f>_xll.xSPRDOPT(BW52,BV52,CG52,0,BY52,BX52,BZ52,AJ52,1,1)*CB52</f>
        <v>0.82046606022881163</v>
      </c>
      <c r="BN52" s="137">
        <f>IF(AH52&lt;&gt;0,_xll.xSPRDOPT($BW52,$BV52,$CG52,2*LN(1+CA52/2),$BY52,$BX52,$BZ52,$AJ52,1,8)+(AJ52/365.25)*CH52/AH52,0)</f>
        <v>1.3641630211551625E-2</v>
      </c>
      <c r="BO52" s="137">
        <f>_xll.xSPRDOPT($BW52,$BV52,$CG52,0,$BY52,$BX52,$BZ52,$AJ52,1,0)</f>
        <v>0.13723488900035186</v>
      </c>
      <c r="BP52" s="137"/>
      <c r="BQ52" s="137"/>
      <c r="BR52" s="137"/>
      <c r="BS52" s="137"/>
      <c r="BV52" s="262">
        <v>3.2139605462822458</v>
      </c>
      <c r="BW52" s="136">
        <v>3.347</v>
      </c>
      <c r="BX52" s="137">
        <v>0.32375866340709331</v>
      </c>
      <c r="BY52" s="137">
        <v>0.32508510865441448</v>
      </c>
      <c r="BZ52" s="137">
        <v>0.99831448510381926</v>
      </c>
      <c r="CA52" s="137">
        <v>4.12152492802473E-2</v>
      </c>
      <c r="CB52" s="137">
        <v>0.89992904159661324</v>
      </c>
      <c r="CC52" s="258">
        <v>-0.09</v>
      </c>
      <c r="CD52" s="258">
        <v>0</v>
      </c>
      <c r="CE52" s="258">
        <v>0.04</v>
      </c>
      <c r="CF52" s="258">
        <v>0.04</v>
      </c>
      <c r="CG52" s="258">
        <v>0</v>
      </c>
      <c r="CH52" s="258">
        <v>3.9921752214267356</v>
      </c>
      <c r="CI52" s="258">
        <v>3.2669999999999999</v>
      </c>
      <c r="CJ52" s="258"/>
      <c r="CK52" s="258"/>
      <c r="CL52" s="258"/>
      <c r="CM52" s="258"/>
    </row>
    <row r="53" spans="1:91" x14ac:dyDescent="0.25">
      <c r="A53" s="723"/>
      <c r="B53" s="723"/>
      <c r="D53" s="31">
        <f t="shared" si="42"/>
        <v>38214</v>
      </c>
      <c r="F53" s="28">
        <f t="shared" si="12"/>
        <v>60000</v>
      </c>
      <c r="G53" s="28">
        <f t="shared" si="13"/>
        <v>53734.864050141347</v>
      </c>
      <c r="H53" s="52">
        <f t="shared" si="14"/>
        <v>3.2544258978249871</v>
      </c>
      <c r="I53" s="52">
        <f t="shared" si="15"/>
        <v>3.387</v>
      </c>
      <c r="K53" s="52">
        <f t="shared" si="43"/>
        <v>3.6806565344209967</v>
      </c>
      <c r="L53" s="135">
        <f t="shared" si="44"/>
        <v>0.16602762282064898</v>
      </c>
      <c r="N53" s="131">
        <f t="shared" si="45"/>
        <v>0.32493996126723368</v>
      </c>
      <c r="O53" s="131">
        <f t="shared" si="46"/>
        <v>0.32634565949462391</v>
      </c>
      <c r="P53" s="55">
        <f t="shared" si="47"/>
        <v>0.99808744366742397</v>
      </c>
      <c r="Q53" s="135">
        <f>_xll.xSPRDOPT(I53,H53,AQ53,0,O53,N53,P53,D53-$G$5,1,0)*AH53*AU53</f>
        <v>3.8466841572416457</v>
      </c>
      <c r="R53" s="135"/>
      <c r="S53" s="181">
        <f>_xll.xSPRDOPT(I53,H53,AQ53,AT53,O53,N53,P53,D53-$G$5,1,2)*AF53*(F53/(1-AR53))*AH53</f>
        <v>-1488186.6107310986</v>
      </c>
      <c r="T53" s="181">
        <f>_xll.xSPRDOPT(I53,H53,AQ53,AT53,O53,N53,P53,D53-$G$5,1,1)*AF53*F53*AH53</f>
        <v>1481556.5304716767</v>
      </c>
      <c r="U53" s="135"/>
      <c r="V53" s="146">
        <f t="shared" si="16"/>
        <v>3.9728871735472002</v>
      </c>
      <c r="W53" s="146"/>
      <c r="X53" s="338">
        <f t="shared" si="17"/>
        <v>0</v>
      </c>
      <c r="Y53" s="338">
        <f t="shared" si="18"/>
        <v>0</v>
      </c>
      <c r="Z53" s="338">
        <f t="shared" si="19"/>
        <v>24.947957197698877</v>
      </c>
      <c r="AA53" s="338">
        <f t="shared" si="20"/>
        <v>2.3385836021224451</v>
      </c>
      <c r="AB53" s="338">
        <f t="shared" si="21"/>
        <v>0</v>
      </c>
      <c r="AC53" s="338">
        <f t="shared" si="22"/>
        <v>79.352206903154737</v>
      </c>
      <c r="AF53" s="138">
        <f t="shared" si="23"/>
        <v>1</v>
      </c>
      <c r="AG53" s="138">
        <f t="shared" si="24"/>
        <v>8</v>
      </c>
      <c r="AH53" s="138">
        <f t="shared" si="25"/>
        <v>31</v>
      </c>
      <c r="AI53" s="138">
        <f t="shared" si="48"/>
        <v>958</v>
      </c>
      <c r="AJ53" s="138">
        <f t="shared" si="26"/>
        <v>975</v>
      </c>
      <c r="AL53" s="136">
        <f t="shared" si="27"/>
        <v>3.3069999999999999</v>
      </c>
      <c r="AM53" s="258">
        <f t="shared" si="49"/>
        <v>-0.09</v>
      </c>
      <c r="AN53" s="258">
        <f t="shared" si="28"/>
        <v>0</v>
      </c>
      <c r="AO53" s="258">
        <f t="shared" si="29"/>
        <v>0.04</v>
      </c>
      <c r="AP53" s="258">
        <f t="shared" si="30"/>
        <v>0.04</v>
      </c>
      <c r="AQ53" s="136">
        <f t="shared" si="31"/>
        <v>0</v>
      </c>
      <c r="AR53" s="137">
        <f t="shared" si="32"/>
        <v>1.15E-2</v>
      </c>
      <c r="AS53" s="136">
        <f t="shared" si="50"/>
        <v>3.2170000000000001</v>
      </c>
      <c r="AT53" s="137">
        <f t="shared" si="33"/>
        <v>4.1873365630825901E-2</v>
      </c>
      <c r="AU53" s="137">
        <f t="shared" si="34"/>
        <v>0.89558106750235578</v>
      </c>
      <c r="AV53" s="394">
        <f t="shared" si="51"/>
        <v>19378.583138615973</v>
      </c>
      <c r="AW53" s="137">
        <f t="shared" si="35"/>
        <v>0.32</v>
      </c>
      <c r="AX53" s="137">
        <f t="shared" si="36"/>
        <v>0.55000000000000004</v>
      </c>
      <c r="AY53" s="137">
        <f t="shared" si="37"/>
        <v>0.6</v>
      </c>
      <c r="AZ53" s="137"/>
      <c r="BA53" s="264"/>
      <c r="BB53" s="258">
        <f t="shared" si="38"/>
        <v>0</v>
      </c>
      <c r="BC53" s="258">
        <f t="shared" si="39"/>
        <v>0</v>
      </c>
      <c r="BD53" s="137">
        <f t="shared" si="40"/>
        <v>1.5061519321957206E-5</v>
      </c>
      <c r="BE53" s="137">
        <f t="shared" si="41"/>
        <v>1.9306147412745389E-5</v>
      </c>
      <c r="BF53" s="137">
        <f>_xll.xSPRDOPT($BW53,$BV53,$CG53,0,$BY53,$BX53,$BZ53,$AJ53,1,4)*$CB53</f>
        <v>1.6299934530837517</v>
      </c>
      <c r="BG53" s="137">
        <f>_xll.xSPRDOPT($BW53,$BV53,$CG53,0,$BY53,$BX53,$BZ53,$AJ53,1,3)*$CB53</f>
        <v>1.5048881259283078</v>
      </c>
      <c r="BH53" s="137">
        <f>IF(OR(BF53&lt;&gt;0,BG53&lt;&gt;0),_xll.xSPRDOPT($BW53,$BV53,$CG53,0,$BY53,$BX53,$BZ53,$AJ53,1,12)*$CB53,0)</f>
        <v>-1.566191504038742</v>
      </c>
      <c r="BI53" s="137">
        <f>_xll.xSPRDOPT($BW53,$BV53,$CG53,2*LN(1+CA53/2),$BY53,$BX53,$BZ53,$AJ53,1,9)</f>
        <v>1.6330181660321711E-3</v>
      </c>
      <c r="BJ53" s="137">
        <f>_xll.xSPRDOPT($BW53,$BV53,$CG53,0,$BY53,$BX53,$BZ53,$AJ53,1,6)*$CB53</f>
        <v>-3.5907589749934757E-2</v>
      </c>
      <c r="BK53" s="137">
        <f>_xll.xSPRDOPT($BW53,$BV53,$CG53,0,$BY53,$BX53,$BZ53,$AJ53,1,5)*$CB53</f>
        <v>9.3137477419770923E-2</v>
      </c>
      <c r="BL53" s="137">
        <f>_xll.xSPRDOPT(BW53,BV53,CG53,0,BY53,BX53,BZ53,AJ53,1,2)*CB53</f>
        <v>-0.79153964065304494</v>
      </c>
      <c r="BM53" s="137">
        <f>_xll.xSPRDOPT(BW53,BV53,CG53,0,BY53,BX53,BZ53,AJ53,1,1)*CB53</f>
        <v>0.79718083627882086</v>
      </c>
      <c r="BN53" s="137">
        <f>IF(AH53&lt;&gt;0,_xll.xSPRDOPT($BW53,$BV53,$CG53,2*LN(1+CA53/2),$BY53,$BX53,$BZ53,$AJ53,1,8)+(AJ53/365.25)*CH53/AH53,0)</f>
        <v>1.0863502580454709E-2</v>
      </c>
      <c r="BO53" s="137">
        <f>_xll.xSPRDOPT($BW53,$BV53,$CG53,0,$BY53,$BX53,$BZ53,$AJ53,1,0)</f>
        <v>0.13855432479982718</v>
      </c>
      <c r="BP53" s="137"/>
      <c r="BQ53" s="137"/>
      <c r="BR53" s="137"/>
      <c r="BS53" s="137"/>
      <c r="BV53" s="262">
        <v>3.2544258978249871</v>
      </c>
      <c r="BW53" s="136">
        <v>3.387</v>
      </c>
      <c r="BX53" s="137">
        <v>0.32492489974791172</v>
      </c>
      <c r="BY53" s="137">
        <v>0.32632635334721116</v>
      </c>
      <c r="BZ53" s="137">
        <v>0.99809309066501395</v>
      </c>
      <c r="CA53" s="137">
        <v>4.1873365630825901E-2</v>
      </c>
      <c r="CB53" s="137">
        <v>0.89527628311247864</v>
      </c>
      <c r="CC53" s="258">
        <v>-0.09</v>
      </c>
      <c r="CD53" s="258">
        <v>0</v>
      </c>
      <c r="CE53" s="258">
        <v>0.04</v>
      </c>
      <c r="CF53" s="258">
        <v>0.04</v>
      </c>
      <c r="CG53" s="258">
        <v>0</v>
      </c>
      <c r="CH53" s="258">
        <v>3.9715351195152664</v>
      </c>
      <c r="CI53" s="258">
        <v>3.3069999999999999</v>
      </c>
      <c r="CJ53" s="258"/>
      <c r="CK53" s="258"/>
      <c r="CL53" s="258"/>
      <c r="CM53" s="258"/>
    </row>
    <row r="54" spans="1:91" x14ac:dyDescent="0.25">
      <c r="A54" s="723"/>
      <c r="B54" s="723"/>
      <c r="D54" s="31">
        <f t="shared" si="42"/>
        <v>38245</v>
      </c>
      <c r="F54" s="28">
        <f t="shared" ref="F54:F85" si="52">VLOOKUP(AG54,$AL$4:$AS$15,2)</f>
        <v>60000</v>
      </c>
      <c r="G54" s="28">
        <f t="shared" si="13"/>
        <v>53451.510835672954</v>
      </c>
      <c r="H54" s="52">
        <f t="shared" ref="H54:H85" si="53">(AL54+AM54+AN54)/(1-(AR54))</f>
        <v>3.2493677288821448</v>
      </c>
      <c r="I54" s="52">
        <f t="shared" ref="I54:I85" si="54">(AL54+AO54+AP54)</f>
        <v>3.3820000000000001</v>
      </c>
      <c r="K54" s="52">
        <f t="shared" si="43"/>
        <v>3.5446976384079796</v>
      </c>
      <c r="L54" s="135">
        <f t="shared" si="44"/>
        <v>0.15000908451552153</v>
      </c>
      <c r="N54" s="131">
        <f t="shared" si="45"/>
        <v>0.32463755456303778</v>
      </c>
      <c r="O54" s="131">
        <f t="shared" si="46"/>
        <v>0.32595798130693049</v>
      </c>
      <c r="P54" s="55">
        <f t="shared" si="47"/>
        <v>0.99820103448296471</v>
      </c>
      <c r="Q54" s="135">
        <f>_xll.xSPRDOPT(I54,H54,AQ54,0,O54,N54,P54,D54-$G$5,1,0)*AH54*AU54</f>
        <v>3.6947067229235011</v>
      </c>
      <c r="R54" s="135"/>
      <c r="S54" s="181">
        <f>_xll.xSPRDOPT(I54,H54,AQ54,AT54,O54,N54,P54,D54-$G$5,1,2)*AF54*(F54/(1-AR54))*AH54</f>
        <v>-1439461.3045377261</v>
      </c>
      <c r="T54" s="181">
        <f>_xll.xSPRDOPT(I54,H54,AQ54,AT54,O54,N54,P54,D54-$G$5,1,1)*AF54*F54*AH54</f>
        <v>1432572.6782194981</v>
      </c>
      <c r="U54" s="135"/>
      <c r="V54" s="146">
        <f t="shared" ref="V54:V85" si="55">VLOOKUP($AG54,$AL$4:$AS$15,8)*AH54*AU54</f>
        <v>3.8244556002924002</v>
      </c>
      <c r="W54" s="146"/>
      <c r="X54" s="338">
        <f t="shared" ref="X54:X85" si="56">((BM54*BC54)+(BL54*BB54))*AH54*F54</f>
        <v>0</v>
      </c>
      <c r="Y54" s="338">
        <f t="shared" si="18"/>
        <v>0</v>
      </c>
      <c r="Z54" s="338">
        <f t="shared" si="19"/>
        <v>28.794872310957619</v>
      </c>
      <c r="AA54" s="338">
        <f t="shared" si="20"/>
        <v>1.9639640653946997</v>
      </c>
      <c r="AB54" s="338">
        <f t="shared" ref="AB54:AB85" si="57">BN54*(AT54-CA54)*F54*AH54</f>
        <v>0</v>
      </c>
      <c r="AC54" s="338">
        <f t="shared" ref="AC54:AC85" si="58">BO54*CB54*F54*AH54*CA54*($G$5-$BV$5)/365.25</f>
        <v>77.414575794755351</v>
      </c>
      <c r="AF54" s="138">
        <f t="shared" ref="AF54:AF85" si="59">IF(AND(D54&gt;=$G$7,D54&lt;=$G$8),1,0)</f>
        <v>1</v>
      </c>
      <c r="AG54" s="138">
        <f t="shared" ref="AG54:AG85" si="60">MONTH(D54)</f>
        <v>9</v>
      </c>
      <c r="AH54" s="138">
        <f t="shared" ref="AH54:AH85" si="61">(EOMONTH(D54,0)-EOMONTH(D54-DAY(D54),0))*AF54</f>
        <v>30</v>
      </c>
      <c r="AI54" s="138">
        <f t="shared" si="48"/>
        <v>989</v>
      </c>
      <c r="AJ54" s="138">
        <f t="shared" ref="AJ54:AJ85" si="62">D54-$BV$5</f>
        <v>1006</v>
      </c>
      <c r="AL54" s="136">
        <f t="shared" si="27"/>
        <v>3.302</v>
      </c>
      <c r="AM54" s="258">
        <f t="shared" si="49"/>
        <v>-0.09</v>
      </c>
      <c r="AN54" s="258">
        <f t="shared" si="28"/>
        <v>0</v>
      </c>
      <c r="AO54" s="258">
        <f t="shared" si="29"/>
        <v>0.04</v>
      </c>
      <c r="AP54" s="258">
        <f t="shared" si="30"/>
        <v>0.04</v>
      </c>
      <c r="AQ54" s="136">
        <f t="shared" ref="AQ54:AQ85" si="63">VLOOKUP($AG54,$AL$4:$AS$15,3)+VLOOKUP($AG54,$AL$4:$AS$15,5)+($AH$10*VLOOKUP(D54,GRITable,2))</f>
        <v>0</v>
      </c>
      <c r="AR54" s="137">
        <f t="shared" si="32"/>
        <v>1.15E-2</v>
      </c>
      <c r="AS54" s="136">
        <f t="shared" si="50"/>
        <v>3.2120000000000002</v>
      </c>
      <c r="AT54" s="137">
        <f t="shared" ref="AT54:AT85" si="64">VLOOKUP(D54,CurveTbl,$AK$6)</f>
        <v>4.2531482126591399E-2</v>
      </c>
      <c r="AU54" s="137">
        <f t="shared" si="34"/>
        <v>0.89085851392788262</v>
      </c>
      <c r="AV54" s="394">
        <f t="shared" si="51"/>
        <v>18654.577281649861</v>
      </c>
      <c r="AW54" s="137">
        <f t="shared" si="35"/>
        <v>0.32</v>
      </c>
      <c r="AX54" s="137">
        <f t="shared" si="36"/>
        <v>0.55000000000000004</v>
      </c>
      <c r="AY54" s="137">
        <f t="shared" si="37"/>
        <v>0.6</v>
      </c>
      <c r="AZ54" s="137"/>
      <c r="BA54" s="264"/>
      <c r="BB54" s="258">
        <f t="shared" si="38"/>
        <v>0</v>
      </c>
      <c r="BC54" s="258">
        <f t="shared" ref="BC54:BC85" si="65">I54-BW54</f>
        <v>0</v>
      </c>
      <c r="BD54" s="137">
        <f t="shared" ref="BD54:BD85" si="66">N54-BX54</f>
        <v>1.3717559126436019E-5</v>
      </c>
      <c r="BE54" s="137">
        <f t="shared" ref="BE54:BE85" si="67">O54-BY54</f>
        <v>1.7587952775954818E-5</v>
      </c>
      <c r="BF54" s="137">
        <f>_xll.xSPRDOPT($BW54,$BV54,$CG54,0,$BY54,$BX54,$BZ54,$AJ54,1,4)*$CB54</f>
        <v>1.6063243690689002</v>
      </c>
      <c r="BG54" s="137">
        <f>_xll.xSPRDOPT($BW54,$BV54,$CG54,0,$BY54,$BX54,$BZ54,$AJ54,1,3)*$CB54</f>
        <v>1.4828039750851365</v>
      </c>
      <c r="BH54" s="137">
        <f>IF(OR(BF54&lt;&gt;0,BG54&lt;&gt;0),_xll.xSPRDOPT($BW54,$BV54,$CG54,0,$BY54,$BX54,$BZ54,$AJ54,1,12)*$CB54,0)</f>
        <v>-1.5433286138729359</v>
      </c>
      <c r="BI54" s="137">
        <f>_xll.xSPRDOPT($BW54,$BV54,$CG54,2*LN(1+CA54/2),$BY54,$BX54,$BZ54,$AJ54,1,9)</f>
        <v>1.9476531688106054E-3</v>
      </c>
      <c r="BJ54" s="137">
        <f>_xll.xSPRDOPT($BW54,$BV54,$CG54,0,$BY54,$BX54,$BZ54,$AJ54,1,6)*$CB54</f>
        <v>-3.4188375287562606E-2</v>
      </c>
      <c r="BK54" s="137">
        <f>_xll.xSPRDOPT($BW54,$BV54,$CG54,0,$BY54,$BX54,$BZ54,$AJ54,1,5)*$CB54</f>
        <v>8.8701182380831731E-2</v>
      </c>
      <c r="BL54" s="137">
        <f>_xll.xSPRDOPT(BW54,BV54,CG54,0,BY54,BX54,BZ54,AJ54,1,2)*CB54</f>
        <v>-0.79119889654959197</v>
      </c>
      <c r="BM54" s="137">
        <f>_xll.xSPRDOPT(BW54,BV54,CG54,0,BY54,BX54,BZ54,AJ54,1,1)*CB54</f>
        <v>0.79657318152539047</v>
      </c>
      <c r="BN54" s="137">
        <f>IF(AH54&lt;&gt;0,_xll.xSPRDOPT($BW54,$BV54,$CG54,2*LN(1+CA54/2),$BY54,$BX54,$BZ54,$AJ54,1,8)+(AJ54/365.25)*CH54/AH54,0)</f>
        <v>1.1907958998000068E-2</v>
      </c>
      <c r="BO54" s="137">
        <f>_xll.xSPRDOPT($BW54,$BV54,$CG54,0,$BY54,$BX54,$BZ54,$AJ54,1,0)</f>
        <v>0.13824520425080247</v>
      </c>
      <c r="BP54" s="137"/>
      <c r="BQ54" s="137"/>
      <c r="BR54" s="137"/>
      <c r="BS54" s="137"/>
      <c r="BV54" s="262">
        <v>3.2493677288821448</v>
      </c>
      <c r="BW54" s="136">
        <v>3.3820000000000001</v>
      </c>
      <c r="BX54" s="137">
        <v>0.32462383700391134</v>
      </c>
      <c r="BY54" s="137">
        <v>0.32594039335415453</v>
      </c>
      <c r="BZ54" s="137">
        <v>0.99820619759946616</v>
      </c>
      <c r="CA54" s="137">
        <v>4.2531482126591399E-2</v>
      </c>
      <c r="CB54" s="137">
        <v>0.89055062233660143</v>
      </c>
      <c r="CC54" s="258">
        <v>-0.09</v>
      </c>
      <c r="CD54" s="258">
        <v>0</v>
      </c>
      <c r="CE54" s="258">
        <v>0.04</v>
      </c>
      <c r="CF54" s="258">
        <v>0.04</v>
      </c>
      <c r="CG54" s="258">
        <v>0</v>
      </c>
      <c r="CH54" s="258">
        <v>3.8231338216910302</v>
      </c>
      <c r="CI54" s="258">
        <v>3.302</v>
      </c>
      <c r="CJ54" s="258"/>
      <c r="CK54" s="258"/>
      <c r="CL54" s="258"/>
      <c r="CM54" s="258"/>
    </row>
    <row r="55" spans="1:91" x14ac:dyDescent="0.25">
      <c r="A55" s="723"/>
      <c r="B55" s="723"/>
      <c r="D55" s="31">
        <f t="shared" ref="D55:D86" si="68">D54+AH54</f>
        <v>38275</v>
      </c>
      <c r="F55" s="28">
        <f t="shared" si="52"/>
        <v>60000</v>
      </c>
      <c r="G55" s="28">
        <f t="shared" si="13"/>
        <v>53178.399164135459</v>
      </c>
      <c r="H55" s="52">
        <f t="shared" si="53"/>
        <v>3.274658573596358</v>
      </c>
      <c r="I55" s="52">
        <f t="shared" si="54"/>
        <v>3.407</v>
      </c>
      <c r="K55" s="52">
        <f t="shared" si="43"/>
        <v>3.63614768627603</v>
      </c>
      <c r="L55" s="135">
        <f t="shared" si="44"/>
        <v>0.21724699839456507</v>
      </c>
      <c r="N55" s="131">
        <f t="shared" si="45"/>
        <v>0.3259749105978777</v>
      </c>
      <c r="O55" s="131">
        <f t="shared" si="46"/>
        <v>0.32740813225277243</v>
      </c>
      <c r="P55" s="55">
        <f t="shared" si="47"/>
        <v>0.99791785374037756</v>
      </c>
      <c r="Q55" s="135">
        <f>_xll.xSPRDOPT(I55,H55,AQ55,0,O55,N55,P55,D55-$G$5,1,0)*AH55*AU55</f>
        <v>3.8533946846705951</v>
      </c>
      <c r="R55" s="135"/>
      <c r="S55" s="181">
        <f>_xll.xSPRDOPT(I55,H55,AQ55,AT55,O55,N55,P55,D55-$G$5,1,2)*AF55*(F55/(1-AR55))*AH55</f>
        <v>-1438546.0035003906</v>
      </c>
      <c r="T55" s="181">
        <f>_xll.xSPRDOPT(I55,H55,AQ55,AT55,O55,N55,P55,D55-$G$5,1,1)*AF55*F55*AH55</f>
        <v>1434539.8954747238</v>
      </c>
      <c r="U55" s="135"/>
      <c r="V55" s="146">
        <f t="shared" si="55"/>
        <v>3.9317449422003548</v>
      </c>
      <c r="W55" s="146"/>
      <c r="X55" s="338">
        <f t="shared" si="56"/>
        <v>0</v>
      </c>
      <c r="Y55" s="338">
        <f t="shared" si="18"/>
        <v>0</v>
      </c>
      <c r="Z55" s="338">
        <f t="shared" si="19"/>
        <v>20.332093722462208</v>
      </c>
      <c r="AA55" s="338">
        <f t="shared" si="20"/>
        <v>2.9910989482601029</v>
      </c>
      <c r="AB55" s="338">
        <f t="shared" si="57"/>
        <v>0</v>
      </c>
      <c r="AC55" s="338">
        <f t="shared" si="58"/>
        <v>81.881290772874664</v>
      </c>
      <c r="AF55" s="138">
        <f t="shared" si="59"/>
        <v>1</v>
      </c>
      <c r="AG55" s="138">
        <f t="shared" si="60"/>
        <v>10</v>
      </c>
      <c r="AH55" s="138">
        <f t="shared" si="61"/>
        <v>31</v>
      </c>
      <c r="AI55" s="138">
        <f t="shared" ref="AI55:AI86" si="69">AI54+AH54</f>
        <v>1019</v>
      </c>
      <c r="AJ55" s="138">
        <f t="shared" si="62"/>
        <v>1036</v>
      </c>
      <c r="AL55" s="136">
        <f t="shared" si="27"/>
        <v>3.327</v>
      </c>
      <c r="AM55" s="258">
        <f t="shared" si="49"/>
        <v>-0.09</v>
      </c>
      <c r="AN55" s="258">
        <f t="shared" si="28"/>
        <v>0</v>
      </c>
      <c r="AO55" s="258">
        <f t="shared" si="29"/>
        <v>0.04</v>
      </c>
      <c r="AP55" s="258">
        <f t="shared" si="30"/>
        <v>0.04</v>
      </c>
      <c r="AQ55" s="136">
        <f t="shared" si="63"/>
        <v>0</v>
      </c>
      <c r="AR55" s="137">
        <f t="shared" si="32"/>
        <v>1.15E-2</v>
      </c>
      <c r="AS55" s="136">
        <f t="shared" si="50"/>
        <v>3.2370000000000001</v>
      </c>
      <c r="AT55" s="137">
        <f t="shared" si="64"/>
        <v>4.3133129078657198E-2</v>
      </c>
      <c r="AU55" s="137">
        <f t="shared" si="34"/>
        <v>0.88630665273559095</v>
      </c>
      <c r="AV55" s="394">
        <f t="shared" si="51"/>
        <v>19177.903351892717</v>
      </c>
      <c r="AW55" s="137">
        <f t="shared" si="35"/>
        <v>0.32</v>
      </c>
      <c r="AX55" s="137">
        <f t="shared" si="36"/>
        <v>0.6</v>
      </c>
      <c r="AY55" s="137">
        <f t="shared" si="37"/>
        <v>0.65</v>
      </c>
      <c r="AZ55" s="137"/>
      <c r="BA55" s="264"/>
      <c r="BB55" s="258">
        <f t="shared" si="38"/>
        <v>0</v>
      </c>
      <c r="BC55" s="258">
        <f t="shared" si="65"/>
        <v>0</v>
      </c>
      <c r="BD55" s="137">
        <f t="shared" si="66"/>
        <v>1.711896265560453E-5</v>
      </c>
      <c r="BE55" s="137">
        <f t="shared" si="67"/>
        <v>2.1179446968222493E-5</v>
      </c>
      <c r="BF55" s="137">
        <f>_xll.xSPRDOPT($BW55,$BV55,$CG55,0,$BY55,$BX55,$BZ55,$AJ55,1,4)*$CB55</f>
        <v>1.663926282102544</v>
      </c>
      <c r="BG55" s="137">
        <f>_xll.xSPRDOPT($BW55,$BV55,$CG55,0,$BY55,$BX55,$BZ55,$AJ55,1,3)*$CB55</f>
        <v>1.5371697880752277</v>
      </c>
      <c r="BH55" s="137">
        <f>IF(OR(BF55&lt;&gt;0,BG55&lt;&gt;0),_xll.xSPRDOPT($BW55,$BV55,$CG55,0,$BY55,$BX55,$BZ55,$AJ55,1,12)*$CB55,0)</f>
        <v>-1.5992908820115985</v>
      </c>
      <c r="BI55" s="137">
        <f>_xll.xSPRDOPT($BW55,$BV55,$CG55,2*LN(1+CA55/2),$BY55,$BX55,$BZ55,$AJ55,1,9)</f>
        <v>1.330877640166545E-3</v>
      </c>
      <c r="BJ55" s="137">
        <f>_xll.xSPRDOPT($BW55,$BV55,$CG55,0,$BY55,$BX55,$BZ55,$AJ55,1,6)*$CB55</f>
        <v>-3.7926610494928084E-2</v>
      </c>
      <c r="BK55" s="137">
        <f>_xll.xSPRDOPT($BW55,$BV55,$CG55,0,$BY55,$BX55,$BZ55,$AJ55,1,5)*$CB55</f>
        <v>0.10658361128227896</v>
      </c>
      <c r="BL55" s="137">
        <f>_xll.xSPRDOPT(BW55,BV55,CG55,0,BY55,BX55,BZ55,AJ55,1,2)*CB55</f>
        <v>-0.76524095454470353</v>
      </c>
      <c r="BM55" s="137">
        <f>_xll.xSPRDOPT(BW55,BV55,CG55,0,BY55,BX55,BZ55,AJ55,1,1)*CB55</f>
        <v>0.77198778244355537</v>
      </c>
      <c r="BN55" s="137">
        <f>IF(AH55&lt;&gt;0,_xll.xSPRDOPT($BW55,$BV55,$CG55,2*LN(1+CA55/2),$BY55,$BX55,$BZ55,$AJ55,1,8)+(AJ55/365.25)*CH55/AH55,0)</f>
        <v>7.1661832857622398E-3</v>
      </c>
      <c r="BO55" s="137">
        <f>_xll.xSPRDOPT($BW55,$BV55,$CG55,0,$BY55,$BX55,$BZ55,$AJ55,1,0)</f>
        <v>0.1402484131962442</v>
      </c>
      <c r="BP55" s="137"/>
      <c r="BQ55" s="137"/>
      <c r="BR55" s="137"/>
      <c r="BS55" s="137"/>
      <c r="BV55" s="262">
        <v>3.274658573596358</v>
      </c>
      <c r="BW55" s="136">
        <v>3.407</v>
      </c>
      <c r="BX55" s="137">
        <v>0.32595779163522209</v>
      </c>
      <c r="BY55" s="137">
        <v>0.32738695280580421</v>
      </c>
      <c r="BZ55" s="137">
        <v>0.99792360442443984</v>
      </c>
      <c r="CA55" s="137">
        <v>4.3133129078657198E-2</v>
      </c>
      <c r="CB55" s="137">
        <v>0.88599604782278252</v>
      </c>
      <c r="CC55" s="258">
        <v>-0.09</v>
      </c>
      <c r="CD55" s="258">
        <v>0</v>
      </c>
      <c r="CE55" s="258">
        <v>0.04</v>
      </c>
      <c r="CF55" s="258">
        <v>0.04</v>
      </c>
      <c r="CG55" s="258">
        <v>0</v>
      </c>
      <c r="CH55" s="258">
        <v>3.9303670677466451</v>
      </c>
      <c r="CI55" s="258">
        <v>3.327</v>
      </c>
      <c r="CJ55" s="258"/>
      <c r="CK55" s="258"/>
      <c r="CL55" s="258"/>
      <c r="CM55" s="258"/>
    </row>
    <row r="56" spans="1:91" x14ac:dyDescent="0.25">
      <c r="A56" s="723"/>
      <c r="B56" s="723"/>
      <c r="D56" s="31">
        <f t="shared" si="68"/>
        <v>38306</v>
      </c>
      <c r="F56" s="28">
        <f t="shared" si="52"/>
        <v>60000</v>
      </c>
      <c r="G56" s="28">
        <f t="shared" si="13"/>
        <v>52897.406861597847</v>
      </c>
      <c r="H56" s="52">
        <f t="shared" si="53"/>
        <v>3.5498229640870003</v>
      </c>
      <c r="I56" s="52">
        <f t="shared" si="54"/>
        <v>3.6390000000000002</v>
      </c>
      <c r="K56" s="52">
        <f t="shared" si="43"/>
        <v>2.3586169757006412</v>
      </c>
      <c r="L56" s="135">
        <f t="shared" si="44"/>
        <v>0.93819839016142081</v>
      </c>
      <c r="N56" s="131">
        <f t="shared" si="45"/>
        <v>0.3352106758191013</v>
      </c>
      <c r="O56" s="131">
        <f t="shared" si="46"/>
        <v>0.33162000992991286</v>
      </c>
      <c r="P56" s="55">
        <f t="shared" si="47"/>
        <v>0.99623159413468476</v>
      </c>
      <c r="Q56" s="135">
        <f>_xll.xSPRDOPT(I56,H56,AQ56,0,O56,N56,P56,D56-$G$5,1,0)*AH56*AU56</f>
        <v>3.296815365862062</v>
      </c>
      <c r="R56" s="135"/>
      <c r="S56" s="181">
        <f>_xll.xSPRDOPT(I56,H56,AQ56,AT56,O56,N56,P56,D56-$G$5,1,2)*AF56*(F56/(1-AR56))*AH56</f>
        <v>-1093494.1830994829</v>
      </c>
      <c r="T56" s="181">
        <f>_xll.xSPRDOPT(I56,H56,AQ56,AT56,O56,N56,P56,D56-$G$5,1,1)*AF56*F56*AH56</f>
        <v>1108713.5806876007</v>
      </c>
      <c r="U56" s="135"/>
      <c r="V56" s="146">
        <f t="shared" si="55"/>
        <v>3.7848094609473262</v>
      </c>
      <c r="W56" s="146"/>
      <c r="X56" s="338">
        <f t="shared" si="56"/>
        <v>0</v>
      </c>
      <c r="Y56" s="338">
        <f t="shared" si="18"/>
        <v>0</v>
      </c>
      <c r="Z56" s="338">
        <f t="shared" si="19"/>
        <v>-70.303544070618159</v>
      </c>
      <c r="AA56" s="338">
        <f t="shared" si="20"/>
        <v>14.984738756916567</v>
      </c>
      <c r="AB56" s="338">
        <f t="shared" si="57"/>
        <v>0</v>
      </c>
      <c r="AC56" s="338">
        <f t="shared" si="58"/>
        <v>71.008885856105806</v>
      </c>
      <c r="AF56" s="138">
        <f t="shared" si="59"/>
        <v>1</v>
      </c>
      <c r="AG56" s="138">
        <f t="shared" si="60"/>
        <v>11</v>
      </c>
      <c r="AH56" s="138">
        <f t="shared" si="61"/>
        <v>30</v>
      </c>
      <c r="AI56" s="138">
        <f t="shared" si="69"/>
        <v>1050</v>
      </c>
      <c r="AJ56" s="138">
        <f t="shared" si="62"/>
        <v>1067</v>
      </c>
      <c r="AL56" s="136">
        <f t="shared" si="27"/>
        <v>3.4790000000000001</v>
      </c>
      <c r="AM56" s="258">
        <f t="shared" si="49"/>
        <v>0</v>
      </c>
      <c r="AN56" s="258">
        <f t="shared" si="28"/>
        <v>0.03</v>
      </c>
      <c r="AO56" s="258">
        <f t="shared" si="29"/>
        <v>0.125</v>
      </c>
      <c r="AP56" s="258">
        <f t="shared" si="30"/>
        <v>3.5000000000000003E-2</v>
      </c>
      <c r="AQ56" s="136">
        <f t="shared" si="63"/>
        <v>0</v>
      </c>
      <c r="AR56" s="137">
        <f t="shared" si="32"/>
        <v>1.15E-2</v>
      </c>
      <c r="AS56" s="136">
        <f t="shared" si="50"/>
        <v>3.5089999999999999</v>
      </c>
      <c r="AT56" s="137">
        <f t="shared" si="64"/>
        <v>4.37209690349563E-2</v>
      </c>
      <c r="AU56" s="137">
        <f t="shared" si="34"/>
        <v>0.88162344769329748</v>
      </c>
      <c r="AV56" s="394">
        <f t="shared" si="51"/>
        <v>18461.194994697649</v>
      </c>
      <c r="AW56" s="137">
        <f t="shared" si="35"/>
        <v>0.32</v>
      </c>
      <c r="AX56" s="137">
        <f t="shared" si="36"/>
        <v>0.9</v>
      </c>
      <c r="AY56" s="137">
        <f t="shared" si="37"/>
        <v>0.8</v>
      </c>
      <c r="AZ56" s="137"/>
      <c r="BA56" s="264"/>
      <c r="BB56" s="258">
        <f t="shared" si="38"/>
        <v>0</v>
      </c>
      <c r="BC56" s="258">
        <f t="shared" si="65"/>
        <v>0</v>
      </c>
      <c r="BD56" s="137">
        <f t="shared" si="66"/>
        <v>4.1759827192788812E-5</v>
      </c>
      <c r="BE56" s="137">
        <f t="shared" si="67"/>
        <v>3.2070164678321689E-5</v>
      </c>
      <c r="BF56" s="137">
        <f>_xll.xSPRDOPT($BW56,$BV56,$CG56,0,$BY56,$BX56,$BZ56,$AJ56,1,4)*$CB56</f>
        <v>1.7786027493123857</v>
      </c>
      <c r="BG56" s="137">
        <f>_xll.xSPRDOPT($BW56,$BV56,$CG56,0,$BY56,$BX56,$BZ56,$AJ56,1,3)*$CB56</f>
        <v>1.6924982167477527</v>
      </c>
      <c r="BH56" s="137">
        <f>IF(OR(BF56&lt;&gt;0,BG56&lt;&gt;0),_xll.xSPRDOPT($BW56,$BV56,$CG56,0,$BY56,$BX56,$BZ56,$AJ56,1,12)*$CB56,0)</f>
        <v>-1.7350175137429922</v>
      </c>
      <c r="BI56" s="137">
        <f>_xll.xSPRDOPT($BW56,$BV56,$CG56,2*LN(1+CA56/2),$BY56,$BX56,$BZ56,$AJ56,1,9)</f>
        <v>-4.7552536058876448E-3</v>
      </c>
      <c r="BJ56" s="137">
        <f>_xll.xSPRDOPT($BW56,$BV56,$CG56,0,$BY56,$BX56,$BZ56,$AJ56,1,6)*$CB56</f>
        <v>0.31605259335140395</v>
      </c>
      <c r="BK56" s="137">
        <f>_xll.xSPRDOPT($BW56,$BV56,$CG56,0,$BY56,$BX56,$BZ56,$AJ56,1,5)*$CB56</f>
        <v>-0.15196201410615187</v>
      </c>
      <c r="BL56" s="137">
        <f>_xll.xSPRDOPT(BW56,BV56,CG56,0,BY56,BX56,BZ56,AJ56,1,2)*CB56</f>
        <v>-0.60112131114484568</v>
      </c>
      <c r="BM56" s="137">
        <f>_xll.xSPRDOPT(BW56,BV56,CG56,0,BY56,BX56,BZ56,AJ56,1,1)*CB56</f>
        <v>0.61657848080433852</v>
      </c>
      <c r="BN56" s="137">
        <f>IF(AH56&lt;&gt;0,_xll.xSPRDOPT($BW56,$BV56,$CG56,2*LN(1+CA56/2),$BY56,$BX56,$BZ56,$AJ56,1,8)+(AJ56/365.25)*CH56/AH56,0)</f>
        <v>4.7501931613167014E-2</v>
      </c>
      <c r="BO56" s="137">
        <f>_xll.xSPRDOPT($BW56,$BV56,$CG56,0,$BY56,$BX56,$BZ56,$AJ56,1,0)</f>
        <v>0.12464949659106528</v>
      </c>
      <c r="BP56" s="137"/>
      <c r="BQ56" s="137"/>
      <c r="BR56" s="137"/>
      <c r="BS56" s="137"/>
      <c r="BV56" s="262">
        <v>3.5498229640870003</v>
      </c>
      <c r="BW56" s="136">
        <v>3.6390000000000002</v>
      </c>
      <c r="BX56" s="137">
        <v>0.33516891599190851</v>
      </c>
      <c r="BY56" s="137">
        <v>0.33158793976523454</v>
      </c>
      <c r="BZ56" s="137">
        <v>0.99624119815421075</v>
      </c>
      <c r="CA56" s="137">
        <v>4.37209690349563E-2</v>
      </c>
      <c r="CB56" s="137">
        <v>0.88131031923448877</v>
      </c>
      <c r="CC56" s="258">
        <v>0</v>
      </c>
      <c r="CD56" s="258">
        <v>0.03</v>
      </c>
      <c r="CE56" s="258">
        <v>0.125</v>
      </c>
      <c r="CF56" s="258">
        <v>3.5000000000000003E-2</v>
      </c>
      <c r="CG56" s="258">
        <v>0</v>
      </c>
      <c r="CH56" s="258">
        <v>3.7834652004736604</v>
      </c>
      <c r="CI56" s="258">
        <v>3.4790000000000001</v>
      </c>
      <c r="CJ56" s="258"/>
      <c r="CK56" s="258"/>
      <c r="CL56" s="258"/>
      <c r="CM56" s="258"/>
    </row>
    <row r="57" spans="1:91" x14ac:dyDescent="0.25">
      <c r="A57" s="723"/>
      <c r="B57" s="723"/>
      <c r="D57" s="31">
        <f t="shared" si="68"/>
        <v>38336</v>
      </c>
      <c r="F57" s="28">
        <f t="shared" si="52"/>
        <v>60000</v>
      </c>
      <c r="G57" s="28">
        <f t="shared" si="13"/>
        <v>52622.023935168603</v>
      </c>
      <c r="H57" s="52">
        <f t="shared" si="53"/>
        <v>3.6995447647951436</v>
      </c>
      <c r="I57" s="52">
        <f t="shared" si="54"/>
        <v>3.782</v>
      </c>
      <c r="K57" s="52">
        <f t="shared" si="43"/>
        <v>2.2417967029404542</v>
      </c>
      <c r="L57" s="135">
        <f t="shared" si="44"/>
        <v>1.5560209481582112</v>
      </c>
      <c r="N57" s="131">
        <f t="shared" si="45"/>
        <v>0.34592331418556421</v>
      </c>
      <c r="O57" s="131">
        <f t="shared" si="46"/>
        <v>0.34361490125594102</v>
      </c>
      <c r="P57" s="55">
        <f t="shared" si="47"/>
        <v>0.99460343657733286</v>
      </c>
      <c r="Q57" s="135">
        <f>_xll.xSPRDOPT(I57,H57,AQ57,0,O57,N57,P57,D57-$G$5,1,0)*AH57*AU57</f>
        <v>3.7978176510986654</v>
      </c>
      <c r="R57" s="135"/>
      <c r="S57" s="181">
        <f>_xll.xSPRDOPT(I57,H57,AQ57,AT57,O57,N57,P57,D57-$G$5,1,2)*AF57*(F57/(1-AR57))*AH57</f>
        <v>-1033146.2363365783</v>
      </c>
      <c r="T57" s="181">
        <f>_xll.xSPRDOPT(I57,H57,AQ57,AT57,O57,N57,P57,D57-$G$5,1,1)*AF57*F57*AH57</f>
        <v>1059163.1353103032</v>
      </c>
      <c r="U57" s="135"/>
      <c r="V57" s="146">
        <f t="shared" si="55"/>
        <v>3.8906093396466903</v>
      </c>
      <c r="W57" s="146"/>
      <c r="X57" s="338">
        <f t="shared" si="56"/>
        <v>0</v>
      </c>
      <c r="Y57" s="338">
        <f t="shared" si="18"/>
        <v>0</v>
      </c>
      <c r="Z57" s="338">
        <f t="shared" si="19"/>
        <v>-112.02224331435981</v>
      </c>
      <c r="AA57" s="338">
        <f t="shared" si="20"/>
        <v>28.217805763755848</v>
      </c>
      <c r="AB57" s="338">
        <f t="shared" si="57"/>
        <v>0</v>
      </c>
      <c r="AC57" s="338">
        <f t="shared" si="58"/>
        <v>82.863792937616623</v>
      </c>
      <c r="AF57" s="138">
        <f t="shared" si="59"/>
        <v>1</v>
      </c>
      <c r="AG57" s="138">
        <f t="shared" si="60"/>
        <v>12</v>
      </c>
      <c r="AH57" s="138">
        <f t="shared" si="61"/>
        <v>31</v>
      </c>
      <c r="AI57" s="138">
        <f t="shared" si="69"/>
        <v>1080</v>
      </c>
      <c r="AJ57" s="138">
        <f t="shared" si="62"/>
        <v>1097</v>
      </c>
      <c r="AL57" s="136">
        <f t="shared" si="27"/>
        <v>3.6219999999999999</v>
      </c>
      <c r="AM57" s="258">
        <f t="shared" si="49"/>
        <v>5.0000000000000001E-3</v>
      </c>
      <c r="AN57" s="258">
        <f t="shared" si="28"/>
        <v>0.03</v>
      </c>
      <c r="AO57" s="258">
        <f t="shared" si="29"/>
        <v>0.125</v>
      </c>
      <c r="AP57" s="258">
        <f t="shared" si="30"/>
        <v>3.5000000000000003E-2</v>
      </c>
      <c r="AQ57" s="136">
        <f t="shared" si="63"/>
        <v>0</v>
      </c>
      <c r="AR57" s="137">
        <f t="shared" si="32"/>
        <v>1.15E-2</v>
      </c>
      <c r="AS57" s="136">
        <f t="shared" si="50"/>
        <v>3.6569999999999996</v>
      </c>
      <c r="AT57" s="137">
        <f t="shared" si="64"/>
        <v>4.4289846522210997E-2</v>
      </c>
      <c r="AU57" s="137">
        <f t="shared" si="34"/>
        <v>0.87703373225281001</v>
      </c>
      <c r="AV57" s="394">
        <f t="shared" si="51"/>
        <v>18977.255898486303</v>
      </c>
      <c r="AW57" s="137">
        <f t="shared" si="35"/>
        <v>0.32</v>
      </c>
      <c r="AX57" s="137">
        <f t="shared" si="36"/>
        <v>1.1499999999999999</v>
      </c>
      <c r="AY57" s="137">
        <f t="shared" si="37"/>
        <v>1.1000000000000001</v>
      </c>
      <c r="AZ57" s="137"/>
      <c r="BA57" s="264"/>
      <c r="BB57" s="258">
        <f t="shared" si="38"/>
        <v>0</v>
      </c>
      <c r="BC57" s="258">
        <f t="shared" si="65"/>
        <v>0</v>
      </c>
      <c r="BD57" s="137">
        <f t="shared" si="66"/>
        <v>6.8150475512451791E-5</v>
      </c>
      <c r="BE57" s="137">
        <f t="shared" si="67"/>
        <v>6.2281753682058572E-5</v>
      </c>
      <c r="BF57" s="137">
        <f>_xll.xSPRDOPT($BW57,$BV57,$CG57,0,$BY57,$BX57,$BZ57,$AJ57,1,4)*$CB57</f>
        <v>1.4442427063820493</v>
      </c>
      <c r="BG57" s="137">
        <f>_xll.xSPRDOPT($BW57,$BV57,$CG57,0,$BY57,$BX57,$BZ57,$AJ57,1,3)*$CB57</f>
        <v>1.3819543309079709</v>
      </c>
      <c r="BH57" s="137">
        <f>IF(OR(BF57&lt;&gt;0,BG57&lt;&gt;0),_xll.xSPRDOPT($BW57,$BV57,$CG57,0,$BY57,$BX57,$BZ57,$AJ57,1,12)*$CB57,0)</f>
        <v>-1.4127559570173471</v>
      </c>
      <c r="BI57" s="137">
        <f>_xll.xSPRDOPT($BW57,$BV57,$CG57,2*LN(1+CA57/2),$BY57,$BX57,$BZ57,$AJ57,1,9)</f>
        <v>-7.3326387760877989E-3</v>
      </c>
      <c r="BJ57" s="137">
        <f>_xll.xSPRDOPT($BW57,$BV57,$CG57,0,$BY57,$BX57,$BZ57,$AJ57,1,6)*$CB57</f>
        <v>0.24650411789348753</v>
      </c>
      <c r="BK57" s="137">
        <f>_xll.xSPRDOPT($BW57,$BV57,$CG57,0,$BY57,$BX57,$BZ57,$AJ57,1,5)*$CB57</f>
        <v>-2.614745796473204E-2</v>
      </c>
      <c r="BL57" s="137">
        <f>_xll.xSPRDOPT(BW57,BV57,CG57,0,BY57,BX57,BZ57,AJ57,1,2)*CB57</f>
        <v>-0.54966454164594225</v>
      </c>
      <c r="BM57" s="137">
        <f>_xll.xSPRDOPT(BW57,BV57,CG57,0,BY57,BX57,BZ57,AJ57,1,1)*CB57</f>
        <v>0.57006207123748653</v>
      </c>
      <c r="BN57" s="137">
        <f>IF(AH57&lt;&gt;0,_xll.xSPRDOPT($BW57,$BV57,$CG57,2*LN(1+CA57/2),$BY57,$BX57,$BZ57,$AJ57,1,8)+(AJ57/365.25)*CH57/AH57,0)</f>
        <v>8.9864217372583877E-3</v>
      </c>
      <c r="BO57" s="137">
        <f>_xll.xSPRDOPT($BW57,$BV57,$CG57,0,$BY57,$BX57,$BZ57,$AJ57,1,0)</f>
        <v>0.13968720376926416</v>
      </c>
      <c r="BP57" s="137"/>
      <c r="BQ57" s="137"/>
      <c r="BR57" s="137"/>
      <c r="BS57" s="137"/>
      <c r="BV57" s="262">
        <v>3.6995447647951436</v>
      </c>
      <c r="BW57" s="136">
        <v>3.782</v>
      </c>
      <c r="BX57" s="137">
        <v>0.34585516371005176</v>
      </c>
      <c r="BY57" s="137">
        <v>0.34355261950225896</v>
      </c>
      <c r="BZ57" s="137">
        <v>0.9946160856086258</v>
      </c>
      <c r="CA57" s="137">
        <v>4.4289846522210997E-2</v>
      </c>
      <c r="CB57" s="137">
        <v>0.8767182256484275</v>
      </c>
      <c r="CC57" s="258">
        <v>5.0000000000000001E-3</v>
      </c>
      <c r="CD57" s="258">
        <v>0.03</v>
      </c>
      <c r="CE57" s="258">
        <v>0.125</v>
      </c>
      <c r="CF57" s="258">
        <v>3.5000000000000003E-2</v>
      </c>
      <c r="CG57" s="258">
        <v>0</v>
      </c>
      <c r="CH57" s="258">
        <v>3.8892097207989891</v>
      </c>
      <c r="CI57" s="258">
        <v>3.6219999999999999</v>
      </c>
      <c r="CJ57" s="258"/>
      <c r="CK57" s="258"/>
      <c r="CL57" s="258"/>
      <c r="CM57" s="258"/>
    </row>
    <row r="58" spans="1:91" x14ac:dyDescent="0.25">
      <c r="A58" s="723"/>
      <c r="B58" s="723"/>
      <c r="D58" s="31">
        <f t="shared" si="68"/>
        <v>38367</v>
      </c>
      <c r="F58" s="28">
        <f t="shared" si="52"/>
        <v>60000</v>
      </c>
      <c r="G58" s="28">
        <f t="shared" si="13"/>
        <v>52337.560888342501</v>
      </c>
      <c r="H58" s="52">
        <f t="shared" si="53"/>
        <v>3.7804754678806267</v>
      </c>
      <c r="I58" s="52">
        <f t="shared" si="54"/>
        <v>3.8420000000000001</v>
      </c>
      <c r="K58" s="52">
        <f t="shared" si="43"/>
        <v>1.6636893720609851</v>
      </c>
      <c r="L58" s="135">
        <f t="shared" si="44"/>
        <v>1.8074657072277656</v>
      </c>
      <c r="N58" s="131">
        <f t="shared" si="45"/>
        <v>0.3452359813560904</v>
      </c>
      <c r="O58" s="131">
        <f t="shared" si="46"/>
        <v>0.34298680257071568</v>
      </c>
      <c r="P58" s="55">
        <f t="shared" si="47"/>
        <v>0.99473134503726368</v>
      </c>
      <c r="Q58" s="135">
        <f>_xll.xSPRDOPT(I58,H58,AQ58,0,O58,N58,P58,D58-$G$5,1,0)*AH58*AU58</f>
        <v>3.4711550792887507</v>
      </c>
      <c r="R58" s="135"/>
      <c r="S58" s="181">
        <f>_xll.xSPRDOPT(I58,H58,AQ58,AT58,O58,N58,P58,D58-$G$5,1,2)*AF58*(F58/(1-AR58))*AH58</f>
        <v>-967725.1933029847</v>
      </c>
      <c r="T58" s="181">
        <f>_xll.xSPRDOPT(I58,H58,AQ58,AT58,O58,N58,P58,D58-$G$5,1,1)*AF58*F58*AH58</f>
        <v>995403.56299946422</v>
      </c>
      <c r="U58" s="135"/>
      <c r="V58" s="146">
        <f t="shared" si="55"/>
        <v>3.8695775642796026</v>
      </c>
      <c r="W58" s="146"/>
      <c r="X58" s="338">
        <f t="shared" si="56"/>
        <v>0</v>
      </c>
      <c r="Y58" s="338">
        <f t="shared" si="18"/>
        <v>0</v>
      </c>
      <c r="Z58" s="338">
        <f t="shared" si="19"/>
        <v>-120.98252975344899</v>
      </c>
      <c r="AA58" s="338">
        <f t="shared" si="20"/>
        <v>27.958046279830707</v>
      </c>
      <c r="AB58" s="338">
        <f t="shared" si="57"/>
        <v>0</v>
      </c>
      <c r="AC58" s="338">
        <f t="shared" si="58"/>
        <v>76.702299022254209</v>
      </c>
      <c r="AF58" s="138">
        <f t="shared" si="59"/>
        <v>1</v>
      </c>
      <c r="AG58" s="138">
        <f t="shared" si="60"/>
        <v>1</v>
      </c>
      <c r="AH58" s="138">
        <f t="shared" si="61"/>
        <v>31</v>
      </c>
      <c r="AI58" s="138">
        <f t="shared" si="69"/>
        <v>1111</v>
      </c>
      <c r="AJ58" s="138">
        <f t="shared" si="62"/>
        <v>1128</v>
      </c>
      <c r="AL58" s="136">
        <f t="shared" si="27"/>
        <v>3.6819999999999999</v>
      </c>
      <c r="AM58" s="258">
        <f t="shared" si="49"/>
        <v>2.5000000000000001E-2</v>
      </c>
      <c r="AN58" s="258">
        <f t="shared" si="28"/>
        <v>0.03</v>
      </c>
      <c r="AO58" s="258">
        <f t="shared" si="29"/>
        <v>0.125</v>
      </c>
      <c r="AP58" s="258">
        <f t="shared" si="30"/>
        <v>3.5000000000000003E-2</v>
      </c>
      <c r="AQ58" s="136">
        <f t="shared" si="63"/>
        <v>0</v>
      </c>
      <c r="AR58" s="137">
        <f t="shared" si="32"/>
        <v>1.15E-2</v>
      </c>
      <c r="AS58" s="136">
        <f t="shared" si="50"/>
        <v>3.7369999999999997</v>
      </c>
      <c r="AT58" s="137">
        <f t="shared" si="64"/>
        <v>4.4854887495736399E-2</v>
      </c>
      <c r="AU58" s="137">
        <f t="shared" si="34"/>
        <v>0.87229268147237504</v>
      </c>
      <c r="AV58" s="394">
        <f t="shared" si="51"/>
        <v>18874.66904169925</v>
      </c>
      <c r="AW58" s="137">
        <f t="shared" si="35"/>
        <v>0.32</v>
      </c>
      <c r="AX58" s="137">
        <f t="shared" si="36"/>
        <v>1.1499999999999999</v>
      </c>
      <c r="AY58" s="137">
        <f t="shared" si="37"/>
        <v>1.1000000000000001</v>
      </c>
      <c r="AZ58" s="137"/>
      <c r="BA58" s="264"/>
      <c r="BB58" s="258">
        <f t="shared" si="38"/>
        <v>0</v>
      </c>
      <c r="BC58" s="258">
        <f t="shared" si="65"/>
        <v>0</v>
      </c>
      <c r="BD58" s="137">
        <f t="shared" si="66"/>
        <v>6.4584087000496559E-5</v>
      </c>
      <c r="BE58" s="137">
        <f t="shared" si="67"/>
        <v>5.9013099665883306E-5</v>
      </c>
      <c r="BF58" s="137">
        <f>_xll.xSPRDOPT($BW58,$BV58,$CG58,0,$BY58,$BX58,$BZ58,$AJ58,1,4)*$CB58</f>
        <v>1.4430326296612626</v>
      </c>
      <c r="BG58" s="137">
        <f>_xll.xSPRDOPT($BW58,$BV58,$CG58,0,$BY58,$BX58,$BZ58,$AJ58,1,3)*$CB58</f>
        <v>1.3971861290716381</v>
      </c>
      <c r="BH58" s="137">
        <f>IF(OR(BF58&lt;&gt;0,BG58&lt;&gt;0),_xll.xSPRDOPT($BW58,$BV58,$CG58,0,$BY58,$BX58,$BZ58,$AJ58,1,12)*$CB58,0)</f>
        <v>-1.4199239263963073</v>
      </c>
      <c r="BI58" s="137">
        <f>_xll.xSPRDOPT($BW58,$BV58,$CG58,2*LN(1+CA58/2),$BY58,$BX58,$BZ58,$AJ58,1,9)</f>
        <v>-7.9191521491840926E-3</v>
      </c>
      <c r="BJ58" s="137">
        <f>_xll.xSPRDOPT($BW58,$BV58,$CG58,0,$BY58,$BX58,$BZ58,$AJ58,1,6)*$CB58</f>
        <v>0.25773604752448231</v>
      </c>
      <c r="BK58" s="137">
        <f>_xll.xSPRDOPT($BW58,$BV58,$CG58,0,$BY58,$BX58,$BZ58,$AJ58,1,5)*$CB58</f>
        <v>-2.7357309619346858E-2</v>
      </c>
      <c r="BL58" s="137">
        <f>_xll.xSPRDOPT(BW58,BV58,CG58,0,BY58,BX58,BZ58,AJ58,1,2)*CB58</f>
        <v>-0.5148969663485079</v>
      </c>
      <c r="BM58" s="137">
        <f>_xll.xSPRDOPT(BW58,BV58,CG58,0,BY58,BX58,BZ58,AJ58,1,1)*CB58</f>
        <v>0.53578535759924228</v>
      </c>
      <c r="BN58" s="137">
        <f>IF(AH58&lt;&gt;0,_xll.xSPRDOPT($BW58,$BV58,$CG58,2*LN(1+CA58/2),$BY58,$BX58,$BZ58,$AJ58,1,8)+(AJ58/365.25)*CH58/AH58,0)</f>
        <v>3.9676926885493236E-2</v>
      </c>
      <c r="BO58" s="137">
        <f>_xll.xSPRDOPT($BW58,$BV58,$CG58,0,$BY58,$BX58,$BZ58,$AJ58,1,0)</f>
        <v>0.12836618686769016</v>
      </c>
      <c r="BP58" s="137"/>
      <c r="BQ58" s="137"/>
      <c r="BR58" s="137"/>
      <c r="BS58" s="137"/>
      <c r="BV58" s="262">
        <v>3.7804754678806267</v>
      </c>
      <c r="BW58" s="136">
        <v>3.8420000000000001</v>
      </c>
      <c r="BX58" s="137">
        <v>0.34517139726908991</v>
      </c>
      <c r="BY58" s="137">
        <v>0.34292778947104979</v>
      </c>
      <c r="BZ58" s="137">
        <v>0.99474340223085345</v>
      </c>
      <c r="CA58" s="137">
        <v>4.4854887495736399E-2</v>
      </c>
      <c r="CB58" s="137">
        <v>0.87197492181025593</v>
      </c>
      <c r="CC58" s="258">
        <v>2.5000000000000001E-2</v>
      </c>
      <c r="CD58" s="258">
        <v>0.03</v>
      </c>
      <c r="CE58" s="258">
        <v>0.125</v>
      </c>
      <c r="CF58" s="258">
        <v>3.5000000000000003E-2</v>
      </c>
      <c r="CG58" s="258">
        <v>0</v>
      </c>
      <c r="CH58" s="258">
        <v>3.868167950642476</v>
      </c>
      <c r="CI58" s="258">
        <v>3.6819999999999999</v>
      </c>
      <c r="CJ58" s="258"/>
      <c r="CK58" s="258"/>
      <c r="CL58" s="258"/>
      <c r="CM58" s="258"/>
    </row>
    <row r="59" spans="1:91" x14ac:dyDescent="0.25">
      <c r="A59" s="723"/>
      <c r="B59" s="723"/>
      <c r="D59" s="31">
        <f t="shared" si="68"/>
        <v>38398</v>
      </c>
      <c r="F59" s="28">
        <f t="shared" si="52"/>
        <v>60000</v>
      </c>
      <c r="G59" s="28">
        <f t="shared" si="13"/>
        <v>52052.80149515548</v>
      </c>
      <c r="H59" s="52">
        <f t="shared" si="53"/>
        <v>3.6894284269094584</v>
      </c>
      <c r="I59" s="52">
        <f t="shared" si="54"/>
        <v>3.7570000000000001</v>
      </c>
      <c r="K59" s="52">
        <f t="shared" si="43"/>
        <v>1.6414018510387673</v>
      </c>
      <c r="L59" s="135">
        <f t="shared" si="44"/>
        <v>1.4102610304153769</v>
      </c>
      <c r="N59" s="131">
        <f t="shared" si="45"/>
        <v>0.34000271917801322</v>
      </c>
      <c r="O59" s="131">
        <f t="shared" si="46"/>
        <v>0.33799318380854676</v>
      </c>
      <c r="P59" s="55">
        <f t="shared" si="47"/>
        <v>0.99521990603088362</v>
      </c>
      <c r="Q59" s="135">
        <f>_xll.xSPRDOPT(I59,H59,AQ59,0,O59,N59,P59,D59-$G$5,1,0)*AH59*AU59</f>
        <v>3.0516628814541442</v>
      </c>
      <c r="R59" s="135"/>
      <c r="S59" s="181">
        <f>_xll.xSPRDOPT(I59,H59,AQ59,AT59,O59,N59,P59,D59-$G$5,1,2)*AF59*(F59/(1-AR59))*AH59</f>
        <v>-897036.31404657185</v>
      </c>
      <c r="T59" s="181">
        <f>_xll.xSPRDOPT(I59,H59,AQ59,AT59,O59,N59,P59,D59-$G$5,1,1)*AF59*F59*AH59</f>
        <v>919429.6085454144</v>
      </c>
      <c r="U59" s="135"/>
      <c r="V59" s="146">
        <f t="shared" si="55"/>
        <v>3.4760860838464831</v>
      </c>
      <c r="W59" s="146"/>
      <c r="X59" s="338">
        <f t="shared" si="56"/>
        <v>0</v>
      </c>
      <c r="Y59" s="338">
        <f t="shared" si="18"/>
        <v>0</v>
      </c>
      <c r="Z59" s="338">
        <f t="shared" si="19"/>
        <v>-90.264520144248408</v>
      </c>
      <c r="AA59" s="338">
        <f t="shared" si="20"/>
        <v>20.389081817300067</v>
      </c>
      <c r="AB59" s="338">
        <f t="shared" si="57"/>
        <v>0</v>
      </c>
      <c r="AC59" s="338">
        <f t="shared" si="58"/>
        <v>68.253602025821323</v>
      </c>
      <c r="AF59" s="138">
        <f t="shared" si="59"/>
        <v>1</v>
      </c>
      <c r="AG59" s="138">
        <f t="shared" si="60"/>
        <v>2</v>
      </c>
      <c r="AH59" s="138">
        <f t="shared" si="61"/>
        <v>28</v>
      </c>
      <c r="AI59" s="138">
        <f t="shared" si="69"/>
        <v>1142</v>
      </c>
      <c r="AJ59" s="138">
        <f t="shared" si="62"/>
        <v>1159</v>
      </c>
      <c r="AL59" s="136">
        <f t="shared" si="27"/>
        <v>3.597</v>
      </c>
      <c r="AM59" s="258">
        <f t="shared" si="49"/>
        <v>0.02</v>
      </c>
      <c r="AN59" s="258">
        <f t="shared" si="28"/>
        <v>0.03</v>
      </c>
      <c r="AO59" s="258">
        <f t="shared" si="29"/>
        <v>0.125</v>
      </c>
      <c r="AP59" s="258">
        <f t="shared" si="30"/>
        <v>3.5000000000000003E-2</v>
      </c>
      <c r="AQ59" s="136">
        <f t="shared" si="63"/>
        <v>0</v>
      </c>
      <c r="AR59" s="137">
        <f t="shared" si="32"/>
        <v>1.15E-2</v>
      </c>
      <c r="AS59" s="136">
        <f t="shared" si="50"/>
        <v>3.6469999999999998</v>
      </c>
      <c r="AT59" s="137">
        <f t="shared" si="64"/>
        <v>4.5401152752323697E-2</v>
      </c>
      <c r="AU59" s="137">
        <f t="shared" si="34"/>
        <v>0.86754669158592468</v>
      </c>
      <c r="AV59" s="394">
        <f t="shared" si="51"/>
        <v>16955.332540355314</v>
      </c>
      <c r="AW59" s="137">
        <f t="shared" si="35"/>
        <v>0.3175</v>
      </c>
      <c r="AX59" s="137">
        <f t="shared" si="36"/>
        <v>1.1499999999999999</v>
      </c>
      <c r="AY59" s="137">
        <f t="shared" si="37"/>
        <v>1.1000000000000001</v>
      </c>
      <c r="AZ59" s="137"/>
      <c r="BA59" s="264"/>
      <c r="BB59" s="258">
        <f t="shared" si="38"/>
        <v>0</v>
      </c>
      <c r="BC59" s="258">
        <f t="shared" si="65"/>
        <v>0</v>
      </c>
      <c r="BD59" s="137">
        <f t="shared" si="66"/>
        <v>5.6324060984547231E-5</v>
      </c>
      <c r="BE59" s="137">
        <f t="shared" si="67"/>
        <v>5.1441135497654056E-5</v>
      </c>
      <c r="BF59" s="137">
        <f>_xll.xSPRDOPT($BW59,$BV59,$CG59,0,$BY59,$BX59,$BZ59,$AJ59,1,4)*$CB59</f>
        <v>1.5273242610047326</v>
      </c>
      <c r="BG59" s="137">
        <f>_xll.xSPRDOPT($BW59,$BV59,$CG59,0,$BY59,$BX59,$BZ59,$AJ59,1,3)*$CB59</f>
        <v>1.4728788515064832</v>
      </c>
      <c r="BH59" s="137">
        <f>IF(OR(BF59&lt;&gt;0,BG59&lt;&gt;0),_xll.xSPRDOPT($BW59,$BV59,$CG59,0,$BY59,$BX59,$BZ59,$AJ59,1,12)*$CB59,0)</f>
        <v>-1.4998546583319508</v>
      </c>
      <c r="BI59" s="137">
        <f>_xll.xSPRDOPT($BW59,$BV59,$CG59,2*LN(1+CA59/2),$BY59,$BX59,$BZ59,$AJ59,1,9)</f>
        <v>-6.5414912664060977E-3</v>
      </c>
      <c r="BJ59" s="137">
        <f>_xll.xSPRDOPT($BW59,$BV59,$CG59,0,$BY59,$BX59,$BZ59,$AJ59,1,6)*$CB59</f>
        <v>0.23857719263707131</v>
      </c>
      <c r="BK59" s="137">
        <f>_xll.xSPRDOPT($BW59,$BV59,$CG59,0,$BY59,$BX59,$BZ59,$AJ59,1,5)*$CB59</f>
        <v>-2.5296450213243216E-2</v>
      </c>
      <c r="BL59" s="137">
        <f>_xll.xSPRDOPT(BW59,BV59,CG59,0,BY59,BX59,BZ59,AJ59,1,2)*CB59</f>
        <v>-0.52846356530822391</v>
      </c>
      <c r="BM59" s="137">
        <f>_xll.xSPRDOPT(BW59,BV59,CG59,0,BY59,BX59,BZ59,AJ59,1,1)*CB59</f>
        <v>0.54795745191148848</v>
      </c>
      <c r="BN59" s="137">
        <f>IF(AH59&lt;&gt;0,_xll.xSPRDOPT($BW59,$BV59,$CG59,2*LN(1+CA59/2),$BY59,$BX59,$BZ59,$AJ59,1,8)+(AJ59/365.25)*CH59/AH59,0)</f>
        <v>4.8081073924174489E-2</v>
      </c>
      <c r="BO59" s="137">
        <f>_xll.xSPRDOPT($BW59,$BV59,$CG59,0,$BY59,$BX59,$BZ59,$AJ59,1,0)</f>
        <v>0.12562777435885214</v>
      </c>
      <c r="BP59" s="137"/>
      <c r="BQ59" s="137"/>
      <c r="BR59" s="137"/>
      <c r="BS59" s="137"/>
      <c r="BV59" s="262">
        <v>3.6894284269094584</v>
      </c>
      <c r="BW59" s="136">
        <v>3.7570000000000001</v>
      </c>
      <c r="BX59" s="137">
        <v>0.33994639511702868</v>
      </c>
      <c r="BY59" s="137">
        <v>0.33794174267304911</v>
      </c>
      <c r="BZ59" s="137">
        <v>0.99523072339519125</v>
      </c>
      <c r="CA59" s="137">
        <v>4.5401152752323697E-2</v>
      </c>
      <c r="CB59" s="137">
        <v>0.86722685559525425</v>
      </c>
      <c r="CC59" s="258">
        <v>0.02</v>
      </c>
      <c r="CD59" s="258">
        <v>0.03</v>
      </c>
      <c r="CE59" s="258">
        <v>0.125</v>
      </c>
      <c r="CF59" s="258">
        <v>3.5000000000000003E-2</v>
      </c>
      <c r="CG59" s="258">
        <v>0</v>
      </c>
      <c r="CH59" s="258">
        <v>3.4748045649990646</v>
      </c>
      <c r="CI59" s="258">
        <v>3.597</v>
      </c>
      <c r="CJ59" s="258"/>
      <c r="CK59" s="258"/>
      <c r="CL59" s="258"/>
      <c r="CM59" s="258"/>
    </row>
    <row r="60" spans="1:91" x14ac:dyDescent="0.25">
      <c r="A60" s="723"/>
      <c r="B60" s="723"/>
      <c r="D60" s="31">
        <f t="shared" si="68"/>
        <v>38426</v>
      </c>
      <c r="F60" s="28">
        <f t="shared" si="52"/>
        <v>60000</v>
      </c>
      <c r="G60" s="28">
        <f t="shared" si="13"/>
        <v>51792.914951088344</v>
      </c>
      <c r="H60" s="52">
        <f t="shared" si="53"/>
        <v>3.5376833586241778</v>
      </c>
      <c r="I60" s="52">
        <f t="shared" si="54"/>
        <v>3.6270000000000002</v>
      </c>
      <c r="K60" s="52">
        <f t="shared" si="43"/>
        <v>2.3900840920889945</v>
      </c>
      <c r="L60" s="135">
        <f t="shared" si="44"/>
        <v>0.88651196578460478</v>
      </c>
      <c r="N60" s="131">
        <f t="shared" si="45"/>
        <v>0.32057198261143799</v>
      </c>
      <c r="O60" s="131">
        <f t="shared" si="46"/>
        <v>0.31729237574852004</v>
      </c>
      <c r="P60" s="55">
        <f t="shared" si="47"/>
        <v>0.99654206985719052</v>
      </c>
      <c r="Q60" s="135">
        <f>_xll.xSPRDOPT(I60,H60,AQ60,0,O60,N60,P60,D60-$G$5,1,0)*AH60*AU60</f>
        <v>3.2765960578735993</v>
      </c>
      <c r="R60" s="135"/>
      <c r="S60" s="181">
        <f>_xll.xSPRDOPT(I60,H60,AQ60,AT60,O60,N60,P60,D60-$G$5,1,2)*AF60*(F60/(1-AR60))*AH60</f>
        <v>-1117877.8956929864</v>
      </c>
      <c r="T60" s="181">
        <f>_xll.xSPRDOPT(I60,H60,AQ60,AT60,O60,N60,P60,D60-$G$5,1,1)*AF60*F60*AH60</f>
        <v>1131922.9321837565</v>
      </c>
      <c r="U60" s="135"/>
      <c r="V60" s="146">
        <f t="shared" si="55"/>
        <v>3.8293091669087165</v>
      </c>
      <c r="W60" s="146"/>
      <c r="X60" s="338">
        <f t="shared" si="56"/>
        <v>0</v>
      </c>
      <c r="Y60" s="338">
        <f t="shared" si="18"/>
        <v>0</v>
      </c>
      <c r="Z60" s="338">
        <f t="shared" si="19"/>
        <v>-48.658445204905057</v>
      </c>
      <c r="AA60" s="338">
        <f t="shared" si="20"/>
        <v>11.973670165075912</v>
      </c>
      <c r="AB60" s="338">
        <f t="shared" si="57"/>
        <v>0</v>
      </c>
      <c r="AC60" s="338">
        <f t="shared" si="58"/>
        <v>74.080655528779417</v>
      </c>
      <c r="AF60" s="138">
        <f t="shared" si="59"/>
        <v>1</v>
      </c>
      <c r="AG60" s="138">
        <f t="shared" si="60"/>
        <v>3</v>
      </c>
      <c r="AH60" s="138">
        <f t="shared" si="61"/>
        <v>31</v>
      </c>
      <c r="AI60" s="138">
        <f t="shared" si="69"/>
        <v>1170</v>
      </c>
      <c r="AJ60" s="138">
        <f t="shared" si="62"/>
        <v>1187</v>
      </c>
      <c r="AL60" s="136">
        <f t="shared" si="27"/>
        <v>3.4670000000000001</v>
      </c>
      <c r="AM60" s="258">
        <f t="shared" si="49"/>
        <v>0</v>
      </c>
      <c r="AN60" s="258">
        <f t="shared" si="28"/>
        <v>0.03</v>
      </c>
      <c r="AO60" s="258">
        <f t="shared" si="29"/>
        <v>0.125</v>
      </c>
      <c r="AP60" s="258">
        <f t="shared" si="30"/>
        <v>3.5000000000000003E-2</v>
      </c>
      <c r="AQ60" s="136">
        <f t="shared" si="63"/>
        <v>0</v>
      </c>
      <c r="AR60" s="137">
        <f t="shared" si="32"/>
        <v>1.15E-2</v>
      </c>
      <c r="AS60" s="136">
        <f t="shared" si="50"/>
        <v>3.4969999999999999</v>
      </c>
      <c r="AT60" s="137">
        <f t="shared" si="64"/>
        <v>4.5894553715070799E-2</v>
      </c>
      <c r="AU60" s="137">
        <f t="shared" si="34"/>
        <v>0.86321524918480574</v>
      </c>
      <c r="AV60" s="394">
        <f t="shared" si="51"/>
        <v>18678.251561860827</v>
      </c>
      <c r="AW60" s="137">
        <f t="shared" si="35"/>
        <v>0.3075</v>
      </c>
      <c r="AX60" s="137">
        <f t="shared" si="36"/>
        <v>0.85</v>
      </c>
      <c r="AY60" s="137">
        <f t="shared" si="37"/>
        <v>0.75</v>
      </c>
      <c r="AZ60" s="137"/>
      <c r="BA60" s="264"/>
      <c r="BB60" s="258">
        <f t="shared" si="38"/>
        <v>0</v>
      </c>
      <c r="BC60" s="258">
        <f t="shared" si="65"/>
        <v>0</v>
      </c>
      <c r="BD60" s="137">
        <f t="shared" si="66"/>
        <v>3.2325056200488422E-5</v>
      </c>
      <c r="BE60" s="137">
        <f t="shared" si="67"/>
        <v>2.4337327348467053E-5</v>
      </c>
      <c r="BF60" s="137">
        <f>_xll.xSPRDOPT($BW60,$BV60,$CG60,0,$BY60,$BX60,$BZ60,$AJ60,1,4)*$CB60</f>
        <v>1.7899234124656807</v>
      </c>
      <c r="BG60" s="137">
        <f>_xll.xSPRDOPT($BW60,$BV60,$CG60,0,$BY60,$BX60,$BZ60,$AJ60,1,3)*$CB60</f>
        <v>1.7028533079193884</v>
      </c>
      <c r="BH60" s="137">
        <f>IF(OR(BF60&lt;&gt;0,BG60&lt;&gt;0),_xll.xSPRDOPT($BW60,$BV60,$CG60,0,$BY60,$BX60,$BZ60,$AJ60,1,12)*$CB60,0)</f>
        <v>-1.7458467526832744</v>
      </c>
      <c r="BI60" s="137">
        <f>_xll.xSPRDOPT($BW60,$BV60,$CG60,2*LN(1+CA60/2),$BY60,$BX60,$BZ60,$AJ60,1,9)</f>
        <v>-3.1850353245683818E-3</v>
      </c>
      <c r="BJ60" s="137">
        <f>_xll.xSPRDOPT($BW60,$BV60,$CG60,0,$BY60,$BX60,$BZ60,$AJ60,1,6)*$CB60</f>
        <v>0.31784642725738882</v>
      </c>
      <c r="BK60" s="137">
        <f>_xll.xSPRDOPT($BW60,$BV60,$CG60,0,$BY60,$BX60,$BZ60,$AJ60,1,5)*$CB60</f>
        <v>-0.15765685735674775</v>
      </c>
      <c r="BL60" s="137">
        <f>_xll.xSPRDOPT(BW60,BV60,CG60,0,BY60,BX60,BZ60,AJ60,1,2)*CB60</f>
        <v>-0.59487568748466135</v>
      </c>
      <c r="BM60" s="137">
        <f>_xll.xSPRDOPT(BW60,BV60,CG60,0,BY60,BX60,BZ60,AJ60,1,1)*CB60</f>
        <v>0.60935736057436951</v>
      </c>
      <c r="BN60" s="137">
        <f>IF(AH60&lt;&gt;0,_xll.xSPRDOPT($BW60,$BV60,$CG60,2*LN(1+CA60/2),$BY60,$BX60,$BZ60,$AJ60,1,8)+(AJ60/365.25)*CH60/AH60,0)</f>
        <v>5.7920817538091696E-2</v>
      </c>
      <c r="BO60" s="137">
        <f>_xll.xSPRDOPT($BW60,$BV60,$CG60,0,$BY60,$BX60,$BZ60,$AJ60,1,0)</f>
        <v>0.12244539255039887</v>
      </c>
      <c r="BP60" s="137"/>
      <c r="BQ60" s="137"/>
      <c r="BR60" s="137"/>
      <c r="BS60" s="137"/>
      <c r="BV60" s="262">
        <v>3.5376833586241778</v>
      </c>
      <c r="BW60" s="136">
        <v>3.6270000000000002</v>
      </c>
      <c r="BX60" s="137">
        <v>0.3205396575552375</v>
      </c>
      <c r="BY60" s="137">
        <v>0.31726803842117157</v>
      </c>
      <c r="BZ60" s="137">
        <v>0.99655006208394781</v>
      </c>
      <c r="CA60" s="137">
        <v>4.5894553715070799E-2</v>
      </c>
      <c r="CB60" s="137">
        <v>0.86289359114020647</v>
      </c>
      <c r="CC60" s="258">
        <v>0</v>
      </c>
      <c r="CD60" s="258">
        <v>0.03</v>
      </c>
      <c r="CE60" s="258">
        <v>0.125</v>
      </c>
      <c r="CF60" s="258">
        <v>3.5000000000000003E-2</v>
      </c>
      <c r="CG60" s="258">
        <v>0</v>
      </c>
      <c r="CH60" s="258">
        <v>3.8278822596570699</v>
      </c>
      <c r="CI60" s="258">
        <v>3.4670000000000001</v>
      </c>
      <c r="CJ60" s="258"/>
      <c r="CK60" s="258"/>
      <c r="CL60" s="258"/>
      <c r="CM60" s="258"/>
    </row>
    <row r="61" spans="1:91" x14ac:dyDescent="0.25">
      <c r="A61" s="723"/>
      <c r="B61" s="723"/>
      <c r="D61" s="31">
        <f t="shared" si="68"/>
        <v>38457</v>
      </c>
      <c r="F61" s="28">
        <f t="shared" si="52"/>
        <v>60000</v>
      </c>
      <c r="G61" s="28">
        <f t="shared" si="13"/>
        <v>51508.934695020631</v>
      </c>
      <c r="H61" s="52">
        <f t="shared" si="53"/>
        <v>3.2291350531107739</v>
      </c>
      <c r="I61" s="52">
        <f t="shared" si="54"/>
        <v>3.3620000000000001</v>
      </c>
      <c r="K61" s="52">
        <f t="shared" si="43"/>
        <v>3.421865936287269</v>
      </c>
      <c r="L61" s="135">
        <f t="shared" si="44"/>
        <v>4.1784022740210425E-2</v>
      </c>
      <c r="N61" s="131">
        <f t="shared" si="45"/>
        <v>0.29985400264622203</v>
      </c>
      <c r="O61" s="131">
        <f t="shared" si="46"/>
        <v>0.29985400264622203</v>
      </c>
      <c r="P61" s="55">
        <f t="shared" si="47"/>
        <v>0.99902763111102544</v>
      </c>
      <c r="Q61" s="135">
        <f>_xll.xSPRDOPT(I61,H61,AQ61,0,O61,N61,P61,D61-$G$5,1,0)*AH61*AU61</f>
        <v>3.4636499590274794</v>
      </c>
      <c r="R61" s="135"/>
      <c r="S61" s="181">
        <f>_xll.xSPRDOPT(I61,H61,AQ61,AT61,O61,N61,P61,D61-$G$5,1,2)*AF61*(F61/(1-AR61))*AH61</f>
        <v>-1483289.5983201491</v>
      </c>
      <c r="T61" s="181">
        <f>_xll.xSPRDOPT(I61,H61,AQ61,AT61,O61,N61,P61,D61-$G$5,1,1)*AF61*F61*AH61</f>
        <v>1469992.0373104769</v>
      </c>
      <c r="U61" s="135"/>
      <c r="V61" s="146">
        <f t="shared" si="55"/>
        <v>3.6854642774287263</v>
      </c>
      <c r="W61" s="146"/>
      <c r="X61" s="338">
        <f t="shared" si="56"/>
        <v>0</v>
      </c>
      <c r="Y61" s="338">
        <f t="shared" si="18"/>
        <v>0</v>
      </c>
      <c r="Z61" s="338">
        <f t="shared" si="19"/>
        <v>63.323968563496166</v>
      </c>
      <c r="AA61" s="338">
        <f t="shared" si="20"/>
        <v>0.23294333484642854</v>
      </c>
      <c r="AB61" s="338">
        <f t="shared" si="57"/>
        <v>0</v>
      </c>
      <c r="AC61" s="338">
        <f t="shared" si="58"/>
        <v>79.177046692585066</v>
      </c>
      <c r="AF61" s="138">
        <f t="shared" si="59"/>
        <v>1</v>
      </c>
      <c r="AG61" s="138">
        <f t="shared" si="60"/>
        <v>4</v>
      </c>
      <c r="AH61" s="138">
        <f t="shared" si="61"/>
        <v>30</v>
      </c>
      <c r="AI61" s="138">
        <f t="shared" si="69"/>
        <v>1201</v>
      </c>
      <c r="AJ61" s="138">
        <f t="shared" si="62"/>
        <v>1218</v>
      </c>
      <c r="AL61" s="136">
        <f t="shared" si="27"/>
        <v>3.282</v>
      </c>
      <c r="AM61" s="258">
        <f t="shared" si="49"/>
        <v>-0.09</v>
      </c>
      <c r="AN61" s="258">
        <f t="shared" si="28"/>
        <v>0</v>
      </c>
      <c r="AO61" s="258">
        <f t="shared" si="29"/>
        <v>0.04</v>
      </c>
      <c r="AP61" s="258">
        <f t="shared" si="30"/>
        <v>0.04</v>
      </c>
      <c r="AQ61" s="136">
        <f t="shared" si="63"/>
        <v>0</v>
      </c>
      <c r="AR61" s="137">
        <f t="shared" si="32"/>
        <v>1.15E-2</v>
      </c>
      <c r="AS61" s="136">
        <f t="shared" si="50"/>
        <v>3.1920000000000002</v>
      </c>
      <c r="AT61" s="137">
        <f t="shared" si="64"/>
        <v>4.6401056415071598E-2</v>
      </c>
      <c r="AU61" s="137">
        <f t="shared" si="34"/>
        <v>0.85848224491701053</v>
      </c>
      <c r="AV61" s="394">
        <f t="shared" si="51"/>
        <v>17976.618208562202</v>
      </c>
      <c r="AW61" s="137">
        <f t="shared" si="35"/>
        <v>0.29749999999999999</v>
      </c>
      <c r="AX61" s="137">
        <f t="shared" si="36"/>
        <v>0.45</v>
      </c>
      <c r="AY61" s="137">
        <f t="shared" si="37"/>
        <v>0.45</v>
      </c>
      <c r="AZ61" s="137"/>
      <c r="BA61" s="264"/>
      <c r="BB61" s="258">
        <f t="shared" si="38"/>
        <v>0</v>
      </c>
      <c r="BC61" s="258">
        <f t="shared" si="65"/>
        <v>0</v>
      </c>
      <c r="BD61" s="137">
        <f t="shared" si="66"/>
        <v>5.7705951543307599E-6</v>
      </c>
      <c r="BE61" s="137">
        <f t="shared" si="67"/>
        <v>5.7705951543307599E-6</v>
      </c>
      <c r="BF61" s="137">
        <f>_xll.xSPRDOPT($BW61,$BV61,$CG61,0,$BY61,$BX61,$BZ61,$AJ61,1,4)*$CB61</f>
        <v>1.1045412983413574</v>
      </c>
      <c r="BG61" s="137">
        <f>_xll.xSPRDOPT($BW61,$BV61,$CG61,0,$BY61,$BX61,$BZ61,$AJ61,1,3)*$CB61</f>
        <v>1.0189641876483524</v>
      </c>
      <c r="BH61" s="137">
        <f>IF(OR(BF61&lt;&gt;0,BG61&lt;&gt;0),_xll.xSPRDOPT($BW61,$BV61,$CG61,0,$BY61,$BX61,$BZ61,$AJ61,1,12)*$CB61,0)</f>
        <v>-1.060893186464918</v>
      </c>
      <c r="BI61" s="137">
        <f>_xll.xSPRDOPT($BW61,$BV61,$CG61,2*LN(1+CA61/2),$BY61,$BX61,$BZ61,$AJ61,1,9)</f>
        <v>4.2831628736698102E-3</v>
      </c>
      <c r="BJ61" s="137">
        <f>_xll.xSPRDOPT($BW61,$BV61,$CG61,0,$BY61,$BX61,$BZ61,$AJ61,1,6)*$CB61</f>
        <v>1.1213062211310812E-2</v>
      </c>
      <c r="BK61" s="137">
        <f>_xll.xSPRDOPT($BW61,$BV61,$CG61,0,$BY61,$BX61,$BZ61,$AJ61,1,5)*$CB61</f>
        <v>1.1213214514487322E-2</v>
      </c>
      <c r="BL61" s="137">
        <f>_xll.xSPRDOPT(BW61,BV61,CG61,0,BY61,BX61,BZ61,AJ61,1,2)*CB61</f>
        <v>-0.81563060715981217</v>
      </c>
      <c r="BM61" s="137">
        <f>_xll.xSPRDOPT(BW61,BV61,CG61,0,BY61,BX61,BZ61,AJ61,1,1)*CB61</f>
        <v>0.81772690678187376</v>
      </c>
      <c r="BN61" s="137">
        <f>IF(AH61&lt;&gt;0,_xll.xSPRDOPT($BW61,$BV61,$CG61,2*LN(1+CA61/2),$BY61,$BX61,$BZ61,$AJ61,1,8)+(AJ61/365.25)*CH61/AH61,0)</f>
        <v>2.4837517829253586E-2</v>
      </c>
      <c r="BO61" s="137">
        <f>_xll.xSPRDOPT($BW61,$BV61,$CG61,0,$BY61,$BX61,$BZ61,$AJ61,1,0)</f>
        <v>0.13449316190323427</v>
      </c>
      <c r="BP61" s="137"/>
      <c r="BQ61" s="137"/>
      <c r="BR61" s="137"/>
      <c r="BS61" s="137"/>
      <c r="BV61" s="262">
        <v>3.2291350531107739</v>
      </c>
      <c r="BW61" s="136">
        <v>3.3620000000000001</v>
      </c>
      <c r="BX61" s="137">
        <v>0.2998482320510677</v>
      </c>
      <c r="BY61" s="137">
        <v>0.2998482320510677</v>
      </c>
      <c r="BZ61" s="137">
        <v>0.99902998680873289</v>
      </c>
      <c r="CA61" s="137">
        <v>4.6401056415071598E-2</v>
      </c>
      <c r="CB61" s="137">
        <v>0.85815886093193994</v>
      </c>
      <c r="CC61" s="258">
        <v>-0.09</v>
      </c>
      <c r="CD61" s="258">
        <v>0</v>
      </c>
      <c r="CE61" s="258">
        <v>0.04</v>
      </c>
      <c r="CF61" s="258">
        <v>0.04</v>
      </c>
      <c r="CG61" s="258">
        <v>0</v>
      </c>
      <c r="CH61" s="258">
        <v>3.6840759899808182</v>
      </c>
      <c r="CI61" s="258">
        <v>3.282</v>
      </c>
      <c r="CJ61" s="258"/>
      <c r="CK61" s="258"/>
      <c r="CL61" s="258"/>
      <c r="CM61" s="258"/>
    </row>
    <row r="62" spans="1:91" x14ac:dyDescent="0.25">
      <c r="A62" s="723"/>
      <c r="B62" s="723"/>
      <c r="D62" s="31">
        <f t="shared" si="68"/>
        <v>38487</v>
      </c>
      <c r="F62" s="28">
        <f t="shared" si="52"/>
        <v>60000</v>
      </c>
      <c r="G62" s="28">
        <f t="shared" si="13"/>
        <v>51237.413061063053</v>
      </c>
      <c r="H62" s="52">
        <f t="shared" si="53"/>
        <v>3.2240768841679315</v>
      </c>
      <c r="I62" s="52">
        <f t="shared" si="54"/>
        <v>3.3570000000000002</v>
      </c>
      <c r="K62" s="52">
        <f t="shared" si="43"/>
        <v>3.518828905479805</v>
      </c>
      <c r="L62" s="135">
        <f t="shared" si="44"/>
        <v>7.9011147624615585E-2</v>
      </c>
      <c r="N62" s="131">
        <f t="shared" si="45"/>
        <v>0.29252740451228487</v>
      </c>
      <c r="O62" s="131">
        <f t="shared" si="46"/>
        <v>0.29353523846621882</v>
      </c>
      <c r="P62" s="55">
        <f t="shared" si="47"/>
        <v>0.99868448051638781</v>
      </c>
      <c r="Q62" s="135">
        <f>_xll.xSPRDOPT(I62,H62,AQ62,0,O62,N62,P62,D62-$G$5,1,0)*AH62*AU62</f>
        <v>3.5978400531044206</v>
      </c>
      <c r="R62" s="135"/>
      <c r="S62" s="181">
        <f>_xll.xSPRDOPT(I62,H62,AQ62,AT62,O62,N62,P62,D62-$G$5,1,2)*AF62*(F62/(1-AR62))*AH62</f>
        <v>-1483404.1660656193</v>
      </c>
      <c r="T62" s="181">
        <f>_xll.xSPRDOPT(I62,H62,AQ62,AT62,O62,N62,P62,D62-$G$5,1,1)*AF62*F62*AH62</f>
        <v>1472470.1017667688</v>
      </c>
      <c r="U62" s="135"/>
      <c r="V62" s="146">
        <f t="shared" si="55"/>
        <v>3.7882381346696965</v>
      </c>
      <c r="W62" s="146"/>
      <c r="X62" s="338">
        <f t="shared" si="56"/>
        <v>0</v>
      </c>
      <c r="Y62" s="338">
        <f t="shared" si="18"/>
        <v>0</v>
      </c>
      <c r="Z62" s="338">
        <f t="shared" si="19"/>
        <v>57.83868300146073</v>
      </c>
      <c r="AA62" s="338">
        <f t="shared" si="20"/>
        <v>0.71074965447690552</v>
      </c>
      <c r="AB62" s="338">
        <f t="shared" si="57"/>
        <v>0</v>
      </c>
      <c r="AC62" s="338">
        <f t="shared" si="58"/>
        <v>83.048245765749613</v>
      </c>
      <c r="AF62" s="138">
        <f t="shared" si="59"/>
        <v>1</v>
      </c>
      <c r="AG62" s="138">
        <f t="shared" si="60"/>
        <v>5</v>
      </c>
      <c r="AH62" s="138">
        <f t="shared" si="61"/>
        <v>31</v>
      </c>
      <c r="AI62" s="138">
        <f t="shared" si="69"/>
        <v>1231</v>
      </c>
      <c r="AJ62" s="138">
        <f t="shared" si="62"/>
        <v>1248</v>
      </c>
      <c r="AL62" s="136">
        <f t="shared" si="27"/>
        <v>3.2770000000000001</v>
      </c>
      <c r="AM62" s="258">
        <f t="shared" si="49"/>
        <v>-0.09</v>
      </c>
      <c r="AN62" s="258">
        <f t="shared" si="28"/>
        <v>0</v>
      </c>
      <c r="AO62" s="258">
        <f t="shared" si="29"/>
        <v>0.04</v>
      </c>
      <c r="AP62" s="258">
        <f t="shared" si="30"/>
        <v>0.04</v>
      </c>
      <c r="AQ62" s="136">
        <f t="shared" si="63"/>
        <v>0</v>
      </c>
      <c r="AR62" s="137">
        <f t="shared" si="32"/>
        <v>1.15E-2</v>
      </c>
      <c r="AS62" s="136">
        <f t="shared" si="50"/>
        <v>3.1870000000000003</v>
      </c>
      <c r="AT62" s="137">
        <f t="shared" si="64"/>
        <v>4.6856677050253197E-2</v>
      </c>
      <c r="AU62" s="137">
        <f t="shared" si="34"/>
        <v>0.85395688435105088</v>
      </c>
      <c r="AV62" s="394">
        <f t="shared" si="51"/>
        <v>18477.91906358804</v>
      </c>
      <c r="AW62" s="137">
        <f t="shared" si="35"/>
        <v>0.28999999999999998</v>
      </c>
      <c r="AX62" s="137">
        <f t="shared" si="36"/>
        <v>0.45</v>
      </c>
      <c r="AY62" s="137">
        <f t="shared" si="37"/>
        <v>0.5</v>
      </c>
      <c r="AZ62" s="137"/>
      <c r="BA62" s="264"/>
      <c r="BB62" s="258">
        <f t="shared" si="38"/>
        <v>0</v>
      </c>
      <c r="BC62" s="258">
        <f t="shared" si="65"/>
        <v>0</v>
      </c>
      <c r="BD62" s="137">
        <f t="shared" si="66"/>
        <v>6.0420462256738361E-6</v>
      </c>
      <c r="BE62" s="137">
        <f t="shared" si="67"/>
        <v>8.4369756610525037E-6</v>
      </c>
      <c r="BF62" s="137">
        <f>_xll.xSPRDOPT($BW62,$BV62,$CG62,0,$BY62,$BX62,$BZ62,$AJ62,1,4)*$CB62</f>
        <v>1.3491593376582813</v>
      </c>
      <c r="BG62" s="137">
        <f>_xll.xSPRDOPT($BW62,$BV62,$CG62,0,$BY62,$BX62,$BZ62,$AJ62,1,3)*$CB62</f>
        <v>1.2444324116858247</v>
      </c>
      <c r="BH62" s="137">
        <f>IF(OR(BF62&lt;&gt;0,BG62&lt;&gt;0),_xll.xSPRDOPT($BW62,$BV62,$CG62,0,$BY62,$BX62,$BZ62,$AJ62,1,12)*$CB62,0)</f>
        <v>-1.2957406747704463</v>
      </c>
      <c r="BI62" s="137">
        <f>_xll.xSPRDOPT($BW62,$BV62,$CG62,2*LN(1+CA62/2),$BY62,$BX62,$BZ62,$AJ62,1,9)</f>
        <v>3.7859460513052917E-3</v>
      </c>
      <c r="BJ62" s="137">
        <f>_xll.xSPRDOPT($BW62,$BV62,$CG62,0,$BY62,$BX62,$BZ62,$AJ62,1,6)*$CB62</f>
        <v>-2.9717396229746257E-2</v>
      </c>
      <c r="BK62" s="137">
        <f>_xll.xSPRDOPT($BW62,$BV62,$CG62,0,$BY62,$BX62,$BZ62,$AJ62,1,5)*$CB62</f>
        <v>6.6573304752854723E-2</v>
      </c>
      <c r="BL62" s="137">
        <f>_xll.xSPRDOPT(BW62,BV62,CG62,0,BY62,BX62,BZ62,AJ62,1,2)*CB62</f>
        <v>-0.78951055234334933</v>
      </c>
      <c r="BM62" s="137">
        <f>_xll.xSPRDOPT(BW62,BV62,CG62,0,BY62,BX62,BZ62,AJ62,1,1)*CB62</f>
        <v>0.7928084402236546</v>
      </c>
      <c r="BN62" s="137">
        <f>IF(AH62&lt;&gt;0,_xll.xSPRDOPT($BW62,$BV62,$CG62,2*LN(1+CA62/2),$BY62,$BX62,$BZ62,$AJ62,1,8)+(AJ62/365.25)*CH62/AH62,0)</f>
        <v>2.0977750273539431E-2</v>
      </c>
      <c r="BO62" s="137">
        <f>_xll.xSPRDOPT($BW62,$BV62,$CG62,0,$BY62,$BX62,$BZ62,$AJ62,1,0)</f>
        <v>0.13590776579857367</v>
      </c>
      <c r="BP62" s="137"/>
      <c r="BQ62" s="137"/>
      <c r="BR62" s="137"/>
      <c r="BS62" s="137"/>
      <c r="BV62" s="262">
        <v>3.2240768841679315</v>
      </c>
      <c r="BW62" s="136">
        <v>3.3570000000000002</v>
      </c>
      <c r="BX62" s="137">
        <v>0.2925213624660592</v>
      </c>
      <c r="BY62" s="137">
        <v>0.29352680149055776</v>
      </c>
      <c r="BZ62" s="137">
        <v>0.99868756032076533</v>
      </c>
      <c r="CA62" s="137">
        <v>4.6856677050253197E-2</v>
      </c>
      <c r="CB62" s="137">
        <v>0.85363208329541629</v>
      </c>
      <c r="CC62" s="258">
        <v>-0.09</v>
      </c>
      <c r="CD62" s="258">
        <v>0</v>
      </c>
      <c r="CE62" s="258">
        <v>0.04</v>
      </c>
      <c r="CF62" s="258">
        <v>0.04</v>
      </c>
      <c r="CG62" s="258">
        <v>0</v>
      </c>
      <c r="CH62" s="258">
        <v>3.7867972847067959</v>
      </c>
      <c r="CI62" s="258">
        <v>3.2770000000000001</v>
      </c>
      <c r="CJ62" s="258"/>
      <c r="CK62" s="258"/>
      <c r="CL62" s="258"/>
      <c r="CM62" s="258"/>
    </row>
    <row r="63" spans="1:91" x14ac:dyDescent="0.25">
      <c r="A63" s="723"/>
      <c r="B63" s="723"/>
      <c r="D63" s="31">
        <f t="shared" si="68"/>
        <v>38518</v>
      </c>
      <c r="F63" s="28">
        <f t="shared" si="52"/>
        <v>60000</v>
      </c>
      <c r="G63" s="28">
        <f t="shared" si="13"/>
        <v>50954.447410764529</v>
      </c>
      <c r="H63" s="52">
        <f t="shared" si="53"/>
        <v>3.25948406676783</v>
      </c>
      <c r="I63" s="52">
        <f t="shared" si="54"/>
        <v>3.3919999999999999</v>
      </c>
      <c r="K63" s="52">
        <f t="shared" si="43"/>
        <v>3.3761380754834929</v>
      </c>
      <c r="L63" s="135">
        <f t="shared" si="44"/>
        <v>7.5012864483349873E-2</v>
      </c>
      <c r="N63" s="131">
        <f t="shared" si="45"/>
        <v>0.29238802915440232</v>
      </c>
      <c r="O63" s="131">
        <f t="shared" si="46"/>
        <v>0.29334060051271815</v>
      </c>
      <c r="P63" s="55">
        <f t="shared" si="47"/>
        <v>0.99875560209926595</v>
      </c>
      <c r="Q63" s="135">
        <f>_xll.xSPRDOPT(I63,H63,AQ63,0,O63,N63,P63,D63-$G$5,1,0)*AH63*AU63</f>
        <v>3.4511509399668427</v>
      </c>
      <c r="R63" s="135"/>
      <c r="S63" s="181">
        <f>_xll.xSPRDOPT(I63,H63,AQ63,AT63,O63,N63,P63,D63-$G$5,1,2)*AF63*(F63/(1-AR63))*AH63</f>
        <v>-1428337.6398940776</v>
      </c>
      <c r="T63" s="181">
        <f>_xll.xSPRDOPT(I63,H63,AQ63,AT63,O63,N63,P63,D63-$G$5,1,1)*AF63*F63*AH63</f>
        <v>1417681.1564211443</v>
      </c>
      <c r="U63" s="135"/>
      <c r="V63" s="146">
        <f t="shared" si="55"/>
        <v>3.6457907122402022</v>
      </c>
      <c r="W63" s="146"/>
      <c r="X63" s="338">
        <f t="shared" si="56"/>
        <v>0</v>
      </c>
      <c r="Y63" s="338">
        <f t="shared" si="18"/>
        <v>0</v>
      </c>
      <c r="Z63" s="338">
        <f t="shared" si="19"/>
        <v>56.994980158203781</v>
      </c>
      <c r="AA63" s="338">
        <f t="shared" si="20"/>
        <v>0.62493214524170349</v>
      </c>
      <c r="AB63" s="338">
        <f t="shared" si="57"/>
        <v>0</v>
      </c>
      <c r="AC63" s="338">
        <f t="shared" si="58"/>
        <v>80.462374308728769</v>
      </c>
      <c r="AF63" s="138">
        <f t="shared" si="59"/>
        <v>1</v>
      </c>
      <c r="AG63" s="138">
        <f t="shared" si="60"/>
        <v>6</v>
      </c>
      <c r="AH63" s="138">
        <f t="shared" si="61"/>
        <v>30</v>
      </c>
      <c r="AI63" s="138">
        <f t="shared" si="69"/>
        <v>1262</v>
      </c>
      <c r="AJ63" s="138">
        <f t="shared" si="62"/>
        <v>1279</v>
      </c>
      <c r="AL63" s="136">
        <f t="shared" si="27"/>
        <v>3.3119999999999998</v>
      </c>
      <c r="AM63" s="258">
        <f t="shared" si="49"/>
        <v>-0.09</v>
      </c>
      <c r="AN63" s="258">
        <f t="shared" si="28"/>
        <v>0</v>
      </c>
      <c r="AO63" s="258">
        <f t="shared" si="29"/>
        <v>0.04</v>
      </c>
      <c r="AP63" s="258">
        <f t="shared" si="30"/>
        <v>0.04</v>
      </c>
      <c r="AQ63" s="136">
        <f t="shared" si="63"/>
        <v>0</v>
      </c>
      <c r="AR63" s="137">
        <f t="shared" si="32"/>
        <v>1.15E-2</v>
      </c>
      <c r="AS63" s="136">
        <f t="shared" si="50"/>
        <v>3.222</v>
      </c>
      <c r="AT63" s="137">
        <f t="shared" si="64"/>
        <v>4.7327485112866399E-2</v>
      </c>
      <c r="AU63" s="137">
        <f t="shared" si="34"/>
        <v>0.84924079017940879</v>
      </c>
      <c r="AV63" s="394">
        <f t="shared" si="51"/>
        <v>17783.102146356821</v>
      </c>
      <c r="AW63" s="137">
        <f t="shared" si="35"/>
        <v>0.28999999999999998</v>
      </c>
      <c r="AX63" s="137">
        <f t="shared" si="36"/>
        <v>0.45</v>
      </c>
      <c r="AY63" s="137">
        <f t="shared" si="37"/>
        <v>0.5</v>
      </c>
      <c r="AZ63" s="137"/>
      <c r="BA63" s="264"/>
      <c r="BB63" s="258">
        <f t="shared" si="38"/>
        <v>0</v>
      </c>
      <c r="BC63" s="258">
        <f t="shared" si="65"/>
        <v>0</v>
      </c>
      <c r="BD63" s="137">
        <f t="shared" si="66"/>
        <v>5.5741404257902971E-6</v>
      </c>
      <c r="BE63" s="137">
        <f t="shared" si="67"/>
        <v>7.7850538949819637E-6</v>
      </c>
      <c r="BF63" s="137">
        <f>_xll.xSPRDOPT($BW63,$BV63,$CG63,0,$BY63,$BX63,$BZ63,$AJ63,1,4)*$CB63</f>
        <v>1.3413842286923128</v>
      </c>
      <c r="BG63" s="137">
        <f>_xll.xSPRDOPT($BW63,$BV63,$CG63,0,$BY63,$BX63,$BZ63,$AJ63,1,3)*$CB63</f>
        <v>1.2386231904195568</v>
      </c>
      <c r="BH63" s="137">
        <f>IF(OR(BF63&lt;&gt;0,BG63&lt;&gt;0),_xll.xSPRDOPT($BW63,$BV63,$CG63,0,$BY63,$BX63,$BZ63,$AJ63,1,12)*$CB63,0)</f>
        <v>-1.2889825191566973</v>
      </c>
      <c r="BI63" s="137">
        <f>_xll.xSPRDOPT($BW63,$BV63,$CG63,2*LN(1+CA63/2),$BY63,$BX63,$BZ63,$AJ63,1,9)</f>
        <v>3.8550771301451721E-3</v>
      </c>
      <c r="BJ63" s="137">
        <f>_xll.xSPRDOPT($BW63,$BV63,$CG63,0,$BY63,$BX63,$BZ63,$AJ63,1,6)*$CB63</f>
        <v>-2.9250629865032997E-2</v>
      </c>
      <c r="BK63" s="137">
        <f>_xll.xSPRDOPT($BW63,$BV63,$CG63,0,$BY63,$BX63,$BZ63,$AJ63,1,5)*$CB63</f>
        <v>6.5539898686336751E-2</v>
      </c>
      <c r="BL63" s="137">
        <f>_xll.xSPRDOPT(BW63,BV63,CG63,0,BY63,BX63,BZ63,AJ63,1,2)*CB63</f>
        <v>-0.78560552591123733</v>
      </c>
      <c r="BM63" s="137">
        <f>_xll.xSPRDOPT(BW63,BV63,CG63,0,BY63,BX63,BZ63,AJ63,1,1)*CB63</f>
        <v>0.78881570242025068</v>
      </c>
      <c r="BN63" s="137">
        <f>IF(AH63&lt;&gt;0,_xll.xSPRDOPT($BW63,$BV63,$CG63,2*LN(1+CA63/2),$BY63,$BX63,$BZ63,$AJ63,1,8)+(AJ63/365.25)*CH63/AH63,0)</f>
        <v>2.2710314144207322E-2</v>
      </c>
      <c r="BO63" s="137">
        <f>_xll.xSPRDOPT($BW63,$BV63,$CG63,0,$BY63,$BX63,$BZ63,$AJ63,1,0)</f>
        <v>0.13546025555286717</v>
      </c>
      <c r="BP63" s="137"/>
      <c r="BQ63" s="137"/>
      <c r="BR63" s="137"/>
      <c r="BS63" s="137"/>
      <c r="BV63" s="262">
        <v>3.25948406676783</v>
      </c>
      <c r="BW63" s="136">
        <v>3.3919999999999999</v>
      </c>
      <c r="BX63" s="137">
        <v>0.29238245501397653</v>
      </c>
      <c r="BY63" s="137">
        <v>0.29333281545882317</v>
      </c>
      <c r="BZ63" s="137">
        <v>0.99875844990989238</v>
      </c>
      <c r="CA63" s="137">
        <v>4.7327485112866399E-2</v>
      </c>
      <c r="CB63" s="137">
        <v>0.84891457563562278</v>
      </c>
      <c r="CC63" s="258">
        <v>-0.09</v>
      </c>
      <c r="CD63" s="258">
        <v>0</v>
      </c>
      <c r="CE63" s="258">
        <v>0.04</v>
      </c>
      <c r="CF63" s="258">
        <v>0.04</v>
      </c>
      <c r="CG63" s="258">
        <v>0</v>
      </c>
      <c r="CH63" s="258">
        <v>3.6443902732037285</v>
      </c>
      <c r="CI63" s="258">
        <v>3.3119999999999998</v>
      </c>
      <c r="CJ63" s="258"/>
      <c r="CK63" s="258"/>
      <c r="CL63" s="258"/>
      <c r="CM63" s="258"/>
    </row>
    <row r="64" spans="1:91" x14ac:dyDescent="0.25">
      <c r="A64" s="723"/>
      <c r="B64" s="723"/>
      <c r="D64" s="31">
        <f t="shared" si="68"/>
        <v>38548</v>
      </c>
      <c r="F64" s="28">
        <f t="shared" si="52"/>
        <v>60000</v>
      </c>
      <c r="G64" s="28">
        <f t="shared" si="13"/>
        <v>50682.352539704472</v>
      </c>
      <c r="H64" s="52">
        <f t="shared" si="53"/>
        <v>3.2999494183105713</v>
      </c>
      <c r="I64" s="52">
        <f t="shared" si="54"/>
        <v>3.4319999999999999</v>
      </c>
      <c r="K64" s="52">
        <f t="shared" si="43"/>
        <v>3.4578609693659437</v>
      </c>
      <c r="L64" s="135">
        <f t="shared" si="44"/>
        <v>0.12384276634410041</v>
      </c>
      <c r="N64" s="131">
        <f t="shared" si="45"/>
        <v>0.28848877686763669</v>
      </c>
      <c r="O64" s="131">
        <f t="shared" si="46"/>
        <v>0.28956544219828367</v>
      </c>
      <c r="P64" s="55">
        <f t="shared" si="47"/>
        <v>0.99846366230398853</v>
      </c>
      <c r="Q64" s="135">
        <f>_xll.xSPRDOPT(I64,H64,AQ64,0,O64,N64,P64,D64-$G$5,1,0)*AH64*AU64</f>
        <v>3.5817037357100441</v>
      </c>
      <c r="R64" s="135"/>
      <c r="S64" s="181">
        <f>_xll.xSPRDOPT(I64,H64,AQ64,AT64,O64,N64,P64,D64-$G$5,1,2)*AF64*(F64/(1-AR64))*AH64</f>
        <v>-1426357.8985717357</v>
      </c>
      <c r="T64" s="181">
        <f>_xll.xSPRDOPT(I64,H64,AQ64,AT64,O64,N64,P64,D64-$G$5,1,1)*AF64*F64*AH64</f>
        <v>1418196.6059809201</v>
      </c>
      <c r="U64" s="135"/>
      <c r="V64" s="146">
        <f t="shared" si="55"/>
        <v>3.7471997350230497</v>
      </c>
      <c r="W64" s="146"/>
      <c r="X64" s="338">
        <f t="shared" si="56"/>
        <v>0</v>
      </c>
      <c r="Y64" s="338">
        <f t="shared" si="18"/>
        <v>0</v>
      </c>
      <c r="Z64" s="338">
        <f t="shared" si="19"/>
        <v>51.449136179134918</v>
      </c>
      <c r="AA64" s="338">
        <f t="shared" si="20"/>
        <v>1.157535333974691</v>
      </c>
      <c r="AB64" s="338">
        <f t="shared" si="57"/>
        <v>0</v>
      </c>
      <c r="AC64" s="338">
        <f t="shared" si="58"/>
        <v>84.269873622377318</v>
      </c>
      <c r="AF64" s="138">
        <f t="shared" si="59"/>
        <v>1</v>
      </c>
      <c r="AG64" s="138">
        <f t="shared" si="60"/>
        <v>7</v>
      </c>
      <c r="AH64" s="138">
        <f t="shared" si="61"/>
        <v>31</v>
      </c>
      <c r="AI64" s="138">
        <f t="shared" si="69"/>
        <v>1292</v>
      </c>
      <c r="AJ64" s="138">
        <f t="shared" si="62"/>
        <v>1309</v>
      </c>
      <c r="AL64" s="136">
        <f t="shared" si="27"/>
        <v>3.3519999999999999</v>
      </c>
      <c r="AM64" s="258">
        <f t="shared" si="49"/>
        <v>-0.09</v>
      </c>
      <c r="AN64" s="258">
        <f t="shared" si="28"/>
        <v>0</v>
      </c>
      <c r="AO64" s="258">
        <f t="shared" si="29"/>
        <v>0.04</v>
      </c>
      <c r="AP64" s="258">
        <f t="shared" si="30"/>
        <v>0.04</v>
      </c>
      <c r="AQ64" s="136">
        <f t="shared" si="63"/>
        <v>0</v>
      </c>
      <c r="AR64" s="137">
        <f t="shared" si="32"/>
        <v>1.15E-2</v>
      </c>
      <c r="AS64" s="136">
        <f t="shared" si="50"/>
        <v>3.262</v>
      </c>
      <c r="AT64" s="137">
        <f t="shared" si="64"/>
        <v>4.7760481058800999E-2</v>
      </c>
      <c r="AU64" s="137">
        <f t="shared" si="34"/>
        <v>0.84470587566174116</v>
      </c>
      <c r="AV64" s="394">
        <f t="shared" si="51"/>
        <v>18277.745737568755</v>
      </c>
      <c r="AW64" s="137">
        <f t="shared" si="35"/>
        <v>0.28499999999999998</v>
      </c>
      <c r="AX64" s="137">
        <f t="shared" si="36"/>
        <v>0.5</v>
      </c>
      <c r="AY64" s="137">
        <f t="shared" si="37"/>
        <v>0.55000000000000004</v>
      </c>
      <c r="AZ64" s="137"/>
      <c r="BA64" s="264"/>
      <c r="BB64" s="258">
        <f t="shared" si="38"/>
        <v>0</v>
      </c>
      <c r="BC64" s="258">
        <f t="shared" si="65"/>
        <v>0</v>
      </c>
      <c r="BD64" s="137">
        <f t="shared" si="66"/>
        <v>7.9383346645589548E-6</v>
      </c>
      <c r="BE64" s="137">
        <f t="shared" si="67"/>
        <v>1.0369018023592691E-5</v>
      </c>
      <c r="BF64" s="137">
        <f>_xll.xSPRDOPT($BW64,$BV64,$CG64,0,$BY64,$BX64,$BZ64,$AJ64,1,4)*$CB64</f>
        <v>1.4875229879878222</v>
      </c>
      <c r="BG64" s="137">
        <f>_xll.xSPRDOPT($BW64,$BV64,$CG64,0,$BY64,$BX64,$BZ64,$AJ64,1,3)*$CB64</f>
        <v>1.3752563803891902</v>
      </c>
      <c r="BH64" s="137">
        <f>IF(OR(BF64&lt;&gt;0,BG64&lt;&gt;0),_xll.xSPRDOPT($BW64,$BV64,$CG64,0,$BY64,$BX64,$BZ64,$AJ64,1,12)*$CB64,0)</f>
        <v>-1.4302891087518081</v>
      </c>
      <c r="BI64" s="137">
        <f>_xll.xSPRDOPT($BW64,$BV64,$CG64,2*LN(1+CA64/2),$BY64,$BX64,$BZ64,$AJ64,1,9)</f>
        <v>3.3677055536611164E-3</v>
      </c>
      <c r="BJ64" s="137">
        <f>_xll.xSPRDOPT($BW64,$BV64,$CG64,0,$BY64,$BX64,$BZ64,$AJ64,1,6)*$CB64</f>
        <v>-3.6594245140127324E-2</v>
      </c>
      <c r="BK64" s="137">
        <f>_xll.xSPRDOPT($BW64,$BV64,$CG64,0,$BY64,$BX64,$BZ64,$AJ64,1,5)*$CB64</f>
        <v>8.8034198355124174E-2</v>
      </c>
      <c r="BL64" s="137">
        <f>_xll.xSPRDOPT(BW64,BV64,CG64,0,BY64,BX64,BZ64,AJ64,1,2)*CB64</f>
        <v>-0.75926858829034027</v>
      </c>
      <c r="BM64" s="137">
        <f>_xll.xSPRDOPT(BW64,BV64,CG64,0,BY64,BX64,BZ64,AJ64,1,1)*CB64</f>
        <v>0.7637068735749124</v>
      </c>
      <c r="BN64" s="137">
        <f>IF(AH64&lt;&gt;0,_xll.xSPRDOPT($BW64,$BV64,$CG64,2*LN(1+CA64/2),$BY64,$BX64,$BZ64,$AJ64,1,8)+(AJ64/365.25)*CH64/AH64,0)</f>
        <v>1.9125168343870236E-2</v>
      </c>
      <c r="BO64" s="137">
        <f>_xll.xSPRDOPT($BW64,$BV64,$CG64,0,$BY64,$BX64,$BZ64,$AJ64,1,0)</f>
        <v>0.1367799764930408</v>
      </c>
      <c r="BP64" s="137"/>
      <c r="BQ64" s="137"/>
      <c r="BR64" s="137"/>
      <c r="BS64" s="137"/>
      <c r="BV64" s="262">
        <v>3.2999494183105713</v>
      </c>
      <c r="BW64" s="136">
        <v>3.4319999999999999</v>
      </c>
      <c r="BX64" s="137">
        <v>0.28848083853297213</v>
      </c>
      <c r="BY64" s="137">
        <v>0.28955507318026008</v>
      </c>
      <c r="BZ64" s="137">
        <v>0.99846706681001396</v>
      </c>
      <c r="CA64" s="137">
        <v>4.7760481058800999E-2</v>
      </c>
      <c r="CB64" s="137">
        <v>0.84437846983859632</v>
      </c>
      <c r="CC64" s="258">
        <v>-0.09</v>
      </c>
      <c r="CD64" s="258">
        <v>0</v>
      </c>
      <c r="CE64" s="258">
        <v>0.04</v>
      </c>
      <c r="CF64" s="258">
        <v>0.04</v>
      </c>
      <c r="CG64" s="258">
        <v>0</v>
      </c>
      <c r="CH64" s="258">
        <v>3.7457473300509969</v>
      </c>
      <c r="CI64" s="258">
        <v>3.3519999999999999</v>
      </c>
      <c r="CJ64" s="258"/>
      <c r="CK64" s="258"/>
      <c r="CL64" s="258"/>
      <c r="CM64" s="258"/>
    </row>
    <row r="65" spans="1:91" x14ac:dyDescent="0.25">
      <c r="A65" s="723"/>
      <c r="B65" s="723"/>
      <c r="D65" s="31">
        <f t="shared" si="68"/>
        <v>38579</v>
      </c>
      <c r="F65" s="28">
        <f t="shared" si="52"/>
        <v>60000</v>
      </c>
      <c r="G65" s="28">
        <f t="shared" si="13"/>
        <v>50402.974092851189</v>
      </c>
      <c r="H65" s="52">
        <f t="shared" si="53"/>
        <v>3.3404147698533131</v>
      </c>
      <c r="I65" s="52">
        <f t="shared" si="54"/>
        <v>3.472</v>
      </c>
      <c r="K65" s="52">
        <f t="shared" si="43"/>
        <v>3.4266815888107494</v>
      </c>
      <c r="L65" s="135">
        <f t="shared" si="44"/>
        <v>0.17322465968292766</v>
      </c>
      <c r="N65" s="131">
        <f t="shared" si="45"/>
        <v>0.28946051993952615</v>
      </c>
      <c r="O65" s="131">
        <f t="shared" si="46"/>
        <v>0.2906084133445071</v>
      </c>
      <c r="P65" s="55">
        <f t="shared" si="47"/>
        <v>0.99824575144727301</v>
      </c>
      <c r="Q65" s="135">
        <f>_xll.xSPRDOPT(I65,H65,AQ65,0,O65,N65,P65,D65-$G$5,1,0)*AH65*AU65</f>
        <v>3.599906248493677</v>
      </c>
      <c r="R65" s="135"/>
      <c r="S65" s="181">
        <f>_xll.xSPRDOPT(I65,H65,AQ65,AT65,O65,N65,P65,D65-$G$5,1,2)*AF65*(F65/(1-AR65))*AH65</f>
        <v>-1382148.2089119456</v>
      </c>
      <c r="T65" s="181">
        <f>_xll.xSPRDOPT(I65,H65,AQ65,AT65,O65,N65,P65,D65-$G$5,1,1)*AF65*F65*AH65</f>
        <v>1376554.2897570317</v>
      </c>
      <c r="U65" s="135"/>
      <c r="V65" s="146">
        <f t="shared" si="55"/>
        <v>3.7265438895549527</v>
      </c>
      <c r="W65" s="146"/>
      <c r="X65" s="338">
        <f t="shared" si="56"/>
        <v>0</v>
      </c>
      <c r="Y65" s="338">
        <f t="shared" si="18"/>
        <v>0</v>
      </c>
      <c r="Z65" s="338">
        <f t="shared" si="19"/>
        <v>45.110217725804738</v>
      </c>
      <c r="AA65" s="338">
        <f t="shared" si="20"/>
        <v>1.6888962058171197</v>
      </c>
      <c r="AB65" s="338">
        <f t="shared" si="57"/>
        <v>0</v>
      </c>
      <c r="AC65" s="338">
        <f t="shared" si="58"/>
        <v>85.452718273681469</v>
      </c>
      <c r="AF65" s="138">
        <f t="shared" si="59"/>
        <v>1</v>
      </c>
      <c r="AG65" s="138">
        <f t="shared" si="60"/>
        <v>8</v>
      </c>
      <c r="AH65" s="138">
        <f t="shared" si="61"/>
        <v>31</v>
      </c>
      <c r="AI65" s="138">
        <f t="shared" si="69"/>
        <v>1323</v>
      </c>
      <c r="AJ65" s="138">
        <f t="shared" si="62"/>
        <v>1340</v>
      </c>
      <c r="AL65" s="136">
        <f t="shared" si="27"/>
        <v>3.3919999999999999</v>
      </c>
      <c r="AM65" s="258">
        <f t="shared" si="49"/>
        <v>-0.09</v>
      </c>
      <c r="AN65" s="258">
        <f t="shared" si="28"/>
        <v>0</v>
      </c>
      <c r="AO65" s="258">
        <f t="shared" si="29"/>
        <v>0.04</v>
      </c>
      <c r="AP65" s="258">
        <f t="shared" si="30"/>
        <v>0.04</v>
      </c>
      <c r="AQ65" s="136">
        <f t="shared" si="63"/>
        <v>0</v>
      </c>
      <c r="AR65" s="137">
        <f t="shared" si="32"/>
        <v>1.15E-2</v>
      </c>
      <c r="AS65" s="136">
        <f t="shared" si="50"/>
        <v>3.302</v>
      </c>
      <c r="AT65" s="137">
        <f t="shared" si="64"/>
        <v>4.81861434694211E-2</v>
      </c>
      <c r="AU65" s="137">
        <f t="shared" si="34"/>
        <v>0.84004956821418653</v>
      </c>
      <c r="AV65" s="394">
        <f t="shared" si="51"/>
        <v>18176.99255701857</v>
      </c>
      <c r="AW65" s="137">
        <f t="shared" si="35"/>
        <v>0.28499999999999998</v>
      </c>
      <c r="AX65" s="137">
        <f t="shared" si="36"/>
        <v>0.55000000000000004</v>
      </c>
      <c r="AY65" s="137">
        <f t="shared" si="37"/>
        <v>0.6</v>
      </c>
      <c r="AZ65" s="137"/>
      <c r="BA65" s="264"/>
      <c r="BB65" s="258">
        <f t="shared" si="38"/>
        <v>0</v>
      </c>
      <c r="BC65" s="258">
        <f t="shared" si="65"/>
        <v>0</v>
      </c>
      <c r="BD65" s="137">
        <f t="shared" si="66"/>
        <v>9.8983850019274122E-6</v>
      </c>
      <c r="BE65" s="137">
        <f t="shared" si="67"/>
        <v>1.2421350806646192E-5</v>
      </c>
      <c r="BF65" s="137">
        <f>_xll.xSPRDOPT($BW65,$BV65,$CG65,0,$BY65,$BX65,$BZ65,$AJ65,1,4)*$CB65</f>
        <v>1.5600023115785533</v>
      </c>
      <c r="BG65" s="137">
        <f>_xll.xSPRDOPT($BW65,$BV65,$CG65,0,$BY65,$BX65,$BZ65,$AJ65,1,3)*$CB65</f>
        <v>1.4439979420721663</v>
      </c>
      <c r="BH65" s="137">
        <f>IF(OR(BF65&lt;&gt;0,BG65&lt;&gt;0),_xll.xSPRDOPT($BW65,$BV65,$CG65,0,$BY65,$BX65,$BZ65,$AJ65,1,12)*$CB65,0)</f>
        <v>-1.5008786750053451</v>
      </c>
      <c r="BI65" s="137">
        <f>_xll.xSPRDOPT($BW65,$BV65,$CG65,2*LN(1+CA65/2),$BY65,$BX65,$BZ65,$AJ65,1,9)</f>
        <v>2.9527790366218956E-3</v>
      </c>
      <c r="BJ65" s="137">
        <f>_xll.xSPRDOPT($BW65,$BV65,$CG65,0,$BY65,$BX65,$BZ65,$AJ65,1,6)*$CB65</f>
        <v>-4.0660368970707725E-2</v>
      </c>
      <c r="BK65" s="137">
        <f>_xll.xSPRDOPT($BW65,$BV65,$CG65,0,$BY65,$BX65,$BZ65,$AJ65,1,5)*$CB65</f>
        <v>0.10550226940665769</v>
      </c>
      <c r="BL65" s="137">
        <f>_xll.xSPRDOPT(BW65,BV65,CG65,0,BY65,BX65,BZ65,AJ65,1,2)*CB65</f>
        <v>-0.73579459301904238</v>
      </c>
      <c r="BM65" s="137">
        <f>_xll.xSPRDOPT(BW65,BV65,CG65,0,BY65,BX65,BZ65,AJ65,1,1)*CB65</f>
        <v>0.74134209008374496</v>
      </c>
      <c r="BN65" s="137">
        <f>IF(AH65&lt;&gt;0,_xll.xSPRDOPT($BW65,$BV65,$CG65,2*LN(1+CA65/2),$BY65,$BX65,$BZ65,$AJ65,1,8)+(AJ65/365.25)*CH65/AH65,0)</f>
        <v>1.4981086992980841E-2</v>
      </c>
      <c r="BO65" s="137">
        <f>_xll.xSPRDOPT($BW65,$BV65,$CG65,0,$BY65,$BX65,$BZ65,$AJ65,1,0)</f>
        <v>0.13823711850674814</v>
      </c>
      <c r="BP65" s="137"/>
      <c r="BQ65" s="137"/>
      <c r="BR65" s="137"/>
      <c r="BS65" s="137"/>
      <c r="BV65" s="262">
        <v>3.3404147698533131</v>
      </c>
      <c r="BW65" s="136">
        <v>3.472</v>
      </c>
      <c r="BX65" s="137">
        <v>0.28945062155452422</v>
      </c>
      <c r="BY65" s="137">
        <v>0.29059599199370045</v>
      </c>
      <c r="BZ65" s="137">
        <v>0.99824952292573865</v>
      </c>
      <c r="CA65" s="137">
        <v>4.81861434694211E-2</v>
      </c>
      <c r="CB65" s="137">
        <v>0.83972110009682266</v>
      </c>
      <c r="CC65" s="258">
        <v>-0.09</v>
      </c>
      <c r="CD65" s="258">
        <v>0</v>
      </c>
      <c r="CE65" s="258">
        <v>0.04</v>
      </c>
      <c r="CF65" s="258">
        <v>0.04</v>
      </c>
      <c r="CG65" s="258">
        <v>0</v>
      </c>
      <c r="CH65" s="258">
        <v>3.7250867721395147</v>
      </c>
      <c r="CI65" s="258">
        <v>3.3919999999999999</v>
      </c>
      <c r="CJ65" s="258"/>
      <c r="CK65" s="258"/>
      <c r="CL65" s="258"/>
      <c r="CM65" s="258"/>
    </row>
    <row r="66" spans="1:91" x14ac:dyDescent="0.25">
      <c r="A66" s="723"/>
      <c r="B66" s="723"/>
      <c r="D66" s="31">
        <f t="shared" si="68"/>
        <v>38610</v>
      </c>
      <c r="F66" s="28">
        <f t="shared" si="52"/>
        <v>60000</v>
      </c>
      <c r="G66" s="28">
        <f t="shared" si="13"/>
        <v>50121.615062362049</v>
      </c>
      <c r="H66" s="52">
        <f t="shared" si="53"/>
        <v>3.3353566009104703</v>
      </c>
      <c r="I66" s="52">
        <f t="shared" si="54"/>
        <v>3.4670000000000001</v>
      </c>
      <c r="K66" s="52">
        <f t="shared" si="43"/>
        <v>3.299089887333158</v>
      </c>
      <c r="L66" s="135">
        <f t="shared" si="44"/>
        <v>0.15677368661194757</v>
      </c>
      <c r="N66" s="131">
        <f t="shared" si="45"/>
        <v>0.28922221332025494</v>
      </c>
      <c r="O66" s="131">
        <f t="shared" si="46"/>
        <v>0.29030933603946113</v>
      </c>
      <c r="P66" s="55">
        <f t="shared" si="47"/>
        <v>0.99833669679394954</v>
      </c>
      <c r="Q66" s="135">
        <f>_xll.xSPRDOPT(I66,H66,AQ66,0,O66,N66,P66,D66-$G$5,1,0)*AH66*AU66</f>
        <v>3.4558635739451056</v>
      </c>
      <c r="R66" s="135"/>
      <c r="S66" s="181">
        <f>_xll.xSPRDOPT(I66,H66,AQ66,AT66,O66,N66,P66,D66-$G$5,1,2)*AF66*(F66/(1-AR66))*AH66</f>
        <v>-1336633.5715212524</v>
      </c>
      <c r="T66" s="181">
        <f>_xll.xSPRDOPT(I66,H66,AQ66,AT66,O66,N66,P66,D66-$G$5,1,1)*AF66*F66*AH66</f>
        <v>1330770.5978074139</v>
      </c>
      <c r="U66" s="135"/>
      <c r="V66" s="146">
        <f t="shared" si="55"/>
        <v>3.586201557712005</v>
      </c>
      <c r="W66" s="146"/>
      <c r="X66" s="338">
        <f t="shared" si="56"/>
        <v>0</v>
      </c>
      <c r="Y66" s="338">
        <f t="shared" si="18"/>
        <v>0</v>
      </c>
      <c r="Z66" s="338">
        <f t="shared" si="19"/>
        <v>46.334858889604888</v>
      </c>
      <c r="AA66" s="338">
        <f t="shared" si="20"/>
        <v>1.4434862848595058</v>
      </c>
      <c r="AB66" s="338">
        <f t="shared" si="57"/>
        <v>0</v>
      </c>
      <c r="AC66" s="338">
        <f t="shared" si="58"/>
        <v>82.757878785067845</v>
      </c>
      <c r="AF66" s="138">
        <f t="shared" si="59"/>
        <v>1</v>
      </c>
      <c r="AG66" s="138">
        <f t="shared" si="60"/>
        <v>9</v>
      </c>
      <c r="AH66" s="138">
        <f t="shared" si="61"/>
        <v>30</v>
      </c>
      <c r="AI66" s="138">
        <f t="shared" si="69"/>
        <v>1354</v>
      </c>
      <c r="AJ66" s="138">
        <f t="shared" si="62"/>
        <v>1371</v>
      </c>
      <c r="AL66" s="136">
        <f t="shared" si="27"/>
        <v>3.387</v>
      </c>
      <c r="AM66" s="258">
        <f t="shared" si="49"/>
        <v>-0.09</v>
      </c>
      <c r="AN66" s="258">
        <f t="shared" si="28"/>
        <v>0</v>
      </c>
      <c r="AO66" s="258">
        <f t="shared" si="29"/>
        <v>0.04</v>
      </c>
      <c r="AP66" s="258">
        <f t="shared" si="30"/>
        <v>0.04</v>
      </c>
      <c r="AQ66" s="136">
        <f t="shared" si="63"/>
        <v>0</v>
      </c>
      <c r="AR66" s="137">
        <f t="shared" si="32"/>
        <v>1.15E-2</v>
      </c>
      <c r="AS66" s="136">
        <f t="shared" si="50"/>
        <v>3.2970000000000002</v>
      </c>
      <c r="AT66" s="137">
        <f t="shared" si="64"/>
        <v>4.8611805940590898E-2</v>
      </c>
      <c r="AU66" s="137">
        <f t="shared" si="34"/>
        <v>0.83536025103936751</v>
      </c>
      <c r="AV66" s="394">
        <f t="shared" si="51"/>
        <v>17492.443656764357</v>
      </c>
      <c r="AW66" s="137">
        <f t="shared" si="35"/>
        <v>0.28499999999999998</v>
      </c>
      <c r="AX66" s="137">
        <f t="shared" si="36"/>
        <v>0.55000000000000004</v>
      </c>
      <c r="AY66" s="137">
        <f t="shared" si="37"/>
        <v>0.6</v>
      </c>
      <c r="AZ66" s="137"/>
      <c r="BA66" s="264"/>
      <c r="BB66" s="258">
        <f t="shared" si="38"/>
        <v>0</v>
      </c>
      <c r="BC66" s="258">
        <f t="shared" si="65"/>
        <v>0</v>
      </c>
      <c r="BD66" s="137">
        <f t="shared" si="66"/>
        <v>9.1650015730526668E-6</v>
      </c>
      <c r="BE66" s="137">
        <f t="shared" si="67"/>
        <v>1.1503404332702249E-5</v>
      </c>
      <c r="BF66" s="137">
        <f>_xll.xSPRDOPT($BW66,$BV66,$CG66,0,$BY66,$BX66,$BZ66,$AJ66,1,4)*$CB66</f>
        <v>1.5395040013779588</v>
      </c>
      <c r="BG66" s="137">
        <f>_xll.xSPRDOPT($BW66,$BV66,$CG66,0,$BY66,$BX66,$BZ66,$AJ66,1,3)*$CB66</f>
        <v>1.4248123164572715</v>
      </c>
      <c r="BH66" s="137">
        <f>IF(OR(BF66&lt;&gt;0,BG66&lt;&gt;0),_xll.xSPRDOPT($BW66,$BV66,$CG66,0,$BY66,$BX66,$BZ66,$AJ66,1,12)*$CB66,0)</f>
        <v>-1.4810475328352015</v>
      </c>
      <c r="BI66" s="137">
        <f>_xll.xSPRDOPT($BW66,$BV66,$CG66,2*LN(1+CA66/2),$BY66,$BX66,$BZ66,$AJ66,1,9)</f>
        <v>3.1340383721163308E-3</v>
      </c>
      <c r="BJ66" s="137">
        <f>_xll.xSPRDOPT($BW66,$BV66,$CG66,0,$BY66,$BX66,$BZ66,$AJ66,1,6)*$CB66</f>
        <v>-3.8760895348463088E-2</v>
      </c>
      <c r="BK66" s="137">
        <f>_xll.xSPRDOPT($BW66,$BV66,$CG66,0,$BY66,$BX66,$BZ66,$AJ66,1,5)*$CB66</f>
        <v>0.10059461167281336</v>
      </c>
      <c r="BL66" s="137">
        <f>_xll.xSPRDOPT(BW66,BV66,CG66,0,BY66,BX66,BZ66,AJ66,1,2)*CB66</f>
        <v>-0.73534437143902598</v>
      </c>
      <c r="BM66" s="137">
        <f>_xll.xSPRDOPT(BW66,BV66,CG66,0,BY66,BX66,BZ66,AJ66,1,1)*CB66</f>
        <v>0.74063620420641629</v>
      </c>
      <c r="BN66" s="137">
        <f>IF(AH66&lt;&gt;0,_xll.xSPRDOPT($BW66,$BV66,$CG66,2*LN(1+CA66/2),$BY66,$BX66,$BZ66,$AJ66,1,8)+(AJ66/365.25)*CH66/AH66,0)</f>
        <v>1.6301373849074652E-2</v>
      </c>
      <c r="BO66" s="137">
        <f>_xll.xSPRDOPT($BW66,$BV66,$CG66,0,$BY66,$BX66,$BZ66,$AJ66,1,0)</f>
        <v>0.13789914794024086</v>
      </c>
      <c r="BP66" s="137"/>
      <c r="BQ66" s="137"/>
      <c r="BR66" s="137"/>
      <c r="BS66" s="137"/>
      <c r="BV66" s="262">
        <v>3.3353566009104703</v>
      </c>
      <c r="BW66" s="136">
        <v>3.4670000000000001</v>
      </c>
      <c r="BX66" s="137">
        <v>0.28921304831868189</v>
      </c>
      <c r="BY66" s="137">
        <v>0.29029783263512843</v>
      </c>
      <c r="BZ66" s="137">
        <v>0.99834020053575456</v>
      </c>
      <c r="CA66" s="137">
        <v>4.8611805940590898E-2</v>
      </c>
      <c r="CB66" s="137">
        <v>0.8350307660330849</v>
      </c>
      <c r="CC66" s="258">
        <v>-0.09</v>
      </c>
      <c r="CD66" s="258">
        <v>0</v>
      </c>
      <c r="CE66" s="258">
        <v>0.04</v>
      </c>
      <c r="CF66" s="258">
        <v>0.04</v>
      </c>
      <c r="CG66" s="258">
        <v>0</v>
      </c>
      <c r="CH66" s="258">
        <v>3.5847870785800335</v>
      </c>
      <c r="CI66" s="258">
        <v>3.387</v>
      </c>
      <c r="CJ66" s="258"/>
      <c r="CK66" s="258"/>
      <c r="CL66" s="258"/>
      <c r="CM66" s="258"/>
    </row>
    <row r="67" spans="1:91" x14ac:dyDescent="0.25">
      <c r="A67" s="723"/>
      <c r="B67" s="723"/>
      <c r="D67" s="31">
        <f t="shared" si="68"/>
        <v>38640</v>
      </c>
      <c r="F67" s="28">
        <f t="shared" si="52"/>
        <v>60000</v>
      </c>
      <c r="G67" s="28">
        <f t="shared" si="13"/>
        <v>49850.211318509173</v>
      </c>
      <c r="H67" s="52">
        <f t="shared" si="53"/>
        <v>3.360647445624684</v>
      </c>
      <c r="I67" s="52">
        <f t="shared" si="54"/>
        <v>3.492</v>
      </c>
      <c r="K67" s="52">
        <f t="shared" si="43"/>
        <v>3.3831088396316593</v>
      </c>
      <c r="L67" s="135">
        <f t="shared" si="44"/>
        <v>0.22436495695021685</v>
      </c>
      <c r="N67" s="131">
        <f t="shared" si="45"/>
        <v>0.29036621737544821</v>
      </c>
      <c r="O67" s="131">
        <f t="shared" si="46"/>
        <v>0.29155574372156456</v>
      </c>
      <c r="P67" s="55">
        <f t="shared" si="47"/>
        <v>0.99805906286985779</v>
      </c>
      <c r="Q67" s="135">
        <f>_xll.xSPRDOPT(I67,H67,AQ67,0,O67,N67,P67,D67-$G$5,1,0)*AH67*AU67</f>
        <v>3.6074737965818762</v>
      </c>
      <c r="R67" s="135"/>
      <c r="S67" s="181">
        <f>_xll.xSPRDOPT(I67,H67,AQ67,AT67,O67,N67,P67,D67-$G$5,1,2)*AF67*(F67/(1-AR67))*AH67</f>
        <v>-1334643.2552526193</v>
      </c>
      <c r="T67" s="181">
        <f>_xll.xSPRDOPT(I67,H67,AQ67,AT67,O67,N67,P67,D67-$G$5,1,1)*AF67*F67*AH67</f>
        <v>1331513.2738003172</v>
      </c>
      <c r="U67" s="135"/>
      <c r="V67" s="146">
        <f t="shared" si="55"/>
        <v>3.6856753738339751</v>
      </c>
      <c r="W67" s="146"/>
      <c r="X67" s="338">
        <f t="shared" si="56"/>
        <v>0</v>
      </c>
      <c r="Y67" s="338">
        <f t="shared" si="18"/>
        <v>0</v>
      </c>
      <c r="Z67" s="338">
        <f t="shared" si="19"/>
        <v>41.154010441827793</v>
      </c>
      <c r="AA67" s="338">
        <f t="shared" si="20"/>
        <v>2.187108509513997</v>
      </c>
      <c r="AB67" s="338">
        <f t="shared" si="57"/>
        <v>0</v>
      </c>
      <c r="AC67" s="338">
        <f t="shared" si="58"/>
        <v>87.09435988634435</v>
      </c>
      <c r="AF67" s="138">
        <f t="shared" si="59"/>
        <v>1</v>
      </c>
      <c r="AG67" s="138">
        <f t="shared" si="60"/>
        <v>10</v>
      </c>
      <c r="AH67" s="138">
        <f t="shared" si="61"/>
        <v>31</v>
      </c>
      <c r="AI67" s="138">
        <f t="shared" si="69"/>
        <v>1384</v>
      </c>
      <c r="AJ67" s="138">
        <f t="shared" si="62"/>
        <v>1401</v>
      </c>
      <c r="AL67" s="136">
        <f t="shared" si="27"/>
        <v>3.4119999999999999</v>
      </c>
      <c r="AM67" s="258">
        <f t="shared" si="49"/>
        <v>-0.09</v>
      </c>
      <c r="AN67" s="258">
        <f t="shared" si="28"/>
        <v>0</v>
      </c>
      <c r="AO67" s="258">
        <f t="shared" si="29"/>
        <v>0.04</v>
      </c>
      <c r="AP67" s="258">
        <f t="shared" si="30"/>
        <v>0.04</v>
      </c>
      <c r="AQ67" s="136">
        <f t="shared" si="63"/>
        <v>0</v>
      </c>
      <c r="AR67" s="137">
        <f t="shared" si="32"/>
        <v>1.15E-2</v>
      </c>
      <c r="AS67" s="136">
        <f t="shared" si="50"/>
        <v>3.3220000000000001</v>
      </c>
      <c r="AT67" s="137">
        <f t="shared" si="64"/>
        <v>4.9009151354921801E-2</v>
      </c>
      <c r="AU67" s="137">
        <f t="shared" si="34"/>
        <v>0.83083685530848617</v>
      </c>
      <c r="AV67" s="394">
        <f t="shared" si="51"/>
        <v>17977.647875165025</v>
      </c>
      <c r="AW67" s="137">
        <f t="shared" si="35"/>
        <v>0.28499999999999998</v>
      </c>
      <c r="AX67" s="137">
        <f t="shared" si="36"/>
        <v>0.6</v>
      </c>
      <c r="AY67" s="137">
        <f t="shared" si="37"/>
        <v>0.65</v>
      </c>
      <c r="AZ67" s="137"/>
      <c r="BA67" s="264"/>
      <c r="BB67" s="258">
        <f t="shared" si="38"/>
        <v>0</v>
      </c>
      <c r="BC67" s="258">
        <f t="shared" si="65"/>
        <v>0</v>
      </c>
      <c r="BD67" s="137">
        <f t="shared" si="66"/>
        <v>1.1372695913058894E-5</v>
      </c>
      <c r="BE67" s="137">
        <f t="shared" si="67"/>
        <v>1.3865654850730991E-5</v>
      </c>
      <c r="BF67" s="137">
        <f>_xll.xSPRDOPT($BW67,$BV67,$CG67,0,$BY67,$BX67,$BZ67,$AJ67,1,4)*$CB67</f>
        <v>1.579977247728402</v>
      </c>
      <c r="BG67" s="137">
        <f>_xll.xSPRDOPT($BW67,$BV67,$CG67,0,$BY67,$BX67,$BZ67,$AJ67,1,3)*$CB67</f>
        <v>1.4633501178638648</v>
      </c>
      <c r="BH67" s="137">
        <f>IF(OR(BF67&lt;&gt;0,BG67&lt;&gt;0),_xll.xSPRDOPT($BW67,$BV67,$CG67,0,$BY67,$BX67,$BZ67,$AJ67,1,12)*$CB67,0)</f>
        <v>-1.5205438620427794</v>
      </c>
      <c r="BI67" s="137">
        <f>_xll.xSPRDOPT($BW67,$BV67,$CG67,2*LN(1+CA67/2),$BY67,$BX67,$BZ67,$AJ67,1,9)</f>
        <v>2.6938176189744804E-3</v>
      </c>
      <c r="BJ67" s="137">
        <f>_xll.xSPRDOPT($BW67,$BV67,$CG67,0,$BY67,$BX67,$BZ67,$AJ67,1,6)*$CB67</f>
        <v>-4.2596411298741386E-2</v>
      </c>
      <c r="BK67" s="137">
        <f>_xll.xSPRDOPT($BW67,$BV67,$CG67,0,$BY67,$BX67,$BZ67,$AJ67,1,5)*$CB67</f>
        <v>0.11974196968143413</v>
      </c>
      <c r="BL67" s="137">
        <f>_xll.xSPRDOPT(BW67,BV67,CG67,0,BY67,BX67,BZ67,AJ67,1,2)*CB67</f>
        <v>-0.71062127368564987</v>
      </c>
      <c r="BM67" s="137">
        <f>_xll.xSPRDOPT(BW67,BV67,CG67,0,BY67,BX67,BZ67,AJ67,1,1)*CB67</f>
        <v>0.7172025854615095</v>
      </c>
      <c r="BN67" s="137">
        <f>IF(AH67&lt;&gt;0,_xll.xSPRDOPT($BW67,$BV67,$CG67,2*LN(1+CA67/2),$BY67,$BX67,$BZ67,$AJ67,1,8)+(AJ67/365.25)*CH67/AH67,0)</f>
        <v>9.6721842872441455E-3</v>
      </c>
      <c r="BO67" s="137">
        <f>_xll.xSPRDOPT($BW67,$BV67,$CG67,0,$BY67,$BX67,$BZ67,$AJ67,1,0)</f>
        <v>0.14006377737824355</v>
      </c>
      <c r="BP67" s="137"/>
      <c r="BQ67" s="137"/>
      <c r="BR67" s="137"/>
      <c r="BS67" s="137"/>
      <c r="BV67" s="262">
        <v>3.360647445624684</v>
      </c>
      <c r="BW67" s="136">
        <v>3.492</v>
      </c>
      <c r="BX67" s="137">
        <v>0.29035484467953515</v>
      </c>
      <c r="BY67" s="137">
        <v>0.29154187806671383</v>
      </c>
      <c r="BZ67" s="137">
        <v>0.99806302951255976</v>
      </c>
      <c r="CA67" s="137">
        <v>4.9009151354921801E-2</v>
      </c>
      <c r="CB67" s="137">
        <v>0.83050650854564589</v>
      </c>
      <c r="CC67" s="258">
        <v>-0.09</v>
      </c>
      <c r="CD67" s="258">
        <v>0</v>
      </c>
      <c r="CE67" s="258">
        <v>0.04</v>
      </c>
      <c r="CF67" s="258">
        <v>0.04</v>
      </c>
      <c r="CG67" s="258">
        <v>0</v>
      </c>
      <c r="CH67" s="258">
        <v>3.6842099225593397</v>
      </c>
      <c r="CI67" s="258">
        <v>3.4119999999999999</v>
      </c>
      <c r="CJ67" s="258"/>
      <c r="CK67" s="258"/>
      <c r="CL67" s="258"/>
      <c r="CM67" s="258"/>
    </row>
    <row r="68" spans="1:91" x14ac:dyDescent="0.25">
      <c r="A68" s="723"/>
      <c r="B68" s="723"/>
      <c r="D68" s="31">
        <f t="shared" si="68"/>
        <v>38671</v>
      </c>
      <c r="F68" s="28">
        <f t="shared" si="52"/>
        <v>60000</v>
      </c>
      <c r="G68" s="28">
        <f t="shared" si="13"/>
        <v>49573.248904413143</v>
      </c>
      <c r="H68" s="52">
        <f t="shared" si="53"/>
        <v>3.6358118361153258</v>
      </c>
      <c r="I68" s="52">
        <f t="shared" si="54"/>
        <v>3.7240000000000002</v>
      </c>
      <c r="K68" s="52">
        <f t="shared" si="43"/>
        <v>2.1858868993390721</v>
      </c>
      <c r="L68" s="135">
        <f t="shared" si="44"/>
        <v>0.9244095674035484</v>
      </c>
      <c r="N68" s="131">
        <f t="shared" si="45"/>
        <v>0.29810986734255041</v>
      </c>
      <c r="O68" s="131">
        <f t="shared" si="46"/>
        <v>0.29510383973065518</v>
      </c>
      <c r="P68" s="55">
        <f t="shared" si="47"/>
        <v>0.99645045849495339</v>
      </c>
      <c r="Q68" s="135">
        <f>_xll.xSPRDOPT(I68,H68,AQ68,0,O68,N68,P68,D68-$G$5,1,0)*AH68*AU68</f>
        <v>3.1102964667426205</v>
      </c>
      <c r="R68" s="135"/>
      <c r="S68" s="181">
        <f>_xll.xSPRDOPT(I68,H68,AQ68,AT68,O68,N68,P68,D68-$G$5,1,2)*AF68*(F68/(1-AR68))*AH68</f>
        <v>-1014620.2018991498</v>
      </c>
      <c r="T68" s="181">
        <f>_xll.xSPRDOPT(I68,H68,AQ68,AT68,O68,N68,P68,D68-$G$5,1,1)*AF68*F68*AH68</f>
        <v>1029195.7947379334</v>
      </c>
      <c r="U68" s="135"/>
      <c r="V68" s="146">
        <f t="shared" si="55"/>
        <v>3.5469659591107603</v>
      </c>
      <c r="W68" s="146"/>
      <c r="X68" s="338">
        <f t="shared" si="56"/>
        <v>0</v>
      </c>
      <c r="Y68" s="338">
        <f t="shared" si="18"/>
        <v>0</v>
      </c>
      <c r="Z68" s="338">
        <f t="shared" si="19"/>
        <v>-26.568778098002518</v>
      </c>
      <c r="AA68" s="338">
        <f t="shared" si="20"/>
        <v>10.43076400737178</v>
      </c>
      <c r="AB68" s="338">
        <f t="shared" si="57"/>
        <v>0</v>
      </c>
      <c r="AC68" s="338">
        <f t="shared" si="58"/>
        <v>75.677531418839834</v>
      </c>
      <c r="AF68" s="138">
        <f t="shared" si="59"/>
        <v>1</v>
      </c>
      <c r="AG68" s="138">
        <f t="shared" si="60"/>
        <v>11</v>
      </c>
      <c r="AH68" s="138">
        <f t="shared" si="61"/>
        <v>30</v>
      </c>
      <c r="AI68" s="138">
        <f t="shared" si="69"/>
        <v>1415</v>
      </c>
      <c r="AJ68" s="138">
        <f t="shared" si="62"/>
        <v>1432</v>
      </c>
      <c r="AL68" s="136">
        <f t="shared" si="27"/>
        <v>3.5640000000000001</v>
      </c>
      <c r="AM68" s="258">
        <f t="shared" si="49"/>
        <v>0</v>
      </c>
      <c r="AN68" s="258">
        <f t="shared" si="28"/>
        <v>0.03</v>
      </c>
      <c r="AO68" s="258">
        <f t="shared" si="29"/>
        <v>0.125</v>
      </c>
      <c r="AP68" s="258">
        <f t="shared" si="30"/>
        <v>3.5000000000000003E-2</v>
      </c>
      <c r="AQ68" s="136">
        <f t="shared" si="63"/>
        <v>0</v>
      </c>
      <c r="AR68" s="137">
        <f t="shared" si="32"/>
        <v>1.15E-2</v>
      </c>
      <c r="AS68" s="136">
        <f t="shared" si="50"/>
        <v>3.5939999999999999</v>
      </c>
      <c r="AT68" s="137">
        <f t="shared" si="64"/>
        <v>4.9392017987160801E-2</v>
      </c>
      <c r="AU68" s="137">
        <f t="shared" si="34"/>
        <v>0.82622081507355238</v>
      </c>
      <c r="AV68" s="394">
        <f t="shared" si="51"/>
        <v>17301.063867640187</v>
      </c>
      <c r="AW68" s="137">
        <f t="shared" si="35"/>
        <v>0.28499999999999998</v>
      </c>
      <c r="AX68" s="137">
        <f t="shared" si="36"/>
        <v>0.9</v>
      </c>
      <c r="AY68" s="137">
        <f t="shared" si="37"/>
        <v>0.8</v>
      </c>
      <c r="AZ68" s="137"/>
      <c r="BA68" s="264"/>
      <c r="BB68" s="258">
        <f t="shared" si="38"/>
        <v>0</v>
      </c>
      <c r="BC68" s="258">
        <f t="shared" si="65"/>
        <v>0</v>
      </c>
      <c r="BD68" s="137">
        <f t="shared" si="66"/>
        <v>2.6843365117157347E-5</v>
      </c>
      <c r="BE68" s="137">
        <f t="shared" si="67"/>
        <v>2.0791110959539338E-5</v>
      </c>
      <c r="BF68" s="137">
        <f>_xll.xSPRDOPT($BW68,$BV68,$CG68,0,$BY68,$BX68,$BZ68,$AJ68,1,4)*$CB68</f>
        <v>1.6400864186524142</v>
      </c>
      <c r="BG68" s="137">
        <f>_xll.xSPRDOPT($BW68,$BV68,$CG68,0,$BY68,$BX68,$BZ68,$AJ68,1,3)*$CB68</f>
        <v>1.5633282236543262</v>
      </c>
      <c r="BH68" s="137">
        <f>IF(OR(BF68&lt;&gt;0,BG68&lt;&gt;0),_xll.xSPRDOPT($BW68,$BV68,$CG68,0,$BY68,$BX68,$BZ68,$AJ68,1,12)*$CB68,0)</f>
        <v>-1.6012484996763876</v>
      </c>
      <c r="BI68" s="137">
        <f>_xll.xSPRDOPT($BW68,$BV68,$CG68,2*LN(1+CA68/2),$BY68,$BX68,$BZ68,$AJ68,1,9)</f>
        <v>-1.797082629684337E-3</v>
      </c>
      <c r="BJ68" s="137">
        <f>_xll.xSPRDOPT($BW68,$BV68,$CG68,0,$BY68,$BX68,$BZ68,$AJ68,1,6)*$CB68</f>
        <v>0.34384776481152468</v>
      </c>
      <c r="BK68" s="137">
        <f>_xll.xSPRDOPT($BW68,$BV68,$CG68,0,$BY68,$BX68,$BZ68,$AJ68,1,5)*$CB68</f>
        <v>-0.16522263813871704</v>
      </c>
      <c r="BL68" s="137">
        <f>_xll.xSPRDOPT(BW68,BV68,CG68,0,BY68,BX68,BZ68,AJ68,1,2)*CB68</f>
        <v>-0.55828129495637591</v>
      </c>
      <c r="BM68" s="137">
        <f>_xll.xSPRDOPT(BW68,BV68,CG68,0,BY68,BX68,BZ68,AJ68,1,1)*CB68</f>
        <v>0.57288956730647966</v>
      </c>
      <c r="BN68" s="137">
        <f>IF(AH68&lt;&gt;0,_xll.xSPRDOPT($BW68,$BV68,$CG68,2*LN(1+CA68/2),$BY68,$BX68,$BZ68,$AJ68,1,8)+(AJ68/365.25)*CH68/AH68,0)</f>
        <v>5.7043894451613397E-2</v>
      </c>
      <c r="BO68" s="137">
        <f>_xll.xSPRDOPT($BW68,$BV68,$CG68,0,$BY68,$BX68,$BZ68,$AJ68,1,0)</f>
        <v>0.12548290532870202</v>
      </c>
      <c r="BP68" s="137"/>
      <c r="BQ68" s="137"/>
      <c r="BR68" s="137"/>
      <c r="BS68" s="137"/>
      <c r="BV68" s="262">
        <v>3.6358118361153258</v>
      </c>
      <c r="BW68" s="136">
        <v>3.7240000000000002</v>
      </c>
      <c r="BX68" s="137">
        <v>0.29808302397743325</v>
      </c>
      <c r="BY68" s="137">
        <v>0.29508304861969564</v>
      </c>
      <c r="BZ68" s="137">
        <v>0.99645722182886842</v>
      </c>
      <c r="CA68" s="137">
        <v>4.9392017987160801E-2</v>
      </c>
      <c r="CB68" s="137">
        <v>0.82588976886354881</v>
      </c>
      <c r="CC68" s="258">
        <v>0</v>
      </c>
      <c r="CD68" s="258">
        <v>0.03</v>
      </c>
      <c r="CE68" s="258">
        <v>0.125</v>
      </c>
      <c r="CF68" s="258">
        <v>3.5000000000000003E-2</v>
      </c>
      <c r="CG68" s="258">
        <v>0</v>
      </c>
      <c r="CH68" s="258">
        <v>3.545544777731215</v>
      </c>
      <c r="CI68" s="258">
        <v>3.5640000000000001</v>
      </c>
      <c r="CJ68" s="258"/>
      <c r="CK68" s="258"/>
      <c r="CL68" s="258"/>
      <c r="CM68" s="258"/>
    </row>
    <row r="69" spans="1:91" x14ac:dyDescent="0.25">
      <c r="A69" s="723"/>
      <c r="B69" s="723"/>
      <c r="D69" s="31">
        <f t="shared" si="68"/>
        <v>38701</v>
      </c>
      <c r="F69" s="28">
        <f t="shared" si="52"/>
        <v>60000</v>
      </c>
      <c r="G69" s="28">
        <f t="shared" si="13"/>
        <v>49303.721319798817</v>
      </c>
      <c r="H69" s="52">
        <f t="shared" si="53"/>
        <v>3.7855336368234691</v>
      </c>
      <c r="I69" s="52">
        <f t="shared" si="54"/>
        <v>3.867</v>
      </c>
      <c r="K69" s="52">
        <f t="shared" si="43"/>
        <v>2.0752406812798196</v>
      </c>
      <c r="L69" s="135">
        <f t="shared" si="44"/>
        <v>1.5182285083110951</v>
      </c>
      <c r="N69" s="131">
        <f t="shared" si="45"/>
        <v>0.3072432392737468</v>
      </c>
      <c r="O69" s="131">
        <f t="shared" si="46"/>
        <v>0.3052940674956946</v>
      </c>
      <c r="P69" s="55">
        <f t="shared" si="47"/>
        <v>0.99486939628557158</v>
      </c>
      <c r="Q69" s="135">
        <f>_xll.xSPRDOPT(I69,H69,AQ69,0,O69,N69,P69,D69-$G$5,1,0)*AH69*AU69</f>
        <v>3.5934691895909148</v>
      </c>
      <c r="R69" s="135"/>
      <c r="S69" s="181">
        <f>_xll.xSPRDOPT(I69,H69,AQ69,AT69,O69,N69,P69,D69-$G$5,1,2)*AF69*(F69/(1-AR69))*AH69</f>
        <v>-959932.52934630052</v>
      </c>
      <c r="T69" s="181">
        <f>_xll.xSPRDOPT(I69,H69,AQ69,AT69,O69,N69,P69,D69-$G$5,1,1)*AF69*F69*AH69</f>
        <v>984523.28978060291</v>
      </c>
      <c r="U69" s="135"/>
      <c r="V69" s="146">
        <f t="shared" si="55"/>
        <v>3.6452706357793252</v>
      </c>
      <c r="W69" s="146"/>
      <c r="X69" s="338">
        <f t="shared" si="56"/>
        <v>0</v>
      </c>
      <c r="Y69" s="338">
        <f t="shared" si="18"/>
        <v>0</v>
      </c>
      <c r="Z69" s="338">
        <f t="shared" si="19"/>
        <v>-53.090341129082638</v>
      </c>
      <c r="AA69" s="338">
        <f t="shared" si="20"/>
        <v>19.717278183848354</v>
      </c>
      <c r="AB69" s="338">
        <f t="shared" si="57"/>
        <v>0</v>
      </c>
      <c r="AC69" s="338">
        <f t="shared" si="58"/>
        <v>88.089399381990461</v>
      </c>
      <c r="AF69" s="138">
        <f t="shared" si="59"/>
        <v>1</v>
      </c>
      <c r="AG69" s="138">
        <f t="shared" si="60"/>
        <v>12</v>
      </c>
      <c r="AH69" s="138">
        <f t="shared" si="61"/>
        <v>31</v>
      </c>
      <c r="AI69" s="138">
        <f t="shared" si="69"/>
        <v>1445</v>
      </c>
      <c r="AJ69" s="138">
        <f t="shared" si="62"/>
        <v>1462</v>
      </c>
      <c r="AL69" s="136">
        <f t="shared" si="27"/>
        <v>3.7069999999999999</v>
      </c>
      <c r="AM69" s="258">
        <f t="shared" si="49"/>
        <v>5.0000000000000001E-3</v>
      </c>
      <c r="AN69" s="258">
        <f t="shared" si="28"/>
        <v>0.03</v>
      </c>
      <c r="AO69" s="258">
        <f t="shared" si="29"/>
        <v>0.125</v>
      </c>
      <c r="AP69" s="258">
        <f t="shared" si="30"/>
        <v>3.5000000000000003E-2</v>
      </c>
      <c r="AQ69" s="136">
        <f t="shared" si="63"/>
        <v>0</v>
      </c>
      <c r="AR69" s="137">
        <f t="shared" si="32"/>
        <v>1.15E-2</v>
      </c>
      <c r="AS69" s="136">
        <f t="shared" si="50"/>
        <v>3.7419999999999995</v>
      </c>
      <c r="AT69" s="137">
        <f t="shared" si="64"/>
        <v>4.97625341294907E-2</v>
      </c>
      <c r="AU69" s="137">
        <f t="shared" si="34"/>
        <v>0.82172868866331361</v>
      </c>
      <c r="AV69" s="394">
        <f t="shared" si="51"/>
        <v>17780.565365296781</v>
      </c>
      <c r="AW69" s="137">
        <f t="shared" si="35"/>
        <v>0.28499999999999998</v>
      </c>
      <c r="AX69" s="137">
        <f t="shared" si="36"/>
        <v>1.1499999999999999</v>
      </c>
      <c r="AY69" s="137">
        <f t="shared" si="37"/>
        <v>1.1000000000000001</v>
      </c>
      <c r="AZ69" s="137"/>
      <c r="BA69" s="264"/>
      <c r="BB69" s="258">
        <f t="shared" si="38"/>
        <v>0</v>
      </c>
      <c r="BC69" s="258">
        <f t="shared" si="65"/>
        <v>0</v>
      </c>
      <c r="BD69" s="137">
        <f t="shared" si="66"/>
        <v>4.3948636398227769E-5</v>
      </c>
      <c r="BE69" s="137">
        <f t="shared" si="67"/>
        <v>4.0220391602729944E-5</v>
      </c>
      <c r="BF69" s="137">
        <f>_xll.xSPRDOPT($BW69,$BV69,$CG69,0,$BY69,$BX69,$BZ69,$AJ69,1,4)*$CB69</f>
        <v>1.3272647374246636</v>
      </c>
      <c r="BG69" s="137">
        <f>_xll.xSPRDOPT($BW69,$BV69,$CG69,0,$BY69,$BX69,$BZ69,$AJ69,1,3)*$CB69</f>
        <v>1.2719305997759531</v>
      </c>
      <c r="BH69" s="137">
        <f>IF(OR(BF69&lt;&gt;0,BG69&lt;&gt;0),_xll.xSPRDOPT($BW69,$BV69,$CG69,0,$BY69,$BX69,$BZ69,$AJ69,1,12)*$CB69,0)</f>
        <v>-1.2993036560830864</v>
      </c>
      <c r="BI69" s="137">
        <f>_xll.xSPRDOPT($BW69,$BV69,$CG69,2*LN(1+CA69/2),$BY69,$BX69,$BZ69,$AJ69,1,9)</f>
        <v>-3.4751338884224789E-3</v>
      </c>
      <c r="BJ69" s="137">
        <f>_xll.xSPRDOPT($BW69,$BV69,$CG69,0,$BY69,$BX69,$BZ69,$AJ69,1,6)*$CB69</f>
        <v>0.267131403499831</v>
      </c>
      <c r="BK69" s="137">
        <f>_xll.xSPRDOPT($BW69,$BV69,$CG69,0,$BY69,$BX69,$BZ69,$AJ69,1,5)*$CB69</f>
        <v>-2.8328260415734306E-2</v>
      </c>
      <c r="BL69" s="137">
        <f>_xll.xSPRDOPT(BW69,BV69,CG69,0,BY69,BX69,BZ69,AJ69,1,2)*CB69</f>
        <v>-0.51119369078165944</v>
      </c>
      <c r="BM69" s="137">
        <f>_xll.xSPRDOPT(BW69,BV69,CG69,0,BY69,BX69,BZ69,AJ69,1,1)*CB69</f>
        <v>0.53038852441436213</v>
      </c>
      <c r="BN69" s="137">
        <f>IF(AH69&lt;&gt;0,_xll.xSPRDOPT($BW69,$BV69,$CG69,2*LN(1+CA69/2),$BY69,$BX69,$BZ69,$AJ69,1,8)+(AJ69/365.25)*CH69/AH69,0)</f>
        <v>6.6856230883182155E-3</v>
      </c>
      <c r="BO69" s="137">
        <f>_xll.xSPRDOPT($BW69,$BV69,$CG69,0,$BY69,$BX69,$BZ69,$AJ69,1,0)</f>
        <v>0.14106655876097074</v>
      </c>
      <c r="BP69" s="137"/>
      <c r="BQ69" s="137"/>
      <c r="BR69" s="137"/>
      <c r="BS69" s="137"/>
      <c r="BV69" s="262">
        <v>3.7855336368234691</v>
      </c>
      <c r="BW69" s="136">
        <v>3.867</v>
      </c>
      <c r="BX69" s="137">
        <v>0.30719929063734858</v>
      </c>
      <c r="BY69" s="137">
        <v>0.30525384710409187</v>
      </c>
      <c r="BZ69" s="137">
        <v>0.99487847030173082</v>
      </c>
      <c r="CA69" s="137">
        <v>4.97625341294907E-2</v>
      </c>
      <c r="CB69" s="137">
        <v>0.82139700307971564</v>
      </c>
      <c r="CC69" s="258">
        <v>5.0000000000000001E-3</v>
      </c>
      <c r="CD69" s="258">
        <v>0.03</v>
      </c>
      <c r="CE69" s="258">
        <v>0.125</v>
      </c>
      <c r="CF69" s="258">
        <v>3.5000000000000003E-2</v>
      </c>
      <c r="CG69" s="258">
        <v>0</v>
      </c>
      <c r="CH69" s="258">
        <v>3.6437992453619263</v>
      </c>
      <c r="CI69" s="258">
        <v>3.7069999999999999</v>
      </c>
      <c r="CJ69" s="258"/>
      <c r="CK69" s="258"/>
      <c r="CL69" s="258"/>
      <c r="CM69" s="258"/>
    </row>
    <row r="70" spans="1:91" x14ac:dyDescent="0.25">
      <c r="A70" s="723"/>
      <c r="B70" s="723"/>
      <c r="D70" s="31">
        <f t="shared" si="68"/>
        <v>38732</v>
      </c>
      <c r="F70" s="28">
        <f t="shared" si="52"/>
        <v>60000</v>
      </c>
      <c r="G70" s="28">
        <f t="shared" si="13"/>
        <v>49027.905014592878</v>
      </c>
      <c r="H70" s="52">
        <f t="shared" si="53"/>
        <v>3.8614061709661098</v>
      </c>
      <c r="I70" s="52">
        <f t="shared" si="54"/>
        <v>3.9220000000000002</v>
      </c>
      <c r="K70" s="52">
        <f t="shared" si="43"/>
        <v>1.5349073887444284</v>
      </c>
      <c r="L70" s="135">
        <f t="shared" si="44"/>
        <v>1.7518531978296228</v>
      </c>
      <c r="N70" s="131">
        <f t="shared" si="45"/>
        <v>0.3067973371808177</v>
      </c>
      <c r="O70" s="131">
        <f t="shared" si="46"/>
        <v>0.30488601322352626</v>
      </c>
      <c r="P70" s="55">
        <f t="shared" si="47"/>
        <v>0.99496163847141006</v>
      </c>
      <c r="Q70" s="135">
        <f>_xll.xSPRDOPT(I70,H70,AQ70,0,O70,N70,P70,D70-$G$5,1,0)*AH70*AU70</f>
        <v>3.2867605865740512</v>
      </c>
      <c r="R70" s="135"/>
      <c r="S70" s="181">
        <f>_xll.xSPRDOPT(I70,H70,AQ70,AT70,O70,N70,P70,D70-$G$5,1,2)*AF70*(F70/(1-AR70))*AH70</f>
        <v>-900098.15089477436</v>
      </c>
      <c r="T70" s="181">
        <f>_xll.xSPRDOPT(I70,H70,AQ70,AT70,O70,N70,P70,D70-$G$5,1,1)*AF70*F70*AH70</f>
        <v>926155.97500589385</v>
      </c>
      <c r="U70" s="135"/>
      <c r="V70" s="146">
        <f t="shared" si="55"/>
        <v>3.6248781572539239</v>
      </c>
      <c r="W70" s="146"/>
      <c r="X70" s="338">
        <f t="shared" si="56"/>
        <v>0</v>
      </c>
      <c r="Y70" s="338">
        <f t="shared" si="18"/>
        <v>0</v>
      </c>
      <c r="Z70" s="338">
        <f t="shared" si="19"/>
        <v>-62.451511049628259</v>
      </c>
      <c r="AA70" s="338">
        <f t="shared" si="20"/>
        <v>19.710779332387457</v>
      </c>
      <c r="AB70" s="338">
        <f t="shared" si="57"/>
        <v>0</v>
      </c>
      <c r="AC70" s="338">
        <f t="shared" si="58"/>
        <v>81.15562795273307</v>
      </c>
      <c r="AF70" s="138">
        <f t="shared" si="59"/>
        <v>1</v>
      </c>
      <c r="AG70" s="138">
        <f t="shared" si="60"/>
        <v>1</v>
      </c>
      <c r="AH70" s="138">
        <f t="shared" si="61"/>
        <v>31</v>
      </c>
      <c r="AI70" s="138">
        <f t="shared" si="69"/>
        <v>1476</v>
      </c>
      <c r="AJ70" s="138">
        <f t="shared" si="62"/>
        <v>1493</v>
      </c>
      <c r="AL70" s="136">
        <f t="shared" si="27"/>
        <v>3.762</v>
      </c>
      <c r="AM70" s="258">
        <f t="shared" si="49"/>
        <v>2.5000000000000001E-2</v>
      </c>
      <c r="AN70" s="258">
        <f t="shared" si="28"/>
        <v>0.03</v>
      </c>
      <c r="AO70" s="258">
        <f t="shared" si="29"/>
        <v>0.125</v>
      </c>
      <c r="AP70" s="258">
        <f t="shared" si="30"/>
        <v>3.5000000000000003E-2</v>
      </c>
      <c r="AQ70" s="136">
        <f t="shared" si="63"/>
        <v>0</v>
      </c>
      <c r="AR70" s="137">
        <f t="shared" si="32"/>
        <v>1.15E-2</v>
      </c>
      <c r="AS70" s="136">
        <f t="shared" si="50"/>
        <v>3.8169999999999997</v>
      </c>
      <c r="AT70" s="137">
        <f t="shared" si="64"/>
        <v>5.0123867010087399E-2</v>
      </c>
      <c r="AU70" s="137">
        <f t="shared" si="34"/>
        <v>0.81713175024321461</v>
      </c>
      <c r="AV70" s="394">
        <f t="shared" si="51"/>
        <v>17681.096811762676</v>
      </c>
      <c r="AW70" s="137">
        <f t="shared" si="35"/>
        <v>0.28499999999999998</v>
      </c>
      <c r="AX70" s="137">
        <f t="shared" si="36"/>
        <v>1.1499999999999999</v>
      </c>
      <c r="AY70" s="137">
        <f t="shared" si="37"/>
        <v>1.1000000000000001</v>
      </c>
      <c r="AZ70" s="137"/>
      <c r="BA70" s="264"/>
      <c r="BB70" s="258">
        <f t="shared" si="38"/>
        <v>0</v>
      </c>
      <c r="BC70" s="258">
        <f t="shared" si="65"/>
        <v>0</v>
      </c>
      <c r="BD70" s="137">
        <f t="shared" si="66"/>
        <v>4.220365605678289E-5</v>
      </c>
      <c r="BE70" s="137">
        <f t="shared" si="67"/>
        <v>3.8619012735274794E-5</v>
      </c>
      <c r="BF70" s="137">
        <f>_xll.xSPRDOPT($BW70,$BV70,$CG70,0,$BY70,$BX70,$BZ70,$AJ70,1,4)*$CB70</f>
        <v>1.3259298796394476</v>
      </c>
      <c r="BG70" s="137">
        <f>_xll.xSPRDOPT($BW70,$BV70,$CG70,0,$BY70,$BX70,$BZ70,$AJ70,1,3)*$CB70</f>
        <v>1.2852758232643193</v>
      </c>
      <c r="BH70" s="137">
        <f>IF(OR(BF70&lt;&gt;0,BG70&lt;&gt;0),_xll.xSPRDOPT($BW70,$BV70,$CG70,0,$BY70,$BX70,$BZ70,$AJ70,1,12)*$CB70,0)</f>
        <v>-1.3054441013346927</v>
      </c>
      <c r="BI70" s="137">
        <f>_xll.xSPRDOPT($BW70,$BV70,$CG70,2*LN(1+CA70/2),$BY70,$BX70,$BZ70,$AJ70,1,9)</f>
        <v>-4.0878878872538929E-3</v>
      </c>
      <c r="BJ70" s="137">
        <f>_xll.xSPRDOPT($BW70,$BV70,$CG70,0,$BY70,$BX70,$BZ70,$AJ70,1,6)*$CB70</f>
        <v>0.27810226200803406</v>
      </c>
      <c r="BK70" s="137">
        <f>_xll.xSPRDOPT($BW70,$BV70,$CG70,0,$BY70,$BX70,$BZ70,$AJ70,1,5)*$CB70</f>
        <v>-2.9512381187925169E-2</v>
      </c>
      <c r="BL70" s="137">
        <f>_xll.xSPRDOPT(BW70,BV70,CG70,0,BY70,BX70,BZ70,AJ70,1,2)*CB70</f>
        <v>-0.47937066571479736</v>
      </c>
      <c r="BM70" s="137">
        <f>_xll.xSPRDOPT(BW70,BV70,CG70,0,BY70,BX70,BZ70,AJ70,1,1)*CB70</f>
        <v>0.49898681001111495</v>
      </c>
      <c r="BN70" s="137">
        <f>IF(AH70&lt;&gt;0,_xll.xSPRDOPT($BW70,$BV70,$CG70,2*LN(1+CA70/2),$BY70,$BX70,$BZ70,$AJ70,1,8)+(AJ70/365.25)*CH70/AH70,0)</f>
        <v>4.4565211081953326E-2</v>
      </c>
      <c r="BO70" s="137">
        <f>_xll.xSPRDOPT($BW70,$BV70,$CG70,0,$BY70,$BX70,$BZ70,$AJ70,1,0)</f>
        <v>0.12975216307068449</v>
      </c>
      <c r="BP70" s="137"/>
      <c r="BQ70" s="137"/>
      <c r="BR70" s="137"/>
      <c r="BS70" s="137"/>
      <c r="BV70" s="262">
        <v>3.8614061709661098</v>
      </c>
      <c r="BW70" s="136">
        <v>3.9220000000000002</v>
      </c>
      <c r="BX70" s="137">
        <v>0.30675513352476091</v>
      </c>
      <c r="BY70" s="137">
        <v>0.30484739421079099</v>
      </c>
      <c r="BZ70" s="137">
        <v>0.99497038941726412</v>
      </c>
      <c r="CA70" s="137">
        <v>5.0123867010087399E-2</v>
      </c>
      <c r="CB70" s="137">
        <v>0.81679955512122238</v>
      </c>
      <c r="CC70" s="258">
        <v>2.5000000000000001E-2</v>
      </c>
      <c r="CD70" s="258">
        <v>0.03</v>
      </c>
      <c r="CE70" s="258">
        <v>0.125</v>
      </c>
      <c r="CF70" s="258">
        <v>3.5000000000000003E-2</v>
      </c>
      <c r="CG70" s="258">
        <v>0</v>
      </c>
      <c r="CH70" s="258">
        <v>3.6234045064732543</v>
      </c>
      <c r="CI70" s="258">
        <v>3.762</v>
      </c>
      <c r="CJ70" s="258"/>
      <c r="CK70" s="258"/>
      <c r="CL70" s="258"/>
      <c r="CM70" s="258"/>
    </row>
    <row r="71" spans="1:91" x14ac:dyDescent="0.25">
      <c r="A71" s="723"/>
      <c r="B71" s="723"/>
      <c r="D71" s="31">
        <f t="shared" si="68"/>
        <v>38763</v>
      </c>
      <c r="F71" s="28">
        <f t="shared" si="52"/>
        <v>60000</v>
      </c>
      <c r="G71" s="28">
        <f t="shared" si="13"/>
        <v>48758.48030666932</v>
      </c>
      <c r="H71" s="52">
        <f t="shared" si="53"/>
        <v>3.7703591299949415</v>
      </c>
      <c r="I71" s="52">
        <f t="shared" si="54"/>
        <v>3.8370000000000002</v>
      </c>
      <c r="K71" s="52">
        <f t="shared" si="43"/>
        <v>1.5163435222884503</v>
      </c>
      <c r="L71" s="135">
        <f t="shared" si="44"/>
        <v>1.3703086986618236</v>
      </c>
      <c r="N71" s="131">
        <f t="shared" si="45"/>
        <v>0.29975203427380115</v>
      </c>
      <c r="O71" s="131">
        <f t="shared" si="46"/>
        <v>0.29801976292303534</v>
      </c>
      <c r="P71" s="55">
        <f t="shared" si="47"/>
        <v>0.9953260532905418</v>
      </c>
      <c r="Q71" s="135">
        <f>_xll.xSPRDOPT(I71,H71,AQ71,0,O71,N71,P71,D71-$G$5,1,0)*AH71*AU71</f>
        <v>2.8866522209502739</v>
      </c>
      <c r="R71" s="135"/>
      <c r="S71" s="181">
        <f>_xll.xSPRDOPT(I71,H71,AQ71,AT71,O71,N71,P71,D71-$G$5,1,2)*AF71*(F71/(1-AR71))*AH71</f>
        <v>-833790.4864595359</v>
      </c>
      <c r="T71" s="181">
        <f>_xll.xSPRDOPT(I71,H71,AQ71,AT71,O71,N71,P71,D71-$G$5,1,1)*AF71*F71*AH71</f>
        <v>854908.87978284515</v>
      </c>
      <c r="U71" s="135"/>
      <c r="V71" s="146">
        <f t="shared" si="55"/>
        <v>3.2560913148793773</v>
      </c>
      <c r="W71" s="146"/>
      <c r="X71" s="338">
        <f t="shared" si="56"/>
        <v>0</v>
      </c>
      <c r="Y71" s="338">
        <f t="shared" si="18"/>
        <v>0</v>
      </c>
      <c r="Z71" s="338">
        <f t="shared" si="19"/>
        <v>-44.329004766687142</v>
      </c>
      <c r="AA71" s="338">
        <f t="shared" si="20"/>
        <v>14.81939193987203</v>
      </c>
      <c r="AB71" s="338">
        <f t="shared" si="57"/>
        <v>0</v>
      </c>
      <c r="AC71" s="338">
        <f t="shared" si="58"/>
        <v>71.734185982561314</v>
      </c>
      <c r="AF71" s="138">
        <f t="shared" si="59"/>
        <v>1</v>
      </c>
      <c r="AG71" s="138">
        <f t="shared" si="60"/>
        <v>2</v>
      </c>
      <c r="AH71" s="138">
        <f t="shared" si="61"/>
        <v>28</v>
      </c>
      <c r="AI71" s="138">
        <f t="shared" si="69"/>
        <v>1507</v>
      </c>
      <c r="AJ71" s="138">
        <f t="shared" si="62"/>
        <v>1524</v>
      </c>
      <c r="AL71" s="136">
        <f t="shared" si="27"/>
        <v>3.677</v>
      </c>
      <c r="AM71" s="258">
        <f t="shared" si="49"/>
        <v>0.02</v>
      </c>
      <c r="AN71" s="258">
        <f t="shared" si="28"/>
        <v>0.03</v>
      </c>
      <c r="AO71" s="258">
        <f t="shared" si="29"/>
        <v>0.125</v>
      </c>
      <c r="AP71" s="258">
        <f t="shared" si="30"/>
        <v>3.5000000000000003E-2</v>
      </c>
      <c r="AQ71" s="136">
        <f t="shared" si="63"/>
        <v>0</v>
      </c>
      <c r="AR71" s="137">
        <f t="shared" si="32"/>
        <v>1.15E-2</v>
      </c>
      <c r="AS71" s="136">
        <f t="shared" si="50"/>
        <v>3.7269999999999999</v>
      </c>
      <c r="AT71" s="137">
        <f t="shared" si="64"/>
        <v>5.0446047479093502E-2</v>
      </c>
      <c r="AU71" s="137">
        <f t="shared" si="34"/>
        <v>0.81264133844448871</v>
      </c>
      <c r="AV71" s="394">
        <f t="shared" si="51"/>
        <v>15882.262318559087</v>
      </c>
      <c r="AW71" s="137">
        <f t="shared" si="35"/>
        <v>0.28000000000000003</v>
      </c>
      <c r="AX71" s="137">
        <f t="shared" si="36"/>
        <v>1.1499999999999999</v>
      </c>
      <c r="AY71" s="137">
        <f t="shared" si="37"/>
        <v>1.1000000000000001</v>
      </c>
      <c r="AZ71" s="137"/>
      <c r="BA71" s="264"/>
      <c r="BB71" s="258">
        <f t="shared" si="38"/>
        <v>0</v>
      </c>
      <c r="BC71" s="258">
        <f t="shared" si="65"/>
        <v>0</v>
      </c>
      <c r="BD71" s="137">
        <f t="shared" si="66"/>
        <v>3.7603260744478728E-5</v>
      </c>
      <c r="BE71" s="137">
        <f t="shared" si="67"/>
        <v>3.4401553468732526E-5</v>
      </c>
      <c r="BF71" s="137">
        <f>_xll.xSPRDOPT($BW71,$BV71,$CG71,0,$BY71,$BX71,$BZ71,$AJ71,1,4)*$CB71</f>
        <v>1.4039603638088605</v>
      </c>
      <c r="BG71" s="137">
        <f>_xll.xSPRDOPT($BW71,$BV71,$CG71,0,$BY71,$BX71,$BZ71,$AJ71,1,3)*$CB71</f>
        <v>1.3556159622989636</v>
      </c>
      <c r="BH71" s="137">
        <f>IF(OR(BF71&lt;&gt;0,BG71&lt;&gt;0),_xll.xSPRDOPT($BW71,$BV71,$CG71,0,$BY71,$BX71,$BZ71,$AJ71,1,12)*$CB71,0)</f>
        <v>-1.3795763970447494</v>
      </c>
      <c r="BI71" s="137">
        <f>_xll.xSPRDOPT($BW71,$BV71,$CG71,2*LN(1+CA71/2),$BY71,$BX71,$BZ71,$AJ71,1,9)</f>
        <v>-3.2125335299667615E-3</v>
      </c>
      <c r="BJ71" s="137">
        <f>_xll.xSPRDOPT($BW71,$BV71,$CG71,0,$BY71,$BX71,$BZ71,$AJ71,1,6)*$CB71</f>
        <v>0.25978171287412516</v>
      </c>
      <c r="BK71" s="137">
        <f>_xll.xSPRDOPT($BW71,$BV71,$CG71,0,$BY71,$BX71,$BZ71,$AJ71,1,5)*$CB71</f>
        <v>-2.7544478647979428E-2</v>
      </c>
      <c r="BL71" s="137">
        <f>_xll.xSPRDOPT(BW71,BV71,CG71,0,BY71,BX71,BZ71,AJ71,1,2)*CB71</f>
        <v>-0.49167509073604482</v>
      </c>
      <c r="BM71" s="137">
        <f>_xll.xSPRDOPT(BW71,BV71,CG71,0,BY71,BX71,BZ71,AJ71,1,1)*CB71</f>
        <v>0.50999324697825232</v>
      </c>
      <c r="BN71" s="137">
        <f>IF(AH71&lt;&gt;0,_xll.xSPRDOPT($BW71,$BV71,$CG71,2*LN(1+CA71/2),$BY71,$BX71,$BZ71,$AJ71,1,8)+(AJ71/365.25)*CH71/AH71,0)</f>
        <v>5.5030295954787423E-2</v>
      </c>
      <c r="BO71" s="137">
        <f>_xll.xSPRDOPT($BW71,$BV71,$CG71,0,$BY71,$BX71,$BZ71,$AJ71,1,0)</f>
        <v>0.12686374328331743</v>
      </c>
      <c r="BP71" s="137"/>
      <c r="BQ71" s="137"/>
      <c r="BR71" s="137"/>
      <c r="BS71" s="137"/>
      <c r="BV71" s="262">
        <v>3.7703591299949415</v>
      </c>
      <c r="BW71" s="136">
        <v>3.8370000000000002</v>
      </c>
      <c r="BX71" s="137">
        <v>0.29971443101305667</v>
      </c>
      <c r="BY71" s="137">
        <v>0.2979853613695666</v>
      </c>
      <c r="BZ71" s="137">
        <v>0.9953341011449921</v>
      </c>
      <c r="CA71" s="137">
        <v>5.0446047479093502E-2</v>
      </c>
      <c r="CB71" s="137">
        <v>0.81230887199365776</v>
      </c>
      <c r="CC71" s="258">
        <v>0.02</v>
      </c>
      <c r="CD71" s="258">
        <v>0.03</v>
      </c>
      <c r="CE71" s="258">
        <v>0.125</v>
      </c>
      <c r="CF71" s="258">
        <v>3.5000000000000003E-2</v>
      </c>
      <c r="CG71" s="258">
        <v>0</v>
      </c>
      <c r="CH71" s="258">
        <v>3.2547591883041882</v>
      </c>
      <c r="CI71" s="258">
        <v>3.677</v>
      </c>
      <c r="CJ71" s="258"/>
      <c r="CK71" s="258"/>
      <c r="CL71" s="258"/>
      <c r="CM71" s="258"/>
    </row>
    <row r="72" spans="1:91" x14ac:dyDescent="0.25">
      <c r="A72" s="723"/>
      <c r="B72" s="723"/>
      <c r="D72" s="31">
        <f t="shared" si="68"/>
        <v>38791</v>
      </c>
      <c r="F72" s="28">
        <f t="shared" si="52"/>
        <v>60000</v>
      </c>
      <c r="G72" s="28">
        <f t="shared" si="13"/>
        <v>48514.185899741176</v>
      </c>
      <c r="H72" s="52">
        <f t="shared" si="53"/>
        <v>3.6186140617096609</v>
      </c>
      <c r="I72" s="52">
        <f t="shared" si="54"/>
        <v>3.7070000000000003</v>
      </c>
      <c r="K72" s="52">
        <f t="shared" si="43"/>
        <v>2.2154521179226307</v>
      </c>
      <c r="L72" s="135">
        <f t="shared" si="44"/>
        <v>0.87173733376268592</v>
      </c>
      <c r="N72" s="131">
        <f t="shared" si="45"/>
        <v>0.28176924103222056</v>
      </c>
      <c r="O72" s="131">
        <f t="shared" si="46"/>
        <v>0.27891651287520841</v>
      </c>
      <c r="P72" s="55">
        <f t="shared" si="47"/>
        <v>0.99657758528561335</v>
      </c>
      <c r="Q72" s="135">
        <f>_xll.xSPRDOPT(I72,H72,AQ72,0,O72,N72,P72,D72-$G$5,1,0)*AH72*AU72</f>
        <v>3.0871894516853167</v>
      </c>
      <c r="R72" s="135"/>
      <c r="S72" s="181">
        <f>_xll.xSPRDOPT(I72,H72,AQ72,AT72,O72,N72,P72,D72-$G$5,1,2)*AF72*(F72/(1-AR72))*AH72</f>
        <v>-1037053.4189099122</v>
      </c>
      <c r="T72" s="181">
        <f>_xll.xSPRDOPT(I72,H72,AQ72,AT72,O72,N72,P72,D72-$G$5,1,1)*AF72*F72*AH72</f>
        <v>1050519.2616712579</v>
      </c>
      <c r="U72" s="135"/>
      <c r="V72" s="146">
        <f t="shared" si="55"/>
        <v>3.5868963344973634</v>
      </c>
      <c r="W72" s="146"/>
      <c r="X72" s="338">
        <f t="shared" si="56"/>
        <v>0</v>
      </c>
      <c r="Y72" s="338">
        <f t="shared" si="18"/>
        <v>0</v>
      </c>
      <c r="Z72" s="338">
        <f t="shared" si="19"/>
        <v>-13.870614212272553</v>
      </c>
      <c r="AA72" s="338">
        <f t="shared" si="20"/>
        <v>8.9994317112895885</v>
      </c>
      <c r="AB72" s="338">
        <f t="shared" si="57"/>
        <v>0</v>
      </c>
      <c r="AC72" s="338">
        <f t="shared" si="58"/>
        <v>77.160004792543319</v>
      </c>
      <c r="AF72" s="138">
        <f t="shared" si="59"/>
        <v>1</v>
      </c>
      <c r="AG72" s="138">
        <f t="shared" si="60"/>
        <v>3</v>
      </c>
      <c r="AH72" s="138">
        <f t="shared" si="61"/>
        <v>31</v>
      </c>
      <c r="AI72" s="138">
        <f t="shared" si="69"/>
        <v>1535</v>
      </c>
      <c r="AJ72" s="138">
        <f t="shared" si="62"/>
        <v>1552</v>
      </c>
      <c r="AL72" s="136">
        <f t="shared" si="27"/>
        <v>3.5470000000000002</v>
      </c>
      <c r="AM72" s="258">
        <f t="shared" si="49"/>
        <v>0</v>
      </c>
      <c r="AN72" s="258">
        <f t="shared" si="28"/>
        <v>0.03</v>
      </c>
      <c r="AO72" s="258">
        <f t="shared" si="29"/>
        <v>0.125</v>
      </c>
      <c r="AP72" s="258">
        <f t="shared" si="30"/>
        <v>3.5000000000000003E-2</v>
      </c>
      <c r="AQ72" s="136">
        <f t="shared" si="63"/>
        <v>0</v>
      </c>
      <c r="AR72" s="137">
        <f t="shared" si="32"/>
        <v>1.15E-2</v>
      </c>
      <c r="AS72" s="136">
        <f t="shared" si="50"/>
        <v>3.577</v>
      </c>
      <c r="AT72" s="137">
        <f t="shared" si="64"/>
        <v>5.0737049222817202E-2</v>
      </c>
      <c r="AU72" s="137">
        <f t="shared" si="34"/>
        <v>0.80856976499568622</v>
      </c>
      <c r="AV72" s="394">
        <f t="shared" si="51"/>
        <v>17495.832574976659</v>
      </c>
      <c r="AW72" s="137">
        <f t="shared" si="35"/>
        <v>0.27</v>
      </c>
      <c r="AX72" s="137">
        <f t="shared" si="36"/>
        <v>0.85</v>
      </c>
      <c r="AY72" s="137">
        <f t="shared" si="37"/>
        <v>0.75</v>
      </c>
      <c r="AZ72" s="137"/>
      <c r="BA72" s="264"/>
      <c r="BB72" s="258">
        <f t="shared" si="38"/>
        <v>0</v>
      </c>
      <c r="BC72" s="258">
        <f t="shared" si="65"/>
        <v>0</v>
      </c>
      <c r="BD72" s="137">
        <f t="shared" si="66"/>
        <v>2.2254073275107533E-5</v>
      </c>
      <c r="BE72" s="137">
        <f t="shared" si="67"/>
        <v>1.6944170124932878E-5</v>
      </c>
      <c r="BF72" s="137">
        <f>_xll.xSPRDOPT($BW72,$BV72,$CG72,0,$BY72,$BX72,$BZ72,$AJ72,1,4)*$CB72</f>
        <v>1.6521929474749582</v>
      </c>
      <c r="BG72" s="137">
        <f>_xll.xSPRDOPT($BW72,$BV72,$CG72,0,$BY72,$BX72,$BZ72,$AJ72,1,3)*$CB72</f>
        <v>1.5743457193998638</v>
      </c>
      <c r="BH72" s="137">
        <f>IF(OR(BF72&lt;&gt;0,BG72&lt;&gt;0),_xll.xSPRDOPT($BW72,$BV72,$CG72,0,$BY72,$BX72,$BZ72,$AJ72,1,12)*$CB72,0)</f>
        <v>-1.6128007557421147</v>
      </c>
      <c r="BI72" s="137">
        <f>_xll.xSPRDOPT($BW72,$BV72,$CG72,2*LN(1+CA72/2),$BY72,$BX72,$BZ72,$AJ72,1,9)</f>
        <v>-9.0792864534633509E-4</v>
      </c>
      <c r="BJ72" s="137">
        <f>_xll.xSPRDOPT($BW72,$BV72,$CG72,0,$BY72,$BX72,$BZ72,$AJ72,1,6)*$CB72</f>
        <v>0.34933444748760295</v>
      </c>
      <c r="BK72" s="137">
        <f>_xll.xSPRDOPT($BW72,$BV72,$CG72,0,$BY72,$BX72,$BZ72,$AJ72,1,5)*$CB72</f>
        <v>-0.17325783584608176</v>
      </c>
      <c r="BL72" s="137">
        <f>_xll.xSPRDOPT(BW72,BV72,CG72,0,BY72,BX72,BZ72,AJ72,1,2)*CB72</f>
        <v>-0.55239745287910769</v>
      </c>
      <c r="BM72" s="137">
        <f>_xll.xSPRDOPT(BW72,BV72,CG72,0,BY72,BX72,BZ72,AJ72,1,1)*CB72</f>
        <v>0.56608011684057258</v>
      </c>
      <c r="BN72" s="137">
        <f>IF(AH72&lt;&gt;0,_xll.xSPRDOPT($BW72,$BV72,$CG72,2*LN(1+CA72/2),$BY72,$BX72,$BZ72,$AJ72,1,8)+(AJ72/365.25)*CH72/AH72,0)</f>
        <v>6.8466028952328895E-2</v>
      </c>
      <c r="BO72" s="137">
        <f>_xll.xSPRDOPT($BW72,$BV72,$CG72,0,$BY72,$BX72,$BZ72,$AJ72,1,0)</f>
        <v>0.12316414454916721</v>
      </c>
      <c r="BP72" s="137"/>
      <c r="BQ72" s="137"/>
      <c r="BR72" s="137"/>
      <c r="BS72" s="137"/>
      <c r="BV72" s="262">
        <v>3.6186140617096609</v>
      </c>
      <c r="BW72" s="136">
        <v>3.7070000000000003</v>
      </c>
      <c r="BX72" s="137">
        <v>0.28174698695894546</v>
      </c>
      <c r="BY72" s="137">
        <v>0.27889956870508348</v>
      </c>
      <c r="BZ72" s="137">
        <v>0.99658362445808457</v>
      </c>
      <c r="CA72" s="137">
        <v>5.0737049222817202E-2</v>
      </c>
      <c r="CB72" s="137">
        <v>0.80823708014464768</v>
      </c>
      <c r="CC72" s="258">
        <v>0</v>
      </c>
      <c r="CD72" s="258">
        <v>0.03</v>
      </c>
      <c r="CE72" s="258">
        <v>0.125</v>
      </c>
      <c r="CF72" s="258">
        <v>3.5000000000000003E-2</v>
      </c>
      <c r="CG72" s="258">
        <v>0</v>
      </c>
      <c r="CH72" s="258">
        <v>3.5854205112296715</v>
      </c>
      <c r="CI72" s="258">
        <v>3.5470000000000002</v>
      </c>
      <c r="CJ72" s="258"/>
      <c r="CK72" s="258"/>
      <c r="CL72" s="258"/>
      <c r="CM72" s="258"/>
    </row>
    <row r="73" spans="1:91" x14ac:dyDescent="0.25">
      <c r="A73" s="723"/>
      <c r="B73" s="723"/>
      <c r="D73" s="31">
        <f t="shared" si="68"/>
        <v>38822</v>
      </c>
      <c r="F73" s="28">
        <f t="shared" si="52"/>
        <v>60000</v>
      </c>
      <c r="G73" s="28">
        <f t="shared" si="13"/>
        <v>48242.705551118735</v>
      </c>
      <c r="H73" s="52">
        <f t="shared" si="53"/>
        <v>3.310065756196257</v>
      </c>
      <c r="I73" s="52">
        <f t="shared" si="54"/>
        <v>3.4420000000000002</v>
      </c>
      <c r="K73" s="52">
        <f t="shared" si="43"/>
        <v>3.1824324379667477</v>
      </c>
      <c r="L73" s="135">
        <f t="shared" si="44"/>
        <v>4.3487392970930294E-2</v>
      </c>
      <c r="N73" s="131">
        <f t="shared" si="45"/>
        <v>0.25264258003112178</v>
      </c>
      <c r="O73" s="131">
        <f t="shared" si="46"/>
        <v>0.25264258003112178</v>
      </c>
      <c r="P73" s="55">
        <f t="shared" si="47"/>
        <v>0.99894648829431454</v>
      </c>
      <c r="Q73" s="135">
        <f>_xll.xSPRDOPT(I73,H73,AQ73,0,O73,N73,P73,D73-$G$5,1,0)*AH73*AU73</f>
        <v>3.225919830937678</v>
      </c>
      <c r="R73" s="135"/>
      <c r="S73" s="181">
        <f>_xll.xSPRDOPT(I73,H73,AQ73,AT73,O73,N73,P73,D73-$G$5,1,2)*AF73*(F73/(1-AR73))*AH73</f>
        <v>-1381402.0079834179</v>
      </c>
      <c r="T73" s="181">
        <f>_xll.xSPRDOPT(I73,H73,AQ73,AT73,O73,N73,P73,D73-$G$5,1,1)*AF73*F73*AH73</f>
        <v>1369252.3736443962</v>
      </c>
      <c r="U73" s="135"/>
      <c r="V73" s="146">
        <f t="shared" si="55"/>
        <v>3.4517655821825457</v>
      </c>
      <c r="W73" s="146"/>
      <c r="X73" s="338">
        <f t="shared" si="56"/>
        <v>0</v>
      </c>
      <c r="Y73" s="338">
        <f t="shared" si="18"/>
        <v>0</v>
      </c>
      <c r="Z73" s="338">
        <f t="shared" si="19"/>
        <v>68.142986425166725</v>
      </c>
      <c r="AA73" s="338">
        <f t="shared" si="20"/>
        <v>0.2491086911862947</v>
      </c>
      <c r="AB73" s="338">
        <f t="shared" si="57"/>
        <v>0</v>
      </c>
      <c r="AC73" s="338">
        <f t="shared" si="58"/>
        <v>81.139117440085528</v>
      </c>
      <c r="AF73" s="138">
        <f t="shared" si="59"/>
        <v>1</v>
      </c>
      <c r="AG73" s="138">
        <f t="shared" si="60"/>
        <v>4</v>
      </c>
      <c r="AH73" s="138">
        <f t="shared" si="61"/>
        <v>30</v>
      </c>
      <c r="AI73" s="138">
        <f t="shared" si="69"/>
        <v>1566</v>
      </c>
      <c r="AJ73" s="138">
        <f t="shared" si="62"/>
        <v>1583</v>
      </c>
      <c r="AL73" s="136">
        <f t="shared" si="27"/>
        <v>3.3620000000000001</v>
      </c>
      <c r="AM73" s="258">
        <f t="shared" si="49"/>
        <v>-0.09</v>
      </c>
      <c r="AN73" s="258">
        <f t="shared" si="28"/>
        <v>0</v>
      </c>
      <c r="AO73" s="258">
        <f t="shared" si="29"/>
        <v>0.04</v>
      </c>
      <c r="AP73" s="258">
        <f t="shared" si="30"/>
        <v>0.04</v>
      </c>
      <c r="AQ73" s="136">
        <f t="shared" si="63"/>
        <v>0</v>
      </c>
      <c r="AR73" s="137">
        <f t="shared" si="32"/>
        <v>1.15E-2</v>
      </c>
      <c r="AS73" s="136">
        <f t="shared" si="50"/>
        <v>3.2720000000000002</v>
      </c>
      <c r="AT73" s="137">
        <f t="shared" si="64"/>
        <v>5.10592297577648E-2</v>
      </c>
      <c r="AU73" s="137">
        <f t="shared" si="34"/>
        <v>0.80404509251864564</v>
      </c>
      <c r="AV73" s="394">
        <f t="shared" si="51"/>
        <v>16836.70423734044</v>
      </c>
      <c r="AW73" s="137">
        <f t="shared" si="35"/>
        <v>0.25</v>
      </c>
      <c r="AX73" s="137">
        <f t="shared" si="36"/>
        <v>0.45</v>
      </c>
      <c r="AY73" s="137">
        <f t="shared" si="37"/>
        <v>0.45</v>
      </c>
      <c r="AZ73" s="137"/>
      <c r="BA73" s="264"/>
      <c r="BB73" s="258">
        <f t="shared" si="38"/>
        <v>0</v>
      </c>
      <c r="BC73" s="258">
        <f t="shared" si="65"/>
        <v>0</v>
      </c>
      <c r="BD73" s="137">
        <f t="shared" si="66"/>
        <v>4.9787605318485362E-6</v>
      </c>
      <c r="BE73" s="137">
        <f t="shared" si="67"/>
        <v>4.9787605318485362E-6</v>
      </c>
      <c r="BF73" s="137">
        <f>_xll.xSPRDOPT($BW73,$BV73,$CG73,0,$BY73,$BX73,$BZ73,$AJ73,1,4)*$CB73</f>
        <v>1.1017128531179454</v>
      </c>
      <c r="BG73" s="137">
        <f>_xll.xSPRDOPT($BW73,$BV73,$CG73,0,$BY73,$BX73,$BZ73,$AJ73,1,3)*$CB73</f>
        <v>1.0188726172383888</v>
      </c>
      <c r="BH73" s="137">
        <f>IF(OR(BF73&lt;&gt;0,BG73&lt;&gt;0),_xll.xSPRDOPT($BW73,$BV73,$CG73,0,$BY73,$BX73,$BZ73,$AJ73,1,12)*$CB73,0)</f>
        <v>-1.0594863462370137</v>
      </c>
      <c r="BI73" s="137">
        <f>_xll.xSPRDOPT($BW73,$BV73,$CG73,2*LN(1+CA73/2),$BY73,$BX73,$BZ73,$AJ73,1,9)</f>
        <v>4.6091158873689149E-3</v>
      </c>
      <c r="BJ73" s="137">
        <f>_xll.xSPRDOPT($BW73,$BV73,$CG73,0,$BY73,$BX73,$BZ73,$AJ73,1,6)*$CB73</f>
        <v>1.3898282859343917E-2</v>
      </c>
      <c r="BK73" s="137">
        <f>_xll.xSPRDOPT($BW73,$BV73,$CG73,0,$BY73,$BX73,$BZ73,$AJ73,1,5)*$CB73</f>
        <v>1.3898538546391741E-2</v>
      </c>
      <c r="BL73" s="137">
        <f>_xll.xSPRDOPT(BW73,BV73,CG73,0,BY73,BX73,BZ73,AJ73,1,2)*CB73</f>
        <v>-0.76041093307103247</v>
      </c>
      <c r="BM73" s="137">
        <f>_xll.xSPRDOPT(BW73,BV73,CG73,0,BY73,BX73,BZ73,AJ73,1,1)*CB73</f>
        <v>0.76249166565478943</v>
      </c>
      <c r="BN73" s="137">
        <f>IF(AH73&lt;&gt;0,_xll.xSPRDOPT($BW73,$BV73,$CG73,2*LN(1+CA73/2),$BY73,$BX73,$BZ73,$AJ73,1,8)+(AJ73/365.25)*CH73/AH73,0)</f>
        <v>3.2613789992275877E-2</v>
      </c>
      <c r="BO73" s="137">
        <f>_xll.xSPRDOPT($BW73,$BV73,$CG73,0,$BY73,$BX73,$BZ73,$AJ73,1,0)</f>
        <v>0.13373710782781154</v>
      </c>
      <c r="BP73" s="137"/>
      <c r="BQ73" s="137"/>
      <c r="BR73" s="137"/>
      <c r="BS73" s="137"/>
      <c r="BV73" s="262">
        <v>3.310065756196257</v>
      </c>
      <c r="BW73" s="136">
        <v>3.4420000000000002</v>
      </c>
      <c r="BX73" s="137">
        <v>0.25263760127058993</v>
      </c>
      <c r="BY73" s="137">
        <v>0.25263760127058993</v>
      </c>
      <c r="BZ73" s="137">
        <v>0.99894844213649836</v>
      </c>
      <c r="CA73" s="137">
        <v>5.10592297577648E-2</v>
      </c>
      <c r="CB73" s="137">
        <v>0.80371219529642934</v>
      </c>
      <c r="CC73" s="258">
        <v>-0.09</v>
      </c>
      <c r="CD73" s="258">
        <v>0</v>
      </c>
      <c r="CE73" s="258">
        <v>0.04</v>
      </c>
      <c r="CF73" s="258">
        <v>0.04</v>
      </c>
      <c r="CG73" s="258">
        <v>0</v>
      </c>
      <c r="CH73" s="258">
        <v>3.4503364544075712</v>
      </c>
      <c r="CI73" s="258">
        <v>3.3620000000000001</v>
      </c>
      <c r="CJ73" s="258"/>
      <c r="CK73" s="258"/>
      <c r="CL73" s="258"/>
      <c r="CM73" s="258"/>
    </row>
    <row r="74" spans="1:91" x14ac:dyDescent="0.25">
      <c r="A74" s="723"/>
      <c r="B74" s="723"/>
      <c r="D74" s="31">
        <f t="shared" si="68"/>
        <v>38852</v>
      </c>
      <c r="F74" s="28">
        <f t="shared" si="52"/>
        <v>60000</v>
      </c>
      <c r="G74" s="28">
        <f t="shared" si="13"/>
        <v>47979.002719851218</v>
      </c>
      <c r="H74" s="52">
        <f t="shared" si="53"/>
        <v>3.3050075872534146</v>
      </c>
      <c r="I74" s="52">
        <f t="shared" si="54"/>
        <v>3.4370000000000003</v>
      </c>
      <c r="K74" s="52">
        <f t="shared" si="43"/>
        <v>3.2719799039202155</v>
      </c>
      <c r="L74" s="135">
        <f t="shared" si="44"/>
        <v>8.3756026283412055E-2</v>
      </c>
      <c r="N74" s="131">
        <f t="shared" si="45"/>
        <v>0.24778090519241153</v>
      </c>
      <c r="O74" s="131">
        <f t="shared" si="46"/>
        <v>0.2487011247602785</v>
      </c>
      <c r="P74" s="55">
        <f t="shared" si="47"/>
        <v>0.99858261277002436</v>
      </c>
      <c r="Q74" s="135">
        <f>_xll.xSPRDOPT(I74,H74,AQ74,0,O74,N74,P74,D74-$G$5,1,0)*AH74*AU74</f>
        <v>3.3557359302036276</v>
      </c>
      <c r="R74" s="135"/>
      <c r="S74" s="181">
        <f>_xll.xSPRDOPT(I74,H74,AQ74,AT74,O74,N74,P74,D74-$G$5,1,2)*AF74*(F74/(1-AR74))*AH74</f>
        <v>-1377817.9517666323</v>
      </c>
      <c r="T74" s="181">
        <f>_xll.xSPRDOPT(I74,H74,AQ74,AT74,O74,N74,P74,D74-$G$5,1,1)*AF74*F74*AH74</f>
        <v>1368082.7771696721</v>
      </c>
      <c r="U74" s="135"/>
      <c r="V74" s="146">
        <f t="shared" si="55"/>
        <v>3.5473275660921995</v>
      </c>
      <c r="W74" s="146"/>
      <c r="X74" s="338">
        <f t="shared" si="56"/>
        <v>0</v>
      </c>
      <c r="Y74" s="338">
        <f t="shared" si="18"/>
        <v>0</v>
      </c>
      <c r="Z74" s="338">
        <f t="shared" si="19"/>
        <v>64.653631149098629</v>
      </c>
      <c r="AA74" s="338">
        <f t="shared" si="20"/>
        <v>0.67749668225871007</v>
      </c>
      <c r="AB74" s="338">
        <f t="shared" si="57"/>
        <v>0</v>
      </c>
      <c r="AC74" s="338">
        <f t="shared" si="58"/>
        <v>84.919481205911595</v>
      </c>
      <c r="AF74" s="138">
        <f t="shared" si="59"/>
        <v>1</v>
      </c>
      <c r="AG74" s="138">
        <f t="shared" si="60"/>
        <v>5</v>
      </c>
      <c r="AH74" s="138">
        <f t="shared" si="61"/>
        <v>31</v>
      </c>
      <c r="AI74" s="138">
        <f t="shared" si="69"/>
        <v>1596</v>
      </c>
      <c r="AJ74" s="138">
        <f t="shared" si="62"/>
        <v>1613</v>
      </c>
      <c r="AL74" s="136">
        <f t="shared" si="27"/>
        <v>3.3570000000000002</v>
      </c>
      <c r="AM74" s="258">
        <f t="shared" si="49"/>
        <v>-0.09</v>
      </c>
      <c r="AN74" s="258">
        <f t="shared" si="28"/>
        <v>0</v>
      </c>
      <c r="AO74" s="258">
        <f t="shared" si="29"/>
        <v>0.04</v>
      </c>
      <c r="AP74" s="258">
        <f t="shared" si="30"/>
        <v>0.04</v>
      </c>
      <c r="AQ74" s="136">
        <f t="shared" si="63"/>
        <v>0</v>
      </c>
      <c r="AR74" s="137">
        <f t="shared" si="32"/>
        <v>1.15E-2</v>
      </c>
      <c r="AS74" s="136">
        <f t="shared" si="50"/>
        <v>3.2670000000000003</v>
      </c>
      <c r="AT74" s="137">
        <f t="shared" si="64"/>
        <v>5.1371017405212001E-2</v>
      </c>
      <c r="AU74" s="137">
        <f t="shared" si="34"/>
        <v>0.7996500453308536</v>
      </c>
      <c r="AV74" s="394">
        <f t="shared" si="51"/>
        <v>17302.82768086901</v>
      </c>
      <c r="AW74" s="137">
        <f t="shared" si="35"/>
        <v>0.245</v>
      </c>
      <c r="AX74" s="137">
        <f t="shared" si="36"/>
        <v>0.45</v>
      </c>
      <c r="AY74" s="137">
        <f t="shared" si="37"/>
        <v>0.5</v>
      </c>
      <c r="AZ74" s="137"/>
      <c r="BA74" s="264"/>
      <c r="BB74" s="258">
        <f t="shared" si="38"/>
        <v>0</v>
      </c>
      <c r="BC74" s="258">
        <f t="shared" si="65"/>
        <v>0</v>
      </c>
      <c r="BD74" s="137">
        <f t="shared" si="66"/>
        <v>5.1384239313778668E-6</v>
      </c>
      <c r="BE74" s="137">
        <f t="shared" si="67"/>
        <v>6.8262039848443479E-6</v>
      </c>
      <c r="BF74" s="137">
        <f>_xll.xSPRDOPT($BW74,$BV74,$CG74,0,$BY74,$BX74,$BZ74,$AJ74,1,4)*$CB74</f>
        <v>1.3129428561669991</v>
      </c>
      <c r="BG74" s="137">
        <f>_xll.xSPRDOPT($BW74,$BV74,$CG74,0,$BY74,$BX74,$BZ74,$AJ74,1,3)*$CB74</f>
        <v>1.2140362559271942</v>
      </c>
      <c r="BH74" s="137">
        <f>IF(OR(BF74&lt;&gt;0,BG74&lt;&gt;0),_xll.xSPRDOPT($BW74,$BV74,$CG74,0,$BY74,$BX74,$BZ74,$AJ74,1,12)*$CB74,0)</f>
        <v>-1.2625232440492788</v>
      </c>
      <c r="BI74" s="137">
        <f>_xll.xSPRDOPT($BW74,$BV74,$CG74,2*LN(1+CA74/2),$BY74,$BX74,$BZ74,$AJ74,1,9)</f>
        <v>4.232032038926214E-3</v>
      </c>
      <c r="BJ74" s="137">
        <f>_xll.xSPRDOPT($BW74,$BV74,$CG74,0,$BY74,$BX74,$BZ74,$AJ74,1,6)*$CB74</f>
        <v>-3.5887937709577329E-2</v>
      </c>
      <c r="BK74" s="137">
        <f>_xll.xSPRDOPT($BW74,$BV74,$CG74,0,$BY74,$BX74,$BZ74,$AJ74,1,5)*$CB74</f>
        <v>8.0374534263684391E-2</v>
      </c>
      <c r="BL74" s="137">
        <f>_xll.xSPRDOPT(BW74,BV74,CG74,0,BY74,BX74,BZ74,AJ74,1,2)*CB74</f>
        <v>-0.73403422477480851</v>
      </c>
      <c r="BM74" s="137">
        <f>_xll.xSPRDOPT(BW74,BV74,CG74,0,BY74,BX74,BZ74,AJ74,1,1)*CB74</f>
        <v>0.73732706876650966</v>
      </c>
      <c r="BN74" s="137">
        <f>IF(AH74&lt;&gt;0,_xll.xSPRDOPT($BW74,$BV74,$CG74,2*LN(1+CA74/2),$BY74,$BX74,$BZ74,$AJ74,1,8)+(AJ74/365.25)*CH74/AH74,0)</f>
        <v>2.7282074337937834E-2</v>
      </c>
      <c r="BO74" s="137">
        <f>_xll.xSPRDOPT($BW74,$BV74,$CG74,0,$BY74,$BX74,$BZ74,$AJ74,1,0)</f>
        <v>0.13537116188738568</v>
      </c>
      <c r="BP74" s="137"/>
      <c r="BQ74" s="137"/>
      <c r="BR74" s="137"/>
      <c r="BS74" s="137"/>
      <c r="BV74" s="262">
        <v>3.3050075872534146</v>
      </c>
      <c r="BW74" s="136">
        <v>3.4370000000000003</v>
      </c>
      <c r="BX74" s="137">
        <v>0.24777576676848015</v>
      </c>
      <c r="BY74" s="137">
        <v>0.24869429855629366</v>
      </c>
      <c r="BZ74" s="137">
        <v>0.99858516591624324</v>
      </c>
      <c r="CA74" s="137">
        <v>5.1371017405212001E-2</v>
      </c>
      <c r="CB74" s="137">
        <v>0.79931697192961793</v>
      </c>
      <c r="CC74" s="258">
        <v>-0.09</v>
      </c>
      <c r="CD74" s="258">
        <v>0</v>
      </c>
      <c r="CE74" s="258">
        <v>0.04</v>
      </c>
      <c r="CF74" s="258">
        <v>0.04</v>
      </c>
      <c r="CG74" s="258">
        <v>0</v>
      </c>
      <c r="CH74" s="258">
        <v>3.545850019176978</v>
      </c>
      <c r="CI74" s="258">
        <v>3.3570000000000002</v>
      </c>
      <c r="CJ74" s="258"/>
      <c r="CK74" s="258"/>
      <c r="CL74" s="258"/>
      <c r="CM74" s="258"/>
    </row>
    <row r="75" spans="1:91" x14ac:dyDescent="0.25">
      <c r="A75" s="723"/>
      <c r="B75" s="723"/>
      <c r="D75" s="31">
        <f t="shared" si="68"/>
        <v>38883</v>
      </c>
      <c r="F75" s="28">
        <f t="shared" si="52"/>
        <v>60000</v>
      </c>
      <c r="G75" s="28">
        <f t="shared" si="13"/>
        <v>47705.53154863057</v>
      </c>
      <c r="H75" s="52">
        <f t="shared" si="53"/>
        <v>3.3404147698533131</v>
      </c>
      <c r="I75" s="52">
        <f t="shared" si="54"/>
        <v>3.472</v>
      </c>
      <c r="K75" s="52">
        <f t="shared" si="43"/>
        <v>3.1386716740482927</v>
      </c>
      <c r="L75" s="135">
        <f t="shared" si="44"/>
        <v>7.9439159149099492E-2</v>
      </c>
      <c r="N75" s="131">
        <f t="shared" si="45"/>
        <v>0.2500930627639058</v>
      </c>
      <c r="O75" s="131">
        <f t="shared" si="46"/>
        <v>0.25095908449170745</v>
      </c>
      <c r="P75" s="55">
        <f t="shared" si="47"/>
        <v>0.99867782697783536</v>
      </c>
      <c r="Q75" s="135">
        <f>_xll.xSPRDOPT(I75,H75,AQ75,0,O75,N75,P75,D75-$G$5,1,0)*AH75*AU75</f>
        <v>3.2181108331973922</v>
      </c>
      <c r="R75" s="135"/>
      <c r="S75" s="181">
        <f>_xll.xSPRDOPT(I75,H75,AQ75,AT75,O75,N75,P75,D75-$G$5,1,2)*AF75*(F75/(1-AR75))*AH75</f>
        <v>-1326543.0073556073</v>
      </c>
      <c r="T75" s="181">
        <f>_xll.xSPRDOPT(I75,H75,AQ75,AT75,O75,N75,P75,D75-$G$5,1,1)*AF75*F75*AH75</f>
        <v>1317039.9592446864</v>
      </c>
      <c r="U75" s="135"/>
      <c r="V75" s="146">
        <f t="shared" si="55"/>
        <v>3.4133307823045178</v>
      </c>
      <c r="W75" s="146"/>
      <c r="X75" s="338">
        <f t="shared" si="56"/>
        <v>0</v>
      </c>
      <c r="Y75" s="338">
        <f t="shared" si="18"/>
        <v>0</v>
      </c>
      <c r="Z75" s="338">
        <f t="shared" si="19"/>
        <v>62.989645520586883</v>
      </c>
      <c r="AA75" s="338">
        <f t="shared" si="20"/>
        <v>0.58704711745997795</v>
      </c>
      <c r="AB75" s="338">
        <f t="shared" si="57"/>
        <v>0</v>
      </c>
      <c r="AC75" s="338">
        <f t="shared" si="58"/>
        <v>81.947300362162622</v>
      </c>
      <c r="AF75" s="138">
        <f t="shared" si="59"/>
        <v>1</v>
      </c>
      <c r="AG75" s="138">
        <f t="shared" si="60"/>
        <v>6</v>
      </c>
      <c r="AH75" s="138">
        <f t="shared" si="61"/>
        <v>30</v>
      </c>
      <c r="AI75" s="138">
        <f t="shared" si="69"/>
        <v>1627</v>
      </c>
      <c r="AJ75" s="138">
        <f t="shared" si="62"/>
        <v>1644</v>
      </c>
      <c r="AL75" s="136">
        <f t="shared" si="27"/>
        <v>3.3919999999999999</v>
      </c>
      <c r="AM75" s="258">
        <f t="shared" si="49"/>
        <v>-0.09</v>
      </c>
      <c r="AN75" s="258">
        <f t="shared" si="28"/>
        <v>0</v>
      </c>
      <c r="AO75" s="258">
        <f t="shared" si="29"/>
        <v>0.04</v>
      </c>
      <c r="AP75" s="258">
        <f t="shared" si="30"/>
        <v>0.04</v>
      </c>
      <c r="AQ75" s="136">
        <f t="shared" si="63"/>
        <v>0</v>
      </c>
      <c r="AR75" s="137">
        <f t="shared" si="32"/>
        <v>1.15E-2</v>
      </c>
      <c r="AS75" s="136">
        <f t="shared" si="50"/>
        <v>3.302</v>
      </c>
      <c r="AT75" s="137">
        <f t="shared" si="64"/>
        <v>5.1693198008315698E-2</v>
      </c>
      <c r="AU75" s="137">
        <f t="shared" si="34"/>
        <v>0.79509219247717622</v>
      </c>
      <c r="AV75" s="394">
        <f t="shared" si="51"/>
        <v>16649.230510472069</v>
      </c>
      <c r="AW75" s="137">
        <f t="shared" si="35"/>
        <v>0.2475</v>
      </c>
      <c r="AX75" s="137">
        <f t="shared" si="36"/>
        <v>0.45</v>
      </c>
      <c r="AY75" s="137">
        <f t="shared" si="37"/>
        <v>0.5</v>
      </c>
      <c r="AZ75" s="137"/>
      <c r="BA75" s="264"/>
      <c r="BB75" s="258">
        <f t="shared" si="38"/>
        <v>0</v>
      </c>
      <c r="BC75" s="258">
        <f t="shared" si="65"/>
        <v>0</v>
      </c>
      <c r="BD75" s="137">
        <f t="shared" si="66"/>
        <v>4.7045180826543742E-6</v>
      </c>
      <c r="BE75" s="137">
        <f t="shared" si="67"/>
        <v>6.2649634556266598E-6</v>
      </c>
      <c r="BF75" s="137">
        <f>_xll.xSPRDOPT($BW75,$BV75,$CG75,0,$BY75,$BX75,$BZ75,$AJ75,1,4)*$CB75</f>
        <v>1.3052589595641964</v>
      </c>
      <c r="BG75" s="137">
        <f>_xll.xSPRDOPT($BW75,$BV75,$CG75,0,$BY75,$BX75,$BZ75,$AJ75,1,3)*$CB75</f>
        <v>1.2081977299970297</v>
      </c>
      <c r="BH75" s="137">
        <f>IF(OR(BF75&lt;&gt;0,BG75&lt;&gt;0),_xll.xSPRDOPT($BW75,$BV75,$CG75,0,$BY75,$BX75,$BZ75,$AJ75,1,12)*$CB75,0)</f>
        <v>-1.2557928521413395</v>
      </c>
      <c r="BI75" s="137">
        <f>_xll.xSPRDOPT($BW75,$BV75,$CG75,2*LN(1+CA75/2),$BY75,$BX75,$BZ75,$AJ75,1,9)</f>
        <v>4.2605496345174739E-3</v>
      </c>
      <c r="BJ75" s="137">
        <f>_xll.xSPRDOPT($BW75,$BV75,$CG75,0,$BY75,$BX75,$BZ75,$AJ75,1,6)*$CB75</f>
        <v>-3.4955789160001464E-2</v>
      </c>
      <c r="BK75" s="137">
        <f>_xll.xSPRDOPT($BW75,$BV75,$CG75,0,$BY75,$BX75,$BZ75,$AJ75,1,5)*$CB75</f>
        <v>7.8306510987520936E-2</v>
      </c>
      <c r="BL75" s="137">
        <f>_xll.xSPRDOPT(BW75,BV75,CG75,0,BY75,BX75,BZ75,AJ75,1,2)*CB75</f>
        <v>-0.73033961148340232</v>
      </c>
      <c r="BM75" s="137">
        <f>_xll.xSPRDOPT(BW75,BV75,CG75,0,BY75,BX75,BZ75,AJ75,1,1)*CB75</f>
        <v>0.733543381535116</v>
      </c>
      <c r="BN75" s="137">
        <f>IF(AH75&lt;&gt;0,_xll.xSPRDOPT($BW75,$BV75,$CG75,2*LN(1+CA75/2),$BY75,$BX75,$BZ75,$AJ75,1,8)+(AJ75/365.25)*CH75/AH75,0)</f>
        <v>2.9277370768416355E-2</v>
      </c>
      <c r="BO75" s="137">
        <f>_xll.xSPRDOPT($BW75,$BV75,$CG75,0,$BY75,$BX75,$BZ75,$AJ75,1,0)</f>
        <v>0.13491563391123765</v>
      </c>
      <c r="BP75" s="137"/>
      <c r="BQ75" s="137"/>
      <c r="BR75" s="137"/>
      <c r="BS75" s="137"/>
      <c r="BV75" s="262">
        <v>3.3404147698533131</v>
      </c>
      <c r="BW75" s="136">
        <v>3.472</v>
      </c>
      <c r="BX75" s="137">
        <v>0.25008835824582315</v>
      </c>
      <c r="BY75" s="137">
        <v>0.25095281952825182</v>
      </c>
      <c r="BZ75" s="137">
        <v>0.99868016984473462</v>
      </c>
      <c r="CA75" s="137">
        <v>5.1693198008315698E-2</v>
      </c>
      <c r="CB75" s="137">
        <v>0.79475896722761941</v>
      </c>
      <c r="CC75" s="258">
        <v>-0.09</v>
      </c>
      <c r="CD75" s="258">
        <v>0</v>
      </c>
      <c r="CE75" s="258">
        <v>0.04</v>
      </c>
      <c r="CF75" s="258">
        <v>0.04</v>
      </c>
      <c r="CG75" s="258">
        <v>0</v>
      </c>
      <c r="CH75" s="258">
        <v>3.41190024630817</v>
      </c>
      <c r="CI75" s="258">
        <v>3.3919999999999999</v>
      </c>
      <c r="CJ75" s="258"/>
      <c r="CK75" s="258"/>
      <c r="CL75" s="258"/>
      <c r="CM75" s="258"/>
    </row>
    <row r="76" spans="1:91" x14ac:dyDescent="0.25">
      <c r="A76" s="723"/>
      <c r="B76" s="723"/>
      <c r="D76" s="31">
        <f t="shared" si="68"/>
        <v>38913</v>
      </c>
      <c r="F76" s="28">
        <f t="shared" si="52"/>
        <v>60000</v>
      </c>
      <c r="G76" s="28">
        <f t="shared" si="13"/>
        <v>47439.968153446353</v>
      </c>
      <c r="H76" s="52">
        <f t="shared" si="53"/>
        <v>3.3808801213960544</v>
      </c>
      <c r="I76" s="52">
        <f t="shared" si="54"/>
        <v>3.512</v>
      </c>
      <c r="K76" s="52">
        <f t="shared" si="43"/>
        <v>3.2138334803817137</v>
      </c>
      <c r="L76" s="135">
        <f t="shared" si="44"/>
        <v>0.12892897281021121</v>
      </c>
      <c r="N76" s="131">
        <f t="shared" si="45"/>
        <v>0.25100885381510452</v>
      </c>
      <c r="O76" s="131">
        <f t="shared" si="46"/>
        <v>0.25197617303779796</v>
      </c>
      <c r="P76" s="55">
        <f t="shared" si="47"/>
        <v>0.99841391817929226</v>
      </c>
      <c r="Q76" s="135">
        <f>_xll.xSPRDOPT(I76,H76,AQ76,0,O76,N76,P76,D76-$G$5,1,0)*AH76*AU76</f>
        <v>3.3427624531919249</v>
      </c>
      <c r="R76" s="135"/>
      <c r="S76" s="181">
        <f>_xll.xSPRDOPT(I76,H76,AQ76,AT76,O76,N76,P76,D76-$G$5,1,2)*AF76*(F76/(1-AR76))*AH76</f>
        <v>-1323197.315674711</v>
      </c>
      <c r="T76" s="181">
        <f>_xll.xSPRDOPT(I76,H76,AQ76,AT76,O76,N76,P76,D76-$G$5,1,1)*AF76*F76*AH76</f>
        <v>1316082.6388826654</v>
      </c>
      <c r="U76" s="135"/>
      <c r="V76" s="146">
        <f t="shared" si="55"/>
        <v>3.5074740454250555</v>
      </c>
      <c r="W76" s="146"/>
      <c r="X76" s="338">
        <f t="shared" si="56"/>
        <v>0</v>
      </c>
      <c r="Y76" s="338">
        <f t="shared" si="18"/>
        <v>0</v>
      </c>
      <c r="Z76" s="338">
        <f t="shared" si="19"/>
        <v>59.461907662730226</v>
      </c>
      <c r="AA76" s="338">
        <f t="shared" si="20"/>
        <v>1.0143077024119174</v>
      </c>
      <c r="AB76" s="338">
        <f t="shared" si="57"/>
        <v>0</v>
      </c>
      <c r="AC76" s="338">
        <f t="shared" si="58"/>
        <v>85.634682108280444</v>
      </c>
      <c r="AF76" s="138">
        <f t="shared" si="59"/>
        <v>1</v>
      </c>
      <c r="AG76" s="138">
        <f t="shared" si="60"/>
        <v>7</v>
      </c>
      <c r="AH76" s="138">
        <f t="shared" si="61"/>
        <v>31</v>
      </c>
      <c r="AI76" s="138">
        <f t="shared" si="69"/>
        <v>1657</v>
      </c>
      <c r="AJ76" s="138">
        <f t="shared" si="62"/>
        <v>1674</v>
      </c>
      <c r="AL76" s="136">
        <f t="shared" si="27"/>
        <v>3.4319999999999999</v>
      </c>
      <c r="AM76" s="258">
        <f t="shared" si="49"/>
        <v>-0.09</v>
      </c>
      <c r="AN76" s="258">
        <f t="shared" si="28"/>
        <v>0</v>
      </c>
      <c r="AO76" s="258">
        <f t="shared" si="29"/>
        <v>0.04</v>
      </c>
      <c r="AP76" s="258">
        <f t="shared" si="30"/>
        <v>0.04</v>
      </c>
      <c r="AQ76" s="136">
        <f t="shared" si="63"/>
        <v>0</v>
      </c>
      <c r="AR76" s="137">
        <f t="shared" si="32"/>
        <v>1.15E-2</v>
      </c>
      <c r="AS76" s="136">
        <f t="shared" si="50"/>
        <v>3.3420000000000001</v>
      </c>
      <c r="AT76" s="137">
        <f t="shared" si="64"/>
        <v>5.2004985721710598E-2</v>
      </c>
      <c r="AU76" s="137">
        <f t="shared" si="34"/>
        <v>0.7906661358907725</v>
      </c>
      <c r="AV76" s="394">
        <f t="shared" si="51"/>
        <v>17108.433848404537</v>
      </c>
      <c r="AW76" s="137">
        <f t="shared" si="35"/>
        <v>0.2475</v>
      </c>
      <c r="AX76" s="137">
        <f t="shared" si="36"/>
        <v>0.5</v>
      </c>
      <c r="AY76" s="137">
        <f t="shared" si="37"/>
        <v>0.55000000000000004</v>
      </c>
      <c r="AZ76" s="137"/>
      <c r="BA76" s="264"/>
      <c r="BB76" s="258">
        <f t="shared" si="38"/>
        <v>0</v>
      </c>
      <c r="BC76" s="258">
        <f t="shared" si="65"/>
        <v>0</v>
      </c>
      <c r="BD76" s="137">
        <f t="shared" si="66"/>
        <v>6.2388038960525805E-6</v>
      </c>
      <c r="BE76" s="137">
        <f t="shared" si="67"/>
        <v>7.94357205469165E-6</v>
      </c>
      <c r="BF76" s="137">
        <f>_xll.xSPRDOPT($BW76,$BV76,$CG76,0,$BY76,$BX76,$BZ76,$AJ76,1,4)*$CB76</f>
        <v>1.4275267894883801</v>
      </c>
      <c r="BG76" s="137">
        <f>_xll.xSPRDOPT($BW76,$BV76,$CG76,0,$BY76,$BX76,$BZ76,$AJ76,1,3)*$CB76</f>
        <v>1.3229236239869215</v>
      </c>
      <c r="BH76" s="137">
        <f>IF(OR(BF76&lt;&gt;0,BG76&lt;&gt;0),_xll.xSPRDOPT($BW76,$BV76,$CG76,0,$BY76,$BX76,$BZ76,$AJ76,1,12)*$CB76,0)</f>
        <v>-1.3742302567556102</v>
      </c>
      <c r="BI76" s="137">
        <f>_xll.xSPRDOPT($BW76,$BV76,$CG76,2*LN(1+CA76/2),$BY76,$BX76,$BZ76,$AJ76,1,9)</f>
        <v>3.8921974505039814E-3</v>
      </c>
      <c r="BJ76" s="137">
        <f>_xll.xSPRDOPT($BW76,$BV76,$CG76,0,$BY76,$BX76,$BZ76,$AJ76,1,6)*$CB76</f>
        <v>-4.2376946242078363E-2</v>
      </c>
      <c r="BK76" s="137">
        <f>_xll.xSPRDOPT($BW76,$BV76,$CG76,0,$BY76,$BX76,$BZ76,$AJ76,1,5)*$CB76</f>
        <v>0.10193250259075765</v>
      </c>
      <c r="BL76" s="137">
        <f>_xll.xSPRDOPT(BW76,BV76,CG76,0,BY76,BX76,BZ76,AJ76,1,2)*CB76</f>
        <v>-0.70505931506493424</v>
      </c>
      <c r="BM76" s="137">
        <f>_xll.xSPRDOPT(BW76,BV76,CG76,0,BY76,BX76,BZ76,AJ76,1,1)*CB76</f>
        <v>0.70942671081217168</v>
      </c>
      <c r="BN76" s="137">
        <f>IF(AH76&lt;&gt;0,_xll.xSPRDOPT($BW76,$BV76,$CG76,2*LN(1+CA76/2),$BY76,$BX76,$BZ76,$AJ76,1,8)+(AJ76/365.25)*CH76/AH76,0)</f>
        <v>2.4341289191699089E-2</v>
      </c>
      <c r="BO76" s="137">
        <f>_xll.xSPRDOPT($BW76,$BV76,$CG76,0,$BY76,$BX76,$BZ76,$AJ76,1,0)</f>
        <v>0.13638001436274988</v>
      </c>
      <c r="BP76" s="137"/>
      <c r="BQ76" s="137"/>
      <c r="BR76" s="137"/>
      <c r="BS76" s="137"/>
      <c r="BV76" s="262">
        <v>3.3808801213960544</v>
      </c>
      <c r="BW76" s="136">
        <v>3.512</v>
      </c>
      <c r="BX76" s="137">
        <v>0.25100261501120846</v>
      </c>
      <c r="BY76" s="137">
        <v>0.25196822946574327</v>
      </c>
      <c r="BZ76" s="137">
        <v>0.99841665600222596</v>
      </c>
      <c r="CA76" s="137">
        <v>5.2004985721710598E-2</v>
      </c>
      <c r="CB76" s="137">
        <v>0.79033279280378232</v>
      </c>
      <c r="CC76" s="258">
        <v>-0.09</v>
      </c>
      <c r="CD76" s="258">
        <v>0</v>
      </c>
      <c r="CE76" s="258">
        <v>0.04</v>
      </c>
      <c r="CF76" s="258">
        <v>0.04</v>
      </c>
      <c r="CG76" s="258">
        <v>0</v>
      </c>
      <c r="CH76" s="258">
        <v>3.5059953021568586</v>
      </c>
      <c r="CI76" s="258">
        <v>3.4319999999999999</v>
      </c>
      <c r="CJ76" s="258"/>
      <c r="CK76" s="258"/>
      <c r="CL76" s="258"/>
      <c r="CM76" s="258"/>
    </row>
    <row r="77" spans="1:91" x14ac:dyDescent="0.25">
      <c r="A77" s="723"/>
      <c r="B77" s="723"/>
      <c r="D77" s="31">
        <f t="shared" si="68"/>
        <v>38944</v>
      </c>
      <c r="F77" s="28">
        <f t="shared" si="52"/>
        <v>60000</v>
      </c>
      <c r="G77" s="28">
        <f t="shared" si="13"/>
        <v>47164.642531803001</v>
      </c>
      <c r="H77" s="52">
        <f t="shared" si="53"/>
        <v>3.4213454729387962</v>
      </c>
      <c r="I77" s="52">
        <f t="shared" si="54"/>
        <v>3.552</v>
      </c>
      <c r="K77" s="52">
        <f t="shared" si="43"/>
        <v>3.1838415997351217</v>
      </c>
      <c r="L77" s="135">
        <f t="shared" si="44"/>
        <v>0.17820308177598276</v>
      </c>
      <c r="N77" s="131">
        <f t="shared" si="45"/>
        <v>0.25189542698197026</v>
      </c>
      <c r="O77" s="131">
        <f t="shared" si="46"/>
        <v>0.2529317965172882</v>
      </c>
      <c r="P77" s="55">
        <f t="shared" si="47"/>
        <v>0.99818043056232097</v>
      </c>
      <c r="Q77" s="135">
        <f>_xll.xSPRDOPT(I77,H77,AQ77,0,O77,N77,P77,D77-$G$5,1,0)*AH77*AU77</f>
        <v>3.3620446815111045</v>
      </c>
      <c r="R77" s="135"/>
      <c r="S77" s="181">
        <f>_xll.xSPRDOPT(I77,H77,AQ77,AT77,O77,N77,P77,D77-$G$5,1,2)*AF77*(F77/(1-AR77))*AH77</f>
        <v>-1281133.5304238081</v>
      </c>
      <c r="T77" s="181">
        <f>_xll.xSPRDOPT(I77,H77,AQ77,AT77,O77,N77,P77,D77-$G$5,1,1)*AF77*F77*AH77</f>
        <v>1276431.5306938579</v>
      </c>
      <c r="U77" s="135"/>
      <c r="V77" s="146">
        <f t="shared" si="55"/>
        <v>3.487117845588855</v>
      </c>
      <c r="W77" s="146"/>
      <c r="X77" s="338">
        <f t="shared" si="56"/>
        <v>0</v>
      </c>
      <c r="Y77" s="338">
        <f t="shared" si="18"/>
        <v>0</v>
      </c>
      <c r="Z77" s="338">
        <f t="shared" si="19"/>
        <v>54.704612166862425</v>
      </c>
      <c r="AA77" s="338">
        <f t="shared" si="20"/>
        <v>1.4610344091982783</v>
      </c>
      <c r="AB77" s="338">
        <f t="shared" si="57"/>
        <v>0</v>
      </c>
      <c r="AC77" s="338">
        <f t="shared" si="58"/>
        <v>86.66201470302957</v>
      </c>
      <c r="AF77" s="138">
        <f t="shared" si="59"/>
        <v>1</v>
      </c>
      <c r="AG77" s="138">
        <f t="shared" si="60"/>
        <v>8</v>
      </c>
      <c r="AH77" s="138">
        <f t="shared" si="61"/>
        <v>31</v>
      </c>
      <c r="AI77" s="138">
        <f t="shared" si="69"/>
        <v>1688</v>
      </c>
      <c r="AJ77" s="138">
        <f t="shared" si="62"/>
        <v>1705</v>
      </c>
      <c r="AL77" s="136">
        <f t="shared" si="27"/>
        <v>3.472</v>
      </c>
      <c r="AM77" s="258">
        <f t="shared" si="49"/>
        <v>-0.09</v>
      </c>
      <c r="AN77" s="258">
        <f t="shared" si="28"/>
        <v>0</v>
      </c>
      <c r="AO77" s="258">
        <f t="shared" si="29"/>
        <v>0.04</v>
      </c>
      <c r="AP77" s="258">
        <f t="shared" si="30"/>
        <v>0.04</v>
      </c>
      <c r="AQ77" s="136">
        <f t="shared" si="63"/>
        <v>0</v>
      </c>
      <c r="AR77" s="137">
        <f t="shared" si="32"/>
        <v>1.15E-2</v>
      </c>
      <c r="AS77" s="136">
        <f t="shared" si="50"/>
        <v>3.3820000000000001</v>
      </c>
      <c r="AT77" s="137">
        <f t="shared" si="64"/>
        <v>5.2327166392949202E-2</v>
      </c>
      <c r="AU77" s="137">
        <f t="shared" si="34"/>
        <v>0.78607737553005008</v>
      </c>
      <c r="AV77" s="394">
        <f t="shared" si="51"/>
        <v>17009.142251719222</v>
      </c>
      <c r="AW77" s="137">
        <f t="shared" si="35"/>
        <v>0.2475</v>
      </c>
      <c r="AX77" s="137">
        <f t="shared" si="36"/>
        <v>0.55000000000000004</v>
      </c>
      <c r="AY77" s="137">
        <f t="shared" si="37"/>
        <v>0.6</v>
      </c>
      <c r="AZ77" s="137"/>
      <c r="BA77" s="264"/>
      <c r="BB77" s="258">
        <f t="shared" si="38"/>
        <v>0</v>
      </c>
      <c r="BC77" s="258">
        <f t="shared" si="65"/>
        <v>0</v>
      </c>
      <c r="BD77" s="137">
        <f t="shared" si="66"/>
        <v>7.659790955905077E-6</v>
      </c>
      <c r="BE77" s="137">
        <f t="shared" si="67"/>
        <v>9.4466545992322182E-6</v>
      </c>
      <c r="BF77" s="137">
        <f>_xll.xSPRDOPT($BW77,$BV77,$CG77,0,$BY77,$BX77,$BZ77,$AJ77,1,4)*$CB77</f>
        <v>1.4835038057619652</v>
      </c>
      <c r="BG77" s="137">
        <f>_xll.xSPRDOPT($BW77,$BV77,$CG77,0,$BY77,$BX77,$BZ77,$AJ77,1,3)*$CB77</f>
        <v>1.3763743964470643</v>
      </c>
      <c r="BH77" s="137">
        <f>IF(OR(BF77&lt;&gt;0,BG77&lt;&gt;0),_xll.xSPRDOPT($BW77,$BV77,$CG77,0,$BY77,$BX77,$BZ77,$AJ77,1,12)*$CB77,0)</f>
        <v>-1.4289340612613719</v>
      </c>
      <c r="BI77" s="137">
        <f>_xll.xSPRDOPT($BW77,$BV77,$CG77,2*LN(1+CA77/2),$BY77,$BX77,$BZ77,$AJ77,1,9)</f>
        <v>3.5807992103846775E-3</v>
      </c>
      <c r="BJ77" s="137">
        <f>_xll.xSPRDOPT($BW77,$BV77,$CG77,0,$BY77,$BX77,$BZ77,$AJ77,1,6)*$CB77</f>
        <v>-4.6623258220290405E-2</v>
      </c>
      <c r="BK77" s="137">
        <f>_xll.xSPRDOPT($BW77,$BV77,$CG77,0,$BY77,$BX77,$BZ77,$AJ77,1,5)*$CB77</f>
        <v>0.12095570661387195</v>
      </c>
      <c r="BL77" s="137">
        <f>_xll.xSPRDOPT(BW77,BV77,CG77,0,BY77,BX77,BZ77,AJ77,1,2)*CB77</f>
        <v>-0.68270862697053625</v>
      </c>
      <c r="BM77" s="137">
        <f>_xll.xSPRDOPT(BW77,BV77,CG77,0,BY77,BX77,BZ77,AJ77,1,1)*CB77</f>
        <v>0.68811630678298041</v>
      </c>
      <c r="BN77" s="137">
        <f>IF(AH77&lt;&gt;0,_xll.xSPRDOPT($BW77,$BV77,$CG77,2*LN(1+CA77/2),$BY77,$BX77,$BZ77,$AJ77,1,8)+(AJ77/365.25)*CH77/AH77,0)</f>
        <v>1.8825684393911635E-2</v>
      </c>
      <c r="BO77" s="137">
        <f>_xll.xSPRDOPT($BW77,$BV77,$CG77,0,$BY77,$BX77,$BZ77,$AJ77,1,0)</f>
        <v>0.13796742180823976</v>
      </c>
      <c r="BP77" s="137"/>
      <c r="BQ77" s="137"/>
      <c r="BR77" s="137"/>
      <c r="BS77" s="137"/>
      <c r="BV77" s="262">
        <v>3.4213454729387962</v>
      </c>
      <c r="BW77" s="136">
        <v>3.552</v>
      </c>
      <c r="BX77" s="137">
        <v>0.25188776719101436</v>
      </c>
      <c r="BY77" s="137">
        <v>0.25292234986268897</v>
      </c>
      <c r="BZ77" s="137">
        <v>0.99818349203438816</v>
      </c>
      <c r="CA77" s="137">
        <v>5.2327166392949202E-2</v>
      </c>
      <c r="CB77" s="137">
        <v>0.78574394063357444</v>
      </c>
      <c r="CC77" s="258">
        <v>-0.09</v>
      </c>
      <c r="CD77" s="258">
        <v>0</v>
      </c>
      <c r="CE77" s="258">
        <v>0.04</v>
      </c>
      <c r="CF77" s="258">
        <v>0.04</v>
      </c>
      <c r="CG77" s="258">
        <v>0</v>
      </c>
      <c r="CH77" s="258">
        <v>3.4856386950445994</v>
      </c>
      <c r="CI77" s="258">
        <v>3.472</v>
      </c>
      <c r="CJ77" s="258"/>
      <c r="CK77" s="258"/>
      <c r="CL77" s="258"/>
      <c r="CM77" s="258"/>
    </row>
    <row r="78" spans="1:91" x14ac:dyDescent="0.25">
      <c r="A78" s="723"/>
      <c r="B78" s="723"/>
      <c r="D78" s="31">
        <f t="shared" si="68"/>
        <v>38975</v>
      </c>
      <c r="F78" s="28">
        <f t="shared" si="52"/>
        <v>60000</v>
      </c>
      <c r="G78" s="28">
        <f t="shared" si="13"/>
        <v>46888.426596312464</v>
      </c>
      <c r="H78" s="52">
        <f t="shared" si="53"/>
        <v>3.4162873039959534</v>
      </c>
      <c r="I78" s="52">
        <f t="shared" si="54"/>
        <v>3.5470000000000002</v>
      </c>
      <c r="K78" s="52">
        <f t="shared" si="43"/>
        <v>3.0644563258959261</v>
      </c>
      <c r="L78" s="135">
        <f t="shared" si="44"/>
        <v>0.16152992753862705</v>
      </c>
      <c r="N78" s="131">
        <f t="shared" si="45"/>
        <v>0.251680618344995</v>
      </c>
      <c r="O78" s="131">
        <f t="shared" si="46"/>
        <v>0.25266685278209666</v>
      </c>
      <c r="P78" s="55">
        <f t="shared" si="47"/>
        <v>0.99826642593904902</v>
      </c>
      <c r="Q78" s="135">
        <f>_xll.xSPRDOPT(I78,H78,AQ78,0,O78,N78,P78,D78-$G$5,1,0)*AH78*AU78</f>
        <v>3.2259862534345531</v>
      </c>
      <c r="R78" s="135"/>
      <c r="S78" s="181">
        <f>_xll.xSPRDOPT(I78,H78,AQ78,AT78,O78,N78,P78,D78-$G$5,1,2)*AF78*(F78/(1-AR78))*AH78</f>
        <v>-1238715.2139551612</v>
      </c>
      <c r="T78" s="181">
        <f>_xll.xSPRDOPT(I78,H78,AQ78,AT78,O78,N78,P78,D78-$G$5,1,1)*AF78*F78*AH78</f>
        <v>1233740.0520082498</v>
      </c>
      <c r="U78" s="135"/>
      <c r="V78" s="146">
        <f t="shared" si="55"/>
        <v>3.3548669229661567</v>
      </c>
      <c r="W78" s="146"/>
      <c r="X78" s="338">
        <f t="shared" si="56"/>
        <v>0</v>
      </c>
      <c r="Y78" s="338">
        <f t="shared" si="18"/>
        <v>0</v>
      </c>
      <c r="Z78" s="338">
        <f t="shared" si="19"/>
        <v>54.627814985693753</v>
      </c>
      <c r="AA78" s="338">
        <f t="shared" si="20"/>
        <v>1.2622804603821056</v>
      </c>
      <c r="AB78" s="338">
        <f t="shared" si="57"/>
        <v>0</v>
      </c>
      <c r="AC78" s="338">
        <f t="shared" si="58"/>
        <v>83.666662071138077</v>
      </c>
      <c r="AF78" s="138">
        <f t="shared" si="59"/>
        <v>1</v>
      </c>
      <c r="AG78" s="138">
        <f t="shared" si="60"/>
        <v>9</v>
      </c>
      <c r="AH78" s="138">
        <f t="shared" si="61"/>
        <v>30</v>
      </c>
      <c r="AI78" s="138">
        <f t="shared" si="69"/>
        <v>1719</v>
      </c>
      <c r="AJ78" s="138">
        <f t="shared" si="62"/>
        <v>1736</v>
      </c>
      <c r="AL78" s="136">
        <f t="shared" si="27"/>
        <v>3.4670000000000001</v>
      </c>
      <c r="AM78" s="258">
        <f t="shared" si="49"/>
        <v>-0.09</v>
      </c>
      <c r="AN78" s="258">
        <f t="shared" si="28"/>
        <v>0</v>
      </c>
      <c r="AO78" s="258">
        <f t="shared" si="29"/>
        <v>0.04</v>
      </c>
      <c r="AP78" s="258">
        <f t="shared" si="30"/>
        <v>0.04</v>
      </c>
      <c r="AQ78" s="136">
        <f t="shared" si="63"/>
        <v>0</v>
      </c>
      <c r="AR78" s="137">
        <f t="shared" si="32"/>
        <v>1.15E-2</v>
      </c>
      <c r="AS78" s="136">
        <f t="shared" si="50"/>
        <v>3.3770000000000002</v>
      </c>
      <c r="AT78" s="137">
        <f t="shared" si="64"/>
        <v>5.2649347098806303E-2</v>
      </c>
      <c r="AU78" s="137">
        <f t="shared" si="34"/>
        <v>0.78147377660520767</v>
      </c>
      <c r="AV78" s="394">
        <f t="shared" si="51"/>
        <v>16364.060882113048</v>
      </c>
      <c r="AW78" s="137">
        <f t="shared" si="35"/>
        <v>0.2475</v>
      </c>
      <c r="AX78" s="137">
        <f t="shared" si="36"/>
        <v>0.55000000000000004</v>
      </c>
      <c r="AY78" s="137">
        <f t="shared" si="37"/>
        <v>0.6</v>
      </c>
      <c r="AZ78" s="137"/>
      <c r="BA78" s="264"/>
      <c r="BB78" s="258">
        <f t="shared" si="38"/>
        <v>0</v>
      </c>
      <c r="BC78" s="258">
        <f t="shared" si="65"/>
        <v>0</v>
      </c>
      <c r="BD78" s="137">
        <f t="shared" si="66"/>
        <v>7.1605450768785772E-6</v>
      </c>
      <c r="BE78" s="137">
        <f t="shared" si="67"/>
        <v>8.8326649159697901E-6</v>
      </c>
      <c r="BF78" s="137">
        <f>_xll.xSPRDOPT($BW78,$BV78,$CG78,0,$BY78,$BX78,$BZ78,$AJ78,1,4)*$CB78</f>
        <v>1.4657977824552086</v>
      </c>
      <c r="BG78" s="137">
        <f>_xll.xSPRDOPT($BW78,$BV78,$CG78,0,$BY78,$BX78,$BZ78,$AJ78,1,3)*$CB78</f>
        <v>1.35975427488811</v>
      </c>
      <c r="BH78" s="137">
        <f>IF(OR(BF78&lt;&gt;0,BG78&lt;&gt;0),_xll.xSPRDOPT($BW78,$BV78,$CG78,0,$BY78,$BX78,$BZ78,$AJ78,1,12)*$CB78,0)</f>
        <v>-1.4117795129471631</v>
      </c>
      <c r="BI78" s="137">
        <f>_xll.xSPRDOPT($BW78,$BV78,$CG78,2*LN(1+CA78/2),$BY78,$BX78,$BZ78,$AJ78,1,9)</f>
        <v>3.6949647080601186E-3</v>
      </c>
      <c r="BJ78" s="137">
        <f>_xll.xSPRDOPT($BW78,$BV78,$CG78,0,$BY78,$BX78,$BZ78,$AJ78,1,6)*$CB78</f>
        <v>-4.4500200709464505E-2</v>
      </c>
      <c r="BK78" s="137">
        <f>_xll.xSPRDOPT($BW78,$BV78,$CG78,0,$BY78,$BX78,$BZ78,$AJ78,1,5)*$CB78</f>
        <v>0.1154705431766949</v>
      </c>
      <c r="BL78" s="137">
        <f>_xll.xSPRDOPT(BW78,BV78,CG78,0,BY78,BX78,BZ78,AJ78,1,2)*CB78</f>
        <v>-0.68217153901889582</v>
      </c>
      <c r="BM78" s="137">
        <f>_xll.xSPRDOPT(BW78,BV78,CG78,0,BY78,BX78,BZ78,AJ78,1,1)*CB78</f>
        <v>0.68733604404137938</v>
      </c>
      <c r="BN78" s="137">
        <f>IF(AH78&lt;&gt;0,_xll.xSPRDOPT($BW78,$BV78,$CG78,2*LN(1+CA78/2),$BY78,$BX78,$BZ78,$AJ78,1,8)+(AJ78/365.25)*CH78/AH78,0)</f>
        <v>2.0409846747738492E-2</v>
      </c>
      <c r="BO78" s="137">
        <f>_xll.xSPRDOPT($BW78,$BV78,$CG78,0,$BY78,$BX78,$BZ78,$AJ78,1,0)</f>
        <v>0.13760267751582955</v>
      </c>
      <c r="BP78" s="137"/>
      <c r="BQ78" s="137"/>
      <c r="BR78" s="137"/>
      <c r="BS78" s="137"/>
      <c r="BV78" s="262">
        <v>3.4162873039959534</v>
      </c>
      <c r="BW78" s="136">
        <v>3.5470000000000002</v>
      </c>
      <c r="BX78" s="137">
        <v>0.25167345779991812</v>
      </c>
      <c r="BY78" s="137">
        <v>0.25265802011718069</v>
      </c>
      <c r="BZ78" s="137">
        <v>0.99826929757992178</v>
      </c>
      <c r="CA78" s="137">
        <v>5.2649347098806303E-2</v>
      </c>
      <c r="CB78" s="137">
        <v>0.78114028021149551</v>
      </c>
      <c r="CC78" s="258">
        <v>-0.09</v>
      </c>
      <c r="CD78" s="258">
        <v>0</v>
      </c>
      <c r="CE78" s="258">
        <v>0.04</v>
      </c>
      <c r="CF78" s="258">
        <v>0.04</v>
      </c>
      <c r="CG78" s="258">
        <v>0</v>
      </c>
      <c r="CH78" s="258">
        <v>3.3534352229479505</v>
      </c>
      <c r="CI78" s="258">
        <v>3.4670000000000001</v>
      </c>
      <c r="CJ78" s="258"/>
      <c r="CK78" s="258"/>
      <c r="CL78" s="258"/>
      <c r="CM78" s="258"/>
    </row>
    <row r="79" spans="1:91" x14ac:dyDescent="0.25">
      <c r="A79" s="723"/>
      <c r="B79" s="723"/>
      <c r="D79" s="31">
        <f t="shared" si="68"/>
        <v>39005</v>
      </c>
      <c r="F79" s="28">
        <f t="shared" si="52"/>
        <v>60000</v>
      </c>
      <c r="G79" s="28">
        <f t="shared" si="13"/>
        <v>46620.306143929425</v>
      </c>
      <c r="H79" s="52">
        <f t="shared" si="53"/>
        <v>3.4415781487101671</v>
      </c>
      <c r="I79" s="52">
        <f t="shared" si="54"/>
        <v>3.5720000000000001</v>
      </c>
      <c r="K79" s="52">
        <f t="shared" si="43"/>
        <v>3.1414917614115256</v>
      </c>
      <c r="L79" s="135">
        <f t="shared" si="44"/>
        <v>0.27415640933172369</v>
      </c>
      <c r="N79" s="131">
        <f t="shared" si="45"/>
        <v>0.25274596357326584</v>
      </c>
      <c r="O79" s="131">
        <f t="shared" si="46"/>
        <v>0.25382975493137849</v>
      </c>
      <c r="P79" s="55">
        <f t="shared" si="47"/>
        <v>0.99770196545051149</v>
      </c>
      <c r="Q79" s="135">
        <f>_xll.xSPRDOPT(I79,H79,AQ79,0,O79,N79,P79,D79-$G$5,1,0)*AH79*AU79</f>
        <v>3.4156481707432493</v>
      </c>
      <c r="R79" s="135"/>
      <c r="S79" s="181">
        <f>_xll.xSPRDOPT(I79,H79,AQ79,AT79,O79,N79,P79,D79-$G$5,1,2)*AF79*(F79/(1-AR79))*AH79</f>
        <v>-1213472.8984671917</v>
      </c>
      <c r="T79" s="181">
        <f>_xll.xSPRDOPT(I79,H79,AQ79,AT79,O79,N79,P79,D79-$G$5,1,1)*AF79*F79*AH79</f>
        <v>1212904.0135857444</v>
      </c>
      <c r="U79" s="135"/>
      <c r="V79" s="146">
        <f t="shared" si="55"/>
        <v>3.4468723347514221</v>
      </c>
      <c r="W79" s="146"/>
      <c r="X79" s="338">
        <f t="shared" si="56"/>
        <v>0</v>
      </c>
      <c r="Y79" s="338">
        <f t="shared" si="18"/>
        <v>0</v>
      </c>
      <c r="Z79" s="338">
        <f t="shared" si="19"/>
        <v>47.977254414827833</v>
      </c>
      <c r="AA79" s="338">
        <f t="shared" si="20"/>
        <v>2.106695772631261</v>
      </c>
      <c r="AB79" s="338">
        <f t="shared" si="57"/>
        <v>0</v>
      </c>
      <c r="AC79" s="338">
        <f t="shared" si="58"/>
        <v>89.10997169201633</v>
      </c>
      <c r="AF79" s="138">
        <f t="shared" si="59"/>
        <v>1</v>
      </c>
      <c r="AG79" s="138">
        <f t="shared" si="60"/>
        <v>10</v>
      </c>
      <c r="AH79" s="138">
        <f t="shared" si="61"/>
        <v>31</v>
      </c>
      <c r="AI79" s="138">
        <f t="shared" si="69"/>
        <v>1749</v>
      </c>
      <c r="AJ79" s="138">
        <f t="shared" si="62"/>
        <v>1766</v>
      </c>
      <c r="AL79" s="136">
        <f t="shared" si="27"/>
        <v>3.492</v>
      </c>
      <c r="AM79" s="258">
        <f t="shared" si="49"/>
        <v>-0.09</v>
      </c>
      <c r="AN79" s="258">
        <f t="shared" si="28"/>
        <v>0</v>
      </c>
      <c r="AO79" s="258">
        <f t="shared" si="29"/>
        <v>0.04</v>
      </c>
      <c r="AP79" s="258">
        <f t="shared" si="30"/>
        <v>0.04</v>
      </c>
      <c r="AQ79" s="136">
        <f t="shared" si="63"/>
        <v>0</v>
      </c>
      <c r="AR79" s="137">
        <f t="shared" si="32"/>
        <v>1.15E-2</v>
      </c>
      <c r="AS79" s="136">
        <f t="shared" si="50"/>
        <v>3.4020000000000001</v>
      </c>
      <c r="AT79" s="137">
        <f t="shared" si="64"/>
        <v>5.2961134911624401E-2</v>
      </c>
      <c r="AU79" s="137">
        <f t="shared" si="34"/>
        <v>0.77700510239882381</v>
      </c>
      <c r="AV79" s="394">
        <f t="shared" si="51"/>
        <v>16812.836405705748</v>
      </c>
      <c r="AW79" s="137">
        <f t="shared" si="35"/>
        <v>0.2475</v>
      </c>
      <c r="AX79" s="137">
        <f t="shared" si="36"/>
        <v>0.6</v>
      </c>
      <c r="AY79" s="137">
        <f t="shared" si="37"/>
        <v>0.65</v>
      </c>
      <c r="AZ79" s="137"/>
      <c r="BA79" s="264"/>
      <c r="BB79" s="258">
        <f t="shared" si="38"/>
        <v>0</v>
      </c>
      <c r="BC79" s="258">
        <f t="shared" si="65"/>
        <v>0</v>
      </c>
      <c r="BD79" s="137">
        <f t="shared" si="66"/>
        <v>8.8117880494009704E-6</v>
      </c>
      <c r="BE79" s="137">
        <f t="shared" si="67"/>
        <v>1.0609838181130371E-5</v>
      </c>
      <c r="BF79" s="137">
        <f>_xll.xSPRDOPT($BW79,$BV79,$CG79,0,$BY79,$BX79,$BZ79,$AJ79,1,4)*$CB79</f>
        <v>1.494993361878489</v>
      </c>
      <c r="BG79" s="137">
        <f>_xll.xSPRDOPT($BW79,$BV79,$CG79,0,$BY79,$BX79,$BZ79,$AJ79,1,3)*$CB79</f>
        <v>1.3878151094630544</v>
      </c>
      <c r="BH79" s="137">
        <f>IF(OR(BF79&lt;&gt;0,BG79&lt;&gt;0),_xll.xSPRDOPT($BW79,$BV79,$CG79,0,$BY79,$BX79,$BZ79,$AJ79,1,12)*$CB79,0)</f>
        <v>-1.440405377886316</v>
      </c>
      <c r="BI79" s="137">
        <f>_xll.xSPRDOPT($BW79,$BV79,$CG79,2*LN(1+CA79/2),$BY79,$BX79,$BZ79,$AJ79,1,9)</f>
        <v>3.1404466263469295E-3</v>
      </c>
      <c r="BJ79" s="137">
        <f>_xll.xSPRDOPT($BW79,$BV79,$CG79,0,$BY79,$BX79,$BZ79,$AJ79,1,6)*$CB79</f>
        <v>-4.2779516374972612E-2</v>
      </c>
      <c r="BK79" s="137">
        <f>_xll.xSPRDOPT($BW79,$BV79,$CG79,0,$BY79,$BX79,$BZ79,$AJ79,1,5)*$CB79</f>
        <v>0.14228267587155255</v>
      </c>
      <c r="BL79" s="137">
        <f>_xll.xSPRDOPT(BW79,BV79,CG79,0,BY79,BX79,BZ79,AJ79,1,2)*CB79</f>
        <v>-0.64677281256231889</v>
      </c>
      <c r="BM79" s="137">
        <f>_xll.xSPRDOPT(BW79,BV79,CG79,0,BY79,BX79,BZ79,AJ79,1,1)*CB79</f>
        <v>0.65399050326532004</v>
      </c>
      <c r="BN79" s="137">
        <f>IF(AH79&lt;&gt;0,_xll.xSPRDOPT($BW79,$BV79,$CG79,2*LN(1+CA79/2),$BY79,$BX79,$BZ79,$AJ79,1,8)+(AJ79/365.25)*CH79/AH79,0)</f>
        <v>4.8678284263307114E-3</v>
      </c>
      <c r="BO79" s="137">
        <f>_xll.xSPRDOPT($BW79,$BV79,$CG79,0,$BY79,$BX79,$BZ79,$AJ79,1,0)</f>
        <v>0.1418037243089941</v>
      </c>
      <c r="BP79" s="137"/>
      <c r="BQ79" s="137"/>
      <c r="BR79" s="137"/>
      <c r="BS79" s="137"/>
      <c r="BV79" s="262">
        <v>3.4415781487101671</v>
      </c>
      <c r="BW79" s="136">
        <v>3.5720000000000001</v>
      </c>
      <c r="BX79" s="137">
        <v>0.25273715178521644</v>
      </c>
      <c r="BY79" s="137">
        <v>0.25381914509319736</v>
      </c>
      <c r="BZ79" s="137">
        <v>0.99770567523438547</v>
      </c>
      <c r="CA79" s="137">
        <v>5.2961134911624401E-2</v>
      </c>
      <c r="CB79" s="137">
        <v>0.77667157521957753</v>
      </c>
      <c r="CC79" s="258">
        <v>-0.09</v>
      </c>
      <c r="CD79" s="258">
        <v>0</v>
      </c>
      <c r="CE79" s="258">
        <v>0.04</v>
      </c>
      <c r="CF79" s="258">
        <v>0.04</v>
      </c>
      <c r="CG79" s="258">
        <v>0</v>
      </c>
      <c r="CH79" s="258">
        <v>3.4453927748315678</v>
      </c>
      <c r="CI79" s="258">
        <v>3.492</v>
      </c>
      <c r="CJ79" s="258"/>
      <c r="CK79" s="258"/>
      <c r="CL79" s="258"/>
      <c r="CM79" s="258"/>
    </row>
    <row r="80" spans="1:91" x14ac:dyDescent="0.25">
      <c r="A80" s="723"/>
      <c r="B80" s="723"/>
      <c r="D80" s="31">
        <f t="shared" si="68"/>
        <v>39036</v>
      </c>
      <c r="F80" s="28">
        <f t="shared" si="52"/>
        <v>60000</v>
      </c>
      <c r="G80" s="28">
        <f t="shared" si="13"/>
        <v>46342.4404884838</v>
      </c>
      <c r="H80" s="52">
        <f t="shared" si="53"/>
        <v>3.7167425392008089</v>
      </c>
      <c r="I80" s="52">
        <f t="shared" si="54"/>
        <v>3.8090000000000002</v>
      </c>
      <c r="K80" s="52">
        <f t="shared" si="43"/>
        <v>2.1377179433525746</v>
      </c>
      <c r="L80" s="135">
        <f t="shared" si="44"/>
        <v>0.95807468745462643</v>
      </c>
      <c r="N80" s="131">
        <f t="shared" si="45"/>
        <v>0.2598329493345457</v>
      </c>
      <c r="O80" s="131">
        <f t="shared" si="46"/>
        <v>0.25708471122670462</v>
      </c>
      <c r="P80" s="55">
        <f t="shared" si="47"/>
        <v>0.99582816331660373</v>
      </c>
      <c r="Q80" s="135">
        <f>_xll.xSPRDOPT(I80,H80,AQ80,0,O80,N80,P80,D80-$G$5,1,0)*AH80*AU80</f>
        <v>3.095792630807201</v>
      </c>
      <c r="R80" s="135"/>
      <c r="S80" s="181">
        <f>_xll.xSPRDOPT(I80,H80,AQ80,AT80,O80,N80,P80,D80-$G$5,1,2)*AF80*(F80/(1-AR80))*AH80</f>
        <v>-938706.24496546795</v>
      </c>
      <c r="T80" s="181">
        <f>_xll.xSPRDOPT(I80,H80,AQ80,AT80,O80,N80,P80,D80-$G$5,1,1)*AF80*F80*AH80</f>
        <v>954034.92319251073</v>
      </c>
      <c r="U80" s="135"/>
      <c r="V80" s="146">
        <f t="shared" si="55"/>
        <v>3.3158016169510161</v>
      </c>
      <c r="W80" s="146"/>
      <c r="X80" s="338">
        <f t="shared" si="56"/>
        <v>0</v>
      </c>
      <c r="Y80" s="338">
        <f t="shared" si="18"/>
        <v>0</v>
      </c>
      <c r="Z80" s="338">
        <f t="shared" si="19"/>
        <v>-2.079689746343734</v>
      </c>
      <c r="AA80" s="338">
        <f t="shared" si="20"/>
        <v>8.8361337572748067</v>
      </c>
      <c r="AB80" s="338">
        <f t="shared" si="57"/>
        <v>0</v>
      </c>
      <c r="AC80" s="338">
        <f t="shared" si="58"/>
        <v>81.256462769836631</v>
      </c>
      <c r="AF80" s="138">
        <f t="shared" si="59"/>
        <v>1</v>
      </c>
      <c r="AG80" s="138">
        <f t="shared" si="60"/>
        <v>11</v>
      </c>
      <c r="AH80" s="138">
        <f t="shared" si="61"/>
        <v>30</v>
      </c>
      <c r="AI80" s="138">
        <f t="shared" si="69"/>
        <v>1780</v>
      </c>
      <c r="AJ80" s="138">
        <f t="shared" si="62"/>
        <v>1797</v>
      </c>
      <c r="AL80" s="136">
        <f t="shared" si="27"/>
        <v>3.6440000000000001</v>
      </c>
      <c r="AM80" s="258">
        <f t="shared" si="49"/>
        <v>0</v>
      </c>
      <c r="AN80" s="258">
        <f t="shared" si="28"/>
        <v>0.03</v>
      </c>
      <c r="AO80" s="258">
        <f t="shared" si="29"/>
        <v>0.13</v>
      </c>
      <c r="AP80" s="258">
        <f t="shared" si="30"/>
        <v>3.5000000000000003E-2</v>
      </c>
      <c r="AQ80" s="136">
        <f t="shared" si="63"/>
        <v>0</v>
      </c>
      <c r="AR80" s="137">
        <f t="shared" si="32"/>
        <v>1.15E-2</v>
      </c>
      <c r="AS80" s="136">
        <f t="shared" si="50"/>
        <v>3.6739999999999999</v>
      </c>
      <c r="AT80" s="137">
        <f t="shared" si="64"/>
        <v>5.3283315685584802E-2</v>
      </c>
      <c r="AU80" s="137">
        <f t="shared" si="34"/>
        <v>0.77237400814139667</v>
      </c>
      <c r="AV80" s="394">
        <f t="shared" si="51"/>
        <v>16173.511730480846</v>
      </c>
      <c r="AW80" s="137">
        <f t="shared" si="35"/>
        <v>0.2475</v>
      </c>
      <c r="AX80" s="137">
        <f t="shared" si="36"/>
        <v>0.9</v>
      </c>
      <c r="AY80" s="137">
        <f t="shared" si="37"/>
        <v>0.8</v>
      </c>
      <c r="AZ80" s="137"/>
      <c r="BA80" s="264"/>
      <c r="BB80" s="258">
        <f t="shared" si="38"/>
        <v>0</v>
      </c>
      <c r="BC80" s="258">
        <f t="shared" si="65"/>
        <v>0</v>
      </c>
      <c r="BD80" s="137">
        <f t="shared" si="66"/>
        <v>2.0090195138322553E-5</v>
      </c>
      <c r="BE80" s="137">
        <f t="shared" si="67"/>
        <v>1.5694652291009525E-5</v>
      </c>
      <c r="BF80" s="137">
        <f>_xll.xSPRDOPT($BW80,$BV80,$CG80,0,$BY80,$BX80,$BZ80,$AJ80,1,4)*$CB80</f>
        <v>1.4285935081195045</v>
      </c>
      <c r="BG80" s="137">
        <f>_xll.xSPRDOPT($BW80,$BV80,$CG80,0,$BY80,$BX80,$BZ80,$AJ80,1,3)*$CB80</f>
        <v>1.360227860541555</v>
      </c>
      <c r="BH80" s="137">
        <f>IF(OR(BF80&lt;&gt;0,BG80&lt;&gt;0),_xll.xSPRDOPT($BW80,$BV80,$CG80,0,$BY80,$BX80,$BZ80,$AJ80,1,12)*$CB80,0)</f>
        <v>-1.3939925394102655</v>
      </c>
      <c r="BI80" s="137">
        <f>_xll.xSPRDOPT($BW80,$BV80,$CG80,2*LN(1+CA80/2),$BY80,$BX80,$BZ80,$AJ80,1,9)</f>
        <v>-1.4066790367630536E-4</v>
      </c>
      <c r="BJ80" s="137">
        <f>_xll.xSPRDOPT($BW80,$BV80,$CG80,0,$BY80,$BX80,$BZ80,$AJ80,1,6)*$CB80</f>
        <v>0.37036818942405364</v>
      </c>
      <c r="BK80" s="137">
        <f>_xll.xSPRDOPT($BW80,$BV80,$CG80,0,$BY80,$BX80,$BZ80,$AJ80,1,5)*$CB80</f>
        <v>-0.16131647602800073</v>
      </c>
      <c r="BL80" s="137">
        <f>_xll.xSPRDOPT(BW80,BV80,CG80,0,BY80,BX80,BZ80,AJ80,1,2)*CB80</f>
        <v>-0.51705164423592509</v>
      </c>
      <c r="BM80" s="137">
        <f>_xll.xSPRDOPT(BW80,BV80,CG80,0,BY80,BX80,BZ80,AJ80,1,1)*CB80</f>
        <v>0.5316083865239587</v>
      </c>
      <c r="BN80" s="137">
        <f>IF(AH80&lt;&gt;0,_xll.xSPRDOPT($BW80,$BV80,$CG80,2*LN(1+CA80/2),$BY80,$BX80,$BZ80,$AJ80,1,8)+(AJ80/365.25)*CH80/AH80,0)</f>
        <v>3.6065165353648787E-2</v>
      </c>
      <c r="BO80" s="137">
        <f>_xll.xSPRDOPT($BW80,$BV80,$CG80,0,$BY80,$BX80,$BZ80,$AJ80,1,0)</f>
        <v>0.1336051085538271</v>
      </c>
      <c r="BP80" s="137"/>
      <c r="BQ80" s="137"/>
      <c r="BR80" s="137"/>
      <c r="BS80" s="137"/>
      <c r="BV80" s="262">
        <v>3.7167425392008089</v>
      </c>
      <c r="BW80" s="136">
        <v>3.8090000000000002</v>
      </c>
      <c r="BX80" s="137">
        <v>0.25981285913940738</v>
      </c>
      <c r="BY80" s="137">
        <v>0.25706901657441361</v>
      </c>
      <c r="BZ80" s="137">
        <v>0.99583446138509668</v>
      </c>
      <c r="CA80" s="137">
        <v>5.3283315685584802E-2</v>
      </c>
      <c r="CB80" s="137">
        <v>0.77204047869284675</v>
      </c>
      <c r="CC80" s="258">
        <v>0</v>
      </c>
      <c r="CD80" s="258">
        <v>0.03</v>
      </c>
      <c r="CE80" s="258">
        <v>0.13</v>
      </c>
      <c r="CF80" s="258">
        <v>3.5000000000000003E-2</v>
      </c>
      <c r="CG80" s="258">
        <v>0</v>
      </c>
      <c r="CH80" s="258">
        <v>3.3143697750283914</v>
      </c>
      <c r="CI80" s="258">
        <v>3.6440000000000001</v>
      </c>
      <c r="CJ80" s="258"/>
      <c r="CK80" s="258"/>
      <c r="CL80" s="258"/>
      <c r="CM80" s="258"/>
    </row>
    <row r="81" spans="1:91" x14ac:dyDescent="0.25">
      <c r="A81" s="723"/>
      <c r="B81" s="723"/>
      <c r="D81" s="31">
        <f t="shared" si="68"/>
        <v>39066</v>
      </c>
      <c r="F81" s="28">
        <f t="shared" si="52"/>
        <v>60000</v>
      </c>
      <c r="G81" s="28">
        <f t="shared" si="13"/>
        <v>46072.788921885658</v>
      </c>
      <c r="H81" s="52">
        <f t="shared" si="53"/>
        <v>3.8664643399089522</v>
      </c>
      <c r="I81" s="52">
        <f t="shared" si="54"/>
        <v>3.952</v>
      </c>
      <c r="K81" s="52">
        <f t="shared" si="43"/>
        <v>2.0361143132123174</v>
      </c>
      <c r="L81" s="135">
        <f t="shared" si="44"/>
        <v>1.5759530879825081</v>
      </c>
      <c r="N81" s="131">
        <f t="shared" si="45"/>
        <v>0.26826339527930698</v>
      </c>
      <c r="O81" s="131">
        <f t="shared" si="46"/>
        <v>0.26647707499561696</v>
      </c>
      <c r="P81" s="55">
        <f t="shared" si="47"/>
        <v>0.99386378450084223</v>
      </c>
      <c r="Q81" s="135">
        <f>_xll.xSPRDOPT(I81,H81,AQ81,0,O81,N81,P81,D81-$G$5,1,0)*AH81*AU81</f>
        <v>3.6120674011948255</v>
      </c>
      <c r="R81" s="135"/>
      <c r="S81" s="181">
        <f>_xll.xSPRDOPT(I81,H81,AQ81,AT81,O81,N81,P81,D81-$G$5,1,2)*AF81*(F81/(1-AR81))*AH81</f>
        <v>-887920.45547174837</v>
      </c>
      <c r="T81" s="181">
        <f>_xll.xSPRDOPT(I81,H81,AQ81,AT81,O81,N81,P81,D81-$G$5,1,1)*AF81*F81*AH81</f>
        <v>913358.68452021037</v>
      </c>
      <c r="U81" s="135"/>
      <c r="V81" s="146">
        <f t="shared" si="55"/>
        <v>3.4063916489396155</v>
      </c>
      <c r="W81" s="146"/>
      <c r="X81" s="338">
        <f t="shared" si="56"/>
        <v>0</v>
      </c>
      <c r="Y81" s="338">
        <f t="shared" si="18"/>
        <v>0</v>
      </c>
      <c r="Z81" s="338">
        <f t="shared" si="19"/>
        <v>-20.614489512001821</v>
      </c>
      <c r="AA81" s="338">
        <f t="shared" si="20"/>
        <v>17.116225552267267</v>
      </c>
      <c r="AB81" s="338">
        <f t="shared" si="57"/>
        <v>0</v>
      </c>
      <c r="AC81" s="338">
        <f t="shared" si="58"/>
        <v>95.361871836274346</v>
      </c>
      <c r="AF81" s="138">
        <f t="shared" si="59"/>
        <v>1</v>
      </c>
      <c r="AG81" s="138">
        <f t="shared" si="60"/>
        <v>12</v>
      </c>
      <c r="AH81" s="138">
        <f t="shared" si="61"/>
        <v>31</v>
      </c>
      <c r="AI81" s="138">
        <f t="shared" si="69"/>
        <v>1810</v>
      </c>
      <c r="AJ81" s="138">
        <f t="shared" si="62"/>
        <v>1827</v>
      </c>
      <c r="AL81" s="136">
        <f t="shared" si="27"/>
        <v>3.7869999999999999</v>
      </c>
      <c r="AM81" s="258">
        <f t="shared" si="49"/>
        <v>5.0000000000000001E-3</v>
      </c>
      <c r="AN81" s="258">
        <f t="shared" si="28"/>
        <v>0.03</v>
      </c>
      <c r="AO81" s="258">
        <f t="shared" si="29"/>
        <v>0.13</v>
      </c>
      <c r="AP81" s="258">
        <f t="shared" si="30"/>
        <v>3.5000000000000003E-2</v>
      </c>
      <c r="AQ81" s="136">
        <f t="shared" si="63"/>
        <v>0</v>
      </c>
      <c r="AR81" s="137">
        <f t="shared" si="32"/>
        <v>1.15E-2</v>
      </c>
      <c r="AS81" s="136">
        <f t="shared" si="50"/>
        <v>3.8219999999999996</v>
      </c>
      <c r="AT81" s="137">
        <f t="shared" si="64"/>
        <v>5.3595103564298502E-2</v>
      </c>
      <c r="AU81" s="137">
        <f t="shared" si="34"/>
        <v>0.76787981536476091</v>
      </c>
      <c r="AV81" s="394">
        <f t="shared" si="51"/>
        <v>16615.383444862695</v>
      </c>
      <c r="AW81" s="137">
        <f t="shared" si="35"/>
        <v>0.2475</v>
      </c>
      <c r="AX81" s="137">
        <f t="shared" si="36"/>
        <v>1.1499999999999999</v>
      </c>
      <c r="AY81" s="137">
        <f t="shared" si="37"/>
        <v>1.1000000000000001</v>
      </c>
      <c r="AZ81" s="137"/>
      <c r="BA81" s="264"/>
      <c r="BB81" s="258">
        <f t="shared" si="38"/>
        <v>0</v>
      </c>
      <c r="BC81" s="258">
        <f t="shared" si="65"/>
        <v>0</v>
      </c>
      <c r="BD81" s="137">
        <f t="shared" si="66"/>
        <v>3.274992244450825E-5</v>
      </c>
      <c r="BE81" s="137">
        <f t="shared" si="67"/>
        <v>3.0028520459024488E-5</v>
      </c>
      <c r="BF81" s="137">
        <f>_xll.xSPRDOPT($BW81,$BV81,$CG81,0,$BY81,$BX81,$BZ81,$AJ81,1,4)*$CB81</f>
        <v>1.1428433385483752</v>
      </c>
      <c r="BG81" s="137">
        <f>_xll.xSPRDOPT($BW81,$BV81,$CG81,0,$BY81,$BX81,$BZ81,$AJ81,1,3)*$CB81</f>
        <v>1.0939080834590307</v>
      </c>
      <c r="BH81" s="137">
        <f>IF(OR(BF81&lt;&gt;0,BG81&lt;&gt;0),_xll.xSPRDOPT($BW81,$BV81,$CG81,0,$BY81,$BX81,$BZ81,$AJ81,1,12)*$CB81,0)</f>
        <v>-1.1181083715952018</v>
      </c>
      <c r="BI81" s="137">
        <f>_xll.xSPRDOPT($BW81,$BV81,$CG81,2*LN(1+CA81/2),$BY81,$BX81,$BZ81,$AJ81,1,9)</f>
        <v>-1.3493624183259258E-3</v>
      </c>
      <c r="BJ81" s="137">
        <f>_xll.xSPRDOPT($BW81,$BV81,$CG81,0,$BY81,$BX81,$BZ81,$AJ81,1,6)*$CB81</f>
        <v>0.29195703970317866</v>
      </c>
      <c r="BK81" s="137">
        <f>_xll.xSPRDOPT($BW81,$BV81,$CG81,0,$BY81,$BX81,$BZ81,$AJ81,1,5)*$CB81</f>
        <v>-1.1965245027751892E-2</v>
      </c>
      <c r="BL81" s="137">
        <f>_xll.xSPRDOPT(BW81,BV81,CG81,0,BY81,BX81,BZ81,AJ81,1,2)*CB81</f>
        <v>-0.47334655250929686</v>
      </c>
      <c r="BM81" s="137">
        <f>_xll.xSPRDOPT(BW81,BV81,CG81,0,BY81,BX81,BZ81,AJ81,1,1)*CB81</f>
        <v>0.49257215927105041</v>
      </c>
      <c r="BN81" s="137">
        <f>IF(AH81&lt;&gt;0,_xll.xSPRDOPT($BW81,$BV81,$CG81,2*LN(1+CA81/2),$BY81,$BX81,$BZ81,$AJ81,1,8)+(AJ81/365.25)*CH81/AH81,0)</f>
        <v>-3.3172971768560378E-2</v>
      </c>
      <c r="BO81" s="137">
        <f>_xll.xSPRDOPT($BW81,$BV81,$CG81,0,$BY81,$BX81,$BZ81,$AJ81,1,0)</f>
        <v>0.15174035262456356</v>
      </c>
      <c r="BP81" s="137"/>
      <c r="BQ81" s="137"/>
      <c r="BR81" s="137"/>
      <c r="BS81" s="137"/>
      <c r="BV81" s="262">
        <v>3.8664643399089522</v>
      </c>
      <c r="BW81" s="136">
        <v>3.952</v>
      </c>
      <c r="BX81" s="137">
        <v>0.26823064535686247</v>
      </c>
      <c r="BY81" s="137">
        <v>0.26644704647515793</v>
      </c>
      <c r="BZ81" s="137">
        <v>0.99387238230294295</v>
      </c>
      <c r="CA81" s="137">
        <v>5.3595103564298502E-2</v>
      </c>
      <c r="CB81" s="137">
        <v>0.76754631216761238</v>
      </c>
      <c r="CC81" s="258">
        <v>5.0000000000000001E-3</v>
      </c>
      <c r="CD81" s="258">
        <v>0.03</v>
      </c>
      <c r="CE81" s="258">
        <v>0.13</v>
      </c>
      <c r="CF81" s="258">
        <v>3.5000000000000003E-2</v>
      </c>
      <c r="CG81" s="258">
        <v>0</v>
      </c>
      <c r="CH81" s="258">
        <v>3.4049121954067449</v>
      </c>
      <c r="CI81" s="258">
        <v>3.7869999999999999</v>
      </c>
      <c r="CJ81" s="258"/>
      <c r="CK81" s="258"/>
      <c r="CL81" s="258"/>
      <c r="CM81" s="258"/>
    </row>
    <row r="82" spans="1:91" x14ac:dyDescent="0.25">
      <c r="A82" s="723"/>
      <c r="B82" s="723"/>
      <c r="D82" s="31">
        <f t="shared" si="68"/>
        <v>39097</v>
      </c>
      <c r="F82" s="28">
        <f t="shared" si="52"/>
        <v>60000</v>
      </c>
      <c r="G82" s="28">
        <f t="shared" si="13"/>
        <v>45807.541729037745</v>
      </c>
      <c r="H82" s="52">
        <f t="shared" si="53"/>
        <v>3.9398077895801715</v>
      </c>
      <c r="I82" s="52">
        <f t="shared" si="54"/>
        <v>4.0045000000000002</v>
      </c>
      <c r="K82" s="52">
        <f t="shared" si="43"/>
        <v>1.5310854163141621</v>
      </c>
      <c r="L82" s="135">
        <f t="shared" si="44"/>
        <v>1.7955527173731076</v>
      </c>
      <c r="N82" s="131">
        <f t="shared" si="45"/>
        <v>0.26792989649741</v>
      </c>
      <c r="O82" s="131">
        <f t="shared" si="46"/>
        <v>0.26617130198123173</v>
      </c>
      <c r="P82" s="55">
        <f t="shared" si="47"/>
        <v>0.99395148158975588</v>
      </c>
      <c r="Q82" s="135">
        <f>_xll.xSPRDOPT(I82,H82,AQ82,0,O82,N82,P82,D82-$G$5,1,0)*AH82*AU82</f>
        <v>3.3266381336872697</v>
      </c>
      <c r="R82" s="135"/>
      <c r="S82" s="181">
        <f>_xll.xSPRDOPT(I82,H82,AQ82,AT82,O82,N82,P82,D82-$G$5,1,2)*AF82*(F82/(1-AR82))*AH82</f>
        <v>-836096.88683177042</v>
      </c>
      <c r="T82" s="181">
        <f>_xll.xSPRDOPT(I82,H82,AQ82,AT82,O82,N82,P82,D82-$G$5,1,1)*AF82*F82*AH82</f>
        <v>862793.52684671513</v>
      </c>
      <c r="U82" s="135"/>
      <c r="V82" s="146">
        <f t="shared" si="55"/>
        <v>3.3867805977364056</v>
      </c>
      <c r="W82" s="146"/>
      <c r="X82" s="338">
        <f t="shared" si="56"/>
        <v>0</v>
      </c>
      <c r="Y82" s="338">
        <f t="shared" si="18"/>
        <v>0</v>
      </c>
      <c r="Z82" s="338">
        <f t="shared" si="19"/>
        <v>-29.683082427419166</v>
      </c>
      <c r="AA82" s="338">
        <f t="shared" si="20"/>
        <v>17.173720244099638</v>
      </c>
      <c r="AB82" s="338">
        <f t="shared" si="57"/>
        <v>0</v>
      </c>
      <c r="AC82" s="338">
        <f t="shared" si="58"/>
        <v>88.251806579357336</v>
      </c>
      <c r="AF82" s="138">
        <f t="shared" si="59"/>
        <v>1</v>
      </c>
      <c r="AG82" s="138">
        <f t="shared" si="60"/>
        <v>1</v>
      </c>
      <c r="AH82" s="138">
        <f t="shared" si="61"/>
        <v>31</v>
      </c>
      <c r="AI82" s="138">
        <f t="shared" si="69"/>
        <v>1841</v>
      </c>
      <c r="AJ82" s="138">
        <f t="shared" si="62"/>
        <v>1858</v>
      </c>
      <c r="AL82" s="136">
        <f t="shared" si="27"/>
        <v>3.8395000000000001</v>
      </c>
      <c r="AM82" s="258">
        <f t="shared" si="49"/>
        <v>2.5000000000000001E-2</v>
      </c>
      <c r="AN82" s="258">
        <f t="shared" si="28"/>
        <v>0.03</v>
      </c>
      <c r="AO82" s="258">
        <f t="shared" si="29"/>
        <v>0.13</v>
      </c>
      <c r="AP82" s="258">
        <f t="shared" si="30"/>
        <v>3.5000000000000003E-2</v>
      </c>
      <c r="AQ82" s="136">
        <f t="shared" si="63"/>
        <v>0</v>
      </c>
      <c r="AR82" s="137">
        <f t="shared" si="32"/>
        <v>1.15E-2</v>
      </c>
      <c r="AS82" s="136">
        <f t="shared" si="50"/>
        <v>3.8944999999999999</v>
      </c>
      <c r="AT82" s="137">
        <f t="shared" si="64"/>
        <v>5.38548873933569E-2</v>
      </c>
      <c r="AU82" s="137">
        <f t="shared" si="34"/>
        <v>0.76345902881729577</v>
      </c>
      <c r="AV82" s="394">
        <f t="shared" si="51"/>
        <v>16519.726465548647</v>
      </c>
      <c r="AW82" s="137">
        <f t="shared" si="35"/>
        <v>0.2475</v>
      </c>
      <c r="AX82" s="137">
        <f t="shared" si="36"/>
        <v>1.1499999999999999</v>
      </c>
      <c r="AY82" s="137">
        <f t="shared" si="37"/>
        <v>1.1000000000000001</v>
      </c>
      <c r="AZ82" s="137"/>
      <c r="BA82" s="264"/>
      <c r="BB82" s="258">
        <f t="shared" si="38"/>
        <v>0</v>
      </c>
      <c r="BC82" s="258">
        <f t="shared" si="65"/>
        <v>0</v>
      </c>
      <c r="BD82" s="137">
        <f t="shared" si="66"/>
        <v>3.1705555649019779E-5</v>
      </c>
      <c r="BE82" s="137">
        <f t="shared" si="67"/>
        <v>2.9068155078693092E-5</v>
      </c>
      <c r="BF82" s="137">
        <f>_xll.xSPRDOPT($BW82,$BV82,$CG82,0,$BY82,$BX82,$BZ82,$AJ82,1,4)*$CB82</f>
        <v>1.1393175225655312</v>
      </c>
      <c r="BG82" s="137">
        <f>_xll.xSPRDOPT($BW82,$BV82,$CG82,0,$BY82,$BX82,$BZ82,$AJ82,1,3)*$CB82</f>
        <v>1.1028037530779145</v>
      </c>
      <c r="BH82" s="137">
        <f>IF(OR(BF82&lt;&gt;0,BG82&lt;&gt;0),_xll.xSPRDOPT($BW82,$BV82,$CG82,0,$BY82,$BX82,$BZ82,$AJ82,1,12)*$CB82,0)</f>
        <v>-1.1209115258192472</v>
      </c>
      <c r="BI82" s="137">
        <f>_xll.xSPRDOPT($BW82,$BV82,$CG82,2*LN(1+CA82/2),$BY82,$BX82,$BZ82,$AJ82,1,9)</f>
        <v>-1.942965207278647E-3</v>
      </c>
      <c r="BJ82" s="137">
        <f>_xll.xSPRDOPT($BW82,$BV82,$CG82,0,$BY82,$BX82,$BZ82,$AJ82,1,6)*$CB82</f>
        <v>0.30260776995956629</v>
      </c>
      <c r="BK82" s="137">
        <f>_xll.xSPRDOPT($BW82,$BV82,$CG82,0,$BY82,$BX82,$BZ82,$AJ82,1,5)*$CB82</f>
        <v>-1.2424750121422367E-2</v>
      </c>
      <c r="BL82" s="137">
        <f>_xll.xSPRDOPT(BW82,BV82,CG82,0,BY82,BX82,BZ82,AJ82,1,2)*CB82</f>
        <v>-0.44576079537599594</v>
      </c>
      <c r="BM82" s="137">
        <f>_xll.xSPRDOPT(BW82,BV82,CG82,0,BY82,BX82,BZ82,AJ82,1,1)*CB82</f>
        <v>0.46534546150477474</v>
      </c>
      <c r="BN82" s="137">
        <f>IF(AH82&lt;&gt;0,_xll.xSPRDOPT($BW82,$BV82,$CG82,2*LN(1+CA82/2),$BY82,$BX82,$BZ82,$AJ82,1,8)+(AJ82/365.25)*CH82/AH82,0)</f>
        <v>9.8644777882607171E-3</v>
      </c>
      <c r="BO82" s="137">
        <f>_xll.xSPRDOPT($BW82,$BV82,$CG82,0,$BY82,$BX82,$BZ82,$AJ82,1,0)</f>
        <v>0.1405588959783165</v>
      </c>
      <c r="BP82" s="137"/>
      <c r="BQ82" s="137"/>
      <c r="BR82" s="137"/>
      <c r="BS82" s="137"/>
      <c r="BV82" s="262">
        <v>3.9398077895801715</v>
      </c>
      <c r="BW82" s="136">
        <v>4.0045000000000002</v>
      </c>
      <c r="BX82" s="137">
        <v>0.26789819094176098</v>
      </c>
      <c r="BY82" s="137">
        <v>0.26614223382615304</v>
      </c>
      <c r="BZ82" s="137">
        <v>0.9939598355582987</v>
      </c>
      <c r="CA82" s="137">
        <v>5.38548873933569E-2</v>
      </c>
      <c r="CB82" s="137">
        <v>0.76312585991900983</v>
      </c>
      <c r="CC82" s="258">
        <v>2.5000000000000001E-2</v>
      </c>
      <c r="CD82" s="258">
        <v>0.03</v>
      </c>
      <c r="CE82" s="258">
        <v>0.13</v>
      </c>
      <c r="CF82" s="258">
        <v>3.5000000000000003E-2</v>
      </c>
      <c r="CG82" s="258">
        <v>0</v>
      </c>
      <c r="CH82" s="258">
        <v>3.3853026271867193</v>
      </c>
      <c r="CI82" s="258">
        <v>3.8395000000000001</v>
      </c>
      <c r="CJ82" s="258"/>
      <c r="CK82" s="258"/>
      <c r="CL82" s="258"/>
      <c r="CM82" s="258"/>
    </row>
    <row r="83" spans="1:91" x14ac:dyDescent="0.25">
      <c r="A83" s="723"/>
      <c r="B83" s="723"/>
      <c r="D83" s="31">
        <f t="shared" si="68"/>
        <v>39128</v>
      </c>
      <c r="F83" s="28">
        <f t="shared" si="52"/>
        <v>60000</v>
      </c>
      <c r="G83" s="28">
        <f t="shared" si="13"/>
        <v>45559.225075722192</v>
      </c>
      <c r="H83" s="52">
        <f t="shared" si="53"/>
        <v>3.8487607486090032</v>
      </c>
      <c r="I83" s="52">
        <f t="shared" si="54"/>
        <v>3.9195000000000002</v>
      </c>
      <c r="K83" s="52">
        <f t="shared" si="43"/>
        <v>1.5039852220449126</v>
      </c>
      <c r="L83" s="135">
        <f t="shared" si="44"/>
        <v>1.4107290004979702</v>
      </c>
      <c r="N83" s="131">
        <f t="shared" si="45"/>
        <v>0.26112601834158744</v>
      </c>
      <c r="O83" s="131">
        <f t="shared" si="46"/>
        <v>0.25952205438578685</v>
      </c>
      <c r="P83" s="55">
        <f t="shared" si="47"/>
        <v>0.9943394740096041</v>
      </c>
      <c r="Q83" s="135">
        <f>_xll.xSPRDOPT(I83,H83,AQ83,0,O83,N83,P83,D83-$G$5,1,0)*AH83*AU83</f>
        <v>2.9147142225428828</v>
      </c>
      <c r="R83" s="135"/>
      <c r="S83" s="181">
        <f>_xll.xSPRDOPT(I83,H83,AQ83,AT83,O83,N83,P83,D83-$G$5,1,2)*AF83*(F83/(1-AR83))*AH83</f>
        <v>-773429.25847202889</v>
      </c>
      <c r="T83" s="181">
        <f>_xll.xSPRDOPT(I83,H83,AQ83,AT83,O83,N83,P83,D83-$G$5,1,1)*AF83*F83*AH83</f>
        <v>795190.16410114709</v>
      </c>
      <c r="U83" s="135"/>
      <c r="V83" s="146">
        <f t="shared" si="55"/>
        <v>3.042445050556728</v>
      </c>
      <c r="W83" s="146"/>
      <c r="X83" s="338">
        <f t="shared" si="56"/>
        <v>0</v>
      </c>
      <c r="Y83" s="338">
        <f t="shared" si="18"/>
        <v>0</v>
      </c>
      <c r="Z83" s="338">
        <f t="shared" si="19"/>
        <v>-18.263693090212008</v>
      </c>
      <c r="AA83" s="338">
        <f t="shared" si="20"/>
        <v>13.090008952732957</v>
      </c>
      <c r="AB83" s="338">
        <f t="shared" si="57"/>
        <v>0</v>
      </c>
      <c r="AC83" s="338">
        <f t="shared" si="58"/>
        <v>77.588004834489851</v>
      </c>
      <c r="AF83" s="138">
        <f t="shared" si="59"/>
        <v>1</v>
      </c>
      <c r="AG83" s="138">
        <f t="shared" si="60"/>
        <v>2</v>
      </c>
      <c r="AH83" s="138">
        <f t="shared" si="61"/>
        <v>28</v>
      </c>
      <c r="AI83" s="138">
        <f t="shared" si="69"/>
        <v>1872</v>
      </c>
      <c r="AJ83" s="138">
        <f t="shared" si="62"/>
        <v>1889</v>
      </c>
      <c r="AL83" s="136">
        <f t="shared" si="27"/>
        <v>3.7545000000000002</v>
      </c>
      <c r="AM83" s="258">
        <f t="shared" si="49"/>
        <v>0.02</v>
      </c>
      <c r="AN83" s="258">
        <f t="shared" si="28"/>
        <v>0.03</v>
      </c>
      <c r="AO83" s="258">
        <f t="shared" si="29"/>
        <v>0.13</v>
      </c>
      <c r="AP83" s="258">
        <f t="shared" si="30"/>
        <v>3.5000000000000003E-2</v>
      </c>
      <c r="AQ83" s="136">
        <f t="shared" si="63"/>
        <v>0</v>
      </c>
      <c r="AR83" s="137">
        <f t="shared" si="32"/>
        <v>1.15E-2</v>
      </c>
      <c r="AS83" s="136">
        <f t="shared" si="50"/>
        <v>3.8045</v>
      </c>
      <c r="AT83" s="137">
        <f t="shared" si="64"/>
        <v>5.4038903438607302E-2</v>
      </c>
      <c r="AU83" s="137">
        <f t="shared" si="34"/>
        <v>0.7593204179287032</v>
      </c>
      <c r="AV83" s="394">
        <f t="shared" si="51"/>
        <v>14840.158247998575</v>
      </c>
      <c r="AW83" s="137">
        <f t="shared" si="35"/>
        <v>0.24249999999999999</v>
      </c>
      <c r="AX83" s="137">
        <f t="shared" si="36"/>
        <v>1.1499999999999999</v>
      </c>
      <c r="AY83" s="137">
        <f t="shared" si="37"/>
        <v>1.1000000000000001</v>
      </c>
      <c r="AZ83" s="137"/>
      <c r="BA83" s="264"/>
      <c r="BB83" s="258">
        <f t="shared" si="38"/>
        <v>0</v>
      </c>
      <c r="BC83" s="258">
        <f t="shared" si="65"/>
        <v>0</v>
      </c>
      <c r="BD83" s="137">
        <f t="shared" si="66"/>
        <v>2.8527325842964135E-5</v>
      </c>
      <c r="BE83" s="137">
        <f t="shared" si="67"/>
        <v>2.614819290891468E-5</v>
      </c>
      <c r="BF83" s="137">
        <f>_xll.xSPRDOPT($BW83,$BV83,$CG83,0,$BY83,$BX83,$BZ83,$AJ83,1,4)*$CB83</f>
        <v>1.2072114721398868</v>
      </c>
      <c r="BG83" s="137">
        <f>_xll.xSPRDOPT($BW83,$BV83,$CG83,0,$BY83,$BX83,$BZ83,$AJ83,1,3)*$CB83</f>
        <v>1.1640290855490234</v>
      </c>
      <c r="BH83" s="137">
        <f>IF(OR(BF83&lt;&gt;0,BG83&lt;&gt;0),_xll.xSPRDOPT($BW83,$BV83,$CG83,0,$BY83,$BX83,$BZ83,$AJ83,1,12)*$CB83,0)</f>
        <v>-1.1854235892922986</v>
      </c>
      <c r="BI83" s="137">
        <f>_xll.xSPRDOPT($BW83,$BV83,$CG83,2*LN(1+CA83/2),$BY83,$BX83,$BZ83,$AJ83,1,9)</f>
        <v>-1.3235741867460189E-3</v>
      </c>
      <c r="BJ83" s="137">
        <f>_xll.xSPRDOPT($BW83,$BV83,$CG83,0,$BY83,$BX83,$BZ83,$AJ83,1,6)*$CB83</f>
        <v>0.28379606907618754</v>
      </c>
      <c r="BK83" s="137">
        <f>_xll.xSPRDOPT($BW83,$BV83,$CG83,0,$BY83,$BX83,$BZ83,$AJ83,1,5)*$CB83</f>
        <v>-1.1636404124533057E-2</v>
      </c>
      <c r="BL83" s="137">
        <f>_xll.xSPRDOPT(BW83,BV83,CG83,0,BY83,BX83,BZ83,AJ83,1,2)*CB83</f>
        <v>-0.4565685909797691</v>
      </c>
      <c r="BM83" s="137">
        <f>_xll.xSPRDOPT(BW83,BV83,CG83,0,BY83,BX83,BZ83,AJ83,1,1)*CB83</f>
        <v>0.47487549596695849</v>
      </c>
      <c r="BN83" s="137">
        <f>IF(AH83&lt;&gt;0,_xll.xSPRDOPT($BW83,$BV83,$CG83,2*LN(1+CA83/2),$BY83,$BX83,$BZ83,$AJ83,1,8)+(AJ83/365.25)*CH83/AH83,0)</f>
        <v>2.3582466638326971E-2</v>
      </c>
      <c r="BO83" s="137">
        <f>_xll.xSPRDOPT($BW83,$BV83,$CG83,0,$BY83,$BX83,$BZ83,$AJ83,1,0)</f>
        <v>0.13709223935928741</v>
      </c>
      <c r="BP83" s="137"/>
      <c r="BQ83" s="137"/>
      <c r="BR83" s="137"/>
      <c r="BS83" s="137"/>
      <c r="BV83" s="262">
        <v>3.8487607486090032</v>
      </c>
      <c r="BW83" s="136">
        <v>3.9195000000000002</v>
      </c>
      <c r="BX83" s="137">
        <v>0.26109749101574448</v>
      </c>
      <c r="BY83" s="137">
        <v>0.25949590619287793</v>
      </c>
      <c r="BZ83" s="137">
        <v>0.99434725057539353</v>
      </c>
      <c r="CA83" s="137">
        <v>5.4038903438607302E-2</v>
      </c>
      <c r="CB83" s="137">
        <v>0.75898793807064624</v>
      </c>
      <c r="CC83" s="258">
        <v>0.02</v>
      </c>
      <c r="CD83" s="258">
        <v>0.03</v>
      </c>
      <c r="CE83" s="258">
        <v>0.13</v>
      </c>
      <c r="CF83" s="258">
        <v>3.5000000000000003E-2</v>
      </c>
      <c r="CG83" s="258">
        <v>0</v>
      </c>
      <c r="CH83" s="258">
        <v>3.0411128702614656</v>
      </c>
      <c r="CI83" s="258">
        <v>3.7545000000000002</v>
      </c>
      <c r="CJ83" s="258"/>
      <c r="CK83" s="258"/>
      <c r="CL83" s="258"/>
      <c r="CM83" s="258"/>
    </row>
    <row r="84" spans="1:91" x14ac:dyDescent="0.25">
      <c r="A84" s="723"/>
      <c r="B84" s="723"/>
      <c r="D84" s="31">
        <f t="shared" si="68"/>
        <v>39156</v>
      </c>
      <c r="F84" s="28">
        <f t="shared" si="52"/>
        <v>60000</v>
      </c>
      <c r="G84" s="28">
        <f t="shared" si="13"/>
        <v>45334.914335201101</v>
      </c>
      <c r="H84" s="52">
        <f t="shared" si="53"/>
        <v>3.6970156803237222</v>
      </c>
      <c r="I84" s="52">
        <f t="shared" si="54"/>
        <v>3.7894999999999999</v>
      </c>
      <c r="K84" s="52">
        <f t="shared" si="43"/>
        <v>2.1662638334345914</v>
      </c>
      <c r="L84" s="135">
        <f t="shared" si="44"/>
        <v>0.90147108882223659</v>
      </c>
      <c r="N84" s="131">
        <f t="shared" si="45"/>
        <v>0.25095874631474063</v>
      </c>
      <c r="O84" s="131">
        <f t="shared" si="46"/>
        <v>0.24836584151095337</v>
      </c>
      <c r="P84" s="55">
        <f t="shared" si="47"/>
        <v>0.99609429707421238</v>
      </c>
      <c r="Q84" s="135">
        <f>_xll.xSPRDOPT(I84,H84,AQ84,0,O84,N84,P84,D84-$G$5,1,0)*AH84*AU84</f>
        <v>3.067734922256828</v>
      </c>
      <c r="R84" s="135"/>
      <c r="S84" s="181">
        <f>_xll.xSPRDOPT(I84,H84,AQ84,AT84,O84,N84,P84,D84-$G$5,1,2)*AF84*(F84/(1-AR84))*AH84</f>
        <v>-959421.31134874129</v>
      </c>
      <c r="T84" s="181">
        <f>_xll.xSPRDOPT(I84,H84,AQ84,AT84,O84,N84,P84,D84-$G$5,1,1)*AF84*F84*AH84</f>
        <v>973630.97261898487</v>
      </c>
      <c r="U84" s="135"/>
      <c r="V84" s="146">
        <f t="shared" si="55"/>
        <v>3.3518368913730932</v>
      </c>
      <c r="W84" s="146"/>
      <c r="X84" s="338">
        <f t="shared" si="56"/>
        <v>0</v>
      </c>
      <c r="Y84" s="338">
        <f t="shared" si="18"/>
        <v>0</v>
      </c>
      <c r="Z84" s="338">
        <f t="shared" si="19"/>
        <v>6.6613626009532059</v>
      </c>
      <c r="AA84" s="338">
        <f t="shared" si="20"/>
        <v>7.4854811321514969</v>
      </c>
      <c r="AB84" s="338">
        <f t="shared" si="57"/>
        <v>0</v>
      </c>
      <c r="AC84" s="338">
        <f t="shared" si="58"/>
        <v>81.912410930786294</v>
      </c>
      <c r="AF84" s="138">
        <f t="shared" si="59"/>
        <v>1</v>
      </c>
      <c r="AG84" s="138">
        <f t="shared" si="60"/>
        <v>3</v>
      </c>
      <c r="AH84" s="138">
        <f t="shared" si="61"/>
        <v>31</v>
      </c>
      <c r="AI84" s="138">
        <f t="shared" si="69"/>
        <v>1900</v>
      </c>
      <c r="AJ84" s="138">
        <f t="shared" si="62"/>
        <v>1917</v>
      </c>
      <c r="AL84" s="136">
        <f t="shared" si="27"/>
        <v>3.6244999999999998</v>
      </c>
      <c r="AM84" s="258">
        <f t="shared" si="49"/>
        <v>0</v>
      </c>
      <c r="AN84" s="258">
        <f t="shared" si="28"/>
        <v>0.03</v>
      </c>
      <c r="AO84" s="258">
        <f t="shared" si="29"/>
        <v>0.13</v>
      </c>
      <c r="AP84" s="258">
        <f t="shared" si="30"/>
        <v>3.5000000000000003E-2</v>
      </c>
      <c r="AQ84" s="136">
        <f t="shared" si="63"/>
        <v>0</v>
      </c>
      <c r="AR84" s="137">
        <f t="shared" si="32"/>
        <v>1.15E-2</v>
      </c>
      <c r="AS84" s="136">
        <f t="shared" si="50"/>
        <v>3.6544999999999996</v>
      </c>
      <c r="AT84" s="137">
        <f t="shared" si="64"/>
        <v>5.4205111489177997E-2</v>
      </c>
      <c r="AU84" s="137">
        <f t="shared" si="34"/>
        <v>0.75558190558668503</v>
      </c>
      <c r="AV84" s="394">
        <f t="shared" si="51"/>
        <v>16349.281273084691</v>
      </c>
      <c r="AW84" s="137">
        <f t="shared" si="35"/>
        <v>0.24</v>
      </c>
      <c r="AX84" s="137">
        <f t="shared" si="36"/>
        <v>0.85</v>
      </c>
      <c r="AY84" s="137">
        <f t="shared" si="37"/>
        <v>0.75</v>
      </c>
      <c r="AZ84" s="137"/>
      <c r="BA84" s="264"/>
      <c r="BB84" s="258">
        <f t="shared" si="38"/>
        <v>0</v>
      </c>
      <c r="BC84" s="258">
        <f t="shared" si="65"/>
        <v>0</v>
      </c>
      <c r="BD84" s="137">
        <f t="shared" si="66"/>
        <v>1.676283610502205E-5</v>
      </c>
      <c r="BE84" s="137">
        <f t="shared" si="67"/>
        <v>1.2861859098489692E-5</v>
      </c>
      <c r="BF84" s="137">
        <f>_xll.xSPRDOPT($BW84,$BV84,$CG84,0,$BY84,$BX84,$BZ84,$AJ84,1,4)*$CB84</f>
        <v>1.4413104328242381</v>
      </c>
      <c r="BG84" s="137">
        <f>_xll.xSPRDOPT($BW84,$BV84,$CG84,0,$BY84,$BX84,$BZ84,$AJ84,1,3)*$CB84</f>
        <v>1.3718172982091514</v>
      </c>
      <c r="BH84" s="137">
        <f>IF(OR(BF84&lt;&gt;0,BG84&lt;&gt;0),_xll.xSPRDOPT($BW84,$BV84,$CG84,0,$BY84,$BX84,$BZ84,$AJ84,1,12)*$CB84,0)</f>
        <v>-1.4061355594875971</v>
      </c>
      <c r="BI84" s="137">
        <f>_xll.xSPRDOPT($BW84,$BV84,$CG84,2*LN(1+CA84/2),$BY84,$BX84,$BZ84,$AJ84,1,9)</f>
        <v>4.3603274014303913E-4</v>
      </c>
      <c r="BJ84" s="137">
        <f>_xll.xSPRDOPT($BW84,$BV84,$CG84,0,$BY84,$BX84,$BZ84,$AJ84,1,6)*$CB84</f>
        <v>0.3678188193845473</v>
      </c>
      <c r="BK84" s="137">
        <f>_xll.xSPRDOPT($BW84,$BV84,$CG84,0,$BY84,$BX84,$BZ84,$AJ84,1,5)*$CB84</f>
        <v>-0.16647938277837945</v>
      </c>
      <c r="BL84" s="137">
        <f>_xll.xSPRDOPT(BW84,BV84,CG84,0,BY84,BX84,BZ84,AJ84,1,2)*CB84</f>
        <v>-0.51159268523497403</v>
      </c>
      <c r="BM84" s="137">
        <f>_xll.xSPRDOPT(BW84,BV84,CG84,0,BY84,BX84,BZ84,AJ84,1,1)*CB84</f>
        <v>0.52520963293245659</v>
      </c>
      <c r="BN84" s="137">
        <f>IF(AH84&lt;&gt;0,_xll.xSPRDOPT($BW84,$BV84,$CG84,2*LN(1+CA84/2),$BY84,$BX84,$BZ84,$AJ84,1,8)+(AJ84/365.25)*CH84/AH84,0)</f>
        <v>4.8078640099230019E-2</v>
      </c>
      <c r="BO84" s="137">
        <f>_xll.xSPRDOPT($BW84,$BV84,$CG84,0,$BY84,$BX84,$BZ84,$AJ84,1,0)</f>
        <v>0.13097087367833649</v>
      </c>
      <c r="BP84" s="137"/>
      <c r="BQ84" s="137"/>
      <c r="BR84" s="137"/>
      <c r="BS84" s="137"/>
      <c r="BV84" s="262">
        <v>3.6970156803237222</v>
      </c>
      <c r="BW84" s="136">
        <v>3.7894999999999999</v>
      </c>
      <c r="BX84" s="137">
        <v>0.25094198347863561</v>
      </c>
      <c r="BY84" s="137">
        <v>0.24835297965185488</v>
      </c>
      <c r="BZ84" s="137">
        <v>0.99609986421435104</v>
      </c>
      <c r="CA84" s="137">
        <v>5.4205111489177997E-2</v>
      </c>
      <c r="CB84" s="137">
        <v>0.75525005882146279</v>
      </c>
      <c r="CC84" s="258">
        <v>0</v>
      </c>
      <c r="CD84" s="258">
        <v>0.03</v>
      </c>
      <c r="CE84" s="258">
        <v>0.13</v>
      </c>
      <c r="CF84" s="258">
        <v>3.5000000000000003E-2</v>
      </c>
      <c r="CG84" s="258">
        <v>0</v>
      </c>
      <c r="CH84" s="258">
        <v>3.3503647859378907</v>
      </c>
      <c r="CI84" s="258">
        <v>3.6244999999999998</v>
      </c>
      <c r="CJ84" s="258"/>
      <c r="CK84" s="258"/>
      <c r="CL84" s="258"/>
      <c r="CM84" s="258"/>
    </row>
    <row r="85" spans="1:91" x14ac:dyDescent="0.25">
      <c r="A85" s="723"/>
      <c r="B85" s="723"/>
      <c r="D85" s="31">
        <f t="shared" si="68"/>
        <v>39187</v>
      </c>
      <c r="F85" s="28">
        <f t="shared" si="52"/>
        <v>60000</v>
      </c>
      <c r="G85" s="28">
        <f t="shared" si="13"/>
        <v>45086.557070733979</v>
      </c>
      <c r="H85" s="52">
        <f t="shared" si="53"/>
        <v>3.3884673748103182</v>
      </c>
      <c r="I85" s="52">
        <f t="shared" si="54"/>
        <v>3.5194999999999999</v>
      </c>
      <c r="K85" s="52">
        <f t="shared" si="43"/>
        <v>2.9539049668713377</v>
      </c>
      <c r="L85" s="135">
        <f t="shared" si="44"/>
        <v>6.2781584618501807E-2</v>
      </c>
      <c r="N85" s="131">
        <f t="shared" si="45"/>
        <v>0.24231571652457903</v>
      </c>
      <c r="O85" s="131">
        <f t="shared" si="46"/>
        <v>0.24231571652457903</v>
      </c>
      <c r="P85" s="55">
        <f t="shared" si="47"/>
        <v>0.9989366645925063</v>
      </c>
      <c r="Q85" s="135">
        <f>_xll.xSPRDOPT(I85,H85,AQ85,0,O85,N85,P85,D85-$G$5,1,0)*AH85*AU85</f>
        <v>3.0166865514898396</v>
      </c>
      <c r="R85" s="135"/>
      <c r="S85" s="181">
        <f>_xll.xSPRDOPT(I85,H85,AQ85,AT85,O85,N85,P85,D85-$G$5,1,2)*AF85*(F85/(1-AR85))*AH85</f>
        <v>-1264422.4614134482</v>
      </c>
      <c r="T85" s="181">
        <f>_xll.xSPRDOPT(I85,H85,AQ85,AT85,O85,N85,P85,D85-$G$5,1,1)*AF85*F85*AH85</f>
        <v>1254577.4663436988</v>
      </c>
      <c r="U85" s="135"/>
      <c r="V85" s="146">
        <f t="shared" si="55"/>
        <v>3.2259431584110163</v>
      </c>
      <c r="W85" s="146"/>
      <c r="X85" s="338">
        <f t="shared" si="56"/>
        <v>0</v>
      </c>
      <c r="Y85" s="338">
        <f t="shared" si="18"/>
        <v>0</v>
      </c>
      <c r="Z85" s="338">
        <f t="shared" si="19"/>
        <v>67.214854575149516</v>
      </c>
      <c r="AA85" s="338">
        <f t="shared" si="20"/>
        <v>0.23819717552500583</v>
      </c>
      <c r="AB85" s="338">
        <f t="shared" si="57"/>
        <v>0</v>
      </c>
      <c r="AC85" s="338">
        <f t="shared" si="58"/>
        <v>80.82266290269304</v>
      </c>
      <c r="AF85" s="138">
        <f t="shared" si="59"/>
        <v>1</v>
      </c>
      <c r="AG85" s="138">
        <f t="shared" si="60"/>
        <v>4</v>
      </c>
      <c r="AH85" s="138">
        <f t="shared" si="61"/>
        <v>30</v>
      </c>
      <c r="AI85" s="138">
        <f t="shared" si="69"/>
        <v>1931</v>
      </c>
      <c r="AJ85" s="138">
        <f t="shared" si="62"/>
        <v>1948</v>
      </c>
      <c r="AL85" s="136">
        <f t="shared" si="27"/>
        <v>3.4394999999999998</v>
      </c>
      <c r="AM85" s="258">
        <f t="shared" si="49"/>
        <v>-0.09</v>
      </c>
      <c r="AN85" s="258">
        <f t="shared" si="28"/>
        <v>0</v>
      </c>
      <c r="AO85" s="258">
        <f t="shared" si="29"/>
        <v>0.04</v>
      </c>
      <c r="AP85" s="258">
        <f t="shared" si="30"/>
        <v>0.04</v>
      </c>
      <c r="AQ85" s="136">
        <f t="shared" si="63"/>
        <v>0</v>
      </c>
      <c r="AR85" s="137">
        <f t="shared" si="32"/>
        <v>1.15E-2</v>
      </c>
      <c r="AS85" s="136">
        <f t="shared" si="50"/>
        <v>3.3494999999999999</v>
      </c>
      <c r="AT85" s="137">
        <f t="shared" si="64"/>
        <v>5.4389127555903201E-2</v>
      </c>
      <c r="AU85" s="137">
        <f t="shared" si="34"/>
        <v>0.75144261784556632</v>
      </c>
      <c r="AV85" s="394">
        <f t="shared" si="51"/>
        <v>15735.208417686159</v>
      </c>
      <c r="AW85" s="137">
        <f t="shared" si="35"/>
        <v>0.24</v>
      </c>
      <c r="AX85" s="137">
        <f t="shared" si="36"/>
        <v>0.45</v>
      </c>
      <c r="AY85" s="137">
        <f t="shared" si="37"/>
        <v>0.45</v>
      </c>
      <c r="AZ85" s="137"/>
      <c r="BA85" s="264"/>
      <c r="BB85" s="258">
        <f t="shared" si="38"/>
        <v>0</v>
      </c>
      <c r="BC85" s="258">
        <f t="shared" si="65"/>
        <v>0</v>
      </c>
      <c r="BD85" s="137">
        <f t="shared" si="66"/>
        <v>3.5474625900977497E-6</v>
      </c>
      <c r="BE85" s="137">
        <f t="shared" si="67"/>
        <v>3.5474625900977497E-6</v>
      </c>
      <c r="BF85" s="137">
        <f>_xll.xSPRDOPT($BW85,$BV85,$CG85,0,$BY85,$BX85,$BZ85,$AJ85,1,4)*$CB85</f>
        <v>1.183925882925672</v>
      </c>
      <c r="BG85" s="137">
        <f>_xll.xSPRDOPT($BW85,$BV85,$CG85,0,$BY85,$BX85,$BZ85,$AJ85,1,3)*$CB85</f>
        <v>1.0974106306548972</v>
      </c>
      <c r="BH85" s="137">
        <f>IF(OR(BF85&lt;&gt;0,BG85&lt;&gt;0),_xll.xSPRDOPT($BW85,$BV85,$CG85,0,$BY85,$BX85,$BZ85,$AJ85,1,12)*$CB85,0)</f>
        <v>-1.1398500514915773</v>
      </c>
      <c r="BI85" s="137">
        <f>_xll.xSPRDOPT($BW85,$BV85,$CG85,2*LN(1+CA85/2),$BY85,$BX85,$BZ85,$AJ85,1,9)</f>
        <v>4.5463380802913634E-3</v>
      </c>
      <c r="BJ85" s="137">
        <f>_xll.xSPRDOPT($BW85,$BV85,$CG85,0,$BY85,$BX85,$BZ85,$AJ85,1,6)*$CB85</f>
        <v>1.8651712418586142E-2</v>
      </c>
      <c r="BK85" s="137">
        <f>_xll.xSPRDOPT($BW85,$BV85,$CG85,0,$BY85,$BX85,$BZ85,$AJ85,1,5)*$CB85</f>
        <v>1.8651503843635928E-2</v>
      </c>
      <c r="BL85" s="137">
        <f>_xll.xSPRDOPT(BW85,BV85,CG85,0,BY85,BX85,BZ85,AJ85,1,2)*CB85</f>
        <v>-0.69676262361137953</v>
      </c>
      <c r="BM85" s="137">
        <f>_xll.xSPRDOPT(BW85,BV85,CG85,0,BY85,BX85,BZ85,AJ85,1,1)*CB85</f>
        <v>0.69938039665883966</v>
      </c>
      <c r="BN85" s="137">
        <f>IF(AH85&lt;&gt;0,_xll.xSPRDOPT($BW85,$BV85,$CG85,2*LN(1+CA85/2),$BY85,$BX85,$BZ85,$AJ85,1,8)+(AJ85/365.25)*CH85/AH85,0)</f>
        <v>3.7184762277042926E-2</v>
      </c>
      <c r="BO85" s="137">
        <f>_xll.xSPRDOPT($BW85,$BV85,$CG85,0,$BY85,$BX85,$BZ85,$AJ85,1,0)</f>
        <v>0.13381756579754117</v>
      </c>
      <c r="BP85" s="137"/>
      <c r="BQ85" s="137"/>
      <c r="BR85" s="137"/>
      <c r="BS85" s="137"/>
      <c r="BV85" s="262">
        <v>3.3884673748103182</v>
      </c>
      <c r="BW85" s="136">
        <v>3.5194999999999999</v>
      </c>
      <c r="BX85" s="137">
        <v>0.24231216906198894</v>
      </c>
      <c r="BY85" s="137">
        <v>0.24231216906198894</v>
      </c>
      <c r="BZ85" s="137">
        <v>0.99893827024561355</v>
      </c>
      <c r="CA85" s="137">
        <v>5.4389127555903201E-2</v>
      </c>
      <c r="CB85" s="137">
        <v>0.7511114837850088</v>
      </c>
      <c r="CC85" s="258">
        <v>-0.09</v>
      </c>
      <c r="CD85" s="258">
        <v>0</v>
      </c>
      <c r="CE85" s="258">
        <v>0.04</v>
      </c>
      <c r="CF85" s="258">
        <v>0.04</v>
      </c>
      <c r="CG85" s="258">
        <v>0</v>
      </c>
      <c r="CH85" s="258">
        <v>3.2245215998890431</v>
      </c>
      <c r="CI85" s="258">
        <v>3.4394999999999998</v>
      </c>
      <c r="CJ85" s="258"/>
      <c r="CK85" s="258"/>
      <c r="CL85" s="258"/>
      <c r="CM85" s="258"/>
    </row>
    <row r="86" spans="1:91" x14ac:dyDescent="0.25">
      <c r="A86" s="723"/>
      <c r="B86" s="723"/>
      <c r="D86" s="31">
        <f t="shared" si="68"/>
        <v>39217</v>
      </c>
      <c r="F86" s="28">
        <f t="shared" ref="F86:F117" si="70">VLOOKUP(AG86,$AL$4:$AS$15,2)</f>
        <v>60000</v>
      </c>
      <c r="G86" s="28">
        <f t="shared" si="13"/>
        <v>44846.212018677375</v>
      </c>
      <c r="H86" s="52">
        <f t="shared" ref="H86:H117" si="71">(AL86+AM86+AN86)/(1-(AR86))</f>
        <v>3.3834092058674758</v>
      </c>
      <c r="I86" s="52">
        <f t="shared" ref="I86:I117" si="72">(AL86+AO86+AP86)</f>
        <v>3.5145</v>
      </c>
      <c r="K86" s="52">
        <f t="shared" si="43"/>
        <v>3.0374448661380486</v>
      </c>
      <c r="L86" s="135">
        <f t="shared" si="44"/>
        <v>0.10970724759220429</v>
      </c>
      <c r="N86" s="131">
        <f t="shared" si="45"/>
        <v>0.24235578565483928</v>
      </c>
      <c r="O86" s="131">
        <f t="shared" si="46"/>
        <v>0.24312307323178436</v>
      </c>
      <c r="P86" s="55">
        <f t="shared" si="47"/>
        <v>0.99864079226743097</v>
      </c>
      <c r="Q86" s="135">
        <f>_xll.xSPRDOPT(I86,H86,AQ86,0,O86,N86,P86,D86-$G$5,1,0)*AH86*AU86</f>
        <v>3.1471521137302529</v>
      </c>
      <c r="R86" s="135"/>
      <c r="S86" s="181">
        <f>_xll.xSPRDOPT(I86,H86,AQ86,AT86,O86,N86,P86,D86-$G$5,1,2)*AF86*(F86/(1-AR86))*AH86</f>
        <v>-1259044.6006715943</v>
      </c>
      <c r="T86" s="181">
        <f>_xll.xSPRDOPT(I86,H86,AQ86,AT86,O86,N86,P86,D86-$G$5,1,1)*AF86*F86*AH86</f>
        <v>1251659.902934914</v>
      </c>
      <c r="U86" s="135"/>
      <c r="V86" s="146">
        <f t="shared" ref="V86:V117" si="73">VLOOKUP($AG86,$AL$4:$AS$15,8)*AH86*AU86</f>
        <v>3.3157046856009118</v>
      </c>
      <c r="W86" s="146"/>
      <c r="X86" s="338">
        <f t="shared" ref="X86:X117" si="74">((BM86*BC86)+(BL86*BB86))*AH86*F86</f>
        <v>0</v>
      </c>
      <c r="Y86" s="338">
        <f t="shared" si="18"/>
        <v>0</v>
      </c>
      <c r="Z86" s="338">
        <f t="shared" si="19"/>
        <v>64.84627162714655</v>
      </c>
      <c r="AA86" s="338">
        <f t="shared" si="20"/>
        <v>0.55051130978637097</v>
      </c>
      <c r="AB86" s="338">
        <f t="shared" ref="AB86:AB117" si="75">BN86*(AT86-CA86)*F86*AH86</f>
        <v>0</v>
      </c>
      <c r="AC86" s="338">
        <f t="shared" ref="AC86:AC117" si="76">BO86*CB86*F86*AH86*CA86*($G$5-$BV$5)/365.25</f>
        <v>84.594034682070102</v>
      </c>
      <c r="AF86" s="138">
        <f t="shared" ref="AF86:AF117" si="77">IF(AND(D86&gt;=$G$7,D86&lt;=$G$8),1,0)</f>
        <v>1</v>
      </c>
      <c r="AG86" s="138">
        <f t="shared" ref="AG86:AG117" si="78">MONTH(D86)</f>
        <v>5</v>
      </c>
      <c r="AH86" s="138">
        <f t="shared" ref="AH86:AH117" si="79">(EOMONTH(D86,0)-EOMONTH(D86-DAY(D86),0))*AF86</f>
        <v>31</v>
      </c>
      <c r="AI86" s="138">
        <f t="shared" si="69"/>
        <v>1961</v>
      </c>
      <c r="AJ86" s="138">
        <f t="shared" ref="AJ86:AJ117" si="80">D86-$BV$5</f>
        <v>1978</v>
      </c>
      <c r="AL86" s="136">
        <f t="shared" si="27"/>
        <v>3.4344999999999999</v>
      </c>
      <c r="AM86" s="258">
        <f t="shared" si="49"/>
        <v>-0.09</v>
      </c>
      <c r="AN86" s="258">
        <f t="shared" si="28"/>
        <v>0</v>
      </c>
      <c r="AO86" s="258">
        <f t="shared" si="29"/>
        <v>0.04</v>
      </c>
      <c r="AP86" s="258">
        <f t="shared" si="30"/>
        <v>0.04</v>
      </c>
      <c r="AQ86" s="136">
        <f t="shared" ref="AQ86:AQ117" si="81">VLOOKUP($AG86,$AL$4:$AS$15,3)+VLOOKUP($AG86,$AL$4:$AS$15,5)+($AH$10*VLOOKUP(D86,GRITable,2))</f>
        <v>0</v>
      </c>
      <c r="AR86" s="137">
        <f t="shared" si="32"/>
        <v>1.15E-2</v>
      </c>
      <c r="AS86" s="136">
        <f t="shared" si="50"/>
        <v>3.3445</v>
      </c>
      <c r="AT86" s="137">
        <f t="shared" ref="AT86:AT117" si="82">VLOOKUP(D86,CurveTbl,$AK$6)</f>
        <v>5.4567207631218001E-2</v>
      </c>
      <c r="AU86" s="137">
        <f t="shared" si="34"/>
        <v>0.7474368669779563</v>
      </c>
      <c r="AV86" s="394">
        <f t="shared" si="51"/>
        <v>16173.038927669018</v>
      </c>
      <c r="AW86" s="137">
        <f t="shared" si="35"/>
        <v>0.24</v>
      </c>
      <c r="AX86" s="137">
        <f t="shared" si="36"/>
        <v>0.45</v>
      </c>
      <c r="AY86" s="137">
        <f t="shared" si="37"/>
        <v>0.5</v>
      </c>
      <c r="AZ86" s="137"/>
      <c r="BA86" s="264"/>
      <c r="BB86" s="258">
        <f t="shared" si="38"/>
        <v>0</v>
      </c>
      <c r="BC86" s="258">
        <f t="shared" ref="BC86:BC117" si="83">I86-BW86</f>
        <v>0</v>
      </c>
      <c r="BD86" s="137">
        <f t="shared" ref="BD86:BD117" si="84">N86-BX86</f>
        <v>3.5529476572759844E-6</v>
      </c>
      <c r="BE86" s="137">
        <f t="shared" ref="BE86:BE117" si="85">O86-BY86</f>
        <v>4.7027698327206657E-6</v>
      </c>
      <c r="BF86" s="137">
        <f>_xll.xSPRDOPT($BW86,$BV86,$CG86,0,$BY86,$BX86,$BZ86,$AJ86,1,4)*$CB86</f>
        <v>1.3261716432644823</v>
      </c>
      <c r="BG86" s="137">
        <f>_xll.xSPRDOPT($BW86,$BV86,$CG86,0,$BY86,$BX86,$BZ86,$AJ86,1,3)*$CB86</f>
        <v>1.2290842990071</v>
      </c>
      <c r="BH86" s="137">
        <f>IF(OR(BF86&lt;&gt;0,BG86&lt;&gt;0),_xll.xSPRDOPT($BW86,$BV86,$CG86,0,$BY86,$BX86,$BZ86,$AJ86,1,12)*$CB86,0)</f>
        <v>-1.2767058398499043</v>
      </c>
      <c r="BI86" s="137">
        <f>_xll.xSPRDOPT($BW86,$BV86,$CG86,2*LN(1+CA86/2),$BY86,$BX86,$BZ86,$AJ86,1,9)</f>
        <v>4.2446417046263941E-3</v>
      </c>
      <c r="BJ86" s="137">
        <f>_xll.xSPRDOPT($BW86,$BV86,$CG86,0,$BY86,$BX86,$BZ86,$AJ86,1,6)*$CB86</f>
        <v>-3.5859114997802408E-2</v>
      </c>
      <c r="BK86" s="137">
        <f>_xll.xSPRDOPT($BW86,$BV86,$CG86,0,$BY86,$BX86,$BZ86,$AJ86,1,5)*$CB86</f>
        <v>9.0027663727758458E-2</v>
      </c>
      <c r="BL86" s="137">
        <f>_xll.xSPRDOPT(BW86,BV86,CG86,0,BY86,BX86,BZ86,AJ86,1,2)*CB86</f>
        <v>-0.67147473340437336</v>
      </c>
      <c r="BM86" s="137">
        <f>_xll.xSPRDOPT(BW86,BV86,CG86,0,BY86,BX86,BZ86,AJ86,1,1)*CB86</f>
        <v>0.67530230298719163</v>
      </c>
      <c r="BN86" s="137">
        <f>IF(AH86&lt;&gt;0,_xll.xSPRDOPT($BW86,$BV86,$CG86,2*LN(1+CA86/2),$BY86,$BX86,$BZ86,$AJ86,1,8)+(AJ86/365.25)*CH86/AH86,0)</f>
        <v>2.9431819216274246E-2</v>
      </c>
      <c r="BO86" s="137">
        <f>_xll.xSPRDOPT($BW86,$BV86,$CG86,0,$BY86,$BX86,$BZ86,$AJ86,1,0)</f>
        <v>0.13582557672165949</v>
      </c>
      <c r="BP86" s="137"/>
      <c r="BQ86" s="137"/>
      <c r="BR86" s="137"/>
      <c r="BS86" s="137"/>
      <c r="BV86" s="262">
        <v>3.3834092058674758</v>
      </c>
      <c r="BW86" s="136">
        <v>3.5145</v>
      </c>
      <c r="BX86" s="137">
        <v>0.24235223270718201</v>
      </c>
      <c r="BY86" s="137">
        <v>0.24311837046195164</v>
      </c>
      <c r="BZ86" s="137">
        <v>0.99864279865398553</v>
      </c>
      <c r="CA86" s="137">
        <v>5.4567207631218001E-2</v>
      </c>
      <c r="CB86" s="137">
        <v>0.7471064343152839</v>
      </c>
      <c r="CC86" s="258">
        <v>-0.09</v>
      </c>
      <c r="CD86" s="258">
        <v>0</v>
      </c>
      <c r="CE86" s="258">
        <v>0.04</v>
      </c>
      <c r="CF86" s="258">
        <v>0.04</v>
      </c>
      <c r="CG86" s="258">
        <v>0</v>
      </c>
      <c r="CH86" s="258">
        <v>3.3142388532660307</v>
      </c>
      <c r="CI86" s="258">
        <v>3.4344999999999999</v>
      </c>
      <c r="CJ86" s="258"/>
      <c r="CK86" s="258"/>
      <c r="CL86" s="258"/>
      <c r="CM86" s="258"/>
    </row>
    <row r="87" spans="1:91" x14ac:dyDescent="0.25">
      <c r="A87" s="723"/>
      <c r="B87" s="723"/>
      <c r="D87" s="31">
        <f t="shared" ref="D87:D117" si="86">D86+AH86</f>
        <v>39248</v>
      </c>
      <c r="F87" s="28">
        <f t="shared" si="70"/>
        <v>60000</v>
      </c>
      <c r="G87" s="28">
        <f t="shared" si="13"/>
        <v>44597.870968025491</v>
      </c>
      <c r="H87" s="52">
        <f t="shared" si="71"/>
        <v>3.4188163884673748</v>
      </c>
      <c r="I87" s="52">
        <f t="shared" si="72"/>
        <v>3.5495000000000001</v>
      </c>
      <c r="K87" s="52">
        <f t="shared" ref="K87:K117" si="87">MAX(((I87-H87)-AQ87)*AU87*AH87,0)</f>
        <v>2.9141054223837961</v>
      </c>
      <c r="L87" s="135">
        <f t="shared" ref="L87:L117" si="88">MAX(Q87-K87,0)</f>
        <v>0.10408142202073556</v>
      </c>
      <c r="N87" s="131">
        <f t="shared" ref="N87:N117" si="89">SQRT(($AX87^2*($AH87/2)+$AW87^2*$AI87)/(($AH87/2)+$AI87))</f>
        <v>0.24224565969539186</v>
      </c>
      <c r="O87" s="131">
        <f t="shared" ref="O87:O117" si="90">SQRT(($AY87^2*($AH87/2)+$AW87^2*$AI87)/(($AH87/2)+$AI87))</f>
        <v>0.24297729753023667</v>
      </c>
      <c r="P87" s="55">
        <f t="shared" ref="P87:P117" si="91">(VLOOKUP(AI87,CorrelationTwo,2)*(AW87^2)*AI87+VLOOKUP(D87,CorrelationOne,$AK$9)*AX87*AY87*(AH87/2))/((AI87+(AH87/2))*O87*N87)*AF87</f>
        <v>0.9987030415372361</v>
      </c>
      <c r="Q87" s="135">
        <f>_xll.xSPRDOPT(I87,H87,AQ87,0,O87,N87,P87,D87-$G$5,1,0)*AH87*AU87</f>
        <v>3.0181868444045317</v>
      </c>
      <c r="R87" s="135"/>
      <c r="S87" s="181">
        <f>_xll.xSPRDOPT(I87,H87,AQ87,AT87,O87,N87,P87,D87-$G$5,1,2)*AF87*(F87/(1-AR87))*AH87</f>
        <v>-1212552.6639237544</v>
      </c>
      <c r="T87" s="181">
        <f>_xll.xSPRDOPT(I87,H87,AQ87,AT87,O87,N87,P87,D87-$G$5,1,1)*AF87*F87*AH87</f>
        <v>1205291.5517297327</v>
      </c>
      <c r="U87" s="135"/>
      <c r="V87" s="146">
        <f t="shared" si="73"/>
        <v>3.1909776677622239</v>
      </c>
      <c r="W87" s="146"/>
      <c r="X87" s="338">
        <f t="shared" si="74"/>
        <v>0</v>
      </c>
      <c r="Y87" s="338">
        <f t="shared" si="18"/>
        <v>0</v>
      </c>
      <c r="Z87" s="338">
        <f t="shared" si="19"/>
        <v>62.863655864016508</v>
      </c>
      <c r="AA87" s="338">
        <f t="shared" si="20"/>
        <v>0.49242235216641828</v>
      </c>
      <c r="AB87" s="338">
        <f t="shared" si="75"/>
        <v>0</v>
      </c>
      <c r="AC87" s="338">
        <f t="shared" si="76"/>
        <v>81.400969191941556</v>
      </c>
      <c r="AF87" s="138">
        <f t="shared" si="77"/>
        <v>1</v>
      </c>
      <c r="AG87" s="138">
        <f t="shared" si="78"/>
        <v>6</v>
      </c>
      <c r="AH87" s="138">
        <f t="shared" si="79"/>
        <v>30</v>
      </c>
      <c r="AI87" s="138">
        <f t="shared" ref="AI87:AI117" si="92">AI86+AH86</f>
        <v>1992</v>
      </c>
      <c r="AJ87" s="138">
        <f t="shared" si="80"/>
        <v>2009</v>
      </c>
      <c r="AL87" s="136">
        <f t="shared" si="27"/>
        <v>3.4695</v>
      </c>
      <c r="AM87" s="258">
        <f t="shared" si="49"/>
        <v>-0.09</v>
      </c>
      <c r="AN87" s="258">
        <f t="shared" si="28"/>
        <v>0</v>
      </c>
      <c r="AO87" s="258">
        <f t="shared" si="29"/>
        <v>0.04</v>
      </c>
      <c r="AP87" s="258">
        <f t="shared" si="30"/>
        <v>0.04</v>
      </c>
      <c r="AQ87" s="136">
        <f t="shared" si="81"/>
        <v>0</v>
      </c>
      <c r="AR87" s="137">
        <f t="shared" si="32"/>
        <v>1.15E-2</v>
      </c>
      <c r="AS87" s="136">
        <f t="shared" ref="AS87:AS117" si="93">(AL87+AM87+AN87)</f>
        <v>3.3795000000000002</v>
      </c>
      <c r="AT87" s="137">
        <f t="shared" si="82"/>
        <v>5.4751223720142399E-2</v>
      </c>
      <c r="AU87" s="137">
        <f t="shared" si="34"/>
        <v>0.74329784946709154</v>
      </c>
      <c r="AV87" s="394">
        <f t="shared" ref="AV87:AV117" si="94">ROUND((F87/(1-AR87))-F87,0)*AF87*AH87*AU87</f>
        <v>15564.656967840898</v>
      </c>
      <c r="AW87" s="137">
        <f t="shared" si="35"/>
        <v>0.24</v>
      </c>
      <c r="AX87" s="137">
        <f t="shared" si="36"/>
        <v>0.45</v>
      </c>
      <c r="AY87" s="137">
        <f t="shared" si="37"/>
        <v>0.5</v>
      </c>
      <c r="AZ87" s="137"/>
      <c r="BA87" s="264"/>
      <c r="BB87" s="258">
        <f t="shared" si="38"/>
        <v>0</v>
      </c>
      <c r="BC87" s="258">
        <f t="shared" si="83"/>
        <v>0</v>
      </c>
      <c r="BD87" s="137">
        <f t="shared" si="84"/>
        <v>3.3362182957075159E-6</v>
      </c>
      <c r="BE87" s="137">
        <f t="shared" si="85"/>
        <v>4.4165424145370391E-6</v>
      </c>
      <c r="BF87" s="137">
        <f>_xll.xSPRDOPT($BW87,$BV87,$CG87,0,$BY87,$BX87,$BZ87,$AJ87,1,4)*$CB87</f>
        <v>1.3196346170098125</v>
      </c>
      <c r="BG87" s="137">
        <f>_xll.xSPRDOPT($BW87,$BV87,$CG87,0,$BY87,$BX87,$BZ87,$AJ87,1,3)*$CB87</f>
        <v>1.2242521305019574</v>
      </c>
      <c r="BH87" s="137">
        <f>IF(OR(BF87&lt;&gt;0,BG87&lt;&gt;0),_xll.xSPRDOPT($BW87,$BV87,$CG87,0,$BY87,$BX87,$BZ87,$AJ87,1,12)*$CB87,0)</f>
        <v>-1.2710494320802117</v>
      </c>
      <c r="BI87" s="137">
        <f>_xll.xSPRDOPT($BW87,$BV87,$CG87,2*LN(1+CA87/2),$BY87,$BX87,$BZ87,$AJ87,1,9)</f>
        <v>4.2520278341355612E-3</v>
      </c>
      <c r="BJ87" s="137">
        <f>_xll.xSPRDOPT($BW87,$BV87,$CG87,0,$BY87,$BX87,$BZ87,$AJ87,1,6)*$CB87</f>
        <v>-3.5282968675716855E-2</v>
      </c>
      <c r="BK87" s="137">
        <f>_xll.xSPRDOPT($BW87,$BV87,$CG87,0,$BY87,$BX87,$BZ87,$AJ87,1,5)*$CB87</f>
        <v>8.8594113295661692E-2</v>
      </c>
      <c r="BL87" s="137">
        <f>_xll.xSPRDOPT(BW87,BV87,CG87,0,BY87,BX87,BZ87,AJ87,1,2)*CB87</f>
        <v>-0.66829408808662427</v>
      </c>
      <c r="BM87" s="137">
        <f>_xll.xSPRDOPT(BW87,BV87,CG87,0,BY87,BX87,BZ87,AJ87,1,1)*CB87</f>
        <v>0.67202039042604178</v>
      </c>
      <c r="BN87" s="137">
        <f>IF(AH87&lt;&gt;0,_xll.xSPRDOPT($BW87,$BV87,$CG87,2*LN(1+CA87/2),$BY87,$BX87,$BZ87,$AJ87,1,8)+(AJ87/365.25)*CH87/AH87,0)</f>
        <v>3.1666210177282106E-2</v>
      </c>
      <c r="BO87" s="137">
        <f>_xll.xSPRDOPT($BW87,$BV87,$CG87,0,$BY87,$BX87,$BZ87,$AJ87,1,0)</f>
        <v>0.13535116917759557</v>
      </c>
      <c r="BP87" s="137"/>
      <c r="BQ87" s="137"/>
      <c r="BR87" s="137"/>
      <c r="BS87" s="137"/>
      <c r="BV87" s="262">
        <v>3.4188163884673748</v>
      </c>
      <c r="BW87" s="136">
        <v>3.5495000000000001</v>
      </c>
      <c r="BX87" s="137">
        <v>0.24224232347709615</v>
      </c>
      <c r="BY87" s="137">
        <v>0.24297288098782213</v>
      </c>
      <c r="BZ87" s="137">
        <v>0.99870492928867916</v>
      </c>
      <c r="CA87" s="137">
        <v>5.4751223720142399E-2</v>
      </c>
      <c r="CB87" s="137">
        <v>0.74296815354434165</v>
      </c>
      <c r="CC87" s="258">
        <v>-0.09</v>
      </c>
      <c r="CD87" s="258">
        <v>0</v>
      </c>
      <c r="CE87" s="258">
        <v>0.04</v>
      </c>
      <c r="CF87" s="258">
        <v>0.04</v>
      </c>
      <c r="CG87" s="258">
        <v>0</v>
      </c>
      <c r="CH87" s="258">
        <v>3.1895622831658588</v>
      </c>
      <c r="CI87" s="258">
        <v>3.4695</v>
      </c>
      <c r="CJ87" s="258"/>
      <c r="CK87" s="258"/>
      <c r="CL87" s="258"/>
      <c r="CM87" s="258"/>
    </row>
    <row r="88" spans="1:91" x14ac:dyDescent="0.25">
      <c r="A88" s="723"/>
      <c r="B88" s="723"/>
      <c r="D88" s="31">
        <f t="shared" si="86"/>
        <v>39278</v>
      </c>
      <c r="F88" s="28">
        <f t="shared" si="70"/>
        <v>60000</v>
      </c>
      <c r="G88" s="28">
        <f t="shared" si="13"/>
        <v>44357.570000677028</v>
      </c>
      <c r="H88" s="52">
        <f t="shared" si="71"/>
        <v>3.4592817400101166</v>
      </c>
      <c r="I88" s="52">
        <f t="shared" si="72"/>
        <v>3.5895000000000001</v>
      </c>
      <c r="K88" s="52">
        <f t="shared" si="87"/>
        <v>2.9843522178149375</v>
      </c>
      <c r="L88" s="135">
        <f t="shared" si="88"/>
        <v>0.16281328775351778</v>
      </c>
      <c r="N88" s="131">
        <f t="shared" si="89"/>
        <v>0.24303015541639639</v>
      </c>
      <c r="O88" s="131">
        <f t="shared" si="90"/>
        <v>0.2438504520085728</v>
      </c>
      <c r="P88" s="55">
        <f t="shared" si="91"/>
        <v>0.99843319237906769</v>
      </c>
      <c r="Q88" s="135">
        <f>_xll.xSPRDOPT(I88,H88,AQ88,0,O88,N88,P88,D88-$G$5,1,0)*AH88*AU88</f>
        <v>3.1471655055684553</v>
      </c>
      <c r="R88" s="135"/>
      <c r="S88" s="181">
        <f>_xll.xSPRDOPT(I88,H88,AQ88,AT88,O88,N88,P88,D88-$G$5,1,2)*AF88*(F88/(1-AR88))*AH88</f>
        <v>-1206398.2194126956</v>
      </c>
      <c r="T88" s="181">
        <f>_xll.xSPRDOPT(I88,H88,AQ88,AT88,O88,N88,P88,D88-$G$5,1,1)*AF88*F88*AH88</f>
        <v>1201652.17790736</v>
      </c>
      <c r="U88" s="135"/>
      <c r="V88" s="146">
        <f t="shared" si="73"/>
        <v>3.2795769380000559</v>
      </c>
      <c r="W88" s="146"/>
      <c r="X88" s="338">
        <f t="shared" si="74"/>
        <v>0</v>
      </c>
      <c r="Y88" s="338">
        <f t="shared" si="18"/>
        <v>0</v>
      </c>
      <c r="Z88" s="338">
        <f t="shared" si="19"/>
        <v>60.262066246120803</v>
      </c>
      <c r="AA88" s="338">
        <f t="shared" si="20"/>
        <v>0.83225514341012286</v>
      </c>
      <c r="AB88" s="338">
        <f t="shared" si="75"/>
        <v>0</v>
      </c>
      <c r="AC88" s="338">
        <f t="shared" si="76"/>
        <v>85.155499751994398</v>
      </c>
      <c r="AF88" s="138">
        <f t="shared" si="77"/>
        <v>1</v>
      </c>
      <c r="AG88" s="138">
        <f t="shared" si="78"/>
        <v>7</v>
      </c>
      <c r="AH88" s="138">
        <f t="shared" si="79"/>
        <v>31</v>
      </c>
      <c r="AI88" s="138">
        <f t="shared" si="92"/>
        <v>2022</v>
      </c>
      <c r="AJ88" s="138">
        <f t="shared" si="80"/>
        <v>2039</v>
      </c>
      <c r="AL88" s="136">
        <f t="shared" si="27"/>
        <v>3.5095000000000001</v>
      </c>
      <c r="AM88" s="258">
        <f t="shared" si="49"/>
        <v>-0.09</v>
      </c>
      <c r="AN88" s="258">
        <f t="shared" si="28"/>
        <v>0</v>
      </c>
      <c r="AO88" s="258">
        <f t="shared" si="29"/>
        <v>0.04</v>
      </c>
      <c r="AP88" s="258">
        <f t="shared" si="30"/>
        <v>0.04</v>
      </c>
      <c r="AQ88" s="136">
        <f t="shared" si="81"/>
        <v>0</v>
      </c>
      <c r="AR88" s="137">
        <f t="shared" si="32"/>
        <v>1.15E-2</v>
      </c>
      <c r="AS88" s="136">
        <f t="shared" si="93"/>
        <v>3.4195000000000002</v>
      </c>
      <c r="AT88" s="137">
        <f t="shared" si="82"/>
        <v>5.4929303816937801E-2</v>
      </c>
      <c r="AU88" s="137">
        <f t="shared" si="34"/>
        <v>0.73929283334461715</v>
      </c>
      <c r="AV88" s="394">
        <f t="shared" si="94"/>
        <v>15996.818327910825</v>
      </c>
      <c r="AW88" s="137">
        <f t="shared" si="35"/>
        <v>0.24</v>
      </c>
      <c r="AX88" s="137">
        <f t="shared" si="36"/>
        <v>0.5</v>
      </c>
      <c r="AY88" s="137">
        <f t="shared" si="37"/>
        <v>0.55000000000000004</v>
      </c>
      <c r="AZ88" s="137"/>
      <c r="BA88" s="264"/>
      <c r="BB88" s="258">
        <f t="shared" si="38"/>
        <v>0</v>
      </c>
      <c r="BC88" s="258">
        <f t="shared" si="83"/>
        <v>0</v>
      </c>
      <c r="BD88" s="137">
        <f t="shared" si="84"/>
        <v>4.4272862194938423E-6</v>
      </c>
      <c r="BE88" s="137">
        <f t="shared" si="85"/>
        <v>5.6164120477986135E-6</v>
      </c>
      <c r="BF88" s="137">
        <f>_xll.xSPRDOPT($BW88,$BV88,$CG88,0,$BY88,$BX88,$BZ88,$AJ88,1,4)*$CB88</f>
        <v>1.395820927104225</v>
      </c>
      <c r="BG88" s="137">
        <f>_xll.xSPRDOPT($BW88,$BV88,$CG88,0,$BY88,$BX88,$BZ88,$AJ88,1,3)*$CB88</f>
        <v>1.2963839181211041</v>
      </c>
      <c r="BH88" s="137">
        <f>IF(OR(BF88&lt;&gt;0,BG88&lt;&gt;0),_xll.xSPRDOPT($BW88,$BV88,$CG88,0,$BY88,$BX88,$BZ88,$AJ88,1,12)*$CB88,0)</f>
        <v>-1.3451826539261527</v>
      </c>
      <c r="BI88" s="137">
        <f>_xll.xSPRDOPT($BW88,$BV88,$CG88,2*LN(1+CA88/2),$BY88,$BX88,$BZ88,$AJ88,1,9)</f>
        <v>3.9445734222931222E-3</v>
      </c>
      <c r="BJ88" s="137">
        <f>_xll.xSPRDOPT($BW88,$BV88,$CG88,0,$BY88,$BX88,$BZ88,$AJ88,1,6)*$CB88</f>
        <v>-4.0804162175762181E-2</v>
      </c>
      <c r="BK88" s="137">
        <f>_xll.xSPRDOPT($BW88,$BV88,$CG88,0,$BY88,$BX88,$BZ88,$AJ88,1,5)*$CB88</f>
        <v>0.11183308870265868</v>
      </c>
      <c r="BL88" s="137">
        <f>_xll.xSPRDOPT(BW88,BV88,CG88,0,BY88,BX88,BZ88,AJ88,1,2)*CB88</f>
        <v>-0.64350862885221571</v>
      </c>
      <c r="BM88" s="137">
        <f>_xll.xSPRDOPT(BW88,BV88,CG88,0,BY88,BX88,BZ88,AJ88,1,1)*CB88</f>
        <v>0.6484340262247521</v>
      </c>
      <c r="BN88" s="137">
        <f>IF(AH88&lt;&gt;0,_xll.xSPRDOPT($BW88,$BV88,$CG88,2*LN(1+CA88/2),$BY88,$BX88,$BZ88,$AJ88,1,8)+(AJ88/365.25)*CH88/AH88,0)</f>
        <v>2.3833978310366599E-2</v>
      </c>
      <c r="BO88" s="137">
        <f>_xll.xSPRDOPT($BW88,$BV88,$CG88,0,$BY88,$BX88,$BZ88,$AJ88,1,0)</f>
        <v>0.1373224150701724</v>
      </c>
      <c r="BP88" s="137"/>
      <c r="BQ88" s="137"/>
      <c r="BR88" s="137"/>
      <c r="BS88" s="137"/>
      <c r="BV88" s="262">
        <v>3.4592817400101166</v>
      </c>
      <c r="BW88" s="136">
        <v>3.5895000000000001</v>
      </c>
      <c r="BX88" s="137">
        <v>0.24302572813017689</v>
      </c>
      <c r="BY88" s="137">
        <v>0.24384483559652501</v>
      </c>
      <c r="BZ88" s="137">
        <v>0.99843542330555957</v>
      </c>
      <c r="CA88" s="137">
        <v>5.4929303816937801E-2</v>
      </c>
      <c r="CB88" s="137">
        <v>0.73896386186516361</v>
      </c>
      <c r="CC88" s="258">
        <v>-0.09</v>
      </c>
      <c r="CD88" s="258">
        <v>0</v>
      </c>
      <c r="CE88" s="258">
        <v>0.04</v>
      </c>
      <c r="CF88" s="258">
        <v>0.04</v>
      </c>
      <c r="CG88" s="258">
        <v>0</v>
      </c>
      <c r="CH88" s="258">
        <v>3.2781175876200521</v>
      </c>
      <c r="CI88" s="258">
        <v>3.5095000000000001</v>
      </c>
      <c r="CJ88" s="258"/>
      <c r="CK88" s="258"/>
      <c r="CL88" s="258"/>
      <c r="CM88" s="258"/>
    </row>
    <row r="89" spans="1:91" x14ac:dyDescent="0.25">
      <c r="A89" s="723"/>
      <c r="B89" s="723"/>
      <c r="D89" s="31">
        <f t="shared" si="86"/>
        <v>39309</v>
      </c>
      <c r="F89" s="28">
        <f t="shared" si="70"/>
        <v>60000</v>
      </c>
      <c r="G89" s="28">
        <f t="shared" si="13"/>
        <v>44109.303673985691</v>
      </c>
      <c r="H89" s="52">
        <f t="shared" si="71"/>
        <v>3.4997470915528579</v>
      </c>
      <c r="I89" s="52">
        <f t="shared" si="72"/>
        <v>3.6295000000000002</v>
      </c>
      <c r="K89" s="52">
        <f t="shared" si="87"/>
        <v>2.9570437279935615</v>
      </c>
      <c r="L89" s="135">
        <f t="shared" si="88"/>
        <v>0.21942317472298889</v>
      </c>
      <c r="N89" s="131">
        <f t="shared" si="89"/>
        <v>0.24379319528881896</v>
      </c>
      <c r="O89" s="131">
        <f t="shared" si="90"/>
        <v>0.24467527428760702</v>
      </c>
      <c r="P89" s="55">
        <f t="shared" si="91"/>
        <v>0.99819128897747011</v>
      </c>
      <c r="Q89" s="135">
        <f>_xll.xSPRDOPT(I89,H89,AQ89,0,O89,N89,P89,D89-$G$5,1,0)*AH89*AU89</f>
        <v>3.1764669027165504</v>
      </c>
      <c r="R89" s="135"/>
      <c r="S89" s="181">
        <f>_xll.xSPRDOPT(I89,H89,AQ89,AT89,O89,N89,P89,D89-$G$5,1,2)*AF89*(F89/(1-AR89))*AH89</f>
        <v>-1166307.5864609941</v>
      </c>
      <c r="T89" s="181">
        <f>_xll.xSPRDOPT(I89,H89,AQ89,AT89,O89,N89,P89,D89-$G$5,1,1)*AF89*F89*AH89</f>
        <v>1163969.2750221121</v>
      </c>
      <c r="U89" s="135"/>
      <c r="V89" s="146">
        <f t="shared" si="73"/>
        <v>3.2612213671361316</v>
      </c>
      <c r="W89" s="146"/>
      <c r="X89" s="338">
        <f t="shared" si="74"/>
        <v>0</v>
      </c>
      <c r="Y89" s="338">
        <f t="shared" si="18"/>
        <v>0</v>
      </c>
      <c r="Z89" s="338">
        <f t="shared" si="19"/>
        <v>56.365089592841315</v>
      </c>
      <c r="AA89" s="338">
        <f t="shared" si="20"/>
        <v>1.1847491586153776</v>
      </c>
      <c r="AB89" s="338">
        <f t="shared" si="75"/>
        <v>0</v>
      </c>
      <c r="AC89" s="338">
        <f t="shared" si="76"/>
        <v>86.236138363089168</v>
      </c>
      <c r="AF89" s="138">
        <f t="shared" si="77"/>
        <v>1</v>
      </c>
      <c r="AG89" s="138">
        <f t="shared" si="78"/>
        <v>8</v>
      </c>
      <c r="AH89" s="138">
        <f t="shared" si="79"/>
        <v>31</v>
      </c>
      <c r="AI89" s="138">
        <f t="shared" si="92"/>
        <v>2053</v>
      </c>
      <c r="AJ89" s="138">
        <f t="shared" si="80"/>
        <v>2070</v>
      </c>
      <c r="AL89" s="136">
        <f t="shared" si="27"/>
        <v>3.5495000000000001</v>
      </c>
      <c r="AM89" s="258">
        <f t="shared" si="49"/>
        <v>-0.09</v>
      </c>
      <c r="AN89" s="258">
        <f t="shared" si="28"/>
        <v>0</v>
      </c>
      <c r="AO89" s="258">
        <f t="shared" si="29"/>
        <v>0.04</v>
      </c>
      <c r="AP89" s="258">
        <f t="shared" si="30"/>
        <v>0.04</v>
      </c>
      <c r="AQ89" s="136">
        <f t="shared" si="81"/>
        <v>0</v>
      </c>
      <c r="AR89" s="137">
        <f t="shared" si="32"/>
        <v>1.15E-2</v>
      </c>
      <c r="AS89" s="136">
        <f t="shared" si="93"/>
        <v>3.4595000000000002</v>
      </c>
      <c r="AT89" s="137">
        <f t="shared" si="82"/>
        <v>5.5113319928056501E-2</v>
      </c>
      <c r="AU89" s="137">
        <f t="shared" si="34"/>
        <v>0.73515506123309482</v>
      </c>
      <c r="AV89" s="394">
        <f t="shared" si="94"/>
        <v>15907.285214961707</v>
      </c>
      <c r="AW89" s="137">
        <f t="shared" si="35"/>
        <v>0.24</v>
      </c>
      <c r="AX89" s="137">
        <f t="shared" si="36"/>
        <v>0.55000000000000004</v>
      </c>
      <c r="AY89" s="137">
        <f t="shared" si="37"/>
        <v>0.6</v>
      </c>
      <c r="AZ89" s="137"/>
      <c r="BA89" s="264"/>
      <c r="BB89" s="258">
        <f t="shared" si="38"/>
        <v>0</v>
      </c>
      <c r="BC89" s="258">
        <f t="shared" si="83"/>
        <v>0</v>
      </c>
      <c r="BD89" s="137">
        <f t="shared" si="84"/>
        <v>5.4507285572880093E-6</v>
      </c>
      <c r="BE89" s="137">
        <f t="shared" si="85"/>
        <v>6.7062563282871412E-6</v>
      </c>
      <c r="BF89" s="137">
        <f>_xll.xSPRDOPT($BW89,$BV89,$CG89,0,$BY89,$BX89,$BZ89,$AJ89,1,4)*$CB89</f>
        <v>1.4187835132761302</v>
      </c>
      <c r="BG89" s="137">
        <f>_xll.xSPRDOPT($BW89,$BV89,$CG89,0,$BY89,$BX89,$BZ89,$AJ89,1,3)*$CB89</f>
        <v>1.31915500912718</v>
      </c>
      <c r="BH89" s="137">
        <f>IF(OR(BF89&lt;&gt;0,BG89&lt;&gt;0),_xll.xSPRDOPT($BW89,$BV89,$CG89,0,$BY89,$BX89,$BZ89,$AJ89,1,12)*$CB89,0)</f>
        <v>-1.3680605648541202</v>
      </c>
      <c r="BI89" s="137">
        <f>_xll.xSPRDOPT($BW89,$BV89,$CG89,2*LN(1+CA89/2),$BY89,$BX89,$BZ89,$AJ89,1,9)</f>
        <v>3.6894890634023821E-3</v>
      </c>
      <c r="BJ89" s="137">
        <f>_xll.xSPRDOPT($BW89,$BV89,$CG89,0,$BY89,$BX89,$BZ89,$AJ89,1,6)*$CB89</f>
        <v>-4.3226797556416729E-2</v>
      </c>
      <c r="BK89" s="137">
        <f>_xll.xSPRDOPT($BW89,$BV89,$CG89,0,$BY89,$BX89,$BZ89,$AJ89,1,5)*$CB89</f>
        <v>0.13011424115036913</v>
      </c>
      <c r="BL89" s="137">
        <f>_xll.xSPRDOPT(BW89,BV89,CG89,0,BY89,BX89,BZ89,AJ89,1,2)*CB89</f>
        <v>-0.62217930517390718</v>
      </c>
      <c r="BM89" s="137">
        <f>_xll.xSPRDOPT(BW89,BV89,CG89,0,BY89,BX89,BZ89,AJ89,1,1)*CB89</f>
        <v>0.62815570582370039</v>
      </c>
      <c r="BN89" s="137">
        <f>IF(AH89&lt;&gt;0,_xll.xSPRDOPT($BW89,$BV89,$CG89,2*LN(1+CA89/2),$BY89,$BX89,$BZ89,$AJ89,1,8)+(AJ89/365.25)*CH89/AH89,0)</f>
        <v>1.5487641900047144E-2</v>
      </c>
      <c r="BO89" s="137">
        <f>_xll.xSPRDOPT($BW89,$BV89,$CG89,0,$BY89,$BX89,$BZ89,$AJ89,1,0)</f>
        <v>0.13938105152931965</v>
      </c>
      <c r="BP89" s="137"/>
      <c r="BQ89" s="137"/>
      <c r="BR89" s="137"/>
      <c r="BS89" s="137"/>
      <c r="BV89" s="262">
        <v>3.4997470915528579</v>
      </c>
      <c r="BW89" s="136">
        <v>3.6295000000000002</v>
      </c>
      <c r="BX89" s="137">
        <v>0.24378774456026167</v>
      </c>
      <c r="BY89" s="137">
        <v>0.24466856803127873</v>
      </c>
      <c r="BZ89" s="137">
        <v>0.99819380940465163</v>
      </c>
      <c r="CA89" s="137">
        <v>5.5113319928056501E-2</v>
      </c>
      <c r="CB89" s="137">
        <v>0.73482685008391269</v>
      </c>
      <c r="CC89" s="258">
        <v>-0.09</v>
      </c>
      <c r="CD89" s="258">
        <v>0</v>
      </c>
      <c r="CE89" s="258">
        <v>0.04</v>
      </c>
      <c r="CF89" s="258">
        <v>0.04</v>
      </c>
      <c r="CG89" s="258">
        <v>0</v>
      </c>
      <c r="CH89" s="258">
        <v>3.2597653896572449</v>
      </c>
      <c r="CI89" s="258">
        <v>3.5495000000000001</v>
      </c>
      <c r="CJ89" s="258"/>
      <c r="CK89" s="258"/>
      <c r="CL89" s="258"/>
      <c r="CM89" s="258"/>
    </row>
    <row r="90" spans="1:91" x14ac:dyDescent="0.25">
      <c r="A90" s="723"/>
      <c r="B90" s="723"/>
      <c r="D90" s="31">
        <f t="shared" si="86"/>
        <v>39340</v>
      </c>
      <c r="F90" s="28">
        <f t="shared" si="70"/>
        <v>60000</v>
      </c>
      <c r="G90" s="28">
        <f t="shared" si="13"/>
        <v>43861.09752474424</v>
      </c>
      <c r="H90" s="52">
        <f t="shared" si="71"/>
        <v>3.4946889226100155</v>
      </c>
      <c r="I90" s="52">
        <f t="shared" si="72"/>
        <v>3.6245000000000003</v>
      </c>
      <c r="K90" s="52">
        <f t="shared" si="87"/>
        <v>2.8468281625971219</v>
      </c>
      <c r="L90" s="135">
        <f t="shared" si="88"/>
        <v>0.19993183924347813</v>
      </c>
      <c r="N90" s="131">
        <f t="shared" si="89"/>
        <v>0.24361879874988177</v>
      </c>
      <c r="O90" s="131">
        <f t="shared" si="90"/>
        <v>0.24446069021717548</v>
      </c>
      <c r="P90" s="55">
        <f t="shared" si="91"/>
        <v>0.99827203948368781</v>
      </c>
      <c r="Q90" s="135">
        <f>_xll.xSPRDOPT(I90,H90,AQ90,0,O90,N90,P90,D90-$G$5,1,0)*AH90*AU90</f>
        <v>3.0467600018406</v>
      </c>
      <c r="R90" s="135"/>
      <c r="S90" s="181">
        <f>_xll.xSPRDOPT(I90,H90,AQ90,AT90,O90,N90,P90,D90-$G$5,1,2)*AF90*(F90/(1-AR90))*AH90</f>
        <v>-1128224.8176225957</v>
      </c>
      <c r="T90" s="181">
        <f>_xll.xSPRDOPT(I90,H90,AQ90,AT90,O90,N90,P90,D90-$G$5,1,1)*AF90*F90*AH90</f>
        <v>1125526.7467630231</v>
      </c>
      <c r="U90" s="135"/>
      <c r="V90" s="146">
        <f t="shared" si="73"/>
        <v>3.1382615278954504</v>
      </c>
      <c r="W90" s="146"/>
      <c r="X90" s="338">
        <f t="shared" si="74"/>
        <v>0</v>
      </c>
      <c r="Y90" s="338">
        <f t="shared" si="18"/>
        <v>0</v>
      </c>
      <c r="Z90" s="338">
        <f t="shared" si="19"/>
        <v>55.65533479407803</v>
      </c>
      <c r="AA90" s="338">
        <f t="shared" si="20"/>
        <v>1.0338396059711408</v>
      </c>
      <c r="AB90" s="338">
        <f t="shared" si="75"/>
        <v>0</v>
      </c>
      <c r="AC90" s="338">
        <f t="shared" si="76"/>
        <v>82.990846005107059</v>
      </c>
      <c r="AF90" s="138">
        <f t="shared" si="77"/>
        <v>1</v>
      </c>
      <c r="AG90" s="138">
        <f t="shared" si="78"/>
        <v>9</v>
      </c>
      <c r="AH90" s="138">
        <f t="shared" si="79"/>
        <v>30</v>
      </c>
      <c r="AI90" s="138">
        <f t="shared" si="92"/>
        <v>2084</v>
      </c>
      <c r="AJ90" s="138">
        <f t="shared" si="80"/>
        <v>2101</v>
      </c>
      <c r="AL90" s="136">
        <f t="shared" si="27"/>
        <v>3.5445000000000002</v>
      </c>
      <c r="AM90" s="258">
        <f t="shared" si="49"/>
        <v>-0.09</v>
      </c>
      <c r="AN90" s="258">
        <f t="shared" si="28"/>
        <v>0</v>
      </c>
      <c r="AO90" s="258">
        <f t="shared" si="29"/>
        <v>0.04</v>
      </c>
      <c r="AP90" s="258">
        <f t="shared" si="30"/>
        <v>0.04</v>
      </c>
      <c r="AQ90" s="136">
        <f t="shared" si="81"/>
        <v>0</v>
      </c>
      <c r="AR90" s="137">
        <f t="shared" si="32"/>
        <v>1.15E-2</v>
      </c>
      <c r="AS90" s="136">
        <f t="shared" si="93"/>
        <v>3.4545000000000003</v>
      </c>
      <c r="AT90" s="137">
        <f t="shared" si="82"/>
        <v>5.5297336050453602E-2</v>
      </c>
      <c r="AU90" s="137">
        <f t="shared" si="34"/>
        <v>0.73101829207907065</v>
      </c>
      <c r="AV90" s="394">
        <f t="shared" si="94"/>
        <v>15307.523036135739</v>
      </c>
      <c r="AW90" s="137">
        <f t="shared" si="35"/>
        <v>0.24</v>
      </c>
      <c r="AX90" s="137">
        <f t="shared" si="36"/>
        <v>0.55000000000000004</v>
      </c>
      <c r="AY90" s="137">
        <f t="shared" si="37"/>
        <v>0.6</v>
      </c>
      <c r="AZ90" s="137"/>
      <c r="BA90" s="264"/>
      <c r="BB90" s="258">
        <f t="shared" si="38"/>
        <v>0</v>
      </c>
      <c r="BC90" s="258">
        <f t="shared" si="83"/>
        <v>0</v>
      </c>
      <c r="BD90" s="137">
        <f t="shared" si="84"/>
        <v>5.1264877626300276E-6</v>
      </c>
      <c r="BE90" s="137">
        <f t="shared" si="85"/>
        <v>6.3083491827486959E-6</v>
      </c>
      <c r="BF90" s="137">
        <f>_xll.xSPRDOPT($BW90,$BV90,$CG90,0,$BY90,$BX90,$BZ90,$AJ90,1,4)*$CB90</f>
        <v>1.4076825438261373</v>
      </c>
      <c r="BG90" s="137">
        <f>_xll.xSPRDOPT($BW90,$BV90,$CG90,0,$BY90,$BX90,$BZ90,$AJ90,1,3)*$CB90</f>
        <v>1.3086561193851547</v>
      </c>
      <c r="BH90" s="137">
        <f>IF(OR(BF90&lt;&gt;0,BG90&lt;&gt;0),_xll.xSPRDOPT($BW90,$BV90,$CG90,0,$BY90,$BX90,$BZ90,$AJ90,1,12)*$CB90,0)</f>
        <v>-1.3572645436301598</v>
      </c>
      <c r="BI90" s="137">
        <f>_xll.xSPRDOPT($BW90,$BV90,$CG90,2*LN(1+CA90/2),$BY90,$BX90,$BZ90,$AJ90,1,9)</f>
        <v>3.7644650062105553E-3</v>
      </c>
      <c r="BJ90" s="137">
        <f>_xll.xSPRDOPT($BW90,$BV90,$CG90,0,$BY90,$BX90,$BZ90,$AJ90,1,6)*$CB90</f>
        <v>-4.1424925589435627E-2</v>
      </c>
      <c r="BK90" s="137">
        <f>_xll.xSPRDOPT($BW90,$BV90,$CG90,0,$BY90,$BX90,$BZ90,$AJ90,1,5)*$CB90</f>
        <v>0.12471086935139231</v>
      </c>
      <c r="BL90" s="137">
        <f>_xll.xSPRDOPT(BW90,BV90,CG90,0,BY90,BX90,BZ90,AJ90,1,2)*CB90</f>
        <v>-0.62198190652892293</v>
      </c>
      <c r="BM90" s="137">
        <f>_xll.xSPRDOPT(BW90,BV90,CG90,0,BY90,BX90,BZ90,AJ90,1,1)*CB90</f>
        <v>0.62771318653340247</v>
      </c>
      <c r="BN90" s="137">
        <f>IF(AH90&lt;&gt;0,_xll.xSPRDOPT($BW90,$BV90,$CG90,2*LN(1+CA90/2),$BY90,$BX90,$BZ90,$AJ90,1,8)+(AJ90/365.25)*CH90/AH90,0)</f>
        <v>1.7536678873337874E-2</v>
      </c>
      <c r="BO90" s="137">
        <f>_xll.xSPRDOPT($BW90,$BV90,$CG90,0,$BY90,$BX90,$BZ90,$AJ90,1,0)</f>
        <v>0.13892767768353001</v>
      </c>
      <c r="BP90" s="137"/>
      <c r="BQ90" s="137"/>
      <c r="BR90" s="137"/>
      <c r="BS90" s="137"/>
      <c r="BV90" s="262">
        <v>3.4946889226100155</v>
      </c>
      <c r="BW90" s="136">
        <v>3.6245000000000003</v>
      </c>
      <c r="BX90" s="137">
        <v>0.24361367226211914</v>
      </c>
      <c r="BY90" s="137">
        <v>0.24445438186799273</v>
      </c>
      <c r="BZ90" s="137">
        <v>0.99827441660773442</v>
      </c>
      <c r="CA90" s="137">
        <v>5.5297336050453602E-2</v>
      </c>
      <c r="CB90" s="137">
        <v>0.73069085307622372</v>
      </c>
      <c r="CC90" s="258">
        <v>-0.09</v>
      </c>
      <c r="CD90" s="258">
        <v>0</v>
      </c>
      <c r="CE90" s="258">
        <v>0.04</v>
      </c>
      <c r="CF90" s="258">
        <v>0.04</v>
      </c>
      <c r="CG90" s="258">
        <v>0</v>
      </c>
      <c r="CH90" s="258">
        <v>3.1368558322562285</v>
      </c>
      <c r="CI90" s="258">
        <v>3.5445000000000002</v>
      </c>
      <c r="CJ90" s="258"/>
      <c r="CK90" s="258"/>
      <c r="CL90" s="258"/>
      <c r="CM90" s="258"/>
    </row>
    <row r="91" spans="1:91" x14ac:dyDescent="0.25">
      <c r="A91" s="723"/>
      <c r="B91" s="723"/>
      <c r="D91" s="31">
        <f t="shared" si="86"/>
        <v>39370</v>
      </c>
      <c r="F91" s="28">
        <f t="shared" si="70"/>
        <v>60000</v>
      </c>
      <c r="G91" s="28">
        <f t="shared" si="13"/>
        <v>43620.969301977457</v>
      </c>
      <c r="H91" s="52">
        <f t="shared" si="71"/>
        <v>3.5199797673242288</v>
      </c>
      <c r="I91" s="52">
        <f t="shared" si="72"/>
        <v>3.6495000000000002</v>
      </c>
      <c r="K91" s="52">
        <f t="shared" si="87"/>
        <v>2.9190623483263138</v>
      </c>
      <c r="L91" s="135">
        <f t="shared" si="88"/>
        <v>0.27650325062695913</v>
      </c>
      <c r="N91" s="131">
        <f t="shared" si="89"/>
        <v>0.24454259356141442</v>
      </c>
      <c r="O91" s="131">
        <f t="shared" si="90"/>
        <v>0.24547097396802822</v>
      </c>
      <c r="P91" s="55">
        <f t="shared" si="91"/>
        <v>0.99796403353704954</v>
      </c>
      <c r="Q91" s="135">
        <f>_xll.xSPRDOPT(I91,H91,AQ91,0,O91,N91,P91,D91-$G$5,1,0)*AH91*AU91</f>
        <v>3.195565598953273</v>
      </c>
      <c r="R91" s="135"/>
      <c r="S91" s="181">
        <f>_xll.xSPRDOPT(I91,H91,AQ91,AT91,O91,N91,P91,D91-$G$5,1,2)*AF91*(F91/(1-AR91))*AH91</f>
        <v>-1124459.7824443702</v>
      </c>
      <c r="T91" s="181">
        <f>_xll.xSPRDOPT(I91,H91,AQ91,AT91,O91,N91,P91,D91-$G$5,1,1)*AF91*F91*AH91</f>
        <v>1124386.8141037812</v>
      </c>
      <c r="U91" s="135"/>
      <c r="V91" s="146">
        <f t="shared" si="73"/>
        <v>3.225116365341703</v>
      </c>
      <c r="W91" s="146"/>
      <c r="X91" s="338">
        <f t="shared" si="74"/>
        <v>0</v>
      </c>
      <c r="Y91" s="338">
        <f t="shared" si="18"/>
        <v>0</v>
      </c>
      <c r="Z91" s="338">
        <f t="shared" si="19"/>
        <v>53.572464462730842</v>
      </c>
      <c r="AA91" s="338">
        <f t="shared" si="20"/>
        <v>1.535499353997366</v>
      </c>
      <c r="AB91" s="338">
        <f t="shared" si="75"/>
        <v>0</v>
      </c>
      <c r="AC91" s="338">
        <f t="shared" si="76"/>
        <v>87.324367172890788</v>
      </c>
      <c r="AF91" s="138">
        <f t="shared" si="77"/>
        <v>1</v>
      </c>
      <c r="AG91" s="138">
        <f t="shared" si="78"/>
        <v>10</v>
      </c>
      <c r="AH91" s="138">
        <f t="shared" si="79"/>
        <v>31</v>
      </c>
      <c r="AI91" s="138">
        <f t="shared" si="92"/>
        <v>2114</v>
      </c>
      <c r="AJ91" s="138">
        <f t="shared" si="80"/>
        <v>2131</v>
      </c>
      <c r="AL91" s="136">
        <f t="shared" si="27"/>
        <v>3.5695000000000001</v>
      </c>
      <c r="AM91" s="258">
        <f t="shared" si="49"/>
        <v>-0.09</v>
      </c>
      <c r="AN91" s="258">
        <f t="shared" si="28"/>
        <v>0</v>
      </c>
      <c r="AO91" s="258">
        <f t="shared" si="29"/>
        <v>0.04</v>
      </c>
      <c r="AP91" s="258">
        <f t="shared" si="30"/>
        <v>0.04</v>
      </c>
      <c r="AQ91" s="136">
        <f t="shared" si="81"/>
        <v>0</v>
      </c>
      <c r="AR91" s="137">
        <f t="shared" si="32"/>
        <v>1.15E-2</v>
      </c>
      <c r="AS91" s="136">
        <f t="shared" si="93"/>
        <v>3.4795000000000003</v>
      </c>
      <c r="AT91" s="137">
        <f t="shared" si="82"/>
        <v>5.5475416179639102E-2</v>
      </c>
      <c r="AU91" s="137">
        <f t="shared" si="34"/>
        <v>0.72701615503295758</v>
      </c>
      <c r="AV91" s="394">
        <f t="shared" si="94"/>
        <v>15731.175562603135</v>
      </c>
      <c r="AW91" s="137">
        <f t="shared" si="35"/>
        <v>0.24</v>
      </c>
      <c r="AX91" s="137">
        <f t="shared" si="36"/>
        <v>0.6</v>
      </c>
      <c r="AY91" s="137">
        <f t="shared" si="37"/>
        <v>0.65</v>
      </c>
      <c r="AZ91" s="137"/>
      <c r="BA91" s="264"/>
      <c r="BB91" s="258">
        <f t="shared" si="38"/>
        <v>0</v>
      </c>
      <c r="BC91" s="258">
        <f t="shared" si="83"/>
        <v>0</v>
      </c>
      <c r="BD91" s="137">
        <f t="shared" si="84"/>
        <v>6.3312457022346447E-6</v>
      </c>
      <c r="BE91" s="137">
        <f t="shared" si="85"/>
        <v>7.6109124000078854E-6</v>
      </c>
      <c r="BF91" s="137">
        <f>_xll.xSPRDOPT($BW91,$BV91,$CG91,0,$BY91,$BX91,$BZ91,$AJ91,1,4)*$CB91</f>
        <v>1.4046054998120587</v>
      </c>
      <c r="BG91" s="137">
        <f>_xll.xSPRDOPT($BW91,$BV91,$CG91,0,$BY91,$BX91,$BZ91,$AJ91,1,3)*$CB91</f>
        <v>1.3066760778868551</v>
      </c>
      <c r="BH91" s="137">
        <f>IF(OR(BF91&lt;&gt;0,BG91&lt;&gt;0),_xll.xSPRDOPT($BW91,$BV91,$CG91,0,$BY91,$BX91,$BZ91,$AJ91,1,12)*$CB91,0)</f>
        <v>-1.354754022574636</v>
      </c>
      <c r="BI91" s="137">
        <f>_xll.xSPRDOPT($BW91,$BV91,$CG91,2*LN(1+CA91/2),$BY91,$BX91,$BZ91,$AJ91,1,9)</f>
        <v>3.5066922302889672E-3</v>
      </c>
      <c r="BJ91" s="137">
        <f>_xll.xSPRDOPT($BW91,$BV91,$CG91,0,$BY91,$BX91,$BZ91,$AJ91,1,6)*$CB91</f>
        <v>-4.3461528644250715E-2</v>
      </c>
      <c r="BK91" s="137">
        <f>_xll.xSPRDOPT($BW91,$BV91,$CG91,0,$BY91,$BX91,$BZ91,$AJ91,1,5)*$CB91</f>
        <v>0.14462167552154165</v>
      </c>
      <c r="BL91" s="137">
        <f>_xll.xSPRDOPT(BW91,BV91,CG91,0,BY91,BX91,BZ91,AJ91,1,2)*CB91</f>
        <v>-0.59996217171239052</v>
      </c>
      <c r="BM91" s="137">
        <f>_xll.xSPRDOPT(BW91,BV91,CG91,0,BY91,BX91,BZ91,AJ91,1,1)*CB91</f>
        <v>0.6069026267734724</v>
      </c>
      <c r="BN91" s="137">
        <f>IF(AH91&lt;&gt;0,_xll.xSPRDOPT($BW91,$BV91,$CG91,2*LN(1+CA91/2),$BY91,$BX91,$BZ91,$AJ91,1,8)+(AJ91/365.25)*CH91/AH91,0)</f>
        <v>5.5590357880127561E-3</v>
      </c>
      <c r="BO91" s="137">
        <f>_xll.xSPRDOPT($BW91,$BV91,$CG91,0,$BY91,$BX91,$BZ91,$AJ91,1,0)</f>
        <v>0.14178883491751867</v>
      </c>
      <c r="BP91" s="137"/>
      <c r="BQ91" s="137"/>
      <c r="BR91" s="137"/>
      <c r="BS91" s="137"/>
      <c r="BV91" s="262">
        <v>3.5199797673242288</v>
      </c>
      <c r="BW91" s="136">
        <v>3.6495000000000002</v>
      </c>
      <c r="BX91" s="137">
        <v>0.24453626231571218</v>
      </c>
      <c r="BY91" s="137">
        <v>0.24546336305562821</v>
      </c>
      <c r="BZ91" s="137">
        <v>0.99796677237595388</v>
      </c>
      <c r="CA91" s="137">
        <v>5.5475416179639102E-2</v>
      </c>
      <c r="CB91" s="137">
        <v>0.72668947440852616</v>
      </c>
      <c r="CC91" s="258">
        <v>-0.09</v>
      </c>
      <c r="CD91" s="258">
        <v>0</v>
      </c>
      <c r="CE91" s="258">
        <v>0.04</v>
      </c>
      <c r="CF91" s="258">
        <v>0.04</v>
      </c>
      <c r="CG91" s="258">
        <v>0</v>
      </c>
      <c r="CH91" s="258">
        <v>3.2236671774236627</v>
      </c>
      <c r="CI91" s="258">
        <v>3.5695000000000001</v>
      </c>
      <c r="CJ91" s="258"/>
      <c r="CK91" s="258"/>
      <c r="CL91" s="258"/>
      <c r="CM91" s="258"/>
    </row>
    <row r="92" spans="1:91" x14ac:dyDescent="0.25">
      <c r="A92" s="723"/>
      <c r="B92" s="723"/>
      <c r="D92" s="31">
        <f t="shared" si="86"/>
        <v>39401</v>
      </c>
      <c r="F92" s="28">
        <f t="shared" si="70"/>
        <v>60000</v>
      </c>
      <c r="G92" s="28">
        <f t="shared" si="13"/>
        <v>43372.924812692472</v>
      </c>
      <c r="H92" s="52">
        <f t="shared" si="71"/>
        <v>3.7951441578148706</v>
      </c>
      <c r="I92" s="52">
        <f t="shared" si="72"/>
        <v>3.8864999999999998</v>
      </c>
      <c r="K92" s="52">
        <f t="shared" si="87"/>
        <v>1.9811850371479056</v>
      </c>
      <c r="L92" s="135">
        <f t="shared" si="88"/>
        <v>0.93505739078152672</v>
      </c>
      <c r="N92" s="131">
        <f t="shared" si="89"/>
        <v>0.25064915718988567</v>
      </c>
      <c r="O92" s="131">
        <f t="shared" si="90"/>
        <v>0.24828299266048096</v>
      </c>
      <c r="P92" s="55">
        <f t="shared" si="91"/>
        <v>0.99627324941456885</v>
      </c>
      <c r="Q92" s="135">
        <f>_xll.xSPRDOPT(I92,H92,AQ92,0,O92,N92,P92,D92-$G$5,1,0)*AH92*AU92</f>
        <v>2.9162424279294323</v>
      </c>
      <c r="R92" s="135"/>
      <c r="S92" s="181">
        <f>_xll.xSPRDOPT(I92,H92,AQ92,AT92,O92,N92,P92,D92-$G$5,1,2)*AF92*(F92/(1-AR92))*AH92</f>
        <v>-870985.26248274511</v>
      </c>
      <c r="T92" s="181">
        <f>_xll.xSPRDOPT(I92,H92,AQ92,AT92,O92,N92,P92,D92-$G$5,1,1)*AF92*F92*AH92</f>
        <v>885550.2233423572</v>
      </c>
      <c r="U92" s="135"/>
      <c r="V92" s="146">
        <f t="shared" si="73"/>
        <v>3.1033327703481466</v>
      </c>
      <c r="W92" s="146"/>
      <c r="X92" s="338">
        <f t="shared" si="74"/>
        <v>0</v>
      </c>
      <c r="Y92" s="338">
        <f t="shared" si="18"/>
        <v>0</v>
      </c>
      <c r="Z92" s="338">
        <f t="shared" si="19"/>
        <v>13.115746759546182</v>
      </c>
      <c r="AA92" s="338">
        <f t="shared" si="20"/>
        <v>6.3400041024169571</v>
      </c>
      <c r="AB92" s="338">
        <f t="shared" si="75"/>
        <v>0</v>
      </c>
      <c r="AC92" s="338">
        <f t="shared" si="76"/>
        <v>79.955606629800855</v>
      </c>
      <c r="AF92" s="138">
        <f t="shared" si="77"/>
        <v>1</v>
      </c>
      <c r="AG92" s="138">
        <f t="shared" si="78"/>
        <v>11</v>
      </c>
      <c r="AH92" s="138">
        <f t="shared" si="79"/>
        <v>30</v>
      </c>
      <c r="AI92" s="138">
        <f t="shared" si="92"/>
        <v>2145</v>
      </c>
      <c r="AJ92" s="138">
        <f t="shared" si="80"/>
        <v>2162</v>
      </c>
      <c r="AL92" s="136">
        <f t="shared" si="27"/>
        <v>3.7214999999999998</v>
      </c>
      <c r="AM92" s="258">
        <f t="shared" si="49"/>
        <v>0</v>
      </c>
      <c r="AN92" s="258">
        <f t="shared" si="28"/>
        <v>0.03</v>
      </c>
      <c r="AO92" s="258">
        <f t="shared" si="29"/>
        <v>0.13</v>
      </c>
      <c r="AP92" s="258">
        <f t="shared" si="30"/>
        <v>3.5000000000000003E-2</v>
      </c>
      <c r="AQ92" s="136">
        <f t="shared" si="81"/>
        <v>0</v>
      </c>
      <c r="AR92" s="137">
        <f t="shared" si="32"/>
        <v>1.15E-2</v>
      </c>
      <c r="AS92" s="136">
        <f t="shared" si="93"/>
        <v>3.7514999999999996</v>
      </c>
      <c r="AT92" s="137">
        <f t="shared" si="82"/>
        <v>5.5659432324225197E-2</v>
      </c>
      <c r="AU92" s="137">
        <f t="shared" si="34"/>
        <v>0.72288208021154121</v>
      </c>
      <c r="AV92" s="394">
        <f t="shared" si="94"/>
        <v>15137.150759629672</v>
      </c>
      <c r="AW92" s="137">
        <f t="shared" si="35"/>
        <v>0.24</v>
      </c>
      <c r="AX92" s="137">
        <f t="shared" si="36"/>
        <v>0.9</v>
      </c>
      <c r="AY92" s="137">
        <f t="shared" si="37"/>
        <v>0.8</v>
      </c>
      <c r="AZ92" s="137"/>
      <c r="BA92" s="264"/>
      <c r="BB92" s="258">
        <f t="shared" si="38"/>
        <v>0</v>
      </c>
      <c r="BC92" s="258">
        <f t="shared" si="83"/>
        <v>0</v>
      </c>
      <c r="BD92" s="137">
        <f t="shared" si="84"/>
        <v>1.4456638134985322E-5</v>
      </c>
      <c r="BE92" s="137">
        <f t="shared" si="85"/>
        <v>1.1296828160367589E-5</v>
      </c>
      <c r="BF92" s="137">
        <f>_xll.xSPRDOPT($BW92,$BV92,$CG92,0,$BY92,$BX92,$BZ92,$AJ92,1,4)*$CB92</f>
        <v>1.3172498131426846</v>
      </c>
      <c r="BG92" s="137">
        <f>_xll.xSPRDOPT($BW92,$BV92,$CG92,0,$BY92,$BX92,$BZ92,$AJ92,1,3)*$CB92</f>
        <v>1.2560511866653579</v>
      </c>
      <c r="BH92" s="137">
        <f>IF(OR(BF92&lt;&gt;0,BG92&lt;&gt;0),_xll.xSPRDOPT($BW92,$BV92,$CG92,0,$BY92,$BX92,$BZ92,$AJ92,1,12)*$CB92,0)</f>
        <v>-1.2862874679063603</v>
      </c>
      <c r="BI92" s="137">
        <f>_xll.xSPRDOPT($BW92,$BV92,$CG92,2*LN(1+CA92/2),$BY92,$BX92,$BZ92,$AJ92,1,9)</f>
        <v>8.8713453776374882E-4</v>
      </c>
      <c r="BJ92" s="137">
        <f>_xll.xSPRDOPT($BW92,$BV92,$CG92,0,$BY92,$BX92,$BZ92,$AJ92,1,6)*$CB92</f>
        <v>0.36913356644913864</v>
      </c>
      <c r="BK92" s="137">
        <f>_xll.xSPRDOPT($BW92,$BV92,$CG92,0,$BY92,$BX92,$BZ92,$AJ92,1,5)*$CB92</f>
        <v>-0.16059427181992023</v>
      </c>
      <c r="BL92" s="137">
        <f>_xll.xSPRDOPT(BW92,BV92,CG92,0,BY92,BX92,BZ92,AJ92,1,2)*CB92</f>
        <v>-0.48025422363239656</v>
      </c>
      <c r="BM92" s="137">
        <f>_xll.xSPRDOPT(BW92,BV92,CG92,0,BY92,BX92,BZ92,AJ92,1,1)*CB92</f>
        <v>0.49396583869067739</v>
      </c>
      <c r="BN92" s="137">
        <f>IF(AH92&lt;&gt;0,_xll.xSPRDOPT($BW92,$BV92,$CG92,2*LN(1+CA92/2),$BY92,$BX92,$BZ92,$AJ92,1,8)+(AJ92/365.25)*CH92/AH92,0)</f>
        <v>3.6897638355430251E-2</v>
      </c>
      <c r="BO92" s="137">
        <f>_xll.xSPRDOPT($BW92,$BV92,$CG92,0,$BY92,$BX92,$BZ92,$AJ92,1,0)</f>
        <v>0.13447296666436637</v>
      </c>
      <c r="BP92" s="137"/>
      <c r="BQ92" s="137"/>
      <c r="BR92" s="137"/>
      <c r="BS92" s="137"/>
      <c r="BV92" s="262">
        <v>3.7951441578148706</v>
      </c>
      <c r="BW92" s="136">
        <v>3.8864999999999998</v>
      </c>
      <c r="BX92" s="137">
        <v>0.25063470055175069</v>
      </c>
      <c r="BY92" s="137">
        <v>0.24827169583232059</v>
      </c>
      <c r="BZ92" s="137">
        <v>0.99627797659044626</v>
      </c>
      <c r="CA92" s="137">
        <v>5.5659432324225197E-2</v>
      </c>
      <c r="CB92" s="137">
        <v>0.72255619464132093</v>
      </c>
      <c r="CC92" s="258">
        <v>0</v>
      </c>
      <c r="CD92" s="258">
        <v>0.03</v>
      </c>
      <c r="CE92" s="258">
        <v>0.13</v>
      </c>
      <c r="CF92" s="258">
        <v>3.5000000000000003E-2</v>
      </c>
      <c r="CG92" s="258">
        <v>0</v>
      </c>
      <c r="CH92" s="258">
        <v>3.101933743595191</v>
      </c>
      <c r="CI92" s="258">
        <v>3.7214999999999998</v>
      </c>
      <c r="CJ92" s="258"/>
      <c r="CK92" s="258"/>
      <c r="CL92" s="258"/>
      <c r="CM92" s="258"/>
    </row>
    <row r="93" spans="1:91" x14ac:dyDescent="0.25">
      <c r="A93" s="723"/>
      <c r="B93" s="723"/>
      <c r="D93" s="31">
        <f t="shared" si="86"/>
        <v>39431</v>
      </c>
      <c r="F93" s="28">
        <f t="shared" si="70"/>
        <v>60000</v>
      </c>
      <c r="G93" s="28">
        <f t="shared" si="13"/>
        <v>43132.98058137764</v>
      </c>
      <c r="H93" s="52">
        <f t="shared" si="71"/>
        <v>3.9448659585230144</v>
      </c>
      <c r="I93" s="52">
        <f t="shared" si="72"/>
        <v>4.0294999999999996</v>
      </c>
      <c r="K93" s="52">
        <f t="shared" si="87"/>
        <v>1.8861012082343298</v>
      </c>
      <c r="L93" s="135">
        <f t="shared" si="88"/>
        <v>1.5266185087599897</v>
      </c>
      <c r="N93" s="131">
        <f t="shared" si="89"/>
        <v>0.25797372948394875</v>
      </c>
      <c r="O93" s="131">
        <f t="shared" si="90"/>
        <v>0.25642619595895139</v>
      </c>
      <c r="P93" s="55">
        <f t="shared" si="91"/>
        <v>0.99447185283831785</v>
      </c>
      <c r="Q93" s="135">
        <f>_xll.xSPRDOPT(I93,H93,AQ93,0,O93,N93,P93,D93-$G$5,1,0)*AH93*AU93</f>
        <v>3.4127197169943195</v>
      </c>
      <c r="R93" s="135"/>
      <c r="S93" s="181">
        <f>_xll.xSPRDOPT(I93,H93,AQ93,AT93,O93,N93,P93,D93-$G$5,1,2)*AF93*(F93/(1-AR93))*AH93</f>
        <v>-825291.73340821883</v>
      </c>
      <c r="T93" s="181">
        <f>_xll.xSPRDOPT(I93,H93,AQ93,AT93,O93,N93,P93,D93-$G$5,1,1)*AF93*F93*AH93</f>
        <v>849249.56268971192</v>
      </c>
      <c r="U93" s="135"/>
      <c r="V93" s="146">
        <f t="shared" si="73"/>
        <v>3.1890369192841557</v>
      </c>
      <c r="W93" s="146"/>
      <c r="X93" s="338">
        <f t="shared" si="74"/>
        <v>0</v>
      </c>
      <c r="Y93" s="338">
        <f t="shared" si="18"/>
        <v>0</v>
      </c>
      <c r="Z93" s="338">
        <f t="shared" si="19"/>
        <v>0.97971934418024931</v>
      </c>
      <c r="AA93" s="338">
        <f t="shared" si="20"/>
        <v>12.353483033256337</v>
      </c>
      <c r="AB93" s="338">
        <f t="shared" si="75"/>
        <v>0</v>
      </c>
      <c r="AC93" s="338">
        <f t="shared" si="76"/>
        <v>93.866937616362932</v>
      </c>
      <c r="AF93" s="138">
        <f t="shared" si="77"/>
        <v>1</v>
      </c>
      <c r="AG93" s="138">
        <f t="shared" si="78"/>
        <v>12</v>
      </c>
      <c r="AH93" s="138">
        <f t="shared" si="79"/>
        <v>31</v>
      </c>
      <c r="AI93" s="138">
        <f t="shared" si="92"/>
        <v>2175</v>
      </c>
      <c r="AJ93" s="138">
        <f t="shared" si="80"/>
        <v>2192</v>
      </c>
      <c r="AL93" s="136">
        <f t="shared" si="27"/>
        <v>3.8645</v>
      </c>
      <c r="AM93" s="258">
        <f t="shared" si="49"/>
        <v>5.0000000000000001E-3</v>
      </c>
      <c r="AN93" s="258">
        <f t="shared" si="28"/>
        <v>0.03</v>
      </c>
      <c r="AO93" s="258">
        <f t="shared" si="29"/>
        <v>0.13</v>
      </c>
      <c r="AP93" s="258">
        <f t="shared" si="30"/>
        <v>3.5000000000000003E-2</v>
      </c>
      <c r="AQ93" s="136">
        <f t="shared" si="81"/>
        <v>0</v>
      </c>
      <c r="AR93" s="137">
        <f t="shared" si="32"/>
        <v>1.15E-2</v>
      </c>
      <c r="AS93" s="136">
        <f t="shared" si="93"/>
        <v>3.8994999999999997</v>
      </c>
      <c r="AT93" s="137">
        <f t="shared" si="82"/>
        <v>5.5837512474881598E-2</v>
      </c>
      <c r="AU93" s="137">
        <f t="shared" si="34"/>
        <v>0.71888300968962737</v>
      </c>
      <c r="AV93" s="394">
        <f t="shared" si="94"/>
        <v>15555.190563664157</v>
      </c>
      <c r="AW93" s="137">
        <f t="shared" si="35"/>
        <v>0.24</v>
      </c>
      <c r="AX93" s="137">
        <f t="shared" si="36"/>
        <v>1.1499999999999999</v>
      </c>
      <c r="AY93" s="137">
        <f t="shared" si="37"/>
        <v>1.1000000000000001</v>
      </c>
      <c r="AZ93" s="137"/>
      <c r="BA93" s="264"/>
      <c r="BB93" s="258">
        <f t="shared" si="38"/>
        <v>0</v>
      </c>
      <c r="BC93" s="258">
        <f t="shared" si="83"/>
        <v>0</v>
      </c>
      <c r="BD93" s="137">
        <f t="shared" si="84"/>
        <v>2.372699527458666E-5</v>
      </c>
      <c r="BE93" s="137">
        <f t="shared" si="85"/>
        <v>2.1747099282098947E-5</v>
      </c>
      <c r="BF93" s="137">
        <f>_xll.xSPRDOPT($BW93,$BV93,$CG93,0,$BY93,$BX93,$BZ93,$AJ93,1,4)*$CB93</f>
        <v>1.0515967094048293</v>
      </c>
      <c r="BG93" s="137">
        <f>_xll.xSPRDOPT($BW93,$BV93,$CG93,0,$BY93,$BX93,$BZ93,$AJ93,1,3)*$CB93</f>
        <v>1.007885935189943</v>
      </c>
      <c r="BH93" s="137">
        <f>IF(OR(BF93&lt;&gt;0,BG93&lt;&gt;0),_xll.xSPRDOPT($BW93,$BV93,$CG93,0,$BY93,$BX93,$BZ93,$AJ93,1,12)*$CB93,0)</f>
        <v>-1.0295096097324044</v>
      </c>
      <c r="BI93" s="137">
        <f>_xll.xSPRDOPT($BW93,$BV93,$CG93,2*LN(1+CA93/2),$BY93,$BX93,$BZ93,$AJ93,1,9)</f>
        <v>6.4129478577389966E-5</v>
      </c>
      <c r="BJ93" s="137">
        <f>_xll.xSPRDOPT($BW93,$BV93,$CG93,0,$BY93,$BX93,$BZ93,$AJ93,1,6)*$CB93</f>
        <v>0.29083919534757008</v>
      </c>
      <c r="BK93" s="137">
        <f>_xll.xSPRDOPT($BW93,$BV93,$CG93,0,$BY93,$BX93,$BZ93,$AJ93,1,5)*$CB93</f>
        <v>-1.19134356979817E-2</v>
      </c>
      <c r="BL93" s="137">
        <f>_xll.xSPRDOPT(BW93,BV93,CG93,0,BY93,BX93,BZ93,AJ93,1,2)*CB93</f>
        <v>-0.44041947032339723</v>
      </c>
      <c r="BM93" s="137">
        <f>_xll.xSPRDOPT(BW93,BV93,CG93,0,BY93,BX93,BZ93,AJ93,1,1)*CB93</f>
        <v>0.45847713771687043</v>
      </c>
      <c r="BN93" s="137">
        <f>IF(AH93&lt;&gt;0,_xll.xSPRDOPT($BW93,$BV93,$CG93,2*LN(1+CA93/2),$BY93,$BX93,$BZ93,$AJ93,1,8)+(AJ93/365.25)*CH93/AH93,0)</f>
        <v>-4.3283941269957049E-2</v>
      </c>
      <c r="BO93" s="137">
        <f>_xll.xSPRDOPT($BW93,$BV93,$CG93,0,$BY93,$BX93,$BZ93,$AJ93,1,0)</f>
        <v>0.15313724910696783</v>
      </c>
      <c r="BP93" s="137"/>
      <c r="BQ93" s="137"/>
      <c r="BR93" s="137"/>
      <c r="BS93" s="137"/>
      <c r="BV93" s="262">
        <v>3.9448659585230144</v>
      </c>
      <c r="BW93" s="136">
        <v>4.0294999999999996</v>
      </c>
      <c r="BX93" s="137">
        <v>0.25795000248867417</v>
      </c>
      <c r="BY93" s="137">
        <v>0.25640444885966929</v>
      </c>
      <c r="BZ93" s="137">
        <v>0.99447841594991815</v>
      </c>
      <c r="CA93" s="137">
        <v>5.5837512474881598E-2</v>
      </c>
      <c r="CB93" s="137">
        <v>0.71855790444499312</v>
      </c>
      <c r="CC93" s="258">
        <v>5.0000000000000001E-3</v>
      </c>
      <c r="CD93" s="258">
        <v>0.03</v>
      </c>
      <c r="CE93" s="258">
        <v>0.13</v>
      </c>
      <c r="CF93" s="258">
        <v>3.5000000000000003E-2</v>
      </c>
      <c r="CG93" s="258">
        <v>0</v>
      </c>
      <c r="CH93" s="258">
        <v>3.1875947199084336</v>
      </c>
      <c r="CI93" s="258">
        <v>3.8645</v>
      </c>
      <c r="CJ93" s="258"/>
      <c r="CK93" s="258"/>
      <c r="CL93" s="258"/>
      <c r="CM93" s="258"/>
    </row>
    <row r="94" spans="1:91" x14ac:dyDescent="0.25">
      <c r="A94" s="723"/>
      <c r="B94" s="723"/>
      <c r="D94" s="31">
        <f t="shared" si="86"/>
        <v>39462</v>
      </c>
      <c r="F94" s="28">
        <f t="shared" si="70"/>
        <v>60000</v>
      </c>
      <c r="G94" s="28">
        <f t="shared" si="13"/>
        <v>42885.154498391392</v>
      </c>
      <c r="H94" s="52">
        <f t="shared" si="71"/>
        <v>4.0156803237228118</v>
      </c>
      <c r="I94" s="52">
        <f t="shared" si="72"/>
        <v>4.0795000000000003</v>
      </c>
      <c r="K94" s="52">
        <f t="shared" si="87"/>
        <v>1.4140736165453534</v>
      </c>
      <c r="L94" s="135">
        <f t="shared" si="88"/>
        <v>1.7319132837313502</v>
      </c>
      <c r="N94" s="131">
        <f t="shared" si="89"/>
        <v>0.2577315382377286</v>
      </c>
      <c r="O94" s="131">
        <f t="shared" si="90"/>
        <v>0.25620422165928242</v>
      </c>
      <c r="P94" s="55">
        <f t="shared" si="91"/>
        <v>0.99453892840883129</v>
      </c>
      <c r="Q94" s="135">
        <f>_xll.xSPRDOPT(I94,H94,AQ94,0,O94,N94,P94,D94-$G$5,1,0)*AH94*AU94</f>
        <v>3.1459869002767036</v>
      </c>
      <c r="R94" s="135"/>
      <c r="S94" s="181">
        <f>_xll.xSPRDOPT(I94,H94,AQ94,AT94,O94,N94,P94,D94-$G$5,1,2)*AF94*(F94/(1-AR94))*AH94</f>
        <v>-777823.66704093269</v>
      </c>
      <c r="T94" s="181">
        <f>_xll.xSPRDOPT(I94,H94,AQ94,AT94,O94,N94,P94,D94-$G$5,1,1)*AF94*F94*AH94</f>
        <v>802904.3998358394</v>
      </c>
      <c r="U94" s="135"/>
      <c r="V94" s="146">
        <f t="shared" si="73"/>
        <v>3.1707138978385676</v>
      </c>
      <c r="W94" s="146"/>
      <c r="X94" s="338">
        <f t="shared" si="74"/>
        <v>0</v>
      </c>
      <c r="Y94" s="338">
        <f t="shared" si="18"/>
        <v>0</v>
      </c>
      <c r="Z94" s="338">
        <f t="shared" si="19"/>
        <v>-7.6637499829249887</v>
      </c>
      <c r="AA94" s="338">
        <f t="shared" si="20"/>
        <v>12.428702509048627</v>
      </c>
      <c r="AB94" s="338">
        <f t="shared" si="75"/>
        <v>0</v>
      </c>
      <c r="AC94" s="338">
        <f t="shared" si="76"/>
        <v>86.815486519240096</v>
      </c>
      <c r="AF94" s="138">
        <f t="shared" si="77"/>
        <v>1</v>
      </c>
      <c r="AG94" s="138">
        <f t="shared" si="78"/>
        <v>1</v>
      </c>
      <c r="AH94" s="138">
        <f t="shared" si="79"/>
        <v>31</v>
      </c>
      <c r="AI94" s="138">
        <f t="shared" si="92"/>
        <v>2206</v>
      </c>
      <c r="AJ94" s="138">
        <f t="shared" si="80"/>
        <v>2223</v>
      </c>
      <c r="AL94" s="136">
        <f t="shared" si="27"/>
        <v>3.9144999999999999</v>
      </c>
      <c r="AM94" s="258">
        <f t="shared" si="49"/>
        <v>2.5000000000000001E-2</v>
      </c>
      <c r="AN94" s="258">
        <f t="shared" si="28"/>
        <v>0.03</v>
      </c>
      <c r="AO94" s="258">
        <f t="shared" si="29"/>
        <v>0.13</v>
      </c>
      <c r="AP94" s="258">
        <f t="shared" si="30"/>
        <v>3.5000000000000003E-2</v>
      </c>
      <c r="AQ94" s="136">
        <f t="shared" si="81"/>
        <v>0</v>
      </c>
      <c r="AR94" s="137">
        <f t="shared" si="32"/>
        <v>1.15E-2</v>
      </c>
      <c r="AS94" s="136">
        <f t="shared" si="93"/>
        <v>3.9694999999999996</v>
      </c>
      <c r="AT94" s="137">
        <f t="shared" si="82"/>
        <v>5.60215286416526E-2</v>
      </c>
      <c r="AU94" s="137">
        <f t="shared" si="34"/>
        <v>0.71475257497318989</v>
      </c>
      <c r="AV94" s="394">
        <f t="shared" si="94"/>
        <v>15465.816217269883</v>
      </c>
      <c r="AW94" s="137">
        <f t="shared" si="35"/>
        <v>0.24</v>
      </c>
      <c r="AX94" s="137">
        <f t="shared" si="36"/>
        <v>1.1499999999999999</v>
      </c>
      <c r="AY94" s="137">
        <f t="shared" si="37"/>
        <v>1.1000000000000001</v>
      </c>
      <c r="AZ94" s="137"/>
      <c r="BA94" s="264"/>
      <c r="BB94" s="258">
        <f t="shared" si="38"/>
        <v>0</v>
      </c>
      <c r="BC94" s="258">
        <f t="shared" si="83"/>
        <v>0</v>
      </c>
      <c r="BD94" s="137">
        <f t="shared" si="84"/>
        <v>2.3091508878247957E-5</v>
      </c>
      <c r="BE94" s="137">
        <f t="shared" si="85"/>
        <v>2.1163092725207111E-5</v>
      </c>
      <c r="BF94" s="137">
        <f>_xll.xSPRDOPT($BW94,$BV94,$CG94,0,$BY94,$BX94,$BZ94,$AJ94,1,4)*$CB94</f>
        <v>1.0481055719580847</v>
      </c>
      <c r="BG94" s="137">
        <f>_xll.xSPRDOPT($BW94,$BV94,$CG94,0,$BY94,$BX94,$BZ94,$AJ94,1,3)*$CB94</f>
        <v>1.0155689308294729</v>
      </c>
      <c r="BH94" s="137">
        <f>IF(OR(BF94&lt;&gt;0,BG94&lt;&gt;0),_xll.xSPRDOPT($BW94,$BV94,$CG94,0,$BY94,$BX94,$BZ94,$AJ94,1,12)*$CB94,0)</f>
        <v>-1.0317084928904923</v>
      </c>
      <c r="BI94" s="137">
        <f>_xll.xSPRDOPT($BW94,$BV94,$CG94,2*LN(1+CA94/2),$BY94,$BX94,$BZ94,$AJ94,1,9)</f>
        <v>-5.0164600022640712E-4</v>
      </c>
      <c r="BJ94" s="137">
        <f>_xll.xSPRDOPT($BW94,$BV94,$CG94,0,$BY94,$BX94,$BZ94,$AJ94,1,6)*$CB94</f>
        <v>0.30068593958205347</v>
      </c>
      <c r="BK94" s="137">
        <f>_xll.xSPRDOPT($BW94,$BV94,$CG94,0,$BY94,$BX94,$BZ94,$AJ94,1,5)*$CB94</f>
        <v>-1.2341954159081342E-2</v>
      </c>
      <c r="BL94" s="137">
        <f>_xll.xSPRDOPT(BW94,BV94,CG94,0,BY94,BX94,BZ94,AJ94,1,2)*CB94</f>
        <v>-0.4151269800511348</v>
      </c>
      <c r="BM94" s="137">
        <f>_xll.xSPRDOPT(BW94,BV94,CG94,0,BY94,BX94,BZ94,AJ94,1,1)*CB94</f>
        <v>0.43349788328551603</v>
      </c>
      <c r="BN94" s="137">
        <f>IF(AH94&lt;&gt;0,_xll.xSPRDOPT($BW94,$BV94,$CG94,2*LN(1+CA94/2),$BY94,$BX94,$BZ94,$AJ94,1,8)+(AJ94/365.25)*CH94/AH94,0)</f>
        <v>4.8522528944361376E-3</v>
      </c>
      <c r="BO94" s="137">
        <f>_xll.xSPRDOPT($BW94,$BV94,$CG94,0,$BY94,$BX94,$BZ94,$AJ94,1,0)</f>
        <v>0.14198407361056614</v>
      </c>
      <c r="BP94" s="137"/>
      <c r="BQ94" s="137"/>
      <c r="BR94" s="137"/>
      <c r="BS94" s="137"/>
      <c r="BV94" s="262">
        <v>4.0156803237228118</v>
      </c>
      <c r="BW94" s="136">
        <v>4.0795000000000003</v>
      </c>
      <c r="BX94" s="137">
        <v>0.25770844672885035</v>
      </c>
      <c r="BY94" s="137">
        <v>0.25618305856655721</v>
      </c>
      <c r="BZ94" s="137">
        <v>0.99454533331122608</v>
      </c>
      <c r="CA94" s="137">
        <v>5.60215286416526E-2</v>
      </c>
      <c r="CB94" s="137">
        <v>0.71442828723099994</v>
      </c>
      <c r="CC94" s="258">
        <v>2.5000000000000001E-2</v>
      </c>
      <c r="CD94" s="258">
        <v>0.03</v>
      </c>
      <c r="CE94" s="258">
        <v>0.13</v>
      </c>
      <c r="CF94" s="258">
        <v>3.5000000000000003E-2</v>
      </c>
      <c r="CG94" s="258">
        <v>0</v>
      </c>
      <c r="CH94" s="258">
        <v>3.1692753249854384</v>
      </c>
      <c r="CI94" s="258">
        <v>3.9144999999999999</v>
      </c>
      <c r="CJ94" s="258"/>
      <c r="CK94" s="258"/>
      <c r="CL94" s="258"/>
      <c r="CM94" s="258"/>
    </row>
    <row r="95" spans="1:91" x14ac:dyDescent="0.25">
      <c r="A95" s="723"/>
      <c r="B95" s="723"/>
      <c r="D95" s="31">
        <f t="shared" si="86"/>
        <v>39493</v>
      </c>
      <c r="F95" s="28">
        <f t="shared" si="70"/>
        <v>60000</v>
      </c>
      <c r="G95" s="28">
        <f t="shared" si="13"/>
        <v>42637.46092054683</v>
      </c>
      <c r="H95" s="52">
        <f t="shared" si="71"/>
        <v>3.9246332827516435</v>
      </c>
      <c r="I95" s="52">
        <f t="shared" si="72"/>
        <v>3.9944999999999999</v>
      </c>
      <c r="K95" s="52">
        <f t="shared" si="87"/>
        <v>1.439820722723119</v>
      </c>
      <c r="L95" s="135">
        <f t="shared" si="88"/>
        <v>1.4466479078041281</v>
      </c>
      <c r="N95" s="131">
        <f t="shared" si="89"/>
        <v>0.25641011488063875</v>
      </c>
      <c r="O95" s="131">
        <f t="shared" si="90"/>
        <v>0.25499339211914523</v>
      </c>
      <c r="P95" s="55">
        <f t="shared" si="91"/>
        <v>0.99490817393011388</v>
      </c>
      <c r="Q95" s="135">
        <f>_xll.xSPRDOPT(I95,H95,AQ95,0,O95,N95,P95,D95-$G$5,1,0)*AH95*AU95</f>
        <v>2.8864686305272471</v>
      </c>
      <c r="R95" s="135"/>
      <c r="S95" s="181">
        <f>_xll.xSPRDOPT(I95,H95,AQ95,AT95,O95,N95,P95,D95-$G$5,1,2)*AF95*(F95/(1-AR95))*AH95</f>
        <v>-741946.91945826181</v>
      </c>
      <c r="T95" s="181">
        <f>_xll.xSPRDOPT(I95,H95,AQ95,AT95,O95,N95,P95,D95-$G$5,1,1)*AF95*F95*AH95</f>
        <v>763736.51236879069</v>
      </c>
      <c r="U95" s="135"/>
      <c r="V95" s="146">
        <f t="shared" si="73"/>
        <v>2.9490199845696221</v>
      </c>
      <c r="W95" s="146"/>
      <c r="X95" s="338">
        <f t="shared" si="74"/>
        <v>0</v>
      </c>
      <c r="Y95" s="338">
        <f t="shared" si="18"/>
        <v>0</v>
      </c>
      <c r="Z95" s="338">
        <f t="shared" si="19"/>
        <v>-1.4005243127640126</v>
      </c>
      <c r="AA95" s="338">
        <f t="shared" si="20"/>
        <v>9.9710101379903602</v>
      </c>
      <c r="AB95" s="338">
        <f t="shared" si="75"/>
        <v>0</v>
      </c>
      <c r="AC95" s="338">
        <f t="shared" si="76"/>
        <v>79.915423206008668</v>
      </c>
      <c r="AF95" s="138">
        <f t="shared" si="77"/>
        <v>1</v>
      </c>
      <c r="AG95" s="138">
        <f t="shared" si="78"/>
        <v>2</v>
      </c>
      <c r="AH95" s="138">
        <f t="shared" si="79"/>
        <v>29</v>
      </c>
      <c r="AI95" s="138">
        <f t="shared" si="92"/>
        <v>2237</v>
      </c>
      <c r="AJ95" s="138">
        <f t="shared" si="80"/>
        <v>2254</v>
      </c>
      <c r="AL95" s="136">
        <f t="shared" si="27"/>
        <v>3.8294999999999999</v>
      </c>
      <c r="AM95" s="258">
        <f t="shared" si="49"/>
        <v>0.02</v>
      </c>
      <c r="AN95" s="258">
        <f t="shared" si="28"/>
        <v>0.03</v>
      </c>
      <c r="AO95" s="258">
        <f t="shared" si="29"/>
        <v>0.13</v>
      </c>
      <c r="AP95" s="258">
        <f t="shared" si="30"/>
        <v>3.5000000000000003E-2</v>
      </c>
      <c r="AQ95" s="136">
        <f t="shared" si="81"/>
        <v>0</v>
      </c>
      <c r="AR95" s="137">
        <f t="shared" si="32"/>
        <v>1.15E-2</v>
      </c>
      <c r="AS95" s="136">
        <f t="shared" si="93"/>
        <v>3.8794999999999997</v>
      </c>
      <c r="AT95" s="137">
        <f t="shared" si="82"/>
        <v>5.62055448196963E-2</v>
      </c>
      <c r="AU95" s="137">
        <f t="shared" si="34"/>
        <v>0.7106243486757805</v>
      </c>
      <c r="AV95" s="394">
        <f t="shared" si="94"/>
        <v>14384.458065895149</v>
      </c>
      <c r="AW95" s="137">
        <f t="shared" si="35"/>
        <v>0.24</v>
      </c>
      <c r="AX95" s="137">
        <f t="shared" si="36"/>
        <v>1.1499999999999999</v>
      </c>
      <c r="AY95" s="137">
        <f t="shared" si="37"/>
        <v>1.1000000000000001</v>
      </c>
      <c r="AZ95" s="137"/>
      <c r="BA95" s="264"/>
      <c r="BB95" s="258">
        <f t="shared" si="38"/>
        <v>0</v>
      </c>
      <c r="BC95" s="258">
        <f t="shared" si="83"/>
        <v>0</v>
      </c>
      <c r="BD95" s="137">
        <f t="shared" si="84"/>
        <v>2.1138589826164011E-5</v>
      </c>
      <c r="BE95" s="137">
        <f t="shared" si="85"/>
        <v>1.9365463018339302E-5</v>
      </c>
      <c r="BF95" s="137">
        <f>_xll.xSPRDOPT($BW95,$BV95,$CG95,0,$BY95,$BX95,$BZ95,$AJ95,1,4)*$CB95</f>
        <v>1.0927086565206066</v>
      </c>
      <c r="BG95" s="137">
        <f>_xll.xSPRDOPT($BW95,$BV95,$CG95,0,$BY95,$BX95,$BZ95,$AJ95,1,3)*$CB95</f>
        <v>1.0548183691133857</v>
      </c>
      <c r="BH95" s="137">
        <f>IF(OR(BF95&lt;&gt;0,BG95&lt;&gt;0),_xll.xSPRDOPT($BW95,$BV95,$CG95,0,$BY95,$BX95,$BZ95,$AJ95,1,12)*$CB95,0)</f>
        <v>-1.0735961581234814</v>
      </c>
      <c r="BI95" s="137">
        <f>_xll.xSPRDOPT($BW95,$BV95,$CG95,2*LN(1+CA95/2),$BY95,$BX95,$BZ95,$AJ95,1,9)</f>
        <v>-9.7996456941964669E-5</v>
      </c>
      <c r="BJ95" s="137">
        <f>_xll.xSPRDOPT($BW95,$BV95,$CG95,0,$BY95,$BX95,$BZ95,$AJ95,1,6)*$CB95</f>
        <v>0.28166818571610241</v>
      </c>
      <c r="BK95" s="137">
        <f>_xll.xSPRDOPT($BW95,$BV95,$CG95,0,$BY95,$BX95,$BZ95,$AJ95,1,5)*$CB95</f>
        <v>-1.1546465383995196E-2</v>
      </c>
      <c r="BL95" s="137">
        <f>_xll.xSPRDOPT(BW95,BV95,CG95,0,BY95,BX95,BZ95,AJ95,1,2)*CB95</f>
        <v>-0.42332854736801329</v>
      </c>
      <c r="BM95" s="137">
        <f>_xll.xSPRDOPT(BW95,BV95,CG95,0,BY95,BX95,BZ95,AJ95,1,1)*CB95</f>
        <v>0.44083046843749474</v>
      </c>
      <c r="BN95" s="137">
        <f>IF(AH95&lt;&gt;0,_xll.xSPRDOPT($BW95,$BV95,$CG95,2*LN(1+CA95/2),$BY95,$BX95,$BZ95,$AJ95,1,8)+(AJ95/365.25)*CH95/AH95,0)</f>
        <v>1.330462455590542E-2</v>
      </c>
      <c r="BO95" s="137">
        <f>_xll.xSPRDOPT($BW95,$BV95,$CG95,0,$BY95,$BX95,$BZ95,$AJ95,1,0)</f>
        <v>0.1400647352522702</v>
      </c>
      <c r="BP95" s="137"/>
      <c r="BQ95" s="137"/>
      <c r="BR95" s="137"/>
      <c r="BS95" s="137"/>
      <c r="BV95" s="262">
        <v>3.9246332827516435</v>
      </c>
      <c r="BW95" s="136">
        <v>3.9944999999999999</v>
      </c>
      <c r="BX95" s="137">
        <v>0.25638897629081259</v>
      </c>
      <c r="BY95" s="137">
        <v>0.2549740266561269</v>
      </c>
      <c r="BZ95" s="137">
        <v>0.99491412601159079</v>
      </c>
      <c r="CA95" s="137">
        <v>5.62055448196963E-2</v>
      </c>
      <c r="CB95" s="137">
        <v>0.71030088966628802</v>
      </c>
      <c r="CC95" s="258">
        <v>0.02</v>
      </c>
      <c r="CD95" s="258">
        <v>0.03</v>
      </c>
      <c r="CE95" s="258">
        <v>0.13</v>
      </c>
      <c r="CF95" s="258">
        <v>3.5000000000000003E-2</v>
      </c>
      <c r="CG95" s="258">
        <v>0</v>
      </c>
      <c r="CH95" s="258">
        <v>2.9476776620261291</v>
      </c>
      <c r="CI95" s="258">
        <v>3.8294999999999999</v>
      </c>
      <c r="CJ95" s="258"/>
      <c r="CK95" s="258"/>
      <c r="CL95" s="258"/>
      <c r="CM95" s="258"/>
    </row>
    <row r="96" spans="1:91" x14ac:dyDescent="0.25">
      <c r="A96" s="723"/>
      <c r="B96" s="723"/>
      <c r="D96" s="31">
        <f t="shared" si="86"/>
        <v>39522</v>
      </c>
      <c r="F96" s="28">
        <f t="shared" si="70"/>
        <v>60000</v>
      </c>
      <c r="G96" s="28">
        <f t="shared" si="13"/>
        <v>42405.880259898462</v>
      </c>
      <c r="H96" s="52">
        <f t="shared" si="71"/>
        <v>3.7728882144663629</v>
      </c>
      <c r="I96" s="52">
        <f t="shared" si="72"/>
        <v>3.8645</v>
      </c>
      <c r="K96" s="52">
        <f t="shared" si="87"/>
        <v>2.0071871773297056</v>
      </c>
      <c r="L96" s="135">
        <f t="shared" si="88"/>
        <v>0.87926808203593598</v>
      </c>
      <c r="N96" s="131">
        <f t="shared" si="89"/>
        <v>0.24445514291333376</v>
      </c>
      <c r="O96" s="131">
        <f t="shared" si="90"/>
        <v>0.24222161904514466</v>
      </c>
      <c r="P96" s="55">
        <f t="shared" si="91"/>
        <v>0.99654268144562197</v>
      </c>
      <c r="Q96" s="135">
        <f>_xll.xSPRDOPT(I96,H96,AQ96,0,O96,N96,P96,D96-$G$5,1,0)*AH96*AU96</f>
        <v>2.8864552593656416</v>
      </c>
      <c r="R96" s="135"/>
      <c r="S96" s="181">
        <f>_xll.xSPRDOPT(I96,H96,AQ96,AT96,O96,N96,P96,D96-$G$5,1,2)*AF96*(F96/(1-AR96))*AH96</f>
        <v>-889730.38777936855</v>
      </c>
      <c r="T96" s="181">
        <f>_xll.xSPRDOPT(I96,H96,AQ96,AT96,O96,N96,P96,D96-$G$5,1,1)*AF96*F96*AH96</f>
        <v>903246.35438776412</v>
      </c>
      <c r="U96" s="135"/>
      <c r="V96" s="146">
        <f t="shared" si="73"/>
        <v>3.1352787570155924</v>
      </c>
      <c r="W96" s="146"/>
      <c r="X96" s="338">
        <f t="shared" si="74"/>
        <v>0</v>
      </c>
      <c r="Y96" s="338">
        <f t="shared" si="18"/>
        <v>0</v>
      </c>
      <c r="Z96" s="338">
        <f t="shared" si="19"/>
        <v>19.222516182517356</v>
      </c>
      <c r="AA96" s="338">
        <f t="shared" si="20"/>
        <v>5.3666957799019714</v>
      </c>
      <c r="AB96" s="338">
        <f t="shared" si="75"/>
        <v>0</v>
      </c>
      <c r="AC96" s="338">
        <f t="shared" si="76"/>
        <v>80.159713531851096</v>
      </c>
      <c r="AF96" s="138">
        <f t="shared" si="77"/>
        <v>1</v>
      </c>
      <c r="AG96" s="138">
        <f t="shared" si="78"/>
        <v>3</v>
      </c>
      <c r="AH96" s="138">
        <f t="shared" si="79"/>
        <v>31</v>
      </c>
      <c r="AI96" s="138">
        <f t="shared" si="92"/>
        <v>2266</v>
      </c>
      <c r="AJ96" s="138">
        <f t="shared" si="80"/>
        <v>2283</v>
      </c>
      <c r="AL96" s="136">
        <f t="shared" si="27"/>
        <v>3.6995</v>
      </c>
      <c r="AM96" s="258">
        <f t="shared" si="49"/>
        <v>0</v>
      </c>
      <c r="AN96" s="258">
        <f t="shared" si="28"/>
        <v>0.03</v>
      </c>
      <c r="AO96" s="258">
        <f t="shared" si="29"/>
        <v>0.13</v>
      </c>
      <c r="AP96" s="258">
        <f t="shared" si="30"/>
        <v>3.5000000000000003E-2</v>
      </c>
      <c r="AQ96" s="136">
        <f t="shared" si="81"/>
        <v>0</v>
      </c>
      <c r="AR96" s="137">
        <f t="shared" si="32"/>
        <v>1.15E-2</v>
      </c>
      <c r="AS96" s="136">
        <f t="shared" si="93"/>
        <v>3.7294999999999998</v>
      </c>
      <c r="AT96" s="137">
        <f t="shared" si="82"/>
        <v>5.6377688996458002E-2</v>
      </c>
      <c r="AU96" s="137">
        <f t="shared" si="34"/>
        <v>0.70676467099830764</v>
      </c>
      <c r="AV96" s="394">
        <f t="shared" si="94"/>
        <v>15292.97395106138</v>
      </c>
      <c r="AW96" s="137">
        <f t="shared" si="35"/>
        <v>0.23499999999999999</v>
      </c>
      <c r="AX96" s="137">
        <f t="shared" si="36"/>
        <v>0.85</v>
      </c>
      <c r="AY96" s="137">
        <f t="shared" si="37"/>
        <v>0.75</v>
      </c>
      <c r="AZ96" s="137"/>
      <c r="BA96" s="264"/>
      <c r="BB96" s="258">
        <f t="shared" si="38"/>
        <v>0</v>
      </c>
      <c r="BC96" s="258">
        <f t="shared" si="83"/>
        <v>0</v>
      </c>
      <c r="BD96" s="137">
        <f t="shared" si="84"/>
        <v>1.2176649738376844E-5</v>
      </c>
      <c r="BE96" s="137">
        <f t="shared" si="85"/>
        <v>9.3422235172835322E-6</v>
      </c>
      <c r="BF96" s="137">
        <f>_xll.xSPRDOPT($BW96,$BV96,$CG96,0,$BY96,$BX96,$BZ96,$AJ96,1,4)*$CB96</f>
        <v>1.3294555337409413</v>
      </c>
      <c r="BG96" s="137">
        <f>_xll.xSPRDOPT($BW96,$BV96,$CG96,0,$BY96,$BX96,$BZ96,$AJ96,1,3)*$CB96</f>
        <v>1.2671704904418206</v>
      </c>
      <c r="BH96" s="137">
        <f>IF(OR(BF96&lt;&gt;0,BG96&lt;&gt;0),_xll.xSPRDOPT($BW96,$BV96,$CG96,0,$BY96,$BX96,$BZ96,$AJ96,1,12)*$CB96,0)</f>
        <v>-1.2979403859843193</v>
      </c>
      <c r="BI96" s="137">
        <f>_xll.xSPRDOPT($BW96,$BV96,$CG96,2*LN(1+CA96/2),$BY96,$BX96,$BZ96,$AJ96,1,9)</f>
        <v>1.2582480350653161E-3</v>
      </c>
      <c r="BJ96" s="137">
        <f>_xll.xSPRDOPT($BW96,$BV96,$CG96,0,$BY96,$BX96,$BZ96,$AJ96,1,6)*$CB96</f>
        <v>0.36278091058895984</v>
      </c>
      <c r="BK96" s="137">
        <f>_xll.xSPRDOPT($BW96,$BV96,$CG96,0,$BY96,$BX96,$BZ96,$AJ96,1,5)*$CB96</f>
        <v>-0.16400118937439229</v>
      </c>
      <c r="BL96" s="137">
        <f>_xll.xSPRDOPT(BW96,BV96,CG96,0,BY96,BX96,BZ96,AJ96,1,2)*CB96</f>
        <v>-0.47493953434494102</v>
      </c>
      <c r="BM96" s="137">
        <f>_xll.xSPRDOPT(BW96,BV96,CG96,0,BY96,BX96,BZ96,AJ96,1,1)*CB96</f>
        <v>0.48776366976459623</v>
      </c>
      <c r="BN96" s="137">
        <f>IF(AH96&lt;&gt;0,_xll.xSPRDOPT($BW96,$BV96,$CG96,2*LN(1+CA96/2),$BY96,$BX96,$BZ96,$AJ96,1,8)+(AJ96/365.25)*CH96/AH96,0)</f>
        <v>5.0147110624463087E-2</v>
      </c>
      <c r="BO96" s="137">
        <f>_xll.xSPRDOPT($BW96,$BV96,$CG96,0,$BY96,$BX96,$BZ96,$AJ96,1,0)</f>
        <v>0.13174325908275014</v>
      </c>
      <c r="BP96" s="137"/>
      <c r="BQ96" s="137"/>
      <c r="BR96" s="137"/>
      <c r="BS96" s="137"/>
      <c r="BV96" s="262">
        <v>3.7728882144663629</v>
      </c>
      <c r="BW96" s="136">
        <v>3.8645</v>
      </c>
      <c r="BX96" s="137">
        <v>0.24444296626359538</v>
      </c>
      <c r="BY96" s="137">
        <v>0.24221227682162738</v>
      </c>
      <c r="BZ96" s="137">
        <v>0.99654686487565602</v>
      </c>
      <c r="CA96" s="137">
        <v>5.6377688996458002E-2</v>
      </c>
      <c r="CB96" s="137">
        <v>0.70644199731475499</v>
      </c>
      <c r="CC96" s="258">
        <v>0</v>
      </c>
      <c r="CD96" s="258">
        <v>0.03</v>
      </c>
      <c r="CE96" s="258">
        <v>0.13</v>
      </c>
      <c r="CF96" s="258">
        <v>3.5000000000000003E-2</v>
      </c>
      <c r="CG96" s="258">
        <v>0</v>
      </c>
      <c r="CH96" s="258">
        <v>3.1338473442879846</v>
      </c>
      <c r="CI96" s="258">
        <v>3.6995</v>
      </c>
      <c r="CJ96" s="258"/>
      <c r="CK96" s="258"/>
      <c r="CL96" s="258"/>
      <c r="CM96" s="258"/>
    </row>
    <row r="97" spans="1:91" x14ac:dyDescent="0.25">
      <c r="A97" s="723"/>
      <c r="B97" s="723"/>
      <c r="D97" s="31">
        <f t="shared" si="86"/>
        <v>39553</v>
      </c>
      <c r="F97" s="28">
        <f t="shared" si="70"/>
        <v>60000</v>
      </c>
      <c r="G97" s="28">
        <f t="shared" si="13"/>
        <v>42158.483870008189</v>
      </c>
      <c r="H97" s="52">
        <f t="shared" si="71"/>
        <v>3.464339908952959</v>
      </c>
      <c r="I97" s="52">
        <f t="shared" si="72"/>
        <v>3.5945</v>
      </c>
      <c r="K97" s="52">
        <f t="shared" si="87"/>
        <v>2.743676049462739</v>
      </c>
      <c r="L97" s="135">
        <f t="shared" si="88"/>
        <v>6.7558106893223613E-2</v>
      </c>
      <c r="N97" s="131">
        <f t="shared" si="89"/>
        <v>0.23210038396197047</v>
      </c>
      <c r="O97" s="131">
        <f t="shared" si="90"/>
        <v>0.23210038396197047</v>
      </c>
      <c r="P97" s="55">
        <f t="shared" si="91"/>
        <v>0.99902447875852685</v>
      </c>
      <c r="Q97" s="135">
        <f>_xll.xSPRDOPT(I97,H97,AQ97,0,O97,N97,P97,D97-$G$5,1,0)*AH97*AU97</f>
        <v>2.8112341563559626</v>
      </c>
      <c r="R97" s="135"/>
      <c r="S97" s="181">
        <f>_xll.xSPRDOPT(I97,H97,AQ97,AT97,O97,N97,P97,D97-$G$5,1,2)*AF97*(F97/(1-AR97))*AH97</f>
        <v>-1172752.8667826513</v>
      </c>
      <c r="T97" s="181">
        <f>_xll.xSPRDOPT(I97,H97,AQ97,AT97,O97,N97,P97,D97-$G$5,1,1)*AF97*F97*AH97</f>
        <v>1163981.2110832592</v>
      </c>
      <c r="U97" s="135"/>
      <c r="V97" s="146">
        <f t="shared" si="73"/>
        <v>3.0164395208990857</v>
      </c>
      <c r="W97" s="146"/>
      <c r="X97" s="338">
        <f t="shared" si="74"/>
        <v>0</v>
      </c>
      <c r="Y97" s="338">
        <f t="shared" si="18"/>
        <v>0</v>
      </c>
      <c r="Z97" s="338">
        <f t="shared" si="19"/>
        <v>66.492675723910438</v>
      </c>
      <c r="AA97" s="338">
        <f t="shared" si="20"/>
        <v>0.19264520237148899</v>
      </c>
      <c r="AB97" s="338">
        <f t="shared" si="75"/>
        <v>0</v>
      </c>
      <c r="AC97" s="338">
        <f t="shared" si="76"/>
        <v>78.32798674602374</v>
      </c>
      <c r="AF97" s="138">
        <f t="shared" si="77"/>
        <v>1</v>
      </c>
      <c r="AG97" s="138">
        <f t="shared" si="78"/>
        <v>4</v>
      </c>
      <c r="AH97" s="138">
        <f t="shared" si="79"/>
        <v>30</v>
      </c>
      <c r="AI97" s="138">
        <f t="shared" si="92"/>
        <v>2297</v>
      </c>
      <c r="AJ97" s="138">
        <f t="shared" si="80"/>
        <v>2314</v>
      </c>
      <c r="AL97" s="136">
        <f t="shared" si="27"/>
        <v>3.5145</v>
      </c>
      <c r="AM97" s="258">
        <f t="shared" si="49"/>
        <v>-0.09</v>
      </c>
      <c r="AN97" s="258">
        <f t="shared" si="28"/>
        <v>0</v>
      </c>
      <c r="AO97" s="258">
        <f t="shared" si="29"/>
        <v>0.04</v>
      </c>
      <c r="AP97" s="258">
        <f t="shared" si="30"/>
        <v>0.04</v>
      </c>
      <c r="AQ97" s="136">
        <f t="shared" si="81"/>
        <v>0</v>
      </c>
      <c r="AR97" s="137">
        <f t="shared" si="32"/>
        <v>1.15E-2</v>
      </c>
      <c r="AS97" s="136">
        <f t="shared" si="93"/>
        <v>3.4245000000000001</v>
      </c>
      <c r="AT97" s="137">
        <f t="shared" si="82"/>
        <v>5.6561705196317202E-2</v>
      </c>
      <c r="AU97" s="137">
        <f t="shared" si="34"/>
        <v>0.70264139783346979</v>
      </c>
      <c r="AV97" s="394">
        <f t="shared" si="94"/>
        <v>14713.310870632857</v>
      </c>
      <c r="AW97" s="137">
        <f t="shared" si="35"/>
        <v>0.23</v>
      </c>
      <c r="AX97" s="137">
        <f t="shared" si="36"/>
        <v>0.45</v>
      </c>
      <c r="AY97" s="137">
        <f t="shared" si="37"/>
        <v>0.45</v>
      </c>
      <c r="AZ97" s="137"/>
      <c r="BA97" s="264"/>
      <c r="BB97" s="258">
        <f t="shared" si="38"/>
        <v>0</v>
      </c>
      <c r="BC97" s="258">
        <f t="shared" si="83"/>
        <v>0</v>
      </c>
      <c r="BD97" s="137">
        <f t="shared" si="84"/>
        <v>2.7095799040866009E-6</v>
      </c>
      <c r="BE97" s="137">
        <f t="shared" si="85"/>
        <v>2.7095799040866009E-6</v>
      </c>
      <c r="BF97" s="137">
        <f>_xll.xSPRDOPT($BW97,$BV97,$CG97,0,$BY97,$BX97,$BZ97,$AJ97,1,4)*$CB97</f>
        <v>1.1340645443731403</v>
      </c>
      <c r="BG97" s="137">
        <f>_xll.xSPRDOPT($BW97,$BV97,$CG97,0,$BY97,$BX97,$BZ97,$AJ97,1,3)*$CB97</f>
        <v>1.0534204797712874</v>
      </c>
      <c r="BH97" s="137">
        <f>IF(OR(BF97&lt;&gt;0,BG97&lt;&gt;0),_xll.xSPRDOPT($BW97,$BV97,$CG97,0,$BY97,$BX97,$BZ97,$AJ97,1,12)*$CB97,0)</f>
        <v>-1.0930006607472038</v>
      </c>
      <c r="BI97" s="137">
        <f>_xll.xSPRDOPT($BW97,$BV97,$CG97,2*LN(1+CA97/2),$BY97,$BX97,$BZ97,$AJ97,1,9)</f>
        <v>4.4974907052144977E-3</v>
      </c>
      <c r="BJ97" s="137">
        <f>_xll.xSPRDOPT($BW97,$BV97,$CG97,0,$BY97,$BX97,$BZ97,$AJ97,1,6)*$CB97</f>
        <v>1.9749663786830487E-2</v>
      </c>
      <c r="BK97" s="137">
        <f>_xll.xSPRDOPT($BW97,$BV97,$CG97,0,$BY97,$BX97,$BZ97,$AJ97,1,5)*$CB97</f>
        <v>1.9749120606716734E-2</v>
      </c>
      <c r="BL97" s="137">
        <f>_xll.xSPRDOPT(BW97,BV97,CG97,0,BY97,BX97,BZ97,AJ97,1,2)*CB97</f>
        <v>-0.64692461577768379</v>
      </c>
      <c r="BM97" s="137">
        <f>_xll.xSPRDOPT(BW97,BV97,CG97,0,BY97,BX97,BZ97,AJ97,1,1)*CB97</f>
        <v>0.64955756744005455</v>
      </c>
      <c r="BN97" s="137">
        <f>IF(AH97&lt;&gt;0,_xll.xSPRDOPT($BW97,$BV97,$CG97,2*LN(1+CA97/2),$BY97,$BX97,$BZ97,$AJ97,1,8)+(AJ97/365.25)*CH97/AH97,0)</f>
        <v>4.3690861597134867E-2</v>
      </c>
      <c r="BO97" s="137">
        <f>_xll.xSPRDOPT($BW97,$BV97,$CG97,0,$BY97,$BX97,$BZ97,$AJ97,1,0)</f>
        <v>0.1333693891957615</v>
      </c>
      <c r="BP97" s="137"/>
      <c r="BQ97" s="137"/>
      <c r="BR97" s="137"/>
      <c r="BS97" s="137"/>
      <c r="BV97" s="262">
        <v>3.464339908952959</v>
      </c>
      <c r="BW97" s="136">
        <v>3.5945</v>
      </c>
      <c r="BX97" s="137">
        <v>0.23209767438206638</v>
      </c>
      <c r="BY97" s="137">
        <v>0.23209767438206638</v>
      </c>
      <c r="BZ97" s="137">
        <v>0.99902572018523339</v>
      </c>
      <c r="CA97" s="137">
        <v>5.6561705196317202E-2</v>
      </c>
      <c r="CB97" s="137">
        <v>0.70231957427498137</v>
      </c>
      <c r="CC97" s="258">
        <v>-0.09</v>
      </c>
      <c r="CD97" s="258">
        <v>0</v>
      </c>
      <c r="CE97" s="258">
        <v>0.04</v>
      </c>
      <c r="CF97" s="258">
        <v>0.04</v>
      </c>
      <c r="CG97" s="258">
        <v>0</v>
      </c>
      <c r="CH97" s="258">
        <v>3.0150579323624953</v>
      </c>
      <c r="CI97" s="258">
        <v>3.5145</v>
      </c>
      <c r="CJ97" s="258"/>
      <c r="CK97" s="258"/>
      <c r="CL97" s="258"/>
      <c r="CM97" s="258"/>
    </row>
    <row r="98" spans="1:91" x14ac:dyDescent="0.25">
      <c r="A98" s="723"/>
      <c r="B98" s="723"/>
      <c r="D98" s="31">
        <f t="shared" si="86"/>
        <v>39583</v>
      </c>
      <c r="F98" s="28">
        <f t="shared" si="70"/>
        <v>60000</v>
      </c>
      <c r="G98" s="28">
        <f t="shared" si="13"/>
        <v>41919.233913064527</v>
      </c>
      <c r="H98" s="52">
        <f t="shared" si="71"/>
        <v>3.4592817400101166</v>
      </c>
      <c r="I98" s="52">
        <f t="shared" si="72"/>
        <v>3.5895000000000001</v>
      </c>
      <c r="K98" s="52">
        <f t="shared" si="87"/>
        <v>2.8203023451385603</v>
      </c>
      <c r="L98" s="135">
        <f t="shared" si="88"/>
        <v>0.11306343292320964</v>
      </c>
      <c r="N98" s="131">
        <f t="shared" si="89"/>
        <v>0.23214194494760204</v>
      </c>
      <c r="O98" s="131">
        <f t="shared" si="90"/>
        <v>0.23281791933733917</v>
      </c>
      <c r="P98" s="55">
        <f t="shared" si="91"/>
        <v>0.99874933645674679</v>
      </c>
      <c r="Q98" s="135">
        <f>_xll.xSPRDOPT(I98,H98,AQ98,0,O98,N98,P98,D98-$G$5,1,0)*AH98*AU98</f>
        <v>2.9333657780617699</v>
      </c>
      <c r="R98" s="135"/>
      <c r="S98" s="181">
        <f>_xll.xSPRDOPT(I98,H98,AQ98,AT98,O98,N98,P98,D98-$G$5,1,2)*AF98*(F98/(1-AR98))*AH98</f>
        <v>-1167016.2768358702</v>
      </c>
      <c r="T98" s="181">
        <f>_xll.xSPRDOPT(I98,H98,AQ98,AT98,O98,N98,P98,D98-$G$5,1,1)*AF98*F98*AH98</f>
        <v>1160530.7803492614</v>
      </c>
      <c r="U98" s="135"/>
      <c r="V98" s="146">
        <f t="shared" si="73"/>
        <v>3.0992985593624254</v>
      </c>
      <c r="W98" s="146"/>
      <c r="X98" s="338">
        <f t="shared" si="74"/>
        <v>0</v>
      </c>
      <c r="Y98" s="338">
        <f t="shared" si="18"/>
        <v>0</v>
      </c>
      <c r="Z98" s="338">
        <f t="shared" si="19"/>
        <v>65.135287887494286</v>
      </c>
      <c r="AA98" s="338">
        <f t="shared" si="20"/>
        <v>0.43657500629641516</v>
      </c>
      <c r="AB98" s="338">
        <f t="shared" si="75"/>
        <v>0</v>
      </c>
      <c r="AC98" s="338">
        <f t="shared" si="76"/>
        <v>81.985422012700397</v>
      </c>
      <c r="AF98" s="138">
        <f t="shared" si="77"/>
        <v>1</v>
      </c>
      <c r="AG98" s="138">
        <f t="shared" si="78"/>
        <v>5</v>
      </c>
      <c r="AH98" s="138">
        <f t="shared" si="79"/>
        <v>31</v>
      </c>
      <c r="AI98" s="138">
        <f t="shared" si="92"/>
        <v>2327</v>
      </c>
      <c r="AJ98" s="138">
        <f t="shared" si="80"/>
        <v>2344</v>
      </c>
      <c r="AL98" s="136">
        <f t="shared" si="27"/>
        <v>3.5095000000000001</v>
      </c>
      <c r="AM98" s="258">
        <f t="shared" si="49"/>
        <v>-0.09</v>
      </c>
      <c r="AN98" s="258">
        <f t="shared" si="28"/>
        <v>0</v>
      </c>
      <c r="AO98" s="258">
        <f t="shared" si="29"/>
        <v>0.04</v>
      </c>
      <c r="AP98" s="258">
        <f t="shared" si="30"/>
        <v>0.04</v>
      </c>
      <c r="AQ98" s="136">
        <f t="shared" si="81"/>
        <v>0</v>
      </c>
      <c r="AR98" s="137">
        <f t="shared" si="32"/>
        <v>1.15E-2</v>
      </c>
      <c r="AS98" s="136">
        <f t="shared" si="93"/>
        <v>3.4195000000000002</v>
      </c>
      <c r="AT98" s="137">
        <f t="shared" si="82"/>
        <v>5.6739785400459201E-2</v>
      </c>
      <c r="AU98" s="137">
        <f t="shared" si="34"/>
        <v>0.6986538985510754</v>
      </c>
      <c r="AV98" s="394">
        <f t="shared" si="94"/>
        <v>15117.47305684817</v>
      </c>
      <c r="AW98" s="137">
        <f t="shared" si="35"/>
        <v>0.23</v>
      </c>
      <c r="AX98" s="137">
        <f t="shared" si="36"/>
        <v>0.45</v>
      </c>
      <c r="AY98" s="137">
        <f t="shared" si="37"/>
        <v>0.5</v>
      </c>
      <c r="AZ98" s="137"/>
      <c r="BA98" s="264"/>
      <c r="BB98" s="258">
        <f t="shared" si="38"/>
        <v>0</v>
      </c>
      <c r="BC98" s="258">
        <f t="shared" si="83"/>
        <v>0</v>
      </c>
      <c r="BD98" s="137">
        <f t="shared" si="84"/>
        <v>2.7270207721141748E-6</v>
      </c>
      <c r="BE98" s="137">
        <f t="shared" si="85"/>
        <v>3.5824610916945776E-6</v>
      </c>
      <c r="BF98" s="137">
        <f>_xll.xSPRDOPT($BW98,$BV98,$CG98,0,$BY98,$BX98,$BZ98,$AJ98,1,4)*$CB98</f>
        <v>1.2685573060975872</v>
      </c>
      <c r="BG98" s="137">
        <f>_xll.xSPRDOPT($BW98,$BV98,$CG98,0,$BY98,$BX98,$BZ98,$AJ98,1,3)*$CB98</f>
        <v>1.1781864411493408</v>
      </c>
      <c r="BH98" s="137">
        <f>IF(OR(BF98&lt;&gt;0,BG98&lt;&gt;0),_xll.xSPRDOPT($BW98,$BV98,$CG98,0,$BY98,$BX98,$BZ98,$AJ98,1,12)*$CB98,0)</f>
        <v>-1.2225370846243617</v>
      </c>
      <c r="BI98" s="137">
        <f>_xll.xSPRDOPT($BW98,$BV98,$CG98,2*LN(1+CA98/2),$BY98,$BX98,$BZ98,$AJ98,1,9)</f>
        <v>4.2635598388722738E-3</v>
      </c>
      <c r="BJ98" s="137">
        <f>_xll.xSPRDOPT($BW98,$BV98,$CG98,0,$BY98,$BX98,$BZ98,$AJ98,1,6)*$CB98</f>
        <v>-3.7439131320120653E-2</v>
      </c>
      <c r="BK98" s="137">
        <f>_xll.xSPRDOPT($BW98,$BV98,$CG98,0,$BY98,$BX98,$BZ98,$AJ98,1,5)*$CB98</f>
        <v>9.4017778700064628E-2</v>
      </c>
      <c r="BL98" s="137">
        <f>_xll.xSPRDOPT(BW98,BV98,CG98,0,BY98,BX98,BZ98,AJ98,1,2)*CB98</f>
        <v>-0.62307431864375307</v>
      </c>
      <c r="BM98" s="137">
        <f>_xll.xSPRDOPT(BW98,BV98,CG98,0,BY98,BX98,BZ98,AJ98,1,1)*CB98</f>
        <v>0.62682012373547835</v>
      </c>
      <c r="BN98" s="137">
        <f>IF(AH98&lt;&gt;0,_xll.xSPRDOPT($BW98,$BV98,$CG98,2*LN(1+CA98/2),$BY98,$BX98,$BZ98,$AJ98,1,8)+(AJ98/365.25)*CH98/AH98,0)</f>
        <v>3.433506424387045E-2</v>
      </c>
      <c r="BO98" s="137">
        <f>_xll.xSPRDOPT($BW98,$BV98,$CG98,0,$BY98,$BX98,$BZ98,$AJ98,1,0)</f>
        <v>0.13543860289147772</v>
      </c>
      <c r="BP98" s="137"/>
      <c r="BQ98" s="137"/>
      <c r="BR98" s="137"/>
      <c r="BS98" s="137"/>
      <c r="BV98" s="262">
        <v>3.4592817400101166</v>
      </c>
      <c r="BW98" s="136">
        <v>3.5895000000000001</v>
      </c>
      <c r="BX98" s="137">
        <v>0.23213921792682993</v>
      </c>
      <c r="BY98" s="137">
        <v>0.23281433687624747</v>
      </c>
      <c r="BZ98" s="137">
        <v>0.99875089693245633</v>
      </c>
      <c r="CA98" s="137">
        <v>5.6739785400459201E-2</v>
      </c>
      <c r="CB98" s="137">
        <v>0.69833290804898285</v>
      </c>
      <c r="CC98" s="258">
        <v>-0.09</v>
      </c>
      <c r="CD98" s="258">
        <v>0</v>
      </c>
      <c r="CE98" s="258">
        <v>0.04</v>
      </c>
      <c r="CF98" s="258">
        <v>0.04</v>
      </c>
      <c r="CG98" s="258">
        <v>0</v>
      </c>
      <c r="CH98" s="258">
        <v>3.0978746133960926</v>
      </c>
      <c r="CI98" s="258">
        <v>3.5095000000000001</v>
      </c>
      <c r="CJ98" s="258"/>
      <c r="CK98" s="258"/>
      <c r="CL98" s="258"/>
      <c r="CM98" s="258"/>
    </row>
    <row r="99" spans="1:91" x14ac:dyDescent="0.25">
      <c r="A99" s="723"/>
      <c r="B99" s="723"/>
      <c r="D99" s="31">
        <f t="shared" si="86"/>
        <v>39614</v>
      </c>
      <c r="F99" s="28">
        <f t="shared" si="70"/>
        <v>60000</v>
      </c>
      <c r="G99" s="28">
        <f t="shared" si="13"/>
        <v>41672.194089588396</v>
      </c>
      <c r="H99" s="52">
        <f t="shared" si="71"/>
        <v>3.4946889226100155</v>
      </c>
      <c r="I99" s="52">
        <f t="shared" si="72"/>
        <v>3.6245000000000003</v>
      </c>
      <c r="K99" s="52">
        <f t="shared" si="87"/>
        <v>2.7047562059870125</v>
      </c>
      <c r="L99" s="135">
        <f t="shared" si="88"/>
        <v>0.10717614597935743</v>
      </c>
      <c r="N99" s="131">
        <f t="shared" si="89"/>
        <v>0.23204662986642166</v>
      </c>
      <c r="O99" s="131">
        <f t="shared" si="90"/>
        <v>0.2326926970853721</v>
      </c>
      <c r="P99" s="55">
        <f t="shared" si="91"/>
        <v>0.99880392561050679</v>
      </c>
      <c r="Q99" s="135">
        <f>_xll.xSPRDOPT(I99,H99,AQ99,0,O99,N99,P99,D99-$G$5,1,0)*AH99*AU99</f>
        <v>2.8119323519663699</v>
      </c>
      <c r="R99" s="135"/>
      <c r="S99" s="181">
        <f>_xll.xSPRDOPT(I99,H99,AQ99,AT99,O99,N99,P99,D99-$G$5,1,2)*AF99*(F99/(1-AR99))*AH99</f>
        <v>-1123595.3076751521</v>
      </c>
      <c r="T99" s="181">
        <f>_xll.xSPRDOPT(I99,H99,AQ99,AT99,O99,N99,P99,D99-$G$5,1,1)*AF99*F99*AH99</f>
        <v>1117204.3212124333</v>
      </c>
      <c r="U99" s="135"/>
      <c r="V99" s="146">
        <f t="shared" si="73"/>
        <v>2.98164548711005</v>
      </c>
      <c r="W99" s="146"/>
      <c r="X99" s="338">
        <f t="shared" si="74"/>
        <v>0</v>
      </c>
      <c r="Y99" s="338">
        <f t="shared" si="18"/>
        <v>0</v>
      </c>
      <c r="Z99" s="338">
        <f t="shared" si="19"/>
        <v>62.998946578487285</v>
      </c>
      <c r="AA99" s="338">
        <f t="shared" si="20"/>
        <v>0.39205352298484242</v>
      </c>
      <c r="AB99" s="338">
        <f t="shared" si="75"/>
        <v>0</v>
      </c>
      <c r="AC99" s="338">
        <f t="shared" si="76"/>
        <v>78.846214002264304</v>
      </c>
      <c r="AF99" s="138">
        <f t="shared" si="77"/>
        <v>1</v>
      </c>
      <c r="AG99" s="138">
        <f t="shared" si="78"/>
        <v>6</v>
      </c>
      <c r="AH99" s="138">
        <f t="shared" si="79"/>
        <v>30</v>
      </c>
      <c r="AI99" s="138">
        <f t="shared" si="92"/>
        <v>2358</v>
      </c>
      <c r="AJ99" s="138">
        <f t="shared" si="80"/>
        <v>2375</v>
      </c>
      <c r="AL99" s="136">
        <f t="shared" si="27"/>
        <v>3.5445000000000002</v>
      </c>
      <c r="AM99" s="258">
        <f t="shared" si="49"/>
        <v>-0.09</v>
      </c>
      <c r="AN99" s="258">
        <f t="shared" si="28"/>
        <v>0</v>
      </c>
      <c r="AO99" s="258">
        <f t="shared" si="29"/>
        <v>0.04</v>
      </c>
      <c r="AP99" s="258">
        <f t="shared" si="30"/>
        <v>0.04</v>
      </c>
      <c r="AQ99" s="136">
        <f t="shared" si="81"/>
        <v>0</v>
      </c>
      <c r="AR99" s="137">
        <f t="shared" si="32"/>
        <v>1.15E-2</v>
      </c>
      <c r="AS99" s="136">
        <f t="shared" si="93"/>
        <v>3.4545000000000003</v>
      </c>
      <c r="AT99" s="137">
        <f t="shared" si="82"/>
        <v>5.6923801622493997E-2</v>
      </c>
      <c r="AU99" s="137">
        <f t="shared" si="34"/>
        <v>0.69453656815980658</v>
      </c>
      <c r="AV99" s="394">
        <f t="shared" si="94"/>
        <v>14543.595737266351</v>
      </c>
      <c r="AW99" s="137">
        <f t="shared" si="35"/>
        <v>0.23</v>
      </c>
      <c r="AX99" s="137">
        <f t="shared" si="36"/>
        <v>0.45</v>
      </c>
      <c r="AY99" s="137">
        <f t="shared" si="37"/>
        <v>0.5</v>
      </c>
      <c r="AZ99" s="137"/>
      <c r="BA99" s="264"/>
      <c r="BB99" s="258">
        <f t="shared" si="38"/>
        <v>0</v>
      </c>
      <c r="BC99" s="258">
        <f t="shared" si="83"/>
        <v>0</v>
      </c>
      <c r="BD99" s="137">
        <f t="shared" si="84"/>
        <v>2.5727469935010738E-6</v>
      </c>
      <c r="BE99" s="137">
        <f t="shared" si="85"/>
        <v>3.3802231272361816E-6</v>
      </c>
      <c r="BF99" s="137">
        <f>_xll.xSPRDOPT($BW99,$BV99,$CG99,0,$BY99,$BX99,$BZ99,$AJ99,1,4)*$CB99</f>
        <v>1.2620952654134683</v>
      </c>
      <c r="BG99" s="137">
        <f>_xll.xSPRDOPT($BW99,$BV99,$CG99,0,$BY99,$BX99,$BZ99,$AJ99,1,3)*$CB99</f>
        <v>1.1733104871082616</v>
      </c>
      <c r="BH99" s="137">
        <f>IF(OR(BF99&lt;&gt;0,BG99&lt;&gt;0),_xll.xSPRDOPT($BW99,$BV99,$CG99,0,$BY99,$BX99,$BZ99,$AJ99,1,12)*$CB99,0)</f>
        <v>-1.2168934330892023</v>
      </c>
      <c r="BI99" s="137">
        <f>_xll.xSPRDOPT($BW99,$BV99,$CG99,2*LN(1+CA99/2),$BY99,$BX99,$BZ99,$AJ99,1,9)</f>
        <v>4.2611787477393488E-3</v>
      </c>
      <c r="BJ99" s="137">
        <f>_xll.xSPRDOPT($BW99,$BV99,$CG99,0,$BY99,$BX99,$BZ99,$AJ99,1,6)*$CB99</f>
        <v>-3.6811629502530592E-2</v>
      </c>
      <c r="BK99" s="137">
        <f>_xll.xSPRDOPT($BW99,$BV99,$CG99,0,$BY99,$BX99,$BZ99,$AJ99,1,5)*$CB99</f>
        <v>9.245381447744648E-2</v>
      </c>
      <c r="BL99" s="137">
        <f>_xll.xSPRDOPT(BW99,BV99,CG99,0,BY99,BX99,BZ99,AJ99,1,2)*CB99</f>
        <v>-0.6199492369125853</v>
      </c>
      <c r="BM99" s="137">
        <f>_xll.xSPRDOPT(BW99,BV99,CG99,0,BY99,BX99,BZ99,AJ99,1,1)*CB99</f>
        <v>0.62359431605973259</v>
      </c>
      <c r="BN99" s="137">
        <f>IF(AH99&lt;&gt;0,_xll.xSPRDOPT($BW99,$BV99,$CG99,2*LN(1+CA99/2),$BY99,$BX99,$BZ99,$AJ99,1,8)+(AJ99/365.25)*CH99/AH99,0)</f>
        <v>3.6767754665802843E-2</v>
      </c>
      <c r="BO99" s="137">
        <f>_xll.xSPRDOPT($BW99,$BV99,$CG99,0,$BY99,$BX99,$BZ99,$AJ99,1,0)</f>
        <v>0.13495485500057786</v>
      </c>
      <c r="BP99" s="137"/>
      <c r="BQ99" s="137"/>
      <c r="BR99" s="137"/>
      <c r="BS99" s="137"/>
      <c r="BV99" s="262">
        <v>3.4946889226100155</v>
      </c>
      <c r="BW99" s="136">
        <v>3.6245000000000003</v>
      </c>
      <c r="BX99" s="137">
        <v>0.23204405711942816</v>
      </c>
      <c r="BY99" s="137">
        <v>0.23268931686224487</v>
      </c>
      <c r="BZ99" s="137">
        <v>0.99880540043213928</v>
      </c>
      <c r="CA99" s="137">
        <v>5.6923801622493997E-2</v>
      </c>
      <c r="CB99" s="137">
        <v>0.69421644906323099</v>
      </c>
      <c r="CC99" s="258">
        <v>-0.09</v>
      </c>
      <c r="CD99" s="258">
        <v>0</v>
      </c>
      <c r="CE99" s="258">
        <v>0.04</v>
      </c>
      <c r="CF99" s="258">
        <v>0.04</v>
      </c>
      <c r="CG99" s="258">
        <v>0</v>
      </c>
      <c r="CH99" s="258">
        <v>2.9802712158284508</v>
      </c>
      <c r="CI99" s="258">
        <v>3.5445000000000002</v>
      </c>
      <c r="CJ99" s="258"/>
      <c r="CK99" s="258"/>
      <c r="CL99" s="258"/>
      <c r="CM99" s="258"/>
    </row>
    <row r="100" spans="1:91" x14ac:dyDescent="0.25">
      <c r="A100" s="723"/>
      <c r="B100" s="723"/>
      <c r="D100" s="31">
        <f t="shared" si="86"/>
        <v>39644</v>
      </c>
      <c r="F100" s="28">
        <f t="shared" si="70"/>
        <v>60000</v>
      </c>
      <c r="G100" s="28">
        <f t="shared" si="13"/>
        <v>41433.315470179587</v>
      </c>
      <c r="H100" s="52">
        <f t="shared" si="71"/>
        <v>3.5351542741527564</v>
      </c>
      <c r="I100" s="52">
        <f t="shared" si="72"/>
        <v>3.6644999999999999</v>
      </c>
      <c r="K100" s="52">
        <f t="shared" si="87"/>
        <v>2.76893150293657</v>
      </c>
      <c r="L100" s="135">
        <f t="shared" si="88"/>
        <v>0.16548245303032783</v>
      </c>
      <c r="N100" s="131">
        <f t="shared" si="89"/>
        <v>0.23274682347149744</v>
      </c>
      <c r="O100" s="131">
        <f t="shared" si="90"/>
        <v>0.23347302325958982</v>
      </c>
      <c r="P100" s="55">
        <f t="shared" si="91"/>
        <v>0.99855105739075989</v>
      </c>
      <c r="Q100" s="135">
        <f>_xll.xSPRDOPT(I100,H100,AQ100,0,O100,N100,P100,D100-$G$5,1,0)*AH100*AU100</f>
        <v>2.9344139559668978</v>
      </c>
      <c r="R100" s="135"/>
      <c r="S100" s="181">
        <f>_xll.xSPRDOPT(I100,H100,AQ100,AT100,O100,N100,P100,D100-$G$5,1,2)*AF100*(F100/(1-AR100))*AH100</f>
        <v>-1116831.881245093</v>
      </c>
      <c r="T100" s="181">
        <f>_xll.xSPRDOPT(I100,H100,AQ100,AT100,O100,N100,P100,D100-$G$5,1,1)*AF100*F100*AH100</f>
        <v>1112814.8465524046</v>
      </c>
      <c r="U100" s="135"/>
      <c r="V100" s="146">
        <f t="shared" si="73"/>
        <v>3.0633721792877275</v>
      </c>
      <c r="W100" s="146"/>
      <c r="X100" s="338">
        <f t="shared" si="74"/>
        <v>0</v>
      </c>
      <c r="Y100" s="338">
        <f t="shared" si="18"/>
        <v>0</v>
      </c>
      <c r="Z100" s="338">
        <f t="shared" si="19"/>
        <v>61.474893601014706</v>
      </c>
      <c r="AA100" s="338">
        <f t="shared" si="20"/>
        <v>0.65644567918617724</v>
      </c>
      <c r="AB100" s="338">
        <f t="shared" si="75"/>
        <v>0</v>
      </c>
      <c r="AC100" s="338">
        <f t="shared" si="76"/>
        <v>82.537873795155534</v>
      </c>
      <c r="AF100" s="138">
        <f t="shared" si="77"/>
        <v>1</v>
      </c>
      <c r="AG100" s="138">
        <f t="shared" si="78"/>
        <v>7</v>
      </c>
      <c r="AH100" s="138">
        <f t="shared" si="79"/>
        <v>31</v>
      </c>
      <c r="AI100" s="138">
        <f t="shared" si="92"/>
        <v>2388</v>
      </c>
      <c r="AJ100" s="138">
        <f t="shared" si="80"/>
        <v>2405</v>
      </c>
      <c r="AL100" s="136">
        <f t="shared" si="27"/>
        <v>3.5844999999999998</v>
      </c>
      <c r="AM100" s="258">
        <f t="shared" si="49"/>
        <v>-0.09</v>
      </c>
      <c r="AN100" s="258">
        <f t="shared" si="28"/>
        <v>0</v>
      </c>
      <c r="AO100" s="258">
        <f t="shared" si="29"/>
        <v>0.04</v>
      </c>
      <c r="AP100" s="258">
        <f t="shared" si="30"/>
        <v>0.04</v>
      </c>
      <c r="AQ100" s="136">
        <f t="shared" si="81"/>
        <v>0</v>
      </c>
      <c r="AR100" s="137">
        <f t="shared" si="32"/>
        <v>1.15E-2</v>
      </c>
      <c r="AS100" s="136">
        <f t="shared" si="93"/>
        <v>3.4944999999999999</v>
      </c>
      <c r="AT100" s="137">
        <f t="shared" si="82"/>
        <v>5.7101881848094803E-2</v>
      </c>
      <c r="AU100" s="137">
        <f t="shared" si="34"/>
        <v>0.69055525783632643</v>
      </c>
      <c r="AV100" s="394">
        <f t="shared" si="94"/>
        <v>14942.234669062431</v>
      </c>
      <c r="AW100" s="137">
        <f t="shared" si="35"/>
        <v>0.23</v>
      </c>
      <c r="AX100" s="137">
        <f t="shared" si="36"/>
        <v>0.5</v>
      </c>
      <c r="AY100" s="137">
        <f t="shared" si="37"/>
        <v>0.55000000000000004</v>
      </c>
      <c r="AZ100" s="137"/>
      <c r="BA100" s="264"/>
      <c r="BB100" s="258">
        <f t="shared" si="38"/>
        <v>0</v>
      </c>
      <c r="BC100" s="258">
        <f t="shared" si="83"/>
        <v>0</v>
      </c>
      <c r="BD100" s="137">
        <f t="shared" si="84"/>
        <v>3.4040740785612478E-6</v>
      </c>
      <c r="BE100" s="137">
        <f t="shared" si="85"/>
        <v>4.2973906601850853E-6</v>
      </c>
      <c r="BF100" s="137">
        <f>_xll.xSPRDOPT($BW100,$BV100,$CG100,0,$BY100,$BX100,$BZ100,$AJ100,1,4)*$CB100</f>
        <v>1.3214765022250878</v>
      </c>
      <c r="BG100" s="137">
        <f>_xll.xSPRDOPT($BW100,$BV100,$CG100,0,$BY100,$BX100,$BZ100,$AJ100,1,3)*$CB100</f>
        <v>1.2298346140267975</v>
      </c>
      <c r="BH100" s="137">
        <f>IF(OR(BF100&lt;&gt;0,BG100&lt;&gt;0),_xll.xSPRDOPT($BW100,$BV100,$CG100,0,$BY100,$BX100,$BZ100,$AJ100,1,12)*$CB100,0)</f>
        <v>-1.2748308769419188</v>
      </c>
      <c r="BI100" s="137">
        <f>_xll.xSPRDOPT($BW100,$BV100,$CG100,2*LN(1+CA100/2),$BY100,$BX100,$BZ100,$AJ100,1,9)</f>
        <v>4.0239614494212584E-3</v>
      </c>
      <c r="BJ100" s="137">
        <f>_xll.xSPRDOPT($BW100,$BV100,$CG100,0,$BY100,$BX100,$BZ100,$AJ100,1,6)*$CB100</f>
        <v>-4.2131294019832559E-2</v>
      </c>
      <c r="BK100" s="137">
        <f>_xll.xSPRDOPT($BW100,$BV100,$CG100,0,$BY100,$BX100,$BZ100,$AJ100,1,5)*$CB100</f>
        <v>0.11549935056555337</v>
      </c>
      <c r="BL100" s="137">
        <f>_xll.xSPRDOPT(BW100,BV100,CG100,0,BY100,BX100,BZ100,AJ100,1,2)*CB100</f>
        <v>-0.59639692747427542</v>
      </c>
      <c r="BM100" s="137">
        <f>_xll.xSPRDOPT(BW100,BV100,CG100,0,BY100,BX100,BZ100,AJ100,1,1)*CB100</f>
        <v>0.60116520413033703</v>
      </c>
      <c r="BN100" s="137">
        <f>IF(AH100&lt;&gt;0,_xll.xSPRDOPT($BW100,$BV100,$CG100,2*LN(1+CA100/2),$BY100,$BX100,$BZ100,$AJ100,1,8)+(AJ100/365.25)*CH100/AH100,0)</f>
        <v>2.737856437292896E-2</v>
      </c>
      <c r="BO100" s="137">
        <f>_xll.xSPRDOPT($BW100,$BV100,$CG100,0,$BY100,$BX100,$BZ100,$AJ100,1,0)</f>
        <v>0.13707595491079216</v>
      </c>
      <c r="BP100" s="137"/>
      <c r="BQ100" s="137"/>
      <c r="BR100" s="137"/>
      <c r="BS100" s="137"/>
      <c r="BV100" s="262">
        <v>3.5351542741527564</v>
      </c>
      <c r="BW100" s="136">
        <v>3.6644999999999999</v>
      </c>
      <c r="BX100" s="137">
        <v>0.23274341939741888</v>
      </c>
      <c r="BY100" s="137">
        <v>0.23346872586892964</v>
      </c>
      <c r="BZ100" s="137">
        <v>0.99855280999204632</v>
      </c>
      <c r="CA100" s="137">
        <v>5.7101881848094803E-2</v>
      </c>
      <c r="CB100" s="137">
        <v>0.69023599215994369</v>
      </c>
      <c r="CC100" s="258">
        <v>-0.09</v>
      </c>
      <c r="CD100" s="258">
        <v>0</v>
      </c>
      <c r="CE100" s="258">
        <v>0.04</v>
      </c>
      <c r="CF100" s="258">
        <v>0.04</v>
      </c>
      <c r="CG100" s="258">
        <v>0</v>
      </c>
      <c r="CH100" s="258">
        <v>3.0619558848207258</v>
      </c>
      <c r="CI100" s="258">
        <v>3.5844999999999998</v>
      </c>
      <c r="CJ100" s="258"/>
      <c r="CK100" s="258"/>
      <c r="CL100" s="258"/>
      <c r="CM100" s="258"/>
    </row>
    <row r="101" spans="1:91" x14ac:dyDescent="0.25">
      <c r="A101" s="723"/>
      <c r="B101" s="723"/>
      <c r="D101" s="31">
        <f t="shared" si="86"/>
        <v>39675</v>
      </c>
      <c r="F101" s="28">
        <f t="shared" si="70"/>
        <v>60000</v>
      </c>
      <c r="G101" s="28">
        <f t="shared" si="13"/>
        <v>41186.686313287384</v>
      </c>
      <c r="H101" s="52">
        <f t="shared" si="71"/>
        <v>3.5756196256954982</v>
      </c>
      <c r="I101" s="52">
        <f t="shared" si="72"/>
        <v>3.7044999999999999</v>
      </c>
      <c r="K101" s="52">
        <f t="shared" si="87"/>
        <v>2.7425470333495974</v>
      </c>
      <c r="L101" s="135">
        <f t="shared" si="88"/>
        <v>0.22100300465630074</v>
      </c>
      <c r="N101" s="131">
        <f t="shared" si="89"/>
        <v>0.23342912389880816</v>
      </c>
      <c r="O101" s="131">
        <f t="shared" si="90"/>
        <v>0.23421197126552473</v>
      </c>
      <c r="P101" s="55">
        <f t="shared" si="91"/>
        <v>0.99832283140491873</v>
      </c>
      <c r="Q101" s="135">
        <f>_xll.xSPRDOPT(I101,H101,AQ101,0,O101,N101,P101,D101-$G$5,1,0)*AH101*AU101</f>
        <v>2.9635500380058981</v>
      </c>
      <c r="R101" s="135"/>
      <c r="S101" s="181">
        <f>_xll.xSPRDOPT(I101,H101,AQ101,AT101,O101,N101,P101,D101-$G$5,1,2)*AF101*(F101/(1-AR101))*AH101</f>
        <v>-1079010.6318682651</v>
      </c>
      <c r="T101" s="181">
        <f>_xll.xSPRDOPT(I101,H101,AQ101,AT101,O101,N101,P101,D101-$G$5,1,1)*AF101*F101*AH101</f>
        <v>1077237.1501811696</v>
      </c>
      <c r="U101" s="135"/>
      <c r="V101" s="146">
        <f t="shared" si="73"/>
        <v>3.0451376525729024</v>
      </c>
      <c r="W101" s="146"/>
      <c r="X101" s="338">
        <f t="shared" si="74"/>
        <v>0</v>
      </c>
      <c r="Y101" s="338">
        <f t="shared" si="18"/>
        <v>0</v>
      </c>
      <c r="Z101" s="338">
        <f t="shared" si="19"/>
        <v>58.50325142930761</v>
      </c>
      <c r="AA101" s="338">
        <f t="shared" si="20"/>
        <v>0.92981209016026201</v>
      </c>
      <c r="AB101" s="338">
        <f t="shared" si="75"/>
        <v>0</v>
      </c>
      <c r="AC101" s="338">
        <f t="shared" si="76"/>
        <v>83.625905692623334</v>
      </c>
      <c r="AF101" s="138">
        <f t="shared" si="77"/>
        <v>1</v>
      </c>
      <c r="AG101" s="138">
        <f t="shared" si="78"/>
        <v>8</v>
      </c>
      <c r="AH101" s="138">
        <f t="shared" si="79"/>
        <v>31</v>
      </c>
      <c r="AI101" s="138">
        <f t="shared" si="92"/>
        <v>2419</v>
      </c>
      <c r="AJ101" s="138">
        <f t="shared" si="80"/>
        <v>2436</v>
      </c>
      <c r="AL101" s="136">
        <f t="shared" si="27"/>
        <v>3.6244999999999998</v>
      </c>
      <c r="AM101" s="258">
        <f t="shared" si="49"/>
        <v>-0.09</v>
      </c>
      <c r="AN101" s="258">
        <f t="shared" si="28"/>
        <v>0</v>
      </c>
      <c r="AO101" s="258">
        <f t="shared" si="29"/>
        <v>0.04</v>
      </c>
      <c r="AP101" s="258">
        <f t="shared" si="30"/>
        <v>0.04</v>
      </c>
      <c r="AQ101" s="136">
        <f t="shared" si="81"/>
        <v>0</v>
      </c>
      <c r="AR101" s="137">
        <f t="shared" si="32"/>
        <v>1.15E-2</v>
      </c>
      <c r="AS101" s="136">
        <f t="shared" si="93"/>
        <v>3.5345</v>
      </c>
      <c r="AT101" s="137">
        <f t="shared" si="82"/>
        <v>5.7285898092300801E-2</v>
      </c>
      <c r="AU101" s="137">
        <f t="shared" si="34"/>
        <v>0.68644477188812303</v>
      </c>
      <c r="AV101" s="394">
        <f t="shared" si="94"/>
        <v>14853.291974115205</v>
      </c>
      <c r="AW101" s="137">
        <f t="shared" si="35"/>
        <v>0.23</v>
      </c>
      <c r="AX101" s="137">
        <f t="shared" si="36"/>
        <v>0.55000000000000004</v>
      </c>
      <c r="AY101" s="137">
        <f t="shared" si="37"/>
        <v>0.6</v>
      </c>
      <c r="AZ101" s="137"/>
      <c r="BA101" s="264"/>
      <c r="BB101" s="258">
        <f t="shared" si="38"/>
        <v>0</v>
      </c>
      <c r="BC101" s="258">
        <f t="shared" si="83"/>
        <v>0</v>
      </c>
      <c r="BD101" s="137">
        <f t="shared" si="84"/>
        <v>4.1894980462309217E-6</v>
      </c>
      <c r="BE101" s="137">
        <f t="shared" si="85"/>
        <v>5.1374078402222079E-6</v>
      </c>
      <c r="BF101" s="137">
        <f>_xll.xSPRDOPT($BW101,$BV101,$CG101,0,$BY101,$BX101,$BZ101,$AJ101,1,4)*$CB101</f>
        <v>1.334314183847886</v>
      </c>
      <c r="BG101" s="137">
        <f>_xll.xSPRDOPT($BW101,$BV101,$CG101,0,$BY101,$BX101,$BZ101,$AJ101,1,3)*$CB101</f>
        <v>1.2430869479360178</v>
      </c>
      <c r="BH101" s="137">
        <f>IF(OR(BF101&lt;&gt;0,BG101&lt;&gt;0),_xll.xSPRDOPT($BW101,$BV101,$CG101,0,$BY101,$BX101,$BZ101,$AJ101,1,12)*$CB101,0)</f>
        <v>-1.28789102072202</v>
      </c>
      <c r="BI101" s="137">
        <f>_xll.xSPRDOPT($BW101,$BV101,$CG101,2*LN(1+CA101/2),$BY101,$BX101,$BZ101,$AJ101,1,9)</f>
        <v>3.8294466997409685E-3</v>
      </c>
      <c r="BJ101" s="137">
        <f>_xll.xSPRDOPT($BW101,$BV101,$CG101,0,$BY101,$BX101,$BZ101,$AJ101,1,6)*$CB101</f>
        <v>-4.4323826530159725E-2</v>
      </c>
      <c r="BK101" s="137">
        <f>_xll.xSPRDOPT($BW101,$BV101,$CG101,0,$BY101,$BX101,$BZ101,$AJ101,1,5)*$CB101</f>
        <v>0.13345126164333695</v>
      </c>
      <c r="BL101" s="137">
        <f>_xll.xSPRDOPT(BW101,BV101,CG101,0,BY101,BX101,BZ101,AJ101,1,2)*CB101</f>
        <v>-0.57625799833724423</v>
      </c>
      <c r="BM101" s="137">
        <f>_xll.xSPRDOPT(BW101,BV101,CG101,0,BY101,BX101,BZ101,AJ101,1,1)*CB101</f>
        <v>0.58200389996133595</v>
      </c>
      <c r="BN101" s="137">
        <f>IF(AH101&lt;&gt;0,_xll.xSPRDOPT($BW101,$BV101,$CG101,2*LN(1+CA101/2),$BY101,$BX101,$BZ101,$AJ101,1,8)+(AJ101/365.25)*CH101/AH101,0)</f>
        <v>1.7544735263972044E-2</v>
      </c>
      <c r="BO101" s="137">
        <f>_xll.xSPRDOPT($BW101,$BV101,$CG101,0,$BY101,$BX101,$BZ101,$AJ101,1,0)</f>
        <v>0.13926596890192711</v>
      </c>
      <c r="BP101" s="137"/>
      <c r="BQ101" s="137"/>
      <c r="BR101" s="137"/>
      <c r="BS101" s="137"/>
      <c r="BV101" s="262">
        <v>3.5756196256954982</v>
      </c>
      <c r="BW101" s="136">
        <v>3.7044999999999999</v>
      </c>
      <c r="BX101" s="137">
        <v>0.23342493440076192</v>
      </c>
      <c r="BY101" s="137">
        <v>0.23420683385768451</v>
      </c>
      <c r="BZ101" s="137">
        <v>0.99832482213612173</v>
      </c>
      <c r="CA101" s="137">
        <v>5.7285898092300801E-2</v>
      </c>
      <c r="CB101" s="137">
        <v>0.68612639842088818</v>
      </c>
      <c r="CC101" s="258">
        <v>-0.09</v>
      </c>
      <c r="CD101" s="258">
        <v>0</v>
      </c>
      <c r="CE101" s="258">
        <v>0.04</v>
      </c>
      <c r="CF101" s="258">
        <v>0.04</v>
      </c>
      <c r="CG101" s="258">
        <v>0</v>
      </c>
      <c r="CH101" s="258">
        <v>3.043725316034902</v>
      </c>
      <c r="CI101" s="258">
        <v>3.6244999999999998</v>
      </c>
      <c r="CJ101" s="258"/>
      <c r="CK101" s="258"/>
      <c r="CL101" s="258"/>
      <c r="CM101" s="258"/>
    </row>
    <row r="102" spans="1:91" x14ac:dyDescent="0.25">
      <c r="A102" s="723"/>
      <c r="B102" s="723"/>
      <c r="D102" s="31">
        <f t="shared" si="86"/>
        <v>39706</v>
      </c>
      <c r="F102" s="28">
        <f t="shared" si="70"/>
        <v>60000</v>
      </c>
      <c r="G102" s="28">
        <f t="shared" si="13"/>
        <v>40940.2863344414</v>
      </c>
      <c r="H102" s="52">
        <f t="shared" si="71"/>
        <v>3.5705614567526553</v>
      </c>
      <c r="I102" s="52">
        <f t="shared" si="72"/>
        <v>3.6995</v>
      </c>
      <c r="K102" s="52">
        <f t="shared" si="87"/>
        <v>2.6393904400460229</v>
      </c>
      <c r="L102" s="135">
        <f t="shared" si="88"/>
        <v>0.20158547776028124</v>
      </c>
      <c r="N102" s="131">
        <f t="shared" si="89"/>
        <v>0.23327851186374429</v>
      </c>
      <c r="O102" s="131">
        <f t="shared" si="90"/>
        <v>0.23402726908949051</v>
      </c>
      <c r="P102" s="55">
        <f t="shared" si="91"/>
        <v>0.99839448537465336</v>
      </c>
      <c r="Q102" s="135">
        <f>_xll.xSPRDOPT(I102,H102,AQ102,0,O102,N102,P102,D102-$G$5,1,0)*AH102*AU102</f>
        <v>2.8409759178063041</v>
      </c>
      <c r="R102" s="135"/>
      <c r="S102" s="181">
        <f>_xll.xSPRDOPT(I102,H102,AQ102,AT102,O102,N102,P102,D102-$G$5,1,2)*AF102*(F102/(1-AR102))*AH102</f>
        <v>-1043447.0541234468</v>
      </c>
      <c r="T102" s="181">
        <f>_xll.xSPRDOPT(I102,H102,AQ102,AT102,O102,N102,P102,D102-$G$5,1,1)*AF102*F102*AH102</f>
        <v>1041323.3567943518</v>
      </c>
      <c r="U102" s="135"/>
      <c r="V102" s="146">
        <f t="shared" si="73"/>
        <v>2.9292774872292822</v>
      </c>
      <c r="W102" s="146"/>
      <c r="X102" s="338">
        <f t="shared" si="74"/>
        <v>0</v>
      </c>
      <c r="Y102" s="338">
        <f t="shared" si="18"/>
        <v>0</v>
      </c>
      <c r="Z102" s="338">
        <f t="shared" si="19"/>
        <v>57.360284658947258</v>
      </c>
      <c r="AA102" s="338">
        <f t="shared" si="20"/>
        <v>0.81537490339630481</v>
      </c>
      <c r="AB102" s="338">
        <f t="shared" si="75"/>
        <v>0</v>
      </c>
      <c r="AC102" s="338">
        <f t="shared" si="76"/>
        <v>80.424486101617774</v>
      </c>
      <c r="AF102" s="138">
        <f t="shared" si="77"/>
        <v>1</v>
      </c>
      <c r="AG102" s="138">
        <f t="shared" si="78"/>
        <v>9</v>
      </c>
      <c r="AH102" s="138">
        <f t="shared" si="79"/>
        <v>30</v>
      </c>
      <c r="AI102" s="138">
        <f t="shared" si="92"/>
        <v>2450</v>
      </c>
      <c r="AJ102" s="138">
        <f t="shared" si="80"/>
        <v>2467</v>
      </c>
      <c r="AL102" s="136">
        <f t="shared" si="27"/>
        <v>3.6194999999999999</v>
      </c>
      <c r="AM102" s="258">
        <f t="shared" si="49"/>
        <v>-0.09</v>
      </c>
      <c r="AN102" s="258">
        <f t="shared" si="28"/>
        <v>0</v>
      </c>
      <c r="AO102" s="258">
        <f t="shared" si="29"/>
        <v>0.04</v>
      </c>
      <c r="AP102" s="258">
        <f t="shared" si="30"/>
        <v>0.04</v>
      </c>
      <c r="AQ102" s="136">
        <f t="shared" si="81"/>
        <v>0</v>
      </c>
      <c r="AR102" s="137">
        <f t="shared" si="32"/>
        <v>1.15E-2</v>
      </c>
      <c r="AS102" s="136">
        <f t="shared" si="93"/>
        <v>3.5295000000000001</v>
      </c>
      <c r="AT102" s="137">
        <f t="shared" si="82"/>
        <v>5.7469914347772398E-2</v>
      </c>
      <c r="AU102" s="137">
        <f t="shared" si="34"/>
        <v>0.6823381055740233</v>
      </c>
      <c r="AV102" s="394">
        <f t="shared" si="94"/>
        <v>14288.159930720049</v>
      </c>
      <c r="AW102" s="137">
        <f t="shared" si="35"/>
        <v>0.23</v>
      </c>
      <c r="AX102" s="137">
        <f t="shared" si="36"/>
        <v>0.55000000000000004</v>
      </c>
      <c r="AY102" s="137">
        <f t="shared" si="37"/>
        <v>0.6</v>
      </c>
      <c r="AZ102" s="137"/>
      <c r="BA102" s="264"/>
      <c r="BB102" s="258">
        <f t="shared" si="38"/>
        <v>0</v>
      </c>
      <c r="BC102" s="258">
        <f t="shared" si="83"/>
        <v>0</v>
      </c>
      <c r="BD102" s="137">
        <f t="shared" si="84"/>
        <v>3.9572543721055897E-6</v>
      </c>
      <c r="BE102" s="137">
        <f t="shared" si="85"/>
        <v>4.8533129253791607E-6</v>
      </c>
      <c r="BF102" s="137">
        <f>_xll.xSPRDOPT($BW102,$BV102,$CG102,0,$BY102,$BX102,$BZ102,$AJ102,1,4)*$CB102</f>
        <v>1.3248210505952349</v>
      </c>
      <c r="BG102" s="137">
        <f>_xll.xSPRDOPT($BW102,$BV102,$CG102,0,$BY102,$BX102,$BZ102,$AJ102,1,3)*$CB102</f>
        <v>1.2340824022678964</v>
      </c>
      <c r="BH102" s="137">
        <f>IF(OR(BF102&lt;&gt;0,BG102&lt;&gt;0),_xll.xSPRDOPT($BW102,$BV102,$CG102,0,$BY102,$BX102,$BZ102,$AJ102,1,12)*$CB102,0)</f>
        <v>-1.2786450989694202</v>
      </c>
      <c r="BI102" s="137">
        <f>_xll.xSPRDOPT($BW102,$BV102,$CG102,2*LN(1+CA102/2),$BY102,$BX102,$BZ102,$AJ102,1,9)</f>
        <v>3.8797859206815711E-3</v>
      </c>
      <c r="BJ102" s="137">
        <f>_xll.xSPRDOPT($BW102,$BV102,$CG102,0,$BY102,$BX102,$BZ102,$AJ102,1,6)*$CB102</f>
        <v>-4.2504650529043578E-2</v>
      </c>
      <c r="BK102" s="137">
        <f>_xll.xSPRDOPT($BW102,$BV102,$CG102,0,$BY102,$BX102,$BZ102,$AJ102,1,5)*$CB102</f>
        <v>0.1279925241034689</v>
      </c>
      <c r="BL102" s="137">
        <f>_xll.xSPRDOPT(BW102,BV102,CG102,0,BY102,BX102,BZ102,AJ102,1,2)*CB102</f>
        <v>-0.57589882051613528</v>
      </c>
      <c r="BM102" s="137">
        <f>_xll.xSPRDOPT(BW102,BV102,CG102,0,BY102,BX102,BZ102,AJ102,1,1)*CB102</f>
        <v>0.58141296269781628</v>
      </c>
      <c r="BN102" s="137">
        <f>IF(AH102&lt;&gt;0,_xll.xSPRDOPT($BW102,$BV102,$CG102,2*LN(1+CA102/2),$BY102,$BX102,$BZ102,$AJ102,1,8)+(AJ102/365.25)*CH102/AH102,0)</f>
        <v>1.9871161494730449E-2</v>
      </c>
      <c r="BO102" s="137">
        <f>_xll.xSPRDOPT($BW102,$BV102,$CG102,0,$BY102,$BX102,$BZ102,$AJ102,1,0)</f>
        <v>0.13878633103885346</v>
      </c>
      <c r="BP102" s="137"/>
      <c r="BQ102" s="137"/>
      <c r="BR102" s="137"/>
      <c r="BS102" s="137"/>
      <c r="BV102" s="262">
        <v>3.5705614567526553</v>
      </c>
      <c r="BW102" s="136">
        <v>3.6995</v>
      </c>
      <c r="BX102" s="137">
        <v>0.23327455460937219</v>
      </c>
      <c r="BY102" s="137">
        <v>0.23402241577656513</v>
      </c>
      <c r="BZ102" s="137">
        <v>0.99839637047263574</v>
      </c>
      <c r="CA102" s="137">
        <v>5.7469914347772398E-2</v>
      </c>
      <c r="CB102" s="137">
        <v>0.68202063470418084</v>
      </c>
      <c r="CC102" s="258">
        <v>-0.09</v>
      </c>
      <c r="CD102" s="258">
        <v>0</v>
      </c>
      <c r="CE102" s="258">
        <v>0.04</v>
      </c>
      <c r="CF102" s="258">
        <v>0.04</v>
      </c>
      <c r="CG102" s="258">
        <v>0</v>
      </c>
      <c r="CH102" s="258">
        <v>2.9279145847850483</v>
      </c>
      <c r="CI102" s="258">
        <v>3.6194999999999999</v>
      </c>
      <c r="CJ102" s="258"/>
      <c r="CK102" s="258"/>
      <c r="CL102" s="258"/>
      <c r="CM102" s="258"/>
    </row>
    <row r="103" spans="1:91" x14ac:dyDescent="0.25">
      <c r="A103" s="723"/>
      <c r="B103" s="723"/>
      <c r="D103" s="31">
        <f t="shared" si="86"/>
        <v>39736</v>
      </c>
      <c r="F103" s="28">
        <f t="shared" si="70"/>
        <v>60000</v>
      </c>
      <c r="G103" s="28">
        <f t="shared" si="13"/>
        <v>40702.065818129464</v>
      </c>
      <c r="H103" s="52">
        <f t="shared" si="71"/>
        <v>3.5958523014668686</v>
      </c>
      <c r="I103" s="52">
        <f t="shared" si="72"/>
        <v>3.7244999999999999</v>
      </c>
      <c r="K103" s="52">
        <f t="shared" si="87"/>
        <v>2.7053839980739669</v>
      </c>
      <c r="L103" s="135">
        <f t="shared" si="88"/>
        <v>0.27655405453468074</v>
      </c>
      <c r="N103" s="131">
        <f t="shared" si="89"/>
        <v>0.23410991738102227</v>
      </c>
      <c r="O103" s="131">
        <f t="shared" si="90"/>
        <v>0.23493754951883075</v>
      </c>
      <c r="P103" s="55">
        <f t="shared" si="91"/>
        <v>0.99810338905213003</v>
      </c>
      <c r="Q103" s="135">
        <f>_xll.xSPRDOPT(I103,H103,AQ103,0,O103,N103,P103,D103-$G$5,1,0)*AH103*AU103</f>
        <v>2.9819380526086476</v>
      </c>
      <c r="R103" s="135"/>
      <c r="S103" s="181">
        <f>_xll.xSPRDOPT(I103,H103,AQ103,AT103,O103,N103,P103,D103-$G$5,1,2)*AF103*(F103/(1-AR103))*AH103</f>
        <v>-1039382.4034817885</v>
      </c>
      <c r="T103" s="181">
        <f>_xll.xSPRDOPT(I103,H103,AQ103,AT103,O103,N103,P103,D103-$G$5,1,1)*AF103*F103*AH103</f>
        <v>1039712.1375772947</v>
      </c>
      <c r="U103" s="135"/>
      <c r="V103" s="146">
        <f t="shared" si="73"/>
        <v>3.0093072362634019</v>
      </c>
      <c r="W103" s="146"/>
      <c r="X103" s="338">
        <f t="shared" si="74"/>
        <v>0</v>
      </c>
      <c r="Y103" s="338">
        <f t="shared" si="18"/>
        <v>0</v>
      </c>
      <c r="Z103" s="338">
        <f t="shared" si="19"/>
        <v>56.343277659372916</v>
      </c>
      <c r="AA103" s="338">
        <f t="shared" si="20"/>
        <v>1.2066436430252641</v>
      </c>
      <c r="AB103" s="338">
        <f t="shared" si="75"/>
        <v>0</v>
      </c>
      <c r="AC103" s="338">
        <f t="shared" si="76"/>
        <v>84.67640530564799</v>
      </c>
      <c r="AF103" s="138">
        <f t="shared" si="77"/>
        <v>1</v>
      </c>
      <c r="AG103" s="138">
        <f t="shared" si="78"/>
        <v>10</v>
      </c>
      <c r="AH103" s="138">
        <f t="shared" si="79"/>
        <v>31</v>
      </c>
      <c r="AI103" s="138">
        <f t="shared" si="92"/>
        <v>2480</v>
      </c>
      <c r="AJ103" s="138">
        <f t="shared" si="80"/>
        <v>2497</v>
      </c>
      <c r="AL103" s="136">
        <f t="shared" si="27"/>
        <v>3.6444999999999999</v>
      </c>
      <c r="AM103" s="258">
        <f t="shared" si="49"/>
        <v>-0.09</v>
      </c>
      <c r="AN103" s="258">
        <f t="shared" si="28"/>
        <v>0</v>
      </c>
      <c r="AO103" s="258">
        <f t="shared" si="29"/>
        <v>0.04</v>
      </c>
      <c r="AP103" s="258">
        <f t="shared" si="30"/>
        <v>0.04</v>
      </c>
      <c r="AQ103" s="136">
        <f t="shared" si="81"/>
        <v>0</v>
      </c>
      <c r="AR103" s="137">
        <f t="shared" si="32"/>
        <v>1.15E-2</v>
      </c>
      <c r="AS103" s="136">
        <f t="shared" si="93"/>
        <v>3.5545</v>
      </c>
      <c r="AT103" s="137">
        <f t="shared" si="82"/>
        <v>5.76479946057291E-2</v>
      </c>
      <c r="AU103" s="137">
        <f t="shared" si="34"/>
        <v>0.67836776363549112</v>
      </c>
      <c r="AV103" s="394">
        <f t="shared" si="94"/>
        <v>14678.521669544756</v>
      </c>
      <c r="AW103" s="137">
        <f t="shared" si="35"/>
        <v>0.23</v>
      </c>
      <c r="AX103" s="137">
        <f t="shared" si="36"/>
        <v>0.6</v>
      </c>
      <c r="AY103" s="137">
        <f t="shared" si="37"/>
        <v>0.65</v>
      </c>
      <c r="AZ103" s="137"/>
      <c r="BA103" s="264"/>
      <c r="BB103" s="258">
        <f t="shared" si="38"/>
        <v>0</v>
      </c>
      <c r="BC103" s="258">
        <f t="shared" si="83"/>
        <v>0</v>
      </c>
      <c r="BD103" s="137">
        <f t="shared" si="84"/>
        <v>4.8915958872630672E-6</v>
      </c>
      <c r="BE103" s="137">
        <f t="shared" si="85"/>
        <v>5.8663906445655112E-6</v>
      </c>
      <c r="BF103" s="137">
        <f>_xll.xSPRDOPT($BW103,$BV103,$CG103,0,$BY103,$BX103,$BZ103,$AJ103,1,4)*$CB103</f>
        <v>1.3141384984901516</v>
      </c>
      <c r="BG103" s="137">
        <f>_xll.xSPRDOPT($BW103,$BV103,$CG103,0,$BY103,$BX103,$BZ103,$AJ103,1,3)*$CB103</f>
        <v>1.2249231687225484</v>
      </c>
      <c r="BH103" s="137">
        <f>IF(OR(BF103&lt;&gt;0,BG103&lt;&gt;0),_xll.xSPRDOPT($BW103,$BV103,$CG103,0,$BY103,$BX103,$BZ103,$AJ103,1,12)*$CB103,0)</f>
        <v>-1.2687448909619761</v>
      </c>
      <c r="BI103" s="137">
        <f>_xll.xSPRDOPT($BW103,$BV103,$CG103,2*LN(1+CA103/2),$BY103,$BX103,$BZ103,$AJ103,1,9)</f>
        <v>3.6880613199078774E-3</v>
      </c>
      <c r="BJ103" s="137">
        <f>_xll.xSPRDOPT($BW103,$BV103,$CG103,0,$BY103,$BX103,$BZ103,$AJ103,1,6)*$CB103</f>
        <v>-4.4329439744598249E-2</v>
      </c>
      <c r="BK103" s="137">
        <f>_xll.xSPRDOPT($BW103,$BV103,$CG103,0,$BY103,$BX103,$BZ103,$AJ103,1,5)*$CB103</f>
        <v>0.14754810904940904</v>
      </c>
      <c r="BL103" s="137">
        <f>_xll.xSPRDOPT(BW103,BV103,CG103,0,BY103,BX103,BZ103,AJ103,1,2)*CB103</f>
        <v>-0.5552054660914425</v>
      </c>
      <c r="BM103" s="137">
        <f>_xll.xSPRDOPT(BW103,BV103,CG103,0,BY103,BX103,BZ103,AJ103,1,1)*CB103</f>
        <v>0.56184279700565698</v>
      </c>
      <c r="BN103" s="137">
        <f>IF(AH103&lt;&gt;0,_xll.xSPRDOPT($BW103,$BV103,$CG103,2*LN(1+CA103/2),$BY103,$BX103,$BZ103,$AJ103,1,8)+(AJ103/365.25)*CH103/AH103,0)</f>
        <v>6.0328347028687501E-3</v>
      </c>
      <c r="BO103" s="137">
        <f>_xll.xSPRDOPT($BW103,$BV103,$CG103,0,$BY103,$BX103,$BZ103,$AJ103,1,0)</f>
        <v>0.14179854056948149</v>
      </c>
      <c r="BP103" s="137"/>
      <c r="BQ103" s="137"/>
      <c r="BR103" s="137"/>
      <c r="BS103" s="137"/>
      <c r="BV103" s="262">
        <v>3.5958523014668686</v>
      </c>
      <c r="BW103" s="136">
        <v>3.7244999999999999</v>
      </c>
      <c r="BX103" s="137">
        <v>0.23410502578513501</v>
      </c>
      <c r="BY103" s="137">
        <v>0.23493168312818619</v>
      </c>
      <c r="BZ103" s="137">
        <v>0.9981055722829314</v>
      </c>
      <c r="CA103" s="137">
        <v>5.76479946057291E-2</v>
      </c>
      <c r="CB103" s="137">
        <v>0.67805117602048404</v>
      </c>
      <c r="CC103" s="258">
        <v>-0.09</v>
      </c>
      <c r="CD103" s="258">
        <v>0</v>
      </c>
      <c r="CE103" s="258">
        <v>0.04</v>
      </c>
      <c r="CF103" s="258">
        <v>0.04</v>
      </c>
      <c r="CG103" s="258">
        <v>0</v>
      </c>
      <c r="CH103" s="258">
        <v>3.007902821944469</v>
      </c>
      <c r="CI103" s="258">
        <v>3.6444999999999999</v>
      </c>
      <c r="CJ103" s="258"/>
      <c r="CK103" s="258"/>
      <c r="CL103" s="258"/>
      <c r="CM103" s="258"/>
    </row>
    <row r="104" spans="1:91" x14ac:dyDescent="0.25">
      <c r="A104" s="723"/>
      <c r="B104" s="723"/>
      <c r="D104" s="31">
        <f t="shared" si="86"/>
        <v>39767</v>
      </c>
      <c r="F104" s="28">
        <f t="shared" si="70"/>
        <v>60000</v>
      </c>
      <c r="G104" s="28">
        <f t="shared" si="13"/>
        <v>40456.156590405044</v>
      </c>
      <c r="H104" s="52">
        <f t="shared" si="71"/>
        <v>3.8710166919575109</v>
      </c>
      <c r="I104" s="52">
        <f t="shared" si="72"/>
        <v>3.9615</v>
      </c>
      <c r="K104" s="52">
        <f t="shared" si="87"/>
        <v>1.8303034394923989</v>
      </c>
      <c r="L104" s="135">
        <f t="shared" si="88"/>
        <v>0.90706070959053808</v>
      </c>
      <c r="N104" s="131">
        <f t="shared" si="89"/>
        <v>0.23957429584662002</v>
      </c>
      <c r="O104" s="131">
        <f t="shared" si="90"/>
        <v>0.23745808481236294</v>
      </c>
      <c r="P104" s="55">
        <f t="shared" si="91"/>
        <v>0.99651120733808729</v>
      </c>
      <c r="Q104" s="135">
        <f>_xll.xSPRDOPT(I104,H104,AQ104,0,O104,N104,P104,D104-$G$5,1,0)*AH104*AU104</f>
        <v>2.737364149082937</v>
      </c>
      <c r="R104" s="135"/>
      <c r="S104" s="181">
        <f>_xll.xSPRDOPT(I104,H104,AQ104,AT104,O104,N104,P104,D104-$G$5,1,2)*AF104*(F104/(1-AR104))*AH104</f>
        <v>-805682.21208954323</v>
      </c>
      <c r="T104" s="181">
        <f>_xll.xSPRDOPT(I104,H104,AQ104,AT104,O104,N104,P104,D104-$G$5,1,1)*AF104*F104*AH104</f>
        <v>819451.19754344982</v>
      </c>
      <c r="U104" s="135"/>
      <c r="V104" s="146">
        <f t="shared" si="73"/>
        <v>2.8946380040434811</v>
      </c>
      <c r="W104" s="146"/>
      <c r="X104" s="338">
        <f t="shared" si="74"/>
        <v>0</v>
      </c>
      <c r="Y104" s="338">
        <f t="shared" si="18"/>
        <v>0</v>
      </c>
      <c r="Z104" s="338">
        <f t="shared" si="19"/>
        <v>23.085718294786801</v>
      </c>
      <c r="AA104" s="338">
        <f t="shared" si="20"/>
        <v>4.8838079335127738</v>
      </c>
      <c r="AB104" s="338">
        <f t="shared" si="75"/>
        <v>0</v>
      </c>
      <c r="AC104" s="338">
        <f t="shared" si="76"/>
        <v>77.979391003960458</v>
      </c>
      <c r="AF104" s="138">
        <f t="shared" si="77"/>
        <v>1</v>
      </c>
      <c r="AG104" s="138">
        <f t="shared" si="78"/>
        <v>11</v>
      </c>
      <c r="AH104" s="138">
        <f t="shared" si="79"/>
        <v>30</v>
      </c>
      <c r="AI104" s="138">
        <f t="shared" si="92"/>
        <v>2511</v>
      </c>
      <c r="AJ104" s="138">
        <f t="shared" si="80"/>
        <v>2528</v>
      </c>
      <c r="AL104" s="136">
        <f t="shared" si="27"/>
        <v>3.7965</v>
      </c>
      <c r="AM104" s="258">
        <f t="shared" si="49"/>
        <v>0</v>
      </c>
      <c r="AN104" s="258">
        <f t="shared" si="28"/>
        <v>0.03</v>
      </c>
      <c r="AO104" s="258">
        <f t="shared" si="29"/>
        <v>0.13</v>
      </c>
      <c r="AP104" s="258">
        <f t="shared" si="30"/>
        <v>3.5000000000000003E-2</v>
      </c>
      <c r="AQ104" s="136">
        <f t="shared" si="81"/>
        <v>0</v>
      </c>
      <c r="AR104" s="137">
        <f t="shared" si="32"/>
        <v>1.15E-2</v>
      </c>
      <c r="AS104" s="136">
        <f t="shared" si="93"/>
        <v>3.8264999999999998</v>
      </c>
      <c r="AT104" s="137">
        <f t="shared" si="82"/>
        <v>5.7832010883366501E-2</v>
      </c>
      <c r="AU104" s="137">
        <f t="shared" si="34"/>
        <v>0.67426927650675073</v>
      </c>
      <c r="AV104" s="394">
        <f t="shared" si="94"/>
        <v>14119.198650051359</v>
      </c>
      <c r="AW104" s="137">
        <f t="shared" si="35"/>
        <v>0.23</v>
      </c>
      <c r="AX104" s="137">
        <f t="shared" si="36"/>
        <v>0.9</v>
      </c>
      <c r="AY104" s="137">
        <f t="shared" si="37"/>
        <v>0.8</v>
      </c>
      <c r="AZ104" s="137"/>
      <c r="BA104" s="264"/>
      <c r="BB104" s="258">
        <f t="shared" si="38"/>
        <v>0</v>
      </c>
      <c r="BC104" s="258">
        <f t="shared" si="83"/>
        <v>0</v>
      </c>
      <c r="BD104" s="137">
        <f t="shared" si="84"/>
        <v>1.1130725108110529E-5</v>
      </c>
      <c r="BE104" s="137">
        <f t="shared" si="85"/>
        <v>8.7083008758759295E-6</v>
      </c>
      <c r="BF104" s="137">
        <f>_xll.xSPRDOPT($BW104,$BV104,$CG104,0,$BY104,$BX104,$BZ104,$AJ104,1,4)*$CB104</f>
        <v>1.2110700215530326</v>
      </c>
      <c r="BG104" s="137">
        <f>_xll.xSPRDOPT($BW104,$BV104,$CG104,0,$BY104,$BX104,$BZ104,$AJ104,1,3)*$CB104</f>
        <v>1.1563784879799601</v>
      </c>
      <c r="BH104" s="137">
        <f>IF(OR(BF104&lt;&gt;0,BG104&lt;&gt;0),_xll.xSPRDOPT($BW104,$BV104,$CG104,0,$BY104,$BX104,$BZ104,$AJ104,1,12)*$CB104,0)</f>
        <v>-1.1834091623894132</v>
      </c>
      <c r="BI104" s="137">
        <f>_xll.xSPRDOPT($BW104,$BV104,$CG104,2*LN(1+CA104/2),$BY104,$BX104,$BZ104,$AJ104,1,9)</f>
        <v>1.5614923346612738E-3</v>
      </c>
      <c r="BJ104" s="137">
        <f>_xll.xSPRDOPT($BW104,$BV104,$CG104,0,$BY104,$BX104,$BZ104,$AJ104,1,6)*$CB104</f>
        <v>0.36942667557931852</v>
      </c>
      <c r="BK104" s="137">
        <f>_xll.xSPRDOPT($BW104,$BV104,$CG104,0,$BY104,$BX104,$BZ104,$AJ104,1,5)*$CB104</f>
        <v>-0.16062377307404521</v>
      </c>
      <c r="BL104" s="137">
        <f>_xll.xSPRDOPT(BW104,BV104,CG104,0,BY104,BX104,BZ104,AJ104,1,2)*CB104</f>
        <v>-0.44476184345571695</v>
      </c>
      <c r="BM104" s="137">
        <f>_xll.xSPRDOPT(BW104,BV104,CG104,0,BY104,BX104,BZ104,AJ104,1,1)*CB104</f>
        <v>0.4576254521965829</v>
      </c>
      <c r="BN104" s="137">
        <f>IF(AH104&lt;&gt;0,_xll.xSPRDOPT($BW104,$BV104,$CG104,2*LN(1+CA104/2),$BY104,$BX104,$BZ104,$AJ104,1,8)+(AJ104/365.25)*CH104/AH104,0)</f>
        <v>3.6267512876080654E-2</v>
      </c>
      <c r="BO104" s="137">
        <f>_xll.xSPRDOPT($BW104,$BV104,$CG104,0,$BY104,$BX104,$BZ104,$AJ104,1,0)</f>
        <v>0.13532499057849082</v>
      </c>
      <c r="BP104" s="137"/>
      <c r="BQ104" s="137"/>
      <c r="BR104" s="137"/>
      <c r="BS104" s="137"/>
      <c r="BV104" s="262">
        <v>3.8710166919575109</v>
      </c>
      <c r="BW104" s="136">
        <v>3.9615</v>
      </c>
      <c r="BX104" s="137">
        <v>0.23956316512151191</v>
      </c>
      <c r="BY104" s="137">
        <v>0.23744937651148706</v>
      </c>
      <c r="BZ104" s="137">
        <v>0.99651501279986565</v>
      </c>
      <c r="CA104" s="137">
        <v>5.7832010883366501E-2</v>
      </c>
      <c r="CB104" s="137">
        <v>0.6739536115657736</v>
      </c>
      <c r="CC104" s="258">
        <v>0</v>
      </c>
      <c r="CD104" s="258">
        <v>0.03</v>
      </c>
      <c r="CE104" s="258">
        <v>0.13</v>
      </c>
      <c r="CF104" s="258">
        <v>3.5000000000000003E-2</v>
      </c>
      <c r="CG104" s="258">
        <v>0</v>
      </c>
      <c r="CH104" s="258">
        <v>2.8932828544518663</v>
      </c>
      <c r="CI104" s="258">
        <v>3.7965</v>
      </c>
      <c r="CJ104" s="258"/>
      <c r="CK104" s="258"/>
      <c r="CL104" s="258"/>
      <c r="CM104" s="258"/>
    </row>
    <row r="105" spans="1:91" x14ac:dyDescent="0.25">
      <c r="A105" s="723"/>
      <c r="B105" s="723"/>
      <c r="D105" s="31">
        <f t="shared" si="86"/>
        <v>39797</v>
      </c>
      <c r="F105" s="28">
        <f t="shared" si="70"/>
        <v>60000</v>
      </c>
      <c r="G105" s="28">
        <f t="shared" si="13"/>
        <v>40218.43629325337</v>
      </c>
      <c r="H105" s="52">
        <f t="shared" si="71"/>
        <v>4.0207384926656546</v>
      </c>
      <c r="I105" s="52">
        <f t="shared" si="72"/>
        <v>4.1044999999999998</v>
      </c>
      <c r="K105" s="52">
        <f t="shared" si="87"/>
        <v>1.7405243707191722</v>
      </c>
      <c r="L105" s="135">
        <f t="shared" si="88"/>
        <v>1.4698397779535541</v>
      </c>
      <c r="N105" s="131">
        <f t="shared" si="89"/>
        <v>0.24616570689541664</v>
      </c>
      <c r="O105" s="131">
        <f t="shared" si="90"/>
        <v>0.24477636807838701</v>
      </c>
      <c r="P105" s="55">
        <f t="shared" si="91"/>
        <v>0.99479881564206418</v>
      </c>
      <c r="Q105" s="135">
        <f>_xll.xSPRDOPT(I105,H105,AQ105,0,O105,N105,P105,D105-$G$5,1,0)*AH105*AU105</f>
        <v>3.2103641486727263</v>
      </c>
      <c r="R105" s="135"/>
      <c r="S105" s="181">
        <f>_xll.xSPRDOPT(I105,H105,AQ105,AT105,O105,N105,P105,D105-$G$5,1,2)*AF105*(F105/(1-AR105))*AH105</f>
        <v>-764189.91215103981</v>
      </c>
      <c r="T105" s="181">
        <f>_xll.xSPRDOPT(I105,H105,AQ105,AT105,O105,N105,P105,D105-$G$5,1,1)*AF105*F105*AH105</f>
        <v>786645.26899277524</v>
      </c>
      <c r="U105" s="135"/>
      <c r="V105" s="146">
        <f t="shared" si="73"/>
        <v>2.973550087341688</v>
      </c>
      <c r="W105" s="146"/>
      <c r="X105" s="338">
        <f t="shared" si="74"/>
        <v>0</v>
      </c>
      <c r="Y105" s="338">
        <f t="shared" si="18"/>
        <v>0</v>
      </c>
      <c r="Z105" s="338">
        <f t="shared" si="19"/>
        <v>15.635432424688123</v>
      </c>
      <c r="AA105" s="338">
        <f t="shared" si="20"/>
        <v>9.5280013758333411</v>
      </c>
      <c r="AB105" s="338">
        <f t="shared" si="75"/>
        <v>0</v>
      </c>
      <c r="AC105" s="338">
        <f t="shared" si="76"/>
        <v>91.735248252240652</v>
      </c>
      <c r="AF105" s="138">
        <f t="shared" si="77"/>
        <v>1</v>
      </c>
      <c r="AG105" s="138">
        <f t="shared" si="78"/>
        <v>12</v>
      </c>
      <c r="AH105" s="138">
        <f t="shared" si="79"/>
        <v>31</v>
      </c>
      <c r="AI105" s="138">
        <f t="shared" si="92"/>
        <v>2541</v>
      </c>
      <c r="AJ105" s="138">
        <f t="shared" si="80"/>
        <v>2558</v>
      </c>
      <c r="AL105" s="136">
        <f t="shared" si="27"/>
        <v>3.9394999999999998</v>
      </c>
      <c r="AM105" s="258">
        <f t="shared" si="49"/>
        <v>5.0000000000000001E-3</v>
      </c>
      <c r="AN105" s="258">
        <f t="shared" si="28"/>
        <v>0.03</v>
      </c>
      <c r="AO105" s="258">
        <f t="shared" si="29"/>
        <v>0.13</v>
      </c>
      <c r="AP105" s="258">
        <f t="shared" si="30"/>
        <v>3.5000000000000003E-2</v>
      </c>
      <c r="AQ105" s="136">
        <f t="shared" si="81"/>
        <v>0</v>
      </c>
      <c r="AR105" s="137">
        <f t="shared" si="32"/>
        <v>1.15E-2</v>
      </c>
      <c r="AS105" s="136">
        <f t="shared" si="93"/>
        <v>3.9744999999999995</v>
      </c>
      <c r="AT105" s="137">
        <f t="shared" si="82"/>
        <v>5.80100911627719E-2</v>
      </c>
      <c r="AU105" s="137">
        <f t="shared" si="34"/>
        <v>0.67030727155422287</v>
      </c>
      <c r="AV105" s="394">
        <f t="shared" si="94"/>
        <v>14504.108741890275</v>
      </c>
      <c r="AW105" s="137">
        <f t="shared" si="35"/>
        <v>0.23</v>
      </c>
      <c r="AX105" s="137">
        <f t="shared" si="36"/>
        <v>1.1499999999999999</v>
      </c>
      <c r="AY105" s="137">
        <f t="shared" si="37"/>
        <v>1.1000000000000001</v>
      </c>
      <c r="AZ105" s="137"/>
      <c r="BA105" s="264"/>
      <c r="BB105" s="258">
        <f t="shared" si="38"/>
        <v>0</v>
      </c>
      <c r="BC105" s="258">
        <f t="shared" si="83"/>
        <v>0</v>
      </c>
      <c r="BD105" s="137">
        <f t="shared" si="84"/>
        <v>1.8326416596020634E-5</v>
      </c>
      <c r="BE105" s="137">
        <f t="shared" si="85"/>
        <v>1.6797255754708029E-5</v>
      </c>
      <c r="BF105" s="137">
        <f>_xll.xSPRDOPT($BW105,$BV105,$CG105,0,$BY105,$BX105,$BZ105,$AJ105,1,4)*$CB105</f>
        <v>0.96447430671694534</v>
      </c>
      <c r="BG105" s="137">
        <f>_xll.xSPRDOPT($BW105,$BV105,$CG105,0,$BY105,$BX105,$BZ105,$AJ105,1,3)*$CB105</f>
        <v>0.92551142193848168</v>
      </c>
      <c r="BH105" s="137">
        <f>IF(OR(BF105&lt;&gt;0,BG105&lt;&gt;0),_xll.xSPRDOPT($BW105,$BV105,$CG105,0,$BY105,$BX105,$BZ105,$AJ105,1,12)*$CB105,0)</f>
        <v>-0.94479218481143346</v>
      </c>
      <c r="BI105" s="137">
        <f>_xll.xSPRDOPT($BW105,$BV105,$CG105,2*LN(1+CA105/2),$BY105,$BX105,$BZ105,$AJ105,1,9)</f>
        <v>1.0234483320998812E-3</v>
      </c>
      <c r="BJ105" s="137">
        <f>_xll.xSPRDOPT($BW105,$BV105,$CG105,0,$BY105,$BX105,$BZ105,$AJ105,1,6)*$CB105</f>
        <v>0.29042102273504039</v>
      </c>
      <c r="BK105" s="137">
        <f>_xll.xSPRDOPT($BW105,$BV105,$CG105,0,$BY105,$BX105,$BZ105,$AJ105,1,5)*$CB105</f>
        <v>-1.1894518303806565E-2</v>
      </c>
      <c r="BL105" s="137">
        <f>_xll.xSPRDOPT(BW105,BV105,CG105,0,BY105,BX105,BZ105,AJ105,1,2)*CB105</f>
        <v>-0.40828974693454334</v>
      </c>
      <c r="BM105" s="137">
        <f>_xll.xSPRDOPT(BW105,BV105,CG105,0,BY105,BX105,BZ105,AJ105,1,1)*CB105</f>
        <v>0.42517668625527838</v>
      </c>
      <c r="BN105" s="137">
        <f>IF(AH105&lt;&gt;0,_xll.xSPRDOPT($BW105,$BV105,$CG105,2*LN(1+CA105/2),$BY105,$BX105,$BZ105,$AJ105,1,8)+(AJ105/365.25)*CH105/AH105,0)</f>
        <v>-5.3475329008978001E-2</v>
      </c>
      <c r="BO105" s="137">
        <f>_xll.xSPRDOPT($BW105,$BV105,$CG105,0,$BY105,$BX105,$BZ105,$AJ105,1,0)</f>
        <v>0.15449654481641628</v>
      </c>
      <c r="BP105" s="137"/>
      <c r="BQ105" s="137"/>
      <c r="BR105" s="137"/>
      <c r="BS105" s="137"/>
      <c r="BV105" s="262">
        <v>4.0207384926656546</v>
      </c>
      <c r="BW105" s="136">
        <v>4.1044999999999998</v>
      </c>
      <c r="BX105" s="137">
        <v>0.24614738047882062</v>
      </c>
      <c r="BY105" s="137">
        <v>0.24475957082263231</v>
      </c>
      <c r="BZ105" s="137">
        <v>0.99480415216027684</v>
      </c>
      <c r="CA105" s="137">
        <v>5.80100911627719E-2</v>
      </c>
      <c r="CB105" s="137">
        <v>0.6699925090619856</v>
      </c>
      <c r="CC105" s="258">
        <v>5.0000000000000001E-3</v>
      </c>
      <c r="CD105" s="258">
        <v>0.03</v>
      </c>
      <c r="CE105" s="258">
        <v>0.13</v>
      </c>
      <c r="CF105" s="258">
        <v>3.5000000000000003E-2</v>
      </c>
      <c r="CG105" s="258">
        <v>0</v>
      </c>
      <c r="CH105" s="258">
        <v>2.9721537694498741</v>
      </c>
      <c r="CI105" s="258">
        <v>3.9394999999999998</v>
      </c>
      <c r="CJ105" s="258"/>
      <c r="CK105" s="258"/>
      <c r="CL105" s="258"/>
      <c r="CM105" s="258"/>
    </row>
    <row r="106" spans="1:91" x14ac:dyDescent="0.25">
      <c r="A106" s="723"/>
      <c r="B106" s="723"/>
      <c r="D106" s="31">
        <f t="shared" si="86"/>
        <v>39828</v>
      </c>
      <c r="F106" s="28">
        <f t="shared" si="70"/>
        <v>60000</v>
      </c>
      <c r="G106" s="28">
        <f t="shared" si="13"/>
        <v>39982.373928070017</v>
      </c>
      <c r="H106" s="52">
        <f t="shared" si="71"/>
        <v>4.0940819423368744</v>
      </c>
      <c r="I106" s="52">
        <f t="shared" si="72"/>
        <v>4.157</v>
      </c>
      <c r="K106" s="52">
        <f t="shared" si="87"/>
        <v>1.2997335426293963</v>
      </c>
      <c r="L106" s="135">
        <f t="shared" si="88"/>
        <v>1.6638260949443984</v>
      </c>
      <c r="N106" s="131">
        <f t="shared" si="89"/>
        <v>0.24597831882776444</v>
      </c>
      <c r="O106" s="131">
        <f t="shared" si="90"/>
        <v>0.24460462033627878</v>
      </c>
      <c r="P106" s="55">
        <f t="shared" si="91"/>
        <v>0.99485343659978998</v>
      </c>
      <c r="Q106" s="135">
        <f>_xll.xSPRDOPT(I106,H106,AQ106,0,O106,N106,P106,D106-$G$5,1,0)*AH106*AU106</f>
        <v>2.9635596375737947</v>
      </c>
      <c r="R106" s="135"/>
      <c r="S106" s="181">
        <f>_xll.xSPRDOPT(I106,H106,AQ106,AT106,O106,N106,P106,D106-$G$5,1,2)*AF106*(F106/(1-AR106))*AH106</f>
        <v>-720508.87135586515</v>
      </c>
      <c r="T106" s="181">
        <f>_xll.xSPRDOPT(I106,H106,AQ106,AT106,O106,N106,P106,D106-$G$5,1,1)*AF106*F106*AH106</f>
        <v>743967.16688924446</v>
      </c>
      <c r="U106" s="135"/>
      <c r="V106" s="146">
        <f t="shared" si="73"/>
        <v>2.9560968163718568</v>
      </c>
      <c r="W106" s="146"/>
      <c r="X106" s="338">
        <f t="shared" si="74"/>
        <v>0</v>
      </c>
      <c r="Y106" s="338">
        <f t="shared" si="18"/>
        <v>0</v>
      </c>
      <c r="Z106" s="338">
        <f t="shared" si="19"/>
        <v>7.4349178763978143</v>
      </c>
      <c r="AA106" s="338">
        <f t="shared" si="20"/>
        <v>9.6125807617951153</v>
      </c>
      <c r="AB106" s="338">
        <f t="shared" si="75"/>
        <v>0</v>
      </c>
      <c r="AC106" s="338">
        <f t="shared" si="76"/>
        <v>84.90202425232745</v>
      </c>
      <c r="AF106" s="138">
        <f t="shared" si="77"/>
        <v>1</v>
      </c>
      <c r="AG106" s="138">
        <f t="shared" si="78"/>
        <v>1</v>
      </c>
      <c r="AH106" s="138">
        <f t="shared" si="79"/>
        <v>31</v>
      </c>
      <c r="AI106" s="138">
        <f t="shared" si="92"/>
        <v>2572</v>
      </c>
      <c r="AJ106" s="138">
        <f t="shared" si="80"/>
        <v>2589</v>
      </c>
      <c r="AL106" s="136">
        <f t="shared" si="27"/>
        <v>3.992</v>
      </c>
      <c r="AM106" s="258">
        <f t="shared" si="49"/>
        <v>2.5000000000000001E-2</v>
      </c>
      <c r="AN106" s="258">
        <f t="shared" si="28"/>
        <v>0.03</v>
      </c>
      <c r="AO106" s="258">
        <f t="shared" si="29"/>
        <v>0.13</v>
      </c>
      <c r="AP106" s="258">
        <f t="shared" si="30"/>
        <v>3.5000000000000003E-2</v>
      </c>
      <c r="AQ106" s="136">
        <f t="shared" si="81"/>
        <v>0</v>
      </c>
      <c r="AR106" s="137">
        <f t="shared" si="32"/>
        <v>1.15E-2</v>
      </c>
      <c r="AS106" s="136">
        <f t="shared" si="93"/>
        <v>4.0470000000000006</v>
      </c>
      <c r="AT106" s="137">
        <f t="shared" si="82"/>
        <v>5.8160280129314401E-2</v>
      </c>
      <c r="AU106" s="137">
        <f t="shared" si="34"/>
        <v>0.66637289880116701</v>
      </c>
      <c r="AV106" s="394">
        <f t="shared" si="94"/>
        <v>14418.976784259652</v>
      </c>
      <c r="AW106" s="137">
        <f t="shared" si="35"/>
        <v>0.23</v>
      </c>
      <c r="AX106" s="137">
        <f t="shared" si="36"/>
        <v>1.1499999999999999</v>
      </c>
      <c r="AY106" s="137">
        <f t="shared" si="37"/>
        <v>1.1000000000000001</v>
      </c>
      <c r="AZ106" s="137"/>
      <c r="BA106" s="264"/>
      <c r="BB106" s="258">
        <f t="shared" si="38"/>
        <v>0</v>
      </c>
      <c r="BC106" s="258">
        <f t="shared" si="83"/>
        <v>0</v>
      </c>
      <c r="BD106" s="137">
        <f t="shared" si="84"/>
        <v>1.7903786590778292E-5</v>
      </c>
      <c r="BE106" s="137">
        <f t="shared" si="85"/>
        <v>1.6408912788035135E-5</v>
      </c>
      <c r="BF106" s="137">
        <f>_xll.xSPRDOPT($BW106,$BV106,$CG106,0,$BY106,$BX106,$BZ106,$AJ106,1,4)*$CB106</f>
        <v>0.95988919510201265</v>
      </c>
      <c r="BG106" s="137">
        <f>_xll.xSPRDOPT($BW106,$BV106,$CG106,0,$BY106,$BX106,$BZ106,$AJ106,1,3)*$CB106</f>
        <v>0.93105235249396168</v>
      </c>
      <c r="BH106" s="137">
        <f>IF(OR(BF106&lt;&gt;0,BG106&lt;&gt;0),_xll.xSPRDOPT($BW106,$BV106,$CG106,0,$BY106,$BX106,$BZ106,$AJ106,1,12)*$CB106,0)</f>
        <v>-0.94536028677456529</v>
      </c>
      <c r="BI106" s="137">
        <f>_xll.xSPRDOPT($BW106,$BV106,$CG106,2*LN(1+CA106/2),$BY106,$BX106,$BZ106,$AJ106,1,9)</f>
        <v>4.8666733949001822E-4</v>
      </c>
      <c r="BJ106" s="137">
        <f>_xll.xSPRDOPT($BW106,$BV106,$CG106,0,$BY106,$BX106,$BZ106,$AJ106,1,6)*$CB106</f>
        <v>0.29993985196318618</v>
      </c>
      <c r="BK106" s="137">
        <f>_xll.xSPRDOPT($BW106,$BV106,$CG106,0,$BY106,$BX106,$BZ106,$AJ106,1,5)*$CB106</f>
        <v>-1.231068317687002E-2</v>
      </c>
      <c r="BL106" s="137">
        <f>_xll.xSPRDOPT(BW106,BV106,CG106,0,BY106,BX106,BZ106,AJ106,1,2)*CB106</f>
        <v>-0.3849899996593773</v>
      </c>
      <c r="BM106" s="137">
        <f>_xll.xSPRDOPT(BW106,BV106,CG106,0,BY106,BX106,BZ106,AJ106,1,1)*CB106</f>
        <v>0.40214920971667978</v>
      </c>
      <c r="BN106" s="137">
        <f>IF(AH106&lt;&gt;0,_xll.xSPRDOPT($BW106,$BV106,$CG106,2*LN(1+CA106/2),$BY106,$BX106,$BZ106,$AJ106,1,8)+(AJ106/365.25)*CH106/AH106,0)</f>
        <v>-1.7057739120964754E-3</v>
      </c>
      <c r="BO106" s="137">
        <f>_xll.xSPRDOPT($BW106,$BV106,$CG106,0,$BY106,$BX106,$BZ106,$AJ106,1,0)</f>
        <v>0.14346129905062538</v>
      </c>
      <c r="BP106" s="137"/>
      <c r="BQ106" s="137"/>
      <c r="BR106" s="137"/>
      <c r="BS106" s="137"/>
      <c r="BV106" s="262">
        <v>4.0940819423368744</v>
      </c>
      <c r="BW106" s="136">
        <v>4.157</v>
      </c>
      <c r="BX106" s="137">
        <v>0.24596041504117366</v>
      </c>
      <c r="BY106" s="137">
        <v>0.24458821142349074</v>
      </c>
      <c r="BZ106" s="137">
        <v>0.99485866167774895</v>
      </c>
      <c r="CA106" s="137">
        <v>5.8160280129314401E-2</v>
      </c>
      <c r="CB106" s="137">
        <v>0.66605918535740238</v>
      </c>
      <c r="CC106" s="258">
        <v>2.5000000000000001E-2</v>
      </c>
      <c r="CD106" s="258">
        <v>0.03</v>
      </c>
      <c r="CE106" s="258">
        <v>0.13</v>
      </c>
      <c r="CF106" s="258">
        <v>3.5000000000000003E-2</v>
      </c>
      <c r="CG106" s="258">
        <v>0</v>
      </c>
      <c r="CH106" s="258">
        <v>2.9547051521639727</v>
      </c>
      <c r="CI106" s="258">
        <v>3.992</v>
      </c>
      <c r="CJ106" s="258"/>
      <c r="CK106" s="258"/>
      <c r="CL106" s="258"/>
      <c r="CM106" s="258"/>
    </row>
    <row r="107" spans="1:91" x14ac:dyDescent="0.25">
      <c r="A107" s="723"/>
      <c r="B107" s="723"/>
      <c r="D107" s="31">
        <f t="shared" si="86"/>
        <v>39859</v>
      </c>
      <c r="F107" s="28">
        <f t="shared" si="70"/>
        <v>60000</v>
      </c>
      <c r="G107" s="28">
        <f t="shared" si="13"/>
        <v>39758.083571297961</v>
      </c>
      <c r="H107" s="52">
        <f t="shared" si="71"/>
        <v>4.0030349013657052</v>
      </c>
      <c r="I107" s="52">
        <f t="shared" si="72"/>
        <v>4.0720000000000001</v>
      </c>
      <c r="K107" s="52">
        <f t="shared" si="87"/>
        <v>1.2795627390023816</v>
      </c>
      <c r="L107" s="135">
        <f t="shared" si="88"/>
        <v>1.3127519660328832</v>
      </c>
      <c r="N107" s="131">
        <f t="shared" si="89"/>
        <v>0.24197989124808933</v>
      </c>
      <c r="O107" s="131">
        <f t="shared" si="90"/>
        <v>0.24073311697226829</v>
      </c>
      <c r="P107" s="55">
        <f t="shared" si="91"/>
        <v>0.99525168694915556</v>
      </c>
      <c r="Q107" s="135">
        <f>_xll.xSPRDOPT(I107,H107,AQ107,0,O107,N107,P107,D107-$G$5,1,0)*AH107*AU107</f>
        <v>2.5923147050352648</v>
      </c>
      <c r="R107" s="135"/>
      <c r="S107" s="181">
        <f>_xll.xSPRDOPT(I107,H107,AQ107,AT107,O107,N107,P107,D107-$G$5,1,2)*AF107*(F107/(1-AR107))*AH107</f>
        <v>-665650.22193009127</v>
      </c>
      <c r="T107" s="181">
        <f>_xll.xSPRDOPT(I107,H107,AQ107,AT107,O107,N107,P107,D107-$G$5,1,1)*AF107*F107*AH107</f>
        <v>684821.07804845995</v>
      </c>
      <c r="U107" s="135"/>
      <c r="V107" s="146">
        <f t="shared" si="73"/>
        <v>2.6550448208912778</v>
      </c>
      <c r="W107" s="146"/>
      <c r="X107" s="338">
        <f t="shared" si="74"/>
        <v>0</v>
      </c>
      <c r="Y107" s="338">
        <f t="shared" si="18"/>
        <v>0</v>
      </c>
      <c r="Z107" s="338">
        <f t="shared" si="19"/>
        <v>11.014980774497753</v>
      </c>
      <c r="AA107" s="338">
        <f t="shared" si="20"/>
        <v>7.2611009245723661</v>
      </c>
      <c r="AB107" s="338">
        <f t="shared" si="75"/>
        <v>0</v>
      </c>
      <c r="AC107" s="338">
        <f t="shared" si="76"/>
        <v>74.405598729069737</v>
      </c>
      <c r="AF107" s="138">
        <f t="shared" si="77"/>
        <v>1</v>
      </c>
      <c r="AG107" s="138">
        <f t="shared" si="78"/>
        <v>2</v>
      </c>
      <c r="AH107" s="138">
        <f t="shared" si="79"/>
        <v>28</v>
      </c>
      <c r="AI107" s="138">
        <f t="shared" si="92"/>
        <v>2603</v>
      </c>
      <c r="AJ107" s="138">
        <f t="shared" si="80"/>
        <v>2620</v>
      </c>
      <c r="AL107" s="136">
        <f t="shared" si="27"/>
        <v>3.907</v>
      </c>
      <c r="AM107" s="258">
        <f t="shared" si="49"/>
        <v>0.02</v>
      </c>
      <c r="AN107" s="258">
        <f t="shared" si="28"/>
        <v>0.03</v>
      </c>
      <c r="AO107" s="258">
        <f t="shared" si="29"/>
        <v>0.13</v>
      </c>
      <c r="AP107" s="258">
        <f t="shared" si="30"/>
        <v>3.5000000000000003E-2</v>
      </c>
      <c r="AQ107" s="136">
        <f t="shared" si="81"/>
        <v>0</v>
      </c>
      <c r="AR107" s="137">
        <f t="shared" si="32"/>
        <v>1.15E-2</v>
      </c>
      <c r="AS107" s="136">
        <f t="shared" si="93"/>
        <v>3.9569999999999999</v>
      </c>
      <c r="AT107" s="137">
        <f t="shared" si="82"/>
        <v>5.82693930542924E-2</v>
      </c>
      <c r="AU107" s="137">
        <f t="shared" si="34"/>
        <v>0.66263472618829933</v>
      </c>
      <c r="AV107" s="394">
        <f t="shared" si="94"/>
        <v>12950.533088624123</v>
      </c>
      <c r="AW107" s="137">
        <f t="shared" si="35"/>
        <v>0.22750000000000001</v>
      </c>
      <c r="AX107" s="137">
        <f t="shared" si="36"/>
        <v>1.1499999999999999</v>
      </c>
      <c r="AY107" s="137">
        <f t="shared" si="37"/>
        <v>1.1000000000000001</v>
      </c>
      <c r="AZ107" s="137"/>
      <c r="BA107" s="264"/>
      <c r="BB107" s="258">
        <f t="shared" si="38"/>
        <v>0</v>
      </c>
      <c r="BC107" s="258">
        <f t="shared" si="83"/>
        <v>0</v>
      </c>
      <c r="BD107" s="137">
        <f t="shared" si="84"/>
        <v>1.6084494628892942E-5</v>
      </c>
      <c r="BE107" s="137">
        <f t="shared" si="85"/>
        <v>1.4736410130888888E-5</v>
      </c>
      <c r="BF107" s="137">
        <f>_xll.xSPRDOPT($BW107,$BV107,$CG107,0,$BY107,$BX107,$BZ107,$AJ107,1,4)*$CB107</f>
        <v>1.017384614505521</v>
      </c>
      <c r="BG107" s="137">
        <f>_xll.xSPRDOPT($BW107,$BV107,$CG107,0,$BY107,$BX107,$BZ107,$AJ107,1,3)*$CB107</f>
        <v>0.98321470956118528</v>
      </c>
      <c r="BH107" s="137">
        <f>IF(OR(BF107&lt;&gt;0,BG107&lt;&gt;0),_xll.xSPRDOPT($BW107,$BV107,$CG107,0,$BY107,$BX107,$BZ107,$AJ107,1,12)*$CB107,0)</f>
        <v>-1.0001534970449797</v>
      </c>
      <c r="BI107" s="137">
        <f>_xll.xSPRDOPT($BW107,$BV107,$CG107,2*LN(1+CA107/2),$BY107,$BX107,$BZ107,$AJ107,1,9)</f>
        <v>7.9825827934232232E-4</v>
      </c>
      <c r="BJ107" s="137">
        <f>_xll.xSPRDOPT($BW107,$BV107,$CG107,0,$BY107,$BX107,$BZ107,$AJ107,1,6)*$CB107</f>
        <v>0.27919471700572057</v>
      </c>
      <c r="BK107" s="137">
        <f>_xll.xSPRDOPT($BW107,$BV107,$CG107,0,$BY107,$BX107,$BZ107,$AJ107,1,5)*$CB107</f>
        <v>-1.1442545431490316E-2</v>
      </c>
      <c r="BL107" s="137">
        <f>_xll.xSPRDOPT(BW107,BV107,CG107,0,BY107,BX107,BZ107,AJ107,1,2)*CB107</f>
        <v>-0.39382174317051705</v>
      </c>
      <c r="BM107" s="137">
        <f>_xll.xSPRDOPT(BW107,BV107,CG107,0,BY107,BX107,BZ107,AJ107,1,1)*CB107</f>
        <v>0.40987747710765632</v>
      </c>
      <c r="BN107" s="137">
        <f>IF(AH107&lt;&gt;0,_xll.xSPRDOPT($BW107,$BV107,$CG107,2*LN(1+CA107/2),$BY107,$BX107,$BZ107,$AJ107,1,8)+(AJ107/365.25)*CH107/AH107,0)</f>
        <v>1.6062910811809772E-2</v>
      </c>
      <c r="BO107" s="137">
        <f>_xll.xSPRDOPT($BW107,$BV107,$CG107,0,$BY107,$BX107,$BZ107,$AJ107,1,0)</f>
        <v>0.13971901011206622</v>
      </c>
      <c r="BP107" s="137"/>
      <c r="BQ107" s="137"/>
      <c r="BR107" s="137"/>
      <c r="BS107" s="137"/>
      <c r="BV107" s="262">
        <v>4.0030349013657052</v>
      </c>
      <c r="BW107" s="136">
        <v>4.0720000000000001</v>
      </c>
      <c r="BX107" s="137">
        <v>0.24196380675346044</v>
      </c>
      <c r="BY107" s="137">
        <v>0.2407183805621374</v>
      </c>
      <c r="BZ107" s="137">
        <v>0.99525650473459637</v>
      </c>
      <c r="CA107" s="137">
        <v>5.82693930542924E-2</v>
      </c>
      <c r="CB107" s="137">
        <v>0.66232219580478413</v>
      </c>
      <c r="CC107" s="258">
        <v>0.02</v>
      </c>
      <c r="CD107" s="258">
        <v>0.03</v>
      </c>
      <c r="CE107" s="258">
        <v>0.13</v>
      </c>
      <c r="CF107" s="258">
        <v>3.5000000000000003E-2</v>
      </c>
      <c r="CG107" s="258">
        <v>0</v>
      </c>
      <c r="CH107" s="258">
        <v>2.653792574150609</v>
      </c>
      <c r="CI107" s="258">
        <v>3.907</v>
      </c>
      <c r="CJ107" s="258"/>
      <c r="CK107" s="258"/>
      <c r="CL107" s="258"/>
      <c r="CM107" s="258"/>
    </row>
    <row r="108" spans="1:91" x14ac:dyDescent="0.25">
      <c r="A108" s="723"/>
      <c r="B108" s="723"/>
      <c r="D108" s="31">
        <f t="shared" si="86"/>
        <v>39887</v>
      </c>
      <c r="F108" s="28">
        <f t="shared" si="70"/>
        <v>60000</v>
      </c>
      <c r="G108" s="28">
        <f t="shared" si="13"/>
        <v>39555.969856850868</v>
      </c>
      <c r="H108" s="52">
        <f t="shared" si="71"/>
        <v>3.8512898330804246</v>
      </c>
      <c r="I108" s="52">
        <f t="shared" si="72"/>
        <v>3.9420000000000002</v>
      </c>
      <c r="K108" s="52">
        <f t="shared" si="87"/>
        <v>1.8538664579966651</v>
      </c>
      <c r="L108" s="135">
        <f t="shared" si="88"/>
        <v>0.8551749682699108</v>
      </c>
      <c r="N108" s="131">
        <f t="shared" si="89"/>
        <v>0.22879699185100316</v>
      </c>
      <c r="O108" s="131">
        <f t="shared" si="90"/>
        <v>0.22673988789306748</v>
      </c>
      <c r="P108" s="55">
        <f t="shared" si="91"/>
        <v>0.99659743351134211</v>
      </c>
      <c r="Q108" s="135">
        <f>_xll.xSPRDOPT(I108,H108,AQ108,0,O108,N108,P108,D108-$G$5,1,0)*AH108*AU108</f>
        <v>2.7090414262665758</v>
      </c>
      <c r="R108" s="135"/>
      <c r="S108" s="181">
        <f>_xll.xSPRDOPT(I108,H108,AQ108,AT108,O108,N108,P108,D108-$G$5,1,2)*AF108*(F108/(1-AR108))*AH108</f>
        <v>-822698.5066873685</v>
      </c>
      <c r="T108" s="181">
        <f>_xll.xSPRDOPT(I108,H108,AQ108,AT108,O108,N108,P108,D108-$G$5,1,1)*AF108*F108*AH108</f>
        <v>835508.66495416826</v>
      </c>
      <c r="U108" s="135"/>
      <c r="V108" s="146">
        <f t="shared" si="73"/>
        <v>2.9245706313662687</v>
      </c>
      <c r="W108" s="146"/>
      <c r="X108" s="338">
        <f t="shared" si="74"/>
        <v>0</v>
      </c>
      <c r="Y108" s="338">
        <f t="shared" si="18"/>
        <v>0</v>
      </c>
      <c r="Z108" s="338">
        <f t="shared" si="19"/>
        <v>27.353152595149172</v>
      </c>
      <c r="AA108" s="338">
        <f t="shared" si="20"/>
        <v>4.4007758828397483</v>
      </c>
      <c r="AB108" s="338">
        <f t="shared" si="75"/>
        <v>0</v>
      </c>
      <c r="AC108" s="338">
        <f t="shared" si="76"/>
        <v>77.887397574422224</v>
      </c>
      <c r="AF108" s="138">
        <f t="shared" si="77"/>
        <v>1</v>
      </c>
      <c r="AG108" s="138">
        <f t="shared" si="78"/>
        <v>3</v>
      </c>
      <c r="AH108" s="138">
        <f t="shared" si="79"/>
        <v>31</v>
      </c>
      <c r="AI108" s="138">
        <f t="shared" si="92"/>
        <v>2631</v>
      </c>
      <c r="AJ108" s="138">
        <f t="shared" si="80"/>
        <v>2648</v>
      </c>
      <c r="AL108" s="136">
        <f t="shared" si="27"/>
        <v>3.7770000000000001</v>
      </c>
      <c r="AM108" s="258">
        <f t="shared" si="49"/>
        <v>0</v>
      </c>
      <c r="AN108" s="258">
        <f t="shared" si="28"/>
        <v>0.03</v>
      </c>
      <c r="AO108" s="258">
        <f t="shared" si="29"/>
        <v>0.13</v>
      </c>
      <c r="AP108" s="258">
        <f t="shared" si="30"/>
        <v>3.5000000000000003E-2</v>
      </c>
      <c r="AQ108" s="136">
        <f t="shared" si="81"/>
        <v>0</v>
      </c>
      <c r="AR108" s="137">
        <f t="shared" si="32"/>
        <v>1.15E-2</v>
      </c>
      <c r="AS108" s="136">
        <f t="shared" si="93"/>
        <v>3.8069999999999999</v>
      </c>
      <c r="AT108" s="137">
        <f t="shared" si="82"/>
        <v>5.8367946667353003E-2</v>
      </c>
      <c r="AU108" s="137">
        <f t="shared" si="34"/>
        <v>0.65926616428084783</v>
      </c>
      <c r="AV108" s="394">
        <f t="shared" si="94"/>
        <v>14265.201262708986</v>
      </c>
      <c r="AW108" s="137">
        <f t="shared" si="35"/>
        <v>0.22</v>
      </c>
      <c r="AX108" s="137">
        <f t="shared" si="36"/>
        <v>0.85</v>
      </c>
      <c r="AY108" s="137">
        <f t="shared" si="37"/>
        <v>0.75</v>
      </c>
      <c r="AZ108" s="137"/>
      <c r="BA108" s="264"/>
      <c r="BB108" s="258">
        <f t="shared" si="38"/>
        <v>0</v>
      </c>
      <c r="BC108" s="258">
        <f t="shared" si="83"/>
        <v>0</v>
      </c>
      <c r="BD108" s="137">
        <f t="shared" si="84"/>
        <v>9.7694569643203E-6</v>
      </c>
      <c r="BE108" s="137">
        <f t="shared" si="85"/>
        <v>7.5182023690778532E-6</v>
      </c>
      <c r="BF108" s="137">
        <f>_xll.xSPRDOPT($BW108,$BV108,$CG108,0,$BY108,$BX108,$BZ108,$AJ108,1,4)*$CB108</f>
        <v>1.2222875530184991</v>
      </c>
      <c r="BG108" s="137">
        <f>_xll.xSPRDOPT($BW108,$BV108,$CG108,0,$BY108,$BX108,$BZ108,$AJ108,1,3)*$CB108</f>
        <v>1.1666821093026352</v>
      </c>
      <c r="BH108" s="137">
        <f>IF(OR(BF108&lt;&gt;0,BG108&lt;&gt;0),_xll.xSPRDOPT($BW108,$BV108,$CG108,0,$BY108,$BX108,$BZ108,$AJ108,1,12)*$CB108,0)</f>
        <v>-1.194162066741453</v>
      </c>
      <c r="BI108" s="137">
        <f>_xll.xSPRDOPT($BW108,$BV108,$CG108,2*LN(1+CA108/2),$BY108,$BX108,$BZ108,$AJ108,1,9)</f>
        <v>1.7904550153007592E-3</v>
      </c>
      <c r="BJ108" s="137">
        <f>_xll.xSPRDOPT($BW108,$BV108,$CG108,0,$BY108,$BX108,$BZ108,$AJ108,1,6)*$CB108</f>
        <v>0.37135894149284249</v>
      </c>
      <c r="BK108" s="137">
        <f>_xll.xSPRDOPT($BW108,$BV108,$CG108,0,$BY108,$BX108,$BZ108,$AJ108,1,5)*$CB108</f>
        <v>-0.16785484030852132</v>
      </c>
      <c r="BL108" s="137">
        <f>_xll.xSPRDOPT(BW108,BV108,CG108,0,BY108,BX108,BZ108,AJ108,1,2)*CB108</f>
        <v>-0.43966994796354369</v>
      </c>
      <c r="BM108" s="137">
        <f>_xll.xSPRDOPT(BW108,BV108,CG108,0,BY108,BX108,BZ108,AJ108,1,1)*CB108</f>
        <v>0.45171068437687195</v>
      </c>
      <c r="BN108" s="137">
        <f>IF(AH108&lt;&gt;0,_xll.xSPRDOPT($BW108,$BV108,$CG108,2*LN(1+CA108/2),$BY108,$BX108,$BZ108,$AJ108,1,8)+(AJ108/365.25)*CH108/AH108,0)</f>
        <v>5.0380911801519268E-2</v>
      </c>
      <c r="BO108" s="137">
        <f>_xll.xSPRDOPT($BW108,$BV108,$CG108,0,$BY108,$BX108,$BZ108,$AJ108,1,0)</f>
        <v>0.13255412294176355</v>
      </c>
      <c r="BP108" s="137"/>
      <c r="BQ108" s="137"/>
      <c r="BR108" s="137"/>
      <c r="BS108" s="137"/>
      <c r="BV108" s="262">
        <v>3.8512898330804246</v>
      </c>
      <c r="BW108" s="136">
        <v>3.9420000000000002</v>
      </c>
      <c r="BX108" s="137">
        <v>0.22878722239403884</v>
      </c>
      <c r="BY108" s="137">
        <v>0.2267323696906984</v>
      </c>
      <c r="BZ108" s="137">
        <v>0.99660098532612107</v>
      </c>
      <c r="CA108" s="137">
        <v>5.8367946667353003E-2</v>
      </c>
      <c r="CB108" s="137">
        <v>0.6589547043784082</v>
      </c>
      <c r="CC108" s="258">
        <v>0</v>
      </c>
      <c r="CD108" s="258">
        <v>0.03</v>
      </c>
      <c r="CE108" s="258">
        <v>0.13</v>
      </c>
      <c r="CF108" s="258">
        <v>3.5000000000000003E-2</v>
      </c>
      <c r="CG108" s="258">
        <v>0</v>
      </c>
      <c r="CH108" s="258">
        <v>2.9231889640930566</v>
      </c>
      <c r="CI108" s="258">
        <v>3.7770000000000001</v>
      </c>
      <c r="CJ108" s="258"/>
      <c r="CK108" s="258"/>
      <c r="CL108" s="258"/>
      <c r="CM108" s="258"/>
    </row>
    <row r="109" spans="1:91" x14ac:dyDescent="0.25">
      <c r="A109" s="723"/>
      <c r="B109" s="723"/>
      <c r="D109" s="31">
        <f t="shared" si="86"/>
        <v>39918</v>
      </c>
      <c r="F109" s="28">
        <f t="shared" si="70"/>
        <v>60000</v>
      </c>
      <c r="G109" s="28">
        <f t="shared" si="13"/>
        <v>39332.72729488671</v>
      </c>
      <c r="H109" s="52">
        <f t="shared" si="71"/>
        <v>3.5427415275670207</v>
      </c>
      <c r="I109" s="52">
        <f t="shared" si="72"/>
        <v>3.6720000000000002</v>
      </c>
      <c r="K109" s="52">
        <f t="shared" si="87"/>
        <v>2.5420441233800073</v>
      </c>
      <c r="L109" s="135">
        <f t="shared" si="88"/>
        <v>6.8623645872490258E-2</v>
      </c>
      <c r="N109" s="131">
        <f t="shared" si="89"/>
        <v>0.20472211866880691</v>
      </c>
      <c r="O109" s="131">
        <f t="shared" si="90"/>
        <v>0.20472211866880691</v>
      </c>
      <c r="P109" s="55">
        <f t="shared" si="91"/>
        <v>0.99891707501962801</v>
      </c>
      <c r="Q109" s="135">
        <f>_xll.xSPRDOPT(I109,H109,AQ109,0,O109,N109,P109,D109-$G$5,1,0)*AH109*AU109</f>
        <v>2.6106677692524975</v>
      </c>
      <c r="R109" s="135"/>
      <c r="S109" s="181">
        <f>_xll.xSPRDOPT(I109,H109,AQ109,AT109,O109,N109,P109,D109-$G$5,1,2)*AF109*(F109/(1-AR109))*AH109</f>
        <v>-1086381.5636943271</v>
      </c>
      <c r="T109" s="181">
        <f>_xll.xSPRDOPT(I109,H109,AQ109,AT109,O109,N109,P109,D109-$G$5,1,1)*AF109*F109*AH109</f>
        <v>1078482.7988952734</v>
      </c>
      <c r="U109" s="135"/>
      <c r="V109" s="146">
        <f t="shared" si="73"/>
        <v>2.8142566379491445</v>
      </c>
      <c r="W109" s="146"/>
      <c r="X109" s="338">
        <f t="shared" si="74"/>
        <v>0</v>
      </c>
      <c r="Y109" s="338">
        <f t="shared" si="18"/>
        <v>0</v>
      </c>
      <c r="Z109" s="338">
        <f t="shared" si="19"/>
        <v>64.79052170562764</v>
      </c>
      <c r="AA109" s="338">
        <f t="shared" si="20"/>
        <v>0.20138026834819966</v>
      </c>
      <c r="AB109" s="338">
        <f t="shared" si="75"/>
        <v>0</v>
      </c>
      <c r="AC109" s="338">
        <f t="shared" si="76"/>
        <v>75.199304218068889</v>
      </c>
      <c r="AF109" s="138">
        <f t="shared" si="77"/>
        <v>1</v>
      </c>
      <c r="AG109" s="138">
        <f t="shared" si="78"/>
        <v>4</v>
      </c>
      <c r="AH109" s="138">
        <f t="shared" si="79"/>
        <v>30</v>
      </c>
      <c r="AI109" s="138">
        <f t="shared" si="92"/>
        <v>2662</v>
      </c>
      <c r="AJ109" s="138">
        <f t="shared" si="80"/>
        <v>2679</v>
      </c>
      <c r="AL109" s="136">
        <f t="shared" si="27"/>
        <v>3.5920000000000001</v>
      </c>
      <c r="AM109" s="258">
        <f t="shared" si="49"/>
        <v>-0.09</v>
      </c>
      <c r="AN109" s="258">
        <f t="shared" si="28"/>
        <v>0</v>
      </c>
      <c r="AO109" s="258">
        <f t="shared" si="29"/>
        <v>0.04</v>
      </c>
      <c r="AP109" s="258">
        <f t="shared" si="30"/>
        <v>0.04</v>
      </c>
      <c r="AQ109" s="136">
        <f t="shared" si="81"/>
        <v>0</v>
      </c>
      <c r="AR109" s="137">
        <f t="shared" si="32"/>
        <v>1.15E-2</v>
      </c>
      <c r="AS109" s="136">
        <f t="shared" si="93"/>
        <v>3.5020000000000002</v>
      </c>
      <c r="AT109" s="137">
        <f t="shared" si="82"/>
        <v>5.84770595998663E-2</v>
      </c>
      <c r="AU109" s="137">
        <f t="shared" si="34"/>
        <v>0.65554545491477856</v>
      </c>
      <c r="AV109" s="394">
        <f t="shared" si="94"/>
        <v>13727.121825915463</v>
      </c>
      <c r="AW109" s="137">
        <f t="shared" si="35"/>
        <v>0.20250000000000001</v>
      </c>
      <c r="AX109" s="137">
        <f t="shared" si="36"/>
        <v>0.45</v>
      </c>
      <c r="AY109" s="137">
        <f t="shared" si="37"/>
        <v>0.45</v>
      </c>
      <c r="AZ109" s="137"/>
      <c r="BA109" s="264"/>
      <c r="BB109" s="258">
        <f t="shared" si="38"/>
        <v>0</v>
      </c>
      <c r="BC109" s="258">
        <f t="shared" si="83"/>
        <v>0</v>
      </c>
      <c r="BD109" s="137">
        <f t="shared" si="84"/>
        <v>2.4739614547797384E-6</v>
      </c>
      <c r="BE109" s="137">
        <f t="shared" si="85"/>
        <v>2.4739614547797384E-6</v>
      </c>
      <c r="BF109" s="137">
        <f>_xll.xSPRDOPT($BW109,$BV109,$CG109,0,$BY109,$BX109,$BZ109,$AJ109,1,4)*$CB109</f>
        <v>1.1091279551532902</v>
      </c>
      <c r="BG109" s="137">
        <f>_xll.xSPRDOPT($BW109,$BV109,$CG109,0,$BY109,$BX109,$BZ109,$AJ109,1,3)*$CB109</f>
        <v>1.0324171654776246</v>
      </c>
      <c r="BH109" s="137">
        <f>IF(OR(BF109&lt;&gt;0,BG109&lt;&gt;0),_xll.xSPRDOPT($BW109,$BV109,$CG109,0,$BY109,$BX109,$BZ109,$AJ109,1,12)*$CB109,0)</f>
        <v>-1.0700867960646814</v>
      </c>
      <c r="BI109" s="137">
        <f>_xll.xSPRDOPT($BW109,$BV109,$CG109,2*LN(1+CA109/2),$BY109,$BX109,$BZ109,$AJ109,1,9)</f>
        <v>4.382358898700092E-3</v>
      </c>
      <c r="BJ109" s="137">
        <f>_xll.xSPRDOPT($BW109,$BV109,$CG109,0,$BY109,$BX109,$BZ109,$AJ109,1,6)*$CB109</f>
        <v>2.2611461759923183E-2</v>
      </c>
      <c r="BK109" s="137">
        <f>_xll.xSPRDOPT($BW109,$BV109,$CG109,0,$BY109,$BX109,$BZ109,$AJ109,1,5)*$CB109</f>
        <v>2.2610716881526844E-2</v>
      </c>
      <c r="BL109" s="137">
        <f>_xll.xSPRDOPT(BW109,BV109,CG109,0,BY109,BX109,BZ109,AJ109,1,2)*CB109</f>
        <v>-0.59999714779439028</v>
      </c>
      <c r="BM109" s="137">
        <f>_xll.xSPRDOPT(BW109,BV109,CG109,0,BY109,BX109,BZ109,AJ109,1,1)*CB109</f>
        <v>0.6025642331719423</v>
      </c>
      <c r="BN109" s="137">
        <f>IF(AH109&lt;&gt;0,_xll.xSPRDOPT($BW109,$BV109,$CG109,2*LN(1+CA109/2),$BY109,$BX109,$BZ109,$AJ109,1,8)+(AJ109/365.25)*CH109/AH109,0)</f>
        <v>4.9751884702212368E-2</v>
      </c>
      <c r="BO109" s="137">
        <f>_xll.xSPRDOPT($BW109,$BV109,$CG109,0,$BY109,$BX109,$BZ109,$AJ109,1,0)</f>
        <v>0.13274786707318295</v>
      </c>
      <c r="BP109" s="137"/>
      <c r="BQ109" s="137"/>
      <c r="BR109" s="137"/>
      <c r="BS109" s="137"/>
      <c r="BV109" s="262">
        <v>3.5427415275670207</v>
      </c>
      <c r="BW109" s="136">
        <v>3.6720000000000002</v>
      </c>
      <c r="BX109" s="137">
        <v>0.20471964470735213</v>
      </c>
      <c r="BY109" s="137">
        <v>0.20471964470735213</v>
      </c>
      <c r="BZ109" s="137">
        <v>0.9989182611047257</v>
      </c>
      <c r="CA109" s="137">
        <v>5.84770595998663E-2</v>
      </c>
      <c r="CB109" s="137">
        <v>0.65523518224436683</v>
      </c>
      <c r="CC109" s="258">
        <v>-0.09</v>
      </c>
      <c r="CD109" s="258">
        <v>0</v>
      </c>
      <c r="CE109" s="258">
        <v>0.04</v>
      </c>
      <c r="CF109" s="258">
        <v>0.04</v>
      </c>
      <c r="CG109" s="258">
        <v>0</v>
      </c>
      <c r="CH109" s="258">
        <v>2.8129246373750667</v>
      </c>
      <c r="CI109" s="258">
        <v>3.5920000000000001</v>
      </c>
      <c r="CJ109" s="258"/>
      <c r="CK109" s="258"/>
      <c r="CL109" s="258"/>
      <c r="CM109" s="258"/>
    </row>
    <row r="110" spans="1:91" x14ac:dyDescent="0.25">
      <c r="A110" s="723"/>
      <c r="B110" s="723"/>
      <c r="D110" s="31">
        <f t="shared" si="86"/>
        <v>39948</v>
      </c>
      <c r="F110" s="28">
        <f t="shared" si="70"/>
        <v>60000</v>
      </c>
      <c r="G110" s="28">
        <f t="shared" si="13"/>
        <v>39117.217078368187</v>
      </c>
      <c r="H110" s="52">
        <f t="shared" si="71"/>
        <v>3.5376833586241783</v>
      </c>
      <c r="I110" s="52">
        <f t="shared" si="72"/>
        <v>3.6670000000000003</v>
      </c>
      <c r="K110" s="52">
        <f t="shared" si="87"/>
        <v>2.6135620184808177</v>
      </c>
      <c r="L110" s="135">
        <f t="shared" si="88"/>
        <v>0.11614012009943675</v>
      </c>
      <c r="N110" s="131">
        <f t="shared" si="89"/>
        <v>0.20477005548485039</v>
      </c>
      <c r="O110" s="131">
        <f t="shared" si="90"/>
        <v>0.20543297069319255</v>
      </c>
      <c r="P110" s="55">
        <f t="shared" si="91"/>
        <v>0.99861029948965196</v>
      </c>
      <c r="Q110" s="135">
        <f>_xll.xSPRDOPT(I110,H110,AQ110,0,O110,N110,P110,D110-$G$5,1,0)*AH110*AU110</f>
        <v>2.7297021385802545</v>
      </c>
      <c r="R110" s="135"/>
      <c r="S110" s="181">
        <f>_xll.xSPRDOPT(I110,H110,AQ110,AT110,O110,N110,P110,D110-$G$5,1,2)*AF110*(F110/(1-AR110))*AH110</f>
        <v>-1079497.683912985</v>
      </c>
      <c r="T110" s="181">
        <f>_xll.xSPRDOPT(I110,H110,AQ110,AT110,O110,N110,P110,D110-$G$5,1,1)*AF110*F110*AH110</f>
        <v>1073838.9701351384</v>
      </c>
      <c r="U110" s="135"/>
      <c r="V110" s="146">
        <f t="shared" si="73"/>
        <v>2.8921314446891517</v>
      </c>
      <c r="W110" s="146"/>
      <c r="X110" s="338">
        <f t="shared" si="74"/>
        <v>0</v>
      </c>
      <c r="Y110" s="338">
        <f t="shared" si="18"/>
        <v>0</v>
      </c>
      <c r="Z110" s="338">
        <f t="shared" si="19"/>
        <v>64.08964641220787</v>
      </c>
      <c r="AA110" s="338">
        <f t="shared" si="20"/>
        <v>0.44010070774289772</v>
      </c>
      <c r="AB110" s="338">
        <f t="shared" si="75"/>
        <v>0</v>
      </c>
      <c r="AC110" s="338">
        <f t="shared" si="76"/>
        <v>78.769960176619804</v>
      </c>
      <c r="AF110" s="138">
        <f t="shared" si="77"/>
        <v>1</v>
      </c>
      <c r="AG110" s="138">
        <f t="shared" si="78"/>
        <v>5</v>
      </c>
      <c r="AH110" s="138">
        <f t="shared" si="79"/>
        <v>31</v>
      </c>
      <c r="AI110" s="138">
        <f t="shared" si="92"/>
        <v>2692</v>
      </c>
      <c r="AJ110" s="138">
        <f t="shared" si="80"/>
        <v>2709</v>
      </c>
      <c r="AL110" s="136">
        <f t="shared" si="27"/>
        <v>3.5870000000000002</v>
      </c>
      <c r="AM110" s="258">
        <f t="shared" si="49"/>
        <v>-0.09</v>
      </c>
      <c r="AN110" s="258">
        <f t="shared" si="28"/>
        <v>0</v>
      </c>
      <c r="AO110" s="258">
        <f t="shared" si="29"/>
        <v>0.04</v>
      </c>
      <c r="AP110" s="258">
        <f t="shared" si="30"/>
        <v>0.04</v>
      </c>
      <c r="AQ110" s="136">
        <f t="shared" si="81"/>
        <v>0</v>
      </c>
      <c r="AR110" s="137">
        <f t="shared" si="32"/>
        <v>1.15E-2</v>
      </c>
      <c r="AS110" s="136">
        <f t="shared" si="93"/>
        <v>3.4970000000000003</v>
      </c>
      <c r="AT110" s="137">
        <f t="shared" si="82"/>
        <v>5.8582652764132402E-2</v>
      </c>
      <c r="AU110" s="137">
        <f t="shared" si="34"/>
        <v>0.65195361797280316</v>
      </c>
      <c r="AV110" s="394">
        <f t="shared" si="94"/>
        <v>14106.972385695515</v>
      </c>
      <c r="AW110" s="137">
        <f t="shared" si="35"/>
        <v>0.20250000000000001</v>
      </c>
      <c r="AX110" s="137">
        <f t="shared" si="36"/>
        <v>0.45</v>
      </c>
      <c r="AY110" s="137">
        <f t="shared" si="37"/>
        <v>0.5</v>
      </c>
      <c r="AZ110" s="137"/>
      <c r="BA110" s="264"/>
      <c r="BB110" s="258">
        <f t="shared" si="38"/>
        <v>0</v>
      </c>
      <c r="BC110" s="258">
        <f t="shared" si="83"/>
        <v>0</v>
      </c>
      <c r="BD110" s="137">
        <f t="shared" si="84"/>
        <v>2.4986015282058016E-6</v>
      </c>
      <c r="BE110" s="137">
        <f t="shared" si="85"/>
        <v>3.2230841129909926E-6</v>
      </c>
      <c r="BF110" s="137">
        <f>_xll.xSPRDOPT($BW110,$BV110,$CG110,0,$BY110,$BX110,$BZ110,$AJ110,1,4)*$CB110</f>
        <v>1.2089692835122483</v>
      </c>
      <c r="BG110" s="137">
        <f>_xll.xSPRDOPT($BW110,$BV110,$CG110,0,$BY110,$BX110,$BZ110,$AJ110,1,3)*$CB110</f>
        <v>1.1252041905512449</v>
      </c>
      <c r="BH110" s="137">
        <f>IF(OR(BF110&lt;&gt;0,BG110&lt;&gt;0),_xll.xSPRDOPT($BW110,$BV110,$CG110,0,$BY110,$BX110,$BZ110,$AJ110,1,12)*$CB110,0)</f>
        <v>-1.1663345598626365</v>
      </c>
      <c r="BI110" s="137">
        <f>_xll.xSPRDOPT($BW110,$BV110,$CG110,2*LN(1+CA110/2),$BY110,$BX110,$BZ110,$AJ110,1,9)</f>
        <v>4.1951152960679073E-3</v>
      </c>
      <c r="BJ110" s="137">
        <f>_xll.xSPRDOPT($BW110,$BV110,$CG110,0,$BY110,$BX110,$BZ110,$AJ110,1,6)*$CB110</f>
        <v>-4.2308354017603578E-2</v>
      </c>
      <c r="BK110" s="137">
        <f>_xll.xSPRDOPT($BW110,$BV110,$CG110,0,$BY110,$BX110,$BZ110,$AJ110,1,5)*$CB110</f>
        <v>0.10621038413400964</v>
      </c>
      <c r="BL110" s="137">
        <f>_xll.xSPRDOPT(BW110,BV110,CG110,0,BY110,BX110,BZ110,AJ110,1,2)*CB110</f>
        <v>-0.57701521855894622</v>
      </c>
      <c r="BM110" s="137">
        <f>_xll.xSPRDOPT(BW110,BV110,CG110,0,BY110,BX110,BZ110,AJ110,1,1)*CB110</f>
        <v>0.58066819911148748</v>
      </c>
      <c r="BN110" s="137">
        <f>IF(AH110&lt;&gt;0,_xll.xSPRDOPT($BW110,$BV110,$CG110,2*LN(1+CA110/2),$BY110,$BX110,$BZ110,$AJ110,1,8)+(AJ110/365.25)*CH110/AH110,0)</f>
        <v>3.8843215389494978E-2</v>
      </c>
      <c r="BO110" s="137">
        <f>_xll.xSPRDOPT($BW110,$BV110,$CG110,0,$BY110,$BX110,$BZ110,$AJ110,1,0)</f>
        <v>0.13506315373220062</v>
      </c>
      <c r="BP110" s="137"/>
      <c r="BQ110" s="137"/>
      <c r="BR110" s="137"/>
      <c r="BS110" s="137"/>
      <c r="BV110" s="262">
        <v>3.5376833586241783</v>
      </c>
      <c r="BW110" s="136">
        <v>3.6670000000000003</v>
      </c>
      <c r="BX110" s="137">
        <v>0.20476755688332218</v>
      </c>
      <c r="BY110" s="137">
        <v>0.20542974760907956</v>
      </c>
      <c r="BZ110" s="137">
        <v>0.99861179327176264</v>
      </c>
      <c r="CA110" s="137">
        <v>5.8582652764132402E-2</v>
      </c>
      <c r="CB110" s="137">
        <v>0.65164449623638854</v>
      </c>
      <c r="CC110" s="258">
        <v>-0.09</v>
      </c>
      <c r="CD110" s="258">
        <v>0</v>
      </c>
      <c r="CE110" s="258">
        <v>0.04</v>
      </c>
      <c r="CF110" s="258">
        <v>0.04</v>
      </c>
      <c r="CG110" s="258">
        <v>0</v>
      </c>
      <c r="CH110" s="258">
        <v>2.890760149754243</v>
      </c>
      <c r="CI110" s="258">
        <v>3.5870000000000002</v>
      </c>
      <c r="CJ110" s="258"/>
      <c r="CK110" s="258"/>
      <c r="CL110" s="258"/>
      <c r="CM110" s="258"/>
    </row>
    <row r="111" spans="1:91" x14ac:dyDescent="0.25">
      <c r="A111" s="723"/>
      <c r="B111" s="723"/>
      <c r="D111" s="31">
        <f t="shared" si="86"/>
        <v>39979</v>
      </c>
      <c r="F111" s="28">
        <f t="shared" si="70"/>
        <v>60000</v>
      </c>
      <c r="G111" s="28">
        <f t="shared" si="13"/>
        <v>0</v>
      </c>
      <c r="H111" s="52">
        <f t="shared" si="71"/>
        <v>3.5730905412240768</v>
      </c>
      <c r="I111" s="52">
        <f t="shared" si="72"/>
        <v>3.702</v>
      </c>
      <c r="K111" s="52">
        <f t="shared" si="87"/>
        <v>0</v>
      </c>
      <c r="L111" s="135">
        <f t="shared" si="88"/>
        <v>0</v>
      </c>
      <c r="N111" s="131">
        <f t="shared" si="89"/>
        <v>0.20250000000000001</v>
      </c>
      <c r="O111" s="131">
        <f t="shared" si="90"/>
        <v>0.20250000000000001</v>
      </c>
      <c r="P111" s="55">
        <f t="shared" si="91"/>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73"/>
        <v>0</v>
      </c>
      <c r="W111" s="146"/>
      <c r="X111" s="338">
        <f t="shared" si="74"/>
        <v>0</v>
      </c>
      <c r="Y111" s="338">
        <f t="shared" si="18"/>
        <v>0</v>
      </c>
      <c r="Z111" s="338">
        <f t="shared" si="19"/>
        <v>0</v>
      </c>
      <c r="AA111" s="338">
        <f t="shared" si="20"/>
        <v>0</v>
      </c>
      <c r="AB111" s="338">
        <f t="shared" si="75"/>
        <v>0</v>
      </c>
      <c r="AC111" s="338">
        <f t="shared" si="76"/>
        <v>0</v>
      </c>
      <c r="AF111" s="138">
        <f t="shared" si="77"/>
        <v>0</v>
      </c>
      <c r="AG111" s="138">
        <f t="shared" si="78"/>
        <v>6</v>
      </c>
      <c r="AH111" s="138">
        <f t="shared" si="79"/>
        <v>0</v>
      </c>
      <c r="AI111" s="138">
        <f t="shared" si="92"/>
        <v>2723</v>
      </c>
      <c r="AJ111" s="138">
        <f t="shared" si="80"/>
        <v>2740</v>
      </c>
      <c r="AL111" s="136">
        <f t="shared" si="27"/>
        <v>3.6219999999999999</v>
      </c>
      <c r="AM111" s="258">
        <f t="shared" si="49"/>
        <v>-0.09</v>
      </c>
      <c r="AN111" s="258">
        <f t="shared" si="28"/>
        <v>0</v>
      </c>
      <c r="AO111" s="258">
        <f t="shared" si="29"/>
        <v>0.04</v>
      </c>
      <c r="AP111" s="258">
        <f t="shared" si="30"/>
        <v>0.04</v>
      </c>
      <c r="AQ111" s="136">
        <f t="shared" si="81"/>
        <v>0</v>
      </c>
      <c r="AR111" s="137">
        <f t="shared" si="32"/>
        <v>1.15E-2</v>
      </c>
      <c r="AS111" s="136">
        <f t="shared" si="93"/>
        <v>3.532</v>
      </c>
      <c r="AT111" s="137">
        <f t="shared" si="82"/>
        <v>5.8691765704435503E-2</v>
      </c>
      <c r="AU111" s="137">
        <f t="shared" si="34"/>
        <v>0</v>
      </c>
      <c r="AV111" s="394">
        <f t="shared" si="94"/>
        <v>0</v>
      </c>
      <c r="AW111" s="137">
        <f t="shared" si="35"/>
        <v>0.20250000000000001</v>
      </c>
      <c r="AX111" s="137">
        <f t="shared" si="36"/>
        <v>0.45</v>
      </c>
      <c r="AY111" s="137">
        <f t="shared" si="37"/>
        <v>0.5</v>
      </c>
      <c r="AZ111" s="137"/>
      <c r="BA111" s="264"/>
      <c r="BB111" s="258">
        <f t="shared" si="38"/>
        <v>0</v>
      </c>
      <c r="BC111" s="258">
        <f t="shared" si="83"/>
        <v>0</v>
      </c>
      <c r="BD111" s="137">
        <f t="shared" si="84"/>
        <v>0</v>
      </c>
      <c r="BE111" s="137">
        <f t="shared" si="85"/>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-1.4138857752743414E-3</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1.1752654042319659</v>
      </c>
      <c r="BP111" s="137"/>
      <c r="BQ111" s="137"/>
      <c r="BR111" s="137"/>
      <c r="BS111" s="137"/>
      <c r="BV111" s="262">
        <v>3.5730905412240768</v>
      </c>
      <c r="BW111" s="136">
        <v>3.702</v>
      </c>
      <c r="BX111" s="137">
        <v>0.20250000000000001</v>
      </c>
      <c r="BY111" s="137">
        <v>0.20250000000000001</v>
      </c>
      <c r="BZ111" s="137">
        <v>0</v>
      </c>
      <c r="CA111" s="137">
        <v>5.8691765704435503E-2</v>
      </c>
      <c r="CB111" s="137">
        <v>0</v>
      </c>
      <c r="CC111" s="258">
        <v>-0.09</v>
      </c>
      <c r="CD111" s="258">
        <v>0</v>
      </c>
      <c r="CE111" s="258">
        <v>0.04</v>
      </c>
      <c r="CF111" s="258">
        <v>0.04</v>
      </c>
      <c r="CG111" s="258">
        <v>0</v>
      </c>
      <c r="CH111" s="258">
        <v>0</v>
      </c>
      <c r="CI111" s="258">
        <v>3.6219999999999999</v>
      </c>
      <c r="CJ111" s="258"/>
      <c r="CK111" s="258"/>
      <c r="CL111" s="258"/>
      <c r="CM111" s="258"/>
    </row>
    <row r="112" spans="1:91" x14ac:dyDescent="0.25">
      <c r="A112" s="723"/>
      <c r="B112" s="723"/>
      <c r="D112" s="31">
        <f t="shared" si="86"/>
        <v>39979</v>
      </c>
      <c r="F112" s="28">
        <f t="shared" si="70"/>
        <v>60000</v>
      </c>
      <c r="G112" s="28">
        <f t="shared" si="13"/>
        <v>0</v>
      </c>
      <c r="H112" s="52">
        <f t="shared" si="71"/>
        <v>3.5730905412240768</v>
      </c>
      <c r="I112" s="52">
        <f t="shared" si="72"/>
        <v>3.702</v>
      </c>
      <c r="K112" s="52">
        <f t="shared" si="87"/>
        <v>0</v>
      </c>
      <c r="L112" s="135">
        <f t="shared" si="88"/>
        <v>0</v>
      </c>
      <c r="N112" s="131">
        <f t="shared" si="89"/>
        <v>0.20250000000000001</v>
      </c>
      <c r="O112" s="131">
        <f t="shared" si="90"/>
        <v>0.20250000000000001</v>
      </c>
      <c r="P112" s="55">
        <f t="shared" si="91"/>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73"/>
        <v>0</v>
      </c>
      <c r="W112" s="146"/>
      <c r="X112" s="338">
        <f t="shared" si="74"/>
        <v>0</v>
      </c>
      <c r="Y112" s="338">
        <f t="shared" si="18"/>
        <v>0</v>
      </c>
      <c r="Z112" s="338">
        <f t="shared" si="19"/>
        <v>0</v>
      </c>
      <c r="AA112" s="338">
        <f t="shared" si="20"/>
        <v>0</v>
      </c>
      <c r="AB112" s="338">
        <f t="shared" si="75"/>
        <v>0</v>
      </c>
      <c r="AC112" s="338">
        <f t="shared" si="76"/>
        <v>0</v>
      </c>
      <c r="AF112" s="138">
        <f t="shared" si="77"/>
        <v>0</v>
      </c>
      <c r="AG112" s="138">
        <f t="shared" si="78"/>
        <v>6</v>
      </c>
      <c r="AH112" s="138">
        <f t="shared" si="79"/>
        <v>0</v>
      </c>
      <c r="AI112" s="138">
        <f t="shared" si="92"/>
        <v>2723</v>
      </c>
      <c r="AJ112" s="138">
        <f t="shared" si="80"/>
        <v>2740</v>
      </c>
      <c r="AL112" s="136">
        <f t="shared" si="27"/>
        <v>3.6219999999999999</v>
      </c>
      <c r="AM112" s="258">
        <f t="shared" si="49"/>
        <v>-0.09</v>
      </c>
      <c r="AN112" s="258">
        <f t="shared" si="28"/>
        <v>0</v>
      </c>
      <c r="AO112" s="258">
        <f t="shared" si="29"/>
        <v>0.04</v>
      </c>
      <c r="AP112" s="258">
        <f t="shared" si="30"/>
        <v>0.04</v>
      </c>
      <c r="AQ112" s="136">
        <f t="shared" si="81"/>
        <v>0</v>
      </c>
      <c r="AR112" s="137">
        <f t="shared" si="32"/>
        <v>1.15E-2</v>
      </c>
      <c r="AS112" s="136">
        <f t="shared" si="93"/>
        <v>3.532</v>
      </c>
      <c r="AT112" s="137">
        <f t="shared" si="82"/>
        <v>5.8691765704435503E-2</v>
      </c>
      <c r="AU112" s="137">
        <f t="shared" si="34"/>
        <v>0</v>
      </c>
      <c r="AV112" s="394">
        <f t="shared" si="94"/>
        <v>0</v>
      </c>
      <c r="AW112" s="137">
        <f t="shared" si="35"/>
        <v>0.20250000000000001</v>
      </c>
      <c r="AX112" s="137">
        <f t="shared" si="36"/>
        <v>0.45</v>
      </c>
      <c r="AY112" s="137">
        <f t="shared" si="37"/>
        <v>0.5</v>
      </c>
      <c r="AZ112" s="137"/>
      <c r="BA112" s="264"/>
      <c r="BB112" s="258">
        <f t="shared" si="38"/>
        <v>0</v>
      </c>
      <c r="BC112" s="258">
        <f t="shared" si="83"/>
        <v>0</v>
      </c>
      <c r="BD112" s="137">
        <f t="shared" si="84"/>
        <v>0</v>
      </c>
      <c r="BE112" s="137">
        <f t="shared" si="85"/>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-1.4138857752743414E-3</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1.1752654042319659</v>
      </c>
      <c r="BP112" s="137"/>
      <c r="BQ112" s="137"/>
      <c r="BR112" s="137"/>
      <c r="BS112" s="137"/>
      <c r="BV112" s="262">
        <v>3.5730905412240768</v>
      </c>
      <c r="BW112" s="136">
        <v>3.702</v>
      </c>
      <c r="BX112" s="137">
        <v>0.20250000000000001</v>
      </c>
      <c r="BY112" s="137">
        <v>0.20250000000000001</v>
      </c>
      <c r="BZ112" s="137">
        <v>0</v>
      </c>
      <c r="CA112" s="137">
        <v>5.8691765704435503E-2</v>
      </c>
      <c r="CB112" s="137">
        <v>0</v>
      </c>
      <c r="CC112" s="258">
        <v>-0.09</v>
      </c>
      <c r="CD112" s="258">
        <v>0</v>
      </c>
      <c r="CE112" s="258">
        <v>0.04</v>
      </c>
      <c r="CF112" s="258">
        <v>0.04</v>
      </c>
      <c r="CG112" s="258">
        <v>0</v>
      </c>
      <c r="CH112" s="258">
        <v>0</v>
      </c>
      <c r="CI112" s="258">
        <v>3.6219999999999999</v>
      </c>
      <c r="CJ112" s="258"/>
      <c r="CK112" s="258"/>
      <c r="CL112" s="258"/>
      <c r="CM112" s="258"/>
    </row>
    <row r="113" spans="1:91" x14ac:dyDescent="0.25">
      <c r="A113" s="723"/>
      <c r="B113" s="723"/>
      <c r="D113" s="31">
        <f t="shared" si="86"/>
        <v>39979</v>
      </c>
      <c r="F113" s="28">
        <f t="shared" si="70"/>
        <v>60000</v>
      </c>
      <c r="G113" s="28">
        <f t="shared" si="13"/>
        <v>0</v>
      </c>
      <c r="H113" s="52">
        <f t="shared" si="71"/>
        <v>3.5730905412240768</v>
      </c>
      <c r="I113" s="52">
        <f t="shared" si="72"/>
        <v>3.702</v>
      </c>
      <c r="K113" s="52">
        <f t="shared" si="87"/>
        <v>0</v>
      </c>
      <c r="L113" s="135">
        <f t="shared" si="88"/>
        <v>0</v>
      </c>
      <c r="N113" s="131">
        <f t="shared" si="89"/>
        <v>0.20250000000000001</v>
      </c>
      <c r="O113" s="131">
        <f t="shared" si="90"/>
        <v>0.20250000000000001</v>
      </c>
      <c r="P113" s="55">
        <f t="shared" si="91"/>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73"/>
        <v>0</v>
      </c>
      <c r="W113" s="146"/>
      <c r="X113" s="338">
        <f t="shared" si="74"/>
        <v>0</v>
      </c>
      <c r="Y113" s="338">
        <f t="shared" si="18"/>
        <v>0</v>
      </c>
      <c r="Z113" s="338">
        <f t="shared" si="19"/>
        <v>0</v>
      </c>
      <c r="AA113" s="338">
        <f t="shared" si="20"/>
        <v>0</v>
      </c>
      <c r="AB113" s="338">
        <f t="shared" si="75"/>
        <v>0</v>
      </c>
      <c r="AC113" s="338">
        <f t="shared" si="76"/>
        <v>0</v>
      </c>
      <c r="AF113" s="138">
        <f t="shared" si="77"/>
        <v>0</v>
      </c>
      <c r="AG113" s="138">
        <f t="shared" si="78"/>
        <v>6</v>
      </c>
      <c r="AH113" s="138">
        <f t="shared" si="79"/>
        <v>0</v>
      </c>
      <c r="AI113" s="138">
        <f t="shared" si="92"/>
        <v>2723</v>
      </c>
      <c r="AJ113" s="138">
        <f t="shared" si="80"/>
        <v>2740</v>
      </c>
      <c r="AL113" s="136">
        <f t="shared" si="27"/>
        <v>3.6219999999999999</v>
      </c>
      <c r="AM113" s="258">
        <f t="shared" si="49"/>
        <v>-0.09</v>
      </c>
      <c r="AN113" s="258">
        <f t="shared" si="28"/>
        <v>0</v>
      </c>
      <c r="AO113" s="258">
        <f t="shared" si="29"/>
        <v>0.04</v>
      </c>
      <c r="AP113" s="258">
        <f t="shared" si="30"/>
        <v>0.04</v>
      </c>
      <c r="AQ113" s="136">
        <f t="shared" si="81"/>
        <v>0</v>
      </c>
      <c r="AR113" s="137">
        <f t="shared" si="32"/>
        <v>1.15E-2</v>
      </c>
      <c r="AS113" s="136">
        <f t="shared" si="93"/>
        <v>3.532</v>
      </c>
      <c r="AT113" s="137">
        <f t="shared" si="82"/>
        <v>5.8691765704435503E-2</v>
      </c>
      <c r="AU113" s="137">
        <f t="shared" si="34"/>
        <v>0</v>
      </c>
      <c r="AV113" s="394">
        <f t="shared" si="94"/>
        <v>0</v>
      </c>
      <c r="AW113" s="137">
        <f t="shared" si="35"/>
        <v>0.20250000000000001</v>
      </c>
      <c r="AX113" s="137">
        <f t="shared" si="36"/>
        <v>0.45</v>
      </c>
      <c r="AY113" s="137">
        <f t="shared" si="37"/>
        <v>0.5</v>
      </c>
      <c r="AZ113" s="137"/>
      <c r="BA113" s="264"/>
      <c r="BB113" s="258">
        <f t="shared" si="38"/>
        <v>0</v>
      </c>
      <c r="BC113" s="258">
        <f t="shared" si="83"/>
        <v>0</v>
      </c>
      <c r="BD113" s="137">
        <f t="shared" si="84"/>
        <v>0</v>
      </c>
      <c r="BE113" s="137">
        <f t="shared" si="85"/>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-1.4138857752743414E-3</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1.1752654042319659</v>
      </c>
      <c r="BP113" s="137"/>
      <c r="BQ113" s="137"/>
      <c r="BR113" s="137"/>
      <c r="BS113" s="137"/>
      <c r="BV113" s="262">
        <v>3.5730905412240768</v>
      </c>
      <c r="BW113" s="136">
        <v>3.702</v>
      </c>
      <c r="BX113" s="137">
        <v>0.20250000000000001</v>
      </c>
      <c r="BY113" s="137">
        <v>0.20250000000000001</v>
      </c>
      <c r="BZ113" s="137">
        <v>0</v>
      </c>
      <c r="CA113" s="137">
        <v>5.8691765704435503E-2</v>
      </c>
      <c r="CB113" s="137">
        <v>0</v>
      </c>
      <c r="CC113" s="258">
        <v>-0.09</v>
      </c>
      <c r="CD113" s="258">
        <v>0</v>
      </c>
      <c r="CE113" s="258">
        <v>0.04</v>
      </c>
      <c r="CF113" s="258">
        <v>0.04</v>
      </c>
      <c r="CG113" s="258">
        <v>0</v>
      </c>
      <c r="CH113" s="258">
        <v>0</v>
      </c>
      <c r="CI113" s="258">
        <v>3.6219999999999999</v>
      </c>
      <c r="CJ113" s="258"/>
      <c r="CK113" s="258"/>
      <c r="CL113" s="258"/>
      <c r="CM113" s="258"/>
    </row>
    <row r="114" spans="1:91" x14ac:dyDescent="0.25">
      <c r="A114" s="723"/>
      <c r="B114" s="723"/>
      <c r="D114" s="31">
        <f t="shared" si="86"/>
        <v>39979</v>
      </c>
      <c r="F114" s="28">
        <f t="shared" si="70"/>
        <v>60000</v>
      </c>
      <c r="G114" s="28">
        <f t="shared" si="13"/>
        <v>0</v>
      </c>
      <c r="H114" s="52">
        <f t="shared" si="71"/>
        <v>3.5730905412240768</v>
      </c>
      <c r="I114" s="52">
        <f t="shared" si="72"/>
        <v>3.702</v>
      </c>
      <c r="K114" s="52">
        <f t="shared" si="87"/>
        <v>0</v>
      </c>
      <c r="L114" s="135">
        <f t="shared" si="88"/>
        <v>0</v>
      </c>
      <c r="N114" s="131">
        <f t="shared" si="89"/>
        <v>0.20250000000000001</v>
      </c>
      <c r="O114" s="131">
        <f t="shared" si="90"/>
        <v>0.20250000000000001</v>
      </c>
      <c r="P114" s="55">
        <f t="shared" si="91"/>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73"/>
        <v>0</v>
      </c>
      <c r="W114" s="146"/>
      <c r="X114" s="338">
        <f t="shared" si="74"/>
        <v>0</v>
      </c>
      <c r="Y114" s="338">
        <f t="shared" si="18"/>
        <v>0</v>
      </c>
      <c r="Z114" s="338">
        <f t="shared" si="19"/>
        <v>0</v>
      </c>
      <c r="AA114" s="338">
        <f t="shared" si="20"/>
        <v>0</v>
      </c>
      <c r="AB114" s="338">
        <f t="shared" si="75"/>
        <v>0</v>
      </c>
      <c r="AC114" s="338">
        <f t="shared" si="76"/>
        <v>0</v>
      </c>
      <c r="AF114" s="138">
        <f t="shared" si="77"/>
        <v>0</v>
      </c>
      <c r="AG114" s="138">
        <f t="shared" si="78"/>
        <v>6</v>
      </c>
      <c r="AH114" s="138">
        <f t="shared" si="79"/>
        <v>0</v>
      </c>
      <c r="AI114" s="138">
        <f t="shared" si="92"/>
        <v>2723</v>
      </c>
      <c r="AJ114" s="138">
        <f t="shared" si="80"/>
        <v>2740</v>
      </c>
      <c r="AL114" s="136">
        <f t="shared" si="27"/>
        <v>3.6219999999999999</v>
      </c>
      <c r="AM114" s="258">
        <f t="shared" si="49"/>
        <v>-0.09</v>
      </c>
      <c r="AN114" s="258">
        <f t="shared" si="28"/>
        <v>0</v>
      </c>
      <c r="AO114" s="258">
        <f t="shared" si="29"/>
        <v>0.04</v>
      </c>
      <c r="AP114" s="258">
        <f t="shared" si="30"/>
        <v>0.04</v>
      </c>
      <c r="AQ114" s="136">
        <f t="shared" si="81"/>
        <v>0</v>
      </c>
      <c r="AR114" s="137">
        <f t="shared" si="32"/>
        <v>1.15E-2</v>
      </c>
      <c r="AS114" s="136">
        <f t="shared" si="93"/>
        <v>3.532</v>
      </c>
      <c r="AT114" s="137">
        <f t="shared" si="82"/>
        <v>5.8691765704435503E-2</v>
      </c>
      <c r="AU114" s="137">
        <f t="shared" si="34"/>
        <v>0</v>
      </c>
      <c r="AV114" s="394">
        <f t="shared" si="94"/>
        <v>0</v>
      </c>
      <c r="AW114" s="137">
        <f t="shared" si="35"/>
        <v>0.20250000000000001</v>
      </c>
      <c r="AX114" s="137">
        <f t="shared" si="36"/>
        <v>0.45</v>
      </c>
      <c r="AY114" s="137">
        <f t="shared" si="37"/>
        <v>0.5</v>
      </c>
      <c r="AZ114" s="137"/>
      <c r="BA114" s="264"/>
      <c r="BB114" s="258">
        <f t="shared" si="38"/>
        <v>0</v>
      </c>
      <c r="BC114" s="258">
        <f t="shared" si="83"/>
        <v>0</v>
      </c>
      <c r="BD114" s="137">
        <f t="shared" si="84"/>
        <v>0</v>
      </c>
      <c r="BE114" s="137">
        <f t="shared" si="85"/>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-1.4138857752743414E-3</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1.1752654042319659</v>
      </c>
      <c r="BP114" s="137"/>
      <c r="BQ114" s="137"/>
      <c r="BR114" s="137"/>
      <c r="BS114" s="137"/>
      <c r="BV114" s="262">
        <v>3.5730905412240768</v>
      </c>
      <c r="BW114" s="136">
        <v>3.702</v>
      </c>
      <c r="BX114" s="137">
        <v>0.20250000000000001</v>
      </c>
      <c r="BY114" s="137">
        <v>0.20250000000000001</v>
      </c>
      <c r="BZ114" s="137">
        <v>0</v>
      </c>
      <c r="CA114" s="137">
        <v>5.8691765704435503E-2</v>
      </c>
      <c r="CB114" s="137">
        <v>0</v>
      </c>
      <c r="CC114" s="258">
        <v>-0.09</v>
      </c>
      <c r="CD114" s="258">
        <v>0</v>
      </c>
      <c r="CE114" s="258">
        <v>0.04</v>
      </c>
      <c r="CF114" s="258">
        <v>0.04</v>
      </c>
      <c r="CG114" s="258">
        <v>0</v>
      </c>
      <c r="CH114" s="258">
        <v>0</v>
      </c>
      <c r="CI114" s="258">
        <v>3.6219999999999999</v>
      </c>
      <c r="CJ114" s="258"/>
      <c r="CK114" s="258"/>
      <c r="CL114" s="258"/>
      <c r="CM114" s="258"/>
    </row>
    <row r="115" spans="1:91" x14ac:dyDescent="0.25">
      <c r="A115" s="723"/>
      <c r="B115" s="723"/>
      <c r="D115" s="31">
        <f t="shared" si="86"/>
        <v>39979</v>
      </c>
      <c r="F115" s="28">
        <f t="shared" si="70"/>
        <v>60000</v>
      </c>
      <c r="G115" s="28">
        <f t="shared" si="13"/>
        <v>0</v>
      </c>
      <c r="H115" s="52">
        <f t="shared" si="71"/>
        <v>3.5730905412240768</v>
      </c>
      <c r="I115" s="52">
        <f t="shared" si="72"/>
        <v>3.702</v>
      </c>
      <c r="K115" s="52">
        <f t="shared" si="87"/>
        <v>0</v>
      </c>
      <c r="L115" s="135">
        <f t="shared" si="88"/>
        <v>0</v>
      </c>
      <c r="N115" s="131">
        <f t="shared" si="89"/>
        <v>0.20250000000000001</v>
      </c>
      <c r="O115" s="131">
        <f t="shared" si="90"/>
        <v>0.20250000000000001</v>
      </c>
      <c r="P115" s="55">
        <f t="shared" si="91"/>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73"/>
        <v>0</v>
      </c>
      <c r="W115" s="146"/>
      <c r="X115" s="338">
        <f t="shared" si="74"/>
        <v>0</v>
      </c>
      <c r="Y115" s="338">
        <f t="shared" si="18"/>
        <v>0</v>
      </c>
      <c r="Z115" s="338">
        <f t="shared" si="19"/>
        <v>0</v>
      </c>
      <c r="AA115" s="338">
        <f t="shared" si="20"/>
        <v>0</v>
      </c>
      <c r="AB115" s="338">
        <f t="shared" si="75"/>
        <v>0</v>
      </c>
      <c r="AC115" s="338">
        <f t="shared" si="76"/>
        <v>0</v>
      </c>
      <c r="AF115" s="138">
        <f t="shared" si="77"/>
        <v>0</v>
      </c>
      <c r="AG115" s="138">
        <f t="shared" si="78"/>
        <v>6</v>
      </c>
      <c r="AH115" s="138">
        <f t="shared" si="79"/>
        <v>0</v>
      </c>
      <c r="AI115" s="138">
        <f t="shared" si="92"/>
        <v>2723</v>
      </c>
      <c r="AJ115" s="138">
        <f t="shared" si="80"/>
        <v>2740</v>
      </c>
      <c r="AL115" s="136">
        <f t="shared" si="27"/>
        <v>3.6219999999999999</v>
      </c>
      <c r="AM115" s="258">
        <f t="shared" si="49"/>
        <v>-0.09</v>
      </c>
      <c r="AN115" s="258">
        <f t="shared" si="28"/>
        <v>0</v>
      </c>
      <c r="AO115" s="258">
        <f t="shared" si="29"/>
        <v>0.04</v>
      </c>
      <c r="AP115" s="258">
        <f t="shared" si="30"/>
        <v>0.04</v>
      </c>
      <c r="AQ115" s="136">
        <f t="shared" si="81"/>
        <v>0</v>
      </c>
      <c r="AR115" s="137">
        <f t="shared" si="32"/>
        <v>1.15E-2</v>
      </c>
      <c r="AS115" s="136">
        <f t="shared" si="93"/>
        <v>3.532</v>
      </c>
      <c r="AT115" s="137">
        <f t="shared" si="82"/>
        <v>5.8691765704435503E-2</v>
      </c>
      <c r="AU115" s="137">
        <f t="shared" si="34"/>
        <v>0</v>
      </c>
      <c r="AV115" s="394">
        <f t="shared" si="94"/>
        <v>0</v>
      </c>
      <c r="AW115" s="137">
        <f t="shared" si="35"/>
        <v>0.20250000000000001</v>
      </c>
      <c r="AX115" s="137">
        <f t="shared" si="36"/>
        <v>0.45</v>
      </c>
      <c r="AY115" s="137">
        <f t="shared" si="37"/>
        <v>0.5</v>
      </c>
      <c r="AZ115" s="137"/>
      <c r="BA115" s="264"/>
      <c r="BB115" s="258">
        <f t="shared" si="38"/>
        <v>0</v>
      </c>
      <c r="BC115" s="258">
        <f t="shared" si="83"/>
        <v>0</v>
      </c>
      <c r="BD115" s="137">
        <f t="shared" si="84"/>
        <v>0</v>
      </c>
      <c r="BE115" s="137">
        <f t="shared" si="85"/>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-1.4138857752743414E-3</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1.1752654042319659</v>
      </c>
      <c r="BP115" s="137"/>
      <c r="BQ115" s="137"/>
      <c r="BR115" s="137"/>
      <c r="BS115" s="137"/>
      <c r="BV115" s="262">
        <v>3.5730905412240768</v>
      </c>
      <c r="BW115" s="136">
        <v>3.702</v>
      </c>
      <c r="BX115" s="137">
        <v>0.20250000000000001</v>
      </c>
      <c r="BY115" s="137">
        <v>0.20250000000000001</v>
      </c>
      <c r="BZ115" s="137">
        <v>0</v>
      </c>
      <c r="CA115" s="137">
        <v>5.8691765704435503E-2</v>
      </c>
      <c r="CB115" s="137">
        <v>0</v>
      </c>
      <c r="CC115" s="258">
        <v>-0.09</v>
      </c>
      <c r="CD115" s="258">
        <v>0</v>
      </c>
      <c r="CE115" s="258">
        <v>0.04</v>
      </c>
      <c r="CF115" s="258">
        <v>0.04</v>
      </c>
      <c r="CG115" s="258">
        <v>0</v>
      </c>
      <c r="CH115" s="258">
        <v>0</v>
      </c>
      <c r="CI115" s="258">
        <v>3.6219999999999999</v>
      </c>
      <c r="CJ115" s="258"/>
      <c r="CK115" s="258"/>
      <c r="CL115" s="258"/>
      <c r="CM115" s="258"/>
    </row>
    <row r="116" spans="1:91" x14ac:dyDescent="0.25">
      <c r="A116" s="723"/>
      <c r="B116" s="723"/>
      <c r="D116" s="31">
        <f t="shared" si="86"/>
        <v>39979</v>
      </c>
      <c r="F116" s="28">
        <f t="shared" si="70"/>
        <v>60000</v>
      </c>
      <c r="G116" s="28">
        <f t="shared" si="13"/>
        <v>0</v>
      </c>
      <c r="H116" s="52">
        <f t="shared" si="71"/>
        <v>3.5730905412240768</v>
      </c>
      <c r="I116" s="52">
        <f t="shared" si="72"/>
        <v>3.702</v>
      </c>
      <c r="K116" s="52">
        <f t="shared" si="87"/>
        <v>0</v>
      </c>
      <c r="L116" s="135">
        <f t="shared" si="88"/>
        <v>0</v>
      </c>
      <c r="N116" s="131">
        <f t="shared" si="89"/>
        <v>0.20250000000000001</v>
      </c>
      <c r="O116" s="131">
        <f t="shared" si="90"/>
        <v>0.20250000000000001</v>
      </c>
      <c r="P116" s="55">
        <f t="shared" si="91"/>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73"/>
        <v>0</v>
      </c>
      <c r="W116" s="146"/>
      <c r="X116" s="338">
        <f t="shared" si="74"/>
        <v>0</v>
      </c>
      <c r="Y116" s="338">
        <f t="shared" si="18"/>
        <v>0</v>
      </c>
      <c r="Z116" s="338">
        <f t="shared" si="19"/>
        <v>0</v>
      </c>
      <c r="AA116" s="338">
        <f t="shared" si="20"/>
        <v>0</v>
      </c>
      <c r="AB116" s="338">
        <f t="shared" si="75"/>
        <v>0</v>
      </c>
      <c r="AC116" s="338">
        <f t="shared" si="76"/>
        <v>0</v>
      </c>
      <c r="AF116" s="138">
        <f t="shared" si="77"/>
        <v>0</v>
      </c>
      <c r="AG116" s="138">
        <f t="shared" si="78"/>
        <v>6</v>
      </c>
      <c r="AH116" s="138">
        <f t="shared" si="79"/>
        <v>0</v>
      </c>
      <c r="AI116" s="138">
        <f t="shared" si="92"/>
        <v>2723</v>
      </c>
      <c r="AJ116" s="138">
        <f t="shared" si="80"/>
        <v>2740</v>
      </c>
      <c r="AL116" s="136">
        <f t="shared" si="27"/>
        <v>3.6219999999999999</v>
      </c>
      <c r="AM116" s="258">
        <f t="shared" si="49"/>
        <v>-0.09</v>
      </c>
      <c r="AN116" s="258">
        <f t="shared" si="28"/>
        <v>0</v>
      </c>
      <c r="AO116" s="258">
        <f t="shared" si="29"/>
        <v>0.04</v>
      </c>
      <c r="AP116" s="258">
        <f t="shared" si="30"/>
        <v>0.04</v>
      </c>
      <c r="AQ116" s="136">
        <f t="shared" si="81"/>
        <v>0</v>
      </c>
      <c r="AR116" s="137">
        <f t="shared" si="32"/>
        <v>1.15E-2</v>
      </c>
      <c r="AS116" s="136">
        <f t="shared" si="93"/>
        <v>3.532</v>
      </c>
      <c r="AT116" s="137">
        <f t="shared" si="82"/>
        <v>5.8691765704435503E-2</v>
      </c>
      <c r="AU116" s="137">
        <f t="shared" si="34"/>
        <v>0</v>
      </c>
      <c r="AV116" s="394">
        <f t="shared" si="94"/>
        <v>0</v>
      </c>
      <c r="AW116" s="137">
        <f t="shared" si="35"/>
        <v>0.20250000000000001</v>
      </c>
      <c r="AX116" s="137">
        <f t="shared" si="36"/>
        <v>0.45</v>
      </c>
      <c r="AY116" s="137">
        <f t="shared" si="37"/>
        <v>0.5</v>
      </c>
      <c r="AZ116" s="137"/>
      <c r="BA116" s="264"/>
      <c r="BB116" s="258">
        <f t="shared" si="38"/>
        <v>0</v>
      </c>
      <c r="BC116" s="258">
        <f t="shared" si="83"/>
        <v>0</v>
      </c>
      <c r="BD116" s="137">
        <f t="shared" si="84"/>
        <v>0</v>
      </c>
      <c r="BE116" s="137">
        <f t="shared" si="85"/>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-1.4138857752743414E-3</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1.1752654042319659</v>
      </c>
      <c r="BP116" s="137"/>
      <c r="BQ116" s="137"/>
      <c r="BR116" s="137"/>
      <c r="BS116" s="137"/>
      <c r="BV116" s="262">
        <v>3.5730905412240768</v>
      </c>
      <c r="BW116" s="136">
        <v>3.702</v>
      </c>
      <c r="BX116" s="137">
        <v>0.20250000000000001</v>
      </c>
      <c r="BY116" s="137">
        <v>0.20250000000000001</v>
      </c>
      <c r="BZ116" s="137">
        <v>0</v>
      </c>
      <c r="CA116" s="137">
        <v>5.8691765704435503E-2</v>
      </c>
      <c r="CB116" s="137">
        <v>0</v>
      </c>
      <c r="CC116" s="258">
        <v>-0.09</v>
      </c>
      <c r="CD116" s="258">
        <v>0</v>
      </c>
      <c r="CE116" s="258">
        <v>0.04</v>
      </c>
      <c r="CF116" s="258">
        <v>0.04</v>
      </c>
      <c r="CG116" s="258">
        <v>0</v>
      </c>
      <c r="CH116" s="258">
        <v>0</v>
      </c>
      <c r="CI116" s="258">
        <v>3.6219999999999999</v>
      </c>
      <c r="CJ116" s="258"/>
      <c r="CK116" s="258"/>
      <c r="CL116" s="258"/>
      <c r="CM116" s="258"/>
    </row>
    <row r="117" spans="1:91" x14ac:dyDescent="0.25">
      <c r="A117" s="723"/>
      <c r="B117" s="723"/>
      <c r="D117" s="31">
        <f t="shared" si="86"/>
        <v>39979</v>
      </c>
      <c r="F117" s="28">
        <f t="shared" si="70"/>
        <v>60000</v>
      </c>
      <c r="G117" s="28">
        <f t="shared" si="13"/>
        <v>0</v>
      </c>
      <c r="H117" s="52">
        <f t="shared" si="71"/>
        <v>3.5730905412240768</v>
      </c>
      <c r="I117" s="52">
        <f t="shared" si="72"/>
        <v>3.702</v>
      </c>
      <c r="K117" s="52">
        <f t="shared" si="87"/>
        <v>0</v>
      </c>
      <c r="L117" s="135">
        <f t="shared" si="88"/>
        <v>0</v>
      </c>
      <c r="N117" s="131">
        <f t="shared" si="89"/>
        <v>0.20250000000000001</v>
      </c>
      <c r="O117" s="131">
        <f t="shared" si="90"/>
        <v>0.20250000000000001</v>
      </c>
      <c r="P117" s="55">
        <f t="shared" si="91"/>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73"/>
        <v>0</v>
      </c>
      <c r="W117" s="146"/>
      <c r="X117" s="338">
        <f t="shared" si="74"/>
        <v>0</v>
      </c>
      <c r="Y117" s="338">
        <f t="shared" si="18"/>
        <v>0</v>
      </c>
      <c r="Z117" s="338">
        <f t="shared" si="19"/>
        <v>0</v>
      </c>
      <c r="AA117" s="338">
        <f t="shared" si="20"/>
        <v>0</v>
      </c>
      <c r="AB117" s="338">
        <f t="shared" si="75"/>
        <v>0</v>
      </c>
      <c r="AC117" s="338">
        <f t="shared" si="76"/>
        <v>0</v>
      </c>
      <c r="AF117" s="138">
        <f t="shared" si="77"/>
        <v>0</v>
      </c>
      <c r="AG117" s="138">
        <f t="shared" si="78"/>
        <v>6</v>
      </c>
      <c r="AH117" s="138">
        <f t="shared" si="79"/>
        <v>0</v>
      </c>
      <c r="AI117" s="138">
        <f t="shared" si="92"/>
        <v>2723</v>
      </c>
      <c r="AJ117" s="138">
        <f t="shared" si="80"/>
        <v>2740</v>
      </c>
      <c r="AL117" s="136">
        <f t="shared" si="27"/>
        <v>3.6219999999999999</v>
      </c>
      <c r="AM117" s="258">
        <f t="shared" si="49"/>
        <v>-0.09</v>
      </c>
      <c r="AN117" s="258">
        <f t="shared" si="28"/>
        <v>0</v>
      </c>
      <c r="AO117" s="258">
        <f t="shared" si="29"/>
        <v>0.04</v>
      </c>
      <c r="AP117" s="258">
        <f t="shared" si="30"/>
        <v>0.04</v>
      </c>
      <c r="AQ117" s="136">
        <f t="shared" si="81"/>
        <v>0</v>
      </c>
      <c r="AR117" s="137">
        <f t="shared" si="32"/>
        <v>1.15E-2</v>
      </c>
      <c r="AS117" s="136">
        <f t="shared" si="93"/>
        <v>3.532</v>
      </c>
      <c r="AT117" s="137">
        <f t="shared" si="82"/>
        <v>5.8691765704435503E-2</v>
      </c>
      <c r="AU117" s="137">
        <f t="shared" si="34"/>
        <v>0</v>
      </c>
      <c r="AV117" s="394">
        <f t="shared" si="94"/>
        <v>0</v>
      </c>
      <c r="AW117" s="137">
        <f t="shared" si="35"/>
        <v>0.20250000000000001</v>
      </c>
      <c r="AX117" s="137">
        <f t="shared" si="36"/>
        <v>0.45</v>
      </c>
      <c r="AY117" s="137">
        <f t="shared" si="37"/>
        <v>0.5</v>
      </c>
      <c r="AZ117" s="137"/>
      <c r="BA117" s="264"/>
      <c r="BB117" s="258">
        <f t="shared" si="38"/>
        <v>0</v>
      </c>
      <c r="BC117" s="258">
        <f t="shared" si="83"/>
        <v>0</v>
      </c>
      <c r="BD117" s="137">
        <f t="shared" si="84"/>
        <v>0</v>
      </c>
      <c r="BE117" s="137">
        <f t="shared" si="85"/>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-1.4138857752743414E-3</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1.1752654042319659</v>
      </c>
      <c r="BP117" s="137"/>
      <c r="BQ117" s="137"/>
      <c r="BR117" s="137"/>
      <c r="BS117" s="137"/>
      <c r="BV117" s="262">
        <v>3.5730905412240768</v>
      </c>
      <c r="BW117" s="136">
        <v>3.702</v>
      </c>
      <c r="BX117" s="137">
        <v>0.20250000000000001</v>
      </c>
      <c r="BY117" s="137">
        <v>0.20250000000000001</v>
      </c>
      <c r="BZ117" s="137">
        <v>0</v>
      </c>
      <c r="CA117" s="137">
        <v>5.8691765704435503E-2</v>
      </c>
      <c r="CB117" s="137">
        <v>0</v>
      </c>
      <c r="CC117" s="258">
        <v>-0.09</v>
      </c>
      <c r="CD117" s="258">
        <v>0</v>
      </c>
      <c r="CE117" s="258">
        <v>0.04</v>
      </c>
      <c r="CF117" s="258">
        <v>0.04</v>
      </c>
      <c r="CG117" s="258">
        <v>0</v>
      </c>
      <c r="CH117" s="258">
        <v>0</v>
      </c>
      <c r="CI117" s="258">
        <v>3.6219999999999999</v>
      </c>
      <c r="CJ117" s="258"/>
      <c r="CK117" s="258"/>
      <c r="CL117" s="258"/>
      <c r="CM117" s="258"/>
    </row>
    <row r="118" spans="1:91" x14ac:dyDescent="0.25">
      <c r="A118" s="723"/>
      <c r="B118" s="723"/>
    </row>
    <row r="119" spans="1:91" x14ac:dyDescent="0.25">
      <c r="A119" s="723"/>
      <c r="B119" s="723"/>
    </row>
    <row r="120" spans="1:91" x14ac:dyDescent="0.25">
      <c r="A120" s="723"/>
      <c r="B120" s="723"/>
    </row>
    <row r="121" spans="1:91" x14ac:dyDescent="0.25">
      <c r="A121" s="723"/>
      <c r="B121" s="723"/>
    </row>
    <row r="122" spans="1:91" x14ac:dyDescent="0.25">
      <c r="A122" s="723"/>
      <c r="B122" s="723"/>
    </row>
    <row r="123" spans="1:91" x14ac:dyDescent="0.25">
      <c r="A123" s="723"/>
      <c r="B123" s="723"/>
    </row>
    <row r="124" spans="1:91" x14ac:dyDescent="0.25">
      <c r="A124" s="723"/>
      <c r="B124" s="723"/>
    </row>
    <row r="125" spans="1:91" x14ac:dyDescent="0.25">
      <c r="A125" s="723"/>
      <c r="B125" s="723"/>
    </row>
    <row r="126" spans="1:91" x14ac:dyDescent="0.25">
      <c r="A126" s="723"/>
      <c r="B126" s="723"/>
    </row>
    <row r="127" spans="1:91" x14ac:dyDescent="0.25">
      <c r="A127" s="723"/>
      <c r="B127" s="723"/>
    </row>
    <row r="128" spans="1:91" x14ac:dyDescent="0.25">
      <c r="A128" s="723"/>
      <c r="B128" s="723"/>
    </row>
    <row r="129" spans="1:2" x14ac:dyDescent="0.25">
      <c r="A129" s="723"/>
      <c r="B129" s="723"/>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06:B106"/>
    <mergeCell ref="A107:B107"/>
    <mergeCell ref="A112:B112"/>
    <mergeCell ref="A114:B114"/>
    <mergeCell ref="A115:B115"/>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271" r:id="rId4" name="Button 7">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1272" r:id="rId5" name="Button 8">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
    <pageSetUpPr autoPageBreaks="0"/>
  </sheetPr>
  <dimension ref="A1:CX405"/>
  <sheetViews>
    <sheetView zoomScale="80" workbookViewId="0">
      <pane xSplit="5" ySplit="21" topLeftCell="F22" activePane="bottomRight" state="frozen"/>
      <selection activeCell="N24" sqref="N24"/>
      <selection pane="topRight" activeCell="N24" sqref="N24"/>
      <selection pane="bottomLeft" activeCell="N24" sqref="N24"/>
      <selection pane="bottomRight" activeCell="CI21" sqref="CI21:CI30"/>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5">
      <c r="A4" s="269" t="str">
        <f>ADDRESS(ROW($S$22),COLUMN($S$22))</f>
        <v>$S$22</v>
      </c>
      <c r="L4" s="721" t="s">
        <v>201</v>
      </c>
      <c r="M4" s="722"/>
      <c r="N4" s="352">
        <f ca="1">SUMPRODUCT(INDIRECT(CONCATENATE(AV4,":",AW4)),INDIRECT(CONCATENATE($AV$2,":",$AW$2)),INDIRECT(CONCATENATE($AV$3,":",$AW$3)))</f>
        <v>171218.32191520615</v>
      </c>
      <c r="O4" s="352">
        <v>171217.16</v>
      </c>
      <c r="P4" s="354">
        <f ca="1">N4-O4</f>
        <v>1.1619152061466593</v>
      </c>
      <c r="Q4" s="181"/>
      <c r="S4" s="427" t="s">
        <v>635</v>
      </c>
      <c r="T4" s="422">
        <f ca="1">SUMPRODUCT(INDIRECT(CONCATENATE(V4,":",W4)),INDIRECT(CONCATENATE(AV2,":",AW2)),INDIRECT(CONCATENATE(AV3,":",AW3)))</f>
        <v>171100.50157012395</v>
      </c>
      <c r="V4" s="30" t="str">
        <f>ADDRESS(ROW(K22),COLUMN(K22))</f>
        <v>$K$22</v>
      </c>
      <c r="W4" s="30" t="str">
        <f ca="1">GetEnd($AV$1,V4)</f>
        <v>$K$30</v>
      </c>
      <c r="AF4" s="28"/>
      <c r="AG4" s="103" t="s">
        <v>32</v>
      </c>
      <c r="AH4" s="104">
        <f>GetRcptIndexCol($AH$12,$AH$13)</f>
        <v>39</v>
      </c>
      <c r="AI4" s="29"/>
      <c r="AJ4" s="103" t="s">
        <v>72</v>
      </c>
      <c r="AK4" s="104">
        <f>GetNymexCol(AK3)</f>
        <v>3</v>
      </c>
      <c r="AL4" s="34">
        <v>1</v>
      </c>
      <c r="AM4" s="45">
        <f t="shared" ref="AM4:AM15" si="0">GetVolume($AH$12,$AH$13,AT4)</f>
        <v>10000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260422.00806876953</v>
      </c>
      <c r="O5" s="352">
        <v>260381.5</v>
      </c>
      <c r="P5" s="355">
        <f ca="1">N5-O5</f>
        <v>40.508068769529928</v>
      </c>
      <c r="Q5" s="181"/>
      <c r="S5" s="428" t="s">
        <v>636</v>
      </c>
      <c r="T5" s="423">
        <f ca="1">SUMPRODUCT(INDIRECT(CONCATENATE(V5,":",W5)),INDIRECT(CONCATENATE(AV2,":",AW2)),INDIRECT(CONCATENATE(AV3,":",AW3)))</f>
        <v>117.82034508217798</v>
      </c>
      <c r="V5" s="30" t="str">
        <f>ADDRESS(ROW(L22),COLUMN(L22))</f>
        <v>$L$22</v>
      </c>
      <c r="W5" s="30" t="str">
        <f ca="1">GetEnd($AV$1,V5)</f>
        <v>$L$30</v>
      </c>
      <c r="AF5" s="28"/>
      <c r="AG5" s="103" t="s">
        <v>33</v>
      </c>
      <c r="AH5" s="104">
        <f>GetDelBasisCol($AH$12,$AH$13)</f>
        <v>22</v>
      </c>
      <c r="AI5" s="29"/>
      <c r="AJ5" s="103" t="s">
        <v>77</v>
      </c>
      <c r="AK5" s="104" t="str">
        <f>LiborCurve</f>
        <v>Libor AA</v>
      </c>
      <c r="AL5" s="34">
        <v>2</v>
      </c>
      <c r="AM5" s="37">
        <f t="shared" si="0"/>
        <v>10000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5">
      <c r="A6" s="269" t="str">
        <f>ADDRESS(ROW($BW$2),COLUMN($BW$2))</f>
        <v>$BW$2</v>
      </c>
      <c r="F6" s="187"/>
      <c r="G6" s="187"/>
      <c r="L6" s="704" t="s">
        <v>149</v>
      </c>
      <c r="M6" s="705"/>
      <c r="N6" s="356">
        <f ca="1">N4-N5</f>
        <v>-89203.68615356338</v>
      </c>
      <c r="O6" s="357">
        <v>-89164.33</v>
      </c>
      <c r="P6" s="358">
        <f ca="1">N6-O6</f>
        <v>-39.35615356337803</v>
      </c>
      <c r="Q6" s="181"/>
      <c r="S6" s="428" t="s">
        <v>637</v>
      </c>
      <c r="T6" s="424">
        <f ca="1">SUMPRODUCT(INDIRECT(CONCATENATE(V6,":",W6)),INDIRECT(CONCATENATE(AV3,":",AW3)),INDIRECT(CONCATENATE(AX3,":",AY3)))</f>
        <v>588657.34192759846</v>
      </c>
      <c r="V6" s="30" t="str">
        <f>ADDRESS(ROW(G22),COLUMN(G22))</f>
        <v>$G$22</v>
      </c>
      <c r="W6" s="30" t="str">
        <f ca="1">GetEnd($AV$1,V6)</f>
        <v>$G$30</v>
      </c>
      <c r="AF6" s="28"/>
      <c r="AG6" s="103" t="s">
        <v>34</v>
      </c>
      <c r="AH6" s="104">
        <f>GetDelIndexCol($AH$12,$AH$13)</f>
        <v>35</v>
      </c>
      <c r="AI6" s="29"/>
      <c r="AJ6" s="103" t="s">
        <v>79</v>
      </c>
      <c r="AK6" s="104">
        <f>GetLiborCol(AK5)</f>
        <v>4</v>
      </c>
      <c r="AL6" s="34">
        <v>3</v>
      </c>
      <c r="AM6" s="37">
        <f t="shared" si="0"/>
        <v>10000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1934.18</v>
      </c>
      <c r="P7" s="355">
        <f ca="1">N7</f>
        <v>0</v>
      </c>
      <c r="S7" s="428" t="s">
        <v>638</v>
      </c>
      <c r="T7" s="425">
        <f ca="1">T5/T6</f>
        <v>2.0015098205751966E-4</v>
      </c>
      <c r="AF7" s="28"/>
      <c r="AG7" s="103" t="s">
        <v>76</v>
      </c>
      <c r="AH7" s="104">
        <f>GetRcptOmicronCol($AH$12,$AH$13)</f>
        <v>10</v>
      </c>
      <c r="AI7" s="29"/>
      <c r="AJ7" s="103" t="s">
        <v>80</v>
      </c>
      <c r="AK7" s="104" t="str">
        <f>Configuration!$D$8</f>
        <v>Nymex Vol</v>
      </c>
      <c r="AL7" s="34">
        <v>4</v>
      </c>
      <c r="AM7" s="37">
        <f t="shared" si="0"/>
        <v>10000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$AL$30</v>
      </c>
      <c r="AX7" s="339" t="str">
        <f>ADDRESS(ROW($AV$22),COLUMN($AV$22))</f>
        <v>$AV$22</v>
      </c>
      <c r="AY7" s="138" t="str">
        <f t="shared" ref="AY7:AY13" ca="1" si="8">GetEnd($AV$1,AX7)</f>
        <v>$AV$30</v>
      </c>
    </row>
    <row r="8" spans="1:102" x14ac:dyDescent="0.25">
      <c r="A8" s="270" t="s">
        <v>224</v>
      </c>
      <c r="F8" s="186" t="s">
        <v>26</v>
      </c>
      <c r="G8" s="190">
        <f>GetMonthEnd($AH$12,$AH$13)</f>
        <v>37315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0.99341189549516251</v>
      </c>
      <c r="V8" s="30" t="str">
        <f>ADDRESS(ROW(P22),COLUMN(P22))</f>
        <v>$P$22</v>
      </c>
      <c r="W8" s="30" t="str">
        <f ca="1">GetEnd($AV$1,V8)</f>
        <v>$P$30</v>
      </c>
      <c r="Y8" s="334">
        <f ca="1">SUMIF(INDIRECT(CONCATENATE(V8,":",W8)),"&gt;0",INDIRECT(CONCATENATE(V8,":",W8)))</f>
        <v>1.986823790990325</v>
      </c>
      <c r="Z8" s="334">
        <f ca="1">COUNTIF(INDIRECT(CONCATENATE(V8,":",W8)),"&gt;0")</f>
        <v>2</v>
      </c>
      <c r="AF8" s="28"/>
      <c r="AG8" s="103" t="s">
        <v>75</v>
      </c>
      <c r="AH8" s="105">
        <f>GetDelOmicronCol($AH$12,$AH$13)</f>
        <v>16</v>
      </c>
      <c r="AI8" s="29"/>
      <c r="AJ8" s="103" t="s">
        <v>81</v>
      </c>
      <c r="AK8" s="104">
        <f>GetNGOmicronCol(AK7)</f>
        <v>5</v>
      </c>
      <c r="AL8" s="34">
        <v>5</v>
      </c>
      <c r="AM8" s="37">
        <f t="shared" si="0"/>
        <v>10000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$AM$30</v>
      </c>
      <c r="AX8" s="339" t="str">
        <f>ADDRESS(ROW($AO$22),COLUMN($AO$22))</f>
        <v>$AO$22</v>
      </c>
      <c r="AY8" s="138" t="str">
        <f t="shared" ca="1" si="8"/>
        <v>$AO$30</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10000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$AN$30</v>
      </c>
      <c r="AX9" s="339" t="str">
        <f>ADDRESS(ROW($AP$22),COLUMN($AP$22))</f>
        <v>$AP$22</v>
      </c>
      <c r="AY9" s="138" t="str">
        <f t="shared" ca="1" si="8"/>
        <v>$AP$30</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-57316.292930750846</v>
      </c>
      <c r="O10" s="352">
        <v>-57307.37</v>
      </c>
      <c r="P10" s="355">
        <f t="shared" ref="P10:P19" ca="1" si="9">N10-O10</f>
        <v>-8.9229307508430793</v>
      </c>
      <c r="AF10" s="28"/>
      <c r="AG10" s="103" t="s">
        <v>142</v>
      </c>
      <c r="AH10" s="119" t="b">
        <f>GetGRIFactor($AH$12,$AH$13)</f>
        <v>0</v>
      </c>
      <c r="AI10" s="29"/>
      <c r="AJ10" s="29"/>
      <c r="AK10" s="29"/>
      <c r="AL10" s="34">
        <v>7</v>
      </c>
      <c r="AM10" s="37">
        <f t="shared" si="0"/>
        <v>10000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$AS$30</v>
      </c>
      <c r="AX10" s="339" t="str">
        <f>ADDRESS(ROW($CC$22),COLUMN($CC$22))</f>
        <v>$CC$22</v>
      </c>
      <c r="AY10" s="138" t="str">
        <f t="shared" ca="1" si="8"/>
        <v>$CC$30</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10000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$AQ$30</v>
      </c>
      <c r="AX11" s="339" t="str">
        <f>ADDRESS(ROW($CD$22),COLUMN($CD$22))</f>
        <v>$CD$22</v>
      </c>
      <c r="AY11" s="138" t="str">
        <f t="shared" ca="1" si="8"/>
        <v>$CD$30</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-1897.15</v>
      </c>
      <c r="P12" s="355">
        <f t="shared" ca="1" si="9"/>
        <v>1897.15</v>
      </c>
      <c r="AG12" s="248" t="s">
        <v>185</v>
      </c>
      <c r="AH12" s="119" t="str">
        <f>GetDBPage($D$2)</f>
        <v>Contract DB (Central)</v>
      </c>
      <c r="AL12" s="34">
        <v>9</v>
      </c>
      <c r="AM12" s="37">
        <f t="shared" si="0"/>
        <v>10000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$X$30</v>
      </c>
      <c r="AX12" s="339" t="str">
        <f>ADDRESS(ROW($CE$22),COLUMN($CE$22))</f>
        <v>$CE$22</v>
      </c>
      <c r="AY12" s="138" t="str">
        <f t="shared" ca="1" si="8"/>
        <v>$CE$30</v>
      </c>
    </row>
    <row r="13" spans="1:102" x14ac:dyDescent="0.25">
      <c r="A13" s="270" t="s">
        <v>224</v>
      </c>
      <c r="D13" s="170"/>
      <c r="E13" s="171"/>
      <c r="F13" s="172"/>
      <c r="G13" s="172"/>
      <c r="H13" s="173"/>
      <c r="L13" s="706" t="s">
        <v>155</v>
      </c>
      <c r="M13" s="707"/>
      <c r="N13" s="352">
        <f t="shared" ca="1" si="10"/>
        <v>0</v>
      </c>
      <c r="O13" s="352">
        <v>5.57</v>
      </c>
      <c r="P13" s="355">
        <f t="shared" ca="1" si="9"/>
        <v>-5.57</v>
      </c>
      <c r="AG13" s="248" t="s">
        <v>186</v>
      </c>
      <c r="AH13" s="119">
        <f>GetRecNdx($AH$12,$D$2)</f>
        <v>2</v>
      </c>
      <c r="AL13" s="34">
        <v>10</v>
      </c>
      <c r="AM13" s="37">
        <f t="shared" si="0"/>
        <v>10000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$Y$30</v>
      </c>
      <c r="AX13" s="339" t="str">
        <f>ADDRESS(ROW($CF$22),COLUMN($CF$22))</f>
        <v>$CF$22</v>
      </c>
      <c r="AY13" s="138" t="str">
        <f t="shared" ca="1" si="8"/>
        <v>$CF$30</v>
      </c>
    </row>
    <row r="14" spans="1:102" x14ac:dyDescent="0.25">
      <c r="A14" s="270" t="s">
        <v>224</v>
      </c>
      <c r="D14" s="170"/>
      <c r="E14" s="171"/>
      <c r="F14" s="172"/>
      <c r="G14" s="172"/>
      <c r="H14" s="173"/>
      <c r="K14" s="185"/>
      <c r="L14" s="706" t="s">
        <v>156</v>
      </c>
      <c r="M14" s="707"/>
      <c r="N14" s="352">
        <f t="shared" ca="1" si="10"/>
        <v>-7.7250315166056236</v>
      </c>
      <c r="O14" s="352">
        <v>0.14000000000000001</v>
      </c>
      <c r="P14" s="355">
        <f t="shared" ca="1" si="9"/>
        <v>-7.8650315166056233</v>
      </c>
      <c r="S14" s="181">
        <f>F22/(1-AR22)*AH22*AU22</f>
        <v>321100.21130198508</v>
      </c>
      <c r="T14" s="181">
        <f>F22*AH22*AU22</f>
        <v>309540.60369511362</v>
      </c>
      <c r="AL14" s="34">
        <v>11</v>
      </c>
      <c r="AM14" s="37">
        <f t="shared" si="0"/>
        <v>10000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$Z$30</v>
      </c>
      <c r="AX14" s="353" t="str">
        <f ca="1">CONCATENATE(AX8,":",AY8)</f>
        <v>$AO$22:$AO$30</v>
      </c>
      <c r="AY14" s="353" t="str">
        <f ca="1">CONCATENATE(AX10,":",AY10)</f>
        <v>$CC$22:$CC$30</v>
      </c>
    </row>
    <row r="15" spans="1:102" ht="13.8" thickBot="1" x14ac:dyDescent="0.3">
      <c r="A15" s="270" t="s">
        <v>224</v>
      </c>
      <c r="D15" s="170"/>
      <c r="E15" s="171"/>
      <c r="F15" s="172"/>
      <c r="G15" s="172"/>
      <c r="H15" s="173"/>
      <c r="L15" s="706" t="s">
        <v>157</v>
      </c>
      <c r="M15" s="707"/>
      <c r="N15" s="352">
        <f t="shared" ca="1" si="10"/>
        <v>8.5274877994038185</v>
      </c>
      <c r="O15" s="352">
        <v>2.04</v>
      </c>
      <c r="P15" s="355">
        <f t="shared" ca="1" si="9"/>
        <v>6.4874877994038185</v>
      </c>
      <c r="AL15" s="34">
        <v>12</v>
      </c>
      <c r="AM15" s="41">
        <f t="shared" si="0"/>
        <v>10000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$AA$30</v>
      </c>
      <c r="AX15" s="353" t="str">
        <f ca="1">CONCATENATE(AV8,":",AW8)</f>
        <v>$AM$22:$AM$30</v>
      </c>
      <c r="AY15" s="353" t="str">
        <f ca="1">CONCATENATE(AX11,":",AY11)</f>
        <v>$CD$22:$CD$30</v>
      </c>
    </row>
    <row r="16" spans="1:102" x14ac:dyDescent="0.25">
      <c r="D16" s="174"/>
      <c r="E16" s="175"/>
      <c r="F16" s="176"/>
      <c r="G16" s="176"/>
      <c r="H16" s="177"/>
      <c r="L16" s="706" t="s">
        <v>158</v>
      </c>
      <c r="M16" s="707"/>
      <c r="N16" s="352">
        <f t="shared" ca="1" si="10"/>
        <v>0</v>
      </c>
      <c r="O16" s="352">
        <v>1.08</v>
      </c>
      <c r="P16" s="355">
        <f t="shared" ca="1" si="9"/>
        <v>-1.08</v>
      </c>
      <c r="AU16" s="361" t="s">
        <v>158</v>
      </c>
      <c r="AV16" s="339" t="str">
        <f>ADDRESS(ROW($AB$22),COLUMN($AB$22))</f>
        <v>$AB$22</v>
      </c>
      <c r="AW16" s="138" t="str">
        <f t="shared" ca="1" si="11"/>
        <v>$AB$30</v>
      </c>
      <c r="AX16" s="353" t="str">
        <f ca="1">CONCATENATE(AX9,":",AY9)</f>
        <v>$AP$22:$AP$30</v>
      </c>
      <c r="AY16" s="353" t="str">
        <f ca="1">CONCATENATE(AX12,":",AY12)</f>
        <v>$CE$22:$CE$30</v>
      </c>
      <c r="CM16" s="268"/>
    </row>
    <row r="17" spans="1:91" x14ac:dyDescent="0.25">
      <c r="D17" s="171"/>
      <c r="E17" s="171"/>
      <c r="F17" s="172"/>
      <c r="G17" s="172"/>
      <c r="H17" s="172"/>
      <c r="L17" s="704" t="s">
        <v>211</v>
      </c>
      <c r="M17" s="705"/>
      <c r="N17" s="356">
        <f t="shared" ca="1" si="10"/>
        <v>26.745897903739348</v>
      </c>
      <c r="O17" s="357">
        <v>8.99</v>
      </c>
      <c r="P17" s="358">
        <f t="shared" ca="1" si="9"/>
        <v>17.755897903739346</v>
      </c>
      <c r="AU17" s="361" t="s">
        <v>211</v>
      </c>
      <c r="AV17" s="339" t="str">
        <f>ADDRESS(ROW($AC$22),COLUMN($AC$22))</f>
        <v>$AC$22</v>
      </c>
      <c r="AW17" s="138" t="str">
        <f t="shared" ca="1" si="11"/>
        <v>$AC$30</v>
      </c>
      <c r="AX17" s="353" t="str">
        <f ca="1">CONCATENATE(AV9,":",AW9)</f>
        <v>$AN$22:$AN$30</v>
      </c>
      <c r="AY17" s="353" t="str">
        <f ca="1">CONCATENATE(AX13,":",AY13)</f>
        <v>$CF$22:$CF$30</v>
      </c>
      <c r="CM17" s="268"/>
    </row>
    <row r="18" spans="1:91" x14ac:dyDescent="0.25">
      <c r="D18" s="171"/>
      <c r="E18" s="171"/>
      <c r="F18" s="172"/>
      <c r="G18" s="172"/>
      <c r="H18" s="172"/>
      <c r="L18" s="706" t="s">
        <v>623</v>
      </c>
      <c r="M18" s="707"/>
      <c r="N18" s="352">
        <f ca="1">SUMPRODUCT(INDIRECT(CONCATENATE(AX4,":",AY4)),INDIRECT(CONCATENATE($AV$2,":",$AW$2)),INDIRECT(CONCATENATE($AV$3,":",$AW$3)))</f>
        <v>171100.50157012395</v>
      </c>
      <c r="O18" s="352">
        <v>171073.9</v>
      </c>
      <c r="P18" s="355">
        <f t="shared" ca="1" si="9"/>
        <v>26.601570123952115</v>
      </c>
      <c r="AU18" s="361"/>
      <c r="AV18" s="339"/>
      <c r="AW18" s="138"/>
      <c r="AX18" s="339" t="str">
        <f>ADDRESS(ROW($CI$22),COLUMN($CI$22))</f>
        <v>$CI$22</v>
      </c>
      <c r="AY18" s="138" t="str">
        <f ca="1">GetEnd($AV$1,AX18)</f>
        <v>$CI$30</v>
      </c>
      <c r="CM18" s="268"/>
    </row>
    <row r="19" spans="1:91" x14ac:dyDescent="0.25">
      <c r="D19" s="171"/>
      <c r="E19" s="171"/>
      <c r="F19" s="172"/>
      <c r="G19" s="172"/>
      <c r="H19" s="172"/>
      <c r="L19" s="724" t="s">
        <v>624</v>
      </c>
      <c r="M19" s="725"/>
      <c r="N19" s="359">
        <f ca="1">SUMPRODUCT(INDIRECT(CONCATENATE(AX5,":",AY5)),INDIRECT(CONCATENATE($AV$2,":",$AW$2)),INDIRECT(CONCATENATE($AV$3,":",$AW$3)))</f>
        <v>117.82034508217798</v>
      </c>
      <c r="O19" s="359">
        <v>143.26</v>
      </c>
      <c r="P19" s="360">
        <f t="shared" ca="1" si="9"/>
        <v>-25.439654917822011</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-247800</v>
      </c>
      <c r="AW20" s="353">
        <f ca="1">SUMPRODUCT(INDIRECT(CONCATENATE(AX8,":",AY8)),INDIRECT(CONCATENATE($AV$2,":",$AW$2)),INDIRECT(CONCATENATE($AV$3,":",$AW$3)),INDIRECT(CONCATENATE(AX3,":",AY3)))</f>
        <v>63800</v>
      </c>
      <c r="AX20" s="353">
        <f ca="1">SUMPRODUCT(INDIRECT(CONCATENATE(AV9,":",AW9)),INDIRECT(CONCATENATE($AV$2,":",$AW$2)),INDIRECT(CONCATENATE($AV$3,":",$AW$3)),INDIRECT(CONCATENATE(AX3,":",AY3)))</f>
        <v>91450</v>
      </c>
      <c r="AY20" s="353">
        <f ca="1">SUMPRODUCT(INDIRECT(CONCATENATE(AX9,":",AY9)),INDIRECT(CONCATENATE($AV$2,":",$AW$2)),INDIRECT(CONCATENATE($AV$3,":",$AW$3)),INDIRECT(CONCATENATE(AX3,":",AY3)))</f>
        <v>8850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 t="shared" ref="F22:F30" si="12">VLOOKUP(AG22,$AL$4:$AS$15,2)</f>
        <v>10000</v>
      </c>
      <c r="G22" s="28">
        <f t="shared" ref="G22:G30" si="13">F22*$AU22</f>
        <v>9985.1807643585034</v>
      </c>
      <c r="H22" s="52">
        <f t="shared" ref="H22:H30" si="14">(AL22+AM22+AN22)/(1-(AR22))</f>
        <v>2.6773858921161828</v>
      </c>
      <c r="I22" s="52">
        <f t="shared" ref="I22:I30" si="15">(AL22+AO22+AP22)</f>
        <v>2.9810000000000003</v>
      </c>
      <c r="K22" s="52">
        <f t="shared" ref="K22:K30" si="16">MAX(((I22-H22)-AQ22)*AU22*AH22,0)</f>
        <v>9.3980894244710225</v>
      </c>
      <c r="L22" s="135">
        <f>MAX(Q22-K22,0)</f>
        <v>1.59722275319929E-3</v>
      </c>
      <c r="N22" s="131">
        <f>SQRT(($AX22^2*($AH22/2)+$AW22^2*$AI22)/(($AH22/2)+$AI22))</f>
        <v>1.0449417585150498</v>
      </c>
      <c r="O22" s="131">
        <f>SQRT(($AY22^2*($AH22/2)+$AW22^2*$AI22)/(($AH22/2)+$AI22))</f>
        <v>1.0162176738552315</v>
      </c>
      <c r="P22" s="55">
        <f>(VLOOKUP(AI22,CorrelationTwo,2)*(AW22^2)*AI22+VLOOKUP(D22,CorrelationOne,$AK$9)*AX22*AY22*(AH22/2))/((AI22+(AH22/2))*O22*N22)*AF22</f>
        <v>0.99238932516793965</v>
      </c>
      <c r="Q22" s="135">
        <f>_xll.xSPRDOPT(I22,H22,AQ22,0,O22,N22,P22,D22-$G$5,1,0)*AH22*AU22</f>
        <v>9.3996866472242218</v>
      </c>
      <c r="R22" s="135"/>
      <c r="S22" s="181">
        <f>_xll.xSPRDOPT(I22,H22,AQ22,AT22,O22,N22,P22,D22-$G$5,1,2)*AF22*(F22/(1-AR22))*AH22</f>
        <v>-320511.08688399615</v>
      </c>
      <c r="T22" s="181">
        <f>_xll.xSPRDOPT(I22,H22,AQ22,AT22,O22,N22,P22,D22-$G$5,1,1)*AF22*F22*AH22</f>
        <v>309035.66214269039</v>
      </c>
      <c r="U22" s="135"/>
      <c r="V22" s="146">
        <f t="shared" ref="V22:V30" si="17">VLOOKUP($AG22,$AL$4:$AS$15,8)*AH22*AU22</f>
        <v>13.694076307471827</v>
      </c>
      <c r="W22" s="146"/>
      <c r="X22" s="338">
        <f t="shared" ref="X22:X30" si="18">((BM22*BC22)+(BL22*BB22))*AH22*F22</f>
        <v>0</v>
      </c>
      <c r="Y22" s="338">
        <f t="shared" ref="Y22:Y30" si="19">($F22*$AH22)*((($BG22/2)*($BC22)^2)+(($BF22/2)*($BB22)^2)+($BH22*$BC22*$BB22))</f>
        <v>0</v>
      </c>
      <c r="Z22" s="338">
        <f t="shared" ref="Z22:Z30" si="20">($BI22*$F22*$AH22*($G$5-$BV$5))/365.25</f>
        <v>1.8986936606618803</v>
      </c>
      <c r="AA22" s="338">
        <f t="shared" ref="AA22:AA30" si="21">(($BK22*$BE22)+($BJ22*$BD22))*$F22*$AH22*$AF22</f>
        <v>4.2918802341658369</v>
      </c>
      <c r="AB22" s="338">
        <f t="shared" ref="AB22:AB30" si="22">BN22*(AT22-CA22)*F22*AH22</f>
        <v>0</v>
      </c>
      <c r="AC22" s="338">
        <f t="shared" ref="AC22:AC30" si="23">BO22*CB22*F22*AH22*CA22*($G$5-$BV$5)/365.25</f>
        <v>14.487465663270418</v>
      </c>
      <c r="AF22" s="138">
        <f t="shared" ref="AF22:AF30" si="24">IF(AND(D22&gt;=$G$7,D22&lt;=$G$8),1,0)</f>
        <v>1</v>
      </c>
      <c r="AG22" s="138">
        <f t="shared" ref="AG22:AG30" si="25">MONTH(D22)</f>
        <v>1</v>
      </c>
      <c r="AH22" s="138">
        <f t="shared" ref="AH22:AH30" si="26">(EOMONTH(D22,0)-EOMONTH(D22-DAY(D22),0))*AF22</f>
        <v>31</v>
      </c>
      <c r="AI22" s="138">
        <f>MAX(0,(D22-DAY(D22))-$G$5+1)</f>
        <v>15</v>
      </c>
      <c r="AJ22" s="138">
        <f t="shared" ref="AJ22:AJ30" si="27">D22-$BV$5</f>
        <v>32</v>
      </c>
      <c r="AL22" s="136">
        <f t="shared" ref="AL22:AL30" si="28">VLOOKUP($D22,CurveTbl,$AK$4)</f>
        <v>2.8460000000000001</v>
      </c>
      <c r="AM22" s="258">
        <f t="shared" ref="AM22:AM30" si="29">VLOOKUP($D22,CurveTbl,$AH$3)</f>
        <v>-0.42</v>
      </c>
      <c r="AN22" s="258">
        <f t="shared" ref="AN22:AN30" si="30">VLOOKUP($D22,CurveTbl,$AH$4)+VLOOKUP($AG22,$AL$3:$AS$15,6)</f>
        <v>0.155</v>
      </c>
      <c r="AO22" s="258">
        <f t="shared" ref="AO22:AO30" si="31">VLOOKUP($D22,CurveTbl,$AH$5)</f>
        <v>0.12</v>
      </c>
      <c r="AP22" s="258">
        <f t="shared" ref="AP22:AP30" si="32">VLOOKUP($D22,CurveTbl,$AH$6)+VLOOKUP($AG22,$AL$3:$AS$15,7)</f>
        <v>1.4999999999999999E-2</v>
      </c>
      <c r="AQ22" s="136">
        <f t="shared" ref="AQ22:AQ30" si="33">VLOOKUP($AG22,$AL$4:$AS$15,3)+VLOOKUP($AG22,$AL$4:$AS$15,5)+($AH$10*VLOOKUP(D22,GRITable,2))</f>
        <v>0</v>
      </c>
      <c r="AR22" s="137">
        <f t="shared" ref="AR22:AR30" si="34">VLOOKUP($AG22,$AL$4:$AS$15,4)</f>
        <v>3.5999999999999997E-2</v>
      </c>
      <c r="AS22" s="136">
        <f t="shared" ref="AS22:AS30" si="35">(AL22+AM22+AN22)</f>
        <v>2.581</v>
      </c>
      <c r="AT22" s="137">
        <f t="shared" ref="AT22:AT30" si="36">VLOOKUP(D22,CurveTbl,$AK$6)</f>
        <v>1.8765908157160699E-2</v>
      </c>
      <c r="AU22" s="137">
        <f t="shared" ref="AU22:AU30" si="37">(1+$AT22/2)^(-2*($D22-$G$5)/365.25)*$AF22</f>
        <v>0.99851807643585033</v>
      </c>
      <c r="AV22" s="394">
        <f>ROUND((F22/(1-AR22))-F22,0)*AF22*AH22*AU22</f>
        <v>11545.864517827737</v>
      </c>
      <c r="AW22" s="137">
        <f t="shared" ref="AW22:AW30" si="38">VLOOKUP($D22,CurveTbl,$AK$8)</f>
        <v>0.87</v>
      </c>
      <c r="AX22" s="137">
        <f t="shared" ref="AX22:AX30" si="39">VLOOKUP($D22,CurveTbl,$AH$7)</f>
        <v>1.19</v>
      </c>
      <c r="AY22" s="137">
        <f t="shared" ref="AY22:AY30" si="40">VLOOKUP($D22,CurveTbl,$AH$8)</f>
        <v>1.1399999999999999</v>
      </c>
      <c r="AZ22" s="137"/>
      <c r="BA22" s="264"/>
      <c r="BB22" s="258">
        <f t="shared" ref="BB22:BB30" si="41">$H22-$BV22</f>
        <v>0</v>
      </c>
      <c r="BC22" s="258">
        <f t="shared" ref="BC22:BC30" si="42">I22-BW22</f>
        <v>0</v>
      </c>
      <c r="BD22" s="137">
        <f t="shared" ref="BD22:BD30" si="43">N22-BX22</f>
        <v>1.4454987578796041E-2</v>
      </c>
      <c r="BE22" s="137">
        <f t="shared" ref="BE22:BE30" si="44">O22-BY22</f>
        <v>1.2225642014340954E-2</v>
      </c>
      <c r="BF22" s="137">
        <f>_xll.xSPRDOPT($BW22,$BV22,$CG22,0,$BY22,$BX22,$BZ22,$AJ22,1,4)*$CB22</f>
        <v>8.156359075439043E-2</v>
      </c>
      <c r="BG22" s="137">
        <f>_xll.xSPRDOPT($BW22,$BV22,$CG22,0,$BY22,$BX22,$BZ22,$AJ22,1,3)*$CB22</f>
        <v>6.5795189821308858E-2</v>
      </c>
      <c r="BH22" s="137">
        <f>IF(OR(BF22&lt;&gt;0,BG22&lt;&gt;0),_xll.xSPRDOPT($BW22,$BV22,$CG22,0,$BY22,$BX22,$BZ22,$AJ22,1,12)*$CB22,0)</f>
        <v>-7.3255851036070185E-2</v>
      </c>
      <c r="BI22" s="137">
        <f>_xll.xSPRDOPT($BW22,$BV22,$CG22,2*LN(1+CA22/2),$BY22,$BX22,$BZ22,$AJ22,1,9)</f>
        <v>7.4569662317930299E-4</v>
      </c>
      <c r="BJ22" s="137">
        <f>_xll.xSPRDOPT($BW22,$BV22,$CG22,0,$BY22,$BX22,$BZ22,$AJ22,1,6)*$CB22</f>
        <v>1.7580576436503855E-3</v>
      </c>
      <c r="BK22" s="137">
        <f>_xll.xSPRDOPT($BW22,$BV22,$CG22,0,$BY22,$BX22,$BZ22,$AJ22,1,5)*$CB22</f>
        <v>-9.4620196135976071E-4</v>
      </c>
      <c r="BL22" s="137">
        <f>_xll.xSPRDOPT(BW22,BV22,CG22,0,BY22,BX22,BZ22,AJ22,1,2)*CB22</f>
        <v>-0.99564152795788019</v>
      </c>
      <c r="BM22" s="137">
        <f>_xll.xSPRDOPT(BW22,BV22,CG22,0,BY22,BX22,BZ22,AJ22,1,1)*CB22</f>
        <v>0.99594671575052196</v>
      </c>
      <c r="BN22" s="137">
        <f>IF(AH22&lt;&gt;0,_xll.xSPRDOPT($BW22,$BV22,$CG22,2*LN(1+CA22/2),$BY22,$BX22,$BZ22,$AJ22,1,8)+(AJ22/365.25)*CH22/AH22,0)</f>
        <v>1.2132051547334634E-2</v>
      </c>
      <c r="BO22" s="137">
        <f>_xll.xSPRDOPT($BW22,$BV22,$CG22,0,$BY22,$BX22,$BZ22,$AJ22,1,0)</f>
        <v>0.30369721237364811</v>
      </c>
      <c r="BP22" s="137"/>
      <c r="BQ22" s="137"/>
      <c r="BR22" s="137"/>
      <c r="BS22" s="137"/>
      <c r="BV22" s="262">
        <v>2.6773858921161828</v>
      </c>
      <c r="BW22" s="136">
        <v>2.9810000000000003</v>
      </c>
      <c r="BX22" s="137">
        <v>1.0304867709362537</v>
      </c>
      <c r="BY22" s="137">
        <v>1.0039920318408906</v>
      </c>
      <c r="BZ22" s="137">
        <v>0.99220918459805019</v>
      </c>
      <c r="CA22" s="137">
        <v>1.8765908157160699E-2</v>
      </c>
      <c r="CB22" s="137">
        <v>0.99836489939579565</v>
      </c>
      <c r="CC22" s="258">
        <v>-0.42</v>
      </c>
      <c r="CD22" s="258">
        <v>0.155</v>
      </c>
      <c r="CE22" s="258">
        <v>0.12</v>
      </c>
      <c r="CF22" s="258">
        <v>1.4999999999999999E-2</v>
      </c>
      <c r="CG22" s="258">
        <v>0</v>
      </c>
      <c r="CH22" s="258">
        <v>13.691975576273702</v>
      </c>
      <c r="CI22" s="258">
        <v>2.8460000000000001</v>
      </c>
    </row>
    <row r="23" spans="1:91" x14ac:dyDescent="0.25">
      <c r="A23" s="723"/>
      <c r="B23" s="723"/>
      <c r="D23" s="31">
        <f t="shared" ref="D23:D30" si="45">D22+AH22</f>
        <v>37302</v>
      </c>
      <c r="F23" s="28">
        <f t="shared" si="12"/>
        <v>10000</v>
      </c>
      <c r="G23" s="28">
        <f t="shared" si="13"/>
        <v>9968.4549368744574</v>
      </c>
      <c r="H23" s="52">
        <f t="shared" si="14"/>
        <v>2.741701244813278</v>
      </c>
      <c r="I23" s="52">
        <f t="shared" si="15"/>
        <v>3.0180000000000002</v>
      </c>
      <c r="K23" s="52">
        <f t="shared" si="16"/>
        <v>7.7119607325413737</v>
      </c>
      <c r="L23" s="135">
        <f t="shared" ref="L23:L30" si="46">MAX(Q23-K23,0)</f>
        <v>1.0184811755018508E-2</v>
      </c>
      <c r="N23" s="131">
        <f t="shared" ref="N23:N30" si="47">SQRT(($AX23^2*($AH23/2)+$AW23^2*$AI23)/(($AH23/2)+$AI23))</f>
        <v>0.95082201278683076</v>
      </c>
      <c r="O23" s="131">
        <f t="shared" ref="O23:O30" si="48">SQRT(($AY23^2*($AH23/2)+$AW23^2*$AI23)/(($AH23/2)+$AI23))</f>
        <v>0.93641826480834234</v>
      </c>
      <c r="P23" s="55">
        <f t="shared" ref="P23:P30" si="49">(VLOOKUP(AI23,CorrelationTwo,2)*(AW23^2)*AI23+VLOOKUP(D23,CorrelationOne,$AK$9)*AX23*AY23*(AH23/2))/((AI23+(AH23/2))*O23*N23)*AF23</f>
        <v>0.99443446582238537</v>
      </c>
      <c r="Q23" s="135">
        <f>_xll.xSPRDOPT(I23,H23,AQ23,0,O23,N23,P23,D23-$G$5,1,0)*AH23*AU23</f>
        <v>7.7221455442963922</v>
      </c>
      <c r="R23" s="135"/>
      <c r="S23" s="181">
        <f>_xll.xSPRDOPT(I23,H23,AQ23,AT23,O23,N23,P23,D23-$G$5,1,2)*AF23*(F23/(1-AR23))*AH23</f>
        <v>-286704.43156161613</v>
      </c>
      <c r="T23" s="181">
        <f>_xll.xSPRDOPT(I23,H23,AQ23,AT23,O23,N23,P23,D23-$G$5,1,1)*AF23*F23*AH23</f>
        <v>276666.69546711538</v>
      </c>
      <c r="U23" s="135"/>
      <c r="V23" s="146">
        <f t="shared" si="17"/>
        <v>12.348124499405127</v>
      </c>
      <c r="W23" s="146"/>
      <c r="X23" s="338">
        <f t="shared" si="18"/>
        <v>0</v>
      </c>
      <c r="Y23" s="338">
        <f t="shared" si="19"/>
        <v>0</v>
      </c>
      <c r="Z23" s="338">
        <f t="shared" si="20"/>
        <v>-9.6237251772675041</v>
      </c>
      <c r="AA23" s="338">
        <f t="shared" si="21"/>
        <v>4.2356075652379817</v>
      </c>
      <c r="AB23" s="338">
        <f t="shared" si="22"/>
        <v>0</v>
      </c>
      <c r="AC23" s="338">
        <f t="shared" si="23"/>
        <v>12.258432240468927</v>
      </c>
      <c r="AF23" s="138">
        <f t="shared" si="24"/>
        <v>1</v>
      </c>
      <c r="AG23" s="138">
        <f t="shared" si="25"/>
        <v>2</v>
      </c>
      <c r="AH23" s="138">
        <f t="shared" si="26"/>
        <v>28</v>
      </c>
      <c r="AI23" s="138">
        <f t="shared" ref="AI23:AI30" si="50">AI22+AH22</f>
        <v>46</v>
      </c>
      <c r="AJ23" s="138">
        <f t="shared" si="27"/>
        <v>63</v>
      </c>
      <c r="AL23" s="136">
        <f t="shared" si="28"/>
        <v>2.9079999999999999</v>
      </c>
      <c r="AM23" s="258">
        <f t="shared" si="29"/>
        <v>-0.42</v>
      </c>
      <c r="AN23" s="258">
        <f t="shared" si="30"/>
        <v>0.155</v>
      </c>
      <c r="AO23" s="258">
        <f t="shared" si="31"/>
        <v>9.5000000000000001E-2</v>
      </c>
      <c r="AP23" s="258">
        <f t="shared" si="32"/>
        <v>1.4999999999999999E-2</v>
      </c>
      <c r="AQ23" s="136">
        <f t="shared" si="33"/>
        <v>0</v>
      </c>
      <c r="AR23" s="137">
        <f t="shared" si="34"/>
        <v>3.5999999999999997E-2</v>
      </c>
      <c r="AS23" s="136">
        <f t="shared" si="35"/>
        <v>2.6429999999999998</v>
      </c>
      <c r="AT23" s="137">
        <f t="shared" si="36"/>
        <v>1.9326187282006298E-2</v>
      </c>
      <c r="AU23" s="137">
        <f t="shared" si="37"/>
        <v>0.99684549368744568</v>
      </c>
      <c r="AV23" s="394">
        <f t="shared" ref="AV23:AV30" si="51">ROUND((F23/(1-AR23))-F23,0)*AF23*AH23*AU23</f>
        <v>10411.054336071682</v>
      </c>
      <c r="AW23" s="137">
        <f t="shared" si="38"/>
        <v>0.86499999999999999</v>
      </c>
      <c r="AX23" s="137">
        <f t="shared" si="39"/>
        <v>1.19</v>
      </c>
      <c r="AY23" s="137">
        <f t="shared" si="40"/>
        <v>1.1399999999999999</v>
      </c>
      <c r="AZ23" s="137"/>
      <c r="BA23" s="264"/>
      <c r="BB23" s="258">
        <f t="shared" si="41"/>
        <v>0</v>
      </c>
      <c r="BC23" s="258">
        <f t="shared" si="42"/>
        <v>0</v>
      </c>
      <c r="BD23" s="137">
        <f t="shared" si="43"/>
        <v>3.9103660812541685E-3</v>
      </c>
      <c r="BE23" s="137">
        <f t="shared" si="44"/>
        <v>3.2769155060097255E-3</v>
      </c>
      <c r="BF23" s="137">
        <f>_xll.xSPRDOPT($BW23,$BV23,$CG23,0,$BY23,$BX23,$BZ23,$AJ23,1,4)*$CB23</f>
        <v>0.25265180895447986</v>
      </c>
      <c r="BG23" s="137">
        <f>_xll.xSPRDOPT($BW23,$BV23,$CG23,0,$BY23,$BX23,$BZ23,$AJ23,1,3)*$CB23</f>
        <v>0.20850867473156828</v>
      </c>
      <c r="BH23" s="137">
        <f>IF(OR(BF23&lt;&gt;0,BG23&lt;&gt;0),_xll.xSPRDOPT($BW23,$BV23,$CG23,0,$BY23,$BX23,$BZ23,$AJ23,1,12)*$CB23,0)</f>
        <v>-0.22951983771163906</v>
      </c>
      <c r="BI23" s="137">
        <f>_xll.xSPRDOPT($BW23,$BV23,$CG23,2*LN(1+CA23/2),$BY23,$BX23,$BZ23,$AJ23,1,9)</f>
        <v>-4.1846019297582804E-3</v>
      </c>
      <c r="BJ23" s="137">
        <f>_xll.xSPRDOPT($BW23,$BV23,$CG23,0,$BY23,$BX23,$BZ23,$AJ23,1,6)*$CB23</f>
        <v>6.2069062579619668E-3</v>
      </c>
      <c r="BK23" s="137">
        <f>_xll.xSPRDOPT($BW23,$BV23,$CG23,0,$BY23,$BX23,$BZ23,$AJ23,1,5)*$CB23</f>
        <v>-2.7904612761723243E-3</v>
      </c>
      <c r="BL23" s="137">
        <f>_xll.xSPRDOPT(BW23,BV23,CG23,0,BY23,BX23,BZ23,AJ23,1,2)*CB23</f>
        <v>-0.98577101027849012</v>
      </c>
      <c r="BM23" s="137">
        <f>_xll.xSPRDOPT(BW23,BV23,CG23,0,BY23,BX23,BZ23,AJ23,1,1)*CB23</f>
        <v>0.98690955553540249</v>
      </c>
      <c r="BN23" s="137">
        <f>IF(AH23&lt;&gt;0,_xll.xSPRDOPT($BW23,$BV23,$CG23,2*LN(1+CA23/2),$BY23,$BX23,$BZ23,$AJ23,1,8)+(AJ23/365.25)*CH23/AH23,0)</f>
        <v>2.8482613065906159E-2</v>
      </c>
      <c r="BO23" s="137">
        <f>_xll.xSPRDOPT($BW23,$BV23,$CG23,0,$BY23,$BX23,$BZ23,$AJ23,1,0)</f>
        <v>0.27671993252430532</v>
      </c>
      <c r="BP23" s="137"/>
      <c r="BQ23" s="137"/>
      <c r="BR23" s="137"/>
      <c r="BS23" s="137"/>
      <c r="BV23" s="262">
        <v>2.741701244813278</v>
      </c>
      <c r="BW23" s="136">
        <v>3.0180000000000002</v>
      </c>
      <c r="BX23" s="137">
        <v>0.94691164670557659</v>
      </c>
      <c r="BY23" s="137">
        <v>0.93314134930233261</v>
      </c>
      <c r="BZ23" s="137">
        <v>0.99445278661917902</v>
      </c>
      <c r="CA23" s="137">
        <v>1.9326187282006298E-2</v>
      </c>
      <c r="CB23" s="137">
        <v>0.99668802984454063</v>
      </c>
      <c r="CC23" s="258">
        <v>-0.42</v>
      </c>
      <c r="CD23" s="258">
        <v>0.155</v>
      </c>
      <c r="CE23" s="258">
        <v>9.5000000000000001E-2</v>
      </c>
      <c r="CF23" s="258">
        <v>1.4999999999999999E-2</v>
      </c>
      <c r="CG23" s="258">
        <v>0</v>
      </c>
      <c r="CH23" s="258">
        <v>12.346173963290294</v>
      </c>
      <c r="CI23" s="258">
        <v>2.9079999999999999</v>
      </c>
    </row>
    <row r="24" spans="1:91" x14ac:dyDescent="0.25">
      <c r="A24" s="723"/>
      <c r="B24" s="723"/>
      <c r="D24" s="31">
        <f t="shared" si="45"/>
        <v>37330</v>
      </c>
      <c r="F24" s="28">
        <f t="shared" si="12"/>
        <v>10000</v>
      </c>
      <c r="G24" s="28">
        <f t="shared" si="13"/>
        <v>0</v>
      </c>
      <c r="H24" s="52">
        <f t="shared" si="14"/>
        <v>2.7043568464730288</v>
      </c>
      <c r="I24" s="52">
        <f t="shared" si="15"/>
        <v>3.0020000000000002</v>
      </c>
      <c r="K24" s="52">
        <f t="shared" si="16"/>
        <v>0</v>
      </c>
      <c r="L24" s="135">
        <f t="shared" si="46"/>
        <v>0</v>
      </c>
      <c r="N24" s="131">
        <f t="shared" si="47"/>
        <v>0.79</v>
      </c>
      <c r="O24" s="131">
        <f t="shared" si="48"/>
        <v>0.79</v>
      </c>
      <c r="P24" s="55">
        <f t="shared" si="49"/>
        <v>0</v>
      </c>
      <c r="Q24" s="135">
        <f>_xll.xSPRDOPT(I24,H24,AQ24,0,O24,N24,P24,D24-$G$5,1,0)*AH24*AU24</f>
        <v>0</v>
      </c>
      <c r="R24" s="135"/>
      <c r="S24" s="181">
        <f>_xll.xSPRDOPT(I24,H24,AQ24,AT24,O24,N24,P24,D24-$G$5,1,2)*AF24*(F24/(1-AR24))*AH24</f>
        <v>0</v>
      </c>
      <c r="T24" s="181">
        <f>_xll.xSPRDOPT(I24,H24,AQ24,AT24,O24,N24,P24,D24-$G$5,1,1)*AF24*F24*AH24</f>
        <v>0</v>
      </c>
      <c r="U24" s="135"/>
      <c r="V24" s="146">
        <f t="shared" si="17"/>
        <v>0</v>
      </c>
      <c r="W24" s="146"/>
      <c r="X24" s="338">
        <f t="shared" si="18"/>
        <v>0</v>
      </c>
      <c r="Y24" s="338">
        <f t="shared" si="19"/>
        <v>0</v>
      </c>
      <c r="Z24" s="338">
        <f t="shared" si="20"/>
        <v>0</v>
      </c>
      <c r="AA24" s="338">
        <f t="shared" si="21"/>
        <v>0</v>
      </c>
      <c r="AB24" s="338">
        <f t="shared" si="22"/>
        <v>0</v>
      </c>
      <c r="AC24" s="338">
        <f t="shared" si="23"/>
        <v>0</v>
      </c>
      <c r="AF24" s="138">
        <f t="shared" si="24"/>
        <v>0</v>
      </c>
      <c r="AG24" s="138">
        <f t="shared" si="25"/>
        <v>3</v>
      </c>
      <c r="AH24" s="138">
        <f t="shared" si="26"/>
        <v>0</v>
      </c>
      <c r="AI24" s="138">
        <f t="shared" si="50"/>
        <v>74</v>
      </c>
      <c r="AJ24" s="138">
        <f t="shared" si="27"/>
        <v>91</v>
      </c>
      <c r="AL24" s="136">
        <f t="shared" si="28"/>
        <v>2.9020000000000001</v>
      </c>
      <c r="AM24" s="258">
        <f t="shared" si="29"/>
        <v>-0.45</v>
      </c>
      <c r="AN24" s="258">
        <f t="shared" si="30"/>
        <v>0.155</v>
      </c>
      <c r="AO24" s="258">
        <f t="shared" si="31"/>
        <v>8.5000000000000006E-2</v>
      </c>
      <c r="AP24" s="258">
        <f t="shared" si="32"/>
        <v>1.4999999999999999E-2</v>
      </c>
      <c r="AQ24" s="136">
        <f t="shared" si="33"/>
        <v>0</v>
      </c>
      <c r="AR24" s="137">
        <f t="shared" si="34"/>
        <v>3.5999999999999997E-2</v>
      </c>
      <c r="AS24" s="136">
        <f t="shared" si="35"/>
        <v>2.6069999999999998</v>
      </c>
      <c r="AT24" s="137">
        <f t="shared" si="36"/>
        <v>1.9273175363903501E-2</v>
      </c>
      <c r="AU24" s="137">
        <f t="shared" si="37"/>
        <v>0</v>
      </c>
      <c r="AV24" s="394">
        <f t="shared" si="51"/>
        <v>0</v>
      </c>
      <c r="AW24" s="137">
        <f t="shared" si="38"/>
        <v>0.79</v>
      </c>
      <c r="AX24" s="137">
        <f t="shared" si="39"/>
        <v>0.89</v>
      </c>
      <c r="AY24" s="137">
        <f t="shared" si="40"/>
        <v>0.79</v>
      </c>
      <c r="AZ24" s="137"/>
      <c r="BA24" s="264"/>
      <c r="BB24" s="258">
        <f t="shared" si="41"/>
        <v>0</v>
      </c>
      <c r="BC24" s="258">
        <f t="shared" si="42"/>
        <v>0</v>
      </c>
      <c r="BD24" s="137">
        <f t="shared" si="43"/>
        <v>0</v>
      </c>
      <c r="BE24" s="137">
        <f t="shared" si="44"/>
        <v>0</v>
      </c>
      <c r="BF24" s="137">
        <f>_xll.xSPRDOPT($BW24,$BV24,$CG24,0,$BY24,$BX24,$BZ24,$AJ24,1,4)*$CB24</f>
        <v>0</v>
      </c>
      <c r="BG24" s="137">
        <f>_xll.xSPRDOPT($BW24,$BV24,$CG24,0,$BY24,$BX24,$BZ24,$AJ24,1,3)*$CB24</f>
        <v>0</v>
      </c>
      <c r="BH24" s="137">
        <f>IF(OR(BF24&lt;&gt;0,BG24&lt;&gt;0),_xll.xSPRDOPT($BW24,$BV24,$CG24,0,$BY24,$BX24,$BZ24,$AJ24,1,12)*$CB24,0)</f>
        <v>0</v>
      </c>
      <c r="BI24" s="137">
        <f>_xll.xSPRDOPT($BW24,$BV24,$CG24,2*LN(1+CA24/2),$BY24,$BX24,$BZ24,$AJ24,1,9)</f>
        <v>-1.1816339534849032</v>
      </c>
      <c r="BJ24" s="137">
        <f>_xll.xSPRDOPT($BW24,$BV24,$CG24,0,$BY24,$BX24,$BZ24,$AJ24,1,6)*$CB24</f>
        <v>0</v>
      </c>
      <c r="BK24" s="137">
        <f>_xll.xSPRDOPT($BW24,$BV24,$CG24,0,$BY24,$BX24,$BZ24,$AJ24,1,5)*$CB24</f>
        <v>0</v>
      </c>
      <c r="BL24" s="137">
        <f>_xll.xSPRDOPT(BW24,BV24,CG24,0,BY24,BX24,BZ24,AJ24,1,2)*CB24</f>
        <v>0</v>
      </c>
      <c r="BM24" s="137">
        <f>_xll.xSPRDOPT(BW24,BV24,CG24,0,BY24,BX24,BZ24,AJ24,1,1)*CB24</f>
        <v>0</v>
      </c>
      <c r="BN24" s="137">
        <f>IF(AH24&lt;&gt;0,_xll.xSPRDOPT($BW24,$BV24,$CG24,2*LN(1+CA24/2),$BY24,$BX24,$BZ24,$AJ24,1,8)+(AJ24/365.25)*CH24/AH24,0)</f>
        <v>0</v>
      </c>
      <c r="BO24" s="137">
        <f>_xll.xSPRDOPT($BW24,$BV24,$CG24,0,$BY24,$BX24,$BZ24,$AJ24,1,0)</f>
        <v>0.78610672904032819</v>
      </c>
      <c r="BP24" s="137"/>
      <c r="BQ24" s="137"/>
      <c r="BR24" s="137"/>
      <c r="BS24" s="137"/>
      <c r="BV24" s="262">
        <v>2.7043568464730288</v>
      </c>
      <c r="BW24" s="136">
        <v>3.0020000000000002</v>
      </c>
      <c r="BX24" s="137">
        <v>0.79</v>
      </c>
      <c r="BY24" s="137">
        <v>0.79</v>
      </c>
      <c r="BZ24" s="137">
        <v>0</v>
      </c>
      <c r="CA24" s="137">
        <v>1.9273175363903501E-2</v>
      </c>
      <c r="CB24" s="137">
        <v>0</v>
      </c>
      <c r="CC24" s="258">
        <v>-0.45</v>
      </c>
      <c r="CD24" s="258">
        <v>0.155</v>
      </c>
      <c r="CE24" s="258">
        <v>8.5000000000000006E-2</v>
      </c>
      <c r="CF24" s="258">
        <v>1.4999999999999999E-2</v>
      </c>
      <c r="CG24" s="258">
        <v>0</v>
      </c>
      <c r="CH24" s="258">
        <v>0</v>
      </c>
      <c r="CI24" s="258">
        <v>2.9020000000000001</v>
      </c>
    </row>
    <row r="25" spans="1:91" x14ac:dyDescent="0.25">
      <c r="A25" s="723"/>
      <c r="B25" s="723"/>
      <c r="D25" s="31">
        <f t="shared" si="45"/>
        <v>37330</v>
      </c>
      <c r="F25" s="28">
        <f t="shared" si="12"/>
        <v>10000</v>
      </c>
      <c r="G25" s="28">
        <f t="shared" si="13"/>
        <v>0</v>
      </c>
      <c r="H25" s="52">
        <f t="shared" si="14"/>
        <v>2.7043568464730288</v>
      </c>
      <c r="I25" s="52">
        <f t="shared" si="15"/>
        <v>3.0020000000000002</v>
      </c>
      <c r="K25" s="52">
        <f t="shared" si="16"/>
        <v>0</v>
      </c>
      <c r="L25" s="135">
        <f t="shared" si="46"/>
        <v>0</v>
      </c>
      <c r="N25" s="131">
        <f t="shared" si="47"/>
        <v>0.79</v>
      </c>
      <c r="O25" s="131">
        <f t="shared" si="48"/>
        <v>0.79</v>
      </c>
      <c r="P25" s="55">
        <f t="shared" si="49"/>
        <v>0</v>
      </c>
      <c r="Q25" s="135">
        <f>_xll.xSPRDOPT(I25,H25,AQ25,0,O25,N25,P25,D25-$G$5,1,0)*AH25*AU25</f>
        <v>0</v>
      </c>
      <c r="R25" s="135"/>
      <c r="S25" s="181">
        <f>_xll.xSPRDOPT(I25,H25,AQ25,AT25,O25,N25,P25,D25-$G$5,1,2)*AF25*(F25/(1-AR25))*AH25</f>
        <v>0</v>
      </c>
      <c r="T25" s="181">
        <f>_xll.xSPRDOPT(I25,H25,AQ25,AT25,O25,N25,P25,D25-$G$5,1,1)*AF25*F25*AH25</f>
        <v>0</v>
      </c>
      <c r="U25" s="135"/>
      <c r="V25" s="146">
        <f t="shared" si="17"/>
        <v>0</v>
      </c>
      <c r="W25" s="146"/>
      <c r="X25" s="338">
        <f t="shared" si="18"/>
        <v>0</v>
      </c>
      <c r="Y25" s="338">
        <f t="shared" si="19"/>
        <v>0</v>
      </c>
      <c r="Z25" s="338">
        <f t="shared" si="20"/>
        <v>0</v>
      </c>
      <c r="AA25" s="338">
        <f t="shared" si="21"/>
        <v>0</v>
      </c>
      <c r="AB25" s="338">
        <f t="shared" si="22"/>
        <v>0</v>
      </c>
      <c r="AC25" s="338">
        <f t="shared" si="23"/>
        <v>0</v>
      </c>
      <c r="AF25" s="138">
        <f t="shared" si="24"/>
        <v>0</v>
      </c>
      <c r="AG25" s="138">
        <f t="shared" si="25"/>
        <v>3</v>
      </c>
      <c r="AH25" s="138">
        <f t="shared" si="26"/>
        <v>0</v>
      </c>
      <c r="AI25" s="138">
        <f t="shared" si="50"/>
        <v>74</v>
      </c>
      <c r="AJ25" s="138">
        <f t="shared" si="27"/>
        <v>91</v>
      </c>
      <c r="AL25" s="136">
        <f t="shared" si="28"/>
        <v>2.9020000000000001</v>
      </c>
      <c r="AM25" s="258">
        <f t="shared" si="29"/>
        <v>-0.45</v>
      </c>
      <c r="AN25" s="258">
        <f t="shared" si="30"/>
        <v>0.155</v>
      </c>
      <c r="AO25" s="258">
        <f t="shared" si="31"/>
        <v>8.5000000000000006E-2</v>
      </c>
      <c r="AP25" s="258">
        <f t="shared" si="32"/>
        <v>1.4999999999999999E-2</v>
      </c>
      <c r="AQ25" s="136">
        <f t="shared" si="33"/>
        <v>0</v>
      </c>
      <c r="AR25" s="137">
        <f t="shared" si="34"/>
        <v>3.5999999999999997E-2</v>
      </c>
      <c r="AS25" s="136">
        <f t="shared" si="35"/>
        <v>2.6069999999999998</v>
      </c>
      <c r="AT25" s="137">
        <f t="shared" si="36"/>
        <v>1.9273175363903501E-2</v>
      </c>
      <c r="AU25" s="137">
        <f t="shared" si="37"/>
        <v>0</v>
      </c>
      <c r="AV25" s="394">
        <f t="shared" si="51"/>
        <v>0</v>
      </c>
      <c r="AW25" s="137">
        <f t="shared" si="38"/>
        <v>0.79</v>
      </c>
      <c r="AX25" s="137">
        <f t="shared" si="39"/>
        <v>0.89</v>
      </c>
      <c r="AY25" s="137">
        <f t="shared" si="40"/>
        <v>0.79</v>
      </c>
      <c r="AZ25" s="137"/>
      <c r="BA25" s="264"/>
      <c r="BB25" s="258">
        <f t="shared" si="41"/>
        <v>0</v>
      </c>
      <c r="BC25" s="258">
        <f t="shared" si="42"/>
        <v>0</v>
      </c>
      <c r="BD25" s="137">
        <f t="shared" si="43"/>
        <v>0</v>
      </c>
      <c r="BE25" s="137">
        <f t="shared" si="44"/>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-1.1816339534849032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0.78610672904032819</v>
      </c>
      <c r="BP25" s="137"/>
      <c r="BQ25" s="137"/>
      <c r="BR25" s="137"/>
      <c r="BS25" s="137"/>
      <c r="BV25" s="262">
        <v>2.7043568464730288</v>
      </c>
      <c r="BW25" s="136">
        <v>3.0020000000000002</v>
      </c>
      <c r="BX25" s="137">
        <v>0.79</v>
      </c>
      <c r="BY25" s="137">
        <v>0.79</v>
      </c>
      <c r="BZ25" s="137">
        <v>0</v>
      </c>
      <c r="CA25" s="137">
        <v>1.9273175363903501E-2</v>
      </c>
      <c r="CB25" s="137">
        <v>0</v>
      </c>
      <c r="CC25" s="258">
        <v>-0.45</v>
      </c>
      <c r="CD25" s="258">
        <v>0.155</v>
      </c>
      <c r="CE25" s="258">
        <v>8.5000000000000006E-2</v>
      </c>
      <c r="CF25" s="258">
        <v>1.4999999999999999E-2</v>
      </c>
      <c r="CG25" s="258">
        <v>0</v>
      </c>
      <c r="CH25" s="258">
        <v>0</v>
      </c>
      <c r="CI25" s="258">
        <v>2.9020000000000001</v>
      </c>
    </row>
    <row r="26" spans="1:91" x14ac:dyDescent="0.25">
      <c r="A26" s="723"/>
      <c r="B26" s="723"/>
      <c r="D26" s="31">
        <f t="shared" si="45"/>
        <v>37330</v>
      </c>
      <c r="F26" s="28">
        <f t="shared" si="12"/>
        <v>10000</v>
      </c>
      <c r="G26" s="28">
        <f t="shared" si="13"/>
        <v>0</v>
      </c>
      <c r="H26" s="52">
        <f t="shared" si="14"/>
        <v>2.7043568464730288</v>
      </c>
      <c r="I26" s="52">
        <f t="shared" si="15"/>
        <v>3.0020000000000002</v>
      </c>
      <c r="K26" s="52">
        <f t="shared" si="16"/>
        <v>0</v>
      </c>
      <c r="L26" s="135">
        <f t="shared" si="46"/>
        <v>0</v>
      </c>
      <c r="N26" s="131">
        <f t="shared" si="47"/>
        <v>0.79</v>
      </c>
      <c r="O26" s="131">
        <f t="shared" si="48"/>
        <v>0.79</v>
      </c>
      <c r="P26" s="55">
        <f t="shared" si="49"/>
        <v>0</v>
      </c>
      <c r="Q26" s="135">
        <f>_xll.xSPRDOPT(I26,H26,AQ26,0,O26,N26,P26,D26-$G$5,1,0)*AH26*AU26</f>
        <v>0</v>
      </c>
      <c r="R26" s="135"/>
      <c r="S26" s="181">
        <f>_xll.xSPRDOPT(I26,H26,AQ26,AT26,O26,N26,P26,D26-$G$5,1,2)*AF26*(F26/(1-AR26))*AH26</f>
        <v>0</v>
      </c>
      <c r="T26" s="181">
        <f>_xll.xSPRDOPT(I26,H26,AQ26,AT26,O26,N26,P26,D26-$G$5,1,1)*AF26*F26*AH26</f>
        <v>0</v>
      </c>
      <c r="U26" s="135"/>
      <c r="V26" s="146">
        <f t="shared" si="17"/>
        <v>0</v>
      </c>
      <c r="W26" s="146"/>
      <c r="X26" s="338">
        <f t="shared" si="18"/>
        <v>0</v>
      </c>
      <c r="Y26" s="338">
        <f t="shared" si="19"/>
        <v>0</v>
      </c>
      <c r="Z26" s="338">
        <f t="shared" si="20"/>
        <v>0</v>
      </c>
      <c r="AA26" s="338">
        <f t="shared" si="21"/>
        <v>0</v>
      </c>
      <c r="AB26" s="338">
        <f t="shared" si="22"/>
        <v>0</v>
      </c>
      <c r="AC26" s="338">
        <f t="shared" si="23"/>
        <v>0</v>
      </c>
      <c r="AF26" s="138">
        <f t="shared" si="24"/>
        <v>0</v>
      </c>
      <c r="AG26" s="138">
        <f t="shared" si="25"/>
        <v>3</v>
      </c>
      <c r="AH26" s="138">
        <f t="shared" si="26"/>
        <v>0</v>
      </c>
      <c r="AI26" s="138">
        <f t="shared" si="50"/>
        <v>74</v>
      </c>
      <c r="AJ26" s="138">
        <f t="shared" si="27"/>
        <v>91</v>
      </c>
      <c r="AL26" s="136">
        <f t="shared" si="28"/>
        <v>2.9020000000000001</v>
      </c>
      <c r="AM26" s="258">
        <f t="shared" si="29"/>
        <v>-0.45</v>
      </c>
      <c r="AN26" s="258">
        <f t="shared" si="30"/>
        <v>0.155</v>
      </c>
      <c r="AO26" s="258">
        <f t="shared" si="31"/>
        <v>8.5000000000000006E-2</v>
      </c>
      <c r="AP26" s="258">
        <f t="shared" si="32"/>
        <v>1.4999999999999999E-2</v>
      </c>
      <c r="AQ26" s="136">
        <f t="shared" si="33"/>
        <v>0</v>
      </c>
      <c r="AR26" s="137">
        <f t="shared" si="34"/>
        <v>3.5999999999999997E-2</v>
      </c>
      <c r="AS26" s="136">
        <f t="shared" si="35"/>
        <v>2.6069999999999998</v>
      </c>
      <c r="AT26" s="137">
        <f t="shared" si="36"/>
        <v>1.9273175363903501E-2</v>
      </c>
      <c r="AU26" s="137">
        <f t="shared" si="37"/>
        <v>0</v>
      </c>
      <c r="AV26" s="394">
        <f t="shared" si="51"/>
        <v>0</v>
      </c>
      <c r="AW26" s="137">
        <f t="shared" si="38"/>
        <v>0.79</v>
      </c>
      <c r="AX26" s="137">
        <f t="shared" si="39"/>
        <v>0.89</v>
      </c>
      <c r="AY26" s="137">
        <f t="shared" si="40"/>
        <v>0.79</v>
      </c>
      <c r="AZ26" s="137"/>
      <c r="BA26" s="264"/>
      <c r="BB26" s="258">
        <f t="shared" si="41"/>
        <v>0</v>
      </c>
      <c r="BC26" s="258">
        <f t="shared" si="42"/>
        <v>0</v>
      </c>
      <c r="BD26" s="137">
        <f t="shared" si="43"/>
        <v>0</v>
      </c>
      <c r="BE26" s="137">
        <f t="shared" si="44"/>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-1.1816339534849032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0.78610672904032819</v>
      </c>
      <c r="BP26" s="137"/>
      <c r="BQ26" s="137"/>
      <c r="BR26" s="137"/>
      <c r="BS26" s="137"/>
      <c r="BV26" s="262">
        <v>2.7043568464730288</v>
      </c>
      <c r="BW26" s="136">
        <v>3.0020000000000002</v>
      </c>
      <c r="BX26" s="137">
        <v>0.79</v>
      </c>
      <c r="BY26" s="137">
        <v>0.79</v>
      </c>
      <c r="BZ26" s="137">
        <v>0</v>
      </c>
      <c r="CA26" s="137">
        <v>1.9273175363903501E-2</v>
      </c>
      <c r="CB26" s="137">
        <v>0</v>
      </c>
      <c r="CC26" s="258">
        <v>-0.45</v>
      </c>
      <c r="CD26" s="258">
        <v>0.155</v>
      </c>
      <c r="CE26" s="258">
        <v>8.5000000000000006E-2</v>
      </c>
      <c r="CF26" s="258">
        <v>1.4999999999999999E-2</v>
      </c>
      <c r="CG26" s="258">
        <v>0</v>
      </c>
      <c r="CH26" s="258">
        <v>0</v>
      </c>
      <c r="CI26" s="258">
        <v>2.9020000000000001</v>
      </c>
    </row>
    <row r="27" spans="1:91" x14ac:dyDescent="0.25">
      <c r="A27" s="727"/>
      <c r="B27" s="727"/>
      <c r="C27" s="727"/>
      <c r="D27" s="31">
        <f t="shared" si="45"/>
        <v>37330</v>
      </c>
      <c r="F27" s="28">
        <f t="shared" si="12"/>
        <v>10000</v>
      </c>
      <c r="G27" s="28">
        <f t="shared" si="13"/>
        <v>0</v>
      </c>
      <c r="H27" s="52">
        <f t="shared" si="14"/>
        <v>2.7043568464730288</v>
      </c>
      <c r="I27" s="52">
        <f t="shared" si="15"/>
        <v>3.0020000000000002</v>
      </c>
      <c r="K27" s="52">
        <f t="shared" si="16"/>
        <v>0</v>
      </c>
      <c r="L27" s="135">
        <f t="shared" si="46"/>
        <v>0</v>
      </c>
      <c r="N27" s="131">
        <f t="shared" si="47"/>
        <v>0.79</v>
      </c>
      <c r="O27" s="131">
        <f t="shared" si="48"/>
        <v>0.79</v>
      </c>
      <c r="P27" s="55">
        <f t="shared" si="49"/>
        <v>0</v>
      </c>
      <c r="Q27" s="135">
        <f>_xll.xSPRDOPT(I27,H27,AQ27,0,O27,N27,P27,D27-$G$5,1,0)*AH27*AU27</f>
        <v>0</v>
      </c>
      <c r="R27" s="135"/>
      <c r="S27" s="181">
        <f>_xll.xSPRDOPT(I27,H27,AQ27,AT27,O27,N27,P27,D27-$G$5,1,2)*AF27*(F27/(1-AR27))*AH27</f>
        <v>0</v>
      </c>
      <c r="T27" s="181">
        <f>_xll.xSPRDOPT(I27,H27,AQ27,AT27,O27,N27,P27,D27-$G$5,1,1)*AF27*F27*AH27</f>
        <v>0</v>
      </c>
      <c r="U27" s="135"/>
      <c r="V27" s="146">
        <f t="shared" si="17"/>
        <v>0</v>
      </c>
      <c r="W27" s="146"/>
      <c r="X27" s="338">
        <f t="shared" si="18"/>
        <v>0</v>
      </c>
      <c r="Y27" s="338">
        <f t="shared" si="19"/>
        <v>0</v>
      </c>
      <c r="Z27" s="338">
        <f t="shared" si="20"/>
        <v>0</v>
      </c>
      <c r="AA27" s="338">
        <f t="shared" si="21"/>
        <v>0</v>
      </c>
      <c r="AB27" s="338">
        <f t="shared" si="22"/>
        <v>0</v>
      </c>
      <c r="AC27" s="338">
        <f t="shared" si="23"/>
        <v>0</v>
      </c>
      <c r="AF27" s="138">
        <f t="shared" si="24"/>
        <v>0</v>
      </c>
      <c r="AG27" s="138">
        <f t="shared" si="25"/>
        <v>3</v>
      </c>
      <c r="AH27" s="138">
        <f t="shared" si="26"/>
        <v>0</v>
      </c>
      <c r="AI27" s="138">
        <f t="shared" si="50"/>
        <v>74</v>
      </c>
      <c r="AJ27" s="138">
        <f t="shared" si="27"/>
        <v>91</v>
      </c>
      <c r="AL27" s="136">
        <f t="shared" si="28"/>
        <v>2.9020000000000001</v>
      </c>
      <c r="AM27" s="258">
        <f t="shared" si="29"/>
        <v>-0.45</v>
      </c>
      <c r="AN27" s="258">
        <f t="shared" si="30"/>
        <v>0.155</v>
      </c>
      <c r="AO27" s="258">
        <f t="shared" si="31"/>
        <v>8.5000000000000006E-2</v>
      </c>
      <c r="AP27" s="258">
        <f t="shared" si="32"/>
        <v>1.4999999999999999E-2</v>
      </c>
      <c r="AQ27" s="136">
        <f t="shared" si="33"/>
        <v>0</v>
      </c>
      <c r="AR27" s="137">
        <f t="shared" si="34"/>
        <v>3.5999999999999997E-2</v>
      </c>
      <c r="AS27" s="136">
        <f t="shared" si="35"/>
        <v>2.6069999999999998</v>
      </c>
      <c r="AT27" s="137">
        <f t="shared" si="36"/>
        <v>1.9273175363903501E-2</v>
      </c>
      <c r="AU27" s="137">
        <f t="shared" si="37"/>
        <v>0</v>
      </c>
      <c r="AV27" s="394">
        <f t="shared" si="51"/>
        <v>0</v>
      </c>
      <c r="AW27" s="137">
        <f t="shared" si="38"/>
        <v>0.79</v>
      </c>
      <c r="AX27" s="137">
        <f t="shared" si="39"/>
        <v>0.89</v>
      </c>
      <c r="AY27" s="137">
        <f t="shared" si="40"/>
        <v>0.79</v>
      </c>
      <c r="AZ27" s="137"/>
      <c r="BA27" s="264"/>
      <c r="BB27" s="258">
        <f t="shared" si="41"/>
        <v>0</v>
      </c>
      <c r="BC27" s="258">
        <f t="shared" si="42"/>
        <v>0</v>
      </c>
      <c r="BD27" s="137">
        <f t="shared" si="43"/>
        <v>0</v>
      </c>
      <c r="BE27" s="137">
        <f t="shared" si="44"/>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-1.1816339534849032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0.78610672904032819</v>
      </c>
      <c r="BP27" s="137"/>
      <c r="BQ27" s="137"/>
      <c r="BR27" s="137"/>
      <c r="BS27" s="137"/>
      <c r="BV27" s="262">
        <v>2.7043568464730288</v>
      </c>
      <c r="BW27" s="136">
        <v>3.0020000000000002</v>
      </c>
      <c r="BX27" s="137">
        <v>0.79</v>
      </c>
      <c r="BY27" s="137">
        <v>0.79</v>
      </c>
      <c r="BZ27" s="137">
        <v>0</v>
      </c>
      <c r="CA27" s="137">
        <v>1.9273175363903501E-2</v>
      </c>
      <c r="CB27" s="137">
        <v>0</v>
      </c>
      <c r="CC27" s="258">
        <v>-0.45</v>
      </c>
      <c r="CD27" s="258">
        <v>0.155</v>
      </c>
      <c r="CE27" s="258">
        <v>8.5000000000000006E-2</v>
      </c>
      <c r="CF27" s="258">
        <v>1.4999999999999999E-2</v>
      </c>
      <c r="CG27" s="258">
        <v>0</v>
      </c>
      <c r="CH27" s="258">
        <v>0</v>
      </c>
      <c r="CI27" s="258">
        <v>2.9020000000000001</v>
      </c>
    </row>
    <row r="28" spans="1:91" x14ac:dyDescent="0.25">
      <c r="A28" s="723"/>
      <c r="B28" s="723"/>
      <c r="D28" s="31">
        <f t="shared" si="45"/>
        <v>37330</v>
      </c>
      <c r="F28" s="28">
        <f t="shared" si="12"/>
        <v>10000</v>
      </c>
      <c r="G28" s="28">
        <f t="shared" si="13"/>
        <v>0</v>
      </c>
      <c r="H28" s="52">
        <f t="shared" si="14"/>
        <v>2.7043568464730288</v>
      </c>
      <c r="I28" s="52">
        <f t="shared" si="15"/>
        <v>3.0020000000000002</v>
      </c>
      <c r="K28" s="52">
        <f t="shared" si="16"/>
        <v>0</v>
      </c>
      <c r="L28" s="135">
        <f t="shared" si="46"/>
        <v>0</v>
      </c>
      <c r="N28" s="131">
        <f t="shared" si="47"/>
        <v>0.79</v>
      </c>
      <c r="O28" s="131">
        <f t="shared" si="48"/>
        <v>0.79</v>
      </c>
      <c r="P28" s="55">
        <f t="shared" si="49"/>
        <v>0</v>
      </c>
      <c r="Q28" s="135">
        <f>_xll.xSPRDOPT(I28,H28,AQ28,0,O28,N28,P28,D28-$G$5,1,0)*AH28*AU28</f>
        <v>0</v>
      </c>
      <c r="R28" s="135"/>
      <c r="S28" s="181">
        <f>_xll.xSPRDOPT(I28,H28,AQ28,AT28,O28,N28,P28,D28-$G$5,1,2)*AF28*(F28/(1-AR28))*AH28</f>
        <v>0</v>
      </c>
      <c r="T28" s="181">
        <f>_xll.xSPRDOPT(I28,H28,AQ28,AT28,O28,N28,P28,D28-$G$5,1,1)*AF28*F28*AH28</f>
        <v>0</v>
      </c>
      <c r="U28" s="135"/>
      <c r="V28" s="146">
        <f t="shared" si="17"/>
        <v>0</v>
      </c>
      <c r="W28" s="146"/>
      <c r="X28" s="338">
        <f t="shared" si="18"/>
        <v>0</v>
      </c>
      <c r="Y28" s="338">
        <f t="shared" si="19"/>
        <v>0</v>
      </c>
      <c r="Z28" s="338">
        <f t="shared" si="20"/>
        <v>0</v>
      </c>
      <c r="AA28" s="338">
        <f t="shared" si="21"/>
        <v>0</v>
      </c>
      <c r="AB28" s="338">
        <f t="shared" si="22"/>
        <v>0</v>
      </c>
      <c r="AC28" s="338">
        <f t="shared" si="23"/>
        <v>0</v>
      </c>
      <c r="AF28" s="138">
        <f t="shared" si="24"/>
        <v>0</v>
      </c>
      <c r="AG28" s="138">
        <f t="shared" si="25"/>
        <v>3</v>
      </c>
      <c r="AH28" s="138">
        <f t="shared" si="26"/>
        <v>0</v>
      </c>
      <c r="AI28" s="138">
        <f t="shared" si="50"/>
        <v>74</v>
      </c>
      <c r="AJ28" s="138">
        <f t="shared" si="27"/>
        <v>91</v>
      </c>
      <c r="AL28" s="136">
        <f t="shared" si="28"/>
        <v>2.9020000000000001</v>
      </c>
      <c r="AM28" s="258">
        <f t="shared" si="29"/>
        <v>-0.45</v>
      </c>
      <c r="AN28" s="258">
        <f t="shared" si="30"/>
        <v>0.155</v>
      </c>
      <c r="AO28" s="258">
        <f t="shared" si="31"/>
        <v>8.5000000000000006E-2</v>
      </c>
      <c r="AP28" s="258">
        <f t="shared" si="32"/>
        <v>1.4999999999999999E-2</v>
      </c>
      <c r="AQ28" s="136">
        <f t="shared" si="33"/>
        <v>0</v>
      </c>
      <c r="AR28" s="137">
        <f t="shared" si="34"/>
        <v>3.5999999999999997E-2</v>
      </c>
      <c r="AS28" s="136">
        <f t="shared" si="35"/>
        <v>2.6069999999999998</v>
      </c>
      <c r="AT28" s="137">
        <f t="shared" si="36"/>
        <v>1.9273175363903501E-2</v>
      </c>
      <c r="AU28" s="137">
        <f t="shared" si="37"/>
        <v>0</v>
      </c>
      <c r="AV28" s="394">
        <f t="shared" si="51"/>
        <v>0</v>
      </c>
      <c r="AW28" s="137">
        <f t="shared" si="38"/>
        <v>0.79</v>
      </c>
      <c r="AX28" s="137">
        <f t="shared" si="39"/>
        <v>0.89</v>
      </c>
      <c r="AY28" s="137">
        <f t="shared" si="40"/>
        <v>0.79</v>
      </c>
      <c r="AZ28" s="137"/>
      <c r="BA28" s="264"/>
      <c r="BB28" s="258">
        <f t="shared" si="41"/>
        <v>0</v>
      </c>
      <c r="BC28" s="258">
        <f t="shared" si="42"/>
        <v>0</v>
      </c>
      <c r="BD28" s="137">
        <f t="shared" si="43"/>
        <v>0</v>
      </c>
      <c r="BE28" s="137">
        <f t="shared" si="44"/>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-1.1816339534849032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0.78610672904032819</v>
      </c>
      <c r="BP28" s="137"/>
      <c r="BQ28" s="137"/>
      <c r="BR28" s="137"/>
      <c r="BS28" s="137"/>
      <c r="BV28" s="262">
        <v>2.7043568464730288</v>
      </c>
      <c r="BW28" s="136">
        <v>3.0020000000000002</v>
      </c>
      <c r="BX28" s="137">
        <v>0.79</v>
      </c>
      <c r="BY28" s="137">
        <v>0.79</v>
      </c>
      <c r="BZ28" s="137">
        <v>0</v>
      </c>
      <c r="CA28" s="137">
        <v>1.9273175363903501E-2</v>
      </c>
      <c r="CB28" s="137">
        <v>0</v>
      </c>
      <c r="CC28" s="258">
        <v>-0.45</v>
      </c>
      <c r="CD28" s="258">
        <v>0.155</v>
      </c>
      <c r="CE28" s="258">
        <v>8.5000000000000006E-2</v>
      </c>
      <c r="CF28" s="258">
        <v>1.4999999999999999E-2</v>
      </c>
      <c r="CG28" s="258">
        <v>0</v>
      </c>
      <c r="CH28" s="258">
        <v>0</v>
      </c>
      <c r="CI28" s="258">
        <v>2.9020000000000001</v>
      </c>
    </row>
    <row r="29" spans="1:91" x14ac:dyDescent="0.25">
      <c r="A29" s="723"/>
      <c r="B29" s="723"/>
      <c r="D29" s="31">
        <f t="shared" si="45"/>
        <v>37330</v>
      </c>
      <c r="F29" s="28">
        <f t="shared" si="12"/>
        <v>10000</v>
      </c>
      <c r="G29" s="28">
        <f t="shared" si="13"/>
        <v>0</v>
      </c>
      <c r="H29" s="52">
        <f t="shared" si="14"/>
        <v>2.7043568464730288</v>
      </c>
      <c r="I29" s="52">
        <f t="shared" si="15"/>
        <v>3.0020000000000002</v>
      </c>
      <c r="K29" s="52">
        <f t="shared" si="16"/>
        <v>0</v>
      </c>
      <c r="L29" s="135">
        <f t="shared" si="46"/>
        <v>0</v>
      </c>
      <c r="N29" s="131">
        <f t="shared" si="47"/>
        <v>0.79</v>
      </c>
      <c r="O29" s="131">
        <f t="shared" si="48"/>
        <v>0.79</v>
      </c>
      <c r="P29" s="55">
        <f t="shared" si="49"/>
        <v>0</v>
      </c>
      <c r="Q29" s="135">
        <f>_xll.xSPRDOPT(I29,H29,AQ29,0,O29,N29,P29,D29-$G$5,1,0)*AH29*AU29</f>
        <v>0</v>
      </c>
      <c r="R29" s="135"/>
      <c r="S29" s="181">
        <f>_xll.xSPRDOPT(I29,H29,AQ29,AT29,O29,N29,P29,D29-$G$5,1,2)*AF29*(F29/(1-AR29))*AH29</f>
        <v>0</v>
      </c>
      <c r="T29" s="181">
        <f>_xll.xSPRDOPT(I29,H29,AQ29,AT29,O29,N29,P29,D29-$G$5,1,1)*AF29*F29*AH29</f>
        <v>0</v>
      </c>
      <c r="U29" s="135"/>
      <c r="V29" s="146">
        <f t="shared" si="17"/>
        <v>0</v>
      </c>
      <c r="W29" s="146"/>
      <c r="X29" s="338">
        <f t="shared" si="18"/>
        <v>0</v>
      </c>
      <c r="Y29" s="338">
        <f t="shared" si="19"/>
        <v>0</v>
      </c>
      <c r="Z29" s="338">
        <f t="shared" si="20"/>
        <v>0</v>
      </c>
      <c r="AA29" s="338">
        <f t="shared" si="21"/>
        <v>0</v>
      </c>
      <c r="AB29" s="338">
        <f t="shared" si="22"/>
        <v>0</v>
      </c>
      <c r="AC29" s="338">
        <f t="shared" si="23"/>
        <v>0</v>
      </c>
      <c r="AF29" s="138">
        <f t="shared" si="24"/>
        <v>0</v>
      </c>
      <c r="AG29" s="138">
        <f t="shared" si="25"/>
        <v>3</v>
      </c>
      <c r="AH29" s="138">
        <f t="shared" si="26"/>
        <v>0</v>
      </c>
      <c r="AI29" s="138">
        <f t="shared" si="50"/>
        <v>74</v>
      </c>
      <c r="AJ29" s="138">
        <f t="shared" si="27"/>
        <v>91</v>
      </c>
      <c r="AL29" s="136">
        <f t="shared" si="28"/>
        <v>2.9020000000000001</v>
      </c>
      <c r="AM29" s="258">
        <f t="shared" si="29"/>
        <v>-0.45</v>
      </c>
      <c r="AN29" s="258">
        <f t="shared" si="30"/>
        <v>0.155</v>
      </c>
      <c r="AO29" s="258">
        <f t="shared" si="31"/>
        <v>8.5000000000000006E-2</v>
      </c>
      <c r="AP29" s="258">
        <f t="shared" si="32"/>
        <v>1.4999999999999999E-2</v>
      </c>
      <c r="AQ29" s="136">
        <f t="shared" si="33"/>
        <v>0</v>
      </c>
      <c r="AR29" s="137">
        <f t="shared" si="34"/>
        <v>3.5999999999999997E-2</v>
      </c>
      <c r="AS29" s="136">
        <f t="shared" si="35"/>
        <v>2.6069999999999998</v>
      </c>
      <c r="AT29" s="137">
        <f t="shared" si="36"/>
        <v>1.9273175363903501E-2</v>
      </c>
      <c r="AU29" s="137">
        <f t="shared" si="37"/>
        <v>0</v>
      </c>
      <c r="AV29" s="394">
        <f t="shared" si="51"/>
        <v>0</v>
      </c>
      <c r="AW29" s="137">
        <f t="shared" si="38"/>
        <v>0.79</v>
      </c>
      <c r="AX29" s="137">
        <f t="shared" si="39"/>
        <v>0.89</v>
      </c>
      <c r="AY29" s="137">
        <f t="shared" si="40"/>
        <v>0.79</v>
      </c>
      <c r="AZ29" s="137"/>
      <c r="BA29" s="264"/>
      <c r="BB29" s="258">
        <f t="shared" si="41"/>
        <v>0</v>
      </c>
      <c r="BC29" s="258">
        <f t="shared" si="42"/>
        <v>0</v>
      </c>
      <c r="BD29" s="137">
        <f t="shared" si="43"/>
        <v>0</v>
      </c>
      <c r="BE29" s="137">
        <f t="shared" si="44"/>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-1.1816339534849032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0.78610672904032819</v>
      </c>
      <c r="BP29" s="137"/>
      <c r="BQ29" s="137"/>
      <c r="BR29" s="137"/>
      <c r="BS29" s="137"/>
      <c r="BV29" s="262">
        <v>2.7043568464730288</v>
      </c>
      <c r="BW29" s="136">
        <v>3.0020000000000002</v>
      </c>
      <c r="BX29" s="137">
        <v>0.79</v>
      </c>
      <c r="BY29" s="137">
        <v>0.79</v>
      </c>
      <c r="BZ29" s="137">
        <v>0</v>
      </c>
      <c r="CA29" s="137">
        <v>1.9273175363903501E-2</v>
      </c>
      <c r="CB29" s="137">
        <v>0</v>
      </c>
      <c r="CC29" s="258">
        <v>-0.45</v>
      </c>
      <c r="CD29" s="258">
        <v>0.155</v>
      </c>
      <c r="CE29" s="258">
        <v>8.5000000000000006E-2</v>
      </c>
      <c r="CF29" s="258">
        <v>1.4999999999999999E-2</v>
      </c>
      <c r="CG29" s="258">
        <v>0</v>
      </c>
      <c r="CH29" s="258">
        <v>0</v>
      </c>
      <c r="CI29" s="258">
        <v>2.9020000000000001</v>
      </c>
    </row>
    <row r="30" spans="1:91" x14ac:dyDescent="0.25">
      <c r="A30" s="723"/>
      <c r="B30" s="723"/>
      <c r="D30" s="31">
        <f t="shared" si="45"/>
        <v>37330</v>
      </c>
      <c r="F30" s="28">
        <f t="shared" si="12"/>
        <v>10000</v>
      </c>
      <c r="G30" s="28">
        <f t="shared" si="13"/>
        <v>0</v>
      </c>
      <c r="H30" s="52">
        <f t="shared" si="14"/>
        <v>2.7043568464730288</v>
      </c>
      <c r="I30" s="52">
        <f t="shared" si="15"/>
        <v>3.0020000000000002</v>
      </c>
      <c r="K30" s="52">
        <f t="shared" si="16"/>
        <v>0</v>
      </c>
      <c r="L30" s="135">
        <f t="shared" si="46"/>
        <v>0</v>
      </c>
      <c r="N30" s="131">
        <f t="shared" si="47"/>
        <v>0.79</v>
      </c>
      <c r="O30" s="131">
        <f t="shared" si="48"/>
        <v>0.79</v>
      </c>
      <c r="P30" s="55">
        <f t="shared" si="49"/>
        <v>0</v>
      </c>
      <c r="Q30" s="135">
        <f>_xll.xSPRDOPT(I30,H30,AQ30,0,O30,N30,P30,D30-$G$5,1,0)*AH30*AU30</f>
        <v>0</v>
      </c>
      <c r="R30" s="135"/>
      <c r="S30" s="181">
        <f>_xll.xSPRDOPT(I30,H30,AQ30,AT30,O30,N30,P30,D30-$G$5,1,2)*AF30*(F30/(1-AR30))*AH30</f>
        <v>0</v>
      </c>
      <c r="T30" s="181">
        <f>_xll.xSPRDOPT(I30,H30,AQ30,AT30,O30,N30,P30,D30-$G$5,1,1)*AF30*F30*AH30</f>
        <v>0</v>
      </c>
      <c r="U30" s="135"/>
      <c r="V30" s="146">
        <f t="shared" si="17"/>
        <v>0</v>
      </c>
      <c r="W30" s="146"/>
      <c r="X30" s="338">
        <f t="shared" si="18"/>
        <v>0</v>
      </c>
      <c r="Y30" s="338">
        <f t="shared" si="19"/>
        <v>0</v>
      </c>
      <c r="Z30" s="338">
        <f t="shared" si="20"/>
        <v>0</v>
      </c>
      <c r="AA30" s="338">
        <f t="shared" si="21"/>
        <v>0</v>
      </c>
      <c r="AB30" s="338">
        <f t="shared" si="22"/>
        <v>0</v>
      </c>
      <c r="AC30" s="338">
        <f t="shared" si="23"/>
        <v>0</v>
      </c>
      <c r="AF30" s="138">
        <f t="shared" si="24"/>
        <v>0</v>
      </c>
      <c r="AG30" s="138">
        <f t="shared" si="25"/>
        <v>3</v>
      </c>
      <c r="AH30" s="138">
        <f t="shared" si="26"/>
        <v>0</v>
      </c>
      <c r="AI30" s="138">
        <f t="shared" si="50"/>
        <v>74</v>
      </c>
      <c r="AJ30" s="138">
        <f t="shared" si="27"/>
        <v>91</v>
      </c>
      <c r="AL30" s="136">
        <f t="shared" si="28"/>
        <v>2.9020000000000001</v>
      </c>
      <c r="AM30" s="258">
        <f t="shared" si="29"/>
        <v>-0.45</v>
      </c>
      <c r="AN30" s="258">
        <f t="shared" si="30"/>
        <v>0.155</v>
      </c>
      <c r="AO30" s="258">
        <f t="shared" si="31"/>
        <v>8.5000000000000006E-2</v>
      </c>
      <c r="AP30" s="258">
        <f t="shared" si="32"/>
        <v>1.4999999999999999E-2</v>
      </c>
      <c r="AQ30" s="136">
        <f t="shared" si="33"/>
        <v>0</v>
      </c>
      <c r="AR30" s="137">
        <f t="shared" si="34"/>
        <v>3.5999999999999997E-2</v>
      </c>
      <c r="AS30" s="136">
        <f t="shared" si="35"/>
        <v>2.6069999999999998</v>
      </c>
      <c r="AT30" s="137">
        <f t="shared" si="36"/>
        <v>1.9273175363903501E-2</v>
      </c>
      <c r="AU30" s="137">
        <f t="shared" si="37"/>
        <v>0</v>
      </c>
      <c r="AV30" s="394">
        <f t="shared" si="51"/>
        <v>0</v>
      </c>
      <c r="AW30" s="137">
        <f t="shared" si="38"/>
        <v>0.79</v>
      </c>
      <c r="AX30" s="137">
        <f t="shared" si="39"/>
        <v>0.89</v>
      </c>
      <c r="AY30" s="137">
        <f t="shared" si="40"/>
        <v>0.79</v>
      </c>
      <c r="AZ30" s="137"/>
      <c r="BA30" s="264"/>
      <c r="BB30" s="258">
        <f t="shared" si="41"/>
        <v>0</v>
      </c>
      <c r="BC30" s="258">
        <f t="shared" si="42"/>
        <v>0</v>
      </c>
      <c r="BD30" s="137">
        <f t="shared" si="43"/>
        <v>0</v>
      </c>
      <c r="BE30" s="137">
        <f t="shared" si="44"/>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-1.1816339534849032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0.78610672904032819</v>
      </c>
      <c r="BP30" s="137"/>
      <c r="BQ30" s="137"/>
      <c r="BR30" s="137"/>
      <c r="BS30" s="137"/>
      <c r="BV30" s="262">
        <v>2.7043568464730288</v>
      </c>
      <c r="BW30" s="136">
        <v>3.0020000000000002</v>
      </c>
      <c r="BX30" s="137">
        <v>0.79</v>
      </c>
      <c r="BY30" s="137">
        <v>0.79</v>
      </c>
      <c r="BZ30" s="137">
        <v>0</v>
      </c>
      <c r="CA30" s="137">
        <v>1.9273175363903501E-2</v>
      </c>
      <c r="CB30" s="137">
        <v>0</v>
      </c>
      <c r="CC30" s="258">
        <v>-0.45</v>
      </c>
      <c r="CD30" s="258">
        <v>0.155</v>
      </c>
      <c r="CE30" s="258">
        <v>8.5000000000000006E-2</v>
      </c>
      <c r="CF30" s="258">
        <v>1.4999999999999999E-2</v>
      </c>
      <c r="CG30" s="258">
        <v>0</v>
      </c>
      <c r="CH30" s="258">
        <v>0</v>
      </c>
      <c r="CI30" s="258">
        <v>2.9020000000000001</v>
      </c>
    </row>
    <row r="31" spans="1:91" x14ac:dyDescent="0.25">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9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row>
    <row r="32" spans="1:91" x14ac:dyDescent="0.25">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row>
    <row r="33" spans="1:87" x14ac:dyDescent="0.25">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row>
    <row r="34" spans="1:87" x14ac:dyDescent="0.25">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row>
    <row r="35" spans="1:87" x14ac:dyDescent="0.25">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row>
    <row r="36" spans="1:87" x14ac:dyDescent="0.25">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row>
    <row r="37" spans="1:87" x14ac:dyDescent="0.25">
      <c r="A37" s="727"/>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row>
    <row r="38" spans="1:87" x14ac:dyDescent="0.25">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row>
    <row r="39" spans="1:87" x14ac:dyDescent="0.25">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row>
    <row r="40" spans="1:87" x14ac:dyDescent="0.25">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row>
    <row r="41" spans="1:87" x14ac:dyDescent="0.25">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row>
    <row r="42" spans="1:87" x14ac:dyDescent="0.25">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row>
    <row r="43" spans="1:87" x14ac:dyDescent="0.25">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row>
    <row r="44" spans="1:87" x14ac:dyDescent="0.25">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row>
    <row r="45" spans="1:87" x14ac:dyDescent="0.25">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row>
    <row r="46" spans="1:87" x14ac:dyDescent="0.25">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row>
    <row r="47" spans="1:87" x14ac:dyDescent="0.25">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row>
    <row r="48" spans="1:87" x14ac:dyDescent="0.25">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row>
    <row r="49" spans="1:87" x14ac:dyDescent="0.25">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row>
    <row r="50" spans="1:87" x14ac:dyDescent="0.25">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row>
    <row r="51" spans="1:87" x14ac:dyDescent="0.25">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row>
    <row r="52" spans="1:87" x14ac:dyDescent="0.25">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row>
    <row r="53" spans="1:87" x14ac:dyDescent="0.25">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row>
    <row r="54" spans="1:87" x14ac:dyDescent="0.25">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row>
    <row r="55" spans="1:87" x14ac:dyDescent="0.25">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row>
    <row r="56" spans="1:87" x14ac:dyDescent="0.25">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row>
    <row r="57" spans="1:87" x14ac:dyDescent="0.25">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row>
    <row r="58" spans="1:87" x14ac:dyDescent="0.25">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row>
    <row r="59" spans="1:87" x14ac:dyDescent="0.25">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row>
    <row r="60" spans="1:87" x14ac:dyDescent="0.25">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row>
    <row r="61" spans="1:87" x14ac:dyDescent="0.25">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row>
    <row r="62" spans="1:87" x14ac:dyDescent="0.25">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row>
    <row r="63" spans="1:87" x14ac:dyDescent="0.25">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row>
    <row r="64" spans="1:87" x14ac:dyDescent="0.25">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row>
    <row r="65" spans="1:87" x14ac:dyDescent="0.25">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row>
    <row r="66" spans="1:87" x14ac:dyDescent="0.25">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row>
    <row r="67" spans="1:87" x14ac:dyDescent="0.25">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row>
    <row r="68" spans="1:87" x14ac:dyDescent="0.25">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row>
    <row r="69" spans="1:87" x14ac:dyDescent="0.25">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row>
    <row r="70" spans="1:87" x14ac:dyDescent="0.25">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row>
    <row r="71" spans="1:87" x14ac:dyDescent="0.25">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row>
    <row r="72" spans="1:87" x14ac:dyDescent="0.25">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row>
    <row r="73" spans="1:87" x14ac:dyDescent="0.25">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row>
    <row r="74" spans="1:87" x14ac:dyDescent="0.25">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row>
    <row r="75" spans="1:87" x14ac:dyDescent="0.25">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row>
    <row r="76" spans="1:87" x14ac:dyDescent="0.25">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row>
    <row r="77" spans="1:87" x14ac:dyDescent="0.25">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row>
    <row r="78" spans="1:87" x14ac:dyDescent="0.25">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row>
    <row r="79" spans="1:87" x14ac:dyDescent="0.25">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row>
    <row r="80" spans="1:87" x14ac:dyDescent="0.25">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row>
    <row r="81" spans="1:87" x14ac:dyDescent="0.25">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row>
    <row r="82" spans="1:87" x14ac:dyDescent="0.25">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row>
    <row r="83" spans="1:87" x14ac:dyDescent="0.25">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row>
    <row r="84" spans="1:87" x14ac:dyDescent="0.25">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row>
    <row r="85" spans="1:87" x14ac:dyDescent="0.25">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row>
    <row r="86" spans="1:87" x14ac:dyDescent="0.25">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row>
    <row r="87" spans="1:87" x14ac:dyDescent="0.25">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row>
    <row r="88" spans="1:87" x14ac:dyDescent="0.25">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row>
    <row r="89" spans="1:87" x14ac:dyDescent="0.25">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row>
    <row r="90" spans="1:87" x14ac:dyDescent="0.25">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row>
    <row r="91" spans="1:87" x14ac:dyDescent="0.25">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row>
    <row r="92" spans="1:87" x14ac:dyDescent="0.25">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row>
    <row r="93" spans="1:87" x14ac:dyDescent="0.25">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row>
    <row r="94" spans="1:87" x14ac:dyDescent="0.25">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row>
    <row r="95" spans="1:87" x14ac:dyDescent="0.25">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row>
    <row r="96" spans="1:87" x14ac:dyDescent="0.25">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row>
    <row r="97" spans="1:87" x14ac:dyDescent="0.25">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row>
    <row r="98" spans="1:87" x14ac:dyDescent="0.25">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row>
    <row r="99" spans="1:87" x14ac:dyDescent="0.25">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row>
    <row r="100" spans="1:87" x14ac:dyDescent="0.25">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row>
    <row r="101" spans="1:87" x14ac:dyDescent="0.25">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row>
    <row r="102" spans="1:87" x14ac:dyDescent="0.25">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row>
    <row r="103" spans="1:87" x14ac:dyDescent="0.25">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row>
    <row r="104" spans="1:87" x14ac:dyDescent="0.25">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row>
    <row r="105" spans="1:87" x14ac:dyDescent="0.25">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row>
    <row r="106" spans="1:87" x14ac:dyDescent="0.25">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row>
    <row r="107" spans="1:87" x14ac:dyDescent="0.25">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row>
    <row r="108" spans="1:87" x14ac:dyDescent="0.25">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row>
    <row r="109" spans="1:87" x14ac:dyDescent="0.25">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row>
    <row r="110" spans="1:87" x14ac:dyDescent="0.25">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row>
    <row r="111" spans="1:87" x14ac:dyDescent="0.25">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row>
    <row r="112" spans="1:87" x14ac:dyDescent="0.25">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row>
    <row r="113" spans="1:87" x14ac:dyDescent="0.25">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row>
    <row r="114" spans="1:87" x14ac:dyDescent="0.25">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row>
    <row r="115" spans="1:87" x14ac:dyDescent="0.25">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row>
    <row r="116" spans="1:87" x14ac:dyDescent="0.25">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row>
    <row r="117" spans="1:87" x14ac:dyDescent="0.25">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row>
    <row r="118" spans="1:87" x14ac:dyDescent="0.25">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row>
    <row r="119" spans="1:87" x14ac:dyDescent="0.25">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row>
    <row r="120" spans="1:87" x14ac:dyDescent="0.25">
      <c r="A120" s="723"/>
      <c r="B120" s="723"/>
      <c r="P120" s="55"/>
      <c r="Q120" s="55"/>
      <c r="R120" s="55"/>
      <c r="U120" s="55"/>
      <c r="V120" s="55"/>
      <c r="W120" s="55"/>
      <c r="X120" s="55"/>
    </row>
    <row r="121" spans="1:87" x14ac:dyDescent="0.25">
      <c r="A121" s="723"/>
      <c r="B121" s="723"/>
      <c r="P121" s="55"/>
      <c r="Q121" s="55"/>
      <c r="R121" s="55"/>
      <c r="U121" s="55"/>
      <c r="V121" s="55"/>
      <c r="W121" s="55"/>
      <c r="X121" s="55"/>
    </row>
    <row r="122" spans="1:87" x14ac:dyDescent="0.25">
      <c r="A122" s="723"/>
      <c r="B122" s="723"/>
      <c r="P122" s="55"/>
      <c r="Q122" s="55"/>
      <c r="R122" s="55"/>
      <c r="U122" s="55"/>
      <c r="V122" s="55"/>
      <c r="W122" s="55"/>
      <c r="X122" s="55"/>
    </row>
    <row r="123" spans="1:87" x14ac:dyDescent="0.25">
      <c r="A123" s="723"/>
      <c r="B123" s="723"/>
      <c r="P123" s="55"/>
      <c r="Q123" s="55"/>
      <c r="R123" s="55"/>
      <c r="U123" s="55"/>
      <c r="V123" s="55"/>
      <c r="W123" s="55"/>
      <c r="X123" s="55"/>
    </row>
    <row r="124" spans="1:87" x14ac:dyDescent="0.25">
      <c r="A124" s="723"/>
      <c r="B124" s="723"/>
      <c r="P124" s="55"/>
      <c r="Q124" s="55"/>
      <c r="R124" s="55"/>
      <c r="U124" s="55"/>
      <c r="V124" s="55"/>
      <c r="W124" s="55"/>
      <c r="X124" s="55"/>
    </row>
    <row r="125" spans="1:87" x14ac:dyDescent="0.25">
      <c r="A125" s="723"/>
      <c r="B125" s="723"/>
      <c r="P125" s="55"/>
      <c r="Q125" s="55"/>
      <c r="R125" s="55"/>
      <c r="U125" s="55"/>
      <c r="V125" s="55"/>
      <c r="W125" s="55"/>
      <c r="X125" s="55"/>
    </row>
    <row r="126" spans="1:87" x14ac:dyDescent="0.25">
      <c r="A126" s="723"/>
      <c r="B126" s="723"/>
      <c r="P126" s="55"/>
      <c r="Q126" s="55"/>
      <c r="R126" s="55"/>
      <c r="U126" s="55"/>
      <c r="V126" s="55"/>
      <c r="W126" s="55"/>
      <c r="X126" s="55"/>
    </row>
    <row r="127" spans="1:87" x14ac:dyDescent="0.25">
      <c r="A127" s="723"/>
      <c r="B127" s="723"/>
      <c r="P127" s="55"/>
      <c r="Q127" s="55"/>
      <c r="R127" s="55"/>
      <c r="U127" s="55"/>
      <c r="V127" s="55"/>
      <c r="W127" s="55"/>
      <c r="X127" s="55"/>
    </row>
    <row r="128" spans="1:87" x14ac:dyDescent="0.25">
      <c r="A128" s="723"/>
      <c r="B128" s="723"/>
      <c r="P128" s="55"/>
      <c r="Q128" s="55"/>
      <c r="R128" s="55"/>
      <c r="U128" s="55"/>
      <c r="V128" s="55"/>
      <c r="W128" s="55"/>
      <c r="X128" s="55"/>
    </row>
    <row r="129" spans="1:24" x14ac:dyDescent="0.25">
      <c r="A129" s="723"/>
      <c r="B129" s="723"/>
      <c r="P129" s="55"/>
      <c r="Q129" s="55"/>
      <c r="R129" s="55"/>
      <c r="U129" s="55"/>
      <c r="V129" s="55"/>
      <c r="W129" s="55"/>
      <c r="X129" s="55"/>
    </row>
    <row r="130" spans="1:24" x14ac:dyDescent="0.25">
      <c r="P130" s="55"/>
      <c r="Q130" s="55"/>
      <c r="R130" s="55"/>
      <c r="U130" s="55"/>
      <c r="V130" s="55"/>
      <c r="W130" s="55"/>
      <c r="X130" s="55"/>
    </row>
    <row r="131" spans="1:24" x14ac:dyDescent="0.25">
      <c r="P131" s="55"/>
      <c r="Q131" s="55"/>
      <c r="R131" s="55"/>
      <c r="U131" s="55"/>
      <c r="V131" s="55"/>
      <c r="W131" s="55"/>
      <c r="X131" s="55"/>
    </row>
    <row r="132" spans="1:24" x14ac:dyDescent="0.25">
      <c r="P132" s="55"/>
      <c r="Q132" s="55"/>
      <c r="R132" s="55"/>
      <c r="U132" s="55"/>
      <c r="V132" s="55"/>
      <c r="W132" s="55"/>
      <c r="X132" s="55"/>
    </row>
    <row r="133" spans="1:24" x14ac:dyDescent="0.25">
      <c r="P133" s="55"/>
      <c r="Q133" s="55"/>
      <c r="R133" s="55"/>
      <c r="U133" s="55"/>
      <c r="V133" s="55"/>
      <c r="W133" s="55"/>
      <c r="X133" s="55"/>
    </row>
    <row r="134" spans="1:24" x14ac:dyDescent="0.25">
      <c r="P134" s="55"/>
      <c r="Q134" s="55"/>
      <c r="R134" s="55"/>
      <c r="U134" s="55"/>
      <c r="V134" s="55"/>
      <c r="W134" s="55"/>
      <c r="X134" s="55"/>
    </row>
    <row r="135" spans="1:24" x14ac:dyDescent="0.25">
      <c r="P135" s="55"/>
      <c r="Q135" s="55"/>
      <c r="R135" s="55"/>
      <c r="U135" s="55"/>
      <c r="V135" s="55"/>
      <c r="W135" s="55"/>
      <c r="X135" s="55"/>
    </row>
    <row r="136" spans="1:24" x14ac:dyDescent="0.25">
      <c r="P136" s="55"/>
      <c r="Q136" s="55"/>
      <c r="R136" s="55"/>
      <c r="U136" s="55"/>
      <c r="V136" s="55"/>
      <c r="W136" s="55"/>
      <c r="X136" s="55"/>
    </row>
    <row r="137" spans="1:24" x14ac:dyDescent="0.25">
      <c r="P137" s="55"/>
      <c r="Q137" s="55"/>
      <c r="R137" s="55"/>
      <c r="U137" s="55"/>
      <c r="V137" s="55"/>
      <c r="W137" s="55"/>
      <c r="X137" s="55"/>
    </row>
    <row r="138" spans="1:24" x14ac:dyDescent="0.25">
      <c r="P138" s="55"/>
      <c r="Q138" s="55"/>
      <c r="R138" s="55"/>
      <c r="U138" s="55"/>
      <c r="V138" s="55"/>
      <c r="W138" s="55"/>
      <c r="X138" s="55"/>
    </row>
    <row r="139" spans="1:24" x14ac:dyDescent="0.25">
      <c r="P139" s="55"/>
      <c r="Q139" s="55"/>
      <c r="R139" s="55"/>
      <c r="U139" s="55"/>
      <c r="V139" s="55"/>
      <c r="W139" s="55"/>
      <c r="X139" s="55"/>
    </row>
    <row r="140" spans="1:24" x14ac:dyDescent="0.25">
      <c r="P140" s="55"/>
      <c r="Q140" s="55"/>
      <c r="R140" s="55"/>
      <c r="U140" s="55"/>
      <c r="V140" s="55"/>
      <c r="W140" s="55"/>
      <c r="X140" s="55"/>
    </row>
    <row r="141" spans="1:24" x14ac:dyDescent="0.25">
      <c r="P141" s="55"/>
      <c r="Q141" s="55"/>
      <c r="R141" s="55"/>
      <c r="U141" s="55"/>
      <c r="V141" s="55"/>
      <c r="W141" s="55"/>
      <c r="X141" s="55"/>
    </row>
    <row r="142" spans="1:24" x14ac:dyDescent="0.25">
      <c r="P142" s="55"/>
      <c r="Q142" s="55"/>
      <c r="R142" s="55"/>
      <c r="U142" s="55"/>
      <c r="V142" s="55"/>
      <c r="W142" s="55"/>
      <c r="X142" s="55"/>
    </row>
    <row r="143" spans="1:24" x14ac:dyDescent="0.25">
      <c r="P143" s="55"/>
      <c r="Q143" s="55"/>
      <c r="R143" s="55"/>
      <c r="U143" s="55"/>
      <c r="V143" s="55"/>
      <c r="W143" s="55"/>
      <c r="X143" s="55"/>
    </row>
    <row r="144" spans="1:24" x14ac:dyDescent="0.25">
      <c r="P144" s="55"/>
      <c r="Q144" s="55"/>
      <c r="R144" s="55"/>
      <c r="U144" s="55"/>
      <c r="V144" s="55"/>
      <c r="W144" s="55"/>
      <c r="X144" s="55"/>
    </row>
    <row r="145" spans="16:24" x14ac:dyDescent="0.25">
      <c r="P145" s="55"/>
      <c r="Q145" s="55"/>
      <c r="R145" s="55"/>
      <c r="U145" s="55"/>
      <c r="V145" s="55"/>
      <c r="W145" s="55"/>
      <c r="X145" s="55"/>
    </row>
    <row r="146" spans="16:24" x14ac:dyDescent="0.25">
      <c r="P146" s="55"/>
      <c r="Q146" s="55"/>
      <c r="R146" s="55"/>
      <c r="U146" s="55"/>
      <c r="V146" s="55"/>
      <c r="W146" s="55"/>
      <c r="X146" s="55"/>
    </row>
    <row r="147" spans="16:24" x14ac:dyDescent="0.25">
      <c r="P147" s="55"/>
      <c r="Q147" s="55"/>
      <c r="R147" s="55"/>
      <c r="U147" s="55"/>
      <c r="V147" s="55"/>
      <c r="W147" s="55"/>
      <c r="X147" s="55"/>
    </row>
    <row r="148" spans="16:24" x14ac:dyDescent="0.25">
      <c r="P148" s="55"/>
      <c r="Q148" s="55"/>
      <c r="R148" s="55"/>
      <c r="U148" s="55"/>
      <c r="V148" s="55"/>
      <c r="W148" s="55"/>
      <c r="X148" s="55"/>
    </row>
    <row r="149" spans="16:24" x14ac:dyDescent="0.25">
      <c r="P149" s="55"/>
      <c r="Q149" s="55"/>
      <c r="R149" s="55"/>
      <c r="U149" s="55"/>
      <c r="V149" s="55"/>
      <c r="W149" s="55"/>
      <c r="X149" s="55"/>
    </row>
    <row r="150" spans="16:24" x14ac:dyDescent="0.25">
      <c r="P150" s="55"/>
      <c r="Q150" s="55"/>
      <c r="R150" s="55"/>
      <c r="U150" s="55"/>
      <c r="V150" s="55"/>
      <c r="W150" s="55"/>
      <c r="X150" s="55"/>
    </row>
    <row r="151" spans="16:24" x14ac:dyDescent="0.25">
      <c r="P151" s="55"/>
      <c r="Q151" s="55"/>
      <c r="R151" s="55"/>
      <c r="U151" s="55"/>
      <c r="V151" s="55"/>
      <c r="W151" s="55"/>
      <c r="X151" s="55"/>
    </row>
    <row r="152" spans="16:24" x14ac:dyDescent="0.25">
      <c r="P152" s="55"/>
      <c r="Q152" s="55"/>
      <c r="R152" s="55"/>
      <c r="U152" s="55"/>
      <c r="V152" s="55"/>
      <c r="W152" s="55"/>
      <c r="X152" s="55"/>
    </row>
    <row r="153" spans="16:24" x14ac:dyDescent="0.25">
      <c r="P153" s="55"/>
      <c r="Q153" s="55"/>
      <c r="R153" s="55"/>
      <c r="U153" s="55"/>
      <c r="V153" s="55"/>
      <c r="W153" s="55"/>
      <c r="X153" s="55"/>
    </row>
    <row r="154" spans="16:24" x14ac:dyDescent="0.25">
      <c r="P154" s="55"/>
      <c r="Q154" s="55"/>
      <c r="R154" s="55"/>
      <c r="U154" s="55"/>
      <c r="V154" s="55"/>
      <c r="W154" s="55"/>
      <c r="X154" s="55"/>
    </row>
    <row r="155" spans="16:24" x14ac:dyDescent="0.25">
      <c r="P155" s="55"/>
      <c r="Q155" s="55"/>
      <c r="R155" s="55"/>
      <c r="U155" s="55"/>
      <c r="V155" s="55"/>
      <c r="W155" s="55"/>
      <c r="X155" s="55"/>
    </row>
    <row r="156" spans="16:24" x14ac:dyDescent="0.25">
      <c r="P156" s="55"/>
      <c r="Q156" s="55"/>
      <c r="R156" s="55"/>
      <c r="U156" s="55"/>
      <c r="V156" s="55"/>
      <c r="W156" s="55"/>
      <c r="X156" s="55"/>
    </row>
    <row r="157" spans="16:24" x14ac:dyDescent="0.25">
      <c r="P157" s="55"/>
      <c r="Q157" s="55"/>
      <c r="R157" s="55"/>
      <c r="U157" s="55"/>
      <c r="V157" s="55"/>
      <c r="W157" s="55"/>
      <c r="X157" s="55"/>
    </row>
    <row r="158" spans="16:24" x14ac:dyDescent="0.25">
      <c r="P158" s="55"/>
      <c r="Q158" s="55"/>
      <c r="R158" s="55"/>
      <c r="U158" s="55"/>
      <c r="V158" s="55"/>
      <c r="W158" s="55"/>
      <c r="X158" s="55"/>
    </row>
    <row r="159" spans="16:24" x14ac:dyDescent="0.25">
      <c r="P159" s="55"/>
      <c r="Q159" s="55"/>
      <c r="R159" s="55"/>
      <c r="U159" s="55"/>
      <c r="V159" s="55"/>
      <c r="W159" s="55"/>
      <c r="X159" s="55"/>
    </row>
    <row r="160" spans="16:24" x14ac:dyDescent="0.25">
      <c r="P160" s="55"/>
      <c r="Q160" s="55"/>
      <c r="R160" s="55"/>
      <c r="U160" s="55"/>
      <c r="V160" s="55"/>
      <c r="W160" s="55"/>
      <c r="X160" s="55"/>
    </row>
    <row r="161" spans="16:24" x14ac:dyDescent="0.25">
      <c r="P161" s="55"/>
      <c r="Q161" s="55"/>
      <c r="R161" s="55"/>
      <c r="U161" s="55"/>
      <c r="V161" s="55"/>
      <c r="W161" s="55"/>
      <c r="X161" s="55"/>
    </row>
    <row r="162" spans="16:24" x14ac:dyDescent="0.25">
      <c r="P162" s="55"/>
      <c r="Q162" s="55"/>
      <c r="R162" s="55"/>
      <c r="U162" s="55"/>
      <c r="V162" s="55"/>
      <c r="W162" s="55"/>
      <c r="X162" s="55"/>
    </row>
    <row r="163" spans="16:24" x14ac:dyDescent="0.25">
      <c r="P163" s="55"/>
      <c r="Q163" s="55"/>
      <c r="R163" s="55"/>
      <c r="U163" s="55"/>
      <c r="V163" s="55"/>
      <c r="W163" s="55"/>
      <c r="X163" s="55"/>
    </row>
    <row r="164" spans="16:24" x14ac:dyDescent="0.25">
      <c r="P164" s="55"/>
      <c r="Q164" s="55"/>
      <c r="R164" s="55"/>
      <c r="U164" s="55"/>
      <c r="V164" s="55"/>
      <c r="W164" s="55"/>
      <c r="X164" s="55"/>
    </row>
    <row r="165" spans="16:24" x14ac:dyDescent="0.25">
      <c r="P165" s="55"/>
      <c r="Q165" s="55"/>
      <c r="R165" s="55"/>
      <c r="U165" s="55"/>
      <c r="V165" s="55"/>
      <c r="W165" s="55"/>
      <c r="X165" s="55"/>
    </row>
    <row r="166" spans="16:24" x14ac:dyDescent="0.25">
      <c r="P166" s="55"/>
      <c r="Q166" s="55"/>
      <c r="R166" s="55"/>
      <c r="U166" s="55"/>
      <c r="V166" s="55"/>
      <c r="W166" s="55"/>
      <c r="X166" s="55"/>
    </row>
    <row r="167" spans="16:24" x14ac:dyDescent="0.25">
      <c r="P167" s="55"/>
      <c r="Q167" s="55"/>
      <c r="R167" s="55"/>
      <c r="U167" s="55"/>
      <c r="V167" s="55"/>
      <c r="W167" s="55"/>
      <c r="X167" s="55"/>
    </row>
    <row r="168" spans="16:24" x14ac:dyDescent="0.25">
      <c r="P168" s="55"/>
      <c r="Q168" s="55"/>
      <c r="R168" s="55"/>
      <c r="U168" s="55"/>
      <c r="V168" s="55"/>
      <c r="W168" s="55"/>
      <c r="X168" s="55"/>
    </row>
    <row r="169" spans="16:24" x14ac:dyDescent="0.25">
      <c r="P169" s="55"/>
      <c r="Q169" s="55"/>
      <c r="R169" s="55"/>
      <c r="U169" s="55"/>
      <c r="V169" s="55"/>
      <c r="W169" s="55"/>
      <c r="X169" s="55"/>
    </row>
    <row r="170" spans="16:24" x14ac:dyDescent="0.25">
      <c r="P170" s="55"/>
      <c r="Q170" s="55"/>
      <c r="R170" s="55"/>
      <c r="U170" s="55"/>
      <c r="V170" s="55"/>
      <c r="W170" s="55"/>
      <c r="X170" s="55"/>
    </row>
    <row r="171" spans="16:24" x14ac:dyDescent="0.25">
      <c r="P171" s="55"/>
      <c r="Q171" s="55"/>
      <c r="R171" s="55"/>
      <c r="U171" s="55"/>
      <c r="V171" s="55"/>
      <c r="W171" s="55"/>
      <c r="X171" s="55"/>
    </row>
    <row r="172" spans="16:24" x14ac:dyDescent="0.25">
      <c r="P172" s="55"/>
      <c r="Q172" s="55"/>
      <c r="R172" s="55"/>
      <c r="U172" s="55"/>
      <c r="V172" s="55"/>
      <c r="W172" s="55"/>
      <c r="X172" s="55"/>
    </row>
    <row r="173" spans="16:24" x14ac:dyDescent="0.25">
      <c r="P173" s="55"/>
      <c r="Q173" s="55"/>
      <c r="R173" s="55"/>
      <c r="U173" s="55"/>
      <c r="V173" s="55"/>
      <c r="W173" s="55"/>
      <c r="X173" s="55"/>
    </row>
    <row r="174" spans="16:24" x14ac:dyDescent="0.25">
      <c r="P174" s="55"/>
      <c r="Q174" s="55"/>
      <c r="R174" s="55"/>
      <c r="U174" s="55"/>
      <c r="V174" s="55"/>
      <c r="W174" s="55"/>
      <c r="X174" s="55"/>
    </row>
    <row r="175" spans="16:24" x14ac:dyDescent="0.25">
      <c r="P175" s="55"/>
      <c r="Q175" s="55"/>
      <c r="R175" s="55"/>
      <c r="U175" s="55"/>
      <c r="V175" s="55"/>
      <c r="W175" s="55"/>
      <c r="X175" s="55"/>
    </row>
    <row r="176" spans="16:24"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32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5632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1">
    <pageSetUpPr autoPageBreaks="0"/>
  </sheetPr>
  <dimension ref="A1:DN403"/>
  <sheetViews>
    <sheetView topLeftCell="J17" zoomScale="80" workbookViewId="0">
      <selection activeCell="CI21" sqref="CI21:CI34"/>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15" width="9.109375" style="29"/>
    <col min="116" max="118" width="11.44140625" style="29" customWidth="1"/>
    <col min="119" max="16384" width="9.109375" style="29"/>
  </cols>
  <sheetData>
    <row r="1" spans="1:102" ht="16.2" thickBot="1" x14ac:dyDescent="0.35">
      <c r="A1" s="180" t="s">
        <v>195</v>
      </c>
      <c r="D1" s="249" t="s">
        <v>187</v>
      </c>
      <c r="F1" s="708" t="str">
        <f>GetPipeName($AH$12,$AH$13)</f>
        <v>PGT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LongTerm9</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9</v>
      </c>
      <c r="F2" s="178" t="str">
        <f>GetRcptPoint($AH$12,$AH$13)</f>
        <v>Kingsgate</v>
      </c>
      <c r="G2" s="179" t="str">
        <f>GetDelPoint($AH$12,$AH$13)</f>
        <v>Malin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$F$34</v>
      </c>
      <c r="AX2" s="339" t="str">
        <f>ADDRESS(ROW($G$22),COLUMN($G$22))</f>
        <v>$G$22</v>
      </c>
      <c r="AY2" s="138" t="str">
        <f ca="1">GetEnd($AV$1,AX2)</f>
        <v>$G$34</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62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$AF$34</v>
      </c>
      <c r="AX3" s="339" t="str">
        <f>ADDRESS(ROW($AH$22),COLUMN($AH$22))</f>
        <v>$AH$22</v>
      </c>
      <c r="AY3" s="138" t="str">
        <f ca="1">GetEnd($AV$1,AX3)</f>
        <v>$AH$34</v>
      </c>
    </row>
    <row r="4" spans="1:102" x14ac:dyDescent="0.25">
      <c r="A4" s="269" t="str">
        <f>ADDRESS(ROW($S$22),COLUMN($S$22))</f>
        <v>$S$22</v>
      </c>
      <c r="L4" s="721" t="s">
        <v>201</v>
      </c>
      <c r="M4" s="722"/>
      <c r="N4" s="352">
        <f ca="1">SUMPRODUCT(INDIRECT(CONCATENATE(AV4,":",AW4)),INDIRECT(CONCATENATE($AV$2,":",$AW$2)),INDIRECT(CONCATENATE($AV$3,":",$AW$3)))</f>
        <v>413559.87805097841</v>
      </c>
      <c r="O4" s="352">
        <v>414052.82</v>
      </c>
      <c r="P4" s="354">
        <f ca="1">N4-O4</f>
        <v>-492.94194902159506</v>
      </c>
      <c r="Q4" s="181"/>
      <c r="S4" s="427" t="s">
        <v>635</v>
      </c>
      <c r="T4" s="422">
        <f ca="1">SUMPRODUCT(INDIRECT(CONCATENATE(V4,":",W4)),INDIRECT(CONCATENATE(AV2,":",AW2)),INDIRECT(CONCATENATE(AV3,":",AW3)))</f>
        <v>357507.31109579158</v>
      </c>
      <c r="V4" s="30" t="str">
        <f>ADDRESS(ROW(K22),COLUMN(K22))</f>
        <v>$K$22</v>
      </c>
      <c r="W4" s="30" t="str">
        <f ca="1">GetEnd($AV$1,V4)</f>
        <v>$K$34</v>
      </c>
      <c r="AF4" s="28"/>
      <c r="AG4" s="103" t="s">
        <v>32</v>
      </c>
      <c r="AH4" s="104">
        <f>GetRcptIndexCol($AH$12,$AH$13)</f>
        <v>63</v>
      </c>
      <c r="AI4" s="29"/>
      <c r="AJ4" s="103" t="s">
        <v>72</v>
      </c>
      <c r="AK4" s="104">
        <f>GetNymexCol(AK3)</f>
        <v>3</v>
      </c>
      <c r="AL4" s="34">
        <v>1</v>
      </c>
      <c r="AM4" s="45">
        <f t="shared" ref="AM4:AM15" si="0">GetVolume($AH$12,$AH$13,AT4)</f>
        <v>10010</v>
      </c>
      <c r="AN4" s="46">
        <f t="shared" ref="AN4:AN15" si="1">GetCommodity($AH$12,$AH$13,AT4)</f>
        <v>0</v>
      </c>
      <c r="AO4" s="47">
        <f t="shared" ref="AO4:AO15" si="2">GetFuelRate($AH$12,$AH$13,AT4)</f>
        <v>3.4000000000000002E-2</v>
      </c>
      <c r="AP4" s="46">
        <f t="shared" ref="AP4:AP15" si="3">GetSurcharge($AH$12,$AH$13,$AT4)</f>
        <v>0</v>
      </c>
      <c r="AQ4" s="46">
        <f t="shared" ref="AQ4:AQ15" si="4">GetRcptIndexAdj($AH$12,$AH$13,$AT4)</f>
        <v>0</v>
      </c>
      <c r="AR4" s="132">
        <f t="shared" ref="AR4:AR15" si="5">GetDelIndexAdj($AH$12,$AH$13,$AT4)</f>
        <v>0</v>
      </c>
      <c r="AS4" s="48">
        <f t="shared" ref="AS4:AS15" si="6">GetDemandRate($AH$12,$AH$13,$AT4)</f>
        <v>0.34300000000000003</v>
      </c>
      <c r="AT4" s="35">
        <f t="shared" ref="AT4:AT15" si="7">gettier($AH$12,$AH$13,AL4)</f>
        <v>1</v>
      </c>
      <c r="AV4" s="339" t="str">
        <f>ADDRESS(ROW($Q$22),COLUMN($Q$22))</f>
        <v>$Q$22</v>
      </c>
      <c r="AW4" s="138" t="str">
        <f ca="1">GetEnd($AV$1,AV4)</f>
        <v>$Q$34</v>
      </c>
      <c r="AX4" s="339" t="str">
        <f>ADDRESS(ROW($K$22),COLUMN($K$22))</f>
        <v>$K$22</v>
      </c>
      <c r="AY4" s="138" t="str">
        <f ca="1">GetEnd($AV$1,AX4)</f>
        <v>$K$34</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1034026.4942053936</v>
      </c>
      <c r="O5" s="352">
        <v>1033855.7</v>
      </c>
      <c r="P5" s="355">
        <f ca="1">N5-O5</f>
        <v>170.79420539364219</v>
      </c>
      <c r="Q5" s="181"/>
      <c r="S5" s="428" t="s">
        <v>636</v>
      </c>
      <c r="T5" s="423">
        <f ca="1">SUMPRODUCT(INDIRECT(CONCATENATE(V5,":",W5)),INDIRECT(CONCATENATE(AV2,":",AW2)),INDIRECT(CONCATENATE(AV3,":",AW3)))</f>
        <v>56052.566955186834</v>
      </c>
      <c r="V5" s="30" t="str">
        <f>ADDRESS(ROW(L22),COLUMN(L22))</f>
        <v>$L$22</v>
      </c>
      <c r="W5" s="30" t="str">
        <f ca="1">GetEnd($AV$1,V5)</f>
        <v>$L$34</v>
      </c>
      <c r="AF5" s="28"/>
      <c r="AG5" s="103" t="s">
        <v>33</v>
      </c>
      <c r="AH5" s="104">
        <f>GetDelBasisCol($AH$12,$AH$13)</f>
        <v>58</v>
      </c>
      <c r="AI5" s="29"/>
      <c r="AJ5" s="103" t="s">
        <v>77</v>
      </c>
      <c r="AK5" s="104" t="str">
        <f>LiborCurve</f>
        <v>Libor AA</v>
      </c>
      <c r="AL5" s="34">
        <v>2</v>
      </c>
      <c r="AM5" s="37">
        <f t="shared" si="0"/>
        <v>10010</v>
      </c>
      <c r="AN5" s="38">
        <f t="shared" si="1"/>
        <v>0</v>
      </c>
      <c r="AO5" s="39">
        <f t="shared" si="2"/>
        <v>3.4000000000000002E-2</v>
      </c>
      <c r="AP5" s="38">
        <f t="shared" si="3"/>
        <v>0</v>
      </c>
      <c r="AQ5" s="38">
        <f t="shared" si="4"/>
        <v>0</v>
      </c>
      <c r="AR5" s="133">
        <f t="shared" si="5"/>
        <v>0</v>
      </c>
      <c r="AS5" s="40">
        <f t="shared" si="6"/>
        <v>0.34300000000000003</v>
      </c>
      <c r="AT5" s="35">
        <f t="shared" si="7"/>
        <v>1</v>
      </c>
      <c r="AV5" s="339" t="str">
        <f>ADDRESS(ROW($V$22),COLUMN($V$22))</f>
        <v>$V$22</v>
      </c>
      <c r="AW5" s="138" t="str">
        <f ca="1">GetEnd($AV$1,AV5)</f>
        <v>$V$34</v>
      </c>
      <c r="AX5" s="339" t="str">
        <f>ADDRESS(ROW($L$22),COLUMN($L$22))</f>
        <v>$L$22</v>
      </c>
      <c r="AY5" s="138" t="str">
        <f ca="1">GetEnd($AV$1,AX5)</f>
        <v>$L$34</v>
      </c>
      <c r="BV5" s="266">
        <f>O2</f>
        <v>37239</v>
      </c>
    </row>
    <row r="6" spans="1:102" x14ac:dyDescent="0.25">
      <c r="A6" s="269" t="str">
        <f>ADDRESS(ROW($BW$2),COLUMN($BW$2))</f>
        <v>$BW$2</v>
      </c>
      <c r="F6" s="187"/>
      <c r="G6" s="187"/>
      <c r="L6" s="704" t="s">
        <v>149</v>
      </c>
      <c r="M6" s="705"/>
      <c r="N6" s="356">
        <f ca="1">N4-N5</f>
        <v>-620466.61615441518</v>
      </c>
      <c r="O6" s="357">
        <v>-619802.89</v>
      </c>
      <c r="P6" s="358">
        <f ca="1">N6-O6</f>
        <v>-663.72615441516973</v>
      </c>
      <c r="Q6" s="181"/>
      <c r="S6" s="428" t="s">
        <v>637</v>
      </c>
      <c r="T6" s="424">
        <f ca="1">SUMPRODUCT(INDIRECT(CONCATENATE(V6,":",W6)),INDIRECT(CONCATENATE(AV3,":",AW3)),INDIRECT(CONCATENATE(AX3,":",AY3)))</f>
        <v>3014654.5020565405</v>
      </c>
      <c r="V6" s="30" t="str">
        <f>ADDRESS(ROW(G22),COLUMN(G22))</f>
        <v>$G$22</v>
      </c>
      <c r="W6" s="30" t="str">
        <f ca="1">GetEnd($AV$1,V6)</f>
        <v>$G$34</v>
      </c>
      <c r="AF6" s="28"/>
      <c r="AG6" s="103" t="s">
        <v>34</v>
      </c>
      <c r="AH6" s="104">
        <f>GetDelIndexCol($AH$12,$AH$13)</f>
        <v>59</v>
      </c>
      <c r="AI6" s="29"/>
      <c r="AJ6" s="103" t="s">
        <v>79</v>
      </c>
      <c r="AK6" s="104">
        <f>GetLiborCol(AK5)</f>
        <v>4</v>
      </c>
      <c r="AL6" s="34">
        <v>3</v>
      </c>
      <c r="AM6" s="37">
        <f t="shared" si="0"/>
        <v>10010</v>
      </c>
      <c r="AN6" s="38">
        <f t="shared" si="1"/>
        <v>0</v>
      </c>
      <c r="AO6" s="39">
        <f t="shared" si="2"/>
        <v>3.4000000000000002E-2</v>
      </c>
      <c r="AP6" s="38">
        <f t="shared" si="3"/>
        <v>0</v>
      </c>
      <c r="AQ6" s="38">
        <f t="shared" si="4"/>
        <v>0</v>
      </c>
      <c r="AR6" s="133">
        <f t="shared" si="5"/>
        <v>0</v>
      </c>
      <c r="AS6" s="40">
        <f t="shared" si="6"/>
        <v>0.34300000000000003</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6797.29</v>
      </c>
      <c r="P7" s="355">
        <f ca="1">N7</f>
        <v>0</v>
      </c>
      <c r="S7" s="428" t="s">
        <v>638</v>
      </c>
      <c r="T7" s="425">
        <f ca="1">T5/T6</f>
        <v>1.859336349055881E-2</v>
      </c>
      <c r="AF7" s="28"/>
      <c r="AG7" s="103" t="s">
        <v>76</v>
      </c>
      <c r="AH7" s="104">
        <f>GetRcptOmicronCol($AH$12,$AH$13)</f>
        <v>14</v>
      </c>
      <c r="AI7" s="29"/>
      <c r="AJ7" s="103" t="s">
        <v>80</v>
      </c>
      <c r="AK7" s="104" t="str">
        <f>Configuration!$D$8</f>
        <v>Nymex Vol</v>
      </c>
      <c r="AL7" s="34">
        <v>4</v>
      </c>
      <c r="AM7" s="37">
        <f t="shared" si="0"/>
        <v>10010</v>
      </c>
      <c r="AN7" s="38">
        <f t="shared" si="1"/>
        <v>0</v>
      </c>
      <c r="AO7" s="39">
        <f t="shared" si="2"/>
        <v>3.4000000000000002E-2</v>
      </c>
      <c r="AP7" s="38">
        <f t="shared" si="3"/>
        <v>0</v>
      </c>
      <c r="AQ7" s="38">
        <f t="shared" si="4"/>
        <v>0</v>
      </c>
      <c r="AR7" s="133">
        <f t="shared" si="5"/>
        <v>0</v>
      </c>
      <c r="AS7" s="40">
        <f t="shared" si="6"/>
        <v>0.34300000000000003</v>
      </c>
      <c r="AT7" s="35">
        <f t="shared" si="7"/>
        <v>1</v>
      </c>
      <c r="AU7" s="361" t="s">
        <v>574</v>
      </c>
      <c r="AV7" s="339" t="str">
        <f>ADDRESS(ROW($AL$22),COLUMN($AL$22))</f>
        <v>$AL$22</v>
      </c>
      <c r="AW7" s="138" t="str">
        <f ca="1">GetEnd($AV$1,AV7)</f>
        <v>$AL$34</v>
      </c>
      <c r="AX7" s="339" t="str">
        <f>ADDRESS(ROW($AV$22),COLUMN($AV$22))</f>
        <v>$AV$22</v>
      </c>
      <c r="AY7" s="138" t="str">
        <f t="shared" ref="AY7:AY13" ca="1" si="8">GetEnd($AV$1,AX7)</f>
        <v>$AV$34</v>
      </c>
    </row>
    <row r="8" spans="1:102" x14ac:dyDescent="0.25">
      <c r="A8" s="270" t="s">
        <v>224</v>
      </c>
      <c r="F8" s="186" t="s">
        <v>26</v>
      </c>
      <c r="G8" s="190">
        <f>GetMonthEnd($AH$12,$AH$13)</f>
        <v>37560</v>
      </c>
      <c r="L8" s="706" t="s">
        <v>626</v>
      </c>
      <c r="M8" s="707"/>
      <c r="N8" s="352">
        <f t="array" aca="1" ref="N8" ca="1">SUM(((INDIRECT(AX14)-INDIRECT(AY16))-(INDIRECT(AX15)-INDIRECT(AY14)))*INDIRECT(CONCATENATE(AX2,":",AY2))*INDIRECT(CONCATENATE(AV3,":",AW3))*INDIRECT(CONCATENATE(AX3,":",AY3)))</f>
        <v>0</v>
      </c>
      <c r="O8" s="421">
        <v>42961.61</v>
      </c>
      <c r="P8" s="355">
        <f ca="1">N8</f>
        <v>0</v>
      </c>
      <c r="S8" s="429" t="s">
        <v>639</v>
      </c>
      <c r="T8" s="426">
        <f ca="1">Y8/Z8</f>
        <v>0.99308656100666926</v>
      </c>
      <c r="V8" s="30" t="str">
        <f>ADDRESS(ROW(P22),COLUMN(P22))</f>
        <v>$P$22</v>
      </c>
      <c r="W8" s="30" t="str">
        <f ca="1">GetEnd($AV$1,V8)</f>
        <v>$P$34</v>
      </c>
      <c r="Y8" s="334">
        <f ca="1">SUMIF(INDIRECT(CONCATENATE(V8,":",W8)),"&gt;0",INDIRECT(CONCATENATE(V8,":",W8)))</f>
        <v>9.930865610066693</v>
      </c>
      <c r="Z8" s="334">
        <f ca="1">COUNTIF(INDIRECT(CONCATENATE(V8,":",W8)),"&gt;0")</f>
        <v>10</v>
      </c>
      <c r="AF8" s="28"/>
      <c r="AG8" s="103" t="s">
        <v>75</v>
      </c>
      <c r="AH8" s="105">
        <f>GetDelOmicronCol($AH$12,$AH$13)</f>
        <v>19</v>
      </c>
      <c r="AI8" s="29"/>
      <c r="AJ8" s="103" t="s">
        <v>81</v>
      </c>
      <c r="AK8" s="104">
        <f>GetNGOmicronCol(AK7)</f>
        <v>5</v>
      </c>
      <c r="AL8" s="34">
        <v>5</v>
      </c>
      <c r="AM8" s="37">
        <f t="shared" si="0"/>
        <v>10010</v>
      </c>
      <c r="AN8" s="38">
        <f t="shared" si="1"/>
        <v>0</v>
      </c>
      <c r="AO8" s="39">
        <f t="shared" si="2"/>
        <v>3.4000000000000002E-2</v>
      </c>
      <c r="AP8" s="38">
        <f t="shared" si="3"/>
        <v>0</v>
      </c>
      <c r="AQ8" s="38">
        <f t="shared" si="4"/>
        <v>0</v>
      </c>
      <c r="AR8" s="133">
        <f t="shared" si="5"/>
        <v>0</v>
      </c>
      <c r="AS8" s="40">
        <f t="shared" si="6"/>
        <v>0.34300000000000003</v>
      </c>
      <c r="AT8" s="35">
        <f t="shared" si="7"/>
        <v>1</v>
      </c>
      <c r="AU8" s="362" t="s">
        <v>575</v>
      </c>
      <c r="AV8" s="339" t="str">
        <f>ADDRESS(ROW($AM$22),COLUMN($AM$22))</f>
        <v>$AM$22</v>
      </c>
      <c r="AW8" s="138" t="str">
        <f ca="1">GetEnd($AV$1,AV8)</f>
        <v>$AM$34</v>
      </c>
      <c r="AX8" s="339" t="str">
        <f>ADDRESS(ROW($AO$22),COLUMN($AO$22))</f>
        <v>$AO$22</v>
      </c>
      <c r="AY8" s="138" t="str">
        <f t="shared" ca="1" si="8"/>
        <v>$AO$34</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10</v>
      </c>
      <c r="AL9" s="34">
        <v>6</v>
      </c>
      <c r="AM9" s="37">
        <f t="shared" si="0"/>
        <v>10010</v>
      </c>
      <c r="AN9" s="38">
        <f t="shared" si="1"/>
        <v>0</v>
      </c>
      <c r="AO9" s="39">
        <f t="shared" si="2"/>
        <v>3.4000000000000002E-2</v>
      </c>
      <c r="AP9" s="38">
        <f t="shared" si="3"/>
        <v>0</v>
      </c>
      <c r="AQ9" s="38">
        <f t="shared" si="4"/>
        <v>0</v>
      </c>
      <c r="AR9" s="133">
        <f t="shared" si="5"/>
        <v>0</v>
      </c>
      <c r="AS9" s="40">
        <f t="shared" si="6"/>
        <v>0.34300000000000003</v>
      </c>
      <c r="AT9" s="35">
        <f t="shared" si="7"/>
        <v>1</v>
      </c>
      <c r="AU9" s="361" t="s">
        <v>578</v>
      </c>
      <c r="AV9" s="339" t="str">
        <f>ADDRESS(ROW($AN$22),COLUMN($AN$22))</f>
        <v>$AN$22</v>
      </c>
      <c r="AW9" s="138" t="str">
        <f ca="1">GetEnd($AV$1,AV9)</f>
        <v>$AN$34</v>
      </c>
      <c r="AX9" s="339" t="str">
        <f>ADDRESS(ROW($AP$22),COLUMN($AP$22))</f>
        <v>$AP$22</v>
      </c>
      <c r="AY9" s="138" t="str">
        <f t="shared" ca="1" si="8"/>
        <v>$AP$34</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-288900.3317535774</v>
      </c>
      <c r="O10" s="352">
        <v>-288852.63</v>
      </c>
      <c r="P10" s="355">
        <f t="shared" ref="P10:P19" ca="1" si="9">N10-O10</f>
        <v>-47.701753577392083</v>
      </c>
      <c r="AF10" s="28"/>
      <c r="AG10" s="103" t="s">
        <v>142</v>
      </c>
      <c r="AH10" s="119" t="b">
        <f>GetGRIFactor($AH$12,$AH$13)</f>
        <v>0</v>
      </c>
      <c r="AI10" s="29"/>
      <c r="AJ10" s="29"/>
      <c r="AK10" s="29"/>
      <c r="AL10" s="34">
        <v>7</v>
      </c>
      <c r="AM10" s="37">
        <f t="shared" si="0"/>
        <v>10010</v>
      </c>
      <c r="AN10" s="38">
        <f t="shared" si="1"/>
        <v>0</v>
      </c>
      <c r="AO10" s="39">
        <f t="shared" si="2"/>
        <v>3.4000000000000002E-2</v>
      </c>
      <c r="AP10" s="38">
        <f t="shared" si="3"/>
        <v>0</v>
      </c>
      <c r="AQ10" s="38">
        <f t="shared" si="4"/>
        <v>0</v>
      </c>
      <c r="AR10" s="133">
        <f t="shared" si="5"/>
        <v>0</v>
      </c>
      <c r="AS10" s="40">
        <f t="shared" si="6"/>
        <v>0.34300000000000003</v>
      </c>
      <c r="AT10" s="35">
        <f t="shared" si="7"/>
        <v>1</v>
      </c>
      <c r="AU10" s="361" t="s">
        <v>577</v>
      </c>
      <c r="AV10" s="339" t="str">
        <f>ADDRESS(ROW($AS$22),COLUMN($AS$22))</f>
        <v>$AS$22</v>
      </c>
      <c r="AW10" s="138" t="str">
        <f ca="1">GetEnd($AV$1,AV10)</f>
        <v>$AS$34</v>
      </c>
      <c r="AX10" s="339" t="str">
        <f>ADDRESS(ROW($CC$22),COLUMN($CC$22))</f>
        <v>$CC$22</v>
      </c>
      <c r="AY10" s="138" t="str">
        <f t="shared" ca="1" si="8"/>
        <v>$CC$34</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10010</v>
      </c>
      <c r="AN11" s="38">
        <f t="shared" si="1"/>
        <v>0</v>
      </c>
      <c r="AO11" s="39">
        <f t="shared" si="2"/>
        <v>3.4000000000000002E-2</v>
      </c>
      <c r="AP11" s="38">
        <f t="shared" si="3"/>
        <v>0</v>
      </c>
      <c r="AQ11" s="38">
        <f t="shared" si="4"/>
        <v>0</v>
      </c>
      <c r="AR11" s="133">
        <f t="shared" si="5"/>
        <v>0</v>
      </c>
      <c r="AS11" s="40">
        <f t="shared" si="6"/>
        <v>0.34300000000000003</v>
      </c>
      <c r="AT11" s="35">
        <f t="shared" si="7"/>
        <v>1</v>
      </c>
      <c r="AU11" s="361" t="s">
        <v>579</v>
      </c>
      <c r="AV11" s="339" t="str">
        <f>ADDRESS(ROW($AQ$22),COLUMN($AQ$22))</f>
        <v>$AQ$22</v>
      </c>
      <c r="AW11" s="138" t="str">
        <f ca="1">GetEnd($AV$1,AV11)</f>
        <v>$AQ$34</v>
      </c>
      <c r="AX11" s="339" t="str">
        <f>ADDRESS(ROW($CD$22),COLUMN($CD$22))</f>
        <v>$CD$22</v>
      </c>
      <c r="AY11" s="138" t="str">
        <f t="shared" ca="1" si="8"/>
        <v>$CD$34</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25745.93</v>
      </c>
      <c r="P12" s="355">
        <f t="shared" ca="1" si="9"/>
        <v>-25745.93</v>
      </c>
      <c r="AG12" s="248" t="s">
        <v>185</v>
      </c>
      <c r="AH12" s="119" t="str">
        <f>GetDBPage($D$2)</f>
        <v>Contract DB (West)</v>
      </c>
      <c r="AL12" s="34">
        <v>9</v>
      </c>
      <c r="AM12" s="37">
        <f t="shared" si="0"/>
        <v>10010</v>
      </c>
      <c r="AN12" s="38">
        <f t="shared" si="1"/>
        <v>0</v>
      </c>
      <c r="AO12" s="39">
        <f t="shared" si="2"/>
        <v>3.4000000000000002E-2</v>
      </c>
      <c r="AP12" s="38">
        <f t="shared" si="3"/>
        <v>0</v>
      </c>
      <c r="AQ12" s="38">
        <f t="shared" si="4"/>
        <v>0</v>
      </c>
      <c r="AR12" s="133">
        <f t="shared" si="5"/>
        <v>0</v>
      </c>
      <c r="AS12" s="40">
        <f t="shared" si="6"/>
        <v>0.34300000000000003</v>
      </c>
      <c r="AT12" s="35">
        <f t="shared" si="7"/>
        <v>1</v>
      </c>
      <c r="AU12" s="361" t="s">
        <v>271</v>
      </c>
      <c r="AV12" s="339" t="str">
        <f>ADDRESS(ROW($X$22),COLUMN($X$22))</f>
        <v>$X$22</v>
      </c>
      <c r="AW12" s="138" t="str">
        <f t="shared" ref="AW12:AW17" ca="1" si="11">GetEnd($AV$1,AV12)</f>
        <v>$X$34</v>
      </c>
      <c r="AX12" s="339" t="str">
        <f>ADDRESS(ROW($CE$22),COLUMN($CE$22))</f>
        <v>$CE$22</v>
      </c>
      <c r="AY12" s="138" t="str">
        <f t="shared" ca="1" si="8"/>
        <v>$CE$34</v>
      </c>
    </row>
    <row r="13" spans="1:102" x14ac:dyDescent="0.25">
      <c r="A13" s="270" t="s">
        <v>224</v>
      </c>
      <c r="D13" s="170"/>
      <c r="E13" s="171"/>
      <c r="F13" s="172"/>
      <c r="G13" s="172"/>
      <c r="H13" s="173"/>
      <c r="L13" s="706" t="s">
        <v>155</v>
      </c>
      <c r="M13" s="707"/>
      <c r="N13" s="352">
        <f t="shared" ca="1" si="10"/>
        <v>0</v>
      </c>
      <c r="O13" s="352">
        <v>2071.64</v>
      </c>
      <c r="P13" s="355">
        <f t="shared" ca="1" si="9"/>
        <v>-2071.64</v>
      </c>
      <c r="AG13" s="248" t="s">
        <v>186</v>
      </c>
      <c r="AH13" s="119">
        <f>GetRecNdx($AH$12,$D$2)</f>
        <v>1</v>
      </c>
      <c r="AL13" s="34">
        <v>10</v>
      </c>
      <c r="AM13" s="37">
        <f t="shared" si="0"/>
        <v>10010</v>
      </c>
      <c r="AN13" s="38">
        <f t="shared" si="1"/>
        <v>0</v>
      </c>
      <c r="AO13" s="39">
        <f t="shared" si="2"/>
        <v>3.4000000000000002E-2</v>
      </c>
      <c r="AP13" s="38">
        <f t="shared" si="3"/>
        <v>0</v>
      </c>
      <c r="AQ13" s="38">
        <f t="shared" si="4"/>
        <v>0</v>
      </c>
      <c r="AR13" s="133">
        <f t="shared" si="5"/>
        <v>0</v>
      </c>
      <c r="AS13" s="40">
        <f t="shared" si="6"/>
        <v>0.34300000000000003</v>
      </c>
      <c r="AT13" s="35">
        <f t="shared" si="7"/>
        <v>1</v>
      </c>
      <c r="AU13" s="361" t="s">
        <v>155</v>
      </c>
      <c r="AV13" s="339" t="str">
        <f>ADDRESS(ROW($Y$22),COLUMN($Y$22))</f>
        <v>$Y$22</v>
      </c>
      <c r="AW13" s="138" t="str">
        <f t="shared" ca="1" si="11"/>
        <v>$Y$34</v>
      </c>
      <c r="AX13" s="339" t="str">
        <f>ADDRESS(ROW($CF$22),COLUMN($CF$22))</f>
        <v>$CF$22</v>
      </c>
      <c r="AY13" s="138" t="str">
        <f t="shared" ca="1" si="8"/>
        <v>$CF$34</v>
      </c>
    </row>
    <row r="14" spans="1:102" x14ac:dyDescent="0.25">
      <c r="A14" s="270" t="s">
        <v>224</v>
      </c>
      <c r="D14" s="170"/>
      <c r="E14" s="171"/>
      <c r="F14" s="172"/>
      <c r="G14" s="172"/>
      <c r="H14" s="173"/>
      <c r="K14" s="185"/>
      <c r="L14" s="706" t="s">
        <v>156</v>
      </c>
      <c r="M14" s="707"/>
      <c r="N14" s="352">
        <f t="shared" ca="1" si="10"/>
        <v>-1542.8296595136428</v>
      </c>
      <c r="O14" s="352">
        <v>-462.39</v>
      </c>
      <c r="P14" s="355">
        <f t="shared" ca="1" si="9"/>
        <v>-1080.4396595136427</v>
      </c>
      <c r="S14" s="181">
        <f>F22/(1-AR22)*AH22*AU22</f>
        <v>320755.84295942931</v>
      </c>
      <c r="T14" s="181">
        <f>F22*AH22*AU22</f>
        <v>309850.14429880871</v>
      </c>
      <c r="AL14" s="34">
        <v>11</v>
      </c>
      <c r="AM14" s="37">
        <f t="shared" si="0"/>
        <v>10010</v>
      </c>
      <c r="AN14" s="38">
        <f t="shared" si="1"/>
        <v>0</v>
      </c>
      <c r="AO14" s="39">
        <f t="shared" si="2"/>
        <v>3.4000000000000002E-2</v>
      </c>
      <c r="AP14" s="38">
        <f t="shared" si="3"/>
        <v>0</v>
      </c>
      <c r="AQ14" s="38">
        <f t="shared" si="4"/>
        <v>0</v>
      </c>
      <c r="AR14" s="133">
        <f t="shared" si="5"/>
        <v>0</v>
      </c>
      <c r="AS14" s="40">
        <f t="shared" si="6"/>
        <v>0.34300000000000003</v>
      </c>
      <c r="AT14" s="35">
        <f t="shared" si="7"/>
        <v>1</v>
      </c>
      <c r="AU14" s="361" t="s">
        <v>156</v>
      </c>
      <c r="AV14" s="339" t="str">
        <f>ADDRESS(ROW($Z$22),COLUMN($Z$22))</f>
        <v>$Z$22</v>
      </c>
      <c r="AW14" s="138" t="str">
        <f t="shared" ca="1" si="11"/>
        <v>$Z$34</v>
      </c>
      <c r="AX14" s="353" t="str">
        <f ca="1">CONCATENATE(AX8,":",AY8)</f>
        <v>$AO$22:$AO$34</v>
      </c>
      <c r="AY14" s="353" t="str">
        <f ca="1">CONCATENATE(AX10,":",AY10)</f>
        <v>$CC$22:$CC$34</v>
      </c>
    </row>
    <row r="15" spans="1:102" ht="13.8" thickBot="1" x14ac:dyDescent="0.3">
      <c r="A15" s="270" t="s">
        <v>224</v>
      </c>
      <c r="D15" s="170"/>
      <c r="E15" s="171"/>
      <c r="F15" s="172"/>
      <c r="G15" s="172"/>
      <c r="H15" s="173"/>
      <c r="L15" s="706" t="s">
        <v>157</v>
      </c>
      <c r="M15" s="707"/>
      <c r="N15" s="352">
        <f t="shared" ca="1" si="10"/>
        <v>934.35713325510778</v>
      </c>
      <c r="O15" s="352">
        <v>1068.26</v>
      </c>
      <c r="P15" s="355">
        <f t="shared" ca="1" si="9"/>
        <v>-133.90286674489221</v>
      </c>
      <c r="AL15" s="34">
        <v>12</v>
      </c>
      <c r="AM15" s="41">
        <f t="shared" si="0"/>
        <v>10010</v>
      </c>
      <c r="AN15" s="42">
        <f t="shared" si="1"/>
        <v>0</v>
      </c>
      <c r="AO15" s="43">
        <f t="shared" si="2"/>
        <v>3.4000000000000002E-2</v>
      </c>
      <c r="AP15" s="42">
        <f t="shared" si="3"/>
        <v>0</v>
      </c>
      <c r="AQ15" s="42">
        <f t="shared" si="4"/>
        <v>0</v>
      </c>
      <c r="AR15" s="134">
        <f t="shared" si="5"/>
        <v>0</v>
      </c>
      <c r="AS15" s="44">
        <f t="shared" si="6"/>
        <v>0.34300000000000003</v>
      </c>
      <c r="AT15" s="35">
        <f t="shared" si="7"/>
        <v>1</v>
      </c>
      <c r="AU15" s="363" t="s">
        <v>157</v>
      </c>
      <c r="AV15" s="339" t="str">
        <f>ADDRESS(ROW($AA$22),COLUMN($AA$22))</f>
        <v>$AA$22</v>
      </c>
      <c r="AW15" s="138" t="str">
        <f t="shared" ca="1" si="11"/>
        <v>$AA$34</v>
      </c>
      <c r="AX15" s="353" t="str">
        <f ca="1">CONCATENATE(AV8,":",AW8)</f>
        <v>$AM$22:$AM$34</v>
      </c>
      <c r="AY15" s="353" t="str">
        <f ca="1">CONCATENATE(AX11,":",AY11)</f>
        <v>$CD$22:$CD$34</v>
      </c>
    </row>
    <row r="16" spans="1:102" x14ac:dyDescent="0.25">
      <c r="D16" s="174"/>
      <c r="E16" s="175"/>
      <c r="F16" s="176"/>
      <c r="G16" s="176"/>
      <c r="H16" s="177"/>
      <c r="L16" s="706" t="s">
        <v>158</v>
      </c>
      <c r="M16" s="707"/>
      <c r="N16" s="352">
        <f t="shared" ca="1" si="10"/>
        <v>0</v>
      </c>
      <c r="O16" s="352">
        <v>50.75</v>
      </c>
      <c r="P16" s="355">
        <f t="shared" ca="1" si="9"/>
        <v>-50.75</v>
      </c>
      <c r="AU16" s="361" t="s">
        <v>158</v>
      </c>
      <c r="AV16" s="339" t="str">
        <f>ADDRESS(ROW($AB$22),COLUMN($AB$22))</f>
        <v>$AB$22</v>
      </c>
      <c r="AW16" s="138" t="str">
        <f t="shared" ca="1" si="11"/>
        <v>$AB$34</v>
      </c>
      <c r="AX16" s="353" t="str">
        <f ca="1">CONCATENATE(AX9,":",AY9)</f>
        <v>$AP$22:$AP$34</v>
      </c>
      <c r="AY16" s="353" t="str">
        <f ca="1">CONCATENATE(AX12,":",AY12)</f>
        <v>$CE$22:$CE$34</v>
      </c>
      <c r="CM16" s="268"/>
    </row>
    <row r="17" spans="1:118" x14ac:dyDescent="0.25">
      <c r="D17" s="171"/>
      <c r="E17" s="171"/>
      <c r="F17" s="172"/>
      <c r="G17" s="172"/>
      <c r="H17" s="172"/>
      <c r="L17" s="704" t="s">
        <v>211</v>
      </c>
      <c r="M17" s="705"/>
      <c r="N17" s="356">
        <f t="shared" ca="1" si="10"/>
        <v>71.2540101772952</v>
      </c>
      <c r="O17" s="357">
        <v>21.87</v>
      </c>
      <c r="P17" s="358">
        <f t="shared" ca="1" si="9"/>
        <v>49.384010177295195</v>
      </c>
      <c r="AU17" s="361" t="s">
        <v>211</v>
      </c>
      <c r="AV17" s="339" t="str">
        <f>ADDRESS(ROW($AC$22),COLUMN($AC$22))</f>
        <v>$AC$22</v>
      </c>
      <c r="AW17" s="138" t="str">
        <f t="shared" ca="1" si="11"/>
        <v>$AC$34</v>
      </c>
      <c r="AX17" s="353" t="str">
        <f ca="1">CONCATENATE(AV9,":",AW9)</f>
        <v>$AN$22:$AN$34</v>
      </c>
      <c r="AY17" s="353" t="str">
        <f ca="1">CONCATENATE(AX13,":",AY13)</f>
        <v>$CF$22:$CF$34</v>
      </c>
      <c r="CM17" s="268"/>
      <c r="CZ17" s="728" t="s">
        <v>4</v>
      </c>
      <c r="DA17" s="729"/>
      <c r="DB17" s="730"/>
      <c r="DC17" s="728" t="s">
        <v>4</v>
      </c>
      <c r="DD17" s="729"/>
      <c r="DE17" s="730"/>
      <c r="DF17" s="728" t="s">
        <v>615</v>
      </c>
      <c r="DG17" s="729"/>
      <c r="DH17" s="730"/>
      <c r="DI17" s="728" t="s">
        <v>615</v>
      </c>
      <c r="DJ17" s="729"/>
      <c r="DK17" s="730"/>
      <c r="DL17" s="728" t="s">
        <v>610</v>
      </c>
      <c r="DM17" s="729"/>
      <c r="DN17" s="730"/>
    </row>
    <row r="18" spans="1:118" x14ac:dyDescent="0.25">
      <c r="D18" s="171"/>
      <c r="E18" s="171"/>
      <c r="F18" s="172"/>
      <c r="G18" s="172"/>
      <c r="H18" s="172"/>
      <c r="L18" s="706" t="s">
        <v>623</v>
      </c>
      <c r="M18" s="707"/>
      <c r="N18" s="352">
        <f ca="1">SUMPRODUCT(INDIRECT(CONCATENATE(AX4,":",AY4)),INDIRECT(CONCATENATE($AV$2,":",$AW$2)),INDIRECT(CONCATENATE($AV$3,":",$AW$3)))</f>
        <v>357507.31109579158</v>
      </c>
      <c r="O18" s="352">
        <v>357445.72</v>
      </c>
      <c r="P18" s="355">
        <f t="shared" ca="1" si="9"/>
        <v>61.591095791605767</v>
      </c>
      <c r="AU18" s="361"/>
      <c r="AV18" s="339"/>
      <c r="AW18" s="138"/>
      <c r="AX18" s="339" t="str">
        <f>ADDRESS(ROW($CI$22),COLUMN($CI$22))</f>
        <v>$CI$22</v>
      </c>
      <c r="AY18" s="138" t="str">
        <f ca="1">GetEnd($AV$1,AX18)</f>
        <v>$CI$34</v>
      </c>
      <c r="CM18" s="268"/>
      <c r="CZ18" s="418"/>
      <c r="DA18" s="419"/>
      <c r="DB18" s="420"/>
      <c r="DC18" s="418"/>
      <c r="DD18" s="419"/>
      <c r="DE18" s="420"/>
      <c r="DF18" s="418"/>
      <c r="DG18" s="419"/>
      <c r="DH18" s="420"/>
      <c r="DI18" s="418"/>
      <c r="DJ18" s="419"/>
      <c r="DK18" s="419"/>
      <c r="DL18" s="418"/>
      <c r="DM18" s="419"/>
      <c r="DN18" s="420"/>
    </row>
    <row r="19" spans="1:118" x14ac:dyDescent="0.25">
      <c r="D19" s="171"/>
      <c r="E19" s="171"/>
      <c r="F19" s="172"/>
      <c r="G19" s="172"/>
      <c r="H19" s="172"/>
      <c r="L19" s="724" t="s">
        <v>624</v>
      </c>
      <c r="M19" s="725"/>
      <c r="N19" s="359">
        <f ca="1">SUMPRODUCT(INDIRECT(CONCATENATE(AX5,":",AY5)),INDIRECT(CONCATENATE($AV$2,":",$AW$2)),INDIRECT(CONCATENATE($AV$3,":",$AW$3)))</f>
        <v>56052.566955186834</v>
      </c>
      <c r="O19" s="359">
        <v>56607.1</v>
      </c>
      <c r="P19" s="360">
        <f t="shared" ca="1" si="9"/>
        <v>-554.53304481316445</v>
      </c>
      <c r="AU19" s="361"/>
      <c r="AV19" s="339"/>
      <c r="AW19" s="138"/>
      <c r="CM19" s="268"/>
      <c r="CZ19" s="418"/>
      <c r="DA19" s="419"/>
      <c r="DB19" s="420"/>
      <c r="DC19" s="418"/>
      <c r="DD19" s="419"/>
      <c r="DE19" s="420"/>
      <c r="DF19" s="418"/>
      <c r="DG19" s="419"/>
      <c r="DH19" s="420"/>
      <c r="DI19" s="418"/>
      <c r="DJ19" s="419"/>
      <c r="DK19" s="419"/>
      <c r="DL19" s="418"/>
      <c r="DM19" s="419"/>
      <c r="DN19" s="420"/>
    </row>
    <row r="20" spans="1:118" ht="14.25" customHeight="1" x14ac:dyDescent="0.25">
      <c r="D20" s="265"/>
      <c r="E20" s="156"/>
      <c r="F20" s="157"/>
      <c r="G20" s="157"/>
      <c r="H20" s="148"/>
      <c r="I20" s="148"/>
      <c r="J20" s="147"/>
      <c r="K20" s="147"/>
      <c r="L20" s="147"/>
      <c r="M20" s="147"/>
      <c r="N20" s="147"/>
      <c r="O20" s="147"/>
      <c r="P20" s="157"/>
      <c r="Q20" s="158"/>
      <c r="R20" s="158"/>
      <c r="S20" s="182" t="str">
        <f>GetRcptBasis($AH$12,$AH$13)</f>
        <v>CGPR-KINGSGATE Basis Mid</v>
      </c>
      <c r="T20" s="182" t="str">
        <f>GetDelBasis($AH$12,$AH$13)</f>
        <v>NGI-MALIN Basis Mid</v>
      </c>
      <c r="U20" s="158"/>
      <c r="V20" s="158"/>
      <c r="W20" s="158"/>
      <c r="X20" s="158"/>
      <c r="Y20" s="335"/>
      <c r="Z20" s="335"/>
      <c r="AA20" s="335"/>
      <c r="AB20" s="335"/>
      <c r="AC20" s="335"/>
      <c r="AI20" s="138"/>
      <c r="AM20" s="702" t="str">
        <f>GetRcptPoint($AH$12,$AH$13)</f>
        <v>Kingsgate</v>
      </c>
      <c r="AN20" s="703"/>
      <c r="AO20" s="702" t="str">
        <f>GetDelPoint($AH$12,$AH$13)</f>
        <v>Malin</v>
      </c>
      <c r="AP20" s="703"/>
      <c r="AQ20" s="137"/>
      <c r="AS20" s="137"/>
      <c r="AU20" s="136" t="s">
        <v>576</v>
      </c>
      <c r="AV20" s="353">
        <f ca="1">SUMPRODUCT(INDIRECT(CONCATENATE(AV8,":",AW8)),INDIRECT(CONCATENATE($AV$2,":",$AW$2)),INDIRECT(CONCATENATE($AV$3,":",$AW$3)),INDIRECT(CONCATENATE(AX3,":",AY3)))</f>
        <v>-656806.14999999991</v>
      </c>
      <c r="AW20" s="353">
        <f ca="1">SUMPRODUCT(INDIRECT(CONCATENATE(AX8,":",AY8)),INDIRECT(CONCATENATE($AV$2,":",$AW$2)),INDIRECT(CONCATENATE($AV$3,":",$AW$3)),INDIRECT(CONCATENATE(AX3,":",AY3)))</f>
        <v>-148248.1</v>
      </c>
      <c r="AX20" s="353">
        <f ca="1">SUMPRODUCT(INDIRECT(CONCATENATE(AV9,":",AW9)),INDIRECT(CONCATENATE($AV$2,":",$AW$2)),INDIRECT(CONCATENATE($AV$3,":",$AW$3)),INDIRECT(CONCATENATE(AX3,":",AY3)))</f>
        <v>0</v>
      </c>
      <c r="AY20" s="353">
        <f ca="1">SUMPRODUCT(INDIRECT(CONCATENATE(AX9,":",AY9)),INDIRECT(CONCATENATE($AV$2,":",$AW$2)),INDIRECT(CONCATENATE($AV$3,":",$AW$3)),INDIRECT(CONCATENATE(AX3,":",AY3)))</f>
        <v>60860.800000000003</v>
      </c>
      <c r="CZ20" s="731" t="s">
        <v>611</v>
      </c>
      <c r="DA20" s="732"/>
      <c r="DB20" s="733"/>
      <c r="DC20" s="731" t="s">
        <v>612</v>
      </c>
      <c r="DD20" s="732"/>
      <c r="DE20" s="733"/>
      <c r="DF20" s="731" t="s">
        <v>611</v>
      </c>
      <c r="DG20" s="732"/>
      <c r="DH20" s="733"/>
      <c r="DI20" s="731" t="s">
        <v>612</v>
      </c>
      <c r="DJ20" s="732"/>
      <c r="DK20" s="732"/>
      <c r="DL20" s="397">
        <f>SUM(DL22:DL35)</f>
        <v>0</v>
      </c>
      <c r="DM20" s="398">
        <f>SUM(DM22:DM35)</f>
        <v>0</v>
      </c>
      <c r="DN20" s="399">
        <f>SUM(DN22:DN35)</f>
        <v>0</v>
      </c>
    </row>
    <row r="21" spans="1:118"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Z21" s="400" t="s">
        <v>574</v>
      </c>
      <c r="DA21" s="401" t="s">
        <v>613</v>
      </c>
      <c r="DB21" s="402" t="s">
        <v>614</v>
      </c>
      <c r="DC21" s="400" t="s">
        <v>574</v>
      </c>
      <c r="DD21" s="401" t="s">
        <v>613</v>
      </c>
      <c r="DE21" s="402" t="s">
        <v>614</v>
      </c>
      <c r="DF21" s="400" t="s">
        <v>574</v>
      </c>
      <c r="DG21" s="401" t="s">
        <v>613</v>
      </c>
      <c r="DH21" s="402" t="s">
        <v>614</v>
      </c>
      <c r="DI21" s="400" t="s">
        <v>574</v>
      </c>
      <c r="DJ21" s="401" t="s">
        <v>613</v>
      </c>
      <c r="DK21" s="401" t="s">
        <v>614</v>
      </c>
      <c r="DL21" s="400" t="s">
        <v>574</v>
      </c>
      <c r="DM21" s="401" t="s">
        <v>613</v>
      </c>
      <c r="DN21" s="402" t="s">
        <v>614</v>
      </c>
    </row>
    <row r="22" spans="1:118" x14ac:dyDescent="0.25">
      <c r="A22" s="723"/>
      <c r="B22" s="723"/>
      <c r="D22" s="31">
        <f>G7+OffsetDays</f>
        <v>37271</v>
      </c>
      <c r="F22" s="28">
        <f>VLOOKUP(AG22,$AL$4:$AS$15,2)</f>
        <v>10010</v>
      </c>
      <c r="G22" s="28">
        <f t="shared" ref="G22:G34" si="12">F22*$AU22</f>
        <v>9995.1659451228625</v>
      </c>
      <c r="H22" s="52">
        <f>(AL22+AM22+AN22)/(1-(AR22))</f>
        <v>3.008281573498965</v>
      </c>
      <c r="I22" s="52">
        <f>(AL22+AO22+AP22)</f>
        <v>2.851</v>
      </c>
      <c r="K22" s="52">
        <f>MAX(((I22-H22)-AQ22)*AU22*AH22,0)</f>
        <v>0</v>
      </c>
      <c r="L22" s="135">
        <f>MAX(Q22-K22,0)</f>
        <v>0.33623981218315663</v>
      </c>
      <c r="N22" s="131">
        <f>SQRT(($AX22^2*($AH22/2)+$AW22^2*$AI22)/(($AH22/2)+$AI22))</f>
        <v>1.1636721131337837</v>
      </c>
      <c r="O22" s="131">
        <f>SQRT(($AY22^2*($AH22/2)+$AW22^2*$AI22)/(($AH22/2)+$AI22))</f>
        <v>1.0334004032525936</v>
      </c>
      <c r="P22" s="55">
        <f>(VLOOKUP(AI22,CorrelationTwo,2)*(AW22^2)*AI22+VLOOKUP(D22,CorrelationOne,$AK$9)*AX22*AY22*(AH22/2))/((AI22+(AH22/2))*O22*N22)*AF22</f>
        <v>0.99373370923758408</v>
      </c>
      <c r="Q22" s="135">
        <f>_xll.xSPRDOPT(I22,H22,AQ22,0,O22,N22,P22,D22-$G$5,1,0)*AH22*AU22</f>
        <v>0.33623981218315663</v>
      </c>
      <c r="R22" s="135"/>
      <c r="S22" s="181">
        <f>_xll.xSPRDOPT(I22,H22,AQ22,AT22,O22,N22,P22,D22-$G$5,1,2)*AF22*(F22/(1-AR22))*AH22</f>
        <v>-44227.290938779464</v>
      </c>
      <c r="T22" s="181">
        <f>_xll.xSPRDOPT(I22,H22,AQ22,AT22,O22,N22,P22,D22-$G$5,1,1)*AF22*F22*AH22</f>
        <v>46261.048301106981</v>
      </c>
      <c r="U22" s="135"/>
      <c r="V22" s="146">
        <f>VLOOKUP($AG22,$AL$4:$AS$15,8)*AH22*AU22</f>
        <v>10.617242706742397</v>
      </c>
      <c r="W22" s="146"/>
      <c r="X22" s="338">
        <f>((BM22*BC22)+(BL22*BB22))*AH22*F22</f>
        <v>0</v>
      </c>
      <c r="Y22" s="338">
        <f t="shared" ref="Y22:Y34" si="13">($F22*$AH22)*((($BG22/2)*($BC22)^2)+(($BF22/2)*($BB22)^2)+($BH22*$BC22*$BB22))</f>
        <v>0</v>
      </c>
      <c r="Z22" s="338">
        <f t="shared" ref="Z22:Z34" si="14">($BI22*$F22*$AH22*($G$5-$BV$5))/365.25</f>
        <v>-511.07641403445695</v>
      </c>
      <c r="AA22" s="338">
        <f t="shared" ref="AA22:AA34" si="15">(($BK22*$BE22)+($BJ22*$BD22))*$F22*$AH22*$AF22</f>
        <v>512.17864658147482</v>
      </c>
      <c r="AB22" s="338">
        <f>BN22*(AT22-CA22)*F22*AH22</f>
        <v>0</v>
      </c>
      <c r="AC22" s="338">
        <f>BO22*CB22*F22*AH22*CA22*($G$5-$BV$5)/365.25</f>
        <v>0.5597127447888629</v>
      </c>
      <c r="AF22" s="138">
        <f>IF(AND(D22&gt;=$G$7,D22&lt;=$G$8),1,0)</f>
        <v>1</v>
      </c>
      <c r="AG22" s="138">
        <f>MONTH(D22)</f>
        <v>1</v>
      </c>
      <c r="AH22" s="138">
        <f t="shared" ref="AH22:AH34" si="16">(EOMONTH(D22,0)-EOMONTH(D22-DAY(D22),0))*AF22</f>
        <v>31</v>
      </c>
      <c r="AI22" s="138">
        <f>MAX(0,(D22-DAY(D22))-$G$5+1)</f>
        <v>15</v>
      </c>
      <c r="AJ22" s="138">
        <f>D22-$BV$5</f>
        <v>32</v>
      </c>
      <c r="AL22" s="136">
        <f t="shared" ref="AL22:AL34" si="17">VLOOKUP($D22,CurveTbl,$AK$4)</f>
        <v>2.8460000000000001</v>
      </c>
      <c r="AM22" s="258">
        <f t="shared" ref="AM22:AM34" si="18">VLOOKUP($D22,CurveTbl,$AH$3)</f>
        <v>0.06</v>
      </c>
      <c r="AN22" s="258">
        <f t="shared" ref="AN22:AN34" si="19">VLOOKUP($D22,CurveTbl,$AH$4)+VLOOKUP($AG22,$AL$3:$AS$15,6)</f>
        <v>0</v>
      </c>
      <c r="AO22" s="258">
        <f t="shared" ref="AO22:AO34" si="20">VLOOKUP($D22,CurveTbl,$AH$5)</f>
        <v>-1.4999999999999999E-2</v>
      </c>
      <c r="AP22" s="258">
        <f t="shared" ref="AP22:AP34" si="21">VLOOKUP($D22,CurveTbl,$AH$6)+VLOOKUP($AG22,$AL$3:$AS$15,7)</f>
        <v>0.02</v>
      </c>
      <c r="AQ22" s="136">
        <f>VLOOKUP($AG22,$AL$4:$AS$15,3)+VLOOKUP($AG22,$AL$4:$AS$15,5)+($AH$10*VLOOKUP(D22,GRITable,2))</f>
        <v>0</v>
      </c>
      <c r="AR22" s="137">
        <f t="shared" ref="AR22:AR34" si="22">VLOOKUP($AG22,$AL$4:$AS$15,4)</f>
        <v>3.4000000000000002E-2</v>
      </c>
      <c r="AS22" s="136">
        <f>(AL22+AM22+AN22)</f>
        <v>2.9060000000000001</v>
      </c>
      <c r="AT22" s="137">
        <f>VLOOKUP(D22,CurveTbl,$AK$6)</f>
        <v>1.8765908157160699E-2</v>
      </c>
      <c r="AU22" s="137">
        <f t="shared" ref="AU22:AU34" si="23">(1+$AT22/2)^(-2*($D22-$G$5)/365.25)*$AF22</f>
        <v>0.99851807643585033</v>
      </c>
      <c r="AV22" s="394">
        <f>ROUND((F22/(1-AR22))-F22,0)*AF22*AH22*AU22</f>
        <v>10895.829250067998</v>
      </c>
      <c r="AW22" s="137">
        <f t="shared" ref="AW22:AW34" si="24">VLOOKUP($D22,CurveTbl,$AK$8)</f>
        <v>0.87</v>
      </c>
      <c r="AX22" s="137">
        <f t="shared" ref="AX22:AX34" si="25">VLOOKUP($D22,CurveTbl,$AH$7)</f>
        <v>1.39</v>
      </c>
      <c r="AY22" s="137">
        <f t="shared" ref="AY22:AY34" si="26">VLOOKUP($D22,CurveTbl,$AH$8)</f>
        <v>1.17</v>
      </c>
      <c r="AZ22" s="137"/>
      <c r="BA22" s="264"/>
      <c r="BB22" s="258">
        <f t="shared" ref="BB22:BB34" si="27">$H22-$BV22</f>
        <v>0</v>
      </c>
      <c r="BC22" s="258">
        <f>I22-BW22</f>
        <v>0</v>
      </c>
      <c r="BD22" s="137">
        <f>N22-BX22</f>
        <v>2.3212006978665656E-2</v>
      </c>
      <c r="BE22" s="137">
        <f>O22-BY22</f>
        <v>1.3565034624657857E-2</v>
      </c>
      <c r="BF22" s="137">
        <f>_xll.xSPRDOPT($BW22,$BV22,$CG22,0,$BY22,$BX22,$BZ22,$AJ22,1,4)*$CB22</f>
        <v>1.4532140601629382</v>
      </c>
      <c r="BG22" s="137">
        <f>_xll.xSPRDOPT($BW22,$BV22,$CG22,0,$BY22,$BX22,$BZ22,$AJ22,1,3)*$CB22</f>
        <v>1.6179762537959019</v>
      </c>
      <c r="BH22" s="137">
        <f>IF(OR(BF22&lt;&gt;0,BG22&lt;&gt;0),_xll.xSPRDOPT($BW22,$BV22,$CG22,0,$BY22,$BX22,$BZ22,$AJ22,1,12)*$CB22,0)</f>
        <v>-1.5333834230209216</v>
      </c>
      <c r="BI22" s="137">
        <f>_xll.xSPRDOPT($BW22,$BV22,$CG22,2*LN(1+CA22/2),$BY22,$BX22,$BZ22,$AJ22,1,9)</f>
        <v>-0.20052061940864016</v>
      </c>
      <c r="BJ22" s="137">
        <f>_xll.xSPRDOPT($BW22,$BV22,$CG22,0,$BY22,$BX22,$BZ22,$AJ22,1,6)*$CB22</f>
        <v>0.14705369015177008</v>
      </c>
      <c r="BK22" s="137">
        <f>_xll.xSPRDOPT($BW22,$BV22,$CG22,0,$BY22,$BX22,$BZ22,$AJ22,1,5)*$CB22</f>
        <v>-0.12995710567225174</v>
      </c>
      <c r="BL22" s="137">
        <f>_xll.xSPRDOPT(BW22,BV22,CG22,0,BY22,BX22,BZ22,AJ22,1,2)*CB22</f>
        <v>-0.14338463152610689</v>
      </c>
      <c r="BM22" s="137">
        <f>_xll.xSPRDOPT(BW22,BV22,CG22,0,BY22,BX22,BZ22,AJ22,1,1)*CB22</f>
        <v>0.1553993647642016</v>
      </c>
      <c r="BN22" s="137">
        <f>IF(AH22&lt;&gt;0,_xll.xSPRDOPT($BW22,$BV22,$CG22,2*LN(1+CA22/2),$BY22,$BX22,$BZ22,$AJ22,1,8)+(AJ22/365.25)*CH22/AH22,0)</f>
        <v>2.8976267274232709E-2</v>
      </c>
      <c r="BO22" s="137">
        <f>_xll.xSPRDOPT($BW22,$BV22,$CG22,0,$BY22,$BX22,$BZ22,$AJ22,1,0)</f>
        <v>1.1721400476963163E-2</v>
      </c>
      <c r="BP22" s="137"/>
      <c r="BQ22" s="137"/>
      <c r="BR22" s="137"/>
      <c r="BS22" s="137"/>
      <c r="BV22" s="262">
        <v>3.008281573498965</v>
      </c>
      <c r="BW22" s="136">
        <v>2.851</v>
      </c>
      <c r="BX22" s="137">
        <v>1.1404601061551181</v>
      </c>
      <c r="BY22" s="137">
        <v>1.0198353686279358</v>
      </c>
      <c r="BZ22" s="137">
        <v>0.99313137017111375</v>
      </c>
      <c r="CA22" s="137">
        <v>1.8765908157160699E-2</v>
      </c>
      <c r="CB22" s="137">
        <v>0.99836489939579565</v>
      </c>
      <c r="CC22" s="258">
        <v>0.06</v>
      </c>
      <c r="CD22" s="258">
        <v>0</v>
      </c>
      <c r="CE22" s="258">
        <v>-1.4999999999999999E-2</v>
      </c>
      <c r="CF22" s="258">
        <v>0.02</v>
      </c>
      <c r="CG22" s="258">
        <v>0</v>
      </c>
      <c r="CH22" s="258">
        <v>10.615613975275496</v>
      </c>
      <c r="CI22" s="258">
        <v>2.8460000000000001</v>
      </c>
      <c r="CZ22" s="403">
        <f t="shared" ref="CZ22:CZ34" si="28">AL22</f>
        <v>2.8460000000000001</v>
      </c>
      <c r="DA22" s="404">
        <f t="shared" ref="DA22:DB34" si="29">AO22</f>
        <v>-1.4999999999999999E-2</v>
      </c>
      <c r="DB22" s="405">
        <f t="shared" si="29"/>
        <v>0.02</v>
      </c>
      <c r="DC22" s="403">
        <f t="shared" ref="DC22:DC34" si="30">CI22</f>
        <v>2.8460000000000001</v>
      </c>
      <c r="DD22" s="404">
        <f t="shared" ref="DD22:DE34" si="31">CE22</f>
        <v>-1.4999999999999999E-2</v>
      </c>
      <c r="DE22" s="405">
        <f t="shared" si="31"/>
        <v>0.02</v>
      </c>
      <c r="DF22" s="403">
        <f t="shared" ref="DF22:DF34" si="32">AL22/(1-AR22)</f>
        <v>2.946169772256729</v>
      </c>
      <c r="DG22" s="404">
        <f t="shared" ref="DG22:DG34" si="33">AM22/(1-AR22)</f>
        <v>6.2111801242236024E-2</v>
      </c>
      <c r="DH22" s="405">
        <f t="shared" ref="DH22:DH34" si="34">AN22/(1-AR22)</f>
        <v>0</v>
      </c>
      <c r="DI22" s="403">
        <f t="shared" ref="DI22:DI34" si="35">CI22/(1-AR22)</f>
        <v>2.946169772256729</v>
      </c>
      <c r="DJ22" s="404">
        <f t="shared" ref="DJ22:DJ34" si="36">CC22/(1-AR22)</f>
        <v>6.2111801242236024E-2</v>
      </c>
      <c r="DK22" s="404">
        <f t="shared" ref="DK22:DK34" si="37">CD22/(1-AR22)</f>
        <v>0</v>
      </c>
      <c r="DL22" s="397">
        <f t="shared" ref="DL22:DN34" si="38">(($BM22*(CZ22-DC22))+($BL22*(DF22-DI22)))*$AH22*$AF22*$F22</f>
        <v>0</v>
      </c>
      <c r="DM22" s="398">
        <f t="shared" si="38"/>
        <v>0</v>
      </c>
      <c r="DN22" s="399">
        <f t="shared" si="38"/>
        <v>0</v>
      </c>
    </row>
    <row r="23" spans="1:118" x14ac:dyDescent="0.25">
      <c r="A23" s="723"/>
      <c r="B23" s="723"/>
      <c r="D23" s="31">
        <f>D22+AH22</f>
        <v>37302</v>
      </c>
      <c r="F23" s="28">
        <f>VLOOKUP(AG23,$AL$4:$AS$15,2)</f>
        <v>10010</v>
      </c>
      <c r="G23" s="28">
        <f t="shared" si="12"/>
        <v>9978.4233918113314</v>
      </c>
      <c r="H23" s="52">
        <f>(AL23+AM23+AN23)/(1-(AR23))</f>
        <v>3.0000000000000004</v>
      </c>
      <c r="I23" s="52">
        <f>(AL23+AO23+AP23)</f>
        <v>2.8780000000000001</v>
      </c>
      <c r="K23" s="52">
        <f t="shared" ref="K23:K34" si="39">MAX(((I23-H23)-AQ23)*AU23*AH23,0)</f>
        <v>0</v>
      </c>
      <c r="L23" s="135">
        <f t="shared" ref="L23:L34" si="40">MAX(Q23-K23,0)</f>
        <v>0.53531344641411405</v>
      </c>
      <c r="N23" s="131">
        <f t="shared" ref="N23:N34" si="41">SQRT(($AX23^2*($AH23/2)+$AW23^2*$AI23)/(($AH23/2)+$AI23))</f>
        <v>1.0121573494274494</v>
      </c>
      <c r="O23" s="131">
        <f t="shared" ref="O23:O34" si="42">SQRT(($AY23^2*($AH23/2)+$AW23^2*$AI23)/(($AH23/2)+$AI23))</f>
        <v>0.94501278650961462</v>
      </c>
      <c r="P23" s="55">
        <f t="shared" ref="P23:P34" si="43">(VLOOKUP(AI23,CorrelationTwo,2)*(AW23^2)*AI23+VLOOKUP(D23,CorrelationOne,$AK$9)*AX23*AY23*(AH23/2))/((AI23+(AH23/2))*O23*N23)*AF23</f>
        <v>0.99345462036654886</v>
      </c>
      <c r="Q23" s="135">
        <f>_xll.xSPRDOPT(I23,H23,AQ23,0,O23,N23,P23,D23-$G$5,1,0)*AH23*AU23</f>
        <v>0.53531344641411405</v>
      </c>
      <c r="R23" s="135"/>
      <c r="S23" s="181">
        <f>_xll.xSPRDOPT(I23,H23,AQ23,AT23,O23,N23,P23,D23-$G$5,1,2)*AF23*(F23/(1-AR23))*AH23</f>
        <v>-60324.056536328499</v>
      </c>
      <c r="T23" s="181">
        <f>_xll.xSPRDOPT(I23,H23,AQ23,AT23,O23,N23,P23,D23-$G$5,1,1)*AF23*F23*AH23</f>
        <v>62605.11606282428</v>
      </c>
      <c r="U23" s="135"/>
      <c r="V23" s="146">
        <f>VLOOKUP($AG23,$AL$4:$AS$15,8)*AH23*AU23</f>
        <v>9.5737041213742291</v>
      </c>
      <c r="W23" s="146"/>
      <c r="X23" s="338">
        <f>((BM23*BC23)+(BL23*BB23))*AH23*F23</f>
        <v>0</v>
      </c>
      <c r="Y23" s="338">
        <f t="shared" si="13"/>
        <v>0</v>
      </c>
      <c r="Z23" s="338">
        <f t="shared" si="14"/>
        <v>-307.41563900013739</v>
      </c>
      <c r="AA23" s="338">
        <f t="shared" si="15"/>
        <v>194.15370857715817</v>
      </c>
      <c r="AB23" s="338">
        <f>BN23*(AT23-CA23)*F23*AH23</f>
        <v>0</v>
      </c>
      <c r="AC23" s="338">
        <f>BO23*CB23*F23*AH23*CA23*($G$5-$BV$5)/365.25</f>
        <v>0.87259146686361888</v>
      </c>
      <c r="AF23" s="138">
        <f>IF(AND(D23&gt;=$G$7,D23&lt;=$G$8),1,0)</f>
        <v>1</v>
      </c>
      <c r="AG23" s="138">
        <f>MONTH(D23)</f>
        <v>2</v>
      </c>
      <c r="AH23" s="138">
        <f t="shared" si="16"/>
        <v>28</v>
      </c>
      <c r="AI23" s="138">
        <f>AI22+AH22</f>
        <v>46</v>
      </c>
      <c r="AJ23" s="138">
        <f>D23-$BV$5</f>
        <v>63</v>
      </c>
      <c r="AL23" s="136">
        <f t="shared" si="17"/>
        <v>2.9079999999999999</v>
      </c>
      <c r="AM23" s="258">
        <f t="shared" si="18"/>
        <v>-0.01</v>
      </c>
      <c r="AN23" s="258">
        <f t="shared" si="19"/>
        <v>0</v>
      </c>
      <c r="AO23" s="258">
        <f t="shared" si="20"/>
        <v>-0.05</v>
      </c>
      <c r="AP23" s="258">
        <f t="shared" si="21"/>
        <v>0.02</v>
      </c>
      <c r="AQ23" s="136">
        <f>VLOOKUP($AG23,$AL$4:$AS$15,3)+VLOOKUP($AG23,$AL$4:$AS$15,5)+($AH$10*VLOOKUP(D23,GRITable,2))</f>
        <v>0</v>
      </c>
      <c r="AR23" s="137">
        <f t="shared" si="22"/>
        <v>3.4000000000000002E-2</v>
      </c>
      <c r="AS23" s="136">
        <f t="shared" ref="AS23:AS34" si="44">(AL23+AM23+AN23)</f>
        <v>2.8980000000000001</v>
      </c>
      <c r="AT23" s="137">
        <f t="shared" ref="AT23:AT34" si="45">VLOOKUP(D23,CurveTbl,$AK$6)</f>
        <v>1.9326187282006298E-2</v>
      </c>
      <c r="AU23" s="137">
        <f t="shared" si="23"/>
        <v>0.99684549368744568</v>
      </c>
      <c r="AV23" s="394">
        <f t="shared" ref="AV23:AV34" si="46">ROUND((F23/(1-AR23))-F23,0)*AF23*AH23*AU23</f>
        <v>9824.9091857834646</v>
      </c>
      <c r="AW23" s="137">
        <f t="shared" si="24"/>
        <v>0.86499999999999999</v>
      </c>
      <c r="AX23" s="137">
        <f t="shared" si="25"/>
        <v>1.39</v>
      </c>
      <c r="AY23" s="137">
        <f t="shared" si="26"/>
        <v>1.17</v>
      </c>
      <c r="AZ23" s="137"/>
      <c r="BA23" s="264"/>
      <c r="BB23" s="258">
        <f t="shared" si="27"/>
        <v>0</v>
      </c>
      <c r="BC23" s="258">
        <f>I23-BW23</f>
        <v>0</v>
      </c>
      <c r="BD23" s="137">
        <f>N23-BX23</f>
        <v>6.519077814175267E-3</v>
      </c>
      <c r="BE23" s="137">
        <f>O23-BY23</f>
        <v>3.6559053121710816E-3</v>
      </c>
      <c r="BF23" s="137">
        <f>_xll.xSPRDOPT($BW23,$BV23,$CG23,0,$BY23,$BX23,$BZ23,$AJ23,1,4)*$CB23</f>
        <v>1.7953884386131345</v>
      </c>
      <c r="BG23" s="137">
        <f>_xll.xSPRDOPT($BW23,$BV23,$CG23,0,$BY23,$BX23,$BZ23,$AJ23,1,3)*$CB23</f>
        <v>1.9508297055865884</v>
      </c>
      <c r="BH23" s="137">
        <f>IF(OR(BF23&lt;&gt;0,BG23&lt;&gt;0),_xll.xSPRDOPT($BW23,$BV23,$CG23,0,$BY23,$BX23,$BZ23,$AJ23,1,12)*$CB23,0)</f>
        <v>-1.8714961003829942</v>
      </c>
      <c r="BI23" s="137">
        <f>_xll.xSPRDOPT($BW23,$BV23,$CG23,2*LN(1+CA23/2),$BY23,$BX23,$BZ23,$AJ23,1,9)</f>
        <v>-0.133537369945293</v>
      </c>
      <c r="BJ23" s="137">
        <f>_xll.xSPRDOPT($BW23,$BV23,$CG23,0,$BY23,$BX23,$BZ23,$AJ23,1,6)*$CB23</f>
        <v>0.19640230172200884</v>
      </c>
      <c r="BK23" s="137">
        <f>_xll.xSPRDOPT($BW23,$BV23,$CG23,0,$BY23,$BX23,$BZ23,$AJ23,1,5)*$CB23</f>
        <v>-0.16073952932531493</v>
      </c>
      <c r="BL23" s="137">
        <f>_xll.xSPRDOPT(BW23,BV23,CG23,0,BY23,BX23,BZ23,AJ23,1,2)*CB23</f>
        <v>-0.21023230887576577</v>
      </c>
      <c r="BM23" s="137">
        <f>_xll.xSPRDOPT(BW23,BV23,CG23,0,BY23,BX23,BZ23,AJ23,1,1)*CB23</f>
        <v>0.2259589404067357</v>
      </c>
      <c r="BN23" s="137">
        <f>IF(AH23&lt;&gt;0,_xll.xSPRDOPT($BW23,$BV23,$CG23,2*LN(1+CA23/2),$BY23,$BX23,$BZ23,$AJ23,1,8)+(AJ23/365.25)*CH23/AH23,0)</f>
        <v>5.558335232025563E-2</v>
      </c>
      <c r="BO23" s="137">
        <f>_xll.xSPRDOPT($BW23,$BV23,$CG23,0,$BY23,$BX23,$BZ23,$AJ23,1,0)</f>
        <v>1.9678065259098369E-2</v>
      </c>
      <c r="BP23" s="137"/>
      <c r="BQ23" s="137"/>
      <c r="BR23" s="137"/>
      <c r="BS23" s="137"/>
      <c r="BV23" s="262">
        <v>3</v>
      </c>
      <c r="BW23" s="136">
        <v>2.8780000000000001</v>
      </c>
      <c r="BX23" s="137">
        <v>1.0056382716132741</v>
      </c>
      <c r="BY23" s="137">
        <v>0.94135688119744354</v>
      </c>
      <c r="BZ23" s="137">
        <v>0.99342798526414922</v>
      </c>
      <c r="CA23" s="137">
        <v>1.9326187282006298E-2</v>
      </c>
      <c r="CB23" s="137">
        <v>0.99668802984454063</v>
      </c>
      <c r="CC23" s="258">
        <v>-0.01</v>
      </c>
      <c r="CD23" s="258">
        <v>0</v>
      </c>
      <c r="CE23" s="258">
        <v>-0.05</v>
      </c>
      <c r="CF23" s="258">
        <v>0.02</v>
      </c>
      <c r="CG23" s="258">
        <v>0</v>
      </c>
      <c r="CH23" s="258">
        <v>9.5721918386269689</v>
      </c>
      <c r="CI23" s="258">
        <v>2.9079999999999999</v>
      </c>
      <c r="CZ23" s="403">
        <f t="shared" si="28"/>
        <v>2.9079999999999999</v>
      </c>
      <c r="DA23" s="404">
        <f t="shared" si="29"/>
        <v>-0.05</v>
      </c>
      <c r="DB23" s="405">
        <f t="shared" si="29"/>
        <v>0.02</v>
      </c>
      <c r="DC23" s="403">
        <f t="shared" si="30"/>
        <v>2.9079999999999999</v>
      </c>
      <c r="DD23" s="404">
        <f t="shared" si="31"/>
        <v>-0.05</v>
      </c>
      <c r="DE23" s="405">
        <f t="shared" si="31"/>
        <v>0.02</v>
      </c>
      <c r="DF23" s="403">
        <f t="shared" si="32"/>
        <v>3.010351966873706</v>
      </c>
      <c r="DG23" s="404">
        <f t="shared" si="33"/>
        <v>-1.0351966873706004E-2</v>
      </c>
      <c r="DH23" s="405">
        <f t="shared" si="34"/>
        <v>0</v>
      </c>
      <c r="DI23" s="403">
        <f t="shared" si="35"/>
        <v>3.010351966873706</v>
      </c>
      <c r="DJ23" s="404">
        <f t="shared" si="36"/>
        <v>-1.0351966873706004E-2</v>
      </c>
      <c r="DK23" s="404">
        <f t="shared" si="37"/>
        <v>0</v>
      </c>
      <c r="DL23" s="397">
        <f t="shared" si="38"/>
        <v>0</v>
      </c>
      <c r="DM23" s="398">
        <f t="shared" si="38"/>
        <v>0</v>
      </c>
      <c r="DN23" s="399">
        <f t="shared" si="38"/>
        <v>0</v>
      </c>
    </row>
    <row r="24" spans="1:118" x14ac:dyDescent="0.25">
      <c r="A24" s="723"/>
      <c r="B24" s="723"/>
      <c r="D24" s="31">
        <f t="shared" ref="D24:D34" si="47">D23+AH23</f>
        <v>37330</v>
      </c>
      <c r="F24" s="28">
        <f t="shared" ref="F24:F34" si="48">VLOOKUP(AG24,$AL$4:$AS$15,2)</f>
        <v>10010</v>
      </c>
      <c r="G24" s="28">
        <f t="shared" si="12"/>
        <v>9963.847791972601</v>
      </c>
      <c r="H24" s="52">
        <f t="shared" ref="H24:H34" si="49">(AL24+AM24+AN24)/(1-(AR24))</f>
        <v>2.8281573498964807</v>
      </c>
      <c r="I24" s="52">
        <f t="shared" ref="I24:I34" si="50">(AL24+AO24+AP24)</f>
        <v>2.8220000000000001</v>
      </c>
      <c r="K24" s="52">
        <f t="shared" si="39"/>
        <v>0</v>
      </c>
      <c r="L24" s="135">
        <f t="shared" si="40"/>
        <v>0.90739036601146561</v>
      </c>
      <c r="N24" s="131">
        <f t="shared" si="41"/>
        <v>0.82810242801534906</v>
      </c>
      <c r="O24" s="131">
        <f t="shared" si="42"/>
        <v>0.81400177068699564</v>
      </c>
      <c r="P24" s="55">
        <f t="shared" si="43"/>
        <v>0.99760423973760415</v>
      </c>
      <c r="Q24" s="135">
        <f>_xll.xSPRDOPT(I24,H24,AQ24,0,O24,N24,P24,D24-$G$5,1,0)*AH24*AU24</f>
        <v>0.90739036601146561</v>
      </c>
      <c r="R24" s="135"/>
      <c r="S24" s="181">
        <f>_xll.xSPRDOPT(I24,H24,AQ24,AT24,O24,N24,P24,D24-$G$5,1,2)*AF24*(F24/(1-AR24))*AH24</f>
        <v>-148381.22944376338</v>
      </c>
      <c r="T24" s="181">
        <f>_xll.xSPRDOPT(I24,H24,AQ24,AT24,O24,N24,P24,D24-$G$5,1,1)*AF24*F24*AH24</f>
        <v>146867.57511200939</v>
      </c>
      <c r="U24" s="135"/>
      <c r="V24" s="146">
        <f t="shared" ref="V24:V34" si="51">VLOOKUP($AG24,$AL$4:$AS$15,8)*AH24*AU24</f>
        <v>10.583975381822645</v>
      </c>
      <c r="W24" s="146"/>
      <c r="X24" s="338">
        <f t="shared" ref="X24:X34" si="52">((BM24*BC24)+(BL24*BB24))*AH24*F24</f>
        <v>0</v>
      </c>
      <c r="Y24" s="338">
        <f t="shared" si="13"/>
        <v>0</v>
      </c>
      <c r="Z24" s="338">
        <f t="shared" si="14"/>
        <v>-165.50355672167402</v>
      </c>
      <c r="AA24" s="338">
        <f t="shared" si="15"/>
        <v>29.356714036566832</v>
      </c>
      <c r="AB24" s="338">
        <f t="shared" ref="AB24:AB34" si="53">BN24*(AT24-CA24)*F24*AH24</f>
        <v>0</v>
      </c>
      <c r="AC24" s="338">
        <f t="shared" ref="AC24:AC34" si="54">BO24*CB24*F24*AH24*CA24*($G$5-$BV$5)/365.25</f>
        <v>1.4619670090687684</v>
      </c>
      <c r="AF24" s="138">
        <f t="shared" ref="AF24:AF34" si="55">IF(AND(D24&gt;=$G$7,D24&lt;=$G$8),1,0)</f>
        <v>1</v>
      </c>
      <c r="AG24" s="138">
        <f t="shared" ref="AG24:AG34" si="56">MONTH(D24)</f>
        <v>3</v>
      </c>
      <c r="AH24" s="138">
        <f t="shared" si="16"/>
        <v>31</v>
      </c>
      <c r="AI24" s="138">
        <f t="shared" ref="AI24:AI34" si="57">AI23+AH23</f>
        <v>74</v>
      </c>
      <c r="AJ24" s="138">
        <f t="shared" ref="AJ24:AJ34" si="58">D24-$BV$5</f>
        <v>91</v>
      </c>
      <c r="AL24" s="136">
        <f t="shared" si="17"/>
        <v>2.9020000000000001</v>
      </c>
      <c r="AM24" s="258">
        <f t="shared" si="18"/>
        <v>-0.17</v>
      </c>
      <c r="AN24" s="258">
        <f t="shared" si="19"/>
        <v>0</v>
      </c>
      <c r="AO24" s="258">
        <f t="shared" si="20"/>
        <v>-0.1</v>
      </c>
      <c r="AP24" s="258">
        <f t="shared" si="21"/>
        <v>0.02</v>
      </c>
      <c r="AQ24" s="136">
        <f t="shared" ref="AQ24:AQ34" si="59">VLOOKUP($AG24,$AL$4:$AS$15,3)+VLOOKUP($AG24,$AL$4:$AS$15,5)+($AH$10*VLOOKUP(D24,GRITable,2))</f>
        <v>0</v>
      </c>
      <c r="AR24" s="137">
        <f t="shared" si="22"/>
        <v>3.4000000000000002E-2</v>
      </c>
      <c r="AS24" s="136">
        <f t="shared" si="44"/>
        <v>2.7320000000000002</v>
      </c>
      <c r="AT24" s="137">
        <f t="shared" si="45"/>
        <v>1.9273175363903501E-2</v>
      </c>
      <c r="AU24" s="137">
        <f t="shared" si="23"/>
        <v>0.99538938980745262</v>
      </c>
      <c r="AV24" s="394">
        <f t="shared" si="46"/>
        <v>10861.689021578923</v>
      </c>
      <c r="AW24" s="137">
        <f t="shared" si="24"/>
        <v>0.79</v>
      </c>
      <c r="AX24" s="137">
        <f t="shared" si="25"/>
        <v>0.99</v>
      </c>
      <c r="AY24" s="137">
        <f t="shared" si="26"/>
        <v>0.92</v>
      </c>
      <c r="AZ24" s="137"/>
      <c r="BA24" s="264"/>
      <c r="BB24" s="258">
        <f t="shared" si="27"/>
        <v>0</v>
      </c>
      <c r="BC24" s="258">
        <f t="shared" ref="BC24:BC34" si="60">I24-BW24</f>
        <v>0</v>
      </c>
      <c r="BD24" s="137">
        <f t="shared" ref="BD24:BD34" si="61">N24-BX24</f>
        <v>1.2082062106165692E-3</v>
      </c>
      <c r="BE24" s="137">
        <f t="shared" ref="BE24:BE34" si="62">O24-BY24</f>
        <v>7.673209307950124E-4</v>
      </c>
      <c r="BF24" s="137">
        <f>_xll.xSPRDOPT($BW24,$BV24,$CG24,0,$BY24,$BX24,$BZ24,$AJ24,1,4)*$CB24</f>
        <v>4.7912113142096029</v>
      </c>
      <c r="BG24" s="137">
        <f>_xll.xSPRDOPT($BW24,$BV24,$CG24,0,$BY24,$BX24,$BZ24,$AJ24,1,3)*$CB24</f>
        <v>4.8121420837693973</v>
      </c>
      <c r="BH24" s="137">
        <f>IF(OR(BF24&lt;&gt;0,BG24&lt;&gt;0),_xll.xSPRDOPT($BW24,$BV24,$CG24,0,$BY24,$BX24,$BZ24,$AJ24,1,12)*$CB24,0)</f>
        <v>-4.8016647636619672</v>
      </c>
      <c r="BI24" s="137">
        <f>_xll.xSPRDOPT($BW24,$BV24,$CG24,2*LN(1+CA24/2),$BY24,$BX24,$BZ24,$AJ24,1,9)</f>
        <v>-6.4935251944390482E-2</v>
      </c>
      <c r="BJ24" s="137">
        <f>_xll.xSPRDOPT($BW24,$BV24,$CG24,0,$BY24,$BX24,$BZ24,$AJ24,1,6)*$CB24</f>
        <v>0.14908141350649259</v>
      </c>
      <c r="BK24" s="137">
        <f>_xll.xSPRDOPT($BW24,$BV24,$CG24,0,$BY24,$BX24,$BZ24,$AJ24,1,5)*$CB24</f>
        <v>-0.1114483043401284</v>
      </c>
      <c r="BL24" s="137">
        <f>_xll.xSPRDOPT(BW24,BV24,CG24,0,BY24,BX24,BZ24,AJ24,1,2)*CB24</f>
        <v>-0.46221838468841003</v>
      </c>
      <c r="BM24" s="137">
        <f>_xll.xSPRDOPT(BW24,BV24,CG24,0,BY24,BX24,BZ24,AJ24,1,1)*CB24</f>
        <v>0.47377321525544219</v>
      </c>
      <c r="BN24" s="137">
        <f>IF(AH24&lt;&gt;0,_xll.xSPRDOPT($BW24,$BV24,$CG24,2*LN(1+CA24/2),$BY24,$BX24,$BZ24,$AJ24,1,8)+(AJ24/365.25)*CH24/AH24,0)</f>
        <v>7.7634172367047644E-2</v>
      </c>
      <c r="BO24" s="137">
        <f>_xll.xSPRDOPT($BW24,$BV24,$CG24,0,$BY24,$BX24,$BZ24,$AJ24,1,0)</f>
        <v>2.9904249742992335E-2</v>
      </c>
      <c r="BP24" s="137"/>
      <c r="BQ24" s="137"/>
      <c r="BR24" s="137"/>
      <c r="BS24" s="137"/>
      <c r="BV24" s="262">
        <v>2.8281573498964807</v>
      </c>
      <c r="BW24" s="136">
        <v>2.8220000000000001</v>
      </c>
      <c r="BX24" s="137">
        <v>0.82689422180473249</v>
      </c>
      <c r="BY24" s="137">
        <v>0.81323444975620063</v>
      </c>
      <c r="BZ24" s="137">
        <v>0.99759680683057983</v>
      </c>
      <c r="CA24" s="137">
        <v>1.9273175363903501E-2</v>
      </c>
      <c r="CB24" s="137">
        <v>0.99523258517239033</v>
      </c>
      <c r="CC24" s="258">
        <v>-0.17</v>
      </c>
      <c r="CD24" s="258">
        <v>0</v>
      </c>
      <c r="CE24" s="258">
        <v>-0.1</v>
      </c>
      <c r="CF24" s="258">
        <v>0.02</v>
      </c>
      <c r="CG24" s="258">
        <v>0</v>
      </c>
      <c r="CH24" s="258">
        <v>10.582308078138027</v>
      </c>
      <c r="CI24" s="258">
        <v>2.9020000000000001</v>
      </c>
      <c r="CZ24" s="403">
        <f t="shared" si="28"/>
        <v>2.9020000000000001</v>
      </c>
      <c r="DA24" s="404">
        <f t="shared" si="29"/>
        <v>-0.1</v>
      </c>
      <c r="DB24" s="405">
        <f t="shared" si="29"/>
        <v>0.02</v>
      </c>
      <c r="DC24" s="403">
        <f t="shared" si="30"/>
        <v>2.9020000000000001</v>
      </c>
      <c r="DD24" s="404">
        <f t="shared" si="31"/>
        <v>-0.1</v>
      </c>
      <c r="DE24" s="405">
        <f t="shared" si="31"/>
        <v>0.02</v>
      </c>
      <c r="DF24" s="403">
        <f t="shared" si="32"/>
        <v>3.0041407867494825</v>
      </c>
      <c r="DG24" s="404">
        <f t="shared" si="33"/>
        <v>-0.17598343685300208</v>
      </c>
      <c r="DH24" s="405">
        <f t="shared" si="34"/>
        <v>0</v>
      </c>
      <c r="DI24" s="403">
        <f t="shared" si="35"/>
        <v>3.0041407867494825</v>
      </c>
      <c r="DJ24" s="404">
        <f t="shared" si="36"/>
        <v>-0.17598343685300208</v>
      </c>
      <c r="DK24" s="404">
        <f t="shared" si="37"/>
        <v>0</v>
      </c>
      <c r="DL24" s="397">
        <f t="shared" si="38"/>
        <v>0</v>
      </c>
      <c r="DM24" s="398">
        <f t="shared" si="38"/>
        <v>0</v>
      </c>
      <c r="DN24" s="399">
        <f t="shared" si="38"/>
        <v>0</v>
      </c>
    </row>
    <row r="25" spans="1:118" x14ac:dyDescent="0.25">
      <c r="A25" s="723"/>
      <c r="B25" s="723"/>
      <c r="D25" s="31">
        <f t="shared" si="47"/>
        <v>37361</v>
      </c>
      <c r="F25" s="28">
        <f t="shared" si="48"/>
        <v>10010</v>
      </c>
      <c r="G25" s="28">
        <f t="shared" si="12"/>
        <v>9947.160601609552</v>
      </c>
      <c r="H25" s="52">
        <f t="shared" si="49"/>
        <v>2.6946169772256727</v>
      </c>
      <c r="I25" s="52">
        <f t="shared" si="50"/>
        <v>2.7479999999999998</v>
      </c>
      <c r="K25" s="52">
        <f t="shared" si="39"/>
        <v>1.5914370657410934</v>
      </c>
      <c r="L25" s="135">
        <f t="shared" si="40"/>
        <v>0.66177033244191952</v>
      </c>
      <c r="N25" s="131">
        <f t="shared" si="41"/>
        <v>0.61253571324454215</v>
      </c>
      <c r="O25" s="131">
        <f t="shared" si="42"/>
        <v>0.64163852752153216</v>
      </c>
      <c r="P25" s="55">
        <f t="shared" si="43"/>
        <v>0.99471660808784124</v>
      </c>
      <c r="Q25" s="135">
        <f>_xll.xSPRDOPT(I25,H25,AQ25,0,O25,N25,P25,D25-$G$5,1,0)*AH25*AU25</f>
        <v>2.253207398183013</v>
      </c>
      <c r="R25" s="135"/>
      <c r="S25" s="181">
        <f>_xll.xSPRDOPT(I25,H25,AQ25,AT25,O25,N25,P25,D25-$G$5,1,2)*AF25*(F25/(1-AR25))*AH25</f>
        <v>-209855.08416173796</v>
      </c>
      <c r="T25" s="181">
        <f>_xll.xSPRDOPT(I25,H25,AQ25,AT25,O25,N25,P25,D25-$G$5,1,1)*AF25*F25*AH25</f>
        <v>206989.33321386928</v>
      </c>
      <c r="U25" s="135"/>
      <c r="V25" s="146">
        <f t="shared" si="51"/>
        <v>10.225402856200031</v>
      </c>
      <c r="W25" s="146"/>
      <c r="X25" s="338">
        <f t="shared" si="52"/>
        <v>0</v>
      </c>
      <c r="Y25" s="338">
        <f t="shared" si="13"/>
        <v>0</v>
      </c>
      <c r="Z25" s="338">
        <f t="shared" si="14"/>
        <v>-139.23730736724701</v>
      </c>
      <c r="AA25" s="338">
        <f t="shared" si="15"/>
        <v>52.958271812994113</v>
      </c>
      <c r="AB25" s="338">
        <f t="shared" si="53"/>
        <v>0</v>
      </c>
      <c r="AC25" s="338">
        <f t="shared" si="54"/>
        <v>3.5977295207692674</v>
      </c>
      <c r="AF25" s="138">
        <f t="shared" si="55"/>
        <v>1</v>
      </c>
      <c r="AG25" s="138">
        <f t="shared" si="56"/>
        <v>4</v>
      </c>
      <c r="AH25" s="138">
        <f t="shared" si="16"/>
        <v>30</v>
      </c>
      <c r="AI25" s="138">
        <f t="shared" si="57"/>
        <v>105</v>
      </c>
      <c r="AJ25" s="138">
        <f t="shared" si="58"/>
        <v>122</v>
      </c>
      <c r="AL25" s="136">
        <f t="shared" si="17"/>
        <v>2.8479999999999999</v>
      </c>
      <c r="AM25" s="258">
        <f t="shared" si="18"/>
        <v>-0.245</v>
      </c>
      <c r="AN25" s="258">
        <f t="shared" si="19"/>
        <v>0</v>
      </c>
      <c r="AO25" s="258">
        <f t="shared" si="20"/>
        <v>-0.12</v>
      </c>
      <c r="AP25" s="258">
        <f t="shared" si="21"/>
        <v>0.02</v>
      </c>
      <c r="AQ25" s="136">
        <f t="shared" si="59"/>
        <v>0</v>
      </c>
      <c r="AR25" s="137">
        <f t="shared" si="22"/>
        <v>3.4000000000000002E-2</v>
      </c>
      <c r="AS25" s="136">
        <f t="shared" si="44"/>
        <v>2.6029999999999998</v>
      </c>
      <c r="AT25" s="137">
        <f t="shared" si="45"/>
        <v>1.9422640119623601E-2</v>
      </c>
      <c r="AU25" s="137">
        <f t="shared" si="23"/>
        <v>0.99372233782313213</v>
      </c>
      <c r="AV25" s="394">
        <f t="shared" si="46"/>
        <v>10493.707887412274</v>
      </c>
      <c r="AW25" s="137">
        <f t="shared" si="24"/>
        <v>0.61</v>
      </c>
      <c r="AX25" s="137">
        <f t="shared" si="25"/>
        <v>0.63</v>
      </c>
      <c r="AY25" s="137">
        <f t="shared" si="26"/>
        <v>0.83</v>
      </c>
      <c r="AZ25" s="137"/>
      <c r="BA25" s="264"/>
      <c r="BB25" s="258">
        <f t="shared" si="27"/>
        <v>0</v>
      </c>
      <c r="BC25" s="258">
        <f t="shared" si="60"/>
        <v>0</v>
      </c>
      <c r="BD25" s="137">
        <f t="shared" si="61"/>
        <v>6.1721760901689571E-5</v>
      </c>
      <c r="BE25" s="137">
        <f t="shared" si="62"/>
        <v>7.530881944529666E-4</v>
      </c>
      <c r="BF25" s="137">
        <f>_xll.xSPRDOPT($BW25,$BV25,$CG25,0,$BY25,$BX25,$BZ25,$AJ25,1,4)*$CB25</f>
        <v>3.2695241873164989</v>
      </c>
      <c r="BG25" s="137">
        <f>_xll.xSPRDOPT($BW25,$BV25,$CG25,0,$BY25,$BX25,$BZ25,$AJ25,1,3)*$CB25</f>
        <v>3.1437294624360366</v>
      </c>
      <c r="BH25" s="137">
        <f>IF(OR(BF25&lt;&gt;0,BG25&lt;&gt;0),_xll.xSPRDOPT($BW25,$BV25,$CG25,0,$BY25,$BX25,$BZ25,$AJ25,1,12)*$CB25,0)</f>
        <v>-3.2060098068703233</v>
      </c>
      <c r="BI25" s="137">
        <f>_xll.xSPRDOPT($BW25,$BV25,$CG25,2*LN(1+CA25/2),$BY25,$BX25,$BZ25,$AJ25,1,9)</f>
        <v>-5.6450689883324419E-2</v>
      </c>
      <c r="BJ25" s="137">
        <f>_xll.xSPRDOPT($BW25,$BV25,$CG25,0,$BY25,$BX25,$BZ25,$AJ25,1,6)*$CB25</f>
        <v>-0.19893955965984814</v>
      </c>
      <c r="BK25" s="137">
        <f>_xll.xSPRDOPT($BW25,$BV25,$CG25,0,$BY25,$BX25,$BZ25,$AJ25,1,5)*$CB25</f>
        <v>0.25047547261144215</v>
      </c>
      <c r="BL25" s="137">
        <f>_xll.xSPRDOPT(BW25,BV25,CG25,0,BY25,BX25,BZ25,AJ25,1,2)*CB25</f>
        <v>-0.67495330846256929</v>
      </c>
      <c r="BM25" s="137">
        <f>_xll.xSPRDOPT(BW25,BV25,CG25,0,BY25,BX25,BZ25,AJ25,1,1)*CB25</f>
        <v>0.68917014313417346</v>
      </c>
      <c r="BN25" s="137">
        <f>IF(AH25&lt;&gt;0,_xll.xSPRDOPT($BW25,$BV25,$CG25,2*LN(1+CA25/2),$BY25,$BX25,$BZ25,$AJ25,1,8)+(AJ25/365.25)*CH25/AH25,0)</f>
        <v>8.8746424182468059E-2</v>
      </c>
      <c r="BO25" s="137">
        <f>_xll.xSPRDOPT($BW25,$BV25,$CG25,0,$BY25,$BX25,$BZ25,$AJ25,1,0)</f>
        <v>7.5585376387778222E-2</v>
      </c>
      <c r="BP25" s="137"/>
      <c r="BQ25" s="137"/>
      <c r="BR25" s="137"/>
      <c r="BS25" s="137"/>
      <c r="BV25" s="262">
        <v>2.6946169772256727</v>
      </c>
      <c r="BW25" s="136">
        <v>2.7479999999999998</v>
      </c>
      <c r="BX25" s="137">
        <v>0.61247399148364046</v>
      </c>
      <c r="BY25" s="137">
        <v>0.6408854393270792</v>
      </c>
      <c r="BZ25" s="137">
        <v>0.99481455762702176</v>
      </c>
      <c r="CA25" s="137">
        <v>1.9422640119623601E-2</v>
      </c>
      <c r="CB25" s="137">
        <v>0.99356458774998258</v>
      </c>
      <c r="CC25" s="258">
        <v>-0.245</v>
      </c>
      <c r="CD25" s="258">
        <v>0</v>
      </c>
      <c r="CE25" s="258">
        <v>-0.12</v>
      </c>
      <c r="CF25" s="258">
        <v>0.02</v>
      </c>
      <c r="CG25" s="258">
        <v>0</v>
      </c>
      <c r="CH25" s="258">
        <v>10.223779607947321</v>
      </c>
      <c r="CI25" s="258">
        <v>2.8479999999999999</v>
      </c>
      <c r="CZ25" s="403">
        <f t="shared" si="28"/>
        <v>2.8479999999999999</v>
      </c>
      <c r="DA25" s="404">
        <f t="shared" si="29"/>
        <v>-0.12</v>
      </c>
      <c r="DB25" s="405">
        <f t="shared" si="29"/>
        <v>0.02</v>
      </c>
      <c r="DC25" s="403">
        <f t="shared" si="30"/>
        <v>2.8479999999999999</v>
      </c>
      <c r="DD25" s="404">
        <f t="shared" si="31"/>
        <v>-0.12</v>
      </c>
      <c r="DE25" s="405">
        <f t="shared" si="31"/>
        <v>0.02</v>
      </c>
      <c r="DF25" s="403">
        <f t="shared" si="32"/>
        <v>2.9482401656314701</v>
      </c>
      <c r="DG25" s="404">
        <f t="shared" si="33"/>
        <v>-0.25362318840579712</v>
      </c>
      <c r="DH25" s="405">
        <f t="shared" si="34"/>
        <v>0</v>
      </c>
      <c r="DI25" s="403">
        <f t="shared" si="35"/>
        <v>2.9482401656314701</v>
      </c>
      <c r="DJ25" s="404">
        <f t="shared" si="36"/>
        <v>-0.25362318840579712</v>
      </c>
      <c r="DK25" s="404">
        <f t="shared" si="37"/>
        <v>0</v>
      </c>
      <c r="DL25" s="397">
        <f t="shared" si="38"/>
        <v>0</v>
      </c>
      <c r="DM25" s="398">
        <f t="shared" si="38"/>
        <v>0</v>
      </c>
      <c r="DN25" s="399">
        <f t="shared" si="38"/>
        <v>0</v>
      </c>
    </row>
    <row r="26" spans="1:118" x14ac:dyDescent="0.25">
      <c r="A26" s="723"/>
      <c r="B26" s="723"/>
      <c r="D26" s="31">
        <f t="shared" si="47"/>
        <v>37391</v>
      </c>
      <c r="F26" s="28">
        <f t="shared" si="48"/>
        <v>10010</v>
      </c>
      <c r="G26" s="28">
        <f t="shared" si="12"/>
        <v>9930.219566780137</v>
      </c>
      <c r="H26" s="52">
        <f t="shared" si="49"/>
        <v>2.7443064182194616</v>
      </c>
      <c r="I26" s="52">
        <f t="shared" si="50"/>
        <v>2.7959999999999998</v>
      </c>
      <c r="K26" s="52">
        <f t="shared" si="39"/>
        <v>1.5897289845649882</v>
      </c>
      <c r="L26" s="135">
        <f t="shared" si="40"/>
        <v>0.74015746344092603</v>
      </c>
      <c r="N26" s="131">
        <f t="shared" si="41"/>
        <v>0.57775797476853397</v>
      </c>
      <c r="O26" s="131">
        <f t="shared" si="42"/>
        <v>0.60151273173988828</v>
      </c>
      <c r="P26" s="55">
        <f t="shared" si="43"/>
        <v>0.99488486554438327</v>
      </c>
      <c r="Q26" s="135">
        <f>_xll.xSPRDOPT(I26,H26,AQ26,0,O26,N26,P26,D26-$G$5,1,0)*AH26*AU26</f>
        <v>2.3298864480059143</v>
      </c>
      <c r="R26" s="135"/>
      <c r="S26" s="181">
        <f>_xll.xSPRDOPT(I26,H26,AQ26,AT26,O26,N26,P26,D26-$G$5,1,2)*AF26*(F26/(1-AR26))*AH26</f>
        <v>-212901.77384778784</v>
      </c>
      <c r="T26" s="181">
        <f>_xll.xSPRDOPT(I26,H26,AQ26,AT26,O26,N26,P26,D26-$G$5,1,1)*AF26*F26*AH26</f>
        <v>210201.65896734869</v>
      </c>
      <c r="U26" s="135"/>
      <c r="V26" s="146">
        <f t="shared" si="51"/>
        <v>10.548254211146174</v>
      </c>
      <c r="W26" s="146"/>
      <c r="X26" s="338">
        <f t="shared" si="52"/>
        <v>0</v>
      </c>
      <c r="Y26" s="338">
        <f t="shared" si="13"/>
        <v>0</v>
      </c>
      <c r="Z26" s="338">
        <f t="shared" si="14"/>
        <v>-120.28848158296783</v>
      </c>
      <c r="AA26" s="338">
        <f t="shared" si="15"/>
        <v>37.209465081749627</v>
      </c>
      <c r="AB26" s="338">
        <f t="shared" si="53"/>
        <v>0</v>
      </c>
      <c r="AC26" s="338">
        <f t="shared" si="54"/>
        <v>3.7756099747286767</v>
      </c>
      <c r="AF26" s="138">
        <f t="shared" si="55"/>
        <v>1</v>
      </c>
      <c r="AG26" s="138">
        <f t="shared" si="56"/>
        <v>5</v>
      </c>
      <c r="AH26" s="138">
        <f t="shared" si="16"/>
        <v>31</v>
      </c>
      <c r="AI26" s="138">
        <f t="shared" si="57"/>
        <v>135</v>
      </c>
      <c r="AJ26" s="138">
        <f t="shared" si="58"/>
        <v>152</v>
      </c>
      <c r="AL26" s="136">
        <f t="shared" si="17"/>
        <v>2.8959999999999999</v>
      </c>
      <c r="AM26" s="258">
        <f t="shared" si="18"/>
        <v>-0.245</v>
      </c>
      <c r="AN26" s="258">
        <f t="shared" si="19"/>
        <v>0</v>
      </c>
      <c r="AO26" s="258">
        <f t="shared" si="20"/>
        <v>-0.12</v>
      </c>
      <c r="AP26" s="258">
        <f t="shared" si="21"/>
        <v>0.02</v>
      </c>
      <c r="AQ26" s="136">
        <f t="shared" si="59"/>
        <v>0</v>
      </c>
      <c r="AR26" s="137">
        <f t="shared" si="22"/>
        <v>3.4000000000000002E-2</v>
      </c>
      <c r="AS26" s="136">
        <f t="shared" si="44"/>
        <v>2.6509999999999998</v>
      </c>
      <c r="AT26" s="137">
        <f t="shared" si="45"/>
        <v>1.9712159578257001E-2</v>
      </c>
      <c r="AU26" s="137">
        <f t="shared" si="23"/>
        <v>0.99202992675126245</v>
      </c>
      <c r="AV26" s="394">
        <f t="shared" si="46"/>
        <v>10825.030560709776</v>
      </c>
      <c r="AW26" s="137">
        <f t="shared" si="24"/>
        <v>0.57750000000000001</v>
      </c>
      <c r="AX26" s="137">
        <f t="shared" si="25"/>
        <v>0.57999999999999996</v>
      </c>
      <c r="AY26" s="137">
        <f t="shared" si="26"/>
        <v>0.78</v>
      </c>
      <c r="AZ26" s="137"/>
      <c r="BA26" s="264"/>
      <c r="BB26" s="258">
        <f t="shared" si="27"/>
        <v>0</v>
      </c>
      <c r="BC26" s="258">
        <f t="shared" si="60"/>
        <v>0</v>
      </c>
      <c r="BD26" s="137">
        <f t="shared" si="61"/>
        <v>5.0407485243653127E-6</v>
      </c>
      <c r="BE26" s="137">
        <f t="shared" si="62"/>
        <v>4.6011273358848026E-4</v>
      </c>
      <c r="BF26" s="137">
        <f>_xll.xSPRDOPT($BW26,$BV26,$CG26,0,$BY26,$BX26,$BZ26,$AJ26,1,4)*$CB26</f>
        <v>3.1998956030822283</v>
      </c>
      <c r="BG26" s="137">
        <f>_xll.xSPRDOPT($BW26,$BV26,$CG26,0,$BY26,$BX26,$BZ26,$AJ26,1,3)*$CB26</f>
        <v>3.0826673717470423</v>
      </c>
      <c r="BH26" s="137">
        <f>IF(OR(BF26&lt;&gt;0,BG26&lt;&gt;0),_xll.xSPRDOPT($BW26,$BV26,$CG26,0,$BY26,$BX26,$BZ26,$AJ26,1,12)*$CB26,0)</f>
        <v>-3.1407347237637722</v>
      </c>
      <c r="BI26" s="137">
        <f>_xll.xSPRDOPT($BW26,$BV26,$CG26,2*LN(1+CA26/2),$BY26,$BX26,$BZ26,$AJ26,1,9)</f>
        <v>-4.7195135937373373E-2</v>
      </c>
      <c r="BJ26" s="137">
        <f>_xll.xSPRDOPT($BW26,$BV26,$CG26,0,$BY26,$BX26,$BZ26,$AJ26,1,6)*$CB26</f>
        <v>-0.20332617763723976</v>
      </c>
      <c r="BK26" s="137">
        <f>_xll.xSPRDOPT($BW26,$BV26,$CG26,0,$BY26,$BX26,$BZ26,$AJ26,1,5)*$CB26</f>
        <v>0.26283892881331616</v>
      </c>
      <c r="BL26" s="137">
        <f>_xll.xSPRDOPT(BW26,BV26,CG26,0,BY26,BX26,BZ26,AJ26,1,2)*CB26</f>
        <v>-0.66266910167175441</v>
      </c>
      <c r="BM26" s="137">
        <f>_xll.xSPRDOPT(BW26,BV26,CG26,0,BY26,BX26,BZ26,AJ26,1,1)*CB26</f>
        <v>0.6772949013912839</v>
      </c>
      <c r="BN26" s="137">
        <f>IF(AH26&lt;&gt;0,_xll.xSPRDOPT($BW26,$BV26,$CG26,2*LN(1+CA26/2),$BY26,$BX26,$BZ26,$AJ26,1,8)+(AJ26/365.25)*CH26/AH26,0)</f>
        <v>0.11030640783428963</v>
      </c>
      <c r="BO26" s="137">
        <f>_xll.xSPRDOPT($BW26,$BV26,$CG26,0,$BY26,$BX26,$BZ26,$AJ26,1,0)</f>
        <v>7.5765468708561989E-2</v>
      </c>
      <c r="BP26" s="137"/>
      <c r="BQ26" s="137"/>
      <c r="BR26" s="137"/>
      <c r="BS26" s="137"/>
      <c r="BV26" s="262">
        <v>2.7443064182194616</v>
      </c>
      <c r="BW26" s="136">
        <v>2.7959999999999998</v>
      </c>
      <c r="BX26" s="137">
        <v>0.5777529340200096</v>
      </c>
      <c r="BY26" s="137">
        <v>0.6010526190062998</v>
      </c>
      <c r="BZ26" s="137">
        <v>0.99496600027076509</v>
      </c>
      <c r="CA26" s="137">
        <v>1.9712159578257001E-2</v>
      </c>
      <c r="CB26" s="137">
        <v>0.99187010954216859</v>
      </c>
      <c r="CC26" s="258">
        <v>-0.245</v>
      </c>
      <c r="CD26" s="258">
        <v>0</v>
      </c>
      <c r="CE26" s="258">
        <v>-0.12</v>
      </c>
      <c r="CF26" s="258">
        <v>0.02</v>
      </c>
      <c r="CG26" s="258">
        <v>0</v>
      </c>
      <c r="CH26" s="258">
        <v>10.546554874761879</v>
      </c>
      <c r="CI26" s="258">
        <v>2.8959999999999999</v>
      </c>
      <c r="CZ26" s="403">
        <f t="shared" si="28"/>
        <v>2.8959999999999999</v>
      </c>
      <c r="DA26" s="404">
        <f t="shared" si="29"/>
        <v>-0.12</v>
      </c>
      <c r="DB26" s="405">
        <f t="shared" si="29"/>
        <v>0.02</v>
      </c>
      <c r="DC26" s="403">
        <f t="shared" si="30"/>
        <v>2.8959999999999999</v>
      </c>
      <c r="DD26" s="404">
        <f t="shared" si="31"/>
        <v>-0.12</v>
      </c>
      <c r="DE26" s="405">
        <f t="shared" si="31"/>
        <v>0.02</v>
      </c>
      <c r="DF26" s="403">
        <f t="shared" si="32"/>
        <v>2.997929606625259</v>
      </c>
      <c r="DG26" s="404">
        <f t="shared" si="33"/>
        <v>-0.25362318840579712</v>
      </c>
      <c r="DH26" s="405">
        <f t="shared" si="34"/>
        <v>0</v>
      </c>
      <c r="DI26" s="403">
        <f t="shared" si="35"/>
        <v>2.997929606625259</v>
      </c>
      <c r="DJ26" s="404">
        <f t="shared" si="36"/>
        <v>-0.25362318840579712</v>
      </c>
      <c r="DK26" s="404">
        <f t="shared" si="37"/>
        <v>0</v>
      </c>
      <c r="DL26" s="397">
        <f t="shared" si="38"/>
        <v>0</v>
      </c>
      <c r="DM26" s="398">
        <f t="shared" si="38"/>
        <v>0</v>
      </c>
      <c r="DN26" s="399">
        <f t="shared" si="38"/>
        <v>0</v>
      </c>
    </row>
    <row r="27" spans="1:118" x14ac:dyDescent="0.25">
      <c r="A27" s="727"/>
      <c r="B27" s="727"/>
      <c r="C27" s="727"/>
      <c r="D27" s="31">
        <f t="shared" si="47"/>
        <v>37422</v>
      </c>
      <c r="F27" s="28">
        <f t="shared" si="48"/>
        <v>10010</v>
      </c>
      <c r="G27" s="28">
        <f t="shared" si="12"/>
        <v>9912.2538817615477</v>
      </c>
      <c r="H27" s="52">
        <f t="shared" si="49"/>
        <v>2.796066252587992</v>
      </c>
      <c r="I27" s="52">
        <f t="shared" si="50"/>
        <v>2.8460000000000001</v>
      </c>
      <c r="K27" s="52">
        <f t="shared" si="39"/>
        <v>1.4833845602864464</v>
      </c>
      <c r="L27" s="135">
        <f t="shared" si="40"/>
        <v>1.0498540393829183</v>
      </c>
      <c r="N27" s="131">
        <f t="shared" si="41"/>
        <v>0.5548034219582415</v>
      </c>
      <c r="O27" s="131">
        <f t="shared" si="42"/>
        <v>0.58231552220708915</v>
      </c>
      <c r="P27" s="55">
        <f t="shared" si="43"/>
        <v>0.99315530143656983</v>
      </c>
      <c r="Q27" s="135">
        <f>_xll.xSPRDOPT(I27,H27,AQ27,0,O27,N27,P27,D27-$G$5,1,0)*AH27*AU27</f>
        <v>2.5332385996693647</v>
      </c>
      <c r="R27" s="135"/>
      <c r="S27" s="181">
        <f>_xll.xSPRDOPT(I27,H27,AQ27,AT27,O27,N27,P27,D27-$G$5,1,2)*AF27*(F27/(1-AR27))*AH27</f>
        <v>-193139.54870028293</v>
      </c>
      <c r="T27" s="181">
        <f>_xll.xSPRDOPT(I27,H27,AQ27,AT27,O27,N27,P27,D27-$G$5,1,1)*AF27*F27*AH27</f>
        <v>192208.85063583712</v>
      </c>
      <c r="U27" s="135"/>
      <c r="V27" s="146">
        <f t="shared" si="51"/>
        <v>10.189519724608026</v>
      </c>
      <c r="W27" s="146"/>
      <c r="X27" s="338">
        <f t="shared" si="52"/>
        <v>0</v>
      </c>
      <c r="Y27" s="338">
        <f t="shared" si="13"/>
        <v>0</v>
      </c>
      <c r="Z27" s="338">
        <f t="shared" si="14"/>
        <v>-126.13403596961479</v>
      </c>
      <c r="AA27" s="338">
        <f t="shared" si="15"/>
        <v>44.439902625142494</v>
      </c>
      <c r="AB27" s="338">
        <f t="shared" si="53"/>
        <v>0</v>
      </c>
      <c r="AC27" s="338">
        <f t="shared" si="54"/>
        <v>4.1673354018609823</v>
      </c>
      <c r="AF27" s="138">
        <f t="shared" si="55"/>
        <v>1</v>
      </c>
      <c r="AG27" s="138">
        <f t="shared" si="56"/>
        <v>6</v>
      </c>
      <c r="AH27" s="138">
        <f t="shared" si="16"/>
        <v>30</v>
      </c>
      <c r="AI27" s="138">
        <f t="shared" si="57"/>
        <v>166</v>
      </c>
      <c r="AJ27" s="138">
        <f t="shared" si="58"/>
        <v>183</v>
      </c>
      <c r="AL27" s="136">
        <f t="shared" si="17"/>
        <v>2.9460000000000002</v>
      </c>
      <c r="AM27" s="258">
        <f t="shared" si="18"/>
        <v>-0.245</v>
      </c>
      <c r="AN27" s="258">
        <f t="shared" si="19"/>
        <v>0</v>
      </c>
      <c r="AO27" s="258">
        <f t="shared" si="20"/>
        <v>-0.12</v>
      </c>
      <c r="AP27" s="258">
        <f t="shared" si="21"/>
        <v>0.02</v>
      </c>
      <c r="AQ27" s="136">
        <f t="shared" si="59"/>
        <v>0</v>
      </c>
      <c r="AR27" s="137">
        <f t="shared" si="22"/>
        <v>3.4000000000000002E-2</v>
      </c>
      <c r="AS27" s="136">
        <f t="shared" si="44"/>
        <v>2.7010000000000001</v>
      </c>
      <c r="AT27" s="137">
        <f t="shared" si="45"/>
        <v>2.0011329715354399E-2</v>
      </c>
      <c r="AU27" s="137">
        <f t="shared" si="23"/>
        <v>0.99023515302313159</v>
      </c>
      <c r="AV27" s="394">
        <f t="shared" si="46"/>
        <v>10456.88321592427</v>
      </c>
      <c r="AW27" s="137">
        <f t="shared" si="24"/>
        <v>0.54749999999999999</v>
      </c>
      <c r="AX27" s="137">
        <f t="shared" si="25"/>
        <v>0.63</v>
      </c>
      <c r="AY27" s="137">
        <f t="shared" si="26"/>
        <v>0.88</v>
      </c>
      <c r="AZ27" s="137"/>
      <c r="BA27" s="264"/>
      <c r="BB27" s="258">
        <f t="shared" si="27"/>
        <v>0</v>
      </c>
      <c r="BC27" s="258">
        <f t="shared" si="60"/>
        <v>0</v>
      </c>
      <c r="BD27" s="137">
        <f t="shared" si="61"/>
        <v>1.1830637855325676E-4</v>
      </c>
      <c r="BE27" s="137">
        <f t="shared" si="62"/>
        <v>5.509358258010133E-4</v>
      </c>
      <c r="BF27" s="137">
        <f>_xll.xSPRDOPT($BW27,$BV27,$CG27,0,$BY27,$BX27,$BZ27,$AJ27,1,4)*$CB27</f>
        <v>2.6520131591578044</v>
      </c>
      <c r="BG27" s="137">
        <f>_xll.xSPRDOPT($BW27,$BV27,$CG27,0,$BY27,$BX27,$BZ27,$AJ27,1,3)*$CB27</f>
        <v>2.5597690475615247</v>
      </c>
      <c r="BH27" s="137">
        <f>IF(OR(BF27&lt;&gt;0,BG27&lt;&gt;0),_xll.xSPRDOPT($BW27,$BV27,$CG27,0,$BY27,$BX27,$BZ27,$AJ27,1,12)*$CB27,0)</f>
        <v>-2.6054831462745369</v>
      </c>
      <c r="BI27" s="137">
        <f>_xll.xSPRDOPT($BW27,$BV27,$CG27,2*LN(1+CA27/2),$BY27,$BX27,$BZ27,$AJ27,1,9)</f>
        <v>-5.1138258006328999E-2</v>
      </c>
      <c r="BJ27" s="137">
        <f>_xll.xSPRDOPT($BW27,$BV27,$CG27,0,$BY27,$BX27,$BZ27,$AJ27,1,6)*$CB27</f>
        <v>-0.24045580109081741</v>
      </c>
      <c r="BK27" s="137">
        <f>_xll.xSPRDOPT($BW27,$BV27,$CG27,0,$BY27,$BX27,$BZ27,$AJ27,1,5)*$CB27</f>
        <v>0.3202414337448603</v>
      </c>
      <c r="BL27" s="137">
        <f>_xll.xSPRDOPT(BW27,BV27,CG27,0,BY27,BX27,BZ27,AJ27,1,2)*CB27</f>
        <v>-0.6212105289666745</v>
      </c>
      <c r="BM27" s="137">
        <f>_xll.xSPRDOPT(BW27,BV27,CG27,0,BY27,BX27,BZ27,AJ27,1,1)*CB27</f>
        <v>0.63997738768786416</v>
      </c>
      <c r="BN27" s="137">
        <f>IF(AH27&lt;&gt;0,_xll.xSPRDOPT($BW27,$BV27,$CG27,2*LN(1+CA27/2),$BY27,$BX27,$BZ27,$AJ27,1,8)+(AJ27/365.25)*CH27/AH27,0)</f>
        <v>0.12784459575902068</v>
      </c>
      <c r="BO27" s="137">
        <f>_xll.xSPRDOPT($BW27,$BV27,$CG27,0,$BY27,$BX27,$BZ27,$AJ27,1,0)</f>
        <v>8.5276395191037607E-2</v>
      </c>
      <c r="BP27" s="137"/>
      <c r="BQ27" s="137"/>
      <c r="BR27" s="137"/>
      <c r="BS27" s="137"/>
      <c r="BV27" s="262">
        <v>2.796066252587992</v>
      </c>
      <c r="BW27" s="136">
        <v>2.8460000000000001</v>
      </c>
      <c r="BX27" s="137">
        <v>0.55468511557968825</v>
      </c>
      <c r="BY27" s="137">
        <v>0.58176458638128814</v>
      </c>
      <c r="BZ27" s="137">
        <v>0.99324161310207426</v>
      </c>
      <c r="CA27" s="137">
        <v>2.0011329715354399E-2</v>
      </c>
      <c r="CB27" s="137">
        <v>0.99007321601711695</v>
      </c>
      <c r="CC27" s="258">
        <v>-0.245</v>
      </c>
      <c r="CD27" s="258">
        <v>0</v>
      </c>
      <c r="CE27" s="258">
        <v>-0.12</v>
      </c>
      <c r="CF27" s="258">
        <v>0.02</v>
      </c>
      <c r="CG27" s="258">
        <v>0</v>
      </c>
      <c r="CH27" s="258">
        <v>10.187853392816134</v>
      </c>
      <c r="CI27" s="258">
        <v>2.9460000000000002</v>
      </c>
      <c r="CZ27" s="403">
        <f t="shared" si="28"/>
        <v>2.9460000000000002</v>
      </c>
      <c r="DA27" s="404">
        <f t="shared" si="29"/>
        <v>-0.12</v>
      </c>
      <c r="DB27" s="405">
        <f t="shared" si="29"/>
        <v>0.02</v>
      </c>
      <c r="DC27" s="403">
        <f t="shared" si="30"/>
        <v>2.9460000000000002</v>
      </c>
      <c r="DD27" s="404">
        <f t="shared" si="31"/>
        <v>-0.12</v>
      </c>
      <c r="DE27" s="405">
        <f t="shared" si="31"/>
        <v>0.02</v>
      </c>
      <c r="DF27" s="403">
        <f t="shared" si="32"/>
        <v>3.0496894409937889</v>
      </c>
      <c r="DG27" s="404">
        <f t="shared" si="33"/>
        <v>-0.25362318840579712</v>
      </c>
      <c r="DH27" s="405">
        <f t="shared" si="34"/>
        <v>0</v>
      </c>
      <c r="DI27" s="403">
        <f t="shared" si="35"/>
        <v>3.0496894409937889</v>
      </c>
      <c r="DJ27" s="404">
        <f t="shared" si="36"/>
        <v>-0.25362318840579712</v>
      </c>
      <c r="DK27" s="404">
        <f t="shared" si="37"/>
        <v>0</v>
      </c>
      <c r="DL27" s="397">
        <f t="shared" si="38"/>
        <v>0</v>
      </c>
      <c r="DM27" s="398">
        <f t="shared" si="38"/>
        <v>0</v>
      </c>
      <c r="DN27" s="399">
        <f t="shared" si="38"/>
        <v>0</v>
      </c>
    </row>
    <row r="28" spans="1:118" x14ac:dyDescent="0.25">
      <c r="A28" s="723"/>
      <c r="B28" s="723"/>
      <c r="D28" s="31">
        <f t="shared" si="47"/>
        <v>37452</v>
      </c>
      <c r="F28" s="28">
        <f t="shared" si="48"/>
        <v>10010</v>
      </c>
      <c r="G28" s="28">
        <f t="shared" si="12"/>
        <v>9893.705631990435</v>
      </c>
      <c r="H28" s="52">
        <f t="shared" si="49"/>
        <v>2.7163561076604559</v>
      </c>
      <c r="I28" s="52">
        <f t="shared" si="50"/>
        <v>2.984</v>
      </c>
      <c r="K28" s="52">
        <f t="shared" si="39"/>
        <v>8.2005680754480785</v>
      </c>
      <c r="L28" s="135">
        <f t="shared" si="40"/>
        <v>5.9039943981703757E-2</v>
      </c>
      <c r="N28" s="131">
        <f t="shared" si="41"/>
        <v>0.54938596714727361</v>
      </c>
      <c r="O28" s="131">
        <f t="shared" si="42"/>
        <v>0.57401256565681114</v>
      </c>
      <c r="P28" s="55">
        <f t="shared" si="43"/>
        <v>0.99369929786171773</v>
      </c>
      <c r="Q28" s="135">
        <f>_xll.xSPRDOPT(I28,H28,AQ28,0,O28,N28,P28,D28-$G$5,1,0)*AH28*AU28</f>
        <v>8.2596080194297823</v>
      </c>
      <c r="R28" s="135"/>
      <c r="S28" s="181">
        <f>_xll.xSPRDOPT(I28,H28,AQ28,AT28,O28,N28,P28,D28-$G$5,1,2)*AF28*(F28/(1-AR28))*AH28</f>
        <v>-306212.41943413205</v>
      </c>
      <c r="T28" s="181">
        <f>_xll.xSPRDOPT(I28,H28,AQ28,AT28,O28,N28,P28,D28-$G$5,1,1)*AF28*F28*AH28</f>
        <v>296975.57058426703</v>
      </c>
      <c r="U28" s="135"/>
      <c r="V28" s="146">
        <f t="shared" si="51"/>
        <v>10.509467730764666</v>
      </c>
      <c r="W28" s="146"/>
      <c r="X28" s="338">
        <f t="shared" si="52"/>
        <v>0</v>
      </c>
      <c r="Y28" s="338">
        <f t="shared" si="13"/>
        <v>0</v>
      </c>
      <c r="Z28" s="338">
        <f t="shared" si="14"/>
        <v>-9.7347396358681433</v>
      </c>
      <c r="AA28" s="338">
        <f t="shared" si="15"/>
        <v>7.3266284772806136</v>
      </c>
      <c r="AB28" s="338">
        <f t="shared" si="53"/>
        <v>0</v>
      </c>
      <c r="AC28" s="338">
        <f t="shared" si="54"/>
        <v>13.870501359760071</v>
      </c>
      <c r="AF28" s="138">
        <f t="shared" si="55"/>
        <v>1</v>
      </c>
      <c r="AG28" s="138">
        <f t="shared" si="56"/>
        <v>7</v>
      </c>
      <c r="AH28" s="138">
        <f t="shared" si="16"/>
        <v>31</v>
      </c>
      <c r="AI28" s="138">
        <f t="shared" si="57"/>
        <v>196</v>
      </c>
      <c r="AJ28" s="138">
        <f t="shared" si="58"/>
        <v>213</v>
      </c>
      <c r="AL28" s="136">
        <f t="shared" si="17"/>
        <v>2.984</v>
      </c>
      <c r="AM28" s="258">
        <f t="shared" si="18"/>
        <v>-0.36</v>
      </c>
      <c r="AN28" s="258">
        <f t="shared" si="19"/>
        <v>0</v>
      </c>
      <c r="AO28" s="258">
        <f t="shared" si="20"/>
        <v>-0.02</v>
      </c>
      <c r="AP28" s="258">
        <f t="shared" si="21"/>
        <v>0.02</v>
      </c>
      <c r="AQ28" s="136">
        <f t="shared" si="59"/>
        <v>0</v>
      </c>
      <c r="AR28" s="137">
        <f t="shared" si="22"/>
        <v>3.4000000000000002E-2</v>
      </c>
      <c r="AS28" s="136">
        <f t="shared" si="44"/>
        <v>2.6240000000000001</v>
      </c>
      <c r="AT28" s="137">
        <f t="shared" si="45"/>
        <v>2.0428629809483099E-2</v>
      </c>
      <c r="AU28" s="137">
        <f t="shared" si="23"/>
        <v>0.98838218101802544</v>
      </c>
      <c r="AV28" s="394">
        <f t="shared" si="46"/>
        <v>10785.226359268694</v>
      </c>
      <c r="AW28" s="137">
        <f t="shared" si="24"/>
        <v>0.54249999999999998</v>
      </c>
      <c r="AX28" s="137">
        <f t="shared" si="25"/>
        <v>0.63</v>
      </c>
      <c r="AY28" s="137">
        <f t="shared" si="26"/>
        <v>0.88</v>
      </c>
      <c r="AZ28" s="137"/>
      <c r="BA28" s="264"/>
      <c r="BB28" s="258">
        <f t="shared" si="27"/>
        <v>0</v>
      </c>
      <c r="BC28" s="258">
        <f t="shared" si="60"/>
        <v>0</v>
      </c>
      <c r="BD28" s="137">
        <f t="shared" si="61"/>
        <v>9.5712015904636516E-5</v>
      </c>
      <c r="BE28" s="137">
        <f t="shared" si="62"/>
        <v>4.2879744083457183E-4</v>
      </c>
      <c r="BF28" s="137">
        <f>_xll.xSPRDOPT($BW28,$BV28,$CG28,0,$BY28,$BX28,$BZ28,$AJ28,1,4)*$CB28</f>
        <v>0.55418357987131128</v>
      </c>
      <c r="BG28" s="137">
        <f>_xll.xSPRDOPT($BW28,$BV28,$CG28,0,$BY28,$BX28,$BZ28,$AJ28,1,3)*$CB28</f>
        <v>0.45922905736640818</v>
      </c>
      <c r="BH28" s="137">
        <f>IF(OR(BF28&lt;&gt;0,BG28&lt;&gt;0),_xll.xSPRDOPT($BW28,$BV28,$CG28,0,$BY28,$BX28,$BZ28,$AJ28,1,12)*$CB28,0)</f>
        <v>-0.50447731255523487</v>
      </c>
      <c r="BI28" s="137">
        <f>_xll.xSPRDOPT($BW28,$BV28,$CG28,2*LN(1+CA28/2),$BY28,$BX28,$BZ28,$AJ28,1,9)</f>
        <v>-3.8194210649574508E-3</v>
      </c>
      <c r="BJ28" s="137">
        <f>_xll.xSPRDOPT($BW28,$BV28,$CG28,0,$BY28,$BX28,$BZ28,$AJ28,1,6)*$CB28</f>
        <v>-4.9407087549191826E-2</v>
      </c>
      <c r="BK28" s="137">
        <f>_xll.xSPRDOPT($BW28,$BV28,$CG28,0,$BY28,$BX28,$BZ28,$AJ28,1,5)*$CB28</f>
        <v>6.609070854060918E-2</v>
      </c>
      <c r="BL28" s="137">
        <f>_xll.xSPRDOPT(BW28,BV28,CG28,0,BY28,BX28,BZ28,AJ28,1,2)*CB28</f>
        <v>-0.95313466652894174</v>
      </c>
      <c r="BM28" s="137">
        <f>_xll.xSPRDOPT(BW28,BV28,CG28,0,BY28,BX28,BZ28,AJ28,1,1)*CB28</f>
        <v>0.95691960018063593</v>
      </c>
      <c r="BN28" s="137">
        <f>IF(AH28&lt;&gt;0,_xll.xSPRDOPT($BW28,$BV28,$CG28,2*LN(1+CA28/2),$BY28,$BX28,$BZ28,$AJ28,1,8)+(AJ28/365.25)*CH28/AH28,0)</f>
        <v>4.2316272220658535E-2</v>
      </c>
      <c r="BO28" s="137">
        <f>_xll.xSPRDOPT($BW28,$BV28,$CG28,0,$BY28,$BX28,$BZ28,$AJ28,1,0)</f>
        <v>0.26957133749936535</v>
      </c>
      <c r="BP28" s="137"/>
      <c r="BQ28" s="137"/>
      <c r="BR28" s="137"/>
      <c r="BS28" s="137"/>
      <c r="BV28" s="262">
        <v>2.7163561076604559</v>
      </c>
      <c r="BW28" s="136">
        <v>2.984</v>
      </c>
      <c r="BX28" s="137">
        <v>0.54929025513136898</v>
      </c>
      <c r="BY28" s="137">
        <v>0.57358376821597656</v>
      </c>
      <c r="BZ28" s="137">
        <v>0.99376929360772037</v>
      </c>
      <c r="CA28" s="137">
        <v>2.0428629809483099E-2</v>
      </c>
      <c r="CB28" s="137">
        <v>0.98821719380072837</v>
      </c>
      <c r="CC28" s="258">
        <v>-0.36</v>
      </c>
      <c r="CD28" s="258">
        <v>0</v>
      </c>
      <c r="CE28" s="258">
        <v>-0.02</v>
      </c>
      <c r="CF28" s="258">
        <v>0.02</v>
      </c>
      <c r="CG28" s="258">
        <v>0</v>
      </c>
      <c r="CH28" s="258">
        <v>10.507713421683146</v>
      </c>
      <c r="CI28" s="258">
        <v>2.984</v>
      </c>
      <c r="CZ28" s="403">
        <f t="shared" si="28"/>
        <v>2.984</v>
      </c>
      <c r="DA28" s="404">
        <f t="shared" si="29"/>
        <v>-0.02</v>
      </c>
      <c r="DB28" s="405">
        <f t="shared" si="29"/>
        <v>0.02</v>
      </c>
      <c r="DC28" s="403">
        <f t="shared" si="30"/>
        <v>2.984</v>
      </c>
      <c r="DD28" s="404">
        <f t="shared" si="31"/>
        <v>-0.02</v>
      </c>
      <c r="DE28" s="405">
        <f t="shared" si="31"/>
        <v>0.02</v>
      </c>
      <c r="DF28" s="403">
        <f t="shared" si="32"/>
        <v>3.0890269151138718</v>
      </c>
      <c r="DG28" s="404">
        <f t="shared" si="33"/>
        <v>-0.37267080745341613</v>
      </c>
      <c r="DH28" s="405">
        <f t="shared" si="34"/>
        <v>0</v>
      </c>
      <c r="DI28" s="403">
        <f t="shared" si="35"/>
        <v>3.0890269151138718</v>
      </c>
      <c r="DJ28" s="404">
        <f t="shared" si="36"/>
        <v>-0.37267080745341613</v>
      </c>
      <c r="DK28" s="404">
        <f t="shared" si="37"/>
        <v>0</v>
      </c>
      <c r="DL28" s="397">
        <f t="shared" si="38"/>
        <v>0</v>
      </c>
      <c r="DM28" s="398">
        <f t="shared" si="38"/>
        <v>0</v>
      </c>
      <c r="DN28" s="399">
        <f t="shared" si="38"/>
        <v>0</v>
      </c>
    </row>
    <row r="29" spans="1:118" x14ac:dyDescent="0.25">
      <c r="A29" s="723"/>
      <c r="B29" s="723"/>
      <c r="D29" s="31">
        <f t="shared" si="47"/>
        <v>37483</v>
      </c>
      <c r="F29" s="28">
        <f t="shared" si="48"/>
        <v>10010</v>
      </c>
      <c r="G29" s="28">
        <f t="shared" si="12"/>
        <v>9872.5494512424939</v>
      </c>
      <c r="H29" s="52">
        <f t="shared" si="49"/>
        <v>2.7598343685300208</v>
      </c>
      <c r="I29" s="52">
        <f t="shared" si="50"/>
        <v>3.0559999999999996</v>
      </c>
      <c r="K29" s="52">
        <f t="shared" si="39"/>
        <v>9.0550654461359237</v>
      </c>
      <c r="L29" s="135">
        <f t="shared" si="40"/>
        <v>0.37580841172603208</v>
      </c>
      <c r="N29" s="131">
        <f t="shared" si="41"/>
        <v>0.54264491627088818</v>
      </c>
      <c r="O29" s="131">
        <f t="shared" si="42"/>
        <v>0.57822836426200452</v>
      </c>
      <c r="P29" s="55">
        <f t="shared" si="43"/>
        <v>0.98572115601843502</v>
      </c>
      <c r="Q29" s="135">
        <f>_xll.xSPRDOPT(I29,H29,AQ29,0,O29,N29,P29,D29-$G$5,1,0)*AH29*AU29</f>
        <v>9.4308738578619558</v>
      </c>
      <c r="R29" s="135"/>
      <c r="S29" s="181">
        <f>_xll.xSPRDOPT(I29,H29,AQ29,AT29,O29,N29,P29,D29-$G$5,1,2)*AF29*(F29/(1-AR29))*AH29</f>
        <v>-280334.94058112946</v>
      </c>
      <c r="T29" s="181">
        <f>_xll.xSPRDOPT(I29,H29,AQ29,AT29,O29,N29,P29,D29-$G$5,1,1)*AF29*F29*AH29</f>
        <v>275448.01715349645</v>
      </c>
      <c r="U29" s="135"/>
      <c r="V29" s="146">
        <f t="shared" si="51"/>
        <v>10.486994836669474</v>
      </c>
      <c r="W29" s="146"/>
      <c r="X29" s="338">
        <f t="shared" si="52"/>
        <v>0</v>
      </c>
      <c r="Y29" s="338">
        <f t="shared" si="13"/>
        <v>0</v>
      </c>
      <c r="Z29" s="338">
        <f t="shared" si="14"/>
        <v>-66.590727437625659</v>
      </c>
      <c r="AA29" s="338">
        <f t="shared" si="15"/>
        <v>24.658800340194052</v>
      </c>
      <c r="AB29" s="338">
        <f t="shared" si="53"/>
        <v>0</v>
      </c>
      <c r="AC29" s="338">
        <f t="shared" si="54"/>
        <v>16.330755848278123</v>
      </c>
      <c r="AF29" s="138">
        <f t="shared" si="55"/>
        <v>1</v>
      </c>
      <c r="AG29" s="138">
        <f t="shared" si="56"/>
        <v>8</v>
      </c>
      <c r="AH29" s="138">
        <f t="shared" si="16"/>
        <v>31</v>
      </c>
      <c r="AI29" s="138">
        <f t="shared" si="57"/>
        <v>227</v>
      </c>
      <c r="AJ29" s="138">
        <f t="shared" si="58"/>
        <v>244</v>
      </c>
      <c r="AL29" s="136">
        <f t="shared" si="17"/>
        <v>3.0259999999999998</v>
      </c>
      <c r="AM29" s="258">
        <f t="shared" si="18"/>
        <v>-0.36</v>
      </c>
      <c r="AN29" s="258">
        <f t="shared" si="19"/>
        <v>0</v>
      </c>
      <c r="AO29" s="258">
        <f t="shared" si="20"/>
        <v>0.01</v>
      </c>
      <c r="AP29" s="258">
        <f t="shared" si="21"/>
        <v>0.02</v>
      </c>
      <c r="AQ29" s="136">
        <f t="shared" si="59"/>
        <v>0</v>
      </c>
      <c r="AR29" s="137">
        <f t="shared" si="22"/>
        <v>3.4000000000000002E-2</v>
      </c>
      <c r="AS29" s="136">
        <f t="shared" si="44"/>
        <v>2.6659999999999999</v>
      </c>
      <c r="AT29" s="137">
        <f t="shared" si="45"/>
        <v>2.1065008234303999E-2</v>
      </c>
      <c r="AU29" s="137">
        <f t="shared" si="23"/>
        <v>0.98626867644780158</v>
      </c>
      <c r="AV29" s="394">
        <f t="shared" si="46"/>
        <v>10762.163797398411</v>
      </c>
      <c r="AW29" s="137">
        <f t="shared" si="24"/>
        <v>0.54</v>
      </c>
      <c r="AX29" s="137">
        <f t="shared" si="25"/>
        <v>0.57999999999999996</v>
      </c>
      <c r="AY29" s="137">
        <f t="shared" si="26"/>
        <v>0.98</v>
      </c>
      <c r="AZ29" s="137"/>
      <c r="BA29" s="264"/>
      <c r="BB29" s="258">
        <f t="shared" si="27"/>
        <v>0</v>
      </c>
      <c r="BC29" s="258">
        <f t="shared" si="60"/>
        <v>0</v>
      </c>
      <c r="BD29" s="137">
        <f t="shared" si="61"/>
        <v>3.2242959354444878E-5</v>
      </c>
      <c r="BE29" s="137">
        <f t="shared" si="62"/>
        <v>4.5188333321111163E-4</v>
      </c>
      <c r="BF29" s="137">
        <f>_xll.xSPRDOPT($BW29,$BV29,$CG29,0,$BY29,$BX29,$BZ29,$AJ29,1,4)*$CB29</f>
        <v>0.84480951358411793</v>
      </c>
      <c r="BG29" s="137">
        <f>_xll.xSPRDOPT($BW29,$BV29,$CG29,0,$BY29,$BX29,$BZ29,$AJ29,1,3)*$CB29</f>
        <v>0.68899816897270239</v>
      </c>
      <c r="BH29" s="137">
        <f>IF(OR(BF29&lt;&gt;0,BG29&lt;&gt;0),_xll.xSPRDOPT($BW29,$BV29,$CG29,0,$BY29,$BX29,$BZ29,$AJ29,1,12)*$CB29,0)</f>
        <v>-0.76293663434708503</v>
      </c>
      <c r="BI29" s="137">
        <f>_xll.xSPRDOPT($BW29,$BV29,$CG29,2*LN(1+CA29/2),$BY29,$BX29,$BZ29,$AJ29,1,9)</f>
        <v>-2.6126844334797214E-2</v>
      </c>
      <c r="BJ29" s="137">
        <f>_xll.xSPRDOPT($BW29,$BV29,$CG29,0,$BY29,$BX29,$BZ29,$AJ29,1,6)*$CB29</f>
        <v>-0.11603910604869858</v>
      </c>
      <c r="BK29" s="137">
        <f>_xll.xSPRDOPT($BW29,$BV29,$CG29,0,$BY29,$BX29,$BZ29,$AJ29,1,5)*$CB29</f>
        <v>0.18413269585059006</v>
      </c>
      <c r="BL29" s="137">
        <f>_xll.xSPRDOPT(BW29,BV29,CG29,0,BY29,BX29,BZ29,AJ29,1,2)*CB29</f>
        <v>-0.8725910578310867</v>
      </c>
      <c r="BM29" s="137">
        <f>_xll.xSPRDOPT(BW29,BV29,CG29,0,BY29,BX29,BZ29,AJ29,1,1)*CB29</f>
        <v>0.88755819153909687</v>
      </c>
      <c r="BN29" s="137">
        <f>IF(AH29&lt;&gt;0,_xll.xSPRDOPT($BW29,$BV29,$CG29,2*LN(1+CA29/2),$BY29,$BX29,$BZ29,$AJ29,1,8)+(AJ29/365.25)*CH29/AH29,0)</f>
        <v>2.2753896579400856E-2</v>
      </c>
      <c r="BO29" s="137">
        <f>_xll.xSPRDOPT($BW29,$BV29,$CG29,0,$BY29,$BX29,$BZ29,$AJ29,1,0)</f>
        <v>0.30845893803501151</v>
      </c>
      <c r="BP29" s="137"/>
      <c r="BQ29" s="137"/>
      <c r="BR29" s="137"/>
      <c r="BS29" s="137"/>
      <c r="BV29" s="262">
        <v>2.7598343685300208</v>
      </c>
      <c r="BW29" s="136">
        <v>3.0559999999999996</v>
      </c>
      <c r="BX29" s="137">
        <v>0.54261267331153373</v>
      </c>
      <c r="BY29" s="137">
        <v>0.57777648092879341</v>
      </c>
      <c r="BZ29" s="137">
        <v>0.98586110107375935</v>
      </c>
      <c r="CA29" s="137">
        <v>2.1065008234303999E-2</v>
      </c>
      <c r="CB29" s="137">
        <v>0.98609894066797232</v>
      </c>
      <c r="CC29" s="258">
        <v>-0.36</v>
      </c>
      <c r="CD29" s="258">
        <v>0</v>
      </c>
      <c r="CE29" s="258">
        <v>0.01</v>
      </c>
      <c r="CF29" s="258">
        <v>0.02</v>
      </c>
      <c r="CG29" s="258">
        <v>0</v>
      </c>
      <c r="CH29" s="258">
        <v>10.485190036122551</v>
      </c>
      <c r="CI29" s="258">
        <v>3.0259999999999998</v>
      </c>
      <c r="CZ29" s="403">
        <f t="shared" si="28"/>
        <v>3.0259999999999998</v>
      </c>
      <c r="DA29" s="404">
        <f t="shared" si="29"/>
        <v>0.01</v>
      </c>
      <c r="DB29" s="405">
        <f t="shared" si="29"/>
        <v>0.02</v>
      </c>
      <c r="DC29" s="403">
        <f t="shared" si="30"/>
        <v>3.0259999999999998</v>
      </c>
      <c r="DD29" s="404">
        <f t="shared" si="31"/>
        <v>0.01</v>
      </c>
      <c r="DE29" s="405">
        <f t="shared" si="31"/>
        <v>0.02</v>
      </c>
      <c r="DF29" s="403">
        <f t="shared" si="32"/>
        <v>3.1325051759834368</v>
      </c>
      <c r="DG29" s="404">
        <f t="shared" si="33"/>
        <v>-0.37267080745341613</v>
      </c>
      <c r="DH29" s="405">
        <f t="shared" si="34"/>
        <v>0</v>
      </c>
      <c r="DI29" s="403">
        <f t="shared" si="35"/>
        <v>3.1325051759834368</v>
      </c>
      <c r="DJ29" s="404">
        <f t="shared" si="36"/>
        <v>-0.37267080745341613</v>
      </c>
      <c r="DK29" s="404">
        <f t="shared" si="37"/>
        <v>0</v>
      </c>
      <c r="DL29" s="397">
        <f t="shared" si="38"/>
        <v>0</v>
      </c>
      <c r="DM29" s="398">
        <f t="shared" si="38"/>
        <v>0</v>
      </c>
      <c r="DN29" s="399">
        <f t="shared" si="38"/>
        <v>0</v>
      </c>
    </row>
    <row r="30" spans="1:118" x14ac:dyDescent="0.25">
      <c r="A30" s="723"/>
      <c r="B30" s="723"/>
      <c r="D30" s="31">
        <f t="shared" si="47"/>
        <v>37514</v>
      </c>
      <c r="F30" s="28">
        <f t="shared" si="48"/>
        <v>10010</v>
      </c>
      <c r="G30" s="28">
        <f t="shared" si="12"/>
        <v>9850.3867618914992</v>
      </c>
      <c r="H30" s="52">
        <f t="shared" si="49"/>
        <v>2.7515527950310559</v>
      </c>
      <c r="I30" s="52">
        <f t="shared" si="50"/>
        <v>3.0479999999999996</v>
      </c>
      <c r="K30" s="52">
        <f t="shared" si="39"/>
        <v>8.7516072630144421</v>
      </c>
      <c r="L30" s="135">
        <f t="shared" si="40"/>
        <v>9.8105787984252402E-2</v>
      </c>
      <c r="N30" s="131">
        <f t="shared" si="41"/>
        <v>0.54533083012581851</v>
      </c>
      <c r="O30" s="131">
        <f t="shared" si="42"/>
        <v>0.56841885964489258</v>
      </c>
      <c r="P30" s="55">
        <f t="shared" si="43"/>
        <v>0.99288333103037241</v>
      </c>
      <c r="Q30" s="135">
        <f>_xll.xSPRDOPT(I30,H30,AQ30,0,O30,N30,P30,D30-$G$5,1,0)*AH30*AU30</f>
        <v>8.8497130509986945</v>
      </c>
      <c r="R30" s="135"/>
      <c r="S30" s="181">
        <f>_xll.xSPRDOPT(I30,H30,AQ30,AT30,O30,N30,P30,D30-$G$5,1,2)*AF30*(F30/(1-AR30))*AH30</f>
        <v>-290933.08036634716</v>
      </c>
      <c r="T30" s="181">
        <f>_xll.xSPRDOPT(I30,H30,AQ30,AT30,O30,N30,P30,D30-$G$5,1,1)*AF30*F30*AH30</f>
        <v>282768.37849620671</v>
      </c>
      <c r="U30" s="135"/>
      <c r="V30" s="146">
        <f t="shared" si="51"/>
        <v>10.125922055930422</v>
      </c>
      <c r="W30" s="146"/>
      <c r="X30" s="338">
        <f t="shared" si="52"/>
        <v>0</v>
      </c>
      <c r="Y30" s="338">
        <f t="shared" si="13"/>
        <v>0</v>
      </c>
      <c r="Z30" s="338">
        <f t="shared" si="14"/>
        <v>-11.557920277254365</v>
      </c>
      <c r="AA30" s="338">
        <f t="shared" si="15"/>
        <v>7.1054272099307729</v>
      </c>
      <c r="AB30" s="338">
        <f t="shared" si="53"/>
        <v>0</v>
      </c>
      <c r="AC30" s="338">
        <f t="shared" si="54"/>
        <v>15.787206153854871</v>
      </c>
      <c r="AF30" s="138">
        <f t="shared" si="55"/>
        <v>1</v>
      </c>
      <c r="AG30" s="138">
        <f t="shared" si="56"/>
        <v>9</v>
      </c>
      <c r="AH30" s="138">
        <f t="shared" si="16"/>
        <v>30</v>
      </c>
      <c r="AI30" s="138">
        <f t="shared" si="57"/>
        <v>258</v>
      </c>
      <c r="AJ30" s="138">
        <f t="shared" si="58"/>
        <v>275</v>
      </c>
      <c r="AL30" s="136">
        <f t="shared" si="17"/>
        <v>3.0179999999999998</v>
      </c>
      <c r="AM30" s="258">
        <f t="shared" si="18"/>
        <v>-0.36</v>
      </c>
      <c r="AN30" s="258">
        <f t="shared" si="19"/>
        <v>0</v>
      </c>
      <c r="AO30" s="258">
        <f t="shared" si="20"/>
        <v>0.01</v>
      </c>
      <c r="AP30" s="258">
        <f t="shared" si="21"/>
        <v>0.02</v>
      </c>
      <c r="AQ30" s="136">
        <f t="shared" si="59"/>
        <v>0</v>
      </c>
      <c r="AR30" s="137">
        <f t="shared" si="22"/>
        <v>3.4000000000000002E-2</v>
      </c>
      <c r="AS30" s="136">
        <f t="shared" si="44"/>
        <v>2.6579999999999999</v>
      </c>
      <c r="AT30" s="137">
        <f t="shared" si="45"/>
        <v>2.1701386796276499E-2</v>
      </c>
      <c r="AU30" s="137">
        <f t="shared" si="23"/>
        <v>0.98405462156758228</v>
      </c>
      <c r="AV30" s="394">
        <f t="shared" si="46"/>
        <v>10391.616803753668</v>
      </c>
      <c r="AW30" s="137">
        <f t="shared" si="24"/>
        <v>0.54</v>
      </c>
      <c r="AX30" s="137">
        <f t="shared" si="25"/>
        <v>0.63</v>
      </c>
      <c r="AY30" s="137">
        <f t="shared" si="26"/>
        <v>0.93</v>
      </c>
      <c r="AZ30" s="137"/>
      <c r="BA30" s="264"/>
      <c r="BB30" s="258">
        <f t="shared" si="27"/>
        <v>0</v>
      </c>
      <c r="BC30" s="258">
        <f t="shared" si="60"/>
        <v>0</v>
      </c>
      <c r="BD30" s="137">
        <f t="shared" si="61"/>
        <v>5.7663642305860741E-5</v>
      </c>
      <c r="BE30" s="137">
        <f t="shared" si="62"/>
        <v>3.0125853078155629E-4</v>
      </c>
      <c r="BF30" s="137">
        <f>_xll.xSPRDOPT($BW30,$BV30,$CG30,0,$BY30,$BX30,$BZ30,$AJ30,1,4)*$CB30</f>
        <v>0.59688379525649204</v>
      </c>
      <c r="BG30" s="137">
        <f>_xll.xSPRDOPT($BW30,$BV30,$CG30,0,$BY30,$BX30,$BZ30,$AJ30,1,3)*$CB30</f>
        <v>0.48642459885894895</v>
      </c>
      <c r="BH30" s="137">
        <f>IF(OR(BF30&lt;&gt;0,BG30&lt;&gt;0),_xll.xSPRDOPT($BW30,$BV30,$CG30,0,$BY30,$BX30,$BZ30,$AJ30,1,12)*$CB30,0)</f>
        <v>-0.53883176473972905</v>
      </c>
      <c r="BI30" s="137">
        <f>_xll.xSPRDOPT($BW30,$BV30,$CG30,2*LN(1+CA30/2),$BY30,$BX30,$BZ30,$AJ30,1,9)</f>
        <v>-4.6859034091099525E-3</v>
      </c>
      <c r="BJ30" s="137">
        <f>_xll.xSPRDOPT($BW30,$BV30,$CG30,0,$BY30,$BX30,$BZ30,$AJ30,1,6)*$CB30</f>
        <v>-6.4092067930637014E-2</v>
      </c>
      <c r="BK30" s="137">
        <f>_xll.xSPRDOPT($BW30,$BV30,$CG30,0,$BY30,$BX30,$BZ30,$AJ30,1,5)*$CB30</f>
        <v>9.080864292536002E-2</v>
      </c>
      <c r="BL30" s="137">
        <f>_xll.xSPRDOPT(BW30,BV30,CG30,0,BY30,BX30,BZ30,AJ30,1,2)*CB30</f>
        <v>-0.93578078662671782</v>
      </c>
      <c r="BM30" s="137">
        <f>_xll.xSPRDOPT(BW30,BV30,CG30,0,BY30,BX30,BZ30,AJ30,1,1)*CB30</f>
        <v>0.94153170132110808</v>
      </c>
      <c r="BN30" s="137">
        <f>IF(AH30&lt;&gt;0,_xll.xSPRDOPT($BW30,$BV30,$CG30,2*LN(1+CA30/2),$BY30,$BX30,$BZ30,$AJ30,1,8)+(AJ30/365.25)*CH30/AH30,0)</f>
        <v>3.2023045204808087E-2</v>
      </c>
      <c r="BO30" s="137">
        <f>_xll.xSPRDOPT($BW30,$BV30,$CG30,0,$BY30,$BX30,$BZ30,$AJ30,1,0)</f>
        <v>0.2997707254079453</v>
      </c>
      <c r="BP30" s="137"/>
      <c r="BQ30" s="137"/>
      <c r="BR30" s="137"/>
      <c r="BS30" s="137"/>
      <c r="BV30" s="262">
        <v>2.7515527950310559</v>
      </c>
      <c r="BW30" s="136">
        <v>3.0479999999999996</v>
      </c>
      <c r="BX30" s="137">
        <v>0.54527316648351265</v>
      </c>
      <c r="BY30" s="137">
        <v>0.56811760111411103</v>
      </c>
      <c r="BZ30" s="137">
        <v>0.9929475010275618</v>
      </c>
      <c r="CA30" s="137">
        <v>2.1701386796276499E-2</v>
      </c>
      <c r="CB30" s="137">
        <v>0.98388017854127463</v>
      </c>
      <c r="CC30" s="258">
        <v>-0.36</v>
      </c>
      <c r="CD30" s="258">
        <v>0</v>
      </c>
      <c r="CE30" s="258">
        <v>0.01</v>
      </c>
      <c r="CF30" s="258">
        <v>0.02</v>
      </c>
      <c r="CG30" s="258">
        <v>0</v>
      </c>
      <c r="CH30" s="258">
        <v>10.124127037189718</v>
      </c>
      <c r="CI30" s="258">
        <v>3.0179999999999998</v>
      </c>
      <c r="CZ30" s="403">
        <f t="shared" si="28"/>
        <v>3.0179999999999998</v>
      </c>
      <c r="DA30" s="404">
        <f t="shared" si="29"/>
        <v>0.01</v>
      </c>
      <c r="DB30" s="405">
        <f t="shared" si="29"/>
        <v>0.02</v>
      </c>
      <c r="DC30" s="403">
        <f t="shared" si="30"/>
        <v>3.0179999999999998</v>
      </c>
      <c r="DD30" s="404">
        <f t="shared" si="31"/>
        <v>0.01</v>
      </c>
      <c r="DE30" s="405">
        <f t="shared" si="31"/>
        <v>0.02</v>
      </c>
      <c r="DF30" s="403">
        <f t="shared" si="32"/>
        <v>3.1242236024844718</v>
      </c>
      <c r="DG30" s="404">
        <f t="shared" si="33"/>
        <v>-0.37267080745341613</v>
      </c>
      <c r="DH30" s="405">
        <f t="shared" si="34"/>
        <v>0</v>
      </c>
      <c r="DI30" s="403">
        <f t="shared" si="35"/>
        <v>3.1242236024844718</v>
      </c>
      <c r="DJ30" s="404">
        <f t="shared" si="36"/>
        <v>-0.37267080745341613</v>
      </c>
      <c r="DK30" s="404">
        <f t="shared" si="37"/>
        <v>0</v>
      </c>
      <c r="DL30" s="397">
        <f t="shared" si="38"/>
        <v>0</v>
      </c>
      <c r="DM30" s="398">
        <f t="shared" si="38"/>
        <v>0</v>
      </c>
      <c r="DN30" s="399">
        <f t="shared" si="38"/>
        <v>0</v>
      </c>
    </row>
    <row r="31" spans="1:118" x14ac:dyDescent="0.25">
      <c r="A31" s="723"/>
      <c r="B31" s="723"/>
      <c r="D31" s="31">
        <f t="shared" si="47"/>
        <v>37544</v>
      </c>
      <c r="F31" s="28">
        <f t="shared" si="48"/>
        <v>10010</v>
      </c>
      <c r="G31" s="28">
        <f t="shared" si="12"/>
        <v>9827.240958954224</v>
      </c>
      <c r="H31" s="52">
        <f t="shared" si="49"/>
        <v>2.9202898550724639</v>
      </c>
      <c r="I31" s="52">
        <f t="shared" si="50"/>
        <v>3.0860000000000003</v>
      </c>
      <c r="K31" s="52">
        <f t="shared" si="39"/>
        <v>5.043224698294698</v>
      </c>
      <c r="L31" s="135">
        <f t="shared" si="40"/>
        <v>0.83597743491371368</v>
      </c>
      <c r="N31" s="131">
        <f t="shared" si="41"/>
        <v>0.54495665834341089</v>
      </c>
      <c r="O31" s="131">
        <f t="shared" si="42"/>
        <v>0.57075053913616014</v>
      </c>
      <c r="P31" s="55">
        <f t="shared" si="43"/>
        <v>0.99101248074563753</v>
      </c>
      <c r="Q31" s="135">
        <f>_xll.xSPRDOPT(I31,H31,AQ31,0,O31,N31,P31,D31-$G$5,1,0)*AH31*AU31</f>
        <v>5.8792021332084117</v>
      </c>
      <c r="R31" s="135"/>
      <c r="S31" s="181">
        <f>_xll.xSPRDOPT(I31,H31,AQ31,AT31,O31,N31,P31,D31-$G$5,1,2)*AF31*(F31/(1-AR31))*AH31</f>
        <v>-242096.034058847</v>
      </c>
      <c r="T31" s="181">
        <f>_xll.xSPRDOPT(I31,H31,AQ31,AT31,O31,N31,P31,D31-$G$5,1,1)*AF31*F31*AH31</f>
        <v>240375.12040974395</v>
      </c>
      <c r="U31" s="135"/>
      <c r="V31" s="146">
        <f t="shared" si="51"/>
        <v>10.438866445210817</v>
      </c>
      <c r="W31" s="146"/>
      <c r="X31" s="338">
        <f t="shared" si="52"/>
        <v>0</v>
      </c>
      <c r="Y31" s="338">
        <f t="shared" si="13"/>
        <v>0</v>
      </c>
      <c r="Z31" s="338">
        <f t="shared" si="14"/>
        <v>-85.290837486796434</v>
      </c>
      <c r="AA31" s="338">
        <f t="shared" si="15"/>
        <v>24.969568512616455</v>
      </c>
      <c r="AB31" s="338">
        <f t="shared" si="53"/>
        <v>0</v>
      </c>
      <c r="AC31" s="338">
        <f t="shared" si="54"/>
        <v>10.830600697321952</v>
      </c>
      <c r="AF31" s="138">
        <f t="shared" si="55"/>
        <v>1</v>
      </c>
      <c r="AG31" s="138">
        <f t="shared" si="56"/>
        <v>10</v>
      </c>
      <c r="AH31" s="138">
        <f t="shared" si="16"/>
        <v>31</v>
      </c>
      <c r="AI31" s="138">
        <f t="shared" si="57"/>
        <v>288</v>
      </c>
      <c r="AJ31" s="138">
        <f t="shared" si="58"/>
        <v>305</v>
      </c>
      <c r="AL31" s="136">
        <f t="shared" si="17"/>
        <v>3.0310000000000001</v>
      </c>
      <c r="AM31" s="258">
        <f t="shared" si="18"/>
        <v>-0.21</v>
      </c>
      <c r="AN31" s="258">
        <f t="shared" si="19"/>
        <v>0</v>
      </c>
      <c r="AO31" s="258">
        <f t="shared" si="20"/>
        <v>3.5000000000000003E-2</v>
      </c>
      <c r="AP31" s="258">
        <f t="shared" si="21"/>
        <v>0.02</v>
      </c>
      <c r="AQ31" s="136">
        <f t="shared" si="59"/>
        <v>0</v>
      </c>
      <c r="AR31" s="137">
        <f t="shared" si="22"/>
        <v>3.4000000000000002E-2</v>
      </c>
      <c r="AS31" s="136">
        <f t="shared" si="44"/>
        <v>2.8210000000000002</v>
      </c>
      <c r="AT31" s="137">
        <f t="shared" si="45"/>
        <v>2.2410164045373999E-2</v>
      </c>
      <c r="AU31" s="137">
        <f t="shared" si="23"/>
        <v>0.98174235354188055</v>
      </c>
      <c r="AV31" s="394">
        <f t="shared" si="46"/>
        <v>10712.772561849</v>
      </c>
      <c r="AW31" s="137">
        <f t="shared" si="24"/>
        <v>0.54</v>
      </c>
      <c r="AX31" s="137">
        <f t="shared" si="25"/>
        <v>0.63</v>
      </c>
      <c r="AY31" s="137">
        <f t="shared" si="26"/>
        <v>0.98</v>
      </c>
      <c r="AZ31" s="137"/>
      <c r="BA31" s="264"/>
      <c r="BB31" s="258">
        <f t="shared" si="27"/>
        <v>0</v>
      </c>
      <c r="BC31" s="258">
        <f t="shared" si="60"/>
        <v>0</v>
      </c>
      <c r="BD31" s="137">
        <f t="shared" si="61"/>
        <v>4.8296920040158398E-5</v>
      </c>
      <c r="BE31" s="137">
        <f t="shared" si="62"/>
        <v>2.9295113652438864E-4</v>
      </c>
      <c r="BF31" s="137">
        <f>_xll.xSPRDOPT($BW31,$BV31,$CG31,0,$BY31,$BX31,$BZ31,$AJ31,1,4)*$CB31</f>
        <v>1.4267947902808884</v>
      </c>
      <c r="BG31" s="137">
        <f>_xll.xSPRDOPT($BW31,$BV31,$CG31,0,$BY31,$BX31,$BZ31,$AJ31,1,3)*$CB31</f>
        <v>1.2776783902466853</v>
      </c>
      <c r="BH31" s="137">
        <f>IF(OR(BF31&lt;&gt;0,BG31&lt;&gt;0),_xll.xSPRDOPT($BW31,$BV31,$CG31,0,$BY31,$BX31,$BZ31,$AJ31,1,12)*$CB31,0)</f>
        <v>-1.3501791600034452</v>
      </c>
      <c r="BI31" s="137">
        <f>_xll.xSPRDOPT($BW31,$BV31,$CG31,2*LN(1+CA31/2),$BY31,$BX31,$BZ31,$AJ31,1,9)</f>
        <v>-3.3463824768835894E-2</v>
      </c>
      <c r="BJ31" s="137">
        <f>_xll.xSPRDOPT($BW31,$BV31,$CG31,0,$BY31,$BX31,$BZ31,$AJ31,1,6)*$CB31</f>
        <v>-0.20792634838796473</v>
      </c>
      <c r="BK31" s="137">
        <f>_xll.xSPRDOPT($BW31,$BV31,$CG31,0,$BY31,$BX31,$BZ31,$AJ31,1,5)*$CB31</f>
        <v>0.3089550427059562</v>
      </c>
      <c r="BL31" s="137">
        <f>_xll.xSPRDOPT(BW31,BV31,CG31,0,BY31,BX31,BZ31,AJ31,1,2)*CB31</f>
        <v>-0.75358268970302056</v>
      </c>
      <c r="BM31" s="137">
        <f>_xll.xSPRDOPT(BW31,BV31,CG31,0,BY31,BX31,BZ31,AJ31,1,1)*CB31</f>
        <v>0.77456197503362734</v>
      </c>
      <c r="BN31" s="137">
        <f>IF(AH31&lt;&gt;0,_xll.xSPRDOPT($BW31,$BV31,$CG31,2*LN(1+CA31/2),$BY31,$BX31,$BZ31,$AJ31,1,8)+(AJ31/365.25)*CH31/AH31,0)</f>
        <v>0.12279955088199648</v>
      </c>
      <c r="BO31" s="137">
        <f>_xll.xSPRDOPT($BW31,$BV31,$CG31,0,$BY31,$BX31,$BZ31,$AJ31,1,0)</f>
        <v>0.19318022825006165</v>
      </c>
      <c r="BP31" s="137"/>
      <c r="BQ31" s="137"/>
      <c r="BR31" s="137"/>
      <c r="BS31" s="137"/>
      <c r="BV31" s="262">
        <v>2.9202898550724639</v>
      </c>
      <c r="BW31" s="136">
        <v>3.0860000000000003</v>
      </c>
      <c r="BX31" s="137">
        <v>0.54490836142337074</v>
      </c>
      <c r="BY31" s="137">
        <v>0.57045758799963575</v>
      </c>
      <c r="BZ31" s="137">
        <v>0.99108536036681083</v>
      </c>
      <c r="CA31" s="137">
        <v>2.2410164045373999E-2</v>
      </c>
      <c r="CB31" s="137">
        <v>0.98156266847823481</v>
      </c>
      <c r="CC31" s="258">
        <v>-0.21</v>
      </c>
      <c r="CD31" s="258">
        <v>0</v>
      </c>
      <c r="CE31" s="258">
        <v>3.5000000000000003E-2</v>
      </c>
      <c r="CF31" s="258">
        <v>0.02</v>
      </c>
      <c r="CG31" s="258">
        <v>0</v>
      </c>
      <c r="CH31" s="258">
        <v>10.436955853929071</v>
      </c>
      <c r="CI31" s="258">
        <v>3.0310000000000001</v>
      </c>
      <c r="CZ31" s="403">
        <f t="shared" si="28"/>
        <v>3.0310000000000001</v>
      </c>
      <c r="DA31" s="404">
        <f t="shared" si="29"/>
        <v>3.5000000000000003E-2</v>
      </c>
      <c r="DB31" s="405">
        <f t="shared" si="29"/>
        <v>0.02</v>
      </c>
      <c r="DC31" s="403">
        <f t="shared" si="30"/>
        <v>3.0310000000000001</v>
      </c>
      <c r="DD31" s="404">
        <f t="shared" si="31"/>
        <v>3.5000000000000003E-2</v>
      </c>
      <c r="DE31" s="405">
        <f t="shared" si="31"/>
        <v>0.02</v>
      </c>
      <c r="DF31" s="403">
        <f t="shared" si="32"/>
        <v>3.13768115942029</v>
      </c>
      <c r="DG31" s="404">
        <f t="shared" si="33"/>
        <v>-0.21739130434782608</v>
      </c>
      <c r="DH31" s="405">
        <f t="shared" si="34"/>
        <v>0</v>
      </c>
      <c r="DI31" s="403">
        <f t="shared" si="35"/>
        <v>3.13768115942029</v>
      </c>
      <c r="DJ31" s="404">
        <f t="shared" si="36"/>
        <v>-0.21739130434782608</v>
      </c>
      <c r="DK31" s="404">
        <f t="shared" si="37"/>
        <v>0</v>
      </c>
      <c r="DL31" s="397">
        <f t="shared" si="38"/>
        <v>0</v>
      </c>
      <c r="DM31" s="398">
        <f t="shared" si="38"/>
        <v>0</v>
      </c>
      <c r="DN31" s="399">
        <f t="shared" si="38"/>
        <v>0</v>
      </c>
    </row>
    <row r="32" spans="1:118" x14ac:dyDescent="0.25">
      <c r="A32" s="723"/>
      <c r="B32" s="723"/>
      <c r="D32" s="31">
        <f t="shared" si="47"/>
        <v>37575</v>
      </c>
      <c r="F32" s="28">
        <f t="shared" si="48"/>
        <v>10010</v>
      </c>
      <c r="G32" s="28">
        <f t="shared" si="12"/>
        <v>0</v>
      </c>
      <c r="H32" s="52">
        <f t="shared" si="49"/>
        <v>3.3861283643892341</v>
      </c>
      <c r="I32" s="52">
        <f t="shared" si="50"/>
        <v>3.3009999999999997</v>
      </c>
      <c r="K32" s="52">
        <f t="shared" si="39"/>
        <v>0</v>
      </c>
      <c r="L32" s="135">
        <f t="shared" si="40"/>
        <v>0</v>
      </c>
      <c r="N32" s="131">
        <f t="shared" si="41"/>
        <v>0.54</v>
      </c>
      <c r="O32" s="131">
        <f t="shared" si="42"/>
        <v>0.54</v>
      </c>
      <c r="P32" s="55">
        <f t="shared" si="43"/>
        <v>0</v>
      </c>
      <c r="Q32" s="135">
        <f>_xll.xSPRDOPT(I32,H32,AQ32,0,O32,N32,P32,D32-$G$5,1,0)*AH32*AU32</f>
        <v>0</v>
      </c>
      <c r="R32" s="135"/>
      <c r="S32" s="181">
        <f>_xll.xSPRDOPT(I32,H32,AQ32,AT32,O32,N32,P32,D32-$G$5,1,2)*AF32*(F32/(1-AR32))*AH32</f>
        <v>0</v>
      </c>
      <c r="T32" s="181">
        <f>_xll.xSPRDOPT(I32,H32,AQ32,AT32,O32,N32,P32,D32-$G$5,1,1)*AF32*F32*AH32</f>
        <v>0</v>
      </c>
      <c r="U32" s="135"/>
      <c r="V32" s="146">
        <f t="shared" si="51"/>
        <v>0</v>
      </c>
      <c r="W32" s="146"/>
      <c r="X32" s="338">
        <f t="shared" si="52"/>
        <v>0</v>
      </c>
      <c r="Y32" s="338">
        <f t="shared" si="13"/>
        <v>0</v>
      </c>
      <c r="Z32" s="338">
        <f t="shared" si="14"/>
        <v>0</v>
      </c>
      <c r="AA32" s="338">
        <f t="shared" si="15"/>
        <v>0</v>
      </c>
      <c r="AB32" s="338">
        <f t="shared" si="53"/>
        <v>0</v>
      </c>
      <c r="AC32" s="338">
        <f t="shared" si="54"/>
        <v>0</v>
      </c>
      <c r="AF32" s="138">
        <f t="shared" si="55"/>
        <v>0</v>
      </c>
      <c r="AG32" s="138">
        <f t="shared" si="56"/>
        <v>11</v>
      </c>
      <c r="AH32" s="138">
        <f t="shared" si="16"/>
        <v>0</v>
      </c>
      <c r="AI32" s="138">
        <f t="shared" si="57"/>
        <v>319</v>
      </c>
      <c r="AJ32" s="138">
        <f t="shared" si="58"/>
        <v>336</v>
      </c>
      <c r="AL32" s="136">
        <f t="shared" si="17"/>
        <v>3.2109999999999999</v>
      </c>
      <c r="AM32" s="258">
        <f t="shared" si="18"/>
        <v>0.06</v>
      </c>
      <c r="AN32" s="258">
        <f t="shared" si="19"/>
        <v>0</v>
      </c>
      <c r="AO32" s="258">
        <f t="shared" si="20"/>
        <v>0.05</v>
      </c>
      <c r="AP32" s="258">
        <f t="shared" si="21"/>
        <v>0.04</v>
      </c>
      <c r="AQ32" s="136">
        <f t="shared" si="59"/>
        <v>0</v>
      </c>
      <c r="AR32" s="137">
        <f t="shared" si="22"/>
        <v>3.4000000000000002E-2</v>
      </c>
      <c r="AS32" s="136">
        <f t="shared" si="44"/>
        <v>3.2709999999999999</v>
      </c>
      <c r="AT32" s="137">
        <f t="shared" si="45"/>
        <v>2.3274064967752799E-2</v>
      </c>
      <c r="AU32" s="137">
        <f t="shared" si="23"/>
        <v>0</v>
      </c>
      <c r="AV32" s="394">
        <f t="shared" si="46"/>
        <v>0</v>
      </c>
      <c r="AW32" s="137">
        <f t="shared" si="24"/>
        <v>0.54</v>
      </c>
      <c r="AX32" s="137">
        <f t="shared" si="25"/>
        <v>1</v>
      </c>
      <c r="AY32" s="137">
        <f t="shared" si="26"/>
        <v>0.95</v>
      </c>
      <c r="AZ32" s="137"/>
      <c r="BA32" s="264"/>
      <c r="BB32" s="258">
        <f t="shared" si="27"/>
        <v>0</v>
      </c>
      <c r="BC32" s="258">
        <f t="shared" si="60"/>
        <v>0</v>
      </c>
      <c r="BD32" s="137">
        <f t="shared" si="61"/>
        <v>0</v>
      </c>
      <c r="BE32" s="137">
        <f t="shared" si="62"/>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-0.46510456800749567</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0.91359906624522069</v>
      </c>
      <c r="BP32" s="137"/>
      <c r="BQ32" s="137"/>
      <c r="BR32" s="137"/>
      <c r="BS32" s="137"/>
      <c r="BV32" s="262">
        <v>3.3861283643892341</v>
      </c>
      <c r="BW32" s="136">
        <v>3.3009999999999997</v>
      </c>
      <c r="BX32" s="137">
        <v>0.54</v>
      </c>
      <c r="BY32" s="137">
        <v>0.54</v>
      </c>
      <c r="BZ32" s="137">
        <v>0</v>
      </c>
      <c r="CA32" s="137">
        <v>2.3274064967752799E-2</v>
      </c>
      <c r="CB32" s="137">
        <v>0</v>
      </c>
      <c r="CC32" s="258">
        <v>0.06</v>
      </c>
      <c r="CD32" s="258">
        <v>0</v>
      </c>
      <c r="CE32" s="258">
        <v>0.05</v>
      </c>
      <c r="CF32" s="258">
        <v>0.04</v>
      </c>
      <c r="CG32" s="258">
        <v>0</v>
      </c>
      <c r="CH32" s="258">
        <v>0</v>
      </c>
      <c r="CI32" s="258">
        <v>3.2109999999999999</v>
      </c>
      <c r="CZ32" s="403">
        <f t="shared" si="28"/>
        <v>3.2109999999999999</v>
      </c>
      <c r="DA32" s="404">
        <f t="shared" si="29"/>
        <v>0.05</v>
      </c>
      <c r="DB32" s="405">
        <f t="shared" si="29"/>
        <v>0.04</v>
      </c>
      <c r="DC32" s="403">
        <f t="shared" si="30"/>
        <v>3.2109999999999999</v>
      </c>
      <c r="DD32" s="404">
        <f t="shared" si="31"/>
        <v>0.05</v>
      </c>
      <c r="DE32" s="405">
        <f t="shared" si="31"/>
        <v>0.04</v>
      </c>
      <c r="DF32" s="403">
        <f t="shared" si="32"/>
        <v>3.3240165631469978</v>
      </c>
      <c r="DG32" s="404">
        <f t="shared" si="33"/>
        <v>6.2111801242236024E-2</v>
      </c>
      <c r="DH32" s="405">
        <f t="shared" si="34"/>
        <v>0</v>
      </c>
      <c r="DI32" s="403">
        <f t="shared" si="35"/>
        <v>3.3240165631469978</v>
      </c>
      <c r="DJ32" s="404">
        <f t="shared" si="36"/>
        <v>6.2111801242236024E-2</v>
      </c>
      <c r="DK32" s="404">
        <f t="shared" si="37"/>
        <v>0</v>
      </c>
      <c r="DL32" s="397">
        <f t="shared" si="38"/>
        <v>0</v>
      </c>
      <c r="DM32" s="398">
        <f t="shared" si="38"/>
        <v>0</v>
      </c>
      <c r="DN32" s="399">
        <f t="shared" si="38"/>
        <v>0</v>
      </c>
    </row>
    <row r="33" spans="1:118" x14ac:dyDescent="0.25">
      <c r="A33" s="723"/>
      <c r="B33" s="723"/>
      <c r="D33" s="31">
        <f t="shared" si="47"/>
        <v>37575</v>
      </c>
      <c r="F33" s="28">
        <f t="shared" si="48"/>
        <v>10010</v>
      </c>
      <c r="G33" s="28">
        <f t="shared" si="12"/>
        <v>0</v>
      </c>
      <c r="H33" s="52">
        <f t="shared" si="49"/>
        <v>3.3861283643892341</v>
      </c>
      <c r="I33" s="52">
        <f t="shared" si="50"/>
        <v>3.3009999999999997</v>
      </c>
      <c r="K33" s="52">
        <f t="shared" si="39"/>
        <v>0</v>
      </c>
      <c r="L33" s="135">
        <f t="shared" si="40"/>
        <v>0</v>
      </c>
      <c r="N33" s="131">
        <f t="shared" si="41"/>
        <v>0.54</v>
      </c>
      <c r="O33" s="131">
        <f t="shared" si="42"/>
        <v>0.54</v>
      </c>
      <c r="P33" s="55">
        <f t="shared" si="43"/>
        <v>0</v>
      </c>
      <c r="Q33" s="135">
        <f>_xll.xSPRDOPT(I33,H33,AQ33,0,O33,N33,P33,D33-$G$5,1,0)*AH33*AU33</f>
        <v>0</v>
      </c>
      <c r="R33" s="135"/>
      <c r="S33" s="181">
        <f>_xll.xSPRDOPT(I33,H33,AQ33,AT33,O33,N33,P33,D33-$G$5,1,2)*AF33*(F33/(1-AR33))*AH33</f>
        <v>0</v>
      </c>
      <c r="T33" s="181">
        <f>_xll.xSPRDOPT(I33,H33,AQ33,AT33,O33,N33,P33,D33-$G$5,1,1)*AF33*F33*AH33</f>
        <v>0</v>
      </c>
      <c r="U33" s="135"/>
      <c r="V33" s="146">
        <f t="shared" si="51"/>
        <v>0</v>
      </c>
      <c r="W33" s="146"/>
      <c r="X33" s="338">
        <f t="shared" si="52"/>
        <v>0</v>
      </c>
      <c r="Y33" s="338">
        <f t="shared" si="13"/>
        <v>0</v>
      </c>
      <c r="Z33" s="338">
        <f t="shared" si="14"/>
        <v>0</v>
      </c>
      <c r="AA33" s="338">
        <f t="shared" si="15"/>
        <v>0</v>
      </c>
      <c r="AB33" s="338">
        <f t="shared" si="53"/>
        <v>0</v>
      </c>
      <c r="AC33" s="338">
        <f t="shared" si="54"/>
        <v>0</v>
      </c>
      <c r="AF33" s="138">
        <f t="shared" si="55"/>
        <v>0</v>
      </c>
      <c r="AG33" s="138">
        <f t="shared" si="56"/>
        <v>11</v>
      </c>
      <c r="AH33" s="138">
        <f t="shared" si="16"/>
        <v>0</v>
      </c>
      <c r="AI33" s="138">
        <f t="shared" si="57"/>
        <v>319</v>
      </c>
      <c r="AJ33" s="138">
        <f t="shared" si="58"/>
        <v>336</v>
      </c>
      <c r="AL33" s="136">
        <f t="shared" si="17"/>
        <v>3.2109999999999999</v>
      </c>
      <c r="AM33" s="258">
        <f t="shared" si="18"/>
        <v>0.06</v>
      </c>
      <c r="AN33" s="258">
        <f t="shared" si="19"/>
        <v>0</v>
      </c>
      <c r="AO33" s="258">
        <f t="shared" si="20"/>
        <v>0.05</v>
      </c>
      <c r="AP33" s="258">
        <f t="shared" si="21"/>
        <v>0.04</v>
      </c>
      <c r="AQ33" s="136">
        <f t="shared" si="59"/>
        <v>0</v>
      </c>
      <c r="AR33" s="137">
        <f t="shared" si="22"/>
        <v>3.4000000000000002E-2</v>
      </c>
      <c r="AS33" s="136">
        <f t="shared" si="44"/>
        <v>3.2709999999999999</v>
      </c>
      <c r="AT33" s="137">
        <f t="shared" si="45"/>
        <v>2.3274064967752799E-2</v>
      </c>
      <c r="AU33" s="137">
        <f t="shared" si="23"/>
        <v>0</v>
      </c>
      <c r="AV33" s="394">
        <f t="shared" si="46"/>
        <v>0</v>
      </c>
      <c r="AW33" s="137">
        <f t="shared" si="24"/>
        <v>0.54</v>
      </c>
      <c r="AX33" s="137">
        <f t="shared" si="25"/>
        <v>1</v>
      </c>
      <c r="AY33" s="137">
        <f t="shared" si="26"/>
        <v>0.95</v>
      </c>
      <c r="AZ33" s="137"/>
      <c r="BA33" s="264"/>
      <c r="BB33" s="258">
        <f t="shared" si="27"/>
        <v>0</v>
      </c>
      <c r="BC33" s="258">
        <f t="shared" si="60"/>
        <v>0</v>
      </c>
      <c r="BD33" s="137">
        <f t="shared" si="61"/>
        <v>0</v>
      </c>
      <c r="BE33" s="137">
        <f t="shared" si="62"/>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-0.46510456800749567</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0.91359906624522069</v>
      </c>
      <c r="BP33" s="137"/>
      <c r="BQ33" s="137"/>
      <c r="BR33" s="137"/>
      <c r="BS33" s="137"/>
      <c r="BV33" s="262">
        <v>3.3861283643892341</v>
      </c>
      <c r="BW33" s="136">
        <v>3.3009999999999997</v>
      </c>
      <c r="BX33" s="137">
        <v>0.54</v>
      </c>
      <c r="BY33" s="137">
        <v>0.54</v>
      </c>
      <c r="BZ33" s="137">
        <v>0</v>
      </c>
      <c r="CA33" s="137">
        <v>2.3274064967752799E-2</v>
      </c>
      <c r="CB33" s="137">
        <v>0</v>
      </c>
      <c r="CC33" s="258">
        <v>0.06</v>
      </c>
      <c r="CD33" s="258">
        <v>0</v>
      </c>
      <c r="CE33" s="258">
        <v>0.05</v>
      </c>
      <c r="CF33" s="258">
        <v>0.04</v>
      </c>
      <c r="CG33" s="258">
        <v>0</v>
      </c>
      <c r="CH33" s="258">
        <v>0</v>
      </c>
      <c r="CI33" s="258">
        <v>3.2109999999999999</v>
      </c>
      <c r="CZ33" s="403">
        <f t="shared" si="28"/>
        <v>3.2109999999999999</v>
      </c>
      <c r="DA33" s="404">
        <f t="shared" si="29"/>
        <v>0.05</v>
      </c>
      <c r="DB33" s="405">
        <f t="shared" si="29"/>
        <v>0.04</v>
      </c>
      <c r="DC33" s="403">
        <f t="shared" si="30"/>
        <v>3.2109999999999999</v>
      </c>
      <c r="DD33" s="404">
        <f t="shared" si="31"/>
        <v>0.05</v>
      </c>
      <c r="DE33" s="405">
        <f t="shared" si="31"/>
        <v>0.04</v>
      </c>
      <c r="DF33" s="403">
        <f t="shared" si="32"/>
        <v>3.3240165631469978</v>
      </c>
      <c r="DG33" s="404">
        <f t="shared" si="33"/>
        <v>6.2111801242236024E-2</v>
      </c>
      <c r="DH33" s="405">
        <f t="shared" si="34"/>
        <v>0</v>
      </c>
      <c r="DI33" s="403">
        <f t="shared" si="35"/>
        <v>3.3240165631469978</v>
      </c>
      <c r="DJ33" s="404">
        <f t="shared" si="36"/>
        <v>6.2111801242236024E-2</v>
      </c>
      <c r="DK33" s="404">
        <f t="shared" si="37"/>
        <v>0</v>
      </c>
      <c r="DL33" s="397">
        <f t="shared" si="38"/>
        <v>0</v>
      </c>
      <c r="DM33" s="398">
        <f t="shared" si="38"/>
        <v>0</v>
      </c>
      <c r="DN33" s="399">
        <f t="shared" si="38"/>
        <v>0</v>
      </c>
    </row>
    <row r="34" spans="1:118" x14ac:dyDescent="0.25">
      <c r="A34" s="723"/>
      <c r="B34" s="723"/>
      <c r="D34" s="31">
        <f t="shared" si="47"/>
        <v>37575</v>
      </c>
      <c r="F34" s="28">
        <f t="shared" si="48"/>
        <v>10010</v>
      </c>
      <c r="G34" s="28">
        <f t="shared" si="12"/>
        <v>0</v>
      </c>
      <c r="H34" s="52">
        <f t="shared" si="49"/>
        <v>3.3861283643892341</v>
      </c>
      <c r="I34" s="52">
        <f t="shared" si="50"/>
        <v>3.3009999999999997</v>
      </c>
      <c r="K34" s="52">
        <f t="shared" si="39"/>
        <v>0</v>
      </c>
      <c r="L34" s="135">
        <f t="shared" si="40"/>
        <v>0</v>
      </c>
      <c r="N34" s="131">
        <f t="shared" si="41"/>
        <v>0.54</v>
      </c>
      <c r="O34" s="131">
        <f t="shared" si="42"/>
        <v>0.54</v>
      </c>
      <c r="P34" s="55">
        <f t="shared" si="43"/>
        <v>0</v>
      </c>
      <c r="Q34" s="135">
        <f>_xll.xSPRDOPT(I34,H34,AQ34,0,O34,N34,P34,D34-$G$5,1,0)*AH34*AU34</f>
        <v>0</v>
      </c>
      <c r="R34" s="135"/>
      <c r="S34" s="181">
        <f>_xll.xSPRDOPT(I34,H34,AQ34,AT34,O34,N34,P34,D34-$G$5,1,2)*AF34*(F34/(1-AR34))*AH34</f>
        <v>0</v>
      </c>
      <c r="T34" s="181">
        <f>_xll.xSPRDOPT(I34,H34,AQ34,AT34,O34,N34,P34,D34-$G$5,1,1)*AF34*F34*AH34</f>
        <v>0</v>
      </c>
      <c r="U34" s="135"/>
      <c r="V34" s="146">
        <f t="shared" si="51"/>
        <v>0</v>
      </c>
      <c r="W34" s="146"/>
      <c r="X34" s="338">
        <f t="shared" si="52"/>
        <v>0</v>
      </c>
      <c r="Y34" s="338">
        <f t="shared" si="13"/>
        <v>0</v>
      </c>
      <c r="Z34" s="338">
        <f t="shared" si="14"/>
        <v>0</v>
      </c>
      <c r="AA34" s="338">
        <f t="shared" si="15"/>
        <v>0</v>
      </c>
      <c r="AB34" s="338">
        <f t="shared" si="53"/>
        <v>0</v>
      </c>
      <c r="AC34" s="338">
        <f t="shared" si="54"/>
        <v>0</v>
      </c>
      <c r="AF34" s="138">
        <f t="shared" si="55"/>
        <v>0</v>
      </c>
      <c r="AG34" s="138">
        <f t="shared" si="56"/>
        <v>11</v>
      </c>
      <c r="AH34" s="138">
        <f t="shared" si="16"/>
        <v>0</v>
      </c>
      <c r="AI34" s="138">
        <f t="shared" si="57"/>
        <v>319</v>
      </c>
      <c r="AJ34" s="138">
        <f t="shared" si="58"/>
        <v>336</v>
      </c>
      <c r="AL34" s="136">
        <f t="shared" si="17"/>
        <v>3.2109999999999999</v>
      </c>
      <c r="AM34" s="258">
        <f t="shared" si="18"/>
        <v>0.06</v>
      </c>
      <c r="AN34" s="258">
        <f t="shared" si="19"/>
        <v>0</v>
      </c>
      <c r="AO34" s="258">
        <f t="shared" si="20"/>
        <v>0.05</v>
      </c>
      <c r="AP34" s="258">
        <f t="shared" si="21"/>
        <v>0.04</v>
      </c>
      <c r="AQ34" s="136">
        <f t="shared" si="59"/>
        <v>0</v>
      </c>
      <c r="AR34" s="137">
        <f t="shared" si="22"/>
        <v>3.4000000000000002E-2</v>
      </c>
      <c r="AS34" s="136">
        <f t="shared" si="44"/>
        <v>3.2709999999999999</v>
      </c>
      <c r="AT34" s="137">
        <f t="shared" si="45"/>
        <v>2.3274064967752799E-2</v>
      </c>
      <c r="AU34" s="137">
        <f t="shared" si="23"/>
        <v>0</v>
      </c>
      <c r="AV34" s="394">
        <f t="shared" si="46"/>
        <v>0</v>
      </c>
      <c r="AW34" s="137">
        <f t="shared" si="24"/>
        <v>0.54</v>
      </c>
      <c r="AX34" s="137">
        <f t="shared" si="25"/>
        <v>1</v>
      </c>
      <c r="AY34" s="137">
        <f t="shared" si="26"/>
        <v>0.95</v>
      </c>
      <c r="AZ34" s="137"/>
      <c r="BA34" s="264"/>
      <c r="BB34" s="258">
        <f t="shared" si="27"/>
        <v>0</v>
      </c>
      <c r="BC34" s="258">
        <f t="shared" si="60"/>
        <v>0</v>
      </c>
      <c r="BD34" s="137">
        <f t="shared" si="61"/>
        <v>0</v>
      </c>
      <c r="BE34" s="137">
        <f t="shared" si="62"/>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-0.46510456800749567</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0.91359906624522069</v>
      </c>
      <c r="BP34" s="137"/>
      <c r="BQ34" s="137"/>
      <c r="BR34" s="137"/>
      <c r="BS34" s="137"/>
      <c r="BV34" s="262">
        <v>3.3861283643892341</v>
      </c>
      <c r="BW34" s="136">
        <v>3.3009999999999997</v>
      </c>
      <c r="BX34" s="137">
        <v>0.54</v>
      </c>
      <c r="BY34" s="137">
        <v>0.54</v>
      </c>
      <c r="BZ34" s="137">
        <v>0</v>
      </c>
      <c r="CA34" s="137">
        <v>2.3274064967752799E-2</v>
      </c>
      <c r="CB34" s="137">
        <v>0</v>
      </c>
      <c r="CC34" s="258">
        <v>0.06</v>
      </c>
      <c r="CD34" s="258">
        <v>0</v>
      </c>
      <c r="CE34" s="258">
        <v>0.05</v>
      </c>
      <c r="CF34" s="258">
        <v>0.04</v>
      </c>
      <c r="CG34" s="258">
        <v>0</v>
      </c>
      <c r="CH34" s="258">
        <v>0</v>
      </c>
      <c r="CI34" s="258">
        <v>3.2109999999999999</v>
      </c>
      <c r="CZ34" s="403">
        <f t="shared" si="28"/>
        <v>3.2109999999999999</v>
      </c>
      <c r="DA34" s="404">
        <f t="shared" si="29"/>
        <v>0.05</v>
      </c>
      <c r="DB34" s="405">
        <f t="shared" si="29"/>
        <v>0.04</v>
      </c>
      <c r="DC34" s="403">
        <f t="shared" si="30"/>
        <v>3.2109999999999999</v>
      </c>
      <c r="DD34" s="404">
        <f t="shared" si="31"/>
        <v>0.05</v>
      </c>
      <c r="DE34" s="405">
        <f t="shared" si="31"/>
        <v>0.04</v>
      </c>
      <c r="DF34" s="403">
        <f t="shared" si="32"/>
        <v>3.3240165631469978</v>
      </c>
      <c r="DG34" s="404">
        <f t="shared" si="33"/>
        <v>6.2111801242236024E-2</v>
      </c>
      <c r="DH34" s="405">
        <f t="shared" si="34"/>
        <v>0</v>
      </c>
      <c r="DI34" s="403">
        <f t="shared" si="35"/>
        <v>3.3240165631469978</v>
      </c>
      <c r="DJ34" s="404">
        <f t="shared" si="36"/>
        <v>6.2111801242236024E-2</v>
      </c>
      <c r="DK34" s="404">
        <f t="shared" si="37"/>
        <v>0</v>
      </c>
      <c r="DL34" s="397">
        <f t="shared" si="38"/>
        <v>0</v>
      </c>
      <c r="DM34" s="398">
        <f t="shared" si="38"/>
        <v>0</v>
      </c>
      <c r="DN34" s="399">
        <f t="shared" si="38"/>
        <v>0</v>
      </c>
    </row>
    <row r="35" spans="1:118" x14ac:dyDescent="0.25">
      <c r="A35" s="723"/>
      <c r="B35" s="723"/>
      <c r="P35" s="55"/>
      <c r="Q35" s="55"/>
      <c r="R35" s="55"/>
      <c r="U35" s="55"/>
      <c r="V35" s="55"/>
      <c r="W35" s="55"/>
      <c r="X35" s="55"/>
      <c r="CZ35" s="406"/>
      <c r="DA35" s="407"/>
      <c r="DB35" s="407"/>
      <c r="DC35" s="406"/>
      <c r="DD35" s="407"/>
      <c r="DE35" s="407"/>
      <c r="DF35" s="406"/>
      <c r="DG35" s="407"/>
      <c r="DH35" s="407"/>
      <c r="DI35" s="406"/>
      <c r="DJ35" s="407"/>
      <c r="DK35" s="407"/>
      <c r="DL35" s="406"/>
      <c r="DM35" s="407"/>
      <c r="DN35" s="408"/>
    </row>
    <row r="36" spans="1:118" x14ac:dyDescent="0.25">
      <c r="A36" s="723"/>
      <c r="B36" s="723"/>
      <c r="P36" s="55"/>
      <c r="Q36" s="55"/>
      <c r="R36" s="55"/>
      <c r="U36" s="55"/>
      <c r="V36" s="55"/>
      <c r="W36" s="55"/>
      <c r="X36" s="55"/>
    </row>
    <row r="37" spans="1:118" x14ac:dyDescent="0.25">
      <c r="A37" s="727"/>
      <c r="B37" s="723"/>
      <c r="P37" s="55"/>
      <c r="Q37" s="55"/>
      <c r="R37" s="55"/>
      <c r="U37" s="55"/>
      <c r="V37" s="55"/>
      <c r="W37" s="55"/>
      <c r="X37" s="55"/>
    </row>
    <row r="38" spans="1:118" x14ac:dyDescent="0.25">
      <c r="A38" s="723"/>
      <c r="B38" s="723"/>
      <c r="P38" s="55"/>
      <c r="Q38" s="55"/>
      <c r="R38" s="55"/>
      <c r="U38" s="55"/>
      <c r="V38" s="55"/>
      <c r="W38" s="55"/>
      <c r="X38" s="55"/>
    </row>
    <row r="39" spans="1:118" x14ac:dyDescent="0.25">
      <c r="A39" s="723"/>
      <c r="B39" s="723"/>
      <c r="P39" s="55"/>
      <c r="Q39" s="55"/>
      <c r="R39" s="55"/>
      <c r="U39" s="55"/>
      <c r="V39" s="55"/>
      <c r="W39" s="55"/>
      <c r="X39" s="55"/>
    </row>
    <row r="40" spans="1:118" x14ac:dyDescent="0.25">
      <c r="A40" s="723"/>
      <c r="B40" s="723"/>
      <c r="P40" s="55"/>
      <c r="Q40" s="55"/>
      <c r="R40" s="55"/>
      <c r="U40" s="55"/>
      <c r="V40" s="55"/>
      <c r="W40" s="55"/>
      <c r="X40" s="55"/>
    </row>
    <row r="41" spans="1:118" x14ac:dyDescent="0.25">
      <c r="A41" s="723"/>
      <c r="B41" s="723"/>
      <c r="P41" s="55"/>
      <c r="Q41" s="55"/>
      <c r="R41" s="55"/>
      <c r="U41" s="55"/>
      <c r="V41" s="55"/>
      <c r="W41" s="55"/>
      <c r="X41" s="55"/>
    </row>
    <row r="42" spans="1:118" x14ac:dyDescent="0.25">
      <c r="A42" s="723"/>
      <c r="B42" s="723"/>
      <c r="P42" s="55"/>
      <c r="Q42" s="55"/>
      <c r="R42" s="55"/>
      <c r="U42" s="55"/>
      <c r="V42" s="55"/>
      <c r="W42" s="55"/>
      <c r="X42" s="55"/>
    </row>
    <row r="43" spans="1:118" x14ac:dyDescent="0.25">
      <c r="A43" s="723"/>
      <c r="B43" s="723"/>
      <c r="P43" s="55"/>
      <c r="Q43" s="55"/>
      <c r="R43" s="55"/>
      <c r="U43" s="55"/>
      <c r="V43" s="55"/>
      <c r="W43" s="55"/>
      <c r="X43" s="55"/>
    </row>
    <row r="44" spans="1:118" x14ac:dyDescent="0.25">
      <c r="A44" s="723"/>
      <c r="B44" s="723"/>
      <c r="P44" s="55"/>
      <c r="Q44" s="55"/>
      <c r="R44" s="55"/>
      <c r="U44" s="55"/>
      <c r="V44" s="55"/>
      <c r="W44" s="55"/>
      <c r="X44" s="55"/>
    </row>
    <row r="45" spans="1:118" x14ac:dyDescent="0.25">
      <c r="A45" s="723"/>
      <c r="B45" s="723"/>
      <c r="P45" s="55"/>
      <c r="Q45" s="55"/>
      <c r="R45" s="55"/>
      <c r="U45" s="55"/>
      <c r="V45" s="55"/>
      <c r="W45" s="55"/>
      <c r="X45" s="55"/>
    </row>
    <row r="46" spans="1:118" x14ac:dyDescent="0.25">
      <c r="A46" s="723"/>
      <c r="B46" s="723"/>
      <c r="P46" s="55"/>
      <c r="Q46" s="55"/>
      <c r="R46" s="55"/>
      <c r="U46" s="55"/>
      <c r="V46" s="55"/>
      <c r="W46" s="55"/>
      <c r="X46" s="55"/>
    </row>
    <row r="47" spans="1:118" x14ac:dyDescent="0.25">
      <c r="A47" s="723"/>
      <c r="B47" s="723"/>
      <c r="P47" s="55"/>
      <c r="Q47" s="55"/>
      <c r="R47" s="55"/>
      <c r="U47" s="55"/>
      <c r="V47" s="55"/>
      <c r="W47" s="55"/>
      <c r="X47" s="55"/>
    </row>
    <row r="48" spans="1:118" x14ac:dyDescent="0.25">
      <c r="A48" s="723"/>
      <c r="B48" s="723"/>
      <c r="P48" s="55"/>
      <c r="Q48" s="55"/>
      <c r="R48" s="55"/>
      <c r="U48" s="55"/>
      <c r="V48" s="55"/>
      <c r="W48" s="55"/>
      <c r="X48" s="55"/>
    </row>
    <row r="49" spans="1:24" x14ac:dyDescent="0.25">
      <c r="A49" s="723"/>
      <c r="B49" s="723"/>
      <c r="P49" s="55"/>
      <c r="Q49" s="55"/>
      <c r="R49" s="55"/>
      <c r="U49" s="55"/>
      <c r="V49" s="55"/>
      <c r="W49" s="55"/>
      <c r="X49" s="55"/>
    </row>
    <row r="50" spans="1:24" x14ac:dyDescent="0.25">
      <c r="A50" s="723"/>
      <c r="B50" s="723"/>
      <c r="P50" s="55"/>
      <c r="Q50" s="55"/>
      <c r="R50" s="55"/>
      <c r="U50" s="55"/>
      <c r="V50" s="55"/>
      <c r="W50" s="55"/>
      <c r="X50" s="55"/>
    </row>
    <row r="51" spans="1:24" x14ac:dyDescent="0.25">
      <c r="A51" s="723"/>
      <c r="B51" s="723"/>
      <c r="P51" s="55"/>
      <c r="Q51" s="55"/>
      <c r="R51" s="55"/>
      <c r="U51" s="55"/>
      <c r="V51" s="55"/>
      <c r="W51" s="55"/>
      <c r="X51" s="55"/>
    </row>
    <row r="52" spans="1:24" x14ac:dyDescent="0.25">
      <c r="A52" s="723"/>
      <c r="B52" s="723"/>
      <c r="P52" s="55"/>
      <c r="Q52" s="55"/>
      <c r="R52" s="55"/>
      <c r="U52" s="55"/>
      <c r="V52" s="55"/>
      <c r="W52" s="55"/>
      <c r="X52" s="55"/>
    </row>
    <row r="53" spans="1:24" x14ac:dyDescent="0.25">
      <c r="A53" s="723"/>
      <c r="B53" s="723"/>
      <c r="P53" s="55"/>
      <c r="Q53" s="55"/>
      <c r="R53" s="55"/>
      <c r="U53" s="55"/>
      <c r="V53" s="55"/>
      <c r="W53" s="55"/>
      <c r="X53" s="55"/>
    </row>
    <row r="54" spans="1:24" x14ac:dyDescent="0.25">
      <c r="A54" s="723"/>
      <c r="B54" s="723"/>
      <c r="P54" s="55"/>
      <c r="Q54" s="55"/>
      <c r="R54" s="55"/>
      <c r="U54" s="55"/>
      <c r="V54" s="55"/>
      <c r="W54" s="55"/>
      <c r="X54" s="55"/>
    </row>
    <row r="55" spans="1:24" x14ac:dyDescent="0.25">
      <c r="A55" s="723"/>
      <c r="B55" s="723"/>
      <c r="P55" s="55"/>
      <c r="Q55" s="55"/>
      <c r="R55" s="55"/>
      <c r="U55" s="55"/>
      <c r="V55" s="55"/>
      <c r="W55" s="55"/>
      <c r="X55" s="55"/>
    </row>
    <row r="56" spans="1:24" x14ac:dyDescent="0.25">
      <c r="A56" s="723"/>
      <c r="B56" s="723"/>
      <c r="P56" s="55"/>
      <c r="Q56" s="55"/>
      <c r="R56" s="55"/>
      <c r="U56" s="55"/>
      <c r="V56" s="55"/>
      <c r="W56" s="55"/>
      <c r="X56" s="55"/>
    </row>
    <row r="57" spans="1:24" x14ac:dyDescent="0.25">
      <c r="A57" s="723"/>
      <c r="B57" s="723"/>
      <c r="P57" s="55"/>
      <c r="Q57" s="55"/>
      <c r="R57" s="55"/>
      <c r="U57" s="55"/>
      <c r="V57" s="55"/>
      <c r="W57" s="55"/>
      <c r="X57" s="55"/>
    </row>
    <row r="58" spans="1:24" x14ac:dyDescent="0.25">
      <c r="A58" s="723"/>
      <c r="B58" s="723"/>
      <c r="P58" s="55"/>
      <c r="Q58" s="55"/>
      <c r="R58" s="55"/>
      <c r="U58" s="55"/>
      <c r="V58" s="55"/>
      <c r="W58" s="55"/>
      <c r="X58" s="55"/>
    </row>
    <row r="59" spans="1:24" x14ac:dyDescent="0.25">
      <c r="A59" s="723"/>
      <c r="B59" s="723"/>
      <c r="P59" s="55"/>
      <c r="Q59" s="55"/>
      <c r="R59" s="55"/>
      <c r="U59" s="55"/>
      <c r="V59" s="55"/>
      <c r="W59" s="55"/>
      <c r="X59" s="55"/>
    </row>
    <row r="60" spans="1:24" x14ac:dyDescent="0.25">
      <c r="A60" s="723"/>
      <c r="B60" s="723"/>
      <c r="P60" s="55"/>
      <c r="Q60" s="55"/>
      <c r="R60" s="55"/>
      <c r="U60" s="55"/>
      <c r="V60" s="55"/>
      <c r="W60" s="55"/>
      <c r="X60" s="55"/>
    </row>
    <row r="61" spans="1:24" x14ac:dyDescent="0.25">
      <c r="A61" s="723"/>
      <c r="B61" s="723"/>
      <c r="P61" s="55"/>
      <c r="Q61" s="55"/>
      <c r="R61" s="55"/>
      <c r="U61" s="55"/>
      <c r="V61" s="55"/>
      <c r="W61" s="55"/>
      <c r="X61" s="55"/>
    </row>
    <row r="62" spans="1:24" x14ac:dyDescent="0.25">
      <c r="A62" s="723"/>
      <c r="B62" s="723"/>
      <c r="P62" s="55"/>
      <c r="Q62" s="55"/>
      <c r="R62" s="55"/>
      <c r="U62" s="55"/>
      <c r="V62" s="55"/>
      <c r="W62" s="55"/>
      <c r="X62" s="55"/>
    </row>
    <row r="63" spans="1:24" x14ac:dyDescent="0.25">
      <c r="A63" s="723"/>
      <c r="B63" s="723"/>
      <c r="P63" s="55"/>
      <c r="Q63" s="55"/>
      <c r="R63" s="55"/>
      <c r="U63" s="55"/>
      <c r="V63" s="55"/>
      <c r="W63" s="55"/>
      <c r="X63" s="55"/>
    </row>
    <row r="64" spans="1:24" x14ac:dyDescent="0.25">
      <c r="A64" s="723"/>
      <c r="B64" s="723"/>
      <c r="P64" s="55"/>
      <c r="Q64" s="55"/>
      <c r="R64" s="55"/>
      <c r="U64" s="55"/>
      <c r="V64" s="55"/>
      <c r="W64" s="55"/>
      <c r="X64" s="55"/>
    </row>
    <row r="65" spans="1:24" x14ac:dyDescent="0.25">
      <c r="A65" s="723"/>
      <c r="B65" s="723"/>
      <c r="P65" s="55"/>
      <c r="Q65" s="55"/>
      <c r="R65" s="55"/>
      <c r="U65" s="55"/>
      <c r="V65" s="55"/>
      <c r="W65" s="55"/>
      <c r="X65" s="55"/>
    </row>
    <row r="66" spans="1:24" x14ac:dyDescent="0.25">
      <c r="A66" s="723"/>
      <c r="B66" s="723"/>
      <c r="P66" s="55"/>
      <c r="Q66" s="55"/>
      <c r="R66" s="55"/>
      <c r="U66" s="55"/>
      <c r="V66" s="55"/>
      <c r="W66" s="55"/>
      <c r="X66" s="55"/>
    </row>
    <row r="67" spans="1:24" x14ac:dyDescent="0.25">
      <c r="A67" s="723"/>
      <c r="B67" s="723"/>
      <c r="P67" s="55"/>
      <c r="Q67" s="55"/>
      <c r="R67" s="55"/>
      <c r="U67" s="55"/>
      <c r="V67" s="55"/>
      <c r="W67" s="55"/>
      <c r="X67" s="55"/>
    </row>
    <row r="68" spans="1:24" x14ac:dyDescent="0.25">
      <c r="A68" s="723"/>
      <c r="B68" s="723"/>
      <c r="P68" s="55"/>
      <c r="Q68" s="55"/>
      <c r="R68" s="55"/>
      <c r="U68" s="55"/>
      <c r="V68" s="55"/>
      <c r="W68" s="55"/>
      <c r="X68" s="55"/>
    </row>
    <row r="69" spans="1:24" x14ac:dyDescent="0.25">
      <c r="A69" s="723"/>
      <c r="B69" s="723"/>
      <c r="P69" s="55"/>
      <c r="Q69" s="55"/>
      <c r="R69" s="55"/>
      <c r="U69" s="55"/>
      <c r="V69" s="55"/>
      <c r="W69" s="55"/>
      <c r="X69" s="55"/>
    </row>
    <row r="70" spans="1:24" x14ac:dyDescent="0.25">
      <c r="A70" s="723"/>
      <c r="B70" s="723"/>
      <c r="P70" s="55"/>
      <c r="Q70" s="55"/>
      <c r="R70" s="55"/>
      <c r="U70" s="55"/>
      <c r="V70" s="55"/>
      <c r="W70" s="55"/>
      <c r="X70" s="55"/>
    </row>
    <row r="71" spans="1:24" x14ac:dyDescent="0.25">
      <c r="A71" s="723"/>
      <c r="B71" s="723"/>
      <c r="P71" s="55"/>
      <c r="Q71" s="55"/>
      <c r="R71" s="55"/>
      <c r="U71" s="55"/>
      <c r="V71" s="55"/>
      <c r="W71" s="55"/>
      <c r="X71" s="55"/>
    </row>
    <row r="72" spans="1:24" x14ac:dyDescent="0.25">
      <c r="A72" s="723"/>
      <c r="B72" s="723"/>
      <c r="P72" s="55"/>
      <c r="Q72" s="55"/>
      <c r="R72" s="55"/>
      <c r="U72" s="55"/>
      <c r="V72" s="55"/>
      <c r="W72" s="55"/>
      <c r="X72" s="55"/>
    </row>
    <row r="73" spans="1:24" x14ac:dyDescent="0.25">
      <c r="A73" s="723"/>
      <c r="B73" s="723"/>
      <c r="P73" s="55"/>
      <c r="Q73" s="55"/>
      <c r="R73" s="55"/>
      <c r="U73" s="55"/>
      <c r="V73" s="55"/>
      <c r="W73" s="55"/>
      <c r="X73" s="55"/>
    </row>
    <row r="74" spans="1:24" x14ac:dyDescent="0.25">
      <c r="A74" s="723"/>
      <c r="B74" s="723"/>
      <c r="P74" s="55"/>
      <c r="Q74" s="55"/>
      <c r="R74" s="55"/>
      <c r="U74" s="55"/>
      <c r="V74" s="55"/>
      <c r="W74" s="55"/>
      <c r="X74" s="55"/>
    </row>
    <row r="75" spans="1:24" x14ac:dyDescent="0.25">
      <c r="A75" s="723"/>
      <c r="B75" s="723"/>
      <c r="P75" s="55"/>
      <c r="Q75" s="55"/>
      <c r="R75" s="55"/>
      <c r="U75" s="55"/>
      <c r="V75" s="55"/>
      <c r="W75" s="55"/>
      <c r="X75" s="55"/>
    </row>
    <row r="76" spans="1:24" x14ac:dyDescent="0.25">
      <c r="A76" s="723"/>
      <c r="B76" s="723"/>
      <c r="P76" s="55"/>
      <c r="Q76" s="55"/>
      <c r="R76" s="55"/>
      <c r="U76" s="55"/>
      <c r="V76" s="55"/>
      <c r="W76" s="55"/>
      <c r="X76" s="55"/>
    </row>
    <row r="77" spans="1:24" x14ac:dyDescent="0.25">
      <c r="A77" s="723"/>
      <c r="B77" s="723"/>
      <c r="P77" s="55"/>
      <c r="Q77" s="55"/>
      <c r="R77" s="55"/>
      <c r="U77" s="55"/>
      <c r="V77" s="55"/>
      <c r="W77" s="55"/>
      <c r="X77" s="55"/>
    </row>
    <row r="78" spans="1:24" x14ac:dyDescent="0.25">
      <c r="A78" s="723"/>
      <c r="B78" s="723"/>
      <c r="P78" s="55"/>
      <c r="Q78" s="55"/>
      <c r="R78" s="55"/>
      <c r="U78" s="55"/>
      <c r="V78" s="55"/>
      <c r="W78" s="55"/>
      <c r="X78" s="55"/>
    </row>
    <row r="79" spans="1:24" x14ac:dyDescent="0.25">
      <c r="A79" s="723"/>
      <c r="B79" s="723"/>
      <c r="P79" s="55"/>
      <c r="Q79" s="55"/>
      <c r="R79" s="55"/>
      <c r="U79" s="55"/>
      <c r="V79" s="55"/>
      <c r="W79" s="55"/>
      <c r="X79" s="55"/>
    </row>
    <row r="80" spans="1:24" x14ac:dyDescent="0.25">
      <c r="A80" s="723"/>
      <c r="B80" s="723"/>
      <c r="P80" s="55"/>
      <c r="Q80" s="55"/>
      <c r="R80" s="55"/>
      <c r="U80" s="55"/>
      <c r="V80" s="55"/>
      <c r="W80" s="55"/>
      <c r="X80" s="55"/>
    </row>
    <row r="81" spans="1:24" x14ac:dyDescent="0.25">
      <c r="A81" s="723"/>
      <c r="B81" s="723"/>
      <c r="P81" s="55"/>
      <c r="Q81" s="55"/>
      <c r="R81" s="55"/>
      <c r="U81" s="55"/>
      <c r="V81" s="55"/>
      <c r="W81" s="55"/>
      <c r="X81" s="55"/>
    </row>
    <row r="82" spans="1:24" x14ac:dyDescent="0.25">
      <c r="A82" s="723"/>
      <c r="B82" s="723"/>
      <c r="P82" s="55"/>
      <c r="Q82" s="55"/>
      <c r="R82" s="55"/>
      <c r="U82" s="55"/>
      <c r="V82" s="55"/>
      <c r="W82" s="55"/>
      <c r="X82" s="55"/>
    </row>
    <row r="83" spans="1:24" x14ac:dyDescent="0.25">
      <c r="A83" s="723"/>
      <c r="B83" s="723"/>
      <c r="P83" s="55"/>
      <c r="Q83" s="55"/>
      <c r="R83" s="55"/>
      <c r="U83" s="55"/>
      <c r="V83" s="55"/>
      <c r="W83" s="55"/>
      <c r="X83" s="55"/>
    </row>
    <row r="84" spans="1:24" x14ac:dyDescent="0.25">
      <c r="A84" s="723"/>
      <c r="B84" s="723"/>
      <c r="P84" s="55"/>
      <c r="Q84" s="55"/>
      <c r="R84" s="55"/>
      <c r="U84" s="55"/>
      <c r="V84" s="55"/>
      <c r="W84" s="55"/>
      <c r="X84" s="55"/>
    </row>
    <row r="85" spans="1:24" x14ac:dyDescent="0.25">
      <c r="A85" s="723"/>
      <c r="B85" s="723"/>
      <c r="P85" s="55"/>
      <c r="Q85" s="55"/>
      <c r="R85" s="55"/>
      <c r="U85" s="55"/>
      <c r="V85" s="55"/>
      <c r="W85" s="55"/>
      <c r="X85" s="55"/>
    </row>
    <row r="86" spans="1:24" x14ac:dyDescent="0.25">
      <c r="A86" s="723"/>
      <c r="B86" s="723"/>
      <c r="P86" s="55"/>
      <c r="Q86" s="55"/>
      <c r="R86" s="55"/>
      <c r="U86" s="55"/>
      <c r="V86" s="55"/>
      <c r="W86" s="55"/>
      <c r="X86" s="55"/>
    </row>
    <row r="87" spans="1:24" x14ac:dyDescent="0.25">
      <c r="A87" s="723"/>
      <c r="B87" s="723"/>
      <c r="P87" s="55"/>
      <c r="Q87" s="55"/>
      <c r="R87" s="55"/>
      <c r="U87" s="55"/>
      <c r="V87" s="55"/>
      <c r="W87" s="55"/>
      <c r="X87" s="55"/>
    </row>
    <row r="88" spans="1:24" x14ac:dyDescent="0.25">
      <c r="A88" s="723"/>
      <c r="B88" s="723"/>
      <c r="P88" s="55"/>
      <c r="Q88" s="55"/>
      <c r="R88" s="55"/>
      <c r="U88" s="55"/>
      <c r="V88" s="55"/>
      <c r="W88" s="55"/>
      <c r="X88" s="55"/>
    </row>
    <row r="89" spans="1:24" x14ac:dyDescent="0.25">
      <c r="A89" s="723"/>
      <c r="B89" s="723"/>
      <c r="P89" s="55"/>
      <c r="Q89" s="55"/>
      <c r="R89" s="55"/>
      <c r="U89" s="55"/>
      <c r="V89" s="55"/>
      <c r="W89" s="55"/>
      <c r="X89" s="55"/>
    </row>
    <row r="90" spans="1:24" x14ac:dyDescent="0.25">
      <c r="A90" s="723"/>
      <c r="B90" s="723"/>
      <c r="P90" s="55"/>
      <c r="Q90" s="55"/>
      <c r="R90" s="55"/>
      <c r="U90" s="55"/>
      <c r="V90" s="55"/>
      <c r="W90" s="55"/>
      <c r="X90" s="55"/>
    </row>
    <row r="91" spans="1:24" x14ac:dyDescent="0.25">
      <c r="A91" s="723"/>
      <c r="B91" s="723"/>
      <c r="P91" s="55"/>
      <c r="Q91" s="55"/>
      <c r="R91" s="55"/>
      <c r="U91" s="55"/>
      <c r="V91" s="55"/>
      <c r="W91" s="55"/>
      <c r="X91" s="55"/>
    </row>
    <row r="92" spans="1:24" x14ac:dyDescent="0.25">
      <c r="A92" s="723"/>
      <c r="B92" s="723"/>
      <c r="P92" s="55"/>
      <c r="Q92" s="55"/>
      <c r="R92" s="55"/>
      <c r="U92" s="55"/>
      <c r="V92" s="55"/>
      <c r="W92" s="55"/>
      <c r="X92" s="55"/>
    </row>
    <row r="93" spans="1:24" x14ac:dyDescent="0.25">
      <c r="A93" s="723"/>
      <c r="B93" s="723"/>
      <c r="P93" s="55"/>
      <c r="Q93" s="55"/>
      <c r="R93" s="55"/>
      <c r="U93" s="55"/>
      <c r="V93" s="55"/>
      <c r="W93" s="55"/>
      <c r="X93" s="55"/>
    </row>
    <row r="94" spans="1:24" x14ac:dyDescent="0.25">
      <c r="A94" s="723"/>
      <c r="B94" s="723"/>
      <c r="P94" s="55"/>
      <c r="Q94" s="55"/>
      <c r="R94" s="55"/>
      <c r="U94" s="55"/>
      <c r="V94" s="55"/>
      <c r="W94" s="55"/>
      <c r="X94" s="55"/>
    </row>
    <row r="95" spans="1:24" x14ac:dyDescent="0.25">
      <c r="A95" s="723"/>
      <c r="B95" s="723"/>
      <c r="P95" s="55"/>
      <c r="Q95" s="55"/>
      <c r="R95" s="55"/>
      <c r="U95" s="55"/>
      <c r="V95" s="55"/>
      <c r="W95" s="55"/>
      <c r="X95" s="55"/>
    </row>
    <row r="96" spans="1:24" x14ac:dyDescent="0.25">
      <c r="A96" s="723"/>
      <c r="B96" s="723"/>
      <c r="P96" s="55"/>
      <c r="Q96" s="55"/>
      <c r="R96" s="55"/>
      <c r="U96" s="55"/>
      <c r="V96" s="55"/>
      <c r="W96" s="55"/>
      <c r="X96" s="55"/>
    </row>
    <row r="97" spans="1:24" x14ac:dyDescent="0.25">
      <c r="A97" s="723"/>
      <c r="B97" s="723"/>
      <c r="P97" s="55"/>
      <c r="Q97" s="55"/>
      <c r="R97" s="55"/>
      <c r="U97" s="55"/>
      <c r="V97" s="55"/>
      <c r="W97" s="55"/>
      <c r="X97" s="55"/>
    </row>
    <row r="98" spans="1:24" x14ac:dyDescent="0.25">
      <c r="A98" s="723"/>
      <c r="B98" s="723"/>
      <c r="P98" s="55"/>
      <c r="Q98" s="55"/>
      <c r="R98" s="55"/>
      <c r="U98" s="55"/>
      <c r="V98" s="55"/>
      <c r="W98" s="55"/>
      <c r="X98" s="55"/>
    </row>
    <row r="99" spans="1:24" x14ac:dyDescent="0.25">
      <c r="A99" s="723"/>
      <c r="B99" s="723"/>
      <c r="P99" s="55"/>
      <c r="Q99" s="55"/>
      <c r="R99" s="55"/>
      <c r="U99" s="55"/>
      <c r="V99" s="55"/>
      <c r="W99" s="55"/>
      <c r="X99" s="55"/>
    </row>
    <row r="100" spans="1:24" x14ac:dyDescent="0.25">
      <c r="A100" s="723"/>
      <c r="B100" s="723"/>
      <c r="P100" s="55"/>
      <c r="Q100" s="55"/>
      <c r="R100" s="55"/>
      <c r="U100" s="55"/>
      <c r="V100" s="55"/>
      <c r="W100" s="55"/>
      <c r="X100" s="55"/>
    </row>
    <row r="101" spans="1:24" x14ac:dyDescent="0.25">
      <c r="A101" s="723"/>
      <c r="B101" s="723"/>
      <c r="P101" s="55"/>
      <c r="Q101" s="55"/>
      <c r="R101" s="55"/>
      <c r="U101" s="55"/>
      <c r="V101" s="55"/>
      <c r="W101" s="55"/>
      <c r="X101" s="55"/>
    </row>
    <row r="102" spans="1:24" x14ac:dyDescent="0.25">
      <c r="A102" s="723"/>
      <c r="B102" s="723"/>
      <c r="P102" s="55"/>
      <c r="Q102" s="55"/>
      <c r="R102" s="55"/>
      <c r="U102" s="55"/>
      <c r="V102" s="55"/>
      <c r="W102" s="55"/>
      <c r="X102" s="55"/>
    </row>
    <row r="103" spans="1:24" x14ac:dyDescent="0.25">
      <c r="A103" s="723"/>
      <c r="B103" s="723"/>
      <c r="P103" s="55"/>
      <c r="Q103" s="55"/>
      <c r="R103" s="55"/>
      <c r="U103" s="55"/>
      <c r="V103" s="55"/>
      <c r="W103" s="55"/>
      <c r="X103" s="55"/>
    </row>
    <row r="104" spans="1:24" x14ac:dyDescent="0.25">
      <c r="A104" s="723"/>
      <c r="B104" s="723"/>
      <c r="P104" s="55"/>
      <c r="Q104" s="55"/>
      <c r="R104" s="55"/>
      <c r="U104" s="55"/>
      <c r="V104" s="55"/>
      <c r="W104" s="55"/>
      <c r="X104" s="55"/>
    </row>
    <row r="105" spans="1:24" x14ac:dyDescent="0.25">
      <c r="A105" s="723"/>
      <c r="B105" s="723"/>
      <c r="P105" s="55"/>
      <c r="Q105" s="55"/>
      <c r="R105" s="55"/>
      <c r="U105" s="55"/>
      <c r="V105" s="55"/>
      <c r="W105" s="55"/>
      <c r="X105" s="55"/>
    </row>
    <row r="106" spans="1:24" x14ac:dyDescent="0.25">
      <c r="A106" s="723"/>
      <c r="B106" s="723"/>
      <c r="P106" s="55"/>
      <c r="Q106" s="55"/>
      <c r="R106" s="55"/>
      <c r="U106" s="55"/>
      <c r="V106" s="55"/>
      <c r="W106" s="55"/>
      <c r="X106" s="55"/>
    </row>
    <row r="107" spans="1:24" x14ac:dyDescent="0.25">
      <c r="A107" s="723"/>
      <c r="B107" s="723"/>
      <c r="P107" s="55"/>
      <c r="Q107" s="55"/>
      <c r="R107" s="55"/>
      <c r="U107" s="55"/>
      <c r="V107" s="55"/>
      <c r="W107" s="55"/>
      <c r="X107" s="55"/>
    </row>
    <row r="108" spans="1:24" x14ac:dyDescent="0.25">
      <c r="A108" s="723"/>
      <c r="B108" s="723"/>
      <c r="P108" s="55"/>
      <c r="Q108" s="55"/>
      <c r="R108" s="55"/>
      <c r="U108" s="55"/>
      <c r="V108" s="55"/>
      <c r="W108" s="55"/>
      <c r="X108" s="55"/>
    </row>
    <row r="109" spans="1:24" x14ac:dyDescent="0.25">
      <c r="A109" s="723"/>
      <c r="B109" s="723"/>
      <c r="P109" s="55"/>
      <c r="Q109" s="55"/>
      <c r="R109" s="55"/>
      <c r="U109" s="55"/>
      <c r="V109" s="55"/>
      <c r="W109" s="55"/>
      <c r="X109" s="55"/>
    </row>
    <row r="110" spans="1:24" x14ac:dyDescent="0.25">
      <c r="A110" s="723"/>
      <c r="B110" s="723"/>
      <c r="P110" s="55"/>
      <c r="Q110" s="55"/>
      <c r="R110" s="55"/>
      <c r="U110" s="55"/>
      <c r="V110" s="55"/>
      <c r="W110" s="55"/>
      <c r="X110" s="55"/>
    </row>
    <row r="111" spans="1:24" x14ac:dyDescent="0.25">
      <c r="A111" s="723"/>
      <c r="B111" s="723"/>
      <c r="P111" s="55"/>
      <c r="Q111" s="55"/>
      <c r="R111" s="55"/>
      <c r="U111" s="55"/>
      <c r="V111" s="55"/>
      <c r="W111" s="55"/>
      <c r="X111" s="55"/>
    </row>
    <row r="112" spans="1:24" x14ac:dyDescent="0.25">
      <c r="A112" s="723"/>
      <c r="B112" s="723"/>
      <c r="P112" s="55"/>
      <c r="Q112" s="55"/>
      <c r="R112" s="55"/>
      <c r="U112" s="55"/>
      <c r="V112" s="55"/>
      <c r="W112" s="55"/>
      <c r="X112" s="55"/>
    </row>
    <row r="113" spans="1:24" x14ac:dyDescent="0.25">
      <c r="A113" s="723"/>
      <c r="B113" s="723"/>
      <c r="P113" s="55"/>
      <c r="Q113" s="55"/>
      <c r="R113" s="55"/>
      <c r="U113" s="55"/>
      <c r="V113" s="55"/>
      <c r="W113" s="55"/>
      <c r="X113" s="55"/>
    </row>
    <row r="114" spans="1:24" x14ac:dyDescent="0.25">
      <c r="A114" s="723"/>
      <c r="B114" s="723"/>
      <c r="P114" s="55"/>
      <c r="Q114" s="55"/>
      <c r="R114" s="55"/>
      <c r="U114" s="55"/>
      <c r="V114" s="55"/>
      <c r="W114" s="55"/>
      <c r="X114" s="55"/>
    </row>
    <row r="115" spans="1:24" x14ac:dyDescent="0.25">
      <c r="A115" s="723"/>
      <c r="B115" s="723"/>
      <c r="P115" s="55"/>
      <c r="Q115" s="55"/>
      <c r="R115" s="55"/>
      <c r="U115" s="55"/>
      <c r="V115" s="55"/>
      <c r="W115" s="55"/>
      <c r="X115" s="55"/>
    </row>
    <row r="116" spans="1:24" x14ac:dyDescent="0.25">
      <c r="A116" s="723"/>
      <c r="B116" s="723"/>
      <c r="P116" s="55"/>
      <c r="Q116" s="55"/>
      <c r="R116" s="55"/>
      <c r="U116" s="55"/>
      <c r="V116" s="55"/>
      <c r="W116" s="55"/>
      <c r="X116" s="55"/>
    </row>
    <row r="117" spans="1:24" x14ac:dyDescent="0.25">
      <c r="A117" s="723"/>
      <c r="B117" s="723"/>
      <c r="P117" s="55"/>
      <c r="Q117" s="55"/>
      <c r="R117" s="55"/>
      <c r="U117" s="55"/>
      <c r="V117" s="55"/>
      <c r="W117" s="55"/>
      <c r="X117" s="55"/>
    </row>
    <row r="118" spans="1:24" x14ac:dyDescent="0.25">
      <c r="A118" s="723"/>
      <c r="B118" s="723"/>
      <c r="P118" s="55"/>
      <c r="Q118" s="55"/>
      <c r="R118" s="55"/>
      <c r="U118" s="55"/>
      <c r="V118" s="55"/>
      <c r="W118" s="55"/>
      <c r="X118" s="55"/>
    </row>
    <row r="119" spans="1:24" x14ac:dyDescent="0.25">
      <c r="A119" s="723"/>
      <c r="B119" s="723"/>
      <c r="P119" s="55"/>
      <c r="Q119" s="55"/>
      <c r="R119" s="55"/>
      <c r="U119" s="55"/>
      <c r="V119" s="55"/>
      <c r="W119" s="55"/>
      <c r="X119" s="55"/>
    </row>
    <row r="120" spans="1:24" x14ac:dyDescent="0.25">
      <c r="A120" s="723"/>
      <c r="B120" s="723"/>
      <c r="P120" s="55"/>
      <c r="Q120" s="55"/>
      <c r="R120" s="55"/>
      <c r="U120" s="55"/>
      <c r="V120" s="55"/>
      <c r="W120" s="55"/>
      <c r="X120" s="55"/>
    </row>
    <row r="121" spans="1:24" x14ac:dyDescent="0.25">
      <c r="A121" s="723"/>
      <c r="B121" s="723"/>
      <c r="P121" s="55"/>
      <c r="Q121" s="55"/>
      <c r="R121" s="55"/>
      <c r="U121" s="55"/>
      <c r="V121" s="55"/>
      <c r="W121" s="55"/>
      <c r="X121" s="55"/>
    </row>
    <row r="122" spans="1:24" x14ac:dyDescent="0.25">
      <c r="A122" s="723"/>
      <c r="B122" s="723"/>
      <c r="P122" s="55"/>
      <c r="Q122" s="55"/>
      <c r="R122" s="55"/>
      <c r="U122" s="55"/>
      <c r="V122" s="55"/>
      <c r="W122" s="55"/>
      <c r="X122" s="55"/>
    </row>
    <row r="123" spans="1:24" x14ac:dyDescent="0.25">
      <c r="A123" s="723"/>
      <c r="B123" s="723"/>
      <c r="P123" s="55"/>
      <c r="Q123" s="55"/>
      <c r="R123" s="55"/>
      <c r="U123" s="55"/>
      <c r="V123" s="55"/>
      <c r="W123" s="55"/>
      <c r="X123" s="55"/>
    </row>
    <row r="124" spans="1:24" x14ac:dyDescent="0.25">
      <c r="A124" s="723"/>
      <c r="B124" s="723"/>
      <c r="P124" s="55"/>
      <c r="Q124" s="55"/>
      <c r="R124" s="55"/>
      <c r="U124" s="55"/>
      <c r="V124" s="55"/>
      <c r="W124" s="55"/>
      <c r="X124" s="55"/>
    </row>
    <row r="125" spans="1:24" x14ac:dyDescent="0.25">
      <c r="A125" s="723"/>
      <c r="B125" s="723"/>
      <c r="P125" s="55"/>
      <c r="Q125" s="55"/>
      <c r="R125" s="55"/>
      <c r="U125" s="55"/>
      <c r="V125" s="55"/>
      <c r="W125" s="55"/>
      <c r="X125" s="55"/>
    </row>
    <row r="126" spans="1:24" x14ac:dyDescent="0.25">
      <c r="A126" s="723"/>
      <c r="B126" s="723"/>
      <c r="P126" s="55"/>
      <c r="Q126" s="55"/>
      <c r="R126" s="55"/>
      <c r="U126" s="55"/>
      <c r="V126" s="55"/>
      <c r="W126" s="55"/>
      <c r="X126" s="55"/>
    </row>
    <row r="127" spans="1:24" x14ac:dyDescent="0.25">
      <c r="A127" s="723"/>
      <c r="B127" s="723"/>
      <c r="P127" s="55"/>
      <c r="Q127" s="55"/>
      <c r="R127" s="55"/>
      <c r="U127" s="55"/>
      <c r="V127" s="55"/>
      <c r="W127" s="55"/>
      <c r="X127" s="55"/>
    </row>
    <row r="128" spans="1:24" x14ac:dyDescent="0.25">
      <c r="A128" s="723"/>
      <c r="B128" s="723"/>
      <c r="P128" s="55"/>
      <c r="Q128" s="55"/>
      <c r="R128" s="55"/>
      <c r="U128" s="55"/>
      <c r="V128" s="55"/>
      <c r="W128" s="55"/>
      <c r="X128" s="55"/>
    </row>
    <row r="129" spans="1:24" x14ac:dyDescent="0.25">
      <c r="A129" s="723"/>
      <c r="B129" s="723"/>
      <c r="P129" s="55"/>
      <c r="Q129" s="55"/>
      <c r="R129" s="55"/>
      <c r="U129" s="55"/>
      <c r="V129" s="55"/>
      <c r="W129" s="55"/>
      <c r="X129" s="55"/>
    </row>
    <row r="130" spans="1:24" x14ac:dyDescent="0.25">
      <c r="P130" s="55"/>
      <c r="Q130" s="55"/>
      <c r="R130" s="55"/>
      <c r="U130" s="55"/>
      <c r="V130" s="55"/>
      <c r="W130" s="55"/>
      <c r="X130" s="55"/>
    </row>
    <row r="131" spans="1:24" x14ac:dyDescent="0.25">
      <c r="P131" s="55"/>
      <c r="Q131" s="55"/>
      <c r="R131" s="55"/>
      <c r="U131" s="55"/>
      <c r="V131" s="55"/>
      <c r="W131" s="55"/>
      <c r="X131" s="55"/>
    </row>
    <row r="132" spans="1:24" x14ac:dyDescent="0.25">
      <c r="P132" s="55"/>
      <c r="Q132" s="55"/>
      <c r="R132" s="55"/>
      <c r="U132" s="55"/>
      <c r="V132" s="55"/>
      <c r="W132" s="55"/>
      <c r="X132" s="55"/>
    </row>
    <row r="133" spans="1:24" x14ac:dyDescent="0.25">
      <c r="P133" s="55"/>
      <c r="Q133" s="55"/>
      <c r="R133" s="55"/>
      <c r="U133" s="55"/>
      <c r="V133" s="55"/>
      <c r="W133" s="55"/>
      <c r="X133" s="55"/>
    </row>
    <row r="134" spans="1:24" x14ac:dyDescent="0.25">
      <c r="P134" s="55"/>
      <c r="Q134" s="55"/>
      <c r="R134" s="55"/>
      <c r="U134" s="55"/>
      <c r="V134" s="55"/>
      <c r="W134" s="55"/>
      <c r="X134" s="55"/>
    </row>
    <row r="135" spans="1:24" x14ac:dyDescent="0.25">
      <c r="P135" s="55"/>
      <c r="Q135" s="55"/>
      <c r="R135" s="55"/>
      <c r="U135" s="55"/>
      <c r="V135" s="55"/>
      <c r="W135" s="55"/>
      <c r="X135" s="55"/>
    </row>
    <row r="136" spans="1:24" x14ac:dyDescent="0.25">
      <c r="P136" s="55"/>
      <c r="Q136" s="55"/>
      <c r="R136" s="55"/>
      <c r="U136" s="55"/>
      <c r="V136" s="55"/>
      <c r="W136" s="55"/>
      <c r="X136" s="55"/>
    </row>
    <row r="137" spans="1:24" x14ac:dyDescent="0.25">
      <c r="P137" s="55"/>
      <c r="Q137" s="55"/>
      <c r="R137" s="55"/>
      <c r="U137" s="55"/>
      <c r="V137" s="55"/>
      <c r="W137" s="55"/>
      <c r="X137" s="55"/>
    </row>
    <row r="138" spans="1:24" x14ac:dyDescent="0.25">
      <c r="P138" s="55"/>
      <c r="Q138" s="55"/>
      <c r="R138" s="55"/>
      <c r="U138" s="55"/>
      <c r="V138" s="55"/>
      <c r="W138" s="55"/>
      <c r="X138" s="55"/>
    </row>
    <row r="139" spans="1:24" x14ac:dyDescent="0.25">
      <c r="P139" s="55"/>
      <c r="Q139" s="55"/>
      <c r="R139" s="55"/>
      <c r="U139" s="55"/>
      <c r="V139" s="55"/>
      <c r="W139" s="55"/>
      <c r="X139" s="55"/>
    </row>
    <row r="140" spans="1:24" x14ac:dyDescent="0.25">
      <c r="P140" s="55"/>
      <c r="Q140" s="55"/>
      <c r="R140" s="55"/>
      <c r="U140" s="55"/>
      <c r="V140" s="55"/>
      <c r="W140" s="55"/>
      <c r="X140" s="55"/>
    </row>
    <row r="141" spans="1:24" x14ac:dyDescent="0.25">
      <c r="P141" s="55"/>
      <c r="Q141" s="55"/>
      <c r="R141" s="55"/>
      <c r="U141" s="55"/>
      <c r="V141" s="55"/>
      <c r="W141" s="55"/>
      <c r="X141" s="55"/>
    </row>
    <row r="142" spans="1:24" x14ac:dyDescent="0.25">
      <c r="P142" s="55"/>
      <c r="Q142" s="55"/>
      <c r="R142" s="55"/>
      <c r="U142" s="55"/>
      <c r="V142" s="55"/>
      <c r="W142" s="55"/>
      <c r="X142" s="55"/>
    </row>
    <row r="143" spans="1:24" x14ac:dyDescent="0.25">
      <c r="P143" s="55"/>
      <c r="Q143" s="55"/>
      <c r="R143" s="55"/>
      <c r="U143" s="55"/>
      <c r="V143" s="55"/>
      <c r="W143" s="55"/>
      <c r="X143" s="55"/>
    </row>
    <row r="144" spans="1:24" x14ac:dyDescent="0.25">
      <c r="P144" s="55"/>
      <c r="Q144" s="55"/>
      <c r="R144" s="55"/>
      <c r="U144" s="55"/>
      <c r="V144" s="55"/>
      <c r="W144" s="55"/>
      <c r="X144" s="55"/>
    </row>
    <row r="145" spans="16:24" x14ac:dyDescent="0.25">
      <c r="P145" s="55"/>
      <c r="Q145" s="55"/>
      <c r="R145" s="55"/>
      <c r="U145" s="55"/>
      <c r="V145" s="55"/>
      <c r="W145" s="55"/>
      <c r="X145" s="55"/>
    </row>
    <row r="146" spans="16:24" x14ac:dyDescent="0.25">
      <c r="P146" s="55"/>
      <c r="Q146" s="55"/>
      <c r="R146" s="55"/>
      <c r="U146" s="55"/>
      <c r="V146" s="55"/>
      <c r="W146" s="55"/>
      <c r="X146" s="55"/>
    </row>
    <row r="147" spans="16:24" x14ac:dyDescent="0.25">
      <c r="P147" s="55"/>
      <c r="Q147" s="55"/>
      <c r="R147" s="55"/>
      <c r="U147" s="55"/>
      <c r="V147" s="55"/>
      <c r="W147" s="55"/>
      <c r="X147" s="55"/>
    </row>
    <row r="148" spans="16:24" x14ac:dyDescent="0.25">
      <c r="P148" s="55"/>
      <c r="Q148" s="55"/>
      <c r="R148" s="55"/>
      <c r="U148" s="55"/>
      <c r="V148" s="55"/>
      <c r="W148" s="55"/>
      <c r="X148" s="55"/>
    </row>
    <row r="149" spans="16:24" x14ac:dyDescent="0.25">
      <c r="P149" s="55"/>
      <c r="Q149" s="55"/>
      <c r="R149" s="55"/>
      <c r="U149" s="55"/>
      <c r="V149" s="55"/>
      <c r="W149" s="55"/>
      <c r="X149" s="55"/>
    </row>
    <row r="150" spans="16:24" x14ac:dyDescent="0.25">
      <c r="P150" s="55"/>
      <c r="Q150" s="55"/>
      <c r="R150" s="55"/>
      <c r="U150" s="55"/>
      <c r="V150" s="55"/>
      <c r="W150" s="55"/>
      <c r="X150" s="55"/>
    </row>
    <row r="151" spans="16:24" x14ac:dyDescent="0.25">
      <c r="P151" s="55"/>
      <c r="Q151" s="55"/>
      <c r="R151" s="55"/>
      <c r="U151" s="55"/>
      <c r="V151" s="55"/>
      <c r="W151" s="55"/>
      <c r="X151" s="55"/>
    </row>
    <row r="152" spans="16:24" x14ac:dyDescent="0.25">
      <c r="P152" s="55"/>
      <c r="Q152" s="55"/>
      <c r="R152" s="55"/>
      <c r="U152" s="55"/>
      <c r="V152" s="55"/>
      <c r="W152" s="55"/>
      <c r="X152" s="55"/>
    </row>
    <row r="153" spans="16:24" x14ac:dyDescent="0.25">
      <c r="P153" s="55"/>
      <c r="Q153" s="55"/>
      <c r="R153" s="55"/>
      <c r="U153" s="55"/>
      <c r="V153" s="55"/>
      <c r="W153" s="55"/>
      <c r="X153" s="55"/>
    </row>
    <row r="154" spans="16:24" x14ac:dyDescent="0.25">
      <c r="P154" s="55"/>
      <c r="Q154" s="55"/>
      <c r="R154" s="55"/>
      <c r="U154" s="55"/>
      <c r="V154" s="55"/>
      <c r="W154" s="55"/>
      <c r="X154" s="55"/>
    </row>
    <row r="155" spans="16:24" x14ac:dyDescent="0.25">
      <c r="P155" s="55"/>
      <c r="Q155" s="55"/>
      <c r="R155" s="55"/>
      <c r="U155" s="55"/>
      <c r="V155" s="55"/>
      <c r="W155" s="55"/>
      <c r="X155" s="55"/>
    </row>
    <row r="156" spans="16:24" x14ac:dyDescent="0.25">
      <c r="P156" s="55"/>
      <c r="Q156" s="55"/>
      <c r="R156" s="55"/>
      <c r="U156" s="55"/>
      <c r="V156" s="55"/>
      <c r="W156" s="55"/>
      <c r="X156" s="55"/>
    </row>
    <row r="157" spans="16:24" x14ac:dyDescent="0.25">
      <c r="P157" s="55"/>
      <c r="Q157" s="55"/>
      <c r="R157" s="55"/>
      <c r="U157" s="55"/>
      <c r="V157" s="55"/>
      <c r="W157" s="55"/>
      <c r="X157" s="55"/>
    </row>
    <row r="158" spans="16:24" x14ac:dyDescent="0.25">
      <c r="P158" s="55"/>
      <c r="Q158" s="55"/>
      <c r="R158" s="55"/>
      <c r="U158" s="55"/>
      <c r="V158" s="55"/>
      <c r="W158" s="55"/>
      <c r="X158" s="55"/>
    </row>
    <row r="159" spans="16:24" x14ac:dyDescent="0.25">
      <c r="P159" s="55"/>
      <c r="Q159" s="55"/>
      <c r="R159" s="55"/>
      <c r="U159" s="55"/>
      <c r="V159" s="55"/>
      <c r="W159" s="55"/>
      <c r="X159" s="55"/>
    </row>
    <row r="160" spans="16:24" x14ac:dyDescent="0.25">
      <c r="P160" s="55"/>
      <c r="Q160" s="55"/>
      <c r="R160" s="55"/>
      <c r="U160" s="55"/>
      <c r="V160" s="55"/>
      <c r="W160" s="55"/>
      <c r="X160" s="55"/>
    </row>
    <row r="161" spans="16:24" x14ac:dyDescent="0.25">
      <c r="P161" s="55"/>
      <c r="Q161" s="55"/>
      <c r="R161" s="55"/>
      <c r="U161" s="55"/>
      <c r="V161" s="55"/>
      <c r="W161" s="55"/>
      <c r="X161" s="55"/>
    </row>
    <row r="162" spans="16:24" x14ac:dyDescent="0.25">
      <c r="P162" s="55"/>
      <c r="Q162" s="55"/>
      <c r="R162" s="55"/>
      <c r="U162" s="55"/>
      <c r="V162" s="55"/>
      <c r="W162" s="55"/>
      <c r="X162" s="55"/>
    </row>
    <row r="163" spans="16:24" x14ac:dyDescent="0.25">
      <c r="P163" s="55"/>
      <c r="Q163" s="55"/>
      <c r="R163" s="55"/>
      <c r="U163" s="55"/>
      <c r="V163" s="55"/>
      <c r="W163" s="55"/>
      <c r="X163" s="55"/>
    </row>
    <row r="164" spans="16:24" x14ac:dyDescent="0.25">
      <c r="P164" s="55"/>
      <c r="Q164" s="55"/>
      <c r="R164" s="55"/>
      <c r="U164" s="55"/>
      <c r="V164" s="55"/>
      <c r="W164" s="55"/>
      <c r="X164" s="55"/>
    </row>
    <row r="165" spans="16:24" x14ac:dyDescent="0.25">
      <c r="P165" s="55"/>
      <c r="Q165" s="55"/>
      <c r="R165" s="55"/>
      <c r="U165" s="55"/>
      <c r="V165" s="55"/>
      <c r="W165" s="55"/>
      <c r="X165" s="55"/>
    </row>
    <row r="166" spans="16:24" x14ac:dyDescent="0.25">
      <c r="P166" s="55"/>
      <c r="Q166" s="55"/>
      <c r="R166" s="55"/>
      <c r="U166" s="55"/>
      <c r="V166" s="55"/>
      <c r="W166" s="55"/>
      <c r="X166" s="55"/>
    </row>
    <row r="167" spans="16:24" x14ac:dyDescent="0.25">
      <c r="P167" s="55"/>
      <c r="Q167" s="55"/>
      <c r="R167" s="55"/>
      <c r="U167" s="55"/>
      <c r="V167" s="55"/>
      <c r="W167" s="55"/>
      <c r="X167" s="55"/>
    </row>
    <row r="168" spans="16:24" x14ac:dyDescent="0.25">
      <c r="P168" s="55"/>
      <c r="Q168" s="55"/>
      <c r="R168" s="55"/>
      <c r="U168" s="55"/>
      <c r="V168" s="55"/>
      <c r="W168" s="55"/>
      <c r="X168" s="55"/>
    </row>
    <row r="169" spans="16:24" x14ac:dyDescent="0.25">
      <c r="P169" s="55"/>
      <c r="Q169" s="55"/>
      <c r="R169" s="55"/>
      <c r="U169" s="55"/>
      <c r="V169" s="55"/>
      <c r="W169" s="55"/>
      <c r="X169" s="55"/>
    </row>
    <row r="170" spans="16:24" x14ac:dyDescent="0.25">
      <c r="P170" s="55"/>
      <c r="Q170" s="55"/>
      <c r="R170" s="55"/>
      <c r="U170" s="55"/>
      <c r="V170" s="55"/>
      <c r="W170" s="55"/>
      <c r="X170" s="55"/>
    </row>
    <row r="171" spans="16:24" x14ac:dyDescent="0.25">
      <c r="P171" s="55"/>
      <c r="Q171" s="55"/>
      <c r="R171" s="55"/>
      <c r="U171" s="55"/>
      <c r="V171" s="55"/>
      <c r="W171" s="55"/>
      <c r="X171" s="55"/>
    </row>
    <row r="172" spans="16:24" x14ac:dyDescent="0.25">
      <c r="P172" s="55"/>
      <c r="Q172" s="55"/>
      <c r="R172" s="55"/>
      <c r="U172" s="55"/>
      <c r="V172" s="55"/>
      <c r="W172" s="55"/>
      <c r="X172" s="55"/>
    </row>
    <row r="173" spans="16:24" x14ac:dyDescent="0.25">
      <c r="P173" s="55"/>
      <c r="Q173" s="55"/>
      <c r="R173" s="55"/>
      <c r="U173" s="55"/>
      <c r="V173" s="55"/>
      <c r="W173" s="55"/>
      <c r="X173" s="55"/>
    </row>
    <row r="174" spans="16:24" x14ac:dyDescent="0.25">
      <c r="P174" s="55"/>
      <c r="Q174" s="55"/>
      <c r="R174" s="55"/>
      <c r="U174" s="55"/>
      <c r="V174" s="55"/>
      <c r="W174" s="55"/>
      <c r="X174" s="55"/>
    </row>
    <row r="175" spans="16:24" x14ac:dyDescent="0.25">
      <c r="P175" s="55"/>
      <c r="Q175" s="55"/>
      <c r="R175" s="55"/>
      <c r="U175" s="55"/>
      <c r="V175" s="55"/>
      <c r="W175" s="55"/>
      <c r="X175" s="55"/>
    </row>
    <row r="176" spans="16:24"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sheetData>
  <sheetCalcPr fullCalcOnLoad="1"/>
  <mergeCells count="142">
    <mergeCell ref="A128:B128"/>
    <mergeCell ref="A129:B129"/>
    <mergeCell ref="A27:C27"/>
    <mergeCell ref="A113:B113"/>
    <mergeCell ref="A124:B124"/>
    <mergeCell ref="A125:B125"/>
    <mergeCell ref="A126:B126"/>
    <mergeCell ref="A127:B127"/>
    <mergeCell ref="A120:B120"/>
    <mergeCell ref="A121:B121"/>
    <mergeCell ref="L9:M9"/>
    <mergeCell ref="L10:M10"/>
    <mergeCell ref="A122:B122"/>
    <mergeCell ref="A123:B123"/>
    <mergeCell ref="A116:B116"/>
    <mergeCell ref="A117:B117"/>
    <mergeCell ref="A118:B118"/>
    <mergeCell ref="A119:B119"/>
    <mergeCell ref="A110:B110"/>
    <mergeCell ref="A111:B111"/>
    <mergeCell ref="A112:B112"/>
    <mergeCell ref="A114:B114"/>
    <mergeCell ref="A115:B115"/>
    <mergeCell ref="L4:M4"/>
    <mergeCell ref="L5:M5"/>
    <mergeCell ref="L6:M6"/>
    <mergeCell ref="L7:M7"/>
    <mergeCell ref="L8:M8"/>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2:B22"/>
    <mergeCell ref="A23:B23"/>
    <mergeCell ref="A28:B28"/>
    <mergeCell ref="A29:B29"/>
    <mergeCell ref="A30:B30"/>
    <mergeCell ref="A31:B31"/>
    <mergeCell ref="A24:B24"/>
    <mergeCell ref="A25:B25"/>
    <mergeCell ref="D10:H10"/>
    <mergeCell ref="F1:G1"/>
    <mergeCell ref="A26:B26"/>
    <mergeCell ref="L11:M11"/>
    <mergeCell ref="L12:M12"/>
    <mergeCell ref="L13:M13"/>
    <mergeCell ref="L14:M14"/>
    <mergeCell ref="L15:M15"/>
    <mergeCell ref="DI17:DK17"/>
    <mergeCell ref="CZ17:DB17"/>
    <mergeCell ref="L18:M18"/>
    <mergeCell ref="L19:M19"/>
    <mergeCell ref="L1:P1"/>
    <mergeCell ref="BU1:CB1"/>
    <mergeCell ref="AE1:AK1"/>
    <mergeCell ref="BA1:BH1"/>
    <mergeCell ref="L16:M16"/>
    <mergeCell ref="L17:M17"/>
    <mergeCell ref="DC17:DE17"/>
    <mergeCell ref="DF17:DH17"/>
    <mergeCell ref="AM20:AN20"/>
    <mergeCell ref="AO20:AP20"/>
    <mergeCell ref="L3:M3"/>
    <mergeCell ref="DL17:DN17"/>
    <mergeCell ref="CZ20:DB20"/>
    <mergeCell ref="DC20:DE20"/>
    <mergeCell ref="DF20:DH20"/>
    <mergeCell ref="DI20:DK20"/>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349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6349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21">
    <pageSetUpPr autoPageBreaks="0"/>
  </sheetPr>
  <dimension ref="A1:DN556"/>
  <sheetViews>
    <sheetView topLeftCell="K13" zoomScale="80" workbookViewId="0">
      <selection activeCell="CI21" sqref="CI21:CI35"/>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EPNG</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v>
      </c>
      <c r="F2" s="178" t="str">
        <f>GetRcptPoint($AH$12,$AH$13)</f>
        <v>ELPO/SJ</v>
      </c>
      <c r="G2" s="179" t="str">
        <f>GetDelPoint($AH$12,$AH$13)</f>
        <v>Valero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$F$35</v>
      </c>
      <c r="AX2" s="339" t="str">
        <f>ADDRESS(ROW($G$22),COLUMN($G$22))</f>
        <v>$G$22</v>
      </c>
      <c r="AY2" s="138" t="str">
        <f ca="1">GetEnd($AV$1,AX2)</f>
        <v>$G$35</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50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$AF$35</v>
      </c>
      <c r="AX3" s="339" t="str">
        <f>ADDRESS(ROW($AH$22),COLUMN($AH$22))</f>
        <v>$AH$22</v>
      </c>
      <c r="AY3" s="138" t="str">
        <f ca="1">GetEnd($AV$1,AX3)</f>
        <v>$AH$35</v>
      </c>
    </row>
    <row r="4" spans="1:102" x14ac:dyDescent="0.25">
      <c r="A4" s="269" t="str">
        <f>ADDRESS(ROW($S$22),COLUMN($S$22))</f>
        <v>$S$22</v>
      </c>
      <c r="L4" s="721" t="s">
        <v>201</v>
      </c>
      <c r="M4" s="722"/>
      <c r="N4" s="352">
        <f ca="1">SUMPRODUCT(INDIRECT(CONCATENATE(AV4,":",AW4)),INDIRECT(CONCATENATE($AV$2,":",$AW$2)),INDIRECT(CONCATENATE($AV$3,":",$AW$3)))</f>
        <v>391016.68521346751</v>
      </c>
      <c r="O4" s="352">
        <v>392301.03</v>
      </c>
      <c r="P4" s="354">
        <f ca="1">N4-O4</f>
        <v>-1284.3447865325143</v>
      </c>
      <c r="Q4" s="181"/>
      <c r="S4" s="427" t="s">
        <v>635</v>
      </c>
      <c r="T4" s="422">
        <f ca="1">SUMPRODUCT(INDIRECT(CONCATENATE(V4,":",W4)),INDIRECT(CONCATENATE(AV2,":",AW2)),INDIRECT(CONCATENATE(AV3,":",AW3)))</f>
        <v>254366.55382366813</v>
      </c>
      <c r="V4" s="30" t="str">
        <f>ADDRESS(ROW(K22),COLUMN(K22))</f>
        <v>$K$22</v>
      </c>
      <c r="W4" s="30" t="str">
        <f ca="1">GetEnd($AV$1,V4)</f>
        <v>$K$35</v>
      </c>
      <c r="AF4" s="28"/>
      <c r="AG4" s="103" t="s">
        <v>32</v>
      </c>
      <c r="AH4" s="104">
        <f>GetRcptIndexCol($AH$12,$AH$13)</f>
        <v>51</v>
      </c>
      <c r="AI4" s="29"/>
      <c r="AJ4" s="103" t="s">
        <v>72</v>
      </c>
      <c r="AK4" s="104">
        <f>GetNymexCol(AK3)</f>
        <v>3</v>
      </c>
      <c r="AL4" s="34">
        <v>1</v>
      </c>
      <c r="AM4" s="45">
        <f t="shared" ref="AM4:AM15" si="0">GetVolume($AH$12,$AH$13,AT4)</f>
        <v>16495</v>
      </c>
      <c r="AN4" s="46">
        <f t="shared" ref="AN4:AN15" si="1">GetCommodity($AH$12,$AH$13,AT4)</f>
        <v>3.3999999999999998E-3</v>
      </c>
      <c r="AO4" s="47">
        <f t="shared" ref="AO4:AO15" si="2">GetFuelRate($AH$12,$AH$13,AT4)</f>
        <v>3.8800000000000001E-2</v>
      </c>
      <c r="AP4" s="46">
        <f t="shared" ref="AP4:AP15" si="3">GetSurcharge($AH$12,$AH$13,$AT4)</f>
        <v>9.4000000000000004E-3</v>
      </c>
      <c r="AQ4" s="46">
        <f t="shared" ref="AQ4:AQ15" si="4">GetRcptIndexAdj($AH$12,$AH$13,$AT4)</f>
        <v>0</v>
      </c>
      <c r="AR4" s="132">
        <f t="shared" ref="AR4:AR15" si="5">GetDelIndexAdj($AH$12,$AH$13,$AT4)</f>
        <v>-0.01</v>
      </c>
      <c r="AS4" s="48">
        <f t="shared" ref="AS4:AS15" si="6">GetDemandRate($AH$12,$AH$13,$AT4)</f>
        <v>0.1439</v>
      </c>
      <c r="AT4" s="35">
        <f t="shared" ref="AT4:AT15" si="7">gettier($AH$12,$AH$13,AL4)</f>
        <v>1</v>
      </c>
      <c r="AV4" s="339" t="str">
        <f>ADDRESS(ROW($Q$22),COLUMN($Q$22))</f>
        <v>$Q$22</v>
      </c>
      <c r="AW4" s="138" t="str">
        <f ca="1">GetEnd($AV$1,AV4)</f>
        <v>$Q$35</v>
      </c>
      <c r="AX4" s="339" t="str">
        <f>ADDRESS(ROW($K$22),COLUMN($K$22))</f>
        <v>$K$22</v>
      </c>
      <c r="AY4" s="138" t="str">
        <f ca="1">GetEnd($AV$1,AX4)</f>
        <v>$K$35</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499968.0115085211</v>
      </c>
      <c r="O5" s="352">
        <v>499888.07</v>
      </c>
      <c r="P5" s="355">
        <f ca="1">N5-O5</f>
        <v>79.941508521093056</v>
      </c>
      <c r="Q5" s="181"/>
      <c r="S5" s="428" t="s">
        <v>636</v>
      </c>
      <c r="T5" s="423">
        <f ca="1">SUMPRODUCT(INDIRECT(CONCATENATE(V5,":",W5)),INDIRECT(CONCATENATE(AV2,":",AW2)),INDIRECT(CONCATENATE(AV3,":",AW3)))</f>
        <v>136650.13138979941</v>
      </c>
      <c r="V5" s="30" t="str">
        <f>ADDRESS(ROW(L22),COLUMN(L22))</f>
        <v>$L$22</v>
      </c>
      <c r="W5" s="30" t="str">
        <f ca="1">GetEnd($AV$1,V5)</f>
        <v>$L$35</v>
      </c>
      <c r="AF5" s="28"/>
      <c r="AG5" s="103" t="s">
        <v>33</v>
      </c>
      <c r="AH5" s="104">
        <f>GetDelBasisCol($AH$12,$AH$13)</f>
        <v>56</v>
      </c>
      <c r="AI5" s="29"/>
      <c r="AJ5" s="103" t="s">
        <v>77</v>
      </c>
      <c r="AK5" s="104" t="str">
        <f>LiborCurve</f>
        <v>Libor AA</v>
      </c>
      <c r="AL5" s="34">
        <v>2</v>
      </c>
      <c r="AM5" s="37">
        <f t="shared" si="0"/>
        <v>16495</v>
      </c>
      <c r="AN5" s="38">
        <f t="shared" si="1"/>
        <v>3.3999999999999998E-3</v>
      </c>
      <c r="AO5" s="39">
        <f t="shared" si="2"/>
        <v>3.8800000000000001E-2</v>
      </c>
      <c r="AP5" s="38">
        <f t="shared" si="3"/>
        <v>9.4000000000000004E-3</v>
      </c>
      <c r="AQ5" s="38">
        <f t="shared" si="4"/>
        <v>0</v>
      </c>
      <c r="AR5" s="133">
        <f t="shared" si="5"/>
        <v>-0.01</v>
      </c>
      <c r="AS5" s="40">
        <f t="shared" si="6"/>
        <v>0.1439</v>
      </c>
      <c r="AT5" s="35">
        <f t="shared" si="7"/>
        <v>1</v>
      </c>
      <c r="AV5" s="339" t="str">
        <f>ADDRESS(ROW($V$22),COLUMN($V$22))</f>
        <v>$V$22</v>
      </c>
      <c r="AW5" s="138" t="str">
        <f ca="1">GetEnd($AV$1,AV5)</f>
        <v>$V$35</v>
      </c>
      <c r="AX5" s="339" t="str">
        <f>ADDRESS(ROW($L$22),COLUMN($L$22))</f>
        <v>$L$22</v>
      </c>
      <c r="AY5" s="138" t="str">
        <f ca="1">GetEnd($AV$1,AX5)</f>
        <v>$L$35</v>
      </c>
      <c r="BV5" s="266">
        <f>O2</f>
        <v>37239</v>
      </c>
    </row>
    <row r="6" spans="1:102" x14ac:dyDescent="0.25">
      <c r="A6" s="269" t="str">
        <f>ADDRESS(ROW($BW$2),COLUMN($BW$2))</f>
        <v>$BW$2</v>
      </c>
      <c r="F6" s="187"/>
      <c r="G6" s="187"/>
      <c r="L6" s="704" t="s">
        <v>149</v>
      </c>
      <c r="M6" s="705"/>
      <c r="N6" s="356">
        <f ca="1">N4-N5</f>
        <v>-108951.32629505359</v>
      </c>
      <c r="O6" s="357">
        <v>-107587.04</v>
      </c>
      <c r="P6" s="358">
        <f ca="1">N6-O6</f>
        <v>-1364.2862950535928</v>
      </c>
      <c r="Q6" s="181"/>
      <c r="S6" s="428" t="s">
        <v>637</v>
      </c>
      <c r="T6" s="424">
        <f ca="1">SUMPRODUCT(INDIRECT(CONCATENATE(V6,":",W6)),INDIRECT(CONCATENATE(AV3,":",AW3)),INDIRECT(CONCATENATE(AX3,":",AY3)))</f>
        <v>3474412.8666332257</v>
      </c>
      <c r="V6" s="30" t="str">
        <f>ADDRESS(ROW(G22),COLUMN(G22))</f>
        <v>$G$22</v>
      </c>
      <c r="W6" s="30" t="str">
        <f ca="1">GetEnd($AV$1,V6)</f>
        <v>$G$35</v>
      </c>
      <c r="AF6" s="28"/>
      <c r="AG6" s="103" t="s">
        <v>34</v>
      </c>
      <c r="AH6" s="104">
        <f>GetDelIndexCol($AH$12,$AH$13)</f>
        <v>57</v>
      </c>
      <c r="AI6" s="29"/>
      <c r="AJ6" s="103" t="s">
        <v>79</v>
      </c>
      <c r="AK6" s="104">
        <f>GetLiborCol(AK5)</f>
        <v>4</v>
      </c>
      <c r="AL6" s="34">
        <v>3</v>
      </c>
      <c r="AM6" s="37">
        <f t="shared" si="0"/>
        <v>16495</v>
      </c>
      <c r="AN6" s="38">
        <f t="shared" si="1"/>
        <v>3.3999999999999998E-3</v>
      </c>
      <c r="AO6" s="39">
        <f t="shared" si="2"/>
        <v>3.8800000000000001E-2</v>
      </c>
      <c r="AP6" s="38">
        <f t="shared" si="3"/>
        <v>9.4000000000000004E-3</v>
      </c>
      <c r="AQ6" s="38">
        <f t="shared" si="4"/>
        <v>0</v>
      </c>
      <c r="AR6" s="133">
        <f t="shared" si="5"/>
        <v>-0.01</v>
      </c>
      <c r="AS6" s="40">
        <f t="shared" si="6"/>
        <v>0.1439</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9806.36</v>
      </c>
      <c r="P7" s="355">
        <f ca="1">N7</f>
        <v>0</v>
      </c>
      <c r="S7" s="428" t="s">
        <v>638</v>
      </c>
      <c r="T7" s="425">
        <f ca="1">T5/T6</f>
        <v>3.933042405585381E-2</v>
      </c>
      <c r="AF7" s="28"/>
      <c r="AG7" s="103" t="s">
        <v>76</v>
      </c>
      <c r="AH7" s="104">
        <f>GetRcptOmicronCol($AH$12,$AH$13)</f>
        <v>9</v>
      </c>
      <c r="AI7" s="29"/>
      <c r="AJ7" s="103" t="s">
        <v>80</v>
      </c>
      <c r="AK7" s="104" t="str">
        <f>Configuration!$D$8</f>
        <v>Nymex Vol</v>
      </c>
      <c r="AL7" s="34">
        <v>4</v>
      </c>
      <c r="AM7" s="37">
        <f t="shared" si="0"/>
        <v>16495</v>
      </c>
      <c r="AN7" s="38">
        <f t="shared" si="1"/>
        <v>3.3999999999999998E-3</v>
      </c>
      <c r="AO7" s="39">
        <f t="shared" si="2"/>
        <v>3.8800000000000001E-2</v>
      </c>
      <c r="AP7" s="38">
        <f t="shared" si="3"/>
        <v>9.4000000000000004E-3</v>
      </c>
      <c r="AQ7" s="38">
        <f t="shared" si="4"/>
        <v>0</v>
      </c>
      <c r="AR7" s="133">
        <f t="shared" si="5"/>
        <v>-0.01</v>
      </c>
      <c r="AS7" s="40">
        <f t="shared" si="6"/>
        <v>0.1439</v>
      </c>
      <c r="AT7" s="35">
        <f t="shared" si="7"/>
        <v>1</v>
      </c>
      <c r="AU7" s="361" t="s">
        <v>574</v>
      </c>
      <c r="AV7" s="339" t="str">
        <f>ADDRESS(ROW($AL$22),COLUMN($AL$22))</f>
        <v>$AL$22</v>
      </c>
      <c r="AW7" s="138" t="str">
        <f ca="1">GetEnd($AV$1,AV7)</f>
        <v>$AL$35</v>
      </c>
      <c r="AX7" s="339" t="str">
        <f>ADDRESS(ROW($AV$22),COLUMN($AV$22))</f>
        <v>$AV$22</v>
      </c>
      <c r="AY7" s="138" t="str">
        <f t="shared" ref="AY7:AY13" ca="1" si="8">GetEnd($AV$1,AX7)</f>
        <v>$AV$35</v>
      </c>
    </row>
    <row r="8" spans="1:102" x14ac:dyDescent="0.25">
      <c r="A8" s="270" t="s">
        <v>224</v>
      </c>
      <c r="F8" s="186" t="s">
        <v>26</v>
      </c>
      <c r="G8" s="190">
        <f>GetMonthEnd($AH$12,$AH$13)</f>
        <v>37468</v>
      </c>
      <c r="L8" s="706" t="s">
        <v>626</v>
      </c>
      <c r="M8" s="707"/>
      <c r="N8" s="352">
        <f t="array" aca="1" ref="N8" ca="1">SUM(((INDIRECT(AX14)-INDIRECT(AY16))-(INDIRECT(AX15)-INDIRECT(AY14)))*INDIRECT(CONCATENATE(AX2,":",AY2))*INDIRECT(CONCATENATE(AV3,":",AW3))*INDIRECT(CONCATENATE(AX3,":",AY3)))</f>
        <v>0</v>
      </c>
      <c r="O8" s="421">
        <v>-24230.94</v>
      </c>
      <c r="P8" s="355">
        <f ca="1">N8</f>
        <v>0</v>
      </c>
      <c r="S8" s="429" t="s">
        <v>639</v>
      </c>
      <c r="T8" s="426">
        <f ca="1">Y8/Z8</f>
        <v>0.98342365465632042</v>
      </c>
      <c r="V8" s="30" t="str">
        <f>ADDRESS(ROW(P22),COLUMN(P22))</f>
        <v>$P$22</v>
      </c>
      <c r="W8" s="30" t="str">
        <f ca="1">GetEnd($AV$1,V8)</f>
        <v>$P$35</v>
      </c>
      <c r="Y8" s="334">
        <f ca="1">SUMIF(INDIRECT(CONCATENATE(V8,":",W8)),"&gt;0",INDIRECT(CONCATENATE(V8,":",W8)))</f>
        <v>6.883965582594243</v>
      </c>
      <c r="Z8" s="334">
        <f ca="1">COUNTIF(INDIRECT(CONCATENATE(V8,":",W8)),"&gt;0")</f>
        <v>7</v>
      </c>
      <c r="AF8" s="28"/>
      <c r="AG8" s="103" t="s">
        <v>75</v>
      </c>
      <c r="AH8" s="105">
        <f>GetDelOmicronCol($AH$12,$AH$13)</f>
        <v>9</v>
      </c>
      <c r="AI8" s="29"/>
      <c r="AJ8" s="103" t="s">
        <v>81</v>
      </c>
      <c r="AK8" s="104">
        <f>GetNGOmicronCol(AK7)</f>
        <v>5</v>
      </c>
      <c r="AL8" s="34">
        <v>5</v>
      </c>
      <c r="AM8" s="37">
        <f t="shared" si="0"/>
        <v>16495</v>
      </c>
      <c r="AN8" s="38">
        <f t="shared" si="1"/>
        <v>3.3999999999999998E-3</v>
      </c>
      <c r="AO8" s="39">
        <f t="shared" si="2"/>
        <v>3.8800000000000001E-2</v>
      </c>
      <c r="AP8" s="38">
        <f t="shared" si="3"/>
        <v>9.4000000000000004E-3</v>
      </c>
      <c r="AQ8" s="38">
        <f t="shared" si="4"/>
        <v>0</v>
      </c>
      <c r="AR8" s="133">
        <f t="shared" si="5"/>
        <v>-0.01</v>
      </c>
      <c r="AS8" s="40">
        <f t="shared" si="6"/>
        <v>0.1439</v>
      </c>
      <c r="AT8" s="35">
        <f t="shared" si="7"/>
        <v>1</v>
      </c>
      <c r="AU8" s="362" t="s">
        <v>575</v>
      </c>
      <c r="AV8" s="339" t="str">
        <f>ADDRESS(ROW($AM$22),COLUMN($AM$22))</f>
        <v>$AM$22</v>
      </c>
      <c r="AW8" s="138" t="str">
        <f ca="1">GetEnd($AV$1,AV8)</f>
        <v>$AM$35</v>
      </c>
      <c r="AX8" s="339" t="str">
        <f>ADDRESS(ROW($AO$22),COLUMN($AO$22))</f>
        <v>$AO$22</v>
      </c>
      <c r="AY8" s="138" t="str">
        <f t="shared" ca="1" si="8"/>
        <v>$AO$35</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7</v>
      </c>
      <c r="AL9" s="34">
        <v>6</v>
      </c>
      <c r="AM9" s="37">
        <f t="shared" si="0"/>
        <v>16495</v>
      </c>
      <c r="AN9" s="38">
        <f t="shared" si="1"/>
        <v>3.3999999999999998E-3</v>
      </c>
      <c r="AO9" s="39">
        <f t="shared" si="2"/>
        <v>3.8800000000000001E-2</v>
      </c>
      <c r="AP9" s="38">
        <f t="shared" si="3"/>
        <v>9.4000000000000004E-3</v>
      </c>
      <c r="AQ9" s="38">
        <f t="shared" si="4"/>
        <v>0</v>
      </c>
      <c r="AR9" s="133">
        <f t="shared" si="5"/>
        <v>-0.01</v>
      </c>
      <c r="AS9" s="40">
        <f t="shared" si="6"/>
        <v>0.1439</v>
      </c>
      <c r="AT9" s="35">
        <f t="shared" si="7"/>
        <v>1</v>
      </c>
      <c r="AU9" s="361" t="s">
        <v>578</v>
      </c>
      <c r="AV9" s="339" t="str">
        <f>ADDRESS(ROW($AN$22),COLUMN($AN$22))</f>
        <v>$AN$22</v>
      </c>
      <c r="AW9" s="138" t="str">
        <f ca="1">GetEnd($AV$1,AV9)</f>
        <v>$AN$35</v>
      </c>
      <c r="AX9" s="339" t="str">
        <f>ADDRESS(ROW($AP$22),COLUMN($AP$22))</f>
        <v>$AP$22</v>
      </c>
      <c r="AY9" s="138" t="str">
        <f t="shared" ca="1" si="8"/>
        <v>$AP$35</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-360300.24020330916</v>
      </c>
      <c r="O10" s="352">
        <v>-360242.62</v>
      </c>
      <c r="P10" s="355">
        <f t="shared" ref="P10:P19" ca="1" si="9">N10-O10</f>
        <v>-57.620203309168573</v>
      </c>
      <c r="AF10" s="28"/>
      <c r="AG10" s="103" t="s">
        <v>142</v>
      </c>
      <c r="AH10" s="119" t="b">
        <f>GetGRIFactor($AH$12,$AH$13)</f>
        <v>0</v>
      </c>
      <c r="AI10" s="29"/>
      <c r="AJ10" s="29"/>
      <c r="AK10" s="29"/>
      <c r="AL10" s="34">
        <v>7</v>
      </c>
      <c r="AM10" s="37">
        <f t="shared" si="0"/>
        <v>16495</v>
      </c>
      <c r="AN10" s="38">
        <f t="shared" si="1"/>
        <v>3.3999999999999998E-3</v>
      </c>
      <c r="AO10" s="39">
        <f t="shared" si="2"/>
        <v>3.8800000000000001E-2</v>
      </c>
      <c r="AP10" s="38">
        <f t="shared" si="3"/>
        <v>9.4000000000000004E-3</v>
      </c>
      <c r="AQ10" s="38">
        <f t="shared" si="4"/>
        <v>0</v>
      </c>
      <c r="AR10" s="133">
        <f t="shared" si="5"/>
        <v>-0.01</v>
      </c>
      <c r="AS10" s="40">
        <f t="shared" si="6"/>
        <v>0.1439</v>
      </c>
      <c r="AT10" s="35">
        <f t="shared" si="7"/>
        <v>1</v>
      </c>
      <c r="AU10" s="361" t="s">
        <v>577</v>
      </c>
      <c r="AV10" s="339" t="str">
        <f>ADDRESS(ROW($AS$22),COLUMN($AS$22))</f>
        <v>$AS$22</v>
      </c>
      <c r="AW10" s="138" t="str">
        <f ca="1">GetEnd($AV$1,AV10)</f>
        <v>$AS$35</v>
      </c>
      <c r="AX10" s="339" t="str">
        <f>ADDRESS(ROW($CC$22),COLUMN($CC$22))</f>
        <v>$CC$22</v>
      </c>
      <c r="AY10" s="138" t="str">
        <f t="shared" ca="1" si="8"/>
        <v>$CC$35</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-44760.832000000002</v>
      </c>
      <c r="O11" s="357">
        <v>-44760.83</v>
      </c>
      <c r="P11" s="358">
        <f t="shared" ca="1" si="9"/>
        <v>-2.0000000004074536E-3</v>
      </c>
      <c r="AL11" s="34">
        <v>8</v>
      </c>
      <c r="AM11" s="37">
        <f t="shared" si="0"/>
        <v>16495</v>
      </c>
      <c r="AN11" s="38">
        <f t="shared" si="1"/>
        <v>3.3999999999999998E-3</v>
      </c>
      <c r="AO11" s="39">
        <f t="shared" si="2"/>
        <v>3.8800000000000001E-2</v>
      </c>
      <c r="AP11" s="38">
        <f t="shared" si="3"/>
        <v>9.4000000000000004E-3</v>
      </c>
      <c r="AQ11" s="38">
        <f t="shared" si="4"/>
        <v>0</v>
      </c>
      <c r="AR11" s="133">
        <f t="shared" si="5"/>
        <v>-0.01</v>
      </c>
      <c r="AS11" s="40">
        <f t="shared" si="6"/>
        <v>0.1439</v>
      </c>
      <c r="AT11" s="35">
        <f t="shared" si="7"/>
        <v>1</v>
      </c>
      <c r="AU11" s="361" t="s">
        <v>579</v>
      </c>
      <c r="AV11" s="339" t="str">
        <f>ADDRESS(ROW($AQ$22),COLUMN($AQ$22))</f>
        <v>$AQ$22</v>
      </c>
      <c r="AW11" s="138" t="str">
        <f ca="1">GetEnd($AV$1,AV11)</f>
        <v>$AQ$35</v>
      </c>
      <c r="AX11" s="339" t="str">
        <f>ADDRESS(ROW($CD$22),COLUMN($CD$22))</f>
        <v>$CD$22</v>
      </c>
      <c r="AY11" s="138" t="str">
        <f t="shared" ca="1" si="8"/>
        <v>$CD$35</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-19102.759999999998</v>
      </c>
      <c r="P12" s="355">
        <f t="shared" ca="1" si="9"/>
        <v>19102.759999999998</v>
      </c>
      <c r="AG12" s="248" t="s">
        <v>185</v>
      </c>
      <c r="AH12" s="119" t="str">
        <f>GetDBPage($D$2)</f>
        <v>Contract DB (West)</v>
      </c>
      <c r="AL12" s="34">
        <v>9</v>
      </c>
      <c r="AM12" s="37">
        <f t="shared" si="0"/>
        <v>16495</v>
      </c>
      <c r="AN12" s="38">
        <f t="shared" si="1"/>
        <v>3.3999999999999998E-3</v>
      </c>
      <c r="AO12" s="39">
        <f t="shared" si="2"/>
        <v>3.8800000000000001E-2</v>
      </c>
      <c r="AP12" s="38">
        <f t="shared" si="3"/>
        <v>9.4000000000000004E-3</v>
      </c>
      <c r="AQ12" s="38">
        <f t="shared" si="4"/>
        <v>0</v>
      </c>
      <c r="AR12" s="133">
        <f t="shared" si="5"/>
        <v>-0.01</v>
      </c>
      <c r="AS12" s="40">
        <f t="shared" si="6"/>
        <v>0.1439</v>
      </c>
      <c r="AT12" s="35">
        <f t="shared" si="7"/>
        <v>1</v>
      </c>
      <c r="AU12" s="361" t="s">
        <v>271</v>
      </c>
      <c r="AV12" s="339" t="str">
        <f>ADDRESS(ROW($X$22),COLUMN($X$22))</f>
        <v>$X$22</v>
      </c>
      <c r="AW12" s="138" t="str">
        <f t="shared" ref="AW12:AW17" ca="1" si="11">GetEnd($AV$1,AV12)</f>
        <v>$X$35</v>
      </c>
      <c r="AX12" s="339" t="str">
        <f>ADDRESS(ROW($CE$22),COLUMN($CE$22))</f>
        <v>$CE$22</v>
      </c>
      <c r="AY12" s="138" t="str">
        <f t="shared" ca="1" si="8"/>
        <v>$CE$35</v>
      </c>
    </row>
    <row r="13" spans="1:102" x14ac:dyDescent="0.25">
      <c r="A13" s="270" t="s">
        <v>224</v>
      </c>
      <c r="D13" s="170"/>
      <c r="E13" s="171"/>
      <c r="F13" s="172"/>
      <c r="G13" s="172"/>
      <c r="H13" s="173"/>
      <c r="L13" s="706" t="s">
        <v>155</v>
      </c>
      <c r="M13" s="707"/>
      <c r="N13" s="352">
        <f t="shared" ca="1" si="10"/>
        <v>0</v>
      </c>
      <c r="O13" s="352">
        <v>1393.47</v>
      </c>
      <c r="P13" s="355">
        <f t="shared" ca="1" si="9"/>
        <v>-1393.47</v>
      </c>
      <c r="AG13" s="248" t="s">
        <v>186</v>
      </c>
      <c r="AH13" s="119">
        <f>GetRecNdx($AH$12,$D$2)</f>
        <v>2</v>
      </c>
      <c r="AL13" s="34">
        <v>10</v>
      </c>
      <c r="AM13" s="37">
        <f t="shared" si="0"/>
        <v>16495</v>
      </c>
      <c r="AN13" s="38">
        <f t="shared" si="1"/>
        <v>3.3999999999999998E-3</v>
      </c>
      <c r="AO13" s="39">
        <f t="shared" si="2"/>
        <v>3.8800000000000001E-2</v>
      </c>
      <c r="AP13" s="38">
        <f t="shared" si="3"/>
        <v>9.4000000000000004E-3</v>
      </c>
      <c r="AQ13" s="38">
        <f t="shared" si="4"/>
        <v>0</v>
      </c>
      <c r="AR13" s="133">
        <f t="shared" si="5"/>
        <v>-0.01</v>
      </c>
      <c r="AS13" s="40">
        <f t="shared" si="6"/>
        <v>0.1439</v>
      </c>
      <c r="AT13" s="35">
        <f t="shared" si="7"/>
        <v>1</v>
      </c>
      <c r="AU13" s="361" t="s">
        <v>155</v>
      </c>
      <c r="AV13" s="339" t="str">
        <f>ADDRESS(ROW($Y$22),COLUMN($Y$22))</f>
        <v>$Y$22</v>
      </c>
      <c r="AW13" s="138" t="str">
        <f t="shared" ca="1" si="11"/>
        <v>$Y$35</v>
      </c>
      <c r="AX13" s="339" t="str">
        <f>ADDRESS(ROW($CF$22),COLUMN($CF$22))</f>
        <v>$CF$22</v>
      </c>
      <c r="AY13" s="138" t="str">
        <f t="shared" ca="1" si="8"/>
        <v>$CF$35</v>
      </c>
    </row>
    <row r="14" spans="1:102" x14ac:dyDescent="0.25">
      <c r="A14" s="270" t="s">
        <v>224</v>
      </c>
      <c r="D14" s="170"/>
      <c r="E14" s="171"/>
      <c r="F14" s="172"/>
      <c r="G14" s="172"/>
      <c r="H14" s="173"/>
      <c r="K14" s="185"/>
      <c r="L14" s="706" t="s">
        <v>156</v>
      </c>
      <c r="M14" s="707"/>
      <c r="N14" s="352">
        <f t="shared" ca="1" si="10"/>
        <v>-3177.3998352949538</v>
      </c>
      <c r="O14" s="352">
        <v>-983.76</v>
      </c>
      <c r="P14" s="355">
        <f t="shared" ca="1" si="9"/>
        <v>-2193.6398352949536</v>
      </c>
      <c r="S14" s="181">
        <f>F22/(1-AR22)*AH22*AU22</f>
        <v>531197.69641603192</v>
      </c>
      <c r="T14" s="181">
        <f>F22*AH22*AU22</f>
        <v>510587.22579508991</v>
      </c>
      <c r="AL14" s="34">
        <v>11</v>
      </c>
      <c r="AM14" s="37">
        <f t="shared" si="0"/>
        <v>16495</v>
      </c>
      <c r="AN14" s="38">
        <f t="shared" si="1"/>
        <v>3.3999999999999998E-3</v>
      </c>
      <c r="AO14" s="39">
        <f t="shared" si="2"/>
        <v>3.8800000000000001E-2</v>
      </c>
      <c r="AP14" s="38">
        <f t="shared" si="3"/>
        <v>9.4000000000000004E-3</v>
      </c>
      <c r="AQ14" s="38">
        <f t="shared" si="4"/>
        <v>0</v>
      </c>
      <c r="AR14" s="133">
        <f t="shared" si="5"/>
        <v>-0.01</v>
      </c>
      <c r="AS14" s="40">
        <f t="shared" si="6"/>
        <v>0.1439</v>
      </c>
      <c r="AT14" s="35">
        <f t="shared" si="7"/>
        <v>1</v>
      </c>
      <c r="AU14" s="361" t="s">
        <v>156</v>
      </c>
      <c r="AV14" s="339" t="str">
        <f>ADDRESS(ROW($Z$22),COLUMN($Z$22))</f>
        <v>$Z$22</v>
      </c>
      <c r="AW14" s="138" t="str">
        <f t="shared" ca="1" si="11"/>
        <v>$Z$35</v>
      </c>
      <c r="AX14" s="353" t="str">
        <f ca="1">CONCATENATE(AX8,":",AY8)</f>
        <v>$AO$22:$AO$35</v>
      </c>
      <c r="AY14" s="353" t="str">
        <f ca="1">CONCATENATE(AX10,":",AY10)</f>
        <v>$CC$22:$CC$35</v>
      </c>
    </row>
    <row r="15" spans="1:102" ht="13.8" thickBot="1" x14ac:dyDescent="0.3">
      <c r="A15" s="270" t="s">
        <v>224</v>
      </c>
      <c r="D15" s="170"/>
      <c r="E15" s="171"/>
      <c r="F15" s="172"/>
      <c r="G15" s="172"/>
      <c r="H15" s="173"/>
      <c r="L15" s="706" t="s">
        <v>157</v>
      </c>
      <c r="M15" s="707"/>
      <c r="N15" s="352">
        <f t="shared" ca="1" si="10"/>
        <v>246.60952255775771</v>
      </c>
      <c r="O15" s="352">
        <v>2814.7</v>
      </c>
      <c r="P15" s="355">
        <f t="shared" ca="1" si="9"/>
        <v>-2568.090477442242</v>
      </c>
      <c r="AL15" s="34">
        <v>12</v>
      </c>
      <c r="AM15" s="41">
        <f t="shared" si="0"/>
        <v>16495</v>
      </c>
      <c r="AN15" s="42">
        <f t="shared" si="1"/>
        <v>3.3999999999999998E-3</v>
      </c>
      <c r="AO15" s="43">
        <f t="shared" si="2"/>
        <v>3.8800000000000001E-2</v>
      </c>
      <c r="AP15" s="42">
        <f t="shared" si="3"/>
        <v>9.4000000000000004E-3</v>
      </c>
      <c r="AQ15" s="42">
        <f t="shared" si="4"/>
        <v>0</v>
      </c>
      <c r="AR15" s="134">
        <f t="shared" si="5"/>
        <v>-0.01</v>
      </c>
      <c r="AS15" s="44">
        <f t="shared" si="6"/>
        <v>0.1439</v>
      </c>
      <c r="AT15" s="35">
        <f t="shared" si="7"/>
        <v>1</v>
      </c>
      <c r="AU15" s="363" t="s">
        <v>157</v>
      </c>
      <c r="AV15" s="339" t="str">
        <f>ADDRESS(ROW($AA$22),COLUMN($AA$22))</f>
        <v>$AA$22</v>
      </c>
      <c r="AW15" s="138" t="str">
        <f t="shared" ca="1" si="11"/>
        <v>$AA$35</v>
      </c>
      <c r="AX15" s="353" t="str">
        <f ca="1">CONCATENATE(AV8,":",AW8)</f>
        <v>$AM$22:$AM$35</v>
      </c>
      <c r="AY15" s="353" t="str">
        <f ca="1">CONCATENATE(AX11,":",AY11)</f>
        <v>$CD$22:$CD$35</v>
      </c>
    </row>
    <row r="16" spans="1:102" x14ac:dyDescent="0.25">
      <c r="D16" s="174"/>
      <c r="E16" s="175"/>
      <c r="F16" s="176"/>
      <c r="G16" s="176"/>
      <c r="H16" s="177"/>
      <c r="L16" s="706" t="s">
        <v>158</v>
      </c>
      <c r="M16" s="707"/>
      <c r="N16" s="352">
        <f t="shared" ca="1" si="10"/>
        <v>0</v>
      </c>
      <c r="O16" s="352">
        <v>-1.0900000000000001</v>
      </c>
      <c r="P16" s="355">
        <f t="shared" ca="1" si="9"/>
        <v>1.0900000000000001</v>
      </c>
      <c r="AU16" s="361" t="s">
        <v>158</v>
      </c>
      <c r="AV16" s="339" t="str">
        <f>ADDRESS(ROW($AB$22),COLUMN($AB$22))</f>
        <v>$AB$22</v>
      </c>
      <c r="AW16" s="138" t="str">
        <f t="shared" ca="1" si="11"/>
        <v>$AB$35</v>
      </c>
      <c r="AX16" s="353" t="str">
        <f ca="1">CONCATENATE(AX9,":",AY9)</f>
        <v>$AP$22:$AP$35</v>
      </c>
      <c r="AY16" s="353" t="str">
        <f ca="1">CONCATENATE(AX12,":",AY12)</f>
        <v>$CE$22:$CE$35</v>
      </c>
      <c r="CM16" s="268"/>
    </row>
    <row r="17" spans="1:118" x14ac:dyDescent="0.25">
      <c r="D17" s="171"/>
      <c r="E17" s="171"/>
      <c r="F17" s="172"/>
      <c r="G17" s="172"/>
      <c r="H17" s="172"/>
      <c r="L17" s="704" t="s">
        <v>211</v>
      </c>
      <c r="M17" s="705"/>
      <c r="N17" s="356">
        <f t="shared" ca="1" si="10"/>
        <v>63.661672302525979</v>
      </c>
      <c r="O17" s="357">
        <v>21.97</v>
      </c>
      <c r="P17" s="358">
        <f t="shared" ca="1" si="9"/>
        <v>41.69167230252598</v>
      </c>
      <c r="AU17" s="361" t="s">
        <v>211</v>
      </c>
      <c r="AV17" s="339" t="str">
        <f>ADDRESS(ROW($AC$22),COLUMN($AC$22))</f>
        <v>$AC$22</v>
      </c>
      <c r="AW17" s="138" t="str">
        <f t="shared" ca="1" si="11"/>
        <v>$AC$35</v>
      </c>
      <c r="AX17" s="353" t="str">
        <f ca="1">CONCATENATE(AV9,":",AW9)</f>
        <v>$AN$22:$AN$35</v>
      </c>
      <c r="AY17" s="353" t="str">
        <f ca="1">CONCATENATE(AX13,":",AY13)</f>
        <v>$CF$22:$CF$35</v>
      </c>
      <c r="CM17" s="268"/>
      <c r="CZ17" s="728" t="s">
        <v>4</v>
      </c>
      <c r="DA17" s="729"/>
      <c r="DB17" s="730"/>
      <c r="DC17" s="728" t="s">
        <v>4</v>
      </c>
      <c r="DD17" s="729"/>
      <c r="DE17" s="730"/>
      <c r="DF17" s="728" t="s">
        <v>615</v>
      </c>
      <c r="DG17" s="729"/>
      <c r="DH17" s="730"/>
      <c r="DI17" s="728" t="s">
        <v>615</v>
      </c>
      <c r="DJ17" s="729"/>
      <c r="DK17" s="730"/>
      <c r="DL17" s="728" t="s">
        <v>610</v>
      </c>
      <c r="DM17" s="729"/>
      <c r="DN17" s="730"/>
    </row>
    <row r="18" spans="1:118" x14ac:dyDescent="0.25">
      <c r="D18" s="171"/>
      <c r="E18" s="171"/>
      <c r="F18" s="172"/>
      <c r="G18" s="172"/>
      <c r="H18" s="172"/>
      <c r="L18" s="706" t="s">
        <v>623</v>
      </c>
      <c r="M18" s="707"/>
      <c r="N18" s="352">
        <f ca="1">SUMPRODUCT(INDIRECT(CONCATENATE(AX4,":",AY4)),INDIRECT(CONCATENATE($AV$2,":",$AW$2)),INDIRECT(CONCATENATE($AV$3,":",$AW$3)))</f>
        <v>254366.55382366813</v>
      </c>
      <c r="O18" s="352">
        <v>254325.38</v>
      </c>
      <c r="P18" s="355">
        <f t="shared" ca="1" si="9"/>
        <v>41.173823668126715</v>
      </c>
      <c r="AU18" s="361"/>
      <c r="AV18" s="339"/>
      <c r="AW18" s="138"/>
      <c r="AX18" s="339" t="str">
        <f>ADDRESS(ROW($CI$22),COLUMN($CI$22))</f>
        <v>$CI$22</v>
      </c>
      <c r="AY18" s="138" t="str">
        <f ca="1">GetEnd($AV$1,AX18)</f>
        <v>$CI$35</v>
      </c>
      <c r="CM18" s="268"/>
      <c r="CZ18" s="418"/>
      <c r="DA18" s="419"/>
      <c r="DB18" s="420"/>
      <c r="DC18" s="418"/>
      <c r="DD18" s="419"/>
      <c r="DE18" s="420"/>
      <c r="DF18" s="418"/>
      <c r="DG18" s="419"/>
      <c r="DH18" s="420"/>
      <c r="DI18" s="418"/>
      <c r="DJ18" s="419"/>
      <c r="DK18" s="419"/>
      <c r="DL18" s="418"/>
      <c r="DM18" s="419"/>
      <c r="DN18" s="420"/>
    </row>
    <row r="19" spans="1:118" x14ac:dyDescent="0.25">
      <c r="D19" s="171"/>
      <c r="E19" s="171"/>
      <c r="F19" s="172"/>
      <c r="G19" s="172"/>
      <c r="H19" s="172"/>
      <c r="L19" s="724" t="s">
        <v>624</v>
      </c>
      <c r="M19" s="725"/>
      <c r="N19" s="359">
        <f ca="1">SUMPRODUCT(INDIRECT(CONCATENATE(AX5,":",AY5)),INDIRECT(CONCATENATE($AV$2,":",$AW$2)),INDIRECT(CONCATENATE($AV$3,":",$AW$3)))</f>
        <v>136650.13138979941</v>
      </c>
      <c r="O19" s="359">
        <v>137975.65</v>
      </c>
      <c r="P19" s="360">
        <f t="shared" ca="1" si="9"/>
        <v>-1325.5186102005828</v>
      </c>
      <c r="AU19" s="361"/>
      <c r="AV19" s="339"/>
      <c r="AW19" s="138"/>
      <c r="CM19" s="268"/>
      <c r="CZ19" s="418"/>
      <c r="DA19" s="419"/>
      <c r="DB19" s="420"/>
      <c r="DC19" s="418"/>
      <c r="DD19" s="419"/>
      <c r="DE19" s="420"/>
      <c r="DF19" s="418"/>
      <c r="DG19" s="419"/>
      <c r="DH19" s="420"/>
      <c r="DI19" s="418"/>
      <c r="DJ19" s="419"/>
      <c r="DK19" s="419"/>
      <c r="DL19" s="418"/>
      <c r="DM19" s="419"/>
      <c r="DN19" s="420"/>
    </row>
    <row r="20" spans="1:118" ht="14.25" customHeight="1" x14ac:dyDescent="0.25">
      <c r="D20" s="265"/>
      <c r="E20" s="156"/>
      <c r="F20" s="157"/>
      <c r="G20" s="157"/>
      <c r="H20" s="148"/>
      <c r="I20" s="148"/>
      <c r="J20" s="147"/>
      <c r="K20" s="147"/>
      <c r="L20" s="147"/>
      <c r="M20" s="147"/>
      <c r="N20" s="147"/>
      <c r="O20" s="147"/>
      <c r="P20" s="157"/>
      <c r="Q20" s="158"/>
      <c r="R20" s="158"/>
      <c r="S20" s="182" t="str">
        <f>GetRcptBasis($AH$12,$AH$13)</f>
        <v>IF-ELPO/SJ Basis Mid</v>
      </c>
      <c r="T20" s="182" t="str">
        <f>GetDelBasis($AH$12,$AH$13)</f>
        <v>IF-WAHA-TX Basis Mid</v>
      </c>
      <c r="U20" s="158"/>
      <c r="V20" s="158"/>
      <c r="W20" s="158"/>
      <c r="X20" s="158"/>
      <c r="Y20" s="335"/>
      <c r="Z20" s="335"/>
      <c r="AA20" s="335"/>
      <c r="AB20" s="335"/>
      <c r="AC20" s="335"/>
      <c r="AI20" s="138"/>
      <c r="AM20" s="702" t="str">
        <f>GetRcptPoint($AH$12,$AH$13)</f>
        <v>ELPO/SJ</v>
      </c>
      <c r="AN20" s="703"/>
      <c r="AO20" s="702" t="str">
        <f>GetDelPoint($AH$12,$AH$13)</f>
        <v>Valero</v>
      </c>
      <c r="AP20" s="703"/>
      <c r="AQ20" s="137"/>
      <c r="AS20" s="137"/>
      <c r="AU20" s="136" t="s">
        <v>576</v>
      </c>
      <c r="AV20" s="353">
        <f ca="1">SUMPRODUCT(INDIRECT(CONCATENATE(AV8,":",AW8)),INDIRECT(CONCATENATE($AV$2,":",$AW$2)),INDIRECT(CONCATENATE($AV$3,":",$AW$3)),INDIRECT(CONCATENATE(AX3,":",AY3)))</f>
        <v>-1159598.5</v>
      </c>
      <c r="AW20" s="353">
        <f ca="1">SUMPRODUCT(INDIRECT(CONCATENATE(AX8,":",AY8)),INDIRECT(CONCATENATE($AV$2,":",$AW$2)),INDIRECT(CONCATENATE($AV$3,":",$AW$3)),INDIRECT(CONCATENATE(AX3,":",AY3)))</f>
        <v>-445983.5625</v>
      </c>
      <c r="AX20" s="353">
        <f ca="1">SUMPRODUCT(INDIRECT(CONCATENATE(AV9,":",AW9)),INDIRECT(CONCATENATE($AV$2,":",$AW$2)),INDIRECT(CONCATENATE($AV$3,":",$AW$3)),INDIRECT(CONCATENATE(AX3,":",AY3)))</f>
        <v>-14845.500000000002</v>
      </c>
      <c r="AY20" s="353">
        <f ca="1">SUMPRODUCT(INDIRECT(CONCATENATE(AX9,":",AY9)),INDIRECT(CONCATENATE($AV$2,":",$AW$2)),INDIRECT(CONCATENATE($AV$3,":",$AW$3)),INDIRECT(CONCATENATE(AX3,":",AY3)))</f>
        <v>-64660.399999999994</v>
      </c>
      <c r="CZ20" s="731" t="s">
        <v>611</v>
      </c>
      <c r="DA20" s="732"/>
      <c r="DB20" s="733"/>
      <c r="DC20" s="731" t="s">
        <v>612</v>
      </c>
      <c r="DD20" s="732"/>
      <c r="DE20" s="733"/>
      <c r="DF20" s="731" t="s">
        <v>611</v>
      </c>
      <c r="DG20" s="732"/>
      <c r="DH20" s="733"/>
      <c r="DI20" s="731" t="s">
        <v>612</v>
      </c>
      <c r="DJ20" s="732"/>
      <c r="DK20" s="732"/>
      <c r="DL20" s="397">
        <f>SUM(DL22:DL35)</f>
        <v>0</v>
      </c>
      <c r="DM20" s="398">
        <f>SUM(DM22:DM35)</f>
        <v>0</v>
      </c>
      <c r="DN20" s="399">
        <f>SUM(DN22:DN35)</f>
        <v>0</v>
      </c>
    </row>
    <row r="21" spans="1:118"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Z21" s="400" t="s">
        <v>574</v>
      </c>
      <c r="DA21" s="401" t="s">
        <v>613</v>
      </c>
      <c r="DB21" s="402" t="s">
        <v>614</v>
      </c>
      <c r="DC21" s="400" t="s">
        <v>574</v>
      </c>
      <c r="DD21" s="401" t="s">
        <v>613</v>
      </c>
      <c r="DE21" s="402" t="s">
        <v>614</v>
      </c>
      <c r="DF21" s="400" t="s">
        <v>574</v>
      </c>
      <c r="DG21" s="401" t="s">
        <v>613</v>
      </c>
      <c r="DH21" s="402" t="s">
        <v>614</v>
      </c>
      <c r="DI21" s="400" t="s">
        <v>574</v>
      </c>
      <c r="DJ21" s="401" t="s">
        <v>613</v>
      </c>
      <c r="DK21" s="401" t="s">
        <v>614</v>
      </c>
      <c r="DL21" s="400" t="s">
        <v>574</v>
      </c>
      <c r="DM21" s="401" t="s">
        <v>613</v>
      </c>
      <c r="DN21" s="402" t="s">
        <v>614</v>
      </c>
    </row>
    <row r="22" spans="1:118" x14ac:dyDescent="0.25">
      <c r="A22" s="723"/>
      <c r="B22" s="723"/>
      <c r="D22" s="31">
        <f>G7+OffsetDays</f>
        <v>37271</v>
      </c>
      <c r="F22" s="28">
        <f>VLOOKUP(AG22,$AL$4:$AS$15,2)</f>
        <v>16495</v>
      </c>
      <c r="G22" s="28">
        <f t="shared" ref="G22:G35" si="12">F22*$AU22</f>
        <v>16470.55567080935</v>
      </c>
      <c r="H22" s="52">
        <f>(AL22+AM22+AN22)/(1-(AR22))</f>
        <v>2.6695796920516024</v>
      </c>
      <c r="I22" s="52">
        <f>(AL22+AO22+AP22)</f>
        <v>2.6960000000000002</v>
      </c>
      <c r="K22" s="52">
        <f>MAX(((I22-H22)-AQ22)*AU22*AH22,0)</f>
        <v>0.42160383448604027</v>
      </c>
      <c r="L22" s="135">
        <f t="shared" ref="L22:L35" si="13">MAX(Q22-K22,0)</f>
        <v>1.1589588310434322</v>
      </c>
      <c r="N22" s="131">
        <f>SQRT(($AX22^2*($AH22/2)+$AW22^2*$AI22)/(($AH22/2)+$AI22))</f>
        <v>0.96016221307122684</v>
      </c>
      <c r="O22" s="131">
        <f>SQRT(($AY22^2*($AH22/2)+$AW22^2*$AI22)/(($AH22/2)+$AI22))</f>
        <v>0.96016221307122684</v>
      </c>
      <c r="P22" s="55">
        <f>(VLOOKUP(AI22,CorrelationTwo,2)*(AW22^2)*AI22+VLOOKUP(D22,CorrelationOne,$AK$9)*AX22*AY22*(AH22/2))/((AI22+(AH22/2))*O22*N22)*AF22</f>
        <v>0.98850944047115241</v>
      </c>
      <c r="Q22" s="135">
        <f>_xll.xSPRDOPT(I22,H22,AQ22,0,O22,N22,P22,D22-$G$5,1,0)*AH22*AU22</f>
        <v>1.5805626655294724</v>
      </c>
      <c r="R22" s="135"/>
      <c r="S22" s="181">
        <f>_xll.xSPRDOPT(I22,H22,AQ22,AT22,O22,N22,P22,D22-$G$5,1,2)*AF22*(F22/(1-AR22))*AH22</f>
        <v>-287429.12378870498</v>
      </c>
      <c r="T22" s="181">
        <f>_xll.xSPRDOPT(I22,H22,AQ22,AT22,O22,N22,P22,D22-$G$5,1,1)*AF22*F22*AH22</f>
        <v>284562.72321399464</v>
      </c>
      <c r="U22" s="135"/>
      <c r="V22" s="146">
        <f>VLOOKUP($AG22,$AL$4:$AS$15,8)*AH22*AU22</f>
        <v>4.454289287172684</v>
      </c>
      <c r="W22" s="146"/>
      <c r="X22" s="338">
        <f>((BM22*BC22)+(BL22*BB22))*AH22*F22</f>
        <v>0</v>
      </c>
      <c r="Y22" s="338">
        <f t="shared" ref="Y22:Y35" si="14">($F22*$AH22)*((($BG22/2)*($BC22)^2)+(($BF22/2)*($BB22)^2)+($BH22*$BC22*$BB22))</f>
        <v>0</v>
      </c>
      <c r="Z22" s="338">
        <f t="shared" ref="Z22:Z35" si="15">($BI22*$F22*$AH22*($G$5-$BV$5))/365.25</f>
        <v>-1077.7543710180912</v>
      </c>
      <c r="AA22" s="338">
        <f t="shared" ref="AA22:AA35" si="16">(($BK22*$BE22)+($BJ22*$BD22))*$F22*$AH22*$AF22</f>
        <v>187.22709576699287</v>
      </c>
      <c r="AB22" s="338">
        <f>BN22*(AT22-CA22)*F22*AH22</f>
        <v>0</v>
      </c>
      <c r="AC22" s="338">
        <f>BO22*CB22*F22*AH22*CA22*($G$5-$BV$5)/365.25</f>
        <v>4.1445939737621877</v>
      </c>
      <c r="AF22" s="138">
        <f>IF(AND(D22&gt;=$G$7,D22&lt;=$G$8),1,0)</f>
        <v>1</v>
      </c>
      <c r="AG22" s="138">
        <f>MONTH(D22)</f>
        <v>1</v>
      </c>
      <c r="AH22" s="138">
        <f t="shared" ref="AH22:AH35" si="17">(EOMONTH(D22,0)-EOMONTH(D22-DAY(D22),0))*AF22</f>
        <v>31</v>
      </c>
      <c r="AI22" s="138">
        <f>MAX(0,(D22-DAY(D22))-$G$5+1)</f>
        <v>15</v>
      </c>
      <c r="AJ22" s="138">
        <f>D22-$BV$5</f>
        <v>32</v>
      </c>
      <c r="AL22" s="136">
        <f t="shared" ref="AL22:AL35" si="18">VLOOKUP($D22,CurveTbl,$AK$4)</f>
        <v>2.8460000000000001</v>
      </c>
      <c r="AM22" s="258">
        <f t="shared" ref="AM22:AM35" si="19">VLOOKUP($D22,CurveTbl,$AH$3)</f>
        <v>-0.27</v>
      </c>
      <c r="AN22" s="258">
        <f t="shared" ref="AN22:AN35" si="20">VLOOKUP($D22,CurveTbl,$AH$4)+VLOOKUP($AG22,$AL$3:$AS$15,6)</f>
        <v>-0.01</v>
      </c>
      <c r="AO22" s="258">
        <f t="shared" ref="AO22:AO35" si="21">VLOOKUP($D22,CurveTbl,$AH$5)</f>
        <v>-0.12</v>
      </c>
      <c r="AP22" s="258">
        <f t="shared" ref="AP22:AP35" si="22">VLOOKUP($D22,CurveTbl,$AH$6)+VLOOKUP($AG22,$AL$3:$AS$15,7)</f>
        <v>-0.03</v>
      </c>
      <c r="AQ22" s="136">
        <f>VLOOKUP($AG22,$AL$4:$AS$15,3)+VLOOKUP($AG22,$AL$4:$AS$15,5)+($AH$10*VLOOKUP(D22,GRITable,2))</f>
        <v>1.2800000000000001E-2</v>
      </c>
      <c r="AR22" s="137">
        <f t="shared" ref="AR22:AR35" si="23">VLOOKUP($AG22,$AL$4:$AS$15,4)</f>
        <v>3.8800000000000001E-2</v>
      </c>
      <c r="AS22" s="136">
        <f>(AL22+AM22+AN22)</f>
        <v>2.5660000000000003</v>
      </c>
      <c r="AT22" s="137">
        <f>VLOOKUP(D22,CurveTbl,$AK$6)</f>
        <v>1.8765908157160699E-2</v>
      </c>
      <c r="AU22" s="137">
        <f t="shared" ref="AU22:AU35" si="24">(1+$AT22/2)^(-2*($D22-$G$5)/365.25)*$AF22</f>
        <v>0.99851807643585033</v>
      </c>
      <c r="AV22" s="394">
        <f>ROUND((F22/(1-AR22))-F22,0)*AF22*AH22*AU22</f>
        <v>20615.404206094565</v>
      </c>
      <c r="AW22" s="137">
        <f t="shared" ref="AW22:AW35" si="25">VLOOKUP($D22,CurveTbl,$AK$8)</f>
        <v>0.87</v>
      </c>
      <c r="AX22" s="137">
        <f t="shared" ref="AX22:AX35" si="26">VLOOKUP($D22,CurveTbl,$AH$7)</f>
        <v>1.04</v>
      </c>
      <c r="AY22" s="137">
        <f t="shared" ref="AY22:AY35" si="27">VLOOKUP($D22,CurveTbl,$AH$8)</f>
        <v>1.04</v>
      </c>
      <c r="AZ22" s="137"/>
      <c r="BA22" s="264"/>
      <c r="BB22" s="258">
        <f t="shared" ref="BB22:BB35" si="28">$H22-$BV22</f>
        <v>0</v>
      </c>
      <c r="BC22" s="258">
        <f>I22-BW22</f>
        <v>0</v>
      </c>
      <c r="BD22" s="137">
        <f>N22-BX22</f>
        <v>7.7262160833929672E-3</v>
      </c>
      <c r="BE22" s="137">
        <f>O22-BY22</f>
        <v>7.7262160833929672E-3</v>
      </c>
      <c r="BF22" s="137">
        <f>_xll.xSPRDOPT($BW22,$BV22,$CG22,0,$BY22,$BX22,$BZ22,$AJ22,1,4)*$CB22</f>
        <v>3.4811261170272529</v>
      </c>
      <c r="BG22" s="137">
        <f>_xll.xSPRDOPT($BW22,$BV22,$CG22,0,$BY22,$BX22,$BZ22,$AJ22,1,3)*$CB22</f>
        <v>3.4459972256233358</v>
      </c>
      <c r="BH22" s="137">
        <f>IF(OR(BF22&lt;&gt;0,BG22&lt;&gt;0),_xll.xSPRDOPT($BW22,$BV22,$CG22,0,$BY22,$BX22,$BZ22,$AJ22,1,12)*$CB22,0)</f>
        <v>-3.4635079502548671</v>
      </c>
      <c r="BI22" s="137">
        <f>_xll.xSPRDOPT($BW22,$BV22,$CG22,2*LN(1+CA22/2),$BY22,$BX22,$BZ22,$AJ22,1,9)</f>
        <v>-0.2566106927249755</v>
      </c>
      <c r="BJ22" s="137">
        <f>_xll.xSPRDOPT($BW22,$BV22,$CG22,0,$BY22,$BX22,$BZ22,$AJ22,1,6)*$CB22</f>
        <v>1.3765367079788265E-2</v>
      </c>
      <c r="BK22" s="137">
        <f>_xll.xSPRDOPT($BW22,$BV22,$CG22,0,$BY22,$BX22,$BZ22,$AJ22,1,5)*$CB22</f>
        <v>3.3624756018672965E-2</v>
      </c>
      <c r="BL22" s="137">
        <f>_xll.xSPRDOPT(BW22,BV22,CG22,0,BY22,BX22,BZ22,AJ22,1,2)*CB22</f>
        <v>-0.53816840152855672</v>
      </c>
      <c r="BM22" s="137">
        <f>_xll.xSPRDOPT(BW22,BV22,CG22,0,BY22,BX22,BZ22,AJ22,1,1)*CB22</f>
        <v>0.55497729321474087</v>
      </c>
      <c r="BN22" s="137">
        <f>IF(AH22&lt;&gt;0,_xll.xSPRDOPT($BW22,$BV22,$CG22,2*LN(1+CA22/2),$BY22,$BX22,$BZ22,$AJ22,1,8)+(AJ22/365.25)*CH22/AH22,0)</f>
        <v>7.9795467368633417E-3</v>
      </c>
      <c r="BO22" s="137">
        <f>_xll.xSPRDOPT($BW22,$BV22,$CG22,0,$BY22,$BX22,$BZ22,$AJ22,1,0)</f>
        <v>5.2671787518421664E-2</v>
      </c>
      <c r="BP22" s="137"/>
      <c r="BQ22" s="137"/>
      <c r="BR22" s="137"/>
      <c r="BS22" s="137"/>
      <c r="BV22" s="262">
        <v>2.6695796920516024</v>
      </c>
      <c r="BW22" s="136">
        <v>2.6960000000000002</v>
      </c>
      <c r="BX22" s="137">
        <v>0.95243599698783388</v>
      </c>
      <c r="BY22" s="137">
        <v>0.95243599698783388</v>
      </c>
      <c r="BZ22" s="137">
        <v>0.98862081674290025</v>
      </c>
      <c r="CA22" s="137">
        <v>1.8765908157160699E-2</v>
      </c>
      <c r="CB22" s="137">
        <v>0.99836489939579565</v>
      </c>
      <c r="CC22" s="258">
        <v>-0.27</v>
      </c>
      <c r="CD22" s="258">
        <v>-0.01</v>
      </c>
      <c r="CE22" s="258">
        <v>-0.12</v>
      </c>
      <c r="CF22" s="258">
        <v>-0.03</v>
      </c>
      <c r="CG22" s="258">
        <v>1.2800000000000001E-2</v>
      </c>
      <c r="CH22" s="258">
        <v>4.4536059797147045</v>
      </c>
      <c r="CI22" s="258">
        <v>2.8460000000000001</v>
      </c>
      <c r="CZ22" s="403">
        <f t="shared" ref="CZ22:CZ35" si="29">AL22</f>
        <v>2.8460000000000001</v>
      </c>
      <c r="DA22" s="404">
        <f t="shared" ref="DA22:DB35" si="30">AO22</f>
        <v>-0.12</v>
      </c>
      <c r="DB22" s="405">
        <f t="shared" si="30"/>
        <v>-0.03</v>
      </c>
      <c r="DC22" s="403">
        <f t="shared" ref="DC22:DC35" si="31">CI22</f>
        <v>2.8460000000000001</v>
      </c>
      <c r="DD22" s="404">
        <f t="shared" ref="DD22:DE35" si="32">CE22</f>
        <v>-0.12</v>
      </c>
      <c r="DE22" s="405">
        <f t="shared" si="32"/>
        <v>-0.03</v>
      </c>
      <c r="DF22" s="403">
        <f t="shared" ref="DF22:DF35" si="33">AL22/(1-AR22)</f>
        <v>2.9608822305451516</v>
      </c>
      <c r="DG22" s="404">
        <f t="shared" ref="DG22:DG35" si="34">AM22/(1-AR22)</f>
        <v>-0.2808988764044944</v>
      </c>
      <c r="DH22" s="405">
        <f t="shared" ref="DH22:DH35" si="35">AN22/(1-AR22)</f>
        <v>-1.0403662089055347E-2</v>
      </c>
      <c r="DI22" s="403">
        <f t="shared" ref="DI22:DI35" si="36">CI22/(1-AR22)</f>
        <v>2.9608822305451516</v>
      </c>
      <c r="DJ22" s="404">
        <f t="shared" ref="DJ22:DJ35" si="37">CC22/(1-AR22)</f>
        <v>-0.2808988764044944</v>
      </c>
      <c r="DK22" s="404">
        <f t="shared" ref="DK22:DK35" si="38">CD22/(1-AR22)</f>
        <v>-1.0403662089055347E-2</v>
      </c>
      <c r="DL22" s="397">
        <f t="shared" ref="DL22:DN35" si="39">(($BM22*(CZ22-DC22))+($BL22*(DF22-DI22)))*$AH22*$AF22*$F22</f>
        <v>0</v>
      </c>
      <c r="DM22" s="398">
        <f t="shared" si="39"/>
        <v>0</v>
      </c>
      <c r="DN22" s="399">
        <f t="shared" si="39"/>
        <v>0</v>
      </c>
    </row>
    <row r="23" spans="1:118" x14ac:dyDescent="0.25">
      <c r="A23" s="723"/>
      <c r="B23" s="723"/>
      <c r="D23" s="31">
        <f>D22+AH22</f>
        <v>37302</v>
      </c>
      <c r="F23" s="28">
        <f>VLOOKUP(AG23,$AL$4:$AS$15,2)</f>
        <v>16495</v>
      </c>
      <c r="G23" s="28">
        <f t="shared" si="12"/>
        <v>16442.966418374417</v>
      </c>
      <c r="H23" s="52">
        <f>(AL23+AM23+AN23)/(1-(AR23))</f>
        <v>2.7028714107365794</v>
      </c>
      <c r="I23" s="52">
        <f>(AL23+AO23+AP23)</f>
        <v>2.7280000000000002</v>
      </c>
      <c r="K23" s="52">
        <f t="shared" ref="K23:K35" si="40">MAX(((I23-H23)-AQ23)*AU23*AH23,0)</f>
        <v>0.34411156222140354</v>
      </c>
      <c r="L23" s="135">
        <f t="shared" si="13"/>
        <v>1.180946441513179</v>
      </c>
      <c r="N23" s="131">
        <f t="shared" ref="N23:N35" si="41">SQRT(($AX23^2*($AH23/2)+$AW23^2*$AI23)/(($AH23/2)+$AI23))</f>
        <v>0.90885229823112634</v>
      </c>
      <c r="O23" s="131">
        <f t="shared" ref="O23:O35" si="42">SQRT(($AY23^2*($AH23/2)+$AW23^2*$AI23)/(($AH23/2)+$AI23))</f>
        <v>0.90885229823112634</v>
      </c>
      <c r="P23" s="55">
        <f t="shared" ref="P23:P35" si="43">(VLOOKUP(AI23,CorrelationTwo,2)*(AW23^2)*AI23+VLOOKUP(D23,CorrelationOne,$AK$9)*AX23*AY23*(AH23/2))/((AI23+(AH23/2))*O23*N23)*AF23</f>
        <v>0.9927085092537945</v>
      </c>
      <c r="Q23" s="135">
        <f>_xll.xSPRDOPT(I23,H23,AQ23,0,O23,N23,P23,D23-$G$5,1,0)*AH23*AU23</f>
        <v>1.5250580037345824</v>
      </c>
      <c r="R23" s="135"/>
      <c r="S23" s="181">
        <f>_xll.xSPRDOPT(I23,H23,AQ23,AT23,O23,N23,P23,D23-$G$5,1,2)*AF23*(F23/(1-AR23))*AH23</f>
        <v>-254712.42984018312</v>
      </c>
      <c r="T23" s="181">
        <f>_xll.xSPRDOPT(I23,H23,AQ23,AT23,O23,N23,P23,D23-$G$5,1,1)*AF23*F23*AH23</f>
        <v>252950.26255011992</v>
      </c>
      <c r="U23" s="135"/>
      <c r="V23" s="146">
        <f>VLOOKUP($AG23,$AL$4:$AS$15,8)*AH23*AU23</f>
        <v>4.0164898631654564</v>
      </c>
      <c r="W23" s="146"/>
      <c r="X23" s="338">
        <f>((BM23*BC23)+(BL23*BB23))*AH23*F23</f>
        <v>0</v>
      </c>
      <c r="Y23" s="338">
        <f t="shared" si="14"/>
        <v>0</v>
      </c>
      <c r="Z23" s="338">
        <f t="shared" si="15"/>
        <v>-529.94319783050037</v>
      </c>
      <c r="AA23" s="338">
        <f t="shared" si="16"/>
        <v>50.45497518785713</v>
      </c>
      <c r="AB23" s="338">
        <f>BN23*(AT23-CA23)*F23*AH23</f>
        <v>0</v>
      </c>
      <c r="AC23" s="338">
        <f>BO23*CB23*F23*AH23*CA23*($G$5-$BV$5)/365.25</f>
        <v>4.0465864751063423</v>
      </c>
      <c r="AF23" s="138">
        <f>IF(AND(D23&gt;=$G$7,D23&lt;=$G$8),1,0)</f>
        <v>1</v>
      </c>
      <c r="AG23" s="138">
        <f>MONTH(D23)</f>
        <v>2</v>
      </c>
      <c r="AH23" s="138">
        <f t="shared" si="17"/>
        <v>28</v>
      </c>
      <c r="AI23" s="138">
        <f>AI22+AH22</f>
        <v>46</v>
      </c>
      <c r="AJ23" s="138">
        <f>D23-$BV$5</f>
        <v>63</v>
      </c>
      <c r="AL23" s="136">
        <f t="shared" si="18"/>
        <v>2.9079999999999999</v>
      </c>
      <c r="AM23" s="258">
        <f t="shared" si="19"/>
        <v>-0.3</v>
      </c>
      <c r="AN23" s="258">
        <f t="shared" si="20"/>
        <v>-0.01</v>
      </c>
      <c r="AO23" s="258">
        <f t="shared" si="21"/>
        <v>-0.15</v>
      </c>
      <c r="AP23" s="258">
        <f t="shared" si="22"/>
        <v>-0.03</v>
      </c>
      <c r="AQ23" s="136">
        <f>VLOOKUP($AG23,$AL$4:$AS$15,3)+VLOOKUP($AG23,$AL$4:$AS$15,5)+($AH$10*VLOOKUP(D23,GRITable,2))</f>
        <v>1.2800000000000001E-2</v>
      </c>
      <c r="AR23" s="137">
        <f t="shared" si="23"/>
        <v>3.8800000000000001E-2</v>
      </c>
      <c r="AS23" s="136">
        <f t="shared" ref="AS23:AS35" si="44">(AL23+AM23+AN23)</f>
        <v>2.5980000000000003</v>
      </c>
      <c r="AT23" s="137">
        <f t="shared" ref="AT23:AT35" si="45">VLOOKUP(D23,CurveTbl,$AK$6)</f>
        <v>1.9326187282006298E-2</v>
      </c>
      <c r="AU23" s="137">
        <f t="shared" si="24"/>
        <v>0.99684549368744568</v>
      </c>
      <c r="AV23" s="394">
        <f t="shared" ref="AV23:AV35" si="46">ROUND((F23/(1-AR23))-F23,0)*AF23*AH23*AU23</f>
        <v>18589.174766283486</v>
      </c>
      <c r="AW23" s="137">
        <f t="shared" si="25"/>
        <v>0.86499999999999999</v>
      </c>
      <c r="AX23" s="137">
        <f t="shared" si="26"/>
        <v>1.04</v>
      </c>
      <c r="AY23" s="137">
        <f t="shared" si="27"/>
        <v>1.04</v>
      </c>
      <c r="AZ23" s="137"/>
      <c r="BA23" s="264"/>
      <c r="BB23" s="258">
        <f t="shared" si="28"/>
        <v>0</v>
      </c>
      <c r="BC23" s="258">
        <f>I23-BW23</f>
        <v>0</v>
      </c>
      <c r="BD23" s="137">
        <f>N23-BX23</f>
        <v>2.0401162808982853E-3</v>
      </c>
      <c r="BE23" s="137">
        <f>O23-BY23</f>
        <v>2.0401162808982853E-3</v>
      </c>
      <c r="BF23" s="137">
        <f>_xll.xSPRDOPT($BW23,$BV23,$CG23,0,$BY23,$BX23,$BZ23,$AJ23,1,4)*$CB23</f>
        <v>3.2367114129241812</v>
      </c>
      <c r="BG23" s="137">
        <f>_xll.xSPRDOPT($BW23,$BV23,$CG23,0,$BY23,$BX23,$BZ23,$AJ23,1,3)*$CB23</f>
        <v>3.2074975463383182</v>
      </c>
      <c r="BH23" s="137">
        <f>IF(OR(BF23&lt;&gt;0,BG23&lt;&gt;0),_xll.xSPRDOPT($BW23,$BV23,$CG23,0,$BY23,$BX23,$BZ23,$AJ23,1,12)*$CB23,0)</f>
        <v>-3.2220599310044826</v>
      </c>
      <c r="BI23" s="137">
        <f>_xll.xSPRDOPT($BW23,$BV23,$CG23,2*LN(1+CA23/2),$BY23,$BX23,$BZ23,$AJ23,1,9)</f>
        <v>-0.13969727695808995</v>
      </c>
      <c r="BJ23" s="137">
        <f>_xll.xSPRDOPT($BW23,$BV23,$CG23,0,$BY23,$BX23,$BZ23,$AJ23,1,6)*$CB23</f>
        <v>9.2382862280841731E-3</v>
      </c>
      <c r="BK23" s="137">
        <f>_xll.xSPRDOPT($BW23,$BV23,$CG23,0,$BY23,$BX23,$BZ23,$AJ23,1,5)*$CB23</f>
        <v>4.4309155144923014E-2</v>
      </c>
      <c r="BL23" s="137">
        <f>_xll.xSPRDOPT(BW23,BV23,CG23,0,BY23,BX23,BZ23,AJ23,1,2)*CB23</f>
        <v>-0.52926959120142758</v>
      </c>
      <c r="BM23" s="137">
        <f>_xll.xSPRDOPT(BW23,BV23,CG23,0,BY23,BX23,BZ23,AJ23,1,1)*CB23</f>
        <v>0.54712304351244989</v>
      </c>
      <c r="BN23" s="137">
        <f>IF(AH23&lt;&gt;0,_xll.xSPRDOPT($BW23,$BV23,$CG23,2*LN(1+CA23/2),$BY23,$BX23,$BZ23,$AJ23,1,8)+(AJ23/365.25)*CH23/AH23,0)</f>
        <v>1.5218008156319567E-2</v>
      </c>
      <c r="BO23" s="137">
        <f>_xll.xSPRDOPT($BW23,$BV23,$CG23,0,$BY23,$BX23,$BZ23,$AJ23,1,0)</f>
        <v>5.5378605830490618E-2</v>
      </c>
      <c r="BP23" s="137"/>
      <c r="BQ23" s="137"/>
      <c r="BR23" s="137"/>
      <c r="BS23" s="137"/>
      <c r="BV23" s="262">
        <v>2.7028714107365794</v>
      </c>
      <c r="BW23" s="136">
        <v>2.7280000000000002</v>
      </c>
      <c r="BX23" s="137">
        <v>0.90681218195022806</v>
      </c>
      <c r="BY23" s="137">
        <v>0.90681218195022806</v>
      </c>
      <c r="BZ23" s="137">
        <v>0.99280779715637868</v>
      </c>
      <c r="CA23" s="137">
        <v>1.9326187282006298E-2</v>
      </c>
      <c r="CB23" s="137">
        <v>0.99668802984454063</v>
      </c>
      <c r="CC23" s="258">
        <v>-0.3</v>
      </c>
      <c r="CD23" s="258">
        <v>-0.01</v>
      </c>
      <c r="CE23" s="258">
        <v>-0.15</v>
      </c>
      <c r="CF23" s="258">
        <v>-0.03</v>
      </c>
      <c r="CG23" s="258">
        <v>1.2800000000000001E-2</v>
      </c>
      <c r="CH23" s="258">
        <v>4.0158554098496237</v>
      </c>
      <c r="CI23" s="258">
        <v>2.9079999999999999</v>
      </c>
      <c r="CZ23" s="403">
        <f t="shared" si="29"/>
        <v>2.9079999999999999</v>
      </c>
      <c r="DA23" s="404">
        <f t="shared" si="30"/>
        <v>-0.15</v>
      </c>
      <c r="DB23" s="405">
        <f t="shared" si="30"/>
        <v>-0.03</v>
      </c>
      <c r="DC23" s="403">
        <f t="shared" si="31"/>
        <v>2.9079999999999999</v>
      </c>
      <c r="DD23" s="404">
        <f t="shared" si="32"/>
        <v>-0.15</v>
      </c>
      <c r="DE23" s="405">
        <f t="shared" si="32"/>
        <v>-0.03</v>
      </c>
      <c r="DF23" s="403">
        <f t="shared" si="33"/>
        <v>3.0253849354972946</v>
      </c>
      <c r="DG23" s="404">
        <f t="shared" si="34"/>
        <v>-0.31210986267166041</v>
      </c>
      <c r="DH23" s="405">
        <f t="shared" si="35"/>
        <v>-1.0403662089055347E-2</v>
      </c>
      <c r="DI23" s="403">
        <f t="shared" si="36"/>
        <v>3.0253849354972946</v>
      </c>
      <c r="DJ23" s="404">
        <f t="shared" si="37"/>
        <v>-0.31210986267166041</v>
      </c>
      <c r="DK23" s="404">
        <f t="shared" si="38"/>
        <v>-1.0403662089055347E-2</v>
      </c>
      <c r="DL23" s="397">
        <f t="shared" si="39"/>
        <v>0</v>
      </c>
      <c r="DM23" s="398">
        <f t="shared" si="39"/>
        <v>0</v>
      </c>
      <c r="DN23" s="399">
        <f t="shared" si="39"/>
        <v>0</v>
      </c>
    </row>
    <row r="24" spans="1:118" x14ac:dyDescent="0.25">
      <c r="A24" s="723"/>
      <c r="B24" s="723"/>
      <c r="D24" s="31">
        <f t="shared" ref="D24:D35" si="47">D23+AH23</f>
        <v>37330</v>
      </c>
      <c r="F24" s="28">
        <f t="shared" ref="F24:F35" si="48">VLOOKUP(AG24,$AL$4:$AS$15,2)</f>
        <v>16495</v>
      </c>
      <c r="G24" s="28">
        <f t="shared" si="12"/>
        <v>16418.947984873932</v>
      </c>
      <c r="H24" s="52">
        <f t="shared" ref="H24:H35" si="49">(AL24+AM24+AN24)/(1-(AR24))</f>
        <v>2.6550145651269252</v>
      </c>
      <c r="I24" s="52">
        <f t="shared" ref="I24:I35" si="50">(AL24+AO24+AP24)</f>
        <v>2.7170000000000005</v>
      </c>
      <c r="K24" s="52">
        <f t="shared" si="40"/>
        <v>1.5177184601774629</v>
      </c>
      <c r="L24" s="135">
        <f t="shared" si="13"/>
        <v>0.5742053249101795</v>
      </c>
      <c r="N24" s="131">
        <f t="shared" si="41"/>
        <v>0.79</v>
      </c>
      <c r="O24" s="131">
        <f t="shared" si="42"/>
        <v>0.79</v>
      </c>
      <c r="P24" s="55">
        <f t="shared" si="43"/>
        <v>0.99576815642458116</v>
      </c>
      <c r="Q24" s="135">
        <f>_xll.xSPRDOPT(I24,H24,AQ24,0,O24,N24,P24,D24-$G$5,1,0)*AH24*AU24</f>
        <v>2.0919237850876424</v>
      </c>
      <c r="R24" s="135"/>
      <c r="S24" s="181">
        <f>_xll.xSPRDOPT(I24,H24,AQ24,AT24,O24,N24,P24,D24-$G$5,1,2)*AF24*(F24/(1-AR24))*AH24</f>
        <v>-365169.74101988564</v>
      </c>
      <c r="T24" s="181">
        <f>_xll.xSPRDOPT(I24,H24,AQ24,AT24,O24,N24,P24,D24-$G$5,1,1)*AF24*F24*AH24</f>
        <v>357343.48530819756</v>
      </c>
      <c r="U24" s="135"/>
      <c r="V24" s="146">
        <f t="shared" ref="V24:V35" si="51">VLOOKUP($AG24,$AL$4:$AS$15,8)*AH24*AU24</f>
        <v>4.440332528992065</v>
      </c>
      <c r="W24" s="146"/>
      <c r="X24" s="338">
        <f t="shared" ref="X24:X35" si="52">((BM24*BC24)+(BL24*BB24))*AH24*F24</f>
        <v>0</v>
      </c>
      <c r="Y24" s="338">
        <f t="shared" si="14"/>
        <v>0</v>
      </c>
      <c r="Z24" s="338">
        <f t="shared" si="15"/>
        <v>-279.75769849421368</v>
      </c>
      <c r="AA24" s="338">
        <f t="shared" si="16"/>
        <v>0</v>
      </c>
      <c r="AB24" s="338">
        <f t="shared" ref="AB24:AB35" si="53">BN24*(AT24-CA24)*F24*AH24</f>
        <v>0</v>
      </c>
      <c r="AC24" s="338">
        <f t="shared" ref="AC24:AC35" si="54">BO24*CB24*F24*AH24*CA24*($G$5-$BV$5)/365.25</f>
        <v>5.4890221351983239</v>
      </c>
      <c r="AF24" s="138">
        <f t="shared" ref="AF24:AF35" si="55">IF(AND(D24&gt;=$G$7,D24&lt;=$G$8),1,0)</f>
        <v>1</v>
      </c>
      <c r="AG24" s="138">
        <f t="shared" ref="AG24:AG35" si="56">MONTH(D24)</f>
        <v>3</v>
      </c>
      <c r="AH24" s="138">
        <f t="shared" si="17"/>
        <v>31</v>
      </c>
      <c r="AI24" s="138">
        <f t="shared" ref="AI24:AI35" si="57">AI23+AH23</f>
        <v>74</v>
      </c>
      <c r="AJ24" s="138">
        <f t="shared" ref="AJ24:AJ35" si="58">D24-$BV$5</f>
        <v>91</v>
      </c>
      <c r="AL24" s="136">
        <f t="shared" si="18"/>
        <v>2.9020000000000001</v>
      </c>
      <c r="AM24" s="258">
        <f t="shared" si="19"/>
        <v>-0.34</v>
      </c>
      <c r="AN24" s="258">
        <f t="shared" si="20"/>
        <v>-0.01</v>
      </c>
      <c r="AO24" s="258">
        <f t="shared" si="21"/>
        <v>-0.155</v>
      </c>
      <c r="AP24" s="258">
        <f t="shared" si="22"/>
        <v>-0.03</v>
      </c>
      <c r="AQ24" s="136">
        <f t="shared" ref="AQ24:AQ35" si="59">VLOOKUP($AG24,$AL$4:$AS$15,3)+VLOOKUP($AG24,$AL$4:$AS$15,5)+($AH$10*VLOOKUP(D24,GRITable,2))</f>
        <v>1.2800000000000001E-2</v>
      </c>
      <c r="AR24" s="137">
        <f t="shared" si="23"/>
        <v>3.8800000000000001E-2</v>
      </c>
      <c r="AS24" s="136">
        <f t="shared" si="44"/>
        <v>2.5520000000000005</v>
      </c>
      <c r="AT24" s="137">
        <f t="shared" si="45"/>
        <v>1.9273175363903501E-2</v>
      </c>
      <c r="AU24" s="137">
        <f t="shared" si="24"/>
        <v>0.99538938980745262</v>
      </c>
      <c r="AV24" s="394">
        <f t="shared" si="46"/>
        <v>20550.809341964668</v>
      </c>
      <c r="AW24" s="137">
        <f t="shared" si="25"/>
        <v>0.79</v>
      </c>
      <c r="AX24" s="137">
        <f t="shared" si="26"/>
        <v>0.79</v>
      </c>
      <c r="AY24" s="137">
        <f t="shared" si="27"/>
        <v>0.79</v>
      </c>
      <c r="AZ24" s="137"/>
      <c r="BA24" s="264"/>
      <c r="BB24" s="258">
        <f t="shared" si="28"/>
        <v>0</v>
      </c>
      <c r="BC24" s="258">
        <f t="shared" ref="BC24:BC35" si="60">I24-BW24</f>
        <v>0</v>
      </c>
      <c r="BD24" s="137">
        <f t="shared" ref="BD24:BD35" si="61">N24-BX24</f>
        <v>0</v>
      </c>
      <c r="BE24" s="137">
        <f t="shared" ref="BE24:BE35" si="62">O24-BY24</f>
        <v>0</v>
      </c>
      <c r="BF24" s="137">
        <f>_xll.xSPRDOPT($BW24,$BV24,$CG24,0,$BY24,$BX24,$BZ24,$AJ24,1,4)*$CB24</f>
        <v>3.6670786874983978</v>
      </c>
      <c r="BG24" s="137">
        <f>_xll.xSPRDOPT($BW24,$BV24,$CG24,0,$BY24,$BX24,$BZ24,$AJ24,1,3)*$CB24</f>
        <v>3.5355656605665255</v>
      </c>
      <c r="BH24" s="137">
        <f>IF(OR(BF24&lt;&gt;0,BG24&lt;&gt;0),_xll.xSPRDOPT($BW24,$BV24,$CG24,0,$BY24,$BX24,$BZ24,$AJ24,1,12)*$CB24,0)</f>
        <v>-3.6007199423537046</v>
      </c>
      <c r="BI24" s="137">
        <f>_xll.xSPRDOPT($BW24,$BV24,$CG24,2*LN(1+CA24/2),$BY24,$BX24,$BZ24,$AJ24,1,9)</f>
        <v>-6.6609627143456002E-2</v>
      </c>
      <c r="BJ24" s="137">
        <f>_xll.xSPRDOPT($BW24,$BV24,$CG24,0,$BY24,$BX24,$BZ24,$AJ24,1,6)*$CB24</f>
        <v>-3.2100503516594974E-3</v>
      </c>
      <c r="BK24" s="137">
        <f>_xll.xSPRDOPT($BW24,$BV24,$CG24,0,$BY24,$BX24,$BZ24,$AJ24,1,5)*$CB24</f>
        <v>4.6044150427599906E-2</v>
      </c>
      <c r="BL24" s="137">
        <f>_xll.xSPRDOPT(BW24,BV24,CG24,0,BY24,BX24,BZ24,AJ24,1,2)*CB24</f>
        <v>-0.68445885347771429</v>
      </c>
      <c r="BM24" s="137">
        <f>_xll.xSPRDOPT(BW24,BV24,CG24,0,BY24,BX24,BZ24,AJ24,1,1)*CB24</f>
        <v>0.69701869485190104</v>
      </c>
      <c r="BN24" s="137">
        <f>IF(AH24&lt;&gt;0,_xll.xSPRDOPT($BW24,$BV24,$CG24,2*LN(1+CA24/2),$BY24,$BX24,$BZ24,$AJ24,1,8)+(AJ24/365.25)*CH24/AH24,0)</f>
        <v>1.8786364619463976E-2</v>
      </c>
      <c r="BO24" s="137">
        <f>_xll.xSPRDOPT($BW24,$BV24,$CG24,0,$BY24,$BX24,$BZ24,$AJ24,1,0)</f>
        <v>6.8135285238522039E-2</v>
      </c>
      <c r="BP24" s="137"/>
      <c r="BQ24" s="137"/>
      <c r="BR24" s="137"/>
      <c r="BS24" s="137"/>
      <c r="BV24" s="262">
        <v>2.6550145651269252</v>
      </c>
      <c r="BW24" s="136">
        <v>2.7170000000000005</v>
      </c>
      <c r="BX24" s="137">
        <v>0.79</v>
      </c>
      <c r="BY24" s="137">
        <v>0.79</v>
      </c>
      <c r="BZ24" s="137">
        <v>0.99582432432432444</v>
      </c>
      <c r="CA24" s="137">
        <v>1.9273175363903501E-2</v>
      </c>
      <c r="CB24" s="137">
        <v>0.99523258517239033</v>
      </c>
      <c r="CC24" s="258">
        <v>-0.34</v>
      </c>
      <c r="CD24" s="258">
        <v>-0.01</v>
      </c>
      <c r="CE24" s="258">
        <v>-0.155</v>
      </c>
      <c r="CF24" s="258">
        <v>-0.03</v>
      </c>
      <c r="CG24" s="258">
        <v>1.2800000000000001E-2</v>
      </c>
      <c r="CH24" s="258">
        <v>4.4396330391955159</v>
      </c>
      <c r="CI24" s="258">
        <v>2.9020000000000001</v>
      </c>
      <c r="CZ24" s="403">
        <f t="shared" si="29"/>
        <v>2.9020000000000001</v>
      </c>
      <c r="DA24" s="404">
        <f t="shared" si="30"/>
        <v>-0.155</v>
      </c>
      <c r="DB24" s="405">
        <f t="shared" si="30"/>
        <v>-0.03</v>
      </c>
      <c r="DC24" s="403">
        <f t="shared" si="31"/>
        <v>2.9020000000000001</v>
      </c>
      <c r="DD24" s="404">
        <f t="shared" si="32"/>
        <v>-0.155</v>
      </c>
      <c r="DE24" s="405">
        <f t="shared" si="32"/>
        <v>-0.03</v>
      </c>
      <c r="DF24" s="403">
        <f t="shared" si="33"/>
        <v>3.0191427382438616</v>
      </c>
      <c r="DG24" s="404">
        <f t="shared" si="34"/>
        <v>-0.35372451102788183</v>
      </c>
      <c r="DH24" s="405">
        <f t="shared" si="35"/>
        <v>-1.0403662089055347E-2</v>
      </c>
      <c r="DI24" s="403">
        <f t="shared" si="36"/>
        <v>3.0191427382438616</v>
      </c>
      <c r="DJ24" s="404">
        <f t="shared" si="37"/>
        <v>-0.35372451102788183</v>
      </c>
      <c r="DK24" s="404">
        <f t="shared" si="38"/>
        <v>-1.0403662089055347E-2</v>
      </c>
      <c r="DL24" s="397">
        <f t="shared" si="39"/>
        <v>0</v>
      </c>
      <c r="DM24" s="398">
        <f t="shared" si="39"/>
        <v>0</v>
      </c>
      <c r="DN24" s="399">
        <f t="shared" si="39"/>
        <v>0</v>
      </c>
    </row>
    <row r="25" spans="1:118" x14ac:dyDescent="0.25">
      <c r="A25" s="723"/>
      <c r="B25" s="723"/>
      <c r="D25" s="31">
        <f t="shared" si="47"/>
        <v>37361</v>
      </c>
      <c r="F25" s="28">
        <f t="shared" si="48"/>
        <v>16495</v>
      </c>
      <c r="G25" s="28">
        <f t="shared" si="12"/>
        <v>16391.449962392566</v>
      </c>
      <c r="H25" s="52">
        <f t="shared" si="49"/>
        <v>2.5884311277569703</v>
      </c>
      <c r="I25" s="52">
        <f t="shared" si="50"/>
        <v>2.7030000000000003</v>
      </c>
      <c r="K25" s="52">
        <f t="shared" si="40"/>
        <v>3.0339000492890236</v>
      </c>
      <c r="L25" s="135">
        <f t="shared" si="13"/>
        <v>0.35019496072226008</v>
      </c>
      <c r="N25" s="131">
        <f t="shared" si="41"/>
        <v>0.60633118013178244</v>
      </c>
      <c r="O25" s="131">
        <f t="shared" si="42"/>
        <v>0.60633118013178244</v>
      </c>
      <c r="P25" s="55">
        <f t="shared" si="43"/>
        <v>0.99218562850634107</v>
      </c>
      <c r="Q25" s="135">
        <f>_xll.xSPRDOPT(I25,H25,AQ25,0,O25,N25,P25,D25-$G$5,1,0)*AH25*AU25</f>
        <v>3.3840950100112837</v>
      </c>
      <c r="R25" s="135"/>
      <c r="S25" s="181">
        <f>_xll.xSPRDOPT(I25,H25,AQ25,AT25,O25,N25,P25,D25-$G$5,1,2)*AF25*(F25/(1-AR25))*AH25</f>
        <v>-412833.97202410613</v>
      </c>
      <c r="T25" s="181">
        <f>_xll.xSPRDOPT(I25,H25,AQ25,AT25,O25,N25,P25,D25-$G$5,1,1)*AF25*F25*AH25</f>
        <v>402531.11233278643</v>
      </c>
      <c r="U25" s="135"/>
      <c r="V25" s="146">
        <f t="shared" si="51"/>
        <v>4.2898993323824612</v>
      </c>
      <c r="W25" s="146"/>
      <c r="X25" s="338">
        <f t="shared" si="52"/>
        <v>0</v>
      </c>
      <c r="Y25" s="338">
        <f t="shared" si="14"/>
        <v>0</v>
      </c>
      <c r="Z25" s="338">
        <f t="shared" si="15"/>
        <v>-177.30411544679629</v>
      </c>
      <c r="AA25" s="338">
        <f t="shared" si="16"/>
        <v>-2.2408607567883911</v>
      </c>
      <c r="AB25" s="338">
        <f t="shared" si="53"/>
        <v>0</v>
      </c>
      <c r="AC25" s="338">
        <f t="shared" si="54"/>
        <v>8.9038916858384614</v>
      </c>
      <c r="AF25" s="138">
        <f t="shared" si="55"/>
        <v>1</v>
      </c>
      <c r="AG25" s="138">
        <f t="shared" si="56"/>
        <v>4</v>
      </c>
      <c r="AH25" s="138">
        <f t="shared" si="17"/>
        <v>30</v>
      </c>
      <c r="AI25" s="138">
        <f t="shared" si="57"/>
        <v>105</v>
      </c>
      <c r="AJ25" s="138">
        <f t="shared" si="58"/>
        <v>122</v>
      </c>
      <c r="AL25" s="136">
        <f t="shared" si="18"/>
        <v>2.8479999999999999</v>
      </c>
      <c r="AM25" s="258">
        <f t="shared" si="19"/>
        <v>-0.36</v>
      </c>
      <c r="AN25" s="258">
        <f t="shared" si="20"/>
        <v>0</v>
      </c>
      <c r="AO25" s="258">
        <f t="shared" si="21"/>
        <v>-0.13500000000000001</v>
      </c>
      <c r="AP25" s="258">
        <f t="shared" si="22"/>
        <v>-0.01</v>
      </c>
      <c r="AQ25" s="136">
        <f t="shared" si="59"/>
        <v>1.2800000000000001E-2</v>
      </c>
      <c r="AR25" s="137">
        <f t="shared" si="23"/>
        <v>3.8800000000000001E-2</v>
      </c>
      <c r="AS25" s="136">
        <f t="shared" si="44"/>
        <v>2.488</v>
      </c>
      <c r="AT25" s="137">
        <f t="shared" si="45"/>
        <v>1.9422640119623601E-2</v>
      </c>
      <c r="AU25" s="137">
        <f t="shared" si="24"/>
        <v>0.99372233782313213</v>
      </c>
      <c r="AV25" s="394">
        <f t="shared" si="46"/>
        <v>19854.572309706178</v>
      </c>
      <c r="AW25" s="137">
        <f t="shared" si="25"/>
        <v>0.61</v>
      </c>
      <c r="AX25" s="137">
        <f t="shared" si="26"/>
        <v>0.57999999999999996</v>
      </c>
      <c r="AY25" s="137">
        <f t="shared" si="27"/>
        <v>0.57999999999999996</v>
      </c>
      <c r="AZ25" s="137"/>
      <c r="BA25" s="264"/>
      <c r="BB25" s="258">
        <f t="shared" si="28"/>
        <v>0</v>
      </c>
      <c r="BC25" s="258">
        <f t="shared" si="60"/>
        <v>0</v>
      </c>
      <c r="BD25" s="137">
        <f t="shared" si="61"/>
        <v>-8.9747494742220546E-5</v>
      </c>
      <c r="BE25" s="137">
        <f t="shared" si="62"/>
        <v>-8.9747494742220546E-5</v>
      </c>
      <c r="BF25" s="137">
        <f>_xll.xSPRDOPT($BW25,$BV25,$CG25,0,$BY25,$BX25,$BZ25,$AJ25,1,4)*$CB25</f>
        <v>2.4228493269901379</v>
      </c>
      <c r="BG25" s="137">
        <f>_xll.xSPRDOPT($BW25,$BV25,$CG25,0,$BY25,$BX25,$BZ25,$AJ25,1,3)*$CB25</f>
        <v>2.2437046878355291</v>
      </c>
      <c r="BH25" s="137">
        <f>IF(OR(BF25&lt;&gt;0,BG25&lt;&gt;0),_xll.xSPRDOPT($BW25,$BV25,$CG25,0,$BY25,$BX25,$BZ25,$AJ25,1,12)*$CB25,0)</f>
        <v>-2.331549972962164</v>
      </c>
      <c r="BI25" s="137">
        <f>_xll.xSPRDOPT($BW25,$BV25,$CG25,2*LN(1+CA25/2),$BY25,$BX25,$BZ25,$AJ25,1,9)</f>
        <v>-4.3622867648070017E-2</v>
      </c>
      <c r="BJ25" s="137">
        <f>_xll.xSPRDOPT($BW25,$BV25,$CG25,0,$BY25,$BX25,$BZ25,$AJ25,1,6)*$CB25</f>
        <v>9.0299935531391352E-3</v>
      </c>
      <c r="BK25" s="137">
        <f>_xll.xSPRDOPT($BW25,$BV25,$CG25,0,$BY25,$BX25,$BZ25,$AJ25,1,5)*$CB25</f>
        <v>4.1426720277970452E-2</v>
      </c>
      <c r="BL25" s="137">
        <f>_xll.xSPRDOPT(BW25,BV25,CG25,0,BY25,BX25,BZ25,AJ25,1,2)*CB25</f>
        <v>-0.80175831434812495</v>
      </c>
      <c r="BM25" s="137">
        <f>_xll.xSPRDOPT(BW25,BV25,CG25,0,BY25,BX25,BZ25,AJ25,1,1)*CB25</f>
        <v>0.8133080364304921</v>
      </c>
      <c r="BN25" s="137">
        <f>IF(AH25&lt;&gt;0,_xll.xSPRDOPT($BW25,$BV25,$CG25,2*LN(1+CA25/2),$BY25,$BX25,$BZ25,$AJ25,1,8)+(AJ25/365.25)*CH25/AH25,0)</f>
        <v>1.0082286482711943E-2</v>
      </c>
      <c r="BO25" s="137">
        <f>_xll.xSPRDOPT($BW25,$BV25,$CG25,0,$BY25,$BX25,$BZ25,$AJ25,1,0)</f>
        <v>0.11351961149689195</v>
      </c>
      <c r="BP25" s="137"/>
      <c r="BQ25" s="137"/>
      <c r="BR25" s="137"/>
      <c r="BS25" s="137"/>
      <c r="BV25" s="262">
        <v>2.5884311277569703</v>
      </c>
      <c r="BW25" s="136">
        <v>2.7030000000000003</v>
      </c>
      <c r="BX25" s="137">
        <v>0.60642092762652466</v>
      </c>
      <c r="BY25" s="137">
        <v>0.60642092762652466</v>
      </c>
      <c r="BZ25" s="137">
        <v>0.99237847933358081</v>
      </c>
      <c r="CA25" s="137">
        <v>1.9422640119623601E-2</v>
      </c>
      <c r="CB25" s="137">
        <v>0.99356458774998258</v>
      </c>
      <c r="CC25" s="258">
        <v>-0.36</v>
      </c>
      <c r="CD25" s="258">
        <v>0</v>
      </c>
      <c r="CE25" s="258">
        <v>-0.13500000000000001</v>
      </c>
      <c r="CF25" s="258">
        <v>-0.01</v>
      </c>
      <c r="CG25" s="258">
        <v>1.2800000000000001E-2</v>
      </c>
      <c r="CH25" s="258">
        <v>4.2892183253166749</v>
      </c>
      <c r="CI25" s="258">
        <v>2.8479999999999999</v>
      </c>
      <c r="CZ25" s="403">
        <f t="shared" si="29"/>
        <v>2.8479999999999999</v>
      </c>
      <c r="DA25" s="404">
        <f t="shared" si="30"/>
        <v>-0.13500000000000001</v>
      </c>
      <c r="DB25" s="405">
        <f t="shared" si="30"/>
        <v>-0.01</v>
      </c>
      <c r="DC25" s="403">
        <f t="shared" si="31"/>
        <v>2.8479999999999999</v>
      </c>
      <c r="DD25" s="404">
        <f t="shared" si="32"/>
        <v>-0.13500000000000001</v>
      </c>
      <c r="DE25" s="405">
        <f t="shared" si="32"/>
        <v>-0.01</v>
      </c>
      <c r="DF25" s="403">
        <f t="shared" si="33"/>
        <v>2.9629629629629628</v>
      </c>
      <c r="DG25" s="404">
        <f t="shared" si="34"/>
        <v>-0.37453183520599248</v>
      </c>
      <c r="DH25" s="405">
        <f t="shared" si="35"/>
        <v>0</v>
      </c>
      <c r="DI25" s="403">
        <f t="shared" si="36"/>
        <v>2.9629629629629628</v>
      </c>
      <c r="DJ25" s="404">
        <f t="shared" si="37"/>
        <v>-0.37453183520599248</v>
      </c>
      <c r="DK25" s="404">
        <f t="shared" si="38"/>
        <v>0</v>
      </c>
      <c r="DL25" s="397">
        <f t="shared" si="39"/>
        <v>0</v>
      </c>
      <c r="DM25" s="398">
        <f t="shared" si="39"/>
        <v>0</v>
      </c>
      <c r="DN25" s="399">
        <f t="shared" si="39"/>
        <v>0</v>
      </c>
    </row>
    <row r="26" spans="1:118" x14ac:dyDescent="0.25">
      <c r="A26" s="723"/>
      <c r="B26" s="723"/>
      <c r="D26" s="31">
        <f t="shared" si="47"/>
        <v>37391</v>
      </c>
      <c r="F26" s="28">
        <f t="shared" si="48"/>
        <v>16495</v>
      </c>
      <c r="G26" s="28">
        <f t="shared" si="12"/>
        <v>16363.533641762075</v>
      </c>
      <c r="H26" s="52">
        <f t="shared" si="49"/>
        <v>2.6383687057844361</v>
      </c>
      <c r="I26" s="52">
        <f t="shared" si="50"/>
        <v>2.7585000000000002</v>
      </c>
      <c r="K26" s="52">
        <f t="shared" si="40"/>
        <v>3.3007515341023121</v>
      </c>
      <c r="L26" s="135">
        <f t="shared" si="13"/>
        <v>1.5976225473566639</v>
      </c>
      <c r="N26" s="131">
        <f t="shared" si="41"/>
        <v>0.57278995326802307</v>
      </c>
      <c r="O26" s="131">
        <f t="shared" si="42"/>
        <v>0.57278995326802307</v>
      </c>
      <c r="P26" s="55">
        <f t="shared" si="43"/>
        <v>0.97012240059835197</v>
      </c>
      <c r="Q26" s="135">
        <f>_xll.xSPRDOPT(I26,H26,AQ26,0,O26,N26,P26,D26-$G$5,1,0)*AH26*AU26</f>
        <v>4.898374081458976</v>
      </c>
      <c r="R26" s="135"/>
      <c r="S26" s="181">
        <f>_xll.xSPRDOPT(I26,H26,AQ26,AT26,O26,N26,P26,D26-$G$5,1,2)*AF26*(F26/(1-AR26))*AH26</f>
        <v>-345880.92438579584</v>
      </c>
      <c r="T26" s="181">
        <f>_xll.xSPRDOPT(I26,H26,AQ26,AT26,O26,N26,P26,D26-$G$5,1,1)*AF26*F26*AH26</f>
        <v>348846.55205161584</v>
      </c>
      <c r="U26" s="135"/>
      <c r="V26" s="146">
        <f t="shared" si="51"/>
        <v>4.4253463002447067</v>
      </c>
      <c r="W26" s="146"/>
      <c r="X26" s="338">
        <f t="shared" si="52"/>
        <v>0</v>
      </c>
      <c r="Y26" s="338">
        <f t="shared" si="14"/>
        <v>0</v>
      </c>
      <c r="Z26" s="338">
        <f t="shared" si="15"/>
        <v>-423.0868648669238</v>
      </c>
      <c r="AA26" s="338">
        <f t="shared" si="16"/>
        <v>-7.1295354972159801</v>
      </c>
      <c r="AB26" s="338">
        <f t="shared" si="53"/>
        <v>0</v>
      </c>
      <c r="AC26" s="338">
        <f t="shared" si="54"/>
        <v>13.080488022418304</v>
      </c>
      <c r="AF26" s="138">
        <f t="shared" si="55"/>
        <v>1</v>
      </c>
      <c r="AG26" s="138">
        <f t="shared" si="56"/>
        <v>5</v>
      </c>
      <c r="AH26" s="138">
        <f t="shared" si="17"/>
        <v>31</v>
      </c>
      <c r="AI26" s="138">
        <f t="shared" si="57"/>
        <v>135</v>
      </c>
      <c r="AJ26" s="138">
        <f t="shared" si="58"/>
        <v>152</v>
      </c>
      <c r="AL26" s="136">
        <f t="shared" si="18"/>
        <v>2.8959999999999999</v>
      </c>
      <c r="AM26" s="258">
        <f t="shared" si="19"/>
        <v>-0.36</v>
      </c>
      <c r="AN26" s="258">
        <f t="shared" si="20"/>
        <v>0</v>
      </c>
      <c r="AO26" s="258">
        <f t="shared" si="21"/>
        <v>-0.1275</v>
      </c>
      <c r="AP26" s="258">
        <f t="shared" si="22"/>
        <v>-0.01</v>
      </c>
      <c r="AQ26" s="136">
        <f t="shared" si="59"/>
        <v>1.2800000000000001E-2</v>
      </c>
      <c r="AR26" s="137">
        <f t="shared" si="23"/>
        <v>3.8800000000000001E-2</v>
      </c>
      <c r="AS26" s="136">
        <f t="shared" si="44"/>
        <v>2.536</v>
      </c>
      <c r="AT26" s="137">
        <f t="shared" si="45"/>
        <v>1.9712159578257001E-2</v>
      </c>
      <c r="AU26" s="137">
        <f t="shared" si="24"/>
        <v>0.99202992675126245</v>
      </c>
      <c r="AV26" s="394">
        <f t="shared" si="46"/>
        <v>20481.449867706564</v>
      </c>
      <c r="AW26" s="137">
        <f t="shared" si="25"/>
        <v>0.57750000000000001</v>
      </c>
      <c r="AX26" s="137">
        <f t="shared" si="26"/>
        <v>0.53</v>
      </c>
      <c r="AY26" s="137">
        <f t="shared" si="27"/>
        <v>0.53</v>
      </c>
      <c r="AZ26" s="137"/>
      <c r="BA26" s="264"/>
      <c r="BB26" s="258">
        <f t="shared" si="28"/>
        <v>0</v>
      </c>
      <c r="BC26" s="258">
        <f t="shared" si="60"/>
        <v>0</v>
      </c>
      <c r="BD26" s="137">
        <f t="shared" si="61"/>
        <v>-9.2424049557116028E-5</v>
      </c>
      <c r="BE26" s="137">
        <f t="shared" si="62"/>
        <v>-9.2424049557116028E-5</v>
      </c>
      <c r="BF26" s="137">
        <f>_xll.xSPRDOPT($BW26,$BV26,$CG26,0,$BY26,$BX26,$BZ26,$AJ26,1,4)*$CB26</f>
        <v>1.5440017580745653</v>
      </c>
      <c r="BG26" s="137">
        <f>_xll.xSPRDOPT($BW26,$BV26,$CG26,0,$BY26,$BX26,$BZ26,$AJ26,1,3)*$CB26</f>
        <v>1.4259745358243958</v>
      </c>
      <c r="BH26" s="137">
        <f>IF(OR(BF26&lt;&gt;0,BG26&lt;&gt;0),_xll.xSPRDOPT($BW26,$BV26,$CG26,0,$BY26,$BX26,$BZ26,$AJ26,1,12)*$CB26,0)</f>
        <v>-1.4838142494474411</v>
      </c>
      <c r="BI26" s="137">
        <f>_xll.xSPRDOPT($BW26,$BV26,$CG26,2*LN(1+CA26/2),$BY26,$BX26,$BZ26,$AJ26,1,9)</f>
        <v>-0.10073595282548568</v>
      </c>
      <c r="BJ26" s="137">
        <f>_xll.xSPRDOPT($BW26,$BV26,$CG26,0,$BY26,$BX26,$BZ26,$AJ26,1,6)*$CB26</f>
        <v>6.3155277900788384E-2</v>
      </c>
      <c r="BK26" s="137">
        <f>_xll.xSPRDOPT($BW26,$BV26,$CG26,0,$BY26,$BX26,$BZ26,$AJ26,1,5)*$CB26</f>
        <v>8.7700597288354845E-2</v>
      </c>
      <c r="BL26" s="137">
        <f>_xll.xSPRDOPT(BW26,BV26,CG26,0,BY26,BX26,BZ26,AJ26,1,2)*CB26</f>
        <v>-0.65007179622811684</v>
      </c>
      <c r="BM26" s="137">
        <f>_xll.xSPRDOPT(BW26,BV26,CG26,0,BY26,BX26,BZ26,AJ26,1,1)*CB26</f>
        <v>0.68211607909408989</v>
      </c>
      <c r="BN26" s="137">
        <f>IF(AH26&lt;&gt;0,_xll.xSPRDOPT($BW26,$BV26,$CG26,2*LN(1+CA26/2),$BY26,$BX26,$BZ26,$AJ26,1,8)+(AJ26/365.25)*CH26/AH26,0)</f>
        <v>-6.3527401670167641E-3</v>
      </c>
      <c r="BO26" s="137">
        <f>_xll.xSPRDOPT($BW26,$BV26,$CG26,0,$BY26,$BX26,$BZ26,$AJ26,1,0)</f>
        <v>0.15929050699121106</v>
      </c>
      <c r="BP26" s="137"/>
      <c r="BQ26" s="137"/>
      <c r="BR26" s="137"/>
      <c r="BS26" s="137"/>
      <c r="BV26" s="262">
        <v>2.6383687057844361</v>
      </c>
      <c r="BW26" s="136">
        <v>2.7585000000000002</v>
      </c>
      <c r="BX26" s="137">
        <v>0.57288237731758018</v>
      </c>
      <c r="BY26" s="137">
        <v>0.57288237731758018</v>
      </c>
      <c r="BZ26" s="137">
        <v>0.97071577885204918</v>
      </c>
      <c r="CA26" s="137">
        <v>1.9712159578257001E-2</v>
      </c>
      <c r="CB26" s="137">
        <v>0.99187010954216859</v>
      </c>
      <c r="CC26" s="258">
        <v>-0.36</v>
      </c>
      <c r="CD26" s="258">
        <v>0</v>
      </c>
      <c r="CE26" s="258">
        <v>-0.1275</v>
      </c>
      <c r="CF26" s="258">
        <v>-0.01</v>
      </c>
      <c r="CG26" s="258">
        <v>1.2800000000000001E-2</v>
      </c>
      <c r="CH26" s="258">
        <v>4.4246333716566593</v>
      </c>
      <c r="CI26" s="258">
        <v>2.8959999999999999</v>
      </c>
      <c r="CZ26" s="403">
        <f t="shared" si="29"/>
        <v>2.8959999999999999</v>
      </c>
      <c r="DA26" s="404">
        <f t="shared" si="30"/>
        <v>-0.1275</v>
      </c>
      <c r="DB26" s="405">
        <f t="shared" si="30"/>
        <v>-0.01</v>
      </c>
      <c r="DC26" s="403">
        <f t="shared" si="31"/>
        <v>2.8959999999999999</v>
      </c>
      <c r="DD26" s="404">
        <f t="shared" si="32"/>
        <v>-0.1275</v>
      </c>
      <c r="DE26" s="405">
        <f t="shared" si="32"/>
        <v>-0.01</v>
      </c>
      <c r="DF26" s="403">
        <f t="shared" si="33"/>
        <v>3.0129005409904281</v>
      </c>
      <c r="DG26" s="404">
        <f t="shared" si="34"/>
        <v>-0.37453183520599248</v>
      </c>
      <c r="DH26" s="405">
        <f t="shared" si="35"/>
        <v>0</v>
      </c>
      <c r="DI26" s="403">
        <f t="shared" si="36"/>
        <v>3.0129005409904281</v>
      </c>
      <c r="DJ26" s="404">
        <f t="shared" si="37"/>
        <v>-0.37453183520599248</v>
      </c>
      <c r="DK26" s="404">
        <f t="shared" si="38"/>
        <v>0</v>
      </c>
      <c r="DL26" s="397">
        <f t="shared" si="39"/>
        <v>0</v>
      </c>
      <c r="DM26" s="398">
        <f t="shared" si="39"/>
        <v>0</v>
      </c>
      <c r="DN26" s="399">
        <f t="shared" si="39"/>
        <v>0</v>
      </c>
    </row>
    <row r="27" spans="1:118" x14ac:dyDescent="0.25">
      <c r="A27" s="727"/>
      <c r="B27" s="727"/>
      <c r="C27" s="727"/>
      <c r="D27" s="31">
        <f t="shared" si="47"/>
        <v>37422</v>
      </c>
      <c r="F27" s="28">
        <f t="shared" si="48"/>
        <v>16495</v>
      </c>
      <c r="G27" s="28">
        <f t="shared" si="12"/>
        <v>16333.928849116555</v>
      </c>
      <c r="H27" s="52">
        <f t="shared" si="49"/>
        <v>2.690387016229713</v>
      </c>
      <c r="I27" s="52">
        <f t="shared" si="50"/>
        <v>2.8135000000000003</v>
      </c>
      <c r="K27" s="52">
        <f t="shared" si="40"/>
        <v>3.2770738309262617</v>
      </c>
      <c r="L27" s="135">
        <f t="shared" si="13"/>
        <v>2.0195644227215244</v>
      </c>
      <c r="N27" s="131">
        <f t="shared" si="41"/>
        <v>0.5548034219582415</v>
      </c>
      <c r="O27" s="131">
        <f t="shared" si="42"/>
        <v>0.5548034219582415</v>
      </c>
      <c r="P27" s="55">
        <f t="shared" si="43"/>
        <v>0.96392275251551307</v>
      </c>
      <c r="Q27" s="135">
        <f>_xll.xSPRDOPT(I27,H27,AQ27,0,O27,N27,P27,D27-$G$5,1,0)*AH27*AU27</f>
        <v>5.2966382536477861</v>
      </c>
      <c r="R27" s="135"/>
      <c r="S27" s="181">
        <f>_xll.xSPRDOPT(I27,H27,AQ27,AT27,O27,N27,P27,D27-$G$5,1,2)*AF27*(F27/(1-AR27))*AH27</f>
        <v>-320953.09902364877</v>
      </c>
      <c r="T27" s="181">
        <f>_xll.xSPRDOPT(I27,H27,AQ27,AT27,O27,N27,P27,D27-$G$5,1,1)*AF27*F27*AH27</f>
        <v>327493.59674137557</v>
      </c>
      <c r="U27" s="135"/>
      <c r="V27" s="146">
        <f t="shared" si="51"/>
        <v>4.2748451556008593</v>
      </c>
      <c r="W27" s="146"/>
      <c r="X27" s="338">
        <f t="shared" si="52"/>
        <v>0</v>
      </c>
      <c r="Y27" s="338">
        <f t="shared" si="14"/>
        <v>0</v>
      </c>
      <c r="Z27" s="338">
        <f t="shared" si="15"/>
        <v>-413.74463885174896</v>
      </c>
      <c r="AA27" s="338">
        <f t="shared" si="16"/>
        <v>11.137743724804798</v>
      </c>
      <c r="AB27" s="338">
        <f t="shared" si="53"/>
        <v>0</v>
      </c>
      <c r="AC27" s="338">
        <f t="shared" si="54"/>
        <v>14.358235667064447</v>
      </c>
      <c r="AF27" s="138">
        <f t="shared" si="55"/>
        <v>1</v>
      </c>
      <c r="AG27" s="138">
        <f t="shared" si="56"/>
        <v>6</v>
      </c>
      <c r="AH27" s="138">
        <f t="shared" si="17"/>
        <v>30</v>
      </c>
      <c r="AI27" s="138">
        <f t="shared" si="57"/>
        <v>166</v>
      </c>
      <c r="AJ27" s="138">
        <f t="shared" si="58"/>
        <v>183</v>
      </c>
      <c r="AL27" s="136">
        <f t="shared" si="18"/>
        <v>2.9460000000000002</v>
      </c>
      <c r="AM27" s="258">
        <f t="shared" si="19"/>
        <v>-0.36</v>
      </c>
      <c r="AN27" s="258">
        <f t="shared" si="20"/>
        <v>0</v>
      </c>
      <c r="AO27" s="258">
        <f t="shared" si="21"/>
        <v>-0.1225</v>
      </c>
      <c r="AP27" s="258">
        <f t="shared" si="22"/>
        <v>-0.01</v>
      </c>
      <c r="AQ27" s="136">
        <f t="shared" si="59"/>
        <v>1.2800000000000001E-2</v>
      </c>
      <c r="AR27" s="137">
        <f t="shared" si="23"/>
        <v>3.8800000000000001E-2</v>
      </c>
      <c r="AS27" s="136">
        <f t="shared" si="44"/>
        <v>2.5860000000000003</v>
      </c>
      <c r="AT27" s="137">
        <f t="shared" si="45"/>
        <v>2.0011329715354399E-2</v>
      </c>
      <c r="AU27" s="137">
        <f t="shared" si="24"/>
        <v>0.99023515302313159</v>
      </c>
      <c r="AV27" s="394">
        <f t="shared" si="46"/>
        <v>19784.898357402169</v>
      </c>
      <c r="AW27" s="137">
        <f t="shared" si="25"/>
        <v>0.54749999999999999</v>
      </c>
      <c r="AX27" s="137">
        <f t="shared" si="26"/>
        <v>0.63</v>
      </c>
      <c r="AY27" s="137">
        <f t="shared" si="27"/>
        <v>0.63</v>
      </c>
      <c r="AZ27" s="137"/>
      <c r="BA27" s="264"/>
      <c r="BB27" s="258">
        <f t="shared" si="28"/>
        <v>0</v>
      </c>
      <c r="BC27" s="258">
        <f t="shared" si="60"/>
        <v>0</v>
      </c>
      <c r="BD27" s="137">
        <f t="shared" si="61"/>
        <v>1.1830637855325676E-4</v>
      </c>
      <c r="BE27" s="137">
        <f t="shared" si="62"/>
        <v>1.1830637855325676E-4</v>
      </c>
      <c r="BF27" s="137">
        <f>_xll.xSPRDOPT($BW27,$BV27,$CG27,0,$BY27,$BX27,$BZ27,$AJ27,1,4)*$CB27</f>
        <v>1.3252166466169462</v>
      </c>
      <c r="BG27" s="137">
        <f>_xll.xSPRDOPT($BW27,$BV27,$CG27,0,$BY27,$BX27,$BZ27,$AJ27,1,3)*$CB27</f>
        <v>1.2231510771808027</v>
      </c>
      <c r="BH27" s="137">
        <f>IF(OR(BF27&lt;&gt;0,BG27&lt;&gt;0),_xll.xSPRDOPT($BW27,$BV27,$CG27,0,$BY27,$BX27,$BZ27,$AJ27,1,12)*$CB27,0)</f>
        <v>-1.2731602377296922</v>
      </c>
      <c r="BI27" s="137">
        <f>_xll.xSPRDOPT($BW27,$BV27,$CG27,2*LN(1+CA27/2),$BY27,$BX27,$BZ27,$AJ27,1,9)</f>
        <v>-0.10179531126644527</v>
      </c>
      <c r="BJ27" s="137">
        <f>_xll.xSPRDOPT($BW27,$BV27,$CG27,0,$BY27,$BX27,$BZ27,$AJ27,1,6)*$CB27</f>
        <v>8.260922402691942E-2</v>
      </c>
      <c r="BK27" s="137">
        <f>_xll.xSPRDOPT($BW27,$BV27,$CG27,0,$BY27,$BX27,$BZ27,$AJ27,1,5)*$CB27</f>
        <v>0.10763675464633175</v>
      </c>
      <c r="BL27" s="137">
        <f>_xll.xSPRDOPT(BW27,BV27,CG27,0,BY27,BX27,BZ27,AJ27,1,2)*CB27</f>
        <v>-0.6233423677925648</v>
      </c>
      <c r="BM27" s="137">
        <f>_xll.xSPRDOPT(BW27,BV27,CG27,0,BY27,BX27,BZ27,AJ27,1,1)*CB27</f>
        <v>0.66172216350159985</v>
      </c>
      <c r="BN27" s="137">
        <f>IF(AH27&lt;&gt;0,_xll.xSPRDOPT($BW27,$BV27,$CG27,2*LN(1+CA27/2),$BY27,$BX27,$BZ27,$AJ27,1,8)+(AJ27/365.25)*CH27/AH27,0)</f>
        <v>-1.7064607798236389E-2</v>
      </c>
      <c r="BO27" s="137">
        <f>_xll.xSPRDOPT($BW27,$BV27,$CG27,0,$BY27,$BX27,$BZ27,$AJ27,1,0)</f>
        <v>0.17830076766876005</v>
      </c>
      <c r="BP27" s="137"/>
      <c r="BQ27" s="137"/>
      <c r="BR27" s="137"/>
      <c r="BS27" s="137"/>
      <c r="BV27" s="262">
        <v>2.690387016229713</v>
      </c>
      <c r="BW27" s="136">
        <v>2.8135000000000003</v>
      </c>
      <c r="BX27" s="137">
        <v>0.55468511557968825</v>
      </c>
      <c r="BY27" s="137">
        <v>0.55468511557968825</v>
      </c>
      <c r="BZ27" s="137">
        <v>0.96449582828998437</v>
      </c>
      <c r="CA27" s="137">
        <v>2.0011329715354399E-2</v>
      </c>
      <c r="CB27" s="137">
        <v>0.99007321601711695</v>
      </c>
      <c r="CC27" s="258">
        <v>-0.36</v>
      </c>
      <c r="CD27" s="258">
        <v>0</v>
      </c>
      <c r="CE27" s="258">
        <v>-0.1225</v>
      </c>
      <c r="CF27" s="258">
        <v>-0.01</v>
      </c>
      <c r="CG27" s="258">
        <v>1.2800000000000001E-2</v>
      </c>
      <c r="CH27" s="258">
        <v>4.2741460735458938</v>
      </c>
      <c r="CI27" s="258">
        <v>2.9460000000000002</v>
      </c>
      <c r="CZ27" s="403">
        <f t="shared" si="29"/>
        <v>2.9460000000000002</v>
      </c>
      <c r="DA27" s="404">
        <f t="shared" si="30"/>
        <v>-0.1225</v>
      </c>
      <c r="DB27" s="405">
        <f t="shared" si="30"/>
        <v>-0.01</v>
      </c>
      <c r="DC27" s="403">
        <f t="shared" si="31"/>
        <v>2.9460000000000002</v>
      </c>
      <c r="DD27" s="404">
        <f t="shared" si="32"/>
        <v>-0.1225</v>
      </c>
      <c r="DE27" s="405">
        <f t="shared" si="32"/>
        <v>-0.01</v>
      </c>
      <c r="DF27" s="403">
        <f t="shared" si="33"/>
        <v>3.0649188514357055</v>
      </c>
      <c r="DG27" s="404">
        <f t="shared" si="34"/>
        <v>-0.37453183520599248</v>
      </c>
      <c r="DH27" s="405">
        <f t="shared" si="35"/>
        <v>0</v>
      </c>
      <c r="DI27" s="403">
        <f t="shared" si="36"/>
        <v>3.0649188514357055</v>
      </c>
      <c r="DJ27" s="404">
        <f t="shared" si="37"/>
        <v>-0.37453183520599248</v>
      </c>
      <c r="DK27" s="404">
        <f t="shared" si="38"/>
        <v>0</v>
      </c>
      <c r="DL27" s="397">
        <f t="shared" si="39"/>
        <v>0</v>
      </c>
      <c r="DM27" s="398">
        <f t="shared" si="39"/>
        <v>0</v>
      </c>
      <c r="DN27" s="399">
        <f t="shared" si="39"/>
        <v>0</v>
      </c>
    </row>
    <row r="28" spans="1:118" x14ac:dyDescent="0.25">
      <c r="A28" s="723"/>
      <c r="B28" s="723"/>
      <c r="D28" s="31">
        <f t="shared" si="47"/>
        <v>37452</v>
      </c>
      <c r="F28" s="28">
        <f t="shared" si="48"/>
        <v>16495</v>
      </c>
      <c r="G28" s="28">
        <f t="shared" si="12"/>
        <v>16303.36407589233</v>
      </c>
      <c r="H28" s="52">
        <f t="shared" si="49"/>
        <v>2.7611319184352889</v>
      </c>
      <c r="I28" s="52">
        <f t="shared" si="50"/>
        <v>2.8890000000000002</v>
      </c>
      <c r="K28" s="52">
        <f t="shared" si="40"/>
        <v>3.5256684840971713</v>
      </c>
      <c r="L28" s="135">
        <f t="shared" si="13"/>
        <v>1.4028440215841944</v>
      </c>
      <c r="N28" s="131">
        <f t="shared" si="41"/>
        <v>0.54938596714727361</v>
      </c>
      <c r="O28" s="131">
        <f t="shared" si="42"/>
        <v>0.54938596714727361</v>
      </c>
      <c r="P28" s="55">
        <f t="shared" si="43"/>
        <v>0.98074869482450899</v>
      </c>
      <c r="Q28" s="135">
        <f>_xll.xSPRDOPT(I28,H28,AQ28,0,O28,N28,P28,D28-$G$5,1,0)*AH28*AU28</f>
        <v>4.9285125056813657</v>
      </c>
      <c r="R28" s="135"/>
      <c r="S28" s="181">
        <f>_xll.xSPRDOPT(I28,H28,AQ28,AT28,O28,N28,P28,D28-$G$5,1,2)*AF28*(F28/(1-AR28))*AH28</f>
        <v>-355572.69275207975</v>
      </c>
      <c r="T28" s="181">
        <f>_xll.xSPRDOPT(I28,H28,AQ28,AT28,O28,N28,P28,D28-$G$5,1,1)*AF28*F28*AH28</f>
        <v>356325.98774976679</v>
      </c>
      <c r="U28" s="135"/>
      <c r="V28" s="146">
        <f t="shared" si="51"/>
        <v>4.4090740713033094</v>
      </c>
      <c r="W28" s="146"/>
      <c r="X28" s="338">
        <f t="shared" si="52"/>
        <v>0</v>
      </c>
      <c r="Y28" s="338">
        <f t="shared" si="14"/>
        <v>0</v>
      </c>
      <c r="Z28" s="338">
        <f t="shared" si="15"/>
        <v>-275.80894878667931</v>
      </c>
      <c r="AA28" s="338">
        <f t="shared" si="16"/>
        <v>7.1601041321072598</v>
      </c>
      <c r="AB28" s="338">
        <f t="shared" si="53"/>
        <v>0</v>
      </c>
      <c r="AC28" s="338">
        <f t="shared" si="54"/>
        <v>13.638854343137917</v>
      </c>
      <c r="AF28" s="138">
        <f t="shared" si="55"/>
        <v>1</v>
      </c>
      <c r="AG28" s="138">
        <f t="shared" si="56"/>
        <v>7</v>
      </c>
      <c r="AH28" s="138">
        <f t="shared" si="17"/>
        <v>31</v>
      </c>
      <c r="AI28" s="138">
        <f t="shared" si="57"/>
        <v>196</v>
      </c>
      <c r="AJ28" s="138">
        <f t="shared" si="58"/>
        <v>213</v>
      </c>
      <c r="AL28" s="136">
        <f t="shared" si="18"/>
        <v>2.984</v>
      </c>
      <c r="AM28" s="258">
        <f t="shared" si="19"/>
        <v>-0.33</v>
      </c>
      <c r="AN28" s="258">
        <f t="shared" si="20"/>
        <v>0</v>
      </c>
      <c r="AO28" s="258">
        <f t="shared" si="21"/>
        <v>-8.5000000000000006E-2</v>
      </c>
      <c r="AP28" s="258">
        <f t="shared" si="22"/>
        <v>-0.01</v>
      </c>
      <c r="AQ28" s="136">
        <f t="shared" si="59"/>
        <v>1.2800000000000001E-2</v>
      </c>
      <c r="AR28" s="137">
        <f t="shared" si="23"/>
        <v>3.8800000000000001E-2</v>
      </c>
      <c r="AS28" s="136">
        <f t="shared" si="44"/>
        <v>2.6539999999999999</v>
      </c>
      <c r="AT28" s="137">
        <f t="shared" si="45"/>
        <v>2.0428629809483099E-2</v>
      </c>
      <c r="AU28" s="137">
        <f t="shared" si="24"/>
        <v>0.98838218101802544</v>
      </c>
      <c r="AV28" s="394">
        <f t="shared" si="46"/>
        <v>20406.138509298155</v>
      </c>
      <c r="AW28" s="137">
        <f t="shared" si="25"/>
        <v>0.54249999999999998</v>
      </c>
      <c r="AX28" s="137">
        <f t="shared" si="26"/>
        <v>0.63</v>
      </c>
      <c r="AY28" s="137">
        <f t="shared" si="27"/>
        <v>0.63</v>
      </c>
      <c r="AZ28" s="137"/>
      <c r="BA28" s="264"/>
      <c r="BB28" s="258">
        <f t="shared" si="28"/>
        <v>0</v>
      </c>
      <c r="BC28" s="258">
        <f t="shared" si="60"/>
        <v>0</v>
      </c>
      <c r="BD28" s="137">
        <f t="shared" si="61"/>
        <v>9.5712015904636516E-5</v>
      </c>
      <c r="BE28" s="137">
        <f t="shared" si="62"/>
        <v>9.5712015904636516E-5</v>
      </c>
      <c r="BF28" s="137">
        <f>_xll.xSPRDOPT($BW28,$BV28,$CG28,0,$BY28,$BX28,$BZ28,$AJ28,1,4)*$CB28</f>
        <v>1.5692281317207166</v>
      </c>
      <c r="BG28" s="137">
        <f>_xll.xSPRDOPT($BW28,$BV28,$CG28,0,$BY28,$BX28,$BZ28,$AJ28,1,3)*$CB28</f>
        <v>1.446522584868585</v>
      </c>
      <c r="BH28" s="137">
        <f>IF(OR(BF28&lt;&gt;0,BG28&lt;&gt;0),_xll.xSPRDOPT($BW28,$BV28,$CG28,0,$BY28,$BX28,$BZ28,$AJ28,1,12)*$CB28,0)</f>
        <v>-1.5066254884740513</v>
      </c>
      <c r="BI28" s="137">
        <f>_xll.xSPRDOPT($BW28,$BV28,$CG28,2*LN(1+CA28/2),$BY28,$BX28,$BZ28,$AJ28,1,9)</f>
        <v>-6.5669439448470618E-2</v>
      </c>
      <c r="BJ28" s="137">
        <f>_xll.xSPRDOPT($BW28,$BV28,$CG28,0,$BY28,$BX28,$BZ28,$AJ28,1,6)*$CB28</f>
        <v>5.5593509254266753E-2</v>
      </c>
      <c r="BK28" s="137">
        <f>_xll.xSPRDOPT($BW28,$BV28,$CG28,0,$BY28,$BX28,$BZ28,$AJ28,1,5)*$CB28</f>
        <v>9.0704649807412302E-2</v>
      </c>
      <c r="BL28" s="137">
        <f>_xll.xSPRDOPT(BW28,BV28,CG28,0,BY28,BX28,BZ28,AJ28,1,2)*CB28</f>
        <v>-0.66830523754312987</v>
      </c>
      <c r="BM28" s="137">
        <f>_xll.xSPRDOPT(BW28,BV28,CG28,0,BY28,BX28,BZ28,AJ28,1,1)*CB28</f>
        <v>0.69675728118658409</v>
      </c>
      <c r="BN28" s="137">
        <f>IF(AH28&lt;&gt;0,_xll.xSPRDOPT($BW28,$BV28,$CG28,2*LN(1+CA28/2),$BY28,$BX28,$BZ28,$AJ28,1,8)+(AJ28/365.25)*CH28/AH28,0)</f>
        <v>-9.7724296205274619E-3</v>
      </c>
      <c r="BO28" s="137">
        <f>_xll.xSPRDOPT($BW28,$BV28,$CG28,0,$BY28,$BX28,$BZ28,$AJ28,1,0)</f>
        <v>0.16085745865030612</v>
      </c>
      <c r="BP28" s="137"/>
      <c r="BQ28" s="137"/>
      <c r="BR28" s="137"/>
      <c r="BS28" s="137"/>
      <c r="BV28" s="262">
        <v>2.7611319184352889</v>
      </c>
      <c r="BW28" s="136">
        <v>2.8890000000000002</v>
      </c>
      <c r="BX28" s="137">
        <v>0.54929025513136898</v>
      </c>
      <c r="BY28" s="137">
        <v>0.54929025513136898</v>
      </c>
      <c r="BZ28" s="137">
        <v>0.98101132815021264</v>
      </c>
      <c r="CA28" s="137">
        <v>2.0428629809483099E-2</v>
      </c>
      <c r="CB28" s="137">
        <v>0.98821719380072837</v>
      </c>
      <c r="CC28" s="258">
        <v>-0.33</v>
      </c>
      <c r="CD28" s="258">
        <v>0</v>
      </c>
      <c r="CE28" s="258">
        <v>-8.5000000000000006E-2</v>
      </c>
      <c r="CF28" s="258">
        <v>-0.01</v>
      </c>
      <c r="CG28" s="258">
        <v>1.2800000000000001E-2</v>
      </c>
      <c r="CH28" s="258">
        <v>4.4083380798256684</v>
      </c>
      <c r="CI28" s="258">
        <v>2.984</v>
      </c>
      <c r="CZ28" s="403">
        <f t="shared" si="29"/>
        <v>2.984</v>
      </c>
      <c r="DA28" s="404">
        <f t="shared" si="30"/>
        <v>-8.5000000000000006E-2</v>
      </c>
      <c r="DB28" s="405">
        <f t="shared" si="30"/>
        <v>-0.01</v>
      </c>
      <c r="DC28" s="403">
        <f t="shared" si="31"/>
        <v>2.984</v>
      </c>
      <c r="DD28" s="404">
        <f t="shared" si="32"/>
        <v>-8.5000000000000006E-2</v>
      </c>
      <c r="DE28" s="405">
        <f t="shared" si="32"/>
        <v>-0.01</v>
      </c>
      <c r="DF28" s="403">
        <f t="shared" si="33"/>
        <v>3.1044527673741156</v>
      </c>
      <c r="DG28" s="404">
        <f t="shared" si="34"/>
        <v>-0.34332084893882647</v>
      </c>
      <c r="DH28" s="405">
        <f t="shared" si="35"/>
        <v>0</v>
      </c>
      <c r="DI28" s="403">
        <f t="shared" si="36"/>
        <v>3.1044527673741156</v>
      </c>
      <c r="DJ28" s="404">
        <f t="shared" si="37"/>
        <v>-0.34332084893882647</v>
      </c>
      <c r="DK28" s="404">
        <f t="shared" si="38"/>
        <v>0</v>
      </c>
      <c r="DL28" s="397">
        <f t="shared" si="39"/>
        <v>0</v>
      </c>
      <c r="DM28" s="398">
        <f t="shared" si="39"/>
        <v>0</v>
      </c>
      <c r="DN28" s="399">
        <f t="shared" si="39"/>
        <v>0</v>
      </c>
    </row>
    <row r="29" spans="1:118" x14ac:dyDescent="0.25">
      <c r="A29" s="723"/>
      <c r="B29" s="723"/>
      <c r="D29" s="31">
        <f t="shared" si="47"/>
        <v>37483</v>
      </c>
      <c r="F29" s="28">
        <f t="shared" si="48"/>
        <v>16495</v>
      </c>
      <c r="G29" s="28">
        <f t="shared" si="12"/>
        <v>0</v>
      </c>
      <c r="H29" s="52">
        <f t="shared" si="49"/>
        <v>2.8048272992093213</v>
      </c>
      <c r="I29" s="52">
        <f t="shared" si="50"/>
        <v>2.9460000000000002</v>
      </c>
      <c r="K29" s="52">
        <f t="shared" si="40"/>
        <v>0</v>
      </c>
      <c r="L29" s="135">
        <f t="shared" si="13"/>
        <v>0</v>
      </c>
      <c r="N29" s="131">
        <f t="shared" si="41"/>
        <v>0.54</v>
      </c>
      <c r="O29" s="131">
        <f t="shared" si="42"/>
        <v>0.54</v>
      </c>
      <c r="P29" s="55">
        <f t="shared" si="43"/>
        <v>0</v>
      </c>
      <c r="Q29" s="135">
        <f>_xll.xSPRDOPT(I29,H29,AQ29,0,O29,N29,P29,D29-$G$5,1,0)*AH29*AU29</f>
        <v>0</v>
      </c>
      <c r="R29" s="135"/>
      <c r="S29" s="181">
        <f>_xll.xSPRDOPT(I29,H29,AQ29,AT29,O29,N29,P29,D29-$G$5,1,2)*AF29*(F29/(1-AR29))*AH29</f>
        <v>0</v>
      </c>
      <c r="T29" s="181">
        <f>_xll.xSPRDOPT(I29,H29,AQ29,AT29,O29,N29,P29,D29-$G$5,1,1)*AF29*F29*AH29</f>
        <v>0</v>
      </c>
      <c r="U29" s="135"/>
      <c r="V29" s="146">
        <f t="shared" si="51"/>
        <v>0</v>
      </c>
      <c r="W29" s="146"/>
      <c r="X29" s="338">
        <f t="shared" si="52"/>
        <v>0</v>
      </c>
      <c r="Y29" s="338">
        <f t="shared" si="14"/>
        <v>0</v>
      </c>
      <c r="Z29" s="338">
        <f t="shared" si="15"/>
        <v>0</v>
      </c>
      <c r="AA29" s="338">
        <f t="shared" si="16"/>
        <v>0</v>
      </c>
      <c r="AB29" s="338">
        <f t="shared" si="53"/>
        <v>0</v>
      </c>
      <c r="AC29" s="338">
        <f t="shared" si="54"/>
        <v>0</v>
      </c>
      <c r="AF29" s="138">
        <f t="shared" si="55"/>
        <v>0</v>
      </c>
      <c r="AG29" s="138">
        <f t="shared" si="56"/>
        <v>8</v>
      </c>
      <c r="AH29" s="138">
        <f t="shared" si="17"/>
        <v>0</v>
      </c>
      <c r="AI29" s="138">
        <f t="shared" si="57"/>
        <v>227</v>
      </c>
      <c r="AJ29" s="138">
        <f t="shared" si="58"/>
        <v>244</v>
      </c>
      <c r="AL29" s="136">
        <f t="shared" si="18"/>
        <v>3.0259999999999998</v>
      </c>
      <c r="AM29" s="258">
        <f t="shared" si="19"/>
        <v>-0.33</v>
      </c>
      <c r="AN29" s="258">
        <f t="shared" si="20"/>
        <v>0</v>
      </c>
      <c r="AO29" s="258">
        <f t="shared" si="21"/>
        <v>-7.0000000000000007E-2</v>
      </c>
      <c r="AP29" s="258">
        <f t="shared" si="22"/>
        <v>-0.01</v>
      </c>
      <c r="AQ29" s="136">
        <f t="shared" si="59"/>
        <v>1.2800000000000001E-2</v>
      </c>
      <c r="AR29" s="137">
        <f t="shared" si="23"/>
        <v>3.8800000000000001E-2</v>
      </c>
      <c r="AS29" s="136">
        <f t="shared" si="44"/>
        <v>2.6959999999999997</v>
      </c>
      <c r="AT29" s="137">
        <f t="shared" si="45"/>
        <v>2.1065008234303999E-2</v>
      </c>
      <c r="AU29" s="137">
        <f t="shared" si="24"/>
        <v>0</v>
      </c>
      <c r="AV29" s="394">
        <f t="shared" si="46"/>
        <v>0</v>
      </c>
      <c r="AW29" s="137">
        <f t="shared" si="25"/>
        <v>0.54</v>
      </c>
      <c r="AX29" s="137">
        <f t="shared" si="26"/>
        <v>0.73</v>
      </c>
      <c r="AY29" s="137">
        <f t="shared" si="27"/>
        <v>0.73</v>
      </c>
      <c r="AZ29" s="137"/>
      <c r="BA29" s="264"/>
      <c r="BB29" s="258">
        <f t="shared" si="28"/>
        <v>0</v>
      </c>
      <c r="BC29" s="258">
        <f t="shared" si="60"/>
        <v>0</v>
      </c>
      <c r="BD29" s="137">
        <f t="shared" si="61"/>
        <v>0</v>
      </c>
      <c r="BE29" s="137">
        <f t="shared" si="62"/>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-0.4859956636947852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0.7704695487593779</v>
      </c>
      <c r="BP29" s="137"/>
      <c r="BQ29" s="137"/>
      <c r="BR29" s="137"/>
      <c r="BS29" s="137"/>
      <c r="BV29" s="262">
        <v>2.8048272992093213</v>
      </c>
      <c r="BW29" s="136">
        <v>2.9460000000000002</v>
      </c>
      <c r="BX29" s="137">
        <v>0.54</v>
      </c>
      <c r="BY29" s="137">
        <v>0.54</v>
      </c>
      <c r="BZ29" s="137">
        <v>0</v>
      </c>
      <c r="CA29" s="137">
        <v>2.1065008234303999E-2</v>
      </c>
      <c r="CB29" s="137">
        <v>0</v>
      </c>
      <c r="CC29" s="258">
        <v>-0.33</v>
      </c>
      <c r="CD29" s="258">
        <v>0</v>
      </c>
      <c r="CE29" s="258">
        <v>-7.0000000000000007E-2</v>
      </c>
      <c r="CF29" s="258">
        <v>-0.01</v>
      </c>
      <c r="CG29" s="258">
        <v>1.2800000000000001E-2</v>
      </c>
      <c r="CH29" s="258">
        <v>0</v>
      </c>
      <c r="CI29" s="258">
        <v>3.0259999999999998</v>
      </c>
      <c r="CZ29" s="403">
        <f t="shared" si="29"/>
        <v>3.0259999999999998</v>
      </c>
      <c r="DA29" s="404">
        <f t="shared" si="30"/>
        <v>-7.0000000000000007E-2</v>
      </c>
      <c r="DB29" s="405">
        <f t="shared" si="30"/>
        <v>-0.01</v>
      </c>
      <c r="DC29" s="403">
        <f t="shared" si="31"/>
        <v>3.0259999999999998</v>
      </c>
      <c r="DD29" s="404">
        <f t="shared" si="32"/>
        <v>-7.0000000000000007E-2</v>
      </c>
      <c r="DE29" s="405">
        <f t="shared" si="32"/>
        <v>-0.01</v>
      </c>
      <c r="DF29" s="403">
        <f t="shared" si="33"/>
        <v>3.1481481481481479</v>
      </c>
      <c r="DG29" s="404">
        <f t="shared" si="34"/>
        <v>-0.34332084893882647</v>
      </c>
      <c r="DH29" s="405">
        <f t="shared" si="35"/>
        <v>0</v>
      </c>
      <c r="DI29" s="403">
        <f t="shared" si="36"/>
        <v>3.1481481481481479</v>
      </c>
      <c r="DJ29" s="404">
        <f t="shared" si="37"/>
        <v>-0.34332084893882647</v>
      </c>
      <c r="DK29" s="404">
        <f t="shared" si="38"/>
        <v>0</v>
      </c>
      <c r="DL29" s="397">
        <f t="shared" si="39"/>
        <v>0</v>
      </c>
      <c r="DM29" s="398">
        <f t="shared" si="39"/>
        <v>0</v>
      </c>
      <c r="DN29" s="399">
        <f t="shared" si="39"/>
        <v>0</v>
      </c>
    </row>
    <row r="30" spans="1:118" x14ac:dyDescent="0.25">
      <c r="A30" s="723"/>
      <c r="B30" s="723"/>
      <c r="D30" s="31">
        <f t="shared" si="47"/>
        <v>37483</v>
      </c>
      <c r="F30" s="28">
        <f t="shared" si="48"/>
        <v>16495</v>
      </c>
      <c r="G30" s="28">
        <f t="shared" si="12"/>
        <v>0</v>
      </c>
      <c r="H30" s="52">
        <f t="shared" si="49"/>
        <v>2.8048272992093213</v>
      </c>
      <c r="I30" s="52">
        <f t="shared" si="50"/>
        <v>2.9460000000000002</v>
      </c>
      <c r="K30" s="52">
        <f t="shared" si="40"/>
        <v>0</v>
      </c>
      <c r="L30" s="135">
        <f t="shared" si="13"/>
        <v>0</v>
      </c>
      <c r="N30" s="131">
        <f t="shared" si="41"/>
        <v>0.54</v>
      </c>
      <c r="O30" s="131">
        <f t="shared" si="42"/>
        <v>0.54</v>
      </c>
      <c r="P30" s="55">
        <f t="shared" si="43"/>
        <v>0</v>
      </c>
      <c r="Q30" s="135">
        <f>_xll.xSPRDOPT(I30,H30,AQ30,0,O30,N30,P30,D30-$G$5,1,0)*AH30*AU30</f>
        <v>0</v>
      </c>
      <c r="R30" s="135"/>
      <c r="S30" s="181">
        <f>_xll.xSPRDOPT(I30,H30,AQ30,AT30,O30,N30,P30,D30-$G$5,1,2)*AF30*(F30/(1-AR30))*AH30</f>
        <v>0</v>
      </c>
      <c r="T30" s="181">
        <f>_xll.xSPRDOPT(I30,H30,AQ30,AT30,O30,N30,P30,D30-$G$5,1,1)*AF30*F30*AH30</f>
        <v>0</v>
      </c>
      <c r="U30" s="135"/>
      <c r="V30" s="146">
        <f t="shared" si="51"/>
        <v>0</v>
      </c>
      <c r="W30" s="146"/>
      <c r="X30" s="338">
        <f t="shared" si="52"/>
        <v>0</v>
      </c>
      <c r="Y30" s="338">
        <f t="shared" si="14"/>
        <v>0</v>
      </c>
      <c r="Z30" s="338">
        <f t="shared" si="15"/>
        <v>0</v>
      </c>
      <c r="AA30" s="338">
        <f t="shared" si="16"/>
        <v>0</v>
      </c>
      <c r="AB30" s="338">
        <f t="shared" si="53"/>
        <v>0</v>
      </c>
      <c r="AC30" s="338">
        <f t="shared" si="54"/>
        <v>0</v>
      </c>
      <c r="AF30" s="138">
        <f t="shared" si="55"/>
        <v>0</v>
      </c>
      <c r="AG30" s="138">
        <f t="shared" si="56"/>
        <v>8</v>
      </c>
      <c r="AH30" s="138">
        <f t="shared" si="17"/>
        <v>0</v>
      </c>
      <c r="AI30" s="138">
        <f t="shared" si="57"/>
        <v>227</v>
      </c>
      <c r="AJ30" s="138">
        <f t="shared" si="58"/>
        <v>244</v>
      </c>
      <c r="AL30" s="136">
        <f t="shared" si="18"/>
        <v>3.0259999999999998</v>
      </c>
      <c r="AM30" s="258">
        <f t="shared" si="19"/>
        <v>-0.33</v>
      </c>
      <c r="AN30" s="258">
        <f t="shared" si="20"/>
        <v>0</v>
      </c>
      <c r="AO30" s="258">
        <f t="shared" si="21"/>
        <v>-7.0000000000000007E-2</v>
      </c>
      <c r="AP30" s="258">
        <f t="shared" si="22"/>
        <v>-0.01</v>
      </c>
      <c r="AQ30" s="136">
        <f t="shared" si="59"/>
        <v>1.2800000000000001E-2</v>
      </c>
      <c r="AR30" s="137">
        <f t="shared" si="23"/>
        <v>3.8800000000000001E-2</v>
      </c>
      <c r="AS30" s="136">
        <f t="shared" si="44"/>
        <v>2.6959999999999997</v>
      </c>
      <c r="AT30" s="137">
        <f t="shared" si="45"/>
        <v>2.1065008234303999E-2</v>
      </c>
      <c r="AU30" s="137">
        <f t="shared" si="24"/>
        <v>0</v>
      </c>
      <c r="AV30" s="394">
        <f t="shared" si="46"/>
        <v>0</v>
      </c>
      <c r="AW30" s="137">
        <f t="shared" si="25"/>
        <v>0.54</v>
      </c>
      <c r="AX30" s="137">
        <f t="shared" si="26"/>
        <v>0.73</v>
      </c>
      <c r="AY30" s="137">
        <f t="shared" si="27"/>
        <v>0.73</v>
      </c>
      <c r="AZ30" s="137"/>
      <c r="BA30" s="264"/>
      <c r="BB30" s="258">
        <f t="shared" si="28"/>
        <v>0</v>
      </c>
      <c r="BC30" s="258">
        <f t="shared" si="60"/>
        <v>0</v>
      </c>
      <c r="BD30" s="137">
        <f t="shared" si="61"/>
        <v>0</v>
      </c>
      <c r="BE30" s="137">
        <f t="shared" si="62"/>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-0.4859956636947852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0.7704695487593779</v>
      </c>
      <c r="BP30" s="137"/>
      <c r="BQ30" s="137"/>
      <c r="BR30" s="137"/>
      <c r="BS30" s="137"/>
      <c r="BV30" s="262">
        <v>2.8048272992093213</v>
      </c>
      <c r="BW30" s="136">
        <v>2.9460000000000002</v>
      </c>
      <c r="BX30" s="137">
        <v>0.54</v>
      </c>
      <c r="BY30" s="137">
        <v>0.54</v>
      </c>
      <c r="BZ30" s="137">
        <v>0</v>
      </c>
      <c r="CA30" s="137">
        <v>2.1065008234303999E-2</v>
      </c>
      <c r="CB30" s="137">
        <v>0</v>
      </c>
      <c r="CC30" s="258">
        <v>-0.33</v>
      </c>
      <c r="CD30" s="258">
        <v>0</v>
      </c>
      <c r="CE30" s="258">
        <v>-7.0000000000000007E-2</v>
      </c>
      <c r="CF30" s="258">
        <v>-0.01</v>
      </c>
      <c r="CG30" s="258">
        <v>1.2800000000000001E-2</v>
      </c>
      <c r="CH30" s="258">
        <v>0</v>
      </c>
      <c r="CI30" s="258">
        <v>3.0259999999999998</v>
      </c>
      <c r="CZ30" s="403">
        <f t="shared" si="29"/>
        <v>3.0259999999999998</v>
      </c>
      <c r="DA30" s="404">
        <f t="shared" si="30"/>
        <v>-7.0000000000000007E-2</v>
      </c>
      <c r="DB30" s="405">
        <f t="shared" si="30"/>
        <v>-0.01</v>
      </c>
      <c r="DC30" s="403">
        <f t="shared" si="31"/>
        <v>3.0259999999999998</v>
      </c>
      <c r="DD30" s="404">
        <f t="shared" si="32"/>
        <v>-7.0000000000000007E-2</v>
      </c>
      <c r="DE30" s="405">
        <f t="shared" si="32"/>
        <v>-0.01</v>
      </c>
      <c r="DF30" s="403">
        <f t="shared" si="33"/>
        <v>3.1481481481481479</v>
      </c>
      <c r="DG30" s="404">
        <f t="shared" si="34"/>
        <v>-0.34332084893882647</v>
      </c>
      <c r="DH30" s="405">
        <f t="shared" si="35"/>
        <v>0</v>
      </c>
      <c r="DI30" s="403">
        <f t="shared" si="36"/>
        <v>3.1481481481481479</v>
      </c>
      <c r="DJ30" s="404">
        <f t="shared" si="37"/>
        <v>-0.34332084893882647</v>
      </c>
      <c r="DK30" s="404">
        <f t="shared" si="38"/>
        <v>0</v>
      </c>
      <c r="DL30" s="397">
        <f t="shared" si="39"/>
        <v>0</v>
      </c>
      <c r="DM30" s="398">
        <f t="shared" si="39"/>
        <v>0</v>
      </c>
      <c r="DN30" s="399">
        <f t="shared" si="39"/>
        <v>0</v>
      </c>
    </row>
    <row r="31" spans="1:118" x14ac:dyDescent="0.25">
      <c r="A31" s="723"/>
      <c r="B31" s="723"/>
      <c r="D31" s="31">
        <f t="shared" si="47"/>
        <v>37483</v>
      </c>
      <c r="F31" s="28">
        <f t="shared" si="48"/>
        <v>16495</v>
      </c>
      <c r="G31" s="28">
        <f t="shared" si="12"/>
        <v>0</v>
      </c>
      <c r="H31" s="52">
        <f t="shared" si="49"/>
        <v>2.8048272992093213</v>
      </c>
      <c r="I31" s="52">
        <f t="shared" si="50"/>
        <v>2.9460000000000002</v>
      </c>
      <c r="K31" s="52">
        <f t="shared" si="40"/>
        <v>0</v>
      </c>
      <c r="L31" s="135">
        <f t="shared" si="13"/>
        <v>0</v>
      </c>
      <c r="N31" s="131">
        <f t="shared" si="41"/>
        <v>0.54</v>
      </c>
      <c r="O31" s="131">
        <f t="shared" si="42"/>
        <v>0.54</v>
      </c>
      <c r="P31" s="55">
        <f t="shared" si="43"/>
        <v>0</v>
      </c>
      <c r="Q31" s="135">
        <f>_xll.xSPRDOPT(I31,H31,AQ31,0,O31,N31,P31,D31-$G$5,1,0)*AH31*AU31</f>
        <v>0</v>
      </c>
      <c r="R31" s="135"/>
      <c r="S31" s="181">
        <f>_xll.xSPRDOPT(I31,H31,AQ31,AT31,O31,N31,P31,D31-$G$5,1,2)*AF31*(F31/(1-AR31))*AH31</f>
        <v>0</v>
      </c>
      <c r="T31" s="181">
        <f>_xll.xSPRDOPT(I31,H31,AQ31,AT31,O31,N31,P31,D31-$G$5,1,1)*AF31*F31*AH31</f>
        <v>0</v>
      </c>
      <c r="U31" s="135"/>
      <c r="V31" s="146">
        <f t="shared" si="51"/>
        <v>0</v>
      </c>
      <c r="W31" s="146"/>
      <c r="X31" s="338">
        <f t="shared" si="52"/>
        <v>0</v>
      </c>
      <c r="Y31" s="338">
        <f t="shared" si="14"/>
        <v>0</v>
      </c>
      <c r="Z31" s="338">
        <f t="shared" si="15"/>
        <v>0</v>
      </c>
      <c r="AA31" s="338">
        <f t="shared" si="16"/>
        <v>0</v>
      </c>
      <c r="AB31" s="338">
        <f t="shared" si="53"/>
        <v>0</v>
      </c>
      <c r="AC31" s="338">
        <f t="shared" si="54"/>
        <v>0</v>
      </c>
      <c r="AF31" s="138">
        <f t="shared" si="55"/>
        <v>0</v>
      </c>
      <c r="AG31" s="138">
        <f t="shared" si="56"/>
        <v>8</v>
      </c>
      <c r="AH31" s="138">
        <f t="shared" si="17"/>
        <v>0</v>
      </c>
      <c r="AI31" s="138">
        <f t="shared" si="57"/>
        <v>227</v>
      </c>
      <c r="AJ31" s="138">
        <f t="shared" si="58"/>
        <v>244</v>
      </c>
      <c r="AL31" s="136">
        <f t="shared" si="18"/>
        <v>3.0259999999999998</v>
      </c>
      <c r="AM31" s="258">
        <f t="shared" si="19"/>
        <v>-0.33</v>
      </c>
      <c r="AN31" s="258">
        <f t="shared" si="20"/>
        <v>0</v>
      </c>
      <c r="AO31" s="258">
        <f t="shared" si="21"/>
        <v>-7.0000000000000007E-2</v>
      </c>
      <c r="AP31" s="258">
        <f t="shared" si="22"/>
        <v>-0.01</v>
      </c>
      <c r="AQ31" s="136">
        <f t="shared" si="59"/>
        <v>1.2800000000000001E-2</v>
      </c>
      <c r="AR31" s="137">
        <f t="shared" si="23"/>
        <v>3.8800000000000001E-2</v>
      </c>
      <c r="AS31" s="136">
        <f t="shared" si="44"/>
        <v>2.6959999999999997</v>
      </c>
      <c r="AT31" s="137">
        <f t="shared" si="45"/>
        <v>2.1065008234303999E-2</v>
      </c>
      <c r="AU31" s="137">
        <f t="shared" si="24"/>
        <v>0</v>
      </c>
      <c r="AV31" s="394">
        <f t="shared" si="46"/>
        <v>0</v>
      </c>
      <c r="AW31" s="137">
        <f t="shared" si="25"/>
        <v>0.54</v>
      </c>
      <c r="AX31" s="137">
        <f t="shared" si="26"/>
        <v>0.73</v>
      </c>
      <c r="AY31" s="137">
        <f t="shared" si="27"/>
        <v>0.73</v>
      </c>
      <c r="AZ31" s="137"/>
      <c r="BA31" s="264"/>
      <c r="BB31" s="258">
        <f t="shared" si="28"/>
        <v>0</v>
      </c>
      <c r="BC31" s="258">
        <f t="shared" si="60"/>
        <v>0</v>
      </c>
      <c r="BD31" s="137">
        <f t="shared" si="61"/>
        <v>0</v>
      </c>
      <c r="BE31" s="137">
        <f t="shared" si="62"/>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-0.4859956636947852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0.7704695487593779</v>
      </c>
      <c r="BP31" s="137"/>
      <c r="BQ31" s="137"/>
      <c r="BR31" s="137"/>
      <c r="BS31" s="137"/>
      <c r="BV31" s="262">
        <v>2.8048272992093213</v>
      </c>
      <c r="BW31" s="136">
        <v>2.9460000000000002</v>
      </c>
      <c r="BX31" s="137">
        <v>0.54</v>
      </c>
      <c r="BY31" s="137">
        <v>0.54</v>
      </c>
      <c r="BZ31" s="137">
        <v>0</v>
      </c>
      <c r="CA31" s="137">
        <v>2.1065008234303999E-2</v>
      </c>
      <c r="CB31" s="137">
        <v>0</v>
      </c>
      <c r="CC31" s="258">
        <v>-0.33</v>
      </c>
      <c r="CD31" s="258">
        <v>0</v>
      </c>
      <c r="CE31" s="258">
        <v>-7.0000000000000007E-2</v>
      </c>
      <c r="CF31" s="258">
        <v>-0.01</v>
      </c>
      <c r="CG31" s="258">
        <v>1.2800000000000001E-2</v>
      </c>
      <c r="CH31" s="258">
        <v>0</v>
      </c>
      <c r="CI31" s="258">
        <v>3.0259999999999998</v>
      </c>
      <c r="CZ31" s="403">
        <f t="shared" si="29"/>
        <v>3.0259999999999998</v>
      </c>
      <c r="DA31" s="404">
        <f t="shared" si="30"/>
        <v>-7.0000000000000007E-2</v>
      </c>
      <c r="DB31" s="405">
        <f t="shared" si="30"/>
        <v>-0.01</v>
      </c>
      <c r="DC31" s="403">
        <f t="shared" si="31"/>
        <v>3.0259999999999998</v>
      </c>
      <c r="DD31" s="404">
        <f t="shared" si="32"/>
        <v>-7.0000000000000007E-2</v>
      </c>
      <c r="DE31" s="405">
        <f t="shared" si="32"/>
        <v>-0.01</v>
      </c>
      <c r="DF31" s="403">
        <f t="shared" si="33"/>
        <v>3.1481481481481479</v>
      </c>
      <c r="DG31" s="404">
        <f t="shared" si="34"/>
        <v>-0.34332084893882647</v>
      </c>
      <c r="DH31" s="405">
        <f t="shared" si="35"/>
        <v>0</v>
      </c>
      <c r="DI31" s="403">
        <f t="shared" si="36"/>
        <v>3.1481481481481479</v>
      </c>
      <c r="DJ31" s="404">
        <f t="shared" si="37"/>
        <v>-0.34332084893882647</v>
      </c>
      <c r="DK31" s="404">
        <f t="shared" si="38"/>
        <v>0</v>
      </c>
      <c r="DL31" s="397">
        <f t="shared" si="39"/>
        <v>0</v>
      </c>
      <c r="DM31" s="398">
        <f t="shared" si="39"/>
        <v>0</v>
      </c>
      <c r="DN31" s="399">
        <f t="shared" si="39"/>
        <v>0</v>
      </c>
    </row>
    <row r="32" spans="1:118" x14ac:dyDescent="0.25">
      <c r="A32" s="723"/>
      <c r="B32" s="723"/>
      <c r="D32" s="31">
        <f t="shared" si="47"/>
        <v>37483</v>
      </c>
      <c r="F32" s="28">
        <f t="shared" si="48"/>
        <v>16495</v>
      </c>
      <c r="G32" s="28">
        <f t="shared" si="12"/>
        <v>0</v>
      </c>
      <c r="H32" s="52">
        <f t="shared" si="49"/>
        <v>2.8048272992093213</v>
      </c>
      <c r="I32" s="52">
        <f t="shared" si="50"/>
        <v>2.9460000000000002</v>
      </c>
      <c r="K32" s="52">
        <f t="shared" si="40"/>
        <v>0</v>
      </c>
      <c r="L32" s="135">
        <f t="shared" si="13"/>
        <v>0</v>
      </c>
      <c r="N32" s="131">
        <f t="shared" si="41"/>
        <v>0.54</v>
      </c>
      <c r="O32" s="131">
        <f t="shared" si="42"/>
        <v>0.54</v>
      </c>
      <c r="P32" s="55">
        <f t="shared" si="43"/>
        <v>0</v>
      </c>
      <c r="Q32" s="135">
        <f>_xll.xSPRDOPT(I32,H32,AQ32,0,O32,N32,P32,D32-$G$5,1,0)*AH32*AU32</f>
        <v>0</v>
      </c>
      <c r="R32" s="135"/>
      <c r="S32" s="181">
        <f>_xll.xSPRDOPT(I32,H32,AQ32,AT32,O32,N32,P32,D32-$G$5,1,2)*AF32*(F32/(1-AR32))*AH32</f>
        <v>0</v>
      </c>
      <c r="T32" s="181">
        <f>_xll.xSPRDOPT(I32,H32,AQ32,AT32,O32,N32,P32,D32-$G$5,1,1)*AF32*F32*AH32</f>
        <v>0</v>
      </c>
      <c r="U32" s="135"/>
      <c r="V32" s="146">
        <f t="shared" si="51"/>
        <v>0</v>
      </c>
      <c r="W32" s="146"/>
      <c r="X32" s="338">
        <f t="shared" si="52"/>
        <v>0</v>
      </c>
      <c r="Y32" s="338">
        <f t="shared" si="14"/>
        <v>0</v>
      </c>
      <c r="Z32" s="338">
        <f t="shared" si="15"/>
        <v>0</v>
      </c>
      <c r="AA32" s="338">
        <f t="shared" si="16"/>
        <v>0</v>
      </c>
      <c r="AB32" s="338">
        <f t="shared" si="53"/>
        <v>0</v>
      </c>
      <c r="AC32" s="338">
        <f t="shared" si="54"/>
        <v>0</v>
      </c>
      <c r="AF32" s="138">
        <f t="shared" si="55"/>
        <v>0</v>
      </c>
      <c r="AG32" s="138">
        <f t="shared" si="56"/>
        <v>8</v>
      </c>
      <c r="AH32" s="138">
        <f t="shared" si="17"/>
        <v>0</v>
      </c>
      <c r="AI32" s="138">
        <f t="shared" si="57"/>
        <v>227</v>
      </c>
      <c r="AJ32" s="138">
        <f t="shared" si="58"/>
        <v>244</v>
      </c>
      <c r="AL32" s="136">
        <f t="shared" si="18"/>
        <v>3.0259999999999998</v>
      </c>
      <c r="AM32" s="258">
        <f t="shared" si="19"/>
        <v>-0.33</v>
      </c>
      <c r="AN32" s="258">
        <f t="shared" si="20"/>
        <v>0</v>
      </c>
      <c r="AO32" s="258">
        <f t="shared" si="21"/>
        <v>-7.0000000000000007E-2</v>
      </c>
      <c r="AP32" s="258">
        <f t="shared" si="22"/>
        <v>-0.01</v>
      </c>
      <c r="AQ32" s="136">
        <f t="shared" si="59"/>
        <v>1.2800000000000001E-2</v>
      </c>
      <c r="AR32" s="137">
        <f t="shared" si="23"/>
        <v>3.8800000000000001E-2</v>
      </c>
      <c r="AS32" s="136">
        <f t="shared" si="44"/>
        <v>2.6959999999999997</v>
      </c>
      <c r="AT32" s="137">
        <f t="shared" si="45"/>
        <v>2.1065008234303999E-2</v>
      </c>
      <c r="AU32" s="137">
        <f t="shared" si="24"/>
        <v>0</v>
      </c>
      <c r="AV32" s="394">
        <f t="shared" si="46"/>
        <v>0</v>
      </c>
      <c r="AW32" s="137">
        <f t="shared" si="25"/>
        <v>0.54</v>
      </c>
      <c r="AX32" s="137">
        <f t="shared" si="26"/>
        <v>0.73</v>
      </c>
      <c r="AY32" s="137">
        <f t="shared" si="27"/>
        <v>0.73</v>
      </c>
      <c r="AZ32" s="137"/>
      <c r="BA32" s="264"/>
      <c r="BB32" s="258">
        <f t="shared" si="28"/>
        <v>0</v>
      </c>
      <c r="BC32" s="258">
        <f t="shared" si="60"/>
        <v>0</v>
      </c>
      <c r="BD32" s="137">
        <f t="shared" si="61"/>
        <v>0</v>
      </c>
      <c r="BE32" s="137">
        <f t="shared" si="62"/>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-0.4859956636947852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0.7704695487593779</v>
      </c>
      <c r="BP32" s="137"/>
      <c r="BQ32" s="137"/>
      <c r="BR32" s="137"/>
      <c r="BS32" s="137"/>
      <c r="BV32" s="262">
        <v>2.8048272992093213</v>
      </c>
      <c r="BW32" s="136">
        <v>2.9460000000000002</v>
      </c>
      <c r="BX32" s="137">
        <v>0.54</v>
      </c>
      <c r="BY32" s="137">
        <v>0.54</v>
      </c>
      <c r="BZ32" s="137">
        <v>0</v>
      </c>
      <c r="CA32" s="137">
        <v>2.1065008234303999E-2</v>
      </c>
      <c r="CB32" s="137">
        <v>0</v>
      </c>
      <c r="CC32" s="258">
        <v>-0.33</v>
      </c>
      <c r="CD32" s="258">
        <v>0</v>
      </c>
      <c r="CE32" s="258">
        <v>-7.0000000000000007E-2</v>
      </c>
      <c r="CF32" s="258">
        <v>-0.01</v>
      </c>
      <c r="CG32" s="258">
        <v>1.2800000000000001E-2</v>
      </c>
      <c r="CH32" s="258">
        <v>0</v>
      </c>
      <c r="CI32" s="258">
        <v>3.0259999999999998</v>
      </c>
      <c r="CZ32" s="403">
        <f t="shared" si="29"/>
        <v>3.0259999999999998</v>
      </c>
      <c r="DA32" s="404">
        <f t="shared" si="30"/>
        <v>-7.0000000000000007E-2</v>
      </c>
      <c r="DB32" s="405">
        <f t="shared" si="30"/>
        <v>-0.01</v>
      </c>
      <c r="DC32" s="403">
        <f t="shared" si="31"/>
        <v>3.0259999999999998</v>
      </c>
      <c r="DD32" s="404">
        <f t="shared" si="32"/>
        <v>-7.0000000000000007E-2</v>
      </c>
      <c r="DE32" s="405">
        <f t="shared" si="32"/>
        <v>-0.01</v>
      </c>
      <c r="DF32" s="403">
        <f t="shared" si="33"/>
        <v>3.1481481481481479</v>
      </c>
      <c r="DG32" s="404">
        <f t="shared" si="34"/>
        <v>-0.34332084893882647</v>
      </c>
      <c r="DH32" s="405">
        <f t="shared" si="35"/>
        <v>0</v>
      </c>
      <c r="DI32" s="403">
        <f t="shared" si="36"/>
        <v>3.1481481481481479</v>
      </c>
      <c r="DJ32" s="404">
        <f t="shared" si="37"/>
        <v>-0.34332084893882647</v>
      </c>
      <c r="DK32" s="404">
        <f t="shared" si="38"/>
        <v>0</v>
      </c>
      <c r="DL32" s="397">
        <f t="shared" si="39"/>
        <v>0</v>
      </c>
      <c r="DM32" s="398">
        <f t="shared" si="39"/>
        <v>0</v>
      </c>
      <c r="DN32" s="399">
        <f t="shared" si="39"/>
        <v>0</v>
      </c>
    </row>
    <row r="33" spans="1:118" x14ac:dyDescent="0.25">
      <c r="A33" s="723"/>
      <c r="B33" s="723"/>
      <c r="D33" s="31">
        <f t="shared" si="47"/>
        <v>37483</v>
      </c>
      <c r="F33" s="28">
        <f t="shared" si="48"/>
        <v>16495</v>
      </c>
      <c r="G33" s="28">
        <f t="shared" si="12"/>
        <v>0</v>
      </c>
      <c r="H33" s="52">
        <f t="shared" si="49"/>
        <v>2.8048272992093213</v>
      </c>
      <c r="I33" s="52">
        <f t="shared" si="50"/>
        <v>2.9460000000000002</v>
      </c>
      <c r="K33" s="52">
        <f t="shared" si="40"/>
        <v>0</v>
      </c>
      <c r="L33" s="135">
        <f t="shared" si="13"/>
        <v>0</v>
      </c>
      <c r="N33" s="131">
        <f t="shared" si="41"/>
        <v>0.54</v>
      </c>
      <c r="O33" s="131">
        <f t="shared" si="42"/>
        <v>0.54</v>
      </c>
      <c r="P33" s="55">
        <f t="shared" si="43"/>
        <v>0</v>
      </c>
      <c r="Q33" s="135">
        <f>_xll.xSPRDOPT(I33,H33,AQ33,0,O33,N33,P33,D33-$G$5,1,0)*AH33*AU33</f>
        <v>0</v>
      </c>
      <c r="R33" s="135"/>
      <c r="S33" s="181">
        <f>_xll.xSPRDOPT(I33,H33,AQ33,AT33,O33,N33,P33,D33-$G$5,1,2)*AF33*(F33/(1-AR33))*AH33</f>
        <v>0</v>
      </c>
      <c r="T33" s="181">
        <f>_xll.xSPRDOPT(I33,H33,AQ33,AT33,O33,N33,P33,D33-$G$5,1,1)*AF33*F33*AH33</f>
        <v>0</v>
      </c>
      <c r="U33" s="135"/>
      <c r="V33" s="146">
        <f t="shared" si="51"/>
        <v>0</v>
      </c>
      <c r="W33" s="146"/>
      <c r="X33" s="338">
        <f t="shared" si="52"/>
        <v>0</v>
      </c>
      <c r="Y33" s="338">
        <f t="shared" si="14"/>
        <v>0</v>
      </c>
      <c r="Z33" s="338">
        <f t="shared" si="15"/>
        <v>0</v>
      </c>
      <c r="AA33" s="338">
        <f t="shared" si="16"/>
        <v>0</v>
      </c>
      <c r="AB33" s="338">
        <f t="shared" si="53"/>
        <v>0</v>
      </c>
      <c r="AC33" s="338">
        <f t="shared" si="54"/>
        <v>0</v>
      </c>
      <c r="AF33" s="138">
        <f t="shared" si="55"/>
        <v>0</v>
      </c>
      <c r="AG33" s="138">
        <f t="shared" si="56"/>
        <v>8</v>
      </c>
      <c r="AH33" s="138">
        <f t="shared" si="17"/>
        <v>0</v>
      </c>
      <c r="AI33" s="138">
        <f t="shared" si="57"/>
        <v>227</v>
      </c>
      <c r="AJ33" s="138">
        <f t="shared" si="58"/>
        <v>244</v>
      </c>
      <c r="AL33" s="136">
        <f t="shared" si="18"/>
        <v>3.0259999999999998</v>
      </c>
      <c r="AM33" s="258">
        <f t="shared" si="19"/>
        <v>-0.33</v>
      </c>
      <c r="AN33" s="258">
        <f t="shared" si="20"/>
        <v>0</v>
      </c>
      <c r="AO33" s="258">
        <f t="shared" si="21"/>
        <v>-7.0000000000000007E-2</v>
      </c>
      <c r="AP33" s="258">
        <f t="shared" si="22"/>
        <v>-0.01</v>
      </c>
      <c r="AQ33" s="136">
        <f t="shared" si="59"/>
        <v>1.2800000000000001E-2</v>
      </c>
      <c r="AR33" s="137">
        <f t="shared" si="23"/>
        <v>3.8800000000000001E-2</v>
      </c>
      <c r="AS33" s="136">
        <f t="shared" si="44"/>
        <v>2.6959999999999997</v>
      </c>
      <c r="AT33" s="137">
        <f t="shared" si="45"/>
        <v>2.1065008234303999E-2</v>
      </c>
      <c r="AU33" s="137">
        <f t="shared" si="24"/>
        <v>0</v>
      </c>
      <c r="AV33" s="394">
        <f t="shared" si="46"/>
        <v>0</v>
      </c>
      <c r="AW33" s="137">
        <f t="shared" si="25"/>
        <v>0.54</v>
      </c>
      <c r="AX33" s="137">
        <f t="shared" si="26"/>
        <v>0.73</v>
      </c>
      <c r="AY33" s="137">
        <f t="shared" si="27"/>
        <v>0.73</v>
      </c>
      <c r="AZ33" s="137"/>
      <c r="BA33" s="264"/>
      <c r="BB33" s="258">
        <f t="shared" si="28"/>
        <v>0</v>
      </c>
      <c r="BC33" s="258">
        <f t="shared" si="60"/>
        <v>0</v>
      </c>
      <c r="BD33" s="137">
        <f t="shared" si="61"/>
        <v>0</v>
      </c>
      <c r="BE33" s="137">
        <f t="shared" si="62"/>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-0.4859956636947852</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0.7704695487593779</v>
      </c>
      <c r="BP33" s="137"/>
      <c r="BQ33" s="137"/>
      <c r="BR33" s="137"/>
      <c r="BS33" s="137"/>
      <c r="BV33" s="262">
        <v>2.8048272992093213</v>
      </c>
      <c r="BW33" s="136">
        <v>2.9460000000000002</v>
      </c>
      <c r="BX33" s="137">
        <v>0.54</v>
      </c>
      <c r="BY33" s="137">
        <v>0.54</v>
      </c>
      <c r="BZ33" s="137">
        <v>0</v>
      </c>
      <c r="CA33" s="137">
        <v>2.1065008234303999E-2</v>
      </c>
      <c r="CB33" s="137">
        <v>0</v>
      </c>
      <c r="CC33" s="258">
        <v>-0.33</v>
      </c>
      <c r="CD33" s="258">
        <v>0</v>
      </c>
      <c r="CE33" s="258">
        <v>-7.0000000000000007E-2</v>
      </c>
      <c r="CF33" s="258">
        <v>-0.01</v>
      </c>
      <c r="CG33" s="258">
        <v>1.2800000000000001E-2</v>
      </c>
      <c r="CH33" s="258">
        <v>0</v>
      </c>
      <c r="CI33" s="258">
        <v>3.0259999999999998</v>
      </c>
      <c r="CZ33" s="403">
        <f t="shared" si="29"/>
        <v>3.0259999999999998</v>
      </c>
      <c r="DA33" s="404">
        <f t="shared" si="30"/>
        <v>-7.0000000000000007E-2</v>
      </c>
      <c r="DB33" s="405">
        <f t="shared" si="30"/>
        <v>-0.01</v>
      </c>
      <c r="DC33" s="403">
        <f t="shared" si="31"/>
        <v>3.0259999999999998</v>
      </c>
      <c r="DD33" s="404">
        <f t="shared" si="32"/>
        <v>-7.0000000000000007E-2</v>
      </c>
      <c r="DE33" s="405">
        <f t="shared" si="32"/>
        <v>-0.01</v>
      </c>
      <c r="DF33" s="403">
        <f t="shared" si="33"/>
        <v>3.1481481481481479</v>
      </c>
      <c r="DG33" s="404">
        <f t="shared" si="34"/>
        <v>-0.34332084893882647</v>
      </c>
      <c r="DH33" s="405">
        <f t="shared" si="35"/>
        <v>0</v>
      </c>
      <c r="DI33" s="403">
        <f t="shared" si="36"/>
        <v>3.1481481481481479</v>
      </c>
      <c r="DJ33" s="404">
        <f t="shared" si="37"/>
        <v>-0.34332084893882647</v>
      </c>
      <c r="DK33" s="404">
        <f t="shared" si="38"/>
        <v>0</v>
      </c>
      <c r="DL33" s="397">
        <f t="shared" si="39"/>
        <v>0</v>
      </c>
      <c r="DM33" s="398">
        <f t="shared" si="39"/>
        <v>0</v>
      </c>
      <c r="DN33" s="399">
        <f t="shared" si="39"/>
        <v>0</v>
      </c>
    </row>
    <row r="34" spans="1:118" x14ac:dyDescent="0.25">
      <c r="A34" s="723"/>
      <c r="B34" s="723"/>
      <c r="D34" s="31">
        <f t="shared" si="47"/>
        <v>37483</v>
      </c>
      <c r="F34" s="28">
        <f t="shared" si="48"/>
        <v>16495</v>
      </c>
      <c r="G34" s="28">
        <f t="shared" si="12"/>
        <v>0</v>
      </c>
      <c r="H34" s="52">
        <f t="shared" si="49"/>
        <v>2.8048272992093213</v>
      </c>
      <c r="I34" s="52">
        <f t="shared" si="50"/>
        <v>2.9460000000000002</v>
      </c>
      <c r="K34" s="52">
        <f t="shared" si="40"/>
        <v>0</v>
      </c>
      <c r="L34" s="135">
        <f t="shared" si="13"/>
        <v>0</v>
      </c>
      <c r="N34" s="131">
        <f t="shared" si="41"/>
        <v>0.54</v>
      </c>
      <c r="O34" s="131">
        <f t="shared" si="42"/>
        <v>0.54</v>
      </c>
      <c r="P34" s="55">
        <f t="shared" si="43"/>
        <v>0</v>
      </c>
      <c r="Q34" s="135">
        <f>_xll.xSPRDOPT(I34,H34,AQ34,0,O34,N34,P34,D34-$G$5,1,0)*AH34*AU34</f>
        <v>0</v>
      </c>
      <c r="R34" s="135"/>
      <c r="S34" s="181">
        <f>_xll.xSPRDOPT(I34,H34,AQ34,AT34,O34,N34,P34,D34-$G$5,1,2)*AF34*(F34/(1-AR34))*AH34</f>
        <v>0</v>
      </c>
      <c r="T34" s="181">
        <f>_xll.xSPRDOPT(I34,H34,AQ34,AT34,O34,N34,P34,D34-$G$5,1,1)*AF34*F34*AH34</f>
        <v>0</v>
      </c>
      <c r="U34" s="135"/>
      <c r="V34" s="146">
        <f t="shared" si="51"/>
        <v>0</v>
      </c>
      <c r="W34" s="146"/>
      <c r="X34" s="338">
        <f t="shared" si="52"/>
        <v>0</v>
      </c>
      <c r="Y34" s="338">
        <f t="shared" si="14"/>
        <v>0</v>
      </c>
      <c r="Z34" s="338">
        <f t="shared" si="15"/>
        <v>0</v>
      </c>
      <c r="AA34" s="338">
        <f t="shared" si="16"/>
        <v>0</v>
      </c>
      <c r="AB34" s="338">
        <f t="shared" si="53"/>
        <v>0</v>
      </c>
      <c r="AC34" s="338">
        <f t="shared" si="54"/>
        <v>0</v>
      </c>
      <c r="AF34" s="138">
        <f t="shared" si="55"/>
        <v>0</v>
      </c>
      <c r="AG34" s="138">
        <f t="shared" si="56"/>
        <v>8</v>
      </c>
      <c r="AH34" s="138">
        <f t="shared" si="17"/>
        <v>0</v>
      </c>
      <c r="AI34" s="138">
        <f t="shared" si="57"/>
        <v>227</v>
      </c>
      <c r="AJ34" s="138">
        <f t="shared" si="58"/>
        <v>244</v>
      </c>
      <c r="AL34" s="136">
        <f t="shared" si="18"/>
        <v>3.0259999999999998</v>
      </c>
      <c r="AM34" s="258">
        <f t="shared" si="19"/>
        <v>-0.33</v>
      </c>
      <c r="AN34" s="258">
        <f t="shared" si="20"/>
        <v>0</v>
      </c>
      <c r="AO34" s="258">
        <f t="shared" si="21"/>
        <v>-7.0000000000000007E-2</v>
      </c>
      <c r="AP34" s="258">
        <f t="shared" si="22"/>
        <v>-0.01</v>
      </c>
      <c r="AQ34" s="136">
        <f t="shared" si="59"/>
        <v>1.2800000000000001E-2</v>
      </c>
      <c r="AR34" s="137">
        <f t="shared" si="23"/>
        <v>3.8800000000000001E-2</v>
      </c>
      <c r="AS34" s="136">
        <f t="shared" si="44"/>
        <v>2.6959999999999997</v>
      </c>
      <c r="AT34" s="137">
        <f t="shared" si="45"/>
        <v>2.1065008234303999E-2</v>
      </c>
      <c r="AU34" s="137">
        <f t="shared" si="24"/>
        <v>0</v>
      </c>
      <c r="AV34" s="394">
        <f t="shared" si="46"/>
        <v>0</v>
      </c>
      <c r="AW34" s="137">
        <f t="shared" si="25"/>
        <v>0.54</v>
      </c>
      <c r="AX34" s="137">
        <f t="shared" si="26"/>
        <v>0.73</v>
      </c>
      <c r="AY34" s="137">
        <f t="shared" si="27"/>
        <v>0.73</v>
      </c>
      <c r="AZ34" s="137"/>
      <c r="BA34" s="264"/>
      <c r="BB34" s="258">
        <f t="shared" si="28"/>
        <v>0</v>
      </c>
      <c r="BC34" s="258">
        <f t="shared" si="60"/>
        <v>0</v>
      </c>
      <c r="BD34" s="137">
        <f t="shared" si="61"/>
        <v>0</v>
      </c>
      <c r="BE34" s="137">
        <f t="shared" si="62"/>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-0.4859956636947852</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0.7704695487593779</v>
      </c>
      <c r="BP34" s="137"/>
      <c r="BQ34" s="137"/>
      <c r="BR34" s="137"/>
      <c r="BS34" s="137"/>
      <c r="BV34" s="262">
        <v>2.8048272992093213</v>
      </c>
      <c r="BW34" s="136">
        <v>2.9460000000000002</v>
      </c>
      <c r="BX34" s="137">
        <v>0.54</v>
      </c>
      <c r="BY34" s="137">
        <v>0.54</v>
      </c>
      <c r="BZ34" s="137">
        <v>0</v>
      </c>
      <c r="CA34" s="137">
        <v>2.1065008234303999E-2</v>
      </c>
      <c r="CB34" s="137">
        <v>0</v>
      </c>
      <c r="CC34" s="258">
        <v>-0.33</v>
      </c>
      <c r="CD34" s="258">
        <v>0</v>
      </c>
      <c r="CE34" s="258">
        <v>-7.0000000000000007E-2</v>
      </c>
      <c r="CF34" s="258">
        <v>-0.01</v>
      </c>
      <c r="CG34" s="258">
        <v>1.2800000000000001E-2</v>
      </c>
      <c r="CH34" s="258">
        <v>0</v>
      </c>
      <c r="CI34" s="258">
        <v>3.0259999999999998</v>
      </c>
      <c r="CZ34" s="403">
        <f t="shared" si="29"/>
        <v>3.0259999999999998</v>
      </c>
      <c r="DA34" s="404">
        <f t="shared" si="30"/>
        <v>-7.0000000000000007E-2</v>
      </c>
      <c r="DB34" s="405">
        <f t="shared" si="30"/>
        <v>-0.01</v>
      </c>
      <c r="DC34" s="403">
        <f t="shared" si="31"/>
        <v>3.0259999999999998</v>
      </c>
      <c r="DD34" s="404">
        <f t="shared" si="32"/>
        <v>-7.0000000000000007E-2</v>
      </c>
      <c r="DE34" s="405">
        <f t="shared" si="32"/>
        <v>-0.01</v>
      </c>
      <c r="DF34" s="403">
        <f t="shared" si="33"/>
        <v>3.1481481481481479</v>
      </c>
      <c r="DG34" s="404">
        <f t="shared" si="34"/>
        <v>-0.34332084893882647</v>
      </c>
      <c r="DH34" s="405">
        <f t="shared" si="35"/>
        <v>0</v>
      </c>
      <c r="DI34" s="403">
        <f t="shared" si="36"/>
        <v>3.1481481481481479</v>
      </c>
      <c r="DJ34" s="404">
        <f t="shared" si="37"/>
        <v>-0.34332084893882647</v>
      </c>
      <c r="DK34" s="404">
        <f t="shared" si="38"/>
        <v>0</v>
      </c>
      <c r="DL34" s="397">
        <f t="shared" si="39"/>
        <v>0</v>
      </c>
      <c r="DM34" s="398">
        <f t="shared" si="39"/>
        <v>0</v>
      </c>
      <c r="DN34" s="399">
        <f t="shared" si="39"/>
        <v>0</v>
      </c>
    </row>
    <row r="35" spans="1:118" x14ac:dyDescent="0.25">
      <c r="A35" s="723"/>
      <c r="B35" s="723"/>
      <c r="D35" s="31">
        <f t="shared" si="47"/>
        <v>37483</v>
      </c>
      <c r="F35" s="28">
        <f t="shared" si="48"/>
        <v>16495</v>
      </c>
      <c r="G35" s="28">
        <f t="shared" si="12"/>
        <v>0</v>
      </c>
      <c r="H35" s="52">
        <f t="shared" si="49"/>
        <v>2.8048272992093213</v>
      </c>
      <c r="I35" s="52">
        <f t="shared" si="50"/>
        <v>2.9460000000000002</v>
      </c>
      <c r="K35" s="52">
        <f t="shared" si="40"/>
        <v>0</v>
      </c>
      <c r="L35" s="135">
        <f t="shared" si="13"/>
        <v>0</v>
      </c>
      <c r="N35" s="131">
        <f t="shared" si="41"/>
        <v>0.54</v>
      </c>
      <c r="O35" s="131">
        <f t="shared" si="42"/>
        <v>0.54</v>
      </c>
      <c r="P35" s="55">
        <f t="shared" si="43"/>
        <v>0</v>
      </c>
      <c r="Q35" s="135">
        <f>_xll.xSPRDOPT(I35,H35,AQ35,0,O35,N35,P35,D35-$G$5,1,0)*AH35*AU35</f>
        <v>0</v>
      </c>
      <c r="R35" s="135"/>
      <c r="S35" s="181">
        <f>_xll.xSPRDOPT(I35,H35,AQ35,AT35,O35,N35,P35,D35-$G$5,1,2)*AF35*(F35/(1-AR35))*AH35</f>
        <v>0</v>
      </c>
      <c r="T35" s="181">
        <f>_xll.xSPRDOPT(I35,H35,AQ35,AT35,O35,N35,P35,D35-$G$5,1,1)*AF35*F35*AH35</f>
        <v>0</v>
      </c>
      <c r="U35" s="135"/>
      <c r="V35" s="146">
        <f t="shared" si="51"/>
        <v>0</v>
      </c>
      <c r="W35" s="146"/>
      <c r="X35" s="338">
        <f t="shared" si="52"/>
        <v>0</v>
      </c>
      <c r="Y35" s="338">
        <f t="shared" si="14"/>
        <v>0</v>
      </c>
      <c r="Z35" s="338">
        <f t="shared" si="15"/>
        <v>0</v>
      </c>
      <c r="AA35" s="338">
        <f t="shared" si="16"/>
        <v>0</v>
      </c>
      <c r="AB35" s="338">
        <f t="shared" si="53"/>
        <v>0</v>
      </c>
      <c r="AC35" s="338">
        <f t="shared" si="54"/>
        <v>0</v>
      </c>
      <c r="AF35" s="138">
        <f t="shared" si="55"/>
        <v>0</v>
      </c>
      <c r="AG35" s="138">
        <f t="shared" si="56"/>
        <v>8</v>
      </c>
      <c r="AH35" s="138">
        <f t="shared" si="17"/>
        <v>0</v>
      </c>
      <c r="AI35" s="138">
        <f t="shared" si="57"/>
        <v>227</v>
      </c>
      <c r="AJ35" s="138">
        <f t="shared" si="58"/>
        <v>244</v>
      </c>
      <c r="AL35" s="136">
        <f t="shared" si="18"/>
        <v>3.0259999999999998</v>
      </c>
      <c r="AM35" s="258">
        <f t="shared" si="19"/>
        <v>-0.33</v>
      </c>
      <c r="AN35" s="258">
        <f t="shared" si="20"/>
        <v>0</v>
      </c>
      <c r="AO35" s="258">
        <f t="shared" si="21"/>
        <v>-7.0000000000000007E-2</v>
      </c>
      <c r="AP35" s="258">
        <f t="shared" si="22"/>
        <v>-0.01</v>
      </c>
      <c r="AQ35" s="136">
        <f t="shared" si="59"/>
        <v>1.2800000000000001E-2</v>
      </c>
      <c r="AR35" s="137">
        <f t="shared" si="23"/>
        <v>3.8800000000000001E-2</v>
      </c>
      <c r="AS35" s="136">
        <f t="shared" si="44"/>
        <v>2.6959999999999997</v>
      </c>
      <c r="AT35" s="137">
        <f t="shared" si="45"/>
        <v>2.1065008234303999E-2</v>
      </c>
      <c r="AU35" s="137">
        <f t="shared" si="24"/>
        <v>0</v>
      </c>
      <c r="AV35" s="394">
        <f t="shared" si="46"/>
        <v>0</v>
      </c>
      <c r="AW35" s="137">
        <f t="shared" si="25"/>
        <v>0.54</v>
      </c>
      <c r="AX35" s="137">
        <f t="shared" si="26"/>
        <v>0.73</v>
      </c>
      <c r="AY35" s="137">
        <f t="shared" si="27"/>
        <v>0.73</v>
      </c>
      <c r="AZ35" s="137"/>
      <c r="BA35" s="264"/>
      <c r="BB35" s="258">
        <f t="shared" si="28"/>
        <v>0</v>
      </c>
      <c r="BC35" s="258">
        <f t="shared" si="60"/>
        <v>0</v>
      </c>
      <c r="BD35" s="137">
        <f t="shared" si="61"/>
        <v>0</v>
      </c>
      <c r="BE35" s="137">
        <f t="shared" si="62"/>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-0.4859956636947852</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0.7704695487593779</v>
      </c>
      <c r="BP35" s="137"/>
      <c r="BQ35" s="137"/>
      <c r="BR35" s="137"/>
      <c r="BS35" s="137"/>
      <c r="BV35" s="262">
        <v>2.8048272992093213</v>
      </c>
      <c r="BW35" s="136">
        <v>2.9460000000000002</v>
      </c>
      <c r="BX35" s="137">
        <v>0.54</v>
      </c>
      <c r="BY35" s="137">
        <v>0.54</v>
      </c>
      <c r="BZ35" s="137">
        <v>0</v>
      </c>
      <c r="CA35" s="137">
        <v>2.1065008234303999E-2</v>
      </c>
      <c r="CB35" s="137">
        <v>0</v>
      </c>
      <c r="CC35" s="258">
        <v>-0.33</v>
      </c>
      <c r="CD35" s="258">
        <v>0</v>
      </c>
      <c r="CE35" s="258">
        <v>-7.0000000000000007E-2</v>
      </c>
      <c r="CF35" s="258">
        <v>-0.01</v>
      </c>
      <c r="CG35" s="258">
        <v>1.2800000000000001E-2</v>
      </c>
      <c r="CH35" s="258">
        <v>0</v>
      </c>
      <c r="CI35" s="258">
        <v>3.0259999999999998</v>
      </c>
      <c r="CZ35" s="403">
        <f t="shared" si="29"/>
        <v>3.0259999999999998</v>
      </c>
      <c r="DA35" s="404">
        <f t="shared" si="30"/>
        <v>-7.0000000000000007E-2</v>
      </c>
      <c r="DB35" s="405">
        <f t="shared" si="30"/>
        <v>-0.01</v>
      </c>
      <c r="DC35" s="403">
        <f t="shared" si="31"/>
        <v>3.0259999999999998</v>
      </c>
      <c r="DD35" s="404">
        <f t="shared" si="32"/>
        <v>-7.0000000000000007E-2</v>
      </c>
      <c r="DE35" s="405">
        <f t="shared" si="32"/>
        <v>-0.01</v>
      </c>
      <c r="DF35" s="403">
        <f t="shared" si="33"/>
        <v>3.1481481481481479</v>
      </c>
      <c r="DG35" s="404">
        <f t="shared" si="34"/>
        <v>-0.34332084893882647</v>
      </c>
      <c r="DH35" s="405">
        <f t="shared" si="35"/>
        <v>0</v>
      </c>
      <c r="DI35" s="403">
        <f t="shared" si="36"/>
        <v>3.1481481481481479</v>
      </c>
      <c r="DJ35" s="404">
        <f t="shared" si="37"/>
        <v>-0.34332084893882647</v>
      </c>
      <c r="DK35" s="404">
        <f t="shared" si="38"/>
        <v>0</v>
      </c>
      <c r="DL35" s="397">
        <f t="shared" si="39"/>
        <v>0</v>
      </c>
      <c r="DM35" s="398">
        <f t="shared" si="39"/>
        <v>0</v>
      </c>
      <c r="DN35" s="399">
        <f t="shared" si="39"/>
        <v>0</v>
      </c>
    </row>
    <row r="36" spans="1:118" x14ac:dyDescent="0.25">
      <c r="A36" s="723"/>
      <c r="B36" s="723"/>
      <c r="K36" s="52"/>
      <c r="L36" s="135"/>
      <c r="N36" s="131"/>
      <c r="O36" s="131"/>
      <c r="P36" s="55"/>
      <c r="Q36" s="135"/>
      <c r="R36" s="135"/>
      <c r="U36" s="135"/>
      <c r="V36" s="146"/>
      <c r="W36" s="146"/>
      <c r="X36" s="146"/>
      <c r="Y36" s="338"/>
      <c r="Z36" s="338"/>
      <c r="AA36" s="338"/>
      <c r="AB36" s="338"/>
      <c r="AC36" s="338"/>
      <c r="AF36" s="138"/>
      <c r="AG36" s="138"/>
      <c r="AH36" s="138"/>
      <c r="AI36" s="138"/>
      <c r="AL36" s="258"/>
      <c r="AM36" s="258"/>
      <c r="AN36" s="258"/>
      <c r="AO36" s="258"/>
      <c r="AQ36" s="137"/>
      <c r="AT36" s="137"/>
      <c r="AV36" s="34"/>
      <c r="AW36" s="137"/>
      <c r="AX36" s="137"/>
      <c r="AY36" s="137"/>
      <c r="AZ36" s="137"/>
      <c r="BA36" s="264"/>
      <c r="BB36" s="258"/>
      <c r="BC36" s="258"/>
      <c r="BD36" s="137"/>
      <c r="BE36" s="137"/>
      <c r="BF36" s="137"/>
      <c r="BG36" s="137"/>
      <c r="BH36" s="137"/>
      <c r="BI36" s="137"/>
      <c r="BJ36" s="137"/>
      <c r="BK36" s="137"/>
      <c r="BL36" s="137"/>
      <c r="BM36" s="137"/>
      <c r="BO36" s="137"/>
      <c r="BP36" s="137"/>
      <c r="BQ36" s="137"/>
      <c r="BR36" s="137"/>
      <c r="BS36" s="137"/>
      <c r="BV36" s="262"/>
      <c r="BW36" s="136"/>
      <c r="BX36" s="137"/>
      <c r="BY36" s="137"/>
      <c r="BZ36" s="137"/>
      <c r="CA36" s="137"/>
      <c r="CB36" s="137"/>
      <c r="CC36" s="258"/>
      <c r="CD36" s="258"/>
      <c r="CE36" s="258"/>
      <c r="CF36" s="258"/>
    </row>
    <row r="37" spans="1:118" x14ac:dyDescent="0.25">
      <c r="A37" s="727"/>
      <c r="B37" s="723"/>
      <c r="K37" s="52"/>
      <c r="L37" s="135"/>
      <c r="N37" s="131"/>
      <c r="O37" s="131"/>
      <c r="P37" s="55"/>
      <c r="Q37" s="135"/>
      <c r="R37" s="135"/>
      <c r="U37" s="135"/>
      <c r="V37" s="146"/>
      <c r="W37" s="146"/>
      <c r="X37" s="146"/>
      <c r="Y37" s="338"/>
      <c r="Z37" s="338"/>
      <c r="AA37" s="338"/>
      <c r="AB37" s="338"/>
      <c r="AC37" s="338"/>
      <c r="AF37" s="138"/>
      <c r="AG37" s="138"/>
      <c r="AH37" s="138"/>
      <c r="AI37" s="138"/>
      <c r="AL37" s="258"/>
      <c r="AM37" s="258"/>
      <c r="AN37" s="258"/>
      <c r="AO37" s="258"/>
      <c r="AQ37" s="137"/>
      <c r="AT37" s="137"/>
      <c r="AV37" s="34"/>
      <c r="AW37" s="137"/>
      <c r="AX37" s="137"/>
      <c r="AY37" s="137"/>
      <c r="AZ37" s="137"/>
      <c r="BA37" s="264"/>
      <c r="BB37" s="258"/>
      <c r="BC37" s="258"/>
      <c r="BD37" s="137"/>
      <c r="BE37" s="137"/>
      <c r="BF37" s="137"/>
      <c r="BG37" s="137"/>
      <c r="BH37" s="137"/>
      <c r="BI37" s="137"/>
      <c r="BJ37" s="137"/>
      <c r="BK37" s="137"/>
      <c r="BL37" s="137"/>
      <c r="BM37" s="137"/>
      <c r="BO37" s="137"/>
      <c r="BP37" s="137"/>
      <c r="BQ37" s="137"/>
      <c r="BR37" s="137"/>
      <c r="BS37" s="137"/>
      <c r="BV37" s="262"/>
      <c r="BW37" s="136"/>
      <c r="BX37" s="137"/>
      <c r="BY37" s="137"/>
      <c r="BZ37" s="137"/>
      <c r="CA37" s="137"/>
      <c r="CB37" s="137"/>
      <c r="CC37" s="258"/>
      <c r="CD37" s="258"/>
      <c r="CE37" s="258"/>
      <c r="CF37" s="258"/>
    </row>
    <row r="38" spans="1:118" x14ac:dyDescent="0.25">
      <c r="A38" s="723"/>
      <c r="B38" s="723"/>
      <c r="K38" s="52"/>
      <c r="L38" s="135"/>
      <c r="N38" s="131"/>
      <c r="O38" s="131"/>
      <c r="P38" s="55"/>
      <c r="Q38" s="135"/>
      <c r="R38" s="135"/>
      <c r="U38" s="135"/>
      <c r="V38" s="146"/>
      <c r="W38" s="146"/>
      <c r="X38" s="146"/>
      <c r="Y38" s="338"/>
      <c r="Z38" s="338"/>
      <c r="AA38" s="338"/>
      <c r="AB38" s="338"/>
      <c r="AC38" s="338"/>
      <c r="AF38" s="138"/>
      <c r="AG38" s="138"/>
      <c r="AH38" s="138"/>
      <c r="AI38" s="138"/>
      <c r="AL38" s="258"/>
      <c r="AM38" s="258"/>
      <c r="AN38" s="258"/>
      <c r="AO38" s="258"/>
      <c r="AQ38" s="137"/>
      <c r="AT38" s="137"/>
      <c r="AV38" s="34"/>
      <c r="AW38" s="137"/>
      <c r="AX38" s="137"/>
      <c r="AY38" s="137"/>
      <c r="AZ38" s="137"/>
      <c r="BA38" s="264"/>
      <c r="BB38" s="258"/>
      <c r="BC38" s="258"/>
      <c r="BD38" s="137"/>
      <c r="BE38" s="137"/>
      <c r="BF38" s="137"/>
      <c r="BG38" s="137"/>
      <c r="BH38" s="137"/>
      <c r="BI38" s="137"/>
      <c r="BJ38" s="137"/>
      <c r="BK38" s="137"/>
      <c r="BL38" s="137"/>
      <c r="BM38" s="137"/>
      <c r="BO38" s="137"/>
      <c r="BP38" s="137"/>
      <c r="BQ38" s="137"/>
      <c r="BR38" s="137"/>
      <c r="BS38" s="137"/>
      <c r="BV38" s="262"/>
      <c r="BW38" s="136"/>
      <c r="BX38" s="137"/>
      <c r="BY38" s="137"/>
      <c r="BZ38" s="137"/>
      <c r="CA38" s="137"/>
      <c r="CB38" s="137"/>
      <c r="CC38" s="258"/>
      <c r="CD38" s="258"/>
      <c r="CE38" s="258"/>
      <c r="CF38" s="258"/>
    </row>
    <row r="39" spans="1:118" x14ac:dyDescent="0.25">
      <c r="A39" s="723"/>
      <c r="B39" s="723"/>
      <c r="K39" s="52"/>
      <c r="L39" s="135"/>
      <c r="N39" s="131"/>
      <c r="O39" s="131"/>
      <c r="P39" s="55"/>
      <c r="Q39" s="135"/>
      <c r="R39" s="135"/>
      <c r="U39" s="135"/>
      <c r="V39" s="146"/>
      <c r="W39" s="146"/>
      <c r="X39" s="146"/>
      <c r="Y39" s="338"/>
      <c r="Z39" s="338"/>
      <c r="AA39" s="338"/>
      <c r="AB39" s="338"/>
      <c r="AC39" s="338"/>
      <c r="AF39" s="138"/>
      <c r="AG39" s="138"/>
      <c r="AH39" s="138"/>
      <c r="AI39" s="138"/>
      <c r="AL39" s="258"/>
      <c r="AM39" s="258"/>
      <c r="AN39" s="258"/>
      <c r="AO39" s="258"/>
      <c r="AQ39" s="137"/>
      <c r="AT39" s="137"/>
      <c r="AV39" s="34"/>
      <c r="AW39" s="137"/>
      <c r="AX39" s="137"/>
      <c r="AY39" s="137"/>
      <c r="AZ39" s="137"/>
      <c r="BA39" s="264"/>
      <c r="BB39" s="258"/>
      <c r="BC39" s="258"/>
      <c r="BD39" s="137"/>
      <c r="BE39" s="137"/>
      <c r="BF39" s="137"/>
      <c r="BG39" s="137"/>
      <c r="BH39" s="137"/>
      <c r="BI39" s="137"/>
      <c r="BJ39" s="137"/>
      <c r="BK39" s="137"/>
      <c r="BL39" s="137"/>
      <c r="BM39" s="137"/>
      <c r="BO39" s="137"/>
      <c r="BP39" s="137"/>
      <c r="BQ39" s="137"/>
      <c r="BR39" s="137"/>
      <c r="BS39" s="137"/>
      <c r="BV39" s="262"/>
      <c r="BW39" s="136"/>
      <c r="BX39" s="137"/>
      <c r="BY39" s="137"/>
      <c r="BZ39" s="137"/>
      <c r="CA39" s="137"/>
      <c r="CB39" s="137"/>
      <c r="CC39" s="258"/>
      <c r="CD39" s="258"/>
      <c r="CE39" s="258"/>
      <c r="CF39" s="258"/>
    </row>
    <row r="40" spans="1:118" x14ac:dyDescent="0.25">
      <c r="A40" s="723"/>
      <c r="B40" s="723"/>
      <c r="K40" s="52"/>
      <c r="L40" s="135"/>
      <c r="N40" s="131"/>
      <c r="O40" s="131"/>
      <c r="P40" s="55"/>
      <c r="Q40" s="135"/>
      <c r="R40" s="135"/>
      <c r="U40" s="135"/>
      <c r="V40" s="146"/>
      <c r="W40" s="146"/>
      <c r="X40" s="146"/>
      <c r="Y40" s="338"/>
      <c r="Z40" s="338"/>
      <c r="AA40" s="338"/>
      <c r="AB40" s="338"/>
      <c r="AC40" s="338"/>
      <c r="AF40" s="138"/>
      <c r="AG40" s="138"/>
      <c r="AH40" s="138"/>
      <c r="AI40" s="138"/>
      <c r="AL40" s="258"/>
      <c r="AM40" s="258"/>
      <c r="AN40" s="258"/>
      <c r="AO40" s="258"/>
      <c r="AQ40" s="137"/>
      <c r="AT40" s="137"/>
      <c r="AV40" s="34"/>
      <c r="AW40" s="137"/>
      <c r="AX40" s="137"/>
      <c r="AY40" s="137"/>
      <c r="AZ40" s="137"/>
      <c r="BA40" s="264"/>
      <c r="BB40" s="258"/>
      <c r="BC40" s="258"/>
      <c r="BD40" s="137"/>
      <c r="BE40" s="137"/>
      <c r="BF40" s="137"/>
      <c r="BG40" s="137"/>
      <c r="BH40" s="137"/>
      <c r="BI40" s="137"/>
      <c r="BJ40" s="137"/>
      <c r="BK40" s="137"/>
      <c r="BL40" s="137"/>
      <c r="BM40" s="137"/>
      <c r="BO40" s="137"/>
      <c r="BP40" s="137"/>
      <c r="BQ40" s="137"/>
      <c r="BR40" s="137"/>
      <c r="BS40" s="137"/>
      <c r="BV40" s="262"/>
      <c r="BW40" s="136"/>
      <c r="BX40" s="137"/>
      <c r="BY40" s="137"/>
      <c r="BZ40" s="137"/>
      <c r="CA40" s="137"/>
      <c r="CB40" s="137"/>
      <c r="CC40" s="258"/>
      <c r="CD40" s="258"/>
      <c r="CE40" s="258"/>
      <c r="CF40" s="258"/>
    </row>
    <row r="41" spans="1:118" x14ac:dyDescent="0.25">
      <c r="A41" s="723"/>
      <c r="B41" s="723"/>
      <c r="K41" s="52"/>
      <c r="L41" s="135"/>
      <c r="N41" s="131"/>
      <c r="O41" s="131"/>
      <c r="P41" s="55"/>
      <c r="Q41" s="135"/>
      <c r="R41" s="135"/>
      <c r="U41" s="135"/>
      <c r="V41" s="146"/>
      <c r="W41" s="146"/>
      <c r="X41" s="146"/>
      <c r="Y41" s="338"/>
      <c r="Z41" s="338"/>
      <c r="AA41" s="338"/>
      <c r="AB41" s="338"/>
      <c r="AC41" s="338"/>
      <c r="AF41" s="138"/>
      <c r="AG41" s="138"/>
      <c r="AH41" s="138"/>
      <c r="AI41" s="138"/>
      <c r="AL41" s="258"/>
      <c r="AM41" s="258"/>
      <c r="AN41" s="258"/>
      <c r="AO41" s="258"/>
      <c r="AQ41" s="137"/>
      <c r="AT41" s="137"/>
      <c r="AV41" s="34"/>
      <c r="AW41" s="137"/>
      <c r="AX41" s="137"/>
      <c r="AY41" s="137"/>
      <c r="AZ41" s="137"/>
      <c r="BA41" s="264"/>
      <c r="BB41" s="258"/>
      <c r="BC41" s="258"/>
      <c r="BD41" s="137"/>
      <c r="BE41" s="137"/>
      <c r="BF41" s="137"/>
      <c r="BG41" s="137"/>
      <c r="BH41" s="137"/>
      <c r="BI41" s="137"/>
      <c r="BJ41" s="137"/>
      <c r="BK41" s="137"/>
      <c r="BL41" s="137"/>
      <c r="BM41" s="137"/>
      <c r="BO41" s="137"/>
      <c r="BP41" s="137"/>
      <c r="BQ41" s="137"/>
      <c r="BR41" s="137"/>
      <c r="BS41" s="137"/>
      <c r="BV41" s="262"/>
      <c r="BW41" s="136"/>
      <c r="BX41" s="137"/>
      <c r="BY41" s="137"/>
      <c r="BZ41" s="137"/>
      <c r="CA41" s="137"/>
      <c r="CB41" s="137"/>
      <c r="CC41" s="258"/>
      <c r="CD41" s="258"/>
      <c r="CE41" s="258"/>
      <c r="CF41" s="258"/>
    </row>
    <row r="42" spans="1:118" x14ac:dyDescent="0.25">
      <c r="A42" s="723"/>
      <c r="B42" s="723"/>
      <c r="K42" s="52"/>
      <c r="L42" s="135"/>
      <c r="N42" s="131"/>
      <c r="O42" s="131"/>
      <c r="P42" s="55"/>
      <c r="Q42" s="135"/>
      <c r="R42" s="135"/>
      <c r="U42" s="135"/>
      <c r="V42" s="146"/>
      <c r="W42" s="146"/>
      <c r="X42" s="146"/>
      <c r="Y42" s="338"/>
      <c r="Z42" s="338"/>
      <c r="AA42" s="338"/>
      <c r="AB42" s="338"/>
      <c r="AC42" s="338"/>
      <c r="AF42" s="138"/>
      <c r="AG42" s="138"/>
      <c r="AH42" s="138"/>
      <c r="AI42" s="138"/>
      <c r="AL42" s="258"/>
      <c r="AM42" s="258"/>
      <c r="AN42" s="258"/>
      <c r="AO42" s="258"/>
      <c r="AQ42" s="137"/>
      <c r="AT42" s="137"/>
      <c r="AV42" s="34"/>
      <c r="AW42" s="137"/>
      <c r="AX42" s="137"/>
      <c r="AY42" s="137"/>
      <c r="AZ42" s="137"/>
      <c r="BA42" s="264"/>
      <c r="BB42" s="258"/>
      <c r="BC42" s="258"/>
      <c r="BD42" s="137"/>
      <c r="BE42" s="137"/>
      <c r="BF42" s="137"/>
      <c r="BG42" s="137"/>
      <c r="BH42" s="137"/>
      <c r="BI42" s="137"/>
      <c r="BJ42" s="137"/>
      <c r="BK42" s="137"/>
      <c r="BL42" s="137"/>
      <c r="BM42" s="137"/>
      <c r="BO42" s="137"/>
      <c r="BP42" s="137"/>
      <c r="BQ42" s="137"/>
      <c r="BR42" s="137"/>
      <c r="BS42" s="137"/>
      <c r="BV42" s="262"/>
      <c r="BW42" s="136"/>
      <c r="BX42" s="137"/>
      <c r="BY42" s="137"/>
      <c r="BZ42" s="137"/>
      <c r="CA42" s="137"/>
      <c r="CB42" s="137"/>
      <c r="CC42" s="258"/>
      <c r="CD42" s="258"/>
      <c r="CE42" s="258"/>
      <c r="CF42" s="258"/>
    </row>
    <row r="43" spans="1:118" x14ac:dyDescent="0.25">
      <c r="A43" s="723"/>
      <c r="B43" s="723"/>
      <c r="K43" s="52"/>
      <c r="L43" s="135"/>
      <c r="N43" s="131"/>
      <c r="O43" s="131"/>
      <c r="P43" s="55"/>
      <c r="Q43" s="135"/>
      <c r="R43" s="135"/>
      <c r="U43" s="135"/>
      <c r="V43" s="146"/>
      <c r="W43" s="146"/>
      <c r="X43" s="146"/>
      <c r="Y43" s="338"/>
      <c r="Z43" s="338"/>
      <c r="AA43" s="338"/>
      <c r="AB43" s="338"/>
      <c r="AC43" s="338"/>
      <c r="AF43" s="138"/>
      <c r="AG43" s="138"/>
      <c r="AH43" s="138"/>
      <c r="AI43" s="138"/>
      <c r="AL43" s="258"/>
      <c r="AM43" s="258"/>
      <c r="AN43" s="258"/>
      <c r="AO43" s="258"/>
      <c r="AQ43" s="137"/>
      <c r="AT43" s="137"/>
      <c r="AV43" s="34"/>
      <c r="AW43" s="137"/>
      <c r="AX43" s="137"/>
      <c r="AY43" s="137"/>
      <c r="AZ43" s="137"/>
      <c r="BA43" s="264"/>
      <c r="BB43" s="258"/>
      <c r="BC43" s="258"/>
      <c r="BD43" s="137"/>
      <c r="BE43" s="137"/>
      <c r="BF43" s="137"/>
      <c r="BG43" s="137"/>
      <c r="BH43" s="137"/>
      <c r="BI43" s="137"/>
      <c r="BJ43" s="137"/>
      <c r="BK43" s="137"/>
      <c r="BL43" s="137"/>
      <c r="BM43" s="137"/>
      <c r="BO43" s="137"/>
      <c r="BP43" s="137"/>
      <c r="BQ43" s="137"/>
      <c r="BR43" s="137"/>
      <c r="BS43" s="137"/>
      <c r="BV43" s="262"/>
      <c r="BW43" s="136"/>
      <c r="BX43" s="137"/>
      <c r="BY43" s="137"/>
      <c r="BZ43" s="137"/>
      <c r="CA43" s="137"/>
      <c r="CB43" s="137"/>
      <c r="CC43" s="258"/>
      <c r="CD43" s="258"/>
      <c r="CE43" s="258"/>
      <c r="CF43" s="258"/>
    </row>
    <row r="44" spans="1:118" x14ac:dyDescent="0.25">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118" x14ac:dyDescent="0.25">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118" x14ac:dyDescent="0.25">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118" x14ac:dyDescent="0.25">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118" x14ac:dyDescent="0.25">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5">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5">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5">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5">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5">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5">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5">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5">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5">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5">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5">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5">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5">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5">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5">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5">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5">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5">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5">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5">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5">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5">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5">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5">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5">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5">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5">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5">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5">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5">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5">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5">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5">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5">
      <c r="A82" s="723"/>
      <c r="B82" s="723"/>
      <c r="L82" s="135"/>
      <c r="P82" s="55"/>
      <c r="Q82" s="135"/>
      <c r="R82" s="55"/>
      <c r="U82" s="55"/>
      <c r="V82" s="55"/>
      <c r="W82" s="55"/>
      <c r="X82" s="55"/>
      <c r="AO82" s="136"/>
      <c r="AQ82" s="137"/>
      <c r="AU82" s="145"/>
      <c r="AV82" s="34"/>
      <c r="AW82" s="137"/>
    </row>
    <row r="83" spans="1:84" x14ac:dyDescent="0.25">
      <c r="A83" s="723"/>
      <c r="B83" s="723"/>
      <c r="L83" s="135"/>
      <c r="P83" s="55"/>
      <c r="Q83" s="135"/>
      <c r="R83" s="55"/>
      <c r="U83" s="55"/>
      <c r="V83" s="55"/>
      <c r="W83" s="55"/>
      <c r="X83" s="55"/>
      <c r="AO83" s="136"/>
      <c r="AQ83" s="137"/>
      <c r="AU83" s="145"/>
      <c r="AV83" s="34"/>
      <c r="AW83" s="137"/>
    </row>
    <row r="84" spans="1:84" x14ac:dyDescent="0.25">
      <c r="A84" s="723"/>
      <c r="B84" s="723"/>
      <c r="L84" s="135"/>
      <c r="P84" s="55"/>
      <c r="Q84" s="135"/>
      <c r="R84" s="55"/>
      <c r="U84" s="55"/>
      <c r="V84" s="55"/>
      <c r="W84" s="55"/>
      <c r="X84" s="55"/>
      <c r="AO84" s="136"/>
      <c r="AQ84" s="137"/>
      <c r="AU84" s="145"/>
      <c r="AV84" s="34"/>
      <c r="AW84" s="137"/>
    </row>
    <row r="85" spans="1:84" x14ac:dyDescent="0.25">
      <c r="A85" s="723"/>
      <c r="B85" s="723"/>
      <c r="L85" s="135"/>
      <c r="P85" s="55"/>
      <c r="Q85" s="135"/>
      <c r="R85" s="55"/>
      <c r="U85" s="55"/>
      <c r="V85" s="55"/>
      <c r="W85" s="55"/>
      <c r="X85" s="55"/>
      <c r="AO85" s="136"/>
      <c r="AQ85" s="137"/>
      <c r="AU85" s="145"/>
      <c r="AV85" s="34"/>
      <c r="AW85" s="137"/>
    </row>
    <row r="86" spans="1:84" x14ac:dyDescent="0.25">
      <c r="A86" s="723"/>
      <c r="B86" s="723"/>
      <c r="L86" s="135"/>
      <c r="P86" s="55"/>
      <c r="Q86" s="135"/>
      <c r="R86" s="55"/>
      <c r="U86" s="55"/>
      <c r="V86" s="55"/>
      <c r="W86" s="55"/>
      <c r="X86" s="55"/>
      <c r="AO86" s="136"/>
      <c r="AQ86" s="137"/>
      <c r="AU86" s="145"/>
      <c r="AV86" s="34"/>
      <c r="AW86" s="137"/>
    </row>
    <row r="87" spans="1:84" x14ac:dyDescent="0.25">
      <c r="A87" s="723"/>
      <c r="B87" s="723"/>
      <c r="L87" s="135"/>
      <c r="P87" s="55"/>
      <c r="Q87" s="135"/>
      <c r="R87" s="55"/>
      <c r="U87" s="55"/>
      <c r="V87" s="55"/>
      <c r="W87" s="55"/>
      <c r="X87" s="55"/>
      <c r="AO87" s="136"/>
      <c r="AQ87" s="137"/>
      <c r="AU87" s="145"/>
      <c r="AV87" s="34"/>
      <c r="AW87" s="137"/>
    </row>
    <row r="88" spans="1:84" x14ac:dyDescent="0.25">
      <c r="A88" s="723"/>
      <c r="B88" s="723"/>
      <c r="L88" s="135"/>
      <c r="P88" s="55"/>
      <c r="Q88" s="135"/>
      <c r="R88" s="55"/>
      <c r="U88" s="55"/>
      <c r="V88" s="55"/>
      <c r="W88" s="55"/>
      <c r="X88" s="55"/>
      <c r="AO88" s="136"/>
      <c r="AQ88" s="137"/>
      <c r="AU88" s="145"/>
      <c r="AV88" s="34"/>
      <c r="AW88" s="137"/>
    </row>
    <row r="89" spans="1:84" x14ac:dyDescent="0.25">
      <c r="A89" s="723"/>
      <c r="B89" s="723"/>
      <c r="L89" s="135"/>
      <c r="P89" s="55"/>
      <c r="Q89" s="135"/>
      <c r="R89" s="55"/>
      <c r="U89" s="55"/>
      <c r="V89" s="55"/>
      <c r="W89" s="55"/>
      <c r="X89" s="55"/>
      <c r="AO89" s="136"/>
      <c r="AQ89" s="137"/>
      <c r="AU89" s="145"/>
      <c r="AV89" s="34"/>
      <c r="AW89" s="137"/>
    </row>
    <row r="90" spans="1:84" x14ac:dyDescent="0.25">
      <c r="A90" s="723"/>
      <c r="B90" s="723"/>
      <c r="L90" s="135"/>
      <c r="P90" s="55"/>
      <c r="Q90" s="135"/>
      <c r="R90" s="55"/>
      <c r="U90" s="55"/>
      <c r="V90" s="55"/>
      <c r="W90" s="55"/>
      <c r="X90" s="55"/>
      <c r="AO90" s="136"/>
      <c r="AQ90" s="137"/>
      <c r="AU90" s="145"/>
      <c r="AV90" s="34"/>
      <c r="AW90" s="137"/>
    </row>
    <row r="91" spans="1:84" x14ac:dyDescent="0.25">
      <c r="A91" s="723"/>
      <c r="B91" s="723"/>
      <c r="L91" s="135"/>
      <c r="P91" s="55"/>
      <c r="Q91" s="135"/>
      <c r="R91" s="55"/>
      <c r="U91" s="55"/>
      <c r="V91" s="55"/>
      <c r="W91" s="55"/>
      <c r="X91" s="55"/>
      <c r="AO91" s="136"/>
      <c r="AQ91" s="137"/>
      <c r="AU91" s="145"/>
      <c r="AV91" s="34"/>
      <c r="AW91" s="137"/>
    </row>
    <row r="92" spans="1:84" x14ac:dyDescent="0.25">
      <c r="A92" s="723"/>
      <c r="B92" s="723"/>
      <c r="L92" s="135"/>
      <c r="P92" s="55"/>
      <c r="Q92" s="135"/>
      <c r="R92" s="55"/>
      <c r="U92" s="55"/>
      <c r="V92" s="55"/>
      <c r="W92" s="55"/>
      <c r="X92" s="55"/>
      <c r="AO92" s="136"/>
      <c r="AQ92" s="137"/>
      <c r="AU92" s="145"/>
      <c r="AV92" s="34"/>
      <c r="AW92" s="137"/>
    </row>
    <row r="93" spans="1:84" x14ac:dyDescent="0.25">
      <c r="A93" s="723"/>
      <c r="B93" s="723"/>
      <c r="L93" s="135"/>
      <c r="P93" s="55"/>
      <c r="Q93" s="135"/>
      <c r="R93" s="55"/>
      <c r="U93" s="55"/>
      <c r="V93" s="55"/>
      <c r="W93" s="55"/>
      <c r="X93" s="55"/>
      <c r="AO93" s="136"/>
      <c r="AQ93" s="137"/>
      <c r="AU93" s="145"/>
      <c r="AV93" s="34"/>
      <c r="AW93" s="137"/>
    </row>
    <row r="94" spans="1:84" x14ac:dyDescent="0.25">
      <c r="A94" s="723"/>
      <c r="B94" s="723"/>
      <c r="L94" s="135"/>
      <c r="P94" s="55"/>
      <c r="Q94" s="135"/>
      <c r="R94" s="55"/>
      <c r="U94" s="55"/>
      <c r="V94" s="55"/>
      <c r="W94" s="55"/>
      <c r="X94" s="55"/>
      <c r="AO94" s="136"/>
      <c r="AQ94" s="137"/>
      <c r="AU94" s="145"/>
      <c r="AV94" s="34"/>
      <c r="AW94" s="137"/>
    </row>
    <row r="95" spans="1:84" x14ac:dyDescent="0.25">
      <c r="A95" s="723"/>
      <c r="B95" s="723"/>
      <c r="L95" s="135"/>
      <c r="P95" s="55"/>
      <c r="Q95" s="135"/>
      <c r="R95" s="55"/>
      <c r="U95" s="55"/>
      <c r="V95" s="55"/>
      <c r="W95" s="55"/>
      <c r="X95" s="55"/>
      <c r="AO95" s="136"/>
      <c r="AQ95" s="137"/>
      <c r="AU95" s="145"/>
      <c r="AV95" s="34"/>
      <c r="AW95" s="137"/>
    </row>
    <row r="96" spans="1:84" x14ac:dyDescent="0.25">
      <c r="A96" s="723"/>
      <c r="B96" s="723"/>
      <c r="L96" s="135"/>
      <c r="P96" s="55"/>
      <c r="Q96" s="135"/>
      <c r="R96" s="55"/>
      <c r="U96" s="55"/>
      <c r="V96" s="55"/>
      <c r="W96" s="55"/>
      <c r="X96" s="55"/>
      <c r="AO96" s="136"/>
      <c r="AQ96" s="137"/>
      <c r="AU96" s="145"/>
      <c r="AV96" s="34"/>
      <c r="AW96" s="137"/>
    </row>
    <row r="97" spans="1:49" x14ac:dyDescent="0.25">
      <c r="A97" s="723"/>
      <c r="B97" s="723"/>
      <c r="L97" s="135"/>
      <c r="P97" s="55"/>
      <c r="Q97" s="135"/>
      <c r="R97" s="55"/>
      <c r="U97" s="55"/>
      <c r="V97" s="55"/>
      <c r="W97" s="55"/>
      <c r="X97" s="55"/>
      <c r="AO97" s="136"/>
      <c r="AQ97" s="137"/>
      <c r="AU97" s="145"/>
      <c r="AV97" s="34"/>
      <c r="AW97" s="137"/>
    </row>
    <row r="98" spans="1:49" x14ac:dyDescent="0.25">
      <c r="A98" s="723"/>
      <c r="B98" s="723"/>
      <c r="L98" s="135"/>
      <c r="P98" s="55"/>
      <c r="Q98" s="135"/>
      <c r="R98" s="55"/>
      <c r="U98" s="55"/>
      <c r="V98" s="55"/>
      <c r="W98" s="55"/>
      <c r="X98" s="55"/>
      <c r="AO98" s="136"/>
      <c r="AQ98" s="137"/>
      <c r="AU98" s="145"/>
      <c r="AV98" s="34"/>
      <c r="AW98" s="137"/>
    </row>
    <row r="99" spans="1:49" x14ac:dyDescent="0.25">
      <c r="A99" s="723"/>
      <c r="B99" s="723"/>
      <c r="L99" s="135"/>
      <c r="P99" s="55"/>
      <c r="Q99" s="135"/>
      <c r="R99" s="55"/>
      <c r="U99" s="55"/>
      <c r="V99" s="55"/>
      <c r="W99" s="55"/>
      <c r="X99" s="55"/>
      <c r="AO99" s="136"/>
      <c r="AQ99" s="137"/>
      <c r="AU99" s="145"/>
      <c r="AV99" s="34"/>
      <c r="AW99" s="137"/>
    </row>
    <row r="100" spans="1:49" x14ac:dyDescent="0.25">
      <c r="A100" s="723"/>
      <c r="B100" s="723"/>
      <c r="L100" s="135"/>
      <c r="P100" s="55"/>
      <c r="Q100" s="135"/>
      <c r="R100" s="55"/>
      <c r="U100" s="55"/>
      <c r="V100" s="55"/>
      <c r="W100" s="55"/>
      <c r="X100" s="55"/>
      <c r="AO100" s="136"/>
      <c r="AQ100" s="137"/>
      <c r="AU100" s="145"/>
      <c r="AV100" s="34"/>
      <c r="AW100" s="137"/>
    </row>
    <row r="101" spans="1:49" x14ac:dyDescent="0.25">
      <c r="A101" s="723"/>
      <c r="B101" s="723"/>
      <c r="L101" s="135"/>
      <c r="P101" s="55"/>
      <c r="Q101" s="135"/>
      <c r="R101" s="55"/>
      <c r="U101" s="55"/>
      <c r="V101" s="55"/>
      <c r="W101" s="55"/>
      <c r="X101" s="55"/>
      <c r="AO101" s="136"/>
      <c r="AQ101" s="137"/>
      <c r="AU101" s="145"/>
      <c r="AV101" s="34"/>
      <c r="AW101" s="137"/>
    </row>
    <row r="102" spans="1:49" x14ac:dyDescent="0.25">
      <c r="A102" s="723"/>
      <c r="B102" s="723"/>
      <c r="L102" s="135"/>
      <c r="P102" s="55"/>
      <c r="Q102" s="135"/>
      <c r="R102" s="55"/>
      <c r="U102" s="55"/>
      <c r="V102" s="55"/>
      <c r="W102" s="55"/>
      <c r="X102" s="55"/>
      <c r="AO102" s="136"/>
      <c r="AQ102" s="137"/>
      <c r="AU102" s="145"/>
      <c r="AV102" s="34"/>
      <c r="AW102" s="137"/>
    </row>
    <row r="103" spans="1:49" x14ac:dyDescent="0.25">
      <c r="A103" s="723"/>
      <c r="B103" s="723"/>
      <c r="L103" s="135"/>
      <c r="P103" s="55"/>
      <c r="Q103" s="135"/>
      <c r="R103" s="55"/>
      <c r="U103" s="55"/>
      <c r="V103" s="55"/>
      <c r="W103" s="55"/>
      <c r="X103" s="55"/>
      <c r="AO103" s="136"/>
      <c r="AQ103" s="137"/>
      <c r="AU103" s="145"/>
      <c r="AV103" s="34"/>
      <c r="AW103" s="137"/>
    </row>
    <row r="104" spans="1:49" x14ac:dyDescent="0.25">
      <c r="A104" s="723"/>
      <c r="B104" s="723"/>
      <c r="L104" s="135"/>
      <c r="P104" s="55"/>
      <c r="Q104" s="135"/>
      <c r="R104" s="55"/>
      <c r="U104" s="55"/>
      <c r="V104" s="55"/>
      <c r="W104" s="55"/>
      <c r="X104" s="55"/>
      <c r="AO104" s="136"/>
      <c r="AQ104" s="137"/>
      <c r="AU104" s="145"/>
      <c r="AV104" s="34"/>
      <c r="AW104" s="137"/>
    </row>
    <row r="105" spans="1:49" x14ac:dyDescent="0.25">
      <c r="A105" s="723"/>
      <c r="B105" s="723"/>
      <c r="L105" s="135"/>
      <c r="P105" s="55"/>
      <c r="Q105" s="135"/>
      <c r="R105" s="55"/>
      <c r="U105" s="55"/>
      <c r="V105" s="55"/>
      <c r="W105" s="55"/>
      <c r="X105" s="55"/>
      <c r="AO105" s="136"/>
      <c r="AQ105" s="137"/>
      <c r="AU105" s="145"/>
      <c r="AV105" s="34"/>
      <c r="AW105" s="137"/>
    </row>
    <row r="106" spans="1:49" x14ac:dyDescent="0.25">
      <c r="A106" s="723"/>
      <c r="B106" s="723"/>
      <c r="L106" s="135"/>
      <c r="P106" s="55"/>
      <c r="Q106" s="135"/>
      <c r="R106" s="55"/>
      <c r="U106" s="55"/>
      <c r="V106" s="55"/>
      <c r="W106" s="55"/>
      <c r="X106" s="55"/>
      <c r="AO106" s="136"/>
      <c r="AQ106" s="137"/>
      <c r="AU106" s="145"/>
      <c r="AV106" s="34"/>
      <c r="AW106" s="137"/>
    </row>
    <row r="107" spans="1:49" x14ac:dyDescent="0.25">
      <c r="A107" s="723"/>
      <c r="B107" s="723"/>
      <c r="L107" s="135"/>
      <c r="P107" s="55"/>
      <c r="Q107" s="135"/>
      <c r="R107" s="55"/>
      <c r="U107" s="55"/>
      <c r="V107" s="55"/>
      <c r="W107" s="55"/>
      <c r="X107" s="55"/>
      <c r="AO107" s="136"/>
      <c r="AQ107" s="137"/>
      <c r="AU107" s="145"/>
      <c r="AV107" s="34"/>
      <c r="AW107" s="137"/>
    </row>
    <row r="108" spans="1:49" x14ac:dyDescent="0.25">
      <c r="A108" s="723"/>
      <c r="B108" s="723"/>
      <c r="L108" s="135"/>
      <c r="P108" s="55"/>
      <c r="Q108" s="135"/>
      <c r="R108" s="55"/>
      <c r="U108" s="55"/>
      <c r="V108" s="55"/>
      <c r="W108" s="55"/>
      <c r="X108" s="55"/>
      <c r="AO108" s="136"/>
      <c r="AQ108" s="137"/>
      <c r="AU108" s="145"/>
      <c r="AV108" s="34"/>
      <c r="AW108" s="137"/>
    </row>
    <row r="109" spans="1:49" x14ac:dyDescent="0.25">
      <c r="A109" s="723"/>
      <c r="B109" s="723"/>
      <c r="L109" s="135"/>
      <c r="P109" s="55"/>
      <c r="Q109" s="135"/>
      <c r="R109" s="55"/>
      <c r="U109" s="55"/>
      <c r="V109" s="55"/>
      <c r="W109" s="55"/>
      <c r="X109" s="55"/>
      <c r="AO109" s="136"/>
      <c r="AQ109" s="137"/>
      <c r="AU109" s="145"/>
      <c r="AV109" s="34"/>
      <c r="AW109" s="137"/>
    </row>
    <row r="110" spans="1:49" x14ac:dyDescent="0.25">
      <c r="A110" s="723"/>
      <c r="B110" s="723"/>
      <c r="L110" s="135"/>
      <c r="P110" s="55"/>
      <c r="Q110" s="135"/>
      <c r="R110" s="55"/>
      <c r="U110" s="55"/>
      <c r="V110" s="55"/>
      <c r="W110" s="55"/>
      <c r="X110" s="55"/>
      <c r="AO110" s="136"/>
      <c r="AQ110" s="137"/>
      <c r="AU110" s="145"/>
      <c r="AV110" s="34"/>
      <c r="AW110" s="137"/>
    </row>
    <row r="111" spans="1:49" x14ac:dyDescent="0.25">
      <c r="A111" s="723"/>
      <c r="B111" s="723"/>
      <c r="L111" s="135"/>
      <c r="P111" s="55"/>
      <c r="Q111" s="135"/>
      <c r="R111" s="55"/>
      <c r="U111" s="55"/>
      <c r="V111" s="55"/>
      <c r="W111" s="55"/>
      <c r="X111" s="55"/>
      <c r="AO111" s="136"/>
      <c r="AQ111" s="137"/>
      <c r="AU111" s="145"/>
      <c r="AV111" s="34"/>
      <c r="AW111" s="137"/>
    </row>
    <row r="112" spans="1:49" x14ac:dyDescent="0.25">
      <c r="A112" s="723"/>
      <c r="B112" s="723"/>
      <c r="L112" s="135"/>
      <c r="P112" s="55"/>
      <c r="Q112" s="135"/>
      <c r="R112" s="55"/>
      <c r="U112" s="55"/>
      <c r="V112" s="55"/>
      <c r="W112" s="55"/>
      <c r="X112" s="55"/>
      <c r="AO112" s="136"/>
      <c r="AQ112" s="137"/>
      <c r="AU112" s="145"/>
      <c r="AV112" s="34"/>
      <c r="AW112" s="137"/>
    </row>
    <row r="113" spans="1:49" x14ac:dyDescent="0.25">
      <c r="A113" s="723"/>
      <c r="B113" s="723"/>
      <c r="L113" s="135"/>
      <c r="P113" s="55"/>
      <c r="Q113" s="135"/>
      <c r="R113" s="55"/>
      <c r="U113" s="55"/>
      <c r="V113" s="55"/>
      <c r="W113" s="55"/>
      <c r="X113" s="55"/>
      <c r="AO113" s="136"/>
      <c r="AQ113" s="137"/>
      <c r="AU113" s="145"/>
      <c r="AV113" s="34"/>
      <c r="AW113" s="137"/>
    </row>
    <row r="114" spans="1:49" x14ac:dyDescent="0.25">
      <c r="A114" s="723"/>
      <c r="B114" s="723"/>
      <c r="L114" s="135"/>
      <c r="P114" s="55"/>
      <c r="Q114" s="135"/>
      <c r="R114" s="55"/>
      <c r="U114" s="55"/>
      <c r="V114" s="55"/>
      <c r="W114" s="55"/>
      <c r="X114" s="55"/>
      <c r="AO114" s="136"/>
      <c r="AQ114" s="137"/>
      <c r="AU114" s="145"/>
      <c r="AV114" s="34"/>
      <c r="AW114" s="137"/>
    </row>
    <row r="115" spans="1:49" x14ac:dyDescent="0.25">
      <c r="A115" s="723"/>
      <c r="B115" s="723"/>
      <c r="L115" s="135"/>
      <c r="P115" s="55"/>
      <c r="Q115" s="135"/>
      <c r="R115" s="55"/>
      <c r="U115" s="55"/>
      <c r="V115" s="55"/>
      <c r="W115" s="55"/>
      <c r="X115" s="55"/>
      <c r="AO115" s="136"/>
      <c r="AQ115" s="137"/>
      <c r="AU115" s="145"/>
      <c r="AV115" s="34"/>
      <c r="AW115" s="137"/>
    </row>
    <row r="116" spans="1:49" x14ac:dyDescent="0.25">
      <c r="A116" s="723"/>
      <c r="B116" s="723"/>
      <c r="P116" s="55"/>
      <c r="Q116" s="55"/>
      <c r="R116" s="55"/>
      <c r="U116" s="55"/>
      <c r="V116" s="55"/>
      <c r="W116" s="55"/>
      <c r="X116" s="55"/>
      <c r="AO116" s="136"/>
      <c r="AQ116" s="137"/>
      <c r="AS116" s="137"/>
      <c r="AU116" s="145"/>
      <c r="AV116" s="136"/>
      <c r="AW116" s="137"/>
    </row>
    <row r="117" spans="1:49" x14ac:dyDescent="0.25">
      <c r="A117" s="723"/>
      <c r="B117" s="723"/>
      <c r="P117" s="55"/>
      <c r="Q117" s="55"/>
      <c r="R117" s="55"/>
      <c r="U117" s="55"/>
      <c r="V117" s="55"/>
      <c r="W117" s="55"/>
      <c r="X117" s="55"/>
      <c r="AO117" s="136"/>
      <c r="AQ117" s="137"/>
      <c r="AS117" s="137"/>
      <c r="AU117" s="145"/>
      <c r="AV117" s="136"/>
      <c r="AW117" s="137"/>
    </row>
    <row r="118" spans="1:49" x14ac:dyDescent="0.25">
      <c r="A118" s="723"/>
      <c r="B118" s="723"/>
      <c r="P118" s="55"/>
      <c r="Q118" s="55"/>
      <c r="R118" s="55"/>
      <c r="U118" s="55"/>
      <c r="V118" s="55"/>
      <c r="W118" s="55"/>
      <c r="X118" s="55"/>
      <c r="AO118" s="136"/>
      <c r="AQ118" s="137"/>
      <c r="AS118" s="137"/>
      <c r="AU118" s="145"/>
      <c r="AV118" s="136"/>
      <c r="AW118" s="137"/>
    </row>
    <row r="119" spans="1:49" x14ac:dyDescent="0.25">
      <c r="A119" s="723"/>
      <c r="B119" s="723"/>
      <c r="P119" s="55"/>
      <c r="Q119" s="55"/>
      <c r="R119" s="55"/>
      <c r="U119" s="55"/>
      <c r="V119" s="55"/>
      <c r="W119" s="55"/>
      <c r="X119" s="55"/>
      <c r="AO119" s="136"/>
      <c r="AQ119" s="137"/>
      <c r="AS119" s="137"/>
      <c r="AU119" s="145"/>
      <c r="AV119" s="136"/>
      <c r="AW119" s="137"/>
    </row>
    <row r="120" spans="1:49" x14ac:dyDescent="0.25">
      <c r="A120" s="723"/>
      <c r="B120" s="723"/>
      <c r="P120" s="55"/>
      <c r="Q120" s="55"/>
      <c r="R120" s="55"/>
      <c r="U120" s="55"/>
      <c r="V120" s="55"/>
      <c r="W120" s="55"/>
      <c r="X120" s="55"/>
      <c r="AO120" s="136"/>
      <c r="AQ120" s="137"/>
      <c r="AS120" s="137"/>
      <c r="AU120" s="145"/>
      <c r="AV120" s="136"/>
      <c r="AW120" s="137"/>
    </row>
    <row r="121" spans="1:49" x14ac:dyDescent="0.25">
      <c r="A121" s="723"/>
      <c r="B121" s="723"/>
      <c r="P121" s="55"/>
      <c r="Q121" s="55"/>
      <c r="R121" s="55"/>
      <c r="U121" s="55"/>
      <c r="V121" s="55"/>
      <c r="W121" s="55"/>
      <c r="X121" s="55"/>
      <c r="AO121" s="136"/>
      <c r="AQ121" s="137"/>
      <c r="AS121" s="137"/>
      <c r="AU121" s="145"/>
      <c r="AV121" s="136"/>
      <c r="AW121" s="137"/>
    </row>
    <row r="122" spans="1:49" x14ac:dyDescent="0.25">
      <c r="A122" s="723"/>
      <c r="B122" s="723"/>
      <c r="P122" s="55"/>
      <c r="Q122" s="55"/>
      <c r="R122" s="55"/>
      <c r="U122" s="55"/>
      <c r="V122" s="55"/>
      <c r="W122" s="55"/>
      <c r="X122" s="55"/>
      <c r="AO122" s="136"/>
      <c r="AQ122" s="137"/>
      <c r="AS122" s="137"/>
      <c r="AU122" s="145"/>
      <c r="AV122" s="136"/>
      <c r="AW122" s="137"/>
    </row>
    <row r="123" spans="1:49" x14ac:dyDescent="0.25">
      <c r="A123" s="723"/>
      <c r="B123" s="723"/>
      <c r="P123" s="55"/>
      <c r="Q123" s="55"/>
      <c r="R123" s="55"/>
      <c r="U123" s="55"/>
      <c r="V123" s="55"/>
      <c r="W123" s="55"/>
      <c r="X123" s="55"/>
      <c r="AO123" s="136"/>
      <c r="AQ123" s="137"/>
      <c r="AS123" s="137"/>
      <c r="AU123" s="145"/>
      <c r="AV123" s="136"/>
      <c r="AW123" s="137"/>
    </row>
    <row r="124" spans="1:49" x14ac:dyDescent="0.25">
      <c r="A124" s="723"/>
      <c r="B124" s="723"/>
      <c r="P124" s="55"/>
      <c r="Q124" s="55"/>
      <c r="R124" s="55"/>
      <c r="U124" s="55"/>
      <c r="V124" s="55"/>
      <c r="W124" s="55"/>
      <c r="X124" s="55"/>
      <c r="AO124" s="136"/>
      <c r="AQ124" s="137"/>
      <c r="AS124" s="137"/>
      <c r="AU124" s="145"/>
      <c r="AV124" s="136"/>
      <c r="AW124" s="137"/>
    </row>
    <row r="125" spans="1:49" x14ac:dyDescent="0.25">
      <c r="A125" s="723"/>
      <c r="B125" s="723"/>
      <c r="P125" s="55"/>
      <c r="Q125" s="55"/>
      <c r="R125" s="55"/>
      <c r="U125" s="55"/>
      <c r="V125" s="55"/>
      <c r="W125" s="55"/>
      <c r="X125" s="55"/>
      <c r="AO125" s="136"/>
      <c r="AQ125" s="137"/>
      <c r="AS125" s="137"/>
      <c r="AU125" s="145"/>
      <c r="AV125" s="136"/>
      <c r="AW125" s="137"/>
    </row>
    <row r="126" spans="1:49" x14ac:dyDescent="0.25">
      <c r="A126" s="723"/>
      <c r="B126" s="723"/>
      <c r="P126" s="55"/>
      <c r="Q126" s="55"/>
      <c r="R126" s="55"/>
      <c r="U126" s="55"/>
      <c r="V126" s="55"/>
      <c r="W126" s="55"/>
      <c r="X126" s="55"/>
      <c r="AO126" s="136"/>
      <c r="AQ126" s="137"/>
      <c r="AS126" s="137"/>
      <c r="AU126" s="145"/>
      <c r="AV126" s="136"/>
      <c r="AW126" s="137"/>
    </row>
    <row r="127" spans="1:49" x14ac:dyDescent="0.25">
      <c r="A127" s="723"/>
      <c r="B127" s="723"/>
      <c r="P127" s="55"/>
      <c r="Q127" s="55"/>
      <c r="R127" s="55"/>
      <c r="U127" s="55"/>
      <c r="V127" s="55"/>
      <c r="W127" s="55"/>
      <c r="X127" s="55"/>
      <c r="AO127" s="136"/>
      <c r="AQ127" s="137"/>
      <c r="AS127" s="137"/>
      <c r="AU127" s="145"/>
      <c r="AV127" s="136"/>
      <c r="AW127" s="137"/>
    </row>
    <row r="128" spans="1:49" x14ac:dyDescent="0.25">
      <c r="A128" s="723"/>
      <c r="B128" s="723"/>
      <c r="P128" s="55"/>
      <c r="Q128" s="55"/>
      <c r="R128" s="55"/>
      <c r="U128" s="55"/>
      <c r="V128" s="55"/>
      <c r="W128" s="55"/>
      <c r="X128" s="55"/>
      <c r="AO128" s="136"/>
      <c r="AQ128" s="137"/>
      <c r="AS128" s="137"/>
      <c r="AU128" s="145"/>
      <c r="AV128" s="136"/>
      <c r="AW128" s="137"/>
    </row>
    <row r="129" spans="1:49" x14ac:dyDescent="0.25">
      <c r="A129" s="723"/>
      <c r="B129" s="723"/>
      <c r="P129" s="55"/>
      <c r="Q129" s="55"/>
      <c r="R129" s="55"/>
      <c r="U129" s="55"/>
      <c r="V129" s="55"/>
      <c r="W129" s="55"/>
      <c r="X129" s="55"/>
      <c r="AO129" s="136"/>
      <c r="AQ129" s="137"/>
      <c r="AS129" s="137"/>
      <c r="AU129" s="145"/>
      <c r="AV129" s="136"/>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row>
    <row r="165" spans="16:49" x14ac:dyDescent="0.25">
      <c r="P165" s="55"/>
      <c r="Q165" s="55"/>
      <c r="R165" s="55"/>
      <c r="U165" s="55"/>
      <c r="V165" s="55"/>
      <c r="W165" s="55"/>
      <c r="X165" s="55"/>
    </row>
    <row r="166" spans="16:49" x14ac:dyDescent="0.25">
      <c r="P166" s="55"/>
      <c r="Q166" s="55"/>
      <c r="R166" s="55"/>
      <c r="U166" s="55"/>
      <c r="V166" s="55"/>
      <c r="W166" s="55"/>
      <c r="X166" s="55"/>
    </row>
    <row r="167" spans="16:49" x14ac:dyDescent="0.25">
      <c r="P167" s="55"/>
      <c r="Q167" s="55"/>
      <c r="R167" s="55"/>
      <c r="U167" s="55"/>
      <c r="V167" s="55"/>
      <c r="W167" s="55"/>
      <c r="X167" s="55"/>
    </row>
    <row r="168" spans="16:49" x14ac:dyDescent="0.25">
      <c r="P168" s="55"/>
      <c r="Q168" s="55"/>
      <c r="R168" s="55"/>
      <c r="U168" s="55"/>
      <c r="V168" s="55"/>
      <c r="W168" s="55"/>
      <c r="X168" s="55"/>
    </row>
    <row r="169" spans="16:49" x14ac:dyDescent="0.25">
      <c r="P169" s="55"/>
      <c r="Q169" s="55"/>
      <c r="R169" s="55"/>
      <c r="U169" s="55"/>
      <c r="V169" s="55"/>
      <c r="W169" s="55"/>
      <c r="X169" s="55"/>
    </row>
    <row r="170" spans="16:49" x14ac:dyDescent="0.25">
      <c r="P170" s="55"/>
      <c r="Q170" s="55"/>
      <c r="R170" s="55"/>
      <c r="U170" s="55"/>
      <c r="V170" s="55"/>
      <c r="W170" s="55"/>
      <c r="X170" s="55"/>
    </row>
    <row r="171" spans="16:49" x14ac:dyDescent="0.25">
      <c r="P171" s="55"/>
      <c r="Q171" s="55"/>
      <c r="R171" s="55"/>
      <c r="U171" s="55"/>
      <c r="V171" s="55"/>
      <c r="W171" s="55"/>
      <c r="X171" s="55"/>
    </row>
    <row r="172" spans="16:49" x14ac:dyDescent="0.25">
      <c r="P172" s="55"/>
      <c r="Q172" s="55"/>
      <c r="R172" s="55"/>
      <c r="U172" s="55"/>
      <c r="V172" s="55"/>
      <c r="W172" s="55"/>
      <c r="X172" s="55"/>
    </row>
    <row r="173" spans="16:49" x14ac:dyDescent="0.25">
      <c r="P173" s="55"/>
      <c r="Q173" s="55"/>
      <c r="R173" s="55"/>
      <c r="U173" s="55"/>
      <c r="V173" s="55"/>
      <c r="W173" s="55"/>
      <c r="X173" s="55"/>
    </row>
    <row r="174" spans="16:49" x14ac:dyDescent="0.25">
      <c r="P174" s="55"/>
      <c r="Q174" s="55"/>
      <c r="R174" s="55"/>
      <c r="U174" s="55"/>
      <c r="V174" s="55"/>
      <c r="W174" s="55"/>
      <c r="X174" s="55"/>
    </row>
    <row r="175" spans="16:49" x14ac:dyDescent="0.25">
      <c r="P175" s="55"/>
      <c r="Q175" s="55"/>
      <c r="R175" s="55"/>
      <c r="U175" s="55"/>
      <c r="V175" s="55"/>
      <c r="W175" s="55"/>
      <c r="X175" s="55"/>
    </row>
    <row r="176" spans="16:49"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sheetData>
  <sheetCalcPr fullCalcOnLoad="1"/>
  <mergeCells count="142">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 ref="DL17:DN17"/>
    <mergeCell ref="CZ20:DB20"/>
    <mergeCell ref="DC20:DE20"/>
    <mergeCell ref="DF20:DH20"/>
    <mergeCell ref="DI20:DK20"/>
    <mergeCell ref="CZ17:DB17"/>
    <mergeCell ref="DC17:DE17"/>
    <mergeCell ref="DF17:DH17"/>
    <mergeCell ref="DI17:DK1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6451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6451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2">
    <pageSetUpPr autoPageBreaks="0"/>
  </sheetPr>
  <dimension ref="A1:CX559"/>
  <sheetViews>
    <sheetView topLeftCell="J1" zoomScale="80" workbookViewId="0">
      <selection activeCell="CI21" sqref="CI21:CI122"/>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CGT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LongTerm17</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17</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$F$122</v>
      </c>
      <c r="AX2" s="339" t="str">
        <f>ADDRESS(ROW($G$22),COLUMN($G$22))</f>
        <v>$G$22</v>
      </c>
      <c r="AY2" s="138" t="str">
        <f ca="1">GetEnd($AV$1,AX2)</f>
        <v>$G$122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$AF$122</v>
      </c>
      <c r="AX3" s="339" t="str">
        <f>ADDRESS(ROW($AH$22),COLUMN($AH$22))</f>
        <v>$AH$22</v>
      </c>
      <c r="AY3" s="138" t="str">
        <f ca="1">GetEnd($AV$1,AX3)</f>
        <v>$AH$122</v>
      </c>
    </row>
    <row r="4" spans="1:102" x14ac:dyDescent="0.25">
      <c r="A4" s="269" t="str">
        <f>ADDRESS(ROW($S$22),COLUMN($S$22))</f>
        <v>$S$22</v>
      </c>
      <c r="L4" s="721" t="s">
        <v>201</v>
      </c>
      <c r="M4" s="722"/>
      <c r="N4" s="352">
        <f ca="1">SUMPRODUCT(INDIRECT(CONCATENATE(AV4,":",AW4)),INDIRECT(CONCATENATE($AV$2,":",$AW$2)),INDIRECT(CONCATENATE($AV$3,":",$AW$3)))</f>
        <v>1393277.7487030195</v>
      </c>
      <c r="O4" s="352">
        <v>1393912.31</v>
      </c>
      <c r="P4" s="354">
        <f ca="1">N4-O4</f>
        <v>-634.56129698059522</v>
      </c>
      <c r="Q4" s="181"/>
      <c r="S4" s="427" t="s">
        <v>635</v>
      </c>
      <c r="T4" s="422">
        <f ca="1">SUMPRODUCT(INDIRECT(CONCATENATE(V4,":",W4)),INDIRECT(CONCATENATE(AV2,":",AW2)),INDIRECT(CONCATENATE(AV3,":",AW3)))</f>
        <v>351865.57016419939</v>
      </c>
      <c r="V4" s="30" t="str">
        <f>ADDRESS(ROW(K22),COLUMN(K22))</f>
        <v>$K$22</v>
      </c>
      <c r="W4" s="30" t="str">
        <f ca="1">GetEnd($AV$1,V4)</f>
        <v>$K$122</v>
      </c>
      <c r="AF4" s="28"/>
      <c r="AG4" s="103" t="s">
        <v>32</v>
      </c>
      <c r="AH4" s="104">
        <f>GetRcptIndexCol($AH$12,$AH$13)</f>
        <v>75</v>
      </c>
      <c r="AI4" s="29"/>
      <c r="AJ4" s="103" t="s">
        <v>72</v>
      </c>
      <c r="AK4" s="104">
        <f>GetNymexCol(AK3)</f>
        <v>3</v>
      </c>
      <c r="AL4" s="34">
        <v>1</v>
      </c>
      <c r="AM4" s="45">
        <f t="shared" ref="AM4:AM15" si="0">GetVolume($AH$12,$AH$13,AT4)</f>
        <v>15000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0.10349999999999999</v>
      </c>
      <c r="AT4" s="35">
        <f t="shared" ref="AT4:AT15" si="7">gettier($AH$12,$AH$13,AL4)</f>
        <v>1</v>
      </c>
      <c r="AV4" s="339" t="str">
        <f>ADDRESS(ROW($Q$22),COLUMN($Q$22))</f>
        <v>$Q$22</v>
      </c>
      <c r="AW4" s="138" t="str">
        <f ca="1">GetEnd($AV$1,AV4)</f>
        <v>$Q$122</v>
      </c>
      <c r="AX4" s="339" t="str">
        <f>ADDRESS(ROW($K$22),COLUMN($K$22))</f>
        <v>$K$22</v>
      </c>
      <c r="AY4" s="138" t="str">
        <f ca="1">GetEnd($AV$1,AX4)</f>
        <v>$K$122</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3662545.7900884906</v>
      </c>
      <c r="O5" s="352">
        <v>3661259.79</v>
      </c>
      <c r="P5" s="355">
        <f ca="1">N5-O5</f>
        <v>1286.0000884905457</v>
      </c>
      <c r="Q5" s="181"/>
      <c r="S5" s="428" t="s">
        <v>636</v>
      </c>
      <c r="T5" s="423">
        <f ca="1">SUMPRODUCT(INDIRECT(CONCATENATE(V5,":",W5)),INDIRECT(CONCATENATE(AV2,":",AW2)),INDIRECT(CONCATENATE(AV3,":",AW3)))</f>
        <v>1041412.1785388197</v>
      </c>
      <c r="V5" s="30" t="str">
        <f>ADDRESS(ROW(L22),COLUMN(L22))</f>
        <v>$L$22</v>
      </c>
      <c r="W5" s="30" t="str">
        <f ca="1">GetEnd($AV$1,V5)</f>
        <v>$L$122</v>
      </c>
      <c r="AF5" s="28"/>
      <c r="AG5" s="103" t="s">
        <v>33</v>
      </c>
      <c r="AH5" s="104">
        <f>GetDelBasisCol($AH$12,$AH$13)</f>
        <v>76</v>
      </c>
      <c r="AI5" s="29"/>
      <c r="AJ5" s="103" t="s">
        <v>77</v>
      </c>
      <c r="AK5" s="104" t="str">
        <f>LiborCurve</f>
        <v>Libor AA</v>
      </c>
      <c r="AL5" s="34">
        <v>2</v>
      </c>
      <c r="AM5" s="37">
        <f t="shared" si="0"/>
        <v>15000</v>
      </c>
      <c r="AN5" s="38">
        <f t="shared" si="1"/>
        <v>1.7000000000000001E-2</v>
      </c>
      <c r="AO5" s="39">
        <f t="shared" si="2"/>
        <v>2.9020000000000001E-2</v>
      </c>
      <c r="AP5" s="38">
        <f t="shared" si="3"/>
        <v>2.2000000000000001E-3</v>
      </c>
      <c r="AQ5" s="38">
        <f t="shared" si="4"/>
        <v>0</v>
      </c>
      <c r="AR5" s="133">
        <f t="shared" si="5"/>
        <v>-0.03</v>
      </c>
      <c r="AS5" s="40">
        <f t="shared" si="6"/>
        <v>0.10349999999999999</v>
      </c>
      <c r="AT5" s="35">
        <f t="shared" si="7"/>
        <v>1</v>
      </c>
      <c r="AV5" s="339" t="str">
        <f>ADDRESS(ROW($V$22),COLUMN($V$22))</f>
        <v>$V$22</v>
      </c>
      <c r="AW5" s="138" t="str">
        <f ca="1">GetEnd($AV$1,AV5)</f>
        <v>$V$122</v>
      </c>
      <c r="AX5" s="339" t="str">
        <f>ADDRESS(ROW($L$22),COLUMN($L$22))</f>
        <v>$L$22</v>
      </c>
      <c r="AY5" s="138" t="str">
        <f ca="1">GetEnd($AV$1,AX5)</f>
        <v>$L$122</v>
      </c>
      <c r="BV5" s="266">
        <f>O2</f>
        <v>37239</v>
      </c>
    </row>
    <row r="6" spans="1:102" x14ac:dyDescent="0.25">
      <c r="A6" s="269" t="str">
        <f>ADDRESS(ROW($BW$2),COLUMN($BW$2))</f>
        <v>$BW$2</v>
      </c>
      <c r="F6" s="187"/>
      <c r="G6" s="187"/>
      <c r="L6" s="704" t="s">
        <v>149</v>
      </c>
      <c r="M6" s="705"/>
      <c r="N6" s="356">
        <f ca="1">N4-N5</f>
        <v>-2269268.0413854709</v>
      </c>
      <c r="O6" s="357">
        <v>-2267347.4900000002</v>
      </c>
      <c r="P6" s="358">
        <f ca="1">N6-O6</f>
        <v>-1920.551385470666</v>
      </c>
      <c r="Q6" s="181"/>
      <c r="S6" s="428" t="s">
        <v>637</v>
      </c>
      <c r="T6" s="424">
        <f ca="1">SUMPRODUCT(INDIRECT(CONCATENATE(V6,":",W6)),INDIRECT(CONCATENATE(AV3,":",AW3)),INDIRECT(CONCATENATE(AX3,":",AY3)))</f>
        <v>35386915.846265629</v>
      </c>
      <c r="V6" s="30" t="str">
        <f>ADDRESS(ROW(G22),COLUMN(G22))</f>
        <v>$G$22</v>
      </c>
      <c r="W6" s="30" t="str">
        <f ca="1">GetEnd($AV$1,V6)</f>
        <v>$G$122</v>
      </c>
      <c r="AF6" s="28"/>
      <c r="AG6" s="103" t="s">
        <v>34</v>
      </c>
      <c r="AH6" s="104">
        <f>GetDelIndexCol($AH$12,$AH$13)</f>
        <v>77</v>
      </c>
      <c r="AI6" s="29"/>
      <c r="AJ6" s="103" t="s">
        <v>79</v>
      </c>
      <c r="AK6" s="104">
        <f>GetLiborCol(AK5)</f>
        <v>4</v>
      </c>
      <c r="AL6" s="34">
        <v>3</v>
      </c>
      <c r="AM6" s="37">
        <f t="shared" si="0"/>
        <v>15000</v>
      </c>
      <c r="AN6" s="38">
        <f t="shared" si="1"/>
        <v>1.7000000000000001E-2</v>
      </c>
      <c r="AO6" s="39">
        <f t="shared" si="2"/>
        <v>2.9020000000000001E-2</v>
      </c>
      <c r="AP6" s="38">
        <f t="shared" si="3"/>
        <v>2.2000000000000001E-3</v>
      </c>
      <c r="AQ6" s="38">
        <f t="shared" si="4"/>
        <v>0</v>
      </c>
      <c r="AR6" s="133">
        <f t="shared" si="5"/>
        <v>-0.03</v>
      </c>
      <c r="AS6" s="40">
        <f t="shared" si="6"/>
        <v>0.10349999999999999</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39188.67</v>
      </c>
      <c r="P7" s="355">
        <f ca="1">N7</f>
        <v>0</v>
      </c>
      <c r="S7" s="428" t="s">
        <v>638</v>
      </c>
      <c r="T7" s="425">
        <f ca="1">T5/T6</f>
        <v>2.9429300452831625E-2</v>
      </c>
      <c r="AF7" s="28"/>
      <c r="AG7" s="103" t="s">
        <v>76</v>
      </c>
      <c r="AH7" s="104">
        <f>GetRcptOmicronCol($AH$12,$AH$13)</f>
        <v>6</v>
      </c>
      <c r="AI7" s="29"/>
      <c r="AJ7" s="103" t="s">
        <v>80</v>
      </c>
      <c r="AK7" s="104" t="str">
        <f>Configuration!$D$8</f>
        <v>Nymex Vol</v>
      </c>
      <c r="AL7" s="34">
        <v>4</v>
      </c>
      <c r="AM7" s="37">
        <f t="shared" si="0"/>
        <v>15000</v>
      </c>
      <c r="AN7" s="38">
        <f t="shared" si="1"/>
        <v>1.7000000000000001E-2</v>
      </c>
      <c r="AO7" s="39">
        <f t="shared" si="2"/>
        <v>2.9020000000000001E-2</v>
      </c>
      <c r="AP7" s="38">
        <f t="shared" si="3"/>
        <v>2.2000000000000001E-3</v>
      </c>
      <c r="AQ7" s="38">
        <f t="shared" si="4"/>
        <v>0</v>
      </c>
      <c r="AR7" s="133">
        <f t="shared" si="5"/>
        <v>-0.03</v>
      </c>
      <c r="AS7" s="40">
        <f t="shared" si="6"/>
        <v>0.10349999999999999</v>
      </c>
      <c r="AT7" s="35">
        <f t="shared" si="7"/>
        <v>1</v>
      </c>
      <c r="AU7" s="361" t="s">
        <v>574</v>
      </c>
      <c r="AV7" s="339" t="str">
        <f>ADDRESS(ROW($AL$22),COLUMN($AL$22))</f>
        <v>$AL$22</v>
      </c>
      <c r="AW7" s="138" t="str">
        <f ca="1">GetEnd($AV$1,AV7)</f>
        <v>$AL$122</v>
      </c>
      <c r="AX7" s="339" t="str">
        <f>ADDRESS(ROW($AV$22),COLUMN($AV$22))</f>
        <v>$AV$22</v>
      </c>
      <c r="AY7" s="138" t="str">
        <f t="shared" ref="AY7:AY13" ca="1" si="8">GetEnd($AV$1,AX7)</f>
        <v>$AV$122</v>
      </c>
    </row>
    <row r="8" spans="1:102" x14ac:dyDescent="0.25">
      <c r="A8" s="270" t="s">
        <v>224</v>
      </c>
      <c r="F8" s="186" t="s">
        <v>26</v>
      </c>
      <c r="G8" s="190">
        <f>GetMonthEnd($AH$12,$AH$13)</f>
        <v>40117</v>
      </c>
      <c r="L8" s="706" t="s">
        <v>626</v>
      </c>
      <c r="M8" s="707"/>
      <c r="N8" s="352">
        <f t="array" aca="1" ref="N8" ca="1">SUM(((INDIRECT(AX14)-INDIRECT(AY16))-(INDIRECT(AX15)-INDIRECT(AY14)))*INDIRECT(CONCATENATE(AX2,":",AY2))*INDIRECT(CONCATENATE(AV3,":",AW3))*INDIRECT(CONCATENATE(AX3,":",AY3)))</f>
        <v>0</v>
      </c>
      <c r="O8" s="421">
        <v>-29329.68</v>
      </c>
      <c r="P8" s="355">
        <f ca="1">N8</f>
        <v>0</v>
      </c>
      <c r="S8" s="429" t="s">
        <v>639</v>
      </c>
      <c r="T8" s="426">
        <f ca="1">Y8/Z8</f>
        <v>0.99822280052779711</v>
      </c>
      <c r="V8" s="30" t="str">
        <f>ADDRESS(ROW(P22),COLUMN(P22))</f>
        <v>$P$22</v>
      </c>
      <c r="W8" s="30" t="str">
        <f ca="1">GetEnd($AV$1,V8)</f>
        <v>$P$122</v>
      </c>
      <c r="Y8" s="334">
        <f ca="1">SUMIF(INDIRECT(CONCATENATE(V8,":",W8)),"&gt;0",INDIRECT(CONCATENATE(V8,":",W8)))</f>
        <v>93.832943249612924</v>
      </c>
      <c r="Z8" s="334">
        <f ca="1">COUNTIF(INDIRECT(CONCATENATE(V8,":",W8)),"&gt;0")</f>
        <v>94</v>
      </c>
      <c r="AF8" s="28"/>
      <c r="AG8" s="103" t="s">
        <v>75</v>
      </c>
      <c r="AH8" s="105">
        <f>GetDelOmicronCol($AH$12,$AH$13)</f>
        <v>12</v>
      </c>
      <c r="AI8" s="29"/>
      <c r="AJ8" s="103" t="s">
        <v>81</v>
      </c>
      <c r="AK8" s="104">
        <f>GetNGOmicronCol(AK7)</f>
        <v>5</v>
      </c>
      <c r="AL8" s="34">
        <v>5</v>
      </c>
      <c r="AM8" s="37">
        <f t="shared" si="0"/>
        <v>15000</v>
      </c>
      <c r="AN8" s="38">
        <f t="shared" si="1"/>
        <v>1.7000000000000001E-2</v>
      </c>
      <c r="AO8" s="39">
        <f t="shared" si="2"/>
        <v>2.9020000000000001E-2</v>
      </c>
      <c r="AP8" s="38">
        <f t="shared" si="3"/>
        <v>2.2000000000000001E-3</v>
      </c>
      <c r="AQ8" s="38">
        <f t="shared" si="4"/>
        <v>0</v>
      </c>
      <c r="AR8" s="133">
        <f t="shared" si="5"/>
        <v>-0.03</v>
      </c>
      <c r="AS8" s="40">
        <f t="shared" si="6"/>
        <v>0.10349999999999999</v>
      </c>
      <c r="AT8" s="35">
        <f t="shared" si="7"/>
        <v>1</v>
      </c>
      <c r="AU8" s="362" t="s">
        <v>575</v>
      </c>
      <c r="AV8" s="339" t="str">
        <f>ADDRESS(ROW($AM$22),COLUMN($AM$22))</f>
        <v>$AM$22</v>
      </c>
      <c r="AW8" s="138" t="str">
        <f ca="1">GetEnd($AV$1,AV8)</f>
        <v>$AM$122</v>
      </c>
      <c r="AX8" s="339" t="str">
        <f>ADDRESS(ROW($AO$22),COLUMN($AO$22))</f>
        <v>$AO$22</v>
      </c>
      <c r="AY8" s="138" t="str">
        <f t="shared" ca="1" si="8"/>
        <v>$AO$122</v>
      </c>
    </row>
    <row r="9" spans="1:102" x14ac:dyDescent="0.25">
      <c r="A9" s="270" t="s">
        <v>224</v>
      </c>
      <c r="L9" s="706" t="s">
        <v>627</v>
      </c>
      <c r="M9" s="707"/>
      <c r="N9" s="352">
        <f t="array" aca="1" ref="N9" ca="1">SUM(((INDIRECT(AX16)-INDIRECT(AY17))-(INDIRECT(AX17)-INDIRECT(AY15)))*INDIRECT(CONCATENATE(AX2,":",AY2))*INDIRECT(CONCATENATE(AV3,":",AW3))*INDIRECT(CONCATENATE(AX3,":",AY3)))</f>
        <v>1.2277302732186534E-10</v>
      </c>
      <c r="O9" s="421">
        <v>0</v>
      </c>
      <c r="P9" s="355">
        <f ca="1">N9</f>
        <v>1.2277302732186534E-10</v>
      </c>
      <c r="AF9" s="28"/>
      <c r="AG9" s="52"/>
      <c r="AH9" s="52"/>
      <c r="AI9" s="29"/>
      <c r="AJ9" s="103" t="s">
        <v>139</v>
      </c>
      <c r="AK9" s="105">
        <f>GetCorrelCol($AH$12,$AH$13)</f>
        <v>2</v>
      </c>
      <c r="AL9" s="34">
        <v>6</v>
      </c>
      <c r="AM9" s="37">
        <f t="shared" si="0"/>
        <v>15000</v>
      </c>
      <c r="AN9" s="38">
        <f t="shared" si="1"/>
        <v>1.7000000000000001E-2</v>
      </c>
      <c r="AO9" s="39">
        <f t="shared" si="2"/>
        <v>2.9020000000000001E-2</v>
      </c>
      <c r="AP9" s="38">
        <f t="shared" si="3"/>
        <v>2.2000000000000001E-3</v>
      </c>
      <c r="AQ9" s="38">
        <f t="shared" si="4"/>
        <v>0</v>
      </c>
      <c r="AR9" s="133">
        <f t="shared" si="5"/>
        <v>-0.03</v>
      </c>
      <c r="AS9" s="40">
        <f t="shared" si="6"/>
        <v>0.10349999999999999</v>
      </c>
      <c r="AT9" s="35">
        <f t="shared" si="7"/>
        <v>1</v>
      </c>
      <c r="AU9" s="361" t="s">
        <v>578</v>
      </c>
      <c r="AV9" s="339" t="str">
        <f>ADDRESS(ROW($AN$22),COLUMN($AN$22))</f>
        <v>$AN$22</v>
      </c>
      <c r="AW9" s="138" t="str">
        <f ca="1">GetEnd($AV$1,AV9)</f>
        <v>$AN$122</v>
      </c>
      <c r="AX9" s="339" t="str">
        <f>ADDRESS(ROW($AP$22),COLUMN($AP$22))</f>
        <v>$AP$22</v>
      </c>
      <c r="AY9" s="138" t="str">
        <f t="shared" ca="1" si="8"/>
        <v>$AP$122</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-3652957.4447012786</v>
      </c>
      <c r="O10" s="352">
        <v>-3651649.54</v>
      </c>
      <c r="P10" s="355">
        <f t="shared" ref="P10:P19" ca="1" si="9">N10-O10</f>
        <v>-1307.904701278545</v>
      </c>
      <c r="AF10" s="28"/>
      <c r="AG10" s="103" t="s">
        <v>142</v>
      </c>
      <c r="AH10" s="119" t="b">
        <f>GetGRIFactor($AH$12,$AH$13)</f>
        <v>0</v>
      </c>
      <c r="AI10" s="29"/>
      <c r="AJ10" s="29"/>
      <c r="AK10" s="29"/>
      <c r="AL10" s="34">
        <v>7</v>
      </c>
      <c r="AM10" s="37">
        <f t="shared" si="0"/>
        <v>15000</v>
      </c>
      <c r="AN10" s="38">
        <f t="shared" si="1"/>
        <v>1.7000000000000001E-2</v>
      </c>
      <c r="AO10" s="39">
        <f t="shared" si="2"/>
        <v>2.9020000000000001E-2</v>
      </c>
      <c r="AP10" s="38">
        <f t="shared" si="3"/>
        <v>2.2000000000000001E-3</v>
      </c>
      <c r="AQ10" s="38">
        <f t="shared" si="4"/>
        <v>0</v>
      </c>
      <c r="AR10" s="133">
        <f t="shared" si="5"/>
        <v>-0.03</v>
      </c>
      <c r="AS10" s="40">
        <f t="shared" si="6"/>
        <v>0.10349999999999999</v>
      </c>
      <c r="AT10" s="35">
        <f t="shared" si="7"/>
        <v>1</v>
      </c>
      <c r="AU10" s="361" t="s">
        <v>577</v>
      </c>
      <c r="AV10" s="339" t="str">
        <f>ADDRESS(ROW($AS$22),COLUMN($AS$22))</f>
        <v>$AS$22</v>
      </c>
      <c r="AW10" s="138" t="str">
        <f ca="1">GetEnd($AV$1,AV10)</f>
        <v>$AS$122</v>
      </c>
      <c r="AX10" s="339" t="str">
        <f>ADDRESS(ROW($CC$22),COLUMN($CC$22))</f>
        <v>$CC$22</v>
      </c>
      <c r="AY10" s="138" t="str">
        <f t="shared" ca="1" si="8"/>
        <v>$CC$122</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-823968</v>
      </c>
      <c r="O11" s="357">
        <v>-823968</v>
      </c>
      <c r="P11" s="358">
        <f t="shared" ca="1" si="9"/>
        <v>0</v>
      </c>
      <c r="AL11" s="34">
        <v>8</v>
      </c>
      <c r="AM11" s="37">
        <f t="shared" si="0"/>
        <v>15000</v>
      </c>
      <c r="AN11" s="38">
        <f t="shared" si="1"/>
        <v>1.7000000000000001E-2</v>
      </c>
      <c r="AO11" s="39">
        <f t="shared" si="2"/>
        <v>2.9020000000000001E-2</v>
      </c>
      <c r="AP11" s="38">
        <f t="shared" si="3"/>
        <v>2.2000000000000001E-3</v>
      </c>
      <c r="AQ11" s="38">
        <f t="shared" si="4"/>
        <v>0</v>
      </c>
      <c r="AR11" s="133">
        <f t="shared" si="5"/>
        <v>-0.03</v>
      </c>
      <c r="AS11" s="40">
        <f t="shared" si="6"/>
        <v>0.10349999999999999</v>
      </c>
      <c r="AT11" s="35">
        <f t="shared" si="7"/>
        <v>1</v>
      </c>
      <c r="AU11" s="361" t="s">
        <v>579</v>
      </c>
      <c r="AV11" s="339" t="str">
        <f>ADDRESS(ROW($AQ$22),COLUMN($AQ$22))</f>
        <v>$AQ$22</v>
      </c>
      <c r="AW11" s="138" t="str">
        <f ca="1">GetEnd($AV$1,AV11)</f>
        <v>$AQ$122</v>
      </c>
      <c r="AX11" s="339" t="str">
        <f>ADDRESS(ROW($CD$22),COLUMN($CD$22))</f>
        <v>$CD$22</v>
      </c>
      <c r="AY11" s="138" t="str">
        <f t="shared" ca="1" si="8"/>
        <v>$CD$122</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-6160.2</v>
      </c>
      <c r="P12" s="355">
        <f t="shared" ca="1" si="9"/>
        <v>6160.2</v>
      </c>
      <c r="AG12" s="248" t="s">
        <v>185</v>
      </c>
      <c r="AH12" s="119" t="str">
        <f>GetDBPage($D$2)</f>
        <v>Contract DB (East)</v>
      </c>
      <c r="AL12" s="34">
        <v>9</v>
      </c>
      <c r="AM12" s="37">
        <f t="shared" si="0"/>
        <v>15000</v>
      </c>
      <c r="AN12" s="38">
        <f t="shared" si="1"/>
        <v>1.7000000000000001E-2</v>
      </c>
      <c r="AO12" s="39">
        <f t="shared" si="2"/>
        <v>2.9020000000000001E-2</v>
      </c>
      <c r="AP12" s="38">
        <f t="shared" si="3"/>
        <v>2.2000000000000001E-3</v>
      </c>
      <c r="AQ12" s="38">
        <f t="shared" si="4"/>
        <v>0</v>
      </c>
      <c r="AR12" s="133">
        <f t="shared" si="5"/>
        <v>-0.03</v>
      </c>
      <c r="AS12" s="40">
        <f t="shared" si="6"/>
        <v>0.10349999999999999</v>
      </c>
      <c r="AT12" s="35">
        <f t="shared" si="7"/>
        <v>1</v>
      </c>
      <c r="AU12" s="361" t="s">
        <v>271</v>
      </c>
      <c r="AV12" s="339" t="str">
        <f>ADDRESS(ROW($X$22),COLUMN($X$22))</f>
        <v>$X$22</v>
      </c>
      <c r="AW12" s="138" t="str">
        <f t="shared" ref="AW12:AW17" ca="1" si="11">GetEnd($AV$1,AV12)</f>
        <v>$X$122</v>
      </c>
      <c r="AX12" s="339" t="str">
        <f>ADDRESS(ROW($CE$22),COLUMN($CE$22))</f>
        <v>$CE$22</v>
      </c>
      <c r="AY12" s="138" t="str">
        <f t="shared" ca="1" si="8"/>
        <v>$CE$122</v>
      </c>
    </row>
    <row r="13" spans="1:102" x14ac:dyDescent="0.25">
      <c r="A13" s="270" t="s">
        <v>224</v>
      </c>
      <c r="D13" s="170"/>
      <c r="E13" s="171"/>
      <c r="F13" s="172"/>
      <c r="G13" s="172"/>
      <c r="H13" s="173"/>
      <c r="L13" s="706" t="s">
        <v>155</v>
      </c>
      <c r="M13" s="707"/>
      <c r="N13" s="352">
        <f t="shared" ca="1" si="10"/>
        <v>0</v>
      </c>
      <c r="O13" s="352">
        <v>290.72000000000003</v>
      </c>
      <c r="P13" s="355">
        <f t="shared" ca="1" si="9"/>
        <v>-290.72000000000003</v>
      </c>
      <c r="AG13" s="248" t="s">
        <v>186</v>
      </c>
      <c r="AH13" s="119">
        <f>GetRecNdx($AH$12,$D$2)</f>
        <v>1</v>
      </c>
      <c r="AL13" s="34">
        <v>10</v>
      </c>
      <c r="AM13" s="37">
        <f t="shared" si="0"/>
        <v>15000</v>
      </c>
      <c r="AN13" s="38">
        <f t="shared" si="1"/>
        <v>1.7000000000000001E-2</v>
      </c>
      <c r="AO13" s="39">
        <f t="shared" si="2"/>
        <v>2.9020000000000001E-2</v>
      </c>
      <c r="AP13" s="38">
        <f t="shared" si="3"/>
        <v>2.2000000000000001E-3</v>
      </c>
      <c r="AQ13" s="38">
        <f t="shared" si="4"/>
        <v>0</v>
      </c>
      <c r="AR13" s="133">
        <f t="shared" si="5"/>
        <v>-0.03</v>
      </c>
      <c r="AS13" s="40">
        <f t="shared" si="6"/>
        <v>0.10349999999999999</v>
      </c>
      <c r="AT13" s="35">
        <f t="shared" si="7"/>
        <v>1</v>
      </c>
      <c r="AU13" s="361" t="s">
        <v>155</v>
      </c>
      <c r="AV13" s="339" t="str">
        <f>ADDRESS(ROW($Y$22),COLUMN($Y$22))</f>
        <v>$Y$22</v>
      </c>
      <c r="AW13" s="138" t="str">
        <f t="shared" ca="1" si="11"/>
        <v>$Y$122</v>
      </c>
      <c r="AX13" s="339" t="str">
        <f>ADDRESS(ROW($CF$22),COLUMN($CF$22))</f>
        <v>$CF$22</v>
      </c>
      <c r="AY13" s="138" t="str">
        <f t="shared" ca="1" si="8"/>
        <v>$CF$122</v>
      </c>
    </row>
    <row r="14" spans="1:102" x14ac:dyDescent="0.25">
      <c r="A14" s="270" t="s">
        <v>224</v>
      </c>
      <c r="D14" s="170"/>
      <c r="E14" s="171"/>
      <c r="F14" s="172"/>
      <c r="G14" s="172"/>
      <c r="H14" s="173"/>
      <c r="K14" s="185"/>
      <c r="L14" s="706" t="s">
        <v>156</v>
      </c>
      <c r="M14" s="707"/>
      <c r="N14" s="352">
        <f t="shared" ca="1" si="10"/>
        <v>-4385.4854433939245</v>
      </c>
      <c r="O14" s="352">
        <v>-1422.24</v>
      </c>
      <c r="P14" s="355">
        <f t="shared" ca="1" si="9"/>
        <v>-2963.2454433939247</v>
      </c>
      <c r="S14" s="181">
        <f>F22/(1-AR22)*AH22*AU22</f>
        <v>478187.91895061737</v>
      </c>
      <c r="T14" s="181">
        <f>F22*AH22*AU22</f>
        <v>464310.9055426704</v>
      </c>
      <c r="AL14" s="34">
        <v>11</v>
      </c>
      <c r="AM14" s="37">
        <f t="shared" si="0"/>
        <v>15000</v>
      </c>
      <c r="AN14" s="38">
        <f t="shared" si="1"/>
        <v>1.7000000000000001E-2</v>
      </c>
      <c r="AO14" s="39">
        <f t="shared" si="2"/>
        <v>2.9020000000000001E-2</v>
      </c>
      <c r="AP14" s="38">
        <f t="shared" si="3"/>
        <v>2.2000000000000001E-3</v>
      </c>
      <c r="AQ14" s="38">
        <f t="shared" si="4"/>
        <v>0</v>
      </c>
      <c r="AR14" s="133">
        <f t="shared" si="5"/>
        <v>-0.03</v>
      </c>
      <c r="AS14" s="40">
        <f t="shared" si="6"/>
        <v>0.10349999999999999</v>
      </c>
      <c r="AT14" s="35">
        <f t="shared" si="7"/>
        <v>1</v>
      </c>
      <c r="AU14" s="361" t="s">
        <v>156</v>
      </c>
      <c r="AV14" s="339" t="str">
        <f>ADDRESS(ROW($Z$22),COLUMN($Z$22))</f>
        <v>$Z$22</v>
      </c>
      <c r="AW14" s="138" t="str">
        <f t="shared" ca="1" si="11"/>
        <v>$Z$122</v>
      </c>
      <c r="AX14" s="353" t="str">
        <f ca="1">CONCATENATE(AX8,":",AY8)</f>
        <v>$AO$22:$AO$122</v>
      </c>
      <c r="AY14" s="353" t="str">
        <f ca="1">CONCATENATE(AX10,":",AY10)</f>
        <v>$CC$22:$CC$122</v>
      </c>
    </row>
    <row r="15" spans="1:102" ht="13.8" thickBot="1" x14ac:dyDescent="0.3">
      <c r="A15" s="270" t="s">
        <v>224</v>
      </c>
      <c r="D15" s="170"/>
      <c r="E15" s="171"/>
      <c r="F15" s="172"/>
      <c r="G15" s="172"/>
      <c r="H15" s="173"/>
      <c r="L15" s="706" t="s">
        <v>157</v>
      </c>
      <c r="M15" s="707"/>
      <c r="N15" s="352">
        <f t="shared" ca="1" si="10"/>
        <v>600.17419027418964</v>
      </c>
      <c r="O15" s="352">
        <v>6022.36</v>
      </c>
      <c r="P15" s="355">
        <f t="shared" ca="1" si="9"/>
        <v>-5422.18580972581</v>
      </c>
      <c r="AL15" s="34">
        <v>12</v>
      </c>
      <c r="AM15" s="41">
        <f t="shared" si="0"/>
        <v>15000</v>
      </c>
      <c r="AN15" s="42">
        <f t="shared" si="1"/>
        <v>1.7000000000000001E-2</v>
      </c>
      <c r="AO15" s="43">
        <f t="shared" si="2"/>
        <v>2.9020000000000001E-2</v>
      </c>
      <c r="AP15" s="42">
        <f t="shared" si="3"/>
        <v>2.2000000000000001E-3</v>
      </c>
      <c r="AQ15" s="42">
        <f t="shared" si="4"/>
        <v>0</v>
      </c>
      <c r="AR15" s="134">
        <f t="shared" si="5"/>
        <v>-0.03</v>
      </c>
      <c r="AS15" s="44">
        <f t="shared" si="6"/>
        <v>0.10349999999999999</v>
      </c>
      <c r="AT15" s="35">
        <f t="shared" si="7"/>
        <v>1</v>
      </c>
      <c r="AU15" s="363" t="s">
        <v>157</v>
      </c>
      <c r="AV15" s="339" t="str">
        <f>ADDRESS(ROW($AA$22),COLUMN($AA$22))</f>
        <v>$AA$22</v>
      </c>
      <c r="AW15" s="138" t="str">
        <f t="shared" ca="1" si="11"/>
        <v>$AA$122</v>
      </c>
      <c r="AX15" s="353" t="str">
        <f ca="1">CONCATENATE(AV8,":",AW8)</f>
        <v>$AM$22:$AM$122</v>
      </c>
      <c r="AY15" s="353" t="str">
        <f ca="1">CONCATENATE(AX11,":",AY11)</f>
        <v>$CD$22:$CD$122</v>
      </c>
    </row>
    <row r="16" spans="1:102" x14ac:dyDescent="0.25">
      <c r="D16" s="174"/>
      <c r="E16" s="175"/>
      <c r="F16" s="176"/>
      <c r="G16" s="176"/>
      <c r="H16" s="177"/>
      <c r="L16" s="706" t="s">
        <v>158</v>
      </c>
      <c r="M16" s="707"/>
      <c r="N16" s="352">
        <f t="shared" ca="1" si="10"/>
        <v>0</v>
      </c>
      <c r="O16" s="352">
        <v>11212.03</v>
      </c>
      <c r="P16" s="355">
        <f t="shared" ca="1" si="9"/>
        <v>-11212.03</v>
      </c>
      <c r="AU16" s="361" t="s">
        <v>158</v>
      </c>
      <c r="AV16" s="339" t="str">
        <f>ADDRESS(ROW($AB$22),COLUMN($AB$22))</f>
        <v>$AB$22</v>
      </c>
      <c r="AW16" s="138" t="str">
        <f t="shared" ca="1" si="11"/>
        <v>$AB$122</v>
      </c>
      <c r="AX16" s="353" t="str">
        <f ca="1">CONCATENATE(AX9,":",AY9)</f>
        <v>$AP$22:$AP$122</v>
      </c>
      <c r="AY16" s="353" t="str">
        <f ca="1">CONCATENATE(AX12,":",AY12)</f>
        <v>$CE$22:$CE$122</v>
      </c>
      <c r="CM16" s="268"/>
    </row>
    <row r="17" spans="1:91" x14ac:dyDescent="0.25">
      <c r="D17" s="171"/>
      <c r="E17" s="171"/>
      <c r="F17" s="172"/>
      <c r="G17" s="172"/>
      <c r="H17" s="172"/>
      <c r="L17" s="704" t="s">
        <v>211</v>
      </c>
      <c r="M17" s="705"/>
      <c r="N17" s="356">
        <f t="shared" ca="1" si="10"/>
        <v>488.56780859504619</v>
      </c>
      <c r="O17" s="357">
        <v>161.03</v>
      </c>
      <c r="P17" s="358">
        <f t="shared" ca="1" si="9"/>
        <v>327.53780859504616</v>
      </c>
      <c r="AU17" s="361" t="s">
        <v>211</v>
      </c>
      <c r="AV17" s="339" t="str">
        <f>ADDRESS(ROW($AC$22),COLUMN($AC$22))</f>
        <v>$AC$22</v>
      </c>
      <c r="AW17" s="138" t="str">
        <f t="shared" ca="1" si="11"/>
        <v>$AC$122</v>
      </c>
      <c r="AX17" s="353" t="str">
        <f ca="1">CONCATENATE(AV9,":",AW9)</f>
        <v>$AN$22:$AN$122</v>
      </c>
      <c r="AY17" s="353" t="str">
        <f ca="1">CONCATENATE(AX13,":",AY13)</f>
        <v>$CF$22:$CF$122</v>
      </c>
      <c r="CM17" s="268"/>
    </row>
    <row r="18" spans="1:91" x14ac:dyDescent="0.25">
      <c r="D18" s="171"/>
      <c r="E18" s="171"/>
      <c r="F18" s="172"/>
      <c r="G18" s="172"/>
      <c r="H18" s="172"/>
      <c r="L18" s="706" t="s">
        <v>623</v>
      </c>
      <c r="M18" s="707"/>
      <c r="N18" s="352">
        <f ca="1">SUMPRODUCT(INDIRECT(CONCATENATE(AX4,":",AY4)),INDIRECT(CONCATENATE($AV$2,":",$AW$2)),INDIRECT(CONCATENATE($AV$3,":",$AW$3)))</f>
        <v>351865.57016419939</v>
      </c>
      <c r="O18" s="352">
        <v>351745.15</v>
      </c>
      <c r="P18" s="355">
        <f t="shared" ca="1" si="9"/>
        <v>120.42016419937136</v>
      </c>
      <c r="AU18" s="361"/>
      <c r="AV18" s="339"/>
      <c r="AW18" s="138"/>
      <c r="AX18" s="339" t="str">
        <f>ADDRESS(ROW($CI$22),COLUMN($CI$22))</f>
        <v>$CI$22</v>
      </c>
      <c r="AY18" s="138" t="str">
        <f ca="1">GetEnd($AV$1,AX18)</f>
        <v>$CI$122</v>
      </c>
      <c r="CM18" s="268"/>
    </row>
    <row r="19" spans="1:91" x14ac:dyDescent="0.25">
      <c r="D19" s="171"/>
      <c r="E19" s="171"/>
      <c r="F19" s="172"/>
      <c r="G19" s="172"/>
      <c r="H19" s="172"/>
      <c r="L19" s="724" t="s">
        <v>624</v>
      </c>
      <c r="M19" s="725"/>
      <c r="N19" s="359">
        <f ca="1">SUMPRODUCT(INDIRECT(CONCATENATE(AX5,":",AY5)),INDIRECT(CONCATENATE($AV$2,":",$AW$2)),INDIRECT(CONCATENATE($AV$3,":",$AW$3)))</f>
        <v>1041412.1785388197</v>
      </c>
      <c r="O19" s="359">
        <v>1042167.16</v>
      </c>
      <c r="P19" s="360">
        <f t="shared" ca="1" si="9"/>
        <v>-754.98146118037403</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-970605</v>
      </c>
      <c r="AW20" s="353">
        <f ca="1">SUMPRODUCT(INDIRECT(CONCATENATE(AX8,":",AY8)),INDIRECT(CONCATENATE($AV$2,":",$AW$2)),INDIRECT(CONCATENATE($AV$3,":",$AW$3)),INDIRECT(CONCATENATE(AX3,":",AY3)))</f>
        <v>7224487.5</v>
      </c>
      <c r="AX20" s="353">
        <f ca="1">SUMPRODUCT(INDIRECT(CONCATENATE(AV9,":",AW9)),INDIRECT(CONCATENATE($AV$2,":",$AW$2)),INDIRECT(CONCATENATE($AV$3,":",$AW$3)),INDIRECT(CONCATENATE(AX3,":",AY3)))</f>
        <v>2467612.5</v>
      </c>
      <c r="AY20" s="353">
        <f ca="1">SUMPRODUCT(INDIRECT(CONCATENATE(AX9,":",AY9)),INDIRECT(CONCATENATE($AV$2,":",$AW$2)),INDIRECT(CONCATENATE($AV$3,":",$AW$3)),INDIRECT(CONCATENATE(AX3,":",AY3)))</f>
        <v>-1072874.9999999998</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VLOOKUP(AG22,$AL$4:$AS$15,2)</f>
        <v>15000</v>
      </c>
      <c r="G22" s="28">
        <f t="shared" ref="G22:G122" si="12">F22*$AU22</f>
        <v>14977.771146537754</v>
      </c>
      <c r="H22" s="52">
        <f>(AL22+AM22+AN22)/(1-(AR22))</f>
        <v>2.9645306803435707</v>
      </c>
      <c r="I22" s="52">
        <f>(AL22+AO22+AP22)</f>
        <v>2.9535</v>
      </c>
      <c r="K22" s="52">
        <f>MAX(((I22-H22)-AQ22)*AU22*AH22,0)</f>
        <v>0</v>
      </c>
      <c r="L22" s="135">
        <f>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-196124.82517754653</v>
      </c>
      <c r="T22" s="181">
        <f>_xll.xSPRDOPT(I22,H22,AQ22,AT22,O22,N22,P22,D22-$G$5,1,1)*AF22*F22*AH22</f>
        <v>199540.33326020068</v>
      </c>
      <c r="U22" s="135"/>
      <c r="V22" s="146">
        <f>VLOOKUP($AG22,$AL$4:$AS$15,8)*AH22*AU22</f>
        <v>3.2037452482444255</v>
      </c>
      <c r="W22" s="146"/>
      <c r="X22" s="338">
        <f>((BM22*BC22)+(BL22*BB22))*AH22*F22</f>
        <v>0</v>
      </c>
      <c r="Y22" s="338">
        <f t="shared" ref="Y22:Y122" si="13">($F22*$AH22)*((($BG22/2)*($BC22)^2)+(($BF22/2)*($BB22)^2)+($BH22*$BC22*$BB22))</f>
        <v>0</v>
      </c>
      <c r="Z22" s="338">
        <f t="shared" ref="Z22:Z122" si="14">($BI22*$F22*$AH22*($G$5-$BV$5))/365.25</f>
        <v>-1301.3389001372193</v>
      </c>
      <c r="AA22" s="338">
        <f t="shared" ref="AA22:AA122" si="15">(($BK22*$BE22)+($BJ22*$BD22))*$F22*$AH22*$AF22</f>
        <v>313.23463417572759</v>
      </c>
      <c r="AB22" s="338">
        <f>BN22*(AT22-CA22)*F22*AH22</f>
        <v>0</v>
      </c>
      <c r="AC22" s="338">
        <f>BO22*CB22*F22*AH22*CA22*($G$5-$BV$5)/365.25</f>
        <v>3.3784200582393682</v>
      </c>
      <c r="AF22" s="138">
        <f>IF(AND(D22&gt;=$G$7,D22&lt;=$G$8),1,0)</f>
        <v>1</v>
      </c>
      <c r="AG22" s="138">
        <f>MONTH(D22)</f>
        <v>1</v>
      </c>
      <c r="AH22" s="138">
        <f t="shared" ref="AH22:AH53" si="16">(EOMONTH(D22,0)-EOMONTH(D22-DAY(D22),0))*AF22</f>
        <v>31</v>
      </c>
      <c r="AI22" s="138">
        <f>MAX(0,(D22-DAY(D22))-$G$5+1)</f>
        <v>15</v>
      </c>
      <c r="AJ22" s="138">
        <f>D22-$BV$5</f>
        <v>32</v>
      </c>
      <c r="AL22" s="136">
        <f t="shared" ref="AL22:AL122" si="17">VLOOKUP($D22,CurveTbl,$AK$4)</f>
        <v>2.8460000000000001</v>
      </c>
      <c r="AM22" s="258">
        <f t="shared" ref="AM22:AM122" si="18">VLOOKUP($D22,CurveTbl,$AH$3)</f>
        <v>-2.5000000000000001E-2</v>
      </c>
      <c r="AN22" s="258">
        <f t="shared" ref="AN22:AN122" si="19">VLOOKUP($D22,CurveTbl,$AH$4)+VLOOKUP($AG22,$AL$3:$AS$15,6)</f>
        <v>5.7500000000000002E-2</v>
      </c>
      <c r="AO22" s="258">
        <f t="shared" ref="AO22:AO122" si="20">VLOOKUP($D22,CurveTbl,$AH$5)</f>
        <v>0.13250000000000001</v>
      </c>
      <c r="AP22" s="258">
        <f t="shared" ref="AP22:AP122" si="21">VLOOKUP($D22,CurveTbl,$AH$6)+VLOOKUP($AG22,$AL$3:$AS$15,7)</f>
        <v>-2.4999999999999998E-2</v>
      </c>
      <c r="AQ22" s="136">
        <f>VLOOKUP($AG22,$AL$4:$AS$15,3)+VLOOKUP($AG22,$AL$4:$AS$15,5)+($AH$10*VLOOKUP(D22,GRITable,2))</f>
        <v>1.9200000000000002E-2</v>
      </c>
      <c r="AR22" s="137">
        <f t="shared" ref="AR22:AR122" si="22">VLOOKUP($AG22,$AL$4:$AS$15,4)</f>
        <v>2.9020000000000001E-2</v>
      </c>
      <c r="AS22" s="136">
        <f>(AL22+AM22+AN22)</f>
        <v>2.8785000000000003</v>
      </c>
      <c r="AT22" s="137">
        <f>VLOOKUP(D22,CurveTbl,$AK$6)</f>
        <v>1.8765908157160699E-2</v>
      </c>
      <c r="AU22" s="137">
        <f t="shared" ref="AU22:AU85" si="23">(1+$AT22/2)^(-2*($D22-$G$5)/365.25)*$AF22</f>
        <v>0.99851807643585033</v>
      </c>
      <c r="AV22" s="394">
        <f>ROUND((F22/(1-AR22))-F22,0)*AF22*AH22*AU22</f>
        <v>13867.41904554109</v>
      </c>
      <c r="AW22" s="137">
        <f t="shared" ref="AW22:AW122" si="24">VLOOKUP($D22,CurveTbl,$AK$8)</f>
        <v>0.87</v>
      </c>
      <c r="AX22" s="137">
        <f t="shared" ref="AX22:AX122" si="25">VLOOKUP($D22,CurveTbl,$AH$7)</f>
        <v>1.04</v>
      </c>
      <c r="AY22" s="137">
        <f t="shared" ref="AY22:AY122" si="26">VLOOKUP($D22,CurveTbl,$AH$8)</f>
        <v>1.0900000000000001</v>
      </c>
      <c r="AZ22" s="137"/>
      <c r="BA22" s="264"/>
      <c r="BB22" s="258">
        <f t="shared" ref="BB22:BB122" si="27">$H22-$BV22</f>
        <v>0</v>
      </c>
      <c r="BC22" s="258">
        <f>I22-BW22</f>
        <v>0</v>
      </c>
      <c r="BD22" s="137">
        <f>N22-BX22</f>
        <v>7.7262160833929672E-3</v>
      </c>
      <c r="BE22" s="137">
        <f>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4.9232224817644657E-3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3.2032537797114102</v>
      </c>
      <c r="CI22" s="258">
        <v>2.8460000000000001</v>
      </c>
    </row>
    <row r="23" spans="1:91" x14ac:dyDescent="0.25">
      <c r="A23" s="723"/>
      <c r="B23" s="723"/>
      <c r="D23" s="31">
        <f>D22+AH22</f>
        <v>37302</v>
      </c>
      <c r="F23" s="28">
        <f>VLOOKUP(AG23,$AL$4:$AS$15,2)</f>
        <v>15000</v>
      </c>
      <c r="G23" s="28">
        <f t="shared" si="12"/>
        <v>14952.682405311685</v>
      </c>
      <c r="H23" s="52">
        <f>(AL23+AM23+AN23)/(1-(AR23))</f>
        <v>3.0283836948237863</v>
      </c>
      <c r="I23" s="52">
        <f>(AL23+AO23+AP23)</f>
        <v>3.0154999999999998</v>
      </c>
      <c r="K23" s="52">
        <f t="shared" ref="K23:K86" si="28">MAX(((I23-H23)-AQ23)*AU23*AH23,0)</f>
        <v>0</v>
      </c>
      <c r="L23" s="135">
        <f t="shared" ref="L23:L86" si="29">MAX(Q23-K23,0)</f>
        <v>1.3707667485992725</v>
      </c>
      <c r="N23" s="131">
        <f t="shared" ref="N23:N86" si="30">SQRT(($AX23^2*($AH23/2)+$AW23^2*$AI23)/(($AH23/2)+$AI23))</f>
        <v>0.90885229823112634</v>
      </c>
      <c r="O23" s="131">
        <f t="shared" ref="O23:O86" si="31">SQRT(($AY23^2*($AH23/2)+$AW23^2*$AI23)/(($AH23/2)+$AI23))</f>
        <v>0.92242208343035681</v>
      </c>
      <c r="P23" s="55">
        <f t="shared" ref="P23:P86" si="32">(VLOOKUP(AI23,CorrelationTwo,2)*(AW23^2)*AI23+VLOOKUP(D23,CorrelationOne,$AK$9)*AX23*AY23*(AH23/2))/((AI23+(AH23/2))*O23*N23)*AF23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-176953.78983940682</v>
      </c>
      <c r="T23" s="181">
        <f>_xll.xSPRDOPT(I23,H23,AQ23,AT23,O23,N23,P23,D23-$G$5,1,1)*AF23*F23*AH23</f>
        <v>180434.66994052177</v>
      </c>
      <c r="U23" s="135"/>
      <c r="V23" s="146">
        <f>VLOOKUP($AG23,$AL$4:$AS$15,8)*AH23*AU23</f>
        <v>2.8888582407062171</v>
      </c>
      <c r="W23" s="146"/>
      <c r="X23" s="338">
        <f>((BM23*BC23)+(BL23*BB23))*AH23*F23</f>
        <v>0</v>
      </c>
      <c r="Y23" s="338">
        <f t="shared" si="13"/>
        <v>0</v>
      </c>
      <c r="Z23" s="338">
        <f t="shared" si="14"/>
        <v>-627.71629007626768</v>
      </c>
      <c r="AA23" s="338">
        <f t="shared" si="15"/>
        <v>85.290134506591457</v>
      </c>
      <c r="AB23" s="338">
        <f>BN23*(AT23-CA23)*F23*AH23</f>
        <v>0</v>
      </c>
      <c r="AC23" s="338">
        <f>BO23*CB23*F23*AH23*CA23*($G$5-$BV$5)/365.25</f>
        <v>3.3088332930927482</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5.7500000000000002E-2</v>
      </c>
      <c r="AO23" s="258">
        <f t="shared" si="20"/>
        <v>0.13250000000000001</v>
      </c>
      <c r="AP23" s="258">
        <f t="shared" si="21"/>
        <v>-2.4999999999999998E-2</v>
      </c>
      <c r="AQ23" s="136">
        <f>VLOOKUP($AG23,$AL$4:$AS$15,3)+VLOOKUP($AG23,$AL$4:$AS$15,5)+($AH$10*VLOOKUP(D23,GRITable,2))</f>
        <v>1.9200000000000002E-2</v>
      </c>
      <c r="AR23" s="137">
        <f t="shared" si="22"/>
        <v>2.9020000000000001E-2</v>
      </c>
      <c r="AS23" s="136">
        <f t="shared" ref="AS23:AS86" si="33">(AL23+AM23+AN23)</f>
        <v>2.9405000000000001</v>
      </c>
      <c r="AT23" s="137">
        <f t="shared" ref="AT23:AT86" si="34">VLOOKUP(D23,CurveTbl,$AK$6)</f>
        <v>1.9326187282006298E-2</v>
      </c>
      <c r="AU23" s="137">
        <f t="shared" si="23"/>
        <v>0.99684549368744568</v>
      </c>
      <c r="AV23" s="394">
        <f t="shared" ref="AV23:AV86" si="35">ROUND((F23/(1-AR23))-F23,0)*AF23*AH23*AU23</f>
        <v>12504.429872815319</v>
      </c>
      <c r="AW23" s="137">
        <f t="shared" si="24"/>
        <v>0.86499999999999999</v>
      </c>
      <c r="AX23" s="137">
        <f t="shared" si="25"/>
        <v>1.04</v>
      </c>
      <c r="AY23" s="137">
        <f t="shared" si="26"/>
        <v>1.0900000000000001</v>
      </c>
      <c r="AZ23" s="137"/>
      <c r="BA23" s="264"/>
      <c r="BB23" s="258">
        <f t="shared" si="27"/>
        <v>0</v>
      </c>
      <c r="BC23" s="258">
        <f>I23-BW23</f>
        <v>0</v>
      </c>
      <c r="BD23" s="137">
        <f>N23-BX23</f>
        <v>2.0401162808982853E-3</v>
      </c>
      <c r="BE23" s="137">
        <f>O23-BY23</f>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9.2325386097349815E-3</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2.8884019104894785</v>
      </c>
      <c r="CI23" s="258">
        <v>2.9079999999999999</v>
      </c>
    </row>
    <row r="24" spans="1:91" x14ac:dyDescent="0.25">
      <c r="A24" s="723"/>
      <c r="B24" s="723"/>
      <c r="D24" s="31">
        <f t="shared" ref="D24:D87" si="36">D23+AH23</f>
        <v>37330</v>
      </c>
      <c r="F24" s="28">
        <f t="shared" ref="F24:F87" si="37">VLOOKUP(AG24,$AL$4:$AS$15,2)</f>
        <v>15000</v>
      </c>
      <c r="G24" s="28">
        <f t="shared" si="12"/>
        <v>14930.840847111789</v>
      </c>
      <c r="H24" s="52">
        <f t="shared" ref="H24:H87" si="38">(AL24+AM24+AN24)/(1-(AR24))</f>
        <v>3.0222043708418305</v>
      </c>
      <c r="I24" s="52">
        <f t="shared" ref="I24:I87" si="39">(AL24+AO24+AP24)</f>
        <v>2.9970000000000003</v>
      </c>
      <c r="K24" s="52">
        <f t="shared" si="28"/>
        <v>0</v>
      </c>
      <c r="L24" s="135">
        <f t="shared" si="29"/>
        <v>0.92634375312468864</v>
      </c>
      <c r="N24" s="131">
        <f t="shared" si="30"/>
        <v>0.79</v>
      </c>
      <c r="O24" s="131">
        <f t="shared" si="31"/>
        <v>0.79</v>
      </c>
      <c r="P24" s="55">
        <f t="shared" si="32"/>
        <v>0.99446927374301697</v>
      </c>
      <c r="Q24" s="135">
        <f>_xll.xSPRDOPT(I24,H24,AQ24,0,O24,N24,P24,D24-$G$5,1,0)*AH24*AU24</f>
        <v>0.92634375312468864</v>
      </c>
      <c r="R24" s="135"/>
      <c r="S24" s="181">
        <f>_xll.xSPRDOPT(I24,H24,AQ24,AT24,O24,N24,P24,D24-$G$5,1,2)*AF24*(F24/(1-AR24))*AH24</f>
        <v>-167529.89968458994</v>
      </c>
      <c r="T24" s="181">
        <f>_xll.xSPRDOPT(I24,H24,AQ24,AT24,O24,N24,P24,D24-$G$5,1,1)*AF24*F24*AH24</f>
        <v>169709.48996679953</v>
      </c>
      <c r="U24" s="135"/>
      <c r="V24" s="146">
        <f t="shared" ref="V24:V87" si="40">VLOOKUP($AG24,$AL$4:$AS$15,8)*AH24*AU24</f>
        <v>3.1937068571972116</v>
      </c>
      <c r="W24" s="146"/>
      <c r="X24" s="338">
        <f t="shared" ref="X24:X87" si="41">((BM24*BC24)+(BL24*BB24))*AH24*F24</f>
        <v>0</v>
      </c>
      <c r="Y24" s="338">
        <f t="shared" si="13"/>
        <v>0</v>
      </c>
      <c r="Z24" s="338">
        <f t="shared" si="14"/>
        <v>-351.57188154092319</v>
      </c>
      <c r="AA24" s="338">
        <f t="shared" si="15"/>
        <v>0</v>
      </c>
      <c r="AB24" s="338">
        <f t="shared" ref="AB24:AB87" si="42">BN24*(AT24-CA24)*F24*AH24</f>
        <v>0</v>
      </c>
      <c r="AC24" s="338">
        <f t="shared" ref="AC24:AC87" si="43">BO24*CB24*F24*AH24*CA24*($G$5-$BV$5)/365.25</f>
        <v>2.2257701005360406</v>
      </c>
      <c r="AF24" s="138">
        <f t="shared" ref="AF24:AF87" si="44">IF(AND(D24&gt;=$G$7,D24&lt;=$G$8),1,0)</f>
        <v>1</v>
      </c>
      <c r="AG24" s="138">
        <f t="shared" ref="AG24:AG87" si="45">MONTH(D24)</f>
        <v>3</v>
      </c>
      <c r="AH24" s="138">
        <f t="shared" si="16"/>
        <v>31</v>
      </c>
      <c r="AI24" s="138">
        <f t="shared" ref="AI24:AI87" si="46">AI23+AH23</f>
        <v>74</v>
      </c>
      <c r="AJ24" s="138">
        <f t="shared" ref="AJ24:AJ87" si="47">D24-$BV$5</f>
        <v>91</v>
      </c>
      <c r="AL24" s="136">
        <f t="shared" si="17"/>
        <v>2.9020000000000001</v>
      </c>
      <c r="AM24" s="258">
        <f t="shared" si="18"/>
        <v>-2.5000000000000001E-2</v>
      </c>
      <c r="AN24" s="258">
        <f t="shared" si="19"/>
        <v>5.7500000000000002E-2</v>
      </c>
      <c r="AO24" s="258">
        <f t="shared" si="20"/>
        <v>0.12</v>
      </c>
      <c r="AP24" s="258">
        <f t="shared" si="21"/>
        <v>-2.4999999999999998E-2</v>
      </c>
      <c r="AQ24" s="136">
        <f t="shared" ref="AQ24:AQ87" si="48">VLOOKUP($AG24,$AL$4:$AS$15,3)+VLOOKUP($AG24,$AL$4:$AS$15,5)+($AH$10*VLOOKUP(D24,GRITable,2))</f>
        <v>1.9200000000000002E-2</v>
      </c>
      <c r="AR24" s="137">
        <f t="shared" si="22"/>
        <v>2.9020000000000001E-2</v>
      </c>
      <c r="AS24" s="136">
        <f t="shared" si="33"/>
        <v>2.9345000000000003</v>
      </c>
      <c r="AT24" s="137">
        <f t="shared" si="34"/>
        <v>1.9273175363903501E-2</v>
      </c>
      <c r="AU24" s="137">
        <f t="shared" si="23"/>
        <v>0.99538938980745262</v>
      </c>
      <c r="AV24" s="394">
        <f t="shared" si="35"/>
        <v>13823.967845645902</v>
      </c>
      <c r="AW24" s="137">
        <f t="shared" si="24"/>
        <v>0.79</v>
      </c>
      <c r="AX24" s="137">
        <f t="shared" si="25"/>
        <v>0.79</v>
      </c>
      <c r="AY24" s="137">
        <f t="shared" si="26"/>
        <v>0.79</v>
      </c>
      <c r="AZ24" s="137"/>
      <c r="BA24" s="264"/>
      <c r="BB24" s="258">
        <f t="shared" si="27"/>
        <v>0</v>
      </c>
      <c r="BC24" s="258">
        <f t="shared" ref="BC24:BC87" si="49">I24-BW24</f>
        <v>0</v>
      </c>
      <c r="BD24" s="137">
        <f t="shared" ref="BD24:BD87" si="50">N24-BX24</f>
        <v>0</v>
      </c>
      <c r="BE24" s="137">
        <f t="shared" ref="BE24:BE87" si="51">O24-BY24</f>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1.813005764414331E-2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3.1932037495256145</v>
      </c>
      <c r="CI24" s="258">
        <v>2.9020000000000001</v>
      </c>
    </row>
    <row r="25" spans="1:91" x14ac:dyDescent="0.25">
      <c r="A25" s="723"/>
      <c r="B25" s="723"/>
      <c r="D25" s="31">
        <f t="shared" si="36"/>
        <v>37361</v>
      </c>
      <c r="F25" s="28">
        <f t="shared" si="37"/>
        <v>15000</v>
      </c>
      <c r="G25" s="28">
        <f t="shared" si="12"/>
        <v>14905.835067346981</v>
      </c>
      <c r="H25" s="52">
        <f t="shared" si="38"/>
        <v>2.9665904550042228</v>
      </c>
      <c r="I25" s="52">
        <f t="shared" si="39"/>
        <v>2.9729999999999999</v>
      </c>
      <c r="K25" s="52">
        <f t="shared" si="28"/>
        <v>0</v>
      </c>
      <c r="L25" s="135">
        <f t="shared" si="29"/>
        <v>0.70346788210603195</v>
      </c>
      <c r="N25" s="131">
        <f t="shared" si="30"/>
        <v>0.60058305004387191</v>
      </c>
      <c r="O25" s="131">
        <f t="shared" si="31"/>
        <v>0.60633118013178244</v>
      </c>
      <c r="P25" s="55">
        <f t="shared" si="32"/>
        <v>0.99750590707218045</v>
      </c>
      <c r="Q25" s="135">
        <f>_xll.xSPRDOPT(I25,H25,AQ25,0,O25,N25,P25,D25-$G$5,1,0)*AH25*AU25</f>
        <v>0.70346788210603195</v>
      </c>
      <c r="R25" s="135"/>
      <c r="S25" s="181">
        <f>_xll.xSPRDOPT(I25,H25,AQ25,AT25,O25,N25,P25,D25-$G$5,1,2)*AF25*(F25/(1-AR25))*AH25</f>
        <v>-196623.44288840159</v>
      </c>
      <c r="T25" s="181">
        <f>_xll.xSPRDOPT(I25,H25,AQ25,AT25,O25,N25,P25,D25-$G$5,1,1)*AF25*F25*AH25</f>
        <v>195214.94904847504</v>
      </c>
      <c r="U25" s="135"/>
      <c r="V25" s="146">
        <f t="shared" si="40"/>
        <v>3.0855078589408254</v>
      </c>
      <c r="W25" s="146"/>
      <c r="X25" s="338">
        <f t="shared" si="41"/>
        <v>0</v>
      </c>
      <c r="Y25" s="338">
        <f t="shared" si="13"/>
        <v>0</v>
      </c>
      <c r="Z25" s="338">
        <f t="shared" si="14"/>
        <v>-158.4726773693836</v>
      </c>
      <c r="AA25" s="338">
        <f t="shared" si="15"/>
        <v>5.9703757354285045</v>
      </c>
      <c r="AB25" s="338">
        <f t="shared" si="42"/>
        <v>0</v>
      </c>
      <c r="AC25" s="338">
        <f t="shared" si="43"/>
        <v>1.6835251944075711</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5.7500000000000002E-2</v>
      </c>
      <c r="AO25" s="258">
        <f t="shared" si="20"/>
        <v>0.15</v>
      </c>
      <c r="AP25" s="258">
        <f t="shared" si="21"/>
        <v>-2.4999999999999998E-2</v>
      </c>
      <c r="AQ25" s="136">
        <f t="shared" si="48"/>
        <v>1.9200000000000002E-2</v>
      </c>
      <c r="AR25" s="137">
        <f t="shared" si="22"/>
        <v>2.9020000000000001E-2</v>
      </c>
      <c r="AS25" s="136">
        <f t="shared" si="33"/>
        <v>2.8805000000000001</v>
      </c>
      <c r="AT25" s="137">
        <f t="shared" si="34"/>
        <v>1.9422640119623601E-2</v>
      </c>
      <c r="AU25" s="137">
        <f t="shared" si="23"/>
        <v>0.99372233782313213</v>
      </c>
      <c r="AV25" s="394">
        <f t="shared" si="35"/>
        <v>13355.628220342896</v>
      </c>
      <c r="AW25" s="137">
        <f t="shared" si="24"/>
        <v>0.61</v>
      </c>
      <c r="AX25" s="137">
        <f t="shared" si="25"/>
        <v>0.53</v>
      </c>
      <c r="AY25" s="137">
        <f t="shared" si="26"/>
        <v>0.57999999999999996</v>
      </c>
      <c r="AZ25" s="137"/>
      <c r="BA25" s="264"/>
      <c r="BB25" s="258">
        <f t="shared" si="27"/>
        <v>0</v>
      </c>
      <c r="BC25" s="258">
        <f t="shared" si="49"/>
        <v>0</v>
      </c>
      <c r="BD25" s="137">
        <f t="shared" si="50"/>
        <v>-2.3143778118694946E-4</v>
      </c>
      <c r="BE25" s="137">
        <f t="shared" si="51"/>
        <v>-8.9747494742220546E-5</v>
      </c>
      <c r="BF25" s="137">
        <f>_xll.xSPRDOPT($BW25,$BV25,$CG25,0,$BY25,$BX25,$BZ25,$AJ25,1,4)*$CB25</f>
        <v>5.2498442881489531</v>
      </c>
      <c r="BG25" s="137">
        <f>_xll.xSPRDOPT($BW25,$BV25,$CG25,0,$BY25,$BX25,$BZ25,$AJ25,1,3)*$CB25</f>
        <v>5.2939844558760987</v>
      </c>
      <c r="BH25" s="137">
        <f>IF(OR(BF25&lt;&gt;0,BG25&lt;&gt;0),_xll.xSPRDOPT($BW25,$BV25,$CG25,0,$BY25,$BX25,$BZ25,$AJ25,1,12)*$CB25,0)</f>
        <v>-5.2718549343803378</v>
      </c>
      <c r="BI25" s="137">
        <f>_xll.xSPRDOPT($BW25,$BV25,$CG25,2*LN(1+CA25/2),$BY25,$BX25,$BZ25,$AJ25,1,9)</f>
        <v>-4.2875663266049899E-2</v>
      </c>
      <c r="BJ25" s="137">
        <f>_xll.xSPRDOPT($BW25,$BV25,$CG25,0,$BY25,$BX25,$BZ25,$AJ25,1,6)*$CB25</f>
        <v>-0.1231495025030485</v>
      </c>
      <c r="BK25" s="137">
        <f>_xll.xSPRDOPT($BW25,$BV25,$CG25,0,$BY25,$BX25,$BZ25,$AJ25,1,5)*$CB25</f>
        <v>0.16974229779954009</v>
      </c>
      <c r="BL25" s="137">
        <f>_xll.xSPRDOPT(BW25,BV25,CG25,0,BY25,BX25,BZ25,AJ25,1,2)*CB25</f>
        <v>-0.42422748254475406</v>
      </c>
      <c r="BM25" s="137">
        <f>_xll.xSPRDOPT(BW25,BV25,CG25,0,BY25,BX25,BZ25,AJ25,1,1)*CB25</f>
        <v>0.43377634633975959</v>
      </c>
      <c r="BN25" s="137">
        <f>IF(AH25&lt;&gt;0,_xll.xSPRDOPT($BW25,$BV25,$CG25,2*LN(1+CA25/2),$BY25,$BX25,$BZ25,$AJ25,1,8)+(AJ25/365.25)*CH25/AH25,0)</f>
        <v>2.6515196666900387E-2</v>
      </c>
      <c r="BO25" s="137">
        <f>_xll.xSPRDOPT($BW25,$BV25,$CG25,0,$BY25,$BX25,$BZ25,$AJ25,1,0)</f>
        <v>2.3603244699700789E-2</v>
      </c>
      <c r="BP25" s="137"/>
      <c r="BQ25" s="137"/>
      <c r="BR25" s="137"/>
      <c r="BS25" s="137"/>
      <c r="BV25" s="262">
        <v>2.9665904550042228</v>
      </c>
      <c r="BW25" s="136">
        <v>2.9729999999999999</v>
      </c>
      <c r="BX25" s="137">
        <v>0.60081448782505886</v>
      </c>
      <c r="BY25" s="137">
        <v>0.60642092762652466</v>
      </c>
      <c r="BZ25" s="137">
        <v>0.99756693397815366</v>
      </c>
      <c r="CA25" s="137">
        <v>1.9422640119623601E-2</v>
      </c>
      <c r="CB25" s="137">
        <v>0.99356458774998258</v>
      </c>
      <c r="CC25" s="258">
        <v>-2.5000000000000001E-2</v>
      </c>
      <c r="CD25" s="258">
        <v>5.7500000000000002E-2</v>
      </c>
      <c r="CE25" s="258">
        <v>0.15</v>
      </c>
      <c r="CF25" s="258">
        <v>-2.5000000000000001E-2</v>
      </c>
      <c r="CG25" s="258">
        <v>1.9200000000000002E-2</v>
      </c>
      <c r="CH25" s="258">
        <v>3.0850180449636957</v>
      </c>
      <c r="CI25" s="258">
        <v>2.8479999999999999</v>
      </c>
    </row>
    <row r="26" spans="1:91" x14ac:dyDescent="0.25">
      <c r="A26" s="723"/>
      <c r="B26" s="723"/>
      <c r="D26" s="31">
        <f t="shared" si="36"/>
        <v>37391</v>
      </c>
      <c r="F26" s="28">
        <f t="shared" si="37"/>
        <v>15000</v>
      </c>
      <c r="G26" s="28">
        <f t="shared" si="12"/>
        <v>14880.448901268937</v>
      </c>
      <c r="H26" s="52">
        <f t="shared" si="38"/>
        <v>3.0160250468598737</v>
      </c>
      <c r="I26" s="52">
        <f t="shared" si="39"/>
        <v>3.0009999999999999</v>
      </c>
      <c r="K26" s="52">
        <f t="shared" si="28"/>
        <v>0</v>
      </c>
      <c r="L26" s="135">
        <f t="shared" si="29"/>
        <v>0.45392297459898207</v>
      </c>
      <c r="N26" s="131">
        <f t="shared" si="30"/>
        <v>0.57775797476853397</v>
      </c>
      <c r="O26" s="131">
        <f t="shared" si="31"/>
        <v>0.57775797476853397</v>
      </c>
      <c r="P26" s="55">
        <f t="shared" si="32"/>
        <v>0.99792418195206833</v>
      </c>
      <c r="Q26" s="135">
        <f>_xll.xSPRDOPT(I26,H26,AQ26,0,O26,N26,P26,D26-$G$5,1,0)*AH26*AU26</f>
        <v>0.45392297459898207</v>
      </c>
      <c r="R26" s="135"/>
      <c r="S26" s="181">
        <f>_xll.xSPRDOPT(I26,H26,AQ26,AT26,O26,N26,P26,D26-$G$5,1,2)*AF26*(F26/(1-AR26))*AH26</f>
        <v>-148644.46014422367</v>
      </c>
      <c r="T26" s="181">
        <f>_xll.xSPRDOPT(I26,H26,AQ26,AT26,O26,N26,P26,D26-$G$5,1,1)*AF26*F26*AH26</f>
        <v>148218.39272567863</v>
      </c>
      <c r="U26" s="135"/>
      <c r="V26" s="146">
        <f t="shared" si="40"/>
        <v>3.1829280199814254</v>
      </c>
      <c r="W26" s="146"/>
      <c r="X26" s="338">
        <f t="shared" si="41"/>
        <v>0</v>
      </c>
      <c r="Y26" s="338">
        <f t="shared" si="13"/>
        <v>0</v>
      </c>
      <c r="Z26" s="338">
        <f t="shared" si="14"/>
        <v>-115.57339537974623</v>
      </c>
      <c r="AA26" s="338">
        <f t="shared" si="15"/>
        <v>0.10314936378484597</v>
      </c>
      <c r="AB26" s="338">
        <f t="shared" si="42"/>
        <v>0</v>
      </c>
      <c r="AC26" s="338">
        <f t="shared" si="43"/>
        <v>1.1026119730088992</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5.7500000000000002E-2</v>
      </c>
      <c r="AO26" s="258">
        <f t="shared" si="20"/>
        <v>0.13</v>
      </c>
      <c r="AP26" s="258">
        <f t="shared" si="21"/>
        <v>-2.4999999999999998E-2</v>
      </c>
      <c r="AQ26" s="136">
        <f t="shared" si="48"/>
        <v>1.9200000000000002E-2</v>
      </c>
      <c r="AR26" s="137">
        <f t="shared" si="22"/>
        <v>2.9020000000000001E-2</v>
      </c>
      <c r="AS26" s="136">
        <f t="shared" si="33"/>
        <v>2.9285000000000001</v>
      </c>
      <c r="AT26" s="137">
        <f t="shared" si="34"/>
        <v>1.9712159578257001E-2</v>
      </c>
      <c r="AU26" s="137">
        <f t="shared" si="23"/>
        <v>0.99202992675126245</v>
      </c>
      <c r="AV26" s="394">
        <f t="shared" si="35"/>
        <v>13777.311622721532</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4.8589724291024048</v>
      </c>
      <c r="BG26" s="137">
        <f>_xll.xSPRDOPT($BW26,$BV26,$CG26,0,$BY26,$BX26,$BZ26,$AJ26,1,3)*$CB26</f>
        <v>4.9694925751390722</v>
      </c>
      <c r="BH26" s="137">
        <f>IF(OR(BF26&lt;&gt;0,BG26&lt;&gt;0),_xll.xSPRDOPT($BW26,$BV26,$CG26,0,$BY26,$BX26,$BZ26,$AJ26,1,12)*$CB26,0)</f>
        <v>-4.9139143348814107</v>
      </c>
      <c r="BI26" s="137">
        <f>_xll.xSPRDOPT($BW26,$BV26,$CG26,2*LN(1+CA26/2),$BY26,$BX26,$BZ26,$AJ26,1,9)</f>
        <v>-3.0260345994589467E-2</v>
      </c>
      <c r="BJ26" s="137">
        <f>_xll.xSPRDOPT($BW26,$BV26,$CG26,0,$BY26,$BX26,$BZ26,$AJ26,1,6)*$CB26</f>
        <v>-4.4841468101313037E-2</v>
      </c>
      <c r="BK26" s="137">
        <f>_xll.xSPRDOPT($BW26,$BV26,$CG26,0,$BY26,$BX26,$BZ26,$AJ26,1,5)*$CB26</f>
        <v>8.884814443368283E-2</v>
      </c>
      <c r="BL26" s="137">
        <f>_xll.xSPRDOPT(BW26,BV26,CG26,0,BY26,BX26,BZ26,AJ26,1,2)*CB26</f>
        <v>-0.31038818099327298</v>
      </c>
      <c r="BM26" s="137">
        <f>_xll.xSPRDOPT(BW26,BV26,CG26,0,BY26,BX26,BZ26,AJ26,1,1)*CB26</f>
        <v>0.31874798303488355</v>
      </c>
      <c r="BN26" s="137">
        <f>IF(AH26&lt;&gt;0,_xll.xSPRDOPT($BW26,$BV26,$CG26,2*LN(1+CA26/2),$BY26,$BX26,$BZ26,$AJ26,1,8)+(AJ26/365.25)*CH26/AH26,0)</f>
        <v>3.6626921193852462E-2</v>
      </c>
      <c r="BO26" s="137">
        <f>_xll.xSPRDOPT($BW26,$BV26,$CG26,0,$BY26,$BX26,$BZ26,$AJ26,1,0)</f>
        <v>1.4765552835409E-2</v>
      </c>
      <c r="BP26" s="137"/>
      <c r="BQ26" s="137"/>
      <c r="BR26" s="137"/>
      <c r="BS26" s="137"/>
      <c r="BV26" s="262">
        <v>3.0160250468598737</v>
      </c>
      <c r="BW26" s="136">
        <v>3.0009999999999999</v>
      </c>
      <c r="BX26" s="137">
        <v>0.5777529340200096</v>
      </c>
      <c r="BY26" s="137">
        <v>0.5777529340200096</v>
      </c>
      <c r="BZ26" s="137">
        <v>0.9979647161716938</v>
      </c>
      <c r="CA26" s="137">
        <v>1.9712159578257001E-2</v>
      </c>
      <c r="CB26" s="137">
        <v>0.99187010954216859</v>
      </c>
      <c r="CC26" s="258">
        <v>-2.5000000000000001E-2</v>
      </c>
      <c r="CD26" s="258">
        <v>5.7500000000000002E-2</v>
      </c>
      <c r="CE26" s="258">
        <v>0.13</v>
      </c>
      <c r="CF26" s="258">
        <v>-2.5000000000000001E-2</v>
      </c>
      <c r="CG26" s="258">
        <v>1.9200000000000002E-2</v>
      </c>
      <c r="CH26" s="258">
        <v>3.1824152464660478</v>
      </c>
      <c r="CI26" s="258">
        <v>2.8959999999999999</v>
      </c>
    </row>
    <row r="27" spans="1:91" x14ac:dyDescent="0.25">
      <c r="A27" s="727"/>
      <c r="B27" s="727"/>
      <c r="C27" s="727"/>
      <c r="D27" s="31">
        <f t="shared" si="36"/>
        <v>37422</v>
      </c>
      <c r="F27" s="28">
        <f t="shared" si="37"/>
        <v>15000</v>
      </c>
      <c r="G27" s="28">
        <f t="shared" si="12"/>
        <v>14853.527295346974</v>
      </c>
      <c r="H27" s="52">
        <f t="shared" si="38"/>
        <v>3.0675194133761772</v>
      </c>
      <c r="I27" s="52">
        <f t="shared" si="39"/>
        <v>3.0710000000000002</v>
      </c>
      <c r="K27" s="52">
        <f t="shared" si="28"/>
        <v>0</v>
      </c>
      <c r="L27" s="135">
        <f t="shared" si="29"/>
        <v>0.76061184586447861</v>
      </c>
      <c r="N27" s="131">
        <f t="shared" si="30"/>
        <v>0.5502663217587267</v>
      </c>
      <c r="O27" s="131">
        <f t="shared" si="31"/>
        <v>0.5548034219582415</v>
      </c>
      <c r="P27" s="55">
        <f t="shared" si="32"/>
        <v>0.99771058761077325</v>
      </c>
      <c r="Q27" s="135">
        <f>_xll.xSPRDOPT(I27,H27,AQ27,0,O27,N27,P27,D27-$G$5,1,0)*AH27*AU27</f>
        <v>0.76061184586447861</v>
      </c>
      <c r="R27" s="135"/>
      <c r="S27" s="181">
        <f>_xll.xSPRDOPT(I27,H27,AQ27,AT27,O27,N27,P27,D27-$G$5,1,2)*AF27*(F27/(1-AR27))*AH27</f>
        <v>-192506.33979003382</v>
      </c>
      <c r="T27" s="181">
        <f>_xll.xSPRDOPT(I27,H27,AQ27,AT27,O27,N27,P27,D27-$G$5,1,1)*AF27*F27*AH27</f>
        <v>191516.40396742584</v>
      </c>
      <c r="U27" s="135"/>
      <c r="V27" s="146">
        <f t="shared" si="40"/>
        <v>3.0746801501368237</v>
      </c>
      <c r="W27" s="146"/>
      <c r="X27" s="338">
        <f t="shared" si="41"/>
        <v>0</v>
      </c>
      <c r="Y27" s="338">
        <f t="shared" si="13"/>
        <v>0</v>
      </c>
      <c r="Z27" s="338">
        <f t="shared" si="14"/>
        <v>-116.06926478643258</v>
      </c>
      <c r="AA27" s="338">
        <f t="shared" si="15"/>
        <v>7.8223360261709924</v>
      </c>
      <c r="AB27" s="338">
        <f t="shared" si="42"/>
        <v>0</v>
      </c>
      <c r="AC27" s="338">
        <f t="shared" si="43"/>
        <v>1.875233049598287</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5.7500000000000002E-2</v>
      </c>
      <c r="AO27" s="258">
        <f t="shared" si="20"/>
        <v>0.15</v>
      </c>
      <c r="AP27" s="258">
        <f t="shared" si="21"/>
        <v>-2.4999999999999998E-2</v>
      </c>
      <c r="AQ27" s="136">
        <f t="shared" si="48"/>
        <v>1.9200000000000002E-2</v>
      </c>
      <c r="AR27" s="137">
        <f t="shared" si="22"/>
        <v>2.9020000000000001E-2</v>
      </c>
      <c r="AS27" s="136">
        <f t="shared" si="33"/>
        <v>2.9785000000000004</v>
      </c>
      <c r="AT27" s="137">
        <f t="shared" si="34"/>
        <v>2.0011329715354399E-2</v>
      </c>
      <c r="AU27" s="137">
        <f t="shared" si="23"/>
        <v>0.99023515302313159</v>
      </c>
      <c r="AV27" s="394">
        <f t="shared" si="35"/>
        <v>13308.760456630889</v>
      </c>
      <c r="AW27" s="137">
        <f t="shared" si="24"/>
        <v>0.54749999999999999</v>
      </c>
      <c r="AX27" s="137">
        <f t="shared" si="25"/>
        <v>0.57999999999999996</v>
      </c>
      <c r="AY27" s="137">
        <f t="shared" si="26"/>
        <v>0.63</v>
      </c>
      <c r="AZ27" s="137"/>
      <c r="BA27" s="264"/>
      <c r="BB27" s="258">
        <f t="shared" si="27"/>
        <v>0</v>
      </c>
      <c r="BC27" s="258">
        <f t="shared" si="49"/>
        <v>0</v>
      </c>
      <c r="BD27" s="137">
        <f t="shared" si="50"/>
        <v>4.4991539458583141E-5</v>
      </c>
      <c r="BE27" s="137">
        <f t="shared" si="51"/>
        <v>1.1830637855325676E-4</v>
      </c>
      <c r="BF27" s="137">
        <f>_xll.xSPRDOPT($BW27,$BV27,$CG27,0,$BY27,$BX27,$BZ27,$AJ27,1,4)*$CB27</f>
        <v>4.6852614919680873</v>
      </c>
      <c r="BG27" s="137">
        <f>_xll.xSPRDOPT($BW27,$BV27,$CG27,0,$BY27,$BX27,$BZ27,$AJ27,1,3)*$CB27</f>
        <v>4.7321977106769948</v>
      </c>
      <c r="BH27" s="137">
        <f>IF(OR(BF27&lt;&gt;0,BG27&lt;&gt;0),_xll.xSPRDOPT($BW27,$BV27,$CG27,0,$BY27,$BX27,$BZ27,$AJ27,1,12)*$CB27,0)</f>
        <v>-4.7086570608824516</v>
      </c>
      <c r="BI27" s="137">
        <f>_xll.xSPRDOPT($BW27,$BV27,$CG27,2*LN(1+CA27/2),$BY27,$BX27,$BZ27,$AJ27,1,9)</f>
        <v>-3.140318441721815E-2</v>
      </c>
      <c r="BJ27" s="137">
        <f>_xll.xSPRDOPT($BW27,$BV27,$CG27,0,$BY27,$BX27,$BZ27,$AJ27,1,6)*$CB27</f>
        <v>-0.14597938839440244</v>
      </c>
      <c r="BK27" s="137">
        <f>_xll.xSPRDOPT($BW27,$BV27,$CG27,0,$BY27,$BX27,$BZ27,$AJ27,1,5)*$CB27</f>
        <v>0.2024472953447016</v>
      </c>
      <c r="BL27" s="137">
        <f>_xll.xSPRDOPT(BW27,BV27,CG27,0,BY27,BX27,BZ27,AJ27,1,2)*CB27</f>
        <v>-0.41534338062239268</v>
      </c>
      <c r="BM27" s="137">
        <f>_xll.xSPRDOPT(BW27,BV27,CG27,0,BY27,BX27,BZ27,AJ27,1,1)*CB27</f>
        <v>0.42555668077216352</v>
      </c>
      <c r="BN27" s="137">
        <f>IF(AH27&lt;&gt;0,_xll.xSPRDOPT($BW27,$BV27,$CG27,2*LN(1+CA27/2),$BY27,$BX27,$BZ27,$AJ27,1,8)+(AJ27/365.25)*CH27/AH27,0)</f>
        <v>3.8638779928613615E-2</v>
      </c>
      <c r="BO27" s="137">
        <f>_xll.xSPRDOPT($BW27,$BV27,$CG27,0,$BY27,$BX27,$BZ27,$AJ27,1,0)</f>
        <v>2.5607574511676071E-2</v>
      </c>
      <c r="BP27" s="137"/>
      <c r="BQ27" s="137"/>
      <c r="BR27" s="137"/>
      <c r="BS27" s="137"/>
      <c r="BV27" s="262">
        <v>3.0675194133761772</v>
      </c>
      <c r="BW27" s="136">
        <v>3.0710000000000002</v>
      </c>
      <c r="BX27" s="137">
        <v>0.55022133021926811</v>
      </c>
      <c r="BY27" s="137">
        <v>0.55468511557968825</v>
      </c>
      <c r="BZ27" s="137">
        <v>0.99774671921642777</v>
      </c>
      <c r="CA27" s="137">
        <v>2.0011329715354399E-2</v>
      </c>
      <c r="CB27" s="137">
        <v>0.99007321601711695</v>
      </c>
      <c r="CC27" s="258">
        <v>-2.5000000000000001E-2</v>
      </c>
      <c r="CD27" s="258">
        <v>5.7500000000000002E-2</v>
      </c>
      <c r="CE27" s="258">
        <v>0.15</v>
      </c>
      <c r="CF27" s="258">
        <v>-2.5000000000000001E-2</v>
      </c>
      <c r="CG27" s="258">
        <v>1.9200000000000002E-2</v>
      </c>
      <c r="CH27" s="258">
        <v>3.0741773357331481</v>
      </c>
      <c r="CI27" s="258">
        <v>2.9460000000000002</v>
      </c>
    </row>
    <row r="28" spans="1:91" x14ac:dyDescent="0.25">
      <c r="A28" s="723"/>
      <c r="B28" s="723"/>
      <c r="D28" s="31">
        <f t="shared" si="36"/>
        <v>37452</v>
      </c>
      <c r="F28" s="28">
        <f t="shared" si="37"/>
        <v>15000</v>
      </c>
      <c r="G28" s="28">
        <f t="shared" si="12"/>
        <v>14825.732715270382</v>
      </c>
      <c r="H28" s="52">
        <f t="shared" si="38"/>
        <v>3.1066551319285671</v>
      </c>
      <c r="I28" s="52">
        <f t="shared" si="39"/>
        <v>3.1240000000000001</v>
      </c>
      <c r="K28" s="52">
        <f t="shared" si="28"/>
        <v>0</v>
      </c>
      <c r="L28" s="135">
        <f t="shared" si="29"/>
        <v>0.96198087172044877</v>
      </c>
      <c r="N28" s="131">
        <f t="shared" si="30"/>
        <v>0.54938596714727361</v>
      </c>
      <c r="O28" s="131">
        <f t="shared" si="31"/>
        <v>0.54938596714727361</v>
      </c>
      <c r="P28" s="55">
        <f t="shared" si="32"/>
        <v>0.99807257584770948</v>
      </c>
      <c r="Q28" s="135">
        <f>_xll.xSPRDOPT(I28,H28,AQ28,0,O28,N28,P28,D28-$G$5,1,0)*AH28*AU28</f>
        <v>0.96198087172044877</v>
      </c>
      <c r="R28" s="135"/>
      <c r="S28" s="181">
        <f>_xll.xSPRDOPT(I28,H28,AQ28,AT28,O28,N28,P28,D28-$G$5,1,2)*AF28*(F28/(1-AR28))*AH28</f>
        <v>-229944.31301950256</v>
      </c>
      <c r="T28" s="181">
        <f>_xll.xSPRDOPT(I28,H28,AQ28,AT28,O28,N28,P28,D28-$G$5,1,1)*AF28*F28*AH28</f>
        <v>227986.96299316926</v>
      </c>
      <c r="U28" s="135"/>
      <c r="V28" s="146">
        <f t="shared" si="40"/>
        <v>3.1712242277963347</v>
      </c>
      <c r="W28" s="146"/>
      <c r="X28" s="338">
        <f t="shared" si="41"/>
        <v>0</v>
      </c>
      <c r="Y28" s="338">
        <f t="shared" si="13"/>
        <v>0</v>
      </c>
      <c r="Z28" s="338">
        <f t="shared" si="14"/>
        <v>-102.24326304650073</v>
      </c>
      <c r="AA28" s="338">
        <f t="shared" si="15"/>
        <v>2.5894088232139643</v>
      </c>
      <c r="AB28" s="338">
        <f t="shared" si="42"/>
        <v>0</v>
      </c>
      <c r="AC28" s="338">
        <f t="shared" si="43"/>
        <v>2.4211028042190272</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5.7500000000000002E-2</v>
      </c>
      <c r="AO28" s="258">
        <f t="shared" si="20"/>
        <v>0.16500000000000001</v>
      </c>
      <c r="AP28" s="258">
        <f t="shared" si="21"/>
        <v>-2.4999999999999998E-2</v>
      </c>
      <c r="AQ28" s="136">
        <f t="shared" si="48"/>
        <v>1.9200000000000002E-2</v>
      </c>
      <c r="AR28" s="137">
        <f t="shared" si="22"/>
        <v>2.9020000000000001E-2</v>
      </c>
      <c r="AS28" s="136">
        <f t="shared" si="33"/>
        <v>3.0165000000000002</v>
      </c>
      <c r="AT28" s="137">
        <f t="shared" si="34"/>
        <v>2.0428629809483099E-2</v>
      </c>
      <c r="AU28" s="137">
        <f t="shared" si="23"/>
        <v>0.98838218101802544</v>
      </c>
      <c r="AV28" s="394">
        <f t="shared" si="35"/>
        <v>13726.651729978337</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4.8620241699318258</v>
      </c>
      <c r="BG28" s="137">
        <f>_xll.xSPRDOPT($BW28,$BV28,$CG28,0,$BY28,$BX28,$BZ28,$AJ28,1,3)*$CB28</f>
        <v>4.8675702507019514</v>
      </c>
      <c r="BH28" s="137">
        <f>IF(OR(BF28&lt;&gt;0,BG28&lt;&gt;0),_xll.xSPRDOPT($BW28,$BV28,$CG28,0,$BY28,$BX28,$BZ28,$AJ28,1,12)*$CB28,0)</f>
        <v>-4.8647881411920979</v>
      </c>
      <c r="BI28" s="137">
        <f>_xll.xSPRDOPT($BW28,$BV28,$CG28,2*LN(1+CA28/2),$BY28,$BX28,$BZ28,$AJ28,1,9)</f>
        <v>-2.6770144679379493E-2</v>
      </c>
      <c r="BJ28" s="137">
        <f>_xll.xSPRDOPT($BW28,$BV28,$CG28,0,$BY28,$BX28,$BZ28,$AJ28,1,6)*$CB28</f>
        <v>-6.3685311911134801E-2</v>
      </c>
      <c r="BK28" s="137">
        <f>_xll.xSPRDOPT($BW28,$BV28,$CG28,0,$BY28,$BX28,$BZ28,$AJ28,1,5)*$CB28</f>
        <v>0.12186631533644834</v>
      </c>
      <c r="BL28" s="137">
        <f>_xll.xSPRDOPT(BW28,BV28,CG28,0,BY28,BX28,BZ28,AJ28,1,2)*CB28</f>
        <v>-0.48010616049710236</v>
      </c>
      <c r="BM28" s="137">
        <f>_xll.xSPRDOPT(BW28,BV28,CG28,0,BY28,BX28,BZ28,AJ28,1,1)*CB28</f>
        <v>0.49024593985103576</v>
      </c>
      <c r="BN28" s="137">
        <f>IF(AH28&lt;&gt;0,_xll.xSPRDOPT($BW28,$BV28,$CG28,2*LN(1+CA28/2),$BY28,$BX28,$BZ28,$AJ28,1,8)+(AJ28/365.25)*CH28/AH28,0)</f>
        <v>4.1550244601673503E-2</v>
      </c>
      <c r="BO28" s="137">
        <f>_xll.xSPRDOPT($BW28,$BV28,$CG28,0,$BY28,$BX28,$BZ28,$AJ28,1,0)</f>
        <v>3.1400575179076531E-2</v>
      </c>
      <c r="BP28" s="137"/>
      <c r="BQ28" s="137"/>
      <c r="BR28" s="137"/>
      <c r="BS28" s="137"/>
      <c r="BV28" s="262">
        <v>3.1066551319285671</v>
      </c>
      <c r="BW28" s="136">
        <v>3.1240000000000001</v>
      </c>
      <c r="BX28" s="137">
        <v>0.54929025513136898</v>
      </c>
      <c r="BY28" s="137">
        <v>0.54929025513136898</v>
      </c>
      <c r="BZ28" s="137">
        <v>0.99809887047088153</v>
      </c>
      <c r="CA28" s="137">
        <v>2.0428629809483099E-2</v>
      </c>
      <c r="CB28" s="137">
        <v>0.98821719380072837</v>
      </c>
      <c r="CC28" s="258">
        <v>-2.5000000000000001E-2</v>
      </c>
      <c r="CD28" s="258">
        <v>5.7500000000000002E-2</v>
      </c>
      <c r="CE28" s="258">
        <v>0.16500000000000001</v>
      </c>
      <c r="CF28" s="258">
        <v>-2.5000000000000001E-2</v>
      </c>
      <c r="CG28" s="258">
        <v>1.9200000000000002E-2</v>
      </c>
      <c r="CH28" s="258">
        <v>3.170694866309637</v>
      </c>
      <c r="CI28" s="258">
        <v>2.984</v>
      </c>
    </row>
    <row r="29" spans="1:91" x14ac:dyDescent="0.25">
      <c r="A29" s="723"/>
      <c r="B29" s="723"/>
      <c r="D29" s="31">
        <f t="shared" si="36"/>
        <v>37483</v>
      </c>
      <c r="F29" s="28">
        <f t="shared" si="37"/>
        <v>15000</v>
      </c>
      <c r="G29" s="28">
        <f t="shared" si="12"/>
        <v>14794.030146717023</v>
      </c>
      <c r="H29" s="52">
        <f t="shared" si="38"/>
        <v>3.1499103998022617</v>
      </c>
      <c r="I29" s="52">
        <f t="shared" si="39"/>
        <v>3.1659999999999999</v>
      </c>
      <c r="K29" s="52">
        <f t="shared" si="28"/>
        <v>0</v>
      </c>
      <c r="L29" s="135">
        <f t="shared" si="29"/>
        <v>1.0344749070838604</v>
      </c>
      <c r="N29" s="131">
        <f t="shared" si="30"/>
        <v>0.55001555741820785</v>
      </c>
      <c r="O29" s="131">
        <f t="shared" si="31"/>
        <v>0.55001555741820785</v>
      </c>
      <c r="P29" s="55">
        <f t="shared" si="32"/>
        <v>0.99804603028336814</v>
      </c>
      <c r="Q29" s="135">
        <f>_xll.xSPRDOPT(I29,H29,AQ29,0,O29,N29,P29,D29-$G$5,1,0)*AH29*AU29</f>
        <v>1.0344749070838604</v>
      </c>
      <c r="R29" s="135"/>
      <c r="S29" s="181">
        <f>_xll.xSPRDOPT(I29,H29,AQ29,AT29,O29,N29,P29,D29-$G$5,1,2)*AF29*(F29/(1-AR29))*AH29</f>
        <v>-226964.32623003086</v>
      </c>
      <c r="T29" s="181">
        <f>_xll.xSPRDOPT(I29,H29,AQ29,AT29,O29,N29,P29,D29-$G$5,1,1)*AF29*F29*AH29</f>
        <v>225458.08292835971</v>
      </c>
      <c r="U29" s="135"/>
      <c r="V29" s="146">
        <f t="shared" si="40"/>
        <v>3.1644430483827715</v>
      </c>
      <c r="W29" s="146"/>
      <c r="X29" s="338">
        <f t="shared" si="41"/>
        <v>0</v>
      </c>
      <c r="Y29" s="338">
        <f t="shared" si="13"/>
        <v>0</v>
      </c>
      <c r="Z29" s="338">
        <f t="shared" si="14"/>
        <v>-97.073372854192101</v>
      </c>
      <c r="AA29" s="338">
        <f t="shared" si="15"/>
        <v>3.5787068115282419</v>
      </c>
      <c r="AB29" s="338">
        <f t="shared" si="42"/>
        <v>0</v>
      </c>
      <c r="AC29" s="338">
        <f t="shared" si="43"/>
        <v>2.6845832759819555</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5.7500000000000002E-2</v>
      </c>
      <c r="AO29" s="258">
        <f t="shared" si="20"/>
        <v>0.16500000000000001</v>
      </c>
      <c r="AP29" s="258">
        <f t="shared" si="21"/>
        <v>-2.4999999999999998E-2</v>
      </c>
      <c r="AQ29" s="136">
        <f t="shared" si="48"/>
        <v>1.9200000000000002E-2</v>
      </c>
      <c r="AR29" s="137">
        <f t="shared" si="22"/>
        <v>2.9020000000000001E-2</v>
      </c>
      <c r="AS29" s="136">
        <f t="shared" si="33"/>
        <v>3.0585</v>
      </c>
      <c r="AT29" s="137">
        <f t="shared" si="34"/>
        <v>2.1065008234303999E-2</v>
      </c>
      <c r="AU29" s="137">
        <f t="shared" si="23"/>
        <v>0.98626867644780158</v>
      </c>
      <c r="AV29" s="394">
        <f t="shared" si="35"/>
        <v>13697.299378507068</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4.4296599865096038</v>
      </c>
      <c r="BG29" s="137">
        <f>_xll.xSPRDOPT($BW29,$BV29,$CG29,0,$BY29,$BX29,$BZ29,$AJ29,1,3)*$CB29</f>
        <v>4.4381143647526047</v>
      </c>
      <c r="BH29" s="137">
        <f>IF(OR(BF29&lt;&gt;0,BG29&lt;&gt;0),_xll.xSPRDOPT($BW29,$BV29,$CG29,0,$BY29,$BX29,$BZ29,$AJ29,1,12)*$CB29,0)</f>
        <v>-4.4338771891893618</v>
      </c>
      <c r="BI29" s="137">
        <f>_xll.xSPRDOPT($BW29,$BV29,$CG29,2*LN(1+CA29/2),$BY29,$BX29,$BZ29,$AJ29,1,9)</f>
        <v>-2.5416522892468575E-2</v>
      </c>
      <c r="BJ29" s="137">
        <f>_xll.xSPRDOPT($BW29,$BV29,$CG29,0,$BY29,$BX29,$BZ29,$AJ29,1,6)*$CB29</f>
        <v>-6.6471431798974023E-2</v>
      </c>
      <c r="BK29" s="137">
        <f>_xll.xSPRDOPT($BW29,$BV29,$CG29,0,$BY29,$BX29,$BZ29,$AJ29,1,5)*$CB29</f>
        <v>0.12992450617750939</v>
      </c>
      <c r="BL29" s="137">
        <f>_xll.xSPRDOPT(BW29,BV29,CG29,0,BY29,BX29,BZ29,AJ29,1,2)*CB29</f>
        <v>-0.4738880043127035</v>
      </c>
      <c r="BM29" s="137">
        <f>_xll.xSPRDOPT(BW29,BV29,CG29,0,BY29,BX29,BZ29,AJ29,1,1)*CB29</f>
        <v>0.48481191406165536</v>
      </c>
      <c r="BN29" s="137">
        <f>IF(AH29&lt;&gt;0,_xll.xSPRDOPT($BW29,$BV29,$CG29,2*LN(1+CA29/2),$BY29,$BX29,$BZ29,$AJ29,1,8)+(AJ29/365.25)*CH29/AH29,0)</f>
        <v>4.5889473686638996E-2</v>
      </c>
      <c r="BO29" s="137">
        <f>_xll.xSPRDOPT($BW29,$BV29,$CG29,0,$BY29,$BX29,$BZ29,$AJ29,1,0)</f>
        <v>3.3838474176511993E-2</v>
      </c>
      <c r="BP29" s="137"/>
      <c r="BQ29" s="137"/>
      <c r="BR29" s="137"/>
      <c r="BS29" s="137"/>
      <c r="BV29" s="262">
        <v>3.1499103998022617</v>
      </c>
      <c r="BW29" s="136">
        <v>3.1659999999999999</v>
      </c>
      <c r="BX29" s="137">
        <v>0.54989426867442226</v>
      </c>
      <c r="BY29" s="137">
        <v>0.54989426867442226</v>
      </c>
      <c r="BZ29" s="137">
        <v>0.99806905618897757</v>
      </c>
      <c r="CA29" s="137">
        <v>2.1065008234303999E-2</v>
      </c>
      <c r="CB29" s="137">
        <v>0.98609894066797232</v>
      </c>
      <c r="CC29" s="258">
        <v>-2.5000000000000001E-2</v>
      </c>
      <c r="CD29" s="258">
        <v>5.7500000000000002E-2</v>
      </c>
      <c r="CE29" s="258">
        <v>0.16500000000000001</v>
      </c>
      <c r="CF29" s="258">
        <v>-2.5000000000000001E-2</v>
      </c>
      <c r="CG29" s="258">
        <v>1.9200000000000002E-2</v>
      </c>
      <c r="CH29" s="258">
        <v>3.1638984511331891</v>
      </c>
      <c r="CI29" s="258">
        <v>3.0259999999999998</v>
      </c>
    </row>
    <row r="30" spans="1:91" x14ac:dyDescent="0.25">
      <c r="A30" s="723"/>
      <c r="B30" s="723"/>
      <c r="D30" s="31">
        <f t="shared" si="36"/>
        <v>37514</v>
      </c>
      <c r="F30" s="28">
        <f t="shared" si="37"/>
        <v>15000</v>
      </c>
      <c r="G30" s="28">
        <f t="shared" si="12"/>
        <v>14760.819323513733</v>
      </c>
      <c r="H30" s="52">
        <f t="shared" si="38"/>
        <v>3.1416713011596533</v>
      </c>
      <c r="I30" s="52">
        <f t="shared" si="39"/>
        <v>3.1229999999999998</v>
      </c>
      <c r="K30" s="52">
        <f t="shared" si="28"/>
        <v>0</v>
      </c>
      <c r="L30" s="135">
        <f t="shared" si="29"/>
        <v>0.65943043783951061</v>
      </c>
      <c r="N30" s="131">
        <f t="shared" si="30"/>
        <v>0.54862064797509713</v>
      </c>
      <c r="O30" s="131">
        <f t="shared" si="31"/>
        <v>0.55213969406142294</v>
      </c>
      <c r="P30" s="55">
        <f t="shared" si="32"/>
        <v>0.99799289072394404</v>
      </c>
      <c r="Q30" s="135">
        <f>_xll.xSPRDOPT(I30,H30,AQ30,0,O30,N30,P30,D30-$G$5,1,0)*AH30*AU30</f>
        <v>0.65943043783951061</v>
      </c>
      <c r="R30" s="135"/>
      <c r="S30" s="181">
        <f>_xll.xSPRDOPT(I30,H30,AQ30,AT30,O30,N30,P30,D30-$G$5,1,2)*AF30*(F30/(1-AR30))*AH30</f>
        <v>-155741.75653360639</v>
      </c>
      <c r="T30" s="181">
        <f>_xll.xSPRDOPT(I30,H30,AQ30,AT30,O30,N30,P30,D30-$G$5,1,1)*AF30*F30*AH30</f>
        <v>156144.72863131156</v>
      </c>
      <c r="U30" s="135"/>
      <c r="V30" s="146">
        <f t="shared" si="40"/>
        <v>3.055489599967343</v>
      </c>
      <c r="W30" s="146"/>
      <c r="X30" s="338">
        <f t="shared" si="41"/>
        <v>0</v>
      </c>
      <c r="Y30" s="338">
        <f t="shared" si="13"/>
        <v>0</v>
      </c>
      <c r="Z30" s="338">
        <f t="shared" si="14"/>
        <v>-83.981702450966182</v>
      </c>
      <c r="AA30" s="338">
        <f t="shared" si="15"/>
        <v>6.2940153867164979</v>
      </c>
      <c r="AB30" s="338">
        <f t="shared" si="42"/>
        <v>0</v>
      </c>
      <c r="AC30" s="338">
        <f t="shared" si="43"/>
        <v>1.7630008940218735</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5.7500000000000002E-2</v>
      </c>
      <c r="AO30" s="258">
        <f t="shared" si="20"/>
        <v>0.13</v>
      </c>
      <c r="AP30" s="258">
        <f t="shared" si="21"/>
        <v>-2.4999999999999998E-2</v>
      </c>
      <c r="AQ30" s="136">
        <f t="shared" si="48"/>
        <v>1.9200000000000002E-2</v>
      </c>
      <c r="AR30" s="137">
        <f t="shared" si="22"/>
        <v>2.9020000000000001E-2</v>
      </c>
      <c r="AS30" s="136">
        <f t="shared" si="33"/>
        <v>3.0505</v>
      </c>
      <c r="AT30" s="137">
        <f t="shared" si="34"/>
        <v>2.1701386796276499E-2</v>
      </c>
      <c r="AU30" s="137">
        <f t="shared" si="23"/>
        <v>0.98405462156758228</v>
      </c>
      <c r="AV30" s="394">
        <f t="shared" si="35"/>
        <v>13225.694113868305</v>
      </c>
      <c r="AW30" s="137">
        <f t="shared" si="24"/>
        <v>0.54</v>
      </c>
      <c r="AX30" s="137">
        <f t="shared" si="25"/>
        <v>0.68</v>
      </c>
      <c r="AY30" s="137">
        <f t="shared" si="26"/>
        <v>0.73</v>
      </c>
      <c r="AZ30" s="137"/>
      <c r="BA30" s="264"/>
      <c r="BB30" s="258">
        <f t="shared" si="27"/>
        <v>0</v>
      </c>
      <c r="BC30" s="258">
        <f t="shared" si="49"/>
        <v>0</v>
      </c>
      <c r="BD30" s="137">
        <f t="shared" si="50"/>
        <v>9.2974383643640301E-5</v>
      </c>
      <c r="BE30" s="137">
        <f t="shared" si="51"/>
        <v>1.3051801922825401E-4</v>
      </c>
      <c r="BF30" s="137">
        <f>_xll.xSPRDOPT($BW30,$BV30,$CG30,0,$BY30,$BX30,$BZ30,$AJ30,1,4)*$CB30</f>
        <v>3.7376313509319066</v>
      </c>
      <c r="BG30" s="137">
        <f>_xll.xSPRDOPT($BW30,$BV30,$CG30,0,$BY30,$BX30,$BZ30,$AJ30,1,3)*$CB30</f>
        <v>3.8269871094740706</v>
      </c>
      <c r="BH30" s="137">
        <f>IF(OR(BF30&lt;&gt;0,BG30&lt;&gt;0),_xll.xSPRDOPT($BW30,$BV30,$CG30,0,$BY30,$BX30,$BZ30,$AJ30,1,12)*$CB30,0)</f>
        <v>-3.7820304809505587</v>
      </c>
      <c r="BI30" s="137">
        <f>_xll.xSPRDOPT($BW30,$BV30,$CG30,2*LN(1+CA30/2),$BY30,$BX30,$BZ30,$AJ30,1,9)</f>
        <v>-2.2721716163122518E-2</v>
      </c>
      <c r="BJ30" s="137">
        <f>_xll.xSPRDOPT($BW30,$BV30,$CG30,0,$BY30,$BX30,$BZ30,$AJ30,1,6)*$CB30</f>
        <v>-0.15598909307427877</v>
      </c>
      <c r="BK30" s="137">
        <f>_xll.xSPRDOPT($BW30,$BV30,$CG30,0,$BY30,$BX30,$BZ30,$AJ30,1,5)*$CB30</f>
        <v>0.21828166571588739</v>
      </c>
      <c r="BL30" s="137">
        <f>_xll.xSPRDOPT(BW30,BV30,CG30,0,BY30,BX30,BZ30,AJ30,1,2)*CB30</f>
        <v>-0.33603318038929292</v>
      </c>
      <c r="BM30" s="137">
        <f>_xll.xSPRDOPT(BW30,BV30,CG30,0,BY30,BX30,BZ30,AJ30,1,1)*CB30</f>
        <v>0.34697114229454795</v>
      </c>
      <c r="BN30" s="137">
        <f>IF(AH30&lt;&gt;0,_xll.xSPRDOPT($BW30,$BV30,$CG30,2*LN(1+CA30/2),$BY30,$BX30,$BZ30,$AJ30,1,8)+(AJ30/365.25)*CH30/AH30,0)</f>
        <v>6.0121220242975282E-2</v>
      </c>
      <c r="BO30" s="137">
        <f>_xll.xSPRDOPT($BW30,$BV30,$CG30,0,$BY30,$BX30,$BZ30,$AJ30,1,0)</f>
        <v>2.2339800460240113E-2</v>
      </c>
      <c r="BP30" s="137"/>
      <c r="BQ30" s="137"/>
      <c r="BR30" s="137"/>
      <c r="BS30" s="137"/>
      <c r="BV30" s="262">
        <v>3.1416713011596533</v>
      </c>
      <c r="BW30" s="136">
        <v>3.1229999999999998</v>
      </c>
      <c r="BX30" s="137">
        <v>0.54852767359145349</v>
      </c>
      <c r="BY30" s="137">
        <v>0.55200917604219468</v>
      </c>
      <c r="BZ30" s="137">
        <v>0.99801368940954993</v>
      </c>
      <c r="CA30" s="137">
        <v>2.1701386796276499E-2</v>
      </c>
      <c r="CB30" s="137">
        <v>0.98388017854127463</v>
      </c>
      <c r="CC30" s="258">
        <v>-2.5000000000000001E-2</v>
      </c>
      <c r="CD30" s="258">
        <v>5.7500000000000002E-2</v>
      </c>
      <c r="CE30" s="258">
        <v>0.13</v>
      </c>
      <c r="CF30" s="258">
        <v>-2.5000000000000001E-2</v>
      </c>
      <c r="CG30" s="258">
        <v>1.9200000000000002E-2</v>
      </c>
      <c r="CH30" s="258">
        <v>3.0549479543706579</v>
      </c>
      <c r="CI30" s="258">
        <v>3.0179999999999998</v>
      </c>
    </row>
    <row r="31" spans="1:91" x14ac:dyDescent="0.25">
      <c r="A31" s="723"/>
      <c r="B31" s="723"/>
      <c r="D31" s="31">
        <f t="shared" si="36"/>
        <v>37544</v>
      </c>
      <c r="F31" s="28">
        <f t="shared" si="37"/>
        <v>15000</v>
      </c>
      <c r="G31" s="28">
        <f t="shared" si="12"/>
        <v>14726.135303128209</v>
      </c>
      <c r="H31" s="52">
        <f t="shared" si="38"/>
        <v>3.1550598364538924</v>
      </c>
      <c r="I31" s="52">
        <f t="shared" si="39"/>
        <v>3.1560000000000001</v>
      </c>
      <c r="K31" s="52">
        <f t="shared" si="28"/>
        <v>0</v>
      </c>
      <c r="L31" s="135">
        <f t="shared" si="29"/>
        <v>1.0102591329206085</v>
      </c>
      <c r="N31" s="131">
        <f t="shared" si="30"/>
        <v>0.55129247567847639</v>
      </c>
      <c r="O31" s="131">
        <f t="shared" si="31"/>
        <v>0.554778552374395</v>
      </c>
      <c r="P31" s="55">
        <f t="shared" si="32"/>
        <v>0.99790954108121499</v>
      </c>
      <c r="Q31" s="135">
        <f>_xll.xSPRDOPT(I31,H31,AQ31,0,O31,N31,P31,D31-$G$5,1,0)*AH31*AU31</f>
        <v>1.0102591329206085</v>
      </c>
      <c r="R31" s="135"/>
      <c r="S31" s="181">
        <f>_xll.xSPRDOPT(I31,H31,AQ31,AT31,O31,N31,P31,D31-$G$5,1,2)*AF31*(F31/(1-AR31))*AH31</f>
        <v>-199613.1039705764</v>
      </c>
      <c r="T31" s="181">
        <f>_xll.xSPRDOPT(I31,H31,AQ31,AT31,O31,N31,P31,D31-$G$5,1,1)*AF31*F31*AH31</f>
        <v>199653.73550190133</v>
      </c>
      <c r="U31" s="135"/>
      <c r="V31" s="146">
        <f t="shared" si="40"/>
        <v>3.1499203413391235</v>
      </c>
      <c r="W31" s="146"/>
      <c r="X31" s="338">
        <f t="shared" si="41"/>
        <v>0</v>
      </c>
      <c r="Y31" s="338">
        <f t="shared" si="13"/>
        <v>0</v>
      </c>
      <c r="Z31" s="338">
        <f t="shared" si="14"/>
        <v>-89.485852084383666</v>
      </c>
      <c r="AA31" s="338">
        <f t="shared" si="15"/>
        <v>7.400648116403616</v>
      </c>
      <c r="AB31" s="338">
        <f t="shared" si="42"/>
        <v>0</v>
      </c>
      <c r="AC31" s="338">
        <f t="shared" si="43"/>
        <v>2.7890714609392129</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5.7500000000000002E-2</v>
      </c>
      <c r="AO31" s="258">
        <f t="shared" si="20"/>
        <v>0.15</v>
      </c>
      <c r="AP31" s="258">
        <f t="shared" si="21"/>
        <v>-2.4999999999999998E-2</v>
      </c>
      <c r="AQ31" s="136">
        <f t="shared" si="48"/>
        <v>1.9200000000000002E-2</v>
      </c>
      <c r="AR31" s="137">
        <f t="shared" si="22"/>
        <v>2.9020000000000001E-2</v>
      </c>
      <c r="AS31" s="136">
        <f t="shared" si="33"/>
        <v>3.0635000000000003</v>
      </c>
      <c r="AT31" s="137">
        <f t="shared" si="34"/>
        <v>2.2410164045373999E-2</v>
      </c>
      <c r="AU31" s="137">
        <f t="shared" si="23"/>
        <v>0.98174235354188055</v>
      </c>
      <c r="AV31" s="394">
        <f t="shared" si="35"/>
        <v>13634.437805989637</v>
      </c>
      <c r="AW31" s="137">
        <f t="shared" si="24"/>
        <v>0.54</v>
      </c>
      <c r="AX31" s="137">
        <f t="shared" si="25"/>
        <v>0.73</v>
      </c>
      <c r="AY31" s="137">
        <f t="shared" si="26"/>
        <v>0.78</v>
      </c>
      <c r="AZ31" s="137"/>
      <c r="BA31" s="264"/>
      <c r="BB31" s="258">
        <f t="shared" si="27"/>
        <v>0</v>
      </c>
      <c r="BC31" s="258">
        <f t="shared" si="49"/>
        <v>0</v>
      </c>
      <c r="BD31" s="137">
        <f t="shared" si="50"/>
        <v>1.0940877027609819E-4</v>
      </c>
      <c r="BE31" s="137">
        <f t="shared" si="51"/>
        <v>1.4274311435447107E-4</v>
      </c>
      <c r="BF31" s="137">
        <f>_xll.xSPRDOPT($BW31,$BV31,$CG31,0,$BY31,$BX31,$BZ31,$AJ31,1,4)*$CB31</f>
        <v>3.6705321611756556</v>
      </c>
      <c r="BG31" s="137">
        <f>_xll.xSPRDOPT($BW31,$BV31,$CG31,0,$BY31,$BX31,$BZ31,$AJ31,1,3)*$CB31</f>
        <v>3.7120486590781963</v>
      </c>
      <c r="BH31" s="137">
        <f>IF(OR(BF31&lt;&gt;0,BG31&lt;&gt;0),_xll.xSPRDOPT($BW31,$BV31,$CG31,0,$BY31,$BX31,$BZ31,$AJ31,1,12)*$CB31,0)</f>
        <v>-3.6912142653778468</v>
      </c>
      <c r="BI31" s="137">
        <f>_xll.xSPRDOPT($BW31,$BV31,$CG31,2*LN(1+CA31/2),$BY31,$BX31,$BZ31,$AJ31,1,9)</f>
        <v>-2.3429897830696156E-2</v>
      </c>
      <c r="BJ31" s="137">
        <f>_xll.xSPRDOPT($BW31,$BV31,$CG31,0,$BY31,$BX31,$BZ31,$AJ31,1,6)*$CB31</f>
        <v>-0.17051848665645986</v>
      </c>
      <c r="BK31" s="137">
        <f>_xll.xSPRDOPT($BW31,$BV31,$CG31,0,$BY31,$BX31,$BZ31,$AJ31,1,5)*$CB31</f>
        <v>0.24219445108865087</v>
      </c>
      <c r="BL31" s="137">
        <f>_xll.xSPRDOPT(BW31,BV31,CG31,0,BY31,BX31,BZ31,AJ31,1,2)*CB31</f>
        <v>-0.41679334260774498</v>
      </c>
      <c r="BM31" s="137">
        <f>_xll.xSPRDOPT(BW31,BV31,CG31,0,BY31,BX31,BZ31,AJ31,1,1)*CB31</f>
        <v>0.42933707548719702</v>
      </c>
      <c r="BN31" s="137">
        <f>IF(AH31&lt;&gt;0,_xll.xSPRDOPT($BW31,$BV31,$CG31,2*LN(1+CA31/2),$BY31,$BX31,$BZ31,$AJ31,1,8)+(AJ31/365.25)*CH31/AH31,0)</f>
        <v>5.7622886729813971E-2</v>
      </c>
      <c r="BO31" s="137">
        <f>_xll.xSPRDOPT($BW31,$BV31,$CG31,0,$BY31,$BX31,$BZ31,$AJ31,1,0)</f>
        <v>3.3198051210878148E-2</v>
      </c>
      <c r="BP31" s="137"/>
      <c r="BQ31" s="137"/>
      <c r="BR31" s="137"/>
      <c r="BS31" s="137"/>
      <c r="BV31" s="262">
        <v>3.1550598364538924</v>
      </c>
      <c r="BW31" s="136">
        <v>3.1560000000000001</v>
      </c>
      <c r="BX31" s="137">
        <v>0.55118306690820029</v>
      </c>
      <c r="BY31" s="137">
        <v>0.55463580926004052</v>
      </c>
      <c r="BZ31" s="137">
        <v>0.99792887484799786</v>
      </c>
      <c r="CA31" s="137">
        <v>2.2410164045373999E-2</v>
      </c>
      <c r="CB31" s="137">
        <v>0.98156266847823481</v>
      </c>
      <c r="CC31" s="258">
        <v>-2.5000000000000001E-2</v>
      </c>
      <c r="CD31" s="258">
        <v>5.7500000000000002E-2</v>
      </c>
      <c r="CE31" s="258">
        <v>0.15</v>
      </c>
      <c r="CF31" s="258">
        <v>-2.5000000000000001E-2</v>
      </c>
      <c r="CG31" s="258">
        <v>1.9200000000000002E-2</v>
      </c>
      <c r="CH31" s="258">
        <v>3.1493438218124163</v>
      </c>
      <c r="CI31" s="258">
        <v>3.0310000000000001</v>
      </c>
    </row>
    <row r="32" spans="1:91" x14ac:dyDescent="0.25">
      <c r="A32" s="723"/>
      <c r="B32" s="723"/>
      <c r="D32" s="31">
        <f t="shared" si="36"/>
        <v>37575</v>
      </c>
      <c r="F32" s="28">
        <f t="shared" si="37"/>
        <v>15000</v>
      </c>
      <c r="G32" s="28">
        <f t="shared" si="12"/>
        <v>14686.866361625467</v>
      </c>
      <c r="H32" s="52">
        <f t="shared" si="38"/>
        <v>3.3404395559125835</v>
      </c>
      <c r="I32" s="52">
        <f t="shared" si="39"/>
        <v>3.3809999999999998</v>
      </c>
      <c r="K32" s="52">
        <f t="shared" si="28"/>
        <v>0.62743597547371277</v>
      </c>
      <c r="L32" s="135">
        <f t="shared" si="29"/>
        <v>1.174024474509662</v>
      </c>
      <c r="N32" s="131">
        <f t="shared" si="30"/>
        <v>0.55763051961597798</v>
      </c>
      <c r="O32" s="131">
        <f t="shared" si="31"/>
        <v>0.5611429738718543</v>
      </c>
      <c r="P32" s="55">
        <f t="shared" si="32"/>
        <v>0.99764439055940113</v>
      </c>
      <c r="Q32" s="135">
        <f>_xll.xSPRDOPT(I32,H32,AQ32,0,O32,N32,P32,D32-$G$5,1,0)*AH32*AU32</f>
        <v>1.8014604499833746</v>
      </c>
      <c r="R32" s="135"/>
      <c r="S32" s="181">
        <f>_xll.xSPRDOPT(I32,H32,AQ32,AT32,O32,N32,P32,D32-$G$5,1,2)*AF32*(F32/(1-AR32))*AH32</f>
        <v>-254462.42412830549</v>
      </c>
      <c r="T32" s="181">
        <f>_xll.xSPRDOPT(I32,H32,AQ32,AT32,O32,N32,P32,D32-$G$5,1,1)*AF32*F32*AH32</f>
        <v>253428.76235583893</v>
      </c>
      <c r="U32" s="135"/>
      <c r="V32" s="146">
        <f t="shared" si="40"/>
        <v>3.0401813368564721</v>
      </c>
      <c r="W32" s="146"/>
      <c r="X32" s="338">
        <f t="shared" si="41"/>
        <v>0</v>
      </c>
      <c r="Y32" s="338">
        <f t="shared" si="13"/>
        <v>0</v>
      </c>
      <c r="Z32" s="338">
        <f t="shared" si="14"/>
        <v>-91.719421880179667</v>
      </c>
      <c r="AA32" s="338">
        <f t="shared" si="15"/>
        <v>9.3859436781682426</v>
      </c>
      <c r="AB32" s="338">
        <f t="shared" si="42"/>
        <v>0</v>
      </c>
      <c r="AC32" s="338">
        <f t="shared" si="43"/>
        <v>5.1648110120649156</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5.7500000000000002E-2</v>
      </c>
      <c r="AO32" s="258">
        <f t="shared" si="20"/>
        <v>0.19500000000000001</v>
      </c>
      <c r="AP32" s="258">
        <f t="shared" si="21"/>
        <v>-2.4999999999999998E-2</v>
      </c>
      <c r="AQ32" s="136">
        <f t="shared" si="48"/>
        <v>1.9200000000000002E-2</v>
      </c>
      <c r="AR32" s="137">
        <f t="shared" si="22"/>
        <v>2.9020000000000001E-2</v>
      </c>
      <c r="AS32" s="136">
        <f t="shared" si="33"/>
        <v>3.2435</v>
      </c>
      <c r="AT32" s="137">
        <f t="shared" si="34"/>
        <v>2.3274064967752799E-2</v>
      </c>
      <c r="AU32" s="137">
        <f t="shared" si="23"/>
        <v>0.97912442410836453</v>
      </c>
      <c r="AV32" s="394">
        <f t="shared" si="35"/>
        <v>13159.43226001642</v>
      </c>
      <c r="AW32" s="137">
        <f t="shared" si="24"/>
        <v>0.54</v>
      </c>
      <c r="AX32" s="137">
        <f t="shared" si="25"/>
        <v>0.85</v>
      </c>
      <c r="AY32" s="137">
        <f t="shared" si="26"/>
        <v>0.9</v>
      </c>
      <c r="AZ32" s="137"/>
      <c r="BA32" s="264"/>
      <c r="BB32" s="258">
        <f t="shared" si="27"/>
        <v>0</v>
      </c>
      <c r="BC32" s="258">
        <f t="shared" si="49"/>
        <v>0</v>
      </c>
      <c r="BD32" s="137">
        <f t="shared" si="50"/>
        <v>1.5448854150035274E-4</v>
      </c>
      <c r="BE32" s="137">
        <f t="shared" si="51"/>
        <v>1.847009350330886E-4</v>
      </c>
      <c r="BF32" s="137">
        <f>_xll.xSPRDOPT($BW32,$BV32,$CG32,0,$BY32,$BX32,$BZ32,$AJ32,1,4)*$CB32</f>
        <v>3.0939922276250895</v>
      </c>
      <c r="BG32" s="137">
        <f>_xll.xSPRDOPT($BW32,$BV32,$CG32,0,$BY32,$BX32,$BZ32,$AJ32,1,3)*$CB32</f>
        <v>3.0551582354456674</v>
      </c>
      <c r="BH32" s="137">
        <f>IF(OR(BF32&lt;&gt;0,BG32&lt;&gt;0),_xll.xSPRDOPT($BW32,$BV32,$CG32,0,$BY32,$BX32,$BZ32,$AJ32,1,12)*$CB32,0)</f>
        <v>-3.0744960431688</v>
      </c>
      <c r="BI32" s="137">
        <f>_xll.xSPRDOPT($BW32,$BV32,$CG32,2*LN(1+CA32/2),$BY32,$BX32,$BZ32,$AJ32,1,9)</f>
        <v>-2.4815199142026387E-2</v>
      </c>
      <c r="BJ32" s="137">
        <f>_xll.xSPRDOPT($BW32,$BV32,$CG32,0,$BY32,$BX32,$BZ32,$AJ32,1,6)*$CB32</f>
        <v>-0.1714521209066705</v>
      </c>
      <c r="BK32" s="137">
        <f>_xll.xSPRDOPT($BW32,$BV32,$CG32,0,$BY32,$BX32,$BZ32,$AJ32,1,5)*$CB32</f>
        <v>0.25633351940358934</v>
      </c>
      <c r="BL32" s="137">
        <f>_xll.xSPRDOPT(BW32,BV32,CG32,0,BY32,BX32,BZ32,AJ32,1,2)*CB32</f>
        <v>-0.54902478027657242</v>
      </c>
      <c r="BM32" s="137">
        <f>_xll.xSPRDOPT(BW32,BV32,CG32,0,BY32,BX32,BZ32,AJ32,1,1)*CB32</f>
        <v>0.56313647372160902</v>
      </c>
      <c r="BN32" s="137">
        <f>IF(AH32&lt;&gt;0,_xll.xSPRDOPT($BW32,$BV32,$CG32,2*LN(1+CA32/2),$BY32,$BX32,$BZ32,$AJ32,1,8)+(AJ32/365.25)*CH32/AH32,0)</f>
        <v>3.7974577968009647E-2</v>
      </c>
      <c r="BO32" s="137">
        <f>_xll.xSPRDOPT($BW32,$BV32,$CG32,0,$BY32,$BX32,$BZ32,$AJ32,1,0)</f>
        <v>6.1331460389303497E-2</v>
      </c>
      <c r="BP32" s="137"/>
      <c r="BQ32" s="137"/>
      <c r="BR32" s="137"/>
      <c r="BS32" s="137"/>
      <c r="BV32" s="262">
        <v>3.3404395559125835</v>
      </c>
      <c r="BW32" s="136">
        <v>3.3809999999999998</v>
      </c>
      <c r="BX32" s="137">
        <v>0.55747603107447763</v>
      </c>
      <c r="BY32" s="137">
        <v>0.56095827293682121</v>
      </c>
      <c r="BZ32" s="137">
        <v>0.99766378219896323</v>
      </c>
      <c r="CA32" s="137">
        <v>2.3274064967752799E-2</v>
      </c>
      <c r="CB32" s="137">
        <v>0.97893835036076038</v>
      </c>
      <c r="CC32" s="258">
        <v>-2.5000000000000001E-2</v>
      </c>
      <c r="CD32" s="258">
        <v>5.7500000000000002E-2</v>
      </c>
      <c r="CE32" s="258">
        <v>0.19500000000000001</v>
      </c>
      <c r="CF32" s="258">
        <v>-2.5000000000000001E-2</v>
      </c>
      <c r="CG32" s="258">
        <v>1.9200000000000002E-2</v>
      </c>
      <c r="CH32" s="258">
        <v>3.0396035778701611</v>
      </c>
      <c r="CI32" s="258">
        <v>3.2109999999999999</v>
      </c>
    </row>
    <row r="33" spans="1:87" x14ac:dyDescent="0.25">
      <c r="A33" s="723"/>
      <c r="B33" s="723"/>
      <c r="D33" s="31">
        <f t="shared" si="36"/>
        <v>37605</v>
      </c>
      <c r="F33" s="28">
        <f t="shared" si="37"/>
        <v>15000</v>
      </c>
      <c r="G33" s="28">
        <f t="shared" si="12"/>
        <v>14646.946790845936</v>
      </c>
      <c r="H33" s="52">
        <f t="shared" si="38"/>
        <v>3.5052215287647535</v>
      </c>
      <c r="I33" s="52">
        <f t="shared" si="39"/>
        <v>3.5609999999999999</v>
      </c>
      <c r="K33" s="52">
        <f t="shared" si="28"/>
        <v>1.1072433718711641</v>
      </c>
      <c r="L33" s="135">
        <f t="shared" si="29"/>
        <v>1.4486184840331933</v>
      </c>
      <c r="N33" s="131">
        <f t="shared" si="30"/>
        <v>0.57103652777154523</v>
      </c>
      <c r="O33" s="131">
        <f t="shared" si="31"/>
        <v>0.57502525739243127</v>
      </c>
      <c r="P33" s="55">
        <f t="shared" si="32"/>
        <v>0.99687080272432205</v>
      </c>
      <c r="Q33" s="135">
        <f>_xll.xSPRDOPT(I33,H33,AQ33,0,O33,N33,P33,D33-$G$5,1,0)*AH33*AU33</f>
        <v>2.5558618559043573</v>
      </c>
      <c r="R33" s="135"/>
      <c r="S33" s="181">
        <f>_xll.xSPRDOPT(I33,H33,AQ33,AT33,O33,N33,P33,D33-$G$5,1,2)*AF33*(F33/(1-AR33))*AH33</f>
        <v>-271592.64277798159</v>
      </c>
      <c r="T33" s="181">
        <f>_xll.xSPRDOPT(I33,H33,AQ33,AT33,O33,N33,P33,D33-$G$5,1,1)*AF33*F33*AH33</f>
        <v>271696.55386994389</v>
      </c>
      <c r="U33" s="135"/>
      <c r="V33" s="146">
        <f t="shared" si="40"/>
        <v>3.1329819185619456</v>
      </c>
      <c r="W33" s="146"/>
      <c r="X33" s="338">
        <f t="shared" si="41"/>
        <v>0</v>
      </c>
      <c r="Y33" s="338">
        <f t="shared" si="13"/>
        <v>0</v>
      </c>
      <c r="Z33" s="338">
        <f t="shared" si="14"/>
        <v>-109.51448864052091</v>
      </c>
      <c r="AA33" s="338">
        <f t="shared" si="15"/>
        <v>15.867240371505755</v>
      </c>
      <c r="AB33" s="338">
        <f t="shared" si="42"/>
        <v>0</v>
      </c>
      <c r="AC33" s="338">
        <f t="shared" si="43"/>
        <v>7.5907775432847702</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5.7500000000000002E-2</v>
      </c>
      <c r="AO33" s="258">
        <f t="shared" si="20"/>
        <v>0.215</v>
      </c>
      <c r="AP33" s="258">
        <f t="shared" si="21"/>
        <v>-2.4999999999999998E-2</v>
      </c>
      <c r="AQ33" s="136">
        <f t="shared" si="48"/>
        <v>1.9200000000000002E-2</v>
      </c>
      <c r="AR33" s="137">
        <f t="shared" si="22"/>
        <v>2.9020000000000001E-2</v>
      </c>
      <c r="AS33" s="136">
        <f t="shared" si="33"/>
        <v>3.4035000000000002</v>
      </c>
      <c r="AT33" s="137">
        <f t="shared" si="34"/>
        <v>2.4110098358835999E-2</v>
      </c>
      <c r="AU33" s="137">
        <f t="shared" si="23"/>
        <v>0.97646311938972907</v>
      </c>
      <c r="AV33" s="394">
        <f t="shared" si="35"/>
        <v>13561.119802084557</v>
      </c>
      <c r="AW33" s="137">
        <f t="shared" si="24"/>
        <v>0.54</v>
      </c>
      <c r="AX33" s="137">
        <f t="shared" si="25"/>
        <v>1.05</v>
      </c>
      <c r="AY33" s="137">
        <f t="shared" si="26"/>
        <v>1.1000000000000001</v>
      </c>
      <c r="AZ33" s="137"/>
      <c r="BA33" s="264"/>
      <c r="BB33" s="258">
        <f t="shared" si="27"/>
        <v>0</v>
      </c>
      <c r="BC33" s="258">
        <f t="shared" si="49"/>
        <v>0</v>
      </c>
      <c r="BD33" s="137">
        <f t="shared" si="50"/>
        <v>2.4652743009223599E-4</v>
      </c>
      <c r="BE33" s="137">
        <f t="shared" si="51"/>
        <v>2.7727949669464902E-4</v>
      </c>
      <c r="BF33" s="137">
        <f>_xll.xSPRDOPT($BW33,$BV33,$CG33,0,$BY33,$BX33,$BZ33,$AJ33,1,4)*$CB33</f>
        <v>2.3710822284780528</v>
      </c>
      <c r="BG33" s="137">
        <f>_xll.xSPRDOPT($BW33,$BV33,$CG33,0,$BY33,$BX33,$BZ33,$AJ33,1,3)*$CB33</f>
        <v>2.3228146003842318</v>
      </c>
      <c r="BH33" s="137">
        <f>IF(OR(BF33&lt;&gt;0,BG33&lt;&gt;0),_xll.xSPRDOPT($BW33,$BV33,$CG33,0,$BY33,$BX33,$BZ33,$AJ33,1,12)*$CB33,0)</f>
        <v>-2.3468100289547653</v>
      </c>
      <c r="BI33" s="137">
        <f>_xll.xSPRDOPT($BW33,$BV33,$CG33,2*LN(1+CA33/2),$BY33,$BX33,$BZ33,$AJ33,1,9)</f>
        <v>-2.867395482146972E-2</v>
      </c>
      <c r="BJ33" s="137">
        <f>_xll.xSPRDOPT($BW33,$BV33,$CG33,0,$BY33,$BX33,$BZ33,$AJ33,1,6)*$CB33</f>
        <v>-0.15565337989006714</v>
      </c>
      <c r="BK33" s="137">
        <f>_xll.xSPRDOPT($BW33,$BV33,$CG33,0,$BY33,$BX33,$BZ33,$AJ33,1,5)*$CB33</f>
        <v>0.26145433097938275</v>
      </c>
      <c r="BL33" s="137">
        <f>_xll.xSPRDOPT(BW33,BV33,CG33,0,BY33,BX33,BZ33,AJ33,1,2)*CB33</f>
        <v>-0.56708850338888228</v>
      </c>
      <c r="BM33" s="137">
        <f>_xll.xSPRDOPT(BW33,BV33,CG33,0,BY33,BX33,BZ33,AJ33,1,1)*CB33</f>
        <v>0.58426067156761552</v>
      </c>
      <c r="BN33" s="137">
        <f>IF(AH33&lt;&gt;0,_xll.xSPRDOPT($BW33,$BV33,$CG33,2*LN(1+CA33/2),$BY33,$BX33,$BZ33,$AJ33,1,8)+(AJ33/365.25)*CH33/AH33,0)</f>
        <v>1.8648839331285944E-2</v>
      </c>
      <c r="BO33" s="137">
        <f>_xll.xSPRDOPT($BW33,$BV33,$CG33,0,$BY33,$BX33,$BZ33,$AJ33,1,0)</f>
        <v>8.4437028850335383E-2</v>
      </c>
      <c r="BP33" s="137"/>
      <c r="BQ33" s="137"/>
      <c r="BR33" s="137"/>
      <c r="BS33" s="137"/>
      <c r="BV33" s="262">
        <v>3.5052215287647535</v>
      </c>
      <c r="BW33" s="136">
        <v>3.5609999999999999</v>
      </c>
      <c r="BX33" s="137">
        <v>0.570790000341453</v>
      </c>
      <c r="BY33" s="137">
        <v>0.57474797789573662</v>
      </c>
      <c r="BZ33" s="137">
        <v>0.99689333423289428</v>
      </c>
      <c r="CA33" s="137">
        <v>2.4110098358835999E-2</v>
      </c>
      <c r="CB33" s="137">
        <v>0.97627092599980836</v>
      </c>
      <c r="CC33" s="258">
        <v>-2.5000000000000001E-2</v>
      </c>
      <c r="CD33" s="258">
        <v>5.7500000000000002E-2</v>
      </c>
      <c r="CE33" s="258">
        <v>0.215</v>
      </c>
      <c r="CF33" s="258">
        <v>-2.5000000000000001E-2</v>
      </c>
      <c r="CG33" s="258">
        <v>1.9200000000000002E-2</v>
      </c>
      <c r="CH33" s="258">
        <v>3.1323652660703849</v>
      </c>
      <c r="CI33" s="258">
        <v>3.371</v>
      </c>
    </row>
    <row r="34" spans="1:87" x14ac:dyDescent="0.25">
      <c r="A34" s="723"/>
      <c r="B34" s="723"/>
      <c r="D34" s="31">
        <f t="shared" si="36"/>
        <v>37636</v>
      </c>
      <c r="F34" s="28">
        <f t="shared" si="37"/>
        <v>15000</v>
      </c>
      <c r="G34" s="28">
        <f t="shared" si="12"/>
        <v>14602.731343460184</v>
      </c>
      <c r="H34" s="52">
        <f t="shared" si="38"/>
        <v>3.5824630785392082</v>
      </c>
      <c r="I34" s="52">
        <f t="shared" si="39"/>
        <v>3.6560000000000001</v>
      </c>
      <c r="K34" s="52">
        <f t="shared" si="28"/>
        <v>1.6398327633201242</v>
      </c>
      <c r="L34" s="135">
        <f t="shared" si="29"/>
        <v>1.3303965250754279</v>
      </c>
      <c r="N34" s="131">
        <f t="shared" si="30"/>
        <v>0.5685912571426992</v>
      </c>
      <c r="O34" s="131">
        <f t="shared" si="31"/>
        <v>0.57238676773986619</v>
      </c>
      <c r="P34" s="55">
        <f t="shared" si="32"/>
        <v>0.99693241823071543</v>
      </c>
      <c r="Q34" s="135">
        <f>_xll.xSPRDOPT(I34,H34,AQ34,0,O34,N34,P34,D34-$G$5,1,0)*AH34*AU34</f>
        <v>2.9702292883955521</v>
      </c>
      <c r="R34" s="135"/>
      <c r="S34" s="181">
        <f>_xll.xSPRDOPT(I34,H34,AQ34,AT34,O34,N34,P34,D34-$G$5,1,2)*AF34*(F34/(1-AR34))*AH34</f>
        <v>-287484.24305286218</v>
      </c>
      <c r="T34" s="181">
        <f>_xll.xSPRDOPT(I34,H34,AQ34,AT34,O34,N34,P34,D34-$G$5,1,1)*AF34*F34*AH34</f>
        <v>287108.82570865517</v>
      </c>
      <c r="U34" s="135"/>
      <c r="V34" s="146">
        <f t="shared" si="40"/>
        <v>3.1235242343661334</v>
      </c>
      <c r="W34" s="146"/>
      <c r="X34" s="338">
        <f t="shared" si="41"/>
        <v>0</v>
      </c>
      <c r="Y34" s="338">
        <f t="shared" si="13"/>
        <v>0</v>
      </c>
      <c r="Z34" s="338">
        <f t="shared" si="14"/>
        <v>-101.17791136744052</v>
      </c>
      <c r="AA34" s="338">
        <f t="shared" si="15"/>
        <v>14.844436231831905</v>
      </c>
      <c r="AB34" s="338">
        <f t="shared" si="42"/>
        <v>0</v>
      </c>
      <c r="AC34" s="338">
        <f t="shared" si="43"/>
        <v>9.1609583131594405</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5.7500000000000002E-2</v>
      </c>
      <c r="AO34" s="258">
        <f t="shared" si="20"/>
        <v>0.23499999999999999</v>
      </c>
      <c r="AP34" s="258">
        <f t="shared" si="21"/>
        <v>-2.4999999999999998E-2</v>
      </c>
      <c r="AQ34" s="136">
        <f t="shared" si="48"/>
        <v>1.9200000000000002E-2</v>
      </c>
      <c r="AR34" s="137">
        <f t="shared" si="22"/>
        <v>2.9020000000000001E-2</v>
      </c>
      <c r="AS34" s="136">
        <f t="shared" si="33"/>
        <v>3.4785000000000004</v>
      </c>
      <c r="AT34" s="137">
        <f t="shared" si="34"/>
        <v>2.50384261928196E-2</v>
      </c>
      <c r="AU34" s="137">
        <f t="shared" si="23"/>
        <v>0.97351542289734561</v>
      </c>
      <c r="AV34" s="394">
        <f t="shared" si="35"/>
        <v>13520.182193198336</v>
      </c>
      <c r="AW34" s="137">
        <f t="shared" si="24"/>
        <v>0.53749999999999998</v>
      </c>
      <c r="AX34" s="137">
        <f t="shared" si="25"/>
        <v>1.08</v>
      </c>
      <c r="AY34" s="137">
        <f t="shared" si="26"/>
        <v>1.1299999999999999</v>
      </c>
      <c r="AZ34" s="137"/>
      <c r="BA34" s="264"/>
      <c r="BB34" s="258">
        <f t="shared" si="27"/>
        <v>0</v>
      </c>
      <c r="BC34" s="258">
        <f t="shared" si="49"/>
        <v>0</v>
      </c>
      <c r="BD34" s="137">
        <f t="shared" si="50"/>
        <v>2.2770835683916246E-4</v>
      </c>
      <c r="BE34" s="137">
        <f t="shared" si="51"/>
        <v>2.5468853068055797E-4</v>
      </c>
      <c r="BF34" s="137">
        <f>_xll.xSPRDOPT($BW34,$BV34,$CG34,0,$BY34,$BX34,$BZ34,$AJ34,1,4)*$CB34</f>
        <v>2.2016698671024235</v>
      </c>
      <c r="BG34" s="137">
        <f>_xll.xSPRDOPT($BW34,$BV34,$CG34,0,$BY34,$BX34,$BZ34,$AJ34,1,3)*$CB34</f>
        <v>2.1370420523888245</v>
      </c>
      <c r="BH34" s="137">
        <f>IF(OR(BF34&lt;&gt;0,BG34&lt;&gt;0),_xll.xSPRDOPT($BW34,$BV34,$CG34,0,$BY34,$BX34,$BZ34,$AJ34,1,12)*$CB34,0)</f>
        <v>-2.1691030589771558</v>
      </c>
      <c r="BI34" s="137">
        <f>_xll.xSPRDOPT($BW34,$BV34,$CG34,2*LN(1+CA34/2),$BY34,$BX34,$BZ34,$AJ34,1,9)</f>
        <v>-2.6491205825776097E-2</v>
      </c>
      <c r="BJ34" s="137">
        <f>_xll.xSPRDOPT($BW34,$BV34,$CG34,0,$BY34,$BX34,$BZ34,$AJ34,1,6)*$CB34</f>
        <v>-0.15733981830086308</v>
      </c>
      <c r="BK34" s="137">
        <f>_xll.xSPRDOPT($BW34,$BV34,$CG34,0,$BY34,$BX34,$BZ34,$AJ34,1,5)*$CB34</f>
        <v>0.26601555275283123</v>
      </c>
      <c r="BL34" s="137">
        <f>_xll.xSPRDOPT(BW34,BV34,CG34,0,BY34,BX34,BZ34,AJ34,1,2)*CB34</f>
        <v>-0.60027963087292446</v>
      </c>
      <c r="BM34" s="137">
        <f>_xll.xSPRDOPT(BW34,BV34,CG34,0,BY34,BX34,BZ34,AJ34,1,1)*CB34</f>
        <v>0.61741304938015318</v>
      </c>
      <c r="BN34" s="137">
        <f>IF(AH34&lt;&gt;0,_xll.xSPRDOPT($BW34,$BV34,$CG34,2*LN(1+CA34/2),$BY34,$BX34,$BZ34,$AJ34,1,8)+(AJ34/365.25)*CH34/AH34,0)</f>
        <v>5.3712653485235018E-3</v>
      </c>
      <c r="BO34" s="137">
        <f>_xll.xSPRDOPT($BW34,$BV34,$CG34,0,$BY34,$BX34,$BZ34,$AJ34,1,0)</f>
        <v>9.842282363752819E-2</v>
      </c>
      <c r="BP34" s="137"/>
      <c r="BQ34" s="137"/>
      <c r="BR34" s="137"/>
      <c r="BS34" s="137"/>
      <c r="BV34" s="262">
        <v>3.5824630785392082</v>
      </c>
      <c r="BW34" s="136">
        <v>3.6560000000000001</v>
      </c>
      <c r="BX34" s="137">
        <v>0.56836354878586004</v>
      </c>
      <c r="BY34" s="137">
        <v>0.57213207920918563</v>
      </c>
      <c r="BZ34" s="137">
        <v>0.99695278909785223</v>
      </c>
      <c r="CA34" s="137">
        <v>2.50384261928196E-2</v>
      </c>
      <c r="CB34" s="137">
        <v>0.97331647833327972</v>
      </c>
      <c r="CC34" s="258">
        <v>-2.5000000000000001E-2</v>
      </c>
      <c r="CD34" s="258">
        <v>5.7500000000000002E-2</v>
      </c>
      <c r="CE34" s="258">
        <v>0.23499999999999999</v>
      </c>
      <c r="CF34" s="258">
        <v>-2.5000000000000001E-2</v>
      </c>
      <c r="CG34" s="258">
        <v>1.9200000000000002E-2</v>
      </c>
      <c r="CH34" s="258">
        <v>3.1228859207323278</v>
      </c>
      <c r="CI34" s="258">
        <v>3.4460000000000002</v>
      </c>
    </row>
    <row r="35" spans="1:87" x14ac:dyDescent="0.25">
      <c r="A35" s="723"/>
      <c r="B35" s="723"/>
      <c r="D35" s="31">
        <f t="shared" si="36"/>
        <v>37667</v>
      </c>
      <c r="F35" s="28">
        <f t="shared" si="37"/>
        <v>15000</v>
      </c>
      <c r="G35" s="28">
        <f t="shared" si="12"/>
        <v>14555.082348897553</v>
      </c>
      <c r="H35" s="52">
        <f t="shared" si="38"/>
        <v>3.5052215287647535</v>
      </c>
      <c r="I35" s="52">
        <f t="shared" si="39"/>
        <v>3.581</v>
      </c>
      <c r="K35" s="52">
        <f t="shared" si="28"/>
        <v>1.5372080416069893</v>
      </c>
      <c r="L35" s="135">
        <f t="shared" si="29"/>
        <v>1.0583453084127028</v>
      </c>
      <c r="N35" s="131">
        <f t="shared" si="30"/>
        <v>0.5545383214891465</v>
      </c>
      <c r="O35" s="131">
        <f t="shared" si="31"/>
        <v>0.55781067576732513</v>
      </c>
      <c r="P35" s="55">
        <f t="shared" si="32"/>
        <v>0.99728491376485739</v>
      </c>
      <c r="Q35" s="135">
        <f>_xll.xSPRDOPT(I35,H35,AQ35,0,O35,N35,P35,D35-$G$5,1,0)*AH35*AU35</f>
        <v>2.5955533500196921</v>
      </c>
      <c r="R35" s="135"/>
      <c r="S35" s="181">
        <f>_xll.xSPRDOPT(I35,H35,AQ35,AT35,O35,N35,P35,D35-$G$5,1,2)*AF35*(F35/(1-AR35))*AH35</f>
        <v>-264919.87677731388</v>
      </c>
      <c r="T35" s="181">
        <f>_xll.xSPRDOPT(I35,H35,AQ35,AT35,O35,N35,P35,D35-$G$5,1,1)*AF35*F35*AH35</f>
        <v>263972.43620349374</v>
      </c>
      <c r="U35" s="135"/>
      <c r="V35" s="146">
        <f t="shared" si="40"/>
        <v>2.8120419098070069</v>
      </c>
      <c r="W35" s="146"/>
      <c r="X35" s="338">
        <f t="shared" si="41"/>
        <v>0</v>
      </c>
      <c r="Y35" s="338">
        <f t="shared" si="13"/>
        <v>0</v>
      </c>
      <c r="Z35" s="338">
        <f t="shared" si="14"/>
        <v>-76.573457238879513</v>
      </c>
      <c r="AA35" s="338">
        <f t="shared" si="15"/>
        <v>10.377125199297886</v>
      </c>
      <c r="AB35" s="338">
        <f t="shared" si="42"/>
        <v>0</v>
      </c>
      <c r="AC35" s="338">
        <f t="shared" si="43"/>
        <v>8.3270433151512755</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5.7500000000000002E-2</v>
      </c>
      <c r="AO35" s="258">
        <f t="shared" si="20"/>
        <v>0.23499999999999999</v>
      </c>
      <c r="AP35" s="258">
        <f t="shared" si="21"/>
        <v>-2.4999999999999998E-2</v>
      </c>
      <c r="AQ35" s="136">
        <f t="shared" si="48"/>
        <v>1.9200000000000002E-2</v>
      </c>
      <c r="AR35" s="137">
        <f t="shared" si="22"/>
        <v>2.9020000000000001E-2</v>
      </c>
      <c r="AS35" s="136">
        <f t="shared" si="33"/>
        <v>3.4035000000000002</v>
      </c>
      <c r="AT35" s="137">
        <f t="shared" si="34"/>
        <v>2.6044986419747399E-2</v>
      </c>
      <c r="AU35" s="137">
        <f t="shared" si="23"/>
        <v>0.97033882325983689</v>
      </c>
      <c r="AV35" s="394">
        <f t="shared" si="35"/>
        <v>12171.930198971393</v>
      </c>
      <c r="AW35" s="137">
        <f t="shared" si="24"/>
        <v>0.52749999999999997</v>
      </c>
      <c r="AX35" s="137">
        <f t="shared" si="25"/>
        <v>1.08</v>
      </c>
      <c r="AY35" s="137">
        <f t="shared" si="26"/>
        <v>1.1299999999999999</v>
      </c>
      <c r="AZ35" s="137"/>
      <c r="BA35" s="264"/>
      <c r="BB35" s="258">
        <f t="shared" si="27"/>
        <v>0</v>
      </c>
      <c r="BC35" s="258">
        <f t="shared" si="49"/>
        <v>0</v>
      </c>
      <c r="BD35" s="137">
        <f t="shared" si="50"/>
        <v>1.8493142576248012E-4</v>
      </c>
      <c r="BE35" s="137">
        <f t="shared" si="51"/>
        <v>2.0672397351406691E-4</v>
      </c>
      <c r="BF35" s="137">
        <f>_xll.xSPRDOPT($BW35,$BV35,$CG35,0,$BY35,$BX35,$BZ35,$AJ35,1,4)*$CB35</f>
        <v>2.3253262547085134</v>
      </c>
      <c r="BG35" s="137">
        <f>_xll.xSPRDOPT($BW35,$BV35,$CG35,0,$BY35,$BX35,$BZ35,$AJ35,1,3)*$CB35</f>
        <v>2.2528619768420515</v>
      </c>
      <c r="BH35" s="137">
        <f>IF(OR(BF35&lt;&gt;0,BG35&lt;&gt;0),_xll.xSPRDOPT($BW35,$BV35,$CG35,0,$BY35,$BX35,$BZ35,$AJ35,1,12)*$CB35,0)</f>
        <v>-2.2887939772978934</v>
      </c>
      <c r="BI35" s="137">
        <f>_xll.xSPRDOPT($BW35,$BV35,$CG35,2*LN(1+CA35/2),$BY35,$BX35,$BZ35,$AJ35,1,9)</f>
        <v>-2.2197186711508523E-2</v>
      </c>
      <c r="BJ35" s="137">
        <f>_xll.xSPRDOPT($BW35,$BV35,$CG35,0,$BY35,$BX35,$BZ35,$AJ35,1,6)*$CB35</f>
        <v>-0.16211336135904614</v>
      </c>
      <c r="BK35" s="137">
        <f>_xll.xSPRDOPT($BW35,$BV35,$CG35,0,$BY35,$BX35,$BZ35,$AJ35,1,5)*$CB35</f>
        <v>0.26454259306439132</v>
      </c>
      <c r="BL35" s="137">
        <f>_xll.xSPRDOPT(BW35,BV35,CG35,0,BY35,BX35,BZ35,AJ35,1,2)*CB35</f>
        <v>-0.61244548965632284</v>
      </c>
      <c r="BM35" s="137">
        <f>_xll.xSPRDOPT(BW35,BV35,CG35,0,BY35,BX35,BZ35,AJ35,1,1)*CB35</f>
        <v>0.62849373023482569</v>
      </c>
      <c r="BN35" s="137">
        <f>IF(AH35&lt;&gt;0,_xll.xSPRDOPT($BW35,$BV35,$CG35,2*LN(1+CA35/2),$BY35,$BX35,$BZ35,$AJ35,1,8)+(AJ35/365.25)*CH35/AH35,0)</f>
        <v>9.0564352599462189E-3</v>
      </c>
      <c r="BO35" s="137">
        <f>_xll.xSPRDOPT($BW35,$BV35,$CG35,0,$BY35,$BX35,$BZ35,$AJ35,1,0)</f>
        <v>9.5533406822893754E-2</v>
      </c>
      <c r="BP35" s="137"/>
      <c r="BQ35" s="137"/>
      <c r="BR35" s="137"/>
      <c r="BS35" s="137"/>
      <c r="BV35" s="262">
        <v>3.5052215287647535</v>
      </c>
      <c r="BW35" s="136">
        <v>3.581</v>
      </c>
      <c r="BX35" s="137">
        <v>0.55435339006338402</v>
      </c>
      <c r="BY35" s="137">
        <v>0.55760395179381106</v>
      </c>
      <c r="BZ35" s="137">
        <v>0.99730193695874381</v>
      </c>
      <c r="CA35" s="137">
        <v>2.6044986419747399E-2</v>
      </c>
      <c r="CB35" s="137">
        <v>0.97013260845196225</v>
      </c>
      <c r="CC35" s="258">
        <v>-2.5000000000000001E-2</v>
      </c>
      <c r="CD35" s="258">
        <v>5.7500000000000002E-2</v>
      </c>
      <c r="CE35" s="258">
        <v>0.23499999999999999</v>
      </c>
      <c r="CF35" s="258">
        <v>-2.5000000000000001E-2</v>
      </c>
      <c r="CG35" s="258">
        <v>1.9200000000000002E-2</v>
      </c>
      <c r="CH35" s="258">
        <v>2.8114442992937865</v>
      </c>
      <c r="CI35" s="258">
        <v>3.371</v>
      </c>
    </row>
    <row r="36" spans="1:87" x14ac:dyDescent="0.25">
      <c r="A36" s="723"/>
      <c r="B36" s="723"/>
      <c r="D36" s="31">
        <f t="shared" si="36"/>
        <v>37695</v>
      </c>
      <c r="F36" s="28">
        <f t="shared" si="37"/>
        <v>15000</v>
      </c>
      <c r="G36" s="28">
        <f t="shared" si="12"/>
        <v>14510.081626231495</v>
      </c>
      <c r="H36" s="52">
        <f t="shared" si="38"/>
        <v>3.4125316690354079</v>
      </c>
      <c r="I36" s="52">
        <f t="shared" si="39"/>
        <v>3.4510000000000001</v>
      </c>
      <c r="K36" s="52">
        <f t="shared" si="28"/>
        <v>0.57780911386811606</v>
      </c>
      <c r="L36" s="135">
        <f t="shared" si="29"/>
        <v>1.1383989989218963</v>
      </c>
      <c r="N36" s="131">
        <f t="shared" si="30"/>
        <v>0.50303598357381651</v>
      </c>
      <c r="O36" s="131">
        <f t="shared" si="31"/>
        <v>0.50303598357381651</v>
      </c>
      <c r="P36" s="55">
        <f t="shared" si="32"/>
        <v>0.998143111245545</v>
      </c>
      <c r="Q36" s="135">
        <f>_xll.xSPRDOPT(I36,H36,AQ36,0,O36,N36,P36,D36-$G$5,1,0)*AH36*AU36</f>
        <v>1.7162081127900124</v>
      </c>
      <c r="R36" s="135"/>
      <c r="S36" s="181">
        <f>_xll.xSPRDOPT(I36,H36,AQ36,AT36,O36,N36,P36,D36-$G$5,1,2)*AF36*(F36/(1-AR36))*AH36</f>
        <v>-258635.10560751284</v>
      </c>
      <c r="T36" s="181">
        <f>_xll.xSPRDOPT(I36,H36,AQ36,AT36,O36,N36,P36,D36-$G$5,1,1)*AF36*F36*AH36</f>
        <v>257142.68220500706</v>
      </c>
      <c r="U36" s="135"/>
      <c r="V36" s="146">
        <f t="shared" si="40"/>
        <v>3.1037064598509168</v>
      </c>
      <c r="W36" s="146"/>
      <c r="X36" s="338">
        <f t="shared" si="41"/>
        <v>0</v>
      </c>
      <c r="Y36" s="338">
        <f t="shared" si="13"/>
        <v>0</v>
      </c>
      <c r="Z36" s="338">
        <f t="shared" si="14"/>
        <v>-63.001965697907167</v>
      </c>
      <c r="AA36" s="338">
        <f t="shared" si="15"/>
        <v>4.1632411372828191</v>
      </c>
      <c r="AB36" s="338">
        <f t="shared" si="42"/>
        <v>0</v>
      </c>
      <c r="AC36" s="338">
        <f t="shared" si="43"/>
        <v>5.6982104992346549</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5.7500000000000002E-2</v>
      </c>
      <c r="AO36" s="258">
        <f t="shared" si="20"/>
        <v>0.19500000000000001</v>
      </c>
      <c r="AP36" s="258">
        <f t="shared" si="21"/>
        <v>-2.4999999999999998E-2</v>
      </c>
      <c r="AQ36" s="136">
        <f t="shared" si="48"/>
        <v>1.9200000000000002E-2</v>
      </c>
      <c r="AR36" s="137">
        <f t="shared" si="22"/>
        <v>2.9020000000000001E-2</v>
      </c>
      <c r="AS36" s="136">
        <f t="shared" si="33"/>
        <v>3.3135000000000003</v>
      </c>
      <c r="AT36" s="137">
        <f t="shared" si="34"/>
        <v>2.6954137886657601E-2</v>
      </c>
      <c r="AU36" s="137">
        <f t="shared" si="23"/>
        <v>0.96733877508209964</v>
      </c>
      <c r="AV36" s="394">
        <f t="shared" si="35"/>
        <v>13434.4009083402</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3.2507701661039308</v>
      </c>
      <c r="BG36" s="137">
        <f>_xll.xSPRDOPT($BW36,$BV36,$CG36,0,$BY36,$BX36,$BZ36,$AJ36,1,3)*$CB36</f>
        <v>3.2146161193490488</v>
      </c>
      <c r="BH36" s="137">
        <f>IF(OR(BF36&lt;&gt;0,BG36&lt;&gt;0),_xll.xSPRDOPT($BW36,$BV36,$CG36,0,$BY36,$BX36,$BZ36,$AJ36,1,12)*$CB36,0)</f>
        <v>-3.2326192031609478</v>
      </c>
      <c r="BI36" s="137">
        <f>_xll.xSPRDOPT($BW36,$BV36,$CG36,2*LN(1+CA36/2),$BY36,$BX36,$BZ36,$AJ36,1,9)</f>
        <v>-1.6495675964989673E-2</v>
      </c>
      <c r="BJ36" s="137">
        <f>_xll.xSPRDOPT($BW36,$BV36,$CG36,0,$BY36,$BX36,$BZ36,$AJ36,1,6)*$CB36</f>
        <v>-8.9674206443017782E-2</v>
      </c>
      <c r="BK36" s="137">
        <f>_xll.xSPRDOPT($BW36,$BV36,$CG36,0,$BY36,$BX36,$BZ36,$AJ36,1,5)*$CB36</f>
        <v>0.17892769307629541</v>
      </c>
      <c r="BL36" s="137">
        <f>_xll.xSPRDOPT(BW36,BV36,CG36,0,BY36,BX36,BZ36,AJ36,1,2)*CB36</f>
        <v>-0.54006441437146535</v>
      </c>
      <c r="BM36" s="137">
        <f>_xll.xSPRDOPT(BW36,BV36,CG36,0,BY36,BX36,BZ36,AJ36,1,1)*CB36</f>
        <v>0.55299569538090954</v>
      </c>
      <c r="BN36" s="137">
        <f>IF(AH36&lt;&gt;0,_xll.xSPRDOPT($BW36,$BV36,$CG36,2*LN(1+CA36/2),$BY36,$BX36,$BZ36,$AJ36,1,8)+(AJ36/365.25)*CH36/AH36,0)</f>
        <v>5.5863702854804215E-2</v>
      </c>
      <c r="BO36" s="137">
        <f>_xll.xSPRDOPT($BW36,$BV36,$CG36,0,$BY36,$BX36,$BZ36,$AJ36,1,0)</f>
        <v>5.7232928612996795E-2</v>
      </c>
      <c r="BP36" s="137"/>
      <c r="BQ36" s="137"/>
      <c r="BR36" s="137"/>
      <c r="BS36" s="137"/>
      <c r="BV36" s="262">
        <v>3.4125316690354079</v>
      </c>
      <c r="BW36" s="136">
        <v>3.4510000000000001</v>
      </c>
      <c r="BX36" s="137">
        <v>0.50293567145062035</v>
      </c>
      <c r="BY36" s="137">
        <v>0.50293567145062035</v>
      </c>
      <c r="BZ36" s="137">
        <v>0.99815455162430755</v>
      </c>
      <c r="CA36" s="137">
        <v>2.6954137886657601E-2</v>
      </c>
      <c r="CB36" s="137">
        <v>0.96712607036861076</v>
      </c>
      <c r="CC36" s="258">
        <v>-2.5000000000000001E-2</v>
      </c>
      <c r="CD36" s="258">
        <v>5.7500000000000002E-2</v>
      </c>
      <c r="CE36" s="258">
        <v>0.19500000000000001</v>
      </c>
      <c r="CF36" s="258">
        <v>-2.5000000000000001E-2</v>
      </c>
      <c r="CG36" s="258">
        <v>1.9200000000000002E-2</v>
      </c>
      <c r="CH36" s="258">
        <v>3.1030239967776874</v>
      </c>
      <c r="CI36" s="258">
        <v>3.2810000000000001</v>
      </c>
    </row>
    <row r="37" spans="1:87" x14ac:dyDescent="0.25">
      <c r="A37" s="727"/>
      <c r="B37" s="723"/>
      <c r="D37" s="31">
        <f t="shared" si="36"/>
        <v>37726</v>
      </c>
      <c r="F37" s="28">
        <f t="shared" si="37"/>
        <v>15000</v>
      </c>
      <c r="G37" s="28">
        <f t="shared" si="12"/>
        <v>14457.847836504392</v>
      </c>
      <c r="H37" s="52">
        <f t="shared" si="38"/>
        <v>3.2528991328348682</v>
      </c>
      <c r="I37" s="52">
        <f t="shared" si="39"/>
        <v>3.246</v>
      </c>
      <c r="K37" s="52">
        <f t="shared" si="28"/>
        <v>0</v>
      </c>
      <c r="L37" s="135">
        <f t="shared" si="29"/>
        <v>0.4814961017846347</v>
      </c>
      <c r="N37" s="131">
        <f t="shared" si="30"/>
        <v>0.38888404308877494</v>
      </c>
      <c r="O37" s="131">
        <f t="shared" si="31"/>
        <v>0.39068915452558645</v>
      </c>
      <c r="P37" s="55">
        <f t="shared" si="32"/>
        <v>0.99891596345816525</v>
      </c>
      <c r="Q37" s="135">
        <f>_xll.xSPRDOPT(I37,H37,AQ37,0,O37,N37,P37,D37-$G$5,1,0)*AH37*AU37</f>
        <v>0.4814961017846347</v>
      </c>
      <c r="R37" s="135"/>
      <c r="S37" s="181">
        <f>_xll.xSPRDOPT(I37,H37,AQ37,AT37,O37,N37,P37,D37-$G$5,1,2)*AF37*(F37/(1-AR37))*AH37</f>
        <v>-156533.83037051928</v>
      </c>
      <c r="T37" s="181">
        <f>_xll.xSPRDOPT(I37,H37,AQ37,AT37,O37,N37,P37,D37-$G$5,1,1)*AF37*F37*AH37</f>
        <v>155352.9030720178</v>
      </c>
      <c r="U37" s="135"/>
      <c r="V37" s="146">
        <f t="shared" si="40"/>
        <v>2.9927745021564092</v>
      </c>
      <c r="W37" s="146"/>
      <c r="X37" s="338">
        <f t="shared" si="41"/>
        <v>0</v>
      </c>
      <c r="Y37" s="338">
        <f t="shared" si="13"/>
        <v>0</v>
      </c>
      <c r="Z37" s="338">
        <f t="shared" si="14"/>
        <v>-32.973823782776172</v>
      </c>
      <c r="AA37" s="338">
        <f t="shared" si="15"/>
        <v>1.8316626742112909</v>
      </c>
      <c r="AB37" s="338">
        <f t="shared" si="42"/>
        <v>0</v>
      </c>
      <c r="AC37" s="338">
        <f t="shared" si="43"/>
        <v>1.6592758282690165</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5.7500000000000002E-2</v>
      </c>
      <c r="AO37" s="258">
        <f t="shared" si="20"/>
        <v>0.14499999999999999</v>
      </c>
      <c r="AP37" s="258">
        <f t="shared" si="21"/>
        <v>-2.4999999999999998E-2</v>
      </c>
      <c r="AQ37" s="136">
        <f t="shared" si="48"/>
        <v>1.9200000000000002E-2</v>
      </c>
      <c r="AR37" s="137">
        <f t="shared" si="22"/>
        <v>2.9020000000000001E-2</v>
      </c>
      <c r="AS37" s="136">
        <f t="shared" si="33"/>
        <v>3.1585000000000001</v>
      </c>
      <c r="AT37" s="137">
        <f t="shared" si="34"/>
        <v>2.79745964320606E-2</v>
      </c>
      <c r="AU37" s="137">
        <f t="shared" si="23"/>
        <v>0.96385652243362618</v>
      </c>
      <c r="AV37" s="394">
        <f t="shared" si="35"/>
        <v>12954.231661507936</v>
      </c>
      <c r="AW37" s="137">
        <f t="shared" si="24"/>
        <v>0.38750000000000001</v>
      </c>
      <c r="AX37" s="137">
        <f t="shared" si="25"/>
        <v>0.43</v>
      </c>
      <c r="AY37" s="137">
        <f t="shared" si="26"/>
        <v>0.48</v>
      </c>
      <c r="AZ37" s="137"/>
      <c r="BA37" s="264"/>
      <c r="BB37" s="258">
        <f t="shared" si="27"/>
        <v>0</v>
      </c>
      <c r="BC37" s="258">
        <f t="shared" si="49"/>
        <v>0</v>
      </c>
      <c r="BD37" s="137">
        <f t="shared" si="50"/>
        <v>8.4934135016756507E-6</v>
      </c>
      <c r="BE37" s="137">
        <f t="shared" si="51"/>
        <v>1.9525927436481183E-5</v>
      </c>
      <c r="BF37" s="137">
        <f>_xll.xSPRDOPT($BW37,$BV37,$CG37,0,$BY37,$BX37,$BZ37,$AJ37,1,4)*$CB37</f>
        <v>5.1138965980682958</v>
      </c>
      <c r="BG37" s="137">
        <f>_xll.xSPRDOPT($BW37,$BV37,$CG37,0,$BY37,$BX37,$BZ37,$AJ37,1,3)*$CB37</f>
        <v>5.1937864731830619</v>
      </c>
      <c r="BH37" s="137">
        <f>IF(OR(BF37&lt;&gt;0,BG37&lt;&gt;0),_xll.xSPRDOPT($BW37,$BV37,$CG37,0,$BY37,$BX37,$BZ37,$AJ37,1,12)*$CB37,0)</f>
        <v>-5.1536699922356153</v>
      </c>
      <c r="BI37" s="137">
        <f>_xll.xSPRDOPT($BW37,$BV37,$CG37,2*LN(1+CA37/2),$BY37,$BX37,$BZ37,$AJ37,1,9)</f>
        <v>-8.9212512123399978E-3</v>
      </c>
      <c r="BJ37" s="137">
        <f>_xll.xSPRDOPT($BW37,$BV37,$CG37,0,$BY37,$BX37,$BZ37,$AJ37,1,6)*$CB37</f>
        <v>-0.25787660161949699</v>
      </c>
      <c r="BK37" s="137">
        <f>_xll.xSPRDOPT($BW37,$BV37,$CG37,0,$BY37,$BX37,$BZ37,$AJ37,1,5)*$CB37</f>
        <v>0.32063081912880564</v>
      </c>
      <c r="BL37" s="137">
        <f>_xll.xSPRDOPT(BW37,BV37,CG37,0,BY37,BX37,BZ37,AJ37,1,2)*CB37</f>
        <v>-0.33777944396532711</v>
      </c>
      <c r="BM37" s="137">
        <f>_xll.xSPRDOPT(BW37,BV37,CG37,0,BY37,BX37,BZ37,AJ37,1,1)*CB37</f>
        <v>0.34524985441797418</v>
      </c>
      <c r="BN37" s="137">
        <f>IF(AH37&lt;&gt;0,_xll.xSPRDOPT($BW37,$BV37,$CG37,2*LN(1+CA37/2),$BY37,$BX37,$BZ37,$AJ37,1,8)+(AJ37/365.25)*CH37/AH37,0)</f>
        <v>0.11158499772631492</v>
      </c>
      <c r="BO37" s="137">
        <f>_xll.xSPRDOPT($BW37,$BV37,$CG37,0,$BY37,$BX37,$BZ37,$AJ37,1,0)</f>
        <v>1.6653208475032717E-2</v>
      </c>
      <c r="BP37" s="137"/>
      <c r="BQ37" s="137"/>
      <c r="BR37" s="137"/>
      <c r="BS37" s="137"/>
      <c r="BV37" s="262">
        <v>3.2528991328348682</v>
      </c>
      <c r="BW37" s="136">
        <v>3.246</v>
      </c>
      <c r="BX37" s="137">
        <v>0.38887554967527327</v>
      </c>
      <c r="BY37" s="137">
        <v>0.39066962859814997</v>
      </c>
      <c r="BZ37" s="137">
        <v>0.99892248547781615</v>
      </c>
      <c r="CA37" s="137">
        <v>2.79745964320606E-2</v>
      </c>
      <c r="CB37" s="137">
        <v>0.96363661599031902</v>
      </c>
      <c r="CC37" s="258">
        <v>-2.5000000000000001E-2</v>
      </c>
      <c r="CD37" s="258">
        <v>5.7500000000000002E-2</v>
      </c>
      <c r="CE37" s="258">
        <v>0.14499999999999999</v>
      </c>
      <c r="CF37" s="258">
        <v>-2.5000000000000001E-2</v>
      </c>
      <c r="CG37" s="258">
        <v>1.9200000000000002E-2</v>
      </c>
      <c r="CH37" s="258">
        <v>2.9920916926499403</v>
      </c>
      <c r="CI37" s="258">
        <v>3.1259999999999999</v>
      </c>
    </row>
    <row r="38" spans="1:87" x14ac:dyDescent="0.25">
      <c r="A38" s="723"/>
      <c r="B38" s="723"/>
      <c r="D38" s="31">
        <f t="shared" si="36"/>
        <v>37756</v>
      </c>
      <c r="F38" s="28">
        <f t="shared" si="37"/>
        <v>15000</v>
      </c>
      <c r="G38" s="28">
        <f t="shared" si="12"/>
        <v>14405.123158889703</v>
      </c>
      <c r="H38" s="52">
        <f t="shared" si="38"/>
        <v>3.2539290201651943</v>
      </c>
      <c r="I38" s="52">
        <f t="shared" si="39"/>
        <v>3.2269999999999999</v>
      </c>
      <c r="K38" s="52">
        <f t="shared" si="28"/>
        <v>0</v>
      </c>
      <c r="L38" s="135">
        <f t="shared" si="29"/>
        <v>0.26866306553683578</v>
      </c>
      <c r="N38" s="131">
        <f t="shared" si="30"/>
        <v>0.3761805213924197</v>
      </c>
      <c r="O38" s="131">
        <f t="shared" si="31"/>
        <v>0.3761805213924197</v>
      </c>
      <c r="P38" s="55">
        <f t="shared" si="32"/>
        <v>0.9990209093778456</v>
      </c>
      <c r="Q38" s="135">
        <f>_xll.xSPRDOPT(I38,H38,AQ38,0,O38,N38,P38,D38-$G$5,1,0)*AH38*AU38</f>
        <v>0.26866306553683578</v>
      </c>
      <c r="R38" s="135"/>
      <c r="S38" s="181">
        <f>_xll.xSPRDOPT(I38,H38,AQ38,AT38,O38,N38,P38,D38-$G$5,1,2)*AF38*(F38/(1-AR38))*AH38</f>
        <v>-106663.1343406925</v>
      </c>
      <c r="T38" s="181">
        <f>_xll.xSPRDOPT(I38,H38,AQ38,AT38,O38,N38,P38,D38-$G$5,1,1)*AF38*F38*AH38</f>
        <v>106256.30090852345</v>
      </c>
      <c r="U38" s="135"/>
      <c r="V38" s="146">
        <f t="shared" si="40"/>
        <v>3.0812558436865074</v>
      </c>
      <c r="W38" s="146"/>
      <c r="X38" s="338">
        <f t="shared" si="41"/>
        <v>0</v>
      </c>
      <c r="Y38" s="338">
        <f t="shared" si="13"/>
        <v>0</v>
      </c>
      <c r="Z38" s="338">
        <f t="shared" si="14"/>
        <v>-24.95665512547782</v>
      </c>
      <c r="AA38" s="338">
        <f t="shared" si="15"/>
        <v>0.50304050224181285</v>
      </c>
      <c r="AB38" s="338">
        <f t="shared" si="42"/>
        <v>0</v>
      </c>
      <c r="AC38" s="338">
        <f t="shared" si="43"/>
        <v>0.95902742980142941</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5.7500000000000002E-2</v>
      </c>
      <c r="AO38" s="258">
        <f t="shared" si="20"/>
        <v>0.125</v>
      </c>
      <c r="AP38" s="258">
        <f t="shared" si="21"/>
        <v>-2.4999999999999998E-2</v>
      </c>
      <c r="AQ38" s="136">
        <f t="shared" si="48"/>
        <v>1.9200000000000002E-2</v>
      </c>
      <c r="AR38" s="137">
        <f t="shared" si="22"/>
        <v>2.9020000000000001E-2</v>
      </c>
      <c r="AS38" s="136">
        <f t="shared" si="33"/>
        <v>3.1595</v>
      </c>
      <c r="AT38" s="137">
        <f t="shared" si="34"/>
        <v>2.8963180076380102E-2</v>
      </c>
      <c r="AU38" s="137">
        <f t="shared" si="23"/>
        <v>0.96034154392598015</v>
      </c>
      <c r="AV38" s="394">
        <f t="shared" si="35"/>
        <v>13337.223362044013</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4.3864657559363449</v>
      </c>
      <c r="BG38" s="137">
        <f>_xll.xSPRDOPT($BW38,$BV38,$CG38,0,$BY38,$BX38,$BZ38,$AJ38,1,3)*$CB38</f>
        <v>4.5105985314901957</v>
      </c>
      <c r="BH38" s="137">
        <f>IF(OR(BF38&lt;&gt;0,BG38&lt;&gt;0),_xll.xSPRDOPT($BW38,$BV38,$CG38,0,$BY38,$BX38,$BZ38,$AJ38,1,12)*$CB38,0)</f>
        <v>-4.4480860771611486</v>
      </c>
      <c r="BI38" s="137">
        <f>_xll.xSPRDOPT($BW38,$BV38,$CG38,2*LN(1+CA38/2),$BY38,$BX38,$BZ38,$AJ38,1,9)</f>
        <v>-6.5343500247890861E-3</v>
      </c>
      <c r="BJ38" s="137">
        <f>_xll.xSPRDOPT($BW38,$BV38,$CG38,0,$BY38,$BX38,$BZ38,$AJ38,1,6)*$CB38</f>
        <v>-0.11939648896072616</v>
      </c>
      <c r="BK38" s="137">
        <f>_xll.xSPRDOPT($BW38,$BV38,$CG38,0,$BY38,$BX38,$BZ38,$AJ38,1,5)*$CB38</f>
        <v>0.17044530723912737</v>
      </c>
      <c r="BL38" s="137">
        <f>_xll.xSPRDOPT(BW38,BV38,CG38,0,BY38,BX38,BZ38,AJ38,1,2)*CB38</f>
        <v>-0.22205006763833665</v>
      </c>
      <c r="BM38" s="137">
        <f>_xll.xSPRDOPT(BW38,BV38,CG38,0,BY38,BX38,BZ38,AJ38,1,1)*CB38</f>
        <v>0.22782399847816728</v>
      </c>
      <c r="BN38" s="137">
        <f>IF(AH38&lt;&gt;0,_xll.xSPRDOPT($BW38,$BV38,$CG38,2*LN(1+CA38/2),$BY38,$BX38,$BZ38,$AJ38,1,8)+(AJ38/365.25)*CH38/AH38,0)</f>
        <v>0.12841374502620878</v>
      </c>
      <c r="BO38" s="137">
        <f>_xll.xSPRDOPT($BW38,$BV38,$CG38,0,$BY38,$BX38,$BZ38,$AJ38,1,0)</f>
        <v>9.0297901684394267E-3</v>
      </c>
      <c r="BP38" s="137"/>
      <c r="BQ38" s="137"/>
      <c r="BR38" s="137"/>
      <c r="BS38" s="137"/>
      <c r="BV38" s="262">
        <v>3.2539290201651943</v>
      </c>
      <c r="BW38" s="136">
        <v>3.2269999999999999</v>
      </c>
      <c r="BX38" s="137">
        <v>0.37615932976510713</v>
      </c>
      <c r="BY38" s="137">
        <v>0.37615932976510713</v>
      </c>
      <c r="BZ38" s="137">
        <v>0.99902646463622458</v>
      </c>
      <c r="CA38" s="137">
        <v>2.8963180076380102E-2</v>
      </c>
      <c r="CB38" s="137">
        <v>0.96011475289275328</v>
      </c>
      <c r="CC38" s="258">
        <v>-2.5000000000000001E-2</v>
      </c>
      <c r="CD38" s="258">
        <v>5.7500000000000002E-2</v>
      </c>
      <c r="CE38" s="258">
        <v>0.125</v>
      </c>
      <c r="CF38" s="258">
        <v>-2.5000000000000001E-2</v>
      </c>
      <c r="CG38" s="258">
        <v>1.9200000000000002E-2</v>
      </c>
      <c r="CH38" s="258">
        <v>3.0805281846563988</v>
      </c>
      <c r="CI38" s="258">
        <v>3.1269999999999998</v>
      </c>
    </row>
    <row r="39" spans="1:87" x14ac:dyDescent="0.25">
      <c r="A39" s="723"/>
      <c r="B39" s="723"/>
      <c r="D39" s="31">
        <f t="shared" si="36"/>
        <v>37787</v>
      </c>
      <c r="F39" s="28">
        <f t="shared" si="37"/>
        <v>15000</v>
      </c>
      <c r="G39" s="28">
        <f t="shared" si="12"/>
        <v>14348.439881123892</v>
      </c>
      <c r="H39" s="52">
        <f t="shared" si="38"/>
        <v>3.2899750767266065</v>
      </c>
      <c r="I39" s="52">
        <f t="shared" si="39"/>
        <v>3.282</v>
      </c>
      <c r="K39" s="52">
        <f t="shared" si="28"/>
        <v>0</v>
      </c>
      <c r="L39" s="135">
        <f t="shared" si="29"/>
        <v>0.53837421758130588</v>
      </c>
      <c r="N39" s="131">
        <f t="shared" si="30"/>
        <v>0.37586425134556289</v>
      </c>
      <c r="O39" s="131">
        <f t="shared" si="31"/>
        <v>0.37770530586281559</v>
      </c>
      <c r="P39" s="55">
        <f t="shared" si="32"/>
        <v>0.99878543994359403</v>
      </c>
      <c r="Q39" s="135">
        <f>_xll.xSPRDOPT(I39,H39,AQ39,0,O39,N39,P39,D39-$G$5,1,0)*AH39*AU39</f>
        <v>0.53837421758130588</v>
      </c>
      <c r="R39" s="135"/>
      <c r="S39" s="181">
        <f>_xll.xSPRDOPT(I39,H39,AQ39,AT39,O39,N39,P39,D39-$G$5,1,2)*AF39*(F39/(1-AR39))*AH39</f>
        <v>-158252.20640363274</v>
      </c>
      <c r="T39" s="181">
        <f>_xll.xSPRDOPT(I39,H39,AQ39,AT39,O39,N39,P39,D39-$G$5,1,1)*AF39*F39*AH39</f>
        <v>157309.46379519688</v>
      </c>
      <c r="U39" s="135"/>
      <c r="V39" s="146">
        <f t="shared" si="40"/>
        <v>2.9701270553926453</v>
      </c>
      <c r="W39" s="146"/>
      <c r="X39" s="338">
        <f t="shared" si="41"/>
        <v>0</v>
      </c>
      <c r="Y39" s="338">
        <f t="shared" si="13"/>
        <v>0</v>
      </c>
      <c r="Z39" s="338">
        <f t="shared" si="14"/>
        <v>-31.71816901875636</v>
      </c>
      <c r="AA39" s="338">
        <f t="shared" si="15"/>
        <v>2.0846939345937807</v>
      </c>
      <c r="AB39" s="338">
        <f t="shared" si="42"/>
        <v>0</v>
      </c>
      <c r="AC39" s="338">
        <f t="shared" si="43"/>
        <v>1.9885203958398134</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5.7500000000000002E-2</v>
      </c>
      <c r="AO39" s="258">
        <f t="shared" si="20"/>
        <v>0.14499999999999999</v>
      </c>
      <c r="AP39" s="258">
        <f t="shared" si="21"/>
        <v>-2.4999999999999998E-2</v>
      </c>
      <c r="AQ39" s="136">
        <f t="shared" si="48"/>
        <v>1.9200000000000002E-2</v>
      </c>
      <c r="AR39" s="137">
        <f t="shared" si="22"/>
        <v>2.9020000000000001E-2</v>
      </c>
      <c r="AS39" s="136">
        <f t="shared" si="33"/>
        <v>3.1945000000000001</v>
      </c>
      <c r="AT39" s="137">
        <f t="shared" si="34"/>
        <v>2.99847168551968E-2</v>
      </c>
      <c r="AU39" s="137">
        <f t="shared" si="23"/>
        <v>0.95656265874159274</v>
      </c>
      <c r="AV39" s="394">
        <f t="shared" si="35"/>
        <v>12856.202133487006</v>
      </c>
      <c r="AW39" s="137">
        <f t="shared" si="24"/>
        <v>0.3725</v>
      </c>
      <c r="AX39" s="137">
        <f t="shared" si="25"/>
        <v>0.48</v>
      </c>
      <c r="AY39" s="137">
        <f t="shared" si="26"/>
        <v>0.53</v>
      </c>
      <c r="AZ39" s="137"/>
      <c r="BA39" s="264"/>
      <c r="BB39" s="258">
        <f t="shared" si="27"/>
        <v>0</v>
      </c>
      <c r="BC39" s="258">
        <f t="shared" si="49"/>
        <v>0</v>
      </c>
      <c r="BD39" s="137">
        <f t="shared" si="50"/>
        <v>1.8302058320429637E-5</v>
      </c>
      <c r="BE39" s="137">
        <f t="shared" si="51"/>
        <v>2.8249349723397099E-5</v>
      </c>
      <c r="BF39" s="137">
        <f>_xll.xSPRDOPT($BW39,$BV39,$CG39,0,$BY39,$BX39,$BZ39,$AJ39,1,4)*$CB39</f>
        <v>4.6604030753751395</v>
      </c>
      <c r="BG39" s="137">
        <f>_xll.xSPRDOPT($BW39,$BV39,$CG39,0,$BY39,$BX39,$BZ39,$AJ39,1,3)*$CB39</f>
        <v>4.7356241685022207</v>
      </c>
      <c r="BH39" s="137">
        <f>IF(OR(BF39&lt;&gt;0,BG39&lt;&gt;0),_xll.xSPRDOPT($BW39,$BV39,$CG39,0,$BY39,$BX39,$BZ39,$AJ39,1,12)*$CB39,0)</f>
        <v>-4.6978468118226209</v>
      </c>
      <c r="BI39" s="137">
        <f>_xll.xSPRDOPT($BW39,$BV39,$CG39,2*LN(1+CA39/2),$BY39,$BX39,$BZ39,$AJ39,1,9)</f>
        <v>-8.5815268400746374E-3</v>
      </c>
      <c r="BJ39" s="137">
        <f>_xll.xSPRDOPT($BW39,$BV39,$CG39,0,$BY39,$BX39,$BZ39,$AJ39,1,6)*$CB39</f>
        <v>-0.2636737767774584</v>
      </c>
      <c r="BK39" s="137">
        <f>_xll.xSPRDOPT($BW39,$BV39,$CG39,0,$BY39,$BX39,$BZ39,$AJ39,1,5)*$CB39</f>
        <v>0.33481924790294798</v>
      </c>
      <c r="BL39" s="137">
        <f>_xll.xSPRDOPT(BW39,BV39,CG39,0,BY39,BX39,BZ39,AJ39,1,2)*CB39</f>
        <v>-0.3415046629571189</v>
      </c>
      <c r="BM39" s="137">
        <f>_xll.xSPRDOPT(BW39,BV39,CG39,0,BY39,BX39,BZ39,AJ39,1,1)*CB39</f>
        <v>0.34961571063734942</v>
      </c>
      <c r="BN39" s="137">
        <f>IF(AH39&lt;&gt;0,_xll.xSPRDOPT($BW39,$BV39,$CG39,2*LN(1+CA39/2),$BY39,$BX39,$BZ39,$AJ39,1,8)+(AJ39/365.25)*CH39/AH39,0)</f>
        <v>0.1215838148728349</v>
      </c>
      <c r="BO39" s="137">
        <f>_xll.xSPRDOPT($BW39,$BV39,$CG39,0,$BY39,$BX39,$BZ39,$AJ39,1,0)</f>
        <v>1.8762007060276194E-2</v>
      </c>
      <c r="BP39" s="137"/>
      <c r="BQ39" s="137"/>
      <c r="BR39" s="137"/>
      <c r="BS39" s="137"/>
      <c r="BV39" s="262">
        <v>3.2899750767266065</v>
      </c>
      <c r="BW39" s="136">
        <v>3.282</v>
      </c>
      <c r="BX39" s="137">
        <v>0.37584594928724246</v>
      </c>
      <c r="BY39" s="137">
        <v>0.37767705651309219</v>
      </c>
      <c r="BZ39" s="137">
        <v>0.99879186428348421</v>
      </c>
      <c r="CA39" s="137">
        <v>2.99847168551968E-2</v>
      </c>
      <c r="CB39" s="137">
        <v>0.95632885259143241</v>
      </c>
      <c r="CC39" s="258">
        <v>-2.5000000000000001E-2</v>
      </c>
      <c r="CD39" s="258">
        <v>5.7500000000000002E-2</v>
      </c>
      <c r="CE39" s="258">
        <v>0.14499999999999999</v>
      </c>
      <c r="CF39" s="258">
        <v>-2.5000000000000001E-2</v>
      </c>
      <c r="CG39" s="258">
        <v>1.9200000000000002E-2</v>
      </c>
      <c r="CH39" s="258">
        <v>2.9694010872963976</v>
      </c>
      <c r="CI39" s="258">
        <v>3.1619999999999999</v>
      </c>
    </row>
    <row r="40" spans="1:87" x14ac:dyDescent="0.25">
      <c r="A40" s="723"/>
      <c r="B40" s="723"/>
      <c r="D40" s="31">
        <f t="shared" si="36"/>
        <v>37817</v>
      </c>
      <c r="F40" s="28">
        <f t="shared" si="37"/>
        <v>15000</v>
      </c>
      <c r="G40" s="28">
        <f t="shared" si="12"/>
        <v>14291.660568930723</v>
      </c>
      <c r="H40" s="52">
        <f t="shared" si="38"/>
        <v>3.3332303446003011</v>
      </c>
      <c r="I40" s="52">
        <f t="shared" si="39"/>
        <v>3.3290000000000002</v>
      </c>
      <c r="K40" s="52">
        <f t="shared" si="28"/>
        <v>0</v>
      </c>
      <c r="L40" s="135">
        <f t="shared" si="29"/>
        <v>0.56099576741026802</v>
      </c>
      <c r="N40" s="131">
        <f t="shared" si="30"/>
        <v>0.37759499646180722</v>
      </c>
      <c r="O40" s="131">
        <f t="shared" si="31"/>
        <v>0.37759499646180722</v>
      </c>
      <c r="P40" s="55">
        <f t="shared" si="32"/>
        <v>0.99894059587452066</v>
      </c>
      <c r="Q40" s="135">
        <f>_xll.xSPRDOPT(I40,H40,AQ40,0,O40,N40,P40,D40-$G$5,1,0)*AH40*AU40</f>
        <v>0.56099576741026802</v>
      </c>
      <c r="R40" s="135"/>
      <c r="S40" s="181">
        <f>_xll.xSPRDOPT(I40,H40,AQ40,AT40,O40,N40,P40,D40-$G$5,1,2)*AF40*(F40/(1-AR40))*AH40</f>
        <v>-169066.06816185292</v>
      </c>
      <c r="T40" s="181">
        <f>_xll.xSPRDOPT(I40,H40,AQ40,AT40,O40,N40,P40,D40-$G$5,1,1)*AF40*F40*AH40</f>
        <v>167791.43396158516</v>
      </c>
      <c r="U40" s="135"/>
      <c r="V40" s="146">
        <f t="shared" si="40"/>
        <v>3.0569861956942814</v>
      </c>
      <c r="W40" s="146"/>
      <c r="X40" s="338">
        <f t="shared" si="41"/>
        <v>0</v>
      </c>
      <c r="Y40" s="338">
        <f t="shared" si="13"/>
        <v>0</v>
      </c>
      <c r="Z40" s="338">
        <f t="shared" si="14"/>
        <v>-29.853095467711128</v>
      </c>
      <c r="AA40" s="338">
        <f t="shared" si="15"/>
        <v>0.85498428419338801</v>
      </c>
      <c r="AB40" s="338">
        <f t="shared" si="42"/>
        <v>0</v>
      </c>
      <c r="AC40" s="338">
        <f t="shared" si="43"/>
        <v>2.13983669471479</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5.7500000000000002E-2</v>
      </c>
      <c r="AO40" s="258">
        <f t="shared" si="20"/>
        <v>0.15</v>
      </c>
      <c r="AP40" s="258">
        <f t="shared" si="21"/>
        <v>-2.4999999999999998E-2</v>
      </c>
      <c r="AQ40" s="136">
        <f t="shared" si="48"/>
        <v>1.9200000000000002E-2</v>
      </c>
      <c r="AR40" s="137">
        <f t="shared" si="22"/>
        <v>2.9020000000000001E-2</v>
      </c>
      <c r="AS40" s="136">
        <f t="shared" si="33"/>
        <v>3.2365000000000004</v>
      </c>
      <c r="AT40" s="137">
        <f t="shared" si="34"/>
        <v>3.0965279300479799E-2</v>
      </c>
      <c r="AU40" s="137">
        <f t="shared" si="23"/>
        <v>0.9527773712620482</v>
      </c>
      <c r="AV40" s="394">
        <f t="shared" si="35"/>
        <v>13232.172132087326</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4.8963162227337698</v>
      </c>
      <c r="BG40" s="137">
        <f>_xll.xSPRDOPT($BW40,$BV40,$CG40,0,$BY40,$BX40,$BZ40,$AJ40,1,3)*$CB40</f>
        <v>4.9641747289216589</v>
      </c>
      <c r="BH40" s="137">
        <f>IF(OR(BF40&lt;&gt;0,BG40&lt;&gt;0),_xll.xSPRDOPT($BW40,$BV40,$CG40,0,$BY40,$BX40,$BZ40,$AJ40,1,12)*$CB40,0)</f>
        <v>-4.9301080058342475</v>
      </c>
      <c r="BI40" s="137">
        <f>_xll.xSPRDOPT($BW40,$BV40,$CG40,2*LN(1+CA40/2),$BY40,$BX40,$BZ40,$AJ40,1,9)</f>
        <v>-7.8163749961157637E-3</v>
      </c>
      <c r="BJ40" s="137">
        <f>_xll.xSPRDOPT($BW40,$BV40,$CG40,0,$BY40,$BX40,$BZ40,$AJ40,1,6)*$CB40</f>
        <v>-0.14834190677200931</v>
      </c>
      <c r="BK40" s="137">
        <f>_xll.xSPRDOPT($BW40,$BV40,$CG40,0,$BY40,$BX40,$BZ40,$AJ40,1,5)*$CB40</f>
        <v>0.21852271556841588</v>
      </c>
      <c r="BL40" s="137">
        <f>_xll.xSPRDOPT(BW40,BV40,CG40,0,BY40,BX40,BZ40,AJ40,1,2)*CB40</f>
        <v>-0.35308292113485068</v>
      </c>
      <c r="BM40" s="137">
        <f>_xll.xSPRDOPT(BW40,BV40,CG40,0,BY40,BX40,BZ40,AJ40,1,1)*CB40</f>
        <v>0.36089367573562459</v>
      </c>
      <c r="BN40" s="137">
        <f>IF(AH40&lt;&gt;0,_xll.xSPRDOPT($BW40,$BV40,$CG40,2*LN(1+CA40/2),$BY40,$BX40,$BZ40,$AJ40,1,8)+(AJ40/365.25)*CH40/AH40,0)</f>
        <v>0.12738014125769226</v>
      </c>
      <c r="BO40" s="137">
        <f>_xll.xSPRDOPT($BW40,$BV40,$CG40,0,$BY40,$BX40,$BZ40,$AJ40,1,0)</f>
        <v>1.8995022923655427E-2</v>
      </c>
      <c r="BP40" s="137"/>
      <c r="BQ40" s="137"/>
      <c r="BR40" s="137"/>
      <c r="BS40" s="137"/>
      <c r="BV40" s="262">
        <v>3.3332303446003011</v>
      </c>
      <c r="BW40" s="136">
        <v>3.3290000000000002</v>
      </c>
      <c r="BX40" s="137">
        <v>0.37756879733541471</v>
      </c>
      <c r="BY40" s="137">
        <v>0.37756879733541471</v>
      </c>
      <c r="BZ40" s="137">
        <v>0.99894593401299259</v>
      </c>
      <c r="CA40" s="137">
        <v>3.0965279300479799E-2</v>
      </c>
      <c r="CB40" s="137">
        <v>0.95253693379797033</v>
      </c>
      <c r="CC40" s="258">
        <v>-2.5000000000000001E-2</v>
      </c>
      <c r="CD40" s="258">
        <v>5.7500000000000002E-2</v>
      </c>
      <c r="CE40" s="258">
        <v>0.15</v>
      </c>
      <c r="CF40" s="258">
        <v>-2.5000000000000001E-2</v>
      </c>
      <c r="CG40" s="258">
        <v>1.9200000000000002E-2</v>
      </c>
      <c r="CH40" s="258">
        <v>3.0562147520907876</v>
      </c>
      <c r="CI40" s="258">
        <v>3.2040000000000002</v>
      </c>
    </row>
    <row r="41" spans="1:87" x14ac:dyDescent="0.25">
      <c r="A41" s="723"/>
      <c r="B41" s="723"/>
      <c r="D41" s="31">
        <f t="shared" si="36"/>
        <v>37848</v>
      </c>
      <c r="F41" s="28">
        <f t="shared" si="37"/>
        <v>15000</v>
      </c>
      <c r="G41" s="28">
        <f t="shared" si="12"/>
        <v>14231.129943122751</v>
      </c>
      <c r="H41" s="52">
        <f t="shared" si="38"/>
        <v>3.3764856124739957</v>
      </c>
      <c r="I41" s="52">
        <f t="shared" si="39"/>
        <v>3.371</v>
      </c>
      <c r="K41" s="52">
        <f t="shared" si="28"/>
        <v>0</v>
      </c>
      <c r="L41" s="135">
        <f t="shared" si="29"/>
        <v>0.63247985511924687</v>
      </c>
      <c r="N41" s="131">
        <f t="shared" si="30"/>
        <v>0.37920840226144648</v>
      </c>
      <c r="O41" s="131">
        <f t="shared" si="31"/>
        <v>0.37920840226144648</v>
      </c>
      <c r="P41" s="55">
        <f t="shared" si="32"/>
        <v>0.99880624419771991</v>
      </c>
      <c r="Q41" s="135">
        <f>_xll.xSPRDOPT(I41,H41,AQ41,0,O41,N41,P41,D41-$G$5,1,0)*AH41*AU41</f>
        <v>0.63247985511924687</v>
      </c>
      <c r="R41" s="135"/>
      <c r="S41" s="181">
        <f>_xll.xSPRDOPT(I41,H41,AQ41,AT41,O41,N41,P41,D41-$G$5,1,2)*AF41*(F41/(1-AR41))*AH41</f>
        <v>-170815.92088352176</v>
      </c>
      <c r="T41" s="181">
        <f>_xll.xSPRDOPT(I41,H41,AQ41,AT41,O41,N41,P41,D41-$G$5,1,1)*AF41*F41*AH41</f>
        <v>169839.4455397347</v>
      </c>
      <c r="U41" s="135"/>
      <c r="V41" s="146">
        <f t="shared" si="40"/>
        <v>3.0440386948339562</v>
      </c>
      <c r="W41" s="146"/>
      <c r="X41" s="338">
        <f t="shared" si="41"/>
        <v>0</v>
      </c>
      <c r="Y41" s="338">
        <f t="shared" si="13"/>
        <v>0</v>
      </c>
      <c r="Z41" s="338">
        <f t="shared" si="14"/>
        <v>-31.147958447528531</v>
      </c>
      <c r="AA41" s="338">
        <f t="shared" si="15"/>
        <v>1.17620108560725</v>
      </c>
      <c r="AB41" s="338">
        <f t="shared" si="42"/>
        <v>0</v>
      </c>
      <c r="AC41" s="338">
        <f t="shared" si="43"/>
        <v>2.4904991726285597</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5.7500000000000002E-2</v>
      </c>
      <c r="AO41" s="258">
        <f t="shared" si="20"/>
        <v>0.15</v>
      </c>
      <c r="AP41" s="258">
        <f t="shared" si="21"/>
        <v>-2.4999999999999998E-2</v>
      </c>
      <c r="AQ41" s="136">
        <f t="shared" si="48"/>
        <v>1.9200000000000002E-2</v>
      </c>
      <c r="AR41" s="137">
        <f t="shared" si="22"/>
        <v>2.9020000000000001E-2</v>
      </c>
      <c r="AS41" s="136">
        <f t="shared" si="33"/>
        <v>3.2785000000000002</v>
      </c>
      <c r="AT41" s="137">
        <f t="shared" si="34"/>
        <v>3.1967083332272501E-2</v>
      </c>
      <c r="AU41" s="137">
        <f t="shared" si="23"/>
        <v>0.94874199620818334</v>
      </c>
      <c r="AV41" s="394">
        <f t="shared" si="35"/>
        <v>13176.128843339251</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4.4229857035408005</v>
      </c>
      <c r="BG41" s="137">
        <f>_xll.xSPRDOPT($BW41,$BV41,$CG41,0,$BY41,$BX41,$BZ41,$AJ41,1,3)*$CB41</f>
        <v>4.4869389222436489</v>
      </c>
      <c r="BH41" s="137">
        <f>IF(OR(BF41&lt;&gt;0,BG41&lt;&gt;0),_xll.xSPRDOPT($BW41,$BV41,$CG41,0,$BY41,$BX41,$BZ41,$AJ41,1,12)*$CB41,0)</f>
        <v>-4.4548271571323284</v>
      </c>
      <c r="BI41" s="137">
        <f>_xll.xSPRDOPT($BW41,$BV41,$CG41,2*LN(1+CA41/2),$BY41,$BX41,$BZ41,$AJ41,1,9)</f>
        <v>-8.1554063247023627E-3</v>
      </c>
      <c r="BJ41" s="137">
        <f>_xll.xSPRDOPT($BW41,$BV41,$CG41,0,$BY41,$BX41,$BZ41,$AJ41,1,6)*$CB41</f>
        <v>-0.13926635928644029</v>
      </c>
      <c r="BK41" s="137">
        <f>_xll.xSPRDOPT($BW41,$BV41,$CG41,0,$BY41,$BX41,$BZ41,$AJ41,1,5)*$CB41</f>
        <v>0.21667933670533152</v>
      </c>
      <c r="BL41" s="137">
        <f>_xll.xSPRDOPT(BW41,BV41,CG41,0,BY41,BX41,BZ41,AJ41,1,2)*CB41</f>
        <v>-0.356749123515129</v>
      </c>
      <c r="BM41" s="137">
        <f>_xll.xSPRDOPT(BW41,BV41,CG41,0,BY41,BX41,BZ41,AJ41,1,1)*CB41</f>
        <v>0.36531071841538693</v>
      </c>
      <c r="BN41" s="137">
        <f>IF(AH41&lt;&gt;0,_xll.xSPRDOPT($BW41,$BV41,$CG41,2*LN(1+CA41/2),$BY41,$BX41,$BZ41,$AJ41,1,8)+(AJ41/365.25)*CH41/AH41,0)</f>
        <v>0.12967100841984591</v>
      </c>
      <c r="BO41" s="137">
        <f>_xll.xSPRDOPT($BW41,$BV41,$CG41,0,$BY41,$BX41,$BZ41,$AJ41,1,0)</f>
        <v>2.150623606640047E-2</v>
      </c>
      <c r="BP41" s="137"/>
      <c r="BQ41" s="137"/>
      <c r="BR41" s="137"/>
      <c r="BS41" s="137"/>
      <c r="BV41" s="262">
        <v>3.3764856124739957</v>
      </c>
      <c r="BW41" s="136">
        <v>3.371</v>
      </c>
      <c r="BX41" s="137">
        <v>0.37917572731746979</v>
      </c>
      <c r="BY41" s="137">
        <v>0.37917572731746979</v>
      </c>
      <c r="BZ41" s="137">
        <v>0.99881190558127586</v>
      </c>
      <c r="CA41" s="137">
        <v>3.1967083332272501E-2</v>
      </c>
      <c r="CB41" s="137">
        <v>0.94849489337827508</v>
      </c>
      <c r="CC41" s="258">
        <v>-2.5000000000000001E-2</v>
      </c>
      <c r="CD41" s="258">
        <v>5.7500000000000002E-2</v>
      </c>
      <c r="CE41" s="258">
        <v>0.15</v>
      </c>
      <c r="CF41" s="258">
        <v>-2.5000000000000001E-2</v>
      </c>
      <c r="CG41" s="258">
        <v>1.9200000000000002E-2</v>
      </c>
      <c r="CH41" s="258">
        <v>3.0432458654041956</v>
      </c>
      <c r="CI41" s="258">
        <v>3.246</v>
      </c>
    </row>
    <row r="42" spans="1:87" x14ac:dyDescent="0.25">
      <c r="A42" s="723"/>
      <c r="B42" s="723"/>
      <c r="D42" s="31">
        <f t="shared" si="36"/>
        <v>37879</v>
      </c>
      <c r="F42" s="28">
        <f t="shared" si="37"/>
        <v>15000</v>
      </c>
      <c r="G42" s="28">
        <f t="shared" si="12"/>
        <v>14168.495420518533</v>
      </c>
      <c r="H42" s="52">
        <f t="shared" si="38"/>
        <v>3.3713361758223654</v>
      </c>
      <c r="I42" s="52">
        <f t="shared" si="39"/>
        <v>3.3410000000000002</v>
      </c>
      <c r="K42" s="52">
        <f t="shared" si="28"/>
        <v>0</v>
      </c>
      <c r="L42" s="135">
        <f t="shared" si="29"/>
        <v>0.46894530469223106</v>
      </c>
      <c r="N42" s="131">
        <f t="shared" si="30"/>
        <v>0.3762850500238793</v>
      </c>
      <c r="O42" s="131">
        <f t="shared" si="31"/>
        <v>0.37817040162415777</v>
      </c>
      <c r="P42" s="55">
        <f t="shared" si="32"/>
        <v>0.99859852561119111</v>
      </c>
      <c r="Q42" s="135">
        <f>_xll.xSPRDOPT(I42,H42,AQ42,0,O42,N42,P42,D42-$G$5,1,0)*AH42*AU42</f>
        <v>0.46894530469223106</v>
      </c>
      <c r="R42" s="135"/>
      <c r="S42" s="181">
        <f>_xll.xSPRDOPT(I42,H42,AQ42,AT42,O42,N42,P42,D42-$G$5,1,2)*AF42*(F42/(1-AR42))*AH42</f>
        <v>-125810.83315691535</v>
      </c>
      <c r="T42" s="181">
        <f>_xll.xSPRDOPT(I42,H42,AQ42,AT42,O42,N42,P42,D42-$G$5,1,1)*AF42*F42*AH42</f>
        <v>126003.96701308353</v>
      </c>
      <c r="U42" s="135"/>
      <c r="V42" s="146">
        <f t="shared" si="40"/>
        <v>2.9328785520473364</v>
      </c>
      <c r="W42" s="146"/>
      <c r="X42" s="338">
        <f t="shared" si="41"/>
        <v>0</v>
      </c>
      <c r="Y42" s="338">
        <f t="shared" si="13"/>
        <v>0</v>
      </c>
      <c r="Z42" s="338">
        <f t="shared" si="14"/>
        <v>-29.019083586227907</v>
      </c>
      <c r="AA42" s="338">
        <f t="shared" si="15"/>
        <v>2.2265956839021812</v>
      </c>
      <c r="AB42" s="338">
        <f t="shared" si="42"/>
        <v>0</v>
      </c>
      <c r="AC42" s="338">
        <f t="shared" si="43"/>
        <v>1.9043985085865804</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5.7500000000000002E-2</v>
      </c>
      <c r="AO42" s="258">
        <f t="shared" si="20"/>
        <v>0.125</v>
      </c>
      <c r="AP42" s="258">
        <f t="shared" si="21"/>
        <v>-2.4999999999999998E-2</v>
      </c>
      <c r="AQ42" s="136">
        <f t="shared" si="48"/>
        <v>1.9200000000000002E-2</v>
      </c>
      <c r="AR42" s="137">
        <f t="shared" si="22"/>
        <v>2.9020000000000001E-2</v>
      </c>
      <c r="AS42" s="136">
        <f t="shared" si="33"/>
        <v>3.2735000000000003</v>
      </c>
      <c r="AT42" s="137">
        <f t="shared" si="34"/>
        <v>3.2968887702129003E-2</v>
      </c>
      <c r="AU42" s="137">
        <f t="shared" si="23"/>
        <v>0.94456636136790217</v>
      </c>
      <c r="AV42" s="394">
        <f t="shared" si="35"/>
        <v>12694.971896784606</v>
      </c>
      <c r="AW42" s="137">
        <f t="shared" si="24"/>
        <v>0.37</v>
      </c>
      <c r="AX42" s="137">
        <f t="shared" si="25"/>
        <v>0.57999999999999996</v>
      </c>
      <c r="AY42" s="137">
        <f t="shared" si="26"/>
        <v>0.63</v>
      </c>
      <c r="AZ42" s="137"/>
      <c r="BA42" s="264"/>
      <c r="BB42" s="258">
        <f t="shared" si="27"/>
        <v>0</v>
      </c>
      <c r="BC42" s="258">
        <f t="shared" si="49"/>
        <v>0</v>
      </c>
      <c r="BD42" s="137">
        <f t="shared" si="50"/>
        <v>2.9170681815626764E-5</v>
      </c>
      <c r="BE42" s="137">
        <f t="shared" si="51"/>
        <v>3.782782267369722E-5</v>
      </c>
      <c r="BF42" s="137">
        <f>_xll.xSPRDOPT($BW42,$BV42,$CG42,0,$BY42,$BX42,$BZ42,$AJ42,1,4)*$CB42</f>
        <v>3.5418964028647477</v>
      </c>
      <c r="BG42" s="137">
        <f>_xll.xSPRDOPT($BW42,$BV42,$CG42,0,$BY42,$BX42,$BZ42,$AJ42,1,3)*$CB42</f>
        <v>3.645341580015605</v>
      </c>
      <c r="BH42" s="137">
        <f>IF(OR(BF42&lt;&gt;0,BG42&lt;&gt;0),_xll.xSPRDOPT($BW42,$BV42,$CG42,0,$BY42,$BX42,$BZ42,$AJ42,1,12)*$CB42,0)</f>
        <v>-3.5932362688987642</v>
      </c>
      <c r="BI42" s="137">
        <f>_xll.xSPRDOPT($BW42,$BV42,$CG42,2*LN(1+CA42/2),$BY42,$BX42,$BZ42,$AJ42,1,9)</f>
        <v>-7.8512742813849953E-3</v>
      </c>
      <c r="BJ42" s="137">
        <f>_xll.xSPRDOPT($BW42,$BV42,$CG42,0,$BY42,$BX42,$BZ42,$AJ42,1,6)*$CB42</f>
        <v>-0.23807257760752984</v>
      </c>
      <c r="BK42" s="137">
        <f>_xll.xSPRDOPT($BW42,$BV42,$CG42,0,$BY42,$BX42,$BZ42,$AJ42,1,5)*$CB42</f>
        <v>0.31439107457158072</v>
      </c>
      <c r="BL42" s="137">
        <f>_xll.xSPRDOPT(BW42,BV42,CG42,0,BY42,BX42,BZ42,AJ42,1,2)*CB42</f>
        <v>-0.27152805260064683</v>
      </c>
      <c r="BM42" s="137">
        <f>_xll.xSPRDOPT(BW42,BV42,CG42,0,BY42,BX42,BZ42,AJ42,1,1)*CB42</f>
        <v>0.28007227428163334</v>
      </c>
      <c r="BN42" s="137">
        <f>IF(AH42&lt;&gt;0,_xll.xSPRDOPT($BW42,$BV42,$CG42,2*LN(1+CA42/2),$BY42,$BX42,$BZ42,$AJ42,1,8)+(AJ42/365.25)*CH42/AH42,0)</f>
        <v>0.14387187257092265</v>
      </c>
      <c r="BO42" s="137">
        <f>_xll.xSPRDOPT($BW42,$BV42,$CG42,0,$BY42,$BX42,$BZ42,$AJ42,1,0)</f>
        <v>1.6549853853531422E-2</v>
      </c>
      <c r="BP42" s="137"/>
      <c r="BQ42" s="137"/>
      <c r="BR42" s="137"/>
      <c r="BS42" s="137"/>
      <c r="BV42" s="262">
        <v>3.3713361758223654</v>
      </c>
      <c r="BW42" s="136">
        <v>3.3410000000000002</v>
      </c>
      <c r="BX42" s="137">
        <v>0.37625587934206367</v>
      </c>
      <c r="BY42" s="137">
        <v>0.37813257380148407</v>
      </c>
      <c r="BZ42" s="137">
        <v>0.99860478107904105</v>
      </c>
      <c r="CA42" s="137">
        <v>3.2968887702129003E-2</v>
      </c>
      <c r="CB42" s="137">
        <v>0.94431270003290391</v>
      </c>
      <c r="CC42" s="258">
        <v>-2.5000000000000001E-2</v>
      </c>
      <c r="CD42" s="258">
        <v>5.7500000000000002E-2</v>
      </c>
      <c r="CE42" s="258">
        <v>0.125</v>
      </c>
      <c r="CF42" s="258">
        <v>-2.5000000000000001E-2</v>
      </c>
      <c r="CG42" s="258">
        <v>1.9200000000000002E-2</v>
      </c>
      <c r="CH42" s="258">
        <v>2.9320909336021668</v>
      </c>
      <c r="CI42" s="258">
        <v>3.2410000000000001</v>
      </c>
    </row>
    <row r="43" spans="1:87" x14ac:dyDescent="0.25">
      <c r="A43" s="723"/>
      <c r="B43" s="723"/>
      <c r="D43" s="31">
        <f t="shared" si="36"/>
        <v>37909</v>
      </c>
      <c r="F43" s="28">
        <f t="shared" si="37"/>
        <v>15000</v>
      </c>
      <c r="G43" s="28">
        <f t="shared" si="12"/>
        <v>14106.710459513328</v>
      </c>
      <c r="H43" s="52">
        <f t="shared" si="38"/>
        <v>3.3981132464108428</v>
      </c>
      <c r="I43" s="52">
        <f t="shared" si="39"/>
        <v>3.387</v>
      </c>
      <c r="K43" s="52">
        <f t="shared" si="28"/>
        <v>0</v>
      </c>
      <c r="L43" s="135">
        <f t="shared" si="29"/>
        <v>0.76602147096010931</v>
      </c>
      <c r="N43" s="131">
        <f t="shared" si="30"/>
        <v>0.3804492507364664</v>
      </c>
      <c r="O43" s="131">
        <f t="shared" si="31"/>
        <v>0.38243997040692113</v>
      </c>
      <c r="P43" s="55">
        <f t="shared" si="32"/>
        <v>0.99844905462945577</v>
      </c>
      <c r="Q43" s="135">
        <f>_xll.xSPRDOPT(I43,H43,AQ43,0,O43,N43,P43,D43-$G$5,1,0)*AH43*AU43</f>
        <v>0.76602147096010931</v>
      </c>
      <c r="R43" s="135"/>
      <c r="S43" s="181">
        <f>_xll.xSPRDOPT(I43,H43,AQ43,AT43,O43,N43,P43,D43-$G$5,1,2)*AF43*(F43/(1-AR43))*AH43</f>
        <v>-168791.03431574599</v>
      </c>
      <c r="T43" s="181">
        <f>_xll.xSPRDOPT(I43,H43,AQ43,AT43,O43,N43,P43,D43-$G$5,1,1)*AF43*F43*AH43</f>
        <v>168668.23878738828</v>
      </c>
      <c r="U43" s="135"/>
      <c r="V43" s="146">
        <f t="shared" si="40"/>
        <v>3.0174253672899005</v>
      </c>
      <c r="W43" s="146"/>
      <c r="X43" s="338">
        <f t="shared" si="41"/>
        <v>0</v>
      </c>
      <c r="Y43" s="338">
        <f t="shared" si="13"/>
        <v>0</v>
      </c>
      <c r="Z43" s="338">
        <f t="shared" si="14"/>
        <v>-33.864098996863014</v>
      </c>
      <c r="AA43" s="338">
        <f t="shared" si="15"/>
        <v>2.9299925903393071</v>
      </c>
      <c r="AB43" s="338">
        <f t="shared" si="42"/>
        <v>0</v>
      </c>
      <c r="AC43" s="338">
        <f t="shared" si="43"/>
        <v>3.1992458034785916</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5.7500000000000002E-2</v>
      </c>
      <c r="AO43" s="258">
        <f t="shared" si="20"/>
        <v>0.14499999999999999</v>
      </c>
      <c r="AP43" s="258">
        <f t="shared" si="21"/>
        <v>-2.4999999999999998E-2</v>
      </c>
      <c r="AQ43" s="136">
        <f t="shared" si="48"/>
        <v>1.9200000000000002E-2</v>
      </c>
      <c r="AR43" s="137">
        <f t="shared" si="22"/>
        <v>2.9020000000000001E-2</v>
      </c>
      <c r="AS43" s="136">
        <f t="shared" si="33"/>
        <v>3.2995000000000001</v>
      </c>
      <c r="AT43" s="137">
        <f t="shared" si="34"/>
        <v>3.3906701822071103E-2</v>
      </c>
      <c r="AU43" s="137">
        <f t="shared" si="23"/>
        <v>0.94044736396755513</v>
      </c>
      <c r="AV43" s="394">
        <f t="shared" si="35"/>
        <v>13060.932990781406</v>
      </c>
      <c r="AW43" s="137">
        <f t="shared" si="24"/>
        <v>0.3725</v>
      </c>
      <c r="AX43" s="137">
        <f t="shared" si="25"/>
        <v>0.63</v>
      </c>
      <c r="AY43" s="137">
        <f t="shared" si="26"/>
        <v>0.68</v>
      </c>
      <c r="AZ43" s="137"/>
      <c r="BA43" s="264"/>
      <c r="BB43" s="258">
        <f t="shared" si="27"/>
        <v>0</v>
      </c>
      <c r="BC43" s="258">
        <f t="shared" si="49"/>
        <v>0</v>
      </c>
      <c r="BD43" s="137">
        <f t="shared" si="50"/>
        <v>3.5144750946347614E-5</v>
      </c>
      <c r="BE43" s="137">
        <f t="shared" si="51"/>
        <v>4.3833320035158163E-5</v>
      </c>
      <c r="BF43" s="137">
        <f>_xll.xSPRDOPT($BW43,$BV43,$CG43,0,$BY43,$BX43,$BZ43,$AJ43,1,4)*$CB43</f>
        <v>3.5776337776276805</v>
      </c>
      <c r="BG43" s="137">
        <f>_xll.xSPRDOPT($BW43,$BV43,$CG43,0,$BY43,$BX43,$BZ43,$AJ43,1,3)*$CB43</f>
        <v>3.6404346801958196</v>
      </c>
      <c r="BH43" s="137">
        <f>IF(OR(BF43&lt;&gt;0,BG43&lt;&gt;0),_xll.xSPRDOPT($BW43,$BV43,$CG43,0,$BY43,$BX43,$BZ43,$AJ43,1,12)*$CB43,0)</f>
        <v>-3.6088814285279498</v>
      </c>
      <c r="BI43" s="137">
        <f>_xll.xSPRDOPT($BW43,$BV43,$CG43,2*LN(1+CA43/2),$BY43,$BX43,$BZ43,$AJ43,1,9)</f>
        <v>-8.8665678556302616E-3</v>
      </c>
      <c r="BJ43" s="137">
        <f>_xll.xSPRDOPT($BW43,$BV43,$CG43,0,$BY43,$BX43,$BZ43,$AJ43,1,6)*$CB43</f>
        <v>-0.26272572731480193</v>
      </c>
      <c r="BK43" s="137">
        <f>_xll.xSPRDOPT($BW43,$BV43,$CG43,0,$BY43,$BX43,$BZ43,$AJ43,1,5)*$CB43</f>
        <v>0.35439910951941933</v>
      </c>
      <c r="BL43" s="137">
        <f>_xll.xSPRDOPT(BW43,BV43,CG43,0,BY43,BX43,BZ43,AJ43,1,2)*CB43</f>
        <v>-0.35254828003615923</v>
      </c>
      <c r="BM43" s="137">
        <f>_xll.xSPRDOPT(BW43,BV43,CG43,0,BY43,BX43,BZ43,AJ43,1,1)*CB43</f>
        <v>0.36282057009188184</v>
      </c>
      <c r="BN43" s="137">
        <f>IF(AH43&lt;&gt;0,_xll.xSPRDOPT($BW43,$BV43,$CG43,2*LN(1+CA43/2),$BY43,$BX43,$BZ43,$AJ43,1,8)+(AJ43/365.25)*CH43/AH43,0)</f>
        <v>0.1331833633158136</v>
      </c>
      <c r="BO43" s="137">
        <f>_xll.xSPRDOPT($BW43,$BV43,$CG43,0,$BY43,$BX43,$BZ43,$AJ43,1,0)</f>
        <v>2.6276258167041253E-2</v>
      </c>
      <c r="BP43" s="137"/>
      <c r="BQ43" s="137"/>
      <c r="BR43" s="137"/>
      <c r="BS43" s="137"/>
      <c r="BV43" s="262">
        <v>3.3981132464108428</v>
      </c>
      <c r="BW43" s="136">
        <v>3.387</v>
      </c>
      <c r="BX43" s="137">
        <v>0.38041410598552006</v>
      </c>
      <c r="BY43" s="137">
        <v>0.38239613708688597</v>
      </c>
      <c r="BZ43" s="137">
        <v>0.99845560621217311</v>
      </c>
      <c r="CA43" s="137">
        <v>3.3906701822071103E-2</v>
      </c>
      <c r="CB43" s="137">
        <v>0.94018768577798628</v>
      </c>
      <c r="CC43" s="258">
        <v>-2.5000000000000001E-2</v>
      </c>
      <c r="CD43" s="258">
        <v>5.7500000000000002E-2</v>
      </c>
      <c r="CE43" s="258">
        <v>0.14499999999999999</v>
      </c>
      <c r="CF43" s="258">
        <v>-2.5000000000000001E-2</v>
      </c>
      <c r="CG43" s="258">
        <v>1.9200000000000002E-2</v>
      </c>
      <c r="CH43" s="258">
        <v>3.0165921898186689</v>
      </c>
      <c r="CI43" s="258">
        <v>3.2669999999999999</v>
      </c>
    </row>
    <row r="44" spans="1:87" x14ac:dyDescent="0.25">
      <c r="A44" s="723"/>
      <c r="B44" s="723"/>
      <c r="D44" s="31">
        <f t="shared" si="36"/>
        <v>37940</v>
      </c>
      <c r="F44" s="28">
        <f t="shared" si="37"/>
        <v>15000</v>
      </c>
      <c r="G44" s="28">
        <f t="shared" si="12"/>
        <v>14041.970768029503</v>
      </c>
      <c r="H44" s="52">
        <f t="shared" si="38"/>
        <v>3.5371480360048615</v>
      </c>
      <c r="I44" s="52">
        <f t="shared" si="39"/>
        <v>3.5720000000000001</v>
      </c>
      <c r="K44" s="52">
        <f t="shared" si="28"/>
        <v>0.4395688417639721</v>
      </c>
      <c r="L44" s="135">
        <f t="shared" si="29"/>
        <v>1.2427075884302945</v>
      </c>
      <c r="N44" s="131">
        <f t="shared" si="30"/>
        <v>0.38567537328980672</v>
      </c>
      <c r="O44" s="131">
        <f t="shared" si="31"/>
        <v>0.38804672078337377</v>
      </c>
      <c r="P44" s="55">
        <f t="shared" si="32"/>
        <v>0.99774496431485926</v>
      </c>
      <c r="Q44" s="135">
        <f>_xll.xSPRDOPT(I44,H44,AQ44,0,O44,N44,P44,D44-$G$5,1,0)*AH44*AU44</f>
        <v>1.6822764301942665</v>
      </c>
      <c r="R44" s="135"/>
      <c r="S44" s="181">
        <f>_xll.xSPRDOPT(I44,H44,AQ44,AT44,O44,N44,P44,D44-$G$5,1,2)*AF44*(F44/(1-AR44))*AH44</f>
        <v>-234671.26185546996</v>
      </c>
      <c r="T44" s="181">
        <f>_xll.xSPRDOPT(I44,H44,AQ44,AT44,O44,N44,P44,D44-$G$5,1,1)*AF44*F44*AH44</f>
        <v>233852.13597971428</v>
      </c>
      <c r="U44" s="135"/>
      <c r="V44" s="146">
        <f t="shared" si="40"/>
        <v>2.9066879489821069</v>
      </c>
      <c r="W44" s="146"/>
      <c r="X44" s="338">
        <f t="shared" si="41"/>
        <v>0</v>
      </c>
      <c r="Y44" s="338">
        <f t="shared" si="13"/>
        <v>0</v>
      </c>
      <c r="Z44" s="338">
        <f t="shared" si="14"/>
        <v>-39.134379306476056</v>
      </c>
      <c r="AA44" s="338">
        <f t="shared" si="15"/>
        <v>5.2307418595255717</v>
      </c>
      <c r="AB44" s="338">
        <f t="shared" si="42"/>
        <v>0</v>
      </c>
      <c r="AC44" s="338">
        <f t="shared" si="43"/>
        <v>7.2182821118794624</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5.7500000000000002E-2</v>
      </c>
      <c r="AO44" s="258">
        <f t="shared" si="20"/>
        <v>0.19500000000000001</v>
      </c>
      <c r="AP44" s="258">
        <f t="shared" si="21"/>
        <v>-2.4999999999999998E-2</v>
      </c>
      <c r="AQ44" s="136">
        <f t="shared" si="48"/>
        <v>1.9200000000000002E-2</v>
      </c>
      <c r="AR44" s="137">
        <f t="shared" si="22"/>
        <v>2.9020000000000001E-2</v>
      </c>
      <c r="AS44" s="136">
        <f t="shared" si="33"/>
        <v>3.4345000000000003</v>
      </c>
      <c r="AT44" s="137">
        <f t="shared" si="34"/>
        <v>3.4836153967131397E-2</v>
      </c>
      <c r="AU44" s="137">
        <f t="shared" si="23"/>
        <v>0.9361313845353002</v>
      </c>
      <c r="AV44" s="394">
        <f t="shared" si="35"/>
        <v>12581.605808154434</v>
      </c>
      <c r="AW44" s="137">
        <f t="shared" si="24"/>
        <v>0.37</v>
      </c>
      <c r="AX44" s="137">
        <f t="shared" si="25"/>
        <v>0.83</v>
      </c>
      <c r="AY44" s="137">
        <f t="shared" si="26"/>
        <v>0.88</v>
      </c>
      <c r="AZ44" s="137"/>
      <c r="BA44" s="264"/>
      <c r="BB44" s="258">
        <f t="shared" si="27"/>
        <v>0</v>
      </c>
      <c r="BC44" s="258">
        <f t="shared" si="49"/>
        <v>0</v>
      </c>
      <c r="BD44" s="137">
        <f t="shared" si="50"/>
        <v>6.5633014911969934E-5</v>
      </c>
      <c r="BE44" s="137">
        <f t="shared" si="51"/>
        <v>7.5336694553507222E-5</v>
      </c>
      <c r="BF44" s="137">
        <f>_xll.xSPRDOPT($BW44,$BV44,$CG44,0,$BY44,$BX44,$BZ44,$AJ44,1,4)*$CB44</f>
        <v>2.8718947890017583</v>
      </c>
      <c r="BG44" s="137">
        <f>_xll.xSPRDOPT($BW44,$BV44,$CG44,0,$BY44,$BX44,$BZ44,$AJ44,1,3)*$CB44</f>
        <v>2.8467875698073812</v>
      </c>
      <c r="BH44" s="137">
        <f>IF(OR(BF44&lt;&gt;0,BG44&lt;&gt;0),_xll.xSPRDOPT($BW44,$BV44,$CG44,0,$BY44,$BX44,$BZ44,$AJ44,1,12)*$CB44,0)</f>
        <v>-2.8592985699261715</v>
      </c>
      <c r="BI44" s="137">
        <f>_xll.xSPRDOPT($BW44,$BV44,$CG44,2*LN(1+CA44/2),$BY44,$BX44,$BZ44,$AJ44,1,9)</f>
        <v>-1.0588023734585467E-2</v>
      </c>
      <c r="BJ44" s="137">
        <f>_xll.xSPRDOPT($BW44,$BV44,$CG44,0,$BY44,$BX44,$BZ44,$AJ44,1,6)*$CB44</f>
        <v>-0.24758018692848996</v>
      </c>
      <c r="BK44" s="137">
        <f>_xll.xSPRDOPT($BW44,$BV44,$CG44,0,$BY44,$BX44,$BZ44,$AJ44,1,5)*$CB44</f>
        <v>0.36998311466578654</v>
      </c>
      <c r="BL44" s="137">
        <f>_xll.xSPRDOPT(BW44,BV44,CG44,0,BY44,BX44,BZ44,AJ44,1,2)*CB44</f>
        <v>-0.50650504347020142</v>
      </c>
      <c r="BM44" s="137">
        <f>_xll.xSPRDOPT(BW44,BV44,CG44,0,BY44,BX44,BZ44,AJ44,1,1)*CB44</f>
        <v>0.51982213517513842</v>
      </c>
      <c r="BN44" s="137">
        <f>IF(AH44&lt;&gt;0,_xll.xSPRDOPT($BW44,$BV44,$CG44,2*LN(1+CA44/2),$BY44,$BX44,$BZ44,$AJ44,1,8)+(AJ44/365.25)*CH44/AH44,0)</f>
        <v>7.8307050311291065E-2</v>
      </c>
      <c r="BO44" s="137">
        <f>_xll.xSPRDOPT($BW44,$BV44,$CG44,0,$BY44,$BX44,$BZ44,$AJ44,1,0)</f>
        <v>5.9902713406497776E-2</v>
      </c>
      <c r="BP44" s="137"/>
      <c r="BQ44" s="137"/>
      <c r="BR44" s="137"/>
      <c r="BS44" s="137"/>
      <c r="BV44" s="262">
        <v>3.5371480360048615</v>
      </c>
      <c r="BW44" s="136">
        <v>3.5720000000000001</v>
      </c>
      <c r="BX44" s="137">
        <v>0.38560974027489475</v>
      </c>
      <c r="BY44" s="137">
        <v>0.38797138408882026</v>
      </c>
      <c r="BZ44" s="137">
        <v>0.99775370977142142</v>
      </c>
      <c r="CA44" s="137">
        <v>3.4836153967131397E-2</v>
      </c>
      <c r="CB44" s="137">
        <v>0.93586587426758006</v>
      </c>
      <c r="CC44" s="258">
        <v>-2.5000000000000001E-2</v>
      </c>
      <c r="CD44" s="258">
        <v>5.7500000000000002E-2</v>
      </c>
      <c r="CE44" s="258">
        <v>0.19500000000000001</v>
      </c>
      <c r="CF44" s="258">
        <v>-2.5000000000000001E-2</v>
      </c>
      <c r="CG44" s="258">
        <v>1.9200000000000002E-2</v>
      </c>
      <c r="CH44" s="258">
        <v>2.9058635396008361</v>
      </c>
      <c r="CI44" s="258">
        <v>3.4020000000000001</v>
      </c>
    </row>
    <row r="45" spans="1:87" x14ac:dyDescent="0.25">
      <c r="A45" s="723"/>
      <c r="B45" s="723"/>
      <c r="D45" s="31">
        <f t="shared" si="36"/>
        <v>37970</v>
      </c>
      <c r="F45" s="28">
        <f t="shared" si="37"/>
        <v>15000</v>
      </c>
      <c r="G45" s="28">
        <f t="shared" si="12"/>
        <v>13977.549040429743</v>
      </c>
      <c r="H45" s="52">
        <f t="shared" si="38"/>
        <v>3.6761828255988798</v>
      </c>
      <c r="I45" s="52">
        <f t="shared" si="39"/>
        <v>3.7269999999999999</v>
      </c>
      <c r="K45" s="52">
        <f t="shared" si="28"/>
        <v>0.91332325180371732</v>
      </c>
      <c r="L45" s="135">
        <f t="shared" si="29"/>
        <v>1.4965809132173364</v>
      </c>
      <c r="N45" s="131">
        <f t="shared" si="30"/>
        <v>0.39564204160538236</v>
      </c>
      <c r="O45" s="131">
        <f t="shared" si="31"/>
        <v>0.39846484026061885</v>
      </c>
      <c r="P45" s="55">
        <f t="shared" si="32"/>
        <v>0.99685829522186231</v>
      </c>
      <c r="Q45" s="135">
        <f>_xll.xSPRDOPT(I45,H45,AQ45,0,O45,N45,P45,D45-$G$5,1,0)*AH45*AU45</f>
        <v>2.4099041650210538</v>
      </c>
      <c r="R45" s="135"/>
      <c r="S45" s="181">
        <f>_xll.xSPRDOPT(I45,H45,AQ45,AT45,O45,N45,P45,D45-$G$5,1,2)*AF45*(F45/(1-AR45))*AH45</f>
        <v>-252755.6986079831</v>
      </c>
      <c r="T45" s="181">
        <f>_xll.xSPRDOPT(I45,H45,AQ45,AT45,O45,N45,P45,D45-$G$5,1,1)*AF45*F45*AH45</f>
        <v>252970.11040482455</v>
      </c>
      <c r="U45" s="135"/>
      <c r="V45" s="146">
        <f t="shared" si="40"/>
        <v>2.9897977397479218</v>
      </c>
      <c r="W45" s="146"/>
      <c r="X45" s="338">
        <f t="shared" si="41"/>
        <v>0</v>
      </c>
      <c r="Y45" s="338">
        <f t="shared" si="13"/>
        <v>0</v>
      </c>
      <c r="Z45" s="338">
        <f t="shared" si="14"/>
        <v>-47.507104722299701</v>
      </c>
      <c r="AA45" s="338">
        <f t="shared" si="15"/>
        <v>8.9954031895437705</v>
      </c>
      <c r="AB45" s="338">
        <f t="shared" si="42"/>
        <v>0</v>
      </c>
      <c r="AC45" s="338">
        <f t="shared" si="43"/>
        <v>10.607230719389996</v>
      </c>
      <c r="AF45" s="138">
        <f t="shared" si="44"/>
        <v>1</v>
      </c>
      <c r="AG45" s="138">
        <f t="shared" si="45"/>
        <v>12</v>
      </c>
      <c r="AH45" s="138">
        <f t="shared" si="16"/>
        <v>31</v>
      </c>
      <c r="AI45" s="138">
        <f t="shared" si="46"/>
        <v>714</v>
      </c>
      <c r="AJ45" s="138">
        <f t="shared" si="47"/>
        <v>731</v>
      </c>
      <c r="AL45" s="136">
        <f t="shared" si="17"/>
        <v>3.5369999999999999</v>
      </c>
      <c r="AM45" s="258">
        <f t="shared" si="18"/>
        <v>-2.5000000000000001E-2</v>
      </c>
      <c r="AN45" s="258">
        <f t="shared" si="19"/>
        <v>5.7500000000000002E-2</v>
      </c>
      <c r="AO45" s="258">
        <f t="shared" si="20"/>
        <v>0.215</v>
      </c>
      <c r="AP45" s="258">
        <f t="shared" si="21"/>
        <v>-2.4999999999999998E-2</v>
      </c>
      <c r="AQ45" s="136">
        <f t="shared" si="48"/>
        <v>1.9200000000000002E-2</v>
      </c>
      <c r="AR45" s="137">
        <f t="shared" si="22"/>
        <v>2.9020000000000001E-2</v>
      </c>
      <c r="AS45" s="136">
        <f t="shared" si="33"/>
        <v>3.5695000000000001</v>
      </c>
      <c r="AT45" s="137">
        <f t="shared" si="34"/>
        <v>3.5735624061610197E-2</v>
      </c>
      <c r="AU45" s="137">
        <f t="shared" si="23"/>
        <v>0.93183660269531621</v>
      </c>
      <c r="AV45" s="394">
        <f t="shared" si="35"/>
        <v>12941.346738232551</v>
      </c>
      <c r="AW45" s="137">
        <f t="shared" si="24"/>
        <v>0.37</v>
      </c>
      <c r="AX45" s="137">
        <f t="shared" si="25"/>
        <v>1.03</v>
      </c>
      <c r="AY45" s="137">
        <f t="shared" si="26"/>
        <v>1.08</v>
      </c>
      <c r="AZ45" s="137"/>
      <c r="BA45" s="264"/>
      <c r="BB45" s="258">
        <f t="shared" si="27"/>
        <v>0</v>
      </c>
      <c r="BC45" s="258">
        <f t="shared" si="49"/>
        <v>0</v>
      </c>
      <c r="BD45" s="137">
        <f t="shared" si="50"/>
        <v>1.0162846149874838E-4</v>
      </c>
      <c r="BE45" s="137">
        <f t="shared" si="51"/>
        <v>1.1243140857580824E-4</v>
      </c>
      <c r="BF45" s="137">
        <f>_xll.xSPRDOPT($BW45,$BV45,$CG45,0,$BY45,$BX45,$BZ45,$AJ45,1,4)*$CB45</f>
        <v>2.209950219490127</v>
      </c>
      <c r="BG45" s="137">
        <f>_xll.xSPRDOPT($BW45,$BV45,$CG45,0,$BY45,$BX45,$BZ45,$AJ45,1,3)*$CB45</f>
        <v>2.172732037363915</v>
      </c>
      <c r="BH45" s="137">
        <f>IF(OR(BF45&lt;&gt;0,BG45&lt;&gt;0),_xll.xSPRDOPT($BW45,$BV45,$CG45,0,$BY45,$BX45,$BZ45,$AJ45,1,12)*$CB45,0)</f>
        <v>-2.191249841866342</v>
      </c>
      <c r="BI45" s="137">
        <f>_xll.xSPRDOPT($BW45,$BV45,$CG45,2*LN(1+CA45/2),$BY45,$BX45,$BZ45,$AJ45,1,9)</f>
        <v>-1.2438688171913953E-2</v>
      </c>
      <c r="BJ45" s="137">
        <f>_xll.xSPRDOPT($BW45,$BV45,$CG45,0,$BY45,$BX45,$BZ45,$AJ45,1,6)*$CB45</f>
        <v>-0.21806064329673208</v>
      </c>
      <c r="BK45" s="137">
        <f>_xll.xSPRDOPT($BW45,$BV45,$CG45,0,$BY45,$BX45,$BZ45,$AJ45,1,5)*$CB45</f>
        <v>0.36916837842053085</v>
      </c>
      <c r="BL45" s="137">
        <f>_xll.xSPRDOPT(BW45,BV45,CG45,0,BY45,BX45,BZ45,AJ45,1,2)*CB45</f>
        <v>-0.52796467132844582</v>
      </c>
      <c r="BM45" s="137">
        <f>_xll.xSPRDOPT(BW45,BV45,CG45,0,BY45,BX45,BZ45,AJ45,1,1)*CB45</f>
        <v>0.54420529518840899</v>
      </c>
      <c r="BN45" s="137">
        <f>IF(AH45&lt;&gt;0,_xll.xSPRDOPT($BW45,$BV45,$CG45,2*LN(1+CA45/2),$BY45,$BX45,$BZ45,$AJ45,1,8)+(AJ45/365.25)*CH45/AH45,0)</f>
        <v>3.742544028927447E-2</v>
      </c>
      <c r="BO45" s="137">
        <f>_xll.xSPRDOPT($BW45,$BV45,$CG45,0,$BY45,$BX45,$BZ45,$AJ45,1,0)</f>
        <v>8.3426350008014877E-2</v>
      </c>
      <c r="BP45" s="137"/>
      <c r="BQ45" s="137"/>
      <c r="BR45" s="137"/>
      <c r="BS45" s="137"/>
      <c r="BV45" s="262">
        <v>3.6761828255988798</v>
      </c>
      <c r="BW45" s="136">
        <v>3.7269999999999999</v>
      </c>
      <c r="BX45" s="137">
        <v>0.39554041314388361</v>
      </c>
      <c r="BY45" s="137">
        <v>0.39835240885204304</v>
      </c>
      <c r="BZ45" s="137">
        <v>0.99686938544033588</v>
      </c>
      <c r="CA45" s="137">
        <v>3.5735624061610197E-2</v>
      </c>
      <c r="CB45" s="137">
        <v>0.93156554756707821</v>
      </c>
      <c r="CC45" s="258">
        <v>-2.5000000000000001E-2</v>
      </c>
      <c r="CD45" s="258">
        <v>5.7500000000000002E-2</v>
      </c>
      <c r="CE45" s="258">
        <v>0.215</v>
      </c>
      <c r="CF45" s="258">
        <v>-2.5000000000000001E-2</v>
      </c>
      <c r="CG45" s="258">
        <v>1.9200000000000002E-2</v>
      </c>
      <c r="CH45" s="258">
        <v>2.9889280593689702</v>
      </c>
      <c r="CI45" s="258">
        <v>3.5369999999999999</v>
      </c>
    </row>
    <row r="46" spans="1:87" x14ac:dyDescent="0.25">
      <c r="A46" s="723"/>
      <c r="B46" s="723"/>
      <c r="D46" s="31">
        <f t="shared" si="36"/>
        <v>38001</v>
      </c>
      <c r="F46" s="28">
        <f t="shared" si="37"/>
        <v>15000</v>
      </c>
      <c r="G46" s="28">
        <f t="shared" si="12"/>
        <v>13910.193127020229</v>
      </c>
      <c r="H46" s="52">
        <f t="shared" si="38"/>
        <v>3.7379760654184437</v>
      </c>
      <c r="I46" s="52">
        <f t="shared" si="39"/>
        <v>3.8069999999999999</v>
      </c>
      <c r="K46" s="52">
        <f t="shared" si="28"/>
        <v>1.4323251415801017</v>
      </c>
      <c r="L46" s="135">
        <f t="shared" si="29"/>
        <v>1.2635645436014811</v>
      </c>
      <c r="N46" s="131">
        <f t="shared" si="30"/>
        <v>0.39305358955281788</v>
      </c>
      <c r="O46" s="131">
        <f t="shared" si="31"/>
        <v>0.39570217384783563</v>
      </c>
      <c r="P46" s="55">
        <f t="shared" si="32"/>
        <v>0.99710685525899245</v>
      </c>
      <c r="Q46" s="135">
        <f>_xll.xSPRDOPT(I46,H46,AQ46,0,O46,N46,P46,D46-$G$5,1,0)*AH46*AU46</f>
        <v>2.6958896851815828</v>
      </c>
      <c r="R46" s="135"/>
      <c r="S46" s="181">
        <f>_xll.xSPRDOPT(I46,H46,AQ46,AT46,O46,N46,P46,D46-$G$5,1,2)*AF46*(F46/(1-AR46))*AH46</f>
        <v>-270919.06476982066</v>
      </c>
      <c r="T46" s="181">
        <f>_xll.xSPRDOPT(I46,H46,AQ46,AT46,O46,N46,P46,D46-$G$5,1,1)*AF46*F46*AH46</f>
        <v>270167.90121129761</v>
      </c>
      <c r="U46" s="135"/>
      <c r="V46" s="146">
        <f t="shared" si="40"/>
        <v>2.9753903098696268</v>
      </c>
      <c r="W46" s="146"/>
      <c r="X46" s="338">
        <f t="shared" si="41"/>
        <v>0</v>
      </c>
      <c r="Y46" s="338">
        <f t="shared" si="13"/>
        <v>0</v>
      </c>
      <c r="Z46" s="338">
        <f t="shared" si="14"/>
        <v>-41.410385089886887</v>
      </c>
      <c r="AA46" s="338">
        <f t="shared" si="15"/>
        <v>7.6611660950681228</v>
      </c>
      <c r="AB46" s="338">
        <f t="shared" si="42"/>
        <v>0</v>
      </c>
      <c r="AC46" s="338">
        <f t="shared" si="43"/>
        <v>12.162672328732526</v>
      </c>
      <c r="AF46" s="138">
        <f t="shared" si="44"/>
        <v>1</v>
      </c>
      <c r="AG46" s="138">
        <f t="shared" si="45"/>
        <v>1</v>
      </c>
      <c r="AH46" s="138">
        <f t="shared" si="16"/>
        <v>31</v>
      </c>
      <c r="AI46" s="138">
        <f t="shared" si="46"/>
        <v>745</v>
      </c>
      <c r="AJ46" s="138">
        <f t="shared" si="47"/>
        <v>762</v>
      </c>
      <c r="AL46" s="136">
        <f t="shared" si="17"/>
        <v>3.597</v>
      </c>
      <c r="AM46" s="258">
        <f t="shared" si="18"/>
        <v>-2.5000000000000001E-2</v>
      </c>
      <c r="AN46" s="258">
        <f t="shared" si="19"/>
        <v>5.7500000000000002E-2</v>
      </c>
      <c r="AO46" s="258">
        <f t="shared" si="20"/>
        <v>0.23499999999999999</v>
      </c>
      <c r="AP46" s="258">
        <f t="shared" si="21"/>
        <v>-2.4999999999999998E-2</v>
      </c>
      <c r="AQ46" s="136">
        <f t="shared" si="48"/>
        <v>1.9200000000000002E-2</v>
      </c>
      <c r="AR46" s="137">
        <f t="shared" si="22"/>
        <v>2.9020000000000001E-2</v>
      </c>
      <c r="AS46" s="136">
        <f t="shared" si="33"/>
        <v>3.6295000000000002</v>
      </c>
      <c r="AT46" s="137">
        <f t="shared" si="34"/>
        <v>3.6629399588957501E-2</v>
      </c>
      <c r="AU46" s="137">
        <f t="shared" si="23"/>
        <v>0.9273462084680153</v>
      </c>
      <c r="AV46" s="394">
        <f t="shared" si="35"/>
        <v>12878.984143203796</v>
      </c>
      <c r="AW46" s="137">
        <f t="shared" si="24"/>
        <v>0.37</v>
      </c>
      <c r="AX46" s="137">
        <f t="shared" si="25"/>
        <v>1</v>
      </c>
      <c r="AY46" s="137">
        <f t="shared" si="26"/>
        <v>1.05</v>
      </c>
      <c r="AZ46" s="137"/>
      <c r="BA46" s="264"/>
      <c r="BB46" s="258">
        <f t="shared" si="27"/>
        <v>0</v>
      </c>
      <c r="BC46" s="258">
        <f t="shared" si="49"/>
        <v>0</v>
      </c>
      <c r="BD46" s="137">
        <f t="shared" si="50"/>
        <v>8.793719974886649E-5</v>
      </c>
      <c r="BE46" s="137">
        <f t="shared" si="51"/>
        <v>9.772308049577072E-5</v>
      </c>
      <c r="BF46" s="137">
        <f>_xll.xSPRDOPT($BW46,$BV46,$CG46,0,$BY46,$BX46,$BZ46,$AJ46,1,4)*$CB46</f>
        <v>2.1667689957040017</v>
      </c>
      <c r="BG46" s="137">
        <f>_xll.xSPRDOPT($BW46,$BV46,$CG46,0,$BY46,$BX46,$BZ46,$AJ46,1,3)*$CB46</f>
        <v>2.1107142417231457</v>
      </c>
      <c r="BH46" s="137">
        <f>IF(OR(BF46&lt;&gt;0,BG46&lt;&gt;0),_xll.xSPRDOPT($BW46,$BV46,$CG46,0,$BY46,$BX46,$BZ46,$AJ46,1,12)*$CB46,0)</f>
        <v>-2.1385477142887046</v>
      </c>
      <c r="BI46" s="137">
        <f>_xll.xSPRDOPT($BW46,$BV46,$CG46,2*LN(1+CA46/2),$BY46,$BX46,$BZ46,$AJ46,1,9)</f>
        <v>-1.0842396526223073E-2</v>
      </c>
      <c r="BJ46" s="137">
        <f>_xll.xSPRDOPT($BW46,$BV46,$CG46,0,$BY46,$BX46,$BZ46,$AJ46,1,6)*$CB46</f>
        <v>-0.22419746811258767</v>
      </c>
      <c r="BK46" s="137">
        <f>_xll.xSPRDOPT($BW46,$BV46,$CG46,0,$BY46,$BX46,$BZ46,$AJ46,1,5)*$CB46</f>
        <v>0.37034161596115689</v>
      </c>
      <c r="BL46" s="137">
        <f>_xll.xSPRDOPT(BW46,BV46,CG46,0,BY46,BX46,BZ46,AJ46,1,2)*CB46</f>
        <v>-0.56593417075355923</v>
      </c>
      <c r="BM46" s="137">
        <f>_xll.xSPRDOPT(BW46,BV46,CG46,0,BY46,BX46,BZ46,AJ46,1,1)*CB46</f>
        <v>0.58123232383400236</v>
      </c>
      <c r="BN46" s="137">
        <f>IF(AH46&lt;&gt;0,_xll.xSPRDOPT($BW46,$BV46,$CG46,2*LN(1+CA46/2),$BY46,$BX46,$BZ46,$AJ46,1,8)+(AJ46/365.25)*CH46/AH46,0)</f>
        <v>1.8802477647755111E-2</v>
      </c>
      <c r="BO46" s="137">
        <f>_xll.xSPRDOPT($BW46,$BV46,$CG46,0,$BY46,$BX46,$BZ46,$AJ46,1,0)</f>
        <v>9.3778396318132798E-2</v>
      </c>
      <c r="BP46" s="137"/>
      <c r="BQ46" s="137"/>
      <c r="BR46" s="137"/>
      <c r="BS46" s="137"/>
      <c r="BV46" s="262">
        <v>3.7379760654184437</v>
      </c>
      <c r="BW46" s="136">
        <v>3.8069999999999999</v>
      </c>
      <c r="BX46" s="137">
        <v>0.39296565235306902</v>
      </c>
      <c r="BY46" s="137">
        <v>0.39560445076733985</v>
      </c>
      <c r="BZ46" s="137">
        <v>0.99711678855059926</v>
      </c>
      <c r="CA46" s="137">
        <v>3.6629399588957501E-2</v>
      </c>
      <c r="CB46" s="137">
        <v>0.92706977474295649</v>
      </c>
      <c r="CC46" s="258">
        <v>-2.5000000000000001E-2</v>
      </c>
      <c r="CD46" s="258">
        <v>5.7500000000000002E-2</v>
      </c>
      <c r="CE46" s="258">
        <v>0.23499999999999999</v>
      </c>
      <c r="CF46" s="258">
        <v>-2.5000000000000001E-2</v>
      </c>
      <c r="CG46" s="258">
        <v>1.9200000000000002E-2</v>
      </c>
      <c r="CH46" s="258">
        <v>2.9745033722627756</v>
      </c>
      <c r="CI46" s="258">
        <v>3.597</v>
      </c>
    </row>
    <row r="47" spans="1:87" x14ac:dyDescent="0.25">
      <c r="A47" s="723"/>
      <c r="B47" s="723"/>
      <c r="D47" s="31">
        <f t="shared" si="36"/>
        <v>38032</v>
      </c>
      <c r="F47" s="28">
        <f t="shared" si="37"/>
        <v>15000</v>
      </c>
      <c r="G47" s="28">
        <f t="shared" si="12"/>
        <v>13842.228914255842</v>
      </c>
      <c r="H47" s="52">
        <f t="shared" si="38"/>
        <v>3.6504356423407285</v>
      </c>
      <c r="I47" s="52">
        <f t="shared" si="39"/>
        <v>3.722</v>
      </c>
      <c r="K47" s="52">
        <f t="shared" si="28"/>
        <v>1.4013562229573642</v>
      </c>
      <c r="L47" s="135">
        <f t="shared" si="29"/>
        <v>1.0606703028946101</v>
      </c>
      <c r="N47" s="131">
        <f t="shared" si="30"/>
        <v>0.39080901832551673</v>
      </c>
      <c r="O47" s="131">
        <f t="shared" si="31"/>
        <v>0.3932071056796777</v>
      </c>
      <c r="P47" s="55">
        <f t="shared" si="32"/>
        <v>0.99736282096982642</v>
      </c>
      <c r="Q47" s="135">
        <f>_xll.xSPRDOPT(I47,H47,AQ47,0,O47,N47,P47,D47-$G$5,1,0)*AH47*AU47</f>
        <v>2.4620265258519742</v>
      </c>
      <c r="R47" s="135"/>
      <c r="S47" s="181">
        <f>_xll.xSPRDOPT(I47,H47,AQ47,AT47,O47,N47,P47,D47-$G$5,1,2)*AF47*(F47/(1-AR47))*AH47</f>
        <v>-257572.26016973943</v>
      </c>
      <c r="T47" s="181">
        <f>_xll.xSPRDOPT(I47,H47,AQ47,AT47,O47,N47,P47,D47-$G$5,1,1)*AF47*F47*AH47</f>
        <v>256433.29464308679</v>
      </c>
      <c r="U47" s="135"/>
      <c r="V47" s="146">
        <f t="shared" si="40"/>
        <v>2.7698300057425942</v>
      </c>
      <c r="W47" s="146"/>
      <c r="X47" s="338">
        <f t="shared" si="41"/>
        <v>0</v>
      </c>
      <c r="Y47" s="338">
        <f t="shared" si="13"/>
        <v>0</v>
      </c>
      <c r="Z47" s="338">
        <f t="shared" si="14"/>
        <v>-33.520606097864288</v>
      </c>
      <c r="AA47" s="338">
        <f t="shared" si="15"/>
        <v>5.9178046012830112</v>
      </c>
      <c r="AB47" s="338">
        <f t="shared" si="42"/>
        <v>0</v>
      </c>
      <c r="AC47" s="338">
        <f t="shared" si="43"/>
        <v>11.366982361392932</v>
      </c>
      <c r="AF47" s="138">
        <f t="shared" si="44"/>
        <v>1</v>
      </c>
      <c r="AG47" s="138">
        <f t="shared" si="45"/>
        <v>2</v>
      </c>
      <c r="AH47" s="138">
        <f t="shared" si="16"/>
        <v>29</v>
      </c>
      <c r="AI47" s="138">
        <f t="shared" si="46"/>
        <v>776</v>
      </c>
      <c r="AJ47" s="138">
        <f t="shared" si="47"/>
        <v>793</v>
      </c>
      <c r="AL47" s="136">
        <f t="shared" si="17"/>
        <v>3.512</v>
      </c>
      <c r="AM47" s="258">
        <f t="shared" si="18"/>
        <v>-2.5000000000000001E-2</v>
      </c>
      <c r="AN47" s="258">
        <f t="shared" si="19"/>
        <v>5.7500000000000002E-2</v>
      </c>
      <c r="AO47" s="258">
        <f t="shared" si="20"/>
        <v>0.23499999999999999</v>
      </c>
      <c r="AP47" s="258">
        <f t="shared" si="21"/>
        <v>-2.4999999999999998E-2</v>
      </c>
      <c r="AQ47" s="136">
        <f t="shared" si="48"/>
        <v>1.9200000000000002E-2</v>
      </c>
      <c r="AR47" s="137">
        <f t="shared" si="22"/>
        <v>2.9020000000000001E-2</v>
      </c>
      <c r="AS47" s="136">
        <f t="shared" si="33"/>
        <v>3.5445000000000002</v>
      </c>
      <c r="AT47" s="137">
        <f t="shared" si="34"/>
        <v>3.74851197051385E-2</v>
      </c>
      <c r="AU47" s="137">
        <f t="shared" si="23"/>
        <v>0.92281526095038946</v>
      </c>
      <c r="AV47" s="394">
        <f t="shared" si="35"/>
        <v>11989.215870267461</v>
      </c>
      <c r="AW47" s="137">
        <f t="shared" si="24"/>
        <v>0.37</v>
      </c>
      <c r="AX47" s="137">
        <f t="shared" si="25"/>
        <v>1</v>
      </c>
      <c r="AY47" s="137">
        <f t="shared" si="26"/>
        <v>1.05</v>
      </c>
      <c r="AZ47" s="137"/>
      <c r="BA47" s="264"/>
      <c r="BB47" s="258">
        <f t="shared" si="27"/>
        <v>0</v>
      </c>
      <c r="BC47" s="258">
        <f t="shared" si="49"/>
        <v>0</v>
      </c>
      <c r="BD47" s="137">
        <f t="shared" si="50"/>
        <v>7.6586028947334128E-5</v>
      </c>
      <c r="BE47" s="137">
        <f t="shared" si="51"/>
        <v>8.5159555755998095E-5</v>
      </c>
      <c r="BF47" s="137">
        <f>_xll.xSPRDOPT($BW47,$BV47,$CG47,0,$BY47,$BX47,$BZ47,$AJ47,1,4)*$CB47</f>
        <v>2.256659558874452</v>
      </c>
      <c r="BG47" s="137">
        <f>_xll.xSPRDOPT($BW47,$BV47,$CG47,0,$BY47,$BX47,$BZ47,$AJ47,1,3)*$CB47</f>
        <v>2.1939794741316936</v>
      </c>
      <c r="BH47" s="137">
        <f>IF(OR(BF47&lt;&gt;0,BG47&lt;&gt;0),_xll.xSPRDOPT($BW47,$BV47,$CG47,0,$BY47,$BX47,$BZ47,$AJ47,1,12)*$CB47,0)</f>
        <v>-2.2250878148492195</v>
      </c>
      <c r="BI47" s="137">
        <f>_xll.xSPRDOPT($BW47,$BV47,$CG47,2*LN(1+CA47/2),$BY47,$BX47,$BZ47,$AJ47,1,9)</f>
        <v>-9.3819167641723614E-3</v>
      </c>
      <c r="BJ47" s="137">
        <f>_xll.xSPRDOPT($BW47,$BV47,$CG47,0,$BY47,$BX47,$BZ47,$AJ47,1,6)*$CB47</f>
        <v>-0.22522226632408585</v>
      </c>
      <c r="BK47" s="137">
        <f>_xll.xSPRDOPT($BW47,$BV47,$CG47,0,$BY47,$BX47,$BZ47,$AJ47,1,5)*$CB47</f>
        <v>0.36229671753312459</v>
      </c>
      <c r="BL47" s="137">
        <f>_xll.xSPRDOPT(BW47,BV47,CG47,0,BY47,BX47,BZ47,AJ47,1,2)*CB47</f>
        <v>-0.57519233952384308</v>
      </c>
      <c r="BM47" s="137">
        <f>_xll.xSPRDOPT(BW47,BV47,CG47,0,BY47,BX47,BZ47,AJ47,1,1)*CB47</f>
        <v>0.58976369227947389</v>
      </c>
      <c r="BN47" s="137">
        <f>IF(AH47&lt;&gt;0,_xll.xSPRDOPT($BW47,$BV47,$CG47,2*LN(1+CA47/2),$BY47,$BX47,$BZ47,$AJ47,1,8)+(AJ47/365.25)*CH47/AH47,0)</f>
        <v>2.3035416906871414E-2</v>
      </c>
      <c r="BO47" s="137">
        <f>_xll.xSPRDOPT($BW47,$BV47,$CG47,0,$BY47,$BX47,$BZ47,$AJ47,1,0)</f>
        <v>9.1999126632495806E-2</v>
      </c>
      <c r="BP47" s="137"/>
      <c r="BQ47" s="137"/>
      <c r="BR47" s="137"/>
      <c r="BS47" s="137"/>
      <c r="BV47" s="262">
        <v>3.6504356423407285</v>
      </c>
      <c r="BW47" s="136">
        <v>3.722</v>
      </c>
      <c r="BX47" s="137">
        <v>0.3907324322965694</v>
      </c>
      <c r="BY47" s="137">
        <v>0.39312194612392171</v>
      </c>
      <c r="BZ47" s="137">
        <v>0.99737164438651982</v>
      </c>
      <c r="CA47" s="137">
        <v>3.74851197051385E-2</v>
      </c>
      <c r="CB47" s="137">
        <v>0.92253381176270466</v>
      </c>
      <c r="CC47" s="258">
        <v>-2.5000000000000001E-2</v>
      </c>
      <c r="CD47" s="258">
        <v>5.7500000000000002E-2</v>
      </c>
      <c r="CE47" s="258">
        <v>0.23499999999999999</v>
      </c>
      <c r="CF47" s="258">
        <v>-2.5000000000000001E-2</v>
      </c>
      <c r="CG47" s="258">
        <v>1.9200000000000002E-2</v>
      </c>
      <c r="CH47" s="258">
        <v>2.7689852360057583</v>
      </c>
      <c r="CI47" s="258">
        <v>3.512</v>
      </c>
    </row>
    <row r="48" spans="1:87" x14ac:dyDescent="0.25">
      <c r="A48" s="723"/>
      <c r="B48" s="723"/>
      <c r="D48" s="31">
        <f t="shared" si="36"/>
        <v>38061</v>
      </c>
      <c r="F48" s="28">
        <f t="shared" si="37"/>
        <v>15000</v>
      </c>
      <c r="G48" s="28">
        <f t="shared" si="12"/>
        <v>13777.181135669496</v>
      </c>
      <c r="H48" s="52">
        <f t="shared" si="38"/>
        <v>3.5165502893983405</v>
      </c>
      <c r="I48" s="52">
        <f t="shared" si="39"/>
        <v>3.552</v>
      </c>
      <c r="K48" s="52">
        <f t="shared" si="28"/>
        <v>0.46267542647996412</v>
      </c>
      <c r="L48" s="135">
        <f t="shared" si="29"/>
        <v>1.0283760030471183</v>
      </c>
      <c r="N48" s="131">
        <f t="shared" si="30"/>
        <v>0.36642927609768672</v>
      </c>
      <c r="O48" s="131">
        <f t="shared" si="31"/>
        <v>0.36642927609768672</v>
      </c>
      <c r="P48" s="55">
        <f t="shared" si="32"/>
        <v>0.99841720268088407</v>
      </c>
      <c r="Q48" s="135">
        <f>_xll.xSPRDOPT(I48,H48,AQ48,0,O48,N48,P48,D48-$G$5,1,0)*AH48*AU48</f>
        <v>1.4910514295270825</v>
      </c>
      <c r="R48" s="135"/>
      <c r="S48" s="181">
        <f>_xll.xSPRDOPT(I48,H48,AQ48,AT48,O48,N48,P48,D48-$G$5,1,2)*AF48*(F48/(1-AR48))*AH48</f>
        <v>-243021.76133386462</v>
      </c>
      <c r="T48" s="181">
        <f>_xll.xSPRDOPT(I48,H48,AQ48,AT48,O48,N48,P48,D48-$G$5,1,1)*AF48*F48*AH48</f>
        <v>241139.27360177669</v>
      </c>
      <c r="U48" s="135"/>
      <c r="V48" s="146">
        <f t="shared" si="40"/>
        <v>2.9469390449197053</v>
      </c>
      <c r="W48" s="146"/>
      <c r="X48" s="338">
        <f t="shared" si="41"/>
        <v>0</v>
      </c>
      <c r="Y48" s="338">
        <f t="shared" si="13"/>
        <v>0</v>
      </c>
      <c r="Z48" s="338">
        <f t="shared" si="14"/>
        <v>-26.813515111582394</v>
      </c>
      <c r="AA48" s="338">
        <f t="shared" si="15"/>
        <v>2.0708519363219122</v>
      </c>
      <c r="AB48" s="338">
        <f t="shared" si="42"/>
        <v>0</v>
      </c>
      <c r="AC48" s="338">
        <f t="shared" si="43"/>
        <v>7.0311171460755402</v>
      </c>
      <c r="AF48" s="138">
        <f t="shared" si="44"/>
        <v>1</v>
      </c>
      <c r="AG48" s="138">
        <f t="shared" si="45"/>
        <v>3</v>
      </c>
      <c r="AH48" s="138">
        <f t="shared" si="16"/>
        <v>31</v>
      </c>
      <c r="AI48" s="138">
        <f t="shared" si="46"/>
        <v>805</v>
      </c>
      <c r="AJ48" s="138">
        <f t="shared" si="47"/>
        <v>822</v>
      </c>
      <c r="AL48" s="136">
        <f t="shared" si="17"/>
        <v>3.3820000000000001</v>
      </c>
      <c r="AM48" s="258">
        <f t="shared" si="18"/>
        <v>-2.5000000000000001E-2</v>
      </c>
      <c r="AN48" s="258">
        <f t="shared" si="19"/>
        <v>5.7500000000000002E-2</v>
      </c>
      <c r="AO48" s="258">
        <f t="shared" si="20"/>
        <v>0.19500000000000001</v>
      </c>
      <c r="AP48" s="258">
        <f t="shared" si="21"/>
        <v>-2.4999999999999998E-2</v>
      </c>
      <c r="AQ48" s="136">
        <f t="shared" si="48"/>
        <v>1.9200000000000002E-2</v>
      </c>
      <c r="AR48" s="137">
        <f t="shared" si="22"/>
        <v>2.9020000000000001E-2</v>
      </c>
      <c r="AS48" s="136">
        <f t="shared" si="33"/>
        <v>3.4145000000000003</v>
      </c>
      <c r="AT48" s="137">
        <f t="shared" si="34"/>
        <v>3.8285632294587903E-2</v>
      </c>
      <c r="AU48" s="137">
        <f t="shared" si="23"/>
        <v>0.91847874237796645</v>
      </c>
      <c r="AV48" s="394">
        <f t="shared" si="35"/>
        <v>12755.832774145198</v>
      </c>
      <c r="AW48" s="137">
        <f t="shared" si="24"/>
        <v>0.35499999999999998</v>
      </c>
      <c r="AX48" s="137">
        <f t="shared" si="25"/>
        <v>0.75</v>
      </c>
      <c r="AY48" s="137">
        <f t="shared" si="26"/>
        <v>0.75</v>
      </c>
      <c r="AZ48" s="137"/>
      <c r="BA48" s="264"/>
      <c r="BB48" s="258">
        <f t="shared" si="27"/>
        <v>0</v>
      </c>
      <c r="BC48" s="258">
        <f t="shared" si="49"/>
        <v>0</v>
      </c>
      <c r="BD48" s="137">
        <f t="shared" si="50"/>
        <v>4.0989655535617064E-5</v>
      </c>
      <c r="BE48" s="137">
        <f t="shared" si="51"/>
        <v>4.0989655535617064E-5</v>
      </c>
      <c r="BF48" s="137">
        <f>_xll.xSPRDOPT($BW48,$BV48,$CG48,0,$BY48,$BX48,$BZ48,$AJ48,1,4)*$CB48</f>
        <v>3.3172337140225454</v>
      </c>
      <c r="BG48" s="137">
        <f>_xll.xSPRDOPT($BW48,$BV48,$CG48,0,$BY48,$BX48,$BZ48,$AJ48,1,3)*$CB48</f>
        <v>3.2869799668127837</v>
      </c>
      <c r="BH48" s="137">
        <f>IF(OR(BF48&lt;&gt;0,BG48&lt;&gt;0),_xll.xSPRDOPT($BW48,$BV48,$CG48,0,$BY48,$BX48,$BZ48,$AJ48,1,12)*$CB48,0)</f>
        <v>-3.3020504631016045</v>
      </c>
      <c r="BI48" s="137">
        <f>_xll.xSPRDOPT($BW48,$BV48,$CG48,2*LN(1+CA48/2),$BY48,$BX48,$BZ48,$AJ48,1,9)</f>
        <v>-7.0205278813659268E-3</v>
      </c>
      <c r="BJ48" s="137">
        <f>_xll.xSPRDOPT($BW48,$BV48,$CG48,0,$BY48,$BX48,$BZ48,$AJ48,1,6)*$CB48</f>
        <v>-0.13102861614426878</v>
      </c>
      <c r="BK48" s="137">
        <f>_xll.xSPRDOPT($BW48,$BV48,$CG48,0,$BY48,$BX48,$BZ48,$AJ48,1,5)*$CB48</f>
        <v>0.23967663882595427</v>
      </c>
      <c r="BL48" s="137">
        <f>_xll.xSPRDOPT(BW48,BV48,CG48,0,BY48,BX48,BZ48,AJ48,1,2)*CB48</f>
        <v>-0.50771436787869284</v>
      </c>
      <c r="BM48" s="137">
        <f>_xll.xSPRDOPT(BW48,BV48,CG48,0,BY48,BX48,BZ48,AJ48,1,1)*CB48</f>
        <v>0.5188380196948349</v>
      </c>
      <c r="BN48" s="137">
        <f>IF(AH48&lt;&gt;0,_xll.xSPRDOPT($BW48,$BV48,$CG48,2*LN(1+CA48/2),$BY48,$BX48,$BZ48,$AJ48,1,8)+(AJ48/365.25)*CH48/AH48,0)</f>
        <v>0.10565824264165391</v>
      </c>
      <c r="BO48" s="137">
        <f>_xll.xSPRDOPT($BW48,$BV48,$CG48,0,$BY48,$BX48,$BZ48,$AJ48,1,0)</f>
        <v>5.2368567654875631E-2</v>
      </c>
      <c r="BP48" s="137"/>
      <c r="BQ48" s="137"/>
      <c r="BR48" s="137"/>
      <c r="BS48" s="137"/>
      <c r="BV48" s="262">
        <v>3.5165502893983405</v>
      </c>
      <c r="BW48" s="136">
        <v>3.552</v>
      </c>
      <c r="BX48" s="137">
        <v>0.3663882864421511</v>
      </c>
      <c r="BY48" s="137">
        <v>0.3663882864421511</v>
      </c>
      <c r="BZ48" s="137">
        <v>0.99842261591115822</v>
      </c>
      <c r="CA48" s="137">
        <v>3.8285632294587903E-2</v>
      </c>
      <c r="CB48" s="137">
        <v>0.91819269083412736</v>
      </c>
      <c r="CC48" s="258">
        <v>-2.5000000000000001E-2</v>
      </c>
      <c r="CD48" s="258">
        <v>5.7500000000000002E-2</v>
      </c>
      <c r="CE48" s="258">
        <v>0.19500000000000001</v>
      </c>
      <c r="CF48" s="258">
        <v>-2.5000000000000001E-2</v>
      </c>
      <c r="CG48" s="258">
        <v>1.9200000000000002E-2</v>
      </c>
      <c r="CH48" s="258">
        <v>2.9460212485412973</v>
      </c>
      <c r="CI48" s="258">
        <v>3.3820000000000001</v>
      </c>
    </row>
    <row r="49" spans="1:87" x14ac:dyDescent="0.25">
      <c r="A49" s="723"/>
      <c r="B49" s="723"/>
      <c r="D49" s="31">
        <f t="shared" si="36"/>
        <v>38092</v>
      </c>
      <c r="F49" s="28">
        <f t="shared" si="37"/>
        <v>15000</v>
      </c>
      <c r="G49" s="28">
        <f t="shared" si="12"/>
        <v>13707.877206999663</v>
      </c>
      <c r="H49" s="52">
        <f t="shared" si="38"/>
        <v>3.3260211332880187</v>
      </c>
      <c r="I49" s="52">
        <f t="shared" si="39"/>
        <v>3.3170000000000002</v>
      </c>
      <c r="K49" s="52">
        <f t="shared" si="28"/>
        <v>0</v>
      </c>
      <c r="L49" s="135">
        <f t="shared" si="29"/>
        <v>0.39239409266752656</v>
      </c>
      <c r="N49" s="131">
        <f t="shared" si="30"/>
        <v>0.3313618943887166</v>
      </c>
      <c r="O49" s="131">
        <f t="shared" si="31"/>
        <v>0.33249033630585456</v>
      </c>
      <c r="P49" s="55">
        <f t="shared" si="32"/>
        <v>0.99922985016820542</v>
      </c>
      <c r="Q49" s="135">
        <f>_xll.xSPRDOPT(I49,H49,AQ49,0,O49,N49,P49,D49-$G$5,1,0)*AH49*AU49</f>
        <v>0.39239409266752656</v>
      </c>
      <c r="R49" s="135"/>
      <c r="S49" s="181">
        <f>_xll.xSPRDOPT(I49,H49,AQ49,AT49,O49,N49,P49,D49-$G$5,1,2)*AF49*(F49/(1-AR49))*AH49</f>
        <v>-115691.77680122957</v>
      </c>
      <c r="T49" s="181">
        <f>_xll.xSPRDOPT(I49,H49,AQ49,AT49,O49,N49,P49,D49-$G$5,1,1)*AF49*F49*AH49</f>
        <v>114996.94443938941</v>
      </c>
      <c r="U49" s="135"/>
      <c r="V49" s="146">
        <f t="shared" si="40"/>
        <v>2.83753058184893</v>
      </c>
      <c r="W49" s="146"/>
      <c r="X49" s="338">
        <f t="shared" si="41"/>
        <v>0</v>
      </c>
      <c r="Y49" s="338">
        <f t="shared" si="13"/>
        <v>0</v>
      </c>
      <c r="Z49" s="338">
        <f t="shared" si="14"/>
        <v>-15.978745580633626</v>
      </c>
      <c r="AA49" s="338">
        <f t="shared" si="15"/>
        <v>0.86333170306940654</v>
      </c>
      <c r="AB49" s="338">
        <f t="shared" si="42"/>
        <v>0</v>
      </c>
      <c r="AC49" s="338">
        <f t="shared" si="43"/>
        <v>1.8873354326424607</v>
      </c>
      <c r="AF49" s="138">
        <f t="shared" si="44"/>
        <v>1</v>
      </c>
      <c r="AG49" s="138">
        <f t="shared" si="45"/>
        <v>4</v>
      </c>
      <c r="AH49" s="138">
        <f t="shared" si="16"/>
        <v>30</v>
      </c>
      <c r="AI49" s="138">
        <f t="shared" si="46"/>
        <v>836</v>
      </c>
      <c r="AJ49" s="138">
        <f t="shared" si="47"/>
        <v>853</v>
      </c>
      <c r="AL49" s="136">
        <f t="shared" si="17"/>
        <v>3.1970000000000001</v>
      </c>
      <c r="AM49" s="258">
        <f t="shared" si="18"/>
        <v>-2.5000000000000001E-2</v>
      </c>
      <c r="AN49" s="258">
        <f t="shared" si="19"/>
        <v>5.7500000000000002E-2</v>
      </c>
      <c r="AO49" s="258">
        <f t="shared" si="20"/>
        <v>0.14499999999999999</v>
      </c>
      <c r="AP49" s="258">
        <f t="shared" si="21"/>
        <v>-2.4999999999999998E-2</v>
      </c>
      <c r="AQ49" s="136">
        <f t="shared" si="48"/>
        <v>1.9200000000000002E-2</v>
      </c>
      <c r="AR49" s="137">
        <f t="shared" si="22"/>
        <v>2.9020000000000001E-2</v>
      </c>
      <c r="AS49" s="136">
        <f t="shared" si="33"/>
        <v>3.2295000000000003</v>
      </c>
      <c r="AT49" s="137">
        <f t="shared" si="34"/>
        <v>3.9084714616572501E-2</v>
      </c>
      <c r="AU49" s="137">
        <f t="shared" si="23"/>
        <v>0.9138584804666442</v>
      </c>
      <c r="AV49" s="394">
        <f t="shared" si="35"/>
        <v>12282.257977471698</v>
      </c>
      <c r="AW49" s="137">
        <f t="shared" si="24"/>
        <v>0.33</v>
      </c>
      <c r="AX49" s="137">
        <f t="shared" si="25"/>
        <v>0.4</v>
      </c>
      <c r="AY49" s="137">
        <f t="shared" si="26"/>
        <v>0.45</v>
      </c>
      <c r="AZ49" s="137"/>
      <c r="BA49" s="264"/>
      <c r="BB49" s="258">
        <f t="shared" si="27"/>
        <v>0</v>
      </c>
      <c r="BC49" s="258">
        <f t="shared" si="49"/>
        <v>0</v>
      </c>
      <c r="BD49" s="137">
        <f t="shared" si="50"/>
        <v>4.7743752686346674E-6</v>
      </c>
      <c r="BE49" s="137">
        <f t="shared" si="51"/>
        <v>8.715606236775475E-6</v>
      </c>
      <c r="BF49" s="137">
        <f>_xll.xSPRDOPT($BW49,$BV49,$CG49,0,$BY49,$BX49,$BZ49,$AJ49,1,4)*$CB49</f>
        <v>3.3753171923939913</v>
      </c>
      <c r="BG49" s="137">
        <f>_xll.xSPRDOPT($BW49,$BV49,$CG49,0,$BY49,$BX49,$BZ49,$AJ49,1,3)*$CB49</f>
        <v>3.4311778436487512</v>
      </c>
      <c r="BH49" s="137">
        <f>IF(OR(BF49&lt;&gt;0,BG49&lt;&gt;0),_xll.xSPRDOPT($BW49,$BV49,$CG49,0,$BY49,$BX49,$BZ49,$AJ49,1,12)*$CB49,0)</f>
        <v>-3.403118850452957</v>
      </c>
      <c r="BI49" s="137">
        <f>_xll.xSPRDOPT($BW49,$BV49,$CG49,2*LN(1+CA49/2),$BY49,$BX49,$BZ49,$AJ49,1,9)</f>
        <v>-4.3231383876492085E-3</v>
      </c>
      <c r="BJ49" s="137">
        <f>_xll.xSPRDOPT($BW49,$BV49,$CG49,0,$BY49,$BX49,$BZ49,$AJ49,1,6)*$CB49</f>
        <v>-0.33825322814132175</v>
      </c>
      <c r="BK49" s="137">
        <f>_xll.xSPRDOPT($BW49,$BV49,$CG49,0,$BY49,$BX49,$BZ49,$AJ49,1,5)*$CB49</f>
        <v>0.40541789597769151</v>
      </c>
      <c r="BL49" s="137">
        <f>_xll.xSPRDOPT(BW49,BV49,CG49,0,BY49,BX49,BZ49,AJ49,1,2)*CB49</f>
        <v>-0.24909266223018625</v>
      </c>
      <c r="BM49" s="137">
        <f>_xll.xSPRDOPT(BW49,BV49,CG49,0,BY49,BX49,BZ49,AJ49,1,1)*CB49</f>
        <v>0.25500390690869995</v>
      </c>
      <c r="BN49" s="137">
        <f>IF(AH49&lt;&gt;0,_xll.xSPRDOPT($BW49,$BV49,$CG49,2*LN(1+CA49/2),$BY49,$BX49,$BZ49,$AJ49,1,8)+(AJ49/365.25)*CH49/AH49,0)</f>
        <v>0.18828170831856414</v>
      </c>
      <c r="BO49" s="137">
        <f>_xll.xSPRDOPT($BW49,$BV49,$CG49,0,$BY49,$BX49,$BZ49,$AJ49,1,0)</f>
        <v>1.4300714359293368E-2</v>
      </c>
      <c r="BP49" s="137"/>
      <c r="BQ49" s="137"/>
      <c r="BR49" s="137"/>
      <c r="BS49" s="137"/>
      <c r="BV49" s="262">
        <v>3.3260211332880187</v>
      </c>
      <c r="BW49" s="136">
        <v>3.3170000000000002</v>
      </c>
      <c r="BX49" s="137">
        <v>0.33135712001344797</v>
      </c>
      <c r="BY49" s="137">
        <v>0.33248162069961779</v>
      </c>
      <c r="BZ49" s="137">
        <v>0.99923250443995992</v>
      </c>
      <c r="CA49" s="137">
        <v>3.9084714616572501E-2</v>
      </c>
      <c r="CB49" s="137">
        <v>0.91356798559380814</v>
      </c>
      <c r="CC49" s="258">
        <v>-2.5000000000000001E-2</v>
      </c>
      <c r="CD49" s="258">
        <v>5.7500000000000002E-2</v>
      </c>
      <c r="CE49" s="258">
        <v>0.14499999999999999</v>
      </c>
      <c r="CF49" s="258">
        <v>-2.5000000000000001E-2</v>
      </c>
      <c r="CG49" s="258">
        <v>1.9200000000000002E-2</v>
      </c>
      <c r="CH49" s="258">
        <v>2.8366285952687744</v>
      </c>
      <c r="CI49" s="258">
        <v>3.1970000000000001</v>
      </c>
    </row>
    <row r="50" spans="1:87" x14ac:dyDescent="0.25">
      <c r="A50" s="723"/>
      <c r="B50" s="723"/>
      <c r="D50" s="31">
        <f t="shared" si="36"/>
        <v>38122</v>
      </c>
      <c r="F50" s="28">
        <f t="shared" si="37"/>
        <v>15000</v>
      </c>
      <c r="G50" s="28">
        <f t="shared" si="12"/>
        <v>13641.306125923038</v>
      </c>
      <c r="H50" s="52">
        <f t="shared" si="38"/>
        <v>3.3208716966363885</v>
      </c>
      <c r="I50" s="52">
        <f t="shared" si="39"/>
        <v>3.2920000000000003</v>
      </c>
      <c r="K50" s="52">
        <f t="shared" si="28"/>
        <v>0</v>
      </c>
      <c r="L50" s="135">
        <f t="shared" si="29"/>
        <v>0.22657289889972335</v>
      </c>
      <c r="N50" s="131">
        <f t="shared" si="30"/>
        <v>0.32761016081651256</v>
      </c>
      <c r="O50" s="131">
        <f t="shared" si="31"/>
        <v>0.32761016081651256</v>
      </c>
      <c r="P50" s="55">
        <f t="shared" si="32"/>
        <v>0.99933648662932051</v>
      </c>
      <c r="Q50" s="135">
        <f>_xll.xSPRDOPT(I50,H50,AQ50,0,O50,N50,P50,D50-$G$5,1,0)*AH50*AU50</f>
        <v>0.22657289889972335</v>
      </c>
      <c r="R50" s="135"/>
      <c r="S50" s="181">
        <f>_xll.xSPRDOPT(I50,H50,AQ50,AT50,O50,N50,P50,D50-$G$5,1,2)*AF50*(F50/(1-AR50))*AH50</f>
        <v>-74979.714903328553</v>
      </c>
      <c r="T50" s="181">
        <f>_xll.xSPRDOPT(I50,H50,AQ50,AT50,O50,N50,P50,D50-$G$5,1,1)*AF50*F50*AH50</f>
        <v>74867.809832934276</v>
      </c>
      <c r="U50" s="135"/>
      <c r="V50" s="146">
        <f t="shared" si="40"/>
        <v>2.9178753803349378</v>
      </c>
      <c r="W50" s="146"/>
      <c r="X50" s="338">
        <f t="shared" si="41"/>
        <v>0</v>
      </c>
      <c r="Y50" s="338">
        <f t="shared" si="13"/>
        <v>0</v>
      </c>
      <c r="Z50" s="338">
        <f t="shared" si="14"/>
        <v>-12.141608675340127</v>
      </c>
      <c r="AA50" s="338">
        <f t="shared" si="15"/>
        <v>0.20929441148528216</v>
      </c>
      <c r="AB50" s="338">
        <f t="shared" si="42"/>
        <v>0</v>
      </c>
      <c r="AC50" s="338">
        <f t="shared" si="43"/>
        <v>1.110720805826324</v>
      </c>
      <c r="AF50" s="138">
        <f t="shared" si="44"/>
        <v>1</v>
      </c>
      <c r="AG50" s="138">
        <f t="shared" si="45"/>
        <v>5</v>
      </c>
      <c r="AH50" s="138">
        <f t="shared" si="16"/>
        <v>31</v>
      </c>
      <c r="AI50" s="138">
        <f t="shared" si="46"/>
        <v>866</v>
      </c>
      <c r="AJ50" s="138">
        <f t="shared" si="47"/>
        <v>883</v>
      </c>
      <c r="AL50" s="136">
        <f t="shared" si="17"/>
        <v>3.1920000000000002</v>
      </c>
      <c r="AM50" s="258">
        <f t="shared" si="18"/>
        <v>-2.5000000000000001E-2</v>
      </c>
      <c r="AN50" s="258">
        <f t="shared" si="19"/>
        <v>5.7500000000000002E-2</v>
      </c>
      <c r="AO50" s="258">
        <f t="shared" si="20"/>
        <v>0.125</v>
      </c>
      <c r="AP50" s="258">
        <f t="shared" si="21"/>
        <v>-2.4999999999999998E-2</v>
      </c>
      <c r="AQ50" s="136">
        <f t="shared" si="48"/>
        <v>1.9200000000000002E-2</v>
      </c>
      <c r="AR50" s="137">
        <f t="shared" si="22"/>
        <v>2.9020000000000001E-2</v>
      </c>
      <c r="AS50" s="136">
        <f t="shared" si="33"/>
        <v>3.2245000000000004</v>
      </c>
      <c r="AT50" s="137">
        <f t="shared" si="34"/>
        <v>3.9799554968306797E-2</v>
      </c>
      <c r="AU50" s="137">
        <f t="shared" si="23"/>
        <v>0.90942040839486926</v>
      </c>
      <c r="AV50" s="394">
        <f t="shared" si="35"/>
        <v>12630.030631787944</v>
      </c>
      <c r="AW50" s="137">
        <f t="shared" si="24"/>
        <v>0.32500000000000001</v>
      </c>
      <c r="AX50" s="137">
        <f t="shared" si="25"/>
        <v>0.45</v>
      </c>
      <c r="AY50" s="137">
        <f t="shared" si="26"/>
        <v>0.45</v>
      </c>
      <c r="AZ50" s="137"/>
      <c r="BA50" s="264"/>
      <c r="BB50" s="258">
        <f t="shared" si="27"/>
        <v>0</v>
      </c>
      <c r="BC50" s="258">
        <f t="shared" si="49"/>
        <v>0</v>
      </c>
      <c r="BD50" s="137">
        <f t="shared" si="50"/>
        <v>8.8178559663476541E-6</v>
      </c>
      <c r="BE50" s="137">
        <f t="shared" si="51"/>
        <v>8.8178559663476541E-6</v>
      </c>
      <c r="BF50" s="137">
        <f>_xll.xSPRDOPT($BW50,$BV50,$CG50,0,$BY50,$BX50,$BZ50,$AJ50,1,4)*$CB50</f>
        <v>2.5493773416912249</v>
      </c>
      <c r="BG50" s="137">
        <f>_xll.xSPRDOPT($BW50,$BV50,$CG50,0,$BY50,$BX50,$BZ50,$AJ50,1,3)*$CB50</f>
        <v>2.6230598436599091</v>
      </c>
      <c r="BH50" s="137">
        <f>IF(OR(BF50&lt;&gt;0,BG50&lt;&gt;0),_xll.xSPRDOPT($BW50,$BV50,$CG50,0,$BY50,$BX50,$BZ50,$AJ50,1,12)*$CB50,0)</f>
        <v>-2.5859478000708127</v>
      </c>
      <c r="BI50" s="137">
        <f>_xll.xSPRDOPT($BW50,$BV50,$CG50,2*LN(1+CA50/2),$BY50,$BX50,$BZ50,$AJ50,1,9)</f>
        <v>-3.1790125940272269E-3</v>
      </c>
      <c r="BJ50" s="137">
        <f>_xll.xSPRDOPT($BW50,$BV50,$CG50,0,$BY50,$BX50,$BZ50,$AJ50,1,6)*$CB50</f>
        <v>-0.17682792422202517</v>
      </c>
      <c r="BK50" s="137">
        <f>_xll.xSPRDOPT($BW50,$BV50,$CG50,0,$BY50,$BX50,$BZ50,$AJ50,1,5)*$CB50</f>
        <v>0.22787156910443623</v>
      </c>
      <c r="BL50" s="137">
        <f>_xll.xSPRDOPT(BW50,BV50,CG50,0,BY50,BX50,BZ50,AJ50,1,2)*CB50</f>
        <v>-0.15634490134829196</v>
      </c>
      <c r="BM50" s="137">
        <f>_xll.xSPRDOPT(BW50,BV50,CG50,0,BY50,BX50,BZ50,AJ50,1,1)*CB50</f>
        <v>0.16078193538801214</v>
      </c>
      <c r="BN50" s="137">
        <f>IF(AH50&lt;&gt;0,_xll.xSPRDOPT($BW50,$BV50,$CG50,2*LN(1+CA50/2),$BY50,$BX50,$BZ50,$AJ50,1,8)+(AJ50/365.25)*CH50/AH50,0)</f>
        <v>0.21033072675300843</v>
      </c>
      <c r="BO50" s="137">
        <f>_xll.xSPRDOPT($BW50,$BV50,$CG50,0,$BY50,$BX50,$BZ50,$AJ50,1,0)</f>
        <v>8.037455603903166E-3</v>
      </c>
      <c r="BP50" s="137"/>
      <c r="BQ50" s="137"/>
      <c r="BR50" s="137"/>
      <c r="BS50" s="137"/>
      <c r="BV50" s="262">
        <v>3.3208716966363885</v>
      </c>
      <c r="BW50" s="136">
        <v>3.2920000000000003</v>
      </c>
      <c r="BX50" s="137">
        <v>0.32760134296054622</v>
      </c>
      <c r="BY50" s="137">
        <v>0.32760134296054622</v>
      </c>
      <c r="BZ50" s="137">
        <v>0.99933870150049708</v>
      </c>
      <c r="CA50" s="137">
        <v>3.9799554968306797E-2</v>
      </c>
      <c r="CB50" s="137">
        <v>0.90912608967752451</v>
      </c>
      <c r="CC50" s="258">
        <v>-2.5000000000000001E-2</v>
      </c>
      <c r="CD50" s="258">
        <v>5.7500000000000002E-2</v>
      </c>
      <c r="CE50" s="258">
        <v>0.125</v>
      </c>
      <c r="CF50" s="258">
        <v>-2.5000000000000001E-2</v>
      </c>
      <c r="CG50" s="258">
        <v>1.9200000000000002E-2</v>
      </c>
      <c r="CH50" s="258">
        <v>2.9169310587303374</v>
      </c>
      <c r="CI50" s="258">
        <v>3.1920000000000002</v>
      </c>
    </row>
    <row r="51" spans="1:87" x14ac:dyDescent="0.25">
      <c r="A51" s="723"/>
      <c r="B51" s="723"/>
      <c r="D51" s="31">
        <f t="shared" si="36"/>
        <v>38153</v>
      </c>
      <c r="F51" s="28">
        <f t="shared" si="37"/>
        <v>15000</v>
      </c>
      <c r="G51" s="28">
        <f t="shared" si="12"/>
        <v>13571.22243727873</v>
      </c>
      <c r="H51" s="52">
        <f t="shared" si="38"/>
        <v>3.3569177531978003</v>
      </c>
      <c r="I51" s="52">
        <f t="shared" si="39"/>
        <v>3.347</v>
      </c>
      <c r="K51" s="52">
        <f t="shared" si="28"/>
        <v>0</v>
      </c>
      <c r="L51" s="135">
        <f t="shared" si="29"/>
        <v>0.45827627809081256</v>
      </c>
      <c r="N51" s="131">
        <f t="shared" si="30"/>
        <v>0.32256221350143816</v>
      </c>
      <c r="O51" s="131">
        <f t="shared" si="31"/>
        <v>0.32377095542828943</v>
      </c>
      <c r="P51" s="55">
        <f t="shared" si="32"/>
        <v>0.99910144402455636</v>
      </c>
      <c r="Q51" s="135">
        <f>_xll.xSPRDOPT(I51,H51,AQ51,0,O51,N51,P51,D51-$G$5,1,0)*AH51*AU51</f>
        <v>0.45827627809081256</v>
      </c>
      <c r="R51" s="135"/>
      <c r="S51" s="181">
        <f>_xll.xSPRDOPT(I51,H51,AQ51,AT51,O51,N51,P51,D51-$G$5,1,2)*AF51*(F51/(1-AR51))*AH51</f>
        <v>-132474.06326382328</v>
      </c>
      <c r="T51" s="181">
        <f>_xll.xSPRDOPT(I51,H51,AQ51,AT51,O51,N51,P51,D51-$G$5,1,1)*AF51*F51*AH51</f>
        <v>131724.1975081795</v>
      </c>
      <c r="U51" s="135"/>
      <c r="V51" s="146">
        <f t="shared" si="40"/>
        <v>2.8092430445166974</v>
      </c>
      <c r="W51" s="146"/>
      <c r="X51" s="338">
        <f t="shared" si="41"/>
        <v>0</v>
      </c>
      <c r="Y51" s="338">
        <f t="shared" si="13"/>
        <v>0</v>
      </c>
      <c r="Z51" s="338">
        <f t="shared" si="14"/>
        <v>-16.052343942995183</v>
      </c>
      <c r="AA51" s="338">
        <f t="shared" si="15"/>
        <v>1.0107687245529591</v>
      </c>
      <c r="AB51" s="338">
        <f t="shared" si="42"/>
        <v>0</v>
      </c>
      <c r="AC51" s="338">
        <f t="shared" si="43"/>
        <v>2.2863166848406657</v>
      </c>
      <c r="AF51" s="138">
        <f t="shared" si="44"/>
        <v>1</v>
      </c>
      <c r="AG51" s="138">
        <f t="shared" si="45"/>
        <v>6</v>
      </c>
      <c r="AH51" s="138">
        <f t="shared" si="16"/>
        <v>30</v>
      </c>
      <c r="AI51" s="138">
        <f t="shared" si="46"/>
        <v>897</v>
      </c>
      <c r="AJ51" s="138">
        <f t="shared" si="47"/>
        <v>914</v>
      </c>
      <c r="AL51" s="136">
        <f t="shared" si="17"/>
        <v>3.2269999999999999</v>
      </c>
      <c r="AM51" s="258">
        <f t="shared" si="18"/>
        <v>-2.5000000000000001E-2</v>
      </c>
      <c r="AN51" s="258">
        <f t="shared" si="19"/>
        <v>5.7500000000000002E-2</v>
      </c>
      <c r="AO51" s="258">
        <f t="shared" si="20"/>
        <v>0.14499999999999999</v>
      </c>
      <c r="AP51" s="258">
        <f t="shared" si="21"/>
        <v>-2.4999999999999998E-2</v>
      </c>
      <c r="AQ51" s="136">
        <f t="shared" si="48"/>
        <v>1.9200000000000002E-2</v>
      </c>
      <c r="AR51" s="137">
        <f t="shared" si="22"/>
        <v>2.9020000000000001E-2</v>
      </c>
      <c r="AS51" s="136">
        <f t="shared" si="33"/>
        <v>3.2595000000000001</v>
      </c>
      <c r="AT51" s="137">
        <f t="shared" si="34"/>
        <v>4.0538223511899799E-2</v>
      </c>
      <c r="AU51" s="137">
        <f t="shared" si="23"/>
        <v>0.9047481624852487</v>
      </c>
      <c r="AV51" s="394">
        <f t="shared" si="35"/>
        <v>12159.815303801743</v>
      </c>
      <c r="AW51" s="137">
        <f t="shared" si="24"/>
        <v>0.32</v>
      </c>
      <c r="AX51" s="137">
        <f t="shared" si="25"/>
        <v>0.45</v>
      </c>
      <c r="AY51" s="137">
        <f t="shared" si="26"/>
        <v>0.5</v>
      </c>
      <c r="AZ51" s="137"/>
      <c r="BA51" s="264"/>
      <c r="BB51" s="258">
        <f t="shared" si="27"/>
        <v>0</v>
      </c>
      <c r="BC51" s="258">
        <f t="shared" si="49"/>
        <v>0</v>
      </c>
      <c r="BD51" s="137">
        <f t="shared" si="50"/>
        <v>8.3674438265957107E-6</v>
      </c>
      <c r="BE51" s="137">
        <f t="shared" si="51"/>
        <v>1.2292021196125269E-5</v>
      </c>
      <c r="BF51" s="137">
        <f>_xll.xSPRDOPT($BW51,$BV51,$CG51,0,$BY51,$BX51,$BZ51,$AJ51,1,4)*$CB51</f>
        <v>3.8224450848534444</v>
      </c>
      <c r="BG51" s="137">
        <f>_xll.xSPRDOPT($BW51,$BV51,$CG51,0,$BY51,$BX51,$BZ51,$AJ51,1,3)*$CB51</f>
        <v>3.8870993604656134</v>
      </c>
      <c r="BH51" s="137">
        <f>IF(OR(BF51&lt;&gt;0,BG51&lt;&gt;0),_xll.xSPRDOPT($BW51,$BV51,$CG51,0,$BY51,$BX51,$BZ51,$AJ51,1,12)*$CB51,0)</f>
        <v>-3.8546210396838374</v>
      </c>
      <c r="BI51" s="137">
        <f>_xll.xSPRDOPT($BW51,$BV51,$CG51,2*LN(1+CA51/2),$BY51,$BX51,$BZ51,$AJ51,1,9)</f>
        <v>-4.3430508334659189E-3</v>
      </c>
      <c r="BJ51" s="137">
        <f>_xll.xSPRDOPT($BW51,$BV51,$CG51,0,$BY51,$BX51,$BZ51,$AJ51,1,6)*$CB51</f>
        <v>-0.33548609049148503</v>
      </c>
      <c r="BK51" s="137">
        <f>_xll.xSPRDOPT($BW51,$BV51,$CG51,0,$BY51,$BX51,$BZ51,$AJ51,1,5)*$CB51</f>
        <v>0.41110519233512438</v>
      </c>
      <c r="BL51" s="137">
        <f>_xll.xSPRDOPT(BW51,BV51,CG51,0,BY51,BX51,BZ51,AJ51,1,2)*CB51</f>
        <v>-0.28531633829829373</v>
      </c>
      <c r="BM51" s="137">
        <f>_xll.xSPRDOPT(BW51,BV51,CG51,0,BY51,BX51,BZ51,AJ51,1,1)*CB51</f>
        <v>0.29218827273425158</v>
      </c>
      <c r="BN51" s="137">
        <f>IF(AH51&lt;&gt;0,_xll.xSPRDOPT($BW51,$BV51,$CG51,2*LN(1+CA51/2),$BY51,$BX51,$BZ51,$AJ51,1,8)+(AJ51/365.25)*CH51/AH51,0)</f>
        <v>0.1949995173797642</v>
      </c>
      <c r="BO51" s="137">
        <f>_xll.xSPRDOPT($BW51,$BV51,$CG51,0,$BY51,$BX51,$BZ51,$AJ51,1,0)</f>
        <v>1.6871106895119788E-2</v>
      </c>
      <c r="BP51" s="137"/>
      <c r="BQ51" s="137"/>
      <c r="BR51" s="137"/>
      <c r="BS51" s="137"/>
      <c r="BV51" s="262">
        <v>3.3569177531978003</v>
      </c>
      <c r="BW51" s="136">
        <v>3.347</v>
      </c>
      <c r="BX51" s="137">
        <v>0.32255384605761156</v>
      </c>
      <c r="BY51" s="137">
        <v>0.32375866340709331</v>
      </c>
      <c r="BZ51" s="137">
        <v>0.99910431045604597</v>
      </c>
      <c r="CA51" s="137">
        <v>4.0538223511899799E-2</v>
      </c>
      <c r="CB51" s="137">
        <v>0.90444997650532444</v>
      </c>
      <c r="CC51" s="258">
        <v>-2.5000000000000001E-2</v>
      </c>
      <c r="CD51" s="258">
        <v>5.7500000000000002E-2</v>
      </c>
      <c r="CE51" s="258">
        <v>0.14499999999999999</v>
      </c>
      <c r="CF51" s="258">
        <v>-2.5000000000000001E-2</v>
      </c>
      <c r="CG51" s="258">
        <v>1.9200000000000002E-2</v>
      </c>
      <c r="CH51" s="258">
        <v>2.8083171770490325</v>
      </c>
      <c r="CI51" s="258">
        <v>3.2269999999999999</v>
      </c>
    </row>
    <row r="52" spans="1:87" x14ac:dyDescent="0.25">
      <c r="A52" s="723"/>
      <c r="B52" s="723"/>
      <c r="D52" s="31">
        <f t="shared" si="36"/>
        <v>38183</v>
      </c>
      <c r="F52" s="28">
        <f t="shared" si="37"/>
        <v>15000</v>
      </c>
      <c r="G52" s="28">
        <f t="shared" si="12"/>
        <v>13503.459641884758</v>
      </c>
      <c r="H52" s="52">
        <f t="shared" si="38"/>
        <v>3.3981132464108428</v>
      </c>
      <c r="I52" s="52">
        <f t="shared" si="39"/>
        <v>3.3919999999999999</v>
      </c>
      <c r="K52" s="52">
        <f t="shared" si="28"/>
        <v>0</v>
      </c>
      <c r="L52" s="135">
        <f t="shared" si="29"/>
        <v>0.45294414732839078</v>
      </c>
      <c r="N52" s="131">
        <f t="shared" si="30"/>
        <v>0.32377055765666068</v>
      </c>
      <c r="O52" s="131">
        <f t="shared" si="31"/>
        <v>0.32377055765666068</v>
      </c>
      <c r="P52" s="55">
        <f t="shared" si="32"/>
        <v>0.9992155854566509</v>
      </c>
      <c r="Q52" s="135">
        <f>_xll.xSPRDOPT(I52,H52,AQ52,0,O52,N52,P52,D52-$G$5,1,0)*AH52*AU52</f>
        <v>0.45294414732839078</v>
      </c>
      <c r="R52" s="135"/>
      <c r="S52" s="181">
        <f>_xll.xSPRDOPT(I52,H52,AQ52,AT52,O52,N52,P52,D52-$G$5,1,2)*AF52*(F52/(1-AR52))*AH52</f>
        <v>-125369.61868245013</v>
      </c>
      <c r="T52" s="181">
        <f>_xll.xSPRDOPT(I52,H52,AQ52,AT52,O52,N52,P52,D52-$G$5,1,1)*AF52*F52*AH52</f>
        <v>124598.86009143376</v>
      </c>
      <c r="U52" s="135"/>
      <c r="V52" s="146">
        <f t="shared" si="40"/>
        <v>2.8883900173991495</v>
      </c>
      <c r="W52" s="146"/>
      <c r="X52" s="338">
        <f t="shared" si="41"/>
        <v>0</v>
      </c>
      <c r="Y52" s="338">
        <f t="shared" si="13"/>
        <v>0</v>
      </c>
      <c r="Z52" s="338">
        <f t="shared" si="14"/>
        <v>-15.196559536576036</v>
      </c>
      <c r="AA52" s="338">
        <f t="shared" si="15"/>
        <v>0.407513835959392</v>
      </c>
      <c r="AB52" s="338">
        <f t="shared" si="42"/>
        <v>0</v>
      </c>
      <c r="AC52" s="338">
        <f t="shared" si="43"/>
        <v>2.2973019455515757</v>
      </c>
      <c r="AF52" s="138">
        <f t="shared" si="44"/>
        <v>1</v>
      </c>
      <c r="AG52" s="138">
        <f t="shared" si="45"/>
        <v>7</v>
      </c>
      <c r="AH52" s="138">
        <f t="shared" si="16"/>
        <v>31</v>
      </c>
      <c r="AI52" s="138">
        <f t="shared" si="46"/>
        <v>927</v>
      </c>
      <c r="AJ52" s="138">
        <f t="shared" si="47"/>
        <v>944</v>
      </c>
      <c r="AL52" s="136">
        <f t="shared" si="17"/>
        <v>3.2669999999999999</v>
      </c>
      <c r="AM52" s="258">
        <f t="shared" si="18"/>
        <v>-2.5000000000000001E-2</v>
      </c>
      <c r="AN52" s="258">
        <f t="shared" si="19"/>
        <v>5.7500000000000002E-2</v>
      </c>
      <c r="AO52" s="258">
        <f t="shared" si="20"/>
        <v>0.15</v>
      </c>
      <c r="AP52" s="258">
        <f t="shared" si="21"/>
        <v>-2.4999999999999998E-2</v>
      </c>
      <c r="AQ52" s="136">
        <f t="shared" si="48"/>
        <v>1.9200000000000002E-2</v>
      </c>
      <c r="AR52" s="137">
        <f t="shared" si="22"/>
        <v>2.9020000000000001E-2</v>
      </c>
      <c r="AS52" s="136">
        <f t="shared" si="33"/>
        <v>3.2995000000000001</v>
      </c>
      <c r="AT52" s="137">
        <f t="shared" si="34"/>
        <v>4.12152492802473E-2</v>
      </c>
      <c r="AU52" s="137">
        <f t="shared" si="23"/>
        <v>0.90023064279231713</v>
      </c>
      <c r="AV52" s="394">
        <f t="shared" si="35"/>
        <v>12502.403167099701</v>
      </c>
      <c r="AW52" s="137">
        <f t="shared" si="24"/>
        <v>0.32</v>
      </c>
      <c r="AX52" s="137">
        <f t="shared" si="25"/>
        <v>0.5</v>
      </c>
      <c r="AY52" s="137">
        <f t="shared" si="26"/>
        <v>0.5</v>
      </c>
      <c r="AZ52" s="137"/>
      <c r="BA52" s="264"/>
      <c r="BB52" s="258">
        <f t="shared" si="27"/>
        <v>0</v>
      </c>
      <c r="BC52" s="258">
        <f t="shared" si="49"/>
        <v>0</v>
      </c>
      <c r="BD52" s="137">
        <f t="shared" si="50"/>
        <v>1.1894249567379056E-5</v>
      </c>
      <c r="BE52" s="137">
        <f t="shared" si="51"/>
        <v>1.1894249567379056E-5</v>
      </c>
      <c r="BF52" s="137">
        <f>_xll.xSPRDOPT($BW52,$BV52,$CG52,0,$BY52,$BX52,$BZ52,$AJ52,1,4)*$CB52</f>
        <v>3.3256606081225573</v>
      </c>
      <c r="BG52" s="137">
        <f>_xll.xSPRDOPT($BW52,$BV52,$CG52,0,$BY52,$BX52,$BZ52,$AJ52,1,3)*$CB52</f>
        <v>3.3744699783578773</v>
      </c>
      <c r="BH52" s="137">
        <f>IF(OR(BF52&lt;&gt;0,BG52&lt;&gt;0),_xll.xSPRDOPT($BW52,$BV52,$CG52,0,$BY52,$BX52,$BZ52,$AJ52,1,12)*$CB52,0)</f>
        <v>-3.3499601082898445</v>
      </c>
      <c r="BI52" s="137">
        <f>_xll.xSPRDOPT($BW52,$BV52,$CG52,2*LN(1+CA52/2),$BY52,$BX52,$BZ52,$AJ52,1,9)</f>
        <v>-3.9788841367271663E-3</v>
      </c>
      <c r="BJ52" s="137">
        <f>_xll.xSPRDOPT($BW52,$BV52,$CG52,0,$BY52,$BX52,$BZ52,$AJ52,1,6)*$CB52</f>
        <v>-0.21344297190303779</v>
      </c>
      <c r="BK52" s="137">
        <f>_xll.xSPRDOPT($BW52,$BV52,$CG52,0,$BY52,$BX52,$BZ52,$AJ52,1,5)*$CB52</f>
        <v>0.28712343705625032</v>
      </c>
      <c r="BL52" s="137">
        <f>_xll.xSPRDOPT(BW52,BV52,CG52,0,BY52,BX52,BZ52,AJ52,1,2)*CB52</f>
        <v>-0.2612981362270147</v>
      </c>
      <c r="BM52" s="137">
        <f>_xll.xSPRDOPT(BW52,BV52,CG52,0,BY52,BX52,BZ52,AJ52,1,1)*CB52</f>
        <v>0.26746072293648226</v>
      </c>
      <c r="BN52" s="137">
        <f>IF(AH52&lt;&gt;0,_xll.xSPRDOPT($BW52,$BV52,$CG52,2*LN(1+CA52/2),$BY52,$BX52,$BZ52,$AJ52,1,8)+(AJ52/365.25)*CH52/AH52,0)</f>
        <v>0.20043668612787618</v>
      </c>
      <c r="BO52" s="137">
        <f>_xll.xSPRDOPT($BW52,$BV52,$CG52,0,$BY52,$BX52,$BZ52,$AJ52,1,0)</f>
        <v>1.6216902264039629E-2</v>
      </c>
      <c r="BP52" s="137"/>
      <c r="BQ52" s="137"/>
      <c r="BR52" s="137"/>
      <c r="BS52" s="137"/>
      <c r="BV52" s="262">
        <v>3.3981132464108428</v>
      </c>
      <c r="BW52" s="136">
        <v>3.3919999999999999</v>
      </c>
      <c r="BX52" s="137">
        <v>0.32375866340709331</v>
      </c>
      <c r="BY52" s="137">
        <v>0.32375866340709331</v>
      </c>
      <c r="BZ52" s="137">
        <v>0.99921801689083511</v>
      </c>
      <c r="CA52" s="137">
        <v>4.12152492802473E-2</v>
      </c>
      <c r="CB52" s="137">
        <v>0.89992904159661324</v>
      </c>
      <c r="CC52" s="258">
        <v>-2.5000000000000001E-2</v>
      </c>
      <c r="CD52" s="258">
        <v>5.7500000000000002E-2</v>
      </c>
      <c r="CE52" s="258">
        <v>0.15</v>
      </c>
      <c r="CF52" s="258">
        <v>-2.5000000000000001E-2</v>
      </c>
      <c r="CG52" s="258">
        <v>1.9200000000000002E-2</v>
      </c>
      <c r="CH52" s="258">
        <v>2.8874223299627335</v>
      </c>
      <c r="CI52" s="258">
        <v>3.2669999999999999</v>
      </c>
    </row>
    <row r="53" spans="1:87" x14ac:dyDescent="0.25">
      <c r="A53" s="723"/>
      <c r="B53" s="723"/>
      <c r="D53" s="31">
        <f t="shared" si="36"/>
        <v>38214</v>
      </c>
      <c r="F53" s="28">
        <f t="shared" si="37"/>
        <v>15000</v>
      </c>
      <c r="G53" s="28">
        <f t="shared" si="12"/>
        <v>13433.716012535337</v>
      </c>
      <c r="H53" s="52">
        <f t="shared" si="38"/>
        <v>3.4393087396238853</v>
      </c>
      <c r="I53" s="52">
        <f t="shared" si="39"/>
        <v>3.4319999999999999</v>
      </c>
      <c r="K53" s="52">
        <f t="shared" si="28"/>
        <v>0</v>
      </c>
      <c r="L53" s="135">
        <f t="shared" si="29"/>
        <v>0.53721870917214132</v>
      </c>
      <c r="N53" s="131">
        <f t="shared" si="30"/>
        <v>0.32493996126723368</v>
      </c>
      <c r="O53" s="131">
        <f t="shared" si="31"/>
        <v>0.32493996126723368</v>
      </c>
      <c r="P53" s="55">
        <f t="shared" si="32"/>
        <v>0.99908768488913335</v>
      </c>
      <c r="Q53" s="135">
        <f>_xll.xSPRDOPT(I53,H53,AQ53,0,O53,N53,P53,D53-$G$5,1,0)*AH53*AU53</f>
        <v>0.53721870917214132</v>
      </c>
      <c r="R53" s="135"/>
      <c r="S53" s="181">
        <f>_xll.xSPRDOPT(I53,H53,AQ53,AT53,O53,N53,P53,D53-$G$5,1,2)*AF53*(F53/(1-AR53))*AH53</f>
        <v>-144322.34905118236</v>
      </c>
      <c r="T53" s="181">
        <f>_xll.xSPRDOPT(I53,H53,AQ53,AT53,O53,N53,P53,D53-$G$5,1,1)*AF53*F53*AH53</f>
        <v>143513.55727731611</v>
      </c>
      <c r="U53" s="135"/>
      <c r="V53" s="146">
        <f t="shared" si="40"/>
        <v>2.8734718550813083</v>
      </c>
      <c r="W53" s="146"/>
      <c r="X53" s="338">
        <f t="shared" si="41"/>
        <v>0</v>
      </c>
      <c r="Y53" s="338">
        <f t="shared" si="13"/>
        <v>0</v>
      </c>
      <c r="Z53" s="338">
        <f t="shared" si="14"/>
        <v>-16.186237139801584</v>
      </c>
      <c r="AA53" s="338">
        <f t="shared" si="15"/>
        <v>0.57240702243979147</v>
      </c>
      <c r="AB53" s="338">
        <f t="shared" si="42"/>
        <v>0</v>
      </c>
      <c r="AC53" s="338">
        <f t="shared" si="43"/>
        <v>2.7683513556465522</v>
      </c>
      <c r="AF53" s="138">
        <f t="shared" si="44"/>
        <v>1</v>
      </c>
      <c r="AG53" s="138">
        <f t="shared" si="45"/>
        <v>8</v>
      </c>
      <c r="AH53" s="138">
        <f t="shared" si="16"/>
        <v>31</v>
      </c>
      <c r="AI53" s="138">
        <f t="shared" si="46"/>
        <v>958</v>
      </c>
      <c r="AJ53" s="138">
        <f t="shared" si="47"/>
        <v>975</v>
      </c>
      <c r="AL53" s="136">
        <f t="shared" si="17"/>
        <v>3.3069999999999999</v>
      </c>
      <c r="AM53" s="258">
        <f t="shared" si="18"/>
        <v>-2.5000000000000001E-2</v>
      </c>
      <c r="AN53" s="258">
        <f t="shared" si="19"/>
        <v>5.7500000000000002E-2</v>
      </c>
      <c r="AO53" s="258">
        <f t="shared" si="20"/>
        <v>0.15</v>
      </c>
      <c r="AP53" s="258">
        <f t="shared" si="21"/>
        <v>-2.4999999999999998E-2</v>
      </c>
      <c r="AQ53" s="136">
        <f t="shared" si="48"/>
        <v>1.9200000000000002E-2</v>
      </c>
      <c r="AR53" s="137">
        <f t="shared" si="22"/>
        <v>2.9020000000000001E-2</v>
      </c>
      <c r="AS53" s="136">
        <f t="shared" si="33"/>
        <v>3.3395000000000001</v>
      </c>
      <c r="AT53" s="137">
        <f t="shared" si="34"/>
        <v>4.1873365630825901E-2</v>
      </c>
      <c r="AU53" s="137">
        <f t="shared" si="23"/>
        <v>0.89558106750235578</v>
      </c>
      <c r="AV53" s="394">
        <f t="shared" si="35"/>
        <v>12437.829865472717</v>
      </c>
      <c r="AW53" s="137">
        <f t="shared" si="24"/>
        <v>0.32</v>
      </c>
      <c r="AX53" s="137">
        <f t="shared" si="25"/>
        <v>0.55000000000000004</v>
      </c>
      <c r="AY53" s="137">
        <f t="shared" si="26"/>
        <v>0.55000000000000004</v>
      </c>
      <c r="AZ53" s="137"/>
      <c r="BA53" s="264"/>
      <c r="BB53" s="258">
        <f t="shared" si="27"/>
        <v>0</v>
      </c>
      <c r="BC53" s="258">
        <f t="shared" si="49"/>
        <v>0</v>
      </c>
      <c r="BD53" s="137">
        <f t="shared" si="50"/>
        <v>1.5061519321957206E-5</v>
      </c>
      <c r="BE53" s="137">
        <f t="shared" si="51"/>
        <v>1.5061519321957206E-5</v>
      </c>
      <c r="BF53" s="137">
        <f>_xll.xSPRDOPT($BW53,$BV53,$CG53,0,$BY53,$BX53,$BZ53,$AJ53,1,4)*$CB53</f>
        <v>3.7226110670052095</v>
      </c>
      <c r="BG53" s="137">
        <f>_xll.xSPRDOPT($BW53,$BV53,$CG53,0,$BY53,$BX53,$BZ53,$AJ53,1,3)*$CB53</f>
        <v>3.7791908930499081</v>
      </c>
      <c r="BH53" s="137">
        <f>IF(OR(BF53&lt;&gt;0,BG53&lt;&gt;0),_xll.xSPRDOPT($BW53,$BV53,$CG53,0,$BY53,$BX53,$BZ53,$AJ53,1,12)*$CB53,0)</f>
        <v>-3.7507760034439901</v>
      </c>
      <c r="BI53" s="137">
        <f>_xll.xSPRDOPT($BW53,$BV53,$CG53,2*LN(1+CA53/2),$BY53,$BX53,$BZ53,$AJ53,1,9)</f>
        <v>-4.2380094016577271E-3</v>
      </c>
      <c r="BJ53" s="137">
        <f>_xll.xSPRDOPT($BW53,$BV53,$CG53,0,$BY53,$BX53,$BZ53,$AJ53,1,6)*$CB53</f>
        <v>-0.19675791485536998</v>
      </c>
      <c r="BK53" s="137">
        <f>_xll.xSPRDOPT($BW53,$BV53,$CG53,0,$BY53,$BX53,$BZ53,$AJ53,1,5)*$CB53</f>
        <v>0.27848823818085089</v>
      </c>
      <c r="BL53" s="137">
        <f>_xll.xSPRDOPT(BW53,BV53,CG53,0,BY53,BX53,BZ53,AJ53,1,2)*CB53</f>
        <v>-0.30085269673981224</v>
      </c>
      <c r="BM53" s="137">
        <f>_xll.xSPRDOPT(BW53,BV53,CG53,0,BY53,BX53,BZ53,AJ53,1,1)*CB53</f>
        <v>0.30811649209012876</v>
      </c>
      <c r="BN53" s="137">
        <f>IF(AH53&lt;&gt;0,_xll.xSPRDOPT($BW53,$BV53,$CG53,2*LN(1+CA53/2),$BY53,$BX53,$BZ53,$AJ53,1,8)+(AJ53/365.25)*CH53/AH53,0)</f>
        <v>0.19992898022469793</v>
      </c>
      <c r="BO53" s="137">
        <f>_xll.xSPRDOPT($BW53,$BV53,$CG53,0,$BY53,$BX53,$BZ53,$AJ53,1,0)</f>
        <v>1.9334915454004609E-2</v>
      </c>
      <c r="BP53" s="137"/>
      <c r="BQ53" s="137"/>
      <c r="BR53" s="137"/>
      <c r="BS53" s="137"/>
      <c r="BV53" s="262">
        <v>3.4393087396238853</v>
      </c>
      <c r="BW53" s="136">
        <v>3.4319999999999999</v>
      </c>
      <c r="BX53" s="137">
        <v>0.32492489974791172</v>
      </c>
      <c r="BY53" s="137">
        <v>0.32492489974791172</v>
      </c>
      <c r="BZ53" s="137">
        <v>0.99909040337979049</v>
      </c>
      <c r="CA53" s="137">
        <v>4.1873365630825901E-2</v>
      </c>
      <c r="CB53" s="137">
        <v>0.89527628311247864</v>
      </c>
      <c r="CC53" s="258">
        <v>-2.5000000000000001E-2</v>
      </c>
      <c r="CD53" s="258">
        <v>5.7500000000000002E-2</v>
      </c>
      <c r="CE53" s="258">
        <v>0.15</v>
      </c>
      <c r="CF53" s="258">
        <v>-2.5000000000000001E-2</v>
      </c>
      <c r="CG53" s="258">
        <v>1.9200000000000002E-2</v>
      </c>
      <c r="CH53" s="258">
        <v>2.8724939543663877</v>
      </c>
      <c r="CI53" s="258">
        <v>3.3069999999999999</v>
      </c>
    </row>
    <row r="54" spans="1:87" x14ac:dyDescent="0.25">
      <c r="A54" s="723"/>
      <c r="B54" s="723"/>
      <c r="D54" s="31">
        <f t="shared" si="36"/>
        <v>38245</v>
      </c>
      <c r="F54" s="28">
        <f t="shared" si="37"/>
        <v>15000</v>
      </c>
      <c r="G54" s="28">
        <f t="shared" si="12"/>
        <v>13362.877708918239</v>
      </c>
      <c r="H54" s="52">
        <f t="shared" si="38"/>
        <v>3.4341593029722555</v>
      </c>
      <c r="I54" s="52">
        <f t="shared" si="39"/>
        <v>3.4020000000000001</v>
      </c>
      <c r="K54" s="52">
        <f t="shared" si="28"/>
        <v>0</v>
      </c>
      <c r="L54" s="135">
        <f t="shared" si="29"/>
        <v>0.40961378457949604</v>
      </c>
      <c r="N54" s="131">
        <f t="shared" si="30"/>
        <v>0.32463755456303778</v>
      </c>
      <c r="O54" s="131">
        <f t="shared" si="31"/>
        <v>0.32595798130693049</v>
      </c>
      <c r="P54" s="55">
        <f t="shared" si="32"/>
        <v>0.9988999140888345</v>
      </c>
      <c r="Q54" s="135">
        <f>_xll.xSPRDOPT(I54,H54,AQ54,0,O54,N54,P54,D54-$G$5,1,0)*AH54*AU54</f>
        <v>0.40961378457949604</v>
      </c>
      <c r="R54" s="135"/>
      <c r="S54" s="181">
        <f>_xll.xSPRDOPT(I54,H54,AQ54,AT54,O54,N54,P54,D54-$G$5,1,2)*AF54*(F54/(1-AR54))*AH54</f>
        <v>-114023.23107631689</v>
      </c>
      <c r="T54" s="181">
        <f>_xll.xSPRDOPT(I54,H54,AQ54,AT54,O54,N54,P54,D54-$G$5,1,1)*AF54*F54*AH54</f>
        <v>114116.57267457817</v>
      </c>
      <c r="U54" s="135"/>
      <c r="V54" s="146">
        <f t="shared" si="40"/>
        <v>2.7661156857460756</v>
      </c>
      <c r="W54" s="146"/>
      <c r="X54" s="338">
        <f t="shared" si="41"/>
        <v>0</v>
      </c>
      <c r="Y54" s="338">
        <f t="shared" si="13"/>
        <v>0</v>
      </c>
      <c r="Z54" s="338">
        <f t="shared" si="14"/>
        <v>-15.666059206257932</v>
      </c>
      <c r="AA54" s="338">
        <f t="shared" si="15"/>
        <v>1.1380333541717553</v>
      </c>
      <c r="AB54" s="338">
        <f t="shared" si="42"/>
        <v>0</v>
      </c>
      <c r="AC54" s="338">
        <f t="shared" si="43"/>
        <v>2.1457400139328842</v>
      </c>
      <c r="AF54" s="138">
        <f t="shared" si="44"/>
        <v>1</v>
      </c>
      <c r="AG54" s="138">
        <f t="shared" si="45"/>
        <v>9</v>
      </c>
      <c r="AH54" s="138">
        <f t="shared" ref="AH54:AH85" si="52">(EOMONTH(D54,0)-EOMONTH(D54-DAY(D54),0))*AF54</f>
        <v>30</v>
      </c>
      <c r="AI54" s="138">
        <f t="shared" si="46"/>
        <v>989</v>
      </c>
      <c r="AJ54" s="138">
        <f t="shared" si="47"/>
        <v>1006</v>
      </c>
      <c r="AL54" s="136">
        <f t="shared" si="17"/>
        <v>3.302</v>
      </c>
      <c r="AM54" s="258">
        <f t="shared" si="18"/>
        <v>-2.5000000000000001E-2</v>
      </c>
      <c r="AN54" s="258">
        <f t="shared" si="19"/>
        <v>5.7500000000000002E-2</v>
      </c>
      <c r="AO54" s="258">
        <f t="shared" si="20"/>
        <v>0.125</v>
      </c>
      <c r="AP54" s="258">
        <f t="shared" si="21"/>
        <v>-2.4999999999999998E-2</v>
      </c>
      <c r="AQ54" s="136">
        <f t="shared" si="48"/>
        <v>1.9200000000000002E-2</v>
      </c>
      <c r="AR54" s="137">
        <f t="shared" si="22"/>
        <v>2.9020000000000001E-2</v>
      </c>
      <c r="AS54" s="136">
        <f t="shared" si="33"/>
        <v>3.3345000000000002</v>
      </c>
      <c r="AT54" s="137">
        <f t="shared" si="34"/>
        <v>4.2531482126591399E-2</v>
      </c>
      <c r="AU54" s="137">
        <f t="shared" si="23"/>
        <v>0.89085851392788262</v>
      </c>
      <c r="AV54" s="394">
        <f t="shared" si="35"/>
        <v>11973.138427190743</v>
      </c>
      <c r="AW54" s="137">
        <f t="shared" si="24"/>
        <v>0.32</v>
      </c>
      <c r="AX54" s="137">
        <f t="shared" si="25"/>
        <v>0.55000000000000004</v>
      </c>
      <c r="AY54" s="137">
        <f t="shared" si="26"/>
        <v>0.6</v>
      </c>
      <c r="AZ54" s="137"/>
      <c r="BA54" s="264"/>
      <c r="BB54" s="258">
        <f t="shared" si="27"/>
        <v>0</v>
      </c>
      <c r="BC54" s="258">
        <f t="shared" si="49"/>
        <v>0</v>
      </c>
      <c r="BD54" s="137">
        <f t="shared" si="50"/>
        <v>1.3717559126436019E-5</v>
      </c>
      <c r="BE54" s="137">
        <f t="shared" si="51"/>
        <v>1.7587952775954818E-5</v>
      </c>
      <c r="BF54" s="137">
        <f>_xll.xSPRDOPT($BW54,$BV54,$CG54,0,$BY54,$BX54,$BZ54,$AJ54,1,4)*$CB54</f>
        <v>3.3551552181555402</v>
      </c>
      <c r="BG54" s="137">
        <f>_xll.xSPRDOPT($BW54,$BV54,$CG54,0,$BY54,$BX54,$BZ54,$AJ54,1,3)*$CB54</f>
        <v>3.4545767009187154</v>
      </c>
      <c r="BH54" s="137">
        <f>IF(OR(BF54&lt;&gt;0,BG54&lt;&gt;0),_xll.xSPRDOPT($BW54,$BV54,$CG54,0,$BY54,$BX54,$BZ54,$AJ54,1,12)*$CB54,0)</f>
        <v>-3.4044918811103511</v>
      </c>
      <c r="BI54" s="137">
        <f>_xll.xSPRDOPT($BW54,$BV54,$CG54,2*LN(1+CA54/2),$BY54,$BX54,$BZ54,$AJ54,1,9)</f>
        <v>-4.2385393519153401E-3</v>
      </c>
      <c r="BJ54" s="137">
        <f>_xll.xSPRDOPT($BW54,$BV54,$CG54,0,$BY54,$BX54,$BZ54,$AJ54,1,6)*$CB54</f>
        <v>-0.2890822920546976</v>
      </c>
      <c r="BK54" s="137">
        <f>_xll.xSPRDOPT($BW54,$BV54,$CG54,0,$BY54,$BX54,$BZ54,$AJ54,1,5)*$CB54</f>
        <v>0.36925653176732243</v>
      </c>
      <c r="BL54" s="137">
        <f>_xll.xSPRDOPT(BW54,BV54,CG54,0,BY54,BX54,BZ54,AJ54,1,2)*CB54</f>
        <v>-0.24625365633838747</v>
      </c>
      <c r="BM54" s="137">
        <f>_xll.xSPRDOPT(BW54,BV54,CG54,0,BY54,BX54,BZ54,AJ54,1,1)*CB54</f>
        <v>0.25382090889074815</v>
      </c>
      <c r="BN54" s="137">
        <f>IF(AH54&lt;&gt;0,_xll.xSPRDOPT($BW54,$BV54,$CG54,2*LN(1+CA54/2),$BY54,$BX54,$BZ54,$AJ54,1,8)+(AJ54/365.25)*CH54/AH54,0)</f>
        <v>0.21627221157545612</v>
      </c>
      <c r="BO54" s="137">
        <f>_xll.xSPRDOPT($BW54,$BV54,$CG54,0,$BY54,$BX54,$BZ54,$AJ54,1,0)</f>
        <v>1.5327256576680373E-2</v>
      </c>
      <c r="BP54" s="137"/>
      <c r="BQ54" s="137"/>
      <c r="BR54" s="137"/>
      <c r="BS54" s="137"/>
      <c r="BV54" s="262">
        <v>3.4341593029722555</v>
      </c>
      <c r="BW54" s="136">
        <v>3.4020000000000001</v>
      </c>
      <c r="BX54" s="137">
        <v>0.32462383700391134</v>
      </c>
      <c r="BY54" s="137">
        <v>0.32594039335415453</v>
      </c>
      <c r="BZ54" s="137">
        <v>0.99890306218662306</v>
      </c>
      <c r="CA54" s="137">
        <v>4.2531482126591399E-2</v>
      </c>
      <c r="CB54" s="137">
        <v>0.89055062233660143</v>
      </c>
      <c r="CC54" s="258">
        <v>-2.5000000000000001E-2</v>
      </c>
      <c r="CD54" s="258">
        <v>5.7500000000000002E-2</v>
      </c>
      <c r="CE54" s="258">
        <v>0.125</v>
      </c>
      <c r="CF54" s="258">
        <v>-2.5000000000000001E-2</v>
      </c>
      <c r="CG54" s="258">
        <v>1.9200000000000002E-2</v>
      </c>
      <c r="CH54" s="258">
        <v>2.7651596823551472</v>
      </c>
      <c r="CI54" s="258">
        <v>3.302</v>
      </c>
    </row>
    <row r="55" spans="1:87" x14ac:dyDescent="0.25">
      <c r="A55" s="723"/>
      <c r="B55" s="723"/>
      <c r="D55" s="31">
        <f t="shared" si="36"/>
        <v>38275</v>
      </c>
      <c r="F55" s="28">
        <f t="shared" si="37"/>
        <v>15000</v>
      </c>
      <c r="G55" s="28">
        <f t="shared" si="12"/>
        <v>13294.599791033865</v>
      </c>
      <c r="H55" s="52">
        <f t="shared" si="38"/>
        <v>3.4599064862304068</v>
      </c>
      <c r="I55" s="52">
        <f t="shared" si="39"/>
        <v>3.4470000000000001</v>
      </c>
      <c r="K55" s="52">
        <f t="shared" si="28"/>
        <v>0</v>
      </c>
      <c r="L55" s="135">
        <f t="shared" si="29"/>
        <v>0.68159841263040477</v>
      </c>
      <c r="N55" s="131">
        <f t="shared" si="30"/>
        <v>0.3259749105978777</v>
      </c>
      <c r="O55" s="131">
        <f t="shared" si="31"/>
        <v>0.32740813225277243</v>
      </c>
      <c r="P55" s="55">
        <f t="shared" si="32"/>
        <v>0.99873911896202849</v>
      </c>
      <c r="Q55" s="135">
        <f>_xll.xSPRDOPT(I55,H55,AQ55,0,O55,N55,P55,D55-$G$5,1,0)*AH55*AU55</f>
        <v>0.68159841263040477</v>
      </c>
      <c r="R55" s="135"/>
      <c r="S55" s="181">
        <f>_xll.xSPRDOPT(I55,H55,AQ55,AT55,O55,N55,P55,D55-$G$5,1,2)*AF55*(F55/(1-AR55))*AH55</f>
        <v>-155069.17997292517</v>
      </c>
      <c r="T55" s="181">
        <f>_xll.xSPRDOPT(I55,H55,AQ55,AT55,O55,N55,P55,D55-$G$5,1,1)*AF55*F55*AH55</f>
        <v>154850.49897656139</v>
      </c>
      <c r="U55" s="135"/>
      <c r="V55" s="146">
        <f t="shared" si="40"/>
        <v>2.8437148953021434</v>
      </c>
      <c r="W55" s="146"/>
      <c r="X55" s="338">
        <f t="shared" si="41"/>
        <v>0</v>
      </c>
      <c r="Y55" s="338">
        <f t="shared" si="13"/>
        <v>0</v>
      </c>
      <c r="Z55" s="338">
        <f t="shared" si="14"/>
        <v>-18.346245923514648</v>
      </c>
      <c r="AA55" s="338">
        <f t="shared" si="15"/>
        <v>1.5683029808228897</v>
      </c>
      <c r="AB55" s="338">
        <f t="shared" si="42"/>
        <v>0</v>
      </c>
      <c r="AC55" s="338">
        <f t="shared" si="43"/>
        <v>3.6209582080356184</v>
      </c>
      <c r="AF55" s="138">
        <f t="shared" si="44"/>
        <v>1</v>
      </c>
      <c r="AG55" s="138">
        <f t="shared" si="45"/>
        <v>10</v>
      </c>
      <c r="AH55" s="138">
        <f t="shared" si="52"/>
        <v>31</v>
      </c>
      <c r="AI55" s="138">
        <f t="shared" si="46"/>
        <v>1019</v>
      </c>
      <c r="AJ55" s="138">
        <f t="shared" si="47"/>
        <v>1036</v>
      </c>
      <c r="AL55" s="136">
        <f t="shared" si="17"/>
        <v>3.327</v>
      </c>
      <c r="AM55" s="258">
        <f t="shared" si="18"/>
        <v>-2.5000000000000001E-2</v>
      </c>
      <c r="AN55" s="258">
        <f t="shared" si="19"/>
        <v>5.7500000000000002E-2</v>
      </c>
      <c r="AO55" s="258">
        <f t="shared" si="20"/>
        <v>0.14499999999999999</v>
      </c>
      <c r="AP55" s="258">
        <f t="shared" si="21"/>
        <v>-2.4999999999999998E-2</v>
      </c>
      <c r="AQ55" s="136">
        <f t="shared" si="48"/>
        <v>1.9200000000000002E-2</v>
      </c>
      <c r="AR55" s="137">
        <f t="shared" si="22"/>
        <v>2.9020000000000001E-2</v>
      </c>
      <c r="AS55" s="136">
        <f t="shared" si="33"/>
        <v>3.3595000000000002</v>
      </c>
      <c r="AT55" s="137">
        <f t="shared" si="34"/>
        <v>4.3133129078657198E-2</v>
      </c>
      <c r="AU55" s="137">
        <f t="shared" si="23"/>
        <v>0.88630665273559095</v>
      </c>
      <c r="AV55" s="394">
        <f t="shared" si="35"/>
        <v>12309.026793191888</v>
      </c>
      <c r="AW55" s="137">
        <f t="shared" si="24"/>
        <v>0.32</v>
      </c>
      <c r="AX55" s="137">
        <f t="shared" si="25"/>
        <v>0.6</v>
      </c>
      <c r="AY55" s="137">
        <f t="shared" si="26"/>
        <v>0.65</v>
      </c>
      <c r="AZ55" s="137"/>
      <c r="BA55" s="264"/>
      <c r="BB55" s="258">
        <f t="shared" si="27"/>
        <v>0</v>
      </c>
      <c r="BC55" s="258">
        <f t="shared" si="49"/>
        <v>0</v>
      </c>
      <c r="BD55" s="137">
        <f t="shared" si="50"/>
        <v>1.711896265560453E-5</v>
      </c>
      <c r="BE55" s="137">
        <f t="shared" si="51"/>
        <v>2.1179446968222493E-5</v>
      </c>
      <c r="BF55" s="137">
        <f>_xll.xSPRDOPT($BW55,$BV55,$CG55,0,$BY55,$BX55,$BZ55,$AJ55,1,4)*$CB55</f>
        <v>3.416670521028256</v>
      </c>
      <c r="BG55" s="137">
        <f>_xll.xSPRDOPT($BW55,$BV55,$CG55,0,$BY55,$BX55,$BZ55,$AJ55,1,3)*$CB55</f>
        <v>3.4788945598327894</v>
      </c>
      <c r="BH55" s="137">
        <f>IF(OR(BF55&lt;&gt;0,BG55&lt;&gt;0),_xll.xSPRDOPT($BW55,$BV55,$CG55,0,$BY55,$BX55,$BZ55,$AJ55,1,12)*$CB55,0)</f>
        <v>-3.4476257166981412</v>
      </c>
      <c r="BI55" s="137">
        <f>_xll.xSPRDOPT($BW55,$BV55,$CG55,2*LN(1+CA55/2),$BY55,$BX55,$BZ55,$AJ55,1,9)</f>
        <v>-4.8035600885761474E-3</v>
      </c>
      <c r="BJ55" s="137">
        <f>_xll.xSPRDOPT($BW55,$BV55,$CG55,0,$BY55,$BX55,$BZ55,$AJ55,1,6)*$CB55</f>
        <v>-0.31895268704440383</v>
      </c>
      <c r="BK55" s="137">
        <f>_xll.xSPRDOPT($BW55,$BV55,$CG55,0,$BY55,$BX55,$BZ55,$AJ55,1,5)*$CB55</f>
        <v>0.41704742026953828</v>
      </c>
      <c r="BL55" s="137">
        <f>_xll.xSPRDOPT(BW55,BV55,CG55,0,BY55,BX55,BZ55,AJ55,1,2)*CB55</f>
        <v>-0.32411495102892479</v>
      </c>
      <c r="BM55" s="137">
        <f>_xll.xSPRDOPT(BW55,BV55,CG55,0,BY55,BX55,BZ55,AJ55,1,1)*CB55</f>
        <v>0.33333092941096809</v>
      </c>
      <c r="BN55" s="137">
        <f>IF(AH55&lt;&gt;0,_xll.xSPRDOPT($BW55,$BV55,$CG55,2*LN(1+CA55/2),$BY55,$BX55,$BZ55,$AJ55,1,8)+(AJ55/365.25)*CH55/AH55,0)</f>
        <v>0.19775629371893885</v>
      </c>
      <c r="BO55" s="137">
        <f>_xll.xSPRDOPT($BW55,$BV55,$CG55,0,$BY55,$BX55,$BZ55,$AJ55,1,0)</f>
        <v>2.4808287125593027E-2</v>
      </c>
      <c r="BP55" s="137"/>
      <c r="BQ55" s="137"/>
      <c r="BR55" s="137"/>
      <c r="BS55" s="137"/>
      <c r="BV55" s="262">
        <v>3.4599064862304068</v>
      </c>
      <c r="BW55" s="136">
        <v>3.4470000000000001</v>
      </c>
      <c r="BX55" s="137">
        <v>0.32595779163522209</v>
      </c>
      <c r="BY55" s="137">
        <v>0.32738695280580421</v>
      </c>
      <c r="BZ55" s="137">
        <v>0.99874259088932427</v>
      </c>
      <c r="CA55" s="137">
        <v>4.3133129078657198E-2</v>
      </c>
      <c r="CB55" s="137">
        <v>0.88599604782278252</v>
      </c>
      <c r="CC55" s="258">
        <v>-2.5000000000000001E-2</v>
      </c>
      <c r="CD55" s="258">
        <v>5.7500000000000002E-2</v>
      </c>
      <c r="CE55" s="258">
        <v>0.14499999999999999</v>
      </c>
      <c r="CF55" s="258">
        <v>-2.5000000000000001E-2</v>
      </c>
      <c r="CG55" s="258">
        <v>1.9200000000000002E-2</v>
      </c>
      <c r="CH55" s="258">
        <v>2.8427183194393977</v>
      </c>
      <c r="CI55" s="258">
        <v>3.327</v>
      </c>
    </row>
    <row r="56" spans="1:87" x14ac:dyDescent="0.25">
      <c r="A56" s="723"/>
      <c r="B56" s="723"/>
      <c r="D56" s="31">
        <f t="shared" si="36"/>
        <v>38306</v>
      </c>
      <c r="F56" s="28">
        <f t="shared" si="37"/>
        <v>15000</v>
      </c>
      <c r="G56" s="28">
        <f t="shared" si="12"/>
        <v>13224.351715399462</v>
      </c>
      <c r="H56" s="52">
        <f t="shared" si="38"/>
        <v>3.6164493604399683</v>
      </c>
      <c r="I56" s="52">
        <f t="shared" si="39"/>
        <v>3.649</v>
      </c>
      <c r="K56" s="52">
        <f t="shared" si="28"/>
        <v>0.35310710633476966</v>
      </c>
      <c r="L56" s="135">
        <f t="shared" si="29"/>
        <v>1.1843049810806245</v>
      </c>
      <c r="N56" s="131">
        <f t="shared" si="30"/>
        <v>0.33162000992991286</v>
      </c>
      <c r="O56" s="131">
        <f t="shared" si="31"/>
        <v>0.33336736915436316</v>
      </c>
      <c r="P56" s="55">
        <f t="shared" si="32"/>
        <v>0.9981218826397944</v>
      </c>
      <c r="Q56" s="135">
        <f>_xll.xSPRDOPT(I56,H56,AQ56,0,O56,N56,P56,D56-$G$5,1,0)*AH56*AU56</f>
        <v>1.5374120874153943</v>
      </c>
      <c r="R56" s="135"/>
      <c r="S56" s="181">
        <f>_xll.xSPRDOPT(I56,H56,AQ56,AT56,O56,N56,P56,D56-$G$5,1,2)*AF56*(F56/(1-AR56))*AH56</f>
        <v>-218239.46518024156</v>
      </c>
      <c r="T56" s="181">
        <f>_xll.xSPRDOPT(I56,H56,AQ56,AT56,O56,N56,P56,D56-$G$5,1,1)*AF56*F56*AH56</f>
        <v>217370.12072369116</v>
      </c>
      <c r="U56" s="135"/>
      <c r="V56" s="146">
        <f t="shared" si="40"/>
        <v>2.7374408050876888</v>
      </c>
      <c r="W56" s="146"/>
      <c r="X56" s="338">
        <f t="shared" si="41"/>
        <v>0</v>
      </c>
      <c r="Y56" s="338">
        <f t="shared" si="13"/>
        <v>0</v>
      </c>
      <c r="Z56" s="338">
        <f t="shared" si="14"/>
        <v>-20.221583146871396</v>
      </c>
      <c r="AA56" s="338">
        <f t="shared" si="15"/>
        <v>2.8451750343821325</v>
      </c>
      <c r="AB56" s="338">
        <f t="shared" si="42"/>
        <v>0</v>
      </c>
      <c r="AC56" s="338">
        <f t="shared" si="43"/>
        <v>8.2785340784040073</v>
      </c>
      <c r="AF56" s="138">
        <f t="shared" si="44"/>
        <v>1</v>
      </c>
      <c r="AG56" s="138">
        <f t="shared" si="45"/>
        <v>11</v>
      </c>
      <c r="AH56" s="138">
        <f t="shared" si="52"/>
        <v>30</v>
      </c>
      <c r="AI56" s="138">
        <f t="shared" si="46"/>
        <v>1050</v>
      </c>
      <c r="AJ56" s="138">
        <f t="shared" si="47"/>
        <v>1067</v>
      </c>
      <c r="AL56" s="136">
        <f t="shared" si="17"/>
        <v>3.4790000000000001</v>
      </c>
      <c r="AM56" s="258">
        <f t="shared" si="18"/>
        <v>-2.5000000000000001E-2</v>
      </c>
      <c r="AN56" s="258">
        <f t="shared" si="19"/>
        <v>5.7500000000000002E-2</v>
      </c>
      <c r="AO56" s="258">
        <f t="shared" si="20"/>
        <v>0.19500000000000001</v>
      </c>
      <c r="AP56" s="258">
        <f t="shared" si="21"/>
        <v>-2.4999999999999998E-2</v>
      </c>
      <c r="AQ56" s="136">
        <f t="shared" si="48"/>
        <v>1.9200000000000002E-2</v>
      </c>
      <c r="AR56" s="137">
        <f t="shared" si="22"/>
        <v>2.9020000000000001E-2</v>
      </c>
      <c r="AS56" s="136">
        <f t="shared" si="33"/>
        <v>3.5115000000000003</v>
      </c>
      <c r="AT56" s="137">
        <f t="shared" si="34"/>
        <v>4.37209690349563E-2</v>
      </c>
      <c r="AU56" s="137">
        <f t="shared" si="23"/>
        <v>0.88162344769329748</v>
      </c>
      <c r="AV56" s="394">
        <f t="shared" si="35"/>
        <v>11849.019136997918</v>
      </c>
      <c r="AW56" s="137">
        <f t="shared" si="24"/>
        <v>0.32</v>
      </c>
      <c r="AX56" s="137">
        <f t="shared" si="25"/>
        <v>0.8</v>
      </c>
      <c r="AY56" s="137">
        <f t="shared" si="26"/>
        <v>0.85</v>
      </c>
      <c r="AZ56" s="137"/>
      <c r="BA56" s="264"/>
      <c r="BB56" s="258">
        <f t="shared" si="27"/>
        <v>0</v>
      </c>
      <c r="BC56" s="258">
        <f t="shared" si="49"/>
        <v>0</v>
      </c>
      <c r="BD56" s="137">
        <f t="shared" si="50"/>
        <v>3.2070164678321689E-5</v>
      </c>
      <c r="BE56" s="137">
        <f t="shared" si="51"/>
        <v>3.6798004758975544E-5</v>
      </c>
      <c r="BF56" s="137">
        <f>_xll.xSPRDOPT($BW56,$BV56,$CG56,0,$BY56,$BX56,$BZ56,$AJ56,1,4)*$CB56</f>
        <v>2.7354678264800643</v>
      </c>
      <c r="BG56" s="137">
        <f>_xll.xSPRDOPT($BW56,$BV56,$CG56,0,$BY56,$BX56,$BZ56,$AJ56,1,3)*$CB56</f>
        <v>2.7154242267442794</v>
      </c>
      <c r="BH56" s="137">
        <f>IF(OR(BF56&lt;&gt;0,BG56&lt;&gt;0),_xll.xSPRDOPT($BW56,$BV56,$CG56,0,$BY56,$BX56,$BZ56,$AJ56,1,12)*$CB56,0)</f>
        <v>-2.725412186145789</v>
      </c>
      <c r="BI56" s="137">
        <f>_xll.xSPRDOPT($BW56,$BV56,$CG56,2*LN(1+CA56/2),$BY56,$BX56,$BZ56,$AJ56,1,9)</f>
        <v>-5.4710616625146492E-3</v>
      </c>
      <c r="BJ56" s="137">
        <f>_xll.xSPRDOPT($BW56,$BV56,$CG56,0,$BY56,$BX56,$BZ56,$AJ56,1,6)*$CB56</f>
        <v>-0.30090550111042313</v>
      </c>
      <c r="BK56" s="137">
        <f>_xll.xSPRDOPT($BW56,$BV56,$CG56,0,$BY56,$BX56,$BZ56,$AJ56,1,5)*$CB56</f>
        <v>0.43406429955537379</v>
      </c>
      <c r="BL56" s="137">
        <f>_xll.xSPRDOPT(BW56,BV56,CG56,0,BY56,BX56,BZ56,AJ56,1,2)*CB56</f>
        <v>-0.47138220792673197</v>
      </c>
      <c r="BM56" s="137">
        <f>_xll.xSPRDOPT(BW56,BV56,CG56,0,BY56,BX56,BZ56,AJ56,1,1)*CB56</f>
        <v>0.48353657043356446</v>
      </c>
      <c r="BN56" s="137">
        <f>IF(AH56&lt;&gt;0,_xll.xSPRDOPT($BW56,$BV56,$CG56,2*LN(1+CA56/2),$BY56,$BX56,$BZ56,$AJ56,1,8)+(AJ56/365.25)*CH56/AH56,0)</f>
        <v>0.11681091817068204</v>
      </c>
      <c r="BO56" s="137">
        <f>_xll.xSPRDOPT($BW56,$BV56,$CG56,0,$BY56,$BX56,$BZ56,$AJ56,1,0)</f>
        <v>5.8128787288742254E-2</v>
      </c>
      <c r="BP56" s="137"/>
      <c r="BQ56" s="137"/>
      <c r="BR56" s="137"/>
      <c r="BS56" s="137"/>
      <c r="BV56" s="262">
        <v>3.6164493604399683</v>
      </c>
      <c r="BW56" s="136">
        <v>3.649</v>
      </c>
      <c r="BX56" s="137">
        <v>0.33158793976523454</v>
      </c>
      <c r="BY56" s="137">
        <v>0.33333057114960418</v>
      </c>
      <c r="BZ56" s="137">
        <v>0.99812673449876388</v>
      </c>
      <c r="CA56" s="137">
        <v>4.37209690349563E-2</v>
      </c>
      <c r="CB56" s="137">
        <v>0.88131031923448877</v>
      </c>
      <c r="CC56" s="258">
        <v>-2.5000000000000001E-2</v>
      </c>
      <c r="CD56" s="258">
        <v>5.7500000000000002E-2</v>
      </c>
      <c r="CE56" s="258">
        <v>0.19500000000000001</v>
      </c>
      <c r="CF56" s="258">
        <v>-2.5000000000000001E-2</v>
      </c>
      <c r="CG56" s="258">
        <v>1.9200000000000002E-2</v>
      </c>
      <c r="CH56" s="258">
        <v>2.7364685412230876</v>
      </c>
      <c r="CI56" s="258">
        <v>3.4790000000000001</v>
      </c>
    </row>
    <row r="57" spans="1:87" x14ac:dyDescent="0.25">
      <c r="A57" s="723"/>
      <c r="B57" s="723"/>
      <c r="D57" s="31">
        <f t="shared" si="36"/>
        <v>38336</v>
      </c>
      <c r="F57" s="28">
        <f t="shared" si="37"/>
        <v>15000</v>
      </c>
      <c r="G57" s="28">
        <f t="shared" si="12"/>
        <v>13155.505983792151</v>
      </c>
      <c r="H57" s="52">
        <f t="shared" si="38"/>
        <v>3.763723248676595</v>
      </c>
      <c r="I57" s="52">
        <f t="shared" si="39"/>
        <v>3.8119999999999998</v>
      </c>
      <c r="K57" s="52">
        <f t="shared" si="28"/>
        <v>0.79054004378352916</v>
      </c>
      <c r="L57" s="135">
        <f t="shared" si="29"/>
        <v>1.4317767738022646</v>
      </c>
      <c r="N57" s="131">
        <f t="shared" si="30"/>
        <v>0.33926384180861408</v>
      </c>
      <c r="O57" s="131">
        <f t="shared" si="31"/>
        <v>0.34139450110637204</v>
      </c>
      <c r="P57" s="55">
        <f t="shared" si="32"/>
        <v>0.99730156146096804</v>
      </c>
      <c r="Q57" s="135">
        <f>_xll.xSPRDOPT(I57,H57,AQ57,0,O57,N57,P57,D57-$G$5,1,0)*AH57*AU57</f>
        <v>2.2223168175857939</v>
      </c>
      <c r="R57" s="135"/>
      <c r="S57" s="181">
        <f>_xll.xSPRDOPT(I57,H57,AQ57,AT57,O57,N57,P57,D57-$G$5,1,2)*AF57*(F57/(1-AR57))*AH57</f>
        <v>-235388.90667135417</v>
      </c>
      <c r="T57" s="181">
        <f>_xll.xSPRDOPT(I57,H57,AQ57,AT57,O57,N57,P57,D57-$G$5,1,1)*AF57*F57*AH57</f>
        <v>235485.08544497169</v>
      </c>
      <c r="U57" s="135"/>
      <c r="V57" s="146">
        <f t="shared" si="40"/>
        <v>2.8139627299331407</v>
      </c>
      <c r="W57" s="146"/>
      <c r="X57" s="338">
        <f t="shared" si="41"/>
        <v>0</v>
      </c>
      <c r="Y57" s="338">
        <f t="shared" si="13"/>
        <v>0</v>
      </c>
      <c r="Z57" s="338">
        <f t="shared" si="14"/>
        <v>-24.370841972432995</v>
      </c>
      <c r="AA57" s="338">
        <f t="shared" si="15"/>
        <v>5.0352649978277348</v>
      </c>
      <c r="AB57" s="338">
        <f t="shared" si="42"/>
        <v>0</v>
      </c>
      <c r="AC57" s="338">
        <f t="shared" si="43"/>
        <v>12.122148081196768</v>
      </c>
      <c r="AF57" s="138">
        <f t="shared" si="44"/>
        <v>1</v>
      </c>
      <c r="AG57" s="138">
        <f t="shared" si="45"/>
        <v>12</v>
      </c>
      <c r="AH57" s="138">
        <f t="shared" si="52"/>
        <v>31</v>
      </c>
      <c r="AI57" s="138">
        <f t="shared" si="46"/>
        <v>1080</v>
      </c>
      <c r="AJ57" s="138">
        <f t="shared" si="47"/>
        <v>1097</v>
      </c>
      <c r="AL57" s="136">
        <f t="shared" si="17"/>
        <v>3.6219999999999999</v>
      </c>
      <c r="AM57" s="258">
        <f t="shared" si="18"/>
        <v>-2.5000000000000001E-2</v>
      </c>
      <c r="AN57" s="258">
        <f t="shared" si="19"/>
        <v>5.7500000000000002E-2</v>
      </c>
      <c r="AO57" s="258">
        <f t="shared" si="20"/>
        <v>0.215</v>
      </c>
      <c r="AP57" s="258">
        <f t="shared" si="21"/>
        <v>-2.4999999999999998E-2</v>
      </c>
      <c r="AQ57" s="136">
        <f t="shared" si="48"/>
        <v>1.9200000000000002E-2</v>
      </c>
      <c r="AR57" s="137">
        <f t="shared" si="22"/>
        <v>2.9020000000000001E-2</v>
      </c>
      <c r="AS57" s="136">
        <f t="shared" si="33"/>
        <v>3.6545000000000001</v>
      </c>
      <c r="AT57" s="137">
        <f t="shared" si="34"/>
        <v>4.4289846522210997E-2</v>
      </c>
      <c r="AU57" s="137">
        <f t="shared" si="23"/>
        <v>0.87703373225281001</v>
      </c>
      <c r="AV57" s="394">
        <f t="shared" si="35"/>
        <v>12180.244473527026</v>
      </c>
      <c r="AW57" s="137">
        <f t="shared" si="24"/>
        <v>0.32</v>
      </c>
      <c r="AX57" s="137">
        <f t="shared" si="25"/>
        <v>1</v>
      </c>
      <c r="AY57" s="137">
        <f t="shared" si="26"/>
        <v>1.05</v>
      </c>
      <c r="AZ57" s="137"/>
      <c r="BA57" s="264"/>
      <c r="BB57" s="258">
        <f t="shared" si="27"/>
        <v>0</v>
      </c>
      <c r="BC57" s="258">
        <f t="shared" si="49"/>
        <v>0</v>
      </c>
      <c r="BD57" s="137">
        <f t="shared" si="50"/>
        <v>5.1119724299109048E-5</v>
      </c>
      <c r="BE57" s="137">
        <f t="shared" si="51"/>
        <v>5.6602214606349399E-5</v>
      </c>
      <c r="BF57" s="137">
        <f>_xll.xSPRDOPT($BW57,$BV57,$CG57,0,$BY57,$BX57,$BZ57,$AJ57,1,4)*$CB57</f>
        <v>2.0911235034837636</v>
      </c>
      <c r="BG57" s="137">
        <f>_xll.xSPRDOPT($BW57,$BV57,$CG57,0,$BY57,$BX57,$BZ57,$AJ57,1,3)*$CB57</f>
        <v>2.0594260357606791</v>
      </c>
      <c r="BH57" s="137">
        <f>IF(OR(BF57&lt;&gt;0,BG57&lt;&gt;0),_xll.xSPRDOPT($BW57,$BV57,$CG57,0,$BY57,$BX57,$BZ57,$AJ57,1,12)*$CB57,0)</f>
        <v>-2.0752019617331299</v>
      </c>
      <c r="BI57" s="137">
        <f>_xll.xSPRDOPT($BW57,$BV57,$CG57,2*LN(1+CA57/2),$BY57,$BX57,$BZ57,$AJ57,1,9)</f>
        <v>-6.3809677637499292E-3</v>
      </c>
      <c r="BJ57" s="137">
        <f>_xll.xSPRDOPT($BW57,$BV57,$CG57,0,$BY57,$BX57,$BZ57,$AJ57,1,6)*$CB57</f>
        <v>-0.2622914773719176</v>
      </c>
      <c r="BK57" s="137">
        <f>_xll.xSPRDOPT($BW57,$BV57,$CG57,0,$BY57,$BX57,$BZ57,$AJ57,1,5)*$CB57</f>
        <v>0.42819516965663984</v>
      </c>
      <c r="BL57" s="137">
        <f>_xll.xSPRDOPT(BW57,BV57,CG57,0,BY57,BX57,BZ57,AJ57,1,2)*CB57</f>
        <v>-0.49205735265474759</v>
      </c>
      <c r="BM57" s="137">
        <f>_xll.xSPRDOPT(BW57,BV57,CG57,0,BY57,BX57,BZ57,AJ57,1,1)*CB57</f>
        <v>0.50697060562643748</v>
      </c>
      <c r="BN57" s="137">
        <f>IF(AH57&lt;&gt;0,_xll.xSPRDOPT($BW57,$BV57,$CG57,2*LN(1+CA57/2),$BY57,$BX57,$BZ57,$AJ57,1,8)+(AJ57/365.25)*CH57/AH57,0)</f>
        <v>5.7299061156622061E-2</v>
      </c>
      <c r="BO57" s="137">
        <f>_xll.xSPRDOPT($BW57,$BV57,$CG57,0,$BY57,$BX57,$BZ57,$AJ57,1,0)</f>
        <v>8.1739389864237677E-2</v>
      </c>
      <c r="BP57" s="137"/>
      <c r="BQ57" s="137"/>
      <c r="BR57" s="137"/>
      <c r="BS57" s="137"/>
      <c r="BV57" s="262">
        <v>3.763723248676595</v>
      </c>
      <c r="BW57" s="136">
        <v>3.8119999999999998</v>
      </c>
      <c r="BX57" s="137">
        <v>0.33921272208431497</v>
      </c>
      <c r="BY57" s="137">
        <v>0.34133789889176569</v>
      </c>
      <c r="BZ57" s="137">
        <v>0.99730803180917549</v>
      </c>
      <c r="CA57" s="137">
        <v>4.4289846522210997E-2</v>
      </c>
      <c r="CB57" s="137">
        <v>0.8767182256484275</v>
      </c>
      <c r="CC57" s="258">
        <v>-2.5000000000000001E-2</v>
      </c>
      <c r="CD57" s="258">
        <v>5.7500000000000002E-2</v>
      </c>
      <c r="CE57" s="258">
        <v>0.215</v>
      </c>
      <c r="CF57" s="258">
        <v>-2.5000000000000001E-2</v>
      </c>
      <c r="CG57" s="258">
        <v>1.9200000000000002E-2</v>
      </c>
      <c r="CH57" s="258">
        <v>2.8129504269929795</v>
      </c>
      <c r="CI57" s="258">
        <v>3.6219999999999999</v>
      </c>
    </row>
    <row r="58" spans="1:87" x14ac:dyDescent="0.25">
      <c r="A58" s="723"/>
      <c r="B58" s="723"/>
      <c r="D58" s="31">
        <f t="shared" si="36"/>
        <v>38367</v>
      </c>
      <c r="F58" s="28">
        <f t="shared" si="37"/>
        <v>15000</v>
      </c>
      <c r="G58" s="28">
        <f t="shared" si="12"/>
        <v>13084.390222085625</v>
      </c>
      <c r="H58" s="52">
        <f t="shared" si="38"/>
        <v>3.825516488496159</v>
      </c>
      <c r="I58" s="52">
        <f t="shared" si="39"/>
        <v>3.8919999999999999</v>
      </c>
      <c r="K58" s="52">
        <f t="shared" si="28"/>
        <v>1.2785968922125737</v>
      </c>
      <c r="L58" s="135">
        <f t="shared" si="29"/>
        <v>1.2547406279810585</v>
      </c>
      <c r="N58" s="131">
        <f t="shared" si="30"/>
        <v>0.33874838161277315</v>
      </c>
      <c r="O58" s="131">
        <f t="shared" si="31"/>
        <v>0.34082371955573526</v>
      </c>
      <c r="P58" s="55">
        <f t="shared" si="32"/>
        <v>0.99736695822164156</v>
      </c>
      <c r="Q58" s="135">
        <f>_xll.xSPRDOPT(I58,H58,AQ58,0,O58,N58,P58,D58-$G$5,1,0)*AH58*AU58</f>
        <v>2.5333375201936321</v>
      </c>
      <c r="R58" s="135"/>
      <c r="S58" s="181">
        <f>_xll.xSPRDOPT(I58,H58,AQ58,AT58,O58,N58,P58,D58-$G$5,1,2)*AF58*(F58/(1-AR58))*AH58</f>
        <v>-251116.3307296831</v>
      </c>
      <c r="T58" s="181">
        <f>_xll.xSPRDOPT(I58,H58,AQ58,AT58,O58,N58,P58,D58-$G$5,1,1)*AF58*F58*AH58</f>
        <v>250555.74800151432</v>
      </c>
      <c r="U58" s="135"/>
      <c r="V58" s="146">
        <f t="shared" si="40"/>
        <v>2.798751068504115</v>
      </c>
      <c r="W58" s="146"/>
      <c r="X58" s="338">
        <f t="shared" si="41"/>
        <v>0</v>
      </c>
      <c r="Y58" s="338">
        <f t="shared" si="13"/>
        <v>0</v>
      </c>
      <c r="Z58" s="338">
        <f t="shared" si="14"/>
        <v>-21.145455256534266</v>
      </c>
      <c r="AA58" s="338">
        <f t="shared" si="15"/>
        <v>4.7349282641201587</v>
      </c>
      <c r="AB58" s="338">
        <f t="shared" si="42"/>
        <v>0</v>
      </c>
      <c r="AC58" s="338">
        <f t="shared" si="43"/>
        <v>13.994899870633754</v>
      </c>
      <c r="AF58" s="138">
        <f t="shared" si="44"/>
        <v>1</v>
      </c>
      <c r="AG58" s="138">
        <f t="shared" si="45"/>
        <v>1</v>
      </c>
      <c r="AH58" s="138">
        <f t="shared" si="52"/>
        <v>31</v>
      </c>
      <c r="AI58" s="138">
        <f t="shared" si="46"/>
        <v>1111</v>
      </c>
      <c r="AJ58" s="138">
        <f t="shared" si="47"/>
        <v>1128</v>
      </c>
      <c r="AL58" s="136">
        <f t="shared" si="17"/>
        <v>3.6819999999999999</v>
      </c>
      <c r="AM58" s="258">
        <f t="shared" si="18"/>
        <v>-2.5000000000000001E-2</v>
      </c>
      <c r="AN58" s="258">
        <f t="shared" si="19"/>
        <v>5.7500000000000002E-2</v>
      </c>
      <c r="AO58" s="258">
        <f t="shared" si="20"/>
        <v>0.23499999999999999</v>
      </c>
      <c r="AP58" s="258">
        <f t="shared" si="21"/>
        <v>-2.4999999999999998E-2</v>
      </c>
      <c r="AQ58" s="136">
        <f t="shared" si="48"/>
        <v>1.9200000000000002E-2</v>
      </c>
      <c r="AR58" s="137">
        <f t="shared" si="22"/>
        <v>2.9020000000000001E-2</v>
      </c>
      <c r="AS58" s="136">
        <f t="shared" si="33"/>
        <v>3.7145000000000001</v>
      </c>
      <c r="AT58" s="137">
        <f t="shared" si="34"/>
        <v>4.4854887495736399E-2</v>
      </c>
      <c r="AU58" s="137">
        <f t="shared" si="23"/>
        <v>0.87229268147237504</v>
      </c>
      <c r="AV58" s="394">
        <f t="shared" si="35"/>
        <v>12114.400760288345</v>
      </c>
      <c r="AW58" s="137">
        <f t="shared" si="24"/>
        <v>0.32</v>
      </c>
      <c r="AX58" s="137">
        <f t="shared" si="25"/>
        <v>1</v>
      </c>
      <c r="AY58" s="137">
        <f t="shared" si="26"/>
        <v>1.05</v>
      </c>
      <c r="AZ58" s="137"/>
      <c r="BA58" s="264"/>
      <c r="BB58" s="258">
        <f t="shared" si="27"/>
        <v>0</v>
      </c>
      <c r="BC58" s="258">
        <f t="shared" si="49"/>
        <v>0</v>
      </c>
      <c r="BD58" s="137">
        <f t="shared" si="50"/>
        <v>4.8421939609133435E-5</v>
      </c>
      <c r="BE58" s="137">
        <f t="shared" si="51"/>
        <v>5.3623271642766479E-5</v>
      </c>
      <c r="BF58" s="137">
        <f>_xll.xSPRDOPT($BW58,$BV58,$CG58,0,$BY58,$BX58,$BZ58,$AJ58,1,4)*$CB58</f>
        <v>2.0025717840135298</v>
      </c>
      <c r="BG58" s="137">
        <f>_xll.xSPRDOPT($BW58,$BV58,$CG58,0,$BY58,$BX58,$BZ58,$AJ58,1,3)*$CB58</f>
        <v>1.9544411910070998</v>
      </c>
      <c r="BH58" s="137">
        <f>IF(OR(BF58&lt;&gt;0,BG58&lt;&gt;0),_xll.xSPRDOPT($BW58,$BV58,$CG58,0,$BY58,$BX58,$BZ58,$AJ58,1,12)*$CB58,0)</f>
        <v>-1.9783497214561168</v>
      </c>
      <c r="BI58" s="137">
        <f>_xll.xSPRDOPT($BW58,$BV58,$CG58,2*LN(1+CA58/2),$BY58,$BX58,$BZ58,$AJ58,1,9)</f>
        <v>-5.5364713494259069E-3</v>
      </c>
      <c r="BJ58" s="137">
        <f>_xll.xSPRDOPT($BW58,$BV58,$CG58,0,$BY58,$BX58,$BZ58,$AJ58,1,6)*$CB58</f>
        <v>-0.26241337159643574</v>
      </c>
      <c r="BK58" s="137">
        <f>_xll.xSPRDOPT($BW58,$BV58,$CG58,0,$BY58,$BX58,$BZ58,$AJ58,1,5)*$CB58</f>
        <v>0.42685209535093221</v>
      </c>
      <c r="BL58" s="137">
        <f>_xll.xSPRDOPT(BW58,BV58,CG58,0,BY58,BX58,BZ58,AJ58,1,2)*CB58</f>
        <v>-0.5249727260924133</v>
      </c>
      <c r="BM58" s="137">
        <f>_xll.xSPRDOPT(BW58,BV58,CG58,0,BY58,BX58,BZ58,AJ58,1,1)*CB58</f>
        <v>0.53945572880977355</v>
      </c>
      <c r="BN58" s="137">
        <f>IF(AH58&lt;&gt;0,_xll.xSPRDOPT($BW58,$BV58,$CG58,2*LN(1+CA58/2),$BY58,$BX58,$BZ58,$AJ58,1,8)+(AJ58/365.25)*CH58/AH58,0)</f>
        <v>2.642982126604021E-2</v>
      </c>
      <c r="BO58" s="137">
        <f>_xll.xSPRDOPT($BW58,$BV58,$CG58,0,$BY58,$BX58,$BZ58,$AJ58,1,0)</f>
        <v>9.3685428201684601E-2</v>
      </c>
      <c r="BP58" s="137"/>
      <c r="BQ58" s="137"/>
      <c r="BR58" s="137"/>
      <c r="BS58" s="137"/>
      <c r="BV58" s="262">
        <v>3.825516488496159</v>
      </c>
      <c r="BW58" s="136">
        <v>3.8919999999999999</v>
      </c>
      <c r="BX58" s="137">
        <v>0.33869995967316402</v>
      </c>
      <c r="BY58" s="137">
        <v>0.34077009628409249</v>
      </c>
      <c r="BZ58" s="137">
        <v>0.99737311911970583</v>
      </c>
      <c r="CA58" s="137">
        <v>4.4854887495736399E-2</v>
      </c>
      <c r="CB58" s="137">
        <v>0.87197492181025593</v>
      </c>
      <c r="CC58" s="258">
        <v>-2.5000000000000001E-2</v>
      </c>
      <c r="CD58" s="258">
        <v>5.7500000000000002E-2</v>
      </c>
      <c r="CE58" s="258">
        <v>0.23499999999999999</v>
      </c>
      <c r="CF58" s="258">
        <v>-2.5000000000000001E-2</v>
      </c>
      <c r="CG58" s="258">
        <v>1.9200000000000002E-2</v>
      </c>
      <c r="CH58" s="258">
        <v>2.7977315366282061</v>
      </c>
      <c r="CI58" s="258">
        <v>3.6819999999999999</v>
      </c>
    </row>
    <row r="59" spans="1:87" x14ac:dyDescent="0.25">
      <c r="A59" s="723"/>
      <c r="B59" s="723"/>
      <c r="D59" s="31">
        <f t="shared" si="36"/>
        <v>38398</v>
      </c>
      <c r="F59" s="28">
        <f t="shared" si="37"/>
        <v>15000</v>
      </c>
      <c r="G59" s="28">
        <f t="shared" si="12"/>
        <v>13013.20037378887</v>
      </c>
      <c r="H59" s="52">
        <f t="shared" si="38"/>
        <v>3.7379760654184437</v>
      </c>
      <c r="I59" s="52">
        <f t="shared" si="39"/>
        <v>3.8069999999999999</v>
      </c>
      <c r="K59" s="52">
        <f t="shared" si="28"/>
        <v>1.2102885090246336</v>
      </c>
      <c r="L59" s="135">
        <f t="shared" si="29"/>
        <v>0.99434044073923888</v>
      </c>
      <c r="N59" s="131">
        <f t="shared" si="30"/>
        <v>0.33420972413423633</v>
      </c>
      <c r="O59" s="131">
        <f t="shared" si="31"/>
        <v>0.33606173419009072</v>
      </c>
      <c r="P59" s="55">
        <f t="shared" si="32"/>
        <v>0.99761609348657188</v>
      </c>
      <c r="Q59" s="135">
        <f>_xll.xSPRDOPT(I59,H59,AQ59,0,O59,N59,P59,D59-$G$5,1,0)*AH59*AU59</f>
        <v>2.2046289497638725</v>
      </c>
      <c r="R59" s="135"/>
      <c r="S59" s="181">
        <f>_xll.xSPRDOPT(I59,H59,AQ59,AT59,O59,N59,P59,D59-$G$5,1,2)*AF59*(F59/(1-AR59))*AH59</f>
        <v>-231063.38092594463</v>
      </c>
      <c r="T59" s="181">
        <f>_xll.xSPRDOPT(I59,H59,AQ59,AT59,O59,N59,P59,D59-$G$5,1,1)*AF59*F59*AH59</f>
        <v>230038.14767664153</v>
      </c>
      <c r="U59" s="135"/>
      <c r="V59" s="146">
        <f t="shared" si="40"/>
        <v>2.5141503122160094</v>
      </c>
      <c r="W59" s="146"/>
      <c r="X59" s="338">
        <f t="shared" si="41"/>
        <v>0</v>
      </c>
      <c r="Y59" s="338">
        <f t="shared" si="13"/>
        <v>0</v>
      </c>
      <c r="Z59" s="338">
        <f t="shared" si="14"/>
        <v>-15.957609481878359</v>
      </c>
      <c r="AA59" s="338">
        <f t="shared" si="15"/>
        <v>3.4972646690229672</v>
      </c>
      <c r="AB59" s="338">
        <f t="shared" si="42"/>
        <v>0</v>
      </c>
      <c r="AC59" s="338">
        <f t="shared" si="43"/>
        <v>12.327276255518607</v>
      </c>
      <c r="AF59" s="138">
        <f t="shared" si="44"/>
        <v>1</v>
      </c>
      <c r="AG59" s="138">
        <f t="shared" si="45"/>
        <v>2</v>
      </c>
      <c r="AH59" s="138">
        <f t="shared" si="52"/>
        <v>28</v>
      </c>
      <c r="AI59" s="138">
        <f t="shared" si="46"/>
        <v>1142</v>
      </c>
      <c r="AJ59" s="138">
        <f t="shared" si="47"/>
        <v>1159</v>
      </c>
      <c r="AL59" s="136">
        <f t="shared" si="17"/>
        <v>3.597</v>
      </c>
      <c r="AM59" s="258">
        <f t="shared" si="18"/>
        <v>-2.5000000000000001E-2</v>
      </c>
      <c r="AN59" s="258">
        <f t="shared" si="19"/>
        <v>5.7500000000000002E-2</v>
      </c>
      <c r="AO59" s="258">
        <f t="shared" si="20"/>
        <v>0.23499999999999999</v>
      </c>
      <c r="AP59" s="258">
        <f t="shared" si="21"/>
        <v>-2.4999999999999998E-2</v>
      </c>
      <c r="AQ59" s="136">
        <f t="shared" si="48"/>
        <v>1.9200000000000002E-2</v>
      </c>
      <c r="AR59" s="137">
        <f t="shared" si="22"/>
        <v>2.9020000000000001E-2</v>
      </c>
      <c r="AS59" s="136">
        <f t="shared" si="33"/>
        <v>3.6295000000000002</v>
      </c>
      <c r="AT59" s="137">
        <f t="shared" si="34"/>
        <v>4.5401152752323697E-2</v>
      </c>
      <c r="AU59" s="137">
        <f t="shared" si="23"/>
        <v>0.86754669158592468</v>
      </c>
      <c r="AV59" s="394">
        <f t="shared" si="35"/>
        <v>10882.505699253839</v>
      </c>
      <c r="AW59" s="137">
        <f t="shared" si="24"/>
        <v>0.3175</v>
      </c>
      <c r="AX59" s="137">
        <f t="shared" si="25"/>
        <v>1</v>
      </c>
      <c r="AY59" s="137">
        <f t="shared" si="26"/>
        <v>1.05</v>
      </c>
      <c r="AZ59" s="137"/>
      <c r="BA59" s="264"/>
      <c r="BB59" s="258">
        <f t="shared" si="27"/>
        <v>0</v>
      </c>
      <c r="BC59" s="258">
        <f t="shared" si="49"/>
        <v>0</v>
      </c>
      <c r="BD59" s="137">
        <f t="shared" si="50"/>
        <v>4.2173498050079861E-5</v>
      </c>
      <c r="BE59" s="137">
        <f t="shared" si="51"/>
        <v>4.6722289423262175E-5</v>
      </c>
      <c r="BF59" s="137">
        <f>_xll.xSPRDOPT($BW59,$BV59,$CG59,0,$BY59,$BX59,$BZ59,$AJ59,1,4)*$CB59</f>
        <v>2.1192046273883212</v>
      </c>
      <c r="BG59" s="137">
        <f>_xll.xSPRDOPT($BW59,$BV59,$CG59,0,$BY59,$BX59,$BZ59,$AJ59,1,3)*$CB59</f>
        <v>2.0644118027792149</v>
      </c>
      <c r="BH59" s="137">
        <f>IF(OR(BF59&lt;&gt;0,BG59&lt;&gt;0),_xll.xSPRDOPT($BW59,$BV59,$CG59,0,$BY59,$BX59,$BZ59,$AJ59,1,12)*$CB59,0)</f>
        <v>-2.0916178536891099</v>
      </c>
      <c r="BI59" s="137">
        <f>_xll.xSPRDOPT($BW59,$BV59,$CG59,2*LN(1+CA59/2),$BY59,$BX59,$BZ59,$AJ59,1,9)</f>
        <v>-4.6258070343302149E-3</v>
      </c>
      <c r="BJ59" s="137">
        <f>_xll.xSPRDOPT($BW59,$BV59,$CG59,0,$BY59,$BX59,$BZ59,$AJ59,1,6)*$CB59</f>
        <v>-0.26251319135335233</v>
      </c>
      <c r="BK59" s="137">
        <f>_xll.xSPRDOPT($BW59,$BV59,$CG59,0,$BY59,$BX59,$BZ59,$AJ59,1,5)*$CB59</f>
        <v>0.41517486500851669</v>
      </c>
      <c r="BL59" s="137">
        <f>_xll.xSPRDOPT(BW59,BV59,CG59,0,BY59,BX59,BZ59,AJ59,1,2)*CB59</f>
        <v>-0.53484698836093669</v>
      </c>
      <c r="BM59" s="137">
        <f>_xll.xSPRDOPT(BW59,BV59,CG59,0,BY59,BX59,BZ59,AJ59,1,1)*CB59</f>
        <v>0.54838797103852843</v>
      </c>
      <c r="BN59" s="137">
        <f>IF(AH59&lt;&gt;0,_xll.xSPRDOPT($BW59,$BV59,$CG59,2*LN(1+CA59/2),$BY59,$BX59,$BZ59,$AJ59,1,8)+(AJ59/365.25)*CH59/AH59,0)</f>
        <v>3.5062848669010049E-2</v>
      </c>
      <c r="BO59" s="137">
        <f>_xll.xSPRDOPT($BW59,$BV59,$CG59,0,$BY59,$BX59,$BZ59,$AJ59,1,0)</f>
        <v>9.0758479196550029E-2</v>
      </c>
      <c r="BP59" s="137"/>
      <c r="BQ59" s="137"/>
      <c r="BR59" s="137"/>
      <c r="BS59" s="137"/>
      <c r="BV59" s="262">
        <v>3.7379760654184437</v>
      </c>
      <c r="BW59" s="136">
        <v>3.8069999999999999</v>
      </c>
      <c r="BX59" s="137">
        <v>0.33416755063618625</v>
      </c>
      <c r="BY59" s="137">
        <v>0.33601501190066746</v>
      </c>
      <c r="BZ59" s="137">
        <v>0.99762159793793137</v>
      </c>
      <c r="CA59" s="137">
        <v>4.5401152752323697E-2</v>
      </c>
      <c r="CB59" s="137">
        <v>0.86722685559525425</v>
      </c>
      <c r="CC59" s="258">
        <v>-2.5000000000000001E-2</v>
      </c>
      <c r="CD59" s="258">
        <v>5.7500000000000002E-2</v>
      </c>
      <c r="CE59" s="258">
        <v>0.23499999999999999</v>
      </c>
      <c r="CF59" s="258">
        <v>-2.5000000000000001E-2</v>
      </c>
      <c r="CG59" s="258">
        <v>1.9200000000000002E-2</v>
      </c>
      <c r="CH59" s="258">
        <v>2.5132234275150465</v>
      </c>
      <c r="CI59" s="258">
        <v>3.597</v>
      </c>
    </row>
    <row r="60" spans="1:87" x14ac:dyDescent="0.25">
      <c r="A60" s="723"/>
      <c r="B60" s="723"/>
      <c r="D60" s="31">
        <f t="shared" si="36"/>
        <v>38426</v>
      </c>
      <c r="F60" s="28">
        <f t="shared" si="37"/>
        <v>15000</v>
      </c>
      <c r="G60" s="28">
        <f t="shared" si="12"/>
        <v>12948.228737772086</v>
      </c>
      <c r="H60" s="52">
        <f t="shared" si="38"/>
        <v>3.6040907124760557</v>
      </c>
      <c r="I60" s="52">
        <f t="shared" si="39"/>
        <v>3.637</v>
      </c>
      <c r="K60" s="52">
        <f t="shared" si="28"/>
        <v>0.36685604742995914</v>
      </c>
      <c r="L60" s="135">
        <f t="shared" si="29"/>
        <v>1.0257864824471237</v>
      </c>
      <c r="N60" s="131">
        <f t="shared" si="30"/>
        <v>0.31729237574852004</v>
      </c>
      <c r="O60" s="131">
        <f t="shared" si="31"/>
        <v>0.31729237574852004</v>
      </c>
      <c r="P60" s="55">
        <f t="shared" si="32"/>
        <v>0.99853895568322659</v>
      </c>
      <c r="Q60" s="135">
        <f>_xll.xSPRDOPT(I60,H60,AQ60,0,O60,N60,P60,D60-$G$5,1,0)*AH60*AU60</f>
        <v>1.3926425298770828</v>
      </c>
      <c r="R60" s="135"/>
      <c r="S60" s="181">
        <f>_xll.xSPRDOPT(I60,H60,AQ60,AT60,O60,N60,P60,D60-$G$5,1,2)*AF60*(F60/(1-AR60))*AH60</f>
        <v>-223925.8287184666</v>
      </c>
      <c r="T60" s="181">
        <f>_xll.xSPRDOPT(I60,H60,AQ60,AT60,O60,N60,P60,D60-$G$5,1,1)*AF60*F60*AH60</f>
        <v>222299.73874347541</v>
      </c>
      <c r="U60" s="135"/>
      <c r="V60" s="146">
        <f t="shared" si="40"/>
        <v>2.7696261270094493</v>
      </c>
      <c r="W60" s="146"/>
      <c r="X60" s="338">
        <f t="shared" si="41"/>
        <v>0</v>
      </c>
      <c r="Y60" s="338">
        <f t="shared" si="13"/>
        <v>0</v>
      </c>
      <c r="Z60" s="338">
        <f t="shared" si="14"/>
        <v>-14.832436923474775</v>
      </c>
      <c r="AA60" s="338">
        <f t="shared" si="15"/>
        <v>1.3727929792522251</v>
      </c>
      <c r="AB60" s="338">
        <f t="shared" si="42"/>
        <v>0</v>
      </c>
      <c r="AC60" s="338">
        <f t="shared" si="43"/>
        <v>7.8716833517451823</v>
      </c>
      <c r="AF60" s="138">
        <f t="shared" si="44"/>
        <v>1</v>
      </c>
      <c r="AG60" s="138">
        <f t="shared" si="45"/>
        <v>3</v>
      </c>
      <c r="AH60" s="138">
        <f t="shared" si="52"/>
        <v>31</v>
      </c>
      <c r="AI60" s="138">
        <f t="shared" si="46"/>
        <v>1170</v>
      </c>
      <c r="AJ60" s="138">
        <f t="shared" si="47"/>
        <v>1187</v>
      </c>
      <c r="AL60" s="136">
        <f t="shared" si="17"/>
        <v>3.4670000000000001</v>
      </c>
      <c r="AM60" s="258">
        <f t="shared" si="18"/>
        <v>-2.5000000000000001E-2</v>
      </c>
      <c r="AN60" s="258">
        <f t="shared" si="19"/>
        <v>5.7500000000000002E-2</v>
      </c>
      <c r="AO60" s="258">
        <f t="shared" si="20"/>
        <v>0.19500000000000001</v>
      </c>
      <c r="AP60" s="258">
        <f t="shared" si="21"/>
        <v>-2.4999999999999998E-2</v>
      </c>
      <c r="AQ60" s="136">
        <f t="shared" si="48"/>
        <v>1.9200000000000002E-2</v>
      </c>
      <c r="AR60" s="137">
        <f t="shared" si="22"/>
        <v>2.9020000000000001E-2</v>
      </c>
      <c r="AS60" s="136">
        <f t="shared" si="33"/>
        <v>3.4995000000000003</v>
      </c>
      <c r="AT60" s="137">
        <f t="shared" si="34"/>
        <v>4.5894553715070799E-2</v>
      </c>
      <c r="AU60" s="137">
        <f t="shared" si="23"/>
        <v>0.86321524918480574</v>
      </c>
      <c r="AV60" s="394">
        <f t="shared" si="35"/>
        <v>11988.333380678581</v>
      </c>
      <c r="AW60" s="137">
        <f t="shared" si="24"/>
        <v>0.3075</v>
      </c>
      <c r="AX60" s="137">
        <f t="shared" si="25"/>
        <v>0.75</v>
      </c>
      <c r="AY60" s="137">
        <f t="shared" si="26"/>
        <v>0.75</v>
      </c>
      <c r="AZ60" s="137"/>
      <c r="BA60" s="264"/>
      <c r="BB60" s="258">
        <f t="shared" si="27"/>
        <v>0</v>
      </c>
      <c r="BC60" s="258">
        <f t="shared" si="49"/>
        <v>0</v>
      </c>
      <c r="BD60" s="137">
        <f t="shared" si="50"/>
        <v>2.4337327348467053E-5</v>
      </c>
      <c r="BE60" s="137">
        <f t="shared" si="51"/>
        <v>2.4337327348467053E-5</v>
      </c>
      <c r="BF60" s="137">
        <f>_xll.xSPRDOPT($BW60,$BV60,$CG60,0,$BY60,$BX60,$BZ60,$AJ60,1,4)*$CB60</f>
        <v>3.0500117640558235</v>
      </c>
      <c r="BG60" s="137">
        <f>_xll.xSPRDOPT($BW60,$BV60,$CG60,0,$BY60,$BX60,$BZ60,$AJ60,1,3)*$CB60</f>
        <v>3.0270362382799689</v>
      </c>
      <c r="BH60" s="137">
        <f>IF(OR(BF60&lt;&gt;0,BG60&lt;&gt;0),_xll.xSPRDOPT($BW60,$BV60,$CG60,0,$BY60,$BX60,$BZ60,$AJ60,1,12)*$CB60,0)</f>
        <v>-3.0384818593418759</v>
      </c>
      <c r="BI60" s="137">
        <f>_xll.xSPRDOPT($BW60,$BV60,$CG60,2*LN(1+CA60/2),$BY60,$BX60,$BZ60,$AJ60,1,9)</f>
        <v>-3.8835466568452773E-3</v>
      </c>
      <c r="BJ60" s="137">
        <f>_xll.xSPRDOPT($BW60,$BV60,$CG60,0,$BY60,$BX60,$BZ60,$AJ60,1,6)*$CB60</f>
        <v>-0.15738806584525664</v>
      </c>
      <c r="BK60" s="137">
        <f>_xll.xSPRDOPT($BW60,$BV60,$CG60,0,$BY60,$BX60,$BZ60,$AJ60,1,5)*$CB60</f>
        <v>0.27869320851203233</v>
      </c>
      <c r="BL60" s="137">
        <f>_xll.xSPRDOPT(BW60,BV60,CG60,0,BY60,BX60,BZ60,AJ60,1,2)*CB60</f>
        <v>-0.46819845569549828</v>
      </c>
      <c r="BM60" s="137">
        <f>_xll.xSPRDOPT(BW60,BV60,CG60,0,BY60,BX60,BZ60,AJ60,1,1)*CB60</f>
        <v>0.47868996402348352</v>
      </c>
      <c r="BN60" s="137">
        <f>IF(AH60&lt;&gt;0,_xll.xSPRDOPT($BW60,$BV60,$CG60,2*LN(1+CA60/2),$BY60,$BX60,$BZ60,$AJ60,1,8)+(AJ60/365.25)*CH60/AH60,0)</f>
        <v>0.14429764804380216</v>
      </c>
      <c r="BO60" s="137">
        <f>_xll.xSPRDOPT($BW60,$BV60,$CG60,0,$BY60,$BX60,$BZ60,$AJ60,1,0)</f>
        <v>5.2043349301218546E-2</v>
      </c>
      <c r="BP60" s="137"/>
      <c r="BQ60" s="137"/>
      <c r="BR60" s="137"/>
      <c r="BS60" s="137"/>
      <c r="BV60" s="262">
        <v>3.6040907124760557</v>
      </c>
      <c r="BW60" s="136">
        <v>3.637</v>
      </c>
      <c r="BX60" s="137">
        <v>0.31726803842117157</v>
      </c>
      <c r="BY60" s="137">
        <v>0.31726803842117157</v>
      </c>
      <c r="BZ60" s="137">
        <v>0.99854242004351113</v>
      </c>
      <c r="CA60" s="137">
        <v>4.5894553715070799E-2</v>
      </c>
      <c r="CB60" s="137">
        <v>0.86289359114020647</v>
      </c>
      <c r="CC60" s="258">
        <v>-2.5000000000000001E-2</v>
      </c>
      <c r="CD60" s="258">
        <v>5.7500000000000002E-2</v>
      </c>
      <c r="CE60" s="258">
        <v>0.19500000000000001</v>
      </c>
      <c r="CF60" s="258">
        <v>-2.5000000000000001E-2</v>
      </c>
      <c r="CG60" s="258">
        <v>1.9200000000000002E-2</v>
      </c>
      <c r="CH60" s="258">
        <v>2.7685940871733523</v>
      </c>
      <c r="CI60" s="258">
        <v>3.4670000000000001</v>
      </c>
    </row>
    <row r="61" spans="1:87" x14ac:dyDescent="0.25">
      <c r="A61" s="723"/>
      <c r="B61" s="723"/>
      <c r="D61" s="31">
        <f t="shared" si="36"/>
        <v>38457</v>
      </c>
      <c r="F61" s="28">
        <f t="shared" si="37"/>
        <v>15000</v>
      </c>
      <c r="G61" s="28">
        <f t="shared" si="12"/>
        <v>12877.233673755158</v>
      </c>
      <c r="H61" s="52">
        <f t="shared" si="38"/>
        <v>3.413561556365734</v>
      </c>
      <c r="I61" s="52">
        <f t="shared" si="39"/>
        <v>3.4020000000000001</v>
      </c>
      <c r="K61" s="52">
        <f t="shared" si="28"/>
        <v>0</v>
      </c>
      <c r="L61" s="135">
        <f t="shared" si="29"/>
        <v>0.35258857745206162</v>
      </c>
      <c r="N61" s="131">
        <f t="shared" si="30"/>
        <v>0.29897853273193292</v>
      </c>
      <c r="O61" s="131">
        <f t="shared" si="31"/>
        <v>0.29985400264622203</v>
      </c>
      <c r="P61" s="55">
        <f t="shared" si="32"/>
        <v>0.99933693096830445</v>
      </c>
      <c r="Q61" s="135">
        <f>_xll.xSPRDOPT(I61,H61,AQ61,0,O61,N61,P61,D61-$G$5,1,0)*AH61*AU61</f>
        <v>0.35258857745206162</v>
      </c>
      <c r="R61" s="135"/>
      <c r="S61" s="181">
        <f>_xll.xSPRDOPT(I61,H61,AQ61,AT61,O61,N61,P61,D61-$G$5,1,2)*AF61*(F61/(1-AR61))*AH61</f>
        <v>-93554.698781617946</v>
      </c>
      <c r="T61" s="181">
        <f>_xll.xSPRDOPT(I61,H61,AQ61,AT61,O61,N61,P61,D61-$G$5,1,1)*AF61*F61*AH61</f>
        <v>93161.245321400827</v>
      </c>
      <c r="U61" s="135"/>
      <c r="V61" s="146">
        <f t="shared" si="40"/>
        <v>2.6655873704673176</v>
      </c>
      <c r="W61" s="146"/>
      <c r="X61" s="338">
        <f t="shared" si="41"/>
        <v>0</v>
      </c>
      <c r="Y61" s="338">
        <f t="shared" si="13"/>
        <v>0</v>
      </c>
      <c r="Z61" s="338">
        <f t="shared" si="14"/>
        <v>-9.8247597649640532</v>
      </c>
      <c r="AA61" s="338">
        <f t="shared" si="15"/>
        <v>0.55695724693712911</v>
      </c>
      <c r="AB61" s="338">
        <f t="shared" si="42"/>
        <v>0</v>
      </c>
      <c r="AC61" s="338">
        <f t="shared" si="43"/>
        <v>2.0137183087177042</v>
      </c>
      <c r="AF61" s="138">
        <f t="shared" si="44"/>
        <v>1</v>
      </c>
      <c r="AG61" s="138">
        <f t="shared" si="45"/>
        <v>4</v>
      </c>
      <c r="AH61" s="138">
        <f t="shared" si="52"/>
        <v>30</v>
      </c>
      <c r="AI61" s="138">
        <f t="shared" si="46"/>
        <v>1201</v>
      </c>
      <c r="AJ61" s="138">
        <f t="shared" si="47"/>
        <v>1218</v>
      </c>
      <c r="AL61" s="136">
        <f t="shared" si="17"/>
        <v>3.282</v>
      </c>
      <c r="AM61" s="258">
        <f t="shared" si="18"/>
        <v>-2.5000000000000001E-2</v>
      </c>
      <c r="AN61" s="258">
        <f t="shared" si="19"/>
        <v>5.7500000000000002E-2</v>
      </c>
      <c r="AO61" s="258">
        <f t="shared" si="20"/>
        <v>0.14499999999999999</v>
      </c>
      <c r="AP61" s="258">
        <f t="shared" si="21"/>
        <v>-2.4999999999999998E-2</v>
      </c>
      <c r="AQ61" s="136">
        <f t="shared" si="48"/>
        <v>1.9200000000000002E-2</v>
      </c>
      <c r="AR61" s="137">
        <f t="shared" si="22"/>
        <v>2.9020000000000001E-2</v>
      </c>
      <c r="AS61" s="136">
        <f t="shared" si="33"/>
        <v>3.3145000000000002</v>
      </c>
      <c r="AT61" s="137">
        <f t="shared" si="34"/>
        <v>4.6401056415071598E-2</v>
      </c>
      <c r="AU61" s="137">
        <f t="shared" si="23"/>
        <v>0.85848224491701053</v>
      </c>
      <c r="AV61" s="394">
        <f t="shared" si="35"/>
        <v>11538.001371684621</v>
      </c>
      <c r="AW61" s="137">
        <f t="shared" si="24"/>
        <v>0.29749999999999999</v>
      </c>
      <c r="AX61" s="137">
        <f t="shared" si="25"/>
        <v>0.4</v>
      </c>
      <c r="AY61" s="137">
        <f t="shared" si="26"/>
        <v>0.45</v>
      </c>
      <c r="AZ61" s="137"/>
      <c r="BA61" s="264"/>
      <c r="BB61" s="258">
        <f t="shared" si="27"/>
        <v>0</v>
      </c>
      <c r="BC61" s="258">
        <f t="shared" si="49"/>
        <v>0</v>
      </c>
      <c r="BD61" s="137">
        <f t="shared" si="50"/>
        <v>3.6297435732079997E-6</v>
      </c>
      <c r="BE61" s="137">
        <f t="shared" si="51"/>
        <v>5.7705951543307599E-6</v>
      </c>
      <c r="BF61" s="137">
        <f>_xll.xSPRDOPT($BW61,$BV61,$CG61,0,$BY61,$BX61,$BZ61,$AJ61,1,4)*$CB61</f>
        <v>2.4794865772789887</v>
      </c>
      <c r="BG61" s="137">
        <f>_xll.xSPRDOPT($BW61,$BV61,$CG61,0,$BY61,$BX61,$BZ61,$AJ61,1,3)*$CB61</f>
        <v>2.5231956911080493</v>
      </c>
      <c r="BH61" s="137">
        <f>IF(OR(BF61&lt;&gt;0,BG61&lt;&gt;0),_xll.xSPRDOPT($BW61,$BV61,$CG61,0,$BY61,$BX61,$BZ61,$AJ61,1,12)*$CB61,0)</f>
        <v>-2.5012339939021926</v>
      </c>
      <c r="BI61" s="137">
        <f>_xll.xSPRDOPT($BW61,$BV61,$CG61,2*LN(1+CA61/2),$BY61,$BX61,$BZ61,$AJ61,1,9)</f>
        <v>-2.6581433364097191E-3</v>
      </c>
      <c r="BJ61" s="137">
        <f>_xll.xSPRDOPT($BW61,$BV61,$CG61,0,$BY61,$BX61,$BZ61,$AJ61,1,6)*$CB61</f>
        <v>-0.38622467983377773</v>
      </c>
      <c r="BK61" s="137">
        <f>_xll.xSPRDOPT($BW61,$BV61,$CG61,0,$BY61,$BX61,$BZ61,$AJ61,1,5)*$CB61</f>
        <v>0.45741890564466275</v>
      </c>
      <c r="BL61" s="137">
        <f>_xll.xSPRDOPT(BW61,BV61,CG61,0,BY61,BX61,BZ61,AJ61,1,2)*CB61</f>
        <v>-0.20175130613945311</v>
      </c>
      <c r="BM61" s="137">
        <f>_xll.xSPRDOPT(BW61,BV61,CG61,0,BY61,BX61,BZ61,AJ61,1,1)*CB61</f>
        <v>0.20691192245890758</v>
      </c>
      <c r="BN61" s="137">
        <f>IF(AH61&lt;&gt;0,_xll.xSPRDOPT($BW61,$BV61,$CG61,2*LN(1+CA61/2),$BY61,$BX61,$BZ61,$AJ61,1,8)+(AJ61/365.25)*CH61/AH61,0)</f>
        <v>0.25305899289870964</v>
      </c>
      <c r="BO61" s="137">
        <f>_xll.xSPRDOPT($BW61,$BV61,$CG61,0,$BY61,$BX61,$BZ61,$AJ61,1,0)</f>
        <v>1.3682315965808343E-2</v>
      </c>
      <c r="BP61" s="137"/>
      <c r="BQ61" s="137"/>
      <c r="BR61" s="137"/>
      <c r="BS61" s="137"/>
      <c r="BV61" s="262">
        <v>3.413561556365734</v>
      </c>
      <c r="BW61" s="136">
        <v>3.4020000000000001</v>
      </c>
      <c r="BX61" s="137">
        <v>0.29897490298835971</v>
      </c>
      <c r="BY61" s="137">
        <v>0.2998482320510677</v>
      </c>
      <c r="BZ61" s="137">
        <v>0.99933853168268805</v>
      </c>
      <c r="CA61" s="137">
        <v>4.6401056415071598E-2</v>
      </c>
      <c r="CB61" s="137">
        <v>0.85815886093193994</v>
      </c>
      <c r="CC61" s="258">
        <v>-2.5000000000000001E-2</v>
      </c>
      <c r="CD61" s="258">
        <v>5.7500000000000002E-2</v>
      </c>
      <c r="CE61" s="258">
        <v>0.14499999999999999</v>
      </c>
      <c r="CF61" s="258">
        <v>-2.5000000000000001E-2</v>
      </c>
      <c r="CG61" s="258">
        <v>1.9200000000000002E-2</v>
      </c>
      <c r="CH61" s="258">
        <v>2.6645832631936734</v>
      </c>
      <c r="CI61" s="258">
        <v>3.282</v>
      </c>
    </row>
    <row r="62" spans="1:87" x14ac:dyDescent="0.25">
      <c r="A62" s="723"/>
      <c r="B62" s="723"/>
      <c r="D62" s="31">
        <f t="shared" si="36"/>
        <v>38487</v>
      </c>
      <c r="F62" s="28">
        <f t="shared" si="37"/>
        <v>15000</v>
      </c>
      <c r="G62" s="28">
        <f t="shared" si="12"/>
        <v>12809.353265265763</v>
      </c>
      <c r="H62" s="52">
        <f t="shared" si="38"/>
        <v>3.4084121197141037</v>
      </c>
      <c r="I62" s="52">
        <f t="shared" si="39"/>
        <v>3.3770000000000002</v>
      </c>
      <c r="K62" s="52">
        <f t="shared" si="28"/>
        <v>0</v>
      </c>
      <c r="L62" s="135">
        <f t="shared" si="29"/>
        <v>0.21288901551553352</v>
      </c>
      <c r="N62" s="131">
        <f t="shared" si="30"/>
        <v>0.29252740451228487</v>
      </c>
      <c r="O62" s="131">
        <f t="shared" si="31"/>
        <v>0.29252740451228487</v>
      </c>
      <c r="P62" s="55">
        <f t="shared" si="32"/>
        <v>0.99941147986914258</v>
      </c>
      <c r="Q62" s="135">
        <f>_xll.xSPRDOPT(I62,H62,AQ62,0,O62,N62,P62,D62-$G$5,1,0)*AH62*AU62</f>
        <v>0.21288901551553352</v>
      </c>
      <c r="R62" s="135"/>
      <c r="S62" s="181">
        <f>_xll.xSPRDOPT(I62,H62,AQ62,AT62,O62,N62,P62,D62-$G$5,1,2)*AF62*(F62/(1-AR62))*AH62</f>
        <v>-64006.655076575669</v>
      </c>
      <c r="T62" s="181">
        <f>_xll.xSPRDOPT(I62,H62,AQ62,AT62,O62,N62,P62,D62-$G$5,1,1)*AF62*F62*AH62</f>
        <v>63998.23522726848</v>
      </c>
      <c r="U62" s="135"/>
      <c r="V62" s="146">
        <f t="shared" si="40"/>
        <v>2.7399206634403468</v>
      </c>
      <c r="W62" s="146"/>
      <c r="X62" s="338">
        <f t="shared" si="41"/>
        <v>0</v>
      </c>
      <c r="Y62" s="338">
        <f t="shared" si="13"/>
        <v>0</v>
      </c>
      <c r="Z62" s="338">
        <f t="shared" si="14"/>
        <v>-7.7146484396187374</v>
      </c>
      <c r="AA62" s="338">
        <f t="shared" si="15"/>
        <v>0.15268405220739911</v>
      </c>
      <c r="AB62" s="338">
        <f t="shared" si="42"/>
        <v>0</v>
      </c>
      <c r="AC62" s="338">
        <f t="shared" si="43"/>
        <v>1.2285285326615882</v>
      </c>
      <c r="AF62" s="138">
        <f t="shared" si="44"/>
        <v>1</v>
      </c>
      <c r="AG62" s="138">
        <f t="shared" si="45"/>
        <v>5</v>
      </c>
      <c r="AH62" s="138">
        <f t="shared" si="52"/>
        <v>31</v>
      </c>
      <c r="AI62" s="138">
        <f t="shared" si="46"/>
        <v>1231</v>
      </c>
      <c r="AJ62" s="138">
        <f t="shared" si="47"/>
        <v>1248</v>
      </c>
      <c r="AL62" s="136">
        <f t="shared" si="17"/>
        <v>3.2770000000000001</v>
      </c>
      <c r="AM62" s="258">
        <f t="shared" si="18"/>
        <v>-2.5000000000000001E-2</v>
      </c>
      <c r="AN62" s="258">
        <f t="shared" si="19"/>
        <v>5.7500000000000002E-2</v>
      </c>
      <c r="AO62" s="258">
        <f t="shared" si="20"/>
        <v>0.125</v>
      </c>
      <c r="AP62" s="258">
        <f t="shared" si="21"/>
        <v>-2.4999999999999998E-2</v>
      </c>
      <c r="AQ62" s="136">
        <f t="shared" si="48"/>
        <v>1.9200000000000002E-2</v>
      </c>
      <c r="AR62" s="137">
        <f t="shared" si="22"/>
        <v>2.9020000000000001E-2</v>
      </c>
      <c r="AS62" s="136">
        <f t="shared" si="33"/>
        <v>3.3095000000000003</v>
      </c>
      <c r="AT62" s="137">
        <f t="shared" si="34"/>
        <v>4.6856677050253197E-2</v>
      </c>
      <c r="AU62" s="137">
        <f t="shared" si="23"/>
        <v>0.85395688435105088</v>
      </c>
      <c r="AV62" s="394">
        <f t="shared" si="35"/>
        <v>11859.753209867395</v>
      </c>
      <c r="AW62" s="137">
        <f t="shared" si="24"/>
        <v>0.28999999999999998</v>
      </c>
      <c r="AX62" s="137">
        <f t="shared" si="25"/>
        <v>0.45</v>
      </c>
      <c r="AY62" s="137">
        <f t="shared" si="26"/>
        <v>0.45</v>
      </c>
      <c r="AZ62" s="137"/>
      <c r="BA62" s="264"/>
      <c r="BB62" s="258">
        <f t="shared" si="27"/>
        <v>0</v>
      </c>
      <c r="BC62" s="258">
        <f t="shared" si="49"/>
        <v>0</v>
      </c>
      <c r="BD62" s="137">
        <f t="shared" si="50"/>
        <v>6.0420462256738361E-6</v>
      </c>
      <c r="BE62" s="137">
        <f t="shared" si="51"/>
        <v>6.0420462256738361E-6</v>
      </c>
      <c r="BF62" s="137">
        <f>_xll.xSPRDOPT($BW62,$BV62,$CG62,0,$BY62,$BX62,$BZ62,$AJ62,1,4)*$CB62</f>
        <v>1.9766152581151633</v>
      </c>
      <c r="BG62" s="137">
        <f>_xll.xSPRDOPT($BW62,$BV62,$CG62,0,$BY62,$BX62,$BZ62,$AJ62,1,3)*$CB62</f>
        <v>2.0352852065570817</v>
      </c>
      <c r="BH62" s="137">
        <f>IF(OR(BF62&lt;&gt;0,BG62&lt;&gt;0),_xll.xSPRDOPT($BW62,$BV62,$CG62,0,$BY62,$BX62,$BZ62,$AJ62,1,12)*$CB62,0)</f>
        <v>-2.0057288431851434</v>
      </c>
      <c r="BI62" s="137">
        <f>_xll.xSPRDOPT($BW62,$BV62,$CG62,2*LN(1+CA62/2),$BY62,$BX62,$BZ62,$AJ62,1,9)</f>
        <v>-2.0199106398356586E-3</v>
      </c>
      <c r="BJ62" s="137">
        <f>_xll.xSPRDOPT($BW62,$BV62,$CG62,0,$BY62,$BX62,$BZ62,$AJ62,1,6)*$CB62</f>
        <v>-0.20641490252043426</v>
      </c>
      <c r="BK62" s="137">
        <f>_xll.xSPRDOPT($BW62,$BV62,$CG62,0,$BY62,$BX62,$BZ62,$AJ62,1,5)*$CB62</f>
        <v>0.26075953812596542</v>
      </c>
      <c r="BL62" s="137">
        <f>_xll.xSPRDOPT(BW62,BV62,CG62,0,BY62,BX62,BZ62,AJ62,1,2)*CB62</f>
        <v>-0.13365112645919847</v>
      </c>
      <c r="BM62" s="137">
        <f>_xll.xSPRDOPT(BW62,BV62,CG62,0,BY62,BX62,BZ62,AJ62,1,1)*CB62</f>
        <v>0.13763046619609623</v>
      </c>
      <c r="BN62" s="137">
        <f>IF(AH62&lt;&gt;0,_xll.xSPRDOPT($BW62,$BV62,$CG62,2*LN(1+CA62/2),$BY62,$BX62,$BZ62,$AJ62,1,8)+(AJ62/365.25)*CH62/AH62,0)</f>
        <v>0.27927982709380927</v>
      </c>
      <c r="BO62" s="137">
        <f>_xll.xSPRDOPT($BW62,$BV62,$CG62,0,$BY62,$BX62,$BZ62,$AJ62,1,0)</f>
        <v>8.0419070411091621E-3</v>
      </c>
      <c r="BP62" s="137"/>
      <c r="BQ62" s="137"/>
      <c r="BR62" s="137"/>
      <c r="BS62" s="137"/>
      <c r="BV62" s="262">
        <v>3.4084121197141037</v>
      </c>
      <c r="BW62" s="136">
        <v>3.3770000000000002</v>
      </c>
      <c r="BX62" s="137">
        <v>0.2925213624660592</v>
      </c>
      <c r="BY62" s="137">
        <v>0.2925213624660592</v>
      </c>
      <c r="BZ62" s="137">
        <v>0.99941286862894663</v>
      </c>
      <c r="CA62" s="137">
        <v>4.6856677050253197E-2</v>
      </c>
      <c r="CB62" s="137">
        <v>0.85363208329541629</v>
      </c>
      <c r="CC62" s="258">
        <v>-2.5000000000000001E-2</v>
      </c>
      <c r="CD62" s="258">
        <v>5.7500000000000002E-2</v>
      </c>
      <c r="CE62" s="258">
        <v>0.125</v>
      </c>
      <c r="CF62" s="258">
        <v>-2.5000000000000001E-2</v>
      </c>
      <c r="CG62" s="258">
        <v>1.9200000000000002E-2</v>
      </c>
      <c r="CH62" s="258">
        <v>2.738878539253343</v>
      </c>
      <c r="CI62" s="258">
        <v>3.2770000000000001</v>
      </c>
    </row>
    <row r="63" spans="1:87" x14ac:dyDescent="0.25">
      <c r="A63" s="723"/>
      <c r="B63" s="723"/>
      <c r="D63" s="31">
        <f t="shared" si="36"/>
        <v>38518</v>
      </c>
      <c r="F63" s="28">
        <f t="shared" si="37"/>
        <v>15000</v>
      </c>
      <c r="G63" s="28">
        <f t="shared" si="12"/>
        <v>12738.611852691132</v>
      </c>
      <c r="H63" s="52">
        <f t="shared" si="38"/>
        <v>3.4444581762755155</v>
      </c>
      <c r="I63" s="52">
        <f t="shared" si="39"/>
        <v>3.4319999999999999</v>
      </c>
      <c r="K63" s="52">
        <f t="shared" si="28"/>
        <v>0</v>
      </c>
      <c r="L63" s="135">
        <f t="shared" si="29"/>
        <v>0.41291510184319574</v>
      </c>
      <c r="N63" s="131">
        <f t="shared" si="30"/>
        <v>0.29238802915440232</v>
      </c>
      <c r="O63" s="131">
        <f t="shared" si="31"/>
        <v>0.29334060051271815</v>
      </c>
      <c r="P63" s="55">
        <f t="shared" si="32"/>
        <v>0.9992178153315272</v>
      </c>
      <c r="Q63" s="135">
        <f>_xll.xSPRDOPT(I63,H63,AQ63,0,O63,N63,P63,D63-$G$5,1,0)*AH63*AU63</f>
        <v>0.41291510184319574</v>
      </c>
      <c r="R63" s="135"/>
      <c r="S63" s="181">
        <f>_xll.xSPRDOPT(I63,H63,AQ63,AT63,O63,N63,P63,D63-$G$5,1,2)*AF63*(F63/(1-AR63))*AH63</f>
        <v>-108517.66721329684</v>
      </c>
      <c r="T63" s="181">
        <f>_xll.xSPRDOPT(I63,H63,AQ63,AT63,O63,N63,P63,D63-$G$5,1,1)*AF63*F63*AH63</f>
        <v>108079.85793349329</v>
      </c>
      <c r="U63" s="135"/>
      <c r="V63" s="146">
        <f t="shared" si="40"/>
        <v>2.6368926535070645</v>
      </c>
      <c r="W63" s="146"/>
      <c r="X63" s="338">
        <f t="shared" si="41"/>
        <v>0</v>
      </c>
      <c r="Y63" s="338">
        <f t="shared" si="13"/>
        <v>0</v>
      </c>
      <c r="Z63" s="338">
        <f t="shared" si="14"/>
        <v>-10.01908492243532</v>
      </c>
      <c r="AA63" s="338">
        <f t="shared" si="15"/>
        <v>0.6561009043401026</v>
      </c>
      <c r="AB63" s="338">
        <f t="shared" si="42"/>
        <v>0</v>
      </c>
      <c r="AC63" s="338">
        <f t="shared" si="43"/>
        <v>2.4054159361129086</v>
      </c>
      <c r="AF63" s="138">
        <f t="shared" si="44"/>
        <v>1</v>
      </c>
      <c r="AG63" s="138">
        <f t="shared" si="45"/>
        <v>6</v>
      </c>
      <c r="AH63" s="138">
        <f t="shared" si="52"/>
        <v>30</v>
      </c>
      <c r="AI63" s="138">
        <f t="shared" si="46"/>
        <v>1262</v>
      </c>
      <c r="AJ63" s="138">
        <f t="shared" si="47"/>
        <v>1279</v>
      </c>
      <c r="AL63" s="136">
        <f t="shared" si="17"/>
        <v>3.3119999999999998</v>
      </c>
      <c r="AM63" s="258">
        <f t="shared" si="18"/>
        <v>-2.5000000000000001E-2</v>
      </c>
      <c r="AN63" s="258">
        <f t="shared" si="19"/>
        <v>5.7500000000000002E-2</v>
      </c>
      <c r="AO63" s="258">
        <f t="shared" si="20"/>
        <v>0.14499999999999999</v>
      </c>
      <c r="AP63" s="258">
        <f t="shared" si="21"/>
        <v>-2.4999999999999998E-2</v>
      </c>
      <c r="AQ63" s="136">
        <f t="shared" si="48"/>
        <v>1.9200000000000002E-2</v>
      </c>
      <c r="AR63" s="137">
        <f t="shared" si="22"/>
        <v>2.9020000000000001E-2</v>
      </c>
      <c r="AS63" s="136">
        <f t="shared" si="33"/>
        <v>3.3445</v>
      </c>
      <c r="AT63" s="137">
        <f t="shared" si="34"/>
        <v>4.7327485112866399E-2</v>
      </c>
      <c r="AU63" s="137">
        <f t="shared" si="23"/>
        <v>0.84924079017940879</v>
      </c>
      <c r="AV63" s="394">
        <f t="shared" si="35"/>
        <v>11413.796220011254</v>
      </c>
      <c r="AW63" s="137">
        <f t="shared" si="24"/>
        <v>0.28999999999999998</v>
      </c>
      <c r="AX63" s="137">
        <f t="shared" si="25"/>
        <v>0.45</v>
      </c>
      <c r="AY63" s="137">
        <f t="shared" si="26"/>
        <v>0.5</v>
      </c>
      <c r="AZ63" s="137"/>
      <c r="BA63" s="264"/>
      <c r="BB63" s="258">
        <f t="shared" si="27"/>
        <v>0</v>
      </c>
      <c r="BC63" s="258">
        <f t="shared" si="49"/>
        <v>0</v>
      </c>
      <c r="BD63" s="137">
        <f t="shared" si="50"/>
        <v>5.5741404257902971E-6</v>
      </c>
      <c r="BE63" s="137">
        <f t="shared" si="51"/>
        <v>7.7850538949819637E-6</v>
      </c>
      <c r="BF63" s="137">
        <f>_xll.xSPRDOPT($BW63,$BV63,$CG63,0,$BY63,$BX63,$BZ63,$AJ63,1,4)*$CB63</f>
        <v>2.8518455620305043</v>
      </c>
      <c r="BG63" s="137">
        <f>_xll.xSPRDOPT($BW63,$BV63,$CG63,0,$BY63,$BX63,$BZ63,$AJ63,1,3)*$CB63</f>
        <v>2.903112410327211</v>
      </c>
      <c r="BH63" s="137">
        <f>IF(OR(BF63&lt;&gt;0,BG63&lt;&gt;0),_xll.xSPRDOPT($BW63,$BV63,$CG63,0,$BY63,$BX63,$BZ63,$AJ63,1,12)*$CB63,0)</f>
        <v>-2.8773517725304014</v>
      </c>
      <c r="BI63" s="137">
        <f>_xll.xSPRDOPT($BW63,$BV63,$CG63,2*LN(1+CA63/2),$BY63,$BX63,$BZ63,$AJ63,1,9)</f>
        <v>-2.7107190873477786E-3</v>
      </c>
      <c r="BJ63" s="137">
        <f>_xll.xSPRDOPT($BW63,$BV63,$CG63,0,$BY63,$BX63,$BZ63,$AJ63,1,6)*$CB63</f>
        <v>-0.37848022937560982</v>
      </c>
      <c r="BK63" s="137">
        <f>_xll.xSPRDOPT($BW63,$BV63,$CG63,0,$BY63,$BX63,$BZ63,$AJ63,1,5)*$CB63</f>
        <v>0.45827607678725119</v>
      </c>
      <c r="BL63" s="137">
        <f>_xll.xSPRDOPT(BW63,BV63,CG63,0,BY63,BX63,BZ63,AJ63,1,2)*CB63</f>
        <v>-0.234085300330622</v>
      </c>
      <c r="BM63" s="137">
        <f>_xll.xSPRDOPT(BW63,BV63,CG63,0,BY63,BX63,BZ63,AJ63,1,1)*CB63</f>
        <v>0.24011389423415408</v>
      </c>
      <c r="BN63" s="137">
        <f>IF(AH63&lt;&gt;0,_xll.xSPRDOPT($BW63,$BV63,$CG63,2*LN(1+CA63/2),$BY63,$BX63,$BZ63,$AJ63,1,8)+(AJ63/365.25)*CH63/AH63,0)</f>
        <v>0.25655193981482427</v>
      </c>
      <c r="BO63" s="137">
        <f>_xll.xSPRDOPT($BW63,$BV63,$CG63,0,$BY63,$BX63,$BZ63,$AJ63,1,0)</f>
        <v>1.6198291945329589E-2</v>
      </c>
      <c r="BP63" s="137"/>
      <c r="BQ63" s="137"/>
      <c r="BR63" s="137"/>
      <c r="BS63" s="137"/>
      <c r="BV63" s="262">
        <v>3.4444581762755155</v>
      </c>
      <c r="BW63" s="136">
        <v>3.4319999999999999</v>
      </c>
      <c r="BX63" s="137">
        <v>0.29238245501397653</v>
      </c>
      <c r="BY63" s="137">
        <v>0.29333281545882317</v>
      </c>
      <c r="BZ63" s="137">
        <v>0.9992196008597487</v>
      </c>
      <c r="CA63" s="137">
        <v>4.7327485112866399E-2</v>
      </c>
      <c r="CB63" s="137">
        <v>0.84891457563562278</v>
      </c>
      <c r="CC63" s="258">
        <v>-2.5000000000000001E-2</v>
      </c>
      <c r="CD63" s="258">
        <v>5.7500000000000002E-2</v>
      </c>
      <c r="CE63" s="258">
        <v>0.14499999999999999</v>
      </c>
      <c r="CF63" s="258">
        <v>-2.5000000000000001E-2</v>
      </c>
      <c r="CG63" s="258">
        <v>1.9200000000000002E-2</v>
      </c>
      <c r="CH63" s="258">
        <v>2.6358797573486088</v>
      </c>
      <c r="CI63" s="258">
        <v>3.3119999999999998</v>
      </c>
    </row>
    <row r="64" spans="1:87" x14ac:dyDescent="0.25">
      <c r="A64" s="723"/>
      <c r="B64" s="723"/>
      <c r="D64" s="31">
        <f t="shared" si="36"/>
        <v>38548</v>
      </c>
      <c r="F64" s="28">
        <f t="shared" si="37"/>
        <v>15000</v>
      </c>
      <c r="G64" s="28">
        <f t="shared" si="12"/>
        <v>12670.588134926118</v>
      </c>
      <c r="H64" s="52">
        <f t="shared" si="38"/>
        <v>3.485653669488558</v>
      </c>
      <c r="I64" s="52">
        <f t="shared" si="39"/>
        <v>3.4769999999999999</v>
      </c>
      <c r="K64" s="52">
        <f t="shared" si="28"/>
        <v>0</v>
      </c>
      <c r="L64" s="135">
        <f t="shared" si="29"/>
        <v>0.41092204829180701</v>
      </c>
      <c r="N64" s="131">
        <f t="shared" si="30"/>
        <v>0.28848877686763669</v>
      </c>
      <c r="O64" s="131">
        <f t="shared" si="31"/>
        <v>0.28848877686763669</v>
      </c>
      <c r="P64" s="55">
        <f t="shared" si="32"/>
        <v>0.99928779968699954</v>
      </c>
      <c r="Q64" s="135">
        <f>_xll.xSPRDOPT(I64,H64,AQ64,0,O64,N64,P64,D64-$G$5,1,0)*AH64*AU64</f>
        <v>0.41092204829180701</v>
      </c>
      <c r="R64" s="135"/>
      <c r="S64" s="181">
        <f>_xll.xSPRDOPT(I64,H64,AQ64,AT64,O64,N64,P64,D64-$G$5,1,2)*AF64*(F64/(1-AR64))*AH64</f>
        <v>-105865.32822036539</v>
      </c>
      <c r="T64" s="181">
        <f>_xll.xSPRDOPT(I64,H64,AQ64,AT64,O64,N64,P64,D64-$G$5,1,1)*AF64*F64*AH64</f>
        <v>105350.03783485912</v>
      </c>
      <c r="U64" s="135"/>
      <c r="V64" s="146">
        <f t="shared" si="40"/>
        <v>2.7102388020606965</v>
      </c>
      <c r="W64" s="146"/>
      <c r="X64" s="338">
        <f t="shared" si="41"/>
        <v>0</v>
      </c>
      <c r="Y64" s="338">
        <f t="shared" si="13"/>
        <v>0</v>
      </c>
      <c r="Z64" s="338">
        <f t="shared" si="14"/>
        <v>-9.5221866623186706</v>
      </c>
      <c r="AA64" s="338">
        <f t="shared" si="15"/>
        <v>0.29121140355631869</v>
      </c>
      <c r="AB64" s="338">
        <f t="shared" si="42"/>
        <v>0</v>
      </c>
      <c r="AC64" s="338">
        <f t="shared" si="43"/>
        <v>2.4156129933508765</v>
      </c>
      <c r="AF64" s="138">
        <f t="shared" si="44"/>
        <v>1</v>
      </c>
      <c r="AG64" s="138">
        <f t="shared" si="45"/>
        <v>7</v>
      </c>
      <c r="AH64" s="138">
        <f t="shared" si="52"/>
        <v>31</v>
      </c>
      <c r="AI64" s="138">
        <f t="shared" si="46"/>
        <v>1292</v>
      </c>
      <c r="AJ64" s="138">
        <f t="shared" si="47"/>
        <v>1309</v>
      </c>
      <c r="AL64" s="136">
        <f t="shared" si="17"/>
        <v>3.3519999999999999</v>
      </c>
      <c r="AM64" s="258">
        <f t="shared" si="18"/>
        <v>-2.5000000000000001E-2</v>
      </c>
      <c r="AN64" s="258">
        <f t="shared" si="19"/>
        <v>5.7500000000000002E-2</v>
      </c>
      <c r="AO64" s="258">
        <f t="shared" si="20"/>
        <v>0.15</v>
      </c>
      <c r="AP64" s="258">
        <f t="shared" si="21"/>
        <v>-2.4999999999999998E-2</v>
      </c>
      <c r="AQ64" s="136">
        <f t="shared" si="48"/>
        <v>1.9200000000000002E-2</v>
      </c>
      <c r="AR64" s="137">
        <f t="shared" si="22"/>
        <v>2.9020000000000001E-2</v>
      </c>
      <c r="AS64" s="136">
        <f t="shared" si="33"/>
        <v>3.3845000000000001</v>
      </c>
      <c r="AT64" s="137">
        <f t="shared" si="34"/>
        <v>4.7760481058800999E-2</v>
      </c>
      <c r="AU64" s="137">
        <f t="shared" si="23"/>
        <v>0.84470587566174116</v>
      </c>
      <c r="AV64" s="394">
        <f t="shared" si="35"/>
        <v>11731.275201190261</v>
      </c>
      <c r="AW64" s="137">
        <f t="shared" si="24"/>
        <v>0.28499999999999998</v>
      </c>
      <c r="AX64" s="137">
        <f t="shared" si="25"/>
        <v>0.5</v>
      </c>
      <c r="AY64" s="137">
        <f t="shared" si="26"/>
        <v>0.5</v>
      </c>
      <c r="AZ64" s="137"/>
      <c r="BA64" s="264"/>
      <c r="BB64" s="258">
        <f t="shared" si="27"/>
        <v>0</v>
      </c>
      <c r="BC64" s="258">
        <f t="shared" si="49"/>
        <v>0</v>
      </c>
      <c r="BD64" s="137">
        <f t="shared" si="50"/>
        <v>7.9383346645589548E-6</v>
      </c>
      <c r="BE64" s="137">
        <f t="shared" si="51"/>
        <v>7.9383346645589548E-6</v>
      </c>
      <c r="BF64" s="137">
        <f>_xll.xSPRDOPT($BW64,$BV64,$CG64,0,$BY64,$BX64,$BZ64,$AJ64,1,4)*$CB64</f>
        <v>2.6287886494951431</v>
      </c>
      <c r="BG64" s="137">
        <f>_xll.xSPRDOPT($BW64,$BV64,$CG64,0,$BY64,$BX64,$BZ64,$AJ64,1,3)*$CB64</f>
        <v>2.6702463958397469</v>
      </c>
      <c r="BH64" s="137">
        <f>IF(OR(BF64&lt;&gt;0,BG64&lt;&gt;0),_xll.xSPRDOPT($BW64,$BV64,$CG64,0,$BY64,$BX64,$BZ64,$AJ64,1,12)*$CB64,0)</f>
        <v>-2.6494232086844995</v>
      </c>
      <c r="BI64" s="137">
        <f>_xll.xSPRDOPT($BW64,$BV64,$CG64,2*LN(1+CA64/2),$BY64,$BX64,$BZ64,$AJ64,1,9)</f>
        <v>-2.4931746798651571E-3</v>
      </c>
      <c r="BJ64" s="137">
        <f>_xll.xSPRDOPT($BW64,$BV64,$CG64,0,$BY64,$BX64,$BZ64,$AJ64,1,6)*$CB64</f>
        <v>-0.24601466716132034</v>
      </c>
      <c r="BK64" s="137">
        <f>_xll.xSPRDOPT($BW64,$BV64,$CG64,0,$BY64,$BX64,$BZ64,$AJ64,1,5)*$CB64</f>
        <v>0.32490540550632668</v>
      </c>
      <c r="BL64" s="137">
        <f>_xll.xSPRDOPT(BW64,BV64,CG64,0,BY64,BX64,BZ64,AJ64,1,2)*CB64</f>
        <v>-0.22100376768160276</v>
      </c>
      <c r="BM64" s="137">
        <f>_xll.xSPRDOPT(BW64,BV64,CG64,0,BY64,BX64,BZ64,AJ64,1,1)*CB64</f>
        <v>0.22650592912733677</v>
      </c>
      <c r="BN64" s="137">
        <f>IF(AH64&lt;&gt;0,_xll.xSPRDOPT($BW64,$BV64,$CG64,2*LN(1+CA64/2),$BY64,$BX64,$BZ64,$AJ64,1,8)+(AJ64/365.25)*CH64/AH64,0)</f>
        <v>0.26142070441104925</v>
      </c>
      <c r="BO64" s="137">
        <f>_xll.xSPRDOPT($BW64,$BV64,$CG64,0,$BY64,$BX64,$BZ64,$AJ64,1,0)</f>
        <v>1.5683302905017259E-2</v>
      </c>
      <c r="BP64" s="137"/>
      <c r="BQ64" s="137"/>
      <c r="BR64" s="137"/>
      <c r="BS64" s="137"/>
      <c r="BV64" s="262">
        <v>3.485653669488558</v>
      </c>
      <c r="BW64" s="136">
        <v>3.4769999999999999</v>
      </c>
      <c r="BX64" s="137">
        <v>0.28848083853297213</v>
      </c>
      <c r="BY64" s="137">
        <v>0.28848083853297213</v>
      </c>
      <c r="BZ64" s="137">
        <v>0.99928939095073788</v>
      </c>
      <c r="CA64" s="137">
        <v>4.7760481058800999E-2</v>
      </c>
      <c r="CB64" s="137">
        <v>0.84437846983859632</v>
      </c>
      <c r="CC64" s="258">
        <v>-2.5000000000000001E-2</v>
      </c>
      <c r="CD64" s="258">
        <v>5.7500000000000002E-2</v>
      </c>
      <c r="CE64" s="258">
        <v>0.15</v>
      </c>
      <c r="CF64" s="258">
        <v>-2.5000000000000001E-2</v>
      </c>
      <c r="CG64" s="258">
        <v>1.9200000000000002E-2</v>
      </c>
      <c r="CH64" s="258">
        <v>2.7091883204771361</v>
      </c>
      <c r="CI64" s="258">
        <v>3.3519999999999999</v>
      </c>
    </row>
    <row r="65" spans="1:87" x14ac:dyDescent="0.25">
      <c r="A65" s="723"/>
      <c r="B65" s="723"/>
      <c r="D65" s="31">
        <f t="shared" si="36"/>
        <v>38579</v>
      </c>
      <c r="F65" s="28">
        <f t="shared" si="37"/>
        <v>15000</v>
      </c>
      <c r="G65" s="28">
        <f t="shared" si="12"/>
        <v>12600.743523212797</v>
      </c>
      <c r="H65" s="52">
        <f t="shared" si="38"/>
        <v>3.5268491627016005</v>
      </c>
      <c r="I65" s="52">
        <f t="shared" si="39"/>
        <v>3.5169999999999999</v>
      </c>
      <c r="K65" s="52">
        <f t="shared" si="28"/>
        <v>0</v>
      </c>
      <c r="L65" s="135">
        <f t="shared" si="29"/>
        <v>0.48906668619881455</v>
      </c>
      <c r="N65" s="131">
        <f t="shared" si="30"/>
        <v>0.28946051993952615</v>
      </c>
      <c r="O65" s="131">
        <f t="shared" si="31"/>
        <v>0.28946051993952615</v>
      </c>
      <c r="P65" s="55">
        <f t="shared" si="32"/>
        <v>0.99916383878027004</v>
      </c>
      <c r="Q65" s="135">
        <f>_xll.xSPRDOPT(I65,H65,AQ65,0,O65,N65,P65,D65-$G$5,1,0)*AH65*AU65</f>
        <v>0.48906668619881455</v>
      </c>
      <c r="R65" s="135"/>
      <c r="S65" s="181">
        <f>_xll.xSPRDOPT(I65,H65,AQ65,AT65,O65,N65,P65,D65-$G$5,1,2)*AF65*(F65/(1-AR65))*AH65</f>
        <v>-122929.49106922609</v>
      </c>
      <c r="T65" s="181">
        <f>_xll.xSPRDOPT(I65,H65,AQ65,AT65,O65,N65,P65,D65-$G$5,1,1)*AF65*F65*AH65</f>
        <v>122388.08785820537</v>
      </c>
      <c r="U65" s="135"/>
      <c r="V65" s="146">
        <f t="shared" si="40"/>
        <v>2.6952990396152172</v>
      </c>
      <c r="W65" s="146"/>
      <c r="X65" s="338">
        <f t="shared" si="41"/>
        <v>0</v>
      </c>
      <c r="Y65" s="338">
        <f t="shared" si="13"/>
        <v>0</v>
      </c>
      <c r="Z65" s="338">
        <f t="shared" si="14"/>
        <v>-10.191515101138043</v>
      </c>
      <c r="AA65" s="338">
        <f t="shared" si="15"/>
        <v>0.40314678720138519</v>
      </c>
      <c r="AB65" s="338">
        <f t="shared" si="42"/>
        <v>0</v>
      </c>
      <c r="AC65" s="338">
        <f t="shared" si="43"/>
        <v>2.9006780359586042</v>
      </c>
      <c r="AF65" s="138">
        <f t="shared" si="44"/>
        <v>1</v>
      </c>
      <c r="AG65" s="138">
        <f t="shared" si="45"/>
        <v>8</v>
      </c>
      <c r="AH65" s="138">
        <f t="shared" si="52"/>
        <v>31</v>
      </c>
      <c r="AI65" s="138">
        <f t="shared" si="46"/>
        <v>1323</v>
      </c>
      <c r="AJ65" s="138">
        <f t="shared" si="47"/>
        <v>1340</v>
      </c>
      <c r="AL65" s="136">
        <f t="shared" si="17"/>
        <v>3.3919999999999999</v>
      </c>
      <c r="AM65" s="258">
        <f t="shared" si="18"/>
        <v>-2.5000000000000001E-2</v>
      </c>
      <c r="AN65" s="258">
        <f t="shared" si="19"/>
        <v>5.7500000000000002E-2</v>
      </c>
      <c r="AO65" s="258">
        <f t="shared" si="20"/>
        <v>0.15</v>
      </c>
      <c r="AP65" s="258">
        <f t="shared" si="21"/>
        <v>-2.4999999999999998E-2</v>
      </c>
      <c r="AQ65" s="136">
        <f t="shared" si="48"/>
        <v>1.9200000000000002E-2</v>
      </c>
      <c r="AR65" s="137">
        <f t="shared" si="22"/>
        <v>2.9020000000000001E-2</v>
      </c>
      <c r="AS65" s="136">
        <f t="shared" si="33"/>
        <v>3.4245000000000001</v>
      </c>
      <c r="AT65" s="137">
        <f t="shared" si="34"/>
        <v>4.81861434694211E-2</v>
      </c>
      <c r="AU65" s="137">
        <f t="shared" si="23"/>
        <v>0.84004956821418653</v>
      </c>
      <c r="AV65" s="394">
        <f t="shared" si="35"/>
        <v>11666.608403358623</v>
      </c>
      <c r="AW65" s="137">
        <f t="shared" si="24"/>
        <v>0.28499999999999998</v>
      </c>
      <c r="AX65" s="137">
        <f t="shared" si="25"/>
        <v>0.55000000000000004</v>
      </c>
      <c r="AY65" s="137">
        <f t="shared" si="26"/>
        <v>0.55000000000000004</v>
      </c>
      <c r="AZ65" s="137"/>
      <c r="BA65" s="264"/>
      <c r="BB65" s="258">
        <f t="shared" si="27"/>
        <v>0</v>
      </c>
      <c r="BC65" s="258">
        <f t="shared" si="49"/>
        <v>0</v>
      </c>
      <c r="BD65" s="137">
        <f t="shared" si="50"/>
        <v>9.8983850019274122E-6</v>
      </c>
      <c r="BE65" s="137">
        <f t="shared" si="51"/>
        <v>9.8983850019274122E-6</v>
      </c>
      <c r="BF65" s="137">
        <f>_xll.xSPRDOPT($BW65,$BV65,$CG65,0,$BY65,$BX65,$BZ65,$AJ65,1,4)*$CB65</f>
        <v>2.9835648899857561</v>
      </c>
      <c r="BG65" s="137">
        <f>_xll.xSPRDOPT($BW65,$BV65,$CG65,0,$BY65,$BX65,$BZ65,$AJ65,1,3)*$CB65</f>
        <v>3.0321066054443189</v>
      </c>
      <c r="BH65" s="137">
        <f>IF(OR(BF65&lt;&gt;0,BG65&lt;&gt;0),_xll.xSPRDOPT($BW65,$BV65,$CG65,0,$BY65,$BX65,$BZ65,$AJ65,1,12)*$CB65,0)</f>
        <v>-3.0077229082606767</v>
      </c>
      <c r="BI65" s="137">
        <f>_xll.xSPRDOPT($BW65,$BV65,$CG65,2*LN(1+CA65/2),$BY65,$BX65,$BZ65,$AJ65,1,9)</f>
        <v>-2.6684235775560365E-3</v>
      </c>
      <c r="BJ65" s="137">
        <f>_xll.xSPRDOPT($BW65,$BV65,$CG65,0,$BY65,$BX65,$BZ65,$AJ65,1,6)*$CB65</f>
        <v>-0.22542211375406995</v>
      </c>
      <c r="BK65" s="137">
        <f>_xll.xSPRDOPT($BW65,$BV65,$CG65,0,$BY65,$BX65,$BZ65,$AJ65,1,5)*$CB65</f>
        <v>0.31301037566736956</v>
      </c>
      <c r="BL65" s="137">
        <f>_xll.xSPRDOPT(BW65,BV65,CG65,0,BY65,BX65,BZ65,AJ65,1,2)*CB65</f>
        <v>-0.25666354241651163</v>
      </c>
      <c r="BM65" s="137">
        <f>_xll.xSPRDOPT(BW65,BV65,CG65,0,BY65,BX65,BZ65,AJ65,1,1)*CB65</f>
        <v>0.26317586499744661</v>
      </c>
      <c r="BN65" s="137">
        <f>IF(AH65&lt;&gt;0,_xll.xSPRDOPT($BW65,$BV65,$CG65,2*LN(1+CA65/2),$BY65,$BX65,$BZ65,$AJ65,1,8)+(AJ65/365.25)*CH65/AH65,0)</f>
        <v>0.25822917660899158</v>
      </c>
      <c r="BO65" s="137">
        <f>_xll.xSPRDOPT($BW65,$BV65,$CG65,0,$BY65,$BX65,$BZ65,$AJ65,1,0)</f>
        <v>1.8769742215689306E-2</v>
      </c>
      <c r="BP65" s="137"/>
      <c r="BQ65" s="137"/>
      <c r="BR65" s="137"/>
      <c r="BS65" s="137"/>
      <c r="BV65" s="262">
        <v>3.5268491627016005</v>
      </c>
      <c r="BW65" s="136">
        <v>3.5169999999999999</v>
      </c>
      <c r="BX65" s="137">
        <v>0.28945062155452422</v>
      </c>
      <c r="BY65" s="137">
        <v>0.28945062155452422</v>
      </c>
      <c r="BZ65" s="137">
        <v>0.99916565162808035</v>
      </c>
      <c r="CA65" s="137">
        <v>4.81861434694211E-2</v>
      </c>
      <c r="CB65" s="137">
        <v>0.83972110009682266</v>
      </c>
      <c r="CC65" s="258">
        <v>-2.5000000000000001E-2</v>
      </c>
      <c r="CD65" s="258">
        <v>5.7500000000000002E-2</v>
      </c>
      <c r="CE65" s="258">
        <v>0.15</v>
      </c>
      <c r="CF65" s="258">
        <v>-2.5000000000000001E-2</v>
      </c>
      <c r="CG65" s="258">
        <v>1.9200000000000002E-2</v>
      </c>
      <c r="CH65" s="258">
        <v>2.6942451496606554</v>
      </c>
      <c r="CI65" s="258">
        <v>3.3919999999999999</v>
      </c>
    </row>
    <row r="66" spans="1:87" x14ac:dyDescent="0.25">
      <c r="A66" s="723"/>
      <c r="B66" s="723"/>
      <c r="D66" s="31">
        <f t="shared" si="36"/>
        <v>38610</v>
      </c>
      <c r="F66" s="28">
        <f t="shared" si="37"/>
        <v>15000</v>
      </c>
      <c r="G66" s="28">
        <f t="shared" si="12"/>
        <v>12530.403765590512</v>
      </c>
      <c r="H66" s="52">
        <f t="shared" si="38"/>
        <v>3.5216997260499707</v>
      </c>
      <c r="I66" s="52">
        <f t="shared" si="39"/>
        <v>3.4870000000000001</v>
      </c>
      <c r="K66" s="52">
        <f t="shared" si="28"/>
        <v>0</v>
      </c>
      <c r="L66" s="135">
        <f t="shared" si="29"/>
        <v>0.38522576838654682</v>
      </c>
      <c r="N66" s="131">
        <f t="shared" si="30"/>
        <v>0.28922221332025494</v>
      </c>
      <c r="O66" s="131">
        <f t="shared" si="31"/>
        <v>0.29030933603946113</v>
      </c>
      <c r="P66" s="55">
        <f t="shared" si="32"/>
        <v>0.99898264896471412</v>
      </c>
      <c r="Q66" s="135">
        <f>_xll.xSPRDOPT(I66,H66,AQ66,0,O66,N66,P66,D66-$G$5,1,0)*AH66*AU66</f>
        <v>0.38522576838654682</v>
      </c>
      <c r="R66" s="135"/>
      <c r="S66" s="181">
        <f>_xll.xSPRDOPT(I66,H66,AQ66,AT66,O66,N66,P66,D66-$G$5,1,2)*AF66*(F66/(1-AR66))*AH66</f>
        <v>-105066.86635850921</v>
      </c>
      <c r="T66" s="181">
        <f>_xll.xSPRDOPT(I66,H66,AQ66,AT66,O66,N66,P66,D66-$G$5,1,1)*AF66*F66*AH66</f>
        <v>105179.55330651641</v>
      </c>
      <c r="U66" s="135"/>
      <c r="V66" s="146">
        <f t="shared" si="40"/>
        <v>2.5937935794772362</v>
      </c>
      <c r="W66" s="146"/>
      <c r="X66" s="338">
        <f t="shared" si="41"/>
        <v>0</v>
      </c>
      <c r="Y66" s="338">
        <f t="shared" si="13"/>
        <v>0</v>
      </c>
      <c r="Z66" s="338">
        <f t="shared" si="14"/>
        <v>-10.172965876682674</v>
      </c>
      <c r="AA66" s="338">
        <f t="shared" si="15"/>
        <v>0.78076291622598781</v>
      </c>
      <c r="AB66" s="338">
        <f t="shared" si="42"/>
        <v>0</v>
      </c>
      <c r="AC66" s="338">
        <f t="shared" si="43"/>
        <v>2.3063387870988059</v>
      </c>
      <c r="AF66" s="138">
        <f t="shared" si="44"/>
        <v>1</v>
      </c>
      <c r="AG66" s="138">
        <f t="shared" si="45"/>
        <v>9</v>
      </c>
      <c r="AH66" s="138">
        <f t="shared" si="52"/>
        <v>30</v>
      </c>
      <c r="AI66" s="138">
        <f t="shared" si="46"/>
        <v>1354</v>
      </c>
      <c r="AJ66" s="138">
        <f t="shared" si="47"/>
        <v>1371</v>
      </c>
      <c r="AL66" s="136">
        <f t="shared" si="17"/>
        <v>3.387</v>
      </c>
      <c r="AM66" s="258">
        <f t="shared" si="18"/>
        <v>-2.5000000000000001E-2</v>
      </c>
      <c r="AN66" s="258">
        <f t="shared" si="19"/>
        <v>5.7500000000000002E-2</v>
      </c>
      <c r="AO66" s="258">
        <f t="shared" si="20"/>
        <v>0.125</v>
      </c>
      <c r="AP66" s="258">
        <f t="shared" si="21"/>
        <v>-2.4999999999999998E-2</v>
      </c>
      <c r="AQ66" s="136">
        <f t="shared" si="48"/>
        <v>1.9200000000000002E-2</v>
      </c>
      <c r="AR66" s="137">
        <f t="shared" si="22"/>
        <v>2.9020000000000001E-2</v>
      </c>
      <c r="AS66" s="136">
        <f t="shared" si="33"/>
        <v>3.4195000000000002</v>
      </c>
      <c r="AT66" s="137">
        <f t="shared" si="34"/>
        <v>4.8611805940590898E-2</v>
      </c>
      <c r="AU66" s="137">
        <f t="shared" si="23"/>
        <v>0.83536025103936751</v>
      </c>
      <c r="AV66" s="394">
        <f t="shared" si="35"/>
        <v>11227.241773969099</v>
      </c>
      <c r="AW66" s="137">
        <f t="shared" si="24"/>
        <v>0.28499999999999998</v>
      </c>
      <c r="AX66" s="137">
        <f t="shared" si="25"/>
        <v>0.55000000000000004</v>
      </c>
      <c r="AY66" s="137">
        <f t="shared" si="26"/>
        <v>0.6</v>
      </c>
      <c r="AZ66" s="137"/>
      <c r="BA66" s="264"/>
      <c r="BB66" s="258">
        <f t="shared" si="27"/>
        <v>0</v>
      </c>
      <c r="BC66" s="258">
        <f t="shared" si="49"/>
        <v>0</v>
      </c>
      <c r="BD66" s="137">
        <f t="shared" si="50"/>
        <v>9.1650015730526668E-6</v>
      </c>
      <c r="BE66" s="137">
        <f t="shared" si="51"/>
        <v>1.1503404332702249E-5</v>
      </c>
      <c r="BF66" s="137">
        <f>_xll.xSPRDOPT($BW66,$BV66,$CG66,0,$BY66,$BX66,$BZ66,$AJ66,1,4)*$CB66</f>
        <v>3.0429300603397698</v>
      </c>
      <c r="BG66" s="137">
        <f>_xll.xSPRDOPT($BW66,$BV66,$CG66,0,$BY66,$BX66,$BZ66,$AJ66,1,3)*$CB66</f>
        <v>3.1352300782862259</v>
      </c>
      <c r="BH66" s="137">
        <f>IF(OR(BF66&lt;&gt;0,BG66&lt;&gt;0),_xll.xSPRDOPT($BW66,$BV66,$CG66,0,$BY66,$BX66,$BZ66,$AJ66,1,12)*$CB66,0)</f>
        <v>-3.0887249153558507</v>
      </c>
      <c r="BI66" s="137">
        <f>_xll.xSPRDOPT($BW66,$BV66,$CG66,2*LN(1+CA66/2),$BY66,$BX66,$BZ66,$AJ66,1,9)</f>
        <v>-2.7523524344135902E-3</v>
      </c>
      <c r="BJ66" s="137">
        <f>_xll.xSPRDOPT($BW66,$BV66,$CG66,0,$BY66,$BX66,$BZ66,$AJ66,1,6)*$CB66</f>
        <v>-0.31926683172294684</v>
      </c>
      <c r="BK66" s="137">
        <f>_xll.xSPRDOPT($BW66,$BV66,$CG66,0,$BY66,$BX66,$BZ66,$AJ66,1,5)*$CB66</f>
        <v>0.40519393936610687</v>
      </c>
      <c r="BL66" s="137">
        <f>_xll.xSPRDOPT(BW66,BV66,CG66,0,BY66,BX66,BZ66,AJ66,1,2)*CB66</f>
        <v>-0.2271148750153569</v>
      </c>
      <c r="BM66" s="137">
        <f>_xll.xSPRDOPT(BW66,BV66,CG66,0,BY66,BX66,BZ66,AJ66,1,1)*CB66</f>
        <v>0.23415343846593306</v>
      </c>
      <c r="BN66" s="137">
        <f>IF(AH66&lt;&gt;0,_xll.xSPRDOPT($BW66,$BV66,$CG66,2*LN(1+CA66/2),$BY66,$BX66,$BZ66,$AJ66,1,8)+(AJ66/365.25)*CH66/AH66,0)</f>
        <v>0.27622485730457425</v>
      </c>
      <c r="BO66" s="137">
        <f>_xll.xSPRDOPT($BW66,$BV66,$CG66,0,$BY66,$BX66,$BZ66,$AJ66,1,0)</f>
        <v>1.5372175230757065E-2</v>
      </c>
      <c r="BP66" s="137"/>
      <c r="BQ66" s="137"/>
      <c r="BR66" s="137"/>
      <c r="BS66" s="137"/>
      <c r="BV66" s="262">
        <v>3.5216997260499707</v>
      </c>
      <c r="BW66" s="136">
        <v>3.4870000000000001</v>
      </c>
      <c r="BX66" s="137">
        <v>0.28921304831868189</v>
      </c>
      <c r="BY66" s="137">
        <v>0.29029783263512843</v>
      </c>
      <c r="BZ66" s="137">
        <v>0.99898478624124643</v>
      </c>
      <c r="CA66" s="137">
        <v>4.8611805940590898E-2</v>
      </c>
      <c r="CB66" s="137">
        <v>0.8350307660330849</v>
      </c>
      <c r="CC66" s="258">
        <v>-2.5000000000000001E-2</v>
      </c>
      <c r="CD66" s="258">
        <v>5.7500000000000002E-2</v>
      </c>
      <c r="CE66" s="258">
        <v>0.125</v>
      </c>
      <c r="CF66" s="258">
        <v>-2.5000000000000001E-2</v>
      </c>
      <c r="CG66" s="258">
        <v>1.9200000000000002E-2</v>
      </c>
      <c r="CH66" s="258">
        <v>2.5927705285327285</v>
      </c>
      <c r="CI66" s="258">
        <v>3.387</v>
      </c>
    </row>
    <row r="67" spans="1:87" x14ac:dyDescent="0.25">
      <c r="A67" s="723"/>
      <c r="B67" s="723"/>
      <c r="D67" s="31">
        <f t="shared" si="36"/>
        <v>38640</v>
      </c>
      <c r="F67" s="28">
        <f t="shared" si="37"/>
        <v>15000</v>
      </c>
      <c r="G67" s="28">
        <f t="shared" si="12"/>
        <v>12462.552829627293</v>
      </c>
      <c r="H67" s="52">
        <f t="shared" si="38"/>
        <v>3.547446909308122</v>
      </c>
      <c r="I67" s="52">
        <f t="shared" si="39"/>
        <v>3.532</v>
      </c>
      <c r="K67" s="52">
        <f t="shared" si="28"/>
        <v>0</v>
      </c>
      <c r="L67" s="135">
        <f t="shared" si="29"/>
        <v>0.63858774633283988</v>
      </c>
      <c r="N67" s="131">
        <f t="shared" si="30"/>
        <v>0.29036621737544821</v>
      </c>
      <c r="O67" s="131">
        <f t="shared" si="31"/>
        <v>0.29155574372156456</v>
      </c>
      <c r="P67" s="55">
        <f t="shared" si="32"/>
        <v>0.99882438976021559</v>
      </c>
      <c r="Q67" s="135">
        <f>_xll.xSPRDOPT(I67,H67,AQ67,0,O67,N67,P67,D67-$G$5,1,0)*AH67*AU67</f>
        <v>0.63858774633283988</v>
      </c>
      <c r="R67" s="135"/>
      <c r="S67" s="181">
        <f>_xll.xSPRDOPT(I67,H67,AQ67,AT67,O67,N67,P67,D67-$G$5,1,2)*AF67*(F67/(1-AR67))*AH67</f>
        <v>-142639.34247191003</v>
      </c>
      <c r="T67" s="181">
        <f>_xll.xSPRDOPT(I67,H67,AQ67,AT67,O67,N67,P67,D67-$G$5,1,1)*AF67*F67*AH67</f>
        <v>142486.29074677604</v>
      </c>
      <c r="U67" s="135"/>
      <c r="V67" s="146">
        <f t="shared" si="40"/>
        <v>2.6657400502572779</v>
      </c>
      <c r="W67" s="146"/>
      <c r="X67" s="338">
        <f t="shared" si="41"/>
        <v>0</v>
      </c>
      <c r="Y67" s="338">
        <f t="shared" si="13"/>
        <v>0</v>
      </c>
      <c r="Z67" s="338">
        <f t="shared" si="14"/>
        <v>-11.684542409386815</v>
      </c>
      <c r="AA67" s="338">
        <f t="shared" si="15"/>
        <v>1.0860591801802413</v>
      </c>
      <c r="AB67" s="338">
        <f t="shared" si="42"/>
        <v>0</v>
      </c>
      <c r="AC67" s="338">
        <f t="shared" si="43"/>
        <v>3.854409622998944</v>
      </c>
      <c r="AF67" s="138">
        <f t="shared" si="44"/>
        <v>1</v>
      </c>
      <c r="AG67" s="138">
        <f t="shared" si="45"/>
        <v>10</v>
      </c>
      <c r="AH67" s="138">
        <f t="shared" si="52"/>
        <v>31</v>
      </c>
      <c r="AI67" s="138">
        <f t="shared" si="46"/>
        <v>1384</v>
      </c>
      <c r="AJ67" s="138">
        <f t="shared" si="47"/>
        <v>1401</v>
      </c>
      <c r="AL67" s="136">
        <f t="shared" si="17"/>
        <v>3.4119999999999999</v>
      </c>
      <c r="AM67" s="258">
        <f t="shared" si="18"/>
        <v>-2.5000000000000001E-2</v>
      </c>
      <c r="AN67" s="258">
        <f t="shared" si="19"/>
        <v>5.7500000000000002E-2</v>
      </c>
      <c r="AO67" s="258">
        <f t="shared" si="20"/>
        <v>0.14499999999999999</v>
      </c>
      <c r="AP67" s="258">
        <f t="shared" si="21"/>
        <v>-2.4999999999999998E-2</v>
      </c>
      <c r="AQ67" s="136">
        <f t="shared" si="48"/>
        <v>1.9200000000000002E-2</v>
      </c>
      <c r="AR67" s="137">
        <f t="shared" si="22"/>
        <v>2.9020000000000001E-2</v>
      </c>
      <c r="AS67" s="136">
        <f t="shared" si="33"/>
        <v>3.4445000000000001</v>
      </c>
      <c r="AT67" s="137">
        <f t="shared" si="34"/>
        <v>4.9009151354921801E-2</v>
      </c>
      <c r="AU67" s="137">
        <f t="shared" si="23"/>
        <v>0.83083685530848617</v>
      </c>
      <c r="AV67" s="394">
        <f t="shared" si="35"/>
        <v>11538.662246524256</v>
      </c>
      <c r="AW67" s="137">
        <f t="shared" si="24"/>
        <v>0.28499999999999998</v>
      </c>
      <c r="AX67" s="137">
        <f t="shared" si="25"/>
        <v>0.6</v>
      </c>
      <c r="AY67" s="137">
        <f t="shared" si="26"/>
        <v>0.65</v>
      </c>
      <c r="AZ67" s="137"/>
      <c r="BA67" s="264"/>
      <c r="BB67" s="258">
        <f t="shared" si="27"/>
        <v>0</v>
      </c>
      <c r="BC67" s="258">
        <f t="shared" si="49"/>
        <v>0</v>
      </c>
      <c r="BD67" s="137">
        <f t="shared" si="50"/>
        <v>1.1372695913058894E-5</v>
      </c>
      <c r="BE67" s="137">
        <f t="shared" si="51"/>
        <v>1.3865654850730991E-5</v>
      </c>
      <c r="BF67" s="137">
        <f>_xll.xSPRDOPT($BW67,$BV67,$CG67,0,$BY67,$BX67,$BZ67,$AJ67,1,4)*$CB67</f>
        <v>3.1046616089124308</v>
      </c>
      <c r="BG67" s="137">
        <f>_xll.xSPRDOPT($BW67,$BV67,$CG67,0,$BY67,$BX67,$BZ67,$AJ67,1,3)*$CB67</f>
        <v>3.1642171658800069</v>
      </c>
      <c r="BH67" s="137">
        <f>IF(OR(BF67&lt;&gt;0,BG67&lt;&gt;0),_xll.xSPRDOPT($BW67,$BV67,$CG67,0,$BY67,$BX67,$BZ67,$AJ67,1,12)*$CB67,0)</f>
        <v>-3.1342829191121648</v>
      </c>
      <c r="BI67" s="137">
        <f>_xll.xSPRDOPT($BW67,$BV67,$CG67,2*LN(1+CA67/2),$BY67,$BX67,$BZ67,$AJ67,1,9)</f>
        <v>-3.0593398674039667E-3</v>
      </c>
      <c r="BJ67" s="137">
        <f>_xll.xSPRDOPT($BW67,$BV67,$CG67,0,$BY67,$BX67,$BZ67,$AJ67,1,6)*$CB67</f>
        <v>-0.35117478890013504</v>
      </c>
      <c r="BK67" s="137">
        <f>_xll.xSPRDOPT($BW67,$BV67,$CG67,0,$BY67,$BX67,$BZ67,$AJ67,1,5)*$CB67</f>
        <v>0.4564815217748453</v>
      </c>
      <c r="BL67" s="137">
        <f>_xll.xSPRDOPT(BW67,BV67,CG67,0,BY67,BX67,BZ67,AJ67,1,2)*CB67</f>
        <v>-0.29840785780612128</v>
      </c>
      <c r="BM67" s="137">
        <f>_xll.xSPRDOPT(BW67,BV67,CG67,0,BY67,BX67,BZ67,AJ67,1,1)*CB67</f>
        <v>0.30699655149882399</v>
      </c>
      <c r="BN67" s="137">
        <f>IF(AH67&lt;&gt;0,_xll.xSPRDOPT($BW67,$BV67,$CG67,2*LN(1+CA67/2),$BY67,$BX67,$BZ67,$AJ67,1,8)+(AJ67/365.25)*CH67/AH67,0)</f>
        <v>0.25072438039447259</v>
      </c>
      <c r="BO67" s="137">
        <f>_xll.xSPRDOPT($BW67,$BV67,$CG67,0,$BY67,$BX67,$BZ67,$AJ67,1,0)</f>
        <v>2.4794403314510365E-2</v>
      </c>
      <c r="BP67" s="137"/>
      <c r="BQ67" s="137"/>
      <c r="BR67" s="137"/>
      <c r="BS67" s="137"/>
      <c r="BV67" s="262">
        <v>3.547446909308122</v>
      </c>
      <c r="BW67" s="136">
        <v>3.532</v>
      </c>
      <c r="BX67" s="137">
        <v>0.29035484467953515</v>
      </c>
      <c r="BY67" s="137">
        <v>0.29154187806671383</v>
      </c>
      <c r="BZ67" s="137">
        <v>0.99882678557476656</v>
      </c>
      <c r="CA67" s="137">
        <v>4.9009151354921801E-2</v>
      </c>
      <c r="CB67" s="137">
        <v>0.83050650854564589</v>
      </c>
      <c r="CC67" s="258">
        <v>-2.5000000000000001E-2</v>
      </c>
      <c r="CD67" s="258">
        <v>5.7500000000000002E-2</v>
      </c>
      <c r="CE67" s="258">
        <v>0.14499999999999999</v>
      </c>
      <c r="CF67" s="258">
        <v>-2.5000000000000001E-2</v>
      </c>
      <c r="CG67" s="258">
        <v>1.9200000000000002E-2</v>
      </c>
      <c r="CH67" s="258">
        <v>2.6646801326687046</v>
      </c>
      <c r="CI67" s="258">
        <v>3.4119999999999999</v>
      </c>
    </row>
    <row r="68" spans="1:87" x14ac:dyDescent="0.25">
      <c r="A68" s="723"/>
      <c r="B68" s="723"/>
      <c r="D68" s="31">
        <f t="shared" si="36"/>
        <v>38671</v>
      </c>
      <c r="F68" s="28">
        <f t="shared" si="37"/>
        <v>15000</v>
      </c>
      <c r="G68" s="28">
        <f t="shared" si="12"/>
        <v>12393.312226103286</v>
      </c>
      <c r="H68" s="52">
        <f t="shared" si="38"/>
        <v>3.7039897835176836</v>
      </c>
      <c r="I68" s="52">
        <f t="shared" si="39"/>
        <v>3.734</v>
      </c>
      <c r="K68" s="52">
        <f t="shared" si="28"/>
        <v>0.2679487761942298</v>
      </c>
      <c r="L68" s="135">
        <f t="shared" si="29"/>
        <v>1.1690733939677016</v>
      </c>
      <c r="N68" s="131">
        <f t="shared" si="30"/>
        <v>0.29510383973065518</v>
      </c>
      <c r="O68" s="131">
        <f t="shared" si="31"/>
        <v>0.29656645265296078</v>
      </c>
      <c r="P68" s="55">
        <f t="shared" si="32"/>
        <v>0.99823236601415177</v>
      </c>
      <c r="Q68" s="135">
        <f>_xll.xSPRDOPT(I68,H68,AQ68,0,O68,N68,P68,D68-$G$5,1,0)*AH68*AU68</f>
        <v>1.4370221701619315</v>
      </c>
      <c r="R68" s="135"/>
      <c r="S68" s="181">
        <f>_xll.xSPRDOPT(I68,H68,AQ68,AT68,O68,N68,P68,D68-$G$5,1,2)*AF68*(F68/(1-AR68))*AH68</f>
        <v>-201022.42802377281</v>
      </c>
      <c r="T68" s="181">
        <f>_xll.xSPRDOPT(I68,H68,AQ68,AT68,O68,N68,P68,D68-$G$5,1,1)*AF68*F68*AH68</f>
        <v>200315.03903524409</v>
      </c>
      <c r="U68" s="135"/>
      <c r="V68" s="146">
        <f t="shared" si="40"/>
        <v>2.56541563080338</v>
      </c>
      <c r="W68" s="146"/>
      <c r="X68" s="338">
        <f t="shared" si="41"/>
        <v>0</v>
      </c>
      <c r="Y68" s="338">
        <f t="shared" si="13"/>
        <v>0</v>
      </c>
      <c r="Z68" s="338">
        <f t="shared" si="14"/>
        <v>-11.718243273525047</v>
      </c>
      <c r="AA68" s="338">
        <f t="shared" si="15"/>
        <v>1.9794331914430252</v>
      </c>
      <c r="AB68" s="338">
        <f t="shared" si="42"/>
        <v>0</v>
      </c>
      <c r="AC68" s="338">
        <f t="shared" si="43"/>
        <v>8.7412310236088349</v>
      </c>
      <c r="AF68" s="138">
        <f t="shared" si="44"/>
        <v>1</v>
      </c>
      <c r="AG68" s="138">
        <f t="shared" si="45"/>
        <v>11</v>
      </c>
      <c r="AH68" s="138">
        <f t="shared" si="52"/>
        <v>30</v>
      </c>
      <c r="AI68" s="138">
        <f t="shared" si="46"/>
        <v>1415</v>
      </c>
      <c r="AJ68" s="138">
        <f t="shared" si="47"/>
        <v>1432</v>
      </c>
      <c r="AL68" s="136">
        <f t="shared" si="17"/>
        <v>3.5640000000000001</v>
      </c>
      <c r="AM68" s="258">
        <f t="shared" si="18"/>
        <v>-2.5000000000000001E-2</v>
      </c>
      <c r="AN68" s="258">
        <f t="shared" si="19"/>
        <v>5.7500000000000002E-2</v>
      </c>
      <c r="AO68" s="258">
        <f t="shared" si="20"/>
        <v>0.19500000000000001</v>
      </c>
      <c r="AP68" s="258">
        <f t="shared" si="21"/>
        <v>-2.4999999999999998E-2</v>
      </c>
      <c r="AQ68" s="136">
        <f t="shared" si="48"/>
        <v>1.9200000000000002E-2</v>
      </c>
      <c r="AR68" s="137">
        <f t="shared" si="22"/>
        <v>2.9020000000000001E-2</v>
      </c>
      <c r="AS68" s="136">
        <f t="shared" si="33"/>
        <v>3.5965000000000003</v>
      </c>
      <c r="AT68" s="137">
        <f t="shared" si="34"/>
        <v>4.9392017987160801E-2</v>
      </c>
      <c r="AU68" s="137">
        <f t="shared" si="23"/>
        <v>0.82622081507355238</v>
      </c>
      <c r="AV68" s="394">
        <f t="shared" si="35"/>
        <v>11104.407754588545</v>
      </c>
      <c r="AW68" s="137">
        <f t="shared" si="24"/>
        <v>0.28499999999999998</v>
      </c>
      <c r="AX68" s="137">
        <f t="shared" si="25"/>
        <v>0.8</v>
      </c>
      <c r="AY68" s="137">
        <f t="shared" si="26"/>
        <v>0.85</v>
      </c>
      <c r="AZ68" s="137"/>
      <c r="BA68" s="264"/>
      <c r="BB68" s="258">
        <f t="shared" si="27"/>
        <v>0</v>
      </c>
      <c r="BC68" s="258">
        <f t="shared" si="49"/>
        <v>0</v>
      </c>
      <c r="BD68" s="137">
        <f t="shared" si="50"/>
        <v>2.0791110959539338E-5</v>
      </c>
      <c r="BE68" s="137">
        <f t="shared" si="51"/>
        <v>2.3743238904472275E-5</v>
      </c>
      <c r="BF68" s="137">
        <f>_xll.xSPRDOPT($BW68,$BV68,$CG68,0,$BY68,$BX68,$BZ68,$AJ68,1,4)*$CB68</f>
        <v>2.5071951538843793</v>
      </c>
      <c r="BG68" s="137">
        <f>_xll.xSPRDOPT($BW68,$BV68,$CG68,0,$BY68,$BX68,$BZ68,$AJ68,1,3)*$CB68</f>
        <v>2.4925808435566017</v>
      </c>
      <c r="BH68" s="137">
        <f>IF(OR(BF68&lt;&gt;0,BG68&lt;&gt;0),_xll.xSPRDOPT($BW68,$BV68,$CG68,0,$BY68,$BX68,$BZ68,$AJ68,1,12)*$CB68,0)</f>
        <v>-2.4998632758441701</v>
      </c>
      <c r="BI68" s="137">
        <f>_xll.xSPRDOPT($BW68,$BV68,$CG68,2*LN(1+CA68/2),$BY68,$BX68,$BZ68,$AJ68,1,9)</f>
        <v>-3.1704358190037213E-3</v>
      </c>
      <c r="BJ68" s="137">
        <f>_xll.xSPRDOPT($BW68,$BV68,$CG68,0,$BY68,$BX68,$BZ68,$AJ68,1,6)*$CB68</f>
        <v>-0.3320791861762708</v>
      </c>
      <c r="BK68" s="137">
        <f>_xll.xSPRDOPT($BW68,$BV68,$CG68,0,$BY68,$BX68,$BZ68,$AJ68,1,5)*$CB68</f>
        <v>0.47605281141505401</v>
      </c>
      <c r="BL68" s="137">
        <f>_xll.xSPRDOPT(BW68,BV68,CG68,0,BY68,BX68,BZ68,AJ68,1,2)*CB68</f>
        <v>-0.43459853954941802</v>
      </c>
      <c r="BM68" s="137">
        <f>_xll.xSPRDOPT(BW68,BV68,CG68,0,BY68,BX68,BZ68,AJ68,1,1)*CB68</f>
        <v>0.44601237629153551</v>
      </c>
      <c r="BN68" s="137">
        <f>IF(AH68&lt;&gt;0,_xll.xSPRDOPT($BW68,$BV68,$CG68,2*LN(1+CA68/2),$BY68,$BX68,$BZ68,$AJ68,1,8)+(AJ68/365.25)*CH68/AH68,0)</f>
        <v>0.14740520223499662</v>
      </c>
      <c r="BO68" s="137">
        <f>_xll.xSPRDOPT($BW68,$BV68,$CG68,0,$BY68,$BX68,$BZ68,$AJ68,1,0)</f>
        <v>5.7976260294280914E-2</v>
      </c>
      <c r="BP68" s="137"/>
      <c r="BQ68" s="137"/>
      <c r="BR68" s="137"/>
      <c r="BS68" s="137"/>
      <c r="BV68" s="262">
        <v>3.7039897835176836</v>
      </c>
      <c r="BW68" s="136">
        <v>3.734</v>
      </c>
      <c r="BX68" s="137">
        <v>0.29508304861969564</v>
      </c>
      <c r="BY68" s="137">
        <v>0.2965427094140563</v>
      </c>
      <c r="BZ68" s="137">
        <v>0.99823577734320423</v>
      </c>
      <c r="CA68" s="137">
        <v>4.9392017987160801E-2</v>
      </c>
      <c r="CB68" s="137">
        <v>0.82588976886354881</v>
      </c>
      <c r="CC68" s="258">
        <v>-2.5000000000000001E-2</v>
      </c>
      <c r="CD68" s="258">
        <v>5.7500000000000002E-2</v>
      </c>
      <c r="CE68" s="258">
        <v>0.19500000000000001</v>
      </c>
      <c r="CF68" s="258">
        <v>-2.5000000000000001E-2</v>
      </c>
      <c r="CG68" s="258">
        <v>1.9200000000000002E-2</v>
      </c>
      <c r="CH68" s="258">
        <v>2.5643877323213191</v>
      </c>
      <c r="CI68" s="258">
        <v>3.5640000000000001</v>
      </c>
    </row>
    <row r="69" spans="1:87" x14ac:dyDescent="0.25">
      <c r="A69" s="723"/>
      <c r="B69" s="723"/>
      <c r="D69" s="31">
        <f t="shared" si="36"/>
        <v>38701</v>
      </c>
      <c r="F69" s="28">
        <f t="shared" si="37"/>
        <v>15000</v>
      </c>
      <c r="G69" s="28">
        <f t="shared" si="12"/>
        <v>12325.930329949704</v>
      </c>
      <c r="H69" s="52">
        <f t="shared" si="38"/>
        <v>3.8512636717543103</v>
      </c>
      <c r="I69" s="52">
        <f t="shared" si="39"/>
        <v>3.8969999999999998</v>
      </c>
      <c r="K69" s="52">
        <f t="shared" si="28"/>
        <v>0.6759755285493606</v>
      </c>
      <c r="L69" s="135">
        <f t="shared" si="29"/>
        <v>1.4075993946346621</v>
      </c>
      <c r="N69" s="131">
        <f t="shared" si="30"/>
        <v>0.30162191373118435</v>
      </c>
      <c r="O69" s="131">
        <f t="shared" si="31"/>
        <v>0.30341982670201056</v>
      </c>
      <c r="P69" s="55">
        <f t="shared" si="32"/>
        <v>0.99743746078912343</v>
      </c>
      <c r="Q69" s="135">
        <f>_xll.xSPRDOPT(I69,H69,AQ69,0,O69,N69,P69,D69-$G$5,1,0)*AH69*AU69</f>
        <v>2.0835749231840226</v>
      </c>
      <c r="R69" s="135"/>
      <c r="S69" s="181">
        <f>_xll.xSPRDOPT(I69,H69,AQ69,AT69,O69,N69,P69,D69-$G$5,1,2)*AF69*(F69/(1-AR69))*AH69</f>
        <v>-217402.53243005733</v>
      </c>
      <c r="T69" s="181">
        <f>_xll.xSPRDOPT(I69,H69,AQ69,AT69,O69,N69,P69,D69-$G$5,1,1)*AF69*F69*AH69</f>
        <v>217598.73565951281</v>
      </c>
      <c r="U69" s="135"/>
      <c r="V69" s="146">
        <f t="shared" si="40"/>
        <v>2.6365164975762418</v>
      </c>
      <c r="W69" s="146"/>
      <c r="X69" s="338">
        <f t="shared" si="41"/>
        <v>0</v>
      </c>
      <c r="Y69" s="338">
        <f t="shared" si="13"/>
        <v>0</v>
      </c>
      <c r="Z69" s="338">
        <f t="shared" si="14"/>
        <v>-13.616419309932018</v>
      </c>
      <c r="AA69" s="338">
        <f t="shared" si="15"/>
        <v>3.5226200941702057</v>
      </c>
      <c r="AB69" s="338">
        <f t="shared" si="42"/>
        <v>0</v>
      </c>
      <c r="AC69" s="338">
        <f t="shared" si="43"/>
        <v>12.769124291271199</v>
      </c>
      <c r="AF69" s="138">
        <f t="shared" si="44"/>
        <v>1</v>
      </c>
      <c r="AG69" s="138">
        <f t="shared" si="45"/>
        <v>12</v>
      </c>
      <c r="AH69" s="138">
        <f t="shared" si="52"/>
        <v>31</v>
      </c>
      <c r="AI69" s="138">
        <f t="shared" si="46"/>
        <v>1445</v>
      </c>
      <c r="AJ69" s="138">
        <f t="shared" si="47"/>
        <v>1462</v>
      </c>
      <c r="AL69" s="136">
        <f t="shared" si="17"/>
        <v>3.7069999999999999</v>
      </c>
      <c r="AM69" s="258">
        <f t="shared" si="18"/>
        <v>-2.5000000000000001E-2</v>
      </c>
      <c r="AN69" s="258">
        <f t="shared" si="19"/>
        <v>5.7500000000000002E-2</v>
      </c>
      <c r="AO69" s="258">
        <f t="shared" si="20"/>
        <v>0.215</v>
      </c>
      <c r="AP69" s="258">
        <f t="shared" si="21"/>
        <v>-2.4999999999999998E-2</v>
      </c>
      <c r="AQ69" s="136">
        <f t="shared" si="48"/>
        <v>1.9200000000000002E-2</v>
      </c>
      <c r="AR69" s="137">
        <f t="shared" si="22"/>
        <v>2.9020000000000001E-2</v>
      </c>
      <c r="AS69" s="136">
        <f t="shared" si="33"/>
        <v>3.7395</v>
      </c>
      <c r="AT69" s="137">
        <f t="shared" si="34"/>
        <v>4.97625341294907E-2</v>
      </c>
      <c r="AU69" s="137">
        <f t="shared" si="23"/>
        <v>0.82172868866331361</v>
      </c>
      <c r="AV69" s="394">
        <f t="shared" si="35"/>
        <v>11412.1680281561</v>
      </c>
      <c r="AW69" s="137">
        <f t="shared" si="24"/>
        <v>0.28499999999999998</v>
      </c>
      <c r="AX69" s="137">
        <f t="shared" si="25"/>
        <v>1</v>
      </c>
      <c r="AY69" s="137">
        <f t="shared" si="26"/>
        <v>1.05</v>
      </c>
      <c r="AZ69" s="137"/>
      <c r="BA69" s="264"/>
      <c r="BB69" s="258">
        <f t="shared" si="27"/>
        <v>0</v>
      </c>
      <c r="BC69" s="258">
        <f t="shared" si="49"/>
        <v>0</v>
      </c>
      <c r="BD69" s="137">
        <f t="shared" si="50"/>
        <v>3.3135902504588532E-5</v>
      </c>
      <c r="BE69" s="137">
        <f t="shared" si="51"/>
        <v>3.6614543058310911E-5</v>
      </c>
      <c r="BF69" s="137">
        <f>_xll.xSPRDOPT($BW69,$BV69,$CG69,0,$BY69,$BX69,$BZ69,$AJ69,1,4)*$CB69</f>
        <v>1.9198788639186701</v>
      </c>
      <c r="BG69" s="137">
        <f>_xll.xSPRDOPT($BW69,$BV69,$CG69,0,$BY69,$BX69,$BZ69,$AJ69,1,3)*$CB69</f>
        <v>1.8938642378030175</v>
      </c>
      <c r="BH69" s="137">
        <f>IF(OR(BF69&lt;&gt;0,BG69&lt;&gt;0),_xll.xSPRDOPT($BW69,$BV69,$CG69,0,$BY69,$BX69,$BZ69,$AJ69,1,12)*$CB69,0)</f>
        <v>-1.906815560994783</v>
      </c>
      <c r="BI69" s="137">
        <f>_xll.xSPRDOPT($BW69,$BV69,$CG69,2*LN(1+CA69/2),$BY69,$BX69,$BZ69,$AJ69,1,9)</f>
        <v>-3.5651592494284367E-3</v>
      </c>
      <c r="BJ69" s="137">
        <f>_xll.xSPRDOPT($BW69,$BV69,$CG69,0,$BY69,$BX69,$BZ69,$AJ69,1,6)*$CB69</f>
        <v>-0.28827403627863046</v>
      </c>
      <c r="BK69" s="137">
        <f>_xll.xSPRDOPT($BW69,$BV69,$CG69,0,$BY69,$BX69,$BZ69,$AJ69,1,5)*$CB69</f>
        <v>0.46778536653299008</v>
      </c>
      <c r="BL69" s="137">
        <f>_xll.xSPRDOPT(BW69,BV69,CG69,0,BY69,BX69,BZ69,AJ69,1,2)*CB69</f>
        <v>-0.4548866275447368</v>
      </c>
      <c r="BM69" s="137">
        <f>_xll.xSPRDOPT(BW69,BV69,CG69,0,BY69,BX69,BZ69,AJ69,1,1)*CB69</f>
        <v>0.46890470178297067</v>
      </c>
      <c r="BN69" s="137">
        <f>IF(AH69&lt;&gt;0,_xll.xSPRDOPT($BW69,$BV69,$CG69,2*LN(1+CA69/2),$BY69,$BX69,$BZ69,$AJ69,1,8)+(AJ69/365.25)*CH69/AH69,0)</f>
        <v>7.1365736607379326E-2</v>
      </c>
      <c r="BO69" s="137">
        <f>_xll.xSPRDOPT($BW69,$BV69,$CG69,0,$BY69,$BX69,$BZ69,$AJ69,1,0)</f>
        <v>8.1794015388826247E-2</v>
      </c>
      <c r="BP69" s="137"/>
      <c r="BQ69" s="137"/>
      <c r="BR69" s="137"/>
      <c r="BS69" s="137"/>
      <c r="BV69" s="262">
        <v>3.8512636717543103</v>
      </c>
      <c r="BW69" s="136">
        <v>3.8969999999999998</v>
      </c>
      <c r="BX69" s="137">
        <v>0.30158877782867977</v>
      </c>
      <c r="BY69" s="137">
        <v>0.30338321215895225</v>
      </c>
      <c r="BZ69" s="137">
        <v>0.99744209197086853</v>
      </c>
      <c r="CA69" s="137">
        <v>4.97625341294907E-2</v>
      </c>
      <c r="CB69" s="137">
        <v>0.82139700307971564</v>
      </c>
      <c r="CC69" s="258">
        <v>-2.5000000000000001E-2</v>
      </c>
      <c r="CD69" s="258">
        <v>5.7500000000000002E-2</v>
      </c>
      <c r="CE69" s="258">
        <v>0.215</v>
      </c>
      <c r="CF69" s="258">
        <v>-2.5000000000000001E-2</v>
      </c>
      <c r="CG69" s="258">
        <v>1.9200000000000002E-2</v>
      </c>
      <c r="CH69" s="258">
        <v>2.6354522843812673</v>
      </c>
      <c r="CI69" s="258">
        <v>3.7069999999999999</v>
      </c>
    </row>
    <row r="70" spans="1:87" x14ac:dyDescent="0.25">
      <c r="A70" s="723"/>
      <c r="B70" s="723"/>
      <c r="D70" s="31">
        <f t="shared" si="36"/>
        <v>38732</v>
      </c>
      <c r="F70" s="28">
        <f t="shared" si="37"/>
        <v>15000</v>
      </c>
      <c r="G70" s="28">
        <f t="shared" si="12"/>
        <v>12256.976253648219</v>
      </c>
      <c r="H70" s="52">
        <f t="shared" si="38"/>
        <v>3.9099672495828957</v>
      </c>
      <c r="I70" s="52">
        <f t="shared" si="39"/>
        <v>3.972</v>
      </c>
      <c r="K70" s="52">
        <f t="shared" si="28"/>
        <v>1.0850000097978361</v>
      </c>
      <c r="L70" s="135">
        <f t="shared" si="29"/>
        <v>1.255292343826848</v>
      </c>
      <c r="N70" s="131">
        <f t="shared" si="30"/>
        <v>0.30128576852292338</v>
      </c>
      <c r="O70" s="131">
        <f t="shared" si="31"/>
        <v>0.30304837424148245</v>
      </c>
      <c r="P70" s="55">
        <f t="shared" si="32"/>
        <v>0.99748452252992525</v>
      </c>
      <c r="Q70" s="135">
        <f>_xll.xSPRDOPT(I70,H70,AQ70,0,O70,N70,P70,D70-$G$5,1,0)*AH70*AU70</f>
        <v>2.340292353624684</v>
      </c>
      <c r="R70" s="135"/>
      <c r="S70" s="181">
        <f>_xll.xSPRDOPT(I70,H70,AQ70,AT70,O70,N70,P70,D70-$G$5,1,2)*AF70*(F70/(1-AR70))*AH70</f>
        <v>-230220.02530032443</v>
      </c>
      <c r="T70" s="181">
        <f>_xll.xSPRDOPT(I70,H70,AQ70,AT70,O70,N70,P70,D70-$G$5,1,1)*AF70*F70*AH70</f>
        <v>229888.01372414749</v>
      </c>
      <c r="U70" s="135"/>
      <c r="V70" s="146">
        <f t="shared" si="40"/>
        <v>2.6217672206553542</v>
      </c>
      <c r="W70" s="146"/>
      <c r="X70" s="338">
        <f t="shared" si="41"/>
        <v>0</v>
      </c>
      <c r="Y70" s="338">
        <f t="shared" si="13"/>
        <v>0</v>
      </c>
      <c r="Z70" s="338">
        <f t="shared" si="14"/>
        <v>-11.234264016726577</v>
      </c>
      <c r="AA70" s="338">
        <f t="shared" si="15"/>
        <v>3.3657288277282356</v>
      </c>
      <c r="AB70" s="338">
        <f t="shared" si="42"/>
        <v>0</v>
      </c>
      <c r="AC70" s="338">
        <f t="shared" si="43"/>
        <v>14.446498773197254</v>
      </c>
      <c r="AF70" s="138">
        <f t="shared" si="44"/>
        <v>1</v>
      </c>
      <c r="AG70" s="138">
        <f t="shared" si="45"/>
        <v>1</v>
      </c>
      <c r="AH70" s="138">
        <f t="shared" si="52"/>
        <v>31</v>
      </c>
      <c r="AI70" s="138">
        <f t="shared" si="46"/>
        <v>1476</v>
      </c>
      <c r="AJ70" s="138">
        <f t="shared" si="47"/>
        <v>1493</v>
      </c>
      <c r="AL70" s="136">
        <f t="shared" si="17"/>
        <v>3.762</v>
      </c>
      <c r="AM70" s="258">
        <f t="shared" si="18"/>
        <v>-2.3E-2</v>
      </c>
      <c r="AN70" s="258">
        <f t="shared" si="19"/>
        <v>5.7500000000000002E-2</v>
      </c>
      <c r="AO70" s="258">
        <f t="shared" si="20"/>
        <v>0.23499999999999999</v>
      </c>
      <c r="AP70" s="258">
        <f t="shared" si="21"/>
        <v>-2.4999999999999998E-2</v>
      </c>
      <c r="AQ70" s="136">
        <f t="shared" si="48"/>
        <v>1.9200000000000002E-2</v>
      </c>
      <c r="AR70" s="137">
        <f t="shared" si="22"/>
        <v>2.9020000000000001E-2</v>
      </c>
      <c r="AS70" s="136">
        <f t="shared" si="33"/>
        <v>3.7965</v>
      </c>
      <c r="AT70" s="137">
        <f t="shared" si="34"/>
        <v>5.0123867010087399E-2</v>
      </c>
      <c r="AU70" s="137">
        <f t="shared" si="23"/>
        <v>0.81713175024321461</v>
      </c>
      <c r="AV70" s="394">
        <f t="shared" si="35"/>
        <v>11348.325747377765</v>
      </c>
      <c r="AW70" s="137">
        <f t="shared" si="24"/>
        <v>0.28499999999999998</v>
      </c>
      <c r="AX70" s="137">
        <f t="shared" si="25"/>
        <v>1</v>
      </c>
      <c r="AY70" s="137">
        <f t="shared" si="26"/>
        <v>1.05</v>
      </c>
      <c r="AZ70" s="137"/>
      <c r="BA70" s="264"/>
      <c r="BB70" s="258">
        <f t="shared" si="27"/>
        <v>0</v>
      </c>
      <c r="BC70" s="258">
        <f t="shared" si="49"/>
        <v>0</v>
      </c>
      <c r="BD70" s="137">
        <f t="shared" si="50"/>
        <v>3.1809530461945901E-5</v>
      </c>
      <c r="BE70" s="137">
        <f t="shared" si="51"/>
        <v>3.5152782876857191E-5</v>
      </c>
      <c r="BF70" s="137">
        <f>_xll.xSPRDOPT($BW70,$BV70,$CG70,0,$BY70,$BX70,$BZ70,$AJ70,1,4)*$CB70</f>
        <v>1.8495341934431107</v>
      </c>
      <c r="BG70" s="137">
        <f>_xll.xSPRDOPT($BW70,$BV70,$CG70,0,$BY70,$BX70,$BZ70,$AJ70,1,3)*$CB70</f>
        <v>1.8100259176941049</v>
      </c>
      <c r="BH70" s="137">
        <f>IF(OR(BF70&lt;&gt;0,BG70&lt;&gt;0),_xll.xSPRDOPT($BW70,$BV70,$CG70,0,$BY70,$BX70,$BZ70,$AJ70,1,12)*$CB70,0)</f>
        <v>-1.829663205438782</v>
      </c>
      <c r="BI70" s="137">
        <f>_xll.xSPRDOPT($BW70,$BV70,$CG70,2*LN(1+CA70/2),$BY70,$BX70,$BZ70,$AJ70,1,9)</f>
        <v>-2.9414443957773355E-3</v>
      </c>
      <c r="BJ70" s="137">
        <f>_xll.xSPRDOPT($BW70,$BV70,$CG70,0,$BY70,$BX70,$BZ70,$AJ70,1,6)*$CB70</f>
        <v>-0.28838021108459927</v>
      </c>
      <c r="BK70" s="137">
        <f>_xll.xSPRDOPT($BW70,$BV70,$CG70,0,$BY70,$BX70,$BZ70,$AJ70,1,5)*$CB70</f>
        <v>0.4668582193862631</v>
      </c>
      <c r="BL70" s="137">
        <f>_xll.xSPRDOPT(BW70,BV70,CG70,0,BY70,BX70,BZ70,AJ70,1,2)*CB70</f>
        <v>-0.48174616843752627</v>
      </c>
      <c r="BM70" s="137">
        <f>_xll.xSPRDOPT(BW70,BV70,CG70,0,BY70,BX70,BZ70,AJ70,1,1)*CB70</f>
        <v>0.495428697952917</v>
      </c>
      <c r="BN70" s="137">
        <f>IF(AH70&lt;&gt;0,_xll.xSPRDOPT($BW70,$BV70,$CG70,2*LN(1+CA70/2),$BY70,$BX70,$BZ70,$AJ70,1,8)+(AJ70/365.25)*CH70/AH70,0)</f>
        <v>3.7098163264543182E-2</v>
      </c>
      <c r="BO70" s="137">
        <f>_xll.xSPRDOPT($BW70,$BV70,$CG70,0,$BY70,$BX70,$BZ70,$AJ70,1,0)</f>
        <v>9.2388637086860598E-2</v>
      </c>
      <c r="BP70" s="137"/>
      <c r="BQ70" s="137"/>
      <c r="BR70" s="137"/>
      <c r="BS70" s="137"/>
      <c r="BV70" s="262">
        <v>3.9099672495828957</v>
      </c>
      <c r="BW70" s="136">
        <v>3.972</v>
      </c>
      <c r="BX70" s="137">
        <v>0.30125395899246143</v>
      </c>
      <c r="BY70" s="137">
        <v>0.3030132214586056</v>
      </c>
      <c r="BZ70" s="137">
        <v>0.99748898532082875</v>
      </c>
      <c r="CA70" s="137">
        <v>5.0123867010087399E-2</v>
      </c>
      <c r="CB70" s="137">
        <v>0.81679955512122238</v>
      </c>
      <c r="CC70" s="258">
        <v>-2.3E-2</v>
      </c>
      <c r="CD70" s="258">
        <v>5.7500000000000002E-2</v>
      </c>
      <c r="CE70" s="258">
        <v>0.23499999999999999</v>
      </c>
      <c r="CF70" s="258">
        <v>-2.5000000000000001E-2</v>
      </c>
      <c r="CG70" s="258">
        <v>1.9200000000000002E-2</v>
      </c>
      <c r="CH70" s="258">
        <v>2.6207013726064421</v>
      </c>
      <c r="CI70" s="258">
        <v>3.762</v>
      </c>
    </row>
    <row r="71" spans="1:87" x14ac:dyDescent="0.25">
      <c r="A71" s="723"/>
      <c r="B71" s="723"/>
      <c r="D71" s="31">
        <f t="shared" si="36"/>
        <v>38763</v>
      </c>
      <c r="F71" s="28">
        <f t="shared" si="37"/>
        <v>15000</v>
      </c>
      <c r="G71" s="28">
        <f t="shared" si="12"/>
        <v>12189.62007666733</v>
      </c>
      <c r="H71" s="52">
        <f t="shared" si="38"/>
        <v>3.8224268265051804</v>
      </c>
      <c r="I71" s="52">
        <f t="shared" si="39"/>
        <v>3.887</v>
      </c>
      <c r="K71" s="52">
        <f t="shared" si="28"/>
        <v>1.0324192602725177</v>
      </c>
      <c r="L71" s="135">
        <f t="shared" si="29"/>
        <v>0.99959480059783523</v>
      </c>
      <c r="N71" s="131">
        <f t="shared" si="30"/>
        <v>0.29475895276765796</v>
      </c>
      <c r="O71" s="131">
        <f t="shared" si="31"/>
        <v>0.29635502102687067</v>
      </c>
      <c r="P71" s="55">
        <f t="shared" si="32"/>
        <v>0.99767008496264886</v>
      </c>
      <c r="Q71" s="135">
        <f>_xll.xSPRDOPT(I71,H71,AQ71,0,O71,N71,P71,D71-$G$5,1,0)*AH71*AU71</f>
        <v>2.032014060870353</v>
      </c>
      <c r="R71" s="135"/>
      <c r="S71" s="181">
        <f>_xll.xSPRDOPT(I71,H71,AQ71,AT71,O71,N71,P71,D71-$G$5,1,2)*AF71*(F71/(1-AR71))*AH71</f>
        <v>-211594.1604662282</v>
      </c>
      <c r="T71" s="181">
        <f>_xll.xSPRDOPT(I71,H71,AQ71,AT71,O71,N71,P71,D71-$G$5,1,1)*AF71*F71*AH71</f>
        <v>210824.72714884335</v>
      </c>
      <c r="U71" s="135"/>
      <c r="V71" s="146">
        <f t="shared" si="40"/>
        <v>2.3550345988121282</v>
      </c>
      <c r="W71" s="146"/>
      <c r="X71" s="338">
        <f t="shared" si="41"/>
        <v>0</v>
      </c>
      <c r="Y71" s="338">
        <f t="shared" si="13"/>
        <v>0</v>
      </c>
      <c r="Z71" s="338">
        <f t="shared" si="14"/>
        <v>-8.2280970946084313</v>
      </c>
      <c r="AA71" s="338">
        <f t="shared" si="15"/>
        <v>2.5612158035926691</v>
      </c>
      <c r="AB71" s="338">
        <f t="shared" si="42"/>
        <v>0</v>
      </c>
      <c r="AC71" s="338">
        <f t="shared" si="43"/>
        <v>12.624100880691055</v>
      </c>
      <c r="AF71" s="138">
        <f t="shared" si="44"/>
        <v>1</v>
      </c>
      <c r="AG71" s="138">
        <f t="shared" si="45"/>
        <v>2</v>
      </c>
      <c r="AH71" s="138">
        <f t="shared" si="52"/>
        <v>28</v>
      </c>
      <c r="AI71" s="138">
        <f t="shared" si="46"/>
        <v>1507</v>
      </c>
      <c r="AJ71" s="138">
        <f t="shared" si="47"/>
        <v>1524</v>
      </c>
      <c r="AL71" s="136">
        <f t="shared" si="17"/>
        <v>3.677</v>
      </c>
      <c r="AM71" s="258">
        <f t="shared" si="18"/>
        <v>-2.3E-2</v>
      </c>
      <c r="AN71" s="258">
        <f t="shared" si="19"/>
        <v>5.7500000000000002E-2</v>
      </c>
      <c r="AO71" s="258">
        <f t="shared" si="20"/>
        <v>0.23499999999999999</v>
      </c>
      <c r="AP71" s="258">
        <f t="shared" si="21"/>
        <v>-2.4999999999999998E-2</v>
      </c>
      <c r="AQ71" s="136">
        <f t="shared" si="48"/>
        <v>1.9200000000000002E-2</v>
      </c>
      <c r="AR71" s="137">
        <f t="shared" si="22"/>
        <v>2.9020000000000001E-2</v>
      </c>
      <c r="AS71" s="136">
        <f t="shared" si="33"/>
        <v>3.7115</v>
      </c>
      <c r="AT71" s="137">
        <f t="shared" si="34"/>
        <v>5.0446047479093502E-2</v>
      </c>
      <c r="AU71" s="137">
        <f t="shared" si="23"/>
        <v>0.81264133844448871</v>
      </c>
      <c r="AV71" s="394">
        <f t="shared" si="35"/>
        <v>10193.772949447666</v>
      </c>
      <c r="AW71" s="137">
        <f t="shared" si="24"/>
        <v>0.28000000000000003</v>
      </c>
      <c r="AX71" s="137">
        <f t="shared" si="25"/>
        <v>1</v>
      </c>
      <c r="AY71" s="137">
        <f t="shared" si="26"/>
        <v>1.05</v>
      </c>
      <c r="AZ71" s="137"/>
      <c r="BA71" s="264"/>
      <c r="BB71" s="258">
        <f t="shared" si="27"/>
        <v>0</v>
      </c>
      <c r="BC71" s="258">
        <f t="shared" si="49"/>
        <v>0</v>
      </c>
      <c r="BD71" s="137">
        <f t="shared" si="50"/>
        <v>2.8327056172949838E-5</v>
      </c>
      <c r="BE71" s="137">
        <f t="shared" si="51"/>
        <v>3.1308202277036123E-5</v>
      </c>
      <c r="BF71" s="137">
        <f>_xll.xSPRDOPT($BW71,$BV71,$CG71,0,$BY71,$BX71,$BZ71,$AJ71,1,4)*$CB71</f>
        <v>1.9604884029606662</v>
      </c>
      <c r="BG71" s="137">
        <f>_xll.xSPRDOPT($BW71,$BV71,$CG71,0,$BY71,$BX71,$BZ71,$AJ71,1,3)*$CB71</f>
        <v>1.9152178610748052</v>
      </c>
      <c r="BH71" s="137">
        <f>IF(OR(BF71&lt;&gt;0,BG71&lt;&gt;0),_xll.xSPRDOPT($BW71,$BV71,$CG71,0,$BY71,$BX71,$BZ71,$AJ71,1,12)*$CB71,0)</f>
        <v>-1.9377105135739405</v>
      </c>
      <c r="BI71" s="137">
        <f>_xll.xSPRDOPT($BW71,$BV71,$CG71,2*LN(1+CA71/2),$BY71,$BX71,$BZ71,$AJ71,1,9)</f>
        <v>-2.385168622068039E-3</v>
      </c>
      <c r="BJ71" s="137">
        <f>_xll.xSPRDOPT($BW71,$BV71,$CG71,0,$BY71,$BX71,$BZ71,$AJ71,1,6)*$CB71</f>
        <v>-0.28748276675523693</v>
      </c>
      <c r="BK71" s="137">
        <f>_xll.xSPRDOPT($BW71,$BV71,$CG71,0,$BY71,$BX71,$BZ71,$AJ71,1,5)*$CB71</f>
        <v>0.45488633369324488</v>
      </c>
      <c r="BL71" s="137">
        <f>_xll.xSPRDOPT(BW71,BV71,CG71,0,BY71,BX71,BZ71,AJ71,1,2)*CB71</f>
        <v>-0.49025097343768853</v>
      </c>
      <c r="BM71" s="137">
        <f>_xll.xSPRDOPT(BW71,BV71,CG71,0,BY71,BX71,BZ71,AJ71,1,1)*CB71</f>
        <v>0.50306717290950032</v>
      </c>
      <c r="BN71" s="137">
        <f>IF(AH71&lt;&gt;0,_xll.xSPRDOPT($BW71,$BV71,$CG71,2*LN(1+CA71/2),$BY71,$BX71,$BZ71,$AJ71,1,8)+(AJ71/365.25)*CH71/AH71,0)</f>
        <v>4.8114543917689323E-2</v>
      </c>
      <c r="BO71" s="137">
        <f>_xll.xSPRDOPT($BW71,$BV71,$CG71,0,$BY71,$BX71,$BZ71,$AJ71,1,0)</f>
        <v>8.9304181618511877E-2</v>
      </c>
      <c r="BP71" s="137"/>
      <c r="BQ71" s="137"/>
      <c r="BR71" s="137"/>
      <c r="BS71" s="137"/>
      <c r="BV71" s="262">
        <v>3.8224268265051804</v>
      </c>
      <c r="BW71" s="136">
        <v>3.887</v>
      </c>
      <c r="BX71" s="137">
        <v>0.29473062571148501</v>
      </c>
      <c r="BY71" s="137">
        <v>0.29632371282459363</v>
      </c>
      <c r="BZ71" s="137">
        <v>0.99767417649027945</v>
      </c>
      <c r="CA71" s="137">
        <v>5.0446047479093502E-2</v>
      </c>
      <c r="CB71" s="137">
        <v>0.81230887199365776</v>
      </c>
      <c r="CC71" s="258">
        <v>-2.3E-2</v>
      </c>
      <c r="CD71" s="258">
        <v>5.7500000000000002E-2</v>
      </c>
      <c r="CE71" s="258">
        <v>0.23499999999999999</v>
      </c>
      <c r="CF71" s="258">
        <v>-2.5000000000000001E-2</v>
      </c>
      <c r="CG71" s="258">
        <v>1.9200000000000002E-2</v>
      </c>
      <c r="CH71" s="258">
        <v>2.3540711110376198</v>
      </c>
      <c r="CI71" s="258">
        <v>3.677</v>
      </c>
    </row>
    <row r="72" spans="1:87" x14ac:dyDescent="0.25">
      <c r="A72" s="723"/>
      <c r="B72" s="723"/>
      <c r="D72" s="31">
        <f t="shared" si="36"/>
        <v>38791</v>
      </c>
      <c r="F72" s="28">
        <f t="shared" si="37"/>
        <v>15000</v>
      </c>
      <c r="G72" s="28">
        <f t="shared" si="12"/>
        <v>12128.546474935294</v>
      </c>
      <c r="H72" s="52">
        <f t="shared" si="38"/>
        <v>3.6885414735627924</v>
      </c>
      <c r="I72" s="52">
        <f t="shared" si="39"/>
        <v>3.7170000000000001</v>
      </c>
      <c r="K72" s="52">
        <f t="shared" si="28"/>
        <v>0.23207110091172062</v>
      </c>
      <c r="L72" s="135">
        <f t="shared" si="29"/>
        <v>1.0374910907252521</v>
      </c>
      <c r="N72" s="131">
        <f t="shared" si="30"/>
        <v>0.27891651287520841</v>
      </c>
      <c r="O72" s="131">
        <f t="shared" si="31"/>
        <v>0.27891651287520841</v>
      </c>
      <c r="P72" s="55">
        <f t="shared" si="32"/>
        <v>0.99855434721781799</v>
      </c>
      <c r="Q72" s="135">
        <f>_xll.xSPRDOPT(I72,H72,AQ72,0,O72,N72,P72,D72-$G$5,1,0)*AH72*AU72</f>
        <v>1.2695621916369728</v>
      </c>
      <c r="R72" s="135"/>
      <c r="S72" s="181">
        <f>_xll.xSPRDOPT(I72,H72,AQ72,AT72,O72,N72,P72,D72-$G$5,1,2)*AF72*(F72/(1-AR72))*AH72</f>
        <v>-203180.84273199702</v>
      </c>
      <c r="T72" s="181">
        <f>_xll.xSPRDOPT(I72,H72,AQ72,AT72,O72,N72,P72,D72-$G$5,1,1)*AF72*F72*AH72</f>
        <v>201864.63403272486</v>
      </c>
      <c r="U72" s="135"/>
      <c r="V72" s="146">
        <f t="shared" si="40"/>
        <v>2.5942960909886592</v>
      </c>
      <c r="W72" s="146"/>
      <c r="X72" s="338">
        <f t="shared" si="41"/>
        <v>0</v>
      </c>
      <c r="Y72" s="338">
        <f t="shared" si="13"/>
        <v>0</v>
      </c>
      <c r="Z72" s="338">
        <f t="shared" si="14"/>
        <v>-8.8029615618421104</v>
      </c>
      <c r="AA72" s="338">
        <f t="shared" si="15"/>
        <v>1.0457855059762025</v>
      </c>
      <c r="AB72" s="338">
        <f t="shared" si="42"/>
        <v>0</v>
      </c>
      <c r="AC72" s="338">
        <f t="shared" si="43"/>
        <v>7.9328201320495246</v>
      </c>
      <c r="AF72" s="138">
        <f t="shared" si="44"/>
        <v>1</v>
      </c>
      <c r="AG72" s="138">
        <f t="shared" si="45"/>
        <v>3</v>
      </c>
      <c r="AH72" s="138">
        <f t="shared" si="52"/>
        <v>31</v>
      </c>
      <c r="AI72" s="138">
        <f t="shared" si="46"/>
        <v>1535</v>
      </c>
      <c r="AJ72" s="138">
        <f t="shared" si="47"/>
        <v>1552</v>
      </c>
      <c r="AL72" s="136">
        <f t="shared" si="17"/>
        <v>3.5470000000000002</v>
      </c>
      <c r="AM72" s="258">
        <f t="shared" si="18"/>
        <v>-2.3E-2</v>
      </c>
      <c r="AN72" s="258">
        <f t="shared" si="19"/>
        <v>5.7500000000000002E-2</v>
      </c>
      <c r="AO72" s="258">
        <f t="shared" si="20"/>
        <v>0.19500000000000001</v>
      </c>
      <c r="AP72" s="258">
        <f t="shared" si="21"/>
        <v>-2.4999999999999998E-2</v>
      </c>
      <c r="AQ72" s="136">
        <f t="shared" si="48"/>
        <v>1.9200000000000002E-2</v>
      </c>
      <c r="AR72" s="137">
        <f t="shared" si="22"/>
        <v>2.9020000000000001E-2</v>
      </c>
      <c r="AS72" s="136">
        <f t="shared" si="33"/>
        <v>3.5815000000000001</v>
      </c>
      <c r="AT72" s="137">
        <f t="shared" si="34"/>
        <v>5.0737049222817202E-2</v>
      </c>
      <c r="AU72" s="137">
        <f t="shared" si="23"/>
        <v>0.80856976499568622</v>
      </c>
      <c r="AV72" s="394">
        <f t="shared" si="35"/>
        <v>11229.416896260091</v>
      </c>
      <c r="AW72" s="137">
        <f t="shared" si="24"/>
        <v>0.27</v>
      </c>
      <c r="AX72" s="137">
        <f t="shared" si="25"/>
        <v>0.75</v>
      </c>
      <c r="AY72" s="137">
        <f t="shared" si="26"/>
        <v>0.75</v>
      </c>
      <c r="AZ72" s="137"/>
      <c r="BA72" s="264"/>
      <c r="BB72" s="258">
        <f t="shared" si="27"/>
        <v>0</v>
      </c>
      <c r="BC72" s="258">
        <f t="shared" si="49"/>
        <v>0</v>
      </c>
      <c r="BD72" s="137">
        <f t="shared" si="50"/>
        <v>1.6944170124932878E-5</v>
      </c>
      <c r="BE72" s="137">
        <f t="shared" si="51"/>
        <v>1.6944170124932878E-5</v>
      </c>
      <c r="BF72" s="137">
        <f>_xll.xSPRDOPT($BW72,$BV72,$CG72,0,$BY72,$BX72,$BZ72,$AJ72,1,4)*$CB72</f>
        <v>2.801770090267651</v>
      </c>
      <c r="BG72" s="137">
        <f>_xll.xSPRDOPT($BW72,$BV72,$CG72,0,$BY72,$BX72,$BZ72,$AJ72,1,3)*$CB72</f>
        <v>2.7877502488465411</v>
      </c>
      <c r="BH72" s="137">
        <f>IF(OR(BF72&lt;&gt;0,BG72&lt;&gt;0),_xll.xSPRDOPT($BW72,$BV72,$CG72,0,$BY72,$BX72,$BZ72,$AJ72,1,12)*$CB72,0)</f>
        <v>-2.7947342686652492</v>
      </c>
      <c r="BI72" s="137">
        <f>_xll.xSPRDOPT($BW72,$BV72,$CG72,2*LN(1+CA72/2),$BY72,$BX72,$BZ72,$AJ72,1,9)</f>
        <v>-2.3048614411919936E-3</v>
      </c>
      <c r="BJ72" s="137">
        <f>_xll.xSPRDOPT($BW72,$BV72,$CG72,0,$BY72,$BX72,$BZ72,$AJ72,1,6)*$CB72</f>
        <v>-0.16874976205448142</v>
      </c>
      <c r="BK72" s="137">
        <f>_xll.xSPRDOPT($BW72,$BV72,$CG72,0,$BY72,$BX72,$BZ72,$AJ72,1,5)*$CB72</f>
        <v>0.30147984393742489</v>
      </c>
      <c r="BL72" s="137">
        <f>_xll.xSPRDOPT(BW72,BV72,CG72,0,BY72,BX72,BZ72,AJ72,1,2)*CB72</f>
        <v>-0.42523332176467754</v>
      </c>
      <c r="BM72" s="137">
        <f>_xll.xSPRDOPT(BW72,BV72,CG72,0,BY72,BX72,BZ72,AJ72,1,1)*CB72</f>
        <v>0.43510530574138834</v>
      </c>
      <c r="BN72" s="137">
        <f>IF(AH72&lt;&gt;0,_xll.xSPRDOPT($BW72,$BV72,$CG72,2*LN(1+CA72/2),$BY72,$BX72,$BZ72,$AJ72,1,8)+(AJ72/365.25)*CH72/AH72,0)</f>
        <v>0.18150352567191114</v>
      </c>
      <c r="BO72" s="137">
        <f>_xll.xSPRDOPT($BW72,$BV72,$CG72,0,$BY72,$BX72,$BZ72,$AJ72,1,0)</f>
        <v>5.0650023055504603E-2</v>
      </c>
      <c r="BP72" s="137"/>
      <c r="BQ72" s="137"/>
      <c r="BR72" s="137"/>
      <c r="BS72" s="137"/>
      <c r="BV72" s="262">
        <v>3.6885414735627924</v>
      </c>
      <c r="BW72" s="136">
        <v>3.7170000000000001</v>
      </c>
      <c r="BX72" s="137">
        <v>0.27889956870508348</v>
      </c>
      <c r="BY72" s="137">
        <v>0.27889956870508348</v>
      </c>
      <c r="BZ72" s="137">
        <v>0.99855696362803537</v>
      </c>
      <c r="CA72" s="137">
        <v>5.0737049222817202E-2</v>
      </c>
      <c r="CB72" s="137">
        <v>0.80823708014464768</v>
      </c>
      <c r="CC72" s="258">
        <v>-2.3E-2</v>
      </c>
      <c r="CD72" s="258">
        <v>5.7500000000000002E-2</v>
      </c>
      <c r="CE72" s="258">
        <v>0.19500000000000001</v>
      </c>
      <c r="CF72" s="258">
        <v>-2.5000000000000001E-2</v>
      </c>
      <c r="CG72" s="258">
        <v>1.9200000000000002E-2</v>
      </c>
      <c r="CH72" s="258">
        <v>2.593228671644102</v>
      </c>
      <c r="CI72" s="258">
        <v>3.5470000000000002</v>
      </c>
    </row>
    <row r="73" spans="1:87" x14ac:dyDescent="0.25">
      <c r="A73" s="723"/>
      <c r="B73" s="723"/>
      <c r="D73" s="31">
        <f t="shared" si="36"/>
        <v>38822</v>
      </c>
      <c r="F73" s="28">
        <f t="shared" si="37"/>
        <v>15000</v>
      </c>
      <c r="G73" s="28">
        <f t="shared" si="12"/>
        <v>12060.676387779684</v>
      </c>
      <c r="H73" s="52">
        <f t="shared" si="38"/>
        <v>3.4980123174524711</v>
      </c>
      <c r="I73" s="52">
        <f t="shared" si="39"/>
        <v>3.4820000000000002</v>
      </c>
      <c r="K73" s="52">
        <f t="shared" si="28"/>
        <v>0</v>
      </c>
      <c r="L73" s="135">
        <f t="shared" si="29"/>
        <v>0.32225406957372582</v>
      </c>
      <c r="N73" s="131">
        <f t="shared" si="30"/>
        <v>0.25184329937151428</v>
      </c>
      <c r="O73" s="131">
        <f t="shared" si="31"/>
        <v>0.25264258003112178</v>
      </c>
      <c r="P73" s="55">
        <f t="shared" si="32"/>
        <v>0.99928181072774547</v>
      </c>
      <c r="Q73" s="135">
        <f>_xll.xSPRDOPT(I73,H73,AQ73,0,O73,N73,P73,D73-$G$5,1,0)*AH73*AU73</f>
        <v>0.32225406957372582</v>
      </c>
      <c r="R73" s="135"/>
      <c r="S73" s="181">
        <f>_xll.xSPRDOPT(I73,H73,AQ73,AT73,O73,N73,P73,D73-$G$5,1,2)*AF73*(F73/(1-AR73))*AH73</f>
        <v>-88872.864918379637</v>
      </c>
      <c r="T73" s="181">
        <f>_xll.xSPRDOPT(I73,H73,AQ73,AT73,O73,N73,P73,D73-$G$5,1,1)*AF73*F73*AH73</f>
        <v>88503.405887689296</v>
      </c>
      <c r="U73" s="135"/>
      <c r="V73" s="146">
        <f t="shared" si="40"/>
        <v>2.4965600122703946</v>
      </c>
      <c r="W73" s="146"/>
      <c r="X73" s="338">
        <f t="shared" si="41"/>
        <v>0</v>
      </c>
      <c r="Y73" s="338">
        <f t="shared" si="13"/>
        <v>0</v>
      </c>
      <c r="Z73" s="338">
        <f t="shared" si="14"/>
        <v>-6.5053843717405311</v>
      </c>
      <c r="AA73" s="338">
        <f t="shared" si="15"/>
        <v>0.44679472411200571</v>
      </c>
      <c r="AB73" s="338">
        <f t="shared" si="42"/>
        <v>0</v>
      </c>
      <c r="AC73" s="338">
        <f t="shared" si="43"/>
        <v>2.0256221599616158</v>
      </c>
      <c r="AF73" s="138">
        <f t="shared" si="44"/>
        <v>1</v>
      </c>
      <c r="AG73" s="138">
        <f t="shared" si="45"/>
        <v>4</v>
      </c>
      <c r="AH73" s="138">
        <f t="shared" si="52"/>
        <v>30</v>
      </c>
      <c r="AI73" s="138">
        <f t="shared" si="46"/>
        <v>1566</v>
      </c>
      <c r="AJ73" s="138">
        <f t="shared" si="47"/>
        <v>1583</v>
      </c>
      <c r="AL73" s="136">
        <f t="shared" si="17"/>
        <v>3.3620000000000001</v>
      </c>
      <c r="AM73" s="258">
        <f t="shared" si="18"/>
        <v>-2.3E-2</v>
      </c>
      <c r="AN73" s="258">
        <f t="shared" si="19"/>
        <v>5.7500000000000002E-2</v>
      </c>
      <c r="AO73" s="258">
        <f t="shared" si="20"/>
        <v>0.14499999999999999</v>
      </c>
      <c r="AP73" s="258">
        <f t="shared" si="21"/>
        <v>-2.4999999999999998E-2</v>
      </c>
      <c r="AQ73" s="136">
        <f t="shared" si="48"/>
        <v>1.9200000000000002E-2</v>
      </c>
      <c r="AR73" s="137">
        <f t="shared" si="22"/>
        <v>2.9020000000000001E-2</v>
      </c>
      <c r="AS73" s="136">
        <f t="shared" si="33"/>
        <v>3.3965000000000001</v>
      </c>
      <c r="AT73" s="137">
        <f t="shared" si="34"/>
        <v>5.10592297577648E-2</v>
      </c>
      <c r="AU73" s="137">
        <f t="shared" si="23"/>
        <v>0.80404509251864564</v>
      </c>
      <c r="AV73" s="394">
        <f t="shared" si="35"/>
        <v>10806.366043450598</v>
      </c>
      <c r="AW73" s="137">
        <f t="shared" si="24"/>
        <v>0.25</v>
      </c>
      <c r="AX73" s="137">
        <f t="shared" si="25"/>
        <v>0.4</v>
      </c>
      <c r="AY73" s="137">
        <f t="shared" si="26"/>
        <v>0.45</v>
      </c>
      <c r="AZ73" s="137"/>
      <c r="BA73" s="264"/>
      <c r="BB73" s="258">
        <f t="shared" si="27"/>
        <v>0</v>
      </c>
      <c r="BC73" s="258">
        <f t="shared" si="49"/>
        <v>0</v>
      </c>
      <c r="BD73" s="137">
        <f t="shared" si="50"/>
        <v>3.4783452407816107E-6</v>
      </c>
      <c r="BE73" s="137">
        <f t="shared" si="51"/>
        <v>4.9787605318485362E-6</v>
      </c>
      <c r="BF73" s="137">
        <f>_xll.xSPRDOPT($BW73,$BV73,$CG73,0,$BY73,$BX73,$BZ73,$AJ73,1,4)*$CB73</f>
        <v>2.6924871191367319</v>
      </c>
      <c r="BG73" s="137">
        <f>_xll.xSPRDOPT($BW73,$BV73,$CG73,0,$BY73,$BX73,$BZ73,$AJ73,1,3)*$CB73</f>
        <v>2.7596348415173955</v>
      </c>
      <c r="BH73" s="137">
        <f>IF(OR(BF73&lt;&gt;0,BG73&lt;&gt;0),_xll.xSPRDOPT($BW73,$BV73,$CG73,0,$BY73,$BX73,$BZ73,$AJ73,1,12)*$CB73,0)</f>
        <v>-2.7170385816296609</v>
      </c>
      <c r="BI73" s="137">
        <f>_xll.xSPRDOPT($BW73,$BV73,$CG73,2*LN(1+CA73/2),$BY73,$BX73,$BZ73,$AJ73,1,9)</f>
        <v>-1.760067882798688E-3</v>
      </c>
      <c r="BJ73" s="137">
        <f>_xll.xSPRDOPT($BW73,$BV73,$CG73,0,$BY73,$BX73,$BZ73,$AJ73,1,6)*$CB73</f>
        <v>-0.40001975995186145</v>
      </c>
      <c r="BK73" s="137">
        <f>_xll.xSPRDOPT($BW73,$BV73,$CG73,0,$BY73,$BX73,$BZ73,$AJ73,1,5)*$CB73</f>
        <v>0.47889107694345329</v>
      </c>
      <c r="BL73" s="137">
        <f>_xll.xSPRDOPT(BW73,BV73,CG73,0,BY73,BX73,BZ73,AJ73,1,2)*CB73</f>
        <v>-0.19193810682267143</v>
      </c>
      <c r="BM73" s="137">
        <f>_xll.xSPRDOPT(BW73,BV73,CG73,0,BY73,BX73,BZ73,AJ73,1,1)*CB73</f>
        <v>0.19685595014839163</v>
      </c>
      <c r="BN73" s="137">
        <f>IF(AH73&lt;&gt;0,_xll.xSPRDOPT($BW73,$BV73,$CG73,2*LN(1+CA73/2),$BY73,$BX73,$BZ73,$AJ73,1,8)+(AJ73/365.25)*CH73/AH73,0)</f>
        <v>0.31104852828807944</v>
      </c>
      <c r="BO73" s="137">
        <f>_xll.xSPRDOPT($BW73,$BV73,$CG73,0,$BY73,$BX73,$BZ73,$AJ73,1,0)</f>
        <v>1.3354882713641977E-2</v>
      </c>
      <c r="BP73" s="137"/>
      <c r="BQ73" s="137"/>
      <c r="BR73" s="137"/>
      <c r="BS73" s="137"/>
      <c r="BV73" s="262">
        <v>3.4980123174524711</v>
      </c>
      <c r="BW73" s="136">
        <v>3.4820000000000002</v>
      </c>
      <c r="BX73" s="137">
        <v>0.2518398210262735</v>
      </c>
      <c r="BY73" s="137">
        <v>0.25263760127058993</v>
      </c>
      <c r="BZ73" s="137">
        <v>0.99928313758440623</v>
      </c>
      <c r="CA73" s="137">
        <v>5.10592297577648E-2</v>
      </c>
      <c r="CB73" s="137">
        <v>0.80371219529642934</v>
      </c>
      <c r="CC73" s="258">
        <v>-2.3E-2</v>
      </c>
      <c r="CD73" s="258">
        <v>5.7500000000000002E-2</v>
      </c>
      <c r="CE73" s="258">
        <v>0.14499999999999999</v>
      </c>
      <c r="CF73" s="258">
        <v>-2.5000000000000001E-2</v>
      </c>
      <c r="CG73" s="258">
        <v>1.9200000000000002E-2</v>
      </c>
      <c r="CH73" s="258">
        <v>2.495526366395413</v>
      </c>
      <c r="CI73" s="258">
        <v>3.3620000000000001</v>
      </c>
    </row>
    <row r="74" spans="1:87" x14ac:dyDescent="0.25">
      <c r="A74" s="723"/>
      <c r="B74" s="723"/>
      <c r="D74" s="31">
        <f t="shared" si="36"/>
        <v>38852</v>
      </c>
      <c r="F74" s="28">
        <f t="shared" si="37"/>
        <v>15000</v>
      </c>
      <c r="G74" s="28">
        <f t="shared" si="12"/>
        <v>11994.750679962804</v>
      </c>
      <c r="H74" s="52">
        <f t="shared" si="38"/>
        <v>3.4928628808008408</v>
      </c>
      <c r="I74" s="52">
        <f t="shared" si="39"/>
        <v>3.4570000000000003</v>
      </c>
      <c r="K74" s="52">
        <f t="shared" si="28"/>
        <v>0</v>
      </c>
      <c r="L74" s="135">
        <f t="shared" si="29"/>
        <v>0.19086356269020358</v>
      </c>
      <c r="N74" s="131">
        <f t="shared" si="30"/>
        <v>0.24778090519241153</v>
      </c>
      <c r="O74" s="131">
        <f t="shared" si="31"/>
        <v>0.24778090519241153</v>
      </c>
      <c r="P74" s="55">
        <f t="shared" si="32"/>
        <v>0.99936551590303691</v>
      </c>
      <c r="Q74" s="135">
        <f>_xll.xSPRDOPT(I74,H74,AQ74,0,O74,N74,P74,D74-$G$5,1,0)*AH74*AU74</f>
        <v>0.19086356269020358</v>
      </c>
      <c r="R74" s="135"/>
      <c r="S74" s="181">
        <f>_xll.xSPRDOPT(I74,H74,AQ74,AT74,O74,N74,P74,D74-$G$5,1,2)*AF74*(F74/(1-AR74))*AH74</f>
        <v>-59647.170625975486</v>
      </c>
      <c r="T74" s="181">
        <f>_xll.xSPRDOPT(I74,H74,AQ74,AT74,O74,N74,P74,D74-$G$5,1,1)*AF74*F74*AH74</f>
        <v>59641.509973741544</v>
      </c>
      <c r="U74" s="135"/>
      <c r="V74" s="146">
        <f t="shared" si="40"/>
        <v>2.5656771704440438</v>
      </c>
      <c r="W74" s="146"/>
      <c r="X74" s="338">
        <f t="shared" si="41"/>
        <v>0</v>
      </c>
      <c r="Y74" s="338">
        <f t="shared" si="13"/>
        <v>0</v>
      </c>
      <c r="Z74" s="338">
        <f t="shared" si="14"/>
        <v>-5.1901339921030614</v>
      </c>
      <c r="AA74" s="338">
        <f t="shared" si="15"/>
        <v>0.14075067042842379</v>
      </c>
      <c r="AB74" s="338">
        <f t="shared" si="42"/>
        <v>0</v>
      </c>
      <c r="AC74" s="338">
        <f t="shared" si="43"/>
        <v>1.2076390362467777</v>
      </c>
      <c r="AF74" s="138">
        <f t="shared" si="44"/>
        <v>1</v>
      </c>
      <c r="AG74" s="138">
        <f t="shared" si="45"/>
        <v>5</v>
      </c>
      <c r="AH74" s="138">
        <f t="shared" si="52"/>
        <v>31</v>
      </c>
      <c r="AI74" s="138">
        <f t="shared" si="46"/>
        <v>1596</v>
      </c>
      <c r="AJ74" s="138">
        <f t="shared" si="47"/>
        <v>1613</v>
      </c>
      <c r="AL74" s="136">
        <f t="shared" si="17"/>
        <v>3.3570000000000002</v>
      </c>
      <c r="AM74" s="258">
        <f t="shared" si="18"/>
        <v>-2.3E-2</v>
      </c>
      <c r="AN74" s="258">
        <f t="shared" si="19"/>
        <v>5.7500000000000002E-2</v>
      </c>
      <c r="AO74" s="258">
        <f t="shared" si="20"/>
        <v>0.125</v>
      </c>
      <c r="AP74" s="258">
        <f t="shared" si="21"/>
        <v>-2.4999999999999998E-2</v>
      </c>
      <c r="AQ74" s="136">
        <f t="shared" si="48"/>
        <v>1.9200000000000002E-2</v>
      </c>
      <c r="AR74" s="137">
        <f t="shared" si="22"/>
        <v>2.9020000000000001E-2</v>
      </c>
      <c r="AS74" s="136">
        <f t="shared" si="33"/>
        <v>3.3915000000000002</v>
      </c>
      <c r="AT74" s="137">
        <f t="shared" si="34"/>
        <v>5.1371017405212001E-2</v>
      </c>
      <c r="AU74" s="137">
        <f t="shared" si="23"/>
        <v>0.7996500453308536</v>
      </c>
      <c r="AV74" s="394">
        <f t="shared" si="35"/>
        <v>11105.539829554895</v>
      </c>
      <c r="AW74" s="137">
        <f t="shared" si="24"/>
        <v>0.245</v>
      </c>
      <c r="AX74" s="137">
        <f t="shared" si="25"/>
        <v>0.45</v>
      </c>
      <c r="AY74" s="137">
        <f t="shared" si="26"/>
        <v>0.45</v>
      </c>
      <c r="AZ74" s="137"/>
      <c r="BA74" s="264"/>
      <c r="BB74" s="258">
        <f t="shared" si="27"/>
        <v>0</v>
      </c>
      <c r="BC74" s="258">
        <f t="shared" si="49"/>
        <v>0</v>
      </c>
      <c r="BD74" s="137">
        <f t="shared" si="50"/>
        <v>5.1384239313778668E-6</v>
      </c>
      <c r="BE74" s="137">
        <f t="shared" si="51"/>
        <v>5.1384239313778668E-6</v>
      </c>
      <c r="BF74" s="137">
        <f>_xll.xSPRDOPT($BW74,$BV74,$CG74,0,$BY74,$BX74,$BZ74,$AJ74,1,4)*$CB74</f>
        <v>1.942422089581177</v>
      </c>
      <c r="BG74" s="137">
        <f>_xll.xSPRDOPT($BW74,$BV74,$CG74,0,$BY74,$BX74,$BZ74,$AJ74,1,3)*$CB74</f>
        <v>2.0038164617206431</v>
      </c>
      <c r="BH74" s="137">
        <f>IF(OR(BF74&lt;&gt;0,BG74&lt;&gt;0),_xll.xSPRDOPT($BW74,$BV74,$CG74,0,$BY74,$BX74,$BZ74,$AJ74,1,12)*$CB74,0)</f>
        <v>-1.9728739273770026</v>
      </c>
      <c r="BI74" s="137">
        <f>_xll.xSPRDOPT($BW74,$BV74,$CG74,2*LN(1+CA74/2),$BY74,$BX74,$BZ74,$AJ74,1,9)</f>
        <v>-1.3589221796527907E-3</v>
      </c>
      <c r="BJ74" s="137">
        <f>_xll.xSPRDOPT($BW74,$BV74,$CG74,0,$BY74,$BX74,$BZ74,$AJ74,1,6)*$CB74</f>
        <v>-0.20167435529702521</v>
      </c>
      <c r="BK74" s="137">
        <f>_xll.xSPRDOPT($BW74,$BV74,$CG74,0,$BY74,$BX74,$BZ74,$AJ74,1,5)*$CB74</f>
        <v>0.26058144779598941</v>
      </c>
      <c r="BL74" s="137">
        <f>_xll.xSPRDOPT(BW74,BV74,CG74,0,BY74,BX74,BZ74,AJ74,1,2)*CB74</f>
        <v>-0.12472547909895111</v>
      </c>
      <c r="BM74" s="137">
        <f>_xll.xSPRDOPT(BW74,BV74,CG74,0,BY74,BX74,BZ74,AJ74,1,1)*CB74</f>
        <v>0.12844304054813618</v>
      </c>
      <c r="BN74" s="137">
        <f>IF(AH74&lt;&gt;0,_xll.xSPRDOPT($BW74,$BV74,$CG74,2*LN(1+CA74/2),$BY74,$BX74,$BZ74,$AJ74,1,8)+(AJ74/365.25)*CH74/AH74,0)</f>
        <v>0.33978104934477588</v>
      </c>
      <c r="BO74" s="137">
        <f>_xll.xSPRDOPT($BW74,$BV74,$CG74,0,$BY74,$BX74,$BZ74,$AJ74,1,0)</f>
        <v>7.7004473958518964E-3</v>
      </c>
      <c r="BP74" s="137"/>
      <c r="BQ74" s="137"/>
      <c r="BR74" s="137"/>
      <c r="BS74" s="137"/>
      <c r="BV74" s="262">
        <v>3.4928628808008408</v>
      </c>
      <c r="BW74" s="136">
        <v>3.4570000000000003</v>
      </c>
      <c r="BX74" s="137">
        <v>0.24777576676848015</v>
      </c>
      <c r="BY74" s="137">
        <v>0.24777576676848015</v>
      </c>
      <c r="BZ74" s="137">
        <v>0.99936666860878187</v>
      </c>
      <c r="CA74" s="137">
        <v>5.1371017405212001E-2</v>
      </c>
      <c r="CB74" s="137">
        <v>0.79931697192961793</v>
      </c>
      <c r="CC74" s="258">
        <v>-2.3E-2</v>
      </c>
      <c r="CD74" s="258">
        <v>5.7500000000000002E-2</v>
      </c>
      <c r="CE74" s="258">
        <v>0.125</v>
      </c>
      <c r="CF74" s="258">
        <v>-2.5000000000000001E-2</v>
      </c>
      <c r="CG74" s="258">
        <v>1.9200000000000002E-2</v>
      </c>
      <c r="CH74" s="258">
        <v>2.5646085044361788</v>
      </c>
      <c r="CI74" s="258">
        <v>3.3570000000000002</v>
      </c>
    </row>
    <row r="75" spans="1:87" x14ac:dyDescent="0.25">
      <c r="A75" s="723"/>
      <c r="B75" s="723"/>
      <c r="D75" s="31">
        <f t="shared" si="36"/>
        <v>38883</v>
      </c>
      <c r="F75" s="28">
        <f t="shared" si="37"/>
        <v>15000</v>
      </c>
      <c r="G75" s="28">
        <f t="shared" si="12"/>
        <v>11926.382887157642</v>
      </c>
      <c r="H75" s="52">
        <f t="shared" si="38"/>
        <v>3.5289089373622526</v>
      </c>
      <c r="I75" s="52">
        <f t="shared" si="39"/>
        <v>3.512</v>
      </c>
      <c r="K75" s="52">
        <f t="shared" si="28"/>
        <v>0</v>
      </c>
      <c r="L75" s="135">
        <f t="shared" si="29"/>
        <v>0.37600579696045344</v>
      </c>
      <c r="N75" s="131">
        <f t="shared" si="30"/>
        <v>0.2500930627639058</v>
      </c>
      <c r="O75" s="131">
        <f t="shared" si="31"/>
        <v>0.25095908449170745</v>
      </c>
      <c r="P75" s="55">
        <f t="shared" si="32"/>
        <v>0.99916905973215686</v>
      </c>
      <c r="Q75" s="135">
        <f>_xll.xSPRDOPT(I75,H75,AQ75,0,O75,N75,P75,D75-$G$5,1,0)*AH75*AU75</f>
        <v>0.37600579696045344</v>
      </c>
      <c r="R75" s="135"/>
      <c r="S75" s="181">
        <f>_xll.xSPRDOPT(I75,H75,AQ75,AT75,O75,N75,P75,D75-$G$5,1,2)*AF75*(F75/(1-AR75))*AH75</f>
        <v>-101452.31425570311</v>
      </c>
      <c r="T75" s="181">
        <f>_xll.xSPRDOPT(I75,H75,AQ75,AT75,O75,N75,P75,D75-$G$5,1,1)*AF75*F75*AH75</f>
        <v>101066.5338979887</v>
      </c>
      <c r="U75" s="135"/>
      <c r="V75" s="146">
        <f t="shared" si="40"/>
        <v>2.4687612576416322</v>
      </c>
      <c r="W75" s="146"/>
      <c r="X75" s="338">
        <f t="shared" si="41"/>
        <v>0</v>
      </c>
      <c r="Y75" s="338">
        <f t="shared" si="13"/>
        <v>0</v>
      </c>
      <c r="Z75" s="338">
        <f t="shared" si="14"/>
        <v>-6.6931628006122947</v>
      </c>
      <c r="AA75" s="338">
        <f t="shared" si="15"/>
        <v>0.52215215176459262</v>
      </c>
      <c r="AB75" s="338">
        <f t="shared" si="42"/>
        <v>0</v>
      </c>
      <c r="AC75" s="338">
        <f t="shared" si="43"/>
        <v>2.3928614420219971</v>
      </c>
      <c r="AF75" s="138">
        <f t="shared" si="44"/>
        <v>1</v>
      </c>
      <c r="AG75" s="138">
        <f t="shared" si="45"/>
        <v>6</v>
      </c>
      <c r="AH75" s="138">
        <f t="shared" si="52"/>
        <v>30</v>
      </c>
      <c r="AI75" s="138">
        <f t="shared" si="46"/>
        <v>1627</v>
      </c>
      <c r="AJ75" s="138">
        <f t="shared" si="47"/>
        <v>1644</v>
      </c>
      <c r="AL75" s="136">
        <f t="shared" si="17"/>
        <v>3.3919999999999999</v>
      </c>
      <c r="AM75" s="258">
        <f t="shared" si="18"/>
        <v>-2.3E-2</v>
      </c>
      <c r="AN75" s="258">
        <f t="shared" si="19"/>
        <v>5.7500000000000002E-2</v>
      </c>
      <c r="AO75" s="258">
        <f t="shared" si="20"/>
        <v>0.14499999999999999</v>
      </c>
      <c r="AP75" s="258">
        <f t="shared" si="21"/>
        <v>-2.4999999999999998E-2</v>
      </c>
      <c r="AQ75" s="136">
        <f t="shared" si="48"/>
        <v>1.9200000000000002E-2</v>
      </c>
      <c r="AR75" s="137">
        <f t="shared" si="22"/>
        <v>2.9020000000000001E-2</v>
      </c>
      <c r="AS75" s="136">
        <f t="shared" si="33"/>
        <v>3.4264999999999999</v>
      </c>
      <c r="AT75" s="137">
        <f t="shared" si="34"/>
        <v>5.1693198008315698E-2</v>
      </c>
      <c r="AU75" s="137">
        <f t="shared" si="23"/>
        <v>0.79509219247717622</v>
      </c>
      <c r="AV75" s="394">
        <f t="shared" si="35"/>
        <v>10686.039066893249</v>
      </c>
      <c r="AW75" s="137">
        <f t="shared" si="24"/>
        <v>0.2475</v>
      </c>
      <c r="AX75" s="137">
        <f t="shared" si="25"/>
        <v>0.45</v>
      </c>
      <c r="AY75" s="137">
        <f t="shared" si="26"/>
        <v>0.5</v>
      </c>
      <c r="AZ75" s="137"/>
      <c r="BA75" s="264"/>
      <c r="BB75" s="258">
        <f t="shared" si="27"/>
        <v>0</v>
      </c>
      <c r="BC75" s="258">
        <f t="shared" si="49"/>
        <v>0</v>
      </c>
      <c r="BD75" s="137">
        <f t="shared" si="50"/>
        <v>4.7045180826543742E-6</v>
      </c>
      <c r="BE75" s="137">
        <f t="shared" si="51"/>
        <v>6.2649634556266598E-6</v>
      </c>
      <c r="BF75" s="137">
        <f>_xll.xSPRDOPT($BW75,$BV75,$CG75,0,$BY75,$BX75,$BZ75,$AJ75,1,4)*$CB75</f>
        <v>2.7933219434622454</v>
      </c>
      <c r="BG75" s="137">
        <f>_xll.xSPRDOPT($BW75,$BV75,$CG75,0,$BY75,$BX75,$BZ75,$AJ75,1,3)*$CB75</f>
        <v>2.8494461505737925</v>
      </c>
      <c r="BH75" s="137">
        <f>IF(OR(BF75&lt;&gt;0,BG75&lt;&gt;0),_xll.xSPRDOPT($BW75,$BV75,$CG75,0,$BY75,$BX75,$BZ75,$AJ75,1,12)*$CB75,0)</f>
        <v>-2.8212342054748301</v>
      </c>
      <c r="BI75" s="137">
        <f>_xll.xSPRDOPT($BW75,$BV75,$CG75,2*LN(1+CA75/2),$BY75,$BX75,$BZ75,$AJ75,1,9)</f>
        <v>-1.8108723799434377E-3</v>
      </c>
      <c r="BJ75" s="137">
        <f>_xll.xSPRDOPT($BW75,$BV75,$CG75,0,$BY75,$BX75,$BZ75,$AJ75,1,6)*$CB75</f>
        <v>-0.39271859535567544</v>
      </c>
      <c r="BK75" s="137">
        <f>_xll.xSPRDOPT($BW75,$BV75,$CG75,0,$BY75,$BX75,$BZ75,$AJ75,1,5)*$CB75</f>
        <v>0.48011291200372402</v>
      </c>
      <c r="BL75" s="137">
        <f>_xll.xSPRDOPT(BW75,BV75,CG75,0,BY75,BX75,BZ75,AJ75,1,2)*CB75</f>
        <v>-0.2191607369424792</v>
      </c>
      <c r="BM75" s="137">
        <f>_xll.xSPRDOPT(BW75,BV75,CG75,0,BY75,BX75,BZ75,AJ75,1,1)*CB75</f>
        <v>0.22485622182982906</v>
      </c>
      <c r="BN75" s="137">
        <f>IF(AH75&lt;&gt;0,_xll.xSPRDOPT($BW75,$BV75,$CG75,2*LN(1+CA75/2),$BY75,$BX75,$BZ75,$AJ75,1,8)+(AJ75/365.25)*CH75/AH75,0)</f>
        <v>0.31175738159599342</v>
      </c>
      <c r="BO75" s="137">
        <f>_xll.xSPRDOPT($BW75,$BV75,$CG75,0,$BY75,$BX75,$BZ75,$AJ75,1,0)</f>
        <v>1.5758147828441108E-2</v>
      </c>
      <c r="BP75" s="137"/>
      <c r="BQ75" s="137"/>
      <c r="BR75" s="137"/>
      <c r="BS75" s="137"/>
      <c r="BV75" s="262">
        <v>3.5289089373622526</v>
      </c>
      <c r="BW75" s="136">
        <v>3.512</v>
      </c>
      <c r="BX75" s="137">
        <v>0.25008835824582315</v>
      </c>
      <c r="BY75" s="137">
        <v>0.25095281952825182</v>
      </c>
      <c r="BZ75" s="137">
        <v>0.99917052819913232</v>
      </c>
      <c r="CA75" s="137">
        <v>5.1693198008315698E-2</v>
      </c>
      <c r="CB75" s="137">
        <v>0.79475896722761941</v>
      </c>
      <c r="CC75" s="258">
        <v>-2.3E-2</v>
      </c>
      <c r="CD75" s="258">
        <v>5.7500000000000002E-2</v>
      </c>
      <c r="CE75" s="258">
        <v>0.14499999999999999</v>
      </c>
      <c r="CF75" s="258">
        <v>-2.5000000000000001E-2</v>
      </c>
      <c r="CG75" s="258">
        <v>1.9200000000000002E-2</v>
      </c>
      <c r="CH75" s="258">
        <v>2.4677265932417582</v>
      </c>
      <c r="CI75" s="258">
        <v>3.3919999999999999</v>
      </c>
    </row>
    <row r="76" spans="1:87" x14ac:dyDescent="0.25">
      <c r="A76" s="723"/>
      <c r="B76" s="723"/>
      <c r="D76" s="31">
        <f t="shared" si="36"/>
        <v>38913</v>
      </c>
      <c r="F76" s="28">
        <f t="shared" si="37"/>
        <v>15000</v>
      </c>
      <c r="G76" s="28">
        <f t="shared" si="12"/>
        <v>11859.992038361588</v>
      </c>
      <c r="H76" s="52">
        <f t="shared" si="38"/>
        <v>3.5701044305752951</v>
      </c>
      <c r="I76" s="52">
        <f t="shared" si="39"/>
        <v>3.5569999999999999</v>
      </c>
      <c r="K76" s="52">
        <f t="shared" si="28"/>
        <v>0</v>
      </c>
      <c r="L76" s="135">
        <f t="shared" si="29"/>
        <v>0.37210342229913251</v>
      </c>
      <c r="N76" s="131">
        <f t="shared" si="30"/>
        <v>0.25100885381510452</v>
      </c>
      <c r="O76" s="131">
        <f t="shared" si="31"/>
        <v>0.25100885381510452</v>
      </c>
      <c r="P76" s="55">
        <f t="shared" si="32"/>
        <v>0.9992645426460578</v>
      </c>
      <c r="Q76" s="135">
        <f>_xll.xSPRDOPT(I76,H76,AQ76,0,O76,N76,P76,D76-$G$5,1,0)*AH76*AU76</f>
        <v>0.37210342229913251</v>
      </c>
      <c r="R76" s="135"/>
      <c r="S76" s="181">
        <f>_xll.xSPRDOPT(I76,H76,AQ76,AT76,O76,N76,P76,D76-$G$5,1,2)*AF76*(F76/(1-AR76))*AH76</f>
        <v>-97115.866467111584</v>
      </c>
      <c r="T76" s="181">
        <f>_xll.xSPRDOPT(I76,H76,AQ76,AT76,O76,N76,P76,D76-$G$5,1,1)*AF76*F76*AH76</f>
        <v>96686.915644535489</v>
      </c>
      <c r="U76" s="135"/>
      <c r="V76" s="146">
        <f t="shared" si="40"/>
        <v>2.5368522970055434</v>
      </c>
      <c r="W76" s="146"/>
      <c r="X76" s="338">
        <f t="shared" si="41"/>
        <v>0</v>
      </c>
      <c r="Y76" s="338">
        <f t="shared" si="13"/>
        <v>0</v>
      </c>
      <c r="Z76" s="338">
        <f t="shared" si="14"/>
        <v>-6.3751698870117721</v>
      </c>
      <c r="AA76" s="338">
        <f t="shared" si="15"/>
        <v>0.24647980956471224</v>
      </c>
      <c r="AB76" s="338">
        <f t="shared" si="42"/>
        <v>0</v>
      </c>
      <c r="AC76" s="338">
        <f t="shared" si="43"/>
        <v>2.3822135449398227</v>
      </c>
      <c r="AF76" s="138">
        <f t="shared" si="44"/>
        <v>1</v>
      </c>
      <c r="AG76" s="138">
        <f t="shared" si="45"/>
        <v>7</v>
      </c>
      <c r="AH76" s="138">
        <f t="shared" si="52"/>
        <v>31</v>
      </c>
      <c r="AI76" s="138">
        <f t="shared" si="46"/>
        <v>1657</v>
      </c>
      <c r="AJ76" s="138">
        <f t="shared" si="47"/>
        <v>1674</v>
      </c>
      <c r="AL76" s="136">
        <f t="shared" si="17"/>
        <v>3.4319999999999999</v>
      </c>
      <c r="AM76" s="258">
        <f t="shared" si="18"/>
        <v>-2.3E-2</v>
      </c>
      <c r="AN76" s="258">
        <f t="shared" si="19"/>
        <v>5.7500000000000002E-2</v>
      </c>
      <c r="AO76" s="258">
        <f t="shared" si="20"/>
        <v>0.15</v>
      </c>
      <c r="AP76" s="258">
        <f t="shared" si="21"/>
        <v>-2.4999999999999998E-2</v>
      </c>
      <c r="AQ76" s="136">
        <f t="shared" si="48"/>
        <v>1.9200000000000002E-2</v>
      </c>
      <c r="AR76" s="137">
        <f t="shared" si="22"/>
        <v>2.9020000000000001E-2</v>
      </c>
      <c r="AS76" s="136">
        <f t="shared" si="33"/>
        <v>3.4664999999999999</v>
      </c>
      <c r="AT76" s="137">
        <f t="shared" si="34"/>
        <v>5.2004985721710598E-2</v>
      </c>
      <c r="AU76" s="137">
        <f t="shared" si="23"/>
        <v>0.7906661358907725</v>
      </c>
      <c r="AV76" s="394">
        <f t="shared" si="35"/>
        <v>10980.771295251048</v>
      </c>
      <c r="AW76" s="137">
        <f t="shared" si="24"/>
        <v>0.2475</v>
      </c>
      <c r="AX76" s="137">
        <f t="shared" si="25"/>
        <v>0.5</v>
      </c>
      <c r="AY76" s="137">
        <f t="shared" si="26"/>
        <v>0.5</v>
      </c>
      <c r="AZ76" s="137"/>
      <c r="BA76" s="264"/>
      <c r="BB76" s="258">
        <f t="shared" si="27"/>
        <v>0</v>
      </c>
      <c r="BC76" s="258">
        <f t="shared" si="49"/>
        <v>0</v>
      </c>
      <c r="BD76" s="137">
        <f t="shared" si="50"/>
        <v>6.2388038960525805E-6</v>
      </c>
      <c r="BE76" s="137">
        <f t="shared" si="51"/>
        <v>6.2388038960525805E-6</v>
      </c>
      <c r="BF76" s="137">
        <f>_xll.xSPRDOPT($BW76,$BV76,$CG76,0,$BY76,$BX76,$BZ76,$AJ76,1,4)*$CB76</f>
        <v>2.4792756903355859</v>
      </c>
      <c r="BG76" s="137">
        <f>_xll.xSPRDOPT($BW76,$BV76,$CG76,0,$BY76,$BX76,$BZ76,$AJ76,1,3)*$CB76</f>
        <v>2.5237181807483982</v>
      </c>
      <c r="BH76" s="137">
        <f>IF(OR(BF76&lt;&gt;0,BG76&lt;&gt;0),_xll.xSPRDOPT($BW76,$BV76,$CG76,0,$BY76,$BX76,$BZ76,$AJ76,1,12)*$CB76,0)</f>
        <v>-2.5013883863873629</v>
      </c>
      <c r="BI76" s="137">
        <f>_xll.xSPRDOPT($BW76,$BV76,$CG76,2*LN(1+CA76/2),$BY76,$BX76,$BZ76,$AJ76,1,9)</f>
        <v>-1.669197706975663E-3</v>
      </c>
      <c r="BJ76" s="137">
        <f>_xll.xSPRDOPT($BW76,$BV76,$CG76,0,$BY76,$BX76,$BZ76,$AJ76,1,6)*$CB76</f>
        <v>-0.24854215488580481</v>
      </c>
      <c r="BK76" s="137">
        <f>_xll.xSPRDOPT($BW76,$BV76,$CG76,0,$BY76,$BX76,$BZ76,$AJ76,1,5)*$CB76</f>
        <v>0.33350461170002871</v>
      </c>
      <c r="BL76" s="137">
        <f>_xll.xSPRDOPT(BW76,BV76,CG76,0,BY76,BX76,BZ76,AJ76,1,2)*CB76</f>
        <v>-0.20303654928872669</v>
      </c>
      <c r="BM76" s="137">
        <f>_xll.xSPRDOPT(BW76,BV76,CG76,0,BY76,BX76,BZ76,AJ76,1,1)*CB76</f>
        <v>0.20818455637778088</v>
      </c>
      <c r="BN76" s="137">
        <f>IF(AH76&lt;&gt;0,_xll.xSPRDOPT($BW76,$BV76,$CG76,2*LN(1+CA76/2),$BY76,$BX76,$BZ76,$AJ76,1,8)+(AJ76/365.25)*CH76/AH76,0)</f>
        <v>0.31621847012812543</v>
      </c>
      <c r="BO76" s="137">
        <f>_xll.xSPRDOPT($BW76,$BV76,$CG76,0,$BY76,$BX76,$BZ76,$AJ76,1,0)</f>
        <v>1.5175455059819295E-2</v>
      </c>
      <c r="BP76" s="137"/>
      <c r="BQ76" s="137"/>
      <c r="BR76" s="137"/>
      <c r="BS76" s="137"/>
      <c r="BV76" s="262">
        <v>3.5701044305752951</v>
      </c>
      <c r="BW76" s="136">
        <v>3.5569999999999999</v>
      </c>
      <c r="BX76" s="137">
        <v>0.25100261501120846</v>
      </c>
      <c r="BY76" s="137">
        <v>0.25100261501120846</v>
      </c>
      <c r="BZ76" s="137">
        <v>0.9992658229946606</v>
      </c>
      <c r="CA76" s="137">
        <v>5.2004985721710598E-2</v>
      </c>
      <c r="CB76" s="137">
        <v>0.79033279280378232</v>
      </c>
      <c r="CC76" s="258">
        <v>-2.3E-2</v>
      </c>
      <c r="CD76" s="258">
        <v>5.7500000000000002E-2</v>
      </c>
      <c r="CE76" s="258">
        <v>0.15</v>
      </c>
      <c r="CF76" s="258">
        <v>-2.5000000000000001E-2</v>
      </c>
      <c r="CG76" s="258">
        <v>1.9200000000000002E-2</v>
      </c>
      <c r="CH76" s="258">
        <v>2.5357827657109353</v>
      </c>
      <c r="CI76" s="258">
        <v>3.4319999999999999</v>
      </c>
    </row>
    <row r="77" spans="1:87" x14ac:dyDescent="0.25">
      <c r="A77" s="723"/>
      <c r="B77" s="723"/>
      <c r="D77" s="31">
        <f t="shared" si="36"/>
        <v>38944</v>
      </c>
      <c r="F77" s="28">
        <f t="shared" si="37"/>
        <v>15000</v>
      </c>
      <c r="G77" s="28">
        <f t="shared" si="12"/>
        <v>11791.16063295075</v>
      </c>
      <c r="H77" s="52">
        <f t="shared" si="38"/>
        <v>3.6112999237883376</v>
      </c>
      <c r="I77" s="52">
        <f t="shared" si="39"/>
        <v>3.597</v>
      </c>
      <c r="K77" s="52">
        <f t="shared" si="28"/>
        <v>0</v>
      </c>
      <c r="L77" s="135">
        <f t="shared" si="29"/>
        <v>0.44385506837555705</v>
      </c>
      <c r="N77" s="131">
        <f t="shared" si="30"/>
        <v>0.25189542698197026</v>
      </c>
      <c r="O77" s="131">
        <f t="shared" si="31"/>
        <v>0.25189542698197026</v>
      </c>
      <c r="P77" s="55">
        <f t="shared" si="32"/>
        <v>0.999132430314564</v>
      </c>
      <c r="Q77" s="135">
        <f>_xll.xSPRDOPT(I77,H77,AQ77,0,O77,N77,P77,D77-$G$5,1,0)*AH77*AU77</f>
        <v>0.44385506837555705</v>
      </c>
      <c r="R77" s="135"/>
      <c r="S77" s="181">
        <f>_xll.xSPRDOPT(I77,H77,AQ77,AT77,O77,N77,P77,D77-$G$5,1,2)*AF77*(F77/(1-AR77))*AH77</f>
        <v>-113300.81654760761</v>
      </c>
      <c r="T77" s="181">
        <f>_xll.xSPRDOPT(I77,H77,AQ77,AT77,O77,N77,P77,D77-$G$5,1,1)*AF77*F77*AH77</f>
        <v>112846.03990199207</v>
      </c>
      <c r="U77" s="135"/>
      <c r="V77" s="146">
        <f t="shared" si="40"/>
        <v>2.5221292593881657</v>
      </c>
      <c r="W77" s="146"/>
      <c r="X77" s="338">
        <f t="shared" si="41"/>
        <v>0</v>
      </c>
      <c r="Y77" s="338">
        <f t="shared" si="13"/>
        <v>0</v>
      </c>
      <c r="Z77" s="338">
        <f t="shared" si="14"/>
        <v>-6.8343340824735597</v>
      </c>
      <c r="AA77" s="338">
        <f t="shared" si="15"/>
        <v>0.33692741241871532</v>
      </c>
      <c r="AB77" s="338">
        <f t="shared" si="42"/>
        <v>0</v>
      </c>
      <c r="AC77" s="338">
        <f t="shared" si="43"/>
        <v>2.8592129505051838</v>
      </c>
      <c r="AF77" s="138">
        <f t="shared" si="44"/>
        <v>1</v>
      </c>
      <c r="AG77" s="138">
        <f t="shared" si="45"/>
        <v>8</v>
      </c>
      <c r="AH77" s="138">
        <f t="shared" si="52"/>
        <v>31</v>
      </c>
      <c r="AI77" s="138">
        <f t="shared" si="46"/>
        <v>1688</v>
      </c>
      <c r="AJ77" s="138">
        <f t="shared" si="47"/>
        <v>1705</v>
      </c>
      <c r="AL77" s="136">
        <f t="shared" si="17"/>
        <v>3.472</v>
      </c>
      <c r="AM77" s="258">
        <f t="shared" si="18"/>
        <v>-2.3E-2</v>
      </c>
      <c r="AN77" s="258">
        <f t="shared" si="19"/>
        <v>5.7500000000000002E-2</v>
      </c>
      <c r="AO77" s="258">
        <f t="shared" si="20"/>
        <v>0.15</v>
      </c>
      <c r="AP77" s="258">
        <f t="shared" si="21"/>
        <v>-2.4999999999999998E-2</v>
      </c>
      <c r="AQ77" s="136">
        <f t="shared" si="48"/>
        <v>1.9200000000000002E-2</v>
      </c>
      <c r="AR77" s="137">
        <f t="shared" si="22"/>
        <v>2.9020000000000001E-2</v>
      </c>
      <c r="AS77" s="136">
        <f t="shared" si="33"/>
        <v>3.5065</v>
      </c>
      <c r="AT77" s="137">
        <f t="shared" si="34"/>
        <v>5.2327166392949202E-2</v>
      </c>
      <c r="AU77" s="137">
        <f t="shared" si="23"/>
        <v>0.78607737553005008</v>
      </c>
      <c r="AV77" s="394">
        <f t="shared" si="35"/>
        <v>10917.042591361336</v>
      </c>
      <c r="AW77" s="137">
        <f t="shared" si="24"/>
        <v>0.2475</v>
      </c>
      <c r="AX77" s="137">
        <f t="shared" si="25"/>
        <v>0.55000000000000004</v>
      </c>
      <c r="AY77" s="137">
        <f t="shared" si="26"/>
        <v>0.55000000000000004</v>
      </c>
      <c r="AZ77" s="137"/>
      <c r="BA77" s="264"/>
      <c r="BB77" s="258">
        <f t="shared" si="27"/>
        <v>0</v>
      </c>
      <c r="BC77" s="258">
        <f t="shared" si="49"/>
        <v>0</v>
      </c>
      <c r="BD77" s="137">
        <f t="shared" si="50"/>
        <v>7.659790955905077E-6</v>
      </c>
      <c r="BE77" s="137">
        <f t="shared" si="51"/>
        <v>7.659790955905077E-6</v>
      </c>
      <c r="BF77" s="137">
        <f>_xll.xSPRDOPT($BW77,$BV77,$CG77,0,$BY77,$BX77,$BZ77,$AJ77,1,4)*$CB77</f>
        <v>2.8335258039242834</v>
      </c>
      <c r="BG77" s="137">
        <f>_xll.xSPRDOPT($BW77,$BV77,$CG77,0,$BY77,$BX77,$BZ77,$AJ77,1,3)*$CB77</f>
        <v>2.8856389730730698</v>
      </c>
      <c r="BH77" s="137">
        <f>IF(OR(BF77&lt;&gt;0,BG77&lt;&gt;0),_xll.xSPRDOPT($BW77,$BV77,$CG77,0,$BY77,$BX77,$BZ77,$AJ77,1,12)*$CB77,0)</f>
        <v>-2.8594525436132558</v>
      </c>
      <c r="BI77" s="137">
        <f>_xll.xSPRDOPT($BW77,$BV77,$CG77,2*LN(1+CA77/2),$BY77,$BX77,$BZ77,$AJ77,1,9)</f>
        <v>-1.7894197301960343E-3</v>
      </c>
      <c r="BJ77" s="137">
        <f>_xll.xSPRDOPT($BW77,$BV77,$CG77,0,$BY77,$BX77,$BZ77,$AJ77,1,6)*$CB77</f>
        <v>-0.22680211358950478</v>
      </c>
      <c r="BK77" s="137">
        <f>_xll.xSPRDOPT($BW77,$BV77,$CG77,0,$BY77,$BX77,$BZ77,$AJ77,1,5)*$CB77</f>
        <v>0.32139674216899194</v>
      </c>
      <c r="BL77" s="137">
        <f>_xll.xSPRDOPT(BW77,BV77,CG77,0,BY77,BX77,BZ77,AJ77,1,2)*CB77</f>
        <v>-0.23690519757979664</v>
      </c>
      <c r="BM77" s="137">
        <f>_xll.xSPRDOPT(BW77,BV77,CG77,0,BY77,BX77,BZ77,AJ77,1,1)*CB77</f>
        <v>0.24301022638861078</v>
      </c>
      <c r="BN77" s="137">
        <f>IF(AH77&lt;&gt;0,_xll.xSPRDOPT($BW77,$BV77,$CG77,2*LN(1+CA77/2),$BY77,$BX77,$BZ77,$AJ77,1,8)+(AJ77/365.25)*CH77/AH77,0)</f>
        <v>0.3106947487984234</v>
      </c>
      <c r="BO77" s="137">
        <f>_xll.xSPRDOPT($BW77,$BV77,$CG77,0,$BY77,$BX77,$BZ77,$AJ77,1,0)</f>
        <v>1.8207665286052489E-2</v>
      </c>
      <c r="BP77" s="137"/>
      <c r="BQ77" s="137"/>
      <c r="BR77" s="137"/>
      <c r="BS77" s="137"/>
      <c r="BV77" s="262">
        <v>3.6112999237883376</v>
      </c>
      <c r="BW77" s="136">
        <v>3.597</v>
      </c>
      <c r="BX77" s="137">
        <v>0.25188776719101436</v>
      </c>
      <c r="BY77" s="137">
        <v>0.25188776719101436</v>
      </c>
      <c r="BZ77" s="137">
        <v>0.99913390281551451</v>
      </c>
      <c r="CA77" s="137">
        <v>5.2327166392949202E-2</v>
      </c>
      <c r="CB77" s="137">
        <v>0.78574394063357444</v>
      </c>
      <c r="CC77" s="258">
        <v>-2.3E-2</v>
      </c>
      <c r="CD77" s="258">
        <v>5.7500000000000002E-2</v>
      </c>
      <c r="CE77" s="258">
        <v>0.15</v>
      </c>
      <c r="CF77" s="258">
        <v>-2.5000000000000001E-2</v>
      </c>
      <c r="CG77" s="258">
        <v>1.9200000000000002E-2</v>
      </c>
      <c r="CH77" s="258">
        <v>2.5210594335228236</v>
      </c>
      <c r="CI77" s="258">
        <v>3.472</v>
      </c>
    </row>
    <row r="78" spans="1:87" x14ac:dyDescent="0.25">
      <c r="A78" s="723"/>
      <c r="B78" s="723"/>
      <c r="D78" s="31">
        <f t="shared" si="36"/>
        <v>38975</v>
      </c>
      <c r="F78" s="28">
        <f t="shared" si="37"/>
        <v>15000</v>
      </c>
      <c r="G78" s="28">
        <f t="shared" si="12"/>
        <v>11722.106649078116</v>
      </c>
      <c r="H78" s="52">
        <f t="shared" si="38"/>
        <v>3.6061504871367074</v>
      </c>
      <c r="I78" s="52">
        <f t="shared" si="39"/>
        <v>3.5670000000000002</v>
      </c>
      <c r="K78" s="52">
        <f t="shared" si="28"/>
        <v>0</v>
      </c>
      <c r="L78" s="135">
        <f t="shared" si="29"/>
        <v>0.34808201660425864</v>
      </c>
      <c r="N78" s="131">
        <f t="shared" si="30"/>
        <v>0.251680618344995</v>
      </c>
      <c r="O78" s="131">
        <f t="shared" si="31"/>
        <v>0.25266685278209666</v>
      </c>
      <c r="P78" s="55">
        <f t="shared" si="32"/>
        <v>0.99893978905175029</v>
      </c>
      <c r="Q78" s="135">
        <f>_xll.xSPRDOPT(I78,H78,AQ78,0,O78,N78,P78,D78-$G$5,1,0)*AH78*AU78</f>
        <v>0.34808201660425864</v>
      </c>
      <c r="R78" s="135"/>
      <c r="S78" s="181">
        <f>_xll.xSPRDOPT(I78,H78,AQ78,AT78,O78,N78,P78,D78-$G$5,1,2)*AF78*(F78/(1-AR78))*AH78</f>
        <v>-94029.766813403228</v>
      </c>
      <c r="T78" s="181">
        <f>_xll.xSPRDOPT(I78,H78,AQ78,AT78,O78,N78,P78,D78-$G$5,1,1)*AF78*F78*AH78</f>
        <v>94194.947118012526</v>
      </c>
      <c r="U78" s="135"/>
      <c r="V78" s="146">
        <f t="shared" si="40"/>
        <v>2.4264760763591697</v>
      </c>
      <c r="W78" s="146"/>
      <c r="X78" s="338">
        <f t="shared" si="41"/>
        <v>0</v>
      </c>
      <c r="Y78" s="338">
        <f t="shared" si="13"/>
        <v>0</v>
      </c>
      <c r="Z78" s="338">
        <f t="shared" si="14"/>
        <v>-6.9781088344519366</v>
      </c>
      <c r="AA78" s="338">
        <f t="shared" si="15"/>
        <v>0.61571855752563687</v>
      </c>
      <c r="AB78" s="338">
        <f t="shared" si="42"/>
        <v>0</v>
      </c>
      <c r="AC78" s="338">
        <f t="shared" si="43"/>
        <v>2.2569532866893196</v>
      </c>
      <c r="AF78" s="138">
        <f t="shared" si="44"/>
        <v>1</v>
      </c>
      <c r="AG78" s="138">
        <f t="shared" si="45"/>
        <v>9</v>
      </c>
      <c r="AH78" s="138">
        <f t="shared" si="52"/>
        <v>30</v>
      </c>
      <c r="AI78" s="138">
        <f t="shared" si="46"/>
        <v>1719</v>
      </c>
      <c r="AJ78" s="138">
        <f t="shared" si="47"/>
        <v>1736</v>
      </c>
      <c r="AL78" s="136">
        <f t="shared" si="17"/>
        <v>3.4670000000000001</v>
      </c>
      <c r="AM78" s="258">
        <f t="shared" si="18"/>
        <v>-2.3E-2</v>
      </c>
      <c r="AN78" s="258">
        <f t="shared" si="19"/>
        <v>5.7500000000000002E-2</v>
      </c>
      <c r="AO78" s="258">
        <f t="shared" si="20"/>
        <v>0.125</v>
      </c>
      <c r="AP78" s="258">
        <f t="shared" si="21"/>
        <v>-2.4999999999999998E-2</v>
      </c>
      <c r="AQ78" s="136">
        <f t="shared" si="48"/>
        <v>1.9200000000000002E-2</v>
      </c>
      <c r="AR78" s="137">
        <f t="shared" si="22"/>
        <v>2.9020000000000001E-2</v>
      </c>
      <c r="AS78" s="136">
        <f t="shared" si="33"/>
        <v>3.5015000000000001</v>
      </c>
      <c r="AT78" s="137">
        <f t="shared" si="34"/>
        <v>5.2649347098806303E-2</v>
      </c>
      <c r="AU78" s="137">
        <f t="shared" si="23"/>
        <v>0.78147377660520767</v>
      </c>
      <c r="AV78" s="394">
        <f t="shared" si="35"/>
        <v>10503.00755757399</v>
      </c>
      <c r="AW78" s="137">
        <f t="shared" si="24"/>
        <v>0.2475</v>
      </c>
      <c r="AX78" s="137">
        <f t="shared" si="25"/>
        <v>0.55000000000000004</v>
      </c>
      <c r="AY78" s="137">
        <f t="shared" si="26"/>
        <v>0.6</v>
      </c>
      <c r="AZ78" s="137"/>
      <c r="BA78" s="264"/>
      <c r="BB78" s="258">
        <f t="shared" si="27"/>
        <v>0</v>
      </c>
      <c r="BC78" s="258">
        <f t="shared" si="49"/>
        <v>0</v>
      </c>
      <c r="BD78" s="137">
        <f t="shared" si="50"/>
        <v>7.1605450768785772E-6</v>
      </c>
      <c r="BE78" s="137">
        <f t="shared" si="51"/>
        <v>8.8326649159697901E-6</v>
      </c>
      <c r="BF78" s="137">
        <f>_xll.xSPRDOPT($BW78,$BV78,$CG78,0,$BY78,$BX78,$BZ78,$AJ78,1,4)*$CB78</f>
        <v>2.7218252242358978</v>
      </c>
      <c r="BG78" s="137">
        <f>_xll.xSPRDOPT($BW78,$BV78,$CG78,0,$BY78,$BX78,$BZ78,$AJ78,1,3)*$CB78</f>
        <v>2.8094346705543933</v>
      </c>
      <c r="BH78" s="137">
        <f>IF(OR(BF78&lt;&gt;0,BG78&lt;&gt;0),_xll.xSPRDOPT($BW78,$BV78,$CG78,0,$BY78,$BX78,$BZ78,$AJ78,1,12)*$CB78,0)</f>
        <v>-2.7652744652543331</v>
      </c>
      <c r="BI78" s="137">
        <f>_xll.xSPRDOPT($BW78,$BV78,$CG78,2*LN(1+CA78/2),$BY78,$BX78,$BZ78,$AJ78,1,9)</f>
        <v>-1.8879661124322742E-3</v>
      </c>
      <c r="BJ78" s="137">
        <f>_xll.xSPRDOPT($BW78,$BV78,$CG78,0,$BY78,$BX78,$BZ78,$AJ78,1,6)*$CB78</f>
        <v>-0.33007991572765916</v>
      </c>
      <c r="BK78" s="137">
        <f>_xll.xSPRDOPT($BW78,$BV78,$CG78,0,$BY78,$BX78,$BZ78,$AJ78,1,5)*$CB78</f>
        <v>0.42250165858335736</v>
      </c>
      <c r="BL78" s="137">
        <f>_xll.xSPRDOPT(BW78,BV78,CG78,0,BY78,BX78,BZ78,AJ78,1,2)*CB78</f>
        <v>-0.20346369031449005</v>
      </c>
      <c r="BM78" s="137">
        <f>_xll.xSPRDOPT(BW78,BV78,CG78,0,BY78,BX78,BZ78,AJ78,1,1)*CB78</f>
        <v>0.2099126732880946</v>
      </c>
      <c r="BN78" s="137">
        <f>IF(AH78&lt;&gt;0,_xll.xSPRDOPT($BW78,$BV78,$CG78,2*LN(1+CA78/2),$BY78,$BX78,$BZ78,$AJ78,1,8)+(AJ78/365.25)*CH78/AH78,0)</f>
        <v>0.32913866406659925</v>
      </c>
      <c r="BO78" s="137">
        <f>_xll.xSPRDOPT($BW78,$BV78,$CG78,0,$BY78,$BX78,$BZ78,$AJ78,1,0)</f>
        <v>1.4847625450268067E-2</v>
      </c>
      <c r="BP78" s="137"/>
      <c r="BQ78" s="137"/>
      <c r="BR78" s="137"/>
      <c r="BS78" s="137"/>
      <c r="BV78" s="262">
        <v>3.6061504871367074</v>
      </c>
      <c r="BW78" s="136">
        <v>3.5670000000000002</v>
      </c>
      <c r="BX78" s="137">
        <v>0.25167345779991812</v>
      </c>
      <c r="BY78" s="137">
        <v>0.25265802011718069</v>
      </c>
      <c r="BZ78" s="137">
        <v>0.99894154034195959</v>
      </c>
      <c r="CA78" s="137">
        <v>5.2649347098806303E-2</v>
      </c>
      <c r="CB78" s="137">
        <v>0.78114028021149551</v>
      </c>
      <c r="CC78" s="258">
        <v>-2.3E-2</v>
      </c>
      <c r="CD78" s="258">
        <v>5.7500000000000002E-2</v>
      </c>
      <c r="CE78" s="258">
        <v>0.125</v>
      </c>
      <c r="CF78" s="258">
        <v>-2.5000000000000001E-2</v>
      </c>
      <c r="CG78" s="258">
        <v>1.9200000000000002E-2</v>
      </c>
      <c r="CH78" s="258">
        <v>2.4254405700566934</v>
      </c>
      <c r="CI78" s="258">
        <v>3.4670000000000001</v>
      </c>
    </row>
    <row r="79" spans="1:87" x14ac:dyDescent="0.25">
      <c r="A79" s="723"/>
      <c r="B79" s="723"/>
      <c r="D79" s="31">
        <f t="shared" si="36"/>
        <v>39005</v>
      </c>
      <c r="F79" s="28">
        <f t="shared" si="37"/>
        <v>15000</v>
      </c>
      <c r="G79" s="28">
        <f t="shared" si="12"/>
        <v>11655.076535982356</v>
      </c>
      <c r="H79" s="52">
        <f t="shared" si="38"/>
        <v>3.6318976703948591</v>
      </c>
      <c r="I79" s="52">
        <f t="shared" si="39"/>
        <v>3.6120000000000001</v>
      </c>
      <c r="K79" s="52">
        <f t="shared" si="28"/>
        <v>0</v>
      </c>
      <c r="L79" s="135">
        <f t="shared" si="29"/>
        <v>0.57904215024192729</v>
      </c>
      <c r="N79" s="131">
        <f t="shared" si="30"/>
        <v>0.25274596357326584</v>
      </c>
      <c r="O79" s="131">
        <f t="shared" si="31"/>
        <v>0.25382975493137849</v>
      </c>
      <c r="P79" s="55">
        <f t="shared" si="32"/>
        <v>0.99876998174625919</v>
      </c>
      <c r="Q79" s="135">
        <f>_xll.xSPRDOPT(I79,H79,AQ79,0,O79,N79,P79,D79-$G$5,1,0)*AH79*AU79</f>
        <v>0.57904215024192729</v>
      </c>
      <c r="R79" s="135"/>
      <c r="S79" s="181">
        <f>_xll.xSPRDOPT(I79,H79,AQ79,AT79,O79,N79,P79,D79-$G$5,1,2)*AF79*(F79/(1-AR79))*AH79</f>
        <v>-128269.98398126088</v>
      </c>
      <c r="T79" s="181">
        <f>_xll.xSPRDOPT(I79,H79,AQ79,AT79,O79,N79,P79,D79-$G$5,1,1)*AF79*F79*AH79</f>
        <v>128225.41550312939</v>
      </c>
      <c r="U79" s="135"/>
      <c r="V79" s="146">
        <f t="shared" si="40"/>
        <v>2.493020871046626</v>
      </c>
      <c r="W79" s="146"/>
      <c r="X79" s="338">
        <f t="shared" si="41"/>
        <v>0</v>
      </c>
      <c r="Y79" s="338">
        <f t="shared" si="13"/>
        <v>0</v>
      </c>
      <c r="Z79" s="338">
        <f t="shared" si="14"/>
        <v>-7.8679211349127094</v>
      </c>
      <c r="AA79" s="338">
        <f t="shared" si="15"/>
        <v>0.86807538575827836</v>
      </c>
      <c r="AB79" s="338">
        <f t="shared" si="42"/>
        <v>0</v>
      </c>
      <c r="AC79" s="338">
        <f t="shared" si="43"/>
        <v>3.7766872667382487</v>
      </c>
      <c r="AF79" s="138">
        <f t="shared" si="44"/>
        <v>1</v>
      </c>
      <c r="AG79" s="138">
        <f t="shared" si="45"/>
        <v>10</v>
      </c>
      <c r="AH79" s="138">
        <f t="shared" si="52"/>
        <v>31</v>
      </c>
      <c r="AI79" s="138">
        <f t="shared" si="46"/>
        <v>1749</v>
      </c>
      <c r="AJ79" s="138">
        <f t="shared" si="47"/>
        <v>1766</v>
      </c>
      <c r="AL79" s="136">
        <f t="shared" si="17"/>
        <v>3.492</v>
      </c>
      <c r="AM79" s="258">
        <f t="shared" si="18"/>
        <v>-2.3E-2</v>
      </c>
      <c r="AN79" s="258">
        <f t="shared" si="19"/>
        <v>5.7500000000000002E-2</v>
      </c>
      <c r="AO79" s="258">
        <f t="shared" si="20"/>
        <v>0.14499999999999999</v>
      </c>
      <c r="AP79" s="258">
        <f t="shared" si="21"/>
        <v>-2.4999999999999998E-2</v>
      </c>
      <c r="AQ79" s="136">
        <f t="shared" si="48"/>
        <v>1.9200000000000002E-2</v>
      </c>
      <c r="AR79" s="137">
        <f t="shared" si="22"/>
        <v>2.9020000000000001E-2</v>
      </c>
      <c r="AS79" s="136">
        <f t="shared" si="33"/>
        <v>3.5265</v>
      </c>
      <c r="AT79" s="137">
        <f t="shared" si="34"/>
        <v>5.2961134911624401E-2</v>
      </c>
      <c r="AU79" s="137">
        <f t="shared" si="23"/>
        <v>0.77700510239882381</v>
      </c>
      <c r="AV79" s="394">
        <f t="shared" si="35"/>
        <v>10791.046862114865</v>
      </c>
      <c r="AW79" s="137">
        <f t="shared" si="24"/>
        <v>0.2475</v>
      </c>
      <c r="AX79" s="137">
        <f t="shared" si="25"/>
        <v>0.6</v>
      </c>
      <c r="AY79" s="137">
        <f t="shared" si="26"/>
        <v>0.65</v>
      </c>
      <c r="AZ79" s="137"/>
      <c r="BA79" s="264"/>
      <c r="BB79" s="258">
        <f t="shared" si="27"/>
        <v>0</v>
      </c>
      <c r="BC79" s="258">
        <f t="shared" si="49"/>
        <v>0</v>
      </c>
      <c r="BD79" s="137">
        <f t="shared" si="50"/>
        <v>8.8117880494009704E-6</v>
      </c>
      <c r="BE79" s="137">
        <f t="shared" si="51"/>
        <v>1.0609838181130371E-5</v>
      </c>
      <c r="BF79" s="137">
        <f>_xll.xSPRDOPT($BW79,$BV79,$CG79,0,$BY79,$BX79,$BZ79,$AJ79,1,4)*$CB79</f>
        <v>2.7993921466036822</v>
      </c>
      <c r="BG79" s="137">
        <f>_xll.xSPRDOPT($BW79,$BV79,$CG79,0,$BY79,$BX79,$BZ79,$AJ79,1,3)*$CB79</f>
        <v>2.8588535621197022</v>
      </c>
      <c r="BH79" s="137">
        <f>IF(OR(BF79&lt;&gt;0,BG79&lt;&gt;0),_xll.xSPRDOPT($BW79,$BV79,$CG79,0,$BY79,$BX79,$BZ79,$AJ79,1,12)*$CB79,0)</f>
        <v>-2.8289549516444961</v>
      </c>
      <c r="BI79" s="137">
        <f>_xll.xSPRDOPT($BW79,$BV79,$CG79,2*LN(1+CA79/2),$BY79,$BX79,$BZ79,$AJ79,1,9)</f>
        <v>-2.0600417165067149E-3</v>
      </c>
      <c r="BJ79" s="137">
        <f>_xll.xSPRDOPT($BW79,$BV79,$CG79,0,$BY79,$BX79,$BZ79,$AJ79,1,6)*$CB79</f>
        <v>-0.3649091014248001</v>
      </c>
      <c r="BK79" s="137">
        <f>_xll.xSPRDOPT($BW79,$BV79,$CG79,0,$BY79,$BX79,$BZ79,$AJ79,1,5)*$CB79</f>
        <v>0.47902054290220775</v>
      </c>
      <c r="BL79" s="137">
        <f>_xll.xSPRDOPT(BW79,BV79,CG79,0,BY79,BX79,BZ79,AJ79,1,2)*CB79</f>
        <v>-0.26862323781849107</v>
      </c>
      <c r="BM79" s="137">
        <f>_xll.xSPRDOPT(BW79,BV79,CG79,0,BY79,BX79,BZ79,AJ79,1,1)*CB79</f>
        <v>0.27655543707737368</v>
      </c>
      <c r="BN79" s="137">
        <f>IF(AH79&lt;&gt;0,_xll.xSPRDOPT($BW79,$BV79,$CG79,2*LN(1+CA79/2),$BY79,$BX79,$BZ79,$AJ79,1,8)+(AJ79/365.25)*CH79/AH79,0)</f>
        <v>0.29839193909528627</v>
      </c>
      <c r="BO79" s="137">
        <f>_xll.xSPRDOPT($BW79,$BV79,$CG79,0,$BY79,$BX79,$BZ79,$AJ79,1,0)</f>
        <v>2.4039882846099963E-2</v>
      </c>
      <c r="BP79" s="137"/>
      <c r="BQ79" s="137"/>
      <c r="BR79" s="137"/>
      <c r="BS79" s="137"/>
      <c r="BV79" s="262">
        <v>3.6318976703948591</v>
      </c>
      <c r="BW79" s="136">
        <v>3.6120000000000001</v>
      </c>
      <c r="BX79" s="137">
        <v>0.25273715178521644</v>
      </c>
      <c r="BY79" s="137">
        <v>0.25381914509319736</v>
      </c>
      <c r="BZ79" s="137">
        <v>0.99877196051596173</v>
      </c>
      <c r="CA79" s="137">
        <v>5.2961134911624401E-2</v>
      </c>
      <c r="CB79" s="137">
        <v>0.77667157521957753</v>
      </c>
      <c r="CC79" s="258">
        <v>-2.3E-2</v>
      </c>
      <c r="CD79" s="258">
        <v>5.7500000000000002E-2</v>
      </c>
      <c r="CE79" s="258">
        <v>0.14499999999999999</v>
      </c>
      <c r="CF79" s="258">
        <v>-2.5000000000000001E-2</v>
      </c>
      <c r="CG79" s="258">
        <v>1.9200000000000002E-2</v>
      </c>
      <c r="CH79" s="258">
        <v>2.4919507490920143</v>
      </c>
      <c r="CI79" s="258">
        <v>3.492</v>
      </c>
    </row>
    <row r="80" spans="1:87" x14ac:dyDescent="0.25">
      <c r="A80" s="723"/>
      <c r="B80" s="723"/>
      <c r="D80" s="31">
        <f t="shared" si="36"/>
        <v>39036</v>
      </c>
      <c r="F80" s="28">
        <f t="shared" si="37"/>
        <v>15000</v>
      </c>
      <c r="G80" s="28">
        <f t="shared" si="12"/>
        <v>11585.61012212095</v>
      </c>
      <c r="H80" s="52">
        <f t="shared" si="38"/>
        <v>3.7884405446044207</v>
      </c>
      <c r="I80" s="52">
        <f t="shared" si="39"/>
        <v>3.8140000000000001</v>
      </c>
      <c r="K80" s="52">
        <f t="shared" si="28"/>
        <v>0.1473563416044017</v>
      </c>
      <c r="L80" s="135">
        <f t="shared" si="29"/>
        <v>1.1679308471779608</v>
      </c>
      <c r="N80" s="131">
        <f t="shared" si="30"/>
        <v>0.25708471122670462</v>
      </c>
      <c r="O80" s="131">
        <f t="shared" si="31"/>
        <v>0.2584220652117401</v>
      </c>
      <c r="P80" s="55">
        <f t="shared" si="32"/>
        <v>0.9981455870557373</v>
      </c>
      <c r="Q80" s="135">
        <f>_xll.xSPRDOPT(I80,H80,AQ80,0,O80,N80,P80,D80-$G$5,1,0)*AH80*AU80</f>
        <v>1.3152871887823625</v>
      </c>
      <c r="R80" s="135"/>
      <c r="S80" s="181">
        <f>_xll.xSPRDOPT(I80,H80,AQ80,AT80,O80,N80,P80,D80-$G$5,1,2)*AF80*(F80/(1-AR80))*AH80</f>
        <v>-182742.29109994826</v>
      </c>
      <c r="T80" s="181">
        <f>_xll.xSPRDOPT(I80,H80,AQ80,AT80,O80,N80,P80,D80-$G$5,1,1)*AF80*F80*AH80</f>
        <v>182239.51446450583</v>
      </c>
      <c r="U80" s="135"/>
      <c r="V80" s="146">
        <f t="shared" si="40"/>
        <v>2.3982212952790367</v>
      </c>
      <c r="W80" s="146"/>
      <c r="X80" s="338">
        <f t="shared" si="41"/>
        <v>0</v>
      </c>
      <c r="Y80" s="338">
        <f t="shared" si="13"/>
        <v>0</v>
      </c>
      <c r="Z80" s="338">
        <f t="shared" si="14"/>
        <v>-7.0032415929293377</v>
      </c>
      <c r="AA80" s="338">
        <f t="shared" si="15"/>
        <v>1.6062868934296142</v>
      </c>
      <c r="AB80" s="338">
        <f t="shared" si="42"/>
        <v>0</v>
      </c>
      <c r="AC80" s="338">
        <f t="shared" si="43"/>
        <v>8.6307705162529817</v>
      </c>
      <c r="AF80" s="138">
        <f t="shared" si="44"/>
        <v>1</v>
      </c>
      <c r="AG80" s="138">
        <f t="shared" si="45"/>
        <v>11</v>
      </c>
      <c r="AH80" s="138">
        <f t="shared" si="52"/>
        <v>30</v>
      </c>
      <c r="AI80" s="138">
        <f t="shared" si="46"/>
        <v>1780</v>
      </c>
      <c r="AJ80" s="138">
        <f t="shared" si="47"/>
        <v>1797</v>
      </c>
      <c r="AL80" s="136">
        <f t="shared" si="17"/>
        <v>3.6440000000000001</v>
      </c>
      <c r="AM80" s="258">
        <f t="shared" si="18"/>
        <v>-2.3E-2</v>
      </c>
      <c r="AN80" s="258">
        <f t="shared" si="19"/>
        <v>5.7500000000000002E-2</v>
      </c>
      <c r="AO80" s="258">
        <f t="shared" si="20"/>
        <v>0.19500000000000001</v>
      </c>
      <c r="AP80" s="258">
        <f t="shared" si="21"/>
        <v>-2.4999999999999998E-2</v>
      </c>
      <c r="AQ80" s="136">
        <f t="shared" si="48"/>
        <v>1.9200000000000002E-2</v>
      </c>
      <c r="AR80" s="137">
        <f t="shared" si="22"/>
        <v>2.9020000000000001E-2</v>
      </c>
      <c r="AS80" s="136">
        <f t="shared" si="33"/>
        <v>3.6785000000000001</v>
      </c>
      <c r="AT80" s="137">
        <f t="shared" si="34"/>
        <v>5.3283315685584802E-2</v>
      </c>
      <c r="AU80" s="137">
        <f t="shared" si="23"/>
        <v>0.77237400814139667</v>
      </c>
      <c r="AV80" s="394">
        <f t="shared" si="35"/>
        <v>10380.706669420371</v>
      </c>
      <c r="AW80" s="137">
        <f t="shared" si="24"/>
        <v>0.2475</v>
      </c>
      <c r="AX80" s="137">
        <f t="shared" si="25"/>
        <v>0.8</v>
      </c>
      <c r="AY80" s="137">
        <f t="shared" si="26"/>
        <v>0.85</v>
      </c>
      <c r="AZ80" s="137"/>
      <c r="BA80" s="264"/>
      <c r="BB80" s="258">
        <f t="shared" si="27"/>
        <v>0</v>
      </c>
      <c r="BC80" s="258">
        <f t="shared" si="49"/>
        <v>0</v>
      </c>
      <c r="BD80" s="137">
        <f t="shared" si="50"/>
        <v>1.5694652291009525E-5</v>
      </c>
      <c r="BE80" s="137">
        <f t="shared" si="51"/>
        <v>1.7839199210278878E-5</v>
      </c>
      <c r="BF80" s="137">
        <f>_xll.xSPRDOPT($BW80,$BV80,$CG80,0,$BY80,$BX80,$BZ80,$AJ80,1,4)*$CB80</f>
        <v>2.2966976977922302</v>
      </c>
      <c r="BG80" s="137">
        <f>_xll.xSPRDOPT($BW80,$BV80,$CG80,0,$BY80,$BX80,$BZ80,$AJ80,1,3)*$CB80</f>
        <v>2.2888907325881469</v>
      </c>
      <c r="BH80" s="137">
        <f>IF(OR(BF80&lt;&gt;0,BG80&lt;&gt;0),_xll.xSPRDOPT($BW80,$BV80,$CG80,0,$BY80,$BX80,$BZ80,$AJ80,1,12)*$CB80,0)</f>
        <v>-2.2927795568717118</v>
      </c>
      <c r="BI80" s="137">
        <f>_xll.xSPRDOPT($BW80,$BV80,$CG80,2*LN(1+CA80/2),$BY80,$BX80,$BZ80,$AJ80,1,9)</f>
        <v>-1.8947659198647708E-3</v>
      </c>
      <c r="BJ80" s="137">
        <f>_xll.xSPRDOPT($BW80,$BV80,$CG80,0,$BY80,$BX80,$BZ80,$AJ80,1,6)*$CB80</f>
        <v>-0.34931848521735553</v>
      </c>
      <c r="BK80" s="137">
        <f>_xll.xSPRDOPT($BW80,$BV80,$CG80,0,$BY80,$BX80,$BZ80,$AJ80,1,5)*$CB80</f>
        <v>0.50741955888560453</v>
      </c>
      <c r="BL80" s="137">
        <f>_xll.xSPRDOPT(BW80,BV80,CG80,0,BY80,BX80,BZ80,AJ80,1,2)*CB80</f>
        <v>-0.39549168647130228</v>
      </c>
      <c r="BM80" s="137">
        <f>_xll.xSPRDOPT(BW80,BV80,CG80,0,BY80,BX80,BZ80,AJ80,1,1)*CB80</f>
        <v>0.40619116778606074</v>
      </c>
      <c r="BN80" s="137">
        <f>IF(AH80&lt;&gt;0,_xll.xSPRDOPT($BW80,$BV80,$CG80,2*LN(1+CA80/2),$BY80,$BX80,$BZ80,$AJ80,1,8)+(AJ80/365.25)*CH80/AH80,0)</f>
        <v>0.17752003449963194</v>
      </c>
      <c r="BO80" s="137">
        <f>_xll.xSPRDOPT($BW80,$BV80,$CG80,0,$BY80,$BX80,$BZ80,$AJ80,1,0)</f>
        <v>5.6764224895854053E-2</v>
      </c>
      <c r="BP80" s="137"/>
      <c r="BQ80" s="137"/>
      <c r="BR80" s="137"/>
      <c r="BS80" s="137"/>
      <c r="BV80" s="262">
        <v>3.7884405446044207</v>
      </c>
      <c r="BW80" s="136">
        <v>3.8140000000000001</v>
      </c>
      <c r="BX80" s="137">
        <v>0.25706901657441361</v>
      </c>
      <c r="BY80" s="137">
        <v>0.25840422601252983</v>
      </c>
      <c r="BZ80" s="137">
        <v>0.99814841966057211</v>
      </c>
      <c r="CA80" s="137">
        <v>5.3283315685584802E-2</v>
      </c>
      <c r="CB80" s="137">
        <v>0.77204047869284675</v>
      </c>
      <c r="CC80" s="258">
        <v>-2.3E-2</v>
      </c>
      <c r="CD80" s="258">
        <v>5.7500000000000002E-2</v>
      </c>
      <c r="CE80" s="258">
        <v>0.19500000000000001</v>
      </c>
      <c r="CF80" s="258">
        <v>-2.5000000000000001E-2</v>
      </c>
      <c r="CG80" s="258">
        <v>1.9200000000000002E-2</v>
      </c>
      <c r="CH80" s="258">
        <v>2.397185686341289</v>
      </c>
      <c r="CI80" s="258">
        <v>3.6440000000000001</v>
      </c>
    </row>
    <row r="81" spans="1:87" x14ac:dyDescent="0.25">
      <c r="A81" s="723"/>
      <c r="B81" s="723"/>
      <c r="D81" s="31">
        <f t="shared" si="36"/>
        <v>39066</v>
      </c>
      <c r="F81" s="28">
        <f t="shared" si="37"/>
        <v>15000</v>
      </c>
      <c r="G81" s="28">
        <f t="shared" si="12"/>
        <v>11518.197230471415</v>
      </c>
      <c r="H81" s="52">
        <f t="shared" si="38"/>
        <v>3.9357144328410474</v>
      </c>
      <c r="I81" s="52">
        <f t="shared" si="39"/>
        <v>3.9769999999999999</v>
      </c>
      <c r="K81" s="52">
        <f t="shared" si="28"/>
        <v>0.52573089819951624</v>
      </c>
      <c r="L81" s="135">
        <f t="shared" si="29"/>
        <v>1.3957299089795807</v>
      </c>
      <c r="N81" s="131">
        <f t="shared" si="30"/>
        <v>0.26311016393816972</v>
      </c>
      <c r="O81" s="131">
        <f t="shared" si="31"/>
        <v>0.26475888629433375</v>
      </c>
      <c r="P81" s="55">
        <f t="shared" si="32"/>
        <v>0.99730749826562892</v>
      </c>
      <c r="Q81" s="135">
        <f>_xll.xSPRDOPT(I81,H81,AQ81,0,O81,N81,P81,D81-$G$5,1,0)*AH81*AU81</f>
        <v>1.9214608071790971</v>
      </c>
      <c r="R81" s="135"/>
      <c r="S81" s="181">
        <f>_xll.xSPRDOPT(I81,H81,AQ81,AT81,O81,N81,P81,D81-$G$5,1,2)*AF81*(F81/(1-AR81))*AH81</f>
        <v>-198732.00919987593</v>
      </c>
      <c r="T81" s="181">
        <f>_xll.xSPRDOPT(I81,H81,AQ81,AT81,O81,N81,P81,D81-$G$5,1,1)*AF81*F81*AH81</f>
        <v>199064.52533118226</v>
      </c>
      <c r="U81" s="135"/>
      <c r="V81" s="146">
        <f t="shared" si="40"/>
        <v>2.4637423875978355</v>
      </c>
      <c r="W81" s="146"/>
      <c r="X81" s="338">
        <f t="shared" si="41"/>
        <v>0</v>
      </c>
      <c r="Y81" s="338">
        <f t="shared" si="13"/>
        <v>0</v>
      </c>
      <c r="Z81" s="338">
        <f t="shared" si="14"/>
        <v>-7.5876352377008907</v>
      </c>
      <c r="AA81" s="338">
        <f t="shared" si="15"/>
        <v>2.8683949652514578</v>
      </c>
      <c r="AB81" s="338">
        <f t="shared" si="42"/>
        <v>0</v>
      </c>
      <c r="AC81" s="338">
        <f t="shared" si="43"/>
        <v>12.682127695354028</v>
      </c>
      <c r="AF81" s="138">
        <f t="shared" si="44"/>
        <v>1</v>
      </c>
      <c r="AG81" s="138">
        <f t="shared" si="45"/>
        <v>12</v>
      </c>
      <c r="AH81" s="138">
        <f t="shared" si="52"/>
        <v>31</v>
      </c>
      <c r="AI81" s="138">
        <f t="shared" si="46"/>
        <v>1810</v>
      </c>
      <c r="AJ81" s="138">
        <f t="shared" si="47"/>
        <v>1827</v>
      </c>
      <c r="AL81" s="136">
        <f t="shared" si="17"/>
        <v>3.7869999999999999</v>
      </c>
      <c r="AM81" s="258">
        <f t="shared" si="18"/>
        <v>-2.3E-2</v>
      </c>
      <c r="AN81" s="258">
        <f t="shared" si="19"/>
        <v>5.7500000000000002E-2</v>
      </c>
      <c r="AO81" s="258">
        <f t="shared" si="20"/>
        <v>0.215</v>
      </c>
      <c r="AP81" s="258">
        <f t="shared" si="21"/>
        <v>-2.4999999999999998E-2</v>
      </c>
      <c r="AQ81" s="136">
        <f t="shared" si="48"/>
        <v>1.9200000000000002E-2</v>
      </c>
      <c r="AR81" s="137">
        <f t="shared" si="22"/>
        <v>2.9020000000000001E-2</v>
      </c>
      <c r="AS81" s="136">
        <f t="shared" si="33"/>
        <v>3.8214999999999999</v>
      </c>
      <c r="AT81" s="137">
        <f t="shared" si="34"/>
        <v>5.3595103564298502E-2</v>
      </c>
      <c r="AU81" s="137">
        <f t="shared" si="23"/>
        <v>0.76787981536476091</v>
      </c>
      <c r="AV81" s="394">
        <f t="shared" si="35"/>
        <v>10664.3148757858</v>
      </c>
      <c r="AW81" s="137">
        <f t="shared" si="24"/>
        <v>0.2475</v>
      </c>
      <c r="AX81" s="137">
        <f t="shared" si="25"/>
        <v>1</v>
      </c>
      <c r="AY81" s="137">
        <f t="shared" si="26"/>
        <v>1.05</v>
      </c>
      <c r="AZ81" s="137"/>
      <c r="BA81" s="264"/>
      <c r="BB81" s="258">
        <f t="shared" si="27"/>
        <v>0</v>
      </c>
      <c r="BC81" s="258">
        <f t="shared" si="49"/>
        <v>0</v>
      </c>
      <c r="BD81" s="137">
        <f t="shared" si="50"/>
        <v>2.485284437847568E-5</v>
      </c>
      <c r="BE81" s="137">
        <f t="shared" si="51"/>
        <v>2.7394948377112982E-5</v>
      </c>
      <c r="BF81" s="137">
        <f>_xll.xSPRDOPT($BW81,$BV81,$CG81,0,$BY81,$BX81,$BZ81,$AJ81,1,4)*$CB81</f>
        <v>1.7623133649930636</v>
      </c>
      <c r="BG81" s="137">
        <f>_xll.xSPRDOPT($BW81,$BV81,$CG81,0,$BY81,$BX81,$BZ81,$AJ81,1,3)*$CB81</f>
        <v>1.7428034080488661</v>
      </c>
      <c r="BH81" s="137">
        <f>IF(OR(BF81&lt;&gt;0,BG81&lt;&gt;0),_xll.xSPRDOPT($BW81,$BV81,$CG81,0,$BY81,$BX81,$BZ81,$AJ81,1,12)*$CB81,0)</f>
        <v>-1.7525215010247055</v>
      </c>
      <c r="BI81" s="137">
        <f>_xll.xSPRDOPT($BW81,$BV81,$CG81,2*LN(1+CA81/2),$BY81,$BX81,$BZ81,$AJ81,1,9)</f>
        <v>-1.9866550326668462E-3</v>
      </c>
      <c r="BJ81" s="137">
        <f>_xll.xSPRDOPT($BW81,$BV81,$CG81,0,$BY81,$BX81,$BZ81,$AJ81,1,6)*$CB81</f>
        <v>-0.30340703705010286</v>
      </c>
      <c r="BK81" s="137">
        <f>_xll.xSPRDOPT($BW81,$BV81,$CG81,0,$BY81,$BX81,$BZ81,$AJ81,1,5)*$CB81</f>
        <v>0.50042507872419517</v>
      </c>
      <c r="BL81" s="137">
        <f>_xll.xSPRDOPT(BW81,BV81,CG81,0,BY81,BX81,BZ81,AJ81,1,2)*CB81</f>
        <v>-0.4162619840045455</v>
      </c>
      <c r="BM81" s="137">
        <f>_xll.xSPRDOPT(BW81,BV81,CG81,0,BY81,BX81,BZ81,AJ81,1,1)*CB81</f>
        <v>0.42942019400777903</v>
      </c>
      <c r="BN81" s="137">
        <f>IF(AH81&lt;&gt;0,_xll.xSPRDOPT($BW81,$BV81,$CG81,2*LN(1+CA81/2),$BY81,$BX81,$BZ81,$AJ81,1,8)+(AJ81/365.25)*CH81/AH81,0)</f>
        <v>8.7461367608680229E-2</v>
      </c>
      <c r="BO81" s="137">
        <f>_xll.xSPRDOPT($BW81,$BV81,$CG81,0,$BY81,$BX81,$BZ81,$AJ81,1,0)</f>
        <v>8.0719494761039401E-2</v>
      </c>
      <c r="BP81" s="137"/>
      <c r="BQ81" s="137"/>
      <c r="BR81" s="137"/>
      <c r="BS81" s="137"/>
      <c r="BV81" s="262">
        <v>3.9357144328410474</v>
      </c>
      <c r="BW81" s="136">
        <v>3.9769999999999999</v>
      </c>
      <c r="BX81" s="137">
        <v>0.26308531109379124</v>
      </c>
      <c r="BY81" s="137">
        <v>0.26473149134595664</v>
      </c>
      <c r="BZ81" s="137">
        <v>0.99731135558021566</v>
      </c>
      <c r="CA81" s="137">
        <v>5.3595103564298502E-2</v>
      </c>
      <c r="CB81" s="137">
        <v>0.76754631216761238</v>
      </c>
      <c r="CC81" s="258">
        <v>-2.3E-2</v>
      </c>
      <c r="CD81" s="258">
        <v>5.7500000000000002E-2</v>
      </c>
      <c r="CE81" s="258">
        <v>0.215</v>
      </c>
      <c r="CF81" s="258">
        <v>-2.5000000000000001E-2</v>
      </c>
      <c r="CG81" s="258">
        <v>1.9200000000000002E-2</v>
      </c>
      <c r="CH81" s="258">
        <v>2.4626723425897841</v>
      </c>
      <c r="CI81" s="258">
        <v>3.7869999999999999</v>
      </c>
    </row>
    <row r="82" spans="1:87" x14ac:dyDescent="0.25">
      <c r="A82" s="723"/>
      <c r="B82" s="723"/>
      <c r="D82" s="31">
        <f t="shared" si="36"/>
        <v>39097</v>
      </c>
      <c r="F82" s="28">
        <f t="shared" si="37"/>
        <v>15000</v>
      </c>
      <c r="G82" s="28">
        <f t="shared" si="12"/>
        <v>11451.885432259436</v>
      </c>
      <c r="H82" s="52">
        <f t="shared" si="38"/>
        <v>3.9918432923438183</v>
      </c>
      <c r="I82" s="52">
        <f t="shared" si="39"/>
        <v>4.0495000000000001</v>
      </c>
      <c r="K82" s="52">
        <f t="shared" si="28"/>
        <v>0.9101637410396759</v>
      </c>
      <c r="L82" s="135">
        <f t="shared" si="29"/>
        <v>1.2466528046154324</v>
      </c>
      <c r="N82" s="131">
        <f t="shared" si="30"/>
        <v>0.26285711475899531</v>
      </c>
      <c r="O82" s="131">
        <f t="shared" si="31"/>
        <v>0.26447994211122006</v>
      </c>
      <c r="P82" s="55">
        <f t="shared" si="32"/>
        <v>0.99734683127625501</v>
      </c>
      <c r="Q82" s="135">
        <f>_xll.xSPRDOPT(I82,H82,AQ82,0,O82,N82,P82,D82-$G$5,1,0)*AH82*AU82</f>
        <v>2.1568165456551083</v>
      </c>
      <c r="R82" s="135"/>
      <c r="S82" s="181">
        <f>_xll.xSPRDOPT(I82,H82,AQ82,AT82,O82,N82,P82,D82-$G$5,1,2)*AF82*(F82/(1-AR82))*AH82</f>
        <v>-210632.46938091019</v>
      </c>
      <c r="T82" s="181">
        <f>_xll.xSPRDOPT(I82,H82,AQ82,AT82,O82,N82,P82,D82-$G$5,1,1)*AF82*F82*AH82</f>
        <v>210489.04248004564</v>
      </c>
      <c r="U82" s="135"/>
      <c r="V82" s="146">
        <f t="shared" si="40"/>
        <v>2.4495582939602936</v>
      </c>
      <c r="W82" s="146"/>
      <c r="X82" s="338">
        <f t="shared" si="41"/>
        <v>0</v>
      </c>
      <c r="Y82" s="338">
        <f t="shared" si="13"/>
        <v>0</v>
      </c>
      <c r="Z82" s="338">
        <f t="shared" si="14"/>
        <v>-5.544782496924749</v>
      </c>
      <c r="AA82" s="338">
        <f t="shared" si="15"/>
        <v>2.7662502726569027</v>
      </c>
      <c r="AB82" s="338">
        <f t="shared" si="42"/>
        <v>0</v>
      </c>
      <c r="AC82" s="338">
        <f t="shared" si="43"/>
        <v>14.304499708210161</v>
      </c>
      <c r="AF82" s="138">
        <f t="shared" si="44"/>
        <v>1</v>
      </c>
      <c r="AG82" s="138">
        <f t="shared" si="45"/>
        <v>1</v>
      </c>
      <c r="AH82" s="138">
        <f t="shared" si="52"/>
        <v>31</v>
      </c>
      <c r="AI82" s="138">
        <f t="shared" si="46"/>
        <v>1841</v>
      </c>
      <c r="AJ82" s="138">
        <f t="shared" si="47"/>
        <v>1858</v>
      </c>
      <c r="AL82" s="136">
        <f t="shared" si="17"/>
        <v>3.8395000000000001</v>
      </c>
      <c r="AM82" s="258">
        <f t="shared" si="18"/>
        <v>-2.1000000000000001E-2</v>
      </c>
      <c r="AN82" s="258">
        <f t="shared" si="19"/>
        <v>5.7500000000000002E-2</v>
      </c>
      <c r="AO82" s="258">
        <f t="shared" si="20"/>
        <v>0.23499999999999999</v>
      </c>
      <c r="AP82" s="258">
        <f t="shared" si="21"/>
        <v>-2.4999999999999998E-2</v>
      </c>
      <c r="AQ82" s="136">
        <f t="shared" si="48"/>
        <v>1.9200000000000002E-2</v>
      </c>
      <c r="AR82" s="137">
        <f t="shared" si="22"/>
        <v>2.9020000000000001E-2</v>
      </c>
      <c r="AS82" s="136">
        <f t="shared" si="33"/>
        <v>3.8760000000000003</v>
      </c>
      <c r="AT82" s="137">
        <f t="shared" si="34"/>
        <v>5.38548873933569E-2</v>
      </c>
      <c r="AU82" s="137">
        <f t="shared" si="23"/>
        <v>0.76345902881729577</v>
      </c>
      <c r="AV82" s="394">
        <f t="shared" si="35"/>
        <v>10602.918992214603</v>
      </c>
      <c r="AW82" s="137">
        <f t="shared" si="24"/>
        <v>0.2475</v>
      </c>
      <c r="AX82" s="137">
        <f t="shared" si="25"/>
        <v>1</v>
      </c>
      <c r="AY82" s="137">
        <f t="shared" si="26"/>
        <v>1.05</v>
      </c>
      <c r="AZ82" s="137"/>
      <c r="BA82" s="264"/>
      <c r="BB82" s="258">
        <f t="shared" si="27"/>
        <v>0</v>
      </c>
      <c r="BC82" s="258">
        <f t="shared" si="49"/>
        <v>0</v>
      </c>
      <c r="BD82" s="137">
        <f t="shared" si="50"/>
        <v>2.40535407127207E-5</v>
      </c>
      <c r="BE82" s="137">
        <f t="shared" si="51"/>
        <v>2.6516320445924002E-5</v>
      </c>
      <c r="BF82" s="137">
        <f>_xll.xSPRDOPT($BW82,$BV82,$CG82,0,$BY82,$BX82,$BZ82,$AJ82,1,4)*$CB82</f>
        <v>1.7039168008731482</v>
      </c>
      <c r="BG82" s="137">
        <f>_xll.xSPRDOPT($BW82,$BV82,$CG82,0,$BY82,$BX82,$BZ82,$AJ82,1,3)*$CB82</f>
        <v>1.6718230422017004</v>
      </c>
      <c r="BH82" s="137">
        <f>IF(OR(BF82&lt;&gt;0,BG82&lt;&gt;0),_xll.xSPRDOPT($BW82,$BV82,$CG82,0,$BY82,$BX82,$BZ82,$AJ82,1,12)*$CB82,0)</f>
        <v>-1.687784732541397</v>
      </c>
      <c r="BI82" s="137">
        <f>_xll.xSPRDOPT($BW82,$BV82,$CG82,2*LN(1+CA82/2),$BY82,$BX82,$BZ82,$AJ82,1,9)</f>
        <v>-1.4517790731195445E-3</v>
      </c>
      <c r="BJ82" s="137">
        <f>_xll.xSPRDOPT($BW82,$BV82,$CG82,0,$BY82,$BX82,$BZ82,$AJ82,1,6)*$CB82</f>
        <v>-0.30336145444426704</v>
      </c>
      <c r="BK82" s="137">
        <f>_xll.xSPRDOPT($BW82,$BV82,$CG82,0,$BY82,$BX82,$BZ82,$AJ82,1,5)*$CB82</f>
        <v>0.49953546306320851</v>
      </c>
      <c r="BL82" s="137">
        <f>_xll.xSPRDOPT(BW82,BV82,CG82,0,BY82,BX82,BZ82,AJ82,1,2)*CB82</f>
        <v>-0.44122915544324742</v>
      </c>
      <c r="BM82" s="137">
        <f>_xll.xSPRDOPT(BW82,BV82,CG82,0,BY82,BX82,BZ82,AJ82,1,1)*CB82</f>
        <v>0.45410684472271445</v>
      </c>
      <c r="BN82" s="137">
        <f>IF(AH82&lt;&gt;0,_xll.xSPRDOPT($BW82,$BV82,$CG82,2*LN(1+CA82/2),$BY82,$BX82,$BZ82,$AJ82,1,8)+(AJ82/365.25)*CH82/AH82,0)</f>
        <v>4.8015001963832293E-2</v>
      </c>
      <c r="BO82" s="137">
        <f>_xll.xSPRDOPT($BW82,$BV82,$CG82,0,$BY82,$BX82,$BZ82,$AJ82,1,0)</f>
        <v>9.1131264704487944E-2</v>
      </c>
      <c r="BP82" s="137"/>
      <c r="BQ82" s="137"/>
      <c r="BR82" s="137"/>
      <c r="BS82" s="137"/>
      <c r="BV82" s="262">
        <v>3.9918432923438183</v>
      </c>
      <c r="BW82" s="136">
        <v>4.0495000000000001</v>
      </c>
      <c r="BX82" s="137">
        <v>0.26283306121828259</v>
      </c>
      <c r="BY82" s="137">
        <v>0.26445342579077413</v>
      </c>
      <c r="BZ82" s="137">
        <v>0.99735057679799799</v>
      </c>
      <c r="CA82" s="137">
        <v>5.38548873933569E-2</v>
      </c>
      <c r="CB82" s="137">
        <v>0.76312585991900983</v>
      </c>
      <c r="CC82" s="258">
        <v>-2.1000000000000001E-2</v>
      </c>
      <c r="CD82" s="258">
        <v>5.7500000000000002E-2</v>
      </c>
      <c r="CE82" s="258">
        <v>0.23499999999999999</v>
      </c>
      <c r="CF82" s="258">
        <v>-2.5000000000000001E-2</v>
      </c>
      <c r="CG82" s="258">
        <v>1.9200000000000002E-2</v>
      </c>
      <c r="CH82" s="258">
        <v>2.4484893215501429</v>
      </c>
      <c r="CI82" s="258">
        <v>3.8395000000000001</v>
      </c>
    </row>
    <row r="83" spans="1:87" x14ac:dyDescent="0.25">
      <c r="A83" s="723"/>
      <c r="B83" s="723"/>
      <c r="D83" s="31">
        <f t="shared" si="36"/>
        <v>39128</v>
      </c>
      <c r="F83" s="28">
        <f t="shared" si="37"/>
        <v>15000</v>
      </c>
      <c r="G83" s="28">
        <f t="shared" si="12"/>
        <v>11389.806268930548</v>
      </c>
      <c r="H83" s="52">
        <f t="shared" si="38"/>
        <v>3.904302869266103</v>
      </c>
      <c r="I83" s="52">
        <f t="shared" si="39"/>
        <v>3.9645000000000001</v>
      </c>
      <c r="K83" s="52">
        <f t="shared" si="28"/>
        <v>0.8716388363967319</v>
      </c>
      <c r="L83" s="135">
        <f t="shared" si="29"/>
        <v>0.99729943866174808</v>
      </c>
      <c r="N83" s="131">
        <f t="shared" si="30"/>
        <v>0.25650115398110263</v>
      </c>
      <c r="O83" s="131">
        <f t="shared" si="31"/>
        <v>0.25798006039005167</v>
      </c>
      <c r="P83" s="55">
        <f t="shared" si="32"/>
        <v>0.99752054747127883</v>
      </c>
      <c r="Q83" s="135">
        <f>_xll.xSPRDOPT(I83,H83,AQ83,0,O83,N83,P83,D83-$G$5,1,0)*AH83*AU83</f>
        <v>1.86893827505848</v>
      </c>
      <c r="R83" s="135"/>
      <c r="S83" s="181">
        <f>_xll.xSPRDOPT(I83,H83,AQ83,AT83,O83,N83,P83,D83-$G$5,1,2)*AF83*(F83/(1-AR83))*AH83</f>
        <v>-193393.72782863956</v>
      </c>
      <c r="T83" s="181">
        <f>_xll.xSPRDOPT(I83,H83,AQ83,AT83,O83,N83,P83,D83-$G$5,1,1)*AF83*F83*AH83</f>
        <v>192839.8694928402</v>
      </c>
      <c r="U83" s="135"/>
      <c r="V83" s="146">
        <f t="shared" si="40"/>
        <v>2.2005105711573818</v>
      </c>
      <c r="W83" s="146"/>
      <c r="X83" s="338">
        <f t="shared" si="41"/>
        <v>0</v>
      </c>
      <c r="Y83" s="338">
        <f t="shared" si="13"/>
        <v>0</v>
      </c>
      <c r="Z83" s="338">
        <f t="shared" si="14"/>
        <v>-3.7775870845121964</v>
      </c>
      <c r="AA83" s="338">
        <f t="shared" si="15"/>
        <v>2.1322402561051002</v>
      </c>
      <c r="AB83" s="338">
        <f t="shared" si="42"/>
        <v>0</v>
      </c>
      <c r="AC83" s="338">
        <f t="shared" si="43"/>
        <v>12.437556254071374</v>
      </c>
      <c r="AF83" s="138">
        <f t="shared" si="44"/>
        <v>1</v>
      </c>
      <c r="AG83" s="138">
        <f t="shared" si="45"/>
        <v>2</v>
      </c>
      <c r="AH83" s="138">
        <f t="shared" si="52"/>
        <v>28</v>
      </c>
      <c r="AI83" s="138">
        <f t="shared" si="46"/>
        <v>1872</v>
      </c>
      <c r="AJ83" s="138">
        <f t="shared" si="47"/>
        <v>1889</v>
      </c>
      <c r="AL83" s="136">
        <f t="shared" si="17"/>
        <v>3.7545000000000002</v>
      </c>
      <c r="AM83" s="258">
        <f t="shared" si="18"/>
        <v>-2.1000000000000001E-2</v>
      </c>
      <c r="AN83" s="258">
        <f t="shared" si="19"/>
        <v>5.7500000000000002E-2</v>
      </c>
      <c r="AO83" s="258">
        <f t="shared" si="20"/>
        <v>0.23499999999999999</v>
      </c>
      <c r="AP83" s="258">
        <f t="shared" si="21"/>
        <v>-2.4999999999999998E-2</v>
      </c>
      <c r="AQ83" s="136">
        <f t="shared" si="48"/>
        <v>1.9200000000000002E-2</v>
      </c>
      <c r="AR83" s="137">
        <f t="shared" si="22"/>
        <v>2.9020000000000001E-2</v>
      </c>
      <c r="AS83" s="136">
        <f t="shared" si="33"/>
        <v>3.7910000000000004</v>
      </c>
      <c r="AT83" s="137">
        <f t="shared" si="34"/>
        <v>5.4038903438607302E-2</v>
      </c>
      <c r="AU83" s="137">
        <f t="shared" si="23"/>
        <v>0.7593204179287032</v>
      </c>
      <c r="AV83" s="394">
        <f t="shared" si="35"/>
        <v>9524.9153224976526</v>
      </c>
      <c r="AW83" s="137">
        <f t="shared" si="24"/>
        <v>0.24249999999999999</v>
      </c>
      <c r="AX83" s="137">
        <f t="shared" si="25"/>
        <v>1</v>
      </c>
      <c r="AY83" s="137">
        <f t="shared" si="26"/>
        <v>1.05</v>
      </c>
      <c r="AZ83" s="137"/>
      <c r="BA83" s="264"/>
      <c r="BB83" s="258">
        <f t="shared" si="27"/>
        <v>0</v>
      </c>
      <c r="BC83" s="258">
        <f t="shared" si="49"/>
        <v>0</v>
      </c>
      <c r="BD83" s="137">
        <f t="shared" si="50"/>
        <v>2.1629858151184234E-5</v>
      </c>
      <c r="BE83" s="137">
        <f t="shared" si="51"/>
        <v>2.3848038544549421E-5</v>
      </c>
      <c r="BF83" s="137">
        <f>_xll.xSPRDOPT($BW83,$BV83,$CG83,0,$BY83,$BX83,$BZ83,$AJ83,1,4)*$CB83</f>
        <v>1.8087511136062069</v>
      </c>
      <c r="BG83" s="137">
        <f>_xll.xSPRDOPT($BW83,$BV83,$CG83,0,$BY83,$BX83,$BZ83,$AJ83,1,3)*$CB83</f>
        <v>1.7717019989564173</v>
      </c>
      <c r="BH83" s="137">
        <f>IF(OR(BF83&lt;&gt;0,BG83&lt;&gt;0),_xll.xSPRDOPT($BW83,$BV83,$CG83,0,$BY83,$BX83,$BZ83,$AJ83,1,12)*$CB83,0)</f>
        <v>-1.7901216020630759</v>
      </c>
      <c r="BI83" s="137">
        <f>_xll.xSPRDOPT($BW83,$BV83,$CG83,2*LN(1+CA83/2),$BY83,$BX83,$BZ83,$AJ83,1,9)</f>
        <v>-1.0950505417603807E-3</v>
      </c>
      <c r="BJ83" s="137">
        <f>_xll.xSPRDOPT($BW83,$BV83,$CG83,0,$BY83,$BX83,$BZ83,$AJ83,1,6)*$CB83</f>
        <v>-0.30150719673940229</v>
      </c>
      <c r="BK83" s="137">
        <f>_xll.xSPRDOPT($BW83,$BV83,$CG83,0,$BY83,$BX83,$BZ83,$AJ83,1,5)*$CB83</f>
        <v>0.48634274009177453</v>
      </c>
      <c r="BL83" s="137">
        <f>_xll.xSPRDOPT(BW83,BV83,CG83,0,BY83,BX83,BZ83,AJ83,1,2)*CB83</f>
        <v>-0.44856087083472967</v>
      </c>
      <c r="BM83" s="137">
        <f>_xll.xSPRDOPT(BW83,BV83,CG83,0,BY83,BX83,BZ83,AJ83,1,1)*CB83</f>
        <v>0.46064407970152621</v>
      </c>
      <c r="BN83" s="137">
        <f>IF(AH83&lt;&gt;0,_xll.xSPRDOPT($BW83,$BV83,$CG83,2*LN(1+CA83/2),$BY83,$BX83,$BZ83,$AJ83,1,8)+(AJ83/365.25)*CH83/AH83,0)</f>
        <v>6.1215775211967416E-2</v>
      </c>
      <c r="BO83" s="137">
        <f>_xll.xSPRDOPT($BW83,$BV83,$CG83,0,$BY83,$BX83,$BZ83,$AJ83,1,0)</f>
        <v>8.7904950909102261E-2</v>
      </c>
      <c r="BP83" s="137"/>
      <c r="BQ83" s="137"/>
      <c r="BR83" s="137"/>
      <c r="BS83" s="137"/>
      <c r="BV83" s="262">
        <v>3.904302869266103</v>
      </c>
      <c r="BW83" s="136">
        <v>3.9645000000000001</v>
      </c>
      <c r="BX83" s="137">
        <v>0.25647952412295144</v>
      </c>
      <c r="BY83" s="137">
        <v>0.25795621235150712</v>
      </c>
      <c r="BZ83" s="137">
        <v>0.99752402424817121</v>
      </c>
      <c r="CA83" s="137">
        <v>5.4038903438607302E-2</v>
      </c>
      <c r="CB83" s="137">
        <v>0.75898793807064624</v>
      </c>
      <c r="CC83" s="258">
        <v>-2.1000000000000001E-2</v>
      </c>
      <c r="CD83" s="258">
        <v>5.7500000000000002E-2</v>
      </c>
      <c r="CE83" s="258">
        <v>0.23499999999999999</v>
      </c>
      <c r="CF83" s="258">
        <v>-2.5000000000000001E-2</v>
      </c>
      <c r="CG83" s="258">
        <v>1.9200000000000002E-2</v>
      </c>
      <c r="CH83" s="258">
        <v>2.1995470445287326</v>
      </c>
      <c r="CI83" s="258">
        <v>3.7545000000000002</v>
      </c>
    </row>
    <row r="84" spans="1:87" x14ac:dyDescent="0.25">
      <c r="A84" s="723"/>
      <c r="B84" s="723"/>
      <c r="D84" s="31">
        <f t="shared" si="36"/>
        <v>39156</v>
      </c>
      <c r="F84" s="28">
        <f t="shared" si="37"/>
        <v>15000</v>
      </c>
      <c r="G84" s="28">
        <f t="shared" si="12"/>
        <v>11333.728583800275</v>
      </c>
      <c r="H84" s="52">
        <f t="shared" si="38"/>
        <v>3.7704175163237146</v>
      </c>
      <c r="I84" s="52">
        <f t="shared" si="39"/>
        <v>3.7944999999999998</v>
      </c>
      <c r="K84" s="52">
        <f t="shared" si="28"/>
        <v>0.11436260592382665</v>
      </c>
      <c r="L84" s="135">
        <f t="shared" si="29"/>
        <v>1.0410479460221831</v>
      </c>
      <c r="N84" s="131">
        <f t="shared" si="30"/>
        <v>0.24836584151095337</v>
      </c>
      <c r="O84" s="131">
        <f t="shared" si="31"/>
        <v>0.24836584151095337</v>
      </c>
      <c r="P84" s="55">
        <f t="shared" si="32"/>
        <v>0.99852423117204614</v>
      </c>
      <c r="Q84" s="135">
        <f>_xll.xSPRDOPT(I84,H84,AQ84,0,O84,N84,P84,D84-$G$5,1,0)*AH84*AU84</f>
        <v>1.1554105519460098</v>
      </c>
      <c r="R84" s="135"/>
      <c r="S84" s="181">
        <f>_xll.xSPRDOPT(I84,H84,AQ84,AT84,O84,N84,P84,D84-$G$5,1,2)*AF84*(F84/(1-AR84))*AH84</f>
        <v>-184056.69501591293</v>
      </c>
      <c r="T84" s="181">
        <f>_xll.xSPRDOPT(I84,H84,AQ84,AT84,O84,N84,P84,D84-$G$5,1,1)*AF84*F84*AH84</f>
        <v>183002.84915822404</v>
      </c>
      <c r="U84" s="135"/>
      <c r="V84" s="146">
        <f t="shared" si="40"/>
        <v>2.424284544074879</v>
      </c>
      <c r="W84" s="146"/>
      <c r="X84" s="338">
        <f t="shared" si="41"/>
        <v>0</v>
      </c>
      <c r="Y84" s="338">
        <f t="shared" si="13"/>
        <v>0</v>
      </c>
      <c r="Z84" s="338">
        <f t="shared" si="14"/>
        <v>-5.2720142223130546</v>
      </c>
      <c r="AA84" s="338">
        <f t="shared" si="15"/>
        <v>0.8526135864172143</v>
      </c>
      <c r="AB84" s="338">
        <f t="shared" si="42"/>
        <v>0</v>
      </c>
      <c r="AC84" s="338">
        <f t="shared" si="43"/>
        <v>7.7127964691480519</v>
      </c>
      <c r="AF84" s="138">
        <f t="shared" si="44"/>
        <v>1</v>
      </c>
      <c r="AG84" s="138">
        <f t="shared" si="45"/>
        <v>3</v>
      </c>
      <c r="AH84" s="138">
        <f t="shared" si="52"/>
        <v>31</v>
      </c>
      <c r="AI84" s="138">
        <f t="shared" si="46"/>
        <v>1900</v>
      </c>
      <c r="AJ84" s="138">
        <f t="shared" si="47"/>
        <v>1917</v>
      </c>
      <c r="AL84" s="136">
        <f t="shared" si="17"/>
        <v>3.6244999999999998</v>
      </c>
      <c r="AM84" s="258">
        <f t="shared" si="18"/>
        <v>-2.1000000000000001E-2</v>
      </c>
      <c r="AN84" s="258">
        <f t="shared" si="19"/>
        <v>5.7500000000000002E-2</v>
      </c>
      <c r="AO84" s="258">
        <f t="shared" si="20"/>
        <v>0.19500000000000001</v>
      </c>
      <c r="AP84" s="258">
        <f t="shared" si="21"/>
        <v>-2.4999999999999998E-2</v>
      </c>
      <c r="AQ84" s="136">
        <f t="shared" si="48"/>
        <v>1.9200000000000002E-2</v>
      </c>
      <c r="AR84" s="137">
        <f t="shared" si="22"/>
        <v>2.9020000000000001E-2</v>
      </c>
      <c r="AS84" s="136">
        <f t="shared" si="33"/>
        <v>3.661</v>
      </c>
      <c r="AT84" s="137">
        <f t="shared" si="34"/>
        <v>5.4205111489177997E-2</v>
      </c>
      <c r="AU84" s="137">
        <f t="shared" si="23"/>
        <v>0.75558190558668503</v>
      </c>
      <c r="AV84" s="394">
        <f t="shared" si="35"/>
        <v>10493.521504787881</v>
      </c>
      <c r="AW84" s="137">
        <f t="shared" si="24"/>
        <v>0.24</v>
      </c>
      <c r="AX84" s="137">
        <f t="shared" si="25"/>
        <v>0.75</v>
      </c>
      <c r="AY84" s="137">
        <f t="shared" si="26"/>
        <v>0.75</v>
      </c>
      <c r="AZ84" s="137"/>
      <c r="BA84" s="264"/>
      <c r="BB84" s="258">
        <f t="shared" si="27"/>
        <v>0</v>
      </c>
      <c r="BC84" s="258">
        <f t="shared" si="49"/>
        <v>0</v>
      </c>
      <c r="BD84" s="137">
        <f t="shared" si="50"/>
        <v>1.2861859098489692E-5</v>
      </c>
      <c r="BE84" s="137">
        <f t="shared" si="51"/>
        <v>1.2861859098489692E-5</v>
      </c>
      <c r="BF84" s="137">
        <f>_xll.xSPRDOPT($BW84,$BV84,$CG84,0,$BY84,$BX84,$BZ84,$AJ84,1,4)*$CB84</f>
        <v>2.5667015556577382</v>
      </c>
      <c r="BG84" s="137">
        <f>_xll.xSPRDOPT($BW84,$BV84,$CG84,0,$BY84,$BX84,$BZ84,$AJ84,1,3)*$CB84</f>
        <v>2.5599922360326217</v>
      </c>
      <c r="BH84" s="137">
        <f>IF(OR(BF84&lt;&gt;0,BG84&lt;&gt;0),_xll.xSPRDOPT($BW84,$BV84,$CG84,0,$BY84,$BX84,$BZ84,$AJ84,1,12)*$CB84,0)</f>
        <v>-2.563332173775613</v>
      </c>
      <c r="BI84" s="137">
        <f>_xll.xSPRDOPT($BW84,$BV84,$CG84,2*LN(1+CA84/2),$BY84,$BX84,$BZ84,$AJ84,1,9)</f>
        <v>-1.3803607130464827E-3</v>
      </c>
      <c r="BJ84" s="137">
        <f>_xll.xSPRDOPT($BW84,$BV84,$CG84,0,$BY84,$BX84,$BZ84,$AJ84,1,6)*$CB84</f>
        <v>-0.17048046598351849</v>
      </c>
      <c r="BK84" s="137">
        <f>_xll.xSPRDOPT($BW84,$BV84,$CG84,0,$BY84,$BX84,$BZ84,$AJ84,1,5)*$CB84</f>
        <v>0.31303976407236311</v>
      </c>
      <c r="BL84" s="137">
        <f>_xll.xSPRDOPT(BW84,BV84,CG84,0,BY84,BX84,BZ84,AJ84,1,2)*CB84</f>
        <v>-0.38562091253106734</v>
      </c>
      <c r="BM84" s="137">
        <f>_xll.xSPRDOPT(BW84,BV84,CG84,0,BY84,BX84,BZ84,AJ84,1,1)*CB84</f>
        <v>0.39487209094921316</v>
      </c>
      <c r="BN84" s="137">
        <f>IF(AH84&lt;&gt;0,_xll.xSPRDOPT($BW84,$BV84,$CG84,2*LN(1+CA84/2),$BY84,$BX84,$BZ84,$AJ84,1,8)+(AJ84/365.25)*CH84/AH84,0)</f>
        <v>0.21473085649151896</v>
      </c>
      <c r="BO84" s="137">
        <f>_xll.xSPRDOPT($BW84,$BV84,$CG84,0,$BY84,$BX84,$BZ84,$AJ84,1,0)</f>
        <v>4.9328382870872108E-2</v>
      </c>
      <c r="BP84" s="137"/>
      <c r="BQ84" s="137"/>
      <c r="BR84" s="137"/>
      <c r="BS84" s="137"/>
      <c r="BV84" s="262">
        <v>3.7704175163237146</v>
      </c>
      <c r="BW84" s="136">
        <v>3.7944999999999998</v>
      </c>
      <c r="BX84" s="137">
        <v>0.24835297965185488</v>
      </c>
      <c r="BY84" s="137">
        <v>0.24835297965185488</v>
      </c>
      <c r="BZ84" s="137">
        <v>0.99852638624272239</v>
      </c>
      <c r="CA84" s="137">
        <v>5.4205111489177997E-2</v>
      </c>
      <c r="CB84" s="137">
        <v>0.75525005882146279</v>
      </c>
      <c r="CC84" s="258">
        <v>-2.1000000000000001E-2</v>
      </c>
      <c r="CD84" s="258">
        <v>5.7500000000000002E-2</v>
      </c>
      <c r="CE84" s="258">
        <v>0.19500000000000001</v>
      </c>
      <c r="CF84" s="258">
        <v>-2.5000000000000001E-2</v>
      </c>
      <c r="CG84" s="258">
        <v>1.9200000000000002E-2</v>
      </c>
      <c r="CH84" s="258">
        <v>2.4232198137286631</v>
      </c>
      <c r="CI84" s="258">
        <v>3.6244999999999998</v>
      </c>
    </row>
    <row r="85" spans="1:87" x14ac:dyDescent="0.25">
      <c r="A85" s="723"/>
      <c r="B85" s="723"/>
      <c r="D85" s="31">
        <f t="shared" si="36"/>
        <v>39187</v>
      </c>
      <c r="F85" s="28">
        <f t="shared" si="37"/>
        <v>15000</v>
      </c>
      <c r="G85" s="28">
        <f t="shared" si="12"/>
        <v>11271.639267683495</v>
      </c>
      <c r="H85" s="52">
        <f t="shared" si="38"/>
        <v>3.5798883602133929</v>
      </c>
      <c r="I85" s="52">
        <f t="shared" si="39"/>
        <v>3.5594999999999999</v>
      </c>
      <c r="K85" s="52">
        <f t="shared" si="28"/>
        <v>0</v>
      </c>
      <c r="L85" s="135">
        <f t="shared" si="29"/>
        <v>0.28279909613918042</v>
      </c>
      <c r="N85" s="131">
        <f t="shared" si="30"/>
        <v>0.24163880360574633</v>
      </c>
      <c r="O85" s="131">
        <f t="shared" si="31"/>
        <v>0.24231571652457903</v>
      </c>
      <c r="P85" s="55">
        <f t="shared" si="32"/>
        <v>0.99936544073039568</v>
      </c>
      <c r="Q85" s="135">
        <f>_xll.xSPRDOPT(I85,H85,AQ85,0,O85,N85,P85,D85-$G$5,1,0)*AH85*AU85</f>
        <v>0.28279909613918042</v>
      </c>
      <c r="R85" s="135"/>
      <c r="S85" s="181">
        <f>_xll.xSPRDOPT(I85,H85,AQ85,AT85,O85,N85,P85,D85-$G$5,1,2)*AF85*(F85/(1-AR85))*AH85</f>
        <v>-72012.903701424933</v>
      </c>
      <c r="T85" s="181">
        <f>_xll.xSPRDOPT(I85,H85,AQ85,AT85,O85,N85,P85,D85-$G$5,1,1)*AF85*F85*AH85</f>
        <v>71849.815375596256</v>
      </c>
      <c r="U85" s="135"/>
      <c r="V85" s="146">
        <f t="shared" si="40"/>
        <v>2.3332293284104835</v>
      </c>
      <c r="W85" s="146"/>
      <c r="X85" s="338">
        <f t="shared" si="41"/>
        <v>0</v>
      </c>
      <c r="Y85" s="338">
        <f t="shared" si="13"/>
        <v>0</v>
      </c>
      <c r="Z85" s="338">
        <f t="shared" si="14"/>
        <v>-4.5395087137332277</v>
      </c>
      <c r="AA85" s="338">
        <f t="shared" si="15"/>
        <v>0.31468538048136391</v>
      </c>
      <c r="AB85" s="338">
        <f t="shared" si="42"/>
        <v>0</v>
      </c>
      <c r="AC85" s="338">
        <f t="shared" si="43"/>
        <v>1.8936678171638412</v>
      </c>
      <c r="AF85" s="138">
        <f t="shared" si="44"/>
        <v>1</v>
      </c>
      <c r="AG85" s="138">
        <f t="shared" si="45"/>
        <v>4</v>
      </c>
      <c r="AH85" s="138">
        <f t="shared" si="52"/>
        <v>30</v>
      </c>
      <c r="AI85" s="138">
        <f t="shared" si="46"/>
        <v>1931</v>
      </c>
      <c r="AJ85" s="138">
        <f t="shared" si="47"/>
        <v>1948</v>
      </c>
      <c r="AL85" s="136">
        <f t="shared" si="17"/>
        <v>3.4394999999999998</v>
      </c>
      <c r="AM85" s="258">
        <f t="shared" si="18"/>
        <v>-2.1000000000000001E-2</v>
      </c>
      <c r="AN85" s="258">
        <f t="shared" si="19"/>
        <v>5.7500000000000002E-2</v>
      </c>
      <c r="AO85" s="258">
        <f t="shared" si="20"/>
        <v>0.14499999999999999</v>
      </c>
      <c r="AP85" s="258">
        <f t="shared" si="21"/>
        <v>-2.4999999999999998E-2</v>
      </c>
      <c r="AQ85" s="136">
        <f t="shared" si="48"/>
        <v>1.9200000000000002E-2</v>
      </c>
      <c r="AR85" s="137">
        <f t="shared" si="22"/>
        <v>2.9020000000000001E-2</v>
      </c>
      <c r="AS85" s="136">
        <f t="shared" si="33"/>
        <v>3.476</v>
      </c>
      <c r="AT85" s="137">
        <f t="shared" si="34"/>
        <v>5.4389127555903201E-2</v>
      </c>
      <c r="AU85" s="137">
        <f t="shared" si="23"/>
        <v>0.75144261784556632</v>
      </c>
      <c r="AV85" s="394">
        <f t="shared" si="35"/>
        <v>10099.388783844412</v>
      </c>
      <c r="AW85" s="137">
        <f t="shared" si="24"/>
        <v>0.24</v>
      </c>
      <c r="AX85" s="137">
        <f t="shared" si="25"/>
        <v>0.4</v>
      </c>
      <c r="AY85" s="137">
        <f t="shared" si="26"/>
        <v>0.45</v>
      </c>
      <c r="AZ85" s="137"/>
      <c r="BA85" s="264"/>
      <c r="BB85" s="258">
        <f t="shared" si="27"/>
        <v>0</v>
      </c>
      <c r="BC85" s="258">
        <f t="shared" si="49"/>
        <v>0</v>
      </c>
      <c r="BD85" s="137">
        <f t="shared" si="50"/>
        <v>2.5139890520997632E-6</v>
      </c>
      <c r="BE85" s="137">
        <f t="shared" si="51"/>
        <v>3.5474625900977497E-6</v>
      </c>
      <c r="BF85" s="137">
        <f>_xll.xSPRDOPT($BW85,$BV85,$CG85,0,$BY85,$BX85,$BZ85,$AJ85,1,4)*$CB85</f>
        <v>1.8844303067644761</v>
      </c>
      <c r="BG85" s="137">
        <f>_xll.xSPRDOPT($BW85,$BV85,$CG85,0,$BY85,$BX85,$BZ85,$AJ85,1,3)*$CB85</f>
        <v>1.9255039131670664</v>
      </c>
      <c r="BH85" s="137">
        <f>IF(OR(BF85&lt;&gt;0,BG85&lt;&gt;0),_xll.xSPRDOPT($BW85,$BV85,$CG85,0,$BY85,$BX85,$BZ85,$AJ85,1,12)*$CB85,0)</f>
        <v>-1.9048491815723452</v>
      </c>
      <c r="BI85" s="137">
        <f>_xll.xSPRDOPT($BW85,$BV85,$CG85,2*LN(1+CA85/2),$BY85,$BX85,$BZ85,$AJ85,1,9)</f>
        <v>-1.2281893019933788E-3</v>
      </c>
      <c r="BJ85" s="137">
        <f>_xll.xSPRDOPT($BW85,$BV85,$CG85,0,$BY85,$BX85,$BZ85,$AJ85,1,6)*$CB85</f>
        <v>-0.41301262629285063</v>
      </c>
      <c r="BK85" s="137">
        <f>_xll.xSPRDOPT($BW85,$BV85,$CG85,0,$BY85,$BX85,$BZ85,$AJ85,1,5)*$CB85</f>
        <v>0.48981772809772173</v>
      </c>
      <c r="BL85" s="137">
        <f>_xll.xSPRDOPT(BW85,BV85,CG85,0,BY85,BX85,BZ85,AJ85,1,2)*CB85</f>
        <v>-0.15573769424880368</v>
      </c>
      <c r="BM85" s="137">
        <f>_xll.xSPRDOPT(BW85,BV85,CG85,0,BY85,BX85,BZ85,AJ85,1,1)*CB85</f>
        <v>0.16003136968398068</v>
      </c>
      <c r="BN85" s="137">
        <f>IF(AH85&lt;&gt;0,_xll.xSPRDOPT($BW85,$BV85,$CG85,2*LN(1+CA85/2),$BY85,$BX85,$BZ85,$AJ85,1,8)+(AJ85/365.25)*CH85/AH85,0)</f>
        <v>0.36067155307348198</v>
      </c>
      <c r="BO85" s="137">
        <f>_xll.xSPRDOPT($BW85,$BV85,$CG85,0,$BY85,$BX85,$BZ85,$AJ85,1,0)</f>
        <v>1.2541334750481966E-2</v>
      </c>
      <c r="BP85" s="137"/>
      <c r="BQ85" s="137"/>
      <c r="BR85" s="137"/>
      <c r="BS85" s="137"/>
      <c r="BV85" s="262">
        <v>3.5798883602133929</v>
      </c>
      <c r="BW85" s="136">
        <v>3.5594999999999999</v>
      </c>
      <c r="BX85" s="137">
        <v>0.24163628961669423</v>
      </c>
      <c r="BY85" s="137">
        <v>0.24231216906198894</v>
      </c>
      <c r="BZ85" s="137">
        <v>0.9993663956927985</v>
      </c>
      <c r="CA85" s="137">
        <v>5.4389127555903201E-2</v>
      </c>
      <c r="CB85" s="137">
        <v>0.7511114837850088</v>
      </c>
      <c r="CC85" s="258">
        <v>-2.1000000000000001E-2</v>
      </c>
      <c r="CD85" s="258">
        <v>5.7500000000000002E-2</v>
      </c>
      <c r="CE85" s="258">
        <v>0.14499999999999999</v>
      </c>
      <c r="CF85" s="258">
        <v>-2.5000000000000001E-2</v>
      </c>
      <c r="CG85" s="258">
        <v>1.9200000000000002E-2</v>
      </c>
      <c r="CH85" s="258">
        <v>2.3322011571524524</v>
      </c>
      <c r="CI85" s="258">
        <v>3.4394999999999998</v>
      </c>
    </row>
    <row r="86" spans="1:87" x14ac:dyDescent="0.25">
      <c r="A86" s="723"/>
      <c r="B86" s="723"/>
      <c r="D86" s="31">
        <f t="shared" si="36"/>
        <v>39217</v>
      </c>
      <c r="F86" s="28">
        <f t="shared" si="37"/>
        <v>15000</v>
      </c>
      <c r="G86" s="28">
        <f t="shared" si="12"/>
        <v>11211.553004669344</v>
      </c>
      <c r="H86" s="52">
        <f t="shared" si="38"/>
        <v>3.5747389235617626</v>
      </c>
      <c r="I86" s="52">
        <f t="shared" si="39"/>
        <v>3.5345</v>
      </c>
      <c r="K86" s="52">
        <f t="shared" si="28"/>
        <v>0</v>
      </c>
      <c r="L86" s="135">
        <f t="shared" si="29"/>
        <v>0.17340423391091098</v>
      </c>
      <c r="N86" s="131">
        <f t="shared" si="30"/>
        <v>0.24235578565483928</v>
      </c>
      <c r="O86" s="131">
        <f t="shared" si="31"/>
        <v>0.24235578565483928</v>
      </c>
      <c r="P86" s="55">
        <f t="shared" si="32"/>
        <v>0.99945926669586749</v>
      </c>
      <c r="Q86" s="135">
        <f>_xll.xSPRDOPT(I86,H86,AQ86,0,O86,N86,P86,D86-$G$5,1,0)*AH86*AU86</f>
        <v>0.17340423391091098</v>
      </c>
      <c r="R86" s="135"/>
      <c r="S86" s="181">
        <f>_xll.xSPRDOPT(I86,H86,AQ86,AT86,O86,N86,P86,D86-$G$5,1,2)*AF86*(F86/(1-AR86))*AH86</f>
        <v>-48465.986375061148</v>
      </c>
      <c r="T86" s="181">
        <f>_xll.xSPRDOPT(I86,H86,AQ86,AT86,O86,N86,P86,D86-$G$5,1,1)*AF86*F86*AH86</f>
        <v>48564.432727453481</v>
      </c>
      <c r="U86" s="135"/>
      <c r="V86" s="146">
        <f t="shared" si="40"/>
        <v>2.3981511876987729</v>
      </c>
      <c r="W86" s="146"/>
      <c r="X86" s="338">
        <f t="shared" si="41"/>
        <v>0</v>
      </c>
      <c r="Y86" s="338">
        <f t="shared" si="13"/>
        <v>0</v>
      </c>
      <c r="Z86" s="338">
        <f t="shared" si="14"/>
        <v>-3.6924493351017351</v>
      </c>
      <c r="AA86" s="338">
        <f t="shared" si="15"/>
        <v>9.1686457088681561E-2</v>
      </c>
      <c r="AB86" s="338">
        <f t="shared" si="42"/>
        <v>0</v>
      </c>
      <c r="AC86" s="338">
        <f t="shared" si="43"/>
        <v>1.1653449595359828</v>
      </c>
      <c r="AF86" s="138">
        <f t="shared" si="44"/>
        <v>1</v>
      </c>
      <c r="AG86" s="138">
        <f t="shared" si="45"/>
        <v>5</v>
      </c>
      <c r="AH86" s="138">
        <f t="shared" ref="AH86:AH122" si="53">(EOMONTH(D86,0)-EOMONTH(D86-DAY(D86),0))*AF86</f>
        <v>31</v>
      </c>
      <c r="AI86" s="138">
        <f t="shared" si="46"/>
        <v>1961</v>
      </c>
      <c r="AJ86" s="138">
        <f t="shared" si="47"/>
        <v>1978</v>
      </c>
      <c r="AL86" s="136">
        <f t="shared" si="17"/>
        <v>3.4344999999999999</v>
      </c>
      <c r="AM86" s="258">
        <f t="shared" si="18"/>
        <v>-2.1000000000000001E-2</v>
      </c>
      <c r="AN86" s="258">
        <f t="shared" si="19"/>
        <v>5.7500000000000002E-2</v>
      </c>
      <c r="AO86" s="258">
        <f t="shared" si="20"/>
        <v>0.125</v>
      </c>
      <c r="AP86" s="258">
        <f t="shared" si="21"/>
        <v>-2.4999999999999998E-2</v>
      </c>
      <c r="AQ86" s="136">
        <f t="shared" si="48"/>
        <v>1.9200000000000002E-2</v>
      </c>
      <c r="AR86" s="137">
        <f t="shared" si="22"/>
        <v>2.9020000000000001E-2</v>
      </c>
      <c r="AS86" s="136">
        <f t="shared" si="33"/>
        <v>3.4710000000000001</v>
      </c>
      <c r="AT86" s="137">
        <f t="shared" si="34"/>
        <v>5.4567207631218001E-2</v>
      </c>
      <c r="AU86" s="137">
        <f t="shared" ref="AU86:AU122" si="54">(1+$AT86/2)^(-2*($D86-$G$5)/365.25)*$AF86</f>
        <v>0.7474368669779563</v>
      </c>
      <c r="AV86" s="394">
        <f t="shared" si="35"/>
        <v>10380.403208589858</v>
      </c>
      <c r="AW86" s="137">
        <f t="shared" si="24"/>
        <v>0.24</v>
      </c>
      <c r="AX86" s="137">
        <f t="shared" si="25"/>
        <v>0.45</v>
      </c>
      <c r="AY86" s="137">
        <f t="shared" si="26"/>
        <v>0.45</v>
      </c>
      <c r="AZ86" s="137"/>
      <c r="BA86" s="264"/>
      <c r="BB86" s="258">
        <f t="shared" si="27"/>
        <v>0</v>
      </c>
      <c r="BC86" s="258">
        <f t="shared" si="49"/>
        <v>0</v>
      </c>
      <c r="BD86" s="137">
        <f t="shared" si="50"/>
        <v>3.5529476572759844E-6</v>
      </c>
      <c r="BE86" s="137">
        <f t="shared" si="51"/>
        <v>3.5529476572759844E-6</v>
      </c>
      <c r="BF86" s="137">
        <f>_xll.xSPRDOPT($BW86,$BV86,$CG86,0,$BY86,$BX86,$BZ86,$AJ86,1,4)*$CB86</f>
        <v>1.4122044359531205</v>
      </c>
      <c r="BG86" s="137">
        <f>_xll.xSPRDOPT($BW86,$BV86,$CG86,0,$BY86,$BX86,$BZ86,$AJ86,1,3)*$CB86</f>
        <v>1.4593603135538831</v>
      </c>
      <c r="BH86" s="137">
        <f>IF(OR(BF86&lt;&gt;0,BG86&lt;&gt;0),_xll.xSPRDOPT($BW86,$BV86,$CG86,0,$BY86,$BX86,$BZ86,$AJ86,1,12)*$CB86,0)</f>
        <v>-1.4355834903698073</v>
      </c>
      <c r="BI86" s="137">
        <f>_xll.xSPRDOPT($BW86,$BV86,$CG86,2*LN(1+CA86/2),$BY86,$BX86,$BZ86,$AJ86,1,9)</f>
        <v>-9.6678646569599183E-4</v>
      </c>
      <c r="BJ86" s="137">
        <f>_xll.xSPRDOPT($BW86,$BV86,$CG86,0,$BY86,$BX86,$BZ86,$AJ86,1,6)*$CB86</f>
        <v>-0.21685160853018234</v>
      </c>
      <c r="BK86" s="137">
        <f>_xll.xSPRDOPT($BW86,$BV86,$CG86,0,$BY86,$BX86,$BZ86,$AJ86,1,5)*$CB86</f>
        <v>0.27234783182269534</v>
      </c>
      <c r="BL86" s="137">
        <f>_xll.xSPRDOPT(BW86,BV86,CG86,0,BY86,BX86,BZ86,AJ86,1,2)*CB86</f>
        <v>-0.10147026627445258</v>
      </c>
      <c r="BM86" s="137">
        <f>_xll.xSPRDOPT(BW86,BV86,CG86,0,BY86,BX86,BZ86,AJ86,1,1)*CB86</f>
        <v>0.10471668933707681</v>
      </c>
      <c r="BN86" s="137">
        <f>IF(AH86&lt;&gt;0,_xll.xSPRDOPT($BW86,$BV86,$CG86,2*LN(1+CA86/2),$BY86,$BX86,$BZ86,$AJ86,1,8)+(AJ86/365.25)*CH86/AH86,0)</f>
        <v>0.3910916917589865</v>
      </c>
      <c r="BO86" s="137">
        <f>_xll.xSPRDOPT($BW86,$BV86,$CG86,0,$BY86,$BX86,$BZ86,$AJ86,1,0)</f>
        <v>7.4843883166718084E-3</v>
      </c>
      <c r="BP86" s="137"/>
      <c r="BQ86" s="137"/>
      <c r="BR86" s="137"/>
      <c r="BS86" s="137"/>
      <c r="BV86" s="262">
        <v>3.5747389235617626</v>
      </c>
      <c r="BW86" s="136">
        <v>3.5345</v>
      </c>
      <c r="BX86" s="137">
        <v>0.24235223270718201</v>
      </c>
      <c r="BY86" s="137">
        <v>0.24235223270718201</v>
      </c>
      <c r="BZ86" s="137">
        <v>0.99946007036502349</v>
      </c>
      <c r="CA86" s="137">
        <v>5.4567207631218001E-2</v>
      </c>
      <c r="CB86" s="137">
        <v>0.7471064343152839</v>
      </c>
      <c r="CC86" s="258">
        <v>-2.1000000000000001E-2</v>
      </c>
      <c r="CD86" s="258">
        <v>5.7500000000000002E-2</v>
      </c>
      <c r="CE86" s="258">
        <v>0.125</v>
      </c>
      <c r="CF86" s="258">
        <v>-2.5000000000000001E-2</v>
      </c>
      <c r="CG86" s="258">
        <v>1.9200000000000002E-2</v>
      </c>
      <c r="CH86" s="258">
        <v>2.3970909945005885</v>
      </c>
      <c r="CI86" s="258">
        <v>3.4344999999999999</v>
      </c>
    </row>
    <row r="87" spans="1:87" x14ac:dyDescent="0.25">
      <c r="A87" s="723"/>
      <c r="B87" s="723"/>
      <c r="D87" s="31">
        <f t="shared" si="36"/>
        <v>39248</v>
      </c>
      <c r="F87" s="28">
        <f t="shared" si="37"/>
        <v>15000</v>
      </c>
      <c r="G87" s="28">
        <f t="shared" si="12"/>
        <v>11149.467742006373</v>
      </c>
      <c r="H87" s="52">
        <f t="shared" si="38"/>
        <v>3.6107849801231748</v>
      </c>
      <c r="I87" s="52">
        <f t="shared" si="39"/>
        <v>3.5895000000000001</v>
      </c>
      <c r="K87" s="52">
        <f t="shared" ref="K87:K122" si="55">MAX(((I87-H87)-AQ87)*AU87*AH87,0)</f>
        <v>0</v>
      </c>
      <c r="L87" s="135">
        <f t="shared" ref="L87:L122" si="56">MAX(Q87-K87,0)</f>
        <v>0.32973471285124289</v>
      </c>
      <c r="N87" s="131">
        <f t="shared" ref="N87:N122" si="57">SQRT(($AX87^2*($AH87/2)+$AW87^2*$AI87)/(($AH87/2)+$AI87))</f>
        <v>0.24224565969539186</v>
      </c>
      <c r="O87" s="131">
        <f t="shared" ref="O87:O122" si="58">SQRT(($AY87^2*($AH87/2)+$AW87^2*$AI87)/(($AH87/2)+$AI87))</f>
        <v>0.24297729753023667</v>
      </c>
      <c r="P87" s="55">
        <f t="shared" ref="P87:P122" si="59">(VLOOKUP(AI87,CorrelationTwo,2)*(AW87^2)*AI87+VLOOKUP(D87,CorrelationOne,$AK$9)*AX87*AY87*(AH87/2))/((AI87+(AH87/2))*O87*N87)*AF87</f>
        <v>0.9992744342514075</v>
      </c>
      <c r="Q87" s="135">
        <f>_xll.xSPRDOPT(I87,H87,AQ87,0,O87,N87,P87,D87-$G$5,1,0)*AH87*AU87</f>
        <v>0.32973471285124289</v>
      </c>
      <c r="R87" s="135"/>
      <c r="S87" s="181">
        <f>_xll.xSPRDOPT(I87,H87,AQ87,AT87,O87,N87,P87,D87-$G$5,1,2)*AF87*(F87/(1-AR87))*AH87</f>
        <v>-81610.374606821904</v>
      </c>
      <c r="T87" s="181">
        <f>_xll.xSPRDOPT(I87,H87,AQ87,AT87,O87,N87,P87,D87-$G$5,1,1)*AF87*F87*AH87</f>
        <v>81463.642540367888</v>
      </c>
      <c r="U87" s="135"/>
      <c r="V87" s="146">
        <f t="shared" si="40"/>
        <v>2.3079398225953192</v>
      </c>
      <c r="W87" s="146"/>
      <c r="X87" s="338">
        <f t="shared" si="41"/>
        <v>0</v>
      </c>
      <c r="Y87" s="338">
        <f t="shared" si="13"/>
        <v>0</v>
      </c>
      <c r="Z87" s="338">
        <f t="shared" si="14"/>
        <v>-4.6927184680922185</v>
      </c>
      <c r="AA87" s="338">
        <f t="shared" si="15"/>
        <v>0.36564684672039854</v>
      </c>
      <c r="AB87" s="338">
        <f t="shared" si="42"/>
        <v>0</v>
      </c>
      <c r="AC87" s="338">
        <f t="shared" si="43"/>
        <v>2.2226591422788182</v>
      </c>
      <c r="AF87" s="138">
        <f t="shared" si="44"/>
        <v>1</v>
      </c>
      <c r="AG87" s="138">
        <f t="shared" si="45"/>
        <v>6</v>
      </c>
      <c r="AH87" s="138">
        <f t="shared" si="53"/>
        <v>30</v>
      </c>
      <c r="AI87" s="138">
        <f t="shared" si="46"/>
        <v>1992</v>
      </c>
      <c r="AJ87" s="138">
        <f t="shared" si="47"/>
        <v>2009</v>
      </c>
      <c r="AL87" s="136">
        <f t="shared" si="17"/>
        <v>3.4695</v>
      </c>
      <c r="AM87" s="258">
        <f t="shared" si="18"/>
        <v>-2.1000000000000001E-2</v>
      </c>
      <c r="AN87" s="258">
        <f t="shared" si="19"/>
        <v>5.7500000000000002E-2</v>
      </c>
      <c r="AO87" s="258">
        <f t="shared" si="20"/>
        <v>0.14499999999999999</v>
      </c>
      <c r="AP87" s="258">
        <f t="shared" si="21"/>
        <v>-2.4999999999999998E-2</v>
      </c>
      <c r="AQ87" s="136">
        <f t="shared" si="48"/>
        <v>1.9200000000000002E-2</v>
      </c>
      <c r="AR87" s="137">
        <f t="shared" si="22"/>
        <v>2.9020000000000001E-2</v>
      </c>
      <c r="AS87" s="136">
        <f t="shared" ref="AS87:AS122" si="60">(AL87+AM87+AN87)</f>
        <v>3.5060000000000002</v>
      </c>
      <c r="AT87" s="137">
        <f t="shared" ref="AT87:AT122" si="61">VLOOKUP(D87,CurveTbl,$AK$6)</f>
        <v>5.4751223720142399E-2</v>
      </c>
      <c r="AU87" s="137">
        <f t="shared" si="54"/>
        <v>0.74329784946709154</v>
      </c>
      <c r="AV87" s="394">
        <f t="shared" ref="AV87:AV122" si="62">ROUND((F87/(1-AR87))-F87,0)*AF87*AH87*AU87</f>
        <v>9989.9230968377105</v>
      </c>
      <c r="AW87" s="137">
        <f t="shared" si="24"/>
        <v>0.24</v>
      </c>
      <c r="AX87" s="137">
        <f t="shared" si="25"/>
        <v>0.45</v>
      </c>
      <c r="AY87" s="137">
        <f t="shared" si="26"/>
        <v>0.5</v>
      </c>
      <c r="AZ87" s="137"/>
      <c r="BA87" s="264"/>
      <c r="BB87" s="258">
        <f t="shared" si="27"/>
        <v>0</v>
      </c>
      <c r="BC87" s="258">
        <f t="shared" si="49"/>
        <v>0</v>
      </c>
      <c r="BD87" s="137">
        <f t="shared" si="50"/>
        <v>3.3362182957075159E-6</v>
      </c>
      <c r="BE87" s="137">
        <f t="shared" si="51"/>
        <v>4.4165424145370391E-6</v>
      </c>
      <c r="BF87" s="137">
        <f>_xll.xSPRDOPT($BW87,$BV87,$CG87,0,$BY87,$BX87,$BZ87,$AJ87,1,4)*$CB87</f>
        <v>2.0759526045032861</v>
      </c>
      <c r="BG87" s="137">
        <f>_xll.xSPRDOPT($BW87,$BV87,$CG87,0,$BY87,$BX87,$BZ87,$AJ87,1,3)*$CB87</f>
        <v>2.1218201175834821</v>
      </c>
      <c r="BH87" s="137">
        <f>IF(OR(BF87&lt;&gt;0,BG87&lt;&gt;0),_xll.xSPRDOPT($BW87,$BV87,$CG87,0,$BY87,$BX87,$BZ87,$AJ87,1,12)*$CB87,0)</f>
        <v>-2.0987528680449925</v>
      </c>
      <c r="BI87" s="137">
        <f>_xll.xSPRDOPT($BW87,$BV87,$CG87,2*LN(1+CA87/2),$BY87,$BX87,$BZ87,$AJ87,1,9)</f>
        <v>-1.2696410522005058E-3</v>
      </c>
      <c r="BJ87" s="137">
        <f>_xll.xSPRDOPT($BW87,$BV87,$CG87,0,$BY87,$BX87,$BZ87,$AJ87,1,6)*$CB87</f>
        <v>-0.40607989384952142</v>
      </c>
      <c r="BK87" s="137">
        <f>_xll.xSPRDOPT($BW87,$BV87,$CG87,0,$BY87,$BX87,$BZ87,$AJ87,1,5)*$CB87</f>
        <v>0.49072770421349599</v>
      </c>
      <c r="BL87" s="137">
        <f>_xll.xSPRDOPT(BW87,BV87,CG87,0,BY87,BX87,BZ87,AJ87,1,2)*CB87</f>
        <v>-0.17653053373235328</v>
      </c>
      <c r="BM87" s="137">
        <f>_xll.xSPRDOPT(BW87,BV87,CG87,0,BY87,BX87,BZ87,AJ87,1,1)*CB87</f>
        <v>0.18148227624408153</v>
      </c>
      <c r="BN87" s="137">
        <f>IF(AH87&lt;&gt;0,_xll.xSPRDOPT($BW87,$BV87,$CG87,2*LN(1+CA87/2),$BY87,$BX87,$BZ87,$AJ87,1,8)+(AJ87/365.25)*CH87/AH87,0)</f>
        <v>0.35911832235699903</v>
      </c>
      <c r="BO87" s="137">
        <f>_xll.xSPRDOPT($BW87,$BV87,$CG87,0,$BY87,$BX87,$BZ87,$AJ87,1,0)</f>
        <v>1.4783092465709458E-2</v>
      </c>
      <c r="BP87" s="137"/>
      <c r="BQ87" s="137"/>
      <c r="BR87" s="137"/>
      <c r="BS87" s="137"/>
      <c r="BV87" s="262">
        <v>3.6107849801231748</v>
      </c>
      <c r="BW87" s="136">
        <v>3.5895000000000001</v>
      </c>
      <c r="BX87" s="137">
        <v>0.24224232347709615</v>
      </c>
      <c r="BY87" s="137">
        <v>0.24297288098782213</v>
      </c>
      <c r="BZ87" s="137">
        <v>0.99927548740641725</v>
      </c>
      <c r="CA87" s="137">
        <v>5.4751223720142399E-2</v>
      </c>
      <c r="CB87" s="137">
        <v>0.74296815354434165</v>
      </c>
      <c r="CC87" s="258">
        <v>-2.1000000000000001E-2</v>
      </c>
      <c r="CD87" s="258">
        <v>5.7500000000000002E-2</v>
      </c>
      <c r="CE87" s="258">
        <v>0.14499999999999999</v>
      </c>
      <c r="CF87" s="258">
        <v>-2.5000000000000001E-2</v>
      </c>
      <c r="CG87" s="258">
        <v>1.9200000000000002E-2</v>
      </c>
      <c r="CH87" s="258">
        <v>2.3069161167551808</v>
      </c>
      <c r="CI87" s="258">
        <v>3.4695</v>
      </c>
    </row>
    <row r="88" spans="1:87" x14ac:dyDescent="0.25">
      <c r="A88" s="723"/>
      <c r="B88" s="723"/>
      <c r="D88" s="31">
        <f t="shared" ref="D88:D122" si="63">D87+AH87</f>
        <v>39278</v>
      </c>
      <c r="F88" s="28">
        <f t="shared" ref="F88:F122" si="64">VLOOKUP(AG88,$AL$4:$AS$15,2)</f>
        <v>15000</v>
      </c>
      <c r="G88" s="28">
        <f t="shared" si="12"/>
        <v>11089.392500169257</v>
      </c>
      <c r="H88" s="52">
        <f t="shared" ref="H88:H122" si="65">(AL88+AM88+AN88)/(1-(AR88))</f>
        <v>3.6519804733362173</v>
      </c>
      <c r="I88" s="52">
        <f t="shared" ref="I88:I122" si="66">(AL88+AO88+AP88)</f>
        <v>3.6345000000000001</v>
      </c>
      <c r="K88" s="52">
        <f t="shared" si="55"/>
        <v>0</v>
      </c>
      <c r="L88" s="135">
        <f t="shared" si="56"/>
        <v>0.3255950114214427</v>
      </c>
      <c r="N88" s="131">
        <f t="shared" si="57"/>
        <v>0.24303015541639639</v>
      </c>
      <c r="O88" s="131">
        <f t="shared" si="58"/>
        <v>0.24303015541639639</v>
      </c>
      <c r="P88" s="55">
        <f t="shared" si="59"/>
        <v>0.99935600313107131</v>
      </c>
      <c r="Q88" s="135">
        <f>_xll.xSPRDOPT(I88,H88,AQ88,0,O88,N88,P88,D88-$G$5,1,0)*AH88*AU88</f>
        <v>0.3255950114214427</v>
      </c>
      <c r="R88" s="135"/>
      <c r="S88" s="181">
        <f>_xll.xSPRDOPT(I88,H88,AQ88,AT88,O88,N88,P88,D88-$G$5,1,2)*AF88*(F88/(1-AR88))*AH88</f>
        <v>-78122.190032869941</v>
      </c>
      <c r="T88" s="181">
        <f>_xll.xSPRDOPT(I88,H88,AQ88,AT88,O88,N88,P88,D88-$G$5,1,1)*AF88*F88*AH88</f>
        <v>77932.367856286466</v>
      </c>
      <c r="U88" s="135"/>
      <c r="V88" s="146">
        <f t="shared" ref="V88:V122" si="67">VLOOKUP($AG88,$AL$4:$AS$15,8)*AH88*AU88</f>
        <v>2.3720210557862043</v>
      </c>
      <c r="W88" s="146"/>
      <c r="X88" s="338">
        <f t="shared" ref="X88:X122" si="68">((BM88*BC88)+(BL88*BB88))*AH88*F88</f>
        <v>0</v>
      </c>
      <c r="Y88" s="338">
        <f t="shared" si="13"/>
        <v>0</v>
      </c>
      <c r="Z88" s="338">
        <f t="shared" si="14"/>
        <v>-4.4770969718365636</v>
      </c>
      <c r="AA88" s="338">
        <f t="shared" si="15"/>
        <v>0.1692445502113881</v>
      </c>
      <c r="AB88" s="338">
        <f t="shared" ref="AB88:AB122" si="69">BN88*(AT88-CA88)*F88*AH88</f>
        <v>0</v>
      </c>
      <c r="AC88" s="338">
        <f t="shared" ref="AC88:AC122" si="70">BO88*CB88*F88*AH88*CA88*($G$5-$BV$5)/365.25</f>
        <v>2.2018169768814593</v>
      </c>
      <c r="AF88" s="138">
        <f t="shared" ref="AF88:AF122" si="71">IF(AND(D88&gt;=$G$7,D88&lt;=$G$8),1,0)</f>
        <v>1</v>
      </c>
      <c r="AG88" s="138">
        <f t="shared" ref="AG88:AG122" si="72">MONTH(D88)</f>
        <v>7</v>
      </c>
      <c r="AH88" s="138">
        <f t="shared" si="53"/>
        <v>31</v>
      </c>
      <c r="AI88" s="138">
        <f t="shared" ref="AI88:AI122" si="73">AI87+AH87</f>
        <v>2022</v>
      </c>
      <c r="AJ88" s="138">
        <f t="shared" ref="AJ88:AJ122" si="74">D88-$BV$5</f>
        <v>2039</v>
      </c>
      <c r="AL88" s="136">
        <f t="shared" si="17"/>
        <v>3.5095000000000001</v>
      </c>
      <c r="AM88" s="258">
        <f t="shared" si="18"/>
        <v>-2.1000000000000001E-2</v>
      </c>
      <c r="AN88" s="258">
        <f t="shared" si="19"/>
        <v>5.7500000000000002E-2</v>
      </c>
      <c r="AO88" s="258">
        <f t="shared" si="20"/>
        <v>0.15</v>
      </c>
      <c r="AP88" s="258">
        <f t="shared" si="21"/>
        <v>-2.4999999999999998E-2</v>
      </c>
      <c r="AQ88" s="136">
        <f t="shared" ref="AQ88:AQ122" si="75">VLOOKUP($AG88,$AL$4:$AS$15,3)+VLOOKUP($AG88,$AL$4:$AS$15,5)+($AH$10*VLOOKUP(D88,GRITable,2))</f>
        <v>1.9200000000000002E-2</v>
      </c>
      <c r="AR88" s="137">
        <f t="shared" si="22"/>
        <v>2.9020000000000001E-2</v>
      </c>
      <c r="AS88" s="136">
        <f t="shared" si="60"/>
        <v>3.5460000000000003</v>
      </c>
      <c r="AT88" s="137">
        <f t="shared" si="61"/>
        <v>5.4929303816937801E-2</v>
      </c>
      <c r="AU88" s="137">
        <f t="shared" si="54"/>
        <v>0.73929283334461715</v>
      </c>
      <c r="AV88" s="394">
        <f t="shared" si="62"/>
        <v>10267.298869490043</v>
      </c>
      <c r="AW88" s="137">
        <f t="shared" si="24"/>
        <v>0.24</v>
      </c>
      <c r="AX88" s="137">
        <f t="shared" si="25"/>
        <v>0.5</v>
      </c>
      <c r="AY88" s="137">
        <f t="shared" si="26"/>
        <v>0.5</v>
      </c>
      <c r="AZ88" s="137"/>
      <c r="BA88" s="264"/>
      <c r="BB88" s="258">
        <f t="shared" si="27"/>
        <v>0</v>
      </c>
      <c r="BC88" s="258">
        <f t="shared" ref="BC88:BC122" si="76">I88-BW88</f>
        <v>0</v>
      </c>
      <c r="BD88" s="137">
        <f t="shared" ref="BD88:BD122" si="77">N88-BX88</f>
        <v>4.4272862194938423E-6</v>
      </c>
      <c r="BE88" s="137">
        <f t="shared" ref="BE88:BE122" si="78">O88-BY88</f>
        <v>4.4272862194938423E-6</v>
      </c>
      <c r="BF88" s="137">
        <f>_xll.xSPRDOPT($BW88,$BV88,$CG88,0,$BY88,$BX88,$BZ88,$AJ88,1,4)*$CB88</f>
        <v>1.8467915720765413</v>
      </c>
      <c r="BG88" s="137">
        <f>_xll.xSPRDOPT($BW88,$BV88,$CG88,0,$BY88,$BX88,$BZ88,$AJ88,1,3)*$CB88</f>
        <v>1.8836133316580133</v>
      </c>
      <c r="BH88" s="137">
        <f>IF(OR(BF88&lt;&gt;0,BG88&lt;&gt;0),_xll.xSPRDOPT($BW88,$BV88,$CG88,0,$BY88,$BX88,$BZ88,$AJ88,1,12)*$CB88,0)</f>
        <v>-1.8651038215093751</v>
      </c>
      <c r="BI88" s="137">
        <f>_xll.xSPRDOPT($BW88,$BV88,$CG88,2*LN(1+CA88/2),$BY88,$BX88,$BZ88,$AJ88,1,9)</f>
        <v>-1.1722291533787131E-3</v>
      </c>
      <c r="BJ88" s="137">
        <f>_xll.xSPRDOPT($BW88,$BV88,$CG88,0,$BY88,$BX88,$BZ88,$AJ88,1,6)*$CB88</f>
        <v>-0.26911985125770826</v>
      </c>
      <c r="BK88" s="137">
        <f>_xll.xSPRDOPT($BW88,$BV88,$CG88,0,$BY88,$BX88,$BZ88,$AJ88,1,5)*$CB88</f>
        <v>0.35132975515901005</v>
      </c>
      <c r="BL88" s="137">
        <f>_xll.xSPRDOPT(BW88,BV88,CG88,0,BY88,BX88,BZ88,AJ88,1,2)*CB88</f>
        <v>-0.16354407733299109</v>
      </c>
      <c r="BM88" s="137">
        <f>_xll.xSPRDOPT(BW88,BV88,CG88,0,BY88,BX88,BZ88,AJ88,1,1)*CB88</f>
        <v>0.16802511292887098</v>
      </c>
      <c r="BN88" s="137">
        <f>IF(AH88&lt;&gt;0,_xll.xSPRDOPT($BW88,$BV88,$CG88,2*LN(1+CA88/2),$BY88,$BX88,$BZ88,$AJ88,1,8)+(AJ88/365.25)*CH88/AH88,0)</f>
        <v>0.36337673966272843</v>
      </c>
      <c r="BO88" s="137">
        <f>_xll.xSPRDOPT($BW88,$BV88,$CG88,0,$BY88,$BX88,$BZ88,$AJ88,1,0)</f>
        <v>1.4202668092534398E-2</v>
      </c>
      <c r="BP88" s="137"/>
      <c r="BQ88" s="137"/>
      <c r="BR88" s="137"/>
      <c r="BS88" s="137"/>
      <c r="BV88" s="262">
        <v>3.6519804733362173</v>
      </c>
      <c r="BW88" s="136">
        <v>3.6345000000000001</v>
      </c>
      <c r="BX88" s="137">
        <v>0.24302572813017689</v>
      </c>
      <c r="BY88" s="137">
        <v>0.24302572813017689</v>
      </c>
      <c r="BZ88" s="137">
        <v>0.99935692652366914</v>
      </c>
      <c r="CA88" s="137">
        <v>5.4929303816937801E-2</v>
      </c>
      <c r="CB88" s="137">
        <v>0.73896386186516361</v>
      </c>
      <c r="CC88" s="258">
        <v>-2.1000000000000001E-2</v>
      </c>
      <c r="CD88" s="258">
        <v>5.7500000000000002E-2</v>
      </c>
      <c r="CE88" s="258">
        <v>0.15</v>
      </c>
      <c r="CF88" s="258">
        <v>-2.5000000000000001E-2</v>
      </c>
      <c r="CG88" s="258">
        <v>1.9200000000000002E-2</v>
      </c>
      <c r="CH88" s="258">
        <v>2.3709655507943772</v>
      </c>
      <c r="CI88" s="258">
        <v>3.5095000000000001</v>
      </c>
    </row>
    <row r="89" spans="1:87" x14ac:dyDescent="0.25">
      <c r="A89" s="723"/>
      <c r="B89" s="723"/>
      <c r="D89" s="31">
        <f t="shared" si="63"/>
        <v>39309</v>
      </c>
      <c r="F89" s="28">
        <f t="shared" si="64"/>
        <v>15000</v>
      </c>
      <c r="G89" s="28">
        <f t="shared" si="12"/>
        <v>11027.325918496423</v>
      </c>
      <c r="H89" s="52">
        <f t="shared" si="65"/>
        <v>3.6931759665492598</v>
      </c>
      <c r="I89" s="52">
        <f t="shared" si="66"/>
        <v>3.6745000000000001</v>
      </c>
      <c r="K89" s="52">
        <f t="shared" si="55"/>
        <v>0</v>
      </c>
      <c r="L89" s="135">
        <f t="shared" si="56"/>
        <v>0.38948521632423966</v>
      </c>
      <c r="N89" s="131">
        <f t="shared" si="57"/>
        <v>0.24379319528881896</v>
      </c>
      <c r="O89" s="131">
        <f t="shared" si="58"/>
        <v>0.24379319528881896</v>
      </c>
      <c r="P89" s="55">
        <f t="shared" si="59"/>
        <v>0.9992372391595844</v>
      </c>
      <c r="Q89" s="135">
        <f>_xll.xSPRDOPT(I89,H89,AQ89,0,O89,N89,P89,D89-$G$5,1,0)*AH89*AU89</f>
        <v>0.38948521632423966</v>
      </c>
      <c r="R89" s="135"/>
      <c r="S89" s="181">
        <f>_xll.xSPRDOPT(I89,H89,AQ89,AT89,O89,N89,P89,D89-$G$5,1,2)*AF89*(F89/(1-AR89))*AH89</f>
        <v>-91586.467165779017</v>
      </c>
      <c r="T89" s="181">
        <f>_xll.xSPRDOPT(I89,H89,AQ89,AT89,O89,N89,P89,D89-$G$5,1,1)*AF89*F89*AH89</f>
        <v>91397.698638180431</v>
      </c>
      <c r="U89" s="135"/>
      <c r="V89" s="146">
        <f t="shared" si="67"/>
        <v>2.3587450139663848</v>
      </c>
      <c r="W89" s="146"/>
      <c r="X89" s="338">
        <f t="shared" si="68"/>
        <v>0</v>
      </c>
      <c r="Y89" s="338">
        <f t="shared" si="13"/>
        <v>0</v>
      </c>
      <c r="Z89" s="338">
        <f t="shared" si="14"/>
        <v>-4.7964937781772869</v>
      </c>
      <c r="AA89" s="338">
        <f t="shared" si="15"/>
        <v>0.23284376409865878</v>
      </c>
      <c r="AB89" s="338">
        <f t="shared" si="69"/>
        <v>0</v>
      </c>
      <c r="AC89" s="338">
        <f t="shared" si="70"/>
        <v>2.6427203232059204</v>
      </c>
      <c r="AF89" s="138">
        <f t="shared" si="71"/>
        <v>1</v>
      </c>
      <c r="AG89" s="138">
        <f t="shared" si="72"/>
        <v>8</v>
      </c>
      <c r="AH89" s="138">
        <f t="shared" si="53"/>
        <v>31</v>
      </c>
      <c r="AI89" s="138">
        <f t="shared" si="73"/>
        <v>2053</v>
      </c>
      <c r="AJ89" s="138">
        <f t="shared" si="74"/>
        <v>2070</v>
      </c>
      <c r="AL89" s="136">
        <f t="shared" si="17"/>
        <v>3.5495000000000001</v>
      </c>
      <c r="AM89" s="258">
        <f t="shared" si="18"/>
        <v>-2.1000000000000001E-2</v>
      </c>
      <c r="AN89" s="258">
        <f t="shared" si="19"/>
        <v>5.7500000000000002E-2</v>
      </c>
      <c r="AO89" s="258">
        <f t="shared" si="20"/>
        <v>0.15</v>
      </c>
      <c r="AP89" s="258">
        <f t="shared" si="21"/>
        <v>-2.4999999999999998E-2</v>
      </c>
      <c r="AQ89" s="136">
        <f t="shared" si="75"/>
        <v>1.9200000000000002E-2</v>
      </c>
      <c r="AR89" s="137">
        <f t="shared" si="22"/>
        <v>2.9020000000000001E-2</v>
      </c>
      <c r="AS89" s="136">
        <f t="shared" si="60"/>
        <v>3.5860000000000003</v>
      </c>
      <c r="AT89" s="137">
        <f t="shared" si="61"/>
        <v>5.5113319928056501E-2</v>
      </c>
      <c r="AU89" s="137">
        <f t="shared" si="54"/>
        <v>0.73515506123309482</v>
      </c>
      <c r="AV89" s="394">
        <f t="shared" si="62"/>
        <v>10209.833490405221</v>
      </c>
      <c r="AW89" s="137">
        <f t="shared" si="24"/>
        <v>0.24</v>
      </c>
      <c r="AX89" s="137">
        <f t="shared" si="25"/>
        <v>0.55000000000000004</v>
      </c>
      <c r="AY89" s="137">
        <f t="shared" si="26"/>
        <v>0.55000000000000004</v>
      </c>
      <c r="AZ89" s="137"/>
      <c r="BA89" s="264"/>
      <c r="BB89" s="258">
        <f t="shared" si="27"/>
        <v>0</v>
      </c>
      <c r="BC89" s="258">
        <f t="shared" si="76"/>
        <v>0</v>
      </c>
      <c r="BD89" s="137">
        <f t="shared" si="77"/>
        <v>5.4507285572880093E-6</v>
      </c>
      <c r="BE89" s="137">
        <f t="shared" si="78"/>
        <v>5.4507285572880093E-6</v>
      </c>
      <c r="BF89" s="137">
        <f>_xll.xSPRDOPT($BW89,$BV89,$CG89,0,$BY89,$BX89,$BZ89,$AJ89,1,4)*$CB89</f>
        <v>2.1248226203477438</v>
      </c>
      <c r="BG89" s="137">
        <f>_xll.xSPRDOPT($BW89,$BV89,$CG89,0,$BY89,$BX89,$BZ89,$AJ89,1,3)*$CB89</f>
        <v>2.1681133491728097</v>
      </c>
      <c r="BH89" s="137">
        <f>IF(OR(BF89&lt;&gt;0,BG89&lt;&gt;0),_xll.xSPRDOPT($BW89,$BV89,$CG89,0,$BY89,$BX89,$BZ89,$AJ89,1,12)*$CB89,0)</f>
        <v>-2.1463500151681005</v>
      </c>
      <c r="BI89" s="137">
        <f>_xll.xSPRDOPT($BW89,$BV89,$CG89,2*LN(1+CA89/2),$BY89,$BX89,$BZ89,$AJ89,1,9)</f>
        <v>-1.2558561666517951E-3</v>
      </c>
      <c r="BJ89" s="137">
        <f>_xll.xSPRDOPT($BW89,$BV89,$CG89,0,$BY89,$BX89,$BZ89,$AJ89,1,6)*$CB89</f>
        <v>-0.24679360995382357</v>
      </c>
      <c r="BK89" s="137">
        <f>_xll.xSPRDOPT($BW89,$BV89,$CG89,0,$BY89,$BX89,$BZ89,$AJ89,1,5)*$CB89</f>
        <v>0.33866009575818462</v>
      </c>
      <c r="BL89" s="137">
        <f>_xll.xSPRDOPT(BW89,BV89,CG89,0,BY89,BX89,BZ89,AJ89,1,2)*CB89</f>
        <v>-0.1917532079311601</v>
      </c>
      <c r="BM89" s="137">
        <f>_xll.xSPRDOPT(BW89,BV89,CG89,0,BY89,BX89,BZ89,AJ89,1,1)*CB89</f>
        <v>0.19707994718794131</v>
      </c>
      <c r="BN89" s="137">
        <f>IF(AH89&lt;&gt;0,_xll.xSPRDOPT($BW89,$BV89,$CG89,2*LN(1+CA89/2),$BY89,$BX89,$BZ89,$AJ89,1,8)+(AJ89/365.25)*CH89/AH89,0)</f>
        <v>0.35597178641047489</v>
      </c>
      <c r="BO89" s="137">
        <f>_xll.xSPRDOPT($BW89,$BV89,$CG89,0,$BY89,$BX89,$BZ89,$AJ89,1,0)</f>
        <v>1.7085418922422616E-2</v>
      </c>
      <c r="BP89" s="137"/>
      <c r="BQ89" s="137"/>
      <c r="BR89" s="137"/>
      <c r="BS89" s="137"/>
      <c r="BV89" s="262">
        <v>3.6931759665492598</v>
      </c>
      <c r="BW89" s="136">
        <v>3.6745000000000001</v>
      </c>
      <c r="BX89" s="137">
        <v>0.24378774456026167</v>
      </c>
      <c r="BY89" s="137">
        <v>0.24378774456026167</v>
      </c>
      <c r="BZ89" s="137">
        <v>0.9992383097502443</v>
      </c>
      <c r="CA89" s="137">
        <v>5.5113319928056501E-2</v>
      </c>
      <c r="CB89" s="137">
        <v>0.73482685008391269</v>
      </c>
      <c r="CC89" s="258">
        <v>-2.1000000000000001E-2</v>
      </c>
      <c r="CD89" s="258">
        <v>5.7500000000000002E-2</v>
      </c>
      <c r="CE89" s="258">
        <v>0.15</v>
      </c>
      <c r="CF89" s="258">
        <v>-2.5000000000000001E-2</v>
      </c>
      <c r="CG89" s="258">
        <v>1.9200000000000002E-2</v>
      </c>
      <c r="CH89" s="258">
        <v>2.3576919484942338</v>
      </c>
      <c r="CI89" s="258">
        <v>3.5495000000000001</v>
      </c>
    </row>
    <row r="90" spans="1:87" x14ac:dyDescent="0.25">
      <c r="A90" s="723"/>
      <c r="B90" s="723"/>
      <c r="D90" s="31">
        <f t="shared" si="63"/>
        <v>39340</v>
      </c>
      <c r="F90" s="28">
        <f t="shared" si="64"/>
        <v>15000</v>
      </c>
      <c r="G90" s="28">
        <f t="shared" si="12"/>
        <v>10965.27438118606</v>
      </c>
      <c r="H90" s="52">
        <f t="shared" si="65"/>
        <v>3.6880265298976296</v>
      </c>
      <c r="I90" s="52">
        <f t="shared" si="66"/>
        <v>3.6445000000000003</v>
      </c>
      <c r="K90" s="52">
        <f t="shared" si="55"/>
        <v>0</v>
      </c>
      <c r="L90" s="135">
        <f t="shared" si="56"/>
        <v>0.31575223461088342</v>
      </c>
      <c r="N90" s="131">
        <f t="shared" si="57"/>
        <v>0.24361879874988177</v>
      </c>
      <c r="O90" s="131">
        <f t="shared" si="58"/>
        <v>0.24446069021717548</v>
      </c>
      <c r="P90" s="55">
        <f t="shared" si="59"/>
        <v>0.99906399889650233</v>
      </c>
      <c r="Q90" s="135">
        <f>_xll.xSPRDOPT(I90,H90,AQ90,0,O90,N90,P90,D90-$G$5,1,0)*AH90*AU90</f>
        <v>0.31575223461088342</v>
      </c>
      <c r="R90" s="135"/>
      <c r="S90" s="181">
        <f>_xll.xSPRDOPT(I90,H90,AQ90,AT90,O90,N90,P90,D90-$G$5,1,2)*AF90*(F90/(1-AR90))*AH90</f>
        <v>-81031.114281084694</v>
      </c>
      <c r="T90" s="181">
        <f>_xll.xSPRDOPT(I90,H90,AQ90,AT90,O90,N90,P90,D90-$G$5,1,1)*AF90*F90*AH90</f>
        <v>81276.077344360077</v>
      </c>
      <c r="U90" s="135"/>
      <c r="V90" s="146">
        <f t="shared" si="67"/>
        <v>2.2698117969055143</v>
      </c>
      <c r="W90" s="146"/>
      <c r="X90" s="338">
        <f t="shared" si="68"/>
        <v>0</v>
      </c>
      <c r="Y90" s="338">
        <f t="shared" si="13"/>
        <v>0</v>
      </c>
      <c r="Z90" s="338">
        <f t="shared" si="14"/>
        <v>-5.0085203432533714</v>
      </c>
      <c r="AA90" s="338">
        <f t="shared" si="15"/>
        <v>0.43465741819357334</v>
      </c>
      <c r="AB90" s="338">
        <f t="shared" si="69"/>
        <v>0</v>
      </c>
      <c r="AC90" s="338">
        <f t="shared" si="70"/>
        <v>2.1502310330828642</v>
      </c>
      <c r="AF90" s="138">
        <f t="shared" si="71"/>
        <v>1</v>
      </c>
      <c r="AG90" s="138">
        <f t="shared" si="72"/>
        <v>9</v>
      </c>
      <c r="AH90" s="138">
        <f t="shared" si="53"/>
        <v>30</v>
      </c>
      <c r="AI90" s="138">
        <f t="shared" si="73"/>
        <v>2084</v>
      </c>
      <c r="AJ90" s="138">
        <f t="shared" si="74"/>
        <v>2101</v>
      </c>
      <c r="AL90" s="136">
        <f t="shared" si="17"/>
        <v>3.5445000000000002</v>
      </c>
      <c r="AM90" s="258">
        <f t="shared" si="18"/>
        <v>-2.1000000000000001E-2</v>
      </c>
      <c r="AN90" s="258">
        <f t="shared" si="19"/>
        <v>5.7500000000000002E-2</v>
      </c>
      <c r="AO90" s="258">
        <f t="shared" si="20"/>
        <v>0.125</v>
      </c>
      <c r="AP90" s="258">
        <f t="shared" si="21"/>
        <v>-2.4999999999999998E-2</v>
      </c>
      <c r="AQ90" s="136">
        <f t="shared" si="75"/>
        <v>1.9200000000000002E-2</v>
      </c>
      <c r="AR90" s="137">
        <f t="shared" si="22"/>
        <v>2.9020000000000001E-2</v>
      </c>
      <c r="AS90" s="136">
        <f t="shared" si="60"/>
        <v>3.5810000000000004</v>
      </c>
      <c r="AT90" s="137">
        <f t="shared" si="61"/>
        <v>5.5297336050453602E-2</v>
      </c>
      <c r="AU90" s="137">
        <f t="shared" si="54"/>
        <v>0.73101829207907065</v>
      </c>
      <c r="AV90" s="394">
        <f t="shared" si="62"/>
        <v>9824.8858455427089</v>
      </c>
      <c r="AW90" s="137">
        <f t="shared" si="24"/>
        <v>0.24</v>
      </c>
      <c r="AX90" s="137">
        <f t="shared" si="25"/>
        <v>0.55000000000000004</v>
      </c>
      <c r="AY90" s="137">
        <f t="shared" si="26"/>
        <v>0.6</v>
      </c>
      <c r="AZ90" s="137"/>
      <c r="BA90" s="264"/>
      <c r="BB90" s="258">
        <f t="shared" si="27"/>
        <v>0</v>
      </c>
      <c r="BC90" s="258">
        <f t="shared" si="76"/>
        <v>0</v>
      </c>
      <c r="BD90" s="137">
        <f t="shared" si="77"/>
        <v>5.1264877626300276E-6</v>
      </c>
      <c r="BE90" s="137">
        <f t="shared" si="78"/>
        <v>6.3083491827486959E-6</v>
      </c>
      <c r="BF90" s="137">
        <f>_xll.xSPRDOPT($BW90,$BV90,$CG90,0,$BY90,$BX90,$BZ90,$AJ90,1,4)*$CB90</f>
        <v>2.2351343977902576</v>
      </c>
      <c r="BG90" s="137">
        <f>_xll.xSPRDOPT($BW90,$BV90,$CG90,0,$BY90,$BX90,$BZ90,$AJ90,1,3)*$CB90</f>
        <v>2.3108822505045481</v>
      </c>
      <c r="BH90" s="137">
        <f>IF(OR(BF90&lt;&gt;0,BG90&lt;&gt;0),_xll.xSPRDOPT($BW90,$BV90,$CG90,0,$BY90,$BX90,$BZ90,$AJ90,1,12)*$CB90,0)</f>
        <v>-2.2726850177392985</v>
      </c>
      <c r="BI90" s="137">
        <f>_xll.xSPRDOPT($BW90,$BV90,$CG90,2*LN(1+CA90/2),$BY90,$BX90,$BZ90,$AJ90,1,9)</f>
        <v>-1.3550830039802176E-3</v>
      </c>
      <c r="BJ90" s="137">
        <f>_xll.xSPRDOPT($BW90,$BV90,$CG90,0,$BY90,$BX90,$BZ90,$AJ90,1,6)*$CB90</f>
        <v>-0.33899219316514667</v>
      </c>
      <c r="BK90" s="137">
        <f>_xll.xSPRDOPT($BW90,$BV90,$CG90,0,$BY90,$BX90,$BZ90,$AJ90,1,5)*$CB90</f>
        <v>0.42859781938602998</v>
      </c>
      <c r="BL90" s="137">
        <f>_xll.xSPRDOPT(BW90,BV90,CG90,0,BY90,BX90,BZ90,AJ90,1,2)*CB90</f>
        <v>-0.17537280812811895</v>
      </c>
      <c r="BM90" s="137">
        <f>_xll.xSPRDOPT(BW90,BV90,CG90,0,BY90,BX90,BZ90,AJ90,1,1)*CB90</f>
        <v>0.18116271190351052</v>
      </c>
      <c r="BN90" s="137">
        <f>IF(AH90&lt;&gt;0,_xll.xSPRDOPT($BW90,$BV90,$CG90,2*LN(1+CA90/2),$BY90,$BX90,$BZ90,$AJ90,1,8)+(AJ90/365.25)*CH90/AH90,0)</f>
        <v>0.37452155711099872</v>
      </c>
      <c r="BO90" s="137">
        <f>_xll.xSPRDOPT($BW90,$BV90,$CG90,0,$BY90,$BX90,$BZ90,$AJ90,1,0)</f>
        <v>1.4398050786992921E-2</v>
      </c>
      <c r="BP90" s="137"/>
      <c r="BQ90" s="137"/>
      <c r="BR90" s="137"/>
      <c r="BS90" s="137"/>
      <c r="BV90" s="262">
        <v>3.6880265298976296</v>
      </c>
      <c r="BW90" s="136">
        <v>3.6445000000000003</v>
      </c>
      <c r="BX90" s="137">
        <v>0.24361367226211914</v>
      </c>
      <c r="BY90" s="137">
        <v>0.24445438186799273</v>
      </c>
      <c r="BZ90" s="137">
        <v>0.99906528277668794</v>
      </c>
      <c r="CA90" s="137">
        <v>5.5297336050453602E-2</v>
      </c>
      <c r="CB90" s="137">
        <v>0.73069085307622372</v>
      </c>
      <c r="CC90" s="258">
        <v>-2.1000000000000001E-2</v>
      </c>
      <c r="CD90" s="258">
        <v>5.7500000000000002E-2</v>
      </c>
      <c r="CE90" s="258">
        <v>0.125</v>
      </c>
      <c r="CF90" s="258">
        <v>-2.5000000000000001E-2</v>
      </c>
      <c r="CG90" s="258">
        <v>1.9200000000000002E-2</v>
      </c>
      <c r="CH90" s="258">
        <v>2.2687950988016747</v>
      </c>
      <c r="CI90" s="258">
        <v>3.5445000000000002</v>
      </c>
    </row>
    <row r="91" spans="1:87" x14ac:dyDescent="0.25">
      <c r="A91" s="723"/>
      <c r="B91" s="723"/>
      <c r="D91" s="31">
        <f t="shared" si="63"/>
        <v>39370</v>
      </c>
      <c r="F91" s="28">
        <f t="shared" si="64"/>
        <v>15000</v>
      </c>
      <c r="G91" s="28">
        <f t="shared" si="12"/>
        <v>10905.242325494364</v>
      </c>
      <c r="H91" s="52">
        <f t="shared" si="65"/>
        <v>3.7137737131557813</v>
      </c>
      <c r="I91" s="52">
        <f t="shared" si="66"/>
        <v>3.6895000000000002</v>
      </c>
      <c r="K91" s="52">
        <f t="shared" si="55"/>
        <v>0</v>
      </c>
      <c r="L91" s="135">
        <f t="shared" si="56"/>
        <v>0.5267809549189959</v>
      </c>
      <c r="N91" s="131">
        <f t="shared" si="57"/>
        <v>0.24454259356141442</v>
      </c>
      <c r="O91" s="131">
        <f t="shared" si="58"/>
        <v>0.24547097396802822</v>
      </c>
      <c r="P91" s="55">
        <f t="shared" si="59"/>
        <v>0.99890982196669587</v>
      </c>
      <c r="Q91" s="135">
        <f>_xll.xSPRDOPT(I91,H91,AQ91,0,O91,N91,P91,D91-$G$5,1,0)*AH91*AU91</f>
        <v>0.5267809549189959</v>
      </c>
      <c r="R91" s="135"/>
      <c r="S91" s="181">
        <f>_xll.xSPRDOPT(I91,H91,AQ91,AT91,O91,N91,P91,D91-$G$5,1,2)*AF91*(F91/(1-AR91))*AH91</f>
        <v>-115639.09980116974</v>
      </c>
      <c r="T91" s="181">
        <f>_xll.xSPRDOPT(I91,H91,AQ91,AT91,O91,N91,P91,D91-$G$5,1,1)*AF91*F91*AH91</f>
        <v>115673.81210717381</v>
      </c>
      <c r="U91" s="135"/>
      <c r="V91" s="146">
        <f t="shared" si="67"/>
        <v>2.3326313334232442</v>
      </c>
      <c r="W91" s="146"/>
      <c r="X91" s="338">
        <f t="shared" si="68"/>
        <v>0</v>
      </c>
      <c r="Y91" s="338">
        <f t="shared" si="13"/>
        <v>0</v>
      </c>
      <c r="Z91" s="338">
        <f t="shared" si="14"/>
        <v>-5.5227503864482141</v>
      </c>
      <c r="AA91" s="338">
        <f t="shared" si="15"/>
        <v>0.61887528810733994</v>
      </c>
      <c r="AB91" s="338">
        <f t="shared" si="69"/>
        <v>0</v>
      </c>
      <c r="AC91" s="338">
        <f t="shared" si="70"/>
        <v>3.5988599596491033</v>
      </c>
      <c r="AF91" s="138">
        <f t="shared" si="71"/>
        <v>1</v>
      </c>
      <c r="AG91" s="138">
        <f t="shared" si="72"/>
        <v>10</v>
      </c>
      <c r="AH91" s="138">
        <f t="shared" si="53"/>
        <v>31</v>
      </c>
      <c r="AI91" s="138">
        <f t="shared" si="73"/>
        <v>2114</v>
      </c>
      <c r="AJ91" s="138">
        <f t="shared" si="74"/>
        <v>2131</v>
      </c>
      <c r="AL91" s="136">
        <f t="shared" si="17"/>
        <v>3.5695000000000001</v>
      </c>
      <c r="AM91" s="258">
        <f t="shared" si="18"/>
        <v>-2.1000000000000001E-2</v>
      </c>
      <c r="AN91" s="258">
        <f t="shared" si="19"/>
        <v>5.7500000000000002E-2</v>
      </c>
      <c r="AO91" s="258">
        <f t="shared" si="20"/>
        <v>0.14499999999999999</v>
      </c>
      <c r="AP91" s="258">
        <f t="shared" si="21"/>
        <v>-2.4999999999999998E-2</v>
      </c>
      <c r="AQ91" s="136">
        <f t="shared" si="75"/>
        <v>1.9200000000000002E-2</v>
      </c>
      <c r="AR91" s="137">
        <f t="shared" si="22"/>
        <v>2.9020000000000001E-2</v>
      </c>
      <c r="AS91" s="136">
        <f t="shared" si="60"/>
        <v>3.6060000000000003</v>
      </c>
      <c r="AT91" s="137">
        <f t="shared" si="61"/>
        <v>5.5475416179639102E-2</v>
      </c>
      <c r="AU91" s="137">
        <f t="shared" si="54"/>
        <v>0.72701615503295758</v>
      </c>
      <c r="AV91" s="394">
        <f t="shared" si="62"/>
        <v>10096.800361097716</v>
      </c>
      <c r="AW91" s="137">
        <f t="shared" si="24"/>
        <v>0.24</v>
      </c>
      <c r="AX91" s="137">
        <f t="shared" si="25"/>
        <v>0.6</v>
      </c>
      <c r="AY91" s="137">
        <f t="shared" si="26"/>
        <v>0.65</v>
      </c>
      <c r="AZ91" s="137"/>
      <c r="BA91" s="264"/>
      <c r="BB91" s="258">
        <f t="shared" si="27"/>
        <v>0</v>
      </c>
      <c r="BC91" s="258">
        <f t="shared" si="76"/>
        <v>0</v>
      </c>
      <c r="BD91" s="137">
        <f t="shared" si="77"/>
        <v>6.3312457022346447E-6</v>
      </c>
      <c r="BE91" s="137">
        <f t="shared" si="78"/>
        <v>7.6109124000078854E-6</v>
      </c>
      <c r="BF91" s="137">
        <f>_xll.xSPRDOPT($BW91,$BV91,$CG91,0,$BY91,$BX91,$BZ91,$AJ91,1,4)*$CB91</f>
        <v>2.5258289451506553</v>
      </c>
      <c r="BG91" s="137">
        <f>_xll.xSPRDOPT($BW91,$BV91,$CG91,0,$BY91,$BX91,$BZ91,$AJ91,1,3)*$CB91</f>
        <v>2.5841933509919546</v>
      </c>
      <c r="BH91" s="137">
        <f>IF(OR(BF91&lt;&gt;0,BG91&lt;&gt;0),_xll.xSPRDOPT($BW91,$BV91,$CG91,0,$BY91,$BX91,$BZ91,$AJ91,1,12)*$CB91,0)</f>
        <v>-2.5548338101560826</v>
      </c>
      <c r="BI91" s="137">
        <f>_xll.xSPRDOPT($BW91,$BV91,$CG91,2*LN(1+CA91/2),$BY91,$BX91,$BZ91,$AJ91,1,9)</f>
        <v>-1.446010450645312E-3</v>
      </c>
      <c r="BJ91" s="137">
        <f>_xll.xSPRDOPT($BW91,$BV91,$CG91,0,$BY91,$BX91,$BZ91,$AJ91,1,6)*$CB91</f>
        <v>-0.37689504730765155</v>
      </c>
      <c r="BK91" s="137">
        <f>_xll.xSPRDOPT($BW91,$BV91,$CG91,0,$BY91,$BX91,$BZ91,$AJ91,1,5)*$CB91</f>
        <v>0.48839476151854561</v>
      </c>
      <c r="BL91" s="137">
        <f>_xll.xSPRDOPT(BW91,BV91,CG91,0,BY91,BX91,BZ91,AJ91,1,2)*CB91</f>
        <v>-0.2424272690566148</v>
      </c>
      <c r="BM91" s="137">
        <f>_xll.xSPRDOPT(BW91,BV91,CG91,0,BY91,BX91,BZ91,AJ91,1,1)*CB91</f>
        <v>0.24974762736232153</v>
      </c>
      <c r="BN91" s="137">
        <f>IF(AH91&lt;&gt;0,_xll.xSPRDOPT($BW91,$BV91,$CG91,2*LN(1+CA91/2),$BY91,$BX91,$BZ91,$AJ91,1,8)+(AJ91/365.25)*CH91/AH91,0)</f>
        <v>0.33971599798461399</v>
      </c>
      <c r="BO91" s="137">
        <f>_xll.xSPRDOPT($BW91,$BV91,$CG91,0,$BY91,$BX91,$BZ91,$AJ91,1,0)</f>
        <v>2.3373918516909294E-2</v>
      </c>
      <c r="BP91" s="137"/>
      <c r="BQ91" s="137"/>
      <c r="BR91" s="137"/>
      <c r="BS91" s="137"/>
      <c r="BV91" s="262">
        <v>3.7137737131557813</v>
      </c>
      <c r="BW91" s="136">
        <v>3.6895000000000002</v>
      </c>
      <c r="BX91" s="137">
        <v>0.24453626231571218</v>
      </c>
      <c r="BY91" s="137">
        <v>0.24546336305562821</v>
      </c>
      <c r="BZ91" s="137">
        <v>0.99891128400858531</v>
      </c>
      <c r="CA91" s="137">
        <v>5.5475416179639102E-2</v>
      </c>
      <c r="CB91" s="137">
        <v>0.72668947440852616</v>
      </c>
      <c r="CC91" s="258">
        <v>-2.1000000000000001E-2</v>
      </c>
      <c r="CD91" s="258">
        <v>5.7500000000000002E-2</v>
      </c>
      <c r="CE91" s="258">
        <v>0.14499999999999999</v>
      </c>
      <c r="CF91" s="258">
        <v>-2.5000000000000001E-2</v>
      </c>
      <c r="CG91" s="258">
        <v>1.9200000000000002E-2</v>
      </c>
      <c r="CH91" s="258">
        <v>2.3315831786397561</v>
      </c>
      <c r="CI91" s="258">
        <v>3.5695000000000001</v>
      </c>
    </row>
    <row r="92" spans="1:87" x14ac:dyDescent="0.25">
      <c r="A92" s="723"/>
      <c r="B92" s="723"/>
      <c r="D92" s="31">
        <f t="shared" si="63"/>
        <v>39401</v>
      </c>
      <c r="F92" s="28">
        <f t="shared" si="64"/>
        <v>15000</v>
      </c>
      <c r="G92" s="28">
        <f t="shared" si="12"/>
        <v>10843.231203173118</v>
      </c>
      <c r="H92" s="52">
        <f t="shared" si="65"/>
        <v>3.8703165873653425</v>
      </c>
      <c r="I92" s="52">
        <f t="shared" si="66"/>
        <v>3.8914999999999997</v>
      </c>
      <c r="K92" s="52">
        <f t="shared" si="55"/>
        <v>4.3013203537767289E-2</v>
      </c>
      <c r="L92" s="135">
        <f t="shared" si="56"/>
        <v>1.1640007033596818</v>
      </c>
      <c r="N92" s="131">
        <f t="shared" si="57"/>
        <v>0.24828299266048096</v>
      </c>
      <c r="O92" s="131">
        <f t="shared" si="58"/>
        <v>0.24943408169516673</v>
      </c>
      <c r="P92" s="55">
        <f t="shared" si="59"/>
        <v>0.99834551752806922</v>
      </c>
      <c r="Q92" s="135">
        <f>_xll.xSPRDOPT(I92,H92,AQ92,0,O92,N92,P92,D92-$G$5,1,0)*AH92*AU92</f>
        <v>1.207013906897449</v>
      </c>
      <c r="R92" s="135"/>
      <c r="S92" s="181">
        <f>_xll.xSPRDOPT(I92,H92,AQ92,AT92,O92,N92,P92,D92-$G$5,1,2)*AF92*(F92/(1-AR92))*AH92</f>
        <v>-166481.46930324956</v>
      </c>
      <c r="T92" s="181">
        <f>_xll.xSPRDOPT(I92,H92,AQ92,AT92,O92,N92,P92,D92-$G$5,1,1)*AF92*F92*AH92</f>
        <v>166141.5972288473</v>
      </c>
      <c r="U92" s="135"/>
      <c r="V92" s="146">
        <f t="shared" si="67"/>
        <v>2.2445488590568354</v>
      </c>
      <c r="W92" s="146"/>
      <c r="X92" s="338">
        <f t="shared" si="68"/>
        <v>0</v>
      </c>
      <c r="Y92" s="338">
        <f t="shared" si="13"/>
        <v>0</v>
      </c>
      <c r="Z92" s="338">
        <f t="shared" si="14"/>
        <v>-4.1854670078007734</v>
      </c>
      <c r="AA92" s="338">
        <f t="shared" si="15"/>
        <v>1.1594492718794311</v>
      </c>
      <c r="AB92" s="338">
        <f t="shared" si="69"/>
        <v>0</v>
      </c>
      <c r="AC92" s="338">
        <f t="shared" si="70"/>
        <v>8.2733305967476554</v>
      </c>
      <c r="AF92" s="138">
        <f t="shared" si="71"/>
        <v>1</v>
      </c>
      <c r="AG92" s="138">
        <f t="shared" si="72"/>
        <v>11</v>
      </c>
      <c r="AH92" s="138">
        <f t="shared" si="53"/>
        <v>30</v>
      </c>
      <c r="AI92" s="138">
        <f t="shared" si="73"/>
        <v>2145</v>
      </c>
      <c r="AJ92" s="138">
        <f t="shared" si="74"/>
        <v>2162</v>
      </c>
      <c r="AL92" s="136">
        <f t="shared" si="17"/>
        <v>3.7214999999999998</v>
      </c>
      <c r="AM92" s="258">
        <f t="shared" si="18"/>
        <v>-2.1000000000000001E-2</v>
      </c>
      <c r="AN92" s="258">
        <f t="shared" si="19"/>
        <v>5.7500000000000002E-2</v>
      </c>
      <c r="AO92" s="258">
        <f t="shared" si="20"/>
        <v>0.19500000000000001</v>
      </c>
      <c r="AP92" s="258">
        <f t="shared" si="21"/>
        <v>-2.4999999999999998E-2</v>
      </c>
      <c r="AQ92" s="136">
        <f t="shared" si="75"/>
        <v>1.9200000000000002E-2</v>
      </c>
      <c r="AR92" s="137">
        <f t="shared" si="22"/>
        <v>2.9020000000000001E-2</v>
      </c>
      <c r="AS92" s="136">
        <f t="shared" si="60"/>
        <v>3.758</v>
      </c>
      <c r="AT92" s="137">
        <f t="shared" si="61"/>
        <v>5.5659432324225197E-2</v>
      </c>
      <c r="AU92" s="137">
        <f t="shared" si="54"/>
        <v>0.72288208021154121</v>
      </c>
      <c r="AV92" s="394">
        <f t="shared" si="62"/>
        <v>9715.5351580431143</v>
      </c>
      <c r="AW92" s="137">
        <f t="shared" si="24"/>
        <v>0.24</v>
      </c>
      <c r="AX92" s="137">
        <f t="shared" si="25"/>
        <v>0.8</v>
      </c>
      <c r="AY92" s="137">
        <f t="shared" si="26"/>
        <v>0.85</v>
      </c>
      <c r="AZ92" s="137"/>
      <c r="BA92" s="264"/>
      <c r="BB92" s="258">
        <f t="shared" si="27"/>
        <v>0</v>
      </c>
      <c r="BC92" s="258">
        <f t="shared" si="76"/>
        <v>0</v>
      </c>
      <c r="BD92" s="137">
        <f t="shared" si="77"/>
        <v>1.1296828160367589E-5</v>
      </c>
      <c r="BE92" s="137">
        <f t="shared" si="78"/>
        <v>1.2837603648174767E-5</v>
      </c>
      <c r="BF92" s="137">
        <f>_xll.xSPRDOPT($BW92,$BV92,$CG92,0,$BY92,$BX92,$BZ92,$AJ92,1,4)*$CB92</f>
        <v>2.1047287693257206</v>
      </c>
      <c r="BG92" s="137">
        <f>_xll.xSPRDOPT($BW92,$BV92,$CG92,0,$BY92,$BX92,$BZ92,$AJ92,1,3)*$CB92</f>
        <v>2.1023544581476332</v>
      </c>
      <c r="BH92" s="137">
        <f>IF(OR(BF92&lt;&gt;0,BG92&lt;&gt;0),_xll.xSPRDOPT($BW92,$BV92,$CG92,0,$BY92,$BX92,$BZ92,$AJ92,1,12)*$CB92,0)</f>
        <v>-2.1035306321367466</v>
      </c>
      <c r="BI92" s="137">
        <f>_xll.xSPRDOPT($BW92,$BV92,$CG92,2*LN(1+CA92/2),$BY92,$BX92,$BZ92,$AJ92,1,9)</f>
        <v>-1.1324013515549873E-3</v>
      </c>
      <c r="BJ92" s="137">
        <f>_xll.xSPRDOPT($BW92,$BV92,$CG92,0,$BY92,$BX92,$BZ92,$AJ92,1,6)*$CB92</f>
        <v>-0.36534288989158342</v>
      </c>
      <c r="BK92" s="137">
        <f>_xll.xSPRDOPT($BW92,$BV92,$CG92,0,$BY92,$BX92,$BZ92,$AJ92,1,5)*$CB92</f>
        <v>0.52219790920093523</v>
      </c>
      <c r="BL92" s="137">
        <f>_xll.xSPRDOPT(BW92,BV92,CG92,0,BY92,BX92,BZ92,AJ92,1,2)*CB92</f>
        <v>-0.36067864990839565</v>
      </c>
      <c r="BM92" s="137">
        <f>_xll.xSPRDOPT(BW92,BV92,CG92,0,BY92,BX92,BZ92,AJ92,1,1)*CB92</f>
        <v>0.37069996966034452</v>
      </c>
      <c r="BN92" s="137">
        <f>IF(AH92&lt;&gt;0,_xll.xSPRDOPT($BW92,$BV92,$CG92,2*LN(1+CA92/2),$BY92,$BX92,$BZ92,$AJ92,1,8)+(AJ92/365.25)*CH92/AH92,0)</f>
        <v>0.20461985532139762</v>
      </c>
      <c r="BO92" s="137">
        <f>_xll.xSPRDOPT($BW92,$BV92,$CG92,0,$BY92,$BX92,$BZ92,$AJ92,1,0)</f>
        <v>5.5657850971769958E-2</v>
      </c>
      <c r="BP92" s="137"/>
      <c r="BQ92" s="137"/>
      <c r="BR92" s="137"/>
      <c r="BS92" s="137"/>
      <c r="BV92" s="262">
        <v>3.8703165873653425</v>
      </c>
      <c r="BW92" s="136">
        <v>3.8914999999999997</v>
      </c>
      <c r="BX92" s="137">
        <v>0.24827169583232059</v>
      </c>
      <c r="BY92" s="137">
        <v>0.24942124409151856</v>
      </c>
      <c r="BZ92" s="137">
        <v>0.99834763823116701</v>
      </c>
      <c r="CA92" s="137">
        <v>5.5659432324225197E-2</v>
      </c>
      <c r="CB92" s="137">
        <v>0.72255619464132093</v>
      </c>
      <c r="CC92" s="258">
        <v>-2.1000000000000001E-2</v>
      </c>
      <c r="CD92" s="258">
        <v>5.7500000000000002E-2</v>
      </c>
      <c r="CE92" s="258">
        <v>0.19500000000000001</v>
      </c>
      <c r="CF92" s="258">
        <v>-2.5000000000000001E-2</v>
      </c>
      <c r="CG92" s="258">
        <v>1.9200000000000002E-2</v>
      </c>
      <c r="CH92" s="258">
        <v>2.2435369843613016</v>
      </c>
      <c r="CI92" s="258">
        <v>3.7214999999999998</v>
      </c>
    </row>
    <row r="93" spans="1:87" x14ac:dyDescent="0.25">
      <c r="A93" s="723"/>
      <c r="B93" s="723"/>
      <c r="D93" s="31">
        <f t="shared" si="63"/>
        <v>39431</v>
      </c>
      <c r="F93" s="28">
        <f t="shared" si="64"/>
        <v>15000</v>
      </c>
      <c r="G93" s="28">
        <f t="shared" si="12"/>
        <v>10783.24514534441</v>
      </c>
      <c r="H93" s="52">
        <f t="shared" si="65"/>
        <v>4.0175904756019696</v>
      </c>
      <c r="I93" s="52">
        <f t="shared" si="66"/>
        <v>4.0545</v>
      </c>
      <c r="K93" s="52">
        <f t="shared" si="55"/>
        <v>0.39466336218226766</v>
      </c>
      <c r="L93" s="135">
        <f t="shared" si="56"/>
        <v>1.3821193200606883</v>
      </c>
      <c r="N93" s="131">
        <f t="shared" si="57"/>
        <v>0.25351219273413861</v>
      </c>
      <c r="O93" s="131">
        <f t="shared" si="58"/>
        <v>0.25493866496535272</v>
      </c>
      <c r="P93" s="55">
        <f t="shared" si="59"/>
        <v>0.99757970498512594</v>
      </c>
      <c r="Q93" s="135">
        <f>_xll.xSPRDOPT(I93,H93,AQ93,0,O93,N93,P93,D93-$G$5,1,0)*AH93*AU93</f>
        <v>1.776782682242956</v>
      </c>
      <c r="R93" s="135"/>
      <c r="S93" s="181">
        <f>_xll.xSPRDOPT(I93,H93,AQ93,AT93,O93,N93,P93,D93-$G$5,1,2)*AF93*(F93/(1-AR93))*AH93</f>
        <v>-182145.27599677056</v>
      </c>
      <c r="T93" s="181">
        <f>_xll.xSPRDOPT(I93,H93,AQ93,AT93,O93,N93,P93,D93-$G$5,1,1)*AF93*F93*AH93</f>
        <v>182580.84117946037</v>
      </c>
      <c r="U93" s="135"/>
      <c r="V93" s="146">
        <f t="shared" si="67"/>
        <v>2.3065361365891692</v>
      </c>
      <c r="W93" s="146"/>
      <c r="X93" s="338">
        <f t="shared" si="68"/>
        <v>0</v>
      </c>
      <c r="Y93" s="338">
        <f t="shared" si="13"/>
        <v>0</v>
      </c>
      <c r="Z93" s="338">
        <f t="shared" si="14"/>
        <v>-4.0072136309635473</v>
      </c>
      <c r="AA93" s="338">
        <f t="shared" si="15"/>
        <v>2.0812715002784326</v>
      </c>
      <c r="AB93" s="338">
        <f t="shared" si="69"/>
        <v>0</v>
      </c>
      <c r="AC93" s="338">
        <f t="shared" si="70"/>
        <v>12.217657296454593</v>
      </c>
      <c r="AF93" s="138">
        <f t="shared" si="71"/>
        <v>1</v>
      </c>
      <c r="AG93" s="138">
        <f t="shared" si="72"/>
        <v>12</v>
      </c>
      <c r="AH93" s="138">
        <f t="shared" si="53"/>
        <v>31</v>
      </c>
      <c r="AI93" s="138">
        <f t="shared" si="73"/>
        <v>2175</v>
      </c>
      <c r="AJ93" s="138">
        <f t="shared" si="74"/>
        <v>2192</v>
      </c>
      <c r="AL93" s="136">
        <f t="shared" si="17"/>
        <v>3.8645</v>
      </c>
      <c r="AM93" s="258">
        <f t="shared" si="18"/>
        <v>-2.1000000000000001E-2</v>
      </c>
      <c r="AN93" s="258">
        <f t="shared" si="19"/>
        <v>5.7500000000000002E-2</v>
      </c>
      <c r="AO93" s="258">
        <f t="shared" si="20"/>
        <v>0.215</v>
      </c>
      <c r="AP93" s="258">
        <f t="shared" si="21"/>
        <v>-2.4999999999999998E-2</v>
      </c>
      <c r="AQ93" s="136">
        <f t="shared" si="75"/>
        <v>1.9200000000000002E-2</v>
      </c>
      <c r="AR93" s="137">
        <f t="shared" si="22"/>
        <v>2.9020000000000001E-2</v>
      </c>
      <c r="AS93" s="136">
        <f t="shared" si="60"/>
        <v>3.9010000000000002</v>
      </c>
      <c r="AT93" s="137">
        <f t="shared" si="61"/>
        <v>5.5837512474881598E-2</v>
      </c>
      <c r="AU93" s="137">
        <f t="shared" si="54"/>
        <v>0.71888300968962737</v>
      </c>
      <c r="AV93" s="394">
        <f t="shared" si="62"/>
        <v>9983.8472385695441</v>
      </c>
      <c r="AW93" s="137">
        <f t="shared" si="24"/>
        <v>0.24</v>
      </c>
      <c r="AX93" s="137">
        <f t="shared" si="25"/>
        <v>1</v>
      </c>
      <c r="AY93" s="137">
        <f t="shared" si="26"/>
        <v>1.05</v>
      </c>
      <c r="AZ93" s="137"/>
      <c r="BA93" s="264"/>
      <c r="BB93" s="258">
        <f t="shared" si="27"/>
        <v>0</v>
      </c>
      <c r="BC93" s="258">
        <f t="shared" si="76"/>
        <v>0</v>
      </c>
      <c r="BD93" s="137">
        <f t="shared" si="77"/>
        <v>1.7988456285700227E-5</v>
      </c>
      <c r="BE93" s="137">
        <f t="shared" si="78"/>
        <v>1.9833436800509308E-5</v>
      </c>
      <c r="BF93" s="137">
        <f>_xll.xSPRDOPT($BW93,$BV93,$CG93,0,$BY93,$BX93,$BZ93,$AJ93,1,4)*$CB93</f>
        <v>1.6201475564219052</v>
      </c>
      <c r="BG93" s="137">
        <f>_xll.xSPRDOPT($BW93,$BV93,$CG93,0,$BY93,$BX93,$BZ93,$AJ93,1,3)*$CB93</f>
        <v>1.6059907424941517</v>
      </c>
      <c r="BH93" s="137">
        <f>IF(OR(BF93&lt;&gt;0,BG93&lt;&gt;0),_xll.xSPRDOPT($BW93,$BV93,$CG93,0,$BY93,$BX93,$BZ93,$AJ93,1,12)*$CB93,0)</f>
        <v>-1.6130441540177352</v>
      </c>
      <c r="BI93" s="137">
        <f>_xll.xSPRDOPT($BW93,$BV93,$CG93,2*LN(1+CA93/2),$BY93,$BX93,$BZ93,$AJ93,1,9)</f>
        <v>-1.0492005582146491E-3</v>
      </c>
      <c r="BJ93" s="137">
        <f>_xll.xSPRDOPT($BW93,$BV93,$CG93,0,$BY93,$BX93,$BZ93,$AJ93,1,6)*$CB93</f>
        <v>-0.31698375855436545</v>
      </c>
      <c r="BK93" s="137">
        <f>_xll.xSPRDOPT($BW93,$BV93,$CG93,0,$BY93,$BX93,$BZ93,$AJ93,1,5)*$CB93</f>
        <v>0.51316881058867314</v>
      </c>
      <c r="BL93" s="137">
        <f>_xll.xSPRDOPT(BW93,BV93,CG93,0,BY93,BX93,BZ93,AJ93,1,2)*CB93</f>
        <v>-0.38191853383969271</v>
      </c>
      <c r="BM93" s="137">
        <f>_xll.xSPRDOPT(BW93,BV93,CG93,0,BY93,BX93,BZ93,AJ93,1,1)*CB93</f>
        <v>0.39427359164287784</v>
      </c>
      <c r="BN93" s="137">
        <f>IF(AH93&lt;&gt;0,_xll.xSPRDOPT($BW93,$BV93,$CG93,2*LN(1+CA93/2),$BY93,$BX93,$BZ93,$AJ93,1,8)+(AJ93/365.25)*CH93/AH93,0)</f>
        <v>0.10250857614101899</v>
      </c>
      <c r="BO93" s="137">
        <f>_xll.xSPRDOPT($BW93,$BV93,$CG93,0,$BY93,$BX93,$BZ93,$AJ93,1,0)</f>
        <v>7.9728964273127853E-2</v>
      </c>
      <c r="BP93" s="137"/>
      <c r="BQ93" s="137"/>
      <c r="BR93" s="137"/>
      <c r="BS93" s="137"/>
      <c r="BV93" s="262">
        <v>4.0175904756019696</v>
      </c>
      <c r="BW93" s="136">
        <v>4.0545</v>
      </c>
      <c r="BX93" s="137">
        <v>0.25349420427785291</v>
      </c>
      <c r="BY93" s="137">
        <v>0.25491883152855221</v>
      </c>
      <c r="BZ93" s="137">
        <v>0.99758263642389655</v>
      </c>
      <c r="CA93" s="137">
        <v>5.5837512474881598E-2</v>
      </c>
      <c r="CB93" s="137">
        <v>0.71855790444499312</v>
      </c>
      <c r="CC93" s="258">
        <v>-2.1000000000000001E-2</v>
      </c>
      <c r="CD93" s="258">
        <v>5.7500000000000002E-2</v>
      </c>
      <c r="CE93" s="258">
        <v>0.215</v>
      </c>
      <c r="CF93" s="258">
        <v>-2.5000000000000001E-2</v>
      </c>
      <c r="CG93" s="258">
        <v>1.9200000000000002E-2</v>
      </c>
      <c r="CH93" s="258">
        <v>2.3054930364117605</v>
      </c>
      <c r="CI93" s="258">
        <v>3.8645</v>
      </c>
    </row>
    <row r="94" spans="1:87" x14ac:dyDescent="0.25">
      <c r="A94" s="723"/>
      <c r="B94" s="723"/>
      <c r="D94" s="31">
        <f t="shared" si="63"/>
        <v>39462</v>
      </c>
      <c r="F94" s="28">
        <f t="shared" si="64"/>
        <v>15000</v>
      </c>
      <c r="G94" s="28">
        <f t="shared" si="12"/>
        <v>10721.288624597848</v>
      </c>
      <c r="H94" s="52">
        <f t="shared" si="65"/>
        <v>4.0711446167789243</v>
      </c>
      <c r="I94" s="52">
        <f t="shared" si="66"/>
        <v>4.1244999999999994</v>
      </c>
      <c r="K94" s="52">
        <f t="shared" si="55"/>
        <v>0.75679209130024572</v>
      </c>
      <c r="L94" s="135">
        <f t="shared" si="56"/>
        <v>1.2365878972059534</v>
      </c>
      <c r="N94" s="131">
        <f t="shared" si="57"/>
        <v>0.25332859490693943</v>
      </c>
      <c r="O94" s="131">
        <f t="shared" si="58"/>
        <v>0.25473623010430124</v>
      </c>
      <c r="P94" s="55">
        <f t="shared" si="59"/>
        <v>0.99760965792663847</v>
      </c>
      <c r="Q94" s="135">
        <f>_xll.xSPRDOPT(I94,H94,AQ94,0,O94,N94,P94,D94-$G$5,1,0)*AH94*AU94</f>
        <v>1.9933799885061991</v>
      </c>
      <c r="R94" s="135"/>
      <c r="S94" s="181">
        <f>_xll.xSPRDOPT(I94,H94,AQ94,AT94,O94,N94,P94,D94-$G$5,1,2)*AF94*(F94/(1-AR94))*AH94</f>
        <v>-193233.89953876767</v>
      </c>
      <c r="T94" s="181">
        <f>_xll.xSPRDOPT(I94,H94,AQ94,AT94,O94,N94,P94,D94-$G$5,1,1)*AF94*F94*AH94</f>
        <v>193239.99231680253</v>
      </c>
      <c r="U94" s="135"/>
      <c r="V94" s="146">
        <f t="shared" si="67"/>
        <v>2.2932836368014797</v>
      </c>
      <c r="W94" s="146"/>
      <c r="X94" s="338">
        <f t="shared" si="68"/>
        <v>0</v>
      </c>
      <c r="Y94" s="338">
        <f t="shared" si="13"/>
        <v>0</v>
      </c>
      <c r="Z94" s="338">
        <f t="shared" si="14"/>
        <v>-2.2116048772873973</v>
      </c>
      <c r="AA94" s="338">
        <f t="shared" si="15"/>
        <v>2.0206389004367122</v>
      </c>
      <c r="AB94" s="338">
        <f t="shared" si="69"/>
        <v>0</v>
      </c>
      <c r="AC94" s="338">
        <f t="shared" si="70"/>
        <v>13.752187003017202</v>
      </c>
      <c r="AF94" s="138">
        <f t="shared" si="71"/>
        <v>1</v>
      </c>
      <c r="AG94" s="138">
        <f t="shared" si="72"/>
        <v>1</v>
      </c>
      <c r="AH94" s="138">
        <f t="shared" si="53"/>
        <v>31</v>
      </c>
      <c r="AI94" s="138">
        <f t="shared" si="73"/>
        <v>2206</v>
      </c>
      <c r="AJ94" s="138">
        <f t="shared" si="74"/>
        <v>2223</v>
      </c>
      <c r="AL94" s="136">
        <f t="shared" si="17"/>
        <v>3.9144999999999999</v>
      </c>
      <c r="AM94" s="258">
        <f t="shared" si="18"/>
        <v>-1.9E-2</v>
      </c>
      <c r="AN94" s="258">
        <f t="shared" si="19"/>
        <v>5.7500000000000002E-2</v>
      </c>
      <c r="AO94" s="258">
        <f t="shared" si="20"/>
        <v>0.23499999999999999</v>
      </c>
      <c r="AP94" s="258">
        <f t="shared" si="21"/>
        <v>-2.4999999999999998E-2</v>
      </c>
      <c r="AQ94" s="136">
        <f t="shared" si="75"/>
        <v>1.9200000000000002E-2</v>
      </c>
      <c r="AR94" s="137">
        <f t="shared" si="22"/>
        <v>2.9020000000000001E-2</v>
      </c>
      <c r="AS94" s="136">
        <f t="shared" si="60"/>
        <v>3.9529999999999998</v>
      </c>
      <c r="AT94" s="137">
        <f t="shared" si="61"/>
        <v>5.60215286416526E-2</v>
      </c>
      <c r="AU94" s="137">
        <f t="shared" si="54"/>
        <v>0.71475257497318989</v>
      </c>
      <c r="AV94" s="394">
        <f t="shared" si="62"/>
        <v>9926.4837612276606</v>
      </c>
      <c r="AW94" s="137">
        <f t="shared" si="24"/>
        <v>0.24</v>
      </c>
      <c r="AX94" s="137">
        <f t="shared" si="25"/>
        <v>1</v>
      </c>
      <c r="AY94" s="137">
        <f t="shared" si="26"/>
        <v>1.05</v>
      </c>
      <c r="AZ94" s="137"/>
      <c r="BA94" s="264"/>
      <c r="BB94" s="258">
        <f t="shared" si="27"/>
        <v>0</v>
      </c>
      <c r="BC94" s="258">
        <f t="shared" si="76"/>
        <v>0</v>
      </c>
      <c r="BD94" s="137">
        <f t="shared" si="77"/>
        <v>1.750291146668248E-5</v>
      </c>
      <c r="BE94" s="137">
        <f t="shared" si="78"/>
        <v>1.9299439369901972E-5</v>
      </c>
      <c r="BF94" s="137">
        <f>_xll.xSPRDOPT($BW94,$BV94,$CG94,0,$BY94,$BX94,$BZ94,$AJ94,1,4)*$CB94</f>
        <v>1.5720138767515881</v>
      </c>
      <c r="BG94" s="137">
        <f>_xll.xSPRDOPT($BW94,$BV94,$CG94,0,$BY94,$BX94,$BZ94,$AJ94,1,3)*$CB94</f>
        <v>1.5461548065983561</v>
      </c>
      <c r="BH94" s="137">
        <f>IF(OR(BF94&lt;&gt;0,BG94&lt;&gt;0),_xll.xSPRDOPT($BW94,$BV94,$CG94,0,$BY94,$BX94,$BZ94,$AJ94,1,12)*$CB94,0)</f>
        <v>-1.5590215760121526</v>
      </c>
      <c r="BI94" s="137">
        <f>_xll.xSPRDOPT($BW94,$BV94,$CG94,2*LN(1+CA94/2),$BY94,$BX94,$BZ94,$AJ94,1,9)</f>
        <v>-5.7905998668761425E-4</v>
      </c>
      <c r="BJ94" s="137">
        <f>_xll.xSPRDOPT($BW94,$BV94,$CG94,0,$BY94,$BX94,$BZ94,$AJ94,1,6)*$CB94</f>
        <v>-0.31726426334456198</v>
      </c>
      <c r="BK94" s="137">
        <f>_xll.xSPRDOPT($BW94,$BV94,$CG94,0,$BY94,$BX94,$BZ94,$AJ94,1,5)*$CB94</f>
        <v>0.51289097699067243</v>
      </c>
      <c r="BL94" s="137">
        <f>_xll.xSPRDOPT(BW94,BV94,CG94,0,BY94,BX94,BZ94,AJ94,1,2)*CB94</f>
        <v>-0.40520686346542706</v>
      </c>
      <c r="BM94" s="137">
        <f>_xll.xSPRDOPT(BW94,BV94,CG94,0,BY94,BX94,BZ94,AJ94,1,1)*CB94</f>
        <v>0.41733053026607381</v>
      </c>
      <c r="BN94" s="137">
        <f>IF(AH94&lt;&gt;0,_xll.xSPRDOPT($BW94,$BV94,$CG94,2*LN(1+CA94/2),$BY94,$BX94,$BZ94,$AJ94,1,8)+(AJ94/365.25)*CH94/AH94,0)</f>
        <v>5.8852120821904941E-2</v>
      </c>
      <c r="BO94" s="137">
        <f>_xll.xSPRDOPT($BW94,$BV94,$CG94,0,$BY94,$BX94,$BZ94,$AJ94,1,0)</f>
        <v>8.9965125349377867E-2</v>
      </c>
      <c r="BP94" s="137"/>
      <c r="BQ94" s="137"/>
      <c r="BR94" s="137"/>
      <c r="BS94" s="137"/>
      <c r="BV94" s="262">
        <v>4.0711446167789243</v>
      </c>
      <c r="BW94" s="136">
        <v>4.1244999999999994</v>
      </c>
      <c r="BX94" s="137">
        <v>0.25331109199547275</v>
      </c>
      <c r="BY94" s="137">
        <v>0.25471693066493134</v>
      </c>
      <c r="BZ94" s="137">
        <v>0.99761251730168121</v>
      </c>
      <c r="CA94" s="137">
        <v>5.60215286416526E-2</v>
      </c>
      <c r="CB94" s="137">
        <v>0.71442828723099994</v>
      </c>
      <c r="CC94" s="258">
        <v>-1.9E-2</v>
      </c>
      <c r="CD94" s="258">
        <v>5.7500000000000002E-2</v>
      </c>
      <c r="CE94" s="258">
        <v>0.23499999999999999</v>
      </c>
      <c r="CF94" s="258">
        <v>-2.5000000000000001E-2</v>
      </c>
      <c r="CG94" s="258">
        <v>1.9200000000000002E-2</v>
      </c>
      <c r="CH94" s="258">
        <v>2.2922431595806634</v>
      </c>
      <c r="CI94" s="258">
        <v>3.9144999999999999</v>
      </c>
    </row>
    <row r="95" spans="1:87" x14ac:dyDescent="0.25">
      <c r="A95" s="723"/>
      <c r="B95" s="723"/>
      <c r="D95" s="31">
        <f t="shared" si="63"/>
        <v>39493</v>
      </c>
      <c r="F95" s="28">
        <f t="shared" si="64"/>
        <v>15000</v>
      </c>
      <c r="G95" s="28">
        <f t="shared" si="12"/>
        <v>10659.365230136707</v>
      </c>
      <c r="H95" s="52">
        <f t="shared" si="65"/>
        <v>3.983604193701209</v>
      </c>
      <c r="I95" s="52">
        <f t="shared" si="66"/>
        <v>4.0394999999999994</v>
      </c>
      <c r="K95" s="52">
        <f t="shared" si="55"/>
        <v>0.7562310700561059</v>
      </c>
      <c r="L95" s="135">
        <f t="shared" si="56"/>
        <v>1.0522818474682836</v>
      </c>
      <c r="N95" s="131">
        <f t="shared" si="57"/>
        <v>0.25232756153903657</v>
      </c>
      <c r="O95" s="131">
        <f t="shared" si="58"/>
        <v>0.25363224122892214</v>
      </c>
      <c r="P95" s="55">
        <f t="shared" si="59"/>
        <v>0.99777428413205915</v>
      </c>
      <c r="Q95" s="135">
        <f>_xll.xSPRDOPT(I95,H95,AQ95,0,O95,N95,P95,D95-$G$5,1,0)*AH95*AU95</f>
        <v>1.8085129175243895</v>
      </c>
      <c r="R95" s="135"/>
      <c r="S95" s="181">
        <f>_xll.xSPRDOPT(I95,H95,AQ95,AT95,O95,N95,P95,D95-$G$5,1,2)*AF95*(F95/(1-AR95))*AH95</f>
        <v>-182969.37697180649</v>
      </c>
      <c r="T95" s="181">
        <f>_xll.xSPRDOPT(I95,H95,AQ95,AT95,O95,N95,P95,D95-$G$5,1,1)*AF95*F95*AH95</f>
        <v>182682.33871549703</v>
      </c>
      <c r="U95" s="135"/>
      <c r="V95" s="146">
        <f t="shared" si="67"/>
        <v>2.1329389825503551</v>
      </c>
      <c r="W95" s="146"/>
      <c r="X95" s="338">
        <f t="shared" si="68"/>
        <v>0</v>
      </c>
      <c r="Y95" s="338">
        <f t="shared" si="13"/>
        <v>0</v>
      </c>
      <c r="Z95" s="338">
        <f t="shared" si="14"/>
        <v>-1.2964447806682156</v>
      </c>
      <c r="AA95" s="338">
        <f t="shared" si="15"/>
        <v>1.6412038925316712</v>
      </c>
      <c r="AB95" s="338">
        <f t="shared" si="69"/>
        <v>0</v>
      </c>
      <c r="AC95" s="338">
        <f t="shared" si="70"/>
        <v>12.517767093587095</v>
      </c>
      <c r="AF95" s="138">
        <f t="shared" si="71"/>
        <v>1</v>
      </c>
      <c r="AG95" s="138">
        <f t="shared" si="72"/>
        <v>2</v>
      </c>
      <c r="AH95" s="138">
        <f t="shared" si="53"/>
        <v>29</v>
      </c>
      <c r="AI95" s="138">
        <f t="shared" si="73"/>
        <v>2237</v>
      </c>
      <c r="AJ95" s="138">
        <f t="shared" si="74"/>
        <v>2254</v>
      </c>
      <c r="AL95" s="136">
        <f t="shared" si="17"/>
        <v>3.8294999999999999</v>
      </c>
      <c r="AM95" s="258">
        <f t="shared" si="18"/>
        <v>-1.9E-2</v>
      </c>
      <c r="AN95" s="258">
        <f t="shared" si="19"/>
        <v>5.7500000000000002E-2</v>
      </c>
      <c r="AO95" s="258">
        <f t="shared" si="20"/>
        <v>0.23499999999999999</v>
      </c>
      <c r="AP95" s="258">
        <f t="shared" si="21"/>
        <v>-2.4999999999999998E-2</v>
      </c>
      <c r="AQ95" s="136">
        <f t="shared" si="75"/>
        <v>1.9200000000000002E-2</v>
      </c>
      <c r="AR95" s="137">
        <f t="shared" si="22"/>
        <v>2.9020000000000001E-2</v>
      </c>
      <c r="AS95" s="136">
        <f t="shared" si="60"/>
        <v>3.8679999999999999</v>
      </c>
      <c r="AT95" s="137">
        <f t="shared" si="61"/>
        <v>5.62055448196963E-2</v>
      </c>
      <c r="AU95" s="137">
        <f t="shared" si="54"/>
        <v>0.7106243486757805</v>
      </c>
      <c r="AV95" s="394">
        <f t="shared" si="62"/>
        <v>9232.4315379957407</v>
      </c>
      <c r="AW95" s="137">
        <f t="shared" si="24"/>
        <v>0.24</v>
      </c>
      <c r="AX95" s="137">
        <f t="shared" si="25"/>
        <v>1</v>
      </c>
      <c r="AY95" s="137">
        <f t="shared" si="26"/>
        <v>1.05</v>
      </c>
      <c r="AZ95" s="137"/>
      <c r="BA95" s="264"/>
      <c r="BB95" s="258">
        <f t="shared" si="27"/>
        <v>0</v>
      </c>
      <c r="BC95" s="258">
        <f t="shared" si="76"/>
        <v>0</v>
      </c>
      <c r="BD95" s="137">
        <f t="shared" si="77"/>
        <v>1.6003737884018321E-5</v>
      </c>
      <c r="BE95" s="137">
        <f t="shared" si="78"/>
        <v>1.7653159865793633E-5</v>
      </c>
      <c r="BF95" s="137">
        <f>_xll.xSPRDOPT($BW95,$BV95,$CG95,0,$BY95,$BX95,$BZ95,$AJ95,1,4)*$CB95</f>
        <v>1.642303203596331</v>
      </c>
      <c r="BG95" s="137">
        <f>_xll.xSPRDOPT($BW95,$BV95,$CG95,0,$BY95,$BX95,$BZ95,$AJ95,1,3)*$CB95</f>
        <v>1.6127034583531412</v>
      </c>
      <c r="BH95" s="137">
        <f>IF(OR(BF95&lt;&gt;0,BG95&lt;&gt;0),_xll.xSPRDOPT($BW95,$BV95,$CG95,0,$BY95,$BX95,$BZ95,$AJ95,1,12)*$CB95,0)</f>
        <v>-1.6274263304765269</v>
      </c>
      <c r="BI95" s="137">
        <f>_xll.xSPRDOPT($BW95,$BV95,$CG95,2*LN(1+CA95/2),$BY95,$BX95,$BZ95,$AJ95,1,9)</f>
        <v>-3.6285552194564429E-4</v>
      </c>
      <c r="BJ95" s="137">
        <f>_xll.xSPRDOPT($BW95,$BV95,$CG95,0,$BY95,$BX95,$BZ95,$AJ95,1,6)*$CB95</f>
        <v>-0.31615701285335063</v>
      </c>
      <c r="BK95" s="137">
        <f>_xll.xSPRDOPT($BW95,$BV95,$CG95,0,$BY95,$BX95,$BZ95,$AJ95,1,5)*$CB95</f>
        <v>0.50033968664052597</v>
      </c>
      <c r="BL95" s="137">
        <f>_xll.xSPRDOPT(BW95,BV95,CG95,0,BY95,BX95,BZ95,AJ95,1,2)*CB95</f>
        <v>-0.41018216213657438</v>
      </c>
      <c r="BM95" s="137">
        <f>_xll.xSPRDOPT(BW95,BV95,CG95,0,BY95,BX95,BZ95,AJ95,1,1)*CB95</f>
        <v>0.42177864538525212</v>
      </c>
      <c r="BN95" s="137">
        <f>IF(AH95&lt;&gt;0,_xll.xSPRDOPT($BW95,$BV95,$CG95,2*LN(1+CA95/2),$BY95,$BX95,$BZ95,$AJ95,1,8)+(AJ95/365.25)*CH95/AH95,0)</f>
        <v>6.9004147781053515E-2</v>
      </c>
      <c r="BO95" s="137">
        <f>_xll.xSPRDOPT($BW95,$BV95,$CG95,0,$BY95,$BX95,$BZ95,$AJ95,1,0)</f>
        <v>8.7757664970034427E-2</v>
      </c>
      <c r="BP95" s="137"/>
      <c r="BQ95" s="137"/>
      <c r="BR95" s="137"/>
      <c r="BS95" s="137"/>
      <c r="BV95" s="262">
        <v>3.983604193701209</v>
      </c>
      <c r="BW95" s="136">
        <v>4.0394999999999994</v>
      </c>
      <c r="BX95" s="137">
        <v>0.25231155780115255</v>
      </c>
      <c r="BY95" s="137">
        <v>0.25361458806905635</v>
      </c>
      <c r="BZ95" s="137">
        <v>0.99777693420651459</v>
      </c>
      <c r="CA95" s="137">
        <v>5.62055448196963E-2</v>
      </c>
      <c r="CB95" s="137">
        <v>0.71030088966628802</v>
      </c>
      <c r="CC95" s="258">
        <v>-1.9E-2</v>
      </c>
      <c r="CD95" s="258">
        <v>5.7500000000000002E-2</v>
      </c>
      <c r="CE95" s="258">
        <v>0.23499999999999999</v>
      </c>
      <c r="CF95" s="258">
        <v>-2.5000000000000001E-2</v>
      </c>
      <c r="CG95" s="258">
        <v>1.9200000000000002E-2</v>
      </c>
      <c r="CH95" s="258">
        <v>2.1319681203333634</v>
      </c>
      <c r="CI95" s="258">
        <v>3.8294999999999999</v>
      </c>
    </row>
    <row r="96" spans="1:87" x14ac:dyDescent="0.25">
      <c r="A96" s="723"/>
      <c r="B96" s="723"/>
      <c r="D96" s="31">
        <f t="shared" si="63"/>
        <v>39522</v>
      </c>
      <c r="F96" s="28">
        <f t="shared" si="64"/>
        <v>15000</v>
      </c>
      <c r="G96" s="28">
        <f t="shared" si="12"/>
        <v>10601.470064974616</v>
      </c>
      <c r="H96" s="52">
        <f t="shared" si="65"/>
        <v>3.849718840758821</v>
      </c>
      <c r="I96" s="52">
        <f t="shared" si="66"/>
        <v>3.8694999999999999</v>
      </c>
      <c r="K96" s="52">
        <f t="shared" si="55"/>
        <v>1.2733027416573612E-2</v>
      </c>
      <c r="L96" s="135">
        <f t="shared" si="56"/>
        <v>1.0416090994623195</v>
      </c>
      <c r="N96" s="131">
        <f t="shared" si="57"/>
        <v>0.24222161904514466</v>
      </c>
      <c r="O96" s="131">
        <f t="shared" si="58"/>
        <v>0.24222161904514466</v>
      </c>
      <c r="P96" s="55">
        <f t="shared" si="59"/>
        <v>0.99869731941018358</v>
      </c>
      <c r="Q96" s="135">
        <f>_xll.xSPRDOPT(I96,H96,AQ96,0,O96,N96,P96,D96-$G$5,1,0)*AH96*AU96</f>
        <v>1.0543421268788931</v>
      </c>
      <c r="R96" s="135"/>
      <c r="S96" s="181">
        <f>_xll.xSPRDOPT(I96,H96,AQ96,AT96,O96,N96,P96,D96-$G$5,1,2)*AF96*(F96/(1-AR96))*AH96</f>
        <v>-167055.74699652576</v>
      </c>
      <c r="T96" s="181">
        <f>_xll.xSPRDOPT(I96,H96,AQ96,AT96,O96,N96,P96,D96-$G$5,1,1)*AF96*F96*AH96</f>
        <v>166215.59727138351</v>
      </c>
      <c r="U96" s="135"/>
      <c r="V96" s="146">
        <f t="shared" si="67"/>
        <v>2.2676544468980699</v>
      </c>
      <c r="W96" s="146"/>
      <c r="X96" s="338">
        <f t="shared" si="68"/>
        <v>0</v>
      </c>
      <c r="Y96" s="338">
        <f t="shared" si="13"/>
        <v>0</v>
      </c>
      <c r="Z96" s="338">
        <f t="shared" si="14"/>
        <v>-3.1245673450202522</v>
      </c>
      <c r="AA96" s="338">
        <f t="shared" si="15"/>
        <v>0.60719772863137622</v>
      </c>
      <c r="AB96" s="338">
        <f t="shared" si="69"/>
        <v>0</v>
      </c>
      <c r="AC96" s="338">
        <f t="shared" si="70"/>
        <v>7.3200912942755334</v>
      </c>
      <c r="AF96" s="138">
        <f t="shared" si="71"/>
        <v>1</v>
      </c>
      <c r="AG96" s="138">
        <f t="shared" si="72"/>
        <v>3</v>
      </c>
      <c r="AH96" s="138">
        <f t="shared" si="53"/>
        <v>31</v>
      </c>
      <c r="AI96" s="138">
        <f t="shared" si="73"/>
        <v>2266</v>
      </c>
      <c r="AJ96" s="138">
        <f t="shared" si="74"/>
        <v>2283</v>
      </c>
      <c r="AL96" s="136">
        <f t="shared" si="17"/>
        <v>3.6995</v>
      </c>
      <c r="AM96" s="258">
        <f t="shared" si="18"/>
        <v>-1.9E-2</v>
      </c>
      <c r="AN96" s="258">
        <f t="shared" si="19"/>
        <v>5.7500000000000002E-2</v>
      </c>
      <c r="AO96" s="258">
        <f t="shared" si="20"/>
        <v>0.19500000000000001</v>
      </c>
      <c r="AP96" s="258">
        <f t="shared" si="21"/>
        <v>-2.4999999999999998E-2</v>
      </c>
      <c r="AQ96" s="136">
        <f t="shared" si="75"/>
        <v>1.9200000000000002E-2</v>
      </c>
      <c r="AR96" s="137">
        <f t="shared" si="22"/>
        <v>2.9020000000000001E-2</v>
      </c>
      <c r="AS96" s="136">
        <f t="shared" si="60"/>
        <v>3.738</v>
      </c>
      <c r="AT96" s="137">
        <f t="shared" si="61"/>
        <v>5.6377688996458002E-2</v>
      </c>
      <c r="AU96" s="137">
        <f t="shared" si="54"/>
        <v>0.70676467099830764</v>
      </c>
      <c r="AV96" s="394">
        <f t="shared" si="62"/>
        <v>9815.5477508244967</v>
      </c>
      <c r="AW96" s="137">
        <f t="shared" si="24"/>
        <v>0.23499999999999999</v>
      </c>
      <c r="AX96" s="137">
        <f t="shared" si="25"/>
        <v>0.75</v>
      </c>
      <c r="AY96" s="137">
        <f t="shared" si="26"/>
        <v>0.75</v>
      </c>
      <c r="AZ96" s="137"/>
      <c r="BA96" s="264"/>
      <c r="BB96" s="258">
        <f t="shared" si="27"/>
        <v>0</v>
      </c>
      <c r="BC96" s="258">
        <f t="shared" si="76"/>
        <v>0</v>
      </c>
      <c r="BD96" s="137">
        <f t="shared" si="77"/>
        <v>9.3422235172835322E-6</v>
      </c>
      <c r="BE96" s="137">
        <f t="shared" si="78"/>
        <v>9.3422235172835322E-6</v>
      </c>
      <c r="BF96" s="137">
        <f>_xll.xSPRDOPT($BW96,$BV96,$CG96,0,$BY96,$BX96,$BZ96,$AJ96,1,4)*$CB96</f>
        <v>2.3508946034717821</v>
      </c>
      <c r="BG96" s="137">
        <f>_xll.xSPRDOPT($BW96,$BV96,$CG96,0,$BY96,$BX96,$BZ96,$AJ96,1,3)*$CB96</f>
        <v>2.3500126023618195</v>
      </c>
      <c r="BH96" s="137">
        <f>IF(OR(BF96&lt;&gt;0,BG96&lt;&gt;0),_xll.xSPRDOPT($BW96,$BV96,$CG96,0,$BY96,$BX96,$BZ96,$AJ96,1,12)*$CB96,0)</f>
        <v>-2.3504435560259398</v>
      </c>
      <c r="BI96" s="137">
        <f>_xll.xSPRDOPT($BW96,$BV96,$CG96,2*LN(1+CA96/2),$BY96,$BX96,$BZ96,$AJ96,1,9)</f>
        <v>-8.1809908442196928E-4</v>
      </c>
      <c r="BJ96" s="137">
        <f>_xll.xSPRDOPT($BW96,$BV96,$CG96,0,$BY96,$BX96,$BZ96,$AJ96,1,6)*$CB96</f>
        <v>-0.19175493628739343</v>
      </c>
      <c r="BK96" s="137">
        <f>_xll.xSPRDOPT($BW96,$BV96,$CG96,0,$BY96,$BX96,$BZ96,$AJ96,1,5)*$CB96</f>
        <v>0.33152910937727986</v>
      </c>
      <c r="BL96" s="137">
        <f>_xll.xSPRDOPT(BW96,BV96,CG96,0,BY96,BX96,BZ96,AJ96,1,2)*CB96</f>
        <v>-0.35037688637434788</v>
      </c>
      <c r="BM96" s="137">
        <f>_xll.xSPRDOPT(BW96,BV96,CG96,0,BY96,BX96,BZ96,AJ96,1,1)*CB96</f>
        <v>0.35903387822905547</v>
      </c>
      <c r="BN96" s="137">
        <f>IF(AH96&lt;&gt;0,_xll.xSPRDOPT($BW96,$BV96,$CG96,2*LN(1+CA96/2),$BY96,$BX96,$BZ96,$AJ96,1,8)+(AJ96/365.25)*CH96/AH96,0)</f>
        <v>0.24452600972696212</v>
      </c>
      <c r="BO96" s="137">
        <f>_xll.xSPRDOPT($BW96,$BV96,$CG96,0,$BY96,$BX96,$BZ96,$AJ96,1,0)</f>
        <v>4.8122561391536721E-2</v>
      </c>
      <c r="BP96" s="137"/>
      <c r="BQ96" s="137"/>
      <c r="BR96" s="137"/>
      <c r="BS96" s="137"/>
      <c r="BV96" s="262">
        <v>3.849718840758821</v>
      </c>
      <c r="BW96" s="136">
        <v>3.8694999999999999</v>
      </c>
      <c r="BX96" s="137">
        <v>0.24221227682162738</v>
      </c>
      <c r="BY96" s="137">
        <v>0.24221227682162738</v>
      </c>
      <c r="BZ96" s="137">
        <v>0.99869892972746899</v>
      </c>
      <c r="CA96" s="137">
        <v>5.6377688996458002E-2</v>
      </c>
      <c r="CB96" s="137">
        <v>0.70644199731475499</v>
      </c>
      <c r="CC96" s="258">
        <v>-1.9E-2</v>
      </c>
      <c r="CD96" s="258">
        <v>5.7500000000000002E-2</v>
      </c>
      <c r="CE96" s="258">
        <v>0.19500000000000001</v>
      </c>
      <c r="CF96" s="258">
        <v>-2.5000000000000001E-2</v>
      </c>
      <c r="CG96" s="258">
        <v>1.9200000000000002E-2</v>
      </c>
      <c r="CH96" s="258">
        <v>2.2666191483843914</v>
      </c>
      <c r="CI96" s="258">
        <v>3.6995</v>
      </c>
    </row>
    <row r="97" spans="1:87" x14ac:dyDescent="0.25">
      <c r="A97" s="723"/>
      <c r="B97" s="723"/>
      <c r="D97" s="31">
        <f t="shared" si="63"/>
        <v>39553</v>
      </c>
      <c r="F97" s="28">
        <f t="shared" si="64"/>
        <v>15000</v>
      </c>
      <c r="G97" s="28">
        <f t="shared" si="12"/>
        <v>10539.620967502047</v>
      </c>
      <c r="H97" s="52">
        <f t="shared" si="65"/>
        <v>3.6591896846484997</v>
      </c>
      <c r="I97" s="52">
        <f t="shared" si="66"/>
        <v>3.6345000000000001</v>
      </c>
      <c r="K97" s="52">
        <f t="shared" si="55"/>
        <v>0</v>
      </c>
      <c r="L97" s="135">
        <f t="shared" si="56"/>
        <v>0.25164311949035484</v>
      </c>
      <c r="N97" s="131">
        <f t="shared" si="57"/>
        <v>0.23150562183492754</v>
      </c>
      <c r="O97" s="131">
        <f t="shared" si="58"/>
        <v>0.23210038396197047</v>
      </c>
      <c r="P97" s="55">
        <f t="shared" si="59"/>
        <v>0.99941768265901298</v>
      </c>
      <c r="Q97" s="135">
        <f>_xll.xSPRDOPT(I97,H97,AQ97,0,O97,N97,P97,D97-$G$5,1,0)*AH97*AU97</f>
        <v>0.25164311949035484</v>
      </c>
      <c r="R97" s="135"/>
      <c r="S97" s="181">
        <f>_xll.xSPRDOPT(I97,H97,AQ97,AT97,O97,N97,P97,D97-$G$5,1,2)*AF97*(F97/(1-AR97))*AH97</f>
        <v>-60480.480210766029</v>
      </c>
      <c r="T97" s="181">
        <f>_xll.xSPRDOPT(I97,H97,AQ97,AT97,O97,N97,P97,D97-$G$5,1,1)*AF97*F97*AH97</f>
        <v>60436.085666653067</v>
      </c>
      <c r="U97" s="135"/>
      <c r="V97" s="146">
        <f t="shared" si="67"/>
        <v>2.1817015402729236</v>
      </c>
      <c r="W97" s="146"/>
      <c r="X97" s="338">
        <f t="shared" si="68"/>
        <v>0</v>
      </c>
      <c r="Y97" s="338">
        <f t="shared" si="13"/>
        <v>0</v>
      </c>
      <c r="Z97" s="338">
        <f t="shared" si="14"/>
        <v>-3.2807242227870939</v>
      </c>
      <c r="AA97" s="338">
        <f t="shared" si="15"/>
        <v>0.23451784684922505</v>
      </c>
      <c r="AB97" s="338">
        <f t="shared" si="69"/>
        <v>0</v>
      </c>
      <c r="AC97" s="338">
        <f t="shared" si="70"/>
        <v>1.7524347483061853</v>
      </c>
      <c r="AF97" s="138">
        <f t="shared" si="71"/>
        <v>1</v>
      </c>
      <c r="AG97" s="138">
        <f t="shared" si="72"/>
        <v>4</v>
      </c>
      <c r="AH97" s="138">
        <f t="shared" si="53"/>
        <v>30</v>
      </c>
      <c r="AI97" s="138">
        <f t="shared" si="73"/>
        <v>2297</v>
      </c>
      <c r="AJ97" s="138">
        <f t="shared" si="74"/>
        <v>2314</v>
      </c>
      <c r="AL97" s="136">
        <f t="shared" si="17"/>
        <v>3.5145</v>
      </c>
      <c r="AM97" s="258">
        <f t="shared" si="18"/>
        <v>-1.9E-2</v>
      </c>
      <c r="AN97" s="258">
        <f t="shared" si="19"/>
        <v>5.7500000000000002E-2</v>
      </c>
      <c r="AO97" s="258">
        <f t="shared" si="20"/>
        <v>0.14499999999999999</v>
      </c>
      <c r="AP97" s="258">
        <f t="shared" si="21"/>
        <v>-2.4999999999999998E-2</v>
      </c>
      <c r="AQ97" s="136">
        <f t="shared" si="75"/>
        <v>1.9200000000000002E-2</v>
      </c>
      <c r="AR97" s="137">
        <f t="shared" si="22"/>
        <v>2.9020000000000001E-2</v>
      </c>
      <c r="AS97" s="136">
        <f t="shared" si="60"/>
        <v>3.5529999999999999</v>
      </c>
      <c r="AT97" s="137">
        <f t="shared" si="61"/>
        <v>5.6561705196317202E-2</v>
      </c>
      <c r="AU97" s="137">
        <f t="shared" si="54"/>
        <v>0.70264139783346979</v>
      </c>
      <c r="AV97" s="394">
        <f t="shared" si="62"/>
        <v>9443.5003868818349</v>
      </c>
      <c r="AW97" s="137">
        <f t="shared" si="24"/>
        <v>0.23</v>
      </c>
      <c r="AX97" s="137">
        <f t="shared" si="25"/>
        <v>0.4</v>
      </c>
      <c r="AY97" s="137">
        <f t="shared" si="26"/>
        <v>0.45</v>
      </c>
      <c r="AZ97" s="137"/>
      <c r="BA97" s="264"/>
      <c r="BB97" s="258">
        <f t="shared" si="27"/>
        <v>0</v>
      </c>
      <c r="BC97" s="258">
        <f t="shared" si="76"/>
        <v>0</v>
      </c>
      <c r="BD97" s="137">
        <f t="shared" si="77"/>
        <v>1.9447932846361482E-6</v>
      </c>
      <c r="BE97" s="137">
        <f t="shared" si="78"/>
        <v>2.7095799040866009E-6</v>
      </c>
      <c r="BF97" s="137">
        <f>_xll.xSPRDOPT($BW97,$BV97,$CG97,0,$BY97,$BX97,$BZ97,$AJ97,1,4)*$CB97</f>
        <v>1.5048356467023178</v>
      </c>
      <c r="BG97" s="137">
        <f>_xll.xSPRDOPT($BW97,$BV97,$CG97,0,$BY97,$BX97,$BZ97,$AJ97,1,3)*$CB97</f>
        <v>1.5405208218400845</v>
      </c>
      <c r="BH97" s="137">
        <f>IF(OR(BF97&lt;&gt;0,BG97&lt;&gt;0),_xll.xSPRDOPT($BW97,$BV97,$CG97,0,$BY97,$BX97,$BZ97,$AJ97,1,12)*$CB97,0)</f>
        <v>-1.5225678826897391</v>
      </c>
      <c r="BI97" s="137">
        <f>_xll.xSPRDOPT($BW97,$BV97,$CG97,2*LN(1+CA97/2),$BY97,$BX97,$BZ97,$AJ97,1,9)</f>
        <v>-8.8761816472073039E-4</v>
      </c>
      <c r="BJ97" s="137">
        <f>_xll.xSPRDOPT($BW97,$BV97,$CG97,0,$BY97,$BX97,$BZ97,$AJ97,1,6)*$CB97</f>
        <v>-0.41670500514794118</v>
      </c>
      <c r="BK97" s="137">
        <f>_xll.xSPRDOPT($BW97,$BV97,$CG97,0,$BY97,$BX97,$BZ97,$AJ97,1,5)*$CB97</f>
        <v>0.49142520744776141</v>
      </c>
      <c r="BL97" s="137">
        <f>_xll.xSPRDOPT(BW97,BV97,CG97,0,BY97,BX97,BZ97,AJ97,1,2)*CB97</f>
        <v>-0.13096473518065233</v>
      </c>
      <c r="BM97" s="137">
        <f>_xll.xSPRDOPT(BW97,BV97,CG97,0,BY97,BX97,BZ97,AJ97,1,1)*CB97</f>
        <v>0.13478164355126401</v>
      </c>
      <c r="BN97" s="137">
        <f>IF(AH97&lt;&gt;0,_xll.xSPRDOPT($BW97,$BV97,$CG97,2*LN(1+CA97/2),$BY97,$BX97,$BZ97,$AJ97,1,8)+(AJ97/365.25)*CH97/AH97,0)</f>
        <v>0.40365746582262291</v>
      </c>
      <c r="BO97" s="137">
        <f>_xll.xSPRDOPT($BW97,$BV97,$CG97,0,$BY97,$BX97,$BZ97,$AJ97,1,0)</f>
        <v>1.1935511772815408E-2</v>
      </c>
      <c r="BP97" s="137"/>
      <c r="BQ97" s="137"/>
      <c r="BR97" s="137"/>
      <c r="BS97" s="137"/>
      <c r="BV97" s="262">
        <v>3.6591896846484997</v>
      </c>
      <c r="BW97" s="136">
        <v>3.6345000000000001</v>
      </c>
      <c r="BX97" s="137">
        <v>0.2315036770416429</v>
      </c>
      <c r="BY97" s="137">
        <v>0.23209767438206638</v>
      </c>
      <c r="BZ97" s="137">
        <v>0.99941842141265802</v>
      </c>
      <c r="CA97" s="137">
        <v>5.6561705196317202E-2</v>
      </c>
      <c r="CB97" s="137">
        <v>0.70231957427498137</v>
      </c>
      <c r="CC97" s="258">
        <v>-1.9E-2</v>
      </c>
      <c r="CD97" s="258">
        <v>5.7500000000000002E-2</v>
      </c>
      <c r="CE97" s="258">
        <v>0.14499999999999999</v>
      </c>
      <c r="CF97" s="258">
        <v>-2.5000000000000001E-2</v>
      </c>
      <c r="CG97" s="258">
        <v>1.9200000000000002E-2</v>
      </c>
      <c r="CH97" s="258">
        <v>2.180702278123817</v>
      </c>
      <c r="CI97" s="258">
        <v>3.5145</v>
      </c>
    </row>
    <row r="98" spans="1:87" x14ac:dyDescent="0.25">
      <c r="A98" s="723"/>
      <c r="B98" s="723"/>
      <c r="D98" s="31">
        <f t="shared" si="63"/>
        <v>39583</v>
      </c>
      <c r="F98" s="28">
        <f t="shared" si="64"/>
        <v>15000</v>
      </c>
      <c r="G98" s="28">
        <f t="shared" si="12"/>
        <v>10479.808478266132</v>
      </c>
      <c r="H98" s="52">
        <f t="shared" si="65"/>
        <v>3.6540402479968694</v>
      </c>
      <c r="I98" s="52">
        <f t="shared" si="66"/>
        <v>3.6095000000000002</v>
      </c>
      <c r="K98" s="52">
        <f t="shared" si="55"/>
        <v>0</v>
      </c>
      <c r="L98" s="135">
        <f t="shared" si="56"/>
        <v>0.15761373295778017</v>
      </c>
      <c r="N98" s="131">
        <f t="shared" si="57"/>
        <v>0.23214194494760204</v>
      </c>
      <c r="O98" s="131">
        <f t="shared" si="58"/>
        <v>0.23214194494760204</v>
      </c>
      <c r="P98" s="55">
        <f t="shared" si="59"/>
        <v>0.99950272126923123</v>
      </c>
      <c r="Q98" s="135">
        <f>_xll.xSPRDOPT(I98,H98,AQ98,0,O98,N98,P98,D98-$G$5,1,0)*AH98*AU98</f>
        <v>0.15761373295778017</v>
      </c>
      <c r="R98" s="135"/>
      <c r="S98" s="181">
        <f>_xll.xSPRDOPT(I98,H98,AQ98,AT98,O98,N98,P98,D98-$G$5,1,2)*AF98*(F98/(1-AR98))*AH98</f>
        <v>-41354.678496848683</v>
      </c>
      <c r="T98" s="181">
        <f>_xll.xSPRDOPT(I98,H98,AQ98,AT98,O98,N98,P98,D98-$G$5,1,1)*AF98*F98*AH98</f>
        <v>41498.5715588436</v>
      </c>
      <c r="U98" s="135"/>
      <c r="V98" s="146">
        <f t="shared" si="67"/>
        <v>2.2416310335011254</v>
      </c>
      <c r="W98" s="146"/>
      <c r="X98" s="338">
        <f t="shared" si="68"/>
        <v>0</v>
      </c>
      <c r="Y98" s="338">
        <f t="shared" si="13"/>
        <v>0</v>
      </c>
      <c r="Z98" s="338">
        <f t="shared" si="14"/>
        <v>-2.7143365287148278</v>
      </c>
      <c r="AA98" s="338">
        <f t="shared" si="15"/>
        <v>6.7501142333315126E-2</v>
      </c>
      <c r="AB98" s="338">
        <f t="shared" si="69"/>
        <v>0</v>
      </c>
      <c r="AC98" s="338">
        <f t="shared" si="70"/>
        <v>1.1013738301990492</v>
      </c>
      <c r="AF98" s="138">
        <f t="shared" si="71"/>
        <v>1</v>
      </c>
      <c r="AG98" s="138">
        <f t="shared" si="72"/>
        <v>5</v>
      </c>
      <c r="AH98" s="138">
        <f t="shared" si="53"/>
        <v>31</v>
      </c>
      <c r="AI98" s="138">
        <f t="shared" si="73"/>
        <v>2327</v>
      </c>
      <c r="AJ98" s="138">
        <f t="shared" si="74"/>
        <v>2344</v>
      </c>
      <c r="AL98" s="136">
        <f t="shared" si="17"/>
        <v>3.5095000000000001</v>
      </c>
      <c r="AM98" s="258">
        <f t="shared" si="18"/>
        <v>-1.9E-2</v>
      </c>
      <c r="AN98" s="258">
        <f t="shared" si="19"/>
        <v>5.7500000000000002E-2</v>
      </c>
      <c r="AO98" s="258">
        <f t="shared" si="20"/>
        <v>0.125</v>
      </c>
      <c r="AP98" s="258">
        <f t="shared" si="21"/>
        <v>-2.4999999999999998E-2</v>
      </c>
      <c r="AQ98" s="136">
        <f t="shared" si="75"/>
        <v>1.9200000000000002E-2</v>
      </c>
      <c r="AR98" s="137">
        <f t="shared" si="22"/>
        <v>2.9020000000000001E-2</v>
      </c>
      <c r="AS98" s="136">
        <f t="shared" si="60"/>
        <v>3.548</v>
      </c>
      <c r="AT98" s="137">
        <f t="shared" si="61"/>
        <v>5.6739785400459201E-2</v>
      </c>
      <c r="AU98" s="137">
        <f t="shared" si="54"/>
        <v>0.6986538985510754</v>
      </c>
      <c r="AV98" s="394">
        <f t="shared" si="62"/>
        <v>9702.9053430773347</v>
      </c>
      <c r="AW98" s="137">
        <f t="shared" si="24"/>
        <v>0.23</v>
      </c>
      <c r="AX98" s="137">
        <f t="shared" si="25"/>
        <v>0.45</v>
      </c>
      <c r="AY98" s="137">
        <f t="shared" si="26"/>
        <v>0.45</v>
      </c>
      <c r="AZ98" s="137"/>
      <c r="BA98" s="264"/>
      <c r="BB98" s="258">
        <f t="shared" si="27"/>
        <v>0</v>
      </c>
      <c r="BC98" s="258">
        <f t="shared" si="76"/>
        <v>0</v>
      </c>
      <c r="BD98" s="137">
        <f t="shared" si="77"/>
        <v>2.7270207721141748E-6</v>
      </c>
      <c r="BE98" s="137">
        <f t="shared" si="78"/>
        <v>2.7270207721141748E-6</v>
      </c>
      <c r="BF98" s="137">
        <f>_xll.xSPRDOPT($BW98,$BV98,$CG98,0,$BY98,$BX98,$BZ98,$AJ98,1,4)*$CB98</f>
        <v>1.1357132459751218</v>
      </c>
      <c r="BG98" s="137">
        <f>_xll.xSPRDOPT($BW98,$BV98,$CG98,0,$BY98,$BX98,$BZ98,$AJ98,1,3)*$CB98</f>
        <v>1.175570995435935</v>
      </c>
      <c r="BH98" s="137">
        <f>IF(OR(BF98&lt;&gt;0,BG98&lt;&gt;0),_xll.xSPRDOPT($BW98,$BV98,$CG98,0,$BY98,$BX98,$BZ98,$AJ98,1,12)*$CB98,0)</f>
        <v>-1.1554657651319307</v>
      </c>
      <c r="BI98" s="137">
        <f>_xll.xSPRDOPT($BW98,$BV98,$CG98,2*LN(1+CA98/2),$BY98,$BX98,$BZ98,$AJ98,1,9)</f>
        <v>-7.1068918789468877E-4</v>
      </c>
      <c r="BJ98" s="137">
        <f>_xll.xSPRDOPT($BW98,$BV98,$CG98,0,$BY98,$BX98,$BZ98,$AJ98,1,6)*$CB98</f>
        <v>-0.21995670240046983</v>
      </c>
      <c r="BK98" s="137">
        <f>_xll.xSPRDOPT($BW98,$BV98,$CG98,0,$BY98,$BX98,$BZ98,$AJ98,1,5)*$CB98</f>
        <v>0.27318832734362158</v>
      </c>
      <c r="BL98" s="137">
        <f>_xll.xSPRDOPT(BW98,BV98,CG98,0,BY98,BX98,BZ98,AJ98,1,2)*CB98</f>
        <v>-8.6688580277989466E-2</v>
      </c>
      <c r="BM98" s="137">
        <f>_xll.xSPRDOPT(BW98,BV98,CG98,0,BY98,BX98,BZ98,AJ98,1,1)*CB98</f>
        <v>8.9591229209088283E-2</v>
      </c>
      <c r="BN98" s="137">
        <f>IF(AH98&lt;&gt;0,_xll.xSPRDOPT($BW98,$BV98,$CG98,2*LN(1+CA98/2),$BY98,$BX98,$BZ98,$AJ98,1,8)+(AJ98/365.25)*CH98/AH98,0)</f>
        <v>0.43492844818615523</v>
      </c>
      <c r="BO98" s="137">
        <f>_xll.xSPRDOPT($BW98,$BV98,$CG98,0,$BY98,$BX98,$BZ98,$AJ98,1,0)</f>
        <v>7.2778076473296463E-3</v>
      </c>
      <c r="BP98" s="137"/>
      <c r="BQ98" s="137"/>
      <c r="BR98" s="137"/>
      <c r="BS98" s="137"/>
      <c r="BV98" s="262">
        <v>3.6540402479968694</v>
      </c>
      <c r="BW98" s="136">
        <v>3.6095000000000002</v>
      </c>
      <c r="BX98" s="137">
        <v>0.23213921792682993</v>
      </c>
      <c r="BY98" s="137">
        <v>0.23213921792682993</v>
      </c>
      <c r="BZ98" s="137">
        <v>0.99950334564255527</v>
      </c>
      <c r="CA98" s="137">
        <v>5.6739785400459201E-2</v>
      </c>
      <c r="CB98" s="137">
        <v>0.69833290804898285</v>
      </c>
      <c r="CC98" s="258">
        <v>-1.9E-2</v>
      </c>
      <c r="CD98" s="258">
        <v>5.7500000000000002E-2</v>
      </c>
      <c r="CE98" s="258">
        <v>0.125</v>
      </c>
      <c r="CF98" s="258">
        <v>-2.5000000000000001E-2</v>
      </c>
      <c r="CG98" s="258">
        <v>1.9200000000000002E-2</v>
      </c>
      <c r="CH98" s="258">
        <v>2.2406011354751616</v>
      </c>
      <c r="CI98" s="258">
        <v>3.5095000000000001</v>
      </c>
    </row>
    <row r="99" spans="1:87" x14ac:dyDescent="0.25">
      <c r="A99" s="723"/>
      <c r="B99" s="723"/>
      <c r="D99" s="31">
        <f t="shared" si="63"/>
        <v>39614</v>
      </c>
      <c r="F99" s="28">
        <f t="shared" si="64"/>
        <v>15000</v>
      </c>
      <c r="G99" s="28">
        <f t="shared" si="12"/>
        <v>10418.048522397099</v>
      </c>
      <c r="H99" s="52">
        <f t="shared" si="65"/>
        <v>3.6900863045582817</v>
      </c>
      <c r="I99" s="52">
        <f t="shared" si="66"/>
        <v>3.6645000000000003</v>
      </c>
      <c r="K99" s="52">
        <f t="shared" si="55"/>
        <v>0</v>
      </c>
      <c r="L99" s="135">
        <f t="shared" si="56"/>
        <v>0.29380692863439523</v>
      </c>
      <c r="N99" s="131">
        <f t="shared" si="57"/>
        <v>0.23204662986642166</v>
      </c>
      <c r="O99" s="131">
        <f t="shared" si="58"/>
        <v>0.2326926970853721</v>
      </c>
      <c r="P99" s="55">
        <f t="shared" si="59"/>
        <v>0.99933072833924275</v>
      </c>
      <c r="Q99" s="135">
        <f>_xll.xSPRDOPT(I99,H99,AQ99,0,O99,N99,P99,D99-$G$5,1,0)*AH99*AU99</f>
        <v>0.29380692863439523</v>
      </c>
      <c r="R99" s="135"/>
      <c r="S99" s="181">
        <f>_xll.xSPRDOPT(I99,H99,AQ99,AT99,O99,N99,P99,D99-$G$5,1,2)*AF99*(F99/(1-AR99))*AH99</f>
        <v>-68831.060001745238</v>
      </c>
      <c r="T99" s="181">
        <f>_xll.xSPRDOPT(I99,H99,AQ99,AT99,O99,N99,P99,D99-$G$5,1,1)*AF99*F99*AH99</f>
        <v>68809.589710155022</v>
      </c>
      <c r="U99" s="135"/>
      <c r="V99" s="146">
        <f t="shared" si="67"/>
        <v>2.1565360441361996</v>
      </c>
      <c r="W99" s="146"/>
      <c r="X99" s="338">
        <f t="shared" si="68"/>
        <v>0</v>
      </c>
      <c r="Y99" s="338">
        <f t="shared" si="13"/>
        <v>0</v>
      </c>
      <c r="Z99" s="338">
        <f t="shared" si="14"/>
        <v>-3.3866673018206215</v>
      </c>
      <c r="AA99" s="338">
        <f t="shared" si="15"/>
        <v>0.27452570034474666</v>
      </c>
      <c r="AB99" s="338">
        <f t="shared" si="69"/>
        <v>0</v>
      </c>
      <c r="AC99" s="338">
        <f t="shared" si="70"/>
        <v>2.0591592673480723</v>
      </c>
      <c r="AF99" s="138">
        <f t="shared" si="71"/>
        <v>1</v>
      </c>
      <c r="AG99" s="138">
        <f t="shared" si="72"/>
        <v>6</v>
      </c>
      <c r="AH99" s="138">
        <f t="shared" si="53"/>
        <v>30</v>
      </c>
      <c r="AI99" s="138">
        <f t="shared" si="73"/>
        <v>2358</v>
      </c>
      <c r="AJ99" s="138">
        <f t="shared" si="74"/>
        <v>2375</v>
      </c>
      <c r="AL99" s="136">
        <f t="shared" si="17"/>
        <v>3.5445000000000002</v>
      </c>
      <c r="AM99" s="258">
        <f t="shared" si="18"/>
        <v>-1.9E-2</v>
      </c>
      <c r="AN99" s="258">
        <f t="shared" si="19"/>
        <v>5.7500000000000002E-2</v>
      </c>
      <c r="AO99" s="258">
        <f t="shared" si="20"/>
        <v>0.14499999999999999</v>
      </c>
      <c r="AP99" s="258">
        <f t="shared" si="21"/>
        <v>-2.4999999999999998E-2</v>
      </c>
      <c r="AQ99" s="136">
        <f t="shared" si="75"/>
        <v>1.9200000000000002E-2</v>
      </c>
      <c r="AR99" s="137">
        <f t="shared" si="22"/>
        <v>2.9020000000000001E-2</v>
      </c>
      <c r="AS99" s="136">
        <f t="shared" si="60"/>
        <v>3.5830000000000002</v>
      </c>
      <c r="AT99" s="137">
        <f t="shared" si="61"/>
        <v>5.6923801622493997E-2</v>
      </c>
      <c r="AU99" s="137">
        <f t="shared" si="54"/>
        <v>0.69453656815980658</v>
      </c>
      <c r="AV99" s="394">
        <f t="shared" si="62"/>
        <v>9334.5714760678002</v>
      </c>
      <c r="AW99" s="137">
        <f t="shared" si="24"/>
        <v>0.23</v>
      </c>
      <c r="AX99" s="137">
        <f t="shared" si="25"/>
        <v>0.45</v>
      </c>
      <c r="AY99" s="137">
        <f t="shared" si="26"/>
        <v>0.5</v>
      </c>
      <c r="AZ99" s="137"/>
      <c r="BA99" s="264"/>
      <c r="BB99" s="258">
        <f t="shared" si="27"/>
        <v>0</v>
      </c>
      <c r="BC99" s="258">
        <f t="shared" si="76"/>
        <v>0</v>
      </c>
      <c r="BD99" s="137">
        <f t="shared" si="77"/>
        <v>2.5727469935010738E-6</v>
      </c>
      <c r="BE99" s="137">
        <f t="shared" si="78"/>
        <v>3.3802231272361816E-6</v>
      </c>
      <c r="BF99" s="137">
        <f>_xll.xSPRDOPT($BW99,$BV99,$CG99,0,$BY99,$BX99,$BZ99,$AJ99,1,4)*$CB99</f>
        <v>1.6697388242539015</v>
      </c>
      <c r="BG99" s="137">
        <f>_xll.xSPRDOPT($BW99,$BV99,$CG99,0,$BY99,$BX99,$BZ99,$AJ99,1,3)*$CB99</f>
        <v>1.7097974879755069</v>
      </c>
      <c r="BH99" s="137">
        <f>IF(OR(BF99&lt;&gt;0,BG99&lt;&gt;0),_xll.xSPRDOPT($BW99,$BV99,$CG99,0,$BY99,$BX99,$BZ99,$AJ99,1,12)*$CB99,0)</f>
        <v>-1.6896428410769833</v>
      </c>
      <c r="BI99" s="137">
        <f>_xll.xSPRDOPT($BW99,$BV99,$CG99,2*LN(1+CA99/2),$BY99,$BX99,$BZ99,$AJ99,1,9)</f>
        <v>-9.1628165332591259E-4</v>
      </c>
      <c r="BJ99" s="137">
        <f>_xll.xSPRDOPT($BW99,$BV99,$CG99,0,$BY99,$BX99,$BZ99,$AJ99,1,6)*$CB99</f>
        <v>-0.40972237729599986</v>
      </c>
      <c r="BK99" s="137">
        <f>_xll.xSPRDOPT($BW99,$BV99,$CG99,0,$BY99,$BX99,$BZ99,$AJ99,1,5)*$CB99</f>
        <v>0.49232522931002748</v>
      </c>
      <c r="BL99" s="137">
        <f>_xll.xSPRDOPT(BW99,BV99,CG99,0,BY99,BX99,BZ99,AJ99,1,2)*CB99</f>
        <v>-0.14907963801358154</v>
      </c>
      <c r="BM99" s="137">
        <f>_xll.xSPRDOPT(BW99,BV99,CG99,0,BY99,BX99,BZ99,AJ99,1,1)*CB99</f>
        <v>0.15348927867700898</v>
      </c>
      <c r="BN99" s="137">
        <f>IF(AH99&lt;&gt;0,_xll.xSPRDOPT($BW99,$BV99,$CG99,2*LN(1+CA99/2),$BY99,$BX99,$BZ99,$AJ99,1,8)+(AJ99/365.25)*CH99/AH99,0)</f>
        <v>0.39977908436042375</v>
      </c>
      <c r="BO99" s="137">
        <f>_xll.xSPRDOPT($BW99,$BV99,$CG99,0,$BY99,$BX99,$BZ99,$AJ99,1,0)</f>
        <v>1.4098002998093207E-2</v>
      </c>
      <c r="BP99" s="137"/>
      <c r="BQ99" s="137"/>
      <c r="BR99" s="137"/>
      <c r="BS99" s="137"/>
      <c r="BV99" s="262">
        <v>3.6900863045582817</v>
      </c>
      <c r="BW99" s="136">
        <v>3.6645000000000003</v>
      </c>
      <c r="BX99" s="137">
        <v>0.23204405711942816</v>
      </c>
      <c r="BY99" s="137">
        <v>0.23268931686224487</v>
      </c>
      <c r="BZ99" s="137">
        <v>0.99933155148253272</v>
      </c>
      <c r="CA99" s="137">
        <v>5.6923801622493997E-2</v>
      </c>
      <c r="CB99" s="137">
        <v>0.69421644906323099</v>
      </c>
      <c r="CC99" s="258">
        <v>-1.9E-2</v>
      </c>
      <c r="CD99" s="258">
        <v>5.7500000000000002E-2</v>
      </c>
      <c r="CE99" s="258">
        <v>0.14499999999999999</v>
      </c>
      <c r="CF99" s="258">
        <v>-2.5000000000000001E-2</v>
      </c>
      <c r="CG99" s="258">
        <v>1.9200000000000002E-2</v>
      </c>
      <c r="CH99" s="258">
        <v>2.1555420743413323</v>
      </c>
      <c r="CI99" s="258">
        <v>3.5445000000000002</v>
      </c>
    </row>
    <row r="100" spans="1:87" x14ac:dyDescent="0.25">
      <c r="A100" s="723"/>
      <c r="B100" s="723"/>
      <c r="D100" s="31">
        <f t="shared" si="63"/>
        <v>39644</v>
      </c>
      <c r="F100" s="28">
        <f t="shared" si="64"/>
        <v>15000</v>
      </c>
      <c r="G100" s="28">
        <f t="shared" si="12"/>
        <v>10358.328867544897</v>
      </c>
      <c r="H100" s="52">
        <f t="shared" si="65"/>
        <v>3.7312817977713237</v>
      </c>
      <c r="I100" s="52">
        <f t="shared" si="66"/>
        <v>3.7094999999999998</v>
      </c>
      <c r="K100" s="52">
        <f t="shared" si="55"/>
        <v>0</v>
      </c>
      <c r="L100" s="135">
        <f t="shared" si="56"/>
        <v>0.28961645002234426</v>
      </c>
      <c r="N100" s="131">
        <f t="shared" si="57"/>
        <v>0.23274682347149744</v>
      </c>
      <c r="O100" s="131">
        <f t="shared" si="58"/>
        <v>0.23274682347149744</v>
      </c>
      <c r="P100" s="55">
        <f t="shared" si="59"/>
        <v>0.99940476281910484</v>
      </c>
      <c r="Q100" s="135">
        <f>_xll.xSPRDOPT(I100,H100,AQ100,0,O100,N100,P100,D100-$G$5,1,0)*AH100*AU100</f>
        <v>0.28961645002234426</v>
      </c>
      <c r="R100" s="135"/>
      <c r="S100" s="181">
        <f>_xll.xSPRDOPT(I100,H100,AQ100,AT100,O100,N100,P100,D100-$G$5,1,2)*AF100*(F100/(1-AR100))*AH100</f>
        <v>-65879.391414573081</v>
      </c>
      <c r="T100" s="181">
        <f>_xll.xSPRDOPT(I100,H100,AQ100,AT100,O100,N100,P100,D100-$G$5,1,1)*AF100*F100*AH100</f>
        <v>65816.483537561362</v>
      </c>
      <c r="U100" s="135"/>
      <c r="V100" s="146">
        <f t="shared" si="67"/>
        <v>2.2156465447678535</v>
      </c>
      <c r="W100" s="146"/>
      <c r="X100" s="338">
        <f t="shared" si="68"/>
        <v>0</v>
      </c>
      <c r="Y100" s="338">
        <f t="shared" si="13"/>
        <v>0</v>
      </c>
      <c r="Z100" s="338">
        <f t="shared" si="14"/>
        <v>-3.2286936048689001</v>
      </c>
      <c r="AA100" s="338">
        <f t="shared" si="15"/>
        <v>0.12678855624723687</v>
      </c>
      <c r="AB100" s="338">
        <f t="shared" si="69"/>
        <v>0</v>
      </c>
      <c r="AC100" s="338">
        <f t="shared" si="70"/>
        <v>2.0360782853380619</v>
      </c>
      <c r="AF100" s="138">
        <f t="shared" si="71"/>
        <v>1</v>
      </c>
      <c r="AG100" s="138">
        <f t="shared" si="72"/>
        <v>7</v>
      </c>
      <c r="AH100" s="138">
        <f t="shared" si="53"/>
        <v>31</v>
      </c>
      <c r="AI100" s="138">
        <f t="shared" si="73"/>
        <v>2388</v>
      </c>
      <c r="AJ100" s="138">
        <f t="shared" si="74"/>
        <v>2405</v>
      </c>
      <c r="AL100" s="136">
        <f t="shared" si="17"/>
        <v>3.5844999999999998</v>
      </c>
      <c r="AM100" s="258">
        <f t="shared" si="18"/>
        <v>-1.9E-2</v>
      </c>
      <c r="AN100" s="258">
        <f t="shared" si="19"/>
        <v>5.7500000000000002E-2</v>
      </c>
      <c r="AO100" s="258">
        <f t="shared" si="20"/>
        <v>0.15</v>
      </c>
      <c r="AP100" s="258">
        <f t="shared" si="21"/>
        <v>-2.4999999999999998E-2</v>
      </c>
      <c r="AQ100" s="136">
        <f t="shared" si="75"/>
        <v>1.9200000000000002E-2</v>
      </c>
      <c r="AR100" s="137">
        <f t="shared" si="22"/>
        <v>2.9020000000000001E-2</v>
      </c>
      <c r="AS100" s="136">
        <f t="shared" si="60"/>
        <v>3.6229999999999998</v>
      </c>
      <c r="AT100" s="137">
        <f t="shared" si="61"/>
        <v>5.7101881848094803E-2</v>
      </c>
      <c r="AU100" s="137">
        <f t="shared" si="54"/>
        <v>0.69055525783632643</v>
      </c>
      <c r="AV100" s="394">
        <f t="shared" si="62"/>
        <v>9590.4314208309006</v>
      </c>
      <c r="AW100" s="137">
        <f t="shared" si="24"/>
        <v>0.23</v>
      </c>
      <c r="AX100" s="137">
        <f t="shared" si="25"/>
        <v>0.5</v>
      </c>
      <c r="AY100" s="137">
        <f t="shared" si="26"/>
        <v>0.5</v>
      </c>
      <c r="AZ100" s="137"/>
      <c r="BA100" s="264"/>
      <c r="BB100" s="258">
        <f t="shared" si="27"/>
        <v>0</v>
      </c>
      <c r="BC100" s="258">
        <f t="shared" si="76"/>
        <v>0</v>
      </c>
      <c r="BD100" s="137">
        <f t="shared" si="77"/>
        <v>3.4040740785612478E-6</v>
      </c>
      <c r="BE100" s="137">
        <f t="shared" si="78"/>
        <v>3.4040740785612478E-6</v>
      </c>
      <c r="BF100" s="137">
        <f>_xll.xSPRDOPT($BW100,$BV100,$CG100,0,$BY100,$BX100,$BZ100,$AJ100,1,4)*$CB100</f>
        <v>1.4883628415005019</v>
      </c>
      <c r="BG100" s="137">
        <f>_xll.xSPRDOPT($BW100,$BV100,$CG100,0,$BY100,$BX100,$BZ100,$AJ100,1,3)*$CB100</f>
        <v>1.5208850820657953</v>
      </c>
      <c r="BH100" s="137">
        <f>IF(OR(BF100&lt;&gt;0,BG100&lt;&gt;0),_xll.xSPRDOPT($BW100,$BV100,$CG100,0,$BY100,$BX100,$BZ100,$AJ100,1,12)*$CB100,0)</f>
        <v>-1.5045299009228159</v>
      </c>
      <c r="BI100" s="137">
        <f>_xll.xSPRDOPT($BW100,$BV100,$CG100,2*LN(1+CA100/2),$BY100,$BX100,$BZ100,$AJ100,1,9)</f>
        <v>-8.4536225030707216E-4</v>
      </c>
      <c r="BJ100" s="137">
        <f>_xll.xSPRDOPT($BW100,$BV100,$CG100,0,$BY100,$BX100,$BZ100,$AJ100,1,6)*$CB100</f>
        <v>-0.27705727713339057</v>
      </c>
      <c r="BK100" s="137">
        <f>_xll.xSPRDOPT($BW100,$BV100,$CG100,0,$BY100,$BX100,$BZ100,$AJ100,1,5)*$CB100</f>
        <v>0.35715646285300856</v>
      </c>
      <c r="BL100" s="137">
        <f>_xll.xSPRDOPT(BW100,BV100,CG100,0,BY100,BX100,BZ100,AJ100,1,2)*CB100</f>
        <v>-0.13809441976797518</v>
      </c>
      <c r="BM100" s="137">
        <f>_xll.xSPRDOPT(BW100,BV100,CG100,0,BY100,BX100,BZ100,AJ100,1,1)*CB100</f>
        <v>0.14208767360809718</v>
      </c>
      <c r="BN100" s="137">
        <f>IF(AH100&lt;&gt;0,_xll.xSPRDOPT($BW100,$BV100,$CG100,2*LN(1+CA100/2),$BY100,$BX100,$BZ100,$AJ100,1,8)+(AJ100/365.25)*CH100/AH100,0)</f>
        <v>0.40370091576451245</v>
      </c>
      <c r="BO100" s="137">
        <f>_xll.xSPRDOPT($BW100,$BV100,$CG100,0,$BY100,$BX100,$BZ100,$AJ100,1,0)</f>
        <v>1.3525784583621027E-2</v>
      </c>
      <c r="BP100" s="137"/>
      <c r="BQ100" s="137"/>
      <c r="BR100" s="137"/>
      <c r="BS100" s="137"/>
      <c r="BV100" s="262">
        <v>3.7312817977713237</v>
      </c>
      <c r="BW100" s="136">
        <v>3.7094999999999998</v>
      </c>
      <c r="BX100" s="137">
        <v>0.23274341939741888</v>
      </c>
      <c r="BY100" s="137">
        <v>0.23274341939741888</v>
      </c>
      <c r="BZ100" s="137">
        <v>0.9994054874657583</v>
      </c>
      <c r="CA100" s="137">
        <v>5.7101881848094803E-2</v>
      </c>
      <c r="CB100" s="137">
        <v>0.69023599215994369</v>
      </c>
      <c r="CC100" s="258">
        <v>-1.9E-2</v>
      </c>
      <c r="CD100" s="258">
        <v>5.7500000000000002E-2</v>
      </c>
      <c r="CE100" s="258">
        <v>0.15</v>
      </c>
      <c r="CF100" s="258">
        <v>-2.5000000000000001E-2</v>
      </c>
      <c r="CG100" s="258">
        <v>1.9200000000000002E-2</v>
      </c>
      <c r="CH100" s="258">
        <v>2.2146221808451791</v>
      </c>
      <c r="CI100" s="258">
        <v>3.5844999999999998</v>
      </c>
    </row>
    <row r="101" spans="1:87" x14ac:dyDescent="0.25">
      <c r="A101" s="723"/>
      <c r="B101" s="723"/>
      <c r="D101" s="31">
        <f t="shared" si="63"/>
        <v>39675</v>
      </c>
      <c r="F101" s="28">
        <f t="shared" si="64"/>
        <v>15000</v>
      </c>
      <c r="G101" s="28">
        <f t="shared" si="12"/>
        <v>10296.671578321846</v>
      </c>
      <c r="H101" s="52">
        <f t="shared" si="65"/>
        <v>3.7724772909843662</v>
      </c>
      <c r="I101" s="52">
        <f t="shared" si="66"/>
        <v>3.7494999999999998</v>
      </c>
      <c r="K101" s="52">
        <f t="shared" si="55"/>
        <v>0</v>
      </c>
      <c r="L101" s="135">
        <f t="shared" si="56"/>
        <v>0.34696043486632266</v>
      </c>
      <c r="N101" s="131">
        <f t="shared" si="57"/>
        <v>0.23342912389880816</v>
      </c>
      <c r="O101" s="131">
        <f t="shared" si="58"/>
        <v>0.23342912389880816</v>
      </c>
      <c r="P101" s="55">
        <f t="shared" si="59"/>
        <v>0.99929308497265634</v>
      </c>
      <c r="Q101" s="135">
        <f>_xll.xSPRDOPT(I101,H101,AQ101,0,O101,N101,P101,D101-$G$5,1,0)*AH101*AU101</f>
        <v>0.34696043486632266</v>
      </c>
      <c r="R101" s="135"/>
      <c r="S101" s="181">
        <f>_xll.xSPRDOPT(I101,H101,AQ101,AT101,O101,N101,P101,D101-$G$5,1,2)*AF101*(F101/(1-AR101))*AH101</f>
        <v>-77452.855770473587</v>
      </c>
      <c r="T101" s="181">
        <f>_xll.xSPRDOPT(I101,H101,AQ101,AT101,O101,N101,P101,D101-$G$5,1,1)*AF101*F101*AH101</f>
        <v>77405.215653173276</v>
      </c>
      <c r="U101" s="135"/>
      <c r="V101" s="146">
        <f t="shared" si="67"/>
        <v>2.2024580506030427</v>
      </c>
      <c r="W101" s="146"/>
      <c r="X101" s="338">
        <f t="shared" si="68"/>
        <v>0</v>
      </c>
      <c r="Y101" s="338">
        <f t="shared" si="13"/>
        <v>0</v>
      </c>
      <c r="Z101" s="338">
        <f t="shared" si="14"/>
        <v>-3.4425174114574371</v>
      </c>
      <c r="AA101" s="338">
        <f t="shared" si="15"/>
        <v>0.17494724418147486</v>
      </c>
      <c r="AB101" s="338">
        <f t="shared" si="69"/>
        <v>0</v>
      </c>
      <c r="AC101" s="338">
        <f t="shared" si="70"/>
        <v>2.4470980540290492</v>
      </c>
      <c r="AF101" s="138">
        <f t="shared" si="71"/>
        <v>1</v>
      </c>
      <c r="AG101" s="138">
        <f t="shared" si="72"/>
        <v>8</v>
      </c>
      <c r="AH101" s="138">
        <f t="shared" si="53"/>
        <v>31</v>
      </c>
      <c r="AI101" s="138">
        <f t="shared" si="73"/>
        <v>2419</v>
      </c>
      <c r="AJ101" s="138">
        <f t="shared" si="74"/>
        <v>2436</v>
      </c>
      <c r="AL101" s="136">
        <f t="shared" si="17"/>
        <v>3.6244999999999998</v>
      </c>
      <c r="AM101" s="258">
        <f t="shared" si="18"/>
        <v>-1.9E-2</v>
      </c>
      <c r="AN101" s="258">
        <f t="shared" si="19"/>
        <v>5.7500000000000002E-2</v>
      </c>
      <c r="AO101" s="258">
        <f t="shared" si="20"/>
        <v>0.15</v>
      </c>
      <c r="AP101" s="258">
        <f t="shared" si="21"/>
        <v>-2.4999999999999998E-2</v>
      </c>
      <c r="AQ101" s="136">
        <f t="shared" si="75"/>
        <v>1.9200000000000002E-2</v>
      </c>
      <c r="AR101" s="137">
        <f t="shared" si="22"/>
        <v>2.9020000000000001E-2</v>
      </c>
      <c r="AS101" s="136">
        <f t="shared" si="60"/>
        <v>3.6629999999999998</v>
      </c>
      <c r="AT101" s="137">
        <f t="shared" si="61"/>
        <v>5.7285898092300801E-2</v>
      </c>
      <c r="AU101" s="137">
        <f t="shared" si="54"/>
        <v>0.68644477188812303</v>
      </c>
      <c r="AV101" s="394">
        <f t="shared" si="62"/>
        <v>9533.3449919822524</v>
      </c>
      <c r="AW101" s="137">
        <f t="shared" si="24"/>
        <v>0.23</v>
      </c>
      <c r="AX101" s="137">
        <f t="shared" si="25"/>
        <v>0.55000000000000004</v>
      </c>
      <c r="AY101" s="137">
        <f t="shared" si="26"/>
        <v>0.55000000000000004</v>
      </c>
      <c r="AZ101" s="137"/>
      <c r="BA101" s="264"/>
      <c r="BB101" s="258">
        <f t="shared" si="27"/>
        <v>0</v>
      </c>
      <c r="BC101" s="258">
        <f t="shared" si="76"/>
        <v>0</v>
      </c>
      <c r="BD101" s="137">
        <f t="shared" si="77"/>
        <v>4.1894980462309217E-6</v>
      </c>
      <c r="BE101" s="137">
        <f t="shared" si="78"/>
        <v>4.1894980462309217E-6</v>
      </c>
      <c r="BF101" s="137">
        <f>_xll.xSPRDOPT($BW101,$BV101,$CG101,0,$BY101,$BX101,$BZ101,$AJ101,1,4)*$CB101</f>
        <v>1.7193711569936119</v>
      </c>
      <c r="BG101" s="137">
        <f>_xll.xSPRDOPT($BW101,$BV101,$CG101,0,$BY101,$BX101,$BZ101,$AJ101,1,3)*$CB101</f>
        <v>1.7576419951545534</v>
      </c>
      <c r="BH101" s="137">
        <f>IF(OR(BF101&lt;&gt;0,BG101&lt;&gt;0),_xll.xSPRDOPT($BW101,$BV101,$CG101,0,$BY101,$BX101,$BZ101,$AJ101,1,12)*$CB101,0)</f>
        <v>-1.7383941969891137</v>
      </c>
      <c r="BI101" s="137">
        <f>_xll.xSPRDOPT($BW101,$BV101,$CG101,2*LN(1+CA101/2),$BY101,$BX101,$BZ101,$AJ101,1,9)</f>
        <v>-9.0134730074181279E-4</v>
      </c>
      <c r="BJ101" s="137">
        <f>_xll.xSPRDOPT($BW101,$BV101,$CG101,0,$BY101,$BX101,$BZ101,$AJ101,1,6)*$CB101</f>
        <v>-0.25499818678682468</v>
      </c>
      <c r="BK101" s="137">
        <f>_xll.xSPRDOPT($BW101,$BV101,$CG101,0,$BY101,$BX101,$BZ101,$AJ101,1,5)*$CB101</f>
        <v>0.34480145880095259</v>
      </c>
      <c r="BL101" s="137">
        <f>_xll.xSPRDOPT(BW101,BV101,CG101,0,BY101,BX101,BZ101,AJ101,1,2)*CB101</f>
        <v>-0.16237402387812924</v>
      </c>
      <c r="BM101" s="137">
        <f>_xll.xSPRDOPT(BW101,BV101,CG101,0,BY101,BX101,BZ101,AJ101,1,1)*CB101</f>
        <v>0.16712617314065806</v>
      </c>
      <c r="BN101" s="137">
        <f>IF(AH101&lt;&gt;0,_xll.xSPRDOPT($BW101,$BV101,$CG101,2*LN(1+CA101/2),$BY101,$BX101,$BZ101,$AJ101,1,8)+(AJ101/365.25)*CH101/AH101,0)</f>
        <v>0.39448401866736627</v>
      </c>
      <c r="BO101" s="137">
        <f>_xll.xSPRDOPT($BW101,$BV101,$CG101,0,$BY101,$BX101,$BZ101,$AJ101,1,0)</f>
        <v>1.6301048277791635E-2</v>
      </c>
      <c r="BP101" s="137"/>
      <c r="BQ101" s="137"/>
      <c r="BR101" s="137"/>
      <c r="BS101" s="137"/>
      <c r="BV101" s="262">
        <v>3.7724772909843662</v>
      </c>
      <c r="BW101" s="136">
        <v>3.7494999999999998</v>
      </c>
      <c r="BX101" s="137">
        <v>0.23342493440076192</v>
      </c>
      <c r="BY101" s="137">
        <v>0.23342493440076192</v>
      </c>
      <c r="BZ101" s="137">
        <v>0.99929392967757946</v>
      </c>
      <c r="CA101" s="137">
        <v>5.7285898092300801E-2</v>
      </c>
      <c r="CB101" s="137">
        <v>0.68612639842088818</v>
      </c>
      <c r="CC101" s="258">
        <v>-1.9E-2</v>
      </c>
      <c r="CD101" s="258">
        <v>5.7500000000000002E-2</v>
      </c>
      <c r="CE101" s="258">
        <v>0.15</v>
      </c>
      <c r="CF101" s="258">
        <v>-2.5000000000000001E-2</v>
      </c>
      <c r="CG101" s="258">
        <v>1.9200000000000002E-2</v>
      </c>
      <c r="CH101" s="258">
        <v>2.2014365493334198</v>
      </c>
      <c r="CI101" s="258">
        <v>3.6244999999999998</v>
      </c>
    </row>
    <row r="102" spans="1:87" x14ac:dyDescent="0.25">
      <c r="A102" s="723"/>
      <c r="B102" s="723"/>
      <c r="D102" s="31">
        <f t="shared" si="63"/>
        <v>39706</v>
      </c>
      <c r="F102" s="28">
        <f t="shared" si="64"/>
        <v>15000</v>
      </c>
      <c r="G102" s="28">
        <f t="shared" si="12"/>
        <v>10235.07158361035</v>
      </c>
      <c r="H102" s="52">
        <f t="shared" si="65"/>
        <v>3.767327854332736</v>
      </c>
      <c r="I102" s="52">
        <f t="shared" si="66"/>
        <v>3.7195</v>
      </c>
      <c r="K102" s="52">
        <f t="shared" si="55"/>
        <v>0</v>
      </c>
      <c r="L102" s="135">
        <f t="shared" si="56"/>
        <v>0.28670940106593029</v>
      </c>
      <c r="N102" s="131">
        <f t="shared" si="57"/>
        <v>0.23327851186374429</v>
      </c>
      <c r="O102" s="131">
        <f t="shared" si="58"/>
        <v>0.23402726908949051</v>
      </c>
      <c r="P102" s="55">
        <f t="shared" si="59"/>
        <v>0.9991301452513407</v>
      </c>
      <c r="Q102" s="135">
        <f>_xll.xSPRDOPT(I102,H102,AQ102,0,O102,N102,P102,D102-$G$5,1,0)*AH102*AU102</f>
        <v>0.28670940106593029</v>
      </c>
      <c r="R102" s="135"/>
      <c r="S102" s="181">
        <f>_xll.xSPRDOPT(I102,H102,AQ102,AT102,O102,N102,P102,D102-$G$5,1,2)*AF102*(F102/(1-AR102))*AH102</f>
        <v>-69596.067099658088</v>
      </c>
      <c r="T102" s="181">
        <f>_xll.xSPRDOPT(I102,H102,AQ102,AT102,O102,N102,P102,D102-$G$5,1,1)*AF102*F102*AH102</f>
        <v>69900.446826438652</v>
      </c>
      <c r="U102" s="135"/>
      <c r="V102" s="146">
        <f t="shared" si="67"/>
        <v>2.1186598178073424</v>
      </c>
      <c r="W102" s="146"/>
      <c r="X102" s="338">
        <f t="shared" si="68"/>
        <v>0</v>
      </c>
      <c r="Y102" s="338">
        <f t="shared" si="13"/>
        <v>0</v>
      </c>
      <c r="Z102" s="338">
        <f t="shared" si="14"/>
        <v>-3.6747038453871723</v>
      </c>
      <c r="AA102" s="338">
        <f t="shared" si="15"/>
        <v>0.32824116963369776</v>
      </c>
      <c r="AB102" s="338">
        <f t="shared" si="69"/>
        <v>0</v>
      </c>
      <c r="AC102" s="338">
        <f t="shared" si="70"/>
        <v>2.0291453656632221</v>
      </c>
      <c r="AF102" s="138">
        <f t="shared" si="71"/>
        <v>1</v>
      </c>
      <c r="AG102" s="138">
        <f t="shared" si="72"/>
        <v>9</v>
      </c>
      <c r="AH102" s="138">
        <f t="shared" si="53"/>
        <v>30</v>
      </c>
      <c r="AI102" s="138">
        <f t="shared" si="73"/>
        <v>2450</v>
      </c>
      <c r="AJ102" s="138">
        <f t="shared" si="74"/>
        <v>2467</v>
      </c>
      <c r="AL102" s="136">
        <f t="shared" si="17"/>
        <v>3.6194999999999999</v>
      </c>
      <c r="AM102" s="258">
        <f t="shared" si="18"/>
        <v>-1.9E-2</v>
      </c>
      <c r="AN102" s="258">
        <f t="shared" si="19"/>
        <v>5.7500000000000002E-2</v>
      </c>
      <c r="AO102" s="258">
        <f t="shared" si="20"/>
        <v>0.125</v>
      </c>
      <c r="AP102" s="258">
        <f t="shared" si="21"/>
        <v>-2.4999999999999998E-2</v>
      </c>
      <c r="AQ102" s="136">
        <f t="shared" si="75"/>
        <v>1.9200000000000002E-2</v>
      </c>
      <c r="AR102" s="137">
        <f t="shared" si="22"/>
        <v>2.9020000000000001E-2</v>
      </c>
      <c r="AS102" s="136">
        <f t="shared" si="60"/>
        <v>3.6579999999999999</v>
      </c>
      <c r="AT102" s="137">
        <f t="shared" si="61"/>
        <v>5.7469914347772398E-2</v>
      </c>
      <c r="AU102" s="137">
        <f t="shared" si="54"/>
        <v>0.6823381055740233</v>
      </c>
      <c r="AV102" s="394">
        <f t="shared" si="62"/>
        <v>9170.6241389148727</v>
      </c>
      <c r="AW102" s="137">
        <f t="shared" si="24"/>
        <v>0.23</v>
      </c>
      <c r="AX102" s="137">
        <f t="shared" si="25"/>
        <v>0.55000000000000004</v>
      </c>
      <c r="AY102" s="137">
        <f t="shared" si="26"/>
        <v>0.6</v>
      </c>
      <c r="AZ102" s="137"/>
      <c r="BA102" s="264"/>
      <c r="BB102" s="258">
        <f t="shared" si="27"/>
        <v>0</v>
      </c>
      <c r="BC102" s="258">
        <f t="shared" si="76"/>
        <v>0</v>
      </c>
      <c r="BD102" s="137">
        <f t="shared" si="77"/>
        <v>3.9572543721055897E-6</v>
      </c>
      <c r="BE102" s="137">
        <f t="shared" si="78"/>
        <v>4.8533129253791607E-6</v>
      </c>
      <c r="BF102" s="137">
        <f>_xll.xSPRDOPT($BW102,$BV102,$CG102,0,$BY102,$BX102,$BZ102,$AJ102,1,4)*$CB102</f>
        <v>1.8238855351949605</v>
      </c>
      <c r="BG102" s="137">
        <f>_xll.xSPRDOPT($BW102,$BV102,$CG102,0,$BY102,$BX102,$BZ102,$AJ102,1,3)*$CB102</f>
        <v>1.8887115734484057</v>
      </c>
      <c r="BH102" s="137">
        <f>IF(OR(BF102&lt;&gt;0,BG102&lt;&gt;0),_xll.xSPRDOPT($BW102,$BV102,$CG102,0,$BY102,$BX102,$BZ102,$AJ102,1,12)*$CB102,0)</f>
        <v>-1.8560089193324922</v>
      </c>
      <c r="BI102" s="137">
        <f>_xll.xSPRDOPT($BW102,$BV102,$CG102,2*LN(1+CA102/2),$BY102,$BX102,$BZ102,$AJ102,1,9)</f>
        <v>-9.9421154039086275E-4</v>
      </c>
      <c r="BJ102" s="137">
        <f>_xll.xSPRDOPT($BW102,$BV102,$CG102,0,$BY102,$BX102,$BZ102,$AJ102,1,6)*$CB102</f>
        <v>-0.34046066991707097</v>
      </c>
      <c r="BK102" s="137">
        <f>_xll.xSPRDOPT($BW102,$BV102,$CG102,0,$BY102,$BX102,$BZ102,$AJ102,1,5)*$CB102</f>
        <v>0.42789622839028102</v>
      </c>
      <c r="BL102" s="137">
        <f>_xll.xSPRDOPT(BW102,BV102,CG102,0,BY102,BX102,BZ102,AJ102,1,2)*CB102</f>
        <v>-0.15081535348293981</v>
      </c>
      <c r="BM102" s="137">
        <f>_xll.xSPRDOPT(BW102,BV102,CG102,0,BY102,BX102,BZ102,AJ102,1,1)*CB102</f>
        <v>0.1560040102564223</v>
      </c>
      <c r="BN102" s="137">
        <f>IF(AH102&lt;&gt;0,_xll.xSPRDOPT($BW102,$BV102,$CG102,2*LN(1+CA102/2),$BY102,$BX102,$BZ102,$AJ102,1,8)+(AJ102/365.25)*CH102/AH102,0)</f>
        <v>0.4124808476883709</v>
      </c>
      <c r="BO102" s="137">
        <f>_xll.xSPRDOPT($BW102,$BV102,$CG102,0,$BY102,$BX102,$BZ102,$AJ102,1,0)</f>
        <v>1.4006562135271211E-2</v>
      </c>
      <c r="BP102" s="137"/>
      <c r="BQ102" s="137"/>
      <c r="BR102" s="137"/>
      <c r="BS102" s="137"/>
      <c r="BV102" s="262">
        <v>3.767327854332736</v>
      </c>
      <c r="BW102" s="136">
        <v>3.7195</v>
      </c>
      <c r="BX102" s="137">
        <v>0.23327455460937219</v>
      </c>
      <c r="BY102" s="137">
        <v>0.23402241577656513</v>
      </c>
      <c r="BZ102" s="137">
        <v>0.9991311638140582</v>
      </c>
      <c r="CA102" s="137">
        <v>5.7469914347772398E-2</v>
      </c>
      <c r="CB102" s="137">
        <v>0.68202063470418084</v>
      </c>
      <c r="CC102" s="258">
        <v>-1.9E-2</v>
      </c>
      <c r="CD102" s="258">
        <v>5.7500000000000002E-2</v>
      </c>
      <c r="CE102" s="258">
        <v>0.125</v>
      </c>
      <c r="CF102" s="258">
        <v>-2.5000000000000001E-2</v>
      </c>
      <c r="CG102" s="258">
        <v>1.9200000000000002E-2</v>
      </c>
      <c r="CH102" s="258">
        <v>2.1176740707564816</v>
      </c>
      <c r="CI102" s="258">
        <v>3.6194999999999999</v>
      </c>
    </row>
    <row r="103" spans="1:87" x14ac:dyDescent="0.25">
      <c r="A103" s="723"/>
      <c r="B103" s="723"/>
      <c r="D103" s="31">
        <f t="shared" si="63"/>
        <v>39736</v>
      </c>
      <c r="F103" s="28">
        <f t="shared" si="64"/>
        <v>15000</v>
      </c>
      <c r="G103" s="28">
        <f t="shared" si="12"/>
        <v>10175.516454532366</v>
      </c>
      <c r="H103" s="52">
        <f t="shared" si="65"/>
        <v>3.7930750375908877</v>
      </c>
      <c r="I103" s="52">
        <f t="shared" si="66"/>
        <v>3.7645</v>
      </c>
      <c r="K103" s="52">
        <f t="shared" si="55"/>
        <v>0</v>
      </c>
      <c r="L103" s="135">
        <f t="shared" si="56"/>
        <v>0.478119326419782</v>
      </c>
      <c r="N103" s="131">
        <f t="shared" si="57"/>
        <v>0.23410991738102227</v>
      </c>
      <c r="O103" s="131">
        <f t="shared" si="58"/>
        <v>0.23493754951883075</v>
      </c>
      <c r="P103" s="55">
        <f t="shared" si="59"/>
        <v>0.99898422794091157</v>
      </c>
      <c r="Q103" s="135">
        <f>_xll.xSPRDOPT(I103,H103,AQ103,0,O103,N103,P103,D103-$G$5,1,0)*AH103*AU103</f>
        <v>0.478119326419782</v>
      </c>
      <c r="R103" s="135"/>
      <c r="S103" s="181">
        <f>_xll.xSPRDOPT(I103,H103,AQ103,AT103,O103,N103,P103,D103-$G$5,1,2)*AF103*(F103/(1-AR103))*AH103</f>
        <v>-104060.64269459478</v>
      </c>
      <c r="T103" s="181">
        <f>_xll.xSPRDOPT(I103,H103,AQ103,AT103,O103,N103,P103,D103-$G$5,1,1)*AF103*F103*AH103</f>
        <v>104157.25779039215</v>
      </c>
      <c r="U103" s="135"/>
      <c r="V103" s="146">
        <f t="shared" si="67"/>
        <v>2.1765429696244731</v>
      </c>
      <c r="W103" s="146"/>
      <c r="X103" s="338">
        <f t="shared" si="68"/>
        <v>0</v>
      </c>
      <c r="Y103" s="338">
        <f t="shared" si="13"/>
        <v>0</v>
      </c>
      <c r="Z103" s="338">
        <f t="shared" si="14"/>
        <v>-3.9295894899263319</v>
      </c>
      <c r="AA103" s="338">
        <f t="shared" si="15"/>
        <v>0.4712867866079668</v>
      </c>
      <c r="AB103" s="338">
        <f t="shared" si="69"/>
        <v>0</v>
      </c>
      <c r="AC103" s="338">
        <f t="shared" si="70"/>
        <v>3.3942719717942929</v>
      </c>
      <c r="AF103" s="138">
        <f t="shared" si="71"/>
        <v>1</v>
      </c>
      <c r="AG103" s="138">
        <f t="shared" si="72"/>
        <v>10</v>
      </c>
      <c r="AH103" s="138">
        <f t="shared" si="53"/>
        <v>31</v>
      </c>
      <c r="AI103" s="138">
        <f t="shared" si="73"/>
        <v>2480</v>
      </c>
      <c r="AJ103" s="138">
        <f t="shared" si="74"/>
        <v>2497</v>
      </c>
      <c r="AL103" s="136">
        <f t="shared" si="17"/>
        <v>3.6444999999999999</v>
      </c>
      <c r="AM103" s="258">
        <f t="shared" si="18"/>
        <v>-1.9E-2</v>
      </c>
      <c r="AN103" s="258">
        <f t="shared" si="19"/>
        <v>5.7500000000000002E-2</v>
      </c>
      <c r="AO103" s="258">
        <f t="shared" si="20"/>
        <v>0.14499999999999999</v>
      </c>
      <c r="AP103" s="258">
        <f t="shared" si="21"/>
        <v>-2.4999999999999998E-2</v>
      </c>
      <c r="AQ103" s="136">
        <f t="shared" si="75"/>
        <v>1.9200000000000002E-2</v>
      </c>
      <c r="AR103" s="137">
        <f t="shared" si="22"/>
        <v>2.9020000000000001E-2</v>
      </c>
      <c r="AS103" s="136">
        <f t="shared" si="60"/>
        <v>3.6829999999999998</v>
      </c>
      <c r="AT103" s="137">
        <f t="shared" si="61"/>
        <v>5.76479946057291E-2</v>
      </c>
      <c r="AU103" s="137">
        <f t="shared" si="54"/>
        <v>0.67836776363549112</v>
      </c>
      <c r="AV103" s="394">
        <f t="shared" si="62"/>
        <v>9421.1715013697012</v>
      </c>
      <c r="AW103" s="137">
        <f t="shared" si="24"/>
        <v>0.23</v>
      </c>
      <c r="AX103" s="137">
        <f t="shared" si="25"/>
        <v>0.6</v>
      </c>
      <c r="AY103" s="137">
        <f t="shared" si="26"/>
        <v>0.65</v>
      </c>
      <c r="AZ103" s="137"/>
      <c r="BA103" s="264"/>
      <c r="BB103" s="258">
        <f t="shared" si="27"/>
        <v>0</v>
      </c>
      <c r="BC103" s="258">
        <f t="shared" si="76"/>
        <v>0</v>
      </c>
      <c r="BD103" s="137">
        <f t="shared" si="77"/>
        <v>4.8915958872630672E-6</v>
      </c>
      <c r="BE103" s="137">
        <f t="shared" si="78"/>
        <v>5.8663906445655112E-6</v>
      </c>
      <c r="BF103" s="137">
        <f>_xll.xSPRDOPT($BW103,$BV103,$CG103,0,$BY103,$BX103,$BZ103,$AJ103,1,4)*$CB103</f>
        <v>2.2751375695436495</v>
      </c>
      <c r="BG103" s="137">
        <f>_xll.xSPRDOPT($BW103,$BV103,$CG103,0,$BY103,$BX103,$BZ103,$AJ103,1,3)*$CB103</f>
        <v>2.3317769967802855</v>
      </c>
      <c r="BH103" s="137">
        <f>IF(OR(BF103&lt;&gt;0,BG103&lt;&gt;0),_xll.xSPRDOPT($BW103,$BV103,$CG103,0,$BY103,$BX103,$BZ103,$AJ103,1,12)*$CB103,0)</f>
        <v>-2.3032738864222271</v>
      </c>
      <c r="BI103" s="137">
        <f>_xll.xSPRDOPT($BW103,$BV103,$CG103,2*LN(1+CA103/2),$BY103,$BX103,$BZ103,$AJ103,1,9)</f>
        <v>-1.0288763879538298E-3</v>
      </c>
      <c r="BJ103" s="137">
        <f>_xll.xSPRDOPT($BW103,$BV103,$CG103,0,$BY103,$BX103,$BZ103,$AJ103,1,6)*$CB103</f>
        <v>-0.38055795865282749</v>
      </c>
      <c r="BK103" s="137">
        <f>_xll.xSPRDOPT($BW103,$BV103,$CG103,0,$BY103,$BX103,$BZ103,$AJ103,1,5)*$CB103</f>
        <v>0.49008937365511335</v>
      </c>
      <c r="BL103" s="137">
        <f>_xll.xSPRDOPT(BW103,BV103,CG103,0,BY103,BX103,BZ103,AJ103,1,2)*CB103</f>
        <v>-0.21840448077969171</v>
      </c>
      <c r="BM103" s="137">
        <f>_xll.xSPRDOPT(BW103,BV103,CG103,0,BY103,BX103,BZ103,AJ103,1,1)*CB103</f>
        <v>0.22514076992257498</v>
      </c>
      <c r="BN103" s="137">
        <f>IF(AH103&lt;&gt;0,_xll.xSPRDOPT($BW103,$BV103,$CG103,2*LN(1+CA103/2),$BY103,$BX103,$BZ103,$AJ103,1,8)+(AJ103/365.25)*CH103/AH103,0)</f>
        <v>0.37437606211420649</v>
      </c>
      <c r="BO103" s="137">
        <f>_xll.xSPRDOPT($BW103,$BV103,$CG103,0,$BY103,$BX103,$BZ103,$AJ103,1,0)</f>
        <v>2.2736100341483136E-2</v>
      </c>
      <c r="BP103" s="137"/>
      <c r="BQ103" s="137"/>
      <c r="BR103" s="137"/>
      <c r="BS103" s="137"/>
      <c r="BV103" s="262">
        <v>3.7930750375908877</v>
      </c>
      <c r="BW103" s="136">
        <v>3.7645</v>
      </c>
      <c r="BX103" s="137">
        <v>0.23410502578513501</v>
      </c>
      <c r="BY103" s="137">
        <v>0.23493168312818619</v>
      </c>
      <c r="BZ103" s="137">
        <v>0.99898539388252872</v>
      </c>
      <c r="CA103" s="137">
        <v>5.76479946057291E-2</v>
      </c>
      <c r="CB103" s="137">
        <v>0.67805117602048404</v>
      </c>
      <c r="CC103" s="258">
        <v>-1.9E-2</v>
      </c>
      <c r="CD103" s="258">
        <v>5.7500000000000002E-2</v>
      </c>
      <c r="CE103" s="258">
        <v>0.14499999999999999</v>
      </c>
      <c r="CF103" s="258">
        <v>-2.5000000000000001E-2</v>
      </c>
      <c r="CG103" s="258">
        <v>1.9200000000000002E-2</v>
      </c>
      <c r="CH103" s="258">
        <v>2.1755271982617228</v>
      </c>
      <c r="CI103" s="258">
        <v>3.6444999999999999</v>
      </c>
    </row>
    <row r="104" spans="1:87" x14ac:dyDescent="0.25">
      <c r="A104" s="723"/>
      <c r="B104" s="723"/>
      <c r="D104" s="31">
        <f t="shared" si="63"/>
        <v>39767</v>
      </c>
      <c r="F104" s="28">
        <f t="shared" si="64"/>
        <v>15000</v>
      </c>
      <c r="G104" s="28">
        <f t="shared" si="12"/>
        <v>10114.039147601261</v>
      </c>
      <c r="H104" s="52">
        <f t="shared" si="65"/>
        <v>3.9496179118004493</v>
      </c>
      <c r="I104" s="52">
        <f t="shared" si="66"/>
        <v>3.9664999999999999</v>
      </c>
      <c r="K104" s="52">
        <f t="shared" si="55"/>
        <v>0</v>
      </c>
      <c r="L104" s="135">
        <f t="shared" si="56"/>
        <v>1.1044136684798622</v>
      </c>
      <c r="N104" s="131">
        <f t="shared" si="57"/>
        <v>0.23745808481236294</v>
      </c>
      <c r="O104" s="131">
        <f t="shared" si="58"/>
        <v>0.23848741482702784</v>
      </c>
      <c r="P104" s="55">
        <f t="shared" si="59"/>
        <v>0.99845219929364648</v>
      </c>
      <c r="Q104" s="135">
        <f>_xll.xSPRDOPT(I104,H104,AQ104,0,O104,N104,P104,D104-$G$5,1,0)*AH104*AU104</f>
        <v>1.1044136684798622</v>
      </c>
      <c r="R104" s="135"/>
      <c r="S104" s="181">
        <f>_xll.xSPRDOPT(I104,H104,AQ104,AT104,O104,N104,P104,D104-$G$5,1,2)*AF104*(F104/(1-AR104))*AH104</f>
        <v>-151258.59116265341</v>
      </c>
      <c r="T104" s="181">
        <f>_xll.xSPRDOPT(I104,H104,AQ104,AT104,O104,N104,P104,D104-$G$5,1,1)*AF104*F104*AH104</f>
        <v>151053.0925139967</v>
      </c>
      <c r="U104" s="135"/>
      <c r="V104" s="146">
        <f t="shared" si="67"/>
        <v>2.0936061035534608</v>
      </c>
      <c r="W104" s="146"/>
      <c r="X104" s="338">
        <f t="shared" si="68"/>
        <v>0</v>
      </c>
      <c r="Y104" s="338">
        <f t="shared" si="13"/>
        <v>0</v>
      </c>
      <c r="Z104" s="338">
        <f t="shared" si="14"/>
        <v>-2.291691767621896</v>
      </c>
      <c r="AA104" s="338">
        <f t="shared" si="15"/>
        <v>0.89327551709270736</v>
      </c>
      <c r="AB104" s="338">
        <f t="shared" si="69"/>
        <v>0</v>
      </c>
      <c r="AC104" s="338">
        <f t="shared" si="70"/>
        <v>7.8654149532333308</v>
      </c>
      <c r="AF104" s="138">
        <f t="shared" si="71"/>
        <v>1</v>
      </c>
      <c r="AG104" s="138">
        <f t="shared" si="72"/>
        <v>11</v>
      </c>
      <c r="AH104" s="138">
        <f t="shared" si="53"/>
        <v>30</v>
      </c>
      <c r="AI104" s="138">
        <f t="shared" si="73"/>
        <v>2511</v>
      </c>
      <c r="AJ104" s="138">
        <f t="shared" si="74"/>
        <v>2528</v>
      </c>
      <c r="AL104" s="136">
        <f t="shared" si="17"/>
        <v>3.7965</v>
      </c>
      <c r="AM104" s="258">
        <f t="shared" si="18"/>
        <v>-1.9E-2</v>
      </c>
      <c r="AN104" s="258">
        <f t="shared" si="19"/>
        <v>5.7500000000000002E-2</v>
      </c>
      <c r="AO104" s="258">
        <f t="shared" si="20"/>
        <v>0.19500000000000001</v>
      </c>
      <c r="AP104" s="258">
        <f t="shared" si="21"/>
        <v>-2.4999999999999998E-2</v>
      </c>
      <c r="AQ104" s="136">
        <f t="shared" si="75"/>
        <v>1.9200000000000002E-2</v>
      </c>
      <c r="AR104" s="137">
        <f t="shared" si="22"/>
        <v>2.9020000000000001E-2</v>
      </c>
      <c r="AS104" s="136">
        <f t="shared" si="60"/>
        <v>3.835</v>
      </c>
      <c r="AT104" s="137">
        <f t="shared" si="61"/>
        <v>5.7832010883366501E-2</v>
      </c>
      <c r="AU104" s="137">
        <f t="shared" si="54"/>
        <v>0.67426927650675073</v>
      </c>
      <c r="AV104" s="394">
        <f t="shared" si="62"/>
        <v>9062.1790762507298</v>
      </c>
      <c r="AW104" s="137">
        <f t="shared" si="24"/>
        <v>0.23</v>
      </c>
      <c r="AX104" s="137">
        <f t="shared" si="25"/>
        <v>0.8</v>
      </c>
      <c r="AY104" s="137">
        <f t="shared" si="26"/>
        <v>0.85</v>
      </c>
      <c r="AZ104" s="137"/>
      <c r="BA104" s="264"/>
      <c r="BB104" s="258">
        <f t="shared" si="27"/>
        <v>0</v>
      </c>
      <c r="BC104" s="258">
        <f t="shared" si="76"/>
        <v>0</v>
      </c>
      <c r="BD104" s="137">
        <f t="shared" si="77"/>
        <v>8.7083008758759295E-6</v>
      </c>
      <c r="BE104" s="137">
        <f t="shared" si="78"/>
        <v>9.8891582338000994E-6</v>
      </c>
      <c r="BF104" s="137">
        <f>_xll.xSPRDOPT($BW104,$BV104,$CG104,0,$BY104,$BX104,$BZ104,$AJ104,1,4)*$CB104</f>
        <v>1.922798733214667</v>
      </c>
      <c r="BG104" s="137">
        <f>_xll.xSPRDOPT($BW104,$BV104,$CG104,0,$BY104,$BX104,$BZ104,$AJ104,1,3)*$CB104</f>
        <v>1.9247696688279115</v>
      </c>
      <c r="BH104" s="137">
        <f>IF(OR(BF104&lt;&gt;0,BG104&lt;&gt;0),_xll.xSPRDOPT($BW104,$BV104,$CG104,0,$BY104,$BX104,$BZ104,$AJ104,1,12)*$CB104,0)</f>
        <v>-1.9237744941808532</v>
      </c>
      <c r="BI104" s="137">
        <f>_xll.xSPRDOPT($BW104,$BV104,$CG104,2*LN(1+CA104/2),$BY104,$BX104,$BZ104,$AJ104,1,9)</f>
        <v>-6.2002993935103513E-4</v>
      </c>
      <c r="BJ104" s="137">
        <f>_xll.xSPRDOPT($BW104,$BV104,$CG104,0,$BY104,$BX104,$BZ104,$AJ104,1,6)*$CB104</f>
        <v>-0.37333642748310092</v>
      </c>
      <c r="BK104" s="137">
        <f>_xll.xSPRDOPT($BW104,$BV104,$CG104,0,$BY104,$BX104,$BZ104,$AJ104,1,5)*$CB104</f>
        <v>0.52948719388483634</v>
      </c>
      <c r="BL104" s="137">
        <f>_xll.xSPRDOPT(BW104,BV104,CG104,0,BY104,BX104,BZ104,AJ104,1,2)*CB104</f>
        <v>-0.32807865483680765</v>
      </c>
      <c r="BM104" s="137">
        <f>_xll.xSPRDOPT(BW104,BV104,CG104,0,BY104,BX104,BZ104,AJ104,1,1)*CB104</f>
        <v>0.33742494388063221</v>
      </c>
      <c r="BN104" s="137">
        <f>IF(AH104&lt;&gt;0,_xll.xSPRDOPT($BW104,$BV104,$CG104,2*LN(1+CA104/2),$BY104,$BX104,$BZ104,$AJ104,1,8)+(AJ104/365.25)*CH104/AH104,0)</f>
        <v>0.22810775561641994</v>
      </c>
      <c r="BO104" s="137">
        <f>_xll.xSPRDOPT($BW104,$BV104,$CG104,0,$BY104,$BX104,$BZ104,$AJ104,1,0)</f>
        <v>5.4598385072700178E-2</v>
      </c>
      <c r="BP104" s="137"/>
      <c r="BQ104" s="137"/>
      <c r="BR104" s="137"/>
      <c r="BS104" s="137"/>
      <c r="BV104" s="262">
        <v>3.9496179118004493</v>
      </c>
      <c r="BW104" s="136">
        <v>3.9664999999999999</v>
      </c>
      <c r="BX104" s="137">
        <v>0.23744937651148706</v>
      </c>
      <c r="BY104" s="137">
        <v>0.23847752566879404</v>
      </c>
      <c r="BZ104" s="137">
        <v>0.99845390419357738</v>
      </c>
      <c r="CA104" s="137">
        <v>5.7832010883366501E-2</v>
      </c>
      <c r="CB104" s="137">
        <v>0.6739536115657736</v>
      </c>
      <c r="CC104" s="258">
        <v>-1.9E-2</v>
      </c>
      <c r="CD104" s="258">
        <v>5.7500000000000002E-2</v>
      </c>
      <c r="CE104" s="258">
        <v>0.19500000000000001</v>
      </c>
      <c r="CF104" s="258">
        <v>-2.5000000000000001E-2</v>
      </c>
      <c r="CG104" s="258">
        <v>1.9200000000000002E-2</v>
      </c>
      <c r="CH104" s="258">
        <v>2.0926259639117268</v>
      </c>
      <c r="CI104" s="258">
        <v>3.7965</v>
      </c>
    </row>
    <row r="105" spans="1:87" x14ac:dyDescent="0.25">
      <c r="A105" s="723"/>
      <c r="B105" s="723"/>
      <c r="D105" s="31">
        <f t="shared" si="63"/>
        <v>39797</v>
      </c>
      <c r="F105" s="28">
        <f t="shared" si="64"/>
        <v>15000</v>
      </c>
      <c r="G105" s="28">
        <f t="shared" si="12"/>
        <v>10054.609073313342</v>
      </c>
      <c r="H105" s="52">
        <f t="shared" si="65"/>
        <v>4.096891800037076</v>
      </c>
      <c r="I105" s="52">
        <f t="shared" si="66"/>
        <v>4.1294999999999993</v>
      </c>
      <c r="K105" s="52">
        <f t="shared" si="55"/>
        <v>0.27861603194161705</v>
      </c>
      <c r="L105" s="135">
        <f t="shared" si="56"/>
        <v>1.3582745317724962</v>
      </c>
      <c r="N105" s="131">
        <f t="shared" si="57"/>
        <v>0.2421616097922781</v>
      </c>
      <c r="O105" s="131">
        <f t="shared" si="58"/>
        <v>0.2434413694744626</v>
      </c>
      <c r="P105" s="55">
        <f t="shared" si="59"/>
        <v>0.99772557352342495</v>
      </c>
      <c r="Q105" s="135">
        <f>_xll.xSPRDOPT(I105,H105,AQ105,0,O105,N105,P105,D105-$G$5,1,0)*AH105*AU105</f>
        <v>1.6368905637141133</v>
      </c>
      <c r="R105" s="135"/>
      <c r="S105" s="181">
        <f>_xll.xSPRDOPT(I105,H105,AQ105,AT105,O105,N105,P105,D105-$G$5,1,2)*AF105*(F105/(1-AR105))*AH105</f>
        <v>-166366.62101625529</v>
      </c>
      <c r="T105" s="181">
        <f>_xll.xSPRDOPT(I105,H105,AQ105,AT105,O105,N105,P105,D105-$G$5,1,1)*AF105*F105*AH105</f>
        <v>166879.01356525454</v>
      </c>
      <c r="U105" s="135"/>
      <c r="V105" s="146">
        <f t="shared" si="67"/>
        <v>2.1506808807817239</v>
      </c>
      <c r="W105" s="146"/>
      <c r="X105" s="338">
        <f t="shared" si="68"/>
        <v>0</v>
      </c>
      <c r="Y105" s="338">
        <f t="shared" si="13"/>
        <v>0</v>
      </c>
      <c r="Z105" s="338">
        <f t="shared" si="14"/>
        <v>-1.5793629328699192</v>
      </c>
      <c r="AA105" s="338">
        <f t="shared" si="15"/>
        <v>1.6088886283641815</v>
      </c>
      <c r="AB105" s="338">
        <f t="shared" si="69"/>
        <v>0</v>
      </c>
      <c r="AC105" s="338">
        <f t="shared" si="70"/>
        <v>11.693460946516083</v>
      </c>
      <c r="AF105" s="138">
        <f t="shared" si="71"/>
        <v>1</v>
      </c>
      <c r="AG105" s="138">
        <f t="shared" si="72"/>
        <v>12</v>
      </c>
      <c r="AH105" s="138">
        <f t="shared" si="53"/>
        <v>31</v>
      </c>
      <c r="AI105" s="138">
        <f t="shared" si="73"/>
        <v>2541</v>
      </c>
      <c r="AJ105" s="138">
        <f t="shared" si="74"/>
        <v>2558</v>
      </c>
      <c r="AL105" s="136">
        <f t="shared" si="17"/>
        <v>3.9394999999999998</v>
      </c>
      <c r="AM105" s="258">
        <f t="shared" si="18"/>
        <v>-1.9E-2</v>
      </c>
      <c r="AN105" s="258">
        <f t="shared" si="19"/>
        <v>5.7500000000000002E-2</v>
      </c>
      <c r="AO105" s="258">
        <f t="shared" si="20"/>
        <v>0.215</v>
      </c>
      <c r="AP105" s="258">
        <f t="shared" si="21"/>
        <v>-2.4999999999999998E-2</v>
      </c>
      <c r="AQ105" s="136">
        <f t="shared" si="75"/>
        <v>1.9200000000000002E-2</v>
      </c>
      <c r="AR105" s="137">
        <f t="shared" si="22"/>
        <v>2.9020000000000001E-2</v>
      </c>
      <c r="AS105" s="136">
        <f t="shared" si="60"/>
        <v>3.9779999999999998</v>
      </c>
      <c r="AT105" s="137">
        <f t="shared" si="61"/>
        <v>5.80100911627719E-2</v>
      </c>
      <c r="AU105" s="137">
        <f t="shared" si="54"/>
        <v>0.67030727155422287</v>
      </c>
      <c r="AV105" s="394">
        <f t="shared" si="62"/>
        <v>9309.2273873450467</v>
      </c>
      <c r="AW105" s="137">
        <f t="shared" si="24"/>
        <v>0.23</v>
      </c>
      <c r="AX105" s="137">
        <f t="shared" si="25"/>
        <v>1</v>
      </c>
      <c r="AY105" s="137">
        <f t="shared" si="26"/>
        <v>1.05</v>
      </c>
      <c r="AZ105" s="137"/>
      <c r="BA105" s="264"/>
      <c r="BB105" s="258">
        <f t="shared" si="27"/>
        <v>0</v>
      </c>
      <c r="BC105" s="258">
        <f t="shared" si="76"/>
        <v>0</v>
      </c>
      <c r="BD105" s="137">
        <f t="shared" si="77"/>
        <v>1.3897127106698992E-5</v>
      </c>
      <c r="BE105" s="137">
        <f t="shared" si="78"/>
        <v>1.532022457462201E-5</v>
      </c>
      <c r="BF105" s="137">
        <f>_xll.xSPRDOPT($BW105,$BV105,$CG105,0,$BY105,$BX105,$BZ105,$AJ105,1,4)*$CB105</f>
        <v>1.4839869082370909</v>
      </c>
      <c r="BG105" s="137">
        <f>_xll.xSPRDOPT($BW105,$BV105,$CG105,0,$BY105,$BX105,$BZ105,$AJ105,1,3)*$CB105</f>
        <v>1.4742994356609385</v>
      </c>
      <c r="BH105" s="137">
        <f>IF(OR(BF105&lt;&gt;0,BG105&lt;&gt;0),_xll.xSPRDOPT($BW105,$BV105,$CG105,0,$BY105,$BX105,$BZ105,$AJ105,1,12)*$CB105,0)</f>
        <v>-1.4791265269565621</v>
      </c>
      <c r="BI105" s="137">
        <f>_xll.xSPRDOPT($BW105,$BV105,$CG105,2*LN(1+CA105/2),$BY105,$BX105,$BZ105,$AJ105,1,9)</f>
        <v>-4.1352137005787673E-4</v>
      </c>
      <c r="BJ105" s="137">
        <f>_xll.xSPRDOPT($BW105,$BV105,$CG105,0,$BY105,$BX105,$BZ105,$AJ105,1,6)*$CB105</f>
        <v>-0.3238998707247096</v>
      </c>
      <c r="BK105" s="137">
        <f>_xll.xSPRDOPT($BW105,$BV105,$CG105,0,$BY105,$BX105,$BZ105,$AJ105,1,5)*$CB105</f>
        <v>0.51965643058272815</v>
      </c>
      <c r="BL105" s="137">
        <f>_xll.xSPRDOPT(BW105,BV105,CG105,0,BY105,BX105,BZ105,AJ105,1,2)*CB105</f>
        <v>-0.34924258661274776</v>
      </c>
      <c r="BM105" s="137">
        <f>_xll.xSPRDOPT(BW105,BV105,CG105,0,BY105,BX105,BZ105,AJ105,1,1)*CB105</f>
        <v>0.36078825339685622</v>
      </c>
      <c r="BN105" s="137">
        <f>IF(AH105&lt;&gt;0,_xll.xSPRDOPT($BW105,$BV105,$CG105,2*LN(1+CA105/2),$BY105,$BX105,$BZ105,$AJ105,1,8)+(AJ105/365.25)*CH105/AH105,0)</f>
        <v>0.11601804643732611</v>
      </c>
      <c r="BO105" s="137">
        <f>_xll.xSPRDOPT($BW105,$BV105,$CG105,0,$BY105,$BX105,$BZ105,$AJ105,1,0)</f>
        <v>7.877448843719935E-2</v>
      </c>
      <c r="BP105" s="137"/>
      <c r="BQ105" s="137"/>
      <c r="BR105" s="137"/>
      <c r="BS105" s="137"/>
      <c r="BV105" s="262">
        <v>4.096891800037076</v>
      </c>
      <c r="BW105" s="136">
        <v>4.1294999999999993</v>
      </c>
      <c r="BX105" s="137">
        <v>0.24214771266517141</v>
      </c>
      <c r="BY105" s="137">
        <v>0.24342604924988798</v>
      </c>
      <c r="BZ105" s="137">
        <v>0.99772795142901505</v>
      </c>
      <c r="CA105" s="137">
        <v>5.80100911627719E-2</v>
      </c>
      <c r="CB105" s="137">
        <v>0.6699925090619856</v>
      </c>
      <c r="CC105" s="258">
        <v>-1.9E-2</v>
      </c>
      <c r="CD105" s="258">
        <v>5.7500000000000002E-2</v>
      </c>
      <c r="CE105" s="258">
        <v>0.215</v>
      </c>
      <c r="CF105" s="258">
        <v>-2.5000000000000001E-2</v>
      </c>
      <c r="CG105" s="258">
        <v>1.9200000000000002E-2</v>
      </c>
      <c r="CH105" s="258">
        <v>2.1496709653253809</v>
      </c>
      <c r="CI105" s="258">
        <v>3.9394999999999998</v>
      </c>
    </row>
    <row r="106" spans="1:87" x14ac:dyDescent="0.25">
      <c r="A106" s="723"/>
      <c r="B106" s="723"/>
      <c r="D106" s="31">
        <f t="shared" si="63"/>
        <v>39828</v>
      </c>
      <c r="F106" s="28">
        <f t="shared" si="64"/>
        <v>15000</v>
      </c>
      <c r="G106" s="28">
        <f t="shared" si="12"/>
        <v>9995.5934820175044</v>
      </c>
      <c r="H106" s="52">
        <f t="shared" si="65"/>
        <v>4.1530206595398464</v>
      </c>
      <c r="I106" s="52">
        <f t="shared" si="66"/>
        <v>4.202</v>
      </c>
      <c r="K106" s="52">
        <f t="shared" si="55"/>
        <v>0.61516850823140057</v>
      </c>
      <c r="L106" s="135">
        <f t="shared" si="56"/>
        <v>1.2201164853091715</v>
      </c>
      <c r="N106" s="131">
        <f t="shared" si="57"/>
        <v>0.24201952250874789</v>
      </c>
      <c r="O106" s="131">
        <f t="shared" si="58"/>
        <v>0.24328472812159432</v>
      </c>
      <c r="P106" s="55">
        <f t="shared" si="59"/>
        <v>0.99774990776724848</v>
      </c>
      <c r="Q106" s="135">
        <f>_xll.xSPRDOPT(I106,H106,AQ106,0,O106,N106,P106,D106-$G$5,1,0)*AH106*AU106</f>
        <v>1.835284993540572</v>
      </c>
      <c r="R106" s="135"/>
      <c r="S106" s="181">
        <f>_xll.xSPRDOPT(I106,H106,AQ106,AT106,O106,N106,P106,D106-$G$5,1,2)*AF106*(F106/(1-AR106))*AH106</f>
        <v>-176497.20991542825</v>
      </c>
      <c r="T106" s="181">
        <f>_xll.xSPRDOPT(I106,H106,AQ106,AT106,O106,N106,P106,D106-$G$5,1,1)*AF106*F106*AH106</f>
        <v>176628.16423181701</v>
      </c>
      <c r="U106" s="135"/>
      <c r="V106" s="146">
        <f t="shared" si="67"/>
        <v>2.1380574458035442</v>
      </c>
      <c r="W106" s="146"/>
      <c r="X106" s="338">
        <f t="shared" si="68"/>
        <v>0</v>
      </c>
      <c r="Y106" s="338">
        <f t="shared" si="13"/>
        <v>0</v>
      </c>
      <c r="Z106" s="338">
        <f t="shared" si="14"/>
        <v>1.9484687567084023E-2</v>
      </c>
      <c r="AA106" s="338">
        <f t="shared" si="15"/>
        <v>1.5719514528024803</v>
      </c>
      <c r="AB106" s="338">
        <f t="shared" si="69"/>
        <v>0</v>
      </c>
      <c r="AC106" s="338">
        <f t="shared" si="70"/>
        <v>13.144654537818084</v>
      </c>
      <c r="AF106" s="138">
        <f t="shared" si="71"/>
        <v>1</v>
      </c>
      <c r="AG106" s="138">
        <f t="shared" si="72"/>
        <v>1</v>
      </c>
      <c r="AH106" s="138">
        <f t="shared" si="53"/>
        <v>31</v>
      </c>
      <c r="AI106" s="138">
        <f t="shared" si="73"/>
        <v>2572</v>
      </c>
      <c r="AJ106" s="138">
        <f t="shared" si="74"/>
        <v>2589</v>
      </c>
      <c r="AL106" s="136">
        <f t="shared" si="17"/>
        <v>3.992</v>
      </c>
      <c r="AM106" s="258">
        <f t="shared" si="18"/>
        <v>-1.7000000000000001E-2</v>
      </c>
      <c r="AN106" s="258">
        <f t="shared" si="19"/>
        <v>5.7500000000000002E-2</v>
      </c>
      <c r="AO106" s="258">
        <f t="shared" si="20"/>
        <v>0.23499999999999999</v>
      </c>
      <c r="AP106" s="258">
        <f t="shared" si="21"/>
        <v>-2.4999999999999998E-2</v>
      </c>
      <c r="AQ106" s="136">
        <f t="shared" si="75"/>
        <v>1.9200000000000002E-2</v>
      </c>
      <c r="AR106" s="137">
        <f t="shared" si="22"/>
        <v>2.9020000000000001E-2</v>
      </c>
      <c r="AS106" s="136">
        <f t="shared" si="60"/>
        <v>4.0324999999999998</v>
      </c>
      <c r="AT106" s="137">
        <f t="shared" si="61"/>
        <v>5.8160280129314401E-2</v>
      </c>
      <c r="AU106" s="137">
        <f t="shared" si="54"/>
        <v>0.66637289880116701</v>
      </c>
      <c r="AV106" s="394">
        <f t="shared" si="62"/>
        <v>9254.5868185506079</v>
      </c>
      <c r="AW106" s="137">
        <f t="shared" si="24"/>
        <v>0.23</v>
      </c>
      <c r="AX106" s="137">
        <f t="shared" si="25"/>
        <v>1</v>
      </c>
      <c r="AY106" s="137">
        <f t="shared" si="26"/>
        <v>1.05</v>
      </c>
      <c r="AZ106" s="137"/>
      <c r="BA106" s="264"/>
      <c r="BB106" s="258">
        <f t="shared" si="27"/>
        <v>0</v>
      </c>
      <c r="BC106" s="258">
        <f t="shared" si="76"/>
        <v>0</v>
      </c>
      <c r="BD106" s="137">
        <f t="shared" si="77"/>
        <v>1.357427422263302E-5</v>
      </c>
      <c r="BE106" s="137">
        <f t="shared" si="78"/>
        <v>1.4965158957880309E-5</v>
      </c>
      <c r="BF106" s="137">
        <f>_xll.xSPRDOPT($BW106,$BV106,$CG106,0,$BY106,$BX106,$BZ106,$AJ106,1,4)*$CB106</f>
        <v>1.4429174271941547</v>
      </c>
      <c r="BG106" s="137">
        <f>_xll.xSPRDOPT($BW106,$BV106,$CG106,0,$BY106,$BX106,$BZ106,$AJ106,1,3)*$CB106</f>
        <v>1.4225678714853249</v>
      </c>
      <c r="BH106" s="137">
        <f>IF(OR(BF106&lt;&gt;0,BG106&lt;&gt;0),_xll.xSPRDOPT($BW106,$BV106,$CG106,0,$BY106,$BX106,$BZ106,$AJ106,1,12)*$CB106,0)</f>
        <v>-1.4326977024871306</v>
      </c>
      <c r="BI106" s="137">
        <f>_xll.xSPRDOPT($BW106,$BV106,$CG106,2*LN(1+CA106/2),$BY106,$BX106,$BZ106,$AJ106,1,9)</f>
        <v>5.1016359382633977E-6</v>
      </c>
      <c r="BJ106" s="137">
        <f>_xll.xSPRDOPT($BW106,$BV106,$CG106,0,$BY106,$BX106,$BZ106,$AJ106,1,6)*$CB106</f>
        <v>-0.32469071562047364</v>
      </c>
      <c r="BK106" s="137">
        <f>_xll.xSPRDOPT($BW106,$BV106,$CG106,0,$BY106,$BX106,$BZ106,$AJ106,1,5)*$CB106</f>
        <v>0.52040754074244588</v>
      </c>
      <c r="BL106" s="137">
        <f>_xll.xSPRDOPT(BW106,BV106,CG106,0,BY106,BX106,BZ106,AJ106,1,2)*CB106</f>
        <v>-0.37054560089060989</v>
      </c>
      <c r="BM106" s="137">
        <f>_xll.xSPRDOPT(BW106,BV106,CG106,0,BY106,BX106,BZ106,AJ106,1,1)*CB106</f>
        <v>0.38190332948574868</v>
      </c>
      <c r="BN106" s="137">
        <f>IF(AH106&lt;&gt;0,_xll.xSPRDOPT($BW106,$BV106,$CG106,2*LN(1+CA106/2),$BY106,$BX106,$BZ106,$AJ106,1,8)+(AJ106/365.25)*CH106/AH106,0)</f>
        <v>6.919641093624268E-2</v>
      </c>
      <c r="BO106" s="137">
        <f>_xll.xSPRDOPT($BW106,$BV106,$CG106,0,$BY106,$BX106,$BZ106,$AJ106,1,0)</f>
        <v>8.8843545589097558E-2</v>
      </c>
      <c r="BP106" s="137"/>
      <c r="BQ106" s="137"/>
      <c r="BR106" s="137"/>
      <c r="BS106" s="137"/>
      <c r="BV106" s="262">
        <v>4.1530206595398464</v>
      </c>
      <c r="BW106" s="136">
        <v>4.202</v>
      </c>
      <c r="BX106" s="137">
        <v>0.24200594823452526</v>
      </c>
      <c r="BY106" s="137">
        <v>0.24326976296263644</v>
      </c>
      <c r="BZ106" s="137">
        <v>0.99775223508949107</v>
      </c>
      <c r="CA106" s="137">
        <v>5.8160280129314401E-2</v>
      </c>
      <c r="CB106" s="137">
        <v>0.66605918535740238</v>
      </c>
      <c r="CC106" s="258">
        <v>-1.7000000000000001E-2</v>
      </c>
      <c r="CD106" s="258">
        <v>5.7500000000000002E-2</v>
      </c>
      <c r="CE106" s="258">
        <v>0.23499999999999999</v>
      </c>
      <c r="CF106" s="258">
        <v>-2.5000000000000001E-2</v>
      </c>
      <c r="CG106" s="258">
        <v>1.9200000000000002E-2</v>
      </c>
      <c r="CH106" s="258">
        <v>2.1370508962192254</v>
      </c>
      <c r="CI106" s="258">
        <v>3.992</v>
      </c>
    </row>
    <row r="107" spans="1:87" x14ac:dyDescent="0.25">
      <c r="A107" s="723"/>
      <c r="B107" s="723"/>
      <c r="D107" s="31">
        <f t="shared" si="63"/>
        <v>39859</v>
      </c>
      <c r="F107" s="28">
        <f t="shared" si="64"/>
        <v>15000</v>
      </c>
      <c r="G107" s="28">
        <f t="shared" si="12"/>
        <v>9939.5208928244901</v>
      </c>
      <c r="H107" s="52">
        <f t="shared" si="65"/>
        <v>4.0654802364621316</v>
      </c>
      <c r="I107" s="52">
        <f t="shared" si="66"/>
        <v>4.117</v>
      </c>
      <c r="K107" s="52">
        <f t="shared" si="55"/>
        <v>0.59965353454680737</v>
      </c>
      <c r="L107" s="135">
        <f t="shared" si="56"/>
        <v>0.98422847050419093</v>
      </c>
      <c r="N107" s="131">
        <f t="shared" si="57"/>
        <v>0.23838835927853291</v>
      </c>
      <c r="O107" s="131">
        <f t="shared" si="58"/>
        <v>0.2395356917682103</v>
      </c>
      <c r="P107" s="55">
        <f t="shared" si="59"/>
        <v>0.99792704006856647</v>
      </c>
      <c r="Q107" s="135">
        <f>_xll.xSPRDOPT(I107,H107,AQ107,0,O107,N107,P107,D107-$G$5,1,0)*AH107*AU107</f>
        <v>1.5838820050509983</v>
      </c>
      <c r="R107" s="135"/>
      <c r="S107" s="181">
        <f>_xll.xSPRDOPT(I107,H107,AQ107,AT107,O107,N107,P107,D107-$G$5,1,2)*AF107*(F107/(1-AR107))*AH107</f>
        <v>-161652.71943654201</v>
      </c>
      <c r="T107" s="181">
        <f>_xll.xSPRDOPT(I107,H107,AQ107,AT107,O107,N107,P107,D107-$G$5,1,1)*AF107*F107*AH107</f>
        <v>161423.34662526194</v>
      </c>
      <c r="U107" s="135"/>
      <c r="V107" s="146">
        <f t="shared" si="67"/>
        <v>1.9203154364936912</v>
      </c>
      <c r="W107" s="146"/>
      <c r="X107" s="338">
        <f t="shared" si="68"/>
        <v>0</v>
      </c>
      <c r="Y107" s="338">
        <f t="shared" si="13"/>
        <v>0</v>
      </c>
      <c r="Z107" s="338">
        <f t="shared" si="14"/>
        <v>0.55608393864886441</v>
      </c>
      <c r="AA107" s="338">
        <f t="shared" si="15"/>
        <v>1.2049237406857474</v>
      </c>
      <c r="AB107" s="338">
        <f t="shared" si="69"/>
        <v>0</v>
      </c>
      <c r="AC107" s="338">
        <f t="shared" si="70"/>
        <v>11.365331436062469</v>
      </c>
      <c r="AF107" s="138">
        <f t="shared" si="71"/>
        <v>1</v>
      </c>
      <c r="AG107" s="138">
        <f t="shared" si="72"/>
        <v>2</v>
      </c>
      <c r="AH107" s="138">
        <f t="shared" si="53"/>
        <v>28</v>
      </c>
      <c r="AI107" s="138">
        <f t="shared" si="73"/>
        <v>2603</v>
      </c>
      <c r="AJ107" s="138">
        <f t="shared" si="74"/>
        <v>2620</v>
      </c>
      <c r="AL107" s="136">
        <f t="shared" si="17"/>
        <v>3.907</v>
      </c>
      <c r="AM107" s="258">
        <f t="shared" si="18"/>
        <v>-1.7000000000000001E-2</v>
      </c>
      <c r="AN107" s="258">
        <f t="shared" si="19"/>
        <v>5.7500000000000002E-2</v>
      </c>
      <c r="AO107" s="258">
        <f t="shared" si="20"/>
        <v>0.23499999999999999</v>
      </c>
      <c r="AP107" s="258">
        <f t="shared" si="21"/>
        <v>-2.4999999999999998E-2</v>
      </c>
      <c r="AQ107" s="136">
        <f t="shared" si="75"/>
        <v>1.9200000000000002E-2</v>
      </c>
      <c r="AR107" s="137">
        <f t="shared" si="22"/>
        <v>2.9020000000000001E-2</v>
      </c>
      <c r="AS107" s="136">
        <f t="shared" si="60"/>
        <v>3.9475000000000002</v>
      </c>
      <c r="AT107" s="137">
        <f t="shared" si="61"/>
        <v>5.82693930542924E-2</v>
      </c>
      <c r="AU107" s="137">
        <f t="shared" si="54"/>
        <v>0.66263472618829933</v>
      </c>
      <c r="AV107" s="394">
        <f t="shared" si="62"/>
        <v>8312.0900053060268</v>
      </c>
      <c r="AW107" s="137">
        <f t="shared" si="24"/>
        <v>0.22750000000000001</v>
      </c>
      <c r="AX107" s="137">
        <f t="shared" si="25"/>
        <v>1</v>
      </c>
      <c r="AY107" s="137">
        <f t="shared" si="26"/>
        <v>1.05</v>
      </c>
      <c r="AZ107" s="137"/>
      <c r="BA107" s="264"/>
      <c r="BB107" s="258">
        <f t="shared" si="27"/>
        <v>0</v>
      </c>
      <c r="BC107" s="258">
        <f t="shared" si="76"/>
        <v>0</v>
      </c>
      <c r="BD107" s="137">
        <f t="shared" si="77"/>
        <v>1.2183170521096187E-5</v>
      </c>
      <c r="BE107" s="137">
        <f t="shared" si="78"/>
        <v>1.3435475518380757E-5</v>
      </c>
      <c r="BF107" s="137">
        <f>_xll.xSPRDOPT($BW107,$BV107,$CG107,0,$BY107,$BX107,$BZ107,$AJ107,1,4)*$CB107</f>
        <v>1.5342339482907108</v>
      </c>
      <c r="BG107" s="137">
        <f>_xll.xSPRDOPT($BW107,$BV107,$CG107,0,$BY107,$BX107,$BZ107,$AJ107,1,3)*$CB107</f>
        <v>1.510301773182875</v>
      </c>
      <c r="BH107" s="137">
        <f>IF(OR(BF107&lt;&gt;0,BG107&lt;&gt;0),_xll.xSPRDOPT($BW107,$BV107,$CG107,0,$BY107,$BX107,$BZ107,$AJ107,1,12)*$CB107,0)</f>
        <v>-1.5222115496416448</v>
      </c>
      <c r="BI107" s="137">
        <f>_xll.xSPRDOPT($BW107,$BV107,$CG107,2*LN(1+CA107/2),$BY107,$BX107,$BZ107,$AJ107,1,9)</f>
        <v>1.6119814173928392E-4</v>
      </c>
      <c r="BJ107" s="137">
        <f>_xll.xSPRDOPT($BW107,$BV107,$CG107,0,$BY107,$BX107,$BZ107,$AJ107,1,6)*$CB107</f>
        <v>-0.32426488150115484</v>
      </c>
      <c r="BK107" s="137">
        <f>_xll.xSPRDOPT($BW107,$BV107,$CG107,0,$BY107,$BX107,$BZ107,$AJ107,1,5)*$CB107</f>
        <v>0.50756970866076767</v>
      </c>
      <c r="BL107" s="137">
        <f>_xll.xSPRDOPT(BW107,BV107,CG107,0,BY107,BX107,BZ107,AJ107,1,2)*CB107</f>
        <v>-0.3757770863762972</v>
      </c>
      <c r="BM107" s="137">
        <f>_xll.xSPRDOPT(BW107,BV107,CG107,0,BY107,BX107,BZ107,AJ107,1,1)*CB107</f>
        <v>0.38645888148760549</v>
      </c>
      <c r="BN107" s="137">
        <f>IF(AH107&lt;&gt;0,_xll.xSPRDOPT($BW107,$BV107,$CG107,2*LN(1+CA107/2),$BY107,$BX107,$BZ107,$AJ107,1,8)+(AJ107/365.25)*CH107/AH107,0)</f>
        <v>8.6147128175027565E-2</v>
      </c>
      <c r="BO107" s="137">
        <f>_xll.xSPRDOPT($BW107,$BV107,$CG107,0,$BY107,$BX107,$BZ107,$AJ107,1,0)</f>
        <v>8.5367385517552158E-2</v>
      </c>
      <c r="BP107" s="137"/>
      <c r="BQ107" s="137"/>
      <c r="BR107" s="137"/>
      <c r="BS107" s="137"/>
      <c r="BV107" s="262">
        <v>4.0654802364621316</v>
      </c>
      <c r="BW107" s="136">
        <v>4.117</v>
      </c>
      <c r="BX107" s="137">
        <v>0.23837617610801182</v>
      </c>
      <c r="BY107" s="137">
        <v>0.23952225629269192</v>
      </c>
      <c r="BZ107" s="137">
        <v>0.9979291797589247</v>
      </c>
      <c r="CA107" s="137">
        <v>5.82693930542924E-2</v>
      </c>
      <c r="CB107" s="137">
        <v>0.66232219580478413</v>
      </c>
      <c r="CC107" s="258">
        <v>-1.7000000000000001E-2</v>
      </c>
      <c r="CD107" s="258">
        <v>5.7500000000000002E-2</v>
      </c>
      <c r="CE107" s="258">
        <v>0.23499999999999999</v>
      </c>
      <c r="CF107" s="258">
        <v>-2.5000000000000001E-2</v>
      </c>
      <c r="CG107" s="258">
        <v>1.9200000000000002E-2</v>
      </c>
      <c r="CH107" s="258">
        <v>1.9194097234422642</v>
      </c>
      <c r="CI107" s="258">
        <v>3.907</v>
      </c>
    </row>
    <row r="108" spans="1:87" x14ac:dyDescent="0.25">
      <c r="A108" s="723"/>
      <c r="B108" s="723"/>
      <c r="D108" s="31">
        <f t="shared" si="63"/>
        <v>39887</v>
      </c>
      <c r="F108" s="28">
        <f t="shared" si="64"/>
        <v>15000</v>
      </c>
      <c r="G108" s="28">
        <f t="shared" si="12"/>
        <v>9888.9924642127171</v>
      </c>
      <c r="H108" s="52">
        <f t="shared" si="65"/>
        <v>3.9315948835197436</v>
      </c>
      <c r="I108" s="52">
        <f t="shared" si="66"/>
        <v>3.9470000000000001</v>
      </c>
      <c r="K108" s="52">
        <f t="shared" si="55"/>
        <v>0</v>
      </c>
      <c r="L108" s="135">
        <f t="shared" si="56"/>
        <v>0.95933132964668311</v>
      </c>
      <c r="N108" s="131">
        <f t="shared" si="57"/>
        <v>0.22673988789306748</v>
      </c>
      <c r="O108" s="131">
        <f t="shared" si="58"/>
        <v>0.22673988789306748</v>
      </c>
      <c r="P108" s="55">
        <f t="shared" si="59"/>
        <v>0.99871838828921122</v>
      </c>
      <c r="Q108" s="135">
        <f>_xll.xSPRDOPT(I108,H108,AQ108,0,O108,N108,P108,D108-$G$5,1,0)*AH108*AU108</f>
        <v>0.95933132964668311</v>
      </c>
      <c r="R108" s="135"/>
      <c r="S108" s="181">
        <f>_xll.xSPRDOPT(I108,H108,AQ108,AT108,O108,N108,P108,D108-$G$5,1,2)*AF108*(F108/(1-AR108))*AH108</f>
        <v>-151155.35427639593</v>
      </c>
      <c r="T108" s="181">
        <f>_xll.xSPRDOPT(I108,H108,AQ108,AT108,O108,N108,P108,D108-$G$5,1,1)*AF108*F108*AH108</f>
        <v>150501.90707275557</v>
      </c>
      <c r="U108" s="135"/>
      <c r="V108" s="146">
        <f t="shared" si="67"/>
        <v>2.1152554880951002</v>
      </c>
      <c r="W108" s="146"/>
      <c r="X108" s="338">
        <f t="shared" si="68"/>
        <v>0</v>
      </c>
      <c r="Y108" s="338">
        <f t="shared" si="13"/>
        <v>0</v>
      </c>
      <c r="Z108" s="338">
        <f t="shared" si="14"/>
        <v>-1.688277923587495</v>
      </c>
      <c r="AA108" s="338">
        <f t="shared" si="15"/>
        <v>0.49668314671961633</v>
      </c>
      <c r="AB108" s="338">
        <f t="shared" si="69"/>
        <v>0</v>
      </c>
      <c r="AC108" s="338">
        <f t="shared" si="70"/>
        <v>6.8954616534614575</v>
      </c>
      <c r="AF108" s="138">
        <f t="shared" si="71"/>
        <v>1</v>
      </c>
      <c r="AG108" s="138">
        <f t="shared" si="72"/>
        <v>3</v>
      </c>
      <c r="AH108" s="138">
        <f t="shared" si="53"/>
        <v>31</v>
      </c>
      <c r="AI108" s="138">
        <f t="shared" si="73"/>
        <v>2631</v>
      </c>
      <c r="AJ108" s="138">
        <f t="shared" si="74"/>
        <v>2648</v>
      </c>
      <c r="AL108" s="136">
        <f t="shared" si="17"/>
        <v>3.7770000000000001</v>
      </c>
      <c r="AM108" s="258">
        <f t="shared" si="18"/>
        <v>-1.7000000000000001E-2</v>
      </c>
      <c r="AN108" s="258">
        <f t="shared" si="19"/>
        <v>5.7500000000000002E-2</v>
      </c>
      <c r="AO108" s="258">
        <f t="shared" si="20"/>
        <v>0.19500000000000001</v>
      </c>
      <c r="AP108" s="258">
        <f t="shared" si="21"/>
        <v>-2.4999999999999998E-2</v>
      </c>
      <c r="AQ108" s="136">
        <f t="shared" si="75"/>
        <v>1.9200000000000002E-2</v>
      </c>
      <c r="AR108" s="137">
        <f t="shared" si="22"/>
        <v>2.9020000000000001E-2</v>
      </c>
      <c r="AS108" s="136">
        <f t="shared" si="60"/>
        <v>3.8175000000000003</v>
      </c>
      <c r="AT108" s="137">
        <f t="shared" si="61"/>
        <v>5.8367946667353003E-2</v>
      </c>
      <c r="AU108" s="137">
        <f t="shared" si="54"/>
        <v>0.65926616428084783</v>
      </c>
      <c r="AV108" s="394">
        <f t="shared" si="62"/>
        <v>9155.8884895324154</v>
      </c>
      <c r="AW108" s="137">
        <f t="shared" si="24"/>
        <v>0.22</v>
      </c>
      <c r="AX108" s="137">
        <f t="shared" si="25"/>
        <v>0.75</v>
      </c>
      <c r="AY108" s="137">
        <f t="shared" si="26"/>
        <v>0.75</v>
      </c>
      <c r="AZ108" s="137"/>
      <c r="BA108" s="264"/>
      <c r="BB108" s="258">
        <f t="shared" si="27"/>
        <v>0</v>
      </c>
      <c r="BC108" s="258">
        <f t="shared" si="76"/>
        <v>0</v>
      </c>
      <c r="BD108" s="137">
        <f t="shared" si="77"/>
        <v>7.5182023690778532E-6</v>
      </c>
      <c r="BE108" s="137">
        <f t="shared" si="78"/>
        <v>7.5182023690778532E-6</v>
      </c>
      <c r="BF108" s="137">
        <f>_xll.xSPRDOPT($BW108,$BV108,$CG108,0,$BY108,$BX108,$BZ108,$AJ108,1,4)*$CB108</f>
        <v>2.1453810662779946</v>
      </c>
      <c r="BG108" s="137">
        <f>_xll.xSPRDOPT($BW108,$BV108,$CG108,0,$BY108,$BX108,$BZ108,$AJ108,1,3)*$CB108</f>
        <v>2.1493119764028554</v>
      </c>
      <c r="BH108" s="137">
        <f>IF(OR(BF108&lt;&gt;0,BG108&lt;&gt;0),_xll.xSPRDOPT($BW108,$BV108,$CG108,0,$BY108,$BX108,$BZ108,$AJ108,1,12)*$CB108,0)</f>
        <v>-2.147339394967172</v>
      </c>
      <c r="BI108" s="137">
        <f>_xll.xSPRDOPT($BW108,$BV108,$CG108,2*LN(1+CA108/2),$BY108,$BX108,$BZ108,$AJ108,1,9)</f>
        <v>-4.4203835956296237E-4</v>
      </c>
      <c r="BJ108" s="137">
        <f>_xll.xSPRDOPT($BW108,$BV108,$CG108,0,$BY108,$BX108,$BZ108,$AJ108,1,6)*$CB108</f>
        <v>-0.19316073974015863</v>
      </c>
      <c r="BK108" s="137">
        <f>_xll.xSPRDOPT($BW108,$BV108,$CG108,0,$BY108,$BX108,$BZ108,$AJ108,1,5)*$CB108</f>
        <v>0.33523403691425913</v>
      </c>
      <c r="BL108" s="137">
        <f>_xll.xSPRDOPT(BW108,BV108,CG108,0,BY108,BX108,BZ108,AJ108,1,2)*CB108</f>
        <v>-0.31739768286092157</v>
      </c>
      <c r="BM108" s="137">
        <f>_xll.xSPRDOPT(BW108,BV108,CG108,0,BY108,BX108,BZ108,AJ108,1,1)*CB108</f>
        <v>0.32547066902575039</v>
      </c>
      <c r="BN108" s="137">
        <f>IF(AH108&lt;&gt;0,_xll.xSPRDOPT($BW108,$BV108,$CG108,2*LN(1+CA108/2),$BY108,$BX108,$BZ108,$AJ108,1,8)+(AJ108/365.25)*CH108/AH108,0)</f>
        <v>0.27020133494926696</v>
      </c>
      <c r="BO108" s="137">
        <f>_xll.xSPRDOPT($BW108,$BV108,$CG108,0,$BY108,$BX108,$BZ108,$AJ108,1,0)</f>
        <v>4.6940681045597343E-2</v>
      </c>
      <c r="BP108" s="137"/>
      <c r="BQ108" s="137"/>
      <c r="BR108" s="137"/>
      <c r="BS108" s="137"/>
      <c r="BV108" s="262">
        <v>3.9315948835197436</v>
      </c>
      <c r="BW108" s="136">
        <v>3.9470000000000001</v>
      </c>
      <c r="BX108" s="137">
        <v>0.2267323696906984</v>
      </c>
      <c r="BY108" s="137">
        <v>0.2267323696906984</v>
      </c>
      <c r="BZ108" s="137">
        <v>0.99871975454528439</v>
      </c>
      <c r="CA108" s="137">
        <v>5.8367946667353003E-2</v>
      </c>
      <c r="CB108" s="137">
        <v>0.6589547043784082</v>
      </c>
      <c r="CC108" s="258">
        <v>-1.7000000000000001E-2</v>
      </c>
      <c r="CD108" s="258">
        <v>5.7500000000000002E-2</v>
      </c>
      <c r="CE108" s="258">
        <v>0.19500000000000001</v>
      </c>
      <c r="CF108" s="258">
        <v>-2.5000000000000001E-2</v>
      </c>
      <c r="CG108" s="258">
        <v>1.9200000000000002E-2</v>
      </c>
      <c r="CH108" s="258">
        <v>2.1142561689981227</v>
      </c>
      <c r="CI108" s="258">
        <v>3.7770000000000001</v>
      </c>
    </row>
    <row r="109" spans="1:87" x14ac:dyDescent="0.25">
      <c r="A109" s="723"/>
      <c r="B109" s="723"/>
      <c r="D109" s="31">
        <f t="shared" si="63"/>
        <v>39918</v>
      </c>
      <c r="F109" s="28">
        <f t="shared" si="64"/>
        <v>15000</v>
      </c>
      <c r="G109" s="28">
        <f t="shared" si="12"/>
        <v>9833.1818237216776</v>
      </c>
      <c r="H109" s="52">
        <f t="shared" si="65"/>
        <v>3.7410657274094219</v>
      </c>
      <c r="I109" s="52">
        <f t="shared" si="66"/>
        <v>3.7120000000000002</v>
      </c>
      <c r="K109" s="52">
        <f t="shared" si="55"/>
        <v>0</v>
      </c>
      <c r="L109" s="135">
        <f t="shared" si="56"/>
        <v>0.2300895378708554</v>
      </c>
      <c r="N109" s="131">
        <f t="shared" si="57"/>
        <v>0.20413967317406972</v>
      </c>
      <c r="O109" s="131">
        <f t="shared" si="58"/>
        <v>0.20472211866880691</v>
      </c>
      <c r="P109" s="55">
        <f t="shared" si="59"/>
        <v>0.99935379062188268</v>
      </c>
      <c r="Q109" s="135">
        <f>_xll.xSPRDOPT(I109,H109,AQ109,0,O109,N109,P109,D109-$G$5,1,0)*AH109*AU109</f>
        <v>0.2300895378708554</v>
      </c>
      <c r="R109" s="135"/>
      <c r="S109" s="181">
        <f>_xll.xSPRDOPT(I109,H109,AQ109,AT109,O109,N109,P109,D109-$G$5,1,2)*AF109*(F109/(1-AR109))*AH109</f>
        <v>-58409.31353479984</v>
      </c>
      <c r="T109" s="181">
        <f>_xll.xSPRDOPT(I109,H109,AQ109,AT109,O109,N109,P109,D109-$G$5,1,1)*AF109*F109*AH109</f>
        <v>58345.936584382187</v>
      </c>
      <c r="U109" s="135"/>
      <c r="V109" s="146">
        <f t="shared" si="67"/>
        <v>2.0354686375103874</v>
      </c>
      <c r="W109" s="146"/>
      <c r="X109" s="338">
        <f t="shared" si="68"/>
        <v>0</v>
      </c>
      <c r="Y109" s="338">
        <f t="shared" si="13"/>
        <v>0</v>
      </c>
      <c r="Z109" s="338">
        <f t="shared" si="14"/>
        <v>-2.4097443610566827</v>
      </c>
      <c r="AA109" s="338">
        <f t="shared" si="15"/>
        <v>0.20429821105494883</v>
      </c>
      <c r="AB109" s="338">
        <f t="shared" si="69"/>
        <v>0</v>
      </c>
      <c r="AC109" s="338">
        <f t="shared" si="70"/>
        <v>1.6567160023526488</v>
      </c>
      <c r="AF109" s="138">
        <f t="shared" si="71"/>
        <v>1</v>
      </c>
      <c r="AG109" s="138">
        <f t="shared" si="72"/>
        <v>4</v>
      </c>
      <c r="AH109" s="138">
        <f t="shared" si="53"/>
        <v>30</v>
      </c>
      <c r="AI109" s="138">
        <f t="shared" si="73"/>
        <v>2662</v>
      </c>
      <c r="AJ109" s="138">
        <f t="shared" si="74"/>
        <v>2679</v>
      </c>
      <c r="AL109" s="136">
        <f t="shared" si="17"/>
        <v>3.5920000000000001</v>
      </c>
      <c r="AM109" s="258">
        <f t="shared" si="18"/>
        <v>-1.7000000000000001E-2</v>
      </c>
      <c r="AN109" s="258">
        <f t="shared" si="19"/>
        <v>5.7500000000000002E-2</v>
      </c>
      <c r="AO109" s="258">
        <f t="shared" si="20"/>
        <v>0.14499999999999999</v>
      </c>
      <c r="AP109" s="258">
        <f t="shared" si="21"/>
        <v>-2.4999999999999998E-2</v>
      </c>
      <c r="AQ109" s="136">
        <f t="shared" si="75"/>
        <v>1.9200000000000002E-2</v>
      </c>
      <c r="AR109" s="137">
        <f t="shared" si="22"/>
        <v>2.9020000000000001E-2</v>
      </c>
      <c r="AS109" s="136">
        <f t="shared" si="60"/>
        <v>3.6325000000000003</v>
      </c>
      <c r="AT109" s="137">
        <f t="shared" si="61"/>
        <v>5.84770595998663E-2</v>
      </c>
      <c r="AU109" s="137">
        <f t="shared" si="54"/>
        <v>0.65554545491477856</v>
      </c>
      <c r="AV109" s="394">
        <f t="shared" si="62"/>
        <v>8810.5309140546233</v>
      </c>
      <c r="AW109" s="137">
        <f t="shared" si="24"/>
        <v>0.20250000000000001</v>
      </c>
      <c r="AX109" s="137">
        <f t="shared" si="25"/>
        <v>0.4</v>
      </c>
      <c r="AY109" s="137">
        <f t="shared" si="26"/>
        <v>0.45</v>
      </c>
      <c r="AZ109" s="137"/>
      <c r="BA109" s="264"/>
      <c r="BB109" s="258">
        <f t="shared" si="27"/>
        <v>0</v>
      </c>
      <c r="BC109" s="258">
        <f t="shared" si="76"/>
        <v>0</v>
      </c>
      <c r="BD109" s="137">
        <f t="shared" si="77"/>
        <v>1.8280919386881589E-6</v>
      </c>
      <c r="BE109" s="137">
        <f t="shared" si="78"/>
        <v>2.4739614547797384E-6</v>
      </c>
      <c r="BF109" s="137">
        <f>_xll.xSPRDOPT($BW109,$BV109,$CG109,0,$BY109,$BX109,$BZ109,$AJ109,1,4)*$CB109</f>
        <v>1.5583952703489075</v>
      </c>
      <c r="BG109" s="137">
        <f>_xll.xSPRDOPT($BW109,$BV109,$CG109,0,$BY109,$BX109,$BZ109,$AJ109,1,3)*$CB109</f>
        <v>1.5982622614334563</v>
      </c>
      <c r="BH109" s="137">
        <f>IF(OR(BF109&lt;&gt;0,BG109&lt;&gt;0),_xll.xSPRDOPT($BW109,$BV109,$CG109,0,$BY109,$BX109,$BZ109,$AJ109,1,12)*$CB109,0)</f>
        <v>-1.5781983195109068</v>
      </c>
      <c r="BI109" s="137">
        <f>_xll.xSPRDOPT($BW109,$BV109,$CG109,2*LN(1+CA109/2),$BY109,$BX109,$BZ109,$AJ109,1,9)</f>
        <v>-6.5196972435255793E-4</v>
      </c>
      <c r="BJ109" s="137">
        <f>_xll.xSPRDOPT($BW109,$BV109,$CG109,0,$BY109,$BX109,$BZ109,$AJ109,1,6)*$CB109</f>
        <v>-0.40307379292508549</v>
      </c>
      <c r="BK109" s="137">
        <f>_xll.xSPRDOPT($BW109,$BV109,$CG109,0,$BY109,$BX109,$BZ109,$AJ109,1,5)*$CB109</f>
        <v>0.48135429669230068</v>
      </c>
      <c r="BL109" s="137">
        <f>_xll.xSPRDOPT(BW109,BV109,CG109,0,BY109,BX109,BZ109,AJ109,1,2)*CB109</f>
        <v>-0.12664987732044247</v>
      </c>
      <c r="BM109" s="137">
        <f>_xll.xSPRDOPT(BW109,BV109,CG109,0,BY109,BX109,BZ109,AJ109,1,1)*CB109</f>
        <v>0.13029493244063117</v>
      </c>
      <c r="BN109" s="137">
        <f>IF(AH109&lt;&gt;0,_xll.xSPRDOPT($BW109,$BV109,$CG109,2*LN(1+CA109/2),$BY109,$BX109,$BZ109,$AJ109,1,8)+(AJ109/365.25)*CH109/AH109,0)</f>
        <v>0.43932895754912515</v>
      </c>
      <c r="BO109" s="137">
        <f>_xll.xSPRDOPT($BW109,$BV109,$CG109,0,$BY109,$BX109,$BZ109,$AJ109,1,0)</f>
        <v>1.1698273963842381E-2</v>
      </c>
      <c r="BP109" s="137"/>
      <c r="BQ109" s="137"/>
      <c r="BR109" s="137"/>
      <c r="BS109" s="137"/>
      <c r="BV109" s="262">
        <v>3.7410657274094219</v>
      </c>
      <c r="BW109" s="136">
        <v>3.7120000000000002</v>
      </c>
      <c r="BX109" s="137">
        <v>0.20413784508213104</v>
      </c>
      <c r="BY109" s="137">
        <v>0.20471964470735213</v>
      </c>
      <c r="BZ109" s="137">
        <v>0.99935449595649128</v>
      </c>
      <c r="CA109" s="137">
        <v>5.84770595998663E-2</v>
      </c>
      <c r="CB109" s="137">
        <v>0.65523518224436683</v>
      </c>
      <c r="CC109" s="258">
        <v>-1.7000000000000001E-2</v>
      </c>
      <c r="CD109" s="258">
        <v>5.7500000000000002E-2</v>
      </c>
      <c r="CE109" s="258">
        <v>0.14499999999999999</v>
      </c>
      <c r="CF109" s="258">
        <v>-2.5000000000000001E-2</v>
      </c>
      <c r="CG109" s="258">
        <v>1.9200000000000002E-2</v>
      </c>
      <c r="CH109" s="258">
        <v>2.0345052408687589</v>
      </c>
      <c r="CI109" s="258">
        <v>3.5920000000000001</v>
      </c>
    </row>
    <row r="110" spans="1:87" x14ac:dyDescent="0.25">
      <c r="A110" s="723"/>
      <c r="B110" s="723"/>
      <c r="D110" s="31">
        <f t="shared" si="63"/>
        <v>39948</v>
      </c>
      <c r="F110" s="28">
        <f t="shared" si="64"/>
        <v>15000</v>
      </c>
      <c r="G110" s="28">
        <f t="shared" si="12"/>
        <v>9779.3042695920467</v>
      </c>
      <c r="H110" s="52">
        <f t="shared" si="65"/>
        <v>3.7359162907577916</v>
      </c>
      <c r="I110" s="52">
        <f t="shared" si="66"/>
        <v>3.6870000000000003</v>
      </c>
      <c r="K110" s="52">
        <f t="shared" si="55"/>
        <v>0</v>
      </c>
      <c r="L110" s="135">
        <f t="shared" si="56"/>
        <v>0.14113834507955636</v>
      </c>
      <c r="N110" s="131">
        <f t="shared" si="57"/>
        <v>0.20477005548485039</v>
      </c>
      <c r="O110" s="131">
        <f t="shared" si="58"/>
        <v>0.20477005548485039</v>
      </c>
      <c r="P110" s="55">
        <f t="shared" si="59"/>
        <v>0.99944705063945916</v>
      </c>
      <c r="Q110" s="135">
        <f>_xll.xSPRDOPT(I110,H110,AQ110,0,O110,N110,P110,D110-$G$5,1,0)*AH110*AU110</f>
        <v>0.14113834507955636</v>
      </c>
      <c r="R110" s="135"/>
      <c r="S110" s="181">
        <f>_xll.xSPRDOPT(I110,H110,AQ110,AT110,O110,N110,P110,D110-$G$5,1,2)*AF110*(F110/(1-AR110))*AH110</f>
        <v>-39253.460124979683</v>
      </c>
      <c r="T110" s="181">
        <f>_xll.xSPRDOPT(I110,H110,AQ110,AT110,O110,N110,P110,D110-$G$5,1,1)*AF110*F110*AH110</f>
        <v>39374.378131610443</v>
      </c>
      <c r="U110" s="135"/>
      <c r="V110" s="146">
        <f t="shared" si="67"/>
        <v>2.091793183265739</v>
      </c>
      <c r="W110" s="146"/>
      <c r="X110" s="338">
        <f t="shared" si="68"/>
        <v>0</v>
      </c>
      <c r="Y110" s="338">
        <f t="shared" si="13"/>
        <v>0</v>
      </c>
      <c r="Z110" s="338">
        <f t="shared" si="14"/>
        <v>-2.0295720367789891</v>
      </c>
      <c r="AA110" s="338">
        <f t="shared" si="15"/>
        <v>6.3893142290552582E-2</v>
      </c>
      <c r="AB110" s="338">
        <f t="shared" si="69"/>
        <v>0</v>
      </c>
      <c r="AC110" s="338">
        <f t="shared" si="70"/>
        <v>1.0183362298488097</v>
      </c>
      <c r="AF110" s="138">
        <f t="shared" si="71"/>
        <v>1</v>
      </c>
      <c r="AG110" s="138">
        <f t="shared" si="72"/>
        <v>5</v>
      </c>
      <c r="AH110" s="138">
        <f t="shared" si="53"/>
        <v>31</v>
      </c>
      <c r="AI110" s="138">
        <f t="shared" si="73"/>
        <v>2692</v>
      </c>
      <c r="AJ110" s="138">
        <f t="shared" si="74"/>
        <v>2709</v>
      </c>
      <c r="AL110" s="136">
        <f t="shared" si="17"/>
        <v>3.5870000000000002</v>
      </c>
      <c r="AM110" s="258">
        <f t="shared" si="18"/>
        <v>-1.7000000000000001E-2</v>
      </c>
      <c r="AN110" s="258">
        <f t="shared" si="19"/>
        <v>5.7500000000000002E-2</v>
      </c>
      <c r="AO110" s="258">
        <f t="shared" si="20"/>
        <v>0.125</v>
      </c>
      <c r="AP110" s="258">
        <f t="shared" si="21"/>
        <v>-2.4999999999999998E-2</v>
      </c>
      <c r="AQ110" s="136">
        <f t="shared" si="75"/>
        <v>1.9200000000000002E-2</v>
      </c>
      <c r="AR110" s="137">
        <f t="shared" si="22"/>
        <v>2.9020000000000001E-2</v>
      </c>
      <c r="AS110" s="136">
        <f t="shared" si="60"/>
        <v>3.6275000000000004</v>
      </c>
      <c r="AT110" s="137">
        <f t="shared" si="61"/>
        <v>5.8582652764132402E-2</v>
      </c>
      <c r="AU110" s="137">
        <f t="shared" si="54"/>
        <v>0.65195361797280316</v>
      </c>
      <c r="AV110" s="394">
        <f t="shared" si="62"/>
        <v>9054.3318464062904</v>
      </c>
      <c r="AW110" s="137">
        <f t="shared" si="24"/>
        <v>0.20250000000000001</v>
      </c>
      <c r="AX110" s="137">
        <f t="shared" si="25"/>
        <v>0.45</v>
      </c>
      <c r="AY110" s="137">
        <f t="shared" si="26"/>
        <v>0.45</v>
      </c>
      <c r="AZ110" s="137"/>
      <c r="BA110" s="264"/>
      <c r="BB110" s="258">
        <f t="shared" si="27"/>
        <v>0</v>
      </c>
      <c r="BC110" s="258">
        <f t="shared" si="76"/>
        <v>0</v>
      </c>
      <c r="BD110" s="137">
        <f t="shared" si="77"/>
        <v>2.4986015282058016E-6</v>
      </c>
      <c r="BE110" s="137">
        <f t="shared" si="78"/>
        <v>2.4986015282058016E-6</v>
      </c>
      <c r="BF110" s="137">
        <f>_xll.xSPRDOPT($BW110,$BV110,$CG110,0,$BY110,$BX110,$BZ110,$AJ110,1,4)*$CB110</f>
        <v>1.1591769890627766</v>
      </c>
      <c r="BG110" s="137">
        <f>_xll.xSPRDOPT($BW110,$BV110,$CG110,0,$BY110,$BX110,$BZ110,$AJ110,1,3)*$CB110</f>
        <v>1.201812448458822</v>
      </c>
      <c r="BH110" s="137">
        <f>IF(OR(BF110&lt;&gt;0,BG110&lt;&gt;0),_xll.xSPRDOPT($BW110,$BV110,$CG110,0,$BY110,$BX110,$BZ110,$AJ110,1,12)*$CB110,0)</f>
        <v>-1.1802977253522</v>
      </c>
      <c r="BI110" s="137">
        <f>_xll.xSPRDOPT($BW110,$BV110,$CG110,2*LN(1+CA110/2),$BY110,$BX110,$BZ110,$AJ110,1,9)</f>
        <v>-5.3139869995234824E-4</v>
      </c>
      <c r="BJ110" s="137">
        <f>_xll.xSPRDOPT($BW110,$BV110,$CG110,0,$BY110,$BX110,$BZ110,$AJ110,1,6)*$CB110</f>
        <v>-0.19996448720392462</v>
      </c>
      <c r="BK110" s="137">
        <f>_xll.xSPRDOPT($BW110,$BV110,$CG110,0,$BY110,$BX110,$BZ110,$AJ110,1,5)*$CB110</f>
        <v>0.25495709227734131</v>
      </c>
      <c r="BL110" s="137">
        <f>_xll.xSPRDOPT(BW110,BV110,CG110,0,BY110,BX110,BZ110,AJ110,1,2)*CB110</f>
        <v>-8.2393162884851476E-2</v>
      </c>
      <c r="BM110" s="137">
        <f>_xll.xSPRDOPT(BW110,BV110,CG110,0,BY110,BX110,BZ110,AJ110,1,1)*CB110</f>
        <v>8.5117924105086853E-2</v>
      </c>
      <c r="BN110" s="137">
        <f>IF(AH110&lt;&gt;0,_xll.xSPRDOPT($BW110,$BV110,$CG110,2*LN(1+CA110/2),$BY110,$BX110,$BZ110,$AJ110,1,8)+(AJ110/365.25)*CH110/AH110,0)</f>
        <v>0.47097787067917274</v>
      </c>
      <c r="BO110" s="137">
        <f>_xll.xSPRDOPT($BW110,$BV110,$CG110,0,$BY110,$BX110,$BZ110,$AJ110,1,0)</f>
        <v>6.9843733552610518E-3</v>
      </c>
      <c r="BP110" s="137"/>
      <c r="BQ110" s="137"/>
      <c r="BR110" s="137"/>
      <c r="BS110" s="137"/>
      <c r="BV110" s="262">
        <v>3.7359162907577916</v>
      </c>
      <c r="BW110" s="136">
        <v>3.6870000000000003</v>
      </c>
      <c r="BX110" s="137">
        <v>0.20476755688332218</v>
      </c>
      <c r="BY110" s="137">
        <v>0.20476755688332218</v>
      </c>
      <c r="BZ110" s="137">
        <v>0.999447649168133</v>
      </c>
      <c r="CA110" s="137">
        <v>5.8582652764132402E-2</v>
      </c>
      <c r="CB110" s="137">
        <v>0.65164449623638854</v>
      </c>
      <c r="CC110" s="258">
        <v>-1.7000000000000001E-2</v>
      </c>
      <c r="CD110" s="258">
        <v>5.7500000000000002E-2</v>
      </c>
      <c r="CE110" s="258">
        <v>0.125</v>
      </c>
      <c r="CF110" s="258">
        <v>-2.5000000000000001E-2</v>
      </c>
      <c r="CG110" s="258">
        <v>1.9200000000000002E-2</v>
      </c>
      <c r="CH110" s="258">
        <v>2.0908013661744524</v>
      </c>
      <c r="CI110" s="258">
        <v>3.5870000000000002</v>
      </c>
    </row>
    <row r="111" spans="1:87" x14ac:dyDescent="0.25">
      <c r="A111" s="723"/>
      <c r="B111" s="723"/>
      <c r="D111" s="31">
        <f t="shared" si="63"/>
        <v>39979</v>
      </c>
      <c r="F111" s="28">
        <f t="shared" si="64"/>
        <v>15000</v>
      </c>
      <c r="G111" s="28">
        <f t="shared" si="12"/>
        <v>9723.7691504471222</v>
      </c>
      <c r="H111" s="52">
        <f t="shared" si="65"/>
        <v>3.7719623473192034</v>
      </c>
      <c r="I111" s="52">
        <f t="shared" si="66"/>
        <v>3.742</v>
      </c>
      <c r="K111" s="52">
        <f t="shared" si="55"/>
        <v>0</v>
      </c>
      <c r="L111" s="135">
        <f t="shared" si="56"/>
        <v>0.26932355823814713</v>
      </c>
      <c r="N111" s="131">
        <f t="shared" si="57"/>
        <v>0.204672874765365</v>
      </c>
      <c r="O111" s="131">
        <f t="shared" si="58"/>
        <v>0.20530760362777034</v>
      </c>
      <c r="P111" s="55">
        <f t="shared" si="59"/>
        <v>0.99925514072215238</v>
      </c>
      <c r="Q111" s="135">
        <f>_xll.xSPRDOPT(I111,H111,AQ111,0,O111,N111,P111,D111-$G$5,1,0)*AH111*AU111</f>
        <v>0.26932355823814713</v>
      </c>
      <c r="R111" s="135"/>
      <c r="S111" s="181">
        <f>_xll.xSPRDOPT(I111,H111,AQ111,AT111,O111,N111,P111,D111-$G$5,1,2)*AF111*(F111/(1-AR111))*AH111</f>
        <v>-66734.235255704902</v>
      </c>
      <c r="T111" s="181">
        <f>_xll.xSPRDOPT(I111,H111,AQ111,AT111,O111,N111,P111,D111-$G$5,1,1)*AF111*F111*AH111</f>
        <v>66686.536457261187</v>
      </c>
      <c r="U111" s="135"/>
      <c r="V111" s="146">
        <f t="shared" si="67"/>
        <v>2.0128202141425544</v>
      </c>
      <c r="W111" s="146"/>
      <c r="X111" s="338">
        <f t="shared" si="68"/>
        <v>0</v>
      </c>
      <c r="Y111" s="338">
        <f t="shared" si="13"/>
        <v>0</v>
      </c>
      <c r="Z111" s="338">
        <f t="shared" si="14"/>
        <v>-2.48574188158323</v>
      </c>
      <c r="AA111" s="338">
        <f t="shared" si="15"/>
        <v>0.24228000783846232</v>
      </c>
      <c r="AB111" s="338">
        <f t="shared" si="69"/>
        <v>0</v>
      </c>
      <c r="AC111" s="338">
        <f t="shared" si="70"/>
        <v>1.946327480757615</v>
      </c>
      <c r="AF111" s="138">
        <f t="shared" si="71"/>
        <v>1</v>
      </c>
      <c r="AG111" s="138">
        <f t="shared" si="72"/>
        <v>6</v>
      </c>
      <c r="AH111" s="138">
        <f t="shared" si="53"/>
        <v>30</v>
      </c>
      <c r="AI111" s="138">
        <f t="shared" si="73"/>
        <v>2723</v>
      </c>
      <c r="AJ111" s="138">
        <f t="shared" si="74"/>
        <v>2740</v>
      </c>
      <c r="AL111" s="136">
        <f t="shared" si="17"/>
        <v>3.6219999999999999</v>
      </c>
      <c r="AM111" s="258">
        <f t="shared" si="18"/>
        <v>-1.7000000000000001E-2</v>
      </c>
      <c r="AN111" s="258">
        <f t="shared" si="19"/>
        <v>5.7500000000000002E-2</v>
      </c>
      <c r="AO111" s="258">
        <f t="shared" si="20"/>
        <v>0.14499999999999999</v>
      </c>
      <c r="AP111" s="258">
        <f t="shared" si="21"/>
        <v>-2.4999999999999998E-2</v>
      </c>
      <c r="AQ111" s="136">
        <f t="shared" si="75"/>
        <v>1.9200000000000002E-2</v>
      </c>
      <c r="AR111" s="137">
        <f t="shared" si="22"/>
        <v>2.9020000000000001E-2</v>
      </c>
      <c r="AS111" s="136">
        <f t="shared" si="60"/>
        <v>3.6625000000000001</v>
      </c>
      <c r="AT111" s="137">
        <f t="shared" si="61"/>
        <v>5.8691765704435503E-2</v>
      </c>
      <c r="AU111" s="137">
        <f t="shared" si="54"/>
        <v>0.64825127669647487</v>
      </c>
      <c r="AV111" s="394">
        <f t="shared" si="62"/>
        <v>8712.4971588006229</v>
      </c>
      <c r="AW111" s="137">
        <f t="shared" si="24"/>
        <v>0.20250000000000001</v>
      </c>
      <c r="AX111" s="137">
        <f t="shared" si="25"/>
        <v>0.45</v>
      </c>
      <c r="AY111" s="137">
        <f t="shared" si="26"/>
        <v>0.5</v>
      </c>
      <c r="AZ111" s="137"/>
      <c r="BA111" s="264"/>
      <c r="BB111" s="258">
        <f t="shared" si="27"/>
        <v>0</v>
      </c>
      <c r="BC111" s="258">
        <f t="shared" si="76"/>
        <v>0</v>
      </c>
      <c r="BD111" s="137">
        <f t="shared" si="77"/>
        <v>2.3655818438550469E-6</v>
      </c>
      <c r="BE111" s="137">
        <f t="shared" si="78"/>
        <v>3.0519086591795919E-6</v>
      </c>
      <c r="BF111" s="137">
        <f>_xll.xSPRDOPT($BW111,$BV111,$CG111,0,$BY111,$BX111,$BZ111,$AJ111,1,4)*$CB111</f>
        <v>1.7380896903611118</v>
      </c>
      <c r="BG111" s="137">
        <f>_xll.xSPRDOPT($BW111,$BV111,$CG111,0,$BY111,$BX111,$BZ111,$AJ111,1,3)*$CB111</f>
        <v>1.7829977447959349</v>
      </c>
      <c r="BH111" s="137">
        <f>IF(OR(BF111&lt;&gt;0,BG111&lt;&gt;0),_xll.xSPRDOPT($BW111,$BV111,$CG111,0,$BY111,$BX111,$BZ111,$AJ111,1,12)*$CB111,0)</f>
        <v>-1.7603953063488722</v>
      </c>
      <c r="BI111" s="137">
        <f>_xll.xSPRDOPT($BW111,$BV111,$CG111,2*LN(1+CA111/2),$BY111,$BX111,$BZ111,$AJ111,1,9)</f>
        <v>-6.7253127573946281E-4</v>
      </c>
      <c r="BJ111" s="137">
        <f>_xll.xSPRDOPT($BW111,$BV111,$CG111,0,$BY111,$BX111,$BZ111,$AJ111,1,6)*$CB111</f>
        <v>-0.3979046420711963</v>
      </c>
      <c r="BK111" s="137">
        <f>_xll.xSPRDOPT($BW111,$BV111,$CG111,0,$BY111,$BX111,$BZ111,$AJ111,1,5)*$CB111</f>
        <v>0.48483627117655342</v>
      </c>
      <c r="BL111" s="137">
        <f>_xll.xSPRDOPT(BW111,BV111,CG111,0,BY111,BX111,BZ111,AJ111,1,2)*CB111</f>
        <v>-0.14473032223095991</v>
      </c>
      <c r="BM111" s="137">
        <f>_xll.xSPRDOPT(BW111,BV111,CG111,0,BY111,BX111,BZ111,AJ111,1,1)*CB111</f>
        <v>0.14895091529510254</v>
      </c>
      <c r="BN111" s="137">
        <f>IF(AH111&lt;&gt;0,_xll.xSPRDOPT($BW111,$BV111,$CG111,2*LN(1+CA111/2),$BY111,$BX111,$BZ111,$AJ111,1,8)+(AJ111/365.25)*CH111/AH111,0)</f>
        <v>0.43385032443116356</v>
      </c>
      <c r="BO111" s="137">
        <f>_xll.xSPRDOPT($BW111,$BV111,$CG111,0,$BY111,$BX111,$BZ111,$AJ111,1,0)</f>
        <v>1.384707871810621E-2</v>
      </c>
      <c r="BP111" s="137"/>
      <c r="BQ111" s="137"/>
      <c r="BR111" s="137"/>
      <c r="BS111" s="137"/>
      <c r="BV111" s="262">
        <v>3.7719623473192034</v>
      </c>
      <c r="BW111" s="136">
        <v>3.742</v>
      </c>
      <c r="BX111" s="137">
        <v>0.20467050918352114</v>
      </c>
      <c r="BY111" s="137">
        <v>0.20530455171911116</v>
      </c>
      <c r="BZ111" s="137">
        <v>0.99925593118900324</v>
      </c>
      <c r="CA111" s="137">
        <v>5.8691765704435503E-2</v>
      </c>
      <c r="CB111" s="137">
        <v>0.64794334626328554</v>
      </c>
      <c r="CC111" s="258">
        <v>-1.7000000000000001E-2</v>
      </c>
      <c r="CD111" s="258">
        <v>5.7500000000000002E-2</v>
      </c>
      <c r="CE111" s="258">
        <v>0.14499999999999999</v>
      </c>
      <c r="CF111" s="258">
        <v>-2.5000000000000001E-2</v>
      </c>
      <c r="CG111" s="258">
        <v>1.9200000000000002E-2</v>
      </c>
      <c r="CH111" s="258">
        <v>2.0118640901475016</v>
      </c>
      <c r="CI111" s="258">
        <v>3.6219999999999999</v>
      </c>
    </row>
    <row r="112" spans="1:87" x14ac:dyDescent="0.25">
      <c r="A112" s="723"/>
      <c r="B112" s="723"/>
      <c r="D112" s="31">
        <f t="shared" si="63"/>
        <v>40009</v>
      </c>
      <c r="F112" s="28">
        <f t="shared" si="64"/>
        <v>15000</v>
      </c>
      <c r="G112" s="28">
        <f t="shared" si="12"/>
        <v>9670.1604985769191</v>
      </c>
      <c r="H112" s="52">
        <f t="shared" si="65"/>
        <v>3.8131578405322459</v>
      </c>
      <c r="I112" s="52">
        <f t="shared" si="66"/>
        <v>3.7869999999999999</v>
      </c>
      <c r="K112" s="52">
        <f t="shared" si="55"/>
        <v>0</v>
      </c>
      <c r="L112" s="135">
        <f t="shared" si="56"/>
        <v>0.26639124248605311</v>
      </c>
      <c r="N112" s="131">
        <f t="shared" si="57"/>
        <v>0.2053687981082073</v>
      </c>
      <c r="O112" s="131">
        <f t="shared" si="58"/>
        <v>0.2053687981082073</v>
      </c>
      <c r="P112" s="55">
        <f t="shared" si="59"/>
        <v>0.99933627488454013</v>
      </c>
      <c r="Q112" s="135">
        <f>_xll.xSPRDOPT(I112,H112,AQ112,0,O112,N112,P112,D112-$G$5,1,0)*AH112*AU112</f>
        <v>0.26639124248605311</v>
      </c>
      <c r="R112" s="135"/>
      <c r="S112" s="181">
        <f>_xll.xSPRDOPT(I112,H112,AQ112,AT112,O112,N112,P112,D112-$G$5,1,2)*AF112*(F112/(1-AR112))*AH112</f>
        <v>-64197.873287791699</v>
      </c>
      <c r="T112" s="181">
        <f>_xll.xSPRDOPT(I112,H112,AQ112,AT112,O112,N112,P112,D112-$G$5,1,1)*AF112*F112*AH112</f>
        <v>64109.429097462315</v>
      </c>
      <c r="U112" s="135"/>
      <c r="V112" s="146">
        <f t="shared" si="67"/>
        <v>2.0684473306456033</v>
      </c>
      <c r="W112" s="146"/>
      <c r="X112" s="338">
        <f t="shared" si="68"/>
        <v>0</v>
      </c>
      <c r="Y112" s="338">
        <f t="shared" si="13"/>
        <v>0</v>
      </c>
      <c r="Z112" s="338">
        <f t="shared" si="14"/>
        <v>-2.3694193326849855</v>
      </c>
      <c r="AA112" s="338">
        <f t="shared" si="15"/>
        <v>0.12075803032316573</v>
      </c>
      <c r="AB112" s="338">
        <f t="shared" si="69"/>
        <v>0</v>
      </c>
      <c r="AC112" s="338">
        <f t="shared" si="70"/>
        <v>1.9285490263572687</v>
      </c>
      <c r="AF112" s="138">
        <f t="shared" si="71"/>
        <v>1</v>
      </c>
      <c r="AG112" s="138">
        <f t="shared" si="72"/>
        <v>7</v>
      </c>
      <c r="AH112" s="138">
        <f t="shared" si="53"/>
        <v>31</v>
      </c>
      <c r="AI112" s="138">
        <f t="shared" si="73"/>
        <v>2753</v>
      </c>
      <c r="AJ112" s="138">
        <f t="shared" si="74"/>
        <v>2770</v>
      </c>
      <c r="AL112" s="136">
        <f t="shared" si="17"/>
        <v>3.6619999999999999</v>
      </c>
      <c r="AM112" s="258">
        <f t="shared" si="18"/>
        <v>-1.7000000000000001E-2</v>
      </c>
      <c r="AN112" s="258">
        <f t="shared" si="19"/>
        <v>5.7500000000000002E-2</v>
      </c>
      <c r="AO112" s="258">
        <f t="shared" si="20"/>
        <v>0.15</v>
      </c>
      <c r="AP112" s="258">
        <f t="shared" si="21"/>
        <v>-2.4999999999999998E-2</v>
      </c>
      <c r="AQ112" s="136">
        <f t="shared" si="75"/>
        <v>1.9200000000000002E-2</v>
      </c>
      <c r="AR112" s="137">
        <f t="shared" si="22"/>
        <v>2.9020000000000001E-2</v>
      </c>
      <c r="AS112" s="136">
        <f t="shared" si="60"/>
        <v>3.7025000000000001</v>
      </c>
      <c r="AT112" s="137">
        <f t="shared" si="61"/>
        <v>5.87973588762392E-2</v>
      </c>
      <c r="AU112" s="137">
        <f t="shared" si="54"/>
        <v>0.64467736657179464</v>
      </c>
      <c r="AV112" s="394">
        <f t="shared" si="62"/>
        <v>8953.2792669490846</v>
      </c>
      <c r="AW112" s="137">
        <f t="shared" si="24"/>
        <v>0.20250000000000001</v>
      </c>
      <c r="AX112" s="137">
        <f t="shared" si="25"/>
        <v>0.5</v>
      </c>
      <c r="AY112" s="137">
        <f t="shared" si="26"/>
        <v>0.5</v>
      </c>
      <c r="AZ112" s="137"/>
      <c r="BA112" s="264"/>
      <c r="BB112" s="258">
        <f t="shared" si="27"/>
        <v>0</v>
      </c>
      <c r="BC112" s="258">
        <f t="shared" si="76"/>
        <v>0</v>
      </c>
      <c r="BD112" s="137">
        <f t="shared" si="77"/>
        <v>3.0836540131085055E-6</v>
      </c>
      <c r="BE112" s="137">
        <f t="shared" si="78"/>
        <v>3.0836540131085055E-6</v>
      </c>
      <c r="BF112" s="137">
        <f>_xll.xSPRDOPT($BW112,$BV112,$CG112,0,$BY112,$BX112,$BZ112,$AJ112,1,4)*$CB112</f>
        <v>1.5601212396157069</v>
      </c>
      <c r="BG112" s="137">
        <f>_xll.xSPRDOPT($BW112,$BV112,$CG112,0,$BY112,$BX112,$BZ112,$AJ112,1,3)*$CB112</f>
        <v>1.5971664763889333</v>
      </c>
      <c r="BH112" s="137">
        <f>IF(OR(BF112&lt;&gt;0,BG112&lt;&gt;0),_xll.xSPRDOPT($BW112,$BV112,$CG112,0,$BY112,$BX112,$BZ112,$AJ112,1,12)*$CB112,0)</f>
        <v>-1.5785305680674024</v>
      </c>
      <c r="BI112" s="137">
        <f>_xll.xSPRDOPT($BW112,$BV112,$CG112,2*LN(1+CA112/2),$BY112,$BX112,$BZ112,$AJ112,1,9)</f>
        <v>-6.2038022312773538E-4</v>
      </c>
      <c r="BJ112" s="137">
        <f>_xll.xSPRDOPT($BW112,$BV112,$CG112,0,$BY112,$BX112,$BZ112,$AJ112,1,6)*$CB112</f>
        <v>-0.25355157913829179</v>
      </c>
      <c r="BK112" s="137">
        <f>_xll.xSPRDOPT($BW112,$BV112,$CG112,0,$BY112,$BX112,$BZ112,$AJ112,1,5)*$CB112</f>
        <v>0.33776812475692153</v>
      </c>
      <c r="BL112" s="137">
        <f>_xll.xSPRDOPT(BW112,BV112,CG112,0,BY112,BX112,BZ112,AJ112,1,2)*CB112</f>
        <v>-0.13474760408842498</v>
      </c>
      <c r="BM112" s="137">
        <f>_xll.xSPRDOPT(BW112,BV112,CG112,0,BY112,BX112,BZ112,AJ112,1,1)*CB112</f>
        <v>0.13858508269327874</v>
      </c>
      <c r="BN112" s="137">
        <f>IF(AH112&lt;&gt;0,_xll.xSPRDOPT($BW112,$BV112,$CG112,2*LN(1+CA112/2),$BY112,$BX112,$BZ112,$AJ112,1,8)+(AJ112/365.25)*CH112/AH112,0)</f>
        <v>0.43774669785255088</v>
      </c>
      <c r="BO112" s="137">
        <f>_xll.xSPRDOPT($BW112,$BV112,$CG112,0,$BY112,$BX112,$BZ112,$AJ112,1,0)</f>
        <v>1.3327637485391605E-2</v>
      </c>
      <c r="BP112" s="137"/>
      <c r="BQ112" s="137"/>
      <c r="BR112" s="137"/>
      <c r="BS112" s="137"/>
      <c r="BV112" s="262">
        <v>3.8131578405322459</v>
      </c>
      <c r="BW112" s="136">
        <v>3.7869999999999999</v>
      </c>
      <c r="BX112" s="137">
        <v>0.20536571445419419</v>
      </c>
      <c r="BY112" s="137">
        <v>0.20536571445419419</v>
      </c>
      <c r="BZ112" s="137">
        <v>0.99933697342054773</v>
      </c>
      <c r="CA112" s="137">
        <v>5.87973588762392E-2</v>
      </c>
      <c r="CB112" s="137">
        <v>0.64437059089392101</v>
      </c>
      <c r="CC112" s="258">
        <v>-1.7000000000000001E-2</v>
      </c>
      <c r="CD112" s="258">
        <v>5.7500000000000002E-2</v>
      </c>
      <c r="CE112" s="258">
        <v>0.15</v>
      </c>
      <c r="CF112" s="258">
        <v>-2.5000000000000001E-2</v>
      </c>
      <c r="CG112" s="258">
        <v>1.9200000000000002E-2</v>
      </c>
      <c r="CH112" s="258">
        <v>2.0674630408831454</v>
      </c>
      <c r="CI112" s="258">
        <v>3.6619999999999999</v>
      </c>
    </row>
    <row r="113" spans="1:87" x14ac:dyDescent="0.25">
      <c r="A113" s="723"/>
      <c r="B113" s="723"/>
      <c r="D113" s="31">
        <f t="shared" si="63"/>
        <v>40040</v>
      </c>
      <c r="F113" s="28">
        <f t="shared" si="64"/>
        <v>15000</v>
      </c>
      <c r="G113" s="28">
        <f t="shared" si="12"/>
        <v>9614.9055612705888</v>
      </c>
      <c r="H113" s="52">
        <f t="shared" si="65"/>
        <v>3.8543533337452884</v>
      </c>
      <c r="I113" s="52">
        <f t="shared" si="66"/>
        <v>3.827</v>
      </c>
      <c r="K113" s="52">
        <f t="shared" si="55"/>
        <v>0</v>
      </c>
      <c r="L113" s="135">
        <f t="shared" si="56"/>
        <v>0.31947286381995815</v>
      </c>
      <c r="N113" s="131">
        <f t="shared" si="57"/>
        <v>0.20604383811600871</v>
      </c>
      <c r="O113" s="131">
        <f t="shared" si="58"/>
        <v>0.20604383811600871</v>
      </c>
      <c r="P113" s="55">
        <f t="shared" si="59"/>
        <v>0.99921098122299401</v>
      </c>
      <c r="Q113" s="135">
        <f>_xll.xSPRDOPT(I113,H113,AQ113,0,O113,N113,P113,D113-$G$5,1,0)*AH113*AU113</f>
        <v>0.31947286381995815</v>
      </c>
      <c r="R113" s="135"/>
      <c r="S113" s="181">
        <f>_xll.xSPRDOPT(I113,H113,AQ113,AT113,O113,N113,P113,D113-$G$5,1,2)*AF113*(F113/(1-AR113))*AH113</f>
        <v>-75594.966964790714</v>
      </c>
      <c r="T113" s="181">
        <f>_xll.xSPRDOPT(I113,H113,AQ113,AT113,O113,N113,P113,D113-$G$5,1,1)*AF113*F113*AH113</f>
        <v>75514.309284768315</v>
      </c>
      <c r="U113" s="135"/>
      <c r="V113" s="146">
        <f t="shared" si="67"/>
        <v>2.0566282995557787</v>
      </c>
      <c r="W113" s="146"/>
      <c r="X113" s="338">
        <f t="shared" si="68"/>
        <v>0</v>
      </c>
      <c r="Y113" s="338">
        <f t="shared" si="13"/>
        <v>0</v>
      </c>
      <c r="Z113" s="338">
        <f t="shared" si="14"/>
        <v>-2.5139326992926248</v>
      </c>
      <c r="AA113" s="338">
        <f t="shared" si="15"/>
        <v>0.16583611243302621</v>
      </c>
      <c r="AB113" s="338">
        <f t="shared" si="69"/>
        <v>0</v>
      </c>
      <c r="AC113" s="338">
        <f t="shared" si="70"/>
        <v>2.3171381729566369</v>
      </c>
      <c r="AF113" s="138">
        <f t="shared" si="71"/>
        <v>1</v>
      </c>
      <c r="AG113" s="138">
        <f t="shared" si="72"/>
        <v>8</v>
      </c>
      <c r="AH113" s="138">
        <f t="shared" si="53"/>
        <v>31</v>
      </c>
      <c r="AI113" s="138">
        <f t="shared" si="73"/>
        <v>2784</v>
      </c>
      <c r="AJ113" s="138">
        <f t="shared" si="74"/>
        <v>2801</v>
      </c>
      <c r="AL113" s="136">
        <f t="shared" si="17"/>
        <v>3.702</v>
      </c>
      <c r="AM113" s="258">
        <f t="shared" si="18"/>
        <v>-1.7000000000000001E-2</v>
      </c>
      <c r="AN113" s="258">
        <f t="shared" si="19"/>
        <v>5.7500000000000002E-2</v>
      </c>
      <c r="AO113" s="258">
        <f t="shared" si="20"/>
        <v>0.15</v>
      </c>
      <c r="AP113" s="258">
        <f t="shared" si="21"/>
        <v>-2.4999999999999998E-2</v>
      </c>
      <c r="AQ113" s="136">
        <f t="shared" si="75"/>
        <v>1.9200000000000002E-2</v>
      </c>
      <c r="AR113" s="137">
        <f t="shared" si="22"/>
        <v>2.9020000000000001E-2</v>
      </c>
      <c r="AS113" s="136">
        <f t="shared" si="60"/>
        <v>3.7425000000000002</v>
      </c>
      <c r="AT113" s="137">
        <f t="shared" si="61"/>
        <v>5.8906471824330599E-2</v>
      </c>
      <c r="AU113" s="137">
        <f t="shared" si="54"/>
        <v>0.64099370408470591</v>
      </c>
      <c r="AV113" s="394">
        <f t="shared" si="62"/>
        <v>8902.120562328395</v>
      </c>
      <c r="AW113" s="137">
        <f t="shared" si="24"/>
        <v>0.20250000000000001</v>
      </c>
      <c r="AX113" s="137">
        <f t="shared" si="25"/>
        <v>0.55000000000000004</v>
      </c>
      <c r="AY113" s="137">
        <f t="shared" si="26"/>
        <v>0.55000000000000004</v>
      </c>
      <c r="AZ113" s="137"/>
      <c r="BA113" s="264"/>
      <c r="BB113" s="258">
        <f t="shared" si="27"/>
        <v>0</v>
      </c>
      <c r="BC113" s="258">
        <f t="shared" si="76"/>
        <v>0</v>
      </c>
      <c r="BD113" s="137">
        <f t="shared" si="77"/>
        <v>3.7609928676685112E-6</v>
      </c>
      <c r="BE113" s="137">
        <f t="shared" si="78"/>
        <v>3.7609928676685112E-6</v>
      </c>
      <c r="BF113" s="137">
        <f>_xll.xSPRDOPT($BW113,$BV113,$CG113,0,$BY113,$BX113,$BZ113,$AJ113,1,4)*$CB113</f>
        <v>1.8057306287144992</v>
      </c>
      <c r="BG113" s="137">
        <f>_xll.xSPRDOPT($BW113,$BV113,$CG113,0,$BY113,$BX113,$BZ113,$AJ113,1,3)*$CB113</f>
        <v>1.8492954406573436</v>
      </c>
      <c r="BH113" s="137">
        <f>IF(OR(BF113&lt;&gt;0,BG113&lt;&gt;0),_xll.xSPRDOPT($BW113,$BV113,$CG113,0,$BY113,$BX113,$BZ113,$AJ113,1,12)*$CB113,0)</f>
        <v>-1.8273779186985508</v>
      </c>
      <c r="BI113" s="137">
        <f>_xll.xSPRDOPT($BW113,$BV113,$CG113,2*LN(1+CA113/2),$BY113,$BX113,$BZ113,$AJ113,1,9)</f>
        <v>-6.5821786266425178E-4</v>
      </c>
      <c r="BJ113" s="137">
        <f>_xll.xSPRDOPT($BW113,$BV113,$CG113,0,$BY113,$BX113,$BZ113,$AJ113,1,6)*$CB113</f>
        <v>-0.23290642337083386</v>
      </c>
      <c r="BK113" s="137">
        <f>_xll.xSPRDOPT($BW113,$BV113,$CG113,0,$BY113,$BX113,$BZ113,$AJ113,1,5)*$CB113</f>
        <v>0.32773159679699965</v>
      </c>
      <c r="BL113" s="137">
        <f>_xll.xSPRDOPT(BW113,BV113,CG113,0,BY113,BX113,BZ113,AJ113,1,2)*CB113</f>
        <v>-0.1586870536646193</v>
      </c>
      <c r="BM113" s="137">
        <f>_xll.xSPRDOPT(BW113,BV113,CG113,0,BY113,BX113,BZ113,AJ113,1,1)*CB113</f>
        <v>0.16325706879701188</v>
      </c>
      <c r="BN113" s="137">
        <f>IF(AH113&lt;&gt;0,_xll.xSPRDOPT($BW113,$BV113,$CG113,2*LN(1+CA113/2),$BY113,$BX113,$BZ113,$AJ113,1,8)+(AJ113/365.25)*CH113/AH113,0)</f>
        <v>0.42719931917117387</v>
      </c>
      <c r="BO113" s="137">
        <f>_xll.xSPRDOPT($BW113,$BV113,$CG113,0,$BY113,$BX113,$BZ113,$AJ113,1,0)</f>
        <v>1.6075269543736084E-2</v>
      </c>
      <c r="BP113" s="137"/>
      <c r="BQ113" s="137"/>
      <c r="BR113" s="137"/>
      <c r="BS113" s="137"/>
      <c r="BV113" s="262">
        <v>3.8543533337452884</v>
      </c>
      <c r="BW113" s="136">
        <v>3.827</v>
      </c>
      <c r="BX113" s="137">
        <v>0.20604007712314104</v>
      </c>
      <c r="BY113" s="137">
        <v>0.20604007712314104</v>
      </c>
      <c r="BZ113" s="137">
        <v>0.99921179707168228</v>
      </c>
      <c r="CA113" s="137">
        <v>5.8906471824330599E-2</v>
      </c>
      <c r="CB113" s="137">
        <v>0.64068812353661253</v>
      </c>
      <c r="CC113" s="258">
        <v>-1.7000000000000001E-2</v>
      </c>
      <c r="CD113" s="258">
        <v>5.7500000000000002E-2</v>
      </c>
      <c r="CE113" s="258">
        <v>0.15</v>
      </c>
      <c r="CF113" s="258">
        <v>-2.5000000000000001E-2</v>
      </c>
      <c r="CG113" s="258">
        <v>1.9200000000000002E-2</v>
      </c>
      <c r="CH113" s="258">
        <v>2.055647844367221</v>
      </c>
      <c r="CI113" s="258">
        <v>3.702</v>
      </c>
    </row>
    <row r="114" spans="1:87" x14ac:dyDescent="0.25">
      <c r="A114" s="723"/>
      <c r="B114" s="723"/>
      <c r="D114" s="31">
        <f t="shared" si="63"/>
        <v>40071</v>
      </c>
      <c r="F114" s="28">
        <f t="shared" si="64"/>
        <v>15000</v>
      </c>
      <c r="G114" s="28">
        <f t="shared" si="12"/>
        <v>9559.7947616132315</v>
      </c>
      <c r="H114" s="52">
        <f t="shared" si="65"/>
        <v>3.8492038970936586</v>
      </c>
      <c r="I114" s="52">
        <f t="shared" si="66"/>
        <v>3.7970000000000002</v>
      </c>
      <c r="K114" s="52">
        <f t="shared" si="55"/>
        <v>0</v>
      </c>
      <c r="L114" s="135">
        <f t="shared" si="56"/>
        <v>0.25884653849831868</v>
      </c>
      <c r="N114" s="131">
        <f t="shared" si="57"/>
        <v>0.20589380582139519</v>
      </c>
      <c r="O114" s="131">
        <f t="shared" si="58"/>
        <v>0.20663259567076919</v>
      </c>
      <c r="P114" s="55">
        <f t="shared" si="59"/>
        <v>0.99902842921061252</v>
      </c>
      <c r="Q114" s="135">
        <f>_xll.xSPRDOPT(I114,H114,AQ114,0,O114,N114,P114,D114-$G$5,1,0)*AH114*AU114</f>
        <v>0.25884653849831868</v>
      </c>
      <c r="R114" s="135"/>
      <c r="S114" s="181">
        <f>_xll.xSPRDOPT(I114,H114,AQ114,AT114,O114,N114,P114,D114-$G$5,1,2)*AF114*(F114/(1-AR114))*AH114</f>
        <v>-66680.47952771472</v>
      </c>
      <c r="T114" s="181">
        <f>_xll.xSPRDOPT(I114,H114,AQ114,AT114,O114,N114,P114,D114-$G$5,1,1)*AF114*F114*AH114</f>
        <v>66937.834058282708</v>
      </c>
      <c r="U114" s="135"/>
      <c r="V114" s="146">
        <f t="shared" si="67"/>
        <v>1.9788775156539387</v>
      </c>
      <c r="W114" s="146"/>
      <c r="X114" s="338">
        <f t="shared" si="68"/>
        <v>0</v>
      </c>
      <c r="Y114" s="338">
        <f t="shared" si="13"/>
        <v>0</v>
      </c>
      <c r="Z114" s="338">
        <f t="shared" si="14"/>
        <v>-2.7499238699578314</v>
      </c>
      <c r="AA114" s="338">
        <f t="shared" si="15"/>
        <v>0.29454166543996291</v>
      </c>
      <c r="AB114" s="338">
        <f t="shared" si="69"/>
        <v>0</v>
      </c>
      <c r="AC114" s="338">
        <f t="shared" si="70"/>
        <v>1.8813168836212835</v>
      </c>
      <c r="AF114" s="138">
        <f t="shared" si="71"/>
        <v>1</v>
      </c>
      <c r="AG114" s="138">
        <f t="shared" si="72"/>
        <v>9</v>
      </c>
      <c r="AH114" s="138">
        <f t="shared" si="53"/>
        <v>30</v>
      </c>
      <c r="AI114" s="138">
        <f t="shared" si="73"/>
        <v>2815</v>
      </c>
      <c r="AJ114" s="138">
        <f t="shared" si="74"/>
        <v>2832</v>
      </c>
      <c r="AL114" s="136">
        <f t="shared" si="17"/>
        <v>3.6970000000000001</v>
      </c>
      <c r="AM114" s="258">
        <f t="shared" si="18"/>
        <v>-1.7000000000000001E-2</v>
      </c>
      <c r="AN114" s="258">
        <f t="shared" si="19"/>
        <v>5.7500000000000002E-2</v>
      </c>
      <c r="AO114" s="258">
        <f t="shared" si="20"/>
        <v>0.125</v>
      </c>
      <c r="AP114" s="258">
        <f t="shared" si="21"/>
        <v>-2.4999999999999998E-2</v>
      </c>
      <c r="AQ114" s="136">
        <f t="shared" si="75"/>
        <v>1.9200000000000002E-2</v>
      </c>
      <c r="AR114" s="137">
        <f t="shared" si="22"/>
        <v>2.9020000000000001E-2</v>
      </c>
      <c r="AS114" s="136">
        <f t="shared" si="60"/>
        <v>3.7375000000000003</v>
      </c>
      <c r="AT114" s="137">
        <f t="shared" si="61"/>
        <v>5.9015584776379797E-2</v>
      </c>
      <c r="AU114" s="137">
        <f t="shared" si="54"/>
        <v>0.63731965077421537</v>
      </c>
      <c r="AV114" s="394">
        <f t="shared" si="62"/>
        <v>8565.576106405455</v>
      </c>
      <c r="AW114" s="137">
        <f t="shared" si="24"/>
        <v>0.20250000000000001</v>
      </c>
      <c r="AX114" s="137">
        <f t="shared" si="25"/>
        <v>0.55000000000000004</v>
      </c>
      <c r="AY114" s="137">
        <f t="shared" si="26"/>
        <v>0.6</v>
      </c>
      <c r="AZ114" s="137"/>
      <c r="BA114" s="264"/>
      <c r="BB114" s="258">
        <f t="shared" si="27"/>
        <v>0</v>
      </c>
      <c r="BC114" s="258">
        <f t="shared" si="76"/>
        <v>0</v>
      </c>
      <c r="BD114" s="137">
        <f t="shared" si="77"/>
        <v>3.5642757760800947E-6</v>
      </c>
      <c r="BE114" s="137">
        <f t="shared" si="78"/>
        <v>4.3324883529649583E-6</v>
      </c>
      <c r="BF114" s="137">
        <f>_xll.xSPRDOPT($BW114,$BV114,$CG114,0,$BY114,$BX114,$BZ114,$AJ114,1,4)*$CB114</f>
        <v>1.8804542167692966</v>
      </c>
      <c r="BG114" s="137">
        <f>_xll.xSPRDOPT($BW114,$BV114,$CG114,0,$BY114,$BX114,$BZ114,$AJ114,1,3)*$CB114</f>
        <v>1.9502821223435001</v>
      </c>
      <c r="BH114" s="137">
        <f>IF(OR(BF114&lt;&gt;0,BG114&lt;&gt;0),_xll.xSPRDOPT($BW114,$BV114,$CG114,0,$BY114,$BX114,$BZ114,$AJ114,1,12)*$CB114,0)</f>
        <v>-1.9150436579219383</v>
      </c>
      <c r="BI114" s="137">
        <f>_xll.xSPRDOPT($BW114,$BV114,$CG114,2*LN(1+CA114/2),$BY114,$BX114,$BZ114,$AJ114,1,9)</f>
        <v>-7.4400718037192441E-4</v>
      </c>
      <c r="BJ114" s="137">
        <f>_xll.xSPRDOPT($BW114,$BV114,$CG114,0,$BY114,$BX114,$BZ114,$AJ114,1,6)*$CB114</f>
        <v>-0.33197099940665847</v>
      </c>
      <c r="BK114" s="137">
        <f>_xll.xSPRDOPT($BW114,$BV114,$CG114,0,$BY114,$BX114,$BZ114,$AJ114,1,5)*$CB114</f>
        <v>0.42418422766205299</v>
      </c>
      <c r="BL114" s="137">
        <f>_xll.xSPRDOPT(BW114,BV114,CG114,0,BY114,BX114,BZ114,AJ114,1,2)*CB114</f>
        <v>-0.14468361833409946</v>
      </c>
      <c r="BM114" s="137">
        <f>_xll.xSPRDOPT(BW114,BV114,CG114,0,BY114,BX114,BZ114,AJ114,1,1)*CB114</f>
        <v>0.14958439078945046</v>
      </c>
      <c r="BN114" s="137">
        <f>IF(AH114&lt;&gt;0,_xll.xSPRDOPT($BW114,$BV114,$CG114,2*LN(1+CA114/2),$BY114,$BX114,$BZ114,$AJ114,1,8)+(AJ114/365.25)*CH114/AH114,0)</f>
        <v>0.44447965754299906</v>
      </c>
      <c r="BO114" s="137">
        <f>_xll.xSPRDOPT($BW114,$BV114,$CG114,0,$BY114,$BX114,$BZ114,$AJ114,1,0)</f>
        <v>1.3539475888889086E-2</v>
      </c>
      <c r="BP114" s="137"/>
      <c r="BQ114" s="137"/>
      <c r="BR114" s="137"/>
      <c r="BS114" s="137"/>
      <c r="BV114" s="262">
        <v>3.8492038970936586</v>
      </c>
      <c r="BW114" s="136">
        <v>3.7970000000000002</v>
      </c>
      <c r="BX114" s="137">
        <v>0.20589024154561911</v>
      </c>
      <c r="BY114" s="137">
        <v>0.20662826318241623</v>
      </c>
      <c r="BZ114" s="137">
        <v>0.99902941436113857</v>
      </c>
      <c r="CA114" s="137">
        <v>5.9015584776379797E-2</v>
      </c>
      <c r="CB114" s="137">
        <v>0.63701526720725854</v>
      </c>
      <c r="CC114" s="258">
        <v>-1.7000000000000001E-2</v>
      </c>
      <c r="CD114" s="258">
        <v>5.7500000000000002E-2</v>
      </c>
      <c r="CE114" s="258">
        <v>0.125</v>
      </c>
      <c r="CF114" s="258">
        <v>-2.5000000000000001E-2</v>
      </c>
      <c r="CG114" s="258">
        <v>1.9200000000000002E-2</v>
      </c>
      <c r="CH114" s="258">
        <v>1.9779324046785378</v>
      </c>
      <c r="CI114" s="258">
        <v>3.6970000000000001</v>
      </c>
    </row>
    <row r="115" spans="1:87" x14ac:dyDescent="0.25">
      <c r="A115" s="723"/>
      <c r="B115" s="723"/>
      <c r="D115" s="31">
        <f t="shared" si="63"/>
        <v>40101</v>
      </c>
      <c r="F115" s="28">
        <f t="shared" si="64"/>
        <v>15000</v>
      </c>
      <c r="G115" s="28">
        <f t="shared" si="12"/>
        <v>9506.600060649349</v>
      </c>
      <c r="H115" s="52">
        <f t="shared" si="65"/>
        <v>3.8749510803518099</v>
      </c>
      <c r="I115" s="52">
        <f t="shared" si="66"/>
        <v>3.8420000000000001</v>
      </c>
      <c r="K115" s="52">
        <f t="shared" si="55"/>
        <v>0</v>
      </c>
      <c r="L115" s="135">
        <f t="shared" si="56"/>
        <v>0.43396358798333651</v>
      </c>
      <c r="N115" s="131">
        <f t="shared" si="57"/>
        <v>0.2067238740310105</v>
      </c>
      <c r="O115" s="131">
        <f t="shared" si="58"/>
        <v>0.20754138060521898</v>
      </c>
      <c r="P115" s="55">
        <f t="shared" si="59"/>
        <v>0.99886479709165565</v>
      </c>
      <c r="Q115" s="135">
        <f>_xll.xSPRDOPT(I115,H115,AQ115,0,O115,N115,P115,D115-$G$5,1,0)*AH115*AU115</f>
        <v>0.43396358798333651</v>
      </c>
      <c r="R115" s="135"/>
      <c r="S115" s="181">
        <f>_xll.xSPRDOPT(I115,H115,AQ115,AT115,O115,N115,P115,D115-$G$5,1,2)*AF115*(F115/(1-AR115))*AH115</f>
        <v>-93690.963969060045</v>
      </c>
      <c r="T115" s="181">
        <f>_xll.xSPRDOPT(I115,H115,AQ115,AT115,O115,N115,P115,D115-$G$5,1,1)*AF115*F115*AH115</f>
        <v>93840.450550907888</v>
      </c>
      <c r="U115" s="135"/>
      <c r="V115" s="146">
        <f t="shared" si="67"/>
        <v>2.0334617529728956</v>
      </c>
      <c r="W115" s="146"/>
      <c r="X115" s="338">
        <f t="shared" si="68"/>
        <v>0</v>
      </c>
      <c r="Y115" s="338">
        <f t="shared" si="13"/>
        <v>0</v>
      </c>
      <c r="Z115" s="338">
        <f t="shared" si="14"/>
        <v>-2.8436669097893721</v>
      </c>
      <c r="AA115" s="338">
        <f t="shared" si="15"/>
        <v>0.42764859770651226</v>
      </c>
      <c r="AB115" s="338">
        <f t="shared" si="69"/>
        <v>0</v>
      </c>
      <c r="AC115" s="338">
        <f t="shared" si="70"/>
        <v>3.1594812339419254</v>
      </c>
      <c r="AF115" s="138">
        <f t="shared" si="71"/>
        <v>1</v>
      </c>
      <c r="AG115" s="138">
        <f t="shared" si="72"/>
        <v>10</v>
      </c>
      <c r="AH115" s="138">
        <f t="shared" si="53"/>
        <v>31</v>
      </c>
      <c r="AI115" s="138">
        <f t="shared" si="73"/>
        <v>2845</v>
      </c>
      <c r="AJ115" s="138">
        <f t="shared" si="74"/>
        <v>2862</v>
      </c>
      <c r="AL115" s="136">
        <f t="shared" si="17"/>
        <v>3.722</v>
      </c>
      <c r="AM115" s="258">
        <f t="shared" si="18"/>
        <v>-1.7000000000000001E-2</v>
      </c>
      <c r="AN115" s="258">
        <f t="shared" si="19"/>
        <v>5.7500000000000002E-2</v>
      </c>
      <c r="AO115" s="258">
        <f t="shared" si="20"/>
        <v>0.14499999999999999</v>
      </c>
      <c r="AP115" s="258">
        <f t="shared" si="21"/>
        <v>-2.4999999999999998E-2</v>
      </c>
      <c r="AQ115" s="136">
        <f t="shared" si="75"/>
        <v>1.9200000000000002E-2</v>
      </c>
      <c r="AR115" s="137">
        <f t="shared" si="22"/>
        <v>2.9020000000000001E-2</v>
      </c>
      <c r="AS115" s="136">
        <f t="shared" si="60"/>
        <v>3.7625000000000002</v>
      </c>
      <c r="AT115" s="137">
        <f t="shared" si="61"/>
        <v>5.9121177959550797E-2</v>
      </c>
      <c r="AU115" s="137">
        <f t="shared" si="54"/>
        <v>0.63377333737662322</v>
      </c>
      <c r="AV115" s="394">
        <f t="shared" si="62"/>
        <v>8801.8441094865429</v>
      </c>
      <c r="AW115" s="137">
        <f t="shared" si="24"/>
        <v>0.20250000000000001</v>
      </c>
      <c r="AX115" s="137">
        <f t="shared" si="25"/>
        <v>0.6</v>
      </c>
      <c r="AY115" s="137">
        <f t="shared" si="26"/>
        <v>0.65</v>
      </c>
      <c r="AZ115" s="137"/>
      <c r="BA115" s="264"/>
      <c r="BB115" s="258">
        <f t="shared" si="27"/>
        <v>0</v>
      </c>
      <c r="BC115" s="258">
        <f t="shared" si="76"/>
        <v>0</v>
      </c>
      <c r="BD115" s="137">
        <f t="shared" si="77"/>
        <v>4.3800589697717829E-6</v>
      </c>
      <c r="BE115" s="137">
        <f t="shared" si="78"/>
        <v>5.2176146720928074E-6</v>
      </c>
      <c r="BF115" s="137">
        <f>_xll.xSPRDOPT($BW115,$BV115,$CG115,0,$BY115,$BX115,$BZ115,$AJ115,1,4)*$CB115</f>
        <v>2.0513988305699349</v>
      </c>
      <c r="BG115" s="137">
        <f>_xll.xSPRDOPT($BW115,$BV115,$CG115,0,$BY115,$BX115,$BZ115,$AJ115,1,3)*$CB115</f>
        <v>2.1062493288431057</v>
      </c>
      <c r="BH115" s="137">
        <f>IF(OR(BF115&lt;&gt;0,BG115&lt;&gt;0),_xll.xSPRDOPT($BW115,$BV115,$CG115,0,$BY115,$BX115,$BZ115,$AJ115,1,12)*$CB115,0)</f>
        <v>-2.0786365123961281</v>
      </c>
      <c r="BI115" s="137">
        <f>_xll.xSPRDOPT($BW115,$BV115,$CG115,2*LN(1+CA115/2),$BY115,$BX115,$BZ115,$AJ115,1,9)</f>
        <v>-7.4455149734807752E-4</v>
      </c>
      <c r="BJ115" s="137">
        <f>_xll.xSPRDOPT($BW115,$BV115,$CG115,0,$BY115,$BX115,$BZ115,$AJ115,1,6)*$CB115</f>
        <v>-0.3734615945380132</v>
      </c>
      <c r="BK115" s="137">
        <f>_xll.xSPRDOPT($BW115,$BV115,$CG115,0,$BY115,$BX115,$BZ115,$AJ115,1,5)*$CB115</f>
        <v>0.48977518871979314</v>
      </c>
      <c r="BL115" s="137">
        <f>_xll.xSPRDOPT(BW115,BV115,CG115,0,BY115,BX115,BZ115,AJ115,1,2)*CB115</f>
        <v>-0.19686238826008953</v>
      </c>
      <c r="BM115" s="137">
        <f>_xll.xSPRDOPT(BW115,BV115,CG115,0,BY115,BX115,BZ115,AJ115,1,1)*CB115</f>
        <v>0.20306951496240583</v>
      </c>
      <c r="BN115" s="137">
        <f>IF(AH115&lt;&gt;0,_xll.xSPRDOPT($BW115,$BV115,$CG115,2*LN(1+CA115/2),$BY115,$BX115,$BZ115,$AJ115,1,8)+(AJ115/365.25)*CH115/AH115,0)</f>
        <v>0.40410318967975417</v>
      </c>
      <c r="BO115" s="137">
        <f>_xll.xSPRDOPT($BW115,$BV115,$CG115,0,$BY115,$BX115,$BZ115,$AJ115,1,0)</f>
        <v>2.2088315056006235E-2</v>
      </c>
      <c r="BP115" s="137"/>
      <c r="BQ115" s="137"/>
      <c r="BR115" s="137"/>
      <c r="BS115" s="137"/>
      <c r="BV115" s="262">
        <v>3.8749510803518099</v>
      </c>
      <c r="BW115" s="136">
        <v>3.8420000000000001</v>
      </c>
      <c r="BX115" s="137">
        <v>0.20671949397204073</v>
      </c>
      <c r="BY115" s="137">
        <v>0.20753616299054689</v>
      </c>
      <c r="BZ115" s="137">
        <v>0.99886592607847202</v>
      </c>
      <c r="CA115" s="137">
        <v>5.9121177959550797E-2</v>
      </c>
      <c r="CB115" s="137">
        <v>0.63347011388227692</v>
      </c>
      <c r="CC115" s="258">
        <v>-1.7000000000000001E-2</v>
      </c>
      <c r="CD115" s="258">
        <v>5.7500000000000002E-2</v>
      </c>
      <c r="CE115" s="258">
        <v>0.14499999999999999</v>
      </c>
      <c r="CF115" s="258">
        <v>-2.5000000000000001E-2</v>
      </c>
      <c r="CG115" s="258">
        <v>1.9200000000000002E-2</v>
      </c>
      <c r="CH115" s="258">
        <v>2.0324888603912856</v>
      </c>
      <c r="CI115" s="258">
        <v>3.722</v>
      </c>
    </row>
    <row r="116" spans="1:87" x14ac:dyDescent="0.25">
      <c r="A116" s="723"/>
      <c r="B116" s="723"/>
      <c r="D116" s="31">
        <f t="shared" si="63"/>
        <v>40132</v>
      </c>
      <c r="F116" s="28">
        <f t="shared" si="64"/>
        <v>15000</v>
      </c>
      <c r="G116" s="28">
        <f t="shared" si="12"/>
        <v>0</v>
      </c>
      <c r="H116" s="52">
        <f t="shared" si="65"/>
        <v>4.0314939545613715</v>
      </c>
      <c r="I116" s="52">
        <f t="shared" si="66"/>
        <v>4.0439999999999996</v>
      </c>
      <c r="K116" s="52">
        <f t="shared" si="55"/>
        <v>0</v>
      </c>
      <c r="L116" s="135">
        <f t="shared" si="56"/>
        <v>0</v>
      </c>
      <c r="N116" s="131">
        <f t="shared" si="57"/>
        <v>0.20250000000000001</v>
      </c>
      <c r="O116" s="131">
        <f t="shared" si="58"/>
        <v>0.20250000000000001</v>
      </c>
      <c r="P116" s="55">
        <f t="shared" si="59"/>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67"/>
        <v>0</v>
      </c>
      <c r="W116" s="146"/>
      <c r="X116" s="338">
        <f t="shared" si="68"/>
        <v>0</v>
      </c>
      <c r="Y116" s="338">
        <f t="shared" si="13"/>
        <v>0</v>
      </c>
      <c r="Z116" s="338">
        <f t="shared" si="14"/>
        <v>0</v>
      </c>
      <c r="AA116" s="338">
        <f t="shared" si="15"/>
        <v>0</v>
      </c>
      <c r="AB116" s="338">
        <f t="shared" si="69"/>
        <v>0</v>
      </c>
      <c r="AC116" s="338">
        <f t="shared" si="70"/>
        <v>0</v>
      </c>
      <c r="AF116" s="138">
        <f t="shared" si="71"/>
        <v>0</v>
      </c>
      <c r="AG116" s="138">
        <f t="shared" si="72"/>
        <v>11</v>
      </c>
      <c r="AH116" s="138">
        <f t="shared" si="53"/>
        <v>0</v>
      </c>
      <c r="AI116" s="138">
        <f t="shared" si="73"/>
        <v>2876</v>
      </c>
      <c r="AJ116" s="138">
        <f t="shared" si="74"/>
        <v>2893</v>
      </c>
      <c r="AL116" s="136">
        <f t="shared" si="17"/>
        <v>3.8740000000000001</v>
      </c>
      <c r="AM116" s="258">
        <f t="shared" si="18"/>
        <v>-1.7000000000000001E-2</v>
      </c>
      <c r="AN116" s="258">
        <f t="shared" si="19"/>
        <v>5.7500000000000002E-2</v>
      </c>
      <c r="AO116" s="258">
        <f t="shared" si="20"/>
        <v>0.19500000000000001</v>
      </c>
      <c r="AP116" s="258">
        <f t="shared" si="21"/>
        <v>-2.4999999999999998E-2</v>
      </c>
      <c r="AQ116" s="136">
        <f t="shared" si="75"/>
        <v>1.9200000000000002E-2</v>
      </c>
      <c r="AR116" s="137">
        <f t="shared" si="22"/>
        <v>2.9020000000000001E-2</v>
      </c>
      <c r="AS116" s="136">
        <f t="shared" si="60"/>
        <v>3.9145000000000003</v>
      </c>
      <c r="AT116" s="137">
        <f t="shared" si="61"/>
        <v>5.9230290919387599E-2</v>
      </c>
      <c r="AU116" s="137">
        <f t="shared" si="54"/>
        <v>0</v>
      </c>
      <c r="AV116" s="394">
        <f t="shared" si="62"/>
        <v>0</v>
      </c>
      <c r="AW116" s="137">
        <f t="shared" si="24"/>
        <v>0.20250000000000001</v>
      </c>
      <c r="AX116" s="137">
        <f t="shared" si="25"/>
        <v>0.8</v>
      </c>
      <c r="AY116" s="137">
        <f t="shared" si="26"/>
        <v>0.85</v>
      </c>
      <c r="AZ116" s="137"/>
      <c r="BA116" s="264"/>
      <c r="BB116" s="258">
        <f t="shared" si="27"/>
        <v>0</v>
      </c>
      <c r="BC116" s="258">
        <f t="shared" si="76"/>
        <v>0</v>
      </c>
      <c r="BD116" s="137">
        <f t="shared" si="77"/>
        <v>0</v>
      </c>
      <c r="BE116" s="137">
        <f t="shared" si="7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-1.2474168262918625E-3</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1.2606414291608583</v>
      </c>
      <c r="BP116" s="137"/>
      <c r="BQ116" s="137"/>
      <c r="BR116" s="137"/>
      <c r="BS116" s="137"/>
      <c r="BV116" s="262">
        <v>4.0314939545613715</v>
      </c>
      <c r="BW116" s="136">
        <v>4.0439999999999996</v>
      </c>
      <c r="BX116" s="137">
        <v>0.20250000000000001</v>
      </c>
      <c r="BY116" s="137">
        <v>0.20250000000000001</v>
      </c>
      <c r="BZ116" s="137">
        <v>0</v>
      </c>
      <c r="CA116" s="137">
        <v>5.9230290919387599E-2</v>
      </c>
      <c r="CB116" s="137">
        <v>0</v>
      </c>
      <c r="CC116" s="258">
        <v>-1.7000000000000001E-2</v>
      </c>
      <c r="CD116" s="258">
        <v>5.7500000000000002E-2</v>
      </c>
      <c r="CE116" s="258">
        <v>0.19500000000000001</v>
      </c>
      <c r="CF116" s="258">
        <v>-2.5000000000000001E-2</v>
      </c>
      <c r="CG116" s="258">
        <v>1.9200000000000002E-2</v>
      </c>
      <c r="CH116" s="258">
        <v>0</v>
      </c>
      <c r="CI116" s="258">
        <v>3.8740000000000001</v>
      </c>
    </row>
    <row r="117" spans="1:87" x14ac:dyDescent="0.25">
      <c r="A117" s="723"/>
      <c r="B117" s="723"/>
      <c r="D117" s="31">
        <f t="shared" si="63"/>
        <v>40132</v>
      </c>
      <c r="F117" s="28">
        <f t="shared" si="64"/>
        <v>15000</v>
      </c>
      <c r="G117" s="28">
        <f t="shared" si="12"/>
        <v>0</v>
      </c>
      <c r="H117" s="52">
        <f t="shared" si="65"/>
        <v>4.0314939545613715</v>
      </c>
      <c r="I117" s="52">
        <f t="shared" si="66"/>
        <v>4.0439999999999996</v>
      </c>
      <c r="K117" s="52">
        <f t="shared" si="55"/>
        <v>0</v>
      </c>
      <c r="L117" s="135">
        <f t="shared" si="56"/>
        <v>0</v>
      </c>
      <c r="N117" s="131">
        <f t="shared" si="57"/>
        <v>0.20250000000000001</v>
      </c>
      <c r="O117" s="131">
        <f t="shared" si="58"/>
        <v>0.20250000000000001</v>
      </c>
      <c r="P117" s="55">
        <f t="shared" si="59"/>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67"/>
        <v>0</v>
      </c>
      <c r="W117" s="146"/>
      <c r="X117" s="338">
        <f t="shared" si="68"/>
        <v>0</v>
      </c>
      <c r="Y117" s="338">
        <f t="shared" si="13"/>
        <v>0</v>
      </c>
      <c r="Z117" s="338">
        <f t="shared" si="14"/>
        <v>0</v>
      </c>
      <c r="AA117" s="338">
        <f t="shared" si="15"/>
        <v>0</v>
      </c>
      <c r="AB117" s="338">
        <f t="shared" si="69"/>
        <v>0</v>
      </c>
      <c r="AC117" s="338">
        <f t="shared" si="70"/>
        <v>0</v>
      </c>
      <c r="AF117" s="138">
        <f t="shared" si="71"/>
        <v>0</v>
      </c>
      <c r="AG117" s="138">
        <f t="shared" si="72"/>
        <v>11</v>
      </c>
      <c r="AH117" s="138">
        <f t="shared" si="53"/>
        <v>0</v>
      </c>
      <c r="AI117" s="138">
        <f t="shared" si="73"/>
        <v>2876</v>
      </c>
      <c r="AJ117" s="138">
        <f t="shared" si="74"/>
        <v>2893</v>
      </c>
      <c r="AL117" s="136">
        <f t="shared" si="17"/>
        <v>3.8740000000000001</v>
      </c>
      <c r="AM117" s="258">
        <f t="shared" si="18"/>
        <v>-1.7000000000000001E-2</v>
      </c>
      <c r="AN117" s="258">
        <f t="shared" si="19"/>
        <v>5.7500000000000002E-2</v>
      </c>
      <c r="AO117" s="258">
        <f t="shared" si="20"/>
        <v>0.19500000000000001</v>
      </c>
      <c r="AP117" s="258">
        <f t="shared" si="21"/>
        <v>-2.4999999999999998E-2</v>
      </c>
      <c r="AQ117" s="136">
        <f t="shared" si="75"/>
        <v>1.9200000000000002E-2</v>
      </c>
      <c r="AR117" s="137">
        <f t="shared" si="22"/>
        <v>2.9020000000000001E-2</v>
      </c>
      <c r="AS117" s="136">
        <f t="shared" si="60"/>
        <v>3.9145000000000003</v>
      </c>
      <c r="AT117" s="137">
        <f t="shared" si="61"/>
        <v>5.9230290919387599E-2</v>
      </c>
      <c r="AU117" s="137">
        <f t="shared" si="54"/>
        <v>0</v>
      </c>
      <c r="AV117" s="394">
        <f t="shared" si="62"/>
        <v>0</v>
      </c>
      <c r="AW117" s="137">
        <f t="shared" si="24"/>
        <v>0.20250000000000001</v>
      </c>
      <c r="AX117" s="137">
        <f t="shared" si="25"/>
        <v>0.8</v>
      </c>
      <c r="AY117" s="137">
        <f t="shared" si="26"/>
        <v>0.85</v>
      </c>
      <c r="AZ117" s="137"/>
      <c r="BA117" s="264"/>
      <c r="BB117" s="258">
        <f t="shared" si="27"/>
        <v>0</v>
      </c>
      <c r="BC117" s="258">
        <f t="shared" si="76"/>
        <v>0</v>
      </c>
      <c r="BD117" s="137">
        <f t="shared" si="77"/>
        <v>0</v>
      </c>
      <c r="BE117" s="137">
        <f t="shared" si="7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-1.2474168262918625E-3</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1.2606414291608583</v>
      </c>
      <c r="BP117" s="137"/>
      <c r="BQ117" s="137"/>
      <c r="BR117" s="137"/>
      <c r="BS117" s="137"/>
      <c r="BV117" s="262">
        <v>4.0314939545613715</v>
      </c>
      <c r="BW117" s="136">
        <v>4.0439999999999996</v>
      </c>
      <c r="BX117" s="137">
        <v>0.20250000000000001</v>
      </c>
      <c r="BY117" s="137">
        <v>0.20250000000000001</v>
      </c>
      <c r="BZ117" s="137">
        <v>0</v>
      </c>
      <c r="CA117" s="137">
        <v>5.9230290919387599E-2</v>
      </c>
      <c r="CB117" s="137">
        <v>0</v>
      </c>
      <c r="CC117" s="258">
        <v>-1.7000000000000001E-2</v>
      </c>
      <c r="CD117" s="258">
        <v>5.7500000000000002E-2</v>
      </c>
      <c r="CE117" s="258">
        <v>0.19500000000000001</v>
      </c>
      <c r="CF117" s="258">
        <v>-2.5000000000000001E-2</v>
      </c>
      <c r="CG117" s="258">
        <v>1.9200000000000002E-2</v>
      </c>
      <c r="CH117" s="258">
        <v>0</v>
      </c>
      <c r="CI117" s="258">
        <v>3.8740000000000001</v>
      </c>
    </row>
    <row r="118" spans="1:87" x14ac:dyDescent="0.25">
      <c r="A118" s="723"/>
      <c r="B118" s="723"/>
      <c r="D118" s="31">
        <f t="shared" si="63"/>
        <v>40132</v>
      </c>
      <c r="F118" s="28">
        <f t="shared" si="64"/>
        <v>15000</v>
      </c>
      <c r="G118" s="28">
        <f t="shared" si="12"/>
        <v>0</v>
      </c>
      <c r="H118" s="52">
        <f t="shared" si="65"/>
        <v>4.0314939545613715</v>
      </c>
      <c r="I118" s="52">
        <f t="shared" si="66"/>
        <v>4.0439999999999996</v>
      </c>
      <c r="K118" s="52">
        <f t="shared" si="55"/>
        <v>0</v>
      </c>
      <c r="L118" s="135">
        <f t="shared" si="56"/>
        <v>0</v>
      </c>
      <c r="N118" s="131">
        <f t="shared" si="57"/>
        <v>0.20250000000000001</v>
      </c>
      <c r="O118" s="131">
        <f t="shared" si="58"/>
        <v>0.20250000000000001</v>
      </c>
      <c r="P118" s="55">
        <f t="shared" si="59"/>
        <v>0</v>
      </c>
      <c r="Q118" s="135">
        <f>_xll.xSPRDOPT(I118,H118,AQ118,0,O118,N118,P118,D118-$G$5,1,0)*AH118*AU118</f>
        <v>0</v>
      </c>
      <c r="R118" s="135"/>
      <c r="S118" s="181">
        <f>_xll.xSPRDOPT(I118,H118,AQ118,AT118,O118,N118,P118,D118-$G$5,1,2)*AF118*(F118/(1-AR118))*AH118</f>
        <v>0</v>
      </c>
      <c r="T118" s="181">
        <f>_xll.xSPRDOPT(I118,H118,AQ118,AT118,O118,N118,P118,D118-$G$5,1,1)*AF118*F118*AH118</f>
        <v>0</v>
      </c>
      <c r="U118" s="135"/>
      <c r="V118" s="146">
        <f t="shared" si="67"/>
        <v>0</v>
      </c>
      <c r="W118" s="146"/>
      <c r="X118" s="338">
        <f t="shared" si="68"/>
        <v>0</v>
      </c>
      <c r="Y118" s="338">
        <f t="shared" si="13"/>
        <v>0</v>
      </c>
      <c r="Z118" s="338">
        <f t="shared" si="14"/>
        <v>0</v>
      </c>
      <c r="AA118" s="338">
        <f t="shared" si="15"/>
        <v>0</v>
      </c>
      <c r="AB118" s="338">
        <f t="shared" si="69"/>
        <v>0</v>
      </c>
      <c r="AC118" s="338">
        <f t="shared" si="70"/>
        <v>0</v>
      </c>
      <c r="AF118" s="138">
        <f t="shared" si="71"/>
        <v>0</v>
      </c>
      <c r="AG118" s="138">
        <f t="shared" si="72"/>
        <v>11</v>
      </c>
      <c r="AH118" s="138">
        <f t="shared" si="53"/>
        <v>0</v>
      </c>
      <c r="AI118" s="138">
        <f t="shared" si="73"/>
        <v>2876</v>
      </c>
      <c r="AJ118" s="138">
        <f t="shared" si="74"/>
        <v>2893</v>
      </c>
      <c r="AL118" s="136">
        <f t="shared" si="17"/>
        <v>3.8740000000000001</v>
      </c>
      <c r="AM118" s="258">
        <f t="shared" si="18"/>
        <v>-1.7000000000000001E-2</v>
      </c>
      <c r="AN118" s="258">
        <f t="shared" si="19"/>
        <v>5.7500000000000002E-2</v>
      </c>
      <c r="AO118" s="258">
        <f t="shared" si="20"/>
        <v>0.19500000000000001</v>
      </c>
      <c r="AP118" s="258">
        <f t="shared" si="21"/>
        <v>-2.4999999999999998E-2</v>
      </c>
      <c r="AQ118" s="136">
        <f t="shared" si="75"/>
        <v>1.9200000000000002E-2</v>
      </c>
      <c r="AR118" s="137">
        <f t="shared" si="22"/>
        <v>2.9020000000000001E-2</v>
      </c>
      <c r="AS118" s="136">
        <f t="shared" si="60"/>
        <v>3.9145000000000003</v>
      </c>
      <c r="AT118" s="137">
        <f t="shared" si="61"/>
        <v>5.9230290919387599E-2</v>
      </c>
      <c r="AU118" s="137">
        <f t="shared" si="54"/>
        <v>0</v>
      </c>
      <c r="AV118" s="394">
        <f t="shared" si="62"/>
        <v>0</v>
      </c>
      <c r="AW118" s="137">
        <f t="shared" si="24"/>
        <v>0.20250000000000001</v>
      </c>
      <c r="AX118" s="137">
        <f t="shared" si="25"/>
        <v>0.8</v>
      </c>
      <c r="AY118" s="137">
        <f t="shared" si="26"/>
        <v>0.85</v>
      </c>
      <c r="AZ118" s="137"/>
      <c r="BA118" s="264"/>
      <c r="BB118" s="258">
        <f t="shared" si="27"/>
        <v>0</v>
      </c>
      <c r="BC118" s="258">
        <f t="shared" si="76"/>
        <v>0</v>
      </c>
      <c r="BD118" s="137">
        <f t="shared" si="77"/>
        <v>0</v>
      </c>
      <c r="BE118" s="137">
        <f t="shared" si="78"/>
        <v>0</v>
      </c>
      <c r="BF118" s="137">
        <f>_xll.xSPRDOPT($BW118,$BV118,$CG118,0,$BY118,$BX118,$BZ118,$AJ118,1,4)*$CB118</f>
        <v>0</v>
      </c>
      <c r="BG118" s="137">
        <f>_xll.xSPRDOPT($BW118,$BV118,$CG118,0,$BY118,$BX118,$BZ118,$AJ118,1,3)*$CB118</f>
        <v>0</v>
      </c>
      <c r="BH118" s="137">
        <f>IF(OR(BF118&lt;&gt;0,BG118&lt;&gt;0),_xll.xSPRDOPT($BW118,$BV118,$CG118,0,$BY118,$BX118,$BZ118,$AJ118,1,12)*$CB118,0)</f>
        <v>0</v>
      </c>
      <c r="BI118" s="137">
        <f>_xll.xSPRDOPT($BW118,$BV118,$CG118,2*LN(1+CA118/2),$BY118,$BX118,$BZ118,$AJ118,1,9)</f>
        <v>-1.2474168262918625E-3</v>
      </c>
      <c r="BJ118" s="137">
        <f>_xll.xSPRDOPT($BW118,$BV118,$CG118,0,$BY118,$BX118,$BZ118,$AJ118,1,6)*$CB118</f>
        <v>0</v>
      </c>
      <c r="BK118" s="137">
        <f>_xll.xSPRDOPT($BW118,$BV118,$CG118,0,$BY118,$BX118,$BZ118,$AJ118,1,5)*$CB118</f>
        <v>0</v>
      </c>
      <c r="BL118" s="137">
        <f>_xll.xSPRDOPT(BW118,BV118,CG118,0,BY118,BX118,BZ118,AJ118,1,2)*CB118</f>
        <v>0</v>
      </c>
      <c r="BM118" s="137">
        <f>_xll.xSPRDOPT(BW118,BV118,CG118,0,BY118,BX118,BZ118,AJ118,1,1)*CB118</f>
        <v>0</v>
      </c>
      <c r="BN118" s="137">
        <f>IF(AH118&lt;&gt;0,_xll.xSPRDOPT($BW118,$BV118,$CG118,2*LN(1+CA118/2),$BY118,$BX118,$BZ118,$AJ118,1,8)+(AJ118/365.25)*CH118/AH118,0)</f>
        <v>0</v>
      </c>
      <c r="BO118" s="137">
        <f>_xll.xSPRDOPT($BW118,$BV118,$CG118,0,$BY118,$BX118,$BZ118,$AJ118,1,0)</f>
        <v>1.2606414291608583</v>
      </c>
      <c r="BP118" s="137"/>
      <c r="BQ118" s="137"/>
      <c r="BR118" s="137"/>
      <c r="BS118" s="137"/>
      <c r="BV118" s="262">
        <v>4.0314939545613715</v>
      </c>
      <c r="BW118" s="136">
        <v>4.0439999999999996</v>
      </c>
      <c r="BX118" s="137">
        <v>0.20250000000000001</v>
      </c>
      <c r="BY118" s="137">
        <v>0.20250000000000001</v>
      </c>
      <c r="BZ118" s="137">
        <v>0</v>
      </c>
      <c r="CA118" s="137">
        <v>5.9230290919387599E-2</v>
      </c>
      <c r="CB118" s="137">
        <v>0</v>
      </c>
      <c r="CC118" s="258">
        <v>-1.7000000000000001E-2</v>
      </c>
      <c r="CD118" s="258">
        <v>5.7500000000000002E-2</v>
      </c>
      <c r="CE118" s="258">
        <v>0.19500000000000001</v>
      </c>
      <c r="CF118" s="258">
        <v>-2.5000000000000001E-2</v>
      </c>
      <c r="CG118" s="258">
        <v>1.9200000000000002E-2</v>
      </c>
      <c r="CH118" s="258">
        <v>0</v>
      </c>
      <c r="CI118" s="258">
        <v>3.8740000000000001</v>
      </c>
    </row>
    <row r="119" spans="1:87" x14ac:dyDescent="0.25">
      <c r="A119" s="723"/>
      <c r="B119" s="723"/>
      <c r="D119" s="31">
        <f t="shared" si="63"/>
        <v>40132</v>
      </c>
      <c r="F119" s="28">
        <f t="shared" si="64"/>
        <v>15000</v>
      </c>
      <c r="G119" s="28">
        <f t="shared" si="12"/>
        <v>0</v>
      </c>
      <c r="H119" s="52">
        <f t="shared" si="65"/>
        <v>4.0314939545613715</v>
      </c>
      <c r="I119" s="52">
        <f t="shared" si="66"/>
        <v>4.0439999999999996</v>
      </c>
      <c r="K119" s="52">
        <f t="shared" si="55"/>
        <v>0</v>
      </c>
      <c r="L119" s="135">
        <f t="shared" si="56"/>
        <v>0</v>
      </c>
      <c r="N119" s="131">
        <f t="shared" si="57"/>
        <v>0.20250000000000001</v>
      </c>
      <c r="O119" s="131">
        <f t="shared" si="58"/>
        <v>0.20250000000000001</v>
      </c>
      <c r="P119" s="55">
        <f t="shared" si="59"/>
        <v>0</v>
      </c>
      <c r="Q119" s="135">
        <f>_xll.xSPRDOPT(I119,H119,AQ119,0,O119,N119,P119,D119-$G$5,1,0)*AH119*AU119</f>
        <v>0</v>
      </c>
      <c r="R119" s="135"/>
      <c r="S119" s="181">
        <f>_xll.xSPRDOPT(I119,H119,AQ119,AT119,O119,N119,P119,D119-$G$5,1,2)*AF119*(F119/(1-AR119))*AH119</f>
        <v>0</v>
      </c>
      <c r="T119" s="181">
        <f>_xll.xSPRDOPT(I119,H119,AQ119,AT119,O119,N119,P119,D119-$G$5,1,1)*AF119*F119*AH119</f>
        <v>0</v>
      </c>
      <c r="U119" s="135"/>
      <c r="V119" s="146">
        <f t="shared" si="67"/>
        <v>0</v>
      </c>
      <c r="W119" s="146"/>
      <c r="X119" s="338">
        <f t="shared" si="68"/>
        <v>0</v>
      </c>
      <c r="Y119" s="338">
        <f t="shared" si="13"/>
        <v>0</v>
      </c>
      <c r="Z119" s="338">
        <f t="shared" si="14"/>
        <v>0</v>
      </c>
      <c r="AA119" s="338">
        <f t="shared" si="15"/>
        <v>0</v>
      </c>
      <c r="AB119" s="338">
        <f t="shared" si="69"/>
        <v>0</v>
      </c>
      <c r="AC119" s="338">
        <f t="shared" si="70"/>
        <v>0</v>
      </c>
      <c r="AF119" s="138">
        <f t="shared" si="71"/>
        <v>0</v>
      </c>
      <c r="AG119" s="138">
        <f t="shared" si="72"/>
        <v>11</v>
      </c>
      <c r="AH119" s="138">
        <f t="shared" si="53"/>
        <v>0</v>
      </c>
      <c r="AI119" s="138">
        <f t="shared" si="73"/>
        <v>2876</v>
      </c>
      <c r="AJ119" s="138">
        <f t="shared" si="74"/>
        <v>2893</v>
      </c>
      <c r="AL119" s="136">
        <f t="shared" si="17"/>
        <v>3.8740000000000001</v>
      </c>
      <c r="AM119" s="258">
        <f t="shared" si="18"/>
        <v>-1.7000000000000001E-2</v>
      </c>
      <c r="AN119" s="258">
        <f t="shared" si="19"/>
        <v>5.7500000000000002E-2</v>
      </c>
      <c r="AO119" s="258">
        <f t="shared" si="20"/>
        <v>0.19500000000000001</v>
      </c>
      <c r="AP119" s="258">
        <f t="shared" si="21"/>
        <v>-2.4999999999999998E-2</v>
      </c>
      <c r="AQ119" s="136">
        <f t="shared" si="75"/>
        <v>1.9200000000000002E-2</v>
      </c>
      <c r="AR119" s="137">
        <f t="shared" si="22"/>
        <v>2.9020000000000001E-2</v>
      </c>
      <c r="AS119" s="136">
        <f t="shared" si="60"/>
        <v>3.9145000000000003</v>
      </c>
      <c r="AT119" s="137">
        <f t="shared" si="61"/>
        <v>5.9230290919387599E-2</v>
      </c>
      <c r="AU119" s="137">
        <f t="shared" si="54"/>
        <v>0</v>
      </c>
      <c r="AV119" s="394">
        <f t="shared" si="62"/>
        <v>0</v>
      </c>
      <c r="AW119" s="137">
        <f t="shared" si="24"/>
        <v>0.20250000000000001</v>
      </c>
      <c r="AX119" s="137">
        <f t="shared" si="25"/>
        <v>0.8</v>
      </c>
      <c r="AY119" s="137">
        <f t="shared" si="26"/>
        <v>0.85</v>
      </c>
      <c r="AZ119" s="137"/>
      <c r="BA119" s="264"/>
      <c r="BB119" s="258">
        <f t="shared" si="27"/>
        <v>0</v>
      </c>
      <c r="BC119" s="258">
        <f t="shared" si="76"/>
        <v>0</v>
      </c>
      <c r="BD119" s="137">
        <f t="shared" si="77"/>
        <v>0</v>
      </c>
      <c r="BE119" s="137">
        <f t="shared" si="78"/>
        <v>0</v>
      </c>
      <c r="BF119" s="137">
        <f>_xll.xSPRDOPT($BW119,$BV119,$CG119,0,$BY119,$BX119,$BZ119,$AJ119,1,4)*$CB119</f>
        <v>0</v>
      </c>
      <c r="BG119" s="137">
        <f>_xll.xSPRDOPT($BW119,$BV119,$CG119,0,$BY119,$BX119,$BZ119,$AJ119,1,3)*$CB119</f>
        <v>0</v>
      </c>
      <c r="BH119" s="137">
        <f>IF(OR(BF119&lt;&gt;0,BG119&lt;&gt;0),_xll.xSPRDOPT($BW119,$BV119,$CG119,0,$BY119,$BX119,$BZ119,$AJ119,1,12)*$CB119,0)</f>
        <v>0</v>
      </c>
      <c r="BI119" s="137">
        <f>_xll.xSPRDOPT($BW119,$BV119,$CG119,2*LN(1+CA119/2),$BY119,$BX119,$BZ119,$AJ119,1,9)</f>
        <v>-1.2474168262918625E-3</v>
      </c>
      <c r="BJ119" s="137">
        <f>_xll.xSPRDOPT($BW119,$BV119,$CG119,0,$BY119,$BX119,$BZ119,$AJ119,1,6)*$CB119</f>
        <v>0</v>
      </c>
      <c r="BK119" s="137">
        <f>_xll.xSPRDOPT($BW119,$BV119,$CG119,0,$BY119,$BX119,$BZ119,$AJ119,1,5)*$CB119</f>
        <v>0</v>
      </c>
      <c r="BL119" s="137">
        <f>_xll.xSPRDOPT(BW119,BV119,CG119,0,BY119,BX119,BZ119,AJ119,1,2)*CB119</f>
        <v>0</v>
      </c>
      <c r="BM119" s="137">
        <f>_xll.xSPRDOPT(BW119,BV119,CG119,0,BY119,BX119,BZ119,AJ119,1,1)*CB119</f>
        <v>0</v>
      </c>
      <c r="BN119" s="137">
        <f>IF(AH119&lt;&gt;0,_xll.xSPRDOPT($BW119,$BV119,$CG119,2*LN(1+CA119/2),$BY119,$BX119,$BZ119,$AJ119,1,8)+(AJ119/365.25)*CH119/AH119,0)</f>
        <v>0</v>
      </c>
      <c r="BO119" s="137">
        <f>_xll.xSPRDOPT($BW119,$BV119,$CG119,0,$BY119,$BX119,$BZ119,$AJ119,1,0)</f>
        <v>1.2606414291608583</v>
      </c>
      <c r="BP119" s="137"/>
      <c r="BQ119" s="137"/>
      <c r="BR119" s="137"/>
      <c r="BS119" s="137"/>
      <c r="BV119" s="262">
        <v>4.0314939545613715</v>
      </c>
      <c r="BW119" s="136">
        <v>4.0439999999999996</v>
      </c>
      <c r="BX119" s="137">
        <v>0.20250000000000001</v>
      </c>
      <c r="BY119" s="137">
        <v>0.20250000000000001</v>
      </c>
      <c r="BZ119" s="137">
        <v>0</v>
      </c>
      <c r="CA119" s="137">
        <v>5.9230290919387599E-2</v>
      </c>
      <c r="CB119" s="137">
        <v>0</v>
      </c>
      <c r="CC119" s="258">
        <v>-1.7000000000000001E-2</v>
      </c>
      <c r="CD119" s="258">
        <v>5.7500000000000002E-2</v>
      </c>
      <c r="CE119" s="258">
        <v>0.19500000000000001</v>
      </c>
      <c r="CF119" s="258">
        <v>-2.5000000000000001E-2</v>
      </c>
      <c r="CG119" s="258">
        <v>1.9200000000000002E-2</v>
      </c>
      <c r="CH119" s="258">
        <v>0</v>
      </c>
      <c r="CI119" s="258">
        <v>3.8740000000000001</v>
      </c>
    </row>
    <row r="120" spans="1:87" x14ac:dyDescent="0.25">
      <c r="A120" s="723"/>
      <c r="B120" s="723"/>
      <c r="D120" s="31">
        <f t="shared" si="63"/>
        <v>40132</v>
      </c>
      <c r="F120" s="28">
        <f t="shared" si="64"/>
        <v>15000</v>
      </c>
      <c r="G120" s="28">
        <f t="shared" si="12"/>
        <v>0</v>
      </c>
      <c r="H120" s="52">
        <f t="shared" si="65"/>
        <v>4.0314939545613715</v>
      </c>
      <c r="I120" s="52">
        <f t="shared" si="66"/>
        <v>4.0439999999999996</v>
      </c>
      <c r="K120" s="52">
        <f t="shared" si="55"/>
        <v>0</v>
      </c>
      <c r="L120" s="135">
        <f t="shared" si="56"/>
        <v>0</v>
      </c>
      <c r="N120" s="131">
        <f t="shared" si="57"/>
        <v>0.20250000000000001</v>
      </c>
      <c r="O120" s="131">
        <f t="shared" si="58"/>
        <v>0.20250000000000001</v>
      </c>
      <c r="P120" s="55">
        <f t="shared" si="59"/>
        <v>0</v>
      </c>
      <c r="Q120" s="135">
        <f>_xll.xSPRDOPT(I120,H120,AQ120,0,O120,N120,P120,D120-$G$5,1,0)*AH120*AU120</f>
        <v>0</v>
      </c>
      <c r="R120" s="135"/>
      <c r="S120" s="181">
        <f>_xll.xSPRDOPT(I120,H120,AQ120,AT120,O120,N120,P120,D120-$G$5,1,2)*AF120*(F120/(1-AR120))*AH120</f>
        <v>0</v>
      </c>
      <c r="T120" s="181">
        <f>_xll.xSPRDOPT(I120,H120,AQ120,AT120,O120,N120,P120,D120-$G$5,1,1)*AF120*F120*AH120</f>
        <v>0</v>
      </c>
      <c r="U120" s="135"/>
      <c r="V120" s="146">
        <f t="shared" si="67"/>
        <v>0</v>
      </c>
      <c r="W120" s="146"/>
      <c r="X120" s="338">
        <f t="shared" si="68"/>
        <v>0</v>
      </c>
      <c r="Y120" s="338">
        <f t="shared" si="13"/>
        <v>0</v>
      </c>
      <c r="Z120" s="338">
        <f t="shared" si="14"/>
        <v>0</v>
      </c>
      <c r="AA120" s="338">
        <f t="shared" si="15"/>
        <v>0</v>
      </c>
      <c r="AB120" s="338">
        <f t="shared" si="69"/>
        <v>0</v>
      </c>
      <c r="AC120" s="338">
        <f t="shared" si="70"/>
        <v>0</v>
      </c>
      <c r="AF120" s="138">
        <f t="shared" si="71"/>
        <v>0</v>
      </c>
      <c r="AG120" s="138">
        <f t="shared" si="72"/>
        <v>11</v>
      </c>
      <c r="AH120" s="138">
        <f t="shared" si="53"/>
        <v>0</v>
      </c>
      <c r="AI120" s="138">
        <f t="shared" si="73"/>
        <v>2876</v>
      </c>
      <c r="AJ120" s="138">
        <f t="shared" si="74"/>
        <v>2893</v>
      </c>
      <c r="AL120" s="136">
        <f t="shared" si="17"/>
        <v>3.8740000000000001</v>
      </c>
      <c r="AM120" s="258">
        <f t="shared" si="18"/>
        <v>-1.7000000000000001E-2</v>
      </c>
      <c r="AN120" s="258">
        <f t="shared" si="19"/>
        <v>5.7500000000000002E-2</v>
      </c>
      <c r="AO120" s="258">
        <f t="shared" si="20"/>
        <v>0.19500000000000001</v>
      </c>
      <c r="AP120" s="258">
        <f t="shared" si="21"/>
        <v>-2.4999999999999998E-2</v>
      </c>
      <c r="AQ120" s="136">
        <f t="shared" si="75"/>
        <v>1.9200000000000002E-2</v>
      </c>
      <c r="AR120" s="137">
        <f t="shared" si="22"/>
        <v>2.9020000000000001E-2</v>
      </c>
      <c r="AS120" s="136">
        <f t="shared" si="60"/>
        <v>3.9145000000000003</v>
      </c>
      <c r="AT120" s="137">
        <f t="shared" si="61"/>
        <v>5.9230290919387599E-2</v>
      </c>
      <c r="AU120" s="137">
        <f t="shared" si="54"/>
        <v>0</v>
      </c>
      <c r="AV120" s="394">
        <f t="shared" si="62"/>
        <v>0</v>
      </c>
      <c r="AW120" s="137">
        <f t="shared" si="24"/>
        <v>0.20250000000000001</v>
      </c>
      <c r="AX120" s="137">
        <f t="shared" si="25"/>
        <v>0.8</v>
      </c>
      <c r="AY120" s="137">
        <f t="shared" si="26"/>
        <v>0.85</v>
      </c>
      <c r="AZ120" s="137"/>
      <c r="BA120" s="264"/>
      <c r="BB120" s="258">
        <f t="shared" si="27"/>
        <v>0</v>
      </c>
      <c r="BC120" s="258">
        <f t="shared" si="76"/>
        <v>0</v>
      </c>
      <c r="BD120" s="137">
        <f t="shared" si="77"/>
        <v>0</v>
      </c>
      <c r="BE120" s="137">
        <f t="shared" si="78"/>
        <v>0</v>
      </c>
      <c r="BF120" s="137">
        <f>_xll.xSPRDOPT($BW120,$BV120,$CG120,0,$BY120,$BX120,$BZ120,$AJ120,1,4)*$CB120</f>
        <v>0</v>
      </c>
      <c r="BG120" s="137">
        <f>_xll.xSPRDOPT($BW120,$BV120,$CG120,0,$BY120,$BX120,$BZ120,$AJ120,1,3)*$CB120</f>
        <v>0</v>
      </c>
      <c r="BH120" s="137">
        <f>IF(OR(BF120&lt;&gt;0,BG120&lt;&gt;0),_xll.xSPRDOPT($BW120,$BV120,$CG120,0,$BY120,$BX120,$BZ120,$AJ120,1,12)*$CB120,0)</f>
        <v>0</v>
      </c>
      <c r="BI120" s="137">
        <f>_xll.xSPRDOPT($BW120,$BV120,$CG120,2*LN(1+CA120/2),$BY120,$BX120,$BZ120,$AJ120,1,9)</f>
        <v>-1.2474168262918625E-3</v>
      </c>
      <c r="BJ120" s="137">
        <f>_xll.xSPRDOPT($BW120,$BV120,$CG120,0,$BY120,$BX120,$BZ120,$AJ120,1,6)*$CB120</f>
        <v>0</v>
      </c>
      <c r="BK120" s="137">
        <f>_xll.xSPRDOPT($BW120,$BV120,$CG120,0,$BY120,$BX120,$BZ120,$AJ120,1,5)*$CB120</f>
        <v>0</v>
      </c>
      <c r="BL120" s="137">
        <f>_xll.xSPRDOPT(BW120,BV120,CG120,0,BY120,BX120,BZ120,AJ120,1,2)*CB120</f>
        <v>0</v>
      </c>
      <c r="BM120" s="137">
        <f>_xll.xSPRDOPT(BW120,BV120,CG120,0,BY120,BX120,BZ120,AJ120,1,1)*CB120</f>
        <v>0</v>
      </c>
      <c r="BN120" s="137">
        <f>IF(AH120&lt;&gt;0,_xll.xSPRDOPT($BW120,$BV120,$CG120,2*LN(1+CA120/2),$BY120,$BX120,$BZ120,$AJ120,1,8)+(AJ120/365.25)*CH120/AH120,0)</f>
        <v>0</v>
      </c>
      <c r="BO120" s="137">
        <f>_xll.xSPRDOPT($BW120,$BV120,$CG120,0,$BY120,$BX120,$BZ120,$AJ120,1,0)</f>
        <v>1.2606414291608583</v>
      </c>
      <c r="BP120" s="137"/>
      <c r="BQ120" s="137"/>
      <c r="BR120" s="137"/>
      <c r="BS120" s="137"/>
      <c r="BV120" s="262">
        <v>4.0314939545613715</v>
      </c>
      <c r="BW120" s="136">
        <v>4.0439999999999996</v>
      </c>
      <c r="BX120" s="137">
        <v>0.20250000000000001</v>
      </c>
      <c r="BY120" s="137">
        <v>0.20250000000000001</v>
      </c>
      <c r="BZ120" s="137">
        <v>0</v>
      </c>
      <c r="CA120" s="137">
        <v>5.9230290919387599E-2</v>
      </c>
      <c r="CB120" s="137">
        <v>0</v>
      </c>
      <c r="CC120" s="258">
        <v>-1.7000000000000001E-2</v>
      </c>
      <c r="CD120" s="258">
        <v>5.7500000000000002E-2</v>
      </c>
      <c r="CE120" s="258">
        <v>0.19500000000000001</v>
      </c>
      <c r="CF120" s="258">
        <v>-2.5000000000000001E-2</v>
      </c>
      <c r="CG120" s="258">
        <v>1.9200000000000002E-2</v>
      </c>
      <c r="CH120" s="258">
        <v>0</v>
      </c>
      <c r="CI120" s="258">
        <v>3.8740000000000001</v>
      </c>
    </row>
    <row r="121" spans="1:87" x14ac:dyDescent="0.25">
      <c r="A121" s="723"/>
      <c r="B121" s="723"/>
      <c r="D121" s="31">
        <f t="shared" si="63"/>
        <v>40132</v>
      </c>
      <c r="F121" s="28">
        <f t="shared" si="64"/>
        <v>15000</v>
      </c>
      <c r="G121" s="28">
        <f t="shared" si="12"/>
        <v>0</v>
      </c>
      <c r="H121" s="52">
        <f t="shared" si="65"/>
        <v>4.0314939545613715</v>
      </c>
      <c r="I121" s="52">
        <f t="shared" si="66"/>
        <v>4.0439999999999996</v>
      </c>
      <c r="K121" s="52">
        <f t="shared" si="55"/>
        <v>0</v>
      </c>
      <c r="L121" s="135">
        <f t="shared" si="56"/>
        <v>0</v>
      </c>
      <c r="N121" s="131">
        <f t="shared" si="57"/>
        <v>0.20250000000000001</v>
      </c>
      <c r="O121" s="131">
        <f t="shared" si="58"/>
        <v>0.20250000000000001</v>
      </c>
      <c r="P121" s="55">
        <f t="shared" si="59"/>
        <v>0</v>
      </c>
      <c r="Q121" s="135">
        <f>_xll.xSPRDOPT(I121,H121,AQ121,0,O121,N121,P121,D121-$G$5,1,0)*AH121*AU121</f>
        <v>0</v>
      </c>
      <c r="R121" s="135"/>
      <c r="S121" s="181">
        <f>_xll.xSPRDOPT(I121,H121,AQ121,AT121,O121,N121,P121,D121-$G$5,1,2)*AF121*(F121/(1-AR121))*AH121</f>
        <v>0</v>
      </c>
      <c r="T121" s="181">
        <f>_xll.xSPRDOPT(I121,H121,AQ121,AT121,O121,N121,P121,D121-$G$5,1,1)*AF121*F121*AH121</f>
        <v>0</v>
      </c>
      <c r="U121" s="135"/>
      <c r="V121" s="146">
        <f t="shared" si="67"/>
        <v>0</v>
      </c>
      <c r="W121" s="146"/>
      <c r="X121" s="338">
        <f t="shared" si="68"/>
        <v>0</v>
      </c>
      <c r="Y121" s="338">
        <f t="shared" si="13"/>
        <v>0</v>
      </c>
      <c r="Z121" s="338">
        <f t="shared" si="14"/>
        <v>0</v>
      </c>
      <c r="AA121" s="338">
        <f t="shared" si="15"/>
        <v>0</v>
      </c>
      <c r="AB121" s="338">
        <f t="shared" si="69"/>
        <v>0</v>
      </c>
      <c r="AC121" s="338">
        <f t="shared" si="70"/>
        <v>0</v>
      </c>
      <c r="AF121" s="138">
        <f t="shared" si="71"/>
        <v>0</v>
      </c>
      <c r="AG121" s="138">
        <f t="shared" si="72"/>
        <v>11</v>
      </c>
      <c r="AH121" s="138">
        <f t="shared" si="53"/>
        <v>0</v>
      </c>
      <c r="AI121" s="138">
        <f t="shared" si="73"/>
        <v>2876</v>
      </c>
      <c r="AJ121" s="138">
        <f t="shared" si="74"/>
        <v>2893</v>
      </c>
      <c r="AL121" s="136">
        <f t="shared" si="17"/>
        <v>3.8740000000000001</v>
      </c>
      <c r="AM121" s="258">
        <f t="shared" si="18"/>
        <v>-1.7000000000000001E-2</v>
      </c>
      <c r="AN121" s="258">
        <f t="shared" si="19"/>
        <v>5.7500000000000002E-2</v>
      </c>
      <c r="AO121" s="258">
        <f t="shared" si="20"/>
        <v>0.19500000000000001</v>
      </c>
      <c r="AP121" s="258">
        <f t="shared" si="21"/>
        <v>-2.4999999999999998E-2</v>
      </c>
      <c r="AQ121" s="136">
        <f t="shared" si="75"/>
        <v>1.9200000000000002E-2</v>
      </c>
      <c r="AR121" s="137">
        <f t="shared" si="22"/>
        <v>2.9020000000000001E-2</v>
      </c>
      <c r="AS121" s="136">
        <f t="shared" si="60"/>
        <v>3.9145000000000003</v>
      </c>
      <c r="AT121" s="137">
        <f t="shared" si="61"/>
        <v>5.9230290919387599E-2</v>
      </c>
      <c r="AU121" s="137">
        <f t="shared" si="54"/>
        <v>0</v>
      </c>
      <c r="AV121" s="394">
        <f t="shared" si="62"/>
        <v>0</v>
      </c>
      <c r="AW121" s="137">
        <f t="shared" si="24"/>
        <v>0.20250000000000001</v>
      </c>
      <c r="AX121" s="137">
        <f t="shared" si="25"/>
        <v>0.8</v>
      </c>
      <c r="AY121" s="137">
        <f t="shared" si="26"/>
        <v>0.85</v>
      </c>
      <c r="AZ121" s="137"/>
      <c r="BA121" s="264"/>
      <c r="BB121" s="258">
        <f t="shared" si="27"/>
        <v>0</v>
      </c>
      <c r="BC121" s="258">
        <f t="shared" si="76"/>
        <v>0</v>
      </c>
      <c r="BD121" s="137">
        <f t="shared" si="77"/>
        <v>0</v>
      </c>
      <c r="BE121" s="137">
        <f t="shared" si="78"/>
        <v>0</v>
      </c>
      <c r="BF121" s="137">
        <f>_xll.xSPRDOPT($BW121,$BV121,$CG121,0,$BY121,$BX121,$BZ121,$AJ121,1,4)*$CB121</f>
        <v>0</v>
      </c>
      <c r="BG121" s="137">
        <f>_xll.xSPRDOPT($BW121,$BV121,$CG121,0,$BY121,$BX121,$BZ121,$AJ121,1,3)*$CB121</f>
        <v>0</v>
      </c>
      <c r="BH121" s="137">
        <f>IF(OR(BF121&lt;&gt;0,BG121&lt;&gt;0),_xll.xSPRDOPT($BW121,$BV121,$CG121,0,$BY121,$BX121,$BZ121,$AJ121,1,12)*$CB121,0)</f>
        <v>0</v>
      </c>
      <c r="BI121" s="137">
        <f>_xll.xSPRDOPT($BW121,$BV121,$CG121,2*LN(1+CA121/2),$BY121,$BX121,$BZ121,$AJ121,1,9)</f>
        <v>-1.2474168262918625E-3</v>
      </c>
      <c r="BJ121" s="137">
        <f>_xll.xSPRDOPT($BW121,$BV121,$CG121,0,$BY121,$BX121,$BZ121,$AJ121,1,6)*$CB121</f>
        <v>0</v>
      </c>
      <c r="BK121" s="137">
        <f>_xll.xSPRDOPT($BW121,$BV121,$CG121,0,$BY121,$BX121,$BZ121,$AJ121,1,5)*$CB121</f>
        <v>0</v>
      </c>
      <c r="BL121" s="137">
        <f>_xll.xSPRDOPT(BW121,BV121,CG121,0,BY121,BX121,BZ121,AJ121,1,2)*CB121</f>
        <v>0</v>
      </c>
      <c r="BM121" s="137">
        <f>_xll.xSPRDOPT(BW121,BV121,CG121,0,BY121,BX121,BZ121,AJ121,1,1)*CB121</f>
        <v>0</v>
      </c>
      <c r="BN121" s="137">
        <f>IF(AH121&lt;&gt;0,_xll.xSPRDOPT($BW121,$BV121,$CG121,2*LN(1+CA121/2),$BY121,$BX121,$BZ121,$AJ121,1,8)+(AJ121/365.25)*CH121/AH121,0)</f>
        <v>0</v>
      </c>
      <c r="BO121" s="137">
        <f>_xll.xSPRDOPT($BW121,$BV121,$CG121,0,$BY121,$BX121,$BZ121,$AJ121,1,0)</f>
        <v>1.2606414291608583</v>
      </c>
      <c r="BP121" s="137"/>
      <c r="BQ121" s="137"/>
      <c r="BR121" s="137"/>
      <c r="BS121" s="137"/>
      <c r="BV121" s="262">
        <v>4.0314939545613715</v>
      </c>
      <c r="BW121" s="136">
        <v>4.0439999999999996</v>
      </c>
      <c r="BX121" s="137">
        <v>0.20250000000000001</v>
      </c>
      <c r="BY121" s="137">
        <v>0.20250000000000001</v>
      </c>
      <c r="BZ121" s="137">
        <v>0</v>
      </c>
      <c r="CA121" s="137">
        <v>5.9230290919387599E-2</v>
      </c>
      <c r="CB121" s="137">
        <v>0</v>
      </c>
      <c r="CC121" s="258">
        <v>-1.7000000000000001E-2</v>
      </c>
      <c r="CD121" s="258">
        <v>5.7500000000000002E-2</v>
      </c>
      <c r="CE121" s="258">
        <v>0.19500000000000001</v>
      </c>
      <c r="CF121" s="258">
        <v>-2.5000000000000001E-2</v>
      </c>
      <c r="CG121" s="258">
        <v>1.9200000000000002E-2</v>
      </c>
      <c r="CH121" s="258">
        <v>0</v>
      </c>
      <c r="CI121" s="258">
        <v>3.8740000000000001</v>
      </c>
    </row>
    <row r="122" spans="1:87" x14ac:dyDescent="0.25">
      <c r="A122" s="723"/>
      <c r="B122" s="723"/>
      <c r="D122" s="31">
        <f t="shared" si="63"/>
        <v>40132</v>
      </c>
      <c r="F122" s="28">
        <f t="shared" si="64"/>
        <v>15000</v>
      </c>
      <c r="G122" s="28">
        <f t="shared" si="12"/>
        <v>0</v>
      </c>
      <c r="H122" s="52">
        <f t="shared" si="65"/>
        <v>4.0314939545613715</v>
      </c>
      <c r="I122" s="52">
        <f t="shared" si="66"/>
        <v>4.0439999999999996</v>
      </c>
      <c r="K122" s="52">
        <f t="shared" si="55"/>
        <v>0</v>
      </c>
      <c r="L122" s="135">
        <f t="shared" si="56"/>
        <v>0</v>
      </c>
      <c r="N122" s="131">
        <f t="shared" si="57"/>
        <v>0.20250000000000001</v>
      </c>
      <c r="O122" s="131">
        <f t="shared" si="58"/>
        <v>0.20250000000000001</v>
      </c>
      <c r="P122" s="55">
        <f t="shared" si="59"/>
        <v>0</v>
      </c>
      <c r="Q122" s="135">
        <f>_xll.xSPRDOPT(I122,H122,AQ122,0,O122,N122,P122,D122-$G$5,1,0)*AH122*AU122</f>
        <v>0</v>
      </c>
      <c r="R122" s="135"/>
      <c r="S122" s="181">
        <f>_xll.xSPRDOPT(I122,H122,AQ122,AT122,O122,N122,P122,D122-$G$5,1,2)*AF122*(F122/(1-AR122))*AH122</f>
        <v>0</v>
      </c>
      <c r="T122" s="181">
        <f>_xll.xSPRDOPT(I122,H122,AQ122,AT122,O122,N122,P122,D122-$G$5,1,1)*AF122*F122*AH122</f>
        <v>0</v>
      </c>
      <c r="U122" s="135"/>
      <c r="V122" s="146">
        <f t="shared" si="67"/>
        <v>0</v>
      </c>
      <c r="W122" s="146"/>
      <c r="X122" s="338">
        <f t="shared" si="68"/>
        <v>0</v>
      </c>
      <c r="Y122" s="338">
        <f t="shared" si="13"/>
        <v>0</v>
      </c>
      <c r="Z122" s="338">
        <f t="shared" si="14"/>
        <v>0</v>
      </c>
      <c r="AA122" s="338">
        <f t="shared" si="15"/>
        <v>0</v>
      </c>
      <c r="AB122" s="338">
        <f t="shared" si="69"/>
        <v>0</v>
      </c>
      <c r="AC122" s="338">
        <f t="shared" si="70"/>
        <v>0</v>
      </c>
      <c r="AF122" s="138">
        <f t="shared" si="71"/>
        <v>0</v>
      </c>
      <c r="AG122" s="138">
        <f t="shared" si="72"/>
        <v>11</v>
      </c>
      <c r="AH122" s="138">
        <f t="shared" si="53"/>
        <v>0</v>
      </c>
      <c r="AI122" s="138">
        <f t="shared" si="73"/>
        <v>2876</v>
      </c>
      <c r="AJ122" s="138">
        <f t="shared" si="74"/>
        <v>2893</v>
      </c>
      <c r="AL122" s="136">
        <f t="shared" si="17"/>
        <v>3.8740000000000001</v>
      </c>
      <c r="AM122" s="258">
        <f t="shared" si="18"/>
        <v>-1.7000000000000001E-2</v>
      </c>
      <c r="AN122" s="258">
        <f t="shared" si="19"/>
        <v>5.7500000000000002E-2</v>
      </c>
      <c r="AO122" s="258">
        <f t="shared" si="20"/>
        <v>0.19500000000000001</v>
      </c>
      <c r="AP122" s="258">
        <f t="shared" si="21"/>
        <v>-2.4999999999999998E-2</v>
      </c>
      <c r="AQ122" s="136">
        <f t="shared" si="75"/>
        <v>1.9200000000000002E-2</v>
      </c>
      <c r="AR122" s="137">
        <f t="shared" si="22"/>
        <v>2.9020000000000001E-2</v>
      </c>
      <c r="AS122" s="136">
        <f t="shared" si="60"/>
        <v>3.9145000000000003</v>
      </c>
      <c r="AT122" s="137">
        <f t="shared" si="61"/>
        <v>5.9230290919387599E-2</v>
      </c>
      <c r="AU122" s="137">
        <f t="shared" si="54"/>
        <v>0</v>
      </c>
      <c r="AV122" s="394">
        <f t="shared" si="62"/>
        <v>0</v>
      </c>
      <c r="AW122" s="137">
        <f t="shared" si="24"/>
        <v>0.20250000000000001</v>
      </c>
      <c r="AX122" s="137">
        <f t="shared" si="25"/>
        <v>0.8</v>
      </c>
      <c r="AY122" s="137">
        <f t="shared" si="26"/>
        <v>0.85</v>
      </c>
      <c r="AZ122" s="137"/>
      <c r="BA122" s="264"/>
      <c r="BB122" s="258">
        <f t="shared" si="27"/>
        <v>0</v>
      </c>
      <c r="BC122" s="258">
        <f t="shared" si="76"/>
        <v>0</v>
      </c>
      <c r="BD122" s="137">
        <f t="shared" si="77"/>
        <v>0</v>
      </c>
      <c r="BE122" s="137">
        <f t="shared" si="78"/>
        <v>0</v>
      </c>
      <c r="BF122" s="137">
        <f>_xll.xSPRDOPT($BW122,$BV122,$CG122,0,$BY122,$BX122,$BZ122,$AJ122,1,4)*$CB122</f>
        <v>0</v>
      </c>
      <c r="BG122" s="137">
        <f>_xll.xSPRDOPT($BW122,$BV122,$CG122,0,$BY122,$BX122,$BZ122,$AJ122,1,3)*$CB122</f>
        <v>0</v>
      </c>
      <c r="BH122" s="137">
        <f>IF(OR(BF122&lt;&gt;0,BG122&lt;&gt;0),_xll.xSPRDOPT($BW122,$BV122,$CG122,0,$BY122,$BX122,$BZ122,$AJ122,1,12)*$CB122,0)</f>
        <v>0</v>
      </c>
      <c r="BI122" s="137">
        <f>_xll.xSPRDOPT($BW122,$BV122,$CG122,2*LN(1+CA122/2),$BY122,$BX122,$BZ122,$AJ122,1,9)</f>
        <v>-1.2474168262918625E-3</v>
      </c>
      <c r="BJ122" s="137">
        <f>_xll.xSPRDOPT($BW122,$BV122,$CG122,0,$BY122,$BX122,$BZ122,$AJ122,1,6)*$CB122</f>
        <v>0</v>
      </c>
      <c r="BK122" s="137">
        <f>_xll.xSPRDOPT($BW122,$BV122,$CG122,0,$BY122,$BX122,$BZ122,$AJ122,1,5)*$CB122</f>
        <v>0</v>
      </c>
      <c r="BL122" s="137">
        <f>_xll.xSPRDOPT(BW122,BV122,CG122,0,BY122,BX122,BZ122,AJ122,1,2)*CB122</f>
        <v>0</v>
      </c>
      <c r="BM122" s="137">
        <f>_xll.xSPRDOPT(BW122,BV122,CG122,0,BY122,BX122,BZ122,AJ122,1,1)*CB122</f>
        <v>0</v>
      </c>
      <c r="BN122" s="137">
        <f>IF(AH122&lt;&gt;0,_xll.xSPRDOPT($BW122,$BV122,$CG122,2*LN(1+CA122/2),$BY122,$BX122,$BZ122,$AJ122,1,8)+(AJ122/365.25)*CH122/AH122,0)</f>
        <v>0</v>
      </c>
      <c r="BO122" s="137">
        <f>_xll.xSPRDOPT($BW122,$BV122,$CG122,0,$BY122,$BX122,$BZ122,$AJ122,1,0)</f>
        <v>1.2606414291608583</v>
      </c>
      <c r="BP122" s="137"/>
      <c r="BQ122" s="137"/>
      <c r="BR122" s="137"/>
      <c r="BS122" s="137"/>
      <c r="BV122" s="262">
        <v>4.0314939545613715</v>
      </c>
      <c r="BW122" s="136">
        <v>4.0439999999999996</v>
      </c>
      <c r="BX122" s="137">
        <v>0.20250000000000001</v>
      </c>
      <c r="BY122" s="137">
        <v>0.20250000000000001</v>
      </c>
      <c r="BZ122" s="137">
        <v>0</v>
      </c>
      <c r="CA122" s="137">
        <v>5.9230290919387599E-2</v>
      </c>
      <c r="CB122" s="137">
        <v>0</v>
      </c>
      <c r="CC122" s="258">
        <v>-1.7000000000000001E-2</v>
      </c>
      <c r="CD122" s="258">
        <v>5.7500000000000002E-2</v>
      </c>
      <c r="CE122" s="258">
        <v>0.19500000000000001</v>
      </c>
      <c r="CF122" s="258">
        <v>-2.5000000000000001E-2</v>
      </c>
      <c r="CG122" s="258">
        <v>1.9200000000000002E-2</v>
      </c>
      <c r="CH122" s="258">
        <v>0</v>
      </c>
      <c r="CI122" s="258">
        <v>3.8740000000000001</v>
      </c>
    </row>
    <row r="123" spans="1:87" x14ac:dyDescent="0.25">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row>
    <row r="124" spans="1:87" x14ac:dyDescent="0.25">
      <c r="A124" s="723"/>
      <c r="B124" s="723"/>
      <c r="P124" s="55"/>
      <c r="Q124" s="55"/>
      <c r="R124" s="55"/>
      <c r="U124" s="55"/>
      <c r="V124" s="55"/>
      <c r="W124" s="55"/>
      <c r="X124" s="55"/>
      <c r="AO124" s="136"/>
      <c r="AQ124" s="137"/>
      <c r="AS124" s="137"/>
      <c r="AU124" s="145"/>
      <c r="AV124" s="136"/>
      <c r="AW124" s="137"/>
    </row>
    <row r="125" spans="1:87" x14ac:dyDescent="0.25">
      <c r="A125" s="723"/>
      <c r="B125" s="723"/>
      <c r="P125" s="55"/>
      <c r="Q125" s="55"/>
      <c r="R125" s="55"/>
      <c r="U125" s="55"/>
      <c r="V125" s="55"/>
      <c r="W125" s="55"/>
      <c r="X125" s="55"/>
      <c r="AO125" s="136"/>
      <c r="AQ125" s="137"/>
      <c r="AS125" s="137"/>
      <c r="AU125" s="145"/>
      <c r="AV125" s="136"/>
      <c r="AW125" s="137"/>
    </row>
    <row r="126" spans="1:87" x14ac:dyDescent="0.25">
      <c r="A126" s="723"/>
      <c r="B126" s="723"/>
      <c r="P126" s="55"/>
      <c r="Q126" s="55"/>
      <c r="R126" s="55"/>
      <c r="U126" s="55"/>
      <c r="V126" s="55"/>
      <c r="W126" s="55"/>
      <c r="X126" s="55"/>
      <c r="AO126" s="136"/>
      <c r="AQ126" s="137"/>
      <c r="AS126" s="137"/>
      <c r="AU126" s="145"/>
      <c r="AV126" s="136"/>
      <c r="AW126" s="137"/>
    </row>
    <row r="127" spans="1:87" x14ac:dyDescent="0.25">
      <c r="A127" s="723"/>
      <c r="B127" s="723"/>
      <c r="P127" s="55"/>
      <c r="Q127" s="55"/>
      <c r="R127" s="55"/>
      <c r="U127" s="55"/>
      <c r="V127" s="55"/>
      <c r="W127" s="55"/>
      <c r="X127" s="55"/>
      <c r="AO127" s="136"/>
      <c r="AQ127" s="137"/>
      <c r="AS127" s="137"/>
      <c r="AU127" s="145"/>
      <c r="AV127" s="136"/>
      <c r="AW127" s="137"/>
    </row>
    <row r="128" spans="1:87" x14ac:dyDescent="0.25">
      <c r="A128" s="723"/>
      <c r="B128" s="723"/>
      <c r="P128" s="55"/>
      <c r="Q128" s="55"/>
      <c r="R128" s="55"/>
      <c r="U128" s="55"/>
      <c r="V128" s="55"/>
      <c r="W128" s="55"/>
      <c r="X128" s="55"/>
      <c r="AO128" s="136"/>
      <c r="AQ128" s="137"/>
      <c r="AS128" s="137"/>
      <c r="AU128" s="145"/>
      <c r="AV128" s="136"/>
      <c r="AW128" s="137"/>
    </row>
    <row r="129" spans="1:49" x14ac:dyDescent="0.25">
      <c r="A129" s="723"/>
      <c r="B129" s="723"/>
      <c r="P129" s="55"/>
      <c r="Q129" s="55"/>
      <c r="R129" s="55"/>
      <c r="U129" s="55"/>
      <c r="V129" s="55"/>
      <c r="W129" s="55"/>
      <c r="X129" s="55"/>
      <c r="AO129" s="136"/>
      <c r="AQ129" s="137"/>
      <c r="AS129" s="137"/>
      <c r="AU129" s="145"/>
      <c r="AV129" s="136"/>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c r="AO166" s="136"/>
      <c r="AQ166" s="137"/>
      <c r="AS166" s="137"/>
      <c r="AU166" s="145"/>
      <c r="AV166" s="136"/>
      <c r="AW166" s="137"/>
    </row>
    <row r="167" spans="16:49" x14ac:dyDescent="0.25">
      <c r="P167" s="55"/>
      <c r="Q167" s="55"/>
      <c r="R167" s="55"/>
      <c r="U167" s="55"/>
      <c r="V167" s="55"/>
      <c r="W167" s="55"/>
      <c r="X167" s="55"/>
    </row>
    <row r="168" spans="16:49" x14ac:dyDescent="0.25">
      <c r="P168" s="55"/>
      <c r="Q168" s="55"/>
      <c r="R168" s="55"/>
      <c r="U168" s="55"/>
      <c r="V168" s="55"/>
      <c r="W168" s="55"/>
      <c r="X168" s="55"/>
    </row>
    <row r="169" spans="16:49" x14ac:dyDescent="0.25">
      <c r="P169" s="55"/>
      <c r="Q169" s="55"/>
      <c r="R169" s="55"/>
      <c r="U169" s="55"/>
      <c r="V169" s="55"/>
      <c r="W169" s="55"/>
      <c r="X169" s="55"/>
    </row>
    <row r="170" spans="16:49" x14ac:dyDescent="0.25">
      <c r="P170" s="55"/>
      <c r="Q170" s="55"/>
      <c r="R170" s="55"/>
      <c r="U170" s="55"/>
      <c r="V170" s="55"/>
      <c r="W170" s="55"/>
      <c r="X170" s="55"/>
    </row>
    <row r="171" spans="16:49" x14ac:dyDescent="0.25">
      <c r="P171" s="55"/>
      <c r="Q171" s="55"/>
      <c r="R171" s="55"/>
      <c r="U171" s="55"/>
      <c r="V171" s="55"/>
      <c r="W171" s="55"/>
      <c r="X171" s="55"/>
    </row>
    <row r="172" spans="16:49" x14ac:dyDescent="0.25">
      <c r="P172" s="55"/>
      <c r="Q172" s="55"/>
      <c r="R172" s="55"/>
      <c r="U172" s="55"/>
      <c r="V172" s="55"/>
      <c r="W172" s="55"/>
      <c r="X172" s="55"/>
    </row>
    <row r="173" spans="16:49" x14ac:dyDescent="0.25">
      <c r="P173" s="55"/>
      <c r="Q173" s="55"/>
      <c r="R173" s="55"/>
      <c r="U173" s="55"/>
      <c r="V173" s="55"/>
      <c r="W173" s="55"/>
      <c r="X173" s="55"/>
    </row>
    <row r="174" spans="16:49" x14ac:dyDescent="0.25">
      <c r="P174" s="55"/>
      <c r="Q174" s="55"/>
      <c r="R174" s="55"/>
      <c r="U174" s="55"/>
      <c r="V174" s="55"/>
      <c r="W174" s="55"/>
      <c r="X174" s="55"/>
    </row>
    <row r="175" spans="16:49" x14ac:dyDescent="0.25">
      <c r="P175" s="55"/>
      <c r="Q175" s="55"/>
      <c r="R175" s="55"/>
      <c r="U175" s="55"/>
      <c r="V175" s="55"/>
      <c r="W175" s="55"/>
      <c r="X175" s="55"/>
    </row>
    <row r="176" spans="16:49"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row r="559" spans="16:24" x14ac:dyDescent="0.25">
      <c r="P559" s="55"/>
      <c r="Q559" s="55"/>
      <c r="R559" s="55"/>
      <c r="U559" s="55"/>
      <c r="V559" s="55"/>
      <c r="W559" s="55"/>
      <c r="X559" s="55"/>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12:B112"/>
    <mergeCell ref="A114:B114"/>
    <mergeCell ref="A115:B115"/>
    <mergeCell ref="L4:M4"/>
    <mergeCell ref="L5:M5"/>
    <mergeCell ref="L6:M6"/>
    <mergeCell ref="L7:M7"/>
    <mergeCell ref="L8:M8"/>
    <mergeCell ref="L9:M9"/>
    <mergeCell ref="L10:M10"/>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6:B26"/>
    <mergeCell ref="L11:M11"/>
    <mergeCell ref="L12:M12"/>
    <mergeCell ref="L13:M13"/>
    <mergeCell ref="L14:M14"/>
    <mergeCell ref="L15:M15"/>
    <mergeCell ref="L16:M16"/>
    <mergeCell ref="L17:M17"/>
    <mergeCell ref="A22:B22"/>
    <mergeCell ref="A23:B23"/>
    <mergeCell ref="A25:B25"/>
    <mergeCell ref="F1:G1"/>
    <mergeCell ref="L1:P1"/>
    <mergeCell ref="L3:M3"/>
    <mergeCell ref="D10:H10"/>
    <mergeCell ref="L18:M18"/>
    <mergeCell ref="L19:M19"/>
    <mergeCell ref="BU1:CB1"/>
    <mergeCell ref="AE1:AK1"/>
    <mergeCell ref="BA1:BH1"/>
    <mergeCell ref="AM20:AN20"/>
    <mergeCell ref="AO20:AP20"/>
    <mergeCell ref="A24:B2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168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7168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312">
    <pageSetUpPr autoPageBreaks="0"/>
  </sheetPr>
  <dimension ref="A1:CX558"/>
  <sheetViews>
    <sheetView topLeftCell="J1" zoomScale="80" workbookViewId="0">
      <selection activeCell="CI21" sqref="CI21:CI51"/>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LongTerm19</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19</v>
      </c>
      <c r="F2" s="178" t="str">
        <f>GetRcptPoint($AH$12,$AH$13)</f>
        <v>Onshore</v>
      </c>
      <c r="G2" s="179" t="str">
        <f>GetDelPoint($AH$12,$AH$13)</f>
        <v>Rayne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$F$51</v>
      </c>
      <c r="AX2" s="339" t="str">
        <f>ADDRESS(ROW($G$22),COLUMN($G$22))</f>
        <v>$G$22</v>
      </c>
      <c r="AY2" s="138" t="str">
        <f ca="1">GetEnd($AV$1,AX2)</f>
        <v>$G$51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78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$AF$51</v>
      </c>
      <c r="AX3" s="339" t="str">
        <f>ADDRESS(ROW($AH$22),COLUMN($AH$22))</f>
        <v>$AH$22</v>
      </c>
      <c r="AY3" s="138" t="str">
        <f ca="1">GetEnd($AV$1,AX3)</f>
        <v>$AH$51</v>
      </c>
    </row>
    <row r="4" spans="1:102" x14ac:dyDescent="0.25">
      <c r="A4" s="269" t="str">
        <f>ADDRESS(ROW($S$22),COLUMN($S$22))</f>
        <v>$S$22</v>
      </c>
      <c r="L4" s="721" t="s">
        <v>201</v>
      </c>
      <c r="M4" s="722"/>
      <c r="N4" s="352">
        <f ca="1">SUMPRODUCT(INDIRECT(CONCATENATE(AV4,":",AW4)),INDIRECT(CONCATENATE($AV$2,":",$AW$2)),INDIRECT(CONCATENATE($AV$3,":",$AW$3)))</f>
        <v>1026760.5603274653</v>
      </c>
      <c r="O4" s="352">
        <v>1030553.4</v>
      </c>
      <c r="P4" s="354">
        <f ca="1">N4-O4</f>
        <v>-3792.8396725347266</v>
      </c>
      <c r="Q4" s="181"/>
      <c r="S4" s="427" t="s">
        <v>635</v>
      </c>
      <c r="T4" s="422">
        <f ca="1">SUMPRODUCT(INDIRECT(CONCATENATE(V4,":",W4)),INDIRECT(CONCATENATE(AV2,":",AW2)),INDIRECT(CONCATENATE(AV3,":",AW3)))</f>
        <v>807342.88040171342</v>
      </c>
      <c r="V4" s="30" t="str">
        <f>ADDRESS(ROW(K22),COLUMN(K22))</f>
        <v>$K$22</v>
      </c>
      <c r="W4" s="30" t="str">
        <f ca="1">GetEnd($AV$1,V4)</f>
        <v>$K$51</v>
      </c>
      <c r="AF4" s="28"/>
      <c r="AG4" s="103" t="s">
        <v>32</v>
      </c>
      <c r="AH4" s="104">
        <f>GetRcptIndexCol($AH$12,$AH$13)</f>
        <v>79</v>
      </c>
      <c r="AI4" s="29"/>
      <c r="AJ4" s="103" t="s">
        <v>72</v>
      </c>
      <c r="AK4" s="104">
        <f>GetNymexCol(AK3)</f>
        <v>3</v>
      </c>
      <c r="AL4" s="34">
        <v>1</v>
      </c>
      <c r="AM4" s="45">
        <f t="shared" ref="AM4:AM15" si="0">GetVolume($AH$12,$AH$13,AT4)</f>
        <v>40000</v>
      </c>
      <c r="AN4" s="46">
        <f t="shared" ref="AN4:AN15" si="1">GetCommodity($AH$12,$AH$13,AT4)</f>
        <v>1.6999999999999999E-3</v>
      </c>
      <c r="AO4" s="47">
        <f t="shared" ref="AO4:AO15" si="2">GetFuelRate($AH$12,$AH$13,AT4)</f>
        <v>6.9699999999999996E-3</v>
      </c>
      <c r="AP4" s="46">
        <f t="shared" ref="AP4:AP15" si="3">GetSurcharge($AH$12,$AH$13,$AT4)</f>
        <v>2.2000000000000001E-3</v>
      </c>
      <c r="AQ4" s="46">
        <f t="shared" ref="AQ4:AQ15" si="4">GetRcptIndexAdj($AH$12,$AH$13,$AT4)</f>
        <v>0</v>
      </c>
      <c r="AR4" s="132">
        <f t="shared" ref="AR4:AR15" si="5">GetDelIndexAdj($AH$12,$AH$13,$AT4)</f>
        <v>0</v>
      </c>
      <c r="AS4" s="48">
        <f t="shared" ref="AS4:AS15" si="6">GetDemandRate($AH$12,$AH$13,$AT4)</f>
        <v>4.1399999999999999E-2</v>
      </c>
      <c r="AT4" s="35">
        <f t="shared" ref="AT4:AT15" si="7">gettier($AH$12,$AH$13,AL4)</f>
        <v>1</v>
      </c>
      <c r="AV4" s="339" t="str">
        <f>ADDRESS(ROW($Q$22),COLUMN($Q$22))</f>
        <v>$Q$22</v>
      </c>
      <c r="AW4" s="138" t="str">
        <f ca="1">GetEnd($AV$1,AV4)</f>
        <v>$Q$51</v>
      </c>
      <c r="AX4" s="339" t="str">
        <f>ADDRESS(ROW($K$22),COLUMN($K$22))</f>
        <v>$K$22</v>
      </c>
      <c r="AY4" s="138" t="str">
        <f ca="1">GetEnd($AV$1,AX4)</f>
        <v>$K$51</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1126161.8177954899</v>
      </c>
      <c r="O5" s="352">
        <v>1125931.3</v>
      </c>
      <c r="P5" s="355">
        <f ca="1">N5-O5</f>
        <v>230.51779548986815</v>
      </c>
      <c r="Q5" s="181"/>
      <c r="S5" s="428" t="s">
        <v>636</v>
      </c>
      <c r="T5" s="423">
        <f ca="1">SUMPRODUCT(INDIRECT(CONCATENATE(V5,":",W5)),INDIRECT(CONCATENATE(AV2,":",AW2)),INDIRECT(CONCATENATE(AV3,":",AW3)))</f>
        <v>219417.67992575202</v>
      </c>
      <c r="V5" s="30" t="str">
        <f>ADDRESS(ROW(L22),COLUMN(L22))</f>
        <v>$L$22</v>
      </c>
      <c r="W5" s="30" t="str">
        <f ca="1">GetEnd($AV$1,V5)</f>
        <v>$L$51</v>
      </c>
      <c r="AF5" s="28"/>
      <c r="AG5" s="103" t="s">
        <v>33</v>
      </c>
      <c r="AH5" s="104">
        <f>GetDelBasisCol($AH$12,$AH$13)</f>
        <v>74</v>
      </c>
      <c r="AI5" s="29"/>
      <c r="AJ5" s="103" t="s">
        <v>77</v>
      </c>
      <c r="AK5" s="104" t="str">
        <f>LiborCurve</f>
        <v>Libor AA</v>
      </c>
      <c r="AL5" s="34">
        <v>2</v>
      </c>
      <c r="AM5" s="37">
        <f t="shared" si="0"/>
        <v>40000</v>
      </c>
      <c r="AN5" s="38">
        <f t="shared" si="1"/>
        <v>1.6999999999999999E-3</v>
      </c>
      <c r="AO5" s="39">
        <f t="shared" si="2"/>
        <v>6.9699999999999996E-3</v>
      </c>
      <c r="AP5" s="38">
        <f t="shared" si="3"/>
        <v>2.2000000000000001E-3</v>
      </c>
      <c r="AQ5" s="38">
        <f t="shared" si="4"/>
        <v>0</v>
      </c>
      <c r="AR5" s="133">
        <f t="shared" si="5"/>
        <v>0</v>
      </c>
      <c r="AS5" s="40">
        <f t="shared" si="6"/>
        <v>4.1399999999999999E-2</v>
      </c>
      <c r="AT5" s="35">
        <f t="shared" si="7"/>
        <v>1</v>
      </c>
      <c r="AV5" s="339" t="str">
        <f>ADDRESS(ROW($V$22),COLUMN($V$22))</f>
        <v>$V$22</v>
      </c>
      <c r="AW5" s="138" t="str">
        <f ca="1">GetEnd($AV$1,AV5)</f>
        <v>$V$51</v>
      </c>
      <c r="AX5" s="339" t="str">
        <f>ADDRESS(ROW($L$22),COLUMN($L$22))</f>
        <v>$L$22</v>
      </c>
      <c r="AY5" s="138" t="str">
        <f ca="1">GetEnd($AV$1,AX5)</f>
        <v>$L$51</v>
      </c>
      <c r="BV5" s="266">
        <f>O2</f>
        <v>37239</v>
      </c>
    </row>
    <row r="6" spans="1:102" x14ac:dyDescent="0.25">
      <c r="A6" s="269" t="str">
        <f>ADDRESS(ROW($BW$2),COLUMN($BW$2))</f>
        <v>$BW$2</v>
      </c>
      <c r="F6" s="187"/>
      <c r="G6" s="187"/>
      <c r="L6" s="704" t="s">
        <v>149</v>
      </c>
      <c r="M6" s="705"/>
      <c r="N6" s="356">
        <f ca="1">N4-N5</f>
        <v>-99401.257468024618</v>
      </c>
      <c r="O6" s="357">
        <v>-95377.9</v>
      </c>
      <c r="P6" s="358">
        <f ca="1">N6-O6</f>
        <v>-4023.3574680246238</v>
      </c>
      <c r="Q6" s="181"/>
      <c r="S6" s="428" t="s">
        <v>637</v>
      </c>
      <c r="T6" s="424">
        <f ca="1">SUMPRODUCT(INDIRECT(CONCATENATE(V6,":",W6)),INDIRECT(CONCATENATE(AV3,":",AW3)),INDIRECT(CONCATENATE(AX3,":",AY3)))</f>
        <v>27201976.275253385</v>
      </c>
      <c r="V6" s="30" t="str">
        <f>ADDRESS(ROW(G22),COLUMN(G22))</f>
        <v>$G$22</v>
      </c>
      <c r="W6" s="30" t="str">
        <f ca="1">GetEnd($AV$1,V6)</f>
        <v>$G$51</v>
      </c>
      <c r="AF6" s="28"/>
      <c r="AG6" s="103" t="s">
        <v>34</v>
      </c>
      <c r="AH6" s="104">
        <f>GetDelIndexCol($AH$12,$AH$13)</f>
        <v>75</v>
      </c>
      <c r="AI6" s="29"/>
      <c r="AJ6" s="103" t="s">
        <v>79</v>
      </c>
      <c r="AK6" s="104">
        <f>GetLiborCol(AK5)</f>
        <v>4</v>
      </c>
      <c r="AL6" s="34">
        <v>3</v>
      </c>
      <c r="AM6" s="37">
        <f t="shared" si="0"/>
        <v>40000</v>
      </c>
      <c r="AN6" s="38">
        <f t="shared" si="1"/>
        <v>1.6999999999999999E-3</v>
      </c>
      <c r="AO6" s="39">
        <f t="shared" si="2"/>
        <v>6.9699999999999996E-3</v>
      </c>
      <c r="AP6" s="38">
        <f t="shared" si="3"/>
        <v>2.2000000000000001E-3</v>
      </c>
      <c r="AQ6" s="38">
        <f t="shared" si="4"/>
        <v>0</v>
      </c>
      <c r="AR6" s="133">
        <f t="shared" si="5"/>
        <v>0</v>
      </c>
      <c r="AS6" s="40">
        <f t="shared" si="6"/>
        <v>4.1399999999999999E-2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9016.69</v>
      </c>
      <c r="P7" s="355">
        <f ca="1">N7</f>
        <v>0</v>
      </c>
      <c r="S7" s="428" t="s">
        <v>638</v>
      </c>
      <c r="T7" s="425">
        <f ca="1">T5/T6</f>
        <v>8.0662403975906762E-3</v>
      </c>
      <c r="AF7" s="28"/>
      <c r="AG7" s="103" t="s">
        <v>76</v>
      </c>
      <c r="AH7" s="104">
        <f>GetRcptOmicronCol($AH$12,$AH$13)</f>
        <v>6</v>
      </c>
      <c r="AI7" s="29"/>
      <c r="AJ7" s="103" t="s">
        <v>80</v>
      </c>
      <c r="AK7" s="104" t="str">
        <f>Configuration!$D$8</f>
        <v>Nymex Vol</v>
      </c>
      <c r="AL7" s="34">
        <v>4</v>
      </c>
      <c r="AM7" s="37">
        <f t="shared" si="0"/>
        <v>40000</v>
      </c>
      <c r="AN7" s="38">
        <f t="shared" si="1"/>
        <v>1.6999999999999999E-3</v>
      </c>
      <c r="AO7" s="39">
        <f t="shared" si="2"/>
        <v>6.9699999999999996E-3</v>
      </c>
      <c r="AP7" s="38">
        <f t="shared" si="3"/>
        <v>2.2000000000000001E-3</v>
      </c>
      <c r="AQ7" s="38">
        <f t="shared" si="4"/>
        <v>0</v>
      </c>
      <c r="AR7" s="133">
        <f t="shared" si="5"/>
        <v>0</v>
      </c>
      <c r="AS7" s="40">
        <f t="shared" si="6"/>
        <v>4.1399999999999999E-2</v>
      </c>
      <c r="AT7" s="35">
        <f t="shared" si="7"/>
        <v>1</v>
      </c>
      <c r="AU7" s="361" t="s">
        <v>574</v>
      </c>
      <c r="AV7" s="339" t="str">
        <f>ADDRESS(ROW($AL$22),COLUMN($AL$22))</f>
        <v>$AL$22</v>
      </c>
      <c r="AW7" s="138" t="str">
        <f ca="1">GetEnd($AV$1,AV7)</f>
        <v>$AL$51</v>
      </c>
      <c r="AX7" s="339" t="str">
        <f>ADDRESS(ROW($AV$22),COLUMN($AV$22))</f>
        <v>$AV$22</v>
      </c>
      <c r="AY7" s="138" t="str">
        <f t="shared" ref="AY7:AY13" ca="1" si="8">GetEnd($AV$1,AX7)</f>
        <v>$AV$51</v>
      </c>
    </row>
    <row r="8" spans="1:102" x14ac:dyDescent="0.25">
      <c r="A8" s="270" t="s">
        <v>224</v>
      </c>
      <c r="F8" s="186" t="s">
        <v>26</v>
      </c>
      <c r="G8" s="190">
        <f>GetMonthEnd($AH$12,$AH$13)</f>
        <v>37955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0.99907110366502783</v>
      </c>
      <c r="V8" s="30" t="str">
        <f>ADDRESS(ROW(P22),COLUMN(P22))</f>
        <v>$P$22</v>
      </c>
      <c r="W8" s="30" t="str">
        <f ca="1">GetEnd($AV$1,V8)</f>
        <v>$P$51</v>
      </c>
      <c r="Y8" s="334">
        <f ca="1">SUMIF(INDIRECT(CONCATENATE(V8,":",W8)),"&gt;0",INDIRECT(CONCATENATE(V8,":",W8)))</f>
        <v>22.978635384295639</v>
      </c>
      <c r="Z8" s="334">
        <f ca="1">COUNTIF(INDIRECT(CONCATENATE(V8,":",W8)),"&gt;0")</f>
        <v>23</v>
      </c>
      <c r="AF8" s="28"/>
      <c r="AG8" s="103" t="s">
        <v>75</v>
      </c>
      <c r="AH8" s="105">
        <f>GetDelOmicronCol($AH$12,$AH$13)</f>
        <v>6</v>
      </c>
      <c r="AI8" s="29"/>
      <c r="AJ8" s="103" t="s">
        <v>81</v>
      </c>
      <c r="AK8" s="104">
        <f>GetNGOmicronCol(AK7)</f>
        <v>5</v>
      </c>
      <c r="AL8" s="34">
        <v>5</v>
      </c>
      <c r="AM8" s="37">
        <f t="shared" si="0"/>
        <v>40000</v>
      </c>
      <c r="AN8" s="38">
        <f t="shared" si="1"/>
        <v>1.6999999999999999E-3</v>
      </c>
      <c r="AO8" s="39">
        <f t="shared" si="2"/>
        <v>6.9699999999999996E-3</v>
      </c>
      <c r="AP8" s="38">
        <f t="shared" si="3"/>
        <v>2.2000000000000001E-3</v>
      </c>
      <c r="AQ8" s="38">
        <f t="shared" si="4"/>
        <v>0</v>
      </c>
      <c r="AR8" s="133">
        <f t="shared" si="5"/>
        <v>0</v>
      </c>
      <c r="AS8" s="40">
        <f t="shared" si="6"/>
        <v>4.1399999999999999E-2</v>
      </c>
      <c r="AT8" s="35">
        <f t="shared" si="7"/>
        <v>1</v>
      </c>
      <c r="AU8" s="362" t="s">
        <v>575</v>
      </c>
      <c r="AV8" s="339" t="str">
        <f>ADDRESS(ROW($AM$22),COLUMN($AM$22))</f>
        <v>$AM$22</v>
      </c>
      <c r="AW8" s="138" t="str">
        <f ca="1">GetEnd($AV$1,AV8)</f>
        <v>$AM$51</v>
      </c>
      <c r="AX8" s="339" t="str">
        <f>ADDRESS(ROW($AO$22),COLUMN($AO$22))</f>
        <v>$AO$22</v>
      </c>
      <c r="AY8" s="138" t="str">
        <f t="shared" ca="1" si="8"/>
        <v>$AO$51</v>
      </c>
    </row>
    <row r="9" spans="1:102" x14ac:dyDescent="0.25">
      <c r="A9" s="270" t="s">
        <v>224</v>
      </c>
      <c r="L9" s="706" t="s">
        <v>627</v>
      </c>
      <c r="M9" s="707"/>
      <c r="N9" s="352">
        <f t="array" aca="1" ref="N9" ca="1">SUM(((INDIRECT(AX16)-INDIRECT(AY17))-(INDIRECT(AX17)-INDIRECT(AY15)))*INDIRECT(CONCATENATE(AX2,":",AY2))*INDIRECT(CONCATENATE(AV3,":",AW3))*INDIRECT(CONCATENATE(AX3,":",AY3)))</f>
        <v>0</v>
      </c>
      <c r="O9" s="421">
        <v>17502.599999999999</v>
      </c>
      <c r="P9" s="355">
        <f ca="1">N9</f>
        <v>0</v>
      </c>
      <c r="AF9" s="28"/>
      <c r="AG9" s="52"/>
      <c r="AH9" s="52"/>
      <c r="AI9" s="29"/>
      <c r="AJ9" s="103" t="s">
        <v>139</v>
      </c>
      <c r="AK9" s="105">
        <f>GetCorrelCol($AH$12,$AH$13)</f>
        <v>40</v>
      </c>
      <c r="AL9" s="34">
        <v>6</v>
      </c>
      <c r="AM9" s="37">
        <f t="shared" si="0"/>
        <v>40000</v>
      </c>
      <c r="AN9" s="38">
        <f t="shared" si="1"/>
        <v>1.6999999999999999E-3</v>
      </c>
      <c r="AO9" s="39">
        <f t="shared" si="2"/>
        <v>6.9699999999999996E-3</v>
      </c>
      <c r="AP9" s="38">
        <f t="shared" si="3"/>
        <v>2.2000000000000001E-3</v>
      </c>
      <c r="AQ9" s="38">
        <f t="shared" si="4"/>
        <v>0</v>
      </c>
      <c r="AR9" s="133">
        <f t="shared" si="5"/>
        <v>0</v>
      </c>
      <c r="AS9" s="40">
        <f t="shared" si="6"/>
        <v>4.1399999999999999E-2</v>
      </c>
      <c r="AT9" s="35">
        <f t="shared" si="7"/>
        <v>1</v>
      </c>
      <c r="AU9" s="361" t="s">
        <v>578</v>
      </c>
      <c r="AV9" s="339" t="str">
        <f>ADDRESS(ROW($AN$22),COLUMN($AN$22))</f>
        <v>$AN$22</v>
      </c>
      <c r="AW9" s="138" t="str">
        <f ca="1">GetEnd($AV$1,AV9)</f>
        <v>$AN$51</v>
      </c>
      <c r="AX9" s="339" t="str">
        <f>ADDRESS(ROW($AP$22),COLUMN($AP$22))</f>
        <v>$AP$22</v>
      </c>
      <c r="AY9" s="138" t="str">
        <f t="shared" ca="1" si="8"/>
        <v>$AP$51</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-592162.73410821822</v>
      </c>
      <c r="O10" s="352">
        <v>-592040.43999999994</v>
      </c>
      <c r="P10" s="355">
        <f t="shared" ref="P10:P19" ca="1" si="9">N10-O10</f>
        <v>-122.2941082182806</v>
      </c>
      <c r="AF10" s="28"/>
      <c r="AG10" s="103" t="s">
        <v>142</v>
      </c>
      <c r="AH10" s="119" t="b">
        <f>GetGRIFactor($AH$12,$AH$13)</f>
        <v>0</v>
      </c>
      <c r="AI10" s="29"/>
      <c r="AJ10" s="29"/>
      <c r="AK10" s="29"/>
      <c r="AL10" s="34">
        <v>7</v>
      </c>
      <c r="AM10" s="37">
        <f t="shared" si="0"/>
        <v>40000</v>
      </c>
      <c r="AN10" s="38">
        <f t="shared" si="1"/>
        <v>1.6999999999999999E-3</v>
      </c>
      <c r="AO10" s="39">
        <f t="shared" si="2"/>
        <v>6.9699999999999996E-3</v>
      </c>
      <c r="AP10" s="38">
        <f t="shared" si="3"/>
        <v>2.2000000000000001E-3</v>
      </c>
      <c r="AQ10" s="38">
        <f t="shared" si="4"/>
        <v>0</v>
      </c>
      <c r="AR10" s="133">
        <f t="shared" si="5"/>
        <v>0</v>
      </c>
      <c r="AS10" s="40">
        <f t="shared" si="6"/>
        <v>4.1399999999999999E-2</v>
      </c>
      <c r="AT10" s="35">
        <f t="shared" si="7"/>
        <v>1</v>
      </c>
      <c r="AU10" s="361" t="s">
        <v>577</v>
      </c>
      <c r="AV10" s="339" t="str">
        <f>ADDRESS(ROW($AS$22),COLUMN($AS$22))</f>
        <v>$AS$22</v>
      </c>
      <c r="AW10" s="138" t="str">
        <f ca="1">GetEnd($AV$1,AV10)</f>
        <v>$AS$51</v>
      </c>
      <c r="AX10" s="339" t="str">
        <f>ADDRESS(ROW($CC$22),COLUMN($CC$22))</f>
        <v>$CC$22</v>
      </c>
      <c r="AY10" s="138" t="str">
        <f t="shared" ca="1" si="8"/>
        <v>$CC$51</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-109044</v>
      </c>
      <c r="O11" s="357">
        <v>-109044</v>
      </c>
      <c r="P11" s="358">
        <f t="shared" ca="1" si="9"/>
        <v>0</v>
      </c>
      <c r="AL11" s="34">
        <v>8</v>
      </c>
      <c r="AM11" s="37">
        <f t="shared" si="0"/>
        <v>40000</v>
      </c>
      <c r="AN11" s="38">
        <f t="shared" si="1"/>
        <v>1.6999999999999999E-3</v>
      </c>
      <c r="AO11" s="39">
        <f t="shared" si="2"/>
        <v>6.9699999999999996E-3</v>
      </c>
      <c r="AP11" s="38">
        <f t="shared" si="3"/>
        <v>2.2000000000000001E-3</v>
      </c>
      <c r="AQ11" s="38">
        <f t="shared" si="4"/>
        <v>0</v>
      </c>
      <c r="AR11" s="133">
        <f t="shared" si="5"/>
        <v>0</v>
      </c>
      <c r="AS11" s="40">
        <f t="shared" si="6"/>
        <v>4.1399999999999999E-2</v>
      </c>
      <c r="AT11" s="35">
        <f t="shared" si="7"/>
        <v>1</v>
      </c>
      <c r="AU11" s="361" t="s">
        <v>579</v>
      </c>
      <c r="AV11" s="339" t="str">
        <f>ADDRESS(ROW($AQ$22),COLUMN($AQ$22))</f>
        <v>$AQ$22</v>
      </c>
      <c r="AW11" s="138" t="str">
        <f ca="1">GetEnd($AV$1,AV11)</f>
        <v>$AQ$51</v>
      </c>
      <c r="AX11" s="339" t="str">
        <f>ADDRESS(ROW($CD$22),COLUMN($CD$22))</f>
        <v>$CD$22</v>
      </c>
      <c r="AY11" s="138" t="str">
        <f t="shared" ca="1" si="8"/>
        <v>$CD$51</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13483.72</v>
      </c>
      <c r="P12" s="355">
        <f t="shared" ca="1" si="9"/>
        <v>-13483.72</v>
      </c>
      <c r="AG12" s="248" t="s">
        <v>185</v>
      </c>
      <c r="AH12" s="119" t="str">
        <f>GetDBPage($D$2)</f>
        <v>Contract DB (East)</v>
      </c>
      <c r="AL12" s="34">
        <v>9</v>
      </c>
      <c r="AM12" s="37">
        <f t="shared" si="0"/>
        <v>40000</v>
      </c>
      <c r="AN12" s="38">
        <f t="shared" si="1"/>
        <v>1.6999999999999999E-3</v>
      </c>
      <c r="AO12" s="39">
        <f t="shared" si="2"/>
        <v>6.9699999999999996E-3</v>
      </c>
      <c r="AP12" s="38">
        <f t="shared" si="3"/>
        <v>2.2000000000000001E-3</v>
      </c>
      <c r="AQ12" s="38">
        <f t="shared" si="4"/>
        <v>0</v>
      </c>
      <c r="AR12" s="133">
        <f t="shared" si="5"/>
        <v>0</v>
      </c>
      <c r="AS12" s="40">
        <f t="shared" si="6"/>
        <v>4.1399999999999999E-2</v>
      </c>
      <c r="AT12" s="35">
        <f t="shared" si="7"/>
        <v>1</v>
      </c>
      <c r="AU12" s="361" t="s">
        <v>271</v>
      </c>
      <c r="AV12" s="339" t="str">
        <f>ADDRESS(ROW($X$22),COLUMN($X$22))</f>
        <v>$X$22</v>
      </c>
      <c r="AW12" s="138" t="str">
        <f t="shared" ref="AW12:AW17" ca="1" si="11">GetEnd($AV$1,AV12)</f>
        <v>$X$51</v>
      </c>
      <c r="AX12" s="339" t="str">
        <f>ADDRESS(ROW($CE$22),COLUMN($CE$22))</f>
        <v>$CE$22</v>
      </c>
      <c r="AY12" s="138" t="str">
        <f t="shared" ca="1" si="8"/>
        <v>$CE$51</v>
      </c>
    </row>
    <row r="13" spans="1:102" x14ac:dyDescent="0.25">
      <c r="A13" s="270" t="s">
        <v>224</v>
      </c>
      <c r="D13" s="170"/>
      <c r="E13" s="171"/>
      <c r="F13" s="172"/>
      <c r="G13" s="172"/>
      <c r="H13" s="173"/>
      <c r="L13" s="706" t="s">
        <v>155</v>
      </c>
      <c r="M13" s="707"/>
      <c r="N13" s="352">
        <f t="shared" ca="1" si="10"/>
        <v>0</v>
      </c>
      <c r="O13" s="352">
        <v>63.38</v>
      </c>
      <c r="P13" s="355">
        <f t="shared" ca="1" si="9"/>
        <v>-63.38</v>
      </c>
      <c r="AG13" s="248" t="s">
        <v>186</v>
      </c>
      <c r="AH13" s="119">
        <f>GetRecNdx($AH$12,$D$2)</f>
        <v>2</v>
      </c>
      <c r="AL13" s="34">
        <v>10</v>
      </c>
      <c r="AM13" s="37">
        <f t="shared" si="0"/>
        <v>40000</v>
      </c>
      <c r="AN13" s="38">
        <f t="shared" si="1"/>
        <v>1.6999999999999999E-3</v>
      </c>
      <c r="AO13" s="39">
        <f t="shared" si="2"/>
        <v>6.9699999999999996E-3</v>
      </c>
      <c r="AP13" s="38">
        <f t="shared" si="3"/>
        <v>2.2000000000000001E-3</v>
      </c>
      <c r="AQ13" s="38">
        <f t="shared" si="4"/>
        <v>0</v>
      </c>
      <c r="AR13" s="133">
        <f t="shared" si="5"/>
        <v>0</v>
      </c>
      <c r="AS13" s="40">
        <f t="shared" si="6"/>
        <v>4.1399999999999999E-2</v>
      </c>
      <c r="AT13" s="35">
        <f t="shared" si="7"/>
        <v>1</v>
      </c>
      <c r="AU13" s="361" t="s">
        <v>155</v>
      </c>
      <c r="AV13" s="339" t="str">
        <f>ADDRESS(ROW($Y$22),COLUMN($Y$22))</f>
        <v>$Y$22</v>
      </c>
      <c r="AW13" s="138" t="str">
        <f t="shared" ca="1" si="11"/>
        <v>$Y$51</v>
      </c>
      <c r="AX13" s="339" t="str">
        <f>ADDRESS(ROW($CF$22),COLUMN($CF$22))</f>
        <v>$CF$22</v>
      </c>
      <c r="AY13" s="138" t="str">
        <f t="shared" ca="1" si="8"/>
        <v>$CF$51</v>
      </c>
    </row>
    <row r="14" spans="1:102" x14ac:dyDescent="0.25">
      <c r="A14" s="270" t="s">
        <v>224</v>
      </c>
      <c r="D14" s="170"/>
      <c r="E14" s="171"/>
      <c r="F14" s="172"/>
      <c r="G14" s="172"/>
      <c r="H14" s="173"/>
      <c r="K14" s="185"/>
      <c r="L14" s="706" t="s">
        <v>156</v>
      </c>
      <c r="M14" s="707"/>
      <c r="N14" s="352">
        <f t="shared" ca="1" si="10"/>
        <v>-4861.9279315878885</v>
      </c>
      <c r="O14" s="352">
        <v>-1555.01</v>
      </c>
      <c r="P14" s="355">
        <f t="shared" ca="1" si="9"/>
        <v>-3306.9179315878882</v>
      </c>
      <c r="S14" s="181">
        <f>F22/(1-AR22)*AH22*AU22</f>
        <v>1246852.9800514129</v>
      </c>
      <c r="T14" s="181">
        <f>F22*AH22*AU22</f>
        <v>1238162.4147804545</v>
      </c>
      <c r="AL14" s="34">
        <v>11</v>
      </c>
      <c r="AM14" s="37">
        <f t="shared" si="0"/>
        <v>40000</v>
      </c>
      <c r="AN14" s="38">
        <f t="shared" si="1"/>
        <v>1.6999999999999999E-3</v>
      </c>
      <c r="AO14" s="39">
        <f t="shared" si="2"/>
        <v>6.9699999999999996E-3</v>
      </c>
      <c r="AP14" s="38">
        <f t="shared" si="3"/>
        <v>2.2000000000000001E-3</v>
      </c>
      <c r="AQ14" s="38">
        <f t="shared" si="4"/>
        <v>0</v>
      </c>
      <c r="AR14" s="133">
        <f t="shared" si="5"/>
        <v>0</v>
      </c>
      <c r="AS14" s="40">
        <f t="shared" si="6"/>
        <v>4.1399999999999999E-2</v>
      </c>
      <c r="AT14" s="35">
        <f t="shared" si="7"/>
        <v>1</v>
      </c>
      <c r="AU14" s="361" t="s">
        <v>156</v>
      </c>
      <c r="AV14" s="339" t="str">
        <f>ADDRESS(ROW($Z$22),COLUMN($Z$22))</f>
        <v>$Z$22</v>
      </c>
      <c r="AW14" s="138" t="str">
        <f t="shared" ca="1" si="11"/>
        <v>$Z$51</v>
      </c>
      <c r="AX14" s="353" t="str">
        <f ca="1">CONCATENATE(AX8,":",AY8)</f>
        <v>$AO$22:$AO$51</v>
      </c>
      <c r="AY14" s="353" t="str">
        <f ca="1">CONCATENATE(AX10,":",AY10)</f>
        <v>$CC$22:$CC$51</v>
      </c>
    </row>
    <row r="15" spans="1:102" ht="13.8" thickBot="1" x14ac:dyDescent="0.3">
      <c r="A15" s="270" t="s">
        <v>224</v>
      </c>
      <c r="D15" s="170"/>
      <c r="E15" s="171"/>
      <c r="F15" s="172"/>
      <c r="G15" s="172"/>
      <c r="H15" s="173"/>
      <c r="L15" s="706" t="s">
        <v>157</v>
      </c>
      <c r="M15" s="707"/>
      <c r="N15" s="352">
        <f t="shared" ca="1" si="10"/>
        <v>516.82432829020445</v>
      </c>
      <c r="O15" s="352">
        <v>3111.27</v>
      </c>
      <c r="P15" s="355">
        <f t="shared" ca="1" si="9"/>
        <v>-2594.4456717097955</v>
      </c>
      <c r="AL15" s="34">
        <v>12</v>
      </c>
      <c r="AM15" s="41">
        <f t="shared" si="0"/>
        <v>40000</v>
      </c>
      <c r="AN15" s="42">
        <f t="shared" si="1"/>
        <v>1.6999999999999999E-3</v>
      </c>
      <c r="AO15" s="43">
        <f t="shared" si="2"/>
        <v>6.9699999999999996E-3</v>
      </c>
      <c r="AP15" s="42">
        <f t="shared" si="3"/>
        <v>2.2000000000000001E-3</v>
      </c>
      <c r="AQ15" s="42">
        <f t="shared" si="4"/>
        <v>0</v>
      </c>
      <c r="AR15" s="134">
        <f t="shared" si="5"/>
        <v>0</v>
      </c>
      <c r="AS15" s="44">
        <f t="shared" si="6"/>
        <v>4.1399999999999999E-2</v>
      </c>
      <c r="AT15" s="35">
        <f t="shared" si="7"/>
        <v>1</v>
      </c>
      <c r="AU15" s="363" t="s">
        <v>157</v>
      </c>
      <c r="AV15" s="339" t="str">
        <f>ADDRESS(ROW($AA$22),COLUMN($AA$22))</f>
        <v>$AA$22</v>
      </c>
      <c r="AW15" s="138" t="str">
        <f t="shared" ca="1" si="11"/>
        <v>$AA$51</v>
      </c>
      <c r="AX15" s="353" t="str">
        <f ca="1">CONCATENATE(AV8,":",AW8)</f>
        <v>$AM$22:$AM$51</v>
      </c>
      <c r="AY15" s="353" t="str">
        <f ca="1">CONCATENATE(AX11,":",AY11)</f>
        <v>$CD$22:$CD$51</v>
      </c>
    </row>
    <row r="16" spans="1:102" x14ac:dyDescent="0.25">
      <c r="D16" s="174"/>
      <c r="E16" s="175"/>
      <c r="F16" s="176"/>
      <c r="G16" s="176"/>
      <c r="H16" s="177"/>
      <c r="L16" s="706" t="s">
        <v>158</v>
      </c>
      <c r="M16" s="707"/>
      <c r="N16" s="352">
        <f t="shared" ca="1" si="10"/>
        <v>0</v>
      </c>
      <c r="O16" s="352">
        <v>85.72</v>
      </c>
      <c r="P16" s="355">
        <f t="shared" ca="1" si="9"/>
        <v>-85.72</v>
      </c>
      <c r="AU16" s="361" t="s">
        <v>158</v>
      </c>
      <c r="AV16" s="339" t="str">
        <f>ADDRESS(ROW($AB$22),COLUMN($AB$22))</f>
        <v>$AB$22</v>
      </c>
      <c r="AW16" s="138" t="str">
        <f t="shared" ca="1" si="11"/>
        <v>$AB$51</v>
      </c>
      <c r="AX16" s="353" t="str">
        <f ca="1">CONCATENATE(AX9,":",AY9)</f>
        <v>$AP$22:$AP$51</v>
      </c>
      <c r="AY16" s="353" t="str">
        <f ca="1">CONCATENATE(AX12,":",AY12)</f>
        <v>$CE$22:$CE$51</v>
      </c>
      <c r="CM16" s="268"/>
    </row>
    <row r="17" spans="1:91" x14ac:dyDescent="0.25">
      <c r="D17" s="171"/>
      <c r="E17" s="171"/>
      <c r="F17" s="172"/>
      <c r="G17" s="172"/>
      <c r="H17" s="172"/>
      <c r="L17" s="704" t="s">
        <v>211</v>
      </c>
      <c r="M17" s="705"/>
      <c r="N17" s="356">
        <f t="shared" ca="1" si="10"/>
        <v>207.65682009834276</v>
      </c>
      <c r="O17" s="357">
        <v>67.430000000000007</v>
      </c>
      <c r="P17" s="358">
        <f t="shared" ca="1" si="9"/>
        <v>140.22682009834276</v>
      </c>
      <c r="AU17" s="361" t="s">
        <v>211</v>
      </c>
      <c r="AV17" s="339" t="str">
        <f>ADDRESS(ROW($AC$22),COLUMN($AC$22))</f>
        <v>$AC$22</v>
      </c>
      <c r="AW17" s="138" t="str">
        <f t="shared" ca="1" si="11"/>
        <v>$AC$51</v>
      </c>
      <c r="AX17" s="353" t="str">
        <f ca="1">CONCATENATE(AV9,":",AW9)</f>
        <v>$AN$22:$AN$51</v>
      </c>
      <c r="AY17" s="353" t="str">
        <f ca="1">CONCATENATE(AX13,":",AY13)</f>
        <v>$CF$22:$CF$51</v>
      </c>
      <c r="CM17" s="268"/>
    </row>
    <row r="18" spans="1:91" x14ac:dyDescent="0.25">
      <c r="D18" s="171"/>
      <c r="E18" s="171"/>
      <c r="F18" s="172"/>
      <c r="G18" s="172"/>
      <c r="H18" s="172"/>
      <c r="L18" s="706" t="s">
        <v>623</v>
      </c>
      <c r="M18" s="707"/>
      <c r="N18" s="352">
        <f ca="1">SUMPRODUCT(INDIRECT(CONCATENATE(AX4,":",AY4)),INDIRECT(CONCATENATE($AV$2,":",$AW$2)),INDIRECT(CONCATENATE($AV$3,":",$AW$3)))</f>
        <v>807342.88040171342</v>
      </c>
      <c r="O18" s="352">
        <v>807179.15</v>
      </c>
      <c r="P18" s="355">
        <f t="shared" ca="1" si="9"/>
        <v>163.73040171340108</v>
      </c>
      <c r="AU18" s="361"/>
      <c r="AV18" s="339"/>
      <c r="AW18" s="138"/>
      <c r="AX18" s="339" t="str">
        <f>ADDRESS(ROW($CI$22),COLUMN($CI$22))</f>
        <v>$CI$22</v>
      </c>
      <c r="AY18" s="138" t="str">
        <f ca="1">GetEnd($AV$1,AX18)</f>
        <v>$CI$51</v>
      </c>
      <c r="CM18" s="268"/>
    </row>
    <row r="19" spans="1:91" x14ac:dyDescent="0.25">
      <c r="D19" s="171"/>
      <c r="E19" s="171"/>
      <c r="F19" s="172"/>
      <c r="G19" s="172"/>
      <c r="H19" s="172"/>
      <c r="L19" s="724" t="s">
        <v>624</v>
      </c>
      <c r="M19" s="725"/>
      <c r="N19" s="359">
        <f ca="1">SUMPRODUCT(INDIRECT(CONCATENATE(AX5,":",AY5)),INDIRECT(CONCATENATE($AV$2,":",$AW$2)),INDIRECT(CONCATENATE($AV$3,":",$AW$3)))</f>
        <v>219417.67992575202</v>
      </c>
      <c r="O19" s="359">
        <v>223374.25</v>
      </c>
      <c r="P19" s="360">
        <f t="shared" ca="1" si="9"/>
        <v>-3956.5700742479821</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IF-COLGULF/LA Basis Mid</v>
      </c>
      <c r="T20" s="182" t="str">
        <f>GetDelBasis($AH$12,$AH$13)</f>
        <v>IF-COLGUL/RAYNE Basis Mid</v>
      </c>
      <c r="U20" s="158"/>
      <c r="V20" s="158"/>
      <c r="W20" s="158"/>
      <c r="X20" s="158"/>
      <c r="Y20" s="335"/>
      <c r="Z20" s="335"/>
      <c r="AA20" s="335"/>
      <c r="AB20" s="335"/>
      <c r="AC20" s="335"/>
      <c r="AI20" s="138"/>
      <c r="AM20" s="702" t="str">
        <f>GetRcptPoint($AH$12,$AH$13)</f>
        <v>Onshore</v>
      </c>
      <c r="AN20" s="703"/>
      <c r="AO20" s="702" t="str">
        <f>GetDelPoint($AH$12,$AH$13)</f>
        <v>Rayne</v>
      </c>
      <c r="AP20" s="703"/>
      <c r="AQ20" s="137"/>
      <c r="AS20" s="137"/>
      <c r="AU20" s="136" t="s">
        <v>576</v>
      </c>
      <c r="AV20" s="353">
        <f ca="1">SUMPRODUCT(INDIRECT(CONCATENATE(AV8,":",AW8)),INDIRECT(CONCATENATE($AV$2,":",$AW$2)),INDIRECT(CONCATENATE($AV$3,":",$AW$3)),INDIRECT(CONCATENATE(AX3,":",AY3)))</f>
        <v>-699000</v>
      </c>
      <c r="AW20" s="353">
        <f ca="1">SUMPRODUCT(INDIRECT(CONCATENATE(AX8,":",AY8)),INDIRECT(CONCATENATE($AV$2,":",$AW$2)),INDIRECT(CONCATENATE($AV$3,":",$AW$3)),INDIRECT(CONCATENATE(AX3,":",AY3)))</f>
        <v>-699000</v>
      </c>
      <c r="AX20" s="353">
        <f ca="1">SUMPRODUCT(INDIRECT(CONCATENATE(AV9,":",AW9)),INDIRECT(CONCATENATE($AV$2,":",$AW$2)),INDIRECT(CONCATENATE($AV$3,":",$AW$3)),INDIRECT(CONCATENATE(AX3,":",AY3)))</f>
        <v>60900</v>
      </c>
      <c r="AY20" s="353">
        <f ca="1">SUMPRODUCT(INDIRECT(CONCATENATE(AX9,":",AY9)),INDIRECT(CONCATENATE($AV$2,":",$AW$2)),INDIRECT(CONCATENATE($AV$3,":",$AW$3)),INDIRECT(CONCATENATE(AX3,":",AY3)))</f>
        <v>1607700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VLOOKUP(AG22,$AL$4:$AS$15,2)</f>
        <v>40000</v>
      </c>
      <c r="G22" s="28">
        <f t="shared" ref="G22:G51" si="12">F22*$AU22</f>
        <v>39940.723057434014</v>
      </c>
      <c r="H22" s="52">
        <f>(AL22+AM22+AN22)/(1-(AR22))</f>
        <v>2.8408003786391149</v>
      </c>
      <c r="I22" s="52">
        <f>(AL22+AO22+AP22)</f>
        <v>2.8785000000000003</v>
      </c>
      <c r="K22" s="52">
        <f>MAX(((I22-H22)-AQ22)*AU22*AH22,0)</f>
        <v>1.0462355200714706</v>
      </c>
      <c r="L22" s="135">
        <f>MAX(Q22-K22,0)</f>
        <v>0.64849384892478756</v>
      </c>
      <c r="N22" s="131">
        <f>SQRT(($AX22^2*($AH22/2)+$AW22^2*$AI22)/(($AH22/2)+$AI22))</f>
        <v>0.96016221307122684</v>
      </c>
      <c r="O22" s="131">
        <f>SQRT(($AY22^2*($AH22/2)+$AW22^2*$AI22)/(($AH22/2)+$AI22))</f>
        <v>0.96016221307122684</v>
      </c>
      <c r="P22" s="55">
        <f>(VLOOKUP(AI22,CorrelationTwo,2)*(AW22^2)*AI22+VLOOKUP(D22,CorrelationOne,$AK$9)*AX22*AY22*(AH22/2))/((AI22+(AH22/2))*O22*N22)*AF22</f>
        <v>0.99345809810692698</v>
      </c>
      <c r="Q22" s="135">
        <f>_xll.xSPRDOPT(I22,H22,AQ22,0,O22,N22,P22,D22-$G$5,1,0)*AH22*AU22</f>
        <v>1.6947293689962581</v>
      </c>
      <c r="R22" s="135"/>
      <c r="S22" s="181">
        <f>_xll.xSPRDOPT(I22,H22,AQ22,AT22,O22,N22,P22,D22-$G$5,1,2)*AF22*(F22/(1-AR22))*AH22</f>
        <v>-801693.15982668183</v>
      </c>
      <c r="T22" s="181">
        <f>_xll.xSPRDOPT(I22,H22,AQ22,AT22,O22,N22,P22,D22-$G$5,1,1)*AF22*F22*AH22</f>
        <v>810314.96917447564</v>
      </c>
      <c r="U22" s="135"/>
      <c r="V22" s="146">
        <f>VLOOKUP($AG22,$AL$4:$AS$15,8)*AH22*AU22</f>
        <v>1.2814980992977703</v>
      </c>
      <c r="W22" s="146"/>
      <c r="X22" s="338">
        <f>((BM22*BC22)+(BL22*BB22))*AH22*F22</f>
        <v>0</v>
      </c>
      <c r="Y22" s="338">
        <f t="shared" ref="Y22:Y51" si="13">($F22*$AH22)*((($BG22/2)*($BC22)^2)+(($BF22/2)*($BB22)^2)+($BH22*$BC22*$BB22))</f>
        <v>0</v>
      </c>
      <c r="Z22" s="338">
        <f t="shared" ref="Z22:Z51" si="14">($BI22*$F22*$AH22*($G$5-$BV$5))/365.25</f>
        <v>-2029.410966145495</v>
      </c>
      <c r="AA22" s="338">
        <f t="shared" ref="AA22:AA51" si="15">(($BK22*$BE22)+($BJ22*$BD22))*$F22*$AH22*$AF22</f>
        <v>353.07132647519404</v>
      </c>
      <c r="AB22" s="338">
        <f>BN22*(AT22-CA22)*F22*AH22</f>
        <v>0</v>
      </c>
      <c r="AC22" s="338">
        <f>BO22*CB22*F22*AH22*CA22*($G$5-$BV$5)/365.25</f>
        <v>10.839365513763834</v>
      </c>
      <c r="AF22" s="138">
        <f>IF(AND(D22&gt;=$G$7,D22&lt;=$G$8),1,0)</f>
        <v>1</v>
      </c>
      <c r="AG22" s="138">
        <f>MONTH(D22)</f>
        <v>1</v>
      </c>
      <c r="AH22" s="138">
        <f t="shared" ref="AH22:AH51" si="16">(EOMONTH(D22,0)-EOMONTH(D22-DAY(D22),0))*AF22</f>
        <v>31</v>
      </c>
      <c r="AI22" s="138">
        <f>MAX(0,(D22-DAY(D22))-$G$5+1)</f>
        <v>15</v>
      </c>
      <c r="AJ22" s="138">
        <f>D22-$BV$5</f>
        <v>32</v>
      </c>
      <c r="AL22" s="136">
        <f t="shared" ref="AL22:AL51" si="17">VLOOKUP($D22,CurveTbl,$AK$4)</f>
        <v>2.8460000000000001</v>
      </c>
      <c r="AM22" s="258">
        <f t="shared" ref="AM22:AM51" si="18">VLOOKUP($D22,CurveTbl,$AH$3)</f>
        <v>-2.5000000000000001E-2</v>
      </c>
      <c r="AN22" s="258">
        <f t="shared" ref="AN22:AN51" si="19">VLOOKUP($D22,CurveTbl,$AH$4)+VLOOKUP($AG22,$AL$3:$AS$15,6)</f>
        <v>0</v>
      </c>
      <c r="AO22" s="258">
        <f t="shared" ref="AO22:AO51" si="20">VLOOKUP($D22,CurveTbl,$AH$5)</f>
        <v>-2.5000000000000001E-2</v>
      </c>
      <c r="AP22" s="258">
        <f t="shared" ref="AP22:AP51" si="21">VLOOKUP($D22,CurveTbl,$AH$6)+VLOOKUP($AG22,$AL$3:$AS$15,7)</f>
        <v>5.7500000000000002E-2</v>
      </c>
      <c r="AQ22" s="136">
        <f>VLOOKUP($AG22,$AL$4:$AS$15,3)+VLOOKUP($AG22,$AL$4:$AS$15,5)+($AH$10*VLOOKUP(D22,GRITable,2))</f>
        <v>3.8999999999999998E-3</v>
      </c>
      <c r="AR22" s="137">
        <f t="shared" ref="AR22:AR51" si="22">VLOOKUP($AG22,$AL$4:$AS$15,4)</f>
        <v>6.9699999999999996E-3</v>
      </c>
      <c r="AS22" s="136">
        <f>(AL22+AM22+AN22)</f>
        <v>2.8210000000000002</v>
      </c>
      <c r="AT22" s="137">
        <f>VLOOKUP(D22,CurveTbl,$AK$6)</f>
        <v>1.8765908157160699E-2</v>
      </c>
      <c r="AU22" s="137">
        <f t="shared" ref="AU22:AU51" si="23">(1+$AT22/2)^(-2*($D22-$G$5)/365.25)*$AF22</f>
        <v>0.99851807643585033</v>
      </c>
      <c r="AV22" s="394">
        <f>ROUND((F22/(1-AR22))-F22,0)*AF22*AH22*AU22</f>
        <v>8698.0909638326921</v>
      </c>
      <c r="AW22" s="137">
        <f t="shared" ref="AW22:AW51" si="24">VLOOKUP($D22,CurveTbl,$AK$8)</f>
        <v>0.87</v>
      </c>
      <c r="AX22" s="137">
        <f t="shared" ref="AX22:AX51" si="25">VLOOKUP($D22,CurveTbl,$AH$7)</f>
        <v>1.04</v>
      </c>
      <c r="AY22" s="137">
        <f t="shared" ref="AY22:AY51" si="26">VLOOKUP($D22,CurveTbl,$AH$8)</f>
        <v>1.04</v>
      </c>
      <c r="AZ22" s="137"/>
      <c r="BA22" s="264"/>
      <c r="BB22" s="258">
        <f t="shared" ref="BB22:BB51" si="27">$H22-$BV22</f>
        <v>0</v>
      </c>
      <c r="BC22" s="258">
        <f>I22-BW22</f>
        <v>0</v>
      </c>
      <c r="BD22" s="137">
        <f>N22-BX22</f>
        <v>7.7262160833929672E-3</v>
      </c>
      <c r="BE22" s="137">
        <f>O22-BY22</f>
        <v>7.7262160833929672E-3</v>
      </c>
      <c r="BF22" s="137">
        <f>_xll.xSPRDOPT($BW22,$BV22,$CG22,0,$BY22,$BX22,$BZ22,$AJ22,1,4)*$CB22</f>
        <v>4.0177542231226377</v>
      </c>
      <c r="BG22" s="137">
        <f>_xll.xSPRDOPT($BW22,$BV22,$CG22,0,$BY22,$BX22,$BZ22,$AJ22,1,3)*$CB22</f>
        <v>3.923905434469233</v>
      </c>
      <c r="BH22" s="137">
        <f>IF(OR(BF22&lt;&gt;0,BG22&lt;&gt;0),_xll.xSPRDOPT($BW22,$BV22,$CG22,0,$BY22,$BX22,$BZ22,$AJ22,1,12)*$CB22,0)</f>
        <v>-3.970555275923755</v>
      </c>
      <c r="BI22" s="137">
        <f>_xll.xSPRDOPT($BW22,$BV22,$CG22,2*LN(1+CA22/2),$BY22,$BX22,$BZ22,$AJ22,1,9)</f>
        <v>-0.19925869768404356</v>
      </c>
      <c r="BJ22" s="137">
        <f>_xll.xSPRDOPT($BW22,$BV22,$CG22,0,$BY22,$BX22,$BZ22,$AJ22,1,6)*$CB22</f>
        <v>1.4725453735130163E-2</v>
      </c>
      <c r="BK22" s="137">
        <f>_xll.xSPRDOPT($BW22,$BV22,$CG22,0,$BY22,$BX22,$BZ22,$AJ22,1,5)*$CB22</f>
        <v>2.2127636785832887E-2</v>
      </c>
      <c r="BL22" s="137">
        <f>_xll.xSPRDOPT(BW22,BV22,CG22,0,BY22,BX22,BZ22,AJ22,1,2)*CB22</f>
        <v>-0.63317929001707673</v>
      </c>
      <c r="BM22" s="137">
        <f>_xll.xSPRDOPT(BW22,BV22,CG22,0,BY22,BX22,BZ22,AJ22,1,1)*CB22</f>
        <v>0.64545324323951625</v>
      </c>
      <c r="BN22" s="137">
        <f>IF(AH22&lt;&gt;0,_xll.xSPRDOPT($BW22,$BV22,$CG22,2*LN(1+CA22/2),$BY22,$BX22,$BZ22,$AJ22,1,8)+(AJ22/365.25)*CH22/AH22,0)</f>
        <v>-1.3475092269988622E-3</v>
      </c>
      <c r="BO22" s="137">
        <f>_xll.xSPRDOPT($BW22,$BV22,$CG22,0,$BY22,$BX22,$BZ22,$AJ22,1,0)</f>
        <v>5.6805744478396543E-2</v>
      </c>
      <c r="BP22" s="137"/>
      <c r="BQ22" s="137"/>
      <c r="BR22" s="137"/>
      <c r="BS22" s="137"/>
      <c r="BV22" s="262">
        <v>2.8408003786391149</v>
      </c>
      <c r="BW22" s="136">
        <v>2.8785000000000003</v>
      </c>
      <c r="BX22" s="137">
        <v>0.95243599698783388</v>
      </c>
      <c r="BY22" s="137">
        <v>0.95243599698783388</v>
      </c>
      <c r="BZ22" s="137">
        <v>0.99319970515647116</v>
      </c>
      <c r="CA22" s="137">
        <v>1.8765908157160699E-2</v>
      </c>
      <c r="CB22" s="137">
        <v>0.99836489939579565</v>
      </c>
      <c r="CC22" s="258">
        <v>-2.5000000000000001E-2</v>
      </c>
      <c r="CD22" s="258">
        <v>0</v>
      </c>
      <c r="CE22" s="258">
        <v>-2.5000000000000001E-2</v>
      </c>
      <c r="CF22" s="258">
        <v>5.7500000000000002E-2</v>
      </c>
      <c r="CG22" s="258">
        <v>3.8999999999999998E-3</v>
      </c>
      <c r="CH22" s="258">
        <v>1.2813015118845641</v>
      </c>
      <c r="CI22" s="258">
        <v>2.8460000000000001</v>
      </c>
    </row>
    <row r="23" spans="1:91" x14ac:dyDescent="0.25">
      <c r="A23" s="723"/>
      <c r="B23" s="723"/>
      <c r="D23" s="31">
        <f>D22+AH22</f>
        <v>37302</v>
      </c>
      <c r="F23" s="28">
        <f>VLOOKUP(AG23,$AL$4:$AS$15,2)</f>
        <v>40000</v>
      </c>
      <c r="G23" s="28">
        <f t="shared" si="12"/>
        <v>39873.81974749783</v>
      </c>
      <c r="H23" s="52">
        <f>(AL23+AM23+AN23)/(1-(AR23))</f>
        <v>2.9032355517960182</v>
      </c>
      <c r="I23" s="52">
        <f>(AL23+AO23+AP23)</f>
        <v>2.9405000000000001</v>
      </c>
      <c r="K23" s="52">
        <f t="shared" ref="K23:K51" si="28">MAX(((I23-H23)-AQ23)*AU23*AH23,0)</f>
        <v>0.9312575955622111</v>
      </c>
      <c r="L23" s="135">
        <f t="shared" ref="L23:L51" si="29">MAX(Q23-K23,0)</f>
        <v>0.76177946142189512</v>
      </c>
      <c r="N23" s="131">
        <f t="shared" ref="N23:N51" si="30">SQRT(($AX23^2*($AH23/2)+$AW23^2*$AI23)/(($AH23/2)+$AI23))</f>
        <v>0.90885229823112634</v>
      </c>
      <c r="O23" s="131">
        <f t="shared" ref="O23:O51" si="31">SQRT(($AY23^2*($AH23/2)+$AW23^2*$AI23)/(($AH23/2)+$AI23))</f>
        <v>0.90885229823112634</v>
      </c>
      <c r="P23" s="55">
        <f t="shared" ref="P23:P51" si="32">(VLOOKUP(AI23,CorrelationTwo,2)*(AW23^2)*AI23+VLOOKUP(D23,CorrelationOne,$AK$9)*AX23*AY23*(AH23/2))/((AI23+(AH23/2))*O23*N23)*AF23</f>
        <v>0.99524442567959515</v>
      </c>
      <c r="Q23" s="135">
        <f>_xll.xSPRDOPT(I23,H23,AQ23,0,O23,N23,P23,D23-$G$5,1,0)*AH23*AU23</f>
        <v>1.6930370569841062</v>
      </c>
      <c r="R23" s="135"/>
      <c r="S23" s="181">
        <f>_xll.xSPRDOPT(I23,H23,AQ23,AT23,O23,N23,P23,D23-$G$5,1,2)*AF23*(F23/(1-AR23))*AH23</f>
        <v>-694651.14386352082</v>
      </c>
      <c r="T23" s="181">
        <f>_xll.xSPRDOPT(I23,H23,AQ23,AT23,O23,N23,P23,D23-$G$5,1,1)*AF23*F23*AH23</f>
        <v>705019.79303406214</v>
      </c>
      <c r="U23" s="135"/>
      <c r="V23" s="146">
        <f>VLOOKUP($AG23,$AL$4:$AS$15,8)*AH23*AU23</f>
        <v>1.155543296282487</v>
      </c>
      <c r="W23" s="146"/>
      <c r="X23" s="338">
        <f>((BM23*BC23)+(BL23*BB23))*AH23*F23</f>
        <v>0</v>
      </c>
      <c r="Y23" s="338">
        <f t="shared" si="13"/>
        <v>0</v>
      </c>
      <c r="Z23" s="338">
        <f t="shared" si="14"/>
        <v>-1074.6105389556676</v>
      </c>
      <c r="AA23" s="338">
        <f t="shared" si="15"/>
        <v>102.56653293619878</v>
      </c>
      <c r="AB23" s="338">
        <f>BN23*(AT23-CA23)*F23*AH23</f>
        <v>0</v>
      </c>
      <c r="AC23" s="338">
        <f>BO23*CB23*F23*AH23*CA23*($G$5-$BV$5)/365.25</f>
        <v>10.914379175205172</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0</v>
      </c>
      <c r="AO23" s="258">
        <f t="shared" si="20"/>
        <v>-2.5000000000000001E-2</v>
      </c>
      <c r="AP23" s="258">
        <f t="shared" si="21"/>
        <v>5.7500000000000002E-2</v>
      </c>
      <c r="AQ23" s="136">
        <f>VLOOKUP($AG23,$AL$4:$AS$15,3)+VLOOKUP($AG23,$AL$4:$AS$15,5)+($AH$10*VLOOKUP(D23,GRITable,2))</f>
        <v>3.8999999999999998E-3</v>
      </c>
      <c r="AR23" s="137">
        <f t="shared" si="22"/>
        <v>6.9699999999999996E-3</v>
      </c>
      <c r="AS23" s="136">
        <f t="shared" ref="AS23:AS51" si="33">(AL23+AM23+AN23)</f>
        <v>2.883</v>
      </c>
      <c r="AT23" s="137">
        <f t="shared" ref="AT23:AT51" si="34">VLOOKUP(D23,CurveTbl,$AK$6)</f>
        <v>1.9326187282006298E-2</v>
      </c>
      <c r="AU23" s="137">
        <f t="shared" si="23"/>
        <v>0.99684549368744568</v>
      </c>
      <c r="AV23" s="394">
        <f t="shared" ref="AV23:AV51" si="35">ROUND((F23/(1-AR23))-F23,0)*AF23*AH23*AU23</f>
        <v>7843.1803443328226</v>
      </c>
      <c r="AW23" s="137">
        <f t="shared" si="24"/>
        <v>0.86499999999999999</v>
      </c>
      <c r="AX23" s="137">
        <f t="shared" si="25"/>
        <v>1.04</v>
      </c>
      <c r="AY23" s="137">
        <f t="shared" si="26"/>
        <v>1.04</v>
      </c>
      <c r="AZ23" s="137"/>
      <c r="BA23" s="264"/>
      <c r="BB23" s="258">
        <f t="shared" si="27"/>
        <v>0</v>
      </c>
      <c r="BC23" s="258">
        <f>I23-BW23</f>
        <v>0</v>
      </c>
      <c r="BD23" s="137">
        <f>N23-BX23</f>
        <v>2.0401162808982853E-3</v>
      </c>
      <c r="BE23" s="137">
        <f>O23-BY23</f>
        <v>2.0401162808982853E-3</v>
      </c>
      <c r="BF23" s="137">
        <f>_xll.xSPRDOPT($BW23,$BV23,$CG23,0,$BY23,$BX23,$BZ23,$AJ23,1,4)*$CB23</f>
        <v>3.5663922932975907</v>
      </c>
      <c r="BG23" s="137">
        <f>_xll.xSPRDOPT($BW23,$BV23,$CG23,0,$BY23,$BX23,$BZ23,$AJ23,1,3)*$CB23</f>
        <v>3.4858829480737632</v>
      </c>
      <c r="BH23" s="137">
        <f>IF(OR(BF23&lt;&gt;0,BG23&lt;&gt;0),_xll.xSPRDOPT($BW23,$BV23,$CG23,0,$BY23,$BX23,$BZ23,$AJ23,1,12)*$CB23,0)</f>
        <v>-3.5259080167151597</v>
      </c>
      <c r="BI23" s="137">
        <f>_xll.xSPRDOPT($BW23,$BV23,$CG23,2*LN(1+CA23/2),$BY23,$BX23,$BZ23,$AJ23,1,9)</f>
        <v>-0.11681592242665403</v>
      </c>
      <c r="BJ23" s="137">
        <f>_xll.xSPRDOPT($BW23,$BV23,$CG23,0,$BY23,$BX23,$BZ23,$AJ23,1,6)*$CB23</f>
        <v>1.6147745120780023E-2</v>
      </c>
      <c r="BK23" s="137">
        <f>_xll.xSPRDOPT($BW23,$BV23,$CG23,0,$BY23,$BX23,$BZ23,$AJ23,1,5)*$CB23</f>
        <v>2.8740510714252581E-2</v>
      </c>
      <c r="BL23" s="137">
        <f>_xll.xSPRDOPT(BW23,BV23,CG23,0,BY23,BX23,BZ23,AJ23,1,2)*CB23</f>
        <v>-0.61287140904545123</v>
      </c>
      <c r="BM23" s="137">
        <f>_xll.xSPRDOPT(BW23,BV23,CG23,0,BY23,BX23,BZ23,AJ23,1,1)*CB23</f>
        <v>0.62680160753031389</v>
      </c>
      <c r="BN23" s="137">
        <f>IF(AH23&lt;&gt;0,_xll.xSPRDOPT($BW23,$BV23,$CG23,2*LN(1+CA23/2),$BY23,$BX23,$BZ23,$AJ23,1,8)+(AJ23/365.25)*CH23/AH23,0)</f>
        <v>-3.4717678448493066E-3</v>
      </c>
      <c r="BO23" s="137">
        <f>_xll.xSPRDOPT($BW23,$BV23,$CG23,0,$BY23,$BX23,$BZ23,$AJ23,1,0)</f>
        <v>6.159487220023014E-2</v>
      </c>
      <c r="BP23" s="137"/>
      <c r="BQ23" s="137"/>
      <c r="BR23" s="137"/>
      <c r="BS23" s="137"/>
      <c r="BV23" s="262">
        <v>2.9032355517960182</v>
      </c>
      <c r="BW23" s="136">
        <v>2.9405000000000001</v>
      </c>
      <c r="BX23" s="137">
        <v>0.90681218195022806</v>
      </c>
      <c r="BY23" s="137">
        <v>0.90681218195022806</v>
      </c>
      <c r="BZ23" s="137">
        <v>0.99523383496998619</v>
      </c>
      <c r="CA23" s="137">
        <v>1.9326187282006298E-2</v>
      </c>
      <c r="CB23" s="137">
        <v>0.99668802984454063</v>
      </c>
      <c r="CC23" s="258">
        <v>-2.5000000000000001E-2</v>
      </c>
      <c r="CD23" s="258">
        <v>0</v>
      </c>
      <c r="CE23" s="258">
        <v>-2.5000000000000001E-2</v>
      </c>
      <c r="CF23" s="258">
        <v>5.7500000000000002E-2</v>
      </c>
      <c r="CG23" s="258">
        <v>3.8999999999999998E-3</v>
      </c>
      <c r="CH23" s="258">
        <v>1.1553607641957915</v>
      </c>
      <c r="CI23" s="258">
        <v>2.9079999999999999</v>
      </c>
    </row>
    <row r="24" spans="1:91" x14ac:dyDescent="0.25">
      <c r="A24" s="723"/>
      <c r="B24" s="723"/>
      <c r="D24" s="31">
        <f t="shared" ref="D24:D51" si="36">D23+AH23</f>
        <v>37330</v>
      </c>
      <c r="F24" s="28">
        <f t="shared" ref="F24:F51" si="37">VLOOKUP(AG24,$AL$4:$AS$15,2)</f>
        <v>40000</v>
      </c>
      <c r="G24" s="28">
        <f t="shared" si="12"/>
        <v>39815.575592298104</v>
      </c>
      <c r="H24" s="52">
        <f t="shared" ref="H24:H51" si="38">(AL24+AM24+AN24)/(1-(AR24))</f>
        <v>2.8971934382647051</v>
      </c>
      <c r="I24" s="52">
        <f t="shared" ref="I24:I51" si="39">(AL24+AO24+AP24)</f>
        <v>2.9345000000000003</v>
      </c>
      <c r="K24" s="52">
        <f t="shared" si="28"/>
        <v>1.030828650139076</v>
      </c>
      <c r="L24" s="135">
        <f t="shared" si="29"/>
        <v>0.60548047718217135</v>
      </c>
      <c r="N24" s="131">
        <f t="shared" si="30"/>
        <v>0.79</v>
      </c>
      <c r="O24" s="131">
        <f t="shared" si="31"/>
        <v>0.79</v>
      </c>
      <c r="P24" s="55">
        <f t="shared" si="32"/>
        <v>0.99720558659217906</v>
      </c>
      <c r="Q24" s="135">
        <f>_xll.xSPRDOPT(I24,H24,AQ24,0,O24,N24,P24,D24-$G$5,1,0)*AH24*AU24</f>
        <v>1.6363091273212473</v>
      </c>
      <c r="R24" s="135"/>
      <c r="S24" s="181">
        <f>_xll.xSPRDOPT(I24,H24,AQ24,AT24,O24,N24,P24,D24-$G$5,1,2)*AF24*(F24/(1-AR24))*AH24</f>
        <v>-805747.89199556026</v>
      </c>
      <c r="T24" s="181">
        <f>_xll.xSPRDOPT(I24,H24,AQ24,AT24,O24,N24,P24,D24-$G$5,1,1)*AF24*F24*AH24</f>
        <v>813331.25024573493</v>
      </c>
      <c r="U24" s="135"/>
      <c r="V24" s="146">
        <f t="shared" ref="V24:V51" si="40">VLOOKUP($AG24,$AL$4:$AS$15,8)*AH24*AU24</f>
        <v>1.2774827428788846</v>
      </c>
      <c r="W24" s="146"/>
      <c r="X24" s="338">
        <f t="shared" ref="X24:X51" si="41">((BM24*BC24)+(BL24*BB24))*AH24*F24</f>
        <v>0</v>
      </c>
      <c r="Y24" s="338">
        <f t="shared" si="13"/>
        <v>0</v>
      </c>
      <c r="Z24" s="338">
        <f t="shared" si="14"/>
        <v>-635.20925682795655</v>
      </c>
      <c r="AA24" s="338">
        <f t="shared" si="15"/>
        <v>0</v>
      </c>
      <c r="AB24" s="338">
        <f t="shared" ref="AB24:AB51" si="42">BN24*(AT24-CA24)*F24*AH24</f>
        <v>0</v>
      </c>
      <c r="AC24" s="338">
        <f t="shared" ref="AC24:AC51" si="43">BO24*CB24*F24*AH24*CA24*($G$5-$BV$5)/365.25</f>
        <v>10.45206950266876</v>
      </c>
      <c r="AF24" s="138">
        <f t="shared" ref="AF24:AF51" si="44">IF(AND(D24&gt;=$G$7,D24&lt;=$G$8),1,0)</f>
        <v>1</v>
      </c>
      <c r="AG24" s="138">
        <f t="shared" ref="AG24:AG51" si="45">MONTH(D24)</f>
        <v>3</v>
      </c>
      <c r="AH24" s="138">
        <f t="shared" si="16"/>
        <v>31</v>
      </c>
      <c r="AI24" s="138">
        <f t="shared" ref="AI24:AI51" si="46">AI23+AH23</f>
        <v>74</v>
      </c>
      <c r="AJ24" s="138">
        <f t="shared" ref="AJ24:AJ51" si="47">D24-$BV$5</f>
        <v>91</v>
      </c>
      <c r="AL24" s="136">
        <f t="shared" si="17"/>
        <v>2.9020000000000001</v>
      </c>
      <c r="AM24" s="258">
        <f t="shared" si="18"/>
        <v>-2.5000000000000001E-2</v>
      </c>
      <c r="AN24" s="258">
        <f t="shared" si="19"/>
        <v>0</v>
      </c>
      <c r="AO24" s="258">
        <f t="shared" si="20"/>
        <v>-2.5000000000000001E-2</v>
      </c>
      <c r="AP24" s="258">
        <f t="shared" si="21"/>
        <v>5.7500000000000002E-2</v>
      </c>
      <c r="AQ24" s="136">
        <f t="shared" ref="AQ24:AQ51" si="48">VLOOKUP($AG24,$AL$4:$AS$15,3)+VLOOKUP($AG24,$AL$4:$AS$15,5)+($AH$10*VLOOKUP(D24,GRITable,2))</f>
        <v>3.8999999999999998E-3</v>
      </c>
      <c r="AR24" s="137">
        <f t="shared" si="22"/>
        <v>6.9699999999999996E-3</v>
      </c>
      <c r="AS24" s="136">
        <f t="shared" si="33"/>
        <v>2.8770000000000002</v>
      </c>
      <c r="AT24" s="137">
        <f t="shared" si="34"/>
        <v>1.9273175363903501E-2</v>
      </c>
      <c r="AU24" s="137">
        <f t="shared" si="23"/>
        <v>0.99538938980745262</v>
      </c>
      <c r="AV24" s="394">
        <f t="shared" si="35"/>
        <v>8670.8369746127191</v>
      </c>
      <c r="AW24" s="137">
        <f t="shared" si="24"/>
        <v>0.79</v>
      </c>
      <c r="AX24" s="137">
        <f t="shared" si="25"/>
        <v>0.79</v>
      </c>
      <c r="AY24" s="137">
        <f t="shared" si="26"/>
        <v>0.79</v>
      </c>
      <c r="AZ24" s="137"/>
      <c r="BA24" s="264"/>
      <c r="BB24" s="258">
        <f t="shared" si="27"/>
        <v>0</v>
      </c>
      <c r="BC24" s="258">
        <f t="shared" ref="BC24:BC51" si="49">I24-BW24</f>
        <v>0</v>
      </c>
      <c r="BD24" s="137">
        <f t="shared" ref="BD24:BD51" si="50">N24-BX24</f>
        <v>0</v>
      </c>
      <c r="BE24" s="137">
        <f t="shared" ref="BE24:BE51" si="51">O24-BY24</f>
        <v>0</v>
      </c>
      <c r="BF24" s="137">
        <f>_xll.xSPRDOPT($BW24,$BV24,$CG24,0,$BY24,$BX24,$BZ24,$AJ24,1,4)*$CB24</f>
        <v>4.3377037556531004</v>
      </c>
      <c r="BG24" s="137">
        <f>_xll.xSPRDOPT($BW24,$BV24,$CG24,0,$BY24,$BX24,$BZ24,$AJ24,1,3)*$CB24</f>
        <v>4.2394732677981626</v>
      </c>
      <c r="BH24" s="137">
        <f>IF(OR(BF24&lt;&gt;0,BG24&lt;&gt;0),_xll.xSPRDOPT($BW24,$BV24,$CG24,0,$BY24,$BX24,$BZ24,$AJ24,1,12)*$CB24,0)</f>
        <v>-4.2883114215537415</v>
      </c>
      <c r="BI24" s="137">
        <f>_xll.xSPRDOPT($BW24,$BV24,$CG24,2*LN(1+CA24/2),$BY24,$BX24,$BZ24,$AJ24,1,9)</f>
        <v>-6.236832824097073E-2</v>
      </c>
      <c r="BJ24" s="137">
        <f>_xll.xSPRDOPT($BW24,$BV24,$CG24,0,$BY24,$BX24,$BZ24,$AJ24,1,6)*$CB24</f>
        <v>1.036356431056455E-2</v>
      </c>
      <c r="BK24" s="137">
        <f>_xll.xSPRDOPT($BW24,$BV24,$CG24,0,$BY24,$BX24,$BZ24,$AJ24,1,5)*$CB24</f>
        <v>2.9619163504229443E-2</v>
      </c>
      <c r="BL24" s="137">
        <f>_xll.xSPRDOPT(BW24,BV24,CG24,0,BY24,BX24,BZ24,AJ24,1,2)*CB24</f>
        <v>-0.64291662395999505</v>
      </c>
      <c r="BM24" s="137">
        <f>_xll.xSPRDOPT(BW24,BV24,CG24,0,BY24,BX24,BZ24,AJ24,1,1)*CB24</f>
        <v>0.65374628857966643</v>
      </c>
      <c r="BN24" s="137">
        <f>IF(AH24&lt;&gt;0,_xll.xSPRDOPT($BW24,$BV24,$CG24,2*LN(1+CA24/2),$BY24,$BX24,$BZ24,$AJ24,1,8)+(AJ24/365.25)*CH24/AH24,0)</f>
        <v>-3.0008231692932007E-3</v>
      </c>
      <c r="BO24" s="137">
        <f>_xll.xSPRDOPT($BW24,$BV24,$CG24,0,$BY24,$BX24,$BZ24,$AJ24,1,0)</f>
        <v>5.3502209026411458E-2</v>
      </c>
      <c r="BP24" s="137"/>
      <c r="BQ24" s="137"/>
      <c r="BR24" s="137"/>
      <c r="BS24" s="137"/>
      <c r="BV24" s="262">
        <v>2.8971934382647051</v>
      </c>
      <c r="BW24" s="136">
        <v>2.9345000000000003</v>
      </c>
      <c r="BX24" s="137">
        <v>0.79</v>
      </c>
      <c r="BY24" s="137">
        <v>0.79</v>
      </c>
      <c r="BZ24" s="137">
        <v>0.99721513513513527</v>
      </c>
      <c r="CA24" s="137">
        <v>1.9273175363903501E-2</v>
      </c>
      <c r="CB24" s="137">
        <v>0.99523258517239033</v>
      </c>
      <c r="CC24" s="258">
        <v>-2.5000000000000001E-2</v>
      </c>
      <c r="CD24" s="258">
        <v>0</v>
      </c>
      <c r="CE24" s="258">
        <v>-2.5000000000000001E-2</v>
      </c>
      <c r="CF24" s="258">
        <v>5.7500000000000002E-2</v>
      </c>
      <c r="CG24" s="258">
        <v>3.8999999999999998E-3</v>
      </c>
      <c r="CH24" s="258">
        <v>1.2772814998102455</v>
      </c>
      <c r="CI24" s="258">
        <v>2.9020000000000001</v>
      </c>
    </row>
    <row r="25" spans="1:91" x14ac:dyDescent="0.25">
      <c r="A25" s="723"/>
      <c r="B25" s="723"/>
      <c r="D25" s="31">
        <f t="shared" si="36"/>
        <v>37361</v>
      </c>
      <c r="F25" s="28">
        <f t="shared" si="37"/>
        <v>40000</v>
      </c>
      <c r="G25" s="28">
        <f t="shared" si="12"/>
        <v>39748.893512925286</v>
      </c>
      <c r="H25" s="52">
        <f t="shared" si="38"/>
        <v>2.8453319637875993</v>
      </c>
      <c r="I25" s="52">
        <f t="shared" si="39"/>
        <v>2.8805000000000001</v>
      </c>
      <c r="K25" s="52">
        <f t="shared" si="28"/>
        <v>0.93215238132375589</v>
      </c>
      <c r="L25" s="135">
        <f t="shared" si="29"/>
        <v>7.4921704397887923E-2</v>
      </c>
      <c r="N25" s="131">
        <f t="shared" si="30"/>
        <v>0.60058305004387191</v>
      </c>
      <c r="O25" s="131">
        <f t="shared" si="31"/>
        <v>0.60058305004387191</v>
      </c>
      <c r="P25" s="55">
        <f t="shared" si="32"/>
        <v>0.99959114915442193</v>
      </c>
      <c r="Q25" s="135">
        <f>_xll.xSPRDOPT(I25,H25,AQ25,0,O25,N25,P25,D25-$G$5,1,0)*AH25*AU25</f>
        <v>1.0070740857216438</v>
      </c>
      <c r="R25" s="135"/>
      <c r="S25" s="181">
        <f>_xll.xSPRDOPT(I25,H25,AQ25,AT25,O25,N25,P25,D25-$G$5,1,2)*AF25*(F25/(1-AR25))*AH25</f>
        <v>-1082681.968627176</v>
      </c>
      <c r="T25" s="181">
        <f>_xll.xSPRDOPT(I25,H25,AQ25,AT25,O25,N25,P25,D25-$G$5,1,1)*AF25*F25*AH25</f>
        <v>1077448.5634208554</v>
      </c>
      <c r="U25" s="135"/>
      <c r="V25" s="146">
        <f t="shared" si="40"/>
        <v>1.2342031435763301</v>
      </c>
      <c r="W25" s="146"/>
      <c r="X25" s="338">
        <f t="shared" si="41"/>
        <v>0</v>
      </c>
      <c r="Y25" s="338">
        <f t="shared" si="13"/>
        <v>0</v>
      </c>
      <c r="Z25" s="338">
        <f t="shared" si="14"/>
        <v>-82.236743555974215</v>
      </c>
      <c r="AA25" s="338">
        <f t="shared" si="15"/>
        <v>-2.7730727998171165</v>
      </c>
      <c r="AB25" s="338">
        <f t="shared" si="42"/>
        <v>0</v>
      </c>
      <c r="AC25" s="338">
        <f t="shared" si="43"/>
        <v>6.4266140264531488</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2.5000000000000001E-3</v>
      </c>
      <c r="AO25" s="258">
        <f t="shared" si="20"/>
        <v>-2.5000000000000001E-2</v>
      </c>
      <c r="AP25" s="258">
        <f t="shared" si="21"/>
        <v>5.7500000000000002E-2</v>
      </c>
      <c r="AQ25" s="136">
        <f t="shared" si="48"/>
        <v>3.8999999999999998E-3</v>
      </c>
      <c r="AR25" s="137">
        <f t="shared" si="22"/>
        <v>6.9699999999999996E-3</v>
      </c>
      <c r="AS25" s="136">
        <f t="shared" si="33"/>
        <v>2.8254999999999999</v>
      </c>
      <c r="AT25" s="137">
        <f t="shared" si="34"/>
        <v>1.9422640119623601E-2</v>
      </c>
      <c r="AU25" s="137">
        <f t="shared" si="23"/>
        <v>0.99372233782313213</v>
      </c>
      <c r="AV25" s="394">
        <f t="shared" si="35"/>
        <v>8377.0793078490042</v>
      </c>
      <c r="AW25" s="137">
        <f t="shared" si="24"/>
        <v>0.61</v>
      </c>
      <c r="AX25" s="137">
        <f t="shared" si="25"/>
        <v>0.53</v>
      </c>
      <c r="AY25" s="137">
        <f t="shared" si="26"/>
        <v>0.53</v>
      </c>
      <c r="AZ25" s="137"/>
      <c r="BA25" s="264"/>
      <c r="BB25" s="258">
        <f t="shared" si="27"/>
        <v>0</v>
      </c>
      <c r="BC25" s="258">
        <f t="shared" si="49"/>
        <v>0</v>
      </c>
      <c r="BD25" s="137">
        <f t="shared" si="50"/>
        <v>-2.3143778118694946E-4</v>
      </c>
      <c r="BE25" s="137">
        <f t="shared" si="51"/>
        <v>-2.3143778118694946E-4</v>
      </c>
      <c r="BF25" s="137">
        <f>_xll.xSPRDOPT($BW25,$BV25,$CG25,0,$BY25,$BX25,$BZ25,$AJ25,1,4)*$CB25</f>
        <v>2.8045934474754013</v>
      </c>
      <c r="BG25" s="137">
        <f>_xll.xSPRDOPT($BW25,$BV25,$CG25,0,$BY25,$BX25,$BZ25,$AJ25,1,3)*$CB25</f>
        <v>2.7440533577804138</v>
      </c>
      <c r="BH25" s="137">
        <f>IF(OR(BF25&lt;&gt;0,BG25&lt;&gt;0),_xll.xSPRDOPT($BW25,$BV25,$CG25,0,$BY25,$BX25,$BZ25,$AJ25,1,12)*$CB25,0)</f>
        <v>-2.7741578934882871</v>
      </c>
      <c r="BI25" s="137">
        <f>_xll.xSPRDOPT($BW25,$BV25,$CG25,2*LN(1+CA25/2),$BY25,$BX25,$BZ25,$AJ25,1,9)</f>
        <v>-8.3436029399498839E-3</v>
      </c>
      <c r="BJ25" s="137">
        <f>_xll.xSPRDOPT($BW25,$BV25,$CG25,0,$BY25,$BX25,$BZ25,$AJ25,1,6)*$CB25</f>
        <v>-1.2363358201181849E-2</v>
      </c>
      <c r="BK25" s="137">
        <f>_xll.xSPRDOPT($BW25,$BV25,$CG25,0,$BY25,$BX25,$BZ25,$AJ25,1,5)*$CB25</f>
        <v>2.2348305291479593E-2</v>
      </c>
      <c r="BL25" s="137">
        <f>_xll.xSPRDOPT(BW25,BV25,CG25,0,BY25,BX25,BZ25,AJ25,1,2)*CB25</f>
        <v>-0.89715344198645774</v>
      </c>
      <c r="BM25" s="137">
        <f>_xll.xSPRDOPT(BW25,BV25,CG25,0,BY25,BX25,BZ25,AJ25,1,1)*CB25</f>
        <v>0.89906868005408291</v>
      </c>
      <c r="BN25" s="137">
        <f>IF(AH25&lt;&gt;0,_xll.xSPRDOPT($BW25,$BV25,$CG25,2*LN(1+CA25/2),$BY25,$BX25,$BZ25,$AJ25,1,8)+(AJ25/365.25)*CH25/AH25,0)</f>
        <v>2.7383555368821096E-3</v>
      </c>
      <c r="BO25" s="137">
        <f>_xll.xSPRDOPT($BW25,$BV25,$CG25,0,$BY25,$BX25,$BZ25,$AJ25,1,0)</f>
        <v>3.3788240286095492E-2</v>
      </c>
      <c r="BP25" s="137"/>
      <c r="BQ25" s="137"/>
      <c r="BR25" s="137"/>
      <c r="BS25" s="137"/>
      <c r="BV25" s="262">
        <v>2.8453319637875993</v>
      </c>
      <c r="BW25" s="136">
        <v>2.8805000000000001</v>
      </c>
      <c r="BX25" s="137">
        <v>0.60081448782505886</v>
      </c>
      <c r="BY25" s="137">
        <v>0.60081448782505886</v>
      </c>
      <c r="BZ25" s="137">
        <v>0.99960142836872723</v>
      </c>
      <c r="CA25" s="137">
        <v>1.9422640119623601E-2</v>
      </c>
      <c r="CB25" s="137">
        <v>0.99356458774998258</v>
      </c>
      <c r="CC25" s="258">
        <v>-2.5000000000000001E-2</v>
      </c>
      <c r="CD25" s="258">
        <v>2.5000000000000001E-3</v>
      </c>
      <c r="CE25" s="258">
        <v>-2.5000000000000001E-2</v>
      </c>
      <c r="CF25" s="258">
        <v>5.7500000000000002E-2</v>
      </c>
      <c r="CG25" s="258">
        <v>3.8999999999999998E-3</v>
      </c>
      <c r="CH25" s="258">
        <v>1.2340072179854784</v>
      </c>
      <c r="CI25" s="258">
        <v>2.8479999999999999</v>
      </c>
    </row>
    <row r="26" spans="1:91" x14ac:dyDescent="0.25">
      <c r="A26" s="723"/>
      <c r="B26" s="723"/>
      <c r="D26" s="31">
        <f t="shared" si="36"/>
        <v>37391</v>
      </c>
      <c r="F26" s="28">
        <f t="shared" si="37"/>
        <v>40000</v>
      </c>
      <c r="G26" s="28">
        <f t="shared" si="12"/>
        <v>39681.197070050497</v>
      </c>
      <c r="H26" s="52">
        <f t="shared" si="38"/>
        <v>2.8936688720381056</v>
      </c>
      <c r="I26" s="52">
        <f t="shared" si="39"/>
        <v>2.9285000000000001</v>
      </c>
      <c r="K26" s="52">
        <f t="shared" si="28"/>
        <v>0.95122274279753494</v>
      </c>
      <c r="L26" s="135">
        <f t="shared" si="29"/>
        <v>0.10118769795501403</v>
      </c>
      <c r="N26" s="131">
        <f t="shared" si="30"/>
        <v>0.57775797476853397</v>
      </c>
      <c r="O26" s="131">
        <f t="shared" si="31"/>
        <v>0.57775797476853397</v>
      </c>
      <c r="P26" s="55">
        <f t="shared" si="32"/>
        <v>0.9995640782099342</v>
      </c>
      <c r="Q26" s="135">
        <f>_xll.xSPRDOPT(I26,H26,AQ26,0,O26,N26,P26,D26-$G$5,1,0)*AH26*AU26</f>
        <v>1.052410440752549</v>
      </c>
      <c r="R26" s="135"/>
      <c r="S26" s="181">
        <f>_xll.xSPRDOPT(I26,H26,AQ26,AT26,O26,N26,P26,D26-$G$5,1,2)*AF26*(F26/(1-AR26))*AH26</f>
        <v>-1096895.2593572249</v>
      </c>
      <c r="T26" s="181">
        <f>_xll.xSPRDOPT(I26,H26,AQ26,AT26,O26,N26,P26,D26-$G$5,1,1)*AF26*F26*AH26</f>
        <v>1092118.4385640533</v>
      </c>
      <c r="U26" s="135"/>
      <c r="V26" s="146">
        <f t="shared" si="40"/>
        <v>1.2731712079925701</v>
      </c>
      <c r="W26" s="146"/>
      <c r="X26" s="338">
        <f t="shared" si="41"/>
        <v>0</v>
      </c>
      <c r="Y26" s="338">
        <f t="shared" si="13"/>
        <v>0</v>
      </c>
      <c r="Z26" s="338">
        <f t="shared" si="14"/>
        <v>-89.031566535850587</v>
      </c>
      <c r="AA26" s="338">
        <f t="shared" si="15"/>
        <v>8.4619375379258302E-2</v>
      </c>
      <c r="AB26" s="338">
        <f t="shared" si="42"/>
        <v>0</v>
      </c>
      <c r="AC26" s="338">
        <f t="shared" si="43"/>
        <v>6.8151122266175772</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2.5000000000000001E-3</v>
      </c>
      <c r="AO26" s="258">
        <f t="shared" si="20"/>
        <v>-2.5000000000000001E-2</v>
      </c>
      <c r="AP26" s="258">
        <f t="shared" si="21"/>
        <v>5.7500000000000002E-2</v>
      </c>
      <c r="AQ26" s="136">
        <f t="shared" si="48"/>
        <v>3.8999999999999998E-3</v>
      </c>
      <c r="AR26" s="137">
        <f t="shared" si="22"/>
        <v>6.9699999999999996E-3</v>
      </c>
      <c r="AS26" s="136">
        <f t="shared" si="33"/>
        <v>2.8734999999999999</v>
      </c>
      <c r="AT26" s="137">
        <f t="shared" si="34"/>
        <v>1.9712159578257001E-2</v>
      </c>
      <c r="AU26" s="137">
        <f t="shared" si="23"/>
        <v>0.99202992675126245</v>
      </c>
      <c r="AV26" s="394">
        <f t="shared" si="35"/>
        <v>8641.5726919302469</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2.8741082291086695</v>
      </c>
      <c r="BG26" s="137">
        <f>_xll.xSPRDOPT($BW26,$BV26,$CG26,0,$BY26,$BX26,$BZ26,$AJ26,1,3)*$CB26</f>
        <v>2.813732375044057</v>
      </c>
      <c r="BH26" s="137">
        <f>IF(OR(BF26&lt;&gt;0,BG26&lt;&gt;0),_xll.xSPRDOPT($BW26,$BV26,$CG26,0,$BY26,$BX26,$BZ26,$AJ26,1,12)*$CB26,0)</f>
        <v>-2.8437614420138098</v>
      </c>
      <c r="BI26" s="137">
        <f>_xll.xSPRDOPT($BW26,$BV26,$CG26,2*LN(1+CA26/2),$BY26,$BX26,$BZ26,$AJ26,1,9)</f>
        <v>-8.7416074401127485E-3</v>
      </c>
      <c r="BJ26" s="137">
        <f>_xll.xSPRDOPT($BW26,$BV26,$CG26,0,$BY26,$BX26,$BZ26,$AJ26,1,6)*$CB26</f>
        <v>-1.4772343907560425E-2</v>
      </c>
      <c r="BK26" s="137">
        <f>_xll.xSPRDOPT($BW26,$BV26,$CG26,0,$BY26,$BX26,$BZ26,$AJ26,1,5)*$CB26</f>
        <v>2.8310299913024663E-2</v>
      </c>
      <c r="BL26" s="137">
        <f>_xll.xSPRDOPT(BW26,BV26,CG26,0,BY26,BX26,BZ26,AJ26,1,2)*CB26</f>
        <v>-0.87964298365594717</v>
      </c>
      <c r="BM26" s="137">
        <f>_xll.xSPRDOPT(BW26,BV26,CG26,0,BY26,BX26,BZ26,AJ26,1,1)*CB26</f>
        <v>0.88194294187201316</v>
      </c>
      <c r="BN26" s="137">
        <f>IF(AH26&lt;&gt;0,_xll.xSPRDOPT($BW26,$BV26,$CG26,2*LN(1+CA26/2),$BY26,$BX26,$BZ26,$AJ26,1,8)+(AJ26/365.25)*CH26/AH26,0)</f>
        <v>3.1738570838922599E-3</v>
      </c>
      <c r="BO26" s="137">
        <f>_xll.xSPRDOPT($BW26,$BV26,$CG26,0,$BY26,$BX26,$BZ26,$AJ26,1,0)</f>
        <v>3.4224041001509074E-2</v>
      </c>
      <c r="BP26" s="137"/>
      <c r="BQ26" s="137"/>
      <c r="BR26" s="137"/>
      <c r="BS26" s="137"/>
      <c r="BV26" s="262">
        <v>2.8936688720381056</v>
      </c>
      <c r="BW26" s="136">
        <v>2.9285000000000001</v>
      </c>
      <c r="BX26" s="137">
        <v>0.5777529340200096</v>
      </c>
      <c r="BY26" s="137">
        <v>0.5777529340200096</v>
      </c>
      <c r="BZ26" s="137">
        <v>0.99957259039605584</v>
      </c>
      <c r="CA26" s="137">
        <v>1.9712159578257001E-2</v>
      </c>
      <c r="CB26" s="137">
        <v>0.99187010954216859</v>
      </c>
      <c r="CC26" s="258">
        <v>-2.5000000000000001E-2</v>
      </c>
      <c r="CD26" s="258">
        <v>2.5000000000000001E-3</v>
      </c>
      <c r="CE26" s="258">
        <v>-2.5000000000000001E-2</v>
      </c>
      <c r="CF26" s="258">
        <v>5.7500000000000002E-2</v>
      </c>
      <c r="CG26" s="258">
        <v>3.8999999999999998E-3</v>
      </c>
      <c r="CH26" s="258">
        <v>1.2729660985864191</v>
      </c>
      <c r="CI26" s="258">
        <v>2.8959999999999999</v>
      </c>
    </row>
    <row r="27" spans="1:91" x14ac:dyDescent="0.25">
      <c r="A27" s="727"/>
      <c r="B27" s="727"/>
      <c r="C27" s="727"/>
      <c r="D27" s="31">
        <f t="shared" si="36"/>
        <v>37422</v>
      </c>
      <c r="F27" s="28">
        <f t="shared" si="37"/>
        <v>40000</v>
      </c>
      <c r="G27" s="28">
        <f t="shared" si="12"/>
        <v>39609.406120925261</v>
      </c>
      <c r="H27" s="52">
        <f t="shared" si="38"/>
        <v>2.9440198181323831</v>
      </c>
      <c r="I27" s="52">
        <f t="shared" si="39"/>
        <v>2.9785000000000004</v>
      </c>
      <c r="K27" s="52">
        <f t="shared" si="28"/>
        <v>0.908447132134655</v>
      </c>
      <c r="L27" s="135">
        <f t="shared" si="29"/>
        <v>9.9572756369221249E-2</v>
      </c>
      <c r="N27" s="131">
        <f t="shared" si="30"/>
        <v>0.5502663217587267</v>
      </c>
      <c r="O27" s="131">
        <f t="shared" si="31"/>
        <v>0.5502663217587267</v>
      </c>
      <c r="P27" s="55">
        <f t="shared" si="32"/>
        <v>0.9996133018492882</v>
      </c>
      <c r="Q27" s="135">
        <f>_xll.xSPRDOPT(I27,H27,AQ27,0,O27,N27,P27,D27-$G$5,1,0)*AH27*AU27</f>
        <v>1.0080198885038762</v>
      </c>
      <c r="R27" s="135"/>
      <c r="S27" s="181">
        <f>_xll.xSPRDOPT(I27,H27,AQ27,AT27,O27,N27,P27,D27-$G$5,1,2)*AF27*(F27/(1-AR27))*AH27</f>
        <v>-1067942.1845562111</v>
      </c>
      <c r="T27" s="181">
        <f>_xll.xSPRDOPT(I27,H27,AQ27,AT27,O27,N27,P27,D27-$G$5,1,1)*AF27*F27*AH27</f>
        <v>1063146.3824058683</v>
      </c>
      <c r="U27" s="135"/>
      <c r="V27" s="146">
        <f t="shared" si="40"/>
        <v>1.2298720600547295</v>
      </c>
      <c r="W27" s="146"/>
      <c r="X27" s="338">
        <f t="shared" si="41"/>
        <v>0</v>
      </c>
      <c r="Y27" s="338">
        <f t="shared" si="13"/>
        <v>0</v>
      </c>
      <c r="Z27" s="338">
        <f t="shared" si="14"/>
        <v>-71.572838161337302</v>
      </c>
      <c r="AA27" s="338">
        <f t="shared" si="15"/>
        <v>0.77882982394624567</v>
      </c>
      <c r="AB27" s="338">
        <f t="shared" si="42"/>
        <v>0</v>
      </c>
      <c r="AC27" s="338">
        <f t="shared" si="43"/>
        <v>6.6260831696058951</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2.5000000000000001E-3</v>
      </c>
      <c r="AO27" s="258">
        <f t="shared" si="20"/>
        <v>-2.5000000000000001E-2</v>
      </c>
      <c r="AP27" s="258">
        <f t="shared" si="21"/>
        <v>5.7500000000000002E-2</v>
      </c>
      <c r="AQ27" s="136">
        <f t="shared" si="48"/>
        <v>3.8999999999999998E-3</v>
      </c>
      <c r="AR27" s="137">
        <f t="shared" si="22"/>
        <v>6.9699999999999996E-3</v>
      </c>
      <c r="AS27" s="136">
        <f t="shared" si="33"/>
        <v>2.9235000000000002</v>
      </c>
      <c r="AT27" s="137">
        <f t="shared" si="34"/>
        <v>2.0011329715354399E-2</v>
      </c>
      <c r="AU27" s="137">
        <f t="shared" si="23"/>
        <v>0.99023515302313159</v>
      </c>
      <c r="AV27" s="394">
        <f t="shared" si="35"/>
        <v>8347.682339985</v>
      </c>
      <c r="AW27" s="137">
        <f t="shared" si="24"/>
        <v>0.54749999999999999</v>
      </c>
      <c r="AX27" s="137">
        <f t="shared" si="25"/>
        <v>0.57999999999999996</v>
      </c>
      <c r="AY27" s="137">
        <f t="shared" si="26"/>
        <v>0.57999999999999996</v>
      </c>
      <c r="AZ27" s="137"/>
      <c r="BA27" s="264"/>
      <c r="BB27" s="258">
        <f t="shared" si="27"/>
        <v>0</v>
      </c>
      <c r="BC27" s="258">
        <f t="shared" si="49"/>
        <v>0</v>
      </c>
      <c r="BD27" s="137">
        <f t="shared" si="50"/>
        <v>4.4991539458583141E-5</v>
      </c>
      <c r="BE27" s="137">
        <f t="shared" si="51"/>
        <v>4.4991539458583141E-5</v>
      </c>
      <c r="BF27" s="137">
        <f>_xll.xSPRDOPT($BW27,$BV27,$CG27,0,$BY27,$BX27,$BZ27,$AJ27,1,4)*$CB27</f>
        <v>2.4684434041342311</v>
      </c>
      <c r="BG27" s="137">
        <f>_xll.xSPRDOPT($BW27,$BV27,$CG27,0,$BY27,$BX27,$BZ27,$AJ27,1,3)*$CB27</f>
        <v>2.4180296751896329</v>
      </c>
      <c r="BH27" s="137">
        <f>IF(OR(BF27&lt;&gt;0,BG27&lt;&gt;0),_xll.xSPRDOPT($BW27,$BV27,$CG27,0,$BY27,$BX27,$BZ27,$AJ27,1,12)*$CB27,0)</f>
        <v>-2.4431089370965586</v>
      </c>
      <c r="BI27" s="137">
        <f>_xll.xSPRDOPT($BW27,$BV27,$CG27,2*LN(1+CA27/2),$BY27,$BX27,$BZ27,$AJ27,1,9)</f>
        <v>-7.2616608717856797E-3</v>
      </c>
      <c r="BJ27" s="137">
        <f>_xll.xSPRDOPT($BW27,$BV27,$CG27,0,$BY27,$BX27,$BZ27,$AJ27,1,6)*$CB27</f>
        <v>-1.8164868782668896E-2</v>
      </c>
      <c r="BK27" s="137">
        <f>_xll.xSPRDOPT($BW27,$BV27,$CG27,0,$BY27,$BX27,$BZ27,$AJ27,1,5)*$CB27</f>
        <v>3.2590355465248327E-2</v>
      </c>
      <c r="BL27" s="137">
        <f>_xll.xSPRDOPT(BW27,BV27,CG27,0,BY27,BX27,BZ27,AJ27,1,2)*CB27</f>
        <v>-0.88474056630053233</v>
      </c>
      <c r="BM27" s="137">
        <f>_xll.xSPRDOPT(BW27,BV27,CG27,0,BY27,BX27,BZ27,AJ27,1,1)*CB27</f>
        <v>0.88693534366832905</v>
      </c>
      <c r="BN27" s="137">
        <f>IF(AH27&lt;&gt;0,_xll.xSPRDOPT($BW27,$BV27,$CG27,2*LN(1+CA27/2),$BY27,$BX27,$BZ27,$AJ27,1,8)+(AJ27/365.25)*CH27/AH27,0)</f>
        <v>3.9475042781766008E-3</v>
      </c>
      <c r="BO27" s="137">
        <f>_xll.xSPRDOPT($BW27,$BV27,$CG27,0,$BY27,$BX27,$BZ27,$AJ27,1,0)</f>
        <v>3.3931366261901595E-2</v>
      </c>
      <c r="BP27" s="137"/>
      <c r="BQ27" s="137"/>
      <c r="BR27" s="137"/>
      <c r="BS27" s="137"/>
      <c r="BV27" s="262">
        <v>2.9440198181323831</v>
      </c>
      <c r="BW27" s="136">
        <v>2.9785000000000004</v>
      </c>
      <c r="BX27" s="137">
        <v>0.55022133021926811</v>
      </c>
      <c r="BY27" s="137">
        <v>0.55022133021926811</v>
      </c>
      <c r="BZ27" s="137">
        <v>0.99961954449846047</v>
      </c>
      <c r="CA27" s="137">
        <v>2.0011329715354399E-2</v>
      </c>
      <c r="CB27" s="137">
        <v>0.99007321601711695</v>
      </c>
      <c r="CC27" s="258">
        <v>-2.5000000000000001E-2</v>
      </c>
      <c r="CD27" s="258">
        <v>2.5000000000000001E-3</v>
      </c>
      <c r="CE27" s="258">
        <v>-2.5000000000000001E-2</v>
      </c>
      <c r="CF27" s="258">
        <v>5.7500000000000002E-2</v>
      </c>
      <c r="CG27" s="258">
        <v>3.8999999999999998E-3</v>
      </c>
      <c r="CH27" s="258">
        <v>1.2296709342932592</v>
      </c>
      <c r="CI27" s="258">
        <v>2.9460000000000002</v>
      </c>
    </row>
    <row r="28" spans="1:91" x14ac:dyDescent="0.25">
      <c r="A28" s="723"/>
      <c r="B28" s="723"/>
      <c r="D28" s="31">
        <f t="shared" si="36"/>
        <v>37452</v>
      </c>
      <c r="F28" s="28">
        <f t="shared" si="37"/>
        <v>40000</v>
      </c>
      <c r="G28" s="28">
        <f t="shared" si="12"/>
        <v>39535.287240721016</v>
      </c>
      <c r="H28" s="52">
        <f t="shared" si="38"/>
        <v>2.9822865371640335</v>
      </c>
      <c r="I28" s="52">
        <f t="shared" si="39"/>
        <v>3.0165000000000002</v>
      </c>
      <c r="K28" s="52">
        <f t="shared" si="28"/>
        <v>0.92879988187267071</v>
      </c>
      <c r="L28" s="135">
        <f t="shared" si="29"/>
        <v>0.12830843550282156</v>
      </c>
      <c r="N28" s="131">
        <f t="shared" si="30"/>
        <v>0.54938596714727361</v>
      </c>
      <c r="O28" s="131">
        <f t="shared" si="31"/>
        <v>0.54938596714727361</v>
      </c>
      <c r="P28" s="55">
        <f t="shared" si="32"/>
        <v>0.99959524092801877</v>
      </c>
      <c r="Q28" s="135">
        <f>_xll.xSPRDOPT(I28,H28,AQ28,0,O28,N28,P28,D28-$G$5,1,0)*AH28*AU28</f>
        <v>1.0571083173754923</v>
      </c>
      <c r="R28" s="135"/>
      <c r="S28" s="181">
        <f>_xll.xSPRDOPT(I28,H28,AQ28,AT28,O28,N28,P28,D28-$G$5,1,2)*AF28*(F28/(1-AR28))*AH28</f>
        <v>-1085746.0420474936</v>
      </c>
      <c r="T28" s="181">
        <f>_xll.xSPRDOPT(I28,H28,AQ28,AT28,O28,N28,P28,D28-$G$5,1,1)*AF28*F28*AH28</f>
        <v>1081359.497834174</v>
      </c>
      <c r="U28" s="135"/>
      <c r="V28" s="146">
        <f t="shared" si="40"/>
        <v>1.2684896911185337</v>
      </c>
      <c r="W28" s="146"/>
      <c r="X28" s="338">
        <f t="shared" si="41"/>
        <v>0</v>
      </c>
      <c r="Y28" s="338">
        <f t="shared" si="13"/>
        <v>0</v>
      </c>
      <c r="Z28" s="338">
        <f t="shared" si="14"/>
        <v>-78.28049035759328</v>
      </c>
      <c r="AA28" s="338">
        <f t="shared" si="15"/>
        <v>2.1100833315573078</v>
      </c>
      <c r="AB28" s="338">
        <f t="shared" si="42"/>
        <v>0</v>
      </c>
      <c r="AC28" s="338">
        <f t="shared" si="43"/>
        <v>7.093009063808414</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2.5000000000000001E-3</v>
      </c>
      <c r="AO28" s="258">
        <f t="shared" si="20"/>
        <v>-2.5000000000000001E-2</v>
      </c>
      <c r="AP28" s="258">
        <f t="shared" si="21"/>
        <v>5.7500000000000002E-2</v>
      </c>
      <c r="AQ28" s="136">
        <f t="shared" si="48"/>
        <v>3.8999999999999998E-3</v>
      </c>
      <c r="AR28" s="137">
        <f t="shared" si="22"/>
        <v>6.9699999999999996E-3</v>
      </c>
      <c r="AS28" s="136">
        <f t="shared" si="33"/>
        <v>2.9615</v>
      </c>
      <c r="AT28" s="137">
        <f t="shared" si="34"/>
        <v>2.0428629809483099E-2</v>
      </c>
      <c r="AU28" s="137">
        <f t="shared" si="23"/>
        <v>0.98838218101802544</v>
      </c>
      <c r="AV28" s="394">
        <f t="shared" si="35"/>
        <v>8609.797178848019</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2.4431307077399147</v>
      </c>
      <c r="BG28" s="137">
        <f>_xll.xSPRDOPT($BW28,$BV28,$CG28,0,$BY28,$BX28,$BZ28,$AJ28,1,3)*$CB28</f>
        <v>2.3942858350860727</v>
      </c>
      <c r="BH28" s="137">
        <f>IF(OR(BF28&lt;&gt;0,BG28&lt;&gt;0),_xll.xSPRDOPT($BW28,$BV28,$CG28,0,$BY28,$BX28,$BZ28,$AJ28,1,12)*$CB28,0)</f>
        <v>-2.4185873147028731</v>
      </c>
      <c r="BI28" s="137">
        <f>_xll.xSPRDOPT($BW28,$BV28,$CG28,2*LN(1+CA28/2),$BY28,$BX28,$BZ28,$AJ28,1,9)</f>
        <v>-7.6860078234169214E-3</v>
      </c>
      <c r="BJ28" s="137">
        <f>_xll.xSPRDOPT($BW28,$BV28,$CG28,0,$BY28,$BX28,$BZ28,$AJ28,1,6)*$CB28</f>
        <v>-2.049950252477753E-2</v>
      </c>
      <c r="BK28" s="137">
        <f>_xll.xSPRDOPT($BW28,$BV28,$CG28,0,$BY28,$BX28,$BZ28,$AJ28,1,5)*$CB28</f>
        <v>3.8278671524729288E-2</v>
      </c>
      <c r="BL28" s="137">
        <f>_xll.xSPRDOPT(BW28,BV28,CG28,0,BY28,BX28,BZ28,AJ28,1,2)*CB28</f>
        <v>-0.87050634065435661</v>
      </c>
      <c r="BM28" s="137">
        <f>_xll.xSPRDOPT(BW28,BV28,CG28,0,BY28,BX28,BZ28,AJ28,1,1)*CB28</f>
        <v>0.873059193337825</v>
      </c>
      <c r="BN28" s="137">
        <f>IF(AH28&lt;&gt;0,_xll.xSPRDOPT($BW28,$BV28,$CG28,2*LN(1+CA28/2),$BY28,$BX28,$BZ28,$AJ28,1,8)+(AJ28/365.25)*CH28/AH28,0)</f>
        <v>4.140096436783116E-3</v>
      </c>
      <c r="BO28" s="137">
        <f>_xll.xSPRDOPT($BW28,$BV28,$CG28,0,$BY28,$BX28,$BZ28,$AJ28,1,0)</f>
        <v>3.449738337719483E-2</v>
      </c>
      <c r="BP28" s="137"/>
      <c r="BQ28" s="137"/>
      <c r="BR28" s="137"/>
      <c r="BS28" s="137"/>
      <c r="BV28" s="262">
        <v>2.9822865371640335</v>
      </c>
      <c r="BW28" s="136">
        <v>3.0165000000000002</v>
      </c>
      <c r="BX28" s="137">
        <v>0.54929025513136898</v>
      </c>
      <c r="BY28" s="137">
        <v>0.54929025513136898</v>
      </c>
      <c r="BZ28" s="137">
        <v>0.9996007627988851</v>
      </c>
      <c r="CA28" s="137">
        <v>2.0428629809483099E-2</v>
      </c>
      <c r="CB28" s="137">
        <v>0.98821719380072837</v>
      </c>
      <c r="CC28" s="258">
        <v>-2.5000000000000001E-2</v>
      </c>
      <c r="CD28" s="258">
        <v>2.5000000000000001E-3</v>
      </c>
      <c r="CE28" s="258">
        <v>-2.5000000000000001E-2</v>
      </c>
      <c r="CF28" s="258">
        <v>5.7500000000000002E-2</v>
      </c>
      <c r="CG28" s="258">
        <v>3.8999999999999998E-3</v>
      </c>
      <c r="CH28" s="258">
        <v>1.2682779465238547</v>
      </c>
      <c r="CI28" s="258">
        <v>2.984</v>
      </c>
    </row>
    <row r="29" spans="1:91" x14ac:dyDescent="0.25">
      <c r="A29" s="723"/>
      <c r="B29" s="723"/>
      <c r="D29" s="31">
        <f t="shared" si="36"/>
        <v>37483</v>
      </c>
      <c r="F29" s="28">
        <f t="shared" si="37"/>
        <v>40000</v>
      </c>
      <c r="G29" s="28">
        <f t="shared" si="12"/>
        <v>39450.747057912064</v>
      </c>
      <c r="H29" s="52">
        <f t="shared" si="38"/>
        <v>3.0245813318832262</v>
      </c>
      <c r="I29" s="52">
        <f t="shared" si="39"/>
        <v>3.0585</v>
      </c>
      <c r="K29" s="52">
        <f t="shared" si="28"/>
        <v>0.91780063423994573</v>
      </c>
      <c r="L29" s="135">
        <f t="shared" si="29"/>
        <v>0.15234467646492156</v>
      </c>
      <c r="N29" s="131">
        <f t="shared" si="30"/>
        <v>0.55001555741820785</v>
      </c>
      <c r="O29" s="131">
        <f t="shared" si="31"/>
        <v>0.55001555741820785</v>
      </c>
      <c r="P29" s="55">
        <f t="shared" si="32"/>
        <v>0.99958966635950741</v>
      </c>
      <c r="Q29" s="135">
        <f>_xll.xSPRDOPT(I29,H29,AQ29,0,O29,N29,P29,D29-$G$5,1,0)*AH29*AU29</f>
        <v>1.0701453107048673</v>
      </c>
      <c r="R29" s="135"/>
      <c r="S29" s="181">
        <f>_xll.xSPRDOPT(I29,H29,AQ29,AT29,O29,N29,P29,D29-$G$5,1,2)*AF29*(F29/(1-AR29))*AH29</f>
        <v>-1072658.9098734572</v>
      </c>
      <c r="T29" s="181">
        <f>_xll.xSPRDOPT(I29,H29,AQ29,AT29,O29,N29,P29,D29-$G$5,1,1)*AF29*F29*AH29</f>
        <v>1068721.5838972519</v>
      </c>
      <c r="U29" s="135"/>
      <c r="V29" s="146">
        <f t="shared" si="40"/>
        <v>1.2657772193531085</v>
      </c>
      <c r="W29" s="146"/>
      <c r="X29" s="338">
        <f t="shared" si="41"/>
        <v>0</v>
      </c>
      <c r="Y29" s="338">
        <f t="shared" si="13"/>
        <v>0</v>
      </c>
      <c r="Z29" s="338">
        <f t="shared" si="14"/>
        <v>-79.540447400667645</v>
      </c>
      <c r="AA29" s="338">
        <f t="shared" si="15"/>
        <v>3.1177629166874121</v>
      </c>
      <c r="AB29" s="338">
        <f t="shared" si="42"/>
        <v>0</v>
      </c>
      <c r="AC29" s="338">
        <f t="shared" si="43"/>
        <v>7.4035315947645577</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2.5000000000000001E-3</v>
      </c>
      <c r="AO29" s="258">
        <f t="shared" si="20"/>
        <v>-2.5000000000000001E-2</v>
      </c>
      <c r="AP29" s="258">
        <f t="shared" si="21"/>
        <v>5.7500000000000002E-2</v>
      </c>
      <c r="AQ29" s="136">
        <f t="shared" si="48"/>
        <v>3.8999999999999998E-3</v>
      </c>
      <c r="AR29" s="137">
        <f t="shared" si="22"/>
        <v>6.9699999999999996E-3</v>
      </c>
      <c r="AS29" s="136">
        <f t="shared" si="33"/>
        <v>3.0034999999999998</v>
      </c>
      <c r="AT29" s="137">
        <f t="shared" si="34"/>
        <v>2.1065008234303999E-2</v>
      </c>
      <c r="AU29" s="137">
        <f t="shared" si="23"/>
        <v>0.98626867644780158</v>
      </c>
      <c r="AV29" s="394">
        <f t="shared" si="35"/>
        <v>8591.3864405368004</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2.3350143386296307</v>
      </c>
      <c r="BG29" s="137">
        <f>_xll.xSPRDOPT($BW29,$BV29,$CG29,0,$BY29,$BX29,$BZ29,$AJ29,1,3)*$CB29</f>
        <v>2.289414569789173</v>
      </c>
      <c r="BH29" s="137">
        <f>IF(OR(BF29&lt;&gt;0,BG29&lt;&gt;0),_xll.xSPRDOPT($BW29,$BV29,$CG29,0,$BY29,$BX29,$BZ29,$AJ29,1,12)*$CB29,0)</f>
        <v>-2.3121051603178642</v>
      </c>
      <c r="BI29" s="137">
        <f>_xll.xSPRDOPT($BW29,$BV29,$CG29,2*LN(1+CA29/2),$BY29,$BX29,$BZ29,$AJ29,1,9)</f>
        <v>-7.8097173153478111E-3</v>
      </c>
      <c r="BJ29" s="137">
        <f>_xll.xSPRDOPT($BW29,$BV29,$CG29,0,$BY29,$BX29,$BZ29,$AJ29,1,6)*$CB29</f>
        <v>-2.2878954728421587E-2</v>
      </c>
      <c r="BK29" s="137">
        <f>_xll.xSPRDOPT($BW29,$BV29,$CG29,0,$BY29,$BX29,$BZ29,$AJ29,1,5)*$CB29</f>
        <v>4.360903119171855E-2</v>
      </c>
      <c r="BL29" s="137">
        <f>_xll.xSPRDOPT(BW29,BV29,CG29,0,BY29,BX29,BZ29,AJ29,1,2)*CB29</f>
        <v>-0.86000574980339795</v>
      </c>
      <c r="BM29" s="137">
        <f>_xll.xSPRDOPT(BW29,BV29,CG29,0,BY29,BX29,BZ29,AJ29,1,1)*CB29</f>
        <v>0.86284692954297137</v>
      </c>
      <c r="BN29" s="137">
        <f>IF(AH29&lt;&gt;0,_xll.xSPRDOPT($BW29,$BV29,$CG29,2*LN(1+CA29/2),$BY29,$BX29,$BZ29,$AJ29,1,8)+(AJ29/365.25)*CH29/AH29,0)</f>
        <v>4.2460154356700509E-3</v>
      </c>
      <c r="BO29" s="137">
        <f>_xll.xSPRDOPT($BW29,$BV29,$CG29,0,$BY29,$BX29,$BZ29,$AJ29,1,0)</f>
        <v>3.4994846536208976E-2</v>
      </c>
      <c r="BP29" s="137"/>
      <c r="BQ29" s="137"/>
      <c r="BR29" s="137"/>
      <c r="BS29" s="137"/>
      <c r="BV29" s="262">
        <v>3.0245813318832262</v>
      </c>
      <c r="BW29" s="136">
        <v>3.0585</v>
      </c>
      <c r="BX29" s="137">
        <v>0.54989426867442226</v>
      </c>
      <c r="BY29" s="137">
        <v>0.54989426867442226</v>
      </c>
      <c r="BZ29" s="137">
        <v>0.99959450179968523</v>
      </c>
      <c r="CA29" s="137">
        <v>2.1065008234303999E-2</v>
      </c>
      <c r="CB29" s="137">
        <v>0.98609894066797232</v>
      </c>
      <c r="CC29" s="258">
        <v>-2.5000000000000001E-2</v>
      </c>
      <c r="CD29" s="258">
        <v>2.5000000000000001E-3</v>
      </c>
      <c r="CE29" s="258">
        <v>-2.5000000000000001E-2</v>
      </c>
      <c r="CF29" s="258">
        <v>5.7500000000000002E-2</v>
      </c>
      <c r="CG29" s="258">
        <v>3.8999999999999998E-3</v>
      </c>
      <c r="CH29" s="258">
        <v>1.2655593804532757</v>
      </c>
      <c r="CI29" s="258">
        <v>3.0259999999999998</v>
      </c>
    </row>
    <row r="30" spans="1:91" x14ac:dyDescent="0.25">
      <c r="A30" s="723"/>
      <c r="B30" s="723"/>
      <c r="D30" s="31">
        <f t="shared" si="36"/>
        <v>37514</v>
      </c>
      <c r="F30" s="28">
        <f t="shared" si="37"/>
        <v>40000</v>
      </c>
      <c r="G30" s="28">
        <f t="shared" si="12"/>
        <v>39362.184862703289</v>
      </c>
      <c r="H30" s="52">
        <f t="shared" si="38"/>
        <v>3.0165251805081419</v>
      </c>
      <c r="I30" s="52">
        <f t="shared" si="39"/>
        <v>3.0505</v>
      </c>
      <c r="K30" s="52">
        <f t="shared" si="28"/>
        <v>0.88785795341321305</v>
      </c>
      <c r="L30" s="135">
        <f t="shared" si="29"/>
        <v>0.13977376869498925</v>
      </c>
      <c r="N30" s="131">
        <f t="shared" si="30"/>
        <v>0.54862064797509713</v>
      </c>
      <c r="O30" s="131">
        <f t="shared" si="31"/>
        <v>0.54862064797509713</v>
      </c>
      <c r="P30" s="55">
        <f t="shared" si="32"/>
        <v>0.99964547127376802</v>
      </c>
      <c r="Q30" s="135">
        <f>_xll.xSPRDOPT(I30,H30,AQ30,0,O30,N30,P30,D30-$G$5,1,0)*AH30*AU30</f>
        <v>1.0276317221082023</v>
      </c>
      <c r="R30" s="135"/>
      <c r="S30" s="181">
        <f>_xll.xSPRDOPT(I30,H30,AQ30,AT30,O30,N30,P30,D30-$G$5,1,2)*AF30*(F30/(1-AR30))*AH30</f>
        <v>-1052606.5432288116</v>
      </c>
      <c r="T30" s="181">
        <f>_xll.xSPRDOPT(I30,H30,AQ30,AT30,O30,N30,P30,D30-$G$5,1,1)*AF30*F30*AH30</f>
        <v>1048437.4117982715</v>
      </c>
      <c r="U30" s="135"/>
      <c r="V30" s="146">
        <f t="shared" si="40"/>
        <v>1.2221958399869373</v>
      </c>
      <c r="W30" s="146"/>
      <c r="X30" s="338">
        <f t="shared" si="41"/>
        <v>0</v>
      </c>
      <c r="Y30" s="338">
        <f t="shared" si="13"/>
        <v>0</v>
      </c>
      <c r="Z30" s="338">
        <f t="shared" si="14"/>
        <v>-65.015140247956126</v>
      </c>
      <c r="AA30" s="338">
        <f t="shared" si="15"/>
        <v>2.2466586216506852</v>
      </c>
      <c r="AB30" s="338">
        <f t="shared" si="42"/>
        <v>0</v>
      </c>
      <c r="AC30" s="338">
        <f t="shared" si="43"/>
        <v>7.3240779531427229</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2.5000000000000001E-3</v>
      </c>
      <c r="AO30" s="258">
        <f t="shared" si="20"/>
        <v>-2.5000000000000001E-2</v>
      </c>
      <c r="AP30" s="258">
        <f t="shared" si="21"/>
        <v>5.7500000000000002E-2</v>
      </c>
      <c r="AQ30" s="136">
        <f t="shared" si="48"/>
        <v>3.8999999999999998E-3</v>
      </c>
      <c r="AR30" s="137">
        <f t="shared" si="22"/>
        <v>6.9699999999999996E-3</v>
      </c>
      <c r="AS30" s="136">
        <f t="shared" si="33"/>
        <v>2.9954999999999998</v>
      </c>
      <c r="AT30" s="137">
        <f t="shared" si="34"/>
        <v>2.1701386796276499E-2</v>
      </c>
      <c r="AU30" s="137">
        <f t="shared" si="23"/>
        <v>0.98405462156758228</v>
      </c>
      <c r="AV30" s="394">
        <f t="shared" si="35"/>
        <v>8295.5804598147188</v>
      </c>
      <c r="AW30" s="137">
        <f t="shared" si="24"/>
        <v>0.54</v>
      </c>
      <c r="AX30" s="137">
        <f t="shared" si="25"/>
        <v>0.68</v>
      </c>
      <c r="AY30" s="137">
        <f t="shared" si="26"/>
        <v>0.68</v>
      </c>
      <c r="AZ30" s="137"/>
      <c r="BA30" s="264"/>
      <c r="BB30" s="258">
        <f t="shared" si="27"/>
        <v>0</v>
      </c>
      <c r="BC30" s="258">
        <f t="shared" si="49"/>
        <v>0</v>
      </c>
      <c r="BD30" s="137">
        <f t="shared" si="50"/>
        <v>9.2974383643640301E-5</v>
      </c>
      <c r="BE30" s="137">
        <f t="shared" si="51"/>
        <v>9.2974383643640301E-5</v>
      </c>
      <c r="BF30" s="137">
        <f>_xll.xSPRDOPT($BW30,$BV30,$CG30,0,$BY30,$BX30,$BZ30,$AJ30,1,4)*$CB30</f>
        <v>1.9314687726904691</v>
      </c>
      <c r="BG30" s="137">
        <f>_xll.xSPRDOPT($BW30,$BV30,$CG30,0,$BY30,$BX30,$BZ30,$AJ30,1,3)*$CB30</f>
        <v>1.8935809335389118</v>
      </c>
      <c r="BH30" s="137">
        <f>IF(OR(BF30&lt;&gt;0,BG30&lt;&gt;0),_xll.xSPRDOPT($BW30,$BV30,$CG30,0,$BY30,$BX30,$BZ30,$AJ30,1,12)*$CB30,0)</f>
        <v>-1.9124333791282317</v>
      </c>
      <c r="BI30" s="137">
        <f>_xll.xSPRDOPT($BW30,$BV30,$CG30,2*LN(1+CA30/2),$BY30,$BX30,$BZ30,$AJ30,1,9)</f>
        <v>-6.5963277709905482E-3</v>
      </c>
      <c r="BJ30" s="137">
        <f>_xll.xSPRDOPT($BW30,$BV30,$CG30,0,$BY30,$BX30,$BZ30,$AJ30,1,6)*$CB30</f>
        <v>-2.74485635648383E-2</v>
      </c>
      <c r="BK30" s="137">
        <f>_xll.xSPRDOPT($BW30,$BV30,$CG30,0,$BY30,$BX30,$BZ30,$AJ30,1,5)*$CB30</f>
        <v>4.7585459822394746E-2</v>
      </c>
      <c r="BL30" s="137">
        <f>_xll.xSPRDOPT(BW30,BV30,CG30,0,BY30,BX30,BZ30,AJ30,1,2)*CB30</f>
        <v>-0.87185407150943972</v>
      </c>
      <c r="BM30" s="137">
        <f>_xll.xSPRDOPT(BW30,BV30,CG30,0,BY30,BX30,BZ30,AJ30,1,1)*CB30</f>
        <v>0.87448260126699584</v>
      </c>
      <c r="BN30" s="137">
        <f>IF(AH30&lt;&gt;0,_xll.xSPRDOPT($BW30,$BV30,$CG30,2*LN(1+CA30/2),$BY30,$BX30,$BZ30,$AJ30,1,8)+(AJ30/365.25)*CH30/AH30,0)</f>
        <v>4.8905326407083886E-3</v>
      </c>
      <c r="BO30" s="137">
        <f>_xll.xSPRDOPT($BW30,$BV30,$CG30,0,$BY30,$BX30,$BZ30,$AJ30,1,0)</f>
        <v>3.4802543333201701E-2</v>
      </c>
      <c r="BP30" s="137"/>
      <c r="BQ30" s="137"/>
      <c r="BR30" s="137"/>
      <c r="BS30" s="137"/>
      <c r="BV30" s="262">
        <v>3.0165251805081419</v>
      </c>
      <c r="BW30" s="136">
        <v>3.0505</v>
      </c>
      <c r="BX30" s="137">
        <v>0.54852767359145349</v>
      </c>
      <c r="BY30" s="137">
        <v>0.54852767359145349</v>
      </c>
      <c r="BZ30" s="137">
        <v>0.99964920595927931</v>
      </c>
      <c r="CA30" s="137">
        <v>2.1701386796276499E-2</v>
      </c>
      <c r="CB30" s="137">
        <v>0.98388017854127463</v>
      </c>
      <c r="CC30" s="258">
        <v>-2.5000000000000001E-2</v>
      </c>
      <c r="CD30" s="258">
        <v>2.5000000000000001E-3</v>
      </c>
      <c r="CE30" s="258">
        <v>-2.5000000000000001E-2</v>
      </c>
      <c r="CF30" s="258">
        <v>5.7500000000000002E-2</v>
      </c>
      <c r="CG30" s="258">
        <v>3.8999999999999998E-3</v>
      </c>
      <c r="CH30" s="258">
        <v>1.221979181748263</v>
      </c>
      <c r="CI30" s="258">
        <v>3.0179999999999998</v>
      </c>
    </row>
    <row r="31" spans="1:91" x14ac:dyDescent="0.25">
      <c r="A31" s="723"/>
      <c r="B31" s="723"/>
      <c r="D31" s="31">
        <f t="shared" si="36"/>
        <v>37544</v>
      </c>
      <c r="F31" s="28">
        <f t="shared" si="37"/>
        <v>40000</v>
      </c>
      <c r="G31" s="28">
        <f t="shared" si="12"/>
        <v>39269.694141675223</v>
      </c>
      <c r="H31" s="52">
        <f t="shared" si="38"/>
        <v>3.0296164264926539</v>
      </c>
      <c r="I31" s="52">
        <f t="shared" si="39"/>
        <v>3.0635000000000003</v>
      </c>
      <c r="K31" s="52">
        <f t="shared" si="28"/>
        <v>0.91252046470364478</v>
      </c>
      <c r="L31" s="135">
        <f t="shared" si="29"/>
        <v>0.16998549101426785</v>
      </c>
      <c r="N31" s="131">
        <f t="shared" si="30"/>
        <v>0.55129247567847639</v>
      </c>
      <c r="O31" s="131">
        <f t="shared" si="31"/>
        <v>0.55129247567847639</v>
      </c>
      <c r="P31" s="55">
        <f t="shared" si="32"/>
        <v>0.99962389952380049</v>
      </c>
      <c r="Q31" s="135">
        <f>_xll.xSPRDOPT(I31,H31,AQ31,0,O31,N31,P31,D31-$G$5,1,0)*AH31*AU31</f>
        <v>1.0825059557179126</v>
      </c>
      <c r="R31" s="135"/>
      <c r="S31" s="181">
        <f>_xll.xSPRDOPT(I31,H31,AQ31,AT31,O31,N31,P31,D31-$G$5,1,2)*AF31*(F31/(1-AR31))*AH31</f>
        <v>-1071581.7825696033</v>
      </c>
      <c r="T31" s="181">
        <f>_xll.xSPRDOPT(I31,H31,AQ31,AT31,O31,N31,P31,D31-$G$5,1,1)*AF31*F31*AH31</f>
        <v>1067829.6635433398</v>
      </c>
      <c r="U31" s="135"/>
      <c r="V31" s="146">
        <f t="shared" si="40"/>
        <v>1.2599681365356494</v>
      </c>
      <c r="W31" s="146"/>
      <c r="X31" s="338">
        <f t="shared" si="41"/>
        <v>0</v>
      </c>
      <c r="Y31" s="338">
        <f t="shared" si="13"/>
        <v>0</v>
      </c>
      <c r="Z31" s="338">
        <f t="shared" si="14"/>
        <v>-69.611473589226478</v>
      </c>
      <c r="AA31" s="338">
        <f t="shared" si="15"/>
        <v>3.1317526274980874</v>
      </c>
      <c r="AB31" s="338">
        <f t="shared" si="42"/>
        <v>0</v>
      </c>
      <c r="AC31" s="338">
        <f t="shared" si="43"/>
        <v>7.9667644482218209</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2.5000000000000001E-3</v>
      </c>
      <c r="AO31" s="258">
        <f t="shared" si="20"/>
        <v>-2.5000000000000001E-2</v>
      </c>
      <c r="AP31" s="258">
        <f t="shared" si="21"/>
        <v>5.7500000000000002E-2</v>
      </c>
      <c r="AQ31" s="136">
        <f t="shared" si="48"/>
        <v>3.8999999999999998E-3</v>
      </c>
      <c r="AR31" s="137">
        <f t="shared" si="22"/>
        <v>6.9699999999999996E-3</v>
      </c>
      <c r="AS31" s="136">
        <f t="shared" si="33"/>
        <v>3.0085000000000002</v>
      </c>
      <c r="AT31" s="137">
        <f t="shared" si="34"/>
        <v>2.2410164045373999E-2</v>
      </c>
      <c r="AU31" s="137">
        <f t="shared" si="23"/>
        <v>0.98174235354188055</v>
      </c>
      <c r="AV31" s="394">
        <f t="shared" si="35"/>
        <v>8551.9576417033222</v>
      </c>
      <c r="AW31" s="137">
        <f t="shared" si="24"/>
        <v>0.54</v>
      </c>
      <c r="AX31" s="137">
        <f t="shared" si="25"/>
        <v>0.73</v>
      </c>
      <c r="AY31" s="137">
        <f t="shared" si="26"/>
        <v>0.73</v>
      </c>
      <c r="AZ31" s="137"/>
      <c r="BA31" s="264"/>
      <c r="BB31" s="258">
        <f t="shared" si="27"/>
        <v>0</v>
      </c>
      <c r="BC31" s="258">
        <f t="shared" si="49"/>
        <v>0</v>
      </c>
      <c r="BD31" s="137">
        <f t="shared" si="50"/>
        <v>1.0940877027609819E-4</v>
      </c>
      <c r="BE31" s="137">
        <f t="shared" si="51"/>
        <v>1.0940877027609819E-4</v>
      </c>
      <c r="BF31" s="137">
        <f>_xll.xSPRDOPT($BW31,$BV31,$CG31,0,$BY31,$BX31,$BZ31,$AJ31,1,4)*$CB31</f>
        <v>1.950673706304312</v>
      </c>
      <c r="BG31" s="137">
        <f>_xll.xSPRDOPT($BW31,$BV31,$CG31,0,$BY31,$BX31,$BZ31,$AJ31,1,3)*$CB31</f>
        <v>1.9126858013642005</v>
      </c>
      <c r="BH31" s="137">
        <f>IF(OR(BF31&lt;&gt;0,BG31&lt;&gt;0),_xll.xSPRDOPT($BW31,$BV31,$CG31,0,$BY31,$BX31,$BZ31,$AJ31,1,12)*$CB31,0)</f>
        <v>-1.9315883679995627</v>
      </c>
      <c r="BI31" s="137">
        <f>_xll.xSPRDOPT($BW31,$BV31,$CG31,2*LN(1+CA31/2),$BY31,$BX31,$BZ31,$AJ31,1,9)</f>
        <v>-6.8348362173292938E-3</v>
      </c>
      <c r="BJ31" s="137">
        <f>_xll.xSPRDOPT($BW31,$BV31,$CG31,0,$BY31,$BX31,$BZ31,$AJ31,1,6)*$CB31</f>
        <v>-2.873221685253138E-2</v>
      </c>
      <c r="BK31" s="137">
        <f>_xll.xSPRDOPT($BW31,$BV31,$CG31,0,$BY31,$BX31,$BZ31,$AJ31,1,5)*$CB31</f>
        <v>5.1816353081156008E-2</v>
      </c>
      <c r="BL31" s="137">
        <f>_xll.xSPRDOPT(BW31,BV31,CG31,0,BY31,BX31,BZ31,AJ31,1,2)*CB31</f>
        <v>-0.85896127477421025</v>
      </c>
      <c r="BM31" s="137">
        <f>_xll.xSPRDOPT(BW31,BV31,CG31,0,BY31,BX31,BZ31,AJ31,1,1)*CB31</f>
        <v>0.86194713065671891</v>
      </c>
      <c r="BN31" s="137">
        <f>IF(AH31&lt;&gt;0,_xll.xSPRDOPT($BW31,$BV31,$CG31,2*LN(1+CA31/2),$BY31,$BX31,$BZ31,$AJ31,1,8)+(AJ31/365.25)*CH31/AH31,0)</f>
        <v>4.5688159243760761E-3</v>
      </c>
      <c r="BO31" s="137">
        <f>_xll.xSPRDOPT($BW31,$BV31,$CG31,0,$BY31,$BX31,$BZ31,$AJ31,1,0)</f>
        <v>3.5560363615783089E-2</v>
      </c>
      <c r="BP31" s="137"/>
      <c r="BQ31" s="137"/>
      <c r="BR31" s="137"/>
      <c r="BS31" s="137"/>
      <c r="BV31" s="262">
        <v>3.0296164264926539</v>
      </c>
      <c r="BW31" s="136">
        <v>3.0635000000000003</v>
      </c>
      <c r="BX31" s="137">
        <v>0.55118306690820029</v>
      </c>
      <c r="BY31" s="137">
        <v>0.55118306690820029</v>
      </c>
      <c r="BZ31" s="137">
        <v>0.99962743290460054</v>
      </c>
      <c r="CA31" s="137">
        <v>2.2410164045373999E-2</v>
      </c>
      <c r="CB31" s="137">
        <v>0.98156266847823481</v>
      </c>
      <c r="CC31" s="258">
        <v>-2.5000000000000001E-2</v>
      </c>
      <c r="CD31" s="258">
        <v>2.5000000000000001E-3</v>
      </c>
      <c r="CE31" s="258">
        <v>-2.5000000000000001E-2</v>
      </c>
      <c r="CF31" s="258">
        <v>5.7500000000000002E-2</v>
      </c>
      <c r="CG31" s="258">
        <v>3.8999999999999998E-3</v>
      </c>
      <c r="CH31" s="258">
        <v>1.2597375287249664</v>
      </c>
      <c r="CI31" s="258">
        <v>3.0310000000000001</v>
      </c>
    </row>
    <row r="32" spans="1:91" x14ac:dyDescent="0.25">
      <c r="A32" s="723"/>
      <c r="B32" s="723"/>
      <c r="D32" s="31">
        <f t="shared" si="36"/>
        <v>37575</v>
      </c>
      <c r="F32" s="28">
        <f t="shared" si="37"/>
        <v>40000</v>
      </c>
      <c r="G32" s="28">
        <f t="shared" si="12"/>
        <v>39164.976964334579</v>
      </c>
      <c r="H32" s="52">
        <f t="shared" si="38"/>
        <v>3.2108798324320516</v>
      </c>
      <c r="I32" s="52">
        <f t="shared" si="39"/>
        <v>3.2435</v>
      </c>
      <c r="K32" s="52">
        <f t="shared" si="28"/>
        <v>0.8436185259078991</v>
      </c>
      <c r="L32" s="135">
        <f t="shared" si="29"/>
        <v>0.23718623067933853</v>
      </c>
      <c r="N32" s="131">
        <f t="shared" si="30"/>
        <v>0.55763051961597798</v>
      </c>
      <c r="O32" s="131">
        <f t="shared" si="31"/>
        <v>0.55763051961597798</v>
      </c>
      <c r="P32" s="55">
        <f t="shared" si="32"/>
        <v>0.99956173290621153</v>
      </c>
      <c r="Q32" s="135">
        <f>_xll.xSPRDOPT(I32,H32,AQ32,0,O32,N32,P32,D32-$G$5,1,0)*AH32*AU32</f>
        <v>1.0808047565872376</v>
      </c>
      <c r="R32" s="135"/>
      <c r="S32" s="181">
        <f>_xll.xSPRDOPT(I32,H32,AQ32,AT32,O32,N32,P32,D32-$G$5,1,2)*AF32*(F32/(1-AR32))*AH32</f>
        <v>-997013.01798163808</v>
      </c>
      <c r="T32" s="181">
        <f>_xll.xSPRDOPT(I32,H32,AQ32,AT32,O32,N32,P32,D32-$G$5,1,1)*AF32*F32*AH32</f>
        <v>994623.17675770784</v>
      </c>
      <c r="U32" s="135"/>
      <c r="V32" s="146">
        <f t="shared" si="40"/>
        <v>1.2160725347425887</v>
      </c>
      <c r="W32" s="146"/>
      <c r="X32" s="338">
        <f t="shared" si="41"/>
        <v>0</v>
      </c>
      <c r="Y32" s="338">
        <f t="shared" si="13"/>
        <v>0</v>
      </c>
      <c r="Z32" s="338">
        <f t="shared" si="14"/>
        <v>-82.453790687687302</v>
      </c>
      <c r="AA32" s="338">
        <f t="shared" si="15"/>
        <v>5.6425345409305772</v>
      </c>
      <c r="AB32" s="338">
        <f t="shared" si="42"/>
        <v>0</v>
      </c>
      <c r="AC32" s="338">
        <f t="shared" si="43"/>
        <v>8.2594416769474783</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2.5000000000000001E-3</v>
      </c>
      <c r="AO32" s="258">
        <f t="shared" si="20"/>
        <v>-2.5000000000000001E-2</v>
      </c>
      <c r="AP32" s="258">
        <f t="shared" si="21"/>
        <v>5.7500000000000002E-2</v>
      </c>
      <c r="AQ32" s="136">
        <f t="shared" si="48"/>
        <v>3.8999999999999998E-3</v>
      </c>
      <c r="AR32" s="137">
        <f t="shared" si="22"/>
        <v>6.9699999999999996E-3</v>
      </c>
      <c r="AS32" s="136">
        <f t="shared" si="33"/>
        <v>3.1884999999999999</v>
      </c>
      <c r="AT32" s="137">
        <f t="shared" si="34"/>
        <v>2.3274064967752799E-2</v>
      </c>
      <c r="AU32" s="137">
        <f t="shared" si="23"/>
        <v>0.97912442410836453</v>
      </c>
      <c r="AV32" s="394">
        <f t="shared" si="35"/>
        <v>8254.0188952335138</v>
      </c>
      <c r="AW32" s="137">
        <f t="shared" si="24"/>
        <v>0.54</v>
      </c>
      <c r="AX32" s="137">
        <f t="shared" si="25"/>
        <v>0.85</v>
      </c>
      <c r="AY32" s="137">
        <f t="shared" si="26"/>
        <v>0.85</v>
      </c>
      <c r="AZ32" s="137"/>
      <c r="BA32" s="264"/>
      <c r="BB32" s="258">
        <f t="shared" si="27"/>
        <v>0</v>
      </c>
      <c r="BC32" s="258">
        <f t="shared" si="49"/>
        <v>0</v>
      </c>
      <c r="BD32" s="137">
        <f t="shared" si="50"/>
        <v>1.5448854150035274E-4</v>
      </c>
      <c r="BE32" s="137">
        <f t="shared" si="51"/>
        <v>1.5448854150035274E-4</v>
      </c>
      <c r="BF32" s="137">
        <f>_xll.xSPRDOPT($BW32,$BV32,$CG32,0,$BY32,$BX32,$BZ32,$AJ32,1,4)*$CB32</f>
        <v>2.069752897999658</v>
      </c>
      <c r="BG32" s="137">
        <f>_xll.xSPRDOPT($BW32,$BV32,$CG32,0,$BY32,$BX32,$BZ32,$AJ32,1,3)*$CB32</f>
        <v>2.0332681607412995</v>
      </c>
      <c r="BH32" s="137">
        <f>IF(OR(BF32&lt;&gt;0,BG32&lt;&gt;0),_xll.xSPRDOPT($BW32,$BV32,$CG32,0,$BY32,$BX32,$BZ32,$AJ32,1,12)*$CB32,0)</f>
        <v>-2.0514308085369044</v>
      </c>
      <c r="BI32" s="137">
        <f>_xll.xSPRDOPT($BW32,$BV32,$CG32,2*LN(1+CA32/2),$BY32,$BX32,$BZ32,$AJ32,1,9)</f>
        <v>-8.3656241801882743E-3</v>
      </c>
      <c r="BJ32" s="137">
        <f>_xll.xSPRDOPT($BW32,$BV32,$CG32,0,$BY32,$BX32,$BZ32,$AJ32,1,6)*$CB32</f>
        <v>-2.7569918673539185E-2</v>
      </c>
      <c r="BK32" s="137">
        <f>_xll.xSPRDOPT($BW32,$BV32,$CG32,0,$BY32,$BX32,$BZ32,$AJ32,1,5)*$CB32</f>
        <v>5.8006558645516723E-2</v>
      </c>
      <c r="BL32" s="137">
        <f>_xll.xSPRDOPT(BW32,BV32,CG32,0,BY32,BX32,BZ32,AJ32,1,2)*CB32</f>
        <v>-0.82602582250100554</v>
      </c>
      <c r="BM32" s="137">
        <f>_xll.xSPRDOPT(BW32,BV32,CG32,0,BY32,BX32,BZ32,AJ32,1,1)*CB32</f>
        <v>0.82981137629337998</v>
      </c>
      <c r="BN32" s="137">
        <f>IF(AH32&lt;&gt;0,_xll.xSPRDOPT($BW32,$BV32,$CG32,2*LN(1+CA32/2),$BY32,$BX32,$BZ32,$AJ32,1,8)+(AJ32/365.25)*CH32/AH32,0)</f>
        <v>3.2210103496409653E-3</v>
      </c>
      <c r="BO32" s="137">
        <f>_xll.xSPRDOPT($BW32,$BV32,$CG32,0,$BY32,$BX32,$BZ32,$AJ32,1,0)</f>
        <v>3.6779924197430133E-2</v>
      </c>
      <c r="BP32" s="137"/>
      <c r="BQ32" s="137"/>
      <c r="BR32" s="137"/>
      <c r="BS32" s="137"/>
      <c r="BV32" s="262">
        <v>3.2108798324320516</v>
      </c>
      <c r="BW32" s="136">
        <v>3.2435</v>
      </c>
      <c r="BX32" s="137">
        <v>0.55747603107447763</v>
      </c>
      <c r="BY32" s="137">
        <v>0.55747603107447763</v>
      </c>
      <c r="BZ32" s="137">
        <v>0.99956539361632035</v>
      </c>
      <c r="CA32" s="137">
        <v>2.3274064967752799E-2</v>
      </c>
      <c r="CB32" s="137">
        <v>0.97893835036076038</v>
      </c>
      <c r="CC32" s="258">
        <v>-2.5000000000000001E-2</v>
      </c>
      <c r="CD32" s="258">
        <v>2.5000000000000001E-3</v>
      </c>
      <c r="CE32" s="258">
        <v>-2.5000000000000001E-2</v>
      </c>
      <c r="CF32" s="258">
        <v>5.7500000000000002E-2</v>
      </c>
      <c r="CG32" s="258">
        <v>3.8999999999999998E-3</v>
      </c>
      <c r="CH32" s="258">
        <v>1.2158414311480643</v>
      </c>
      <c r="CI32" s="258">
        <v>3.2109999999999999</v>
      </c>
    </row>
    <row r="33" spans="1:87" x14ac:dyDescent="0.25">
      <c r="A33" s="723"/>
      <c r="B33" s="723"/>
      <c r="D33" s="31">
        <f t="shared" si="36"/>
        <v>37605</v>
      </c>
      <c r="F33" s="28">
        <f t="shared" si="37"/>
        <v>40000</v>
      </c>
      <c r="G33" s="28">
        <f t="shared" si="12"/>
        <v>39058.524775589161</v>
      </c>
      <c r="H33" s="52">
        <f t="shared" si="38"/>
        <v>3.3720028599337382</v>
      </c>
      <c r="I33" s="52">
        <f t="shared" si="39"/>
        <v>3.4035000000000002</v>
      </c>
      <c r="K33" s="52">
        <f t="shared" si="28"/>
        <v>0.83537527373546239</v>
      </c>
      <c r="L33" s="135">
        <f t="shared" si="29"/>
        <v>0.40886010020996844</v>
      </c>
      <c r="N33" s="131">
        <f t="shared" si="30"/>
        <v>0.57103652777154523</v>
      </c>
      <c r="O33" s="131">
        <f t="shared" si="31"/>
        <v>0.57103652777154523</v>
      </c>
      <c r="P33" s="55">
        <f t="shared" si="32"/>
        <v>0.99939614276465494</v>
      </c>
      <c r="Q33" s="135">
        <f>_xll.xSPRDOPT(I33,H33,AQ33,0,O33,N33,P33,D33-$G$5,1,0)*AH33*AU33</f>
        <v>1.2442353739454308</v>
      </c>
      <c r="R33" s="135"/>
      <c r="S33" s="181">
        <f>_xll.xSPRDOPT(I33,H33,AQ33,AT33,O33,N33,P33,D33-$G$5,1,2)*AF33*(F33/(1-AR33))*AH33</f>
        <v>-939836.49337509088</v>
      </c>
      <c r="T33" s="181">
        <f>_xll.xSPRDOPT(I33,H33,AQ33,AT33,O33,N33,P33,D33-$G$5,1,1)*AF33*F33*AH33</f>
        <v>940337.61423834623</v>
      </c>
      <c r="U33" s="135"/>
      <c r="V33" s="146">
        <f t="shared" si="40"/>
        <v>1.2531927674247783</v>
      </c>
      <c r="W33" s="146"/>
      <c r="X33" s="338">
        <f t="shared" si="41"/>
        <v>0</v>
      </c>
      <c r="Y33" s="338">
        <f t="shared" si="13"/>
        <v>0</v>
      </c>
      <c r="Z33" s="338">
        <f t="shared" si="14"/>
        <v>-111.79459143394094</v>
      </c>
      <c r="AA33" s="338">
        <f t="shared" si="15"/>
        <v>12.855978374950027</v>
      </c>
      <c r="AB33" s="338">
        <f t="shared" si="42"/>
        <v>0</v>
      </c>
      <c r="AC33" s="338">
        <f t="shared" si="43"/>
        <v>9.8475658667521806</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2.5000000000000001E-3</v>
      </c>
      <c r="AO33" s="258">
        <f t="shared" si="20"/>
        <v>-2.5000000000000001E-2</v>
      </c>
      <c r="AP33" s="258">
        <f t="shared" si="21"/>
        <v>5.7500000000000002E-2</v>
      </c>
      <c r="AQ33" s="136">
        <f t="shared" si="48"/>
        <v>3.8999999999999998E-3</v>
      </c>
      <c r="AR33" s="137">
        <f t="shared" si="22"/>
        <v>6.9699999999999996E-3</v>
      </c>
      <c r="AS33" s="136">
        <f t="shared" si="33"/>
        <v>3.3485</v>
      </c>
      <c r="AT33" s="137">
        <f t="shared" si="34"/>
        <v>2.4110098358835999E-2</v>
      </c>
      <c r="AU33" s="137">
        <f t="shared" si="23"/>
        <v>0.97646311938972907</v>
      </c>
      <c r="AV33" s="394">
        <f t="shared" si="35"/>
        <v>8505.9702330039308</v>
      </c>
      <c r="AW33" s="137">
        <f t="shared" si="24"/>
        <v>0.54</v>
      </c>
      <c r="AX33" s="137">
        <f t="shared" si="25"/>
        <v>1.05</v>
      </c>
      <c r="AY33" s="137">
        <f t="shared" si="26"/>
        <v>1.05</v>
      </c>
      <c r="AZ33" s="137"/>
      <c r="BA33" s="264"/>
      <c r="BB33" s="258">
        <f t="shared" si="27"/>
        <v>0</v>
      </c>
      <c r="BC33" s="258">
        <f t="shared" si="49"/>
        <v>0</v>
      </c>
      <c r="BD33" s="137">
        <f t="shared" si="50"/>
        <v>2.4652743009223599E-4</v>
      </c>
      <c r="BE33" s="137">
        <f t="shared" si="51"/>
        <v>2.4652743009223599E-4</v>
      </c>
      <c r="BF33" s="137">
        <f>_xll.xSPRDOPT($BW33,$BV33,$CG33,0,$BY33,$BX33,$BZ33,$AJ33,1,4)*$CB33</f>
        <v>2.5832217060123872</v>
      </c>
      <c r="BG33" s="137">
        <f>_xll.xSPRDOPT($BW33,$BV33,$CG33,0,$BY33,$BX33,$BZ33,$AJ33,1,3)*$CB33</f>
        <v>2.5415062251066947</v>
      </c>
      <c r="BH33" s="137">
        <f>IF(OR(BF33&lt;&gt;0,BG33&lt;&gt;0),_xll.xSPRDOPT($BW33,$BV33,$CG33,0,$BY33,$BX33,$BZ33,$AJ33,1,12)*$CB33,0)</f>
        <v>-2.5622790615508442</v>
      </c>
      <c r="BI33" s="137">
        <f>_xll.xSPRDOPT($BW33,$BV33,$CG33,2*LN(1+CA33/2),$BY33,$BX33,$BZ33,$AJ33,1,9)</f>
        <v>-1.0976606054098637E-2</v>
      </c>
      <c r="BJ33" s="137">
        <f>_xll.xSPRDOPT($BW33,$BV33,$CG33,0,$BY33,$BX33,$BZ33,$AJ33,1,6)*$CB33</f>
        <v>-1.9634328680097731E-2</v>
      </c>
      <c r="BK33" s="137">
        <f>_xll.xSPRDOPT($BW33,$BV33,$CG33,0,$BY33,$BX33,$BZ33,$AJ33,1,5)*$CB33</f>
        <v>6.1689383130016158E-2</v>
      </c>
      <c r="BL33" s="137">
        <f>_xll.xSPRDOPT(BW33,BV33,CG33,0,BY33,BX33,BZ33,AJ33,1,2)*CB33</f>
        <v>-0.75397114784082098</v>
      </c>
      <c r="BM33" s="137">
        <f>_xll.xSPRDOPT(BW33,BV33,CG33,0,BY33,BX33,BZ33,AJ33,1,1)*CB33</f>
        <v>0.75963917072253451</v>
      </c>
      <c r="BN33" s="137">
        <f>IF(AH33&lt;&gt;0,_xll.xSPRDOPT($BW33,$BV33,$CG33,2*LN(1+CA33/2),$BY33,$BX33,$BZ33,$AJ33,1,8)+(AJ33/365.25)*CH33/AH33,0)</f>
        <v>-1.3575163601189447E-3</v>
      </c>
      <c r="BO33" s="137">
        <f>_xll.xSPRDOPT($BW33,$BV33,$CG33,0,$BY33,$BX33,$BZ33,$AJ33,1,0)</f>
        <v>4.1077768307746829E-2</v>
      </c>
      <c r="BP33" s="137"/>
      <c r="BQ33" s="137"/>
      <c r="BR33" s="137"/>
      <c r="BS33" s="137"/>
      <c r="BV33" s="262">
        <v>3.3720028599337382</v>
      </c>
      <c r="BW33" s="136">
        <v>3.4035000000000002</v>
      </c>
      <c r="BX33" s="137">
        <v>0.570790000341453</v>
      </c>
      <c r="BY33" s="137">
        <v>0.570790000341453</v>
      </c>
      <c r="BZ33" s="137">
        <v>0.99940055473914857</v>
      </c>
      <c r="CA33" s="137">
        <v>2.4110098358835999E-2</v>
      </c>
      <c r="CB33" s="137">
        <v>0.97627092599980836</v>
      </c>
      <c r="CC33" s="258">
        <v>-2.5000000000000001E-2</v>
      </c>
      <c r="CD33" s="258">
        <v>2.5000000000000001E-3</v>
      </c>
      <c r="CE33" s="258">
        <v>-2.5000000000000001E-2</v>
      </c>
      <c r="CF33" s="258">
        <v>5.7500000000000002E-2</v>
      </c>
      <c r="CG33" s="258">
        <v>3.8999999999999998E-3</v>
      </c>
      <c r="CH33" s="258">
        <v>1.252946106428154</v>
      </c>
      <c r="CI33" s="258">
        <v>3.371</v>
      </c>
    </row>
    <row r="34" spans="1:87" x14ac:dyDescent="0.25">
      <c r="A34" s="723"/>
      <c r="B34" s="723"/>
      <c r="D34" s="31">
        <f t="shared" si="36"/>
        <v>37636</v>
      </c>
      <c r="F34" s="28">
        <f t="shared" si="37"/>
        <v>40000</v>
      </c>
      <c r="G34" s="28">
        <f t="shared" si="12"/>
        <v>38940.616915893821</v>
      </c>
      <c r="H34" s="52">
        <f t="shared" si="38"/>
        <v>3.4475292790751539</v>
      </c>
      <c r="I34" s="52">
        <f t="shared" si="39"/>
        <v>3.4785000000000004</v>
      </c>
      <c r="K34" s="52">
        <f t="shared" si="28"/>
        <v>0.81696669420792467</v>
      </c>
      <c r="L34" s="135">
        <f t="shared" si="29"/>
        <v>0.43998881673134294</v>
      </c>
      <c r="N34" s="131">
        <f t="shared" si="30"/>
        <v>0.5685912571426992</v>
      </c>
      <c r="O34" s="131">
        <f t="shared" si="31"/>
        <v>0.5685912571426992</v>
      </c>
      <c r="P34" s="55">
        <f t="shared" si="32"/>
        <v>0.99940614330547217</v>
      </c>
      <c r="Q34" s="135">
        <f>_xll.xSPRDOPT(I34,H34,AQ34,0,O34,N34,P34,D34-$G$5,1,0)*AH34*AU34</f>
        <v>1.2569555109392676</v>
      </c>
      <c r="R34" s="135"/>
      <c r="S34" s="181">
        <f>_xll.xSPRDOPT(I34,H34,AQ34,AT34,O34,N34,P34,D34-$G$5,1,2)*AF34*(F34/(1-AR34))*AH34</f>
        <v>-934826.94096702477</v>
      </c>
      <c r="T34" s="181">
        <f>_xll.xSPRDOPT(I34,H34,AQ34,AT34,O34,N34,P34,D34-$G$5,1,1)*AF34*F34*AH34</f>
        <v>935536.61584892962</v>
      </c>
      <c r="U34" s="135"/>
      <c r="V34" s="146">
        <f t="shared" si="40"/>
        <v>1.2494096937464532</v>
      </c>
      <c r="W34" s="146"/>
      <c r="X34" s="338">
        <f t="shared" si="41"/>
        <v>0</v>
      </c>
      <c r="Y34" s="338">
        <f t="shared" si="13"/>
        <v>0</v>
      </c>
      <c r="Z34" s="338">
        <f t="shared" si="14"/>
        <v>-108.42899912832684</v>
      </c>
      <c r="AA34" s="338">
        <f t="shared" si="15"/>
        <v>12.640798763051563</v>
      </c>
      <c r="AB34" s="338">
        <f t="shared" si="42"/>
        <v>0</v>
      </c>
      <c r="AC34" s="338">
        <f t="shared" si="43"/>
        <v>10.330847495616865</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2.5000000000000001E-3</v>
      </c>
      <c r="AO34" s="258">
        <f t="shared" si="20"/>
        <v>-2.5000000000000001E-2</v>
      </c>
      <c r="AP34" s="258">
        <f t="shared" si="21"/>
        <v>5.7500000000000002E-2</v>
      </c>
      <c r="AQ34" s="136">
        <f t="shared" si="48"/>
        <v>3.8999999999999998E-3</v>
      </c>
      <c r="AR34" s="137">
        <f t="shared" si="22"/>
        <v>6.9699999999999996E-3</v>
      </c>
      <c r="AS34" s="136">
        <f t="shared" si="33"/>
        <v>3.4235000000000002</v>
      </c>
      <c r="AT34" s="137">
        <f t="shared" si="34"/>
        <v>2.50384261928196E-2</v>
      </c>
      <c r="AU34" s="137">
        <f t="shared" si="23"/>
        <v>0.97351542289734561</v>
      </c>
      <c r="AV34" s="394">
        <f t="shared" si="35"/>
        <v>8480.2928488587768</v>
      </c>
      <c r="AW34" s="137">
        <f t="shared" si="24"/>
        <v>0.53749999999999998</v>
      </c>
      <c r="AX34" s="137">
        <f t="shared" si="25"/>
        <v>1.08</v>
      </c>
      <c r="AY34" s="137">
        <f t="shared" si="26"/>
        <v>1.08</v>
      </c>
      <c r="AZ34" s="137"/>
      <c r="BA34" s="264"/>
      <c r="BB34" s="258">
        <f t="shared" si="27"/>
        <v>0</v>
      </c>
      <c r="BC34" s="258">
        <f t="shared" si="49"/>
        <v>0</v>
      </c>
      <c r="BD34" s="137">
        <f t="shared" si="50"/>
        <v>2.2770835683916246E-4</v>
      </c>
      <c r="BE34" s="137">
        <f t="shared" si="51"/>
        <v>2.2770835683916246E-4</v>
      </c>
      <c r="BF34" s="137">
        <f>_xll.xSPRDOPT($BW34,$BV34,$CG34,0,$BY34,$BX34,$BZ34,$AJ34,1,4)*$CB34</f>
        <v>2.4072790435984093</v>
      </c>
      <c r="BG34" s="137">
        <f>_xll.xSPRDOPT($BW34,$BV34,$CG34,0,$BY34,$BX34,$BZ34,$AJ34,1,3)*$CB34</f>
        <v>2.3699617420444765</v>
      </c>
      <c r="BH34" s="137">
        <f>IF(OR(BF34&lt;&gt;0,BG34&lt;&gt;0),_xll.xSPRDOPT($BW34,$BV34,$CG34,0,$BY34,$BX34,$BZ34,$AJ34,1,12)*$CB34,0)</f>
        <v>-2.3885468793964955</v>
      </c>
      <c r="BI34" s="137">
        <f>_xll.xSPRDOPT($BW34,$BV34,$CG34,2*LN(1+CA34/2),$BY34,$BX34,$BZ34,$AJ34,1,9)</f>
        <v>-1.0646153745059509E-2</v>
      </c>
      <c r="BJ34" s="137">
        <f>_xll.xSPRDOPT($BW34,$BV34,$CG34,0,$BY34,$BX34,$BZ34,$AJ34,1,6)*$CB34</f>
        <v>-2.0632617227544999E-2</v>
      </c>
      <c r="BK34" s="137">
        <f>_xll.xSPRDOPT($BW34,$BV34,$CG34,0,$BY34,$BX34,$BZ34,$AJ34,1,5)*$CB34</f>
        <v>6.5401253268639062E-2</v>
      </c>
      <c r="BL34" s="137">
        <f>_xll.xSPRDOPT(BW34,BV34,CG34,0,BY34,BX34,BZ34,AJ34,1,2)*CB34</f>
        <v>-0.74989283030590437</v>
      </c>
      <c r="BM34" s="137">
        <f>_xll.xSPRDOPT(BW34,BV34,CG34,0,BY34,BX34,BZ34,AJ34,1,1)*CB34</f>
        <v>0.75570171689661036</v>
      </c>
      <c r="BN34" s="137">
        <f>IF(AH34&lt;&gt;0,_xll.xSPRDOPT($BW34,$BV34,$CG34,2*LN(1+CA34/2),$BY34,$BX34,$BZ34,$AJ34,1,8)+(AJ34/365.25)*CH34/AH34,0)</f>
        <v>-2.4525965469168812E-3</v>
      </c>
      <c r="BO34" s="137">
        <f>_xll.xSPRDOPT($BW34,$BV34,$CG34,0,$BY34,$BX34,$BZ34,$AJ34,1,0)</f>
        <v>4.1621922060273514E-2</v>
      </c>
      <c r="BP34" s="137"/>
      <c r="BQ34" s="137"/>
      <c r="BR34" s="137"/>
      <c r="BS34" s="137"/>
      <c r="BV34" s="262">
        <v>3.4475292790751539</v>
      </c>
      <c r="BW34" s="136">
        <v>3.4785000000000004</v>
      </c>
      <c r="BX34" s="137">
        <v>0.56836354878586004</v>
      </c>
      <c r="BY34" s="137">
        <v>0.56836354878586004</v>
      </c>
      <c r="BZ34" s="137">
        <v>0.99941014163964037</v>
      </c>
      <c r="CA34" s="137">
        <v>2.50384261928196E-2</v>
      </c>
      <c r="CB34" s="137">
        <v>0.97331647833327972</v>
      </c>
      <c r="CC34" s="258">
        <v>-2.5000000000000001E-2</v>
      </c>
      <c r="CD34" s="258">
        <v>2.5000000000000001E-3</v>
      </c>
      <c r="CE34" s="258">
        <v>-2.5000000000000001E-2</v>
      </c>
      <c r="CF34" s="258">
        <v>5.7500000000000002E-2</v>
      </c>
      <c r="CG34" s="258">
        <v>3.8999999999999998E-3</v>
      </c>
      <c r="CH34" s="258">
        <v>1.2491543682929311</v>
      </c>
      <c r="CI34" s="258">
        <v>3.4460000000000002</v>
      </c>
    </row>
    <row r="35" spans="1:87" x14ac:dyDescent="0.25">
      <c r="A35" s="723"/>
      <c r="B35" s="723"/>
      <c r="D35" s="31">
        <f t="shared" si="36"/>
        <v>37667</v>
      </c>
      <c r="F35" s="28">
        <f t="shared" si="37"/>
        <v>40000</v>
      </c>
      <c r="G35" s="28">
        <f t="shared" si="12"/>
        <v>38813.552930393475</v>
      </c>
      <c r="H35" s="52">
        <f t="shared" si="38"/>
        <v>3.3720028599337382</v>
      </c>
      <c r="I35" s="52">
        <f t="shared" si="39"/>
        <v>3.4035000000000002</v>
      </c>
      <c r="K35" s="52">
        <f t="shared" si="28"/>
        <v>0.74980013968254067</v>
      </c>
      <c r="L35" s="135">
        <f t="shared" si="29"/>
        <v>0.34265532620608785</v>
      </c>
      <c r="N35" s="131">
        <f t="shared" si="30"/>
        <v>0.5545383214891465</v>
      </c>
      <c r="O35" s="131">
        <f t="shared" si="31"/>
        <v>0.5545383214891465</v>
      </c>
      <c r="P35" s="55">
        <f t="shared" si="32"/>
        <v>0.99947522543182943</v>
      </c>
      <c r="Q35" s="135">
        <f>_xll.xSPRDOPT(I35,H35,AQ35,0,O35,N35,P35,D35-$G$5,1,0)*AH35*AU35</f>
        <v>1.0924554658886285</v>
      </c>
      <c r="R35" s="135"/>
      <c r="S35" s="181">
        <f>_xll.xSPRDOPT(I35,H35,AQ35,AT35,O35,N35,P35,D35-$G$5,1,2)*AF35*(F35/(1-AR35))*AH35</f>
        <v>-872793.73640545749</v>
      </c>
      <c r="T35" s="181">
        <f>_xll.xSPRDOPT(I35,H35,AQ35,AT35,O35,N35,P35,D35-$G$5,1,1)*AF35*F35*AH35</f>
        <v>872517.71549304412</v>
      </c>
      <c r="U35" s="135"/>
      <c r="V35" s="146">
        <f t="shared" si="40"/>
        <v>1.1248167639228028</v>
      </c>
      <c r="W35" s="146"/>
      <c r="X35" s="338">
        <f t="shared" si="41"/>
        <v>0</v>
      </c>
      <c r="Y35" s="338">
        <f t="shared" si="13"/>
        <v>0</v>
      </c>
      <c r="Z35" s="338">
        <f t="shared" si="14"/>
        <v>-81.640926623078812</v>
      </c>
      <c r="AA35" s="338">
        <f t="shared" si="15"/>
        <v>8.7007065296239468</v>
      </c>
      <c r="AB35" s="338">
        <f t="shared" si="42"/>
        <v>0</v>
      </c>
      <c r="AC35" s="338">
        <f t="shared" si="43"/>
        <v>9.3407628402775043</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2.5000000000000001E-3</v>
      </c>
      <c r="AO35" s="258">
        <f t="shared" si="20"/>
        <v>-2.5000000000000001E-2</v>
      </c>
      <c r="AP35" s="258">
        <f t="shared" si="21"/>
        <v>5.7500000000000002E-2</v>
      </c>
      <c r="AQ35" s="136">
        <f t="shared" si="48"/>
        <v>3.8999999999999998E-3</v>
      </c>
      <c r="AR35" s="137">
        <f t="shared" si="22"/>
        <v>6.9699999999999996E-3</v>
      </c>
      <c r="AS35" s="136">
        <f t="shared" si="33"/>
        <v>3.3485</v>
      </c>
      <c r="AT35" s="137">
        <f t="shared" si="34"/>
        <v>2.6044986419747399E-2</v>
      </c>
      <c r="AU35" s="137">
        <f t="shared" si="23"/>
        <v>0.97033882325983689</v>
      </c>
      <c r="AV35" s="394">
        <f t="shared" si="35"/>
        <v>7634.6258614083963</v>
      </c>
      <c r="AW35" s="137">
        <f t="shared" si="24"/>
        <v>0.52749999999999997</v>
      </c>
      <c r="AX35" s="137">
        <f t="shared" si="25"/>
        <v>1.08</v>
      </c>
      <c r="AY35" s="137">
        <f t="shared" si="26"/>
        <v>1.08</v>
      </c>
      <c r="AZ35" s="137"/>
      <c r="BA35" s="264"/>
      <c r="BB35" s="258">
        <f t="shared" si="27"/>
        <v>0</v>
      </c>
      <c r="BC35" s="258">
        <f t="shared" si="49"/>
        <v>0</v>
      </c>
      <c r="BD35" s="137">
        <f t="shared" si="50"/>
        <v>1.8493142576248012E-4</v>
      </c>
      <c r="BE35" s="137">
        <f t="shared" si="51"/>
        <v>1.8493142576248012E-4</v>
      </c>
      <c r="BF35" s="137">
        <f>_xll.xSPRDOPT($BW35,$BV35,$CG35,0,$BY35,$BX35,$BZ35,$AJ35,1,4)*$CB35</f>
        <v>2.1362001741463974</v>
      </c>
      <c r="BG35" s="137">
        <f>_xll.xSPRDOPT($BW35,$BV35,$CG35,0,$BY35,$BX35,$BZ35,$AJ35,1,3)*$CB35</f>
        <v>2.1017038625326143</v>
      </c>
      <c r="BH35" s="137">
        <f>IF(OR(BF35&lt;&gt;0,BG35&lt;&gt;0),_xll.xSPRDOPT($BW35,$BV35,$CG35,0,$BY35,$BX35,$BZ35,$AJ35,1,12)*$CB35,0)</f>
        <v>-2.1188812068715261</v>
      </c>
      <c r="BI35" s="137">
        <f>_xll.xSPRDOPT($BW35,$BV35,$CG35,2*LN(1+CA35/2),$BY35,$BX35,$BZ35,$AJ35,1,9)</f>
        <v>-8.8748060860355769E-3</v>
      </c>
      <c r="BJ35" s="137">
        <f>_xll.xSPRDOPT($BW35,$BV35,$CG35,0,$BY35,$BX35,$BZ35,$AJ35,1,6)*$CB35</f>
        <v>-2.5734360831223164E-2</v>
      </c>
      <c r="BK35" s="137">
        <f>_xll.xSPRDOPT($BW35,$BV35,$CG35,0,$BY35,$BX35,$BZ35,$AJ35,1,5)*$CB35</f>
        <v>6.7741758659086757E-2</v>
      </c>
      <c r="BL35" s="137">
        <f>_xll.xSPRDOPT(BW35,BV35,CG35,0,BY35,BX35,BZ35,AJ35,1,2)*CB35</f>
        <v>-0.77488567191740865</v>
      </c>
      <c r="BM35" s="137">
        <f>_xll.xSPRDOPT(BW35,BV35,CG35,0,BY35,BX35,BZ35,AJ35,1,1)*CB35</f>
        <v>0.78005575576194175</v>
      </c>
      <c r="BN35" s="137">
        <f>IF(AH35&lt;&gt;0,_xll.xSPRDOPT($BW35,$BV35,$CG35,2*LN(1+CA35/2),$BY35,$BX35,$BZ35,$AJ35,1,8)+(AJ35/365.25)*CH35/AH35,0)</f>
        <v>-1.0097473066573298E-3</v>
      </c>
      <c r="BO35" s="137">
        <f>_xll.xSPRDOPT($BW35,$BV35,$CG35,0,$BY35,$BX35,$BZ35,$AJ35,1,0)</f>
        <v>4.01863030497603E-2</v>
      </c>
      <c r="BP35" s="137"/>
      <c r="BQ35" s="137"/>
      <c r="BR35" s="137"/>
      <c r="BS35" s="137"/>
      <c r="BV35" s="262">
        <v>3.3720028599337382</v>
      </c>
      <c r="BW35" s="136">
        <v>3.4035000000000002</v>
      </c>
      <c r="BX35" s="137">
        <v>0.55435339006338402</v>
      </c>
      <c r="BY35" s="137">
        <v>0.55435339006338402</v>
      </c>
      <c r="BZ35" s="137">
        <v>0.99947855602646396</v>
      </c>
      <c r="CA35" s="137">
        <v>2.6044986419747399E-2</v>
      </c>
      <c r="CB35" s="137">
        <v>0.97013260845196225</v>
      </c>
      <c r="CC35" s="258">
        <v>-2.5000000000000001E-2</v>
      </c>
      <c r="CD35" s="258">
        <v>2.5000000000000001E-3</v>
      </c>
      <c r="CE35" s="258">
        <v>-2.5000000000000001E-2</v>
      </c>
      <c r="CF35" s="258">
        <v>5.7500000000000002E-2</v>
      </c>
      <c r="CG35" s="258">
        <v>3.8999999999999998E-3</v>
      </c>
      <c r="CH35" s="258">
        <v>1.1245777197175146</v>
      </c>
      <c r="CI35" s="258">
        <v>3.371</v>
      </c>
    </row>
    <row r="36" spans="1:87" x14ac:dyDescent="0.25">
      <c r="A36" s="723"/>
      <c r="B36" s="723"/>
      <c r="D36" s="31">
        <f t="shared" si="36"/>
        <v>37695</v>
      </c>
      <c r="F36" s="28">
        <f t="shared" si="37"/>
        <v>40000</v>
      </c>
      <c r="G36" s="28">
        <f t="shared" si="12"/>
        <v>38693.551003283988</v>
      </c>
      <c r="H36" s="52">
        <f t="shared" si="38"/>
        <v>3.2813711569640396</v>
      </c>
      <c r="I36" s="52">
        <f t="shared" si="39"/>
        <v>3.3135000000000003</v>
      </c>
      <c r="K36" s="52">
        <f t="shared" si="28"/>
        <v>0.84651248777612509</v>
      </c>
      <c r="L36" s="135">
        <f t="shared" si="29"/>
        <v>0.24276548567447398</v>
      </c>
      <c r="N36" s="131">
        <f t="shared" si="30"/>
        <v>0.50303598357381651</v>
      </c>
      <c r="O36" s="131">
        <f t="shared" si="31"/>
        <v>0.50303598357381651</v>
      </c>
      <c r="P36" s="55">
        <f t="shared" si="32"/>
        <v>0.99961005336156439</v>
      </c>
      <c r="Q36" s="135">
        <f>_xll.xSPRDOPT(I36,H36,AQ36,0,O36,N36,P36,D36-$G$5,1,0)*AH36*AU36</f>
        <v>1.0892779734505991</v>
      </c>
      <c r="R36" s="135"/>
      <c r="S36" s="181">
        <f>_xll.xSPRDOPT(I36,H36,AQ36,AT36,O36,N36,P36,D36-$G$5,1,2)*AF36*(F36/(1-AR36))*AH36</f>
        <v>-1032888.9219002936</v>
      </c>
      <c r="T36" s="181">
        <f>_xll.xSPRDOPT(I36,H36,AQ36,AT36,O36,N36,P36,D36-$G$5,1,1)*AF36*F36*AH36</f>
        <v>1030096.8779573679</v>
      </c>
      <c r="U36" s="135"/>
      <c r="V36" s="146">
        <f t="shared" si="40"/>
        <v>1.2414825839403665</v>
      </c>
      <c r="W36" s="146"/>
      <c r="X36" s="338">
        <f t="shared" si="41"/>
        <v>0</v>
      </c>
      <c r="Y36" s="338">
        <f t="shared" si="13"/>
        <v>0</v>
      </c>
      <c r="Z36" s="338">
        <f t="shared" si="14"/>
        <v>-60.072209220133331</v>
      </c>
      <c r="AA36" s="338">
        <f t="shared" si="15"/>
        <v>4.2455723817789677</v>
      </c>
      <c r="AB36" s="338">
        <f t="shared" si="42"/>
        <v>0</v>
      </c>
      <c r="AC36" s="338">
        <f t="shared" si="43"/>
        <v>9.6407554535999296</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2.5000000000000001E-3</v>
      </c>
      <c r="AO36" s="258">
        <f t="shared" si="20"/>
        <v>-2.5000000000000001E-2</v>
      </c>
      <c r="AP36" s="258">
        <f t="shared" si="21"/>
        <v>5.7500000000000002E-2</v>
      </c>
      <c r="AQ36" s="136">
        <f t="shared" si="48"/>
        <v>3.8999999999999998E-3</v>
      </c>
      <c r="AR36" s="137">
        <f t="shared" si="22"/>
        <v>6.9699999999999996E-3</v>
      </c>
      <c r="AS36" s="136">
        <f t="shared" si="33"/>
        <v>3.2585000000000002</v>
      </c>
      <c r="AT36" s="137">
        <f t="shared" si="34"/>
        <v>2.6954137886657601E-2</v>
      </c>
      <c r="AU36" s="137">
        <f t="shared" si="23"/>
        <v>0.96733877508209964</v>
      </c>
      <c r="AV36" s="394">
        <f t="shared" si="35"/>
        <v>8426.4880697401695</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1.7165273373187659</v>
      </c>
      <c r="BG36" s="137">
        <f>_xll.xSPRDOPT($BW36,$BV36,$CG36,0,$BY36,$BX36,$BZ36,$AJ36,1,3)*$CB36</f>
        <v>1.6874106112277829</v>
      </c>
      <c r="BH36" s="137">
        <f>IF(OR(BF36&lt;&gt;0,BG36&lt;&gt;0),_xll.xSPRDOPT($BW36,$BV36,$CG36,0,$BY36,$BX36,$BZ36,$AJ36,1,12)*$CB36,0)</f>
        <v>-1.701907790274884</v>
      </c>
      <c r="BI36" s="137">
        <f>_xll.xSPRDOPT($BW36,$BV36,$CG36,2*LN(1+CA36/2),$BY36,$BX36,$BZ36,$AJ36,1,9)</f>
        <v>-5.8982189294768013E-3</v>
      </c>
      <c r="BJ36" s="137">
        <f>_xll.xSPRDOPT($BW36,$BV36,$CG36,0,$BY36,$BX36,$BZ36,$AJ36,1,6)*$CB36</f>
        <v>-3.5626096337096805E-2</v>
      </c>
      <c r="BK36" s="137">
        <f>_xll.xSPRDOPT($BW36,$BV36,$CG36,0,$BY36,$BX36,$BZ36,$AJ36,1,5)*$CB36</f>
        <v>6.9758049543664699E-2</v>
      </c>
      <c r="BL36" s="137">
        <f>_xll.xSPRDOPT(BW36,BV36,CG36,0,BY36,BX36,BZ36,AJ36,1,2)*CB36</f>
        <v>-0.82787874951497864</v>
      </c>
      <c r="BM36" s="137">
        <f>_xll.xSPRDOPT(BW36,BV36,CG36,0,BY36,BX36,BZ36,AJ36,1,1)*CB36</f>
        <v>0.83142329727521835</v>
      </c>
      <c r="BN36" s="137">
        <f>IF(AH36&lt;&gt;0,_xll.xSPRDOPT($BW36,$BV36,$CG36,2*LN(1+CA36/2),$BY36,$BX36,$BZ36,$AJ36,1,8)+(AJ36/365.25)*CH36/AH36,0)</f>
        <v>4.4426570884487163E-3</v>
      </c>
      <c r="BO36" s="137">
        <f>_xll.xSPRDOPT($BW36,$BV36,$CG36,0,$BY36,$BX36,$BZ36,$AJ36,1,0)</f>
        <v>3.6311970358414762E-2</v>
      </c>
      <c r="BP36" s="137"/>
      <c r="BQ36" s="137"/>
      <c r="BR36" s="137"/>
      <c r="BS36" s="137"/>
      <c r="BV36" s="262">
        <v>3.2813711569640396</v>
      </c>
      <c r="BW36" s="136">
        <v>3.3135000000000003</v>
      </c>
      <c r="BX36" s="137">
        <v>0.50293567145062035</v>
      </c>
      <c r="BY36" s="137">
        <v>0.50293567145062035</v>
      </c>
      <c r="BZ36" s="137">
        <v>0.99961245584110459</v>
      </c>
      <c r="CA36" s="137">
        <v>2.6954137886657601E-2</v>
      </c>
      <c r="CB36" s="137">
        <v>0.96712607036861076</v>
      </c>
      <c r="CC36" s="258">
        <v>-2.5000000000000001E-2</v>
      </c>
      <c r="CD36" s="258">
        <v>2.5000000000000001E-3</v>
      </c>
      <c r="CE36" s="258">
        <v>-2.5000000000000001E-2</v>
      </c>
      <c r="CF36" s="258">
        <v>5.7500000000000002E-2</v>
      </c>
      <c r="CG36" s="258">
        <v>3.8999999999999998E-3</v>
      </c>
      <c r="CH36" s="258">
        <v>1.2412095987110749</v>
      </c>
      <c r="CI36" s="258">
        <v>3.2810000000000001</v>
      </c>
    </row>
    <row r="37" spans="1:87" x14ac:dyDescent="0.25">
      <c r="A37" s="727"/>
      <c r="B37" s="723"/>
      <c r="D37" s="31">
        <f t="shared" si="36"/>
        <v>37726</v>
      </c>
      <c r="F37" s="28">
        <f t="shared" si="37"/>
        <v>40000</v>
      </c>
      <c r="G37" s="28">
        <f t="shared" si="12"/>
        <v>38554.260897345048</v>
      </c>
      <c r="H37" s="52">
        <f t="shared" si="38"/>
        <v>3.1252832240717803</v>
      </c>
      <c r="I37" s="52">
        <f t="shared" si="39"/>
        <v>3.1585000000000001</v>
      </c>
      <c r="K37" s="52">
        <f t="shared" si="28"/>
        <v>0.84771497085419367</v>
      </c>
      <c r="L37" s="135">
        <f t="shared" si="29"/>
        <v>6.0258642057780643E-2</v>
      </c>
      <c r="N37" s="131">
        <f t="shared" si="30"/>
        <v>0.38888404308877494</v>
      </c>
      <c r="O37" s="131">
        <f t="shared" si="31"/>
        <v>0.38888404308877494</v>
      </c>
      <c r="P37" s="55">
        <f t="shared" si="32"/>
        <v>0.99984118355316498</v>
      </c>
      <c r="Q37" s="135">
        <f>_xll.xSPRDOPT(I37,H37,AQ37,0,O37,N37,P37,D37-$G$5,1,0)*AH37*AU37</f>
        <v>0.90797361291197431</v>
      </c>
      <c r="R37" s="135"/>
      <c r="S37" s="181">
        <f>_xll.xSPRDOPT(I37,H37,AQ37,AT37,O37,N37,P37,D37-$G$5,1,2)*AF37*(F37/(1-AR37))*AH37</f>
        <v>-1104484.7440012898</v>
      </c>
      <c r="T37" s="181">
        <f>_xll.xSPRDOPT(I37,H37,AQ37,AT37,O37,N37,P37,D37-$G$5,1,1)*AF37*F37*AH37</f>
        <v>1098101.7866988557</v>
      </c>
      <c r="U37" s="135"/>
      <c r="V37" s="146">
        <f t="shared" si="40"/>
        <v>1.1971098008625638</v>
      </c>
      <c r="W37" s="146"/>
      <c r="X37" s="338">
        <f t="shared" si="41"/>
        <v>0</v>
      </c>
      <c r="Y37" s="338">
        <f t="shared" si="13"/>
        <v>0</v>
      </c>
      <c r="Z37" s="338">
        <f t="shared" si="14"/>
        <v>-9.9707784519509435</v>
      </c>
      <c r="AA37" s="338">
        <f t="shared" si="15"/>
        <v>0.12838241104187156</v>
      </c>
      <c r="AB37" s="338">
        <f t="shared" si="42"/>
        <v>0</v>
      </c>
      <c r="AC37" s="338">
        <f t="shared" si="43"/>
        <v>8.3426528901411547</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2.5000000000000001E-3</v>
      </c>
      <c r="AO37" s="258">
        <f t="shared" si="20"/>
        <v>-2.5000000000000001E-2</v>
      </c>
      <c r="AP37" s="258">
        <f t="shared" si="21"/>
        <v>5.7500000000000002E-2</v>
      </c>
      <c r="AQ37" s="136">
        <f t="shared" si="48"/>
        <v>3.8999999999999998E-3</v>
      </c>
      <c r="AR37" s="137">
        <f t="shared" si="22"/>
        <v>6.9699999999999996E-3</v>
      </c>
      <c r="AS37" s="136">
        <f t="shared" si="33"/>
        <v>3.1034999999999999</v>
      </c>
      <c r="AT37" s="137">
        <f t="shared" si="34"/>
        <v>2.79745964320606E-2</v>
      </c>
      <c r="AU37" s="137">
        <f t="shared" si="23"/>
        <v>0.96385652243362618</v>
      </c>
      <c r="AV37" s="394">
        <f t="shared" si="35"/>
        <v>8125.3104841154691</v>
      </c>
      <c r="AW37" s="137">
        <f t="shared" si="24"/>
        <v>0.38750000000000001</v>
      </c>
      <c r="AX37" s="137">
        <f t="shared" si="25"/>
        <v>0.43</v>
      </c>
      <c r="AY37" s="137">
        <f t="shared" si="26"/>
        <v>0.43</v>
      </c>
      <c r="AZ37" s="137"/>
      <c r="BA37" s="264"/>
      <c r="BB37" s="258">
        <f t="shared" si="27"/>
        <v>0</v>
      </c>
      <c r="BC37" s="258">
        <f t="shared" si="49"/>
        <v>0</v>
      </c>
      <c r="BD37" s="137">
        <f t="shared" si="50"/>
        <v>8.4934135016756507E-6</v>
      </c>
      <c r="BE37" s="137">
        <f t="shared" si="51"/>
        <v>8.4934135016756507E-6</v>
      </c>
      <c r="BF37" s="137">
        <f>_xll.xSPRDOPT($BW37,$BV37,$CG37,0,$BY37,$BX37,$BZ37,$AJ37,1,4)*$CB37</f>
        <v>0.87111483198605644</v>
      </c>
      <c r="BG37" s="137">
        <f>_xll.xSPRDOPT($BW37,$BV37,$CG37,0,$BY37,$BX37,$BZ37,$AJ37,1,3)*$CB37</f>
        <v>0.85502177772443044</v>
      </c>
      <c r="BH37" s="137">
        <f>IF(OR(BF37&lt;&gt;0,BG37&lt;&gt;0),_xll.xSPRDOPT($BW37,$BV37,$CG37,0,$BY37,$BX37,$BZ37,$AJ37,1,12)*$CB37,0)</f>
        <v>-0.86303144114344899</v>
      </c>
      <c r="BI37" s="137">
        <f>_xll.xSPRDOPT($BW37,$BV37,$CG37,2*LN(1+CA37/2),$BY37,$BX37,$BZ37,$AJ37,1,9)</f>
        <v>-1.0116185637708561E-3</v>
      </c>
      <c r="BJ37" s="137">
        <f>_xll.xSPRDOPT($BW37,$BV37,$CG37,0,$BY37,$BX37,$BZ37,$AJ37,1,6)*$CB37</f>
        <v>-4.4920819761921173E-2</v>
      </c>
      <c r="BK37" s="137">
        <f>_xll.xSPRDOPT($BW37,$BV37,$CG37,0,$BY37,$BX37,$BZ37,$AJ37,1,5)*$CB37</f>
        <v>5.7517091274403881E-2</v>
      </c>
      <c r="BL37" s="137">
        <f>_xll.xSPRDOPT(BW37,BV37,CG37,0,BY37,BX37,BZ37,AJ37,1,2)*CB37</f>
        <v>-0.91423808756638014</v>
      </c>
      <c r="BM37" s="137">
        <f>_xll.xSPRDOPT(BW37,BV37,CG37,0,BY37,BX37,BZ37,AJ37,1,1)*CB37</f>
        <v>0.91533158516183466</v>
      </c>
      <c r="BN37" s="137">
        <f>IF(AH37&lt;&gt;0,_xll.xSPRDOPT($BW37,$BV37,$CG37,2*LN(1+CA37/2),$BY37,$BX37,$BZ37,$AJ37,1,8)+(AJ37/365.25)*CH37/AH37,0)</f>
        <v>1.3584108278481707E-2</v>
      </c>
      <c r="BO37" s="137">
        <f>_xll.xSPRDOPT($BW37,$BV37,$CG37,0,$BY37,$BX37,$BZ37,$AJ37,1,0)</f>
        <v>3.1398924634931921E-2</v>
      </c>
      <c r="BP37" s="137"/>
      <c r="BQ37" s="137"/>
      <c r="BR37" s="137"/>
      <c r="BS37" s="137"/>
      <c r="BV37" s="262">
        <v>3.1252832240717803</v>
      </c>
      <c r="BW37" s="136">
        <v>3.1585000000000001</v>
      </c>
      <c r="BX37" s="137">
        <v>0.38887554967527327</v>
      </c>
      <c r="BY37" s="137">
        <v>0.38887554967527327</v>
      </c>
      <c r="BZ37" s="137">
        <v>0.99984215298894741</v>
      </c>
      <c r="CA37" s="137">
        <v>2.79745964320606E-2</v>
      </c>
      <c r="CB37" s="137">
        <v>0.96363661599031902</v>
      </c>
      <c r="CC37" s="258">
        <v>-2.5000000000000001E-2</v>
      </c>
      <c r="CD37" s="258">
        <v>2.5000000000000001E-3</v>
      </c>
      <c r="CE37" s="258">
        <v>-2.5000000000000001E-2</v>
      </c>
      <c r="CF37" s="258">
        <v>5.7500000000000002E-2</v>
      </c>
      <c r="CG37" s="258">
        <v>3.8999999999999998E-3</v>
      </c>
      <c r="CH37" s="258">
        <v>1.1968366770599763</v>
      </c>
      <c r="CI37" s="258">
        <v>3.1259999999999999</v>
      </c>
    </row>
    <row r="38" spans="1:87" x14ac:dyDescent="0.25">
      <c r="A38" s="723"/>
      <c r="B38" s="723"/>
      <c r="D38" s="31">
        <f t="shared" si="36"/>
        <v>37756</v>
      </c>
      <c r="F38" s="28">
        <f t="shared" si="37"/>
        <v>40000</v>
      </c>
      <c r="G38" s="28">
        <f t="shared" si="12"/>
        <v>38413.661757039205</v>
      </c>
      <c r="H38" s="52">
        <f t="shared" si="38"/>
        <v>3.1262902429936656</v>
      </c>
      <c r="I38" s="52">
        <f t="shared" si="39"/>
        <v>3.1595</v>
      </c>
      <c r="K38" s="52">
        <f t="shared" si="28"/>
        <v>0.87256869616231114</v>
      </c>
      <c r="L38" s="135">
        <f t="shared" si="29"/>
        <v>7.9944358582689112E-2</v>
      </c>
      <c r="N38" s="131">
        <f t="shared" si="30"/>
        <v>0.3761805213924197</v>
      </c>
      <c r="O38" s="131">
        <f t="shared" si="31"/>
        <v>0.3761805213924197</v>
      </c>
      <c r="P38" s="55">
        <f t="shared" si="32"/>
        <v>0.99979439096934763</v>
      </c>
      <c r="Q38" s="135">
        <f>_xll.xSPRDOPT(I38,H38,AQ38,0,O38,N38,P38,D38-$G$5,1,0)*AH38*AU38</f>
        <v>0.95251305474500025</v>
      </c>
      <c r="R38" s="135"/>
      <c r="S38" s="181">
        <f>_xll.xSPRDOPT(I38,H38,AQ38,AT38,O38,N38,P38,D38-$G$5,1,2)*AF38*(F38/(1-AR38))*AH38</f>
        <v>-1119019.6114697277</v>
      </c>
      <c r="T38" s="181">
        <f>_xll.xSPRDOPT(I38,H38,AQ38,AT38,O38,N38,P38,D38-$G$5,1,1)*AF38*F38*AH38</f>
        <v>1112966.6768597087</v>
      </c>
      <c r="U38" s="135"/>
      <c r="V38" s="146">
        <f t="shared" si="40"/>
        <v>1.2325023374746027</v>
      </c>
      <c r="W38" s="146"/>
      <c r="X38" s="338">
        <f t="shared" si="41"/>
        <v>0</v>
      </c>
      <c r="Y38" s="338">
        <f t="shared" si="13"/>
        <v>0</v>
      </c>
      <c r="Z38" s="338">
        <f t="shared" si="14"/>
        <v>-14.284349198249986</v>
      </c>
      <c r="AA38" s="338">
        <f t="shared" si="15"/>
        <v>0.44967629090126787</v>
      </c>
      <c r="AB38" s="338">
        <f t="shared" si="42"/>
        <v>0</v>
      </c>
      <c r="AC38" s="338">
        <f t="shared" si="43"/>
        <v>9.0610154414314827</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2.5000000000000001E-3</v>
      </c>
      <c r="AO38" s="258">
        <f t="shared" si="20"/>
        <v>-2.5000000000000001E-2</v>
      </c>
      <c r="AP38" s="258">
        <f t="shared" si="21"/>
        <v>5.7500000000000002E-2</v>
      </c>
      <c r="AQ38" s="136">
        <f t="shared" si="48"/>
        <v>3.8999999999999998E-3</v>
      </c>
      <c r="AR38" s="137">
        <f t="shared" si="22"/>
        <v>6.9699999999999996E-3</v>
      </c>
      <c r="AS38" s="136">
        <f t="shared" si="33"/>
        <v>3.1044999999999998</v>
      </c>
      <c r="AT38" s="137">
        <f t="shared" si="34"/>
        <v>2.8963180076380102E-2</v>
      </c>
      <c r="AU38" s="137">
        <f t="shared" si="23"/>
        <v>0.96034154392598015</v>
      </c>
      <c r="AV38" s="394">
        <f t="shared" si="35"/>
        <v>8365.5351891392129</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1.1268696406442169</v>
      </c>
      <c r="BG38" s="137">
        <f>_xll.xSPRDOPT($BW38,$BV38,$CG38,0,$BY38,$BX38,$BZ38,$AJ38,1,3)*$CB38</f>
        <v>1.1060639321169661</v>
      </c>
      <c r="BH38" s="137">
        <f>IF(OR(BF38&lt;&gt;0,BG38&lt;&gt;0),_xll.xSPRDOPT($BW38,$BV38,$CG38,0,$BY38,$BX38,$BZ38,$AJ38,1,12)*$CB38,0)</f>
        <v>-1.1164199551654808</v>
      </c>
      <c r="BI38" s="137">
        <f>_xll.xSPRDOPT($BW38,$BV38,$CG38,2*LN(1+CA38/2),$BY38,$BX38,$BZ38,$AJ38,1,9)</f>
        <v>-1.402515737812045E-3</v>
      </c>
      <c r="BJ38" s="137">
        <f>_xll.xSPRDOPT($BW38,$BV38,$CG38,0,$BY38,$BX38,$BZ38,$AJ38,1,6)*$CB38</f>
        <v>-4.4733216229250292E-2</v>
      </c>
      <c r="BK38" s="137">
        <f>_xll.xSPRDOPT($BW38,$BV38,$CG38,0,$BY38,$BX38,$BZ38,$AJ38,1,5)*$CB38</f>
        <v>6.1845737355299871E-2</v>
      </c>
      <c r="BL38" s="137">
        <f>_xll.xSPRDOPT(BW38,BV38,CG38,0,BY38,BX38,BZ38,AJ38,1,2)*CB38</f>
        <v>-0.89646223358788313</v>
      </c>
      <c r="BM38" s="137">
        <f>_xll.xSPRDOPT(BW38,BV38,CG38,0,BY38,BX38,BZ38,AJ38,1,1)*CB38</f>
        <v>0.89786776863227313</v>
      </c>
      <c r="BN38" s="137">
        <f>IF(AH38&lt;&gt;0,_xll.xSPRDOPT($BW38,$BV38,$CG38,2*LN(1+CA38/2),$BY38,$BX38,$BZ38,$AJ38,1,8)+(AJ38/365.25)*CH38/AH38,0)</f>
        <v>1.3373935052337901E-2</v>
      </c>
      <c r="BO38" s="137">
        <f>_xll.xSPRDOPT($BW38,$BV38,$CG38,0,$BY38,$BX38,$BZ38,$AJ38,1,0)</f>
        <v>3.1992985395914386E-2</v>
      </c>
      <c r="BP38" s="137"/>
      <c r="BQ38" s="137"/>
      <c r="BR38" s="137"/>
      <c r="BS38" s="137"/>
      <c r="BV38" s="262">
        <v>3.1262902429936656</v>
      </c>
      <c r="BW38" s="136">
        <v>3.1595</v>
      </c>
      <c r="BX38" s="137">
        <v>0.37615932976510713</v>
      </c>
      <c r="BY38" s="137">
        <v>0.37615932976510713</v>
      </c>
      <c r="BZ38" s="137">
        <v>0.99979555757360705</v>
      </c>
      <c r="CA38" s="137">
        <v>2.8963180076380102E-2</v>
      </c>
      <c r="CB38" s="137">
        <v>0.96011475289275328</v>
      </c>
      <c r="CC38" s="258">
        <v>-2.5000000000000001E-2</v>
      </c>
      <c r="CD38" s="258">
        <v>2.5000000000000001E-3</v>
      </c>
      <c r="CE38" s="258">
        <v>-2.5000000000000001E-2</v>
      </c>
      <c r="CF38" s="258">
        <v>5.7500000000000002E-2</v>
      </c>
      <c r="CG38" s="258">
        <v>3.8999999999999998E-3</v>
      </c>
      <c r="CH38" s="258">
        <v>1.2322112738625595</v>
      </c>
      <c r="CI38" s="258">
        <v>3.1269999999999998</v>
      </c>
    </row>
    <row r="39" spans="1:87" x14ac:dyDescent="0.25">
      <c r="A39" s="723"/>
      <c r="B39" s="723"/>
      <c r="D39" s="31">
        <f t="shared" si="36"/>
        <v>37787</v>
      </c>
      <c r="F39" s="28">
        <f t="shared" si="37"/>
        <v>40000</v>
      </c>
      <c r="G39" s="28">
        <f t="shared" si="12"/>
        <v>38262.506349663709</v>
      </c>
      <c r="H39" s="52">
        <f t="shared" si="38"/>
        <v>3.1615359052596599</v>
      </c>
      <c r="I39" s="52">
        <f t="shared" si="39"/>
        <v>3.1945000000000001</v>
      </c>
      <c r="K39" s="52">
        <f t="shared" si="28"/>
        <v>0.83404883216212178</v>
      </c>
      <c r="L39" s="135">
        <f t="shared" si="29"/>
        <v>7.5872442761895309E-2</v>
      </c>
      <c r="N39" s="131">
        <f t="shared" si="30"/>
        <v>0.37586425134556289</v>
      </c>
      <c r="O39" s="131">
        <f t="shared" si="31"/>
        <v>0.37586425134556289</v>
      </c>
      <c r="P39" s="55">
        <f t="shared" si="32"/>
        <v>0.99981182222111997</v>
      </c>
      <c r="Q39" s="135">
        <f>_xll.xSPRDOPT(I39,H39,AQ39,0,O39,N39,P39,D39-$G$5,1,0)*AH39*AU39</f>
        <v>0.90992127492401709</v>
      </c>
      <c r="R39" s="135"/>
      <c r="S39" s="181">
        <f>_xll.xSPRDOPT(I39,H39,AQ39,AT39,O39,N39,P39,D39-$G$5,1,2)*AF39*(F39/(1-AR39))*AH39</f>
        <v>-1083399.2463983488</v>
      </c>
      <c r="T39" s="181">
        <f>_xll.xSPRDOPT(I39,H39,AQ39,AT39,O39,N39,P39,D39-$G$5,1,1)*AF39*F39*AH39</f>
        <v>1077449.1518242161</v>
      </c>
      <c r="U39" s="135"/>
      <c r="V39" s="146">
        <f t="shared" si="40"/>
        <v>1.1880508221570583</v>
      </c>
      <c r="W39" s="146"/>
      <c r="X39" s="338">
        <f t="shared" si="41"/>
        <v>0</v>
      </c>
      <c r="Y39" s="338">
        <f t="shared" si="13"/>
        <v>0</v>
      </c>
      <c r="Z39" s="338">
        <f t="shared" si="14"/>
        <v>-12.2639473188257</v>
      </c>
      <c r="AA39" s="338">
        <f t="shared" si="15"/>
        <v>0.37448774850595112</v>
      </c>
      <c r="AB39" s="338">
        <f t="shared" si="42"/>
        <v>0</v>
      </c>
      <c r="AC39" s="338">
        <f t="shared" si="43"/>
        <v>8.9610218296344222</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2.5000000000000001E-3</v>
      </c>
      <c r="AO39" s="258">
        <f t="shared" si="20"/>
        <v>-2.5000000000000001E-2</v>
      </c>
      <c r="AP39" s="258">
        <f t="shared" si="21"/>
        <v>5.7500000000000002E-2</v>
      </c>
      <c r="AQ39" s="136">
        <f t="shared" si="48"/>
        <v>3.8999999999999998E-3</v>
      </c>
      <c r="AR39" s="137">
        <f t="shared" si="22"/>
        <v>6.9699999999999996E-3</v>
      </c>
      <c r="AS39" s="136">
        <f t="shared" si="33"/>
        <v>3.1395</v>
      </c>
      <c r="AT39" s="137">
        <f t="shared" si="34"/>
        <v>2.99847168551968E-2</v>
      </c>
      <c r="AU39" s="137">
        <f t="shared" si="23"/>
        <v>0.95656265874159274</v>
      </c>
      <c r="AV39" s="394">
        <f t="shared" si="35"/>
        <v>8063.8232131916266</v>
      </c>
      <c r="AW39" s="137">
        <f t="shared" si="24"/>
        <v>0.3725</v>
      </c>
      <c r="AX39" s="137">
        <f t="shared" si="25"/>
        <v>0.48</v>
      </c>
      <c r="AY39" s="137">
        <f t="shared" si="26"/>
        <v>0.48</v>
      </c>
      <c r="AZ39" s="137"/>
      <c r="BA39" s="264"/>
      <c r="BB39" s="258">
        <f t="shared" si="27"/>
        <v>0</v>
      </c>
      <c r="BC39" s="258">
        <f t="shared" si="49"/>
        <v>0</v>
      </c>
      <c r="BD39" s="137">
        <f t="shared" si="50"/>
        <v>1.8302058320429637E-5</v>
      </c>
      <c r="BE39" s="137">
        <f t="shared" si="51"/>
        <v>1.8302058320429637E-5</v>
      </c>
      <c r="BF39" s="137">
        <f>_xll.xSPRDOPT($BW39,$BV39,$CG39,0,$BY39,$BX39,$BZ39,$AJ39,1,4)*$CB39</f>
        <v>0.99753256103506505</v>
      </c>
      <c r="BG39" s="137">
        <f>_xll.xSPRDOPT($BW39,$BV39,$CG39,0,$BY39,$BX39,$BZ39,$AJ39,1,3)*$CB39</f>
        <v>0.97946705487940733</v>
      </c>
      <c r="BH39" s="137">
        <f>IF(OR(BF39&lt;&gt;0,BG39&lt;&gt;0),_xll.xSPRDOPT($BW39,$BV39,$CG39,0,$BY39,$BX39,$BZ39,$AJ39,1,12)*$CB39,0)</f>
        <v>-0.98845965615762643</v>
      </c>
      <c r="BI39" s="137">
        <f>_xll.xSPRDOPT($BW39,$BV39,$CG39,2*LN(1+CA39/2),$BY39,$BX39,$BZ39,$AJ39,1,9)</f>
        <v>-1.2442796550558573E-3</v>
      </c>
      <c r="BJ39" s="137">
        <f>_xll.xSPRDOPT($BW39,$BV39,$CG39,0,$BY39,$BX39,$BZ39,$AJ39,1,6)*$CB39</f>
        <v>-4.8919636553154462E-2</v>
      </c>
      <c r="BK39" s="137">
        <f>_xll.xSPRDOPT($BW39,$BV39,$CG39,0,$BY39,$BX39,$BZ39,$AJ39,1,5)*$CB39</f>
        <v>6.5970894848327105E-2</v>
      </c>
      <c r="BL39" s="137">
        <f>_xll.xSPRDOPT(BW39,BV39,CG39,0,BY39,BX39,BZ39,AJ39,1,2)*CB39</f>
        <v>-0.89685932247065525</v>
      </c>
      <c r="BM39" s="137">
        <f>_xll.xSPRDOPT(BW39,BV39,CG39,0,BY39,BX39,BZ39,AJ39,1,1)*CB39</f>
        <v>0.89819090073761609</v>
      </c>
      <c r="BN39" s="137">
        <f>IF(AH39&lt;&gt;0,_xll.xSPRDOPT($BW39,$BV39,$CG39,2*LN(1+CA39/2),$BY39,$BX39,$BZ39,$AJ39,1,8)+(AJ39/365.25)*CH39/AH39,0)</f>
        <v>1.4462746781275237E-2</v>
      </c>
      <c r="BO39" s="137">
        <f>_xll.xSPRDOPT($BW39,$BV39,$CG39,0,$BY39,$BX39,$BZ39,$AJ39,1,0)</f>
        <v>3.1705751268624467E-2</v>
      </c>
      <c r="BP39" s="137"/>
      <c r="BQ39" s="137"/>
      <c r="BR39" s="137"/>
      <c r="BS39" s="137"/>
      <c r="BV39" s="262">
        <v>3.1615359052596599</v>
      </c>
      <c r="BW39" s="136">
        <v>3.1945000000000001</v>
      </c>
      <c r="BX39" s="137">
        <v>0.37584594928724246</v>
      </c>
      <c r="BY39" s="137">
        <v>0.37584594928724246</v>
      </c>
      <c r="BZ39" s="137">
        <v>0.99981283228782292</v>
      </c>
      <c r="CA39" s="137">
        <v>2.99847168551968E-2</v>
      </c>
      <c r="CB39" s="137">
        <v>0.95632885259143241</v>
      </c>
      <c r="CC39" s="258">
        <v>-2.5000000000000001E-2</v>
      </c>
      <c r="CD39" s="258">
        <v>2.5000000000000001E-3</v>
      </c>
      <c r="CE39" s="258">
        <v>-2.5000000000000001E-2</v>
      </c>
      <c r="CF39" s="258">
        <v>5.7500000000000002E-2</v>
      </c>
      <c r="CG39" s="258">
        <v>3.8999999999999998E-3</v>
      </c>
      <c r="CH39" s="258">
        <v>1.1877604349185591</v>
      </c>
      <c r="CI39" s="258">
        <v>3.1619999999999999</v>
      </c>
    </row>
    <row r="40" spans="1:87" x14ac:dyDescent="0.25">
      <c r="A40" s="723"/>
      <c r="B40" s="723"/>
      <c r="D40" s="31">
        <f t="shared" si="36"/>
        <v>37817</v>
      </c>
      <c r="F40" s="28">
        <f t="shared" si="37"/>
        <v>40000</v>
      </c>
      <c r="G40" s="28">
        <f t="shared" si="12"/>
        <v>38111.094850481932</v>
      </c>
      <c r="H40" s="52">
        <f t="shared" si="38"/>
        <v>3.2038306999788531</v>
      </c>
      <c r="I40" s="52">
        <f t="shared" si="39"/>
        <v>3.2365000000000004</v>
      </c>
      <c r="K40" s="52">
        <f t="shared" si="28"/>
        <v>0.8497328794631358</v>
      </c>
      <c r="L40" s="135">
        <f t="shared" si="29"/>
        <v>0.10006625948048831</v>
      </c>
      <c r="N40" s="131">
        <f t="shared" si="30"/>
        <v>0.37759499646180722</v>
      </c>
      <c r="O40" s="131">
        <f t="shared" si="31"/>
        <v>0.37759499646180722</v>
      </c>
      <c r="P40" s="55">
        <f t="shared" si="32"/>
        <v>0.99977752513364926</v>
      </c>
      <c r="Q40" s="135">
        <f>_xll.xSPRDOPT(I40,H40,AQ40,0,O40,N40,P40,D40-$G$5,1,0)*AH40*AU40</f>
        <v>0.94979913894362411</v>
      </c>
      <c r="R40" s="135"/>
      <c r="S40" s="181">
        <f>_xll.xSPRDOPT(I40,H40,AQ40,AT40,O40,N40,P40,D40-$G$5,1,2)*AF40*(F40/(1-AR40))*AH40</f>
        <v>-1099180.426258015</v>
      </c>
      <c r="T40" s="181">
        <f>_xll.xSPRDOPT(I40,H40,AQ40,AT40,O40,N40,P40,D40-$G$5,1,1)*AF40*F40*AH40</f>
        <v>1093550.3550450052</v>
      </c>
      <c r="U40" s="135"/>
      <c r="V40" s="146">
        <f t="shared" si="40"/>
        <v>1.2227944782777125</v>
      </c>
      <c r="W40" s="146"/>
      <c r="X40" s="338">
        <f t="shared" si="41"/>
        <v>0</v>
      </c>
      <c r="Y40" s="338">
        <f t="shared" si="13"/>
        <v>0</v>
      </c>
      <c r="Z40" s="338">
        <f t="shared" si="14"/>
        <v>-16.936584977216501</v>
      </c>
      <c r="AA40" s="338">
        <f t="shared" si="15"/>
        <v>0.70833595096040713</v>
      </c>
      <c r="AB40" s="338">
        <f t="shared" si="42"/>
        <v>0</v>
      </c>
      <c r="AC40" s="338">
        <f t="shared" si="43"/>
        <v>9.6593199999347981</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2.5000000000000001E-3</v>
      </c>
      <c r="AO40" s="258">
        <f t="shared" si="20"/>
        <v>-2.5000000000000001E-2</v>
      </c>
      <c r="AP40" s="258">
        <f t="shared" si="21"/>
        <v>5.7500000000000002E-2</v>
      </c>
      <c r="AQ40" s="136">
        <f t="shared" si="48"/>
        <v>3.8999999999999998E-3</v>
      </c>
      <c r="AR40" s="137">
        <f t="shared" si="22"/>
        <v>6.9699999999999996E-3</v>
      </c>
      <c r="AS40" s="136">
        <f t="shared" si="33"/>
        <v>3.1815000000000002</v>
      </c>
      <c r="AT40" s="137">
        <f t="shared" si="34"/>
        <v>3.0965279300479799E-2</v>
      </c>
      <c r="AU40" s="137">
        <f t="shared" si="23"/>
        <v>0.9527773712620482</v>
      </c>
      <c r="AV40" s="394">
        <f t="shared" si="35"/>
        <v>8299.6436810637024</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1.1353097287633565</v>
      </c>
      <c r="BG40" s="137">
        <f>_xll.xSPRDOPT($BW40,$BV40,$CG40,0,$BY40,$BX40,$BZ40,$AJ40,1,3)*$CB40</f>
        <v>1.1152191997486283</v>
      </c>
      <c r="BH40" s="137">
        <f>IF(OR(BF40&lt;&gt;0,BG40&lt;&gt;0),_xll.xSPRDOPT($BW40,$BV40,$CG40,0,$BY40,$BX40,$BZ40,$AJ40,1,12)*$CB40,0)</f>
        <v>-1.1252207041354281</v>
      </c>
      <c r="BI40" s="137">
        <f>_xll.xSPRDOPT($BW40,$BV40,$CG40,2*LN(1+CA40/2),$BY40,$BX40,$BZ40,$AJ40,1,9)</f>
        <v>-1.6629267911097653E-3</v>
      </c>
      <c r="BJ40" s="137">
        <f>_xll.xSPRDOPT($BW40,$BV40,$CG40,0,$BY40,$BX40,$BZ40,$AJ40,1,6)*$CB40</f>
        <v>-5.0080878176709143E-2</v>
      </c>
      <c r="BK40" s="137">
        <f>_xll.xSPRDOPT($BW40,$BV40,$CG40,0,$BY40,$BX40,$BZ40,$AJ40,1,5)*$CB40</f>
        <v>7.1884607872544526E-2</v>
      </c>
      <c r="BL40" s="137">
        <f>_xll.xSPRDOPT(BW40,BV40,CG40,0,BY40,BX40,BZ40,AJ40,1,2)*CB40</f>
        <v>-0.88064315304118768</v>
      </c>
      <c r="BM40" s="137">
        <f>_xll.xSPRDOPT(BW40,BV40,CG40,0,BY40,BX40,BZ40,AJ40,1,1)*CB40</f>
        <v>0.88227804057886794</v>
      </c>
      <c r="BN40" s="137">
        <f>IF(AH40&lt;&gt;0,_xll.xSPRDOPT($BW40,$BV40,$CG40,2*LN(1+CA40/2),$BY40,$BX40,$BZ40,$AJ40,1,8)+(AJ40/365.25)*CH40/AH40,0)</f>
        <v>1.4088689878438997E-2</v>
      </c>
      <c r="BO40" s="137">
        <f>_xll.xSPRDOPT($BW40,$BV40,$CG40,0,$BY40,$BX40,$BZ40,$AJ40,1,0)</f>
        <v>3.2154148482252509E-2</v>
      </c>
      <c r="BP40" s="137"/>
      <c r="BQ40" s="137"/>
      <c r="BR40" s="137"/>
      <c r="BS40" s="137"/>
      <c r="BV40" s="262">
        <v>3.2038306999788531</v>
      </c>
      <c r="BW40" s="136">
        <v>3.2365000000000004</v>
      </c>
      <c r="BX40" s="137">
        <v>0.37756879733541471</v>
      </c>
      <c r="BY40" s="137">
        <v>0.37756879733541471</v>
      </c>
      <c r="BZ40" s="137">
        <v>0.99977864614272838</v>
      </c>
      <c r="CA40" s="137">
        <v>3.0965279300479799E-2</v>
      </c>
      <c r="CB40" s="137">
        <v>0.95253693379797033</v>
      </c>
      <c r="CC40" s="258">
        <v>-2.5000000000000001E-2</v>
      </c>
      <c r="CD40" s="258">
        <v>2.5000000000000001E-3</v>
      </c>
      <c r="CE40" s="258">
        <v>-2.5000000000000001E-2</v>
      </c>
      <c r="CF40" s="258">
        <v>5.7500000000000002E-2</v>
      </c>
      <c r="CG40" s="258">
        <v>3.8999999999999998E-3</v>
      </c>
      <c r="CH40" s="258">
        <v>1.2224859008363149</v>
      </c>
      <c r="CI40" s="258">
        <v>3.2040000000000002</v>
      </c>
    </row>
    <row r="41" spans="1:87" x14ac:dyDescent="0.25">
      <c r="A41" s="723"/>
      <c r="B41" s="723"/>
      <c r="D41" s="31">
        <f t="shared" si="36"/>
        <v>37848</v>
      </c>
      <c r="F41" s="28">
        <f t="shared" si="37"/>
        <v>40000</v>
      </c>
      <c r="G41" s="28">
        <f t="shared" si="12"/>
        <v>37949.679848327331</v>
      </c>
      <c r="H41" s="52">
        <f t="shared" si="38"/>
        <v>3.2461254946980453</v>
      </c>
      <c r="I41" s="52">
        <f t="shared" si="39"/>
        <v>3.2785000000000002</v>
      </c>
      <c r="K41" s="52">
        <f t="shared" si="28"/>
        <v>0.83746372903773136</v>
      </c>
      <c r="L41" s="135">
        <f t="shared" si="29"/>
        <v>0.12122749203652228</v>
      </c>
      <c r="N41" s="131">
        <f t="shared" si="30"/>
        <v>0.37920840226144648</v>
      </c>
      <c r="O41" s="131">
        <f t="shared" si="31"/>
        <v>0.37920840226144648</v>
      </c>
      <c r="P41" s="55">
        <f t="shared" si="32"/>
        <v>0.99974931128152122</v>
      </c>
      <c r="Q41" s="135">
        <f>_xll.xSPRDOPT(I41,H41,AQ41,0,O41,N41,P41,D41-$G$5,1,0)*AH41*AU41</f>
        <v>0.95869122107425364</v>
      </c>
      <c r="R41" s="135"/>
      <c r="S41" s="181">
        <f>_xll.xSPRDOPT(I41,H41,AQ41,AT41,O41,N41,P41,D41-$G$5,1,2)*AF41*(F41/(1-AR41))*AH41</f>
        <v>-1080645.7941964949</v>
      </c>
      <c r="T41" s="181">
        <f>_xll.xSPRDOPT(I41,H41,AQ41,AT41,O41,N41,P41,D41-$G$5,1,1)*AF41*F41*AH41</f>
        <v>1075484.7403050929</v>
      </c>
      <c r="U41" s="135"/>
      <c r="V41" s="146">
        <f t="shared" si="40"/>
        <v>1.2176154779335824</v>
      </c>
      <c r="W41" s="146"/>
      <c r="X41" s="338">
        <f t="shared" si="41"/>
        <v>0</v>
      </c>
      <c r="Y41" s="338">
        <f t="shared" si="13"/>
        <v>0</v>
      </c>
      <c r="Z41" s="338">
        <f t="shared" si="14"/>
        <v>-20.035789474545481</v>
      </c>
      <c r="AA41" s="338">
        <f t="shared" si="15"/>
        <v>1.0525041485117541</v>
      </c>
      <c r="AB41" s="338">
        <f t="shared" si="42"/>
        <v>0</v>
      </c>
      <c r="AC41" s="338">
        <f t="shared" si="43"/>
        <v>10.064855145060532</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2.5000000000000001E-3</v>
      </c>
      <c r="AO41" s="258">
        <f t="shared" si="20"/>
        <v>-2.5000000000000001E-2</v>
      </c>
      <c r="AP41" s="258">
        <f t="shared" si="21"/>
        <v>5.7500000000000002E-2</v>
      </c>
      <c r="AQ41" s="136">
        <f t="shared" si="48"/>
        <v>3.8999999999999998E-3</v>
      </c>
      <c r="AR41" s="137">
        <f t="shared" si="22"/>
        <v>6.9699999999999996E-3</v>
      </c>
      <c r="AS41" s="136">
        <f t="shared" si="33"/>
        <v>3.2235</v>
      </c>
      <c r="AT41" s="137">
        <f t="shared" si="34"/>
        <v>3.1967083332272501E-2</v>
      </c>
      <c r="AU41" s="137">
        <f t="shared" si="23"/>
        <v>0.94874199620818334</v>
      </c>
      <c r="AV41" s="394">
        <f t="shared" si="35"/>
        <v>8264.4915289694854</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1.2309280558571307</v>
      </c>
      <c r="BG41" s="137">
        <f>_xll.xSPRDOPT($BW41,$BV41,$CG41,0,$BY41,$BX41,$BZ41,$AJ41,1,3)*$CB41</f>
        <v>1.2096429613861985</v>
      </c>
      <c r="BH41" s="137">
        <f>IF(OR(BF41&lt;&gt;0,BG41&lt;&gt;0),_xll.xSPRDOPT($BW41,$BV41,$CG41,0,$BY41,$BX41,$BZ41,$AJ41,1,12)*$CB41,0)</f>
        <v>-1.220240047936584</v>
      </c>
      <c r="BI41" s="137">
        <f>_xll.xSPRDOPT($BW41,$BV41,$CG41,2*LN(1+CA41/2),$BY41,$BX41,$BZ41,$AJ41,1,9)</f>
        <v>-1.9672236842950908E-3</v>
      </c>
      <c r="BJ41" s="137">
        <f>_xll.xSPRDOPT($BW41,$BV41,$CG41,0,$BY41,$BX41,$BZ41,$AJ41,1,6)*$CB41</f>
        <v>-5.0428109132747229E-2</v>
      </c>
      <c r="BK41" s="137">
        <f>_xll.xSPRDOPT($BW41,$BV41,$CG41,0,$BY41,$BX41,$BZ41,$AJ41,1,5)*$CB41</f>
        <v>7.6405006560950756E-2</v>
      </c>
      <c r="BL41" s="137">
        <f>_xll.xSPRDOPT(BW41,BV41,CG41,0,BY41,BX41,BZ41,AJ41,1,2)*CB41</f>
        <v>-0.86585963386005227</v>
      </c>
      <c r="BM41" s="137">
        <f>_xll.xSPRDOPT(BW41,BV41,CG41,0,BY41,BX41,BZ41,AJ41,1,1)*CB41</f>
        <v>0.86776826713864597</v>
      </c>
      <c r="BN41" s="137">
        <f>IF(AH41&lt;&gt;0,_xll.xSPRDOPT($BW41,$BV41,$CG41,2*LN(1+CA41/2),$BY41,$BX41,$BZ41,$AJ41,1,8)+(AJ41/365.25)*CH41/AH41,0)</f>
        <v>1.3607966629606408E-2</v>
      </c>
      <c r="BO41" s="137">
        <f>_xll.xSPRDOPT($BW41,$BV41,$CG41,0,$BY41,$BX41,$BZ41,$AJ41,1,0)</f>
        <v>3.259243464664667E-2</v>
      </c>
      <c r="BP41" s="137"/>
      <c r="BQ41" s="137"/>
      <c r="BR41" s="137"/>
      <c r="BS41" s="137"/>
      <c r="BV41" s="262">
        <v>3.2461254946980453</v>
      </c>
      <c r="BW41" s="136">
        <v>3.2785000000000002</v>
      </c>
      <c r="BX41" s="137">
        <v>0.37917572731746979</v>
      </c>
      <c r="BY41" s="137">
        <v>0.37917572731746979</v>
      </c>
      <c r="BZ41" s="137">
        <v>0.99975050017206779</v>
      </c>
      <c r="CA41" s="137">
        <v>3.1967083332272501E-2</v>
      </c>
      <c r="CB41" s="137">
        <v>0.94849489337827508</v>
      </c>
      <c r="CC41" s="258">
        <v>-2.5000000000000001E-2</v>
      </c>
      <c r="CD41" s="258">
        <v>2.5000000000000001E-3</v>
      </c>
      <c r="CE41" s="258">
        <v>-2.5000000000000001E-2</v>
      </c>
      <c r="CF41" s="258">
        <v>5.7500000000000002E-2</v>
      </c>
      <c r="CG41" s="258">
        <v>3.8999999999999998E-3</v>
      </c>
      <c r="CH41" s="258">
        <v>1.2172983461616782</v>
      </c>
      <c r="CI41" s="258">
        <v>3.246</v>
      </c>
    </row>
    <row r="42" spans="1:87" x14ac:dyDescent="0.25">
      <c r="A42" s="723"/>
      <c r="B42" s="723"/>
      <c r="D42" s="31">
        <f t="shared" si="36"/>
        <v>37879</v>
      </c>
      <c r="F42" s="28">
        <f t="shared" si="37"/>
        <v>40000</v>
      </c>
      <c r="G42" s="28">
        <f t="shared" si="12"/>
        <v>37782.654454716088</v>
      </c>
      <c r="H42" s="52">
        <f t="shared" si="38"/>
        <v>3.241090400088618</v>
      </c>
      <c r="I42" s="52">
        <f t="shared" si="39"/>
        <v>3.2735000000000003</v>
      </c>
      <c r="K42" s="52">
        <f t="shared" si="28"/>
        <v>0.80787627157047015</v>
      </c>
      <c r="L42" s="135">
        <f t="shared" si="29"/>
        <v>0.11198759450948925</v>
      </c>
      <c r="N42" s="131">
        <f t="shared" si="30"/>
        <v>0.3762850500238793</v>
      </c>
      <c r="O42" s="131">
        <f t="shared" si="31"/>
        <v>0.3762850500238793</v>
      </c>
      <c r="P42" s="55">
        <f t="shared" si="32"/>
        <v>0.99976539247930196</v>
      </c>
      <c r="Q42" s="135">
        <f>_xll.xSPRDOPT(I42,H42,AQ42,0,O42,N42,P42,D42-$G$5,1,0)*AH42*AU42</f>
        <v>0.9198638660799594</v>
      </c>
      <c r="R42" s="135"/>
      <c r="S42" s="181">
        <f>_xll.xSPRDOPT(I42,H42,AQ42,AT42,O42,N42,P42,D42-$G$5,1,2)*AF42*(F42/(1-AR42))*AH42</f>
        <v>-1046942.9292863955</v>
      </c>
      <c r="T42" s="181">
        <f>_xll.xSPRDOPT(I42,H42,AQ42,AT42,O42,N42,P42,D42-$G$5,1,1)*AF42*F42*AH42</f>
        <v>1041825.5869429106</v>
      </c>
      <c r="U42" s="135"/>
      <c r="V42" s="146">
        <f t="shared" si="40"/>
        <v>1.1731514208189344</v>
      </c>
      <c r="W42" s="146"/>
      <c r="X42" s="338">
        <f t="shared" si="41"/>
        <v>0</v>
      </c>
      <c r="Y42" s="338">
        <f t="shared" si="13"/>
        <v>0</v>
      </c>
      <c r="Z42" s="338">
        <f t="shared" si="14"/>
        <v>-16.847677809719286</v>
      </c>
      <c r="AA42" s="338">
        <f t="shared" si="15"/>
        <v>0.88596647403507323</v>
      </c>
      <c r="AB42" s="338">
        <f t="shared" si="42"/>
        <v>0</v>
      </c>
      <c r="AC42" s="338">
        <f t="shared" si="43"/>
        <v>9.9598540466862246</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2.5000000000000001E-3</v>
      </c>
      <c r="AO42" s="258">
        <f t="shared" si="20"/>
        <v>-2.5000000000000001E-2</v>
      </c>
      <c r="AP42" s="258">
        <f t="shared" si="21"/>
        <v>5.7500000000000002E-2</v>
      </c>
      <c r="AQ42" s="136">
        <f t="shared" si="48"/>
        <v>3.8999999999999998E-3</v>
      </c>
      <c r="AR42" s="137">
        <f t="shared" si="22"/>
        <v>6.9699999999999996E-3</v>
      </c>
      <c r="AS42" s="136">
        <f t="shared" si="33"/>
        <v>3.2185000000000001</v>
      </c>
      <c r="AT42" s="137">
        <f t="shared" si="34"/>
        <v>3.2968887702129003E-2</v>
      </c>
      <c r="AU42" s="137">
        <f t="shared" si="23"/>
        <v>0.94456636136790217</v>
      </c>
      <c r="AV42" s="394">
        <f t="shared" si="35"/>
        <v>7962.6944263314153</v>
      </c>
      <c r="AW42" s="137">
        <f t="shared" si="24"/>
        <v>0.37</v>
      </c>
      <c r="AX42" s="137">
        <f t="shared" si="25"/>
        <v>0.57999999999999996</v>
      </c>
      <c r="AY42" s="137">
        <f t="shared" si="26"/>
        <v>0.57999999999999996</v>
      </c>
      <c r="AZ42" s="137"/>
      <c r="BA42" s="264"/>
      <c r="BB42" s="258">
        <f t="shared" si="27"/>
        <v>0</v>
      </c>
      <c r="BC42" s="258">
        <f t="shared" si="49"/>
        <v>0</v>
      </c>
      <c r="BD42" s="137">
        <f t="shared" si="50"/>
        <v>2.9170681815626764E-5</v>
      </c>
      <c r="BE42" s="137">
        <f t="shared" si="51"/>
        <v>2.9170681815626764E-5</v>
      </c>
      <c r="BF42" s="137">
        <f>_xll.xSPRDOPT($BW42,$BV42,$CG42,0,$BY42,$BX42,$BZ42,$AJ42,1,4)*$CB42</f>
        <v>1.1319877874312421</v>
      </c>
      <c r="BG42" s="137">
        <f>_xll.xSPRDOPT($BW42,$BV42,$CG42,0,$BY42,$BX42,$BZ42,$AJ42,1,3)*$CB42</f>
        <v>1.1123603159389059</v>
      </c>
      <c r="BH42" s="137">
        <f>IF(OR(BF42&lt;&gt;0,BG42&lt;&gt;0),_xll.xSPRDOPT($BW42,$BV42,$CG42,0,$BY42,$BX42,$BZ42,$AJ42,1,12)*$CB42,0)</f>
        <v>-1.122132361718895</v>
      </c>
      <c r="BI42" s="137">
        <f>_xll.xSPRDOPT($BW42,$BV42,$CG42,2*LN(1+CA42/2),$BY42,$BX42,$BZ42,$AJ42,1,9)</f>
        <v>-1.7093373111111026E-3</v>
      </c>
      <c r="BJ42" s="137">
        <f>_xll.xSPRDOPT($BW42,$BV42,$CG42,0,$BY42,$BX42,$BZ42,$AJ42,1,6)*$CB42</f>
        <v>-5.3548455540969833E-2</v>
      </c>
      <c r="BK42" s="137">
        <f>_xll.xSPRDOPT($BW42,$BV42,$CG42,0,$BY42,$BX42,$BZ42,$AJ42,1,5)*$CB42</f>
        <v>7.8858299160522005E-2</v>
      </c>
      <c r="BL42" s="137">
        <f>_xll.xSPRDOPT(BW42,BV42,CG42,0,BY42,BX42,BZ42,AJ42,1,2)*CB42</f>
        <v>-0.86682172495904841</v>
      </c>
      <c r="BM42" s="137">
        <f>_xll.xSPRDOPT(BW42,BV42,CG42,0,BY42,BX42,BZ42,AJ42,1,1)*CB42</f>
        <v>0.86863515705796024</v>
      </c>
      <c r="BN42" s="137">
        <f>IF(AH42&lt;&gt;0,_xll.xSPRDOPT($BW42,$BV42,$CG42,2*LN(1+CA42/2),$BY42,$BX42,$BZ42,$AJ42,1,8)+(AJ42/365.25)*CH42/AH42,0)</f>
        <v>1.4485526620919363E-2</v>
      </c>
      <c r="BO42" s="137">
        <f>_xll.xSPRDOPT($BW42,$BV42,$CG42,0,$BY42,$BX42,$BZ42,$AJ42,1,0)</f>
        <v>3.2457911539776334E-2</v>
      </c>
      <c r="BP42" s="137"/>
      <c r="BQ42" s="137"/>
      <c r="BR42" s="137"/>
      <c r="BS42" s="137"/>
      <c r="BV42" s="262">
        <v>3.241090400088618</v>
      </c>
      <c r="BW42" s="136">
        <v>3.2735000000000003</v>
      </c>
      <c r="BX42" s="137">
        <v>0.37625587934206367</v>
      </c>
      <c r="BY42" s="137">
        <v>0.37625587934206367</v>
      </c>
      <c r="BZ42" s="137">
        <v>0.99976645427757205</v>
      </c>
      <c r="CA42" s="137">
        <v>3.2968887702129003E-2</v>
      </c>
      <c r="CB42" s="137">
        <v>0.94431270003290391</v>
      </c>
      <c r="CC42" s="258">
        <v>-2.5000000000000001E-2</v>
      </c>
      <c r="CD42" s="258">
        <v>2.5000000000000001E-3</v>
      </c>
      <c r="CE42" s="258">
        <v>-2.5000000000000001E-2</v>
      </c>
      <c r="CF42" s="258">
        <v>5.7500000000000002E-2</v>
      </c>
      <c r="CG42" s="258">
        <v>3.8999999999999998E-3</v>
      </c>
      <c r="CH42" s="258">
        <v>1.1728363734408667</v>
      </c>
      <c r="CI42" s="258">
        <v>3.2410000000000001</v>
      </c>
    </row>
    <row r="43" spans="1:87" x14ac:dyDescent="0.25">
      <c r="A43" s="723"/>
      <c r="B43" s="723"/>
      <c r="D43" s="31">
        <f t="shared" si="36"/>
        <v>37909</v>
      </c>
      <c r="F43" s="28">
        <f t="shared" si="37"/>
        <v>40000</v>
      </c>
      <c r="G43" s="28">
        <f t="shared" si="12"/>
        <v>37617.894558702203</v>
      </c>
      <c r="H43" s="52">
        <f t="shared" si="38"/>
        <v>3.2672728920576417</v>
      </c>
      <c r="I43" s="52">
        <f t="shared" si="39"/>
        <v>3.2995000000000001</v>
      </c>
      <c r="K43" s="52">
        <f t="shared" si="28"/>
        <v>0.82584477378967569</v>
      </c>
      <c r="L43" s="135">
        <f t="shared" si="29"/>
        <v>0.14059712463339791</v>
      </c>
      <c r="N43" s="131">
        <f t="shared" si="30"/>
        <v>0.3804492507364664</v>
      </c>
      <c r="O43" s="131">
        <f t="shared" si="31"/>
        <v>0.3804492507364664</v>
      </c>
      <c r="P43" s="55">
        <f t="shared" si="32"/>
        <v>0.99973296560134584</v>
      </c>
      <c r="Q43" s="135">
        <f>_xll.xSPRDOPT(I43,H43,AQ43,0,O43,N43,P43,D43-$G$5,1,0)*AH43*AU43</f>
        <v>0.9664418984230736</v>
      </c>
      <c r="R43" s="135"/>
      <c r="S43" s="181">
        <f>_xll.xSPRDOPT(I43,H43,AQ43,AT43,O43,N43,P43,D43-$G$5,1,2)*AF43*(F43/(1-AR43))*AH43</f>
        <v>-1061495.2357692148</v>
      </c>
      <c r="T43" s="181">
        <f>_xll.xSPRDOPT(I43,H43,AQ43,AT43,O43,N43,P43,D43-$G$5,1,1)*AF43*F43*AH43</f>
        <v>1056756.432291013</v>
      </c>
      <c r="U43" s="135"/>
      <c r="V43" s="146">
        <f t="shared" si="40"/>
        <v>1.2069701469159602</v>
      </c>
      <c r="W43" s="146"/>
      <c r="X43" s="338">
        <f t="shared" si="41"/>
        <v>0</v>
      </c>
      <c r="Y43" s="338">
        <f t="shared" si="13"/>
        <v>0</v>
      </c>
      <c r="Z43" s="338">
        <f t="shared" si="14"/>
        <v>-20.451764584536065</v>
      </c>
      <c r="AA43" s="338">
        <f t="shared" si="15"/>
        <v>1.2913701560288797</v>
      </c>
      <c r="AB43" s="338">
        <f t="shared" si="42"/>
        <v>0</v>
      </c>
      <c r="AC43" s="338">
        <f t="shared" si="43"/>
        <v>10.761491622480287</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2.5000000000000001E-3</v>
      </c>
      <c r="AO43" s="258">
        <f t="shared" si="20"/>
        <v>-2.5000000000000001E-2</v>
      </c>
      <c r="AP43" s="258">
        <f t="shared" si="21"/>
        <v>5.7500000000000002E-2</v>
      </c>
      <c r="AQ43" s="136">
        <f t="shared" si="48"/>
        <v>3.8999999999999998E-3</v>
      </c>
      <c r="AR43" s="137">
        <f t="shared" si="22"/>
        <v>6.9699999999999996E-3</v>
      </c>
      <c r="AS43" s="136">
        <f t="shared" si="33"/>
        <v>3.2444999999999999</v>
      </c>
      <c r="AT43" s="137">
        <f t="shared" si="34"/>
        <v>3.3906701822071103E-2</v>
      </c>
      <c r="AU43" s="137">
        <f t="shared" si="23"/>
        <v>0.94044736396755513</v>
      </c>
      <c r="AV43" s="394">
        <f t="shared" si="35"/>
        <v>8192.2369875213735</v>
      </c>
      <c r="AW43" s="137">
        <f t="shared" si="24"/>
        <v>0.3725</v>
      </c>
      <c r="AX43" s="137">
        <f t="shared" si="25"/>
        <v>0.63</v>
      </c>
      <c r="AY43" s="137">
        <f t="shared" si="26"/>
        <v>0.63</v>
      </c>
      <c r="AZ43" s="137"/>
      <c r="BA43" s="264"/>
      <c r="BB43" s="258">
        <f t="shared" si="27"/>
        <v>0</v>
      </c>
      <c r="BC43" s="258">
        <f t="shared" si="49"/>
        <v>0</v>
      </c>
      <c r="BD43" s="137">
        <f t="shared" si="50"/>
        <v>3.5144750946347614E-5</v>
      </c>
      <c r="BE43" s="137">
        <f t="shared" si="51"/>
        <v>3.5144750946347614E-5</v>
      </c>
      <c r="BF43" s="137">
        <f>_xll.xSPRDOPT($BW43,$BV43,$CG43,0,$BY43,$BX43,$BZ43,$AJ43,1,4)*$CB43</f>
        <v>1.2391263542553907</v>
      </c>
      <c r="BG43" s="137">
        <f>_xll.xSPRDOPT($BW43,$BV43,$CG43,0,$BY43,$BX43,$BZ43,$AJ43,1,3)*$CB43</f>
        <v>1.2179446588613101</v>
      </c>
      <c r="BH43" s="137">
        <f>IF(OR(BF43&lt;&gt;0,BG43&lt;&gt;0),_xll.xSPRDOPT($BW43,$BV43,$CG43,0,$BY43,$BX43,$BZ43,$AJ43,1,12)*$CB43,0)</f>
        <v>-1.2284902312049375</v>
      </c>
      <c r="BI43" s="137">
        <f>_xll.xSPRDOPT($BW43,$BV43,$CG43,2*LN(1+CA43/2),$BY43,$BX43,$BZ43,$AJ43,1,9)</f>
        <v>-2.0080664017477949E-3</v>
      </c>
      <c r="BJ43" s="137">
        <f>_xll.xSPRDOPT($BW43,$BV43,$CG43,0,$BY43,$BX43,$BZ43,$AJ43,1,6)*$CB43</f>
        <v>-5.2526220633861691E-2</v>
      </c>
      <c r="BK43" s="137">
        <f>_xll.xSPRDOPT($BW43,$BV43,$CG43,0,$BY43,$BX43,$BZ43,$AJ43,1,5)*$CB43</f>
        <v>8.2158740914754724E-2</v>
      </c>
      <c r="BL43" s="137">
        <f>_xll.xSPRDOPT(BW43,BV43,CG43,0,BY43,BX43,BZ43,AJ43,1,2)*CB43</f>
        <v>-0.85059191117483057</v>
      </c>
      <c r="BM43" s="137">
        <f>_xll.xSPRDOPT(BW43,BV43,CG43,0,BY43,BX43,BZ43,AJ43,1,1)*CB43</f>
        <v>0.85273350341948895</v>
      </c>
      <c r="BN43" s="137">
        <f>IF(AH43&lt;&gt;0,_xll.xSPRDOPT($BW43,$BV43,$CG43,2*LN(1+CA43/2),$BY43,$BX43,$BZ43,$AJ43,1,8)+(AJ43/365.25)*CH43/AH43,0)</f>
        <v>1.331962301286839E-2</v>
      </c>
      <c r="BO43" s="137">
        <f>_xll.xSPRDOPT($BW43,$BV43,$CG43,0,$BY43,$BX43,$BZ43,$AJ43,1,0)</f>
        <v>3.3145124214972954E-2</v>
      </c>
      <c r="BP43" s="137"/>
      <c r="BQ43" s="137"/>
      <c r="BR43" s="137"/>
      <c r="BS43" s="137"/>
      <c r="BV43" s="262">
        <v>3.2672728920576417</v>
      </c>
      <c r="BW43" s="136">
        <v>3.2995000000000001</v>
      </c>
      <c r="BX43" s="137">
        <v>0.38041410598552006</v>
      </c>
      <c r="BY43" s="137">
        <v>0.38041410598552006</v>
      </c>
      <c r="BZ43" s="137">
        <v>0.99973410948479591</v>
      </c>
      <c r="CA43" s="137">
        <v>3.3906701822071103E-2</v>
      </c>
      <c r="CB43" s="137">
        <v>0.94018768577798628</v>
      </c>
      <c r="CC43" s="258">
        <v>-2.5000000000000001E-2</v>
      </c>
      <c r="CD43" s="258">
        <v>2.5000000000000001E-3</v>
      </c>
      <c r="CE43" s="258">
        <v>-2.5000000000000001E-2</v>
      </c>
      <c r="CF43" s="258">
        <v>5.7500000000000002E-2</v>
      </c>
      <c r="CG43" s="258">
        <v>3.8999999999999998E-3</v>
      </c>
      <c r="CH43" s="258">
        <v>1.2066368759274675</v>
      </c>
      <c r="CI43" s="258">
        <v>3.2669999999999999</v>
      </c>
    </row>
    <row r="44" spans="1:87" x14ac:dyDescent="0.25">
      <c r="A44" s="723"/>
      <c r="B44" s="723"/>
      <c r="D44" s="31">
        <f t="shared" si="36"/>
        <v>37940</v>
      </c>
      <c r="F44" s="28">
        <f t="shared" si="37"/>
        <v>40000</v>
      </c>
      <c r="G44" s="28">
        <f t="shared" si="12"/>
        <v>37445.255381412011</v>
      </c>
      <c r="H44" s="52">
        <f t="shared" si="38"/>
        <v>3.40322044651219</v>
      </c>
      <c r="I44" s="52">
        <f t="shared" si="39"/>
        <v>3.4345000000000003</v>
      </c>
      <c r="K44" s="52">
        <f t="shared" si="28"/>
        <v>0.76892577943506513</v>
      </c>
      <c r="L44" s="135">
        <f t="shared" si="29"/>
        <v>0.24218380665234862</v>
      </c>
      <c r="N44" s="131">
        <f t="shared" si="30"/>
        <v>0.38567537328980672</v>
      </c>
      <c r="O44" s="131">
        <f t="shared" si="31"/>
        <v>0.38567537328980672</v>
      </c>
      <c r="P44" s="55">
        <f t="shared" si="32"/>
        <v>0.99958257760901603</v>
      </c>
      <c r="Q44" s="135">
        <f>_xll.xSPRDOPT(I44,H44,AQ44,0,O44,N44,P44,D44-$G$5,1,0)*AH44*AU44</f>
        <v>1.0111095860874137</v>
      </c>
      <c r="R44" s="135"/>
      <c r="S44" s="181">
        <f>_xll.xSPRDOPT(I44,H44,AQ44,AT44,O44,N44,P44,D44-$G$5,1,2)*AF44*(F44/(1-AR44))*AH44</f>
        <v>-954539.83765137999</v>
      </c>
      <c r="T44" s="181">
        <f>_xll.xSPRDOPT(I44,H44,AQ44,AT44,O44,N44,P44,D44-$G$5,1,1)*AF44*F44*AH44</f>
        <v>952098.53238005238</v>
      </c>
      <c r="U44" s="135"/>
      <c r="V44" s="146">
        <f t="shared" si="40"/>
        <v>1.1626751795928429</v>
      </c>
      <c r="W44" s="146"/>
      <c r="X44" s="338">
        <f t="shared" si="41"/>
        <v>0</v>
      </c>
      <c r="Y44" s="338">
        <f t="shared" si="13"/>
        <v>0</v>
      </c>
      <c r="Z44" s="338">
        <f t="shared" si="14"/>
        <v>-32.227060901953536</v>
      </c>
      <c r="AA44" s="338">
        <f t="shared" si="15"/>
        <v>3.513521211589504</v>
      </c>
      <c r="AB44" s="338">
        <f t="shared" si="42"/>
        <v>0</v>
      </c>
      <c r="AC44" s="338">
        <f t="shared" si="43"/>
        <v>11.56622911552795</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2.5000000000000001E-3</v>
      </c>
      <c r="AO44" s="258">
        <f t="shared" si="20"/>
        <v>-2.5000000000000001E-2</v>
      </c>
      <c r="AP44" s="258">
        <f t="shared" si="21"/>
        <v>5.7500000000000002E-2</v>
      </c>
      <c r="AQ44" s="136">
        <f t="shared" si="48"/>
        <v>3.8999999999999998E-3</v>
      </c>
      <c r="AR44" s="137">
        <f t="shared" si="22"/>
        <v>6.9699999999999996E-3</v>
      </c>
      <c r="AS44" s="136">
        <f t="shared" si="33"/>
        <v>3.3795000000000002</v>
      </c>
      <c r="AT44" s="137">
        <f t="shared" si="34"/>
        <v>3.4836153967131397E-2</v>
      </c>
      <c r="AU44" s="137">
        <f t="shared" si="23"/>
        <v>0.9361313845353002</v>
      </c>
      <c r="AV44" s="394">
        <f t="shared" si="35"/>
        <v>7891.5875716325809</v>
      </c>
      <c r="AW44" s="137">
        <f t="shared" si="24"/>
        <v>0.37</v>
      </c>
      <c r="AX44" s="137">
        <f t="shared" si="25"/>
        <v>0.83</v>
      </c>
      <c r="AY44" s="137">
        <f t="shared" si="26"/>
        <v>0.83</v>
      </c>
      <c r="AZ44" s="137"/>
      <c r="BA44" s="264"/>
      <c r="BB44" s="258">
        <f t="shared" si="27"/>
        <v>0</v>
      </c>
      <c r="BC44" s="258">
        <f t="shared" si="49"/>
        <v>0</v>
      </c>
      <c r="BD44" s="137">
        <f t="shared" si="50"/>
        <v>6.5633014911969934E-5</v>
      </c>
      <c r="BE44" s="137">
        <f t="shared" si="51"/>
        <v>6.5633014911969934E-5</v>
      </c>
      <c r="BF44" s="137">
        <f>_xll.xSPRDOPT($BW44,$BV44,$CG44,0,$BY44,$BX44,$BZ44,$AJ44,1,4)*$CB44</f>
        <v>1.8104266089101997</v>
      </c>
      <c r="BG44" s="137">
        <f>_xll.xSPRDOPT($BW44,$BV44,$CG44,0,$BY44,$BX44,$BZ44,$AJ44,1,3)*$CB44</f>
        <v>1.7816797861582847</v>
      </c>
      <c r="BH44" s="137">
        <f>IF(OR(BF44&lt;&gt;0,BG44&lt;&gt;0),_xll.xSPRDOPT($BW44,$BV44,$CG44,0,$BY44,$BX44,$BZ44,$AJ44,1,12)*$CB44,0)</f>
        <v>-1.7959960618965176</v>
      </c>
      <c r="BI44" s="137">
        <f>_xll.xSPRDOPT($BW44,$BV44,$CG44,2*LN(1+CA44/2),$BY44,$BX44,$BZ44,$AJ44,1,9)</f>
        <v>-3.2697038873440356E-3</v>
      </c>
      <c r="BJ44" s="137">
        <f>_xll.xSPRDOPT($BW44,$BV44,$CG44,0,$BY44,$BX44,$BZ44,$AJ44,1,6)*$CB44</f>
        <v>-3.94861352611783E-2</v>
      </c>
      <c r="BK44" s="137">
        <f>_xll.xSPRDOPT($BW44,$BV44,$CG44,0,$BY44,$BX44,$BZ44,$AJ44,1,5)*$CB44</f>
        <v>8.4096829237652423E-2</v>
      </c>
      <c r="BL44" s="137">
        <f>_xll.xSPRDOPT(BW44,BV44,CG44,0,BY44,BX44,BZ44,AJ44,1,2)*CB44</f>
        <v>-0.79060660841950992</v>
      </c>
      <c r="BM44" s="137">
        <f>_xll.xSPRDOPT(BW44,BV44,CG44,0,BY44,BX44,BZ44,AJ44,1,1)*CB44</f>
        <v>0.79411136344548749</v>
      </c>
      <c r="BN44" s="137">
        <f>IF(AH44&lt;&gt;0,_xll.xSPRDOPT($BW44,$BV44,$CG44,2*LN(1+CA44/2),$BY44,$BX44,$BZ44,$AJ44,1,8)+(AJ44/365.25)*CH44/AH44,0)</f>
        <v>7.0149748870977913E-3</v>
      </c>
      <c r="BO44" s="137">
        <f>_xll.xSPRDOPT($BW44,$BV44,$CG44,0,$BY44,$BX44,$BZ44,$AJ44,1,0)</f>
        <v>3.5994463285857946E-2</v>
      </c>
      <c r="BP44" s="137"/>
      <c r="BQ44" s="137"/>
      <c r="BR44" s="137"/>
      <c r="BS44" s="137"/>
      <c r="BV44" s="262">
        <v>3.40322044651219</v>
      </c>
      <c r="BW44" s="136">
        <v>3.4345000000000003</v>
      </c>
      <c r="BX44" s="137">
        <v>0.38560974027489475</v>
      </c>
      <c r="BY44" s="137">
        <v>0.38560974027489475</v>
      </c>
      <c r="BZ44" s="137">
        <v>0.999584219965167</v>
      </c>
      <c r="CA44" s="137">
        <v>3.4836153967131397E-2</v>
      </c>
      <c r="CB44" s="137">
        <v>0.93586587426758006</v>
      </c>
      <c r="CC44" s="258">
        <v>-2.5000000000000001E-2</v>
      </c>
      <c r="CD44" s="258">
        <v>2.5000000000000001E-3</v>
      </c>
      <c r="CE44" s="258">
        <v>-2.5000000000000001E-2</v>
      </c>
      <c r="CF44" s="258">
        <v>5.7500000000000002E-2</v>
      </c>
      <c r="CG44" s="258">
        <v>3.8999999999999998E-3</v>
      </c>
      <c r="CH44" s="258">
        <v>1.1623454158403344</v>
      </c>
      <c r="CI44" s="258">
        <v>3.4020000000000001</v>
      </c>
    </row>
    <row r="45" spans="1:87" x14ac:dyDescent="0.25">
      <c r="A45" s="723"/>
      <c r="B45" s="723"/>
      <c r="D45" s="31">
        <f t="shared" si="36"/>
        <v>37970</v>
      </c>
      <c r="F45" s="28">
        <f t="shared" si="37"/>
        <v>40000</v>
      </c>
      <c r="G45" s="28">
        <f t="shared" si="12"/>
        <v>0</v>
      </c>
      <c r="H45" s="52">
        <f t="shared" si="38"/>
        <v>3.5391680009667383</v>
      </c>
      <c r="I45" s="52">
        <f t="shared" si="39"/>
        <v>3.5695000000000001</v>
      </c>
      <c r="K45" s="52">
        <f t="shared" si="28"/>
        <v>0</v>
      </c>
      <c r="L45" s="135">
        <f t="shared" si="29"/>
        <v>0</v>
      </c>
      <c r="N45" s="131">
        <f t="shared" si="30"/>
        <v>0.37</v>
      </c>
      <c r="O45" s="131">
        <f t="shared" si="31"/>
        <v>0.37</v>
      </c>
      <c r="P45" s="55">
        <f t="shared" si="32"/>
        <v>0</v>
      </c>
      <c r="Q45" s="135">
        <f>_xll.xSPRDOPT(I45,H45,AQ45,0,O45,N45,P45,D45-$G$5,1,0)*AH45*AU45</f>
        <v>0</v>
      </c>
      <c r="R45" s="135"/>
      <c r="S45" s="181">
        <f>_xll.xSPRDOPT(I45,H45,AQ45,AT45,O45,N45,P45,D45-$G$5,1,2)*AF45*(F45/(1-AR45))*AH45</f>
        <v>0</v>
      </c>
      <c r="T45" s="181">
        <f>_xll.xSPRDOPT(I45,H45,AQ45,AT45,O45,N45,P45,D45-$G$5,1,1)*AF45*F45*AH45</f>
        <v>0</v>
      </c>
      <c r="U45" s="135"/>
      <c r="V45" s="146">
        <f t="shared" si="40"/>
        <v>0</v>
      </c>
      <c r="W45" s="146"/>
      <c r="X45" s="338">
        <f t="shared" si="41"/>
        <v>0</v>
      </c>
      <c r="Y45" s="338">
        <f t="shared" si="13"/>
        <v>0</v>
      </c>
      <c r="Z45" s="338">
        <f t="shared" si="14"/>
        <v>0</v>
      </c>
      <c r="AA45" s="338">
        <f t="shared" si="15"/>
        <v>0</v>
      </c>
      <c r="AB45" s="338">
        <f t="shared" si="42"/>
        <v>0</v>
      </c>
      <c r="AC45" s="338">
        <f t="shared" si="43"/>
        <v>0</v>
      </c>
      <c r="AF45" s="138">
        <f t="shared" si="44"/>
        <v>0</v>
      </c>
      <c r="AG45" s="138">
        <f t="shared" si="45"/>
        <v>12</v>
      </c>
      <c r="AH45" s="138">
        <f t="shared" si="16"/>
        <v>0</v>
      </c>
      <c r="AI45" s="138">
        <f t="shared" si="46"/>
        <v>714</v>
      </c>
      <c r="AJ45" s="138">
        <f t="shared" si="47"/>
        <v>731</v>
      </c>
      <c r="AL45" s="136">
        <f t="shared" si="17"/>
        <v>3.5369999999999999</v>
      </c>
      <c r="AM45" s="258">
        <f t="shared" si="18"/>
        <v>-2.5000000000000001E-2</v>
      </c>
      <c r="AN45" s="258">
        <f t="shared" si="19"/>
        <v>2.5000000000000001E-3</v>
      </c>
      <c r="AO45" s="258">
        <f t="shared" si="20"/>
        <v>-2.5000000000000001E-2</v>
      </c>
      <c r="AP45" s="258">
        <f t="shared" si="21"/>
        <v>5.7500000000000002E-2</v>
      </c>
      <c r="AQ45" s="136">
        <f t="shared" si="48"/>
        <v>3.8999999999999998E-3</v>
      </c>
      <c r="AR45" s="137">
        <f t="shared" si="22"/>
        <v>6.9699999999999996E-3</v>
      </c>
      <c r="AS45" s="136">
        <f t="shared" si="33"/>
        <v>3.5145</v>
      </c>
      <c r="AT45" s="137">
        <f t="shared" si="34"/>
        <v>3.5735624061610197E-2</v>
      </c>
      <c r="AU45" s="137">
        <f t="shared" si="23"/>
        <v>0</v>
      </c>
      <c r="AV45" s="394">
        <f t="shared" si="35"/>
        <v>0</v>
      </c>
      <c r="AW45" s="137">
        <f t="shared" si="24"/>
        <v>0.37</v>
      </c>
      <c r="AX45" s="137">
        <f t="shared" si="25"/>
        <v>1.03</v>
      </c>
      <c r="AY45" s="137">
        <f t="shared" si="26"/>
        <v>1.03</v>
      </c>
      <c r="AZ45" s="137"/>
      <c r="BA45" s="264"/>
      <c r="BB45" s="258">
        <f t="shared" si="27"/>
        <v>0</v>
      </c>
      <c r="BC45" s="258">
        <f t="shared" si="49"/>
        <v>0</v>
      </c>
      <c r="BD45" s="137">
        <f t="shared" si="50"/>
        <v>0</v>
      </c>
      <c r="BE45" s="137">
        <f t="shared" si="51"/>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-0.19380583105036744</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1.0394430556697498</v>
      </c>
      <c r="BP45" s="137"/>
      <c r="BQ45" s="137"/>
      <c r="BR45" s="137"/>
      <c r="BS45" s="137"/>
      <c r="BV45" s="262">
        <v>3.5391680009667383</v>
      </c>
      <c r="BW45" s="136">
        <v>3.5695000000000001</v>
      </c>
      <c r="BX45" s="137">
        <v>0.37</v>
      </c>
      <c r="BY45" s="137">
        <v>0.37</v>
      </c>
      <c r="BZ45" s="137">
        <v>0</v>
      </c>
      <c r="CA45" s="137">
        <v>3.5735624061610197E-2</v>
      </c>
      <c r="CB45" s="137">
        <v>0</v>
      </c>
      <c r="CC45" s="258">
        <v>-2.5000000000000001E-2</v>
      </c>
      <c r="CD45" s="258">
        <v>2.5000000000000001E-3</v>
      </c>
      <c r="CE45" s="258">
        <v>-2.5000000000000001E-2</v>
      </c>
      <c r="CF45" s="258">
        <v>5.7500000000000002E-2</v>
      </c>
      <c r="CG45" s="258">
        <v>3.8999999999999998E-3</v>
      </c>
      <c r="CH45" s="258">
        <v>0</v>
      </c>
      <c r="CI45" s="258">
        <v>3.5369999999999999</v>
      </c>
    </row>
    <row r="46" spans="1:87" x14ac:dyDescent="0.25">
      <c r="A46" s="723"/>
      <c r="B46" s="723"/>
      <c r="D46" s="31">
        <f t="shared" si="36"/>
        <v>37970</v>
      </c>
      <c r="F46" s="28">
        <f t="shared" si="37"/>
        <v>40000</v>
      </c>
      <c r="G46" s="28">
        <f t="shared" si="12"/>
        <v>0</v>
      </c>
      <c r="H46" s="52">
        <f t="shared" si="38"/>
        <v>3.5391680009667383</v>
      </c>
      <c r="I46" s="52">
        <f t="shared" si="39"/>
        <v>3.5695000000000001</v>
      </c>
      <c r="K46" s="52">
        <f t="shared" si="28"/>
        <v>0</v>
      </c>
      <c r="L46" s="135">
        <f t="shared" si="29"/>
        <v>0</v>
      </c>
      <c r="N46" s="131">
        <f t="shared" si="30"/>
        <v>0.37</v>
      </c>
      <c r="O46" s="131">
        <f t="shared" si="31"/>
        <v>0.37</v>
      </c>
      <c r="P46" s="55">
        <f t="shared" si="32"/>
        <v>0</v>
      </c>
      <c r="Q46" s="135">
        <f>_xll.xSPRDOPT(I46,H46,AQ46,0,O46,N46,P46,D46-$G$5,1,0)*AH46*AU46</f>
        <v>0</v>
      </c>
      <c r="R46" s="135"/>
      <c r="S46" s="181">
        <f>_xll.xSPRDOPT(I46,H46,AQ46,AT46,O46,N46,P46,D46-$G$5,1,2)*AF46*(F46/(1-AR46))*AH46</f>
        <v>0</v>
      </c>
      <c r="T46" s="181">
        <f>_xll.xSPRDOPT(I46,H46,AQ46,AT46,O46,N46,P46,D46-$G$5,1,1)*AF46*F46*AH46</f>
        <v>0</v>
      </c>
      <c r="U46" s="135"/>
      <c r="V46" s="146">
        <f t="shared" si="40"/>
        <v>0</v>
      </c>
      <c r="W46" s="146"/>
      <c r="X46" s="338">
        <f t="shared" si="41"/>
        <v>0</v>
      </c>
      <c r="Y46" s="338">
        <f t="shared" si="13"/>
        <v>0</v>
      </c>
      <c r="Z46" s="338">
        <f t="shared" si="14"/>
        <v>0</v>
      </c>
      <c r="AA46" s="338">
        <f t="shared" si="15"/>
        <v>0</v>
      </c>
      <c r="AB46" s="338">
        <f t="shared" si="42"/>
        <v>0</v>
      </c>
      <c r="AC46" s="338">
        <f t="shared" si="43"/>
        <v>0</v>
      </c>
      <c r="AF46" s="138">
        <f t="shared" si="44"/>
        <v>0</v>
      </c>
      <c r="AG46" s="138">
        <f t="shared" si="45"/>
        <v>12</v>
      </c>
      <c r="AH46" s="138">
        <f t="shared" si="16"/>
        <v>0</v>
      </c>
      <c r="AI46" s="138">
        <f t="shared" si="46"/>
        <v>714</v>
      </c>
      <c r="AJ46" s="138">
        <f t="shared" si="47"/>
        <v>731</v>
      </c>
      <c r="AL46" s="136">
        <f t="shared" si="17"/>
        <v>3.5369999999999999</v>
      </c>
      <c r="AM46" s="258">
        <f t="shared" si="18"/>
        <v>-2.5000000000000001E-2</v>
      </c>
      <c r="AN46" s="258">
        <f t="shared" si="19"/>
        <v>2.5000000000000001E-3</v>
      </c>
      <c r="AO46" s="258">
        <f t="shared" si="20"/>
        <v>-2.5000000000000001E-2</v>
      </c>
      <c r="AP46" s="258">
        <f t="shared" si="21"/>
        <v>5.7500000000000002E-2</v>
      </c>
      <c r="AQ46" s="136">
        <f t="shared" si="48"/>
        <v>3.8999999999999998E-3</v>
      </c>
      <c r="AR46" s="137">
        <f t="shared" si="22"/>
        <v>6.9699999999999996E-3</v>
      </c>
      <c r="AS46" s="136">
        <f t="shared" si="33"/>
        <v>3.5145</v>
      </c>
      <c r="AT46" s="137">
        <f t="shared" si="34"/>
        <v>3.5735624061610197E-2</v>
      </c>
      <c r="AU46" s="137">
        <f t="shared" si="23"/>
        <v>0</v>
      </c>
      <c r="AV46" s="394">
        <f t="shared" si="35"/>
        <v>0</v>
      </c>
      <c r="AW46" s="137">
        <f t="shared" si="24"/>
        <v>0.37</v>
      </c>
      <c r="AX46" s="137">
        <f t="shared" si="25"/>
        <v>1.03</v>
      </c>
      <c r="AY46" s="137">
        <f t="shared" si="26"/>
        <v>1.03</v>
      </c>
      <c r="AZ46" s="137"/>
      <c r="BA46" s="264"/>
      <c r="BB46" s="258">
        <f t="shared" si="27"/>
        <v>0</v>
      </c>
      <c r="BC46" s="258">
        <f t="shared" si="49"/>
        <v>0</v>
      </c>
      <c r="BD46" s="137">
        <f t="shared" si="50"/>
        <v>0</v>
      </c>
      <c r="BE46" s="137">
        <f t="shared" si="51"/>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-0.19380583105036744</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1.0394430556697498</v>
      </c>
      <c r="BP46" s="137"/>
      <c r="BQ46" s="137"/>
      <c r="BR46" s="137"/>
      <c r="BS46" s="137"/>
      <c r="BV46" s="262">
        <v>3.5391680009667383</v>
      </c>
      <c r="BW46" s="136">
        <v>3.5695000000000001</v>
      </c>
      <c r="BX46" s="137">
        <v>0.37</v>
      </c>
      <c r="BY46" s="137">
        <v>0.37</v>
      </c>
      <c r="BZ46" s="137">
        <v>0</v>
      </c>
      <c r="CA46" s="137">
        <v>3.5735624061610197E-2</v>
      </c>
      <c r="CB46" s="137">
        <v>0</v>
      </c>
      <c r="CC46" s="258">
        <v>-2.5000000000000001E-2</v>
      </c>
      <c r="CD46" s="258">
        <v>2.5000000000000001E-3</v>
      </c>
      <c r="CE46" s="258">
        <v>-2.5000000000000001E-2</v>
      </c>
      <c r="CF46" s="258">
        <v>5.7500000000000002E-2</v>
      </c>
      <c r="CG46" s="258">
        <v>3.8999999999999998E-3</v>
      </c>
      <c r="CH46" s="258">
        <v>0</v>
      </c>
      <c r="CI46" s="258">
        <v>3.5369999999999999</v>
      </c>
    </row>
    <row r="47" spans="1:87" x14ac:dyDescent="0.25">
      <c r="A47" s="723"/>
      <c r="B47" s="723"/>
      <c r="D47" s="31">
        <f t="shared" si="36"/>
        <v>37970</v>
      </c>
      <c r="F47" s="28">
        <f t="shared" si="37"/>
        <v>40000</v>
      </c>
      <c r="G47" s="28">
        <f t="shared" si="12"/>
        <v>0</v>
      </c>
      <c r="H47" s="52">
        <f t="shared" si="38"/>
        <v>3.5391680009667383</v>
      </c>
      <c r="I47" s="52">
        <f t="shared" si="39"/>
        <v>3.5695000000000001</v>
      </c>
      <c r="K47" s="52">
        <f t="shared" si="28"/>
        <v>0</v>
      </c>
      <c r="L47" s="135">
        <f t="shared" si="29"/>
        <v>0</v>
      </c>
      <c r="N47" s="131">
        <f t="shared" si="30"/>
        <v>0.37</v>
      </c>
      <c r="O47" s="131">
        <f t="shared" si="31"/>
        <v>0.37</v>
      </c>
      <c r="P47" s="55">
        <f t="shared" si="32"/>
        <v>0</v>
      </c>
      <c r="Q47" s="135">
        <f>_xll.xSPRDOPT(I47,H47,AQ47,0,O47,N47,P47,D47-$G$5,1,0)*AH47*AU47</f>
        <v>0</v>
      </c>
      <c r="R47" s="135"/>
      <c r="S47" s="181">
        <f>_xll.xSPRDOPT(I47,H47,AQ47,AT47,O47,N47,P47,D47-$G$5,1,2)*AF47*(F47/(1-AR47))*AH47</f>
        <v>0</v>
      </c>
      <c r="T47" s="181">
        <f>_xll.xSPRDOPT(I47,H47,AQ47,AT47,O47,N47,P47,D47-$G$5,1,1)*AF47*F47*AH47</f>
        <v>0</v>
      </c>
      <c r="U47" s="135"/>
      <c r="V47" s="146">
        <f t="shared" si="40"/>
        <v>0</v>
      </c>
      <c r="W47" s="146"/>
      <c r="X47" s="338">
        <f t="shared" si="41"/>
        <v>0</v>
      </c>
      <c r="Y47" s="338">
        <f t="shared" si="13"/>
        <v>0</v>
      </c>
      <c r="Z47" s="338">
        <f t="shared" si="14"/>
        <v>0</v>
      </c>
      <c r="AA47" s="338">
        <f t="shared" si="15"/>
        <v>0</v>
      </c>
      <c r="AB47" s="338">
        <f t="shared" si="42"/>
        <v>0</v>
      </c>
      <c r="AC47" s="338">
        <f t="shared" si="43"/>
        <v>0</v>
      </c>
      <c r="AF47" s="138">
        <f t="shared" si="44"/>
        <v>0</v>
      </c>
      <c r="AG47" s="138">
        <f t="shared" si="45"/>
        <v>12</v>
      </c>
      <c r="AH47" s="138">
        <f t="shared" si="16"/>
        <v>0</v>
      </c>
      <c r="AI47" s="138">
        <f t="shared" si="46"/>
        <v>714</v>
      </c>
      <c r="AJ47" s="138">
        <f t="shared" si="47"/>
        <v>731</v>
      </c>
      <c r="AL47" s="136">
        <f t="shared" si="17"/>
        <v>3.5369999999999999</v>
      </c>
      <c r="AM47" s="258">
        <f t="shared" si="18"/>
        <v>-2.5000000000000001E-2</v>
      </c>
      <c r="AN47" s="258">
        <f t="shared" si="19"/>
        <v>2.5000000000000001E-3</v>
      </c>
      <c r="AO47" s="258">
        <f t="shared" si="20"/>
        <v>-2.5000000000000001E-2</v>
      </c>
      <c r="AP47" s="258">
        <f t="shared" si="21"/>
        <v>5.7500000000000002E-2</v>
      </c>
      <c r="AQ47" s="136">
        <f t="shared" si="48"/>
        <v>3.8999999999999998E-3</v>
      </c>
      <c r="AR47" s="137">
        <f t="shared" si="22"/>
        <v>6.9699999999999996E-3</v>
      </c>
      <c r="AS47" s="136">
        <f t="shared" si="33"/>
        <v>3.5145</v>
      </c>
      <c r="AT47" s="137">
        <f t="shared" si="34"/>
        <v>3.5735624061610197E-2</v>
      </c>
      <c r="AU47" s="137">
        <f t="shared" si="23"/>
        <v>0</v>
      </c>
      <c r="AV47" s="394">
        <f t="shared" si="35"/>
        <v>0</v>
      </c>
      <c r="AW47" s="137">
        <f t="shared" si="24"/>
        <v>0.37</v>
      </c>
      <c r="AX47" s="137">
        <f t="shared" si="25"/>
        <v>1.03</v>
      </c>
      <c r="AY47" s="137">
        <f t="shared" si="26"/>
        <v>1.03</v>
      </c>
      <c r="AZ47" s="137"/>
      <c r="BA47" s="264"/>
      <c r="BB47" s="258">
        <f t="shared" si="27"/>
        <v>0</v>
      </c>
      <c r="BC47" s="258">
        <f t="shared" si="49"/>
        <v>0</v>
      </c>
      <c r="BD47" s="137">
        <f t="shared" si="50"/>
        <v>0</v>
      </c>
      <c r="BE47" s="137">
        <f t="shared" si="51"/>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-0.19380583105036744</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1.0394430556697498</v>
      </c>
      <c r="BP47" s="137"/>
      <c r="BQ47" s="137"/>
      <c r="BR47" s="137"/>
      <c r="BS47" s="137"/>
      <c r="BV47" s="262">
        <v>3.5391680009667383</v>
      </c>
      <c r="BW47" s="136">
        <v>3.5695000000000001</v>
      </c>
      <c r="BX47" s="137">
        <v>0.37</v>
      </c>
      <c r="BY47" s="137">
        <v>0.37</v>
      </c>
      <c r="BZ47" s="137">
        <v>0</v>
      </c>
      <c r="CA47" s="137">
        <v>3.5735624061610197E-2</v>
      </c>
      <c r="CB47" s="137">
        <v>0</v>
      </c>
      <c r="CC47" s="258">
        <v>-2.5000000000000001E-2</v>
      </c>
      <c r="CD47" s="258">
        <v>2.5000000000000001E-3</v>
      </c>
      <c r="CE47" s="258">
        <v>-2.5000000000000001E-2</v>
      </c>
      <c r="CF47" s="258">
        <v>5.7500000000000002E-2</v>
      </c>
      <c r="CG47" s="258">
        <v>3.8999999999999998E-3</v>
      </c>
      <c r="CH47" s="258">
        <v>0</v>
      </c>
      <c r="CI47" s="258">
        <v>3.5369999999999999</v>
      </c>
    </row>
    <row r="48" spans="1:87" x14ac:dyDescent="0.25">
      <c r="A48" s="723"/>
      <c r="B48" s="723"/>
      <c r="D48" s="31">
        <f t="shared" si="36"/>
        <v>37970</v>
      </c>
      <c r="F48" s="28">
        <f t="shared" si="37"/>
        <v>40000</v>
      </c>
      <c r="G48" s="28">
        <f t="shared" si="12"/>
        <v>0</v>
      </c>
      <c r="H48" s="52">
        <f t="shared" si="38"/>
        <v>3.5391680009667383</v>
      </c>
      <c r="I48" s="52">
        <f t="shared" si="39"/>
        <v>3.5695000000000001</v>
      </c>
      <c r="K48" s="52">
        <f t="shared" si="28"/>
        <v>0</v>
      </c>
      <c r="L48" s="135">
        <f t="shared" si="29"/>
        <v>0</v>
      </c>
      <c r="N48" s="131">
        <f t="shared" si="30"/>
        <v>0.37</v>
      </c>
      <c r="O48" s="131">
        <f t="shared" si="31"/>
        <v>0.37</v>
      </c>
      <c r="P48" s="55">
        <f t="shared" si="32"/>
        <v>0</v>
      </c>
      <c r="Q48" s="135">
        <f>_xll.xSPRDOPT(I48,H48,AQ48,0,O48,N48,P48,D48-$G$5,1,0)*AH48*AU48</f>
        <v>0</v>
      </c>
      <c r="R48" s="135"/>
      <c r="S48" s="181">
        <f>_xll.xSPRDOPT(I48,H48,AQ48,AT48,O48,N48,P48,D48-$G$5,1,2)*AF48*(F48/(1-AR48))*AH48</f>
        <v>0</v>
      </c>
      <c r="T48" s="181">
        <f>_xll.xSPRDOPT(I48,H48,AQ48,AT48,O48,N48,P48,D48-$G$5,1,1)*AF48*F48*AH48</f>
        <v>0</v>
      </c>
      <c r="U48" s="135"/>
      <c r="V48" s="146">
        <f t="shared" si="40"/>
        <v>0</v>
      </c>
      <c r="W48" s="146"/>
      <c r="X48" s="338">
        <f t="shared" si="41"/>
        <v>0</v>
      </c>
      <c r="Y48" s="338">
        <f t="shared" si="13"/>
        <v>0</v>
      </c>
      <c r="Z48" s="338">
        <f t="shared" si="14"/>
        <v>0</v>
      </c>
      <c r="AA48" s="338">
        <f t="shared" si="15"/>
        <v>0</v>
      </c>
      <c r="AB48" s="338">
        <f t="shared" si="42"/>
        <v>0</v>
      </c>
      <c r="AC48" s="338">
        <f t="shared" si="43"/>
        <v>0</v>
      </c>
      <c r="AF48" s="138">
        <f t="shared" si="44"/>
        <v>0</v>
      </c>
      <c r="AG48" s="138">
        <f t="shared" si="45"/>
        <v>12</v>
      </c>
      <c r="AH48" s="138">
        <f t="shared" si="16"/>
        <v>0</v>
      </c>
      <c r="AI48" s="138">
        <f t="shared" si="46"/>
        <v>714</v>
      </c>
      <c r="AJ48" s="138">
        <f t="shared" si="47"/>
        <v>731</v>
      </c>
      <c r="AL48" s="136">
        <f t="shared" si="17"/>
        <v>3.5369999999999999</v>
      </c>
      <c r="AM48" s="258">
        <f t="shared" si="18"/>
        <v>-2.5000000000000001E-2</v>
      </c>
      <c r="AN48" s="258">
        <f t="shared" si="19"/>
        <v>2.5000000000000001E-3</v>
      </c>
      <c r="AO48" s="258">
        <f t="shared" si="20"/>
        <v>-2.5000000000000001E-2</v>
      </c>
      <c r="AP48" s="258">
        <f t="shared" si="21"/>
        <v>5.7500000000000002E-2</v>
      </c>
      <c r="AQ48" s="136">
        <f t="shared" si="48"/>
        <v>3.8999999999999998E-3</v>
      </c>
      <c r="AR48" s="137">
        <f t="shared" si="22"/>
        <v>6.9699999999999996E-3</v>
      </c>
      <c r="AS48" s="136">
        <f t="shared" si="33"/>
        <v>3.5145</v>
      </c>
      <c r="AT48" s="137">
        <f t="shared" si="34"/>
        <v>3.5735624061610197E-2</v>
      </c>
      <c r="AU48" s="137">
        <f t="shared" si="23"/>
        <v>0</v>
      </c>
      <c r="AV48" s="394">
        <f t="shared" si="35"/>
        <v>0</v>
      </c>
      <c r="AW48" s="137">
        <f t="shared" si="24"/>
        <v>0.37</v>
      </c>
      <c r="AX48" s="137">
        <f t="shared" si="25"/>
        <v>1.03</v>
      </c>
      <c r="AY48" s="137">
        <f t="shared" si="26"/>
        <v>1.03</v>
      </c>
      <c r="AZ48" s="137"/>
      <c r="BA48" s="264"/>
      <c r="BB48" s="258">
        <f t="shared" si="27"/>
        <v>0</v>
      </c>
      <c r="BC48" s="258">
        <f t="shared" si="49"/>
        <v>0</v>
      </c>
      <c r="BD48" s="137">
        <f t="shared" si="50"/>
        <v>0</v>
      </c>
      <c r="BE48" s="137">
        <f t="shared" si="51"/>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-0.19380583105036744</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1.0394430556697498</v>
      </c>
      <c r="BP48" s="137"/>
      <c r="BQ48" s="137"/>
      <c r="BR48" s="137"/>
      <c r="BS48" s="137"/>
      <c r="BV48" s="262">
        <v>3.5391680009667383</v>
      </c>
      <c r="BW48" s="136">
        <v>3.5695000000000001</v>
      </c>
      <c r="BX48" s="137">
        <v>0.37</v>
      </c>
      <c r="BY48" s="137">
        <v>0.37</v>
      </c>
      <c r="BZ48" s="137">
        <v>0</v>
      </c>
      <c r="CA48" s="137">
        <v>3.5735624061610197E-2</v>
      </c>
      <c r="CB48" s="137">
        <v>0</v>
      </c>
      <c r="CC48" s="258">
        <v>-2.5000000000000001E-2</v>
      </c>
      <c r="CD48" s="258">
        <v>2.5000000000000001E-3</v>
      </c>
      <c r="CE48" s="258">
        <v>-2.5000000000000001E-2</v>
      </c>
      <c r="CF48" s="258">
        <v>5.7500000000000002E-2</v>
      </c>
      <c r="CG48" s="258">
        <v>3.8999999999999998E-3</v>
      </c>
      <c r="CH48" s="258">
        <v>0</v>
      </c>
      <c r="CI48" s="258">
        <v>3.5369999999999999</v>
      </c>
    </row>
    <row r="49" spans="1:87" x14ac:dyDescent="0.25">
      <c r="A49" s="723"/>
      <c r="B49" s="723"/>
      <c r="D49" s="31">
        <f t="shared" si="36"/>
        <v>37970</v>
      </c>
      <c r="F49" s="28">
        <f t="shared" si="37"/>
        <v>40000</v>
      </c>
      <c r="G49" s="28">
        <f t="shared" si="12"/>
        <v>0</v>
      </c>
      <c r="H49" s="52">
        <f t="shared" si="38"/>
        <v>3.5391680009667383</v>
      </c>
      <c r="I49" s="52">
        <f t="shared" si="39"/>
        <v>3.5695000000000001</v>
      </c>
      <c r="K49" s="52">
        <f t="shared" si="28"/>
        <v>0</v>
      </c>
      <c r="L49" s="135">
        <f t="shared" si="29"/>
        <v>0</v>
      </c>
      <c r="N49" s="131">
        <f t="shared" si="30"/>
        <v>0.37</v>
      </c>
      <c r="O49" s="131">
        <f t="shared" si="31"/>
        <v>0.37</v>
      </c>
      <c r="P49" s="55">
        <f t="shared" si="32"/>
        <v>0</v>
      </c>
      <c r="Q49" s="135">
        <f>_xll.xSPRDOPT(I49,H49,AQ49,0,O49,N49,P49,D49-$G$5,1,0)*AH49*AU49</f>
        <v>0</v>
      </c>
      <c r="R49" s="135"/>
      <c r="S49" s="181">
        <f>_xll.xSPRDOPT(I49,H49,AQ49,AT49,O49,N49,P49,D49-$G$5,1,2)*AF49*(F49/(1-AR49))*AH49</f>
        <v>0</v>
      </c>
      <c r="T49" s="181">
        <f>_xll.xSPRDOPT(I49,H49,AQ49,AT49,O49,N49,P49,D49-$G$5,1,1)*AF49*F49*AH49</f>
        <v>0</v>
      </c>
      <c r="U49" s="135"/>
      <c r="V49" s="146">
        <f t="shared" si="40"/>
        <v>0</v>
      </c>
      <c r="W49" s="146"/>
      <c r="X49" s="338">
        <f t="shared" si="41"/>
        <v>0</v>
      </c>
      <c r="Y49" s="338">
        <f t="shared" si="13"/>
        <v>0</v>
      </c>
      <c r="Z49" s="338">
        <f t="shared" si="14"/>
        <v>0</v>
      </c>
      <c r="AA49" s="338">
        <f t="shared" si="15"/>
        <v>0</v>
      </c>
      <c r="AB49" s="338">
        <f t="shared" si="42"/>
        <v>0</v>
      </c>
      <c r="AC49" s="338">
        <f t="shared" si="43"/>
        <v>0</v>
      </c>
      <c r="AF49" s="138">
        <f t="shared" si="44"/>
        <v>0</v>
      </c>
      <c r="AG49" s="138">
        <f t="shared" si="45"/>
        <v>12</v>
      </c>
      <c r="AH49" s="138">
        <f t="shared" si="16"/>
        <v>0</v>
      </c>
      <c r="AI49" s="138">
        <f t="shared" si="46"/>
        <v>714</v>
      </c>
      <c r="AJ49" s="138">
        <f t="shared" si="47"/>
        <v>731</v>
      </c>
      <c r="AL49" s="136">
        <f t="shared" si="17"/>
        <v>3.5369999999999999</v>
      </c>
      <c r="AM49" s="258">
        <f t="shared" si="18"/>
        <v>-2.5000000000000001E-2</v>
      </c>
      <c r="AN49" s="258">
        <f t="shared" si="19"/>
        <v>2.5000000000000001E-3</v>
      </c>
      <c r="AO49" s="258">
        <f t="shared" si="20"/>
        <v>-2.5000000000000001E-2</v>
      </c>
      <c r="AP49" s="258">
        <f t="shared" si="21"/>
        <v>5.7500000000000002E-2</v>
      </c>
      <c r="AQ49" s="136">
        <f t="shared" si="48"/>
        <v>3.8999999999999998E-3</v>
      </c>
      <c r="AR49" s="137">
        <f t="shared" si="22"/>
        <v>6.9699999999999996E-3</v>
      </c>
      <c r="AS49" s="136">
        <f t="shared" si="33"/>
        <v>3.5145</v>
      </c>
      <c r="AT49" s="137">
        <f t="shared" si="34"/>
        <v>3.5735624061610197E-2</v>
      </c>
      <c r="AU49" s="137">
        <f t="shared" si="23"/>
        <v>0</v>
      </c>
      <c r="AV49" s="394">
        <f t="shared" si="35"/>
        <v>0</v>
      </c>
      <c r="AW49" s="137">
        <f t="shared" si="24"/>
        <v>0.37</v>
      </c>
      <c r="AX49" s="137">
        <f t="shared" si="25"/>
        <v>1.03</v>
      </c>
      <c r="AY49" s="137">
        <f t="shared" si="26"/>
        <v>1.03</v>
      </c>
      <c r="AZ49" s="137"/>
      <c r="BA49" s="264"/>
      <c r="BB49" s="258">
        <f t="shared" si="27"/>
        <v>0</v>
      </c>
      <c r="BC49" s="258">
        <f t="shared" si="49"/>
        <v>0</v>
      </c>
      <c r="BD49" s="137">
        <f t="shared" si="50"/>
        <v>0</v>
      </c>
      <c r="BE49" s="137">
        <f t="shared" si="51"/>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-0.19380583105036744</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1.0394430556697498</v>
      </c>
      <c r="BP49" s="137"/>
      <c r="BQ49" s="137"/>
      <c r="BR49" s="137"/>
      <c r="BS49" s="137"/>
      <c r="BV49" s="262">
        <v>3.5391680009667383</v>
      </c>
      <c r="BW49" s="136">
        <v>3.5695000000000001</v>
      </c>
      <c r="BX49" s="137">
        <v>0.37</v>
      </c>
      <c r="BY49" s="137">
        <v>0.37</v>
      </c>
      <c r="BZ49" s="137">
        <v>0</v>
      </c>
      <c r="CA49" s="137">
        <v>3.5735624061610197E-2</v>
      </c>
      <c r="CB49" s="137">
        <v>0</v>
      </c>
      <c r="CC49" s="258">
        <v>-2.5000000000000001E-2</v>
      </c>
      <c r="CD49" s="258">
        <v>2.5000000000000001E-3</v>
      </c>
      <c r="CE49" s="258">
        <v>-2.5000000000000001E-2</v>
      </c>
      <c r="CF49" s="258">
        <v>5.7500000000000002E-2</v>
      </c>
      <c r="CG49" s="258">
        <v>3.8999999999999998E-3</v>
      </c>
      <c r="CH49" s="258">
        <v>0</v>
      </c>
      <c r="CI49" s="258">
        <v>3.5369999999999999</v>
      </c>
    </row>
    <row r="50" spans="1:87" x14ac:dyDescent="0.25">
      <c r="A50" s="723"/>
      <c r="B50" s="723"/>
      <c r="D50" s="31">
        <f t="shared" si="36"/>
        <v>37970</v>
      </c>
      <c r="F50" s="28">
        <f t="shared" si="37"/>
        <v>40000</v>
      </c>
      <c r="G50" s="28">
        <f t="shared" si="12"/>
        <v>0</v>
      </c>
      <c r="H50" s="52">
        <f t="shared" si="38"/>
        <v>3.5391680009667383</v>
      </c>
      <c r="I50" s="52">
        <f t="shared" si="39"/>
        <v>3.5695000000000001</v>
      </c>
      <c r="K50" s="52">
        <f t="shared" si="28"/>
        <v>0</v>
      </c>
      <c r="L50" s="135">
        <f t="shared" si="29"/>
        <v>0</v>
      </c>
      <c r="N50" s="131">
        <f t="shared" si="30"/>
        <v>0.37</v>
      </c>
      <c r="O50" s="131">
        <f t="shared" si="31"/>
        <v>0.37</v>
      </c>
      <c r="P50" s="55">
        <f t="shared" si="32"/>
        <v>0</v>
      </c>
      <c r="Q50" s="135">
        <f>_xll.xSPRDOPT(I50,H50,AQ50,0,O50,N50,P50,D50-$G$5,1,0)*AH50*AU50</f>
        <v>0</v>
      </c>
      <c r="R50" s="135"/>
      <c r="S50" s="181">
        <f>_xll.xSPRDOPT(I50,H50,AQ50,AT50,O50,N50,P50,D50-$G$5,1,2)*AF50*(F50/(1-AR50))*AH50</f>
        <v>0</v>
      </c>
      <c r="T50" s="181">
        <f>_xll.xSPRDOPT(I50,H50,AQ50,AT50,O50,N50,P50,D50-$G$5,1,1)*AF50*F50*AH50</f>
        <v>0</v>
      </c>
      <c r="U50" s="135"/>
      <c r="V50" s="146">
        <f t="shared" si="40"/>
        <v>0</v>
      </c>
      <c r="W50" s="146"/>
      <c r="X50" s="338">
        <f t="shared" si="41"/>
        <v>0</v>
      </c>
      <c r="Y50" s="338">
        <f t="shared" si="13"/>
        <v>0</v>
      </c>
      <c r="Z50" s="338">
        <f t="shared" si="14"/>
        <v>0</v>
      </c>
      <c r="AA50" s="338">
        <f t="shared" si="15"/>
        <v>0</v>
      </c>
      <c r="AB50" s="338">
        <f t="shared" si="42"/>
        <v>0</v>
      </c>
      <c r="AC50" s="338">
        <f t="shared" si="43"/>
        <v>0</v>
      </c>
      <c r="AF50" s="138">
        <f t="shared" si="44"/>
        <v>0</v>
      </c>
      <c r="AG50" s="138">
        <f t="shared" si="45"/>
        <v>12</v>
      </c>
      <c r="AH50" s="138">
        <f t="shared" si="16"/>
        <v>0</v>
      </c>
      <c r="AI50" s="138">
        <f t="shared" si="46"/>
        <v>714</v>
      </c>
      <c r="AJ50" s="138">
        <f t="shared" si="47"/>
        <v>731</v>
      </c>
      <c r="AL50" s="136">
        <f t="shared" si="17"/>
        <v>3.5369999999999999</v>
      </c>
      <c r="AM50" s="258">
        <f t="shared" si="18"/>
        <v>-2.5000000000000001E-2</v>
      </c>
      <c r="AN50" s="258">
        <f t="shared" si="19"/>
        <v>2.5000000000000001E-3</v>
      </c>
      <c r="AO50" s="258">
        <f t="shared" si="20"/>
        <v>-2.5000000000000001E-2</v>
      </c>
      <c r="AP50" s="258">
        <f t="shared" si="21"/>
        <v>5.7500000000000002E-2</v>
      </c>
      <c r="AQ50" s="136">
        <f t="shared" si="48"/>
        <v>3.8999999999999998E-3</v>
      </c>
      <c r="AR50" s="137">
        <f t="shared" si="22"/>
        <v>6.9699999999999996E-3</v>
      </c>
      <c r="AS50" s="136">
        <f t="shared" si="33"/>
        <v>3.5145</v>
      </c>
      <c r="AT50" s="137">
        <f t="shared" si="34"/>
        <v>3.5735624061610197E-2</v>
      </c>
      <c r="AU50" s="137">
        <f t="shared" si="23"/>
        <v>0</v>
      </c>
      <c r="AV50" s="394">
        <f t="shared" si="35"/>
        <v>0</v>
      </c>
      <c r="AW50" s="137">
        <f t="shared" si="24"/>
        <v>0.37</v>
      </c>
      <c r="AX50" s="137">
        <f t="shared" si="25"/>
        <v>1.03</v>
      </c>
      <c r="AY50" s="137">
        <f t="shared" si="26"/>
        <v>1.03</v>
      </c>
      <c r="AZ50" s="137"/>
      <c r="BA50" s="264"/>
      <c r="BB50" s="258">
        <f t="shared" si="27"/>
        <v>0</v>
      </c>
      <c r="BC50" s="258">
        <f t="shared" si="49"/>
        <v>0</v>
      </c>
      <c r="BD50" s="137">
        <f t="shared" si="50"/>
        <v>0</v>
      </c>
      <c r="BE50" s="137">
        <f t="shared" si="51"/>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-0.19380583105036744</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1.0394430556697498</v>
      </c>
      <c r="BP50" s="137"/>
      <c r="BQ50" s="137"/>
      <c r="BR50" s="137"/>
      <c r="BS50" s="137"/>
      <c r="BV50" s="262">
        <v>3.5391680009667383</v>
      </c>
      <c r="BW50" s="136">
        <v>3.5695000000000001</v>
      </c>
      <c r="BX50" s="137">
        <v>0.37</v>
      </c>
      <c r="BY50" s="137">
        <v>0.37</v>
      </c>
      <c r="BZ50" s="137">
        <v>0</v>
      </c>
      <c r="CA50" s="137">
        <v>3.5735624061610197E-2</v>
      </c>
      <c r="CB50" s="137">
        <v>0</v>
      </c>
      <c r="CC50" s="258">
        <v>-2.5000000000000001E-2</v>
      </c>
      <c r="CD50" s="258">
        <v>2.5000000000000001E-3</v>
      </c>
      <c r="CE50" s="258">
        <v>-2.5000000000000001E-2</v>
      </c>
      <c r="CF50" s="258">
        <v>5.7500000000000002E-2</v>
      </c>
      <c r="CG50" s="258">
        <v>3.8999999999999998E-3</v>
      </c>
      <c r="CH50" s="258">
        <v>0</v>
      </c>
      <c r="CI50" s="258">
        <v>3.5369999999999999</v>
      </c>
    </row>
    <row r="51" spans="1:87" x14ac:dyDescent="0.25">
      <c r="A51" s="723"/>
      <c r="B51" s="723"/>
      <c r="D51" s="31">
        <f t="shared" si="36"/>
        <v>37970</v>
      </c>
      <c r="F51" s="28">
        <f t="shared" si="37"/>
        <v>40000</v>
      </c>
      <c r="G51" s="28">
        <f t="shared" si="12"/>
        <v>0</v>
      </c>
      <c r="H51" s="52">
        <f t="shared" si="38"/>
        <v>3.5391680009667383</v>
      </c>
      <c r="I51" s="52">
        <f t="shared" si="39"/>
        <v>3.5695000000000001</v>
      </c>
      <c r="K51" s="52">
        <f t="shared" si="28"/>
        <v>0</v>
      </c>
      <c r="L51" s="135">
        <f t="shared" si="29"/>
        <v>0</v>
      </c>
      <c r="N51" s="131">
        <f t="shared" si="30"/>
        <v>0.37</v>
      </c>
      <c r="O51" s="131">
        <f t="shared" si="31"/>
        <v>0.37</v>
      </c>
      <c r="P51" s="55">
        <f t="shared" si="32"/>
        <v>0</v>
      </c>
      <c r="Q51" s="135">
        <f>_xll.xSPRDOPT(I51,H51,AQ51,0,O51,N51,P51,D51-$G$5,1,0)*AH51*AU51</f>
        <v>0</v>
      </c>
      <c r="R51" s="135"/>
      <c r="S51" s="181">
        <f>_xll.xSPRDOPT(I51,H51,AQ51,AT51,O51,N51,P51,D51-$G$5,1,2)*AF51*(F51/(1-AR51))*AH51</f>
        <v>0</v>
      </c>
      <c r="T51" s="181">
        <f>_xll.xSPRDOPT(I51,H51,AQ51,AT51,O51,N51,P51,D51-$G$5,1,1)*AF51*F51*AH51</f>
        <v>0</v>
      </c>
      <c r="U51" s="135"/>
      <c r="V51" s="146">
        <f t="shared" si="40"/>
        <v>0</v>
      </c>
      <c r="W51" s="146"/>
      <c r="X51" s="338">
        <f t="shared" si="41"/>
        <v>0</v>
      </c>
      <c r="Y51" s="338">
        <f t="shared" si="13"/>
        <v>0</v>
      </c>
      <c r="Z51" s="338">
        <f t="shared" si="14"/>
        <v>0</v>
      </c>
      <c r="AA51" s="338">
        <f t="shared" si="15"/>
        <v>0</v>
      </c>
      <c r="AB51" s="338">
        <f t="shared" si="42"/>
        <v>0</v>
      </c>
      <c r="AC51" s="338">
        <f t="shared" si="43"/>
        <v>0</v>
      </c>
      <c r="AF51" s="138">
        <f t="shared" si="44"/>
        <v>0</v>
      </c>
      <c r="AG51" s="138">
        <f t="shared" si="45"/>
        <v>12</v>
      </c>
      <c r="AH51" s="138">
        <f t="shared" si="16"/>
        <v>0</v>
      </c>
      <c r="AI51" s="138">
        <f t="shared" si="46"/>
        <v>714</v>
      </c>
      <c r="AJ51" s="138">
        <f t="shared" si="47"/>
        <v>731</v>
      </c>
      <c r="AL51" s="136">
        <f t="shared" si="17"/>
        <v>3.5369999999999999</v>
      </c>
      <c r="AM51" s="258">
        <f t="shared" si="18"/>
        <v>-2.5000000000000001E-2</v>
      </c>
      <c r="AN51" s="258">
        <f t="shared" si="19"/>
        <v>2.5000000000000001E-3</v>
      </c>
      <c r="AO51" s="258">
        <f t="shared" si="20"/>
        <v>-2.5000000000000001E-2</v>
      </c>
      <c r="AP51" s="258">
        <f t="shared" si="21"/>
        <v>5.7500000000000002E-2</v>
      </c>
      <c r="AQ51" s="136">
        <f t="shared" si="48"/>
        <v>3.8999999999999998E-3</v>
      </c>
      <c r="AR51" s="137">
        <f t="shared" si="22"/>
        <v>6.9699999999999996E-3</v>
      </c>
      <c r="AS51" s="136">
        <f t="shared" si="33"/>
        <v>3.5145</v>
      </c>
      <c r="AT51" s="137">
        <f t="shared" si="34"/>
        <v>3.5735624061610197E-2</v>
      </c>
      <c r="AU51" s="137">
        <f t="shared" si="23"/>
        <v>0</v>
      </c>
      <c r="AV51" s="394">
        <f t="shared" si="35"/>
        <v>0</v>
      </c>
      <c r="AW51" s="137">
        <f t="shared" si="24"/>
        <v>0.37</v>
      </c>
      <c r="AX51" s="137">
        <f t="shared" si="25"/>
        <v>1.03</v>
      </c>
      <c r="AY51" s="137">
        <f t="shared" si="26"/>
        <v>1.03</v>
      </c>
      <c r="AZ51" s="137"/>
      <c r="BA51" s="264"/>
      <c r="BB51" s="258">
        <f t="shared" si="27"/>
        <v>0</v>
      </c>
      <c r="BC51" s="258">
        <f t="shared" si="49"/>
        <v>0</v>
      </c>
      <c r="BD51" s="137">
        <f t="shared" si="50"/>
        <v>0</v>
      </c>
      <c r="BE51" s="137">
        <f t="shared" si="51"/>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-0.19380583105036744</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1.0394430556697498</v>
      </c>
      <c r="BP51" s="137"/>
      <c r="BQ51" s="137"/>
      <c r="BR51" s="137"/>
      <c r="BS51" s="137"/>
      <c r="BV51" s="262">
        <v>3.5391680009667383</v>
      </c>
      <c r="BW51" s="136">
        <v>3.5695000000000001</v>
      </c>
      <c r="BX51" s="137">
        <v>0.37</v>
      </c>
      <c r="BY51" s="137">
        <v>0.37</v>
      </c>
      <c r="BZ51" s="137">
        <v>0</v>
      </c>
      <c r="CA51" s="137">
        <v>3.5735624061610197E-2</v>
      </c>
      <c r="CB51" s="137">
        <v>0</v>
      </c>
      <c r="CC51" s="258">
        <v>-2.5000000000000001E-2</v>
      </c>
      <c r="CD51" s="258">
        <v>2.5000000000000001E-3</v>
      </c>
      <c r="CE51" s="258">
        <v>-2.5000000000000001E-2</v>
      </c>
      <c r="CF51" s="258">
        <v>5.7500000000000002E-2</v>
      </c>
      <c r="CG51" s="258">
        <v>3.8999999999999998E-3</v>
      </c>
      <c r="CH51" s="258">
        <v>0</v>
      </c>
      <c r="CI51" s="258">
        <v>3.5369999999999999</v>
      </c>
    </row>
    <row r="52" spans="1:87" x14ac:dyDescent="0.25">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7" x14ac:dyDescent="0.25">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7" x14ac:dyDescent="0.25">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7" x14ac:dyDescent="0.25">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7" x14ac:dyDescent="0.25">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7" x14ac:dyDescent="0.25">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7" x14ac:dyDescent="0.25">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7" x14ac:dyDescent="0.25">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7" x14ac:dyDescent="0.25">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7" x14ac:dyDescent="0.25">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7" x14ac:dyDescent="0.25">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7" x14ac:dyDescent="0.25">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7" x14ac:dyDescent="0.25">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5">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5">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5">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5">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5">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5">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5">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5">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5">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5">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5">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5">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5">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5">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5">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5">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5">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5">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5">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5">
      <c r="A84" s="723"/>
      <c r="B84" s="723"/>
      <c r="L84" s="135"/>
      <c r="P84" s="55"/>
      <c r="Q84" s="135"/>
      <c r="R84" s="55"/>
      <c r="U84" s="55"/>
      <c r="V84" s="55"/>
      <c r="W84" s="55"/>
      <c r="X84" s="55"/>
      <c r="AO84" s="136"/>
      <c r="AQ84" s="137"/>
      <c r="AU84" s="145"/>
      <c r="AV84" s="34"/>
      <c r="AW84" s="137"/>
    </row>
    <row r="85" spans="1:84" x14ac:dyDescent="0.25">
      <c r="A85" s="723"/>
      <c r="B85" s="723"/>
      <c r="L85" s="135"/>
      <c r="P85" s="55"/>
      <c r="Q85" s="135"/>
      <c r="R85" s="55"/>
      <c r="U85" s="55"/>
      <c r="V85" s="55"/>
      <c r="W85" s="55"/>
      <c r="X85" s="55"/>
      <c r="AO85" s="136"/>
      <c r="AQ85" s="137"/>
      <c r="AU85" s="145"/>
      <c r="AV85" s="34"/>
      <c r="AW85" s="137"/>
    </row>
    <row r="86" spans="1:84" x14ac:dyDescent="0.25">
      <c r="A86" s="723"/>
      <c r="B86" s="723"/>
      <c r="L86" s="135"/>
      <c r="P86" s="55"/>
      <c r="Q86" s="135"/>
      <c r="R86" s="55"/>
      <c r="U86" s="55"/>
      <c r="V86" s="55"/>
      <c r="W86" s="55"/>
      <c r="X86" s="55"/>
      <c r="AO86" s="136"/>
      <c r="AQ86" s="137"/>
      <c r="AU86" s="145"/>
      <c r="AV86" s="34"/>
      <c r="AW86" s="137"/>
    </row>
    <row r="87" spans="1:84" x14ac:dyDescent="0.25">
      <c r="A87" s="723"/>
      <c r="B87" s="723"/>
      <c r="L87" s="135"/>
      <c r="P87" s="55"/>
      <c r="Q87" s="135"/>
      <c r="R87" s="55"/>
      <c r="U87" s="55"/>
      <c r="V87" s="55"/>
      <c r="W87" s="55"/>
      <c r="X87" s="55"/>
      <c r="AO87" s="136"/>
      <c r="AQ87" s="137"/>
      <c r="AU87" s="145"/>
      <c r="AV87" s="34"/>
      <c r="AW87" s="137"/>
    </row>
    <row r="88" spans="1:84" x14ac:dyDescent="0.25">
      <c r="A88" s="723"/>
      <c r="B88" s="723"/>
      <c r="L88" s="135"/>
      <c r="P88" s="55"/>
      <c r="Q88" s="135"/>
      <c r="R88" s="55"/>
      <c r="U88" s="55"/>
      <c r="V88" s="55"/>
      <c r="W88" s="55"/>
      <c r="X88" s="55"/>
      <c r="AO88" s="136"/>
      <c r="AQ88" s="137"/>
      <c r="AU88" s="145"/>
      <c r="AV88" s="34"/>
      <c r="AW88" s="137"/>
    </row>
    <row r="89" spans="1:84" x14ac:dyDescent="0.25">
      <c r="A89" s="723"/>
      <c r="B89" s="723"/>
      <c r="L89" s="135"/>
      <c r="P89" s="55"/>
      <c r="Q89" s="135"/>
      <c r="R89" s="55"/>
      <c r="U89" s="55"/>
      <c r="V89" s="55"/>
      <c r="W89" s="55"/>
      <c r="X89" s="55"/>
      <c r="AO89" s="136"/>
      <c r="AQ89" s="137"/>
      <c r="AU89" s="145"/>
      <c r="AV89" s="34"/>
      <c r="AW89" s="137"/>
    </row>
    <row r="90" spans="1:84" x14ac:dyDescent="0.25">
      <c r="A90" s="723"/>
      <c r="B90" s="723"/>
      <c r="L90" s="135"/>
      <c r="P90" s="55"/>
      <c r="Q90" s="135"/>
      <c r="R90" s="55"/>
      <c r="U90" s="55"/>
      <c r="V90" s="55"/>
      <c r="W90" s="55"/>
      <c r="X90" s="55"/>
      <c r="AO90" s="136"/>
      <c r="AQ90" s="137"/>
      <c r="AU90" s="145"/>
      <c r="AV90" s="34"/>
      <c r="AW90" s="137"/>
    </row>
    <row r="91" spans="1:84" x14ac:dyDescent="0.25">
      <c r="A91" s="723"/>
      <c r="B91" s="723"/>
      <c r="L91" s="135"/>
      <c r="P91" s="55"/>
      <c r="Q91" s="135"/>
      <c r="R91" s="55"/>
      <c r="U91" s="55"/>
      <c r="V91" s="55"/>
      <c r="W91" s="55"/>
      <c r="X91" s="55"/>
      <c r="AO91" s="136"/>
      <c r="AQ91" s="137"/>
      <c r="AU91" s="145"/>
      <c r="AV91" s="34"/>
      <c r="AW91" s="137"/>
    </row>
    <row r="92" spans="1:84" x14ac:dyDescent="0.25">
      <c r="A92" s="723"/>
      <c r="B92" s="723"/>
      <c r="L92" s="135"/>
      <c r="P92" s="55"/>
      <c r="Q92" s="135"/>
      <c r="R92" s="55"/>
      <c r="U92" s="55"/>
      <c r="V92" s="55"/>
      <c r="W92" s="55"/>
      <c r="X92" s="55"/>
      <c r="AO92" s="136"/>
      <c r="AQ92" s="137"/>
      <c r="AU92" s="145"/>
      <c r="AV92" s="34"/>
      <c r="AW92" s="137"/>
    </row>
    <row r="93" spans="1:84" x14ac:dyDescent="0.25">
      <c r="A93" s="723"/>
      <c r="B93" s="723"/>
      <c r="L93" s="135"/>
      <c r="P93" s="55"/>
      <c r="Q93" s="135"/>
      <c r="R93" s="55"/>
      <c r="U93" s="55"/>
      <c r="V93" s="55"/>
      <c r="W93" s="55"/>
      <c r="X93" s="55"/>
      <c r="AO93" s="136"/>
      <c r="AQ93" s="137"/>
      <c r="AU93" s="145"/>
      <c r="AV93" s="34"/>
      <c r="AW93" s="137"/>
    </row>
    <row r="94" spans="1:84" x14ac:dyDescent="0.25">
      <c r="A94" s="723"/>
      <c r="B94" s="723"/>
      <c r="L94" s="135"/>
      <c r="P94" s="55"/>
      <c r="Q94" s="135"/>
      <c r="R94" s="55"/>
      <c r="U94" s="55"/>
      <c r="V94" s="55"/>
      <c r="W94" s="55"/>
      <c r="X94" s="55"/>
      <c r="AO94" s="136"/>
      <c r="AQ94" s="137"/>
      <c r="AU94" s="145"/>
      <c r="AV94" s="34"/>
      <c r="AW94" s="137"/>
    </row>
    <row r="95" spans="1:84" x14ac:dyDescent="0.25">
      <c r="A95" s="723"/>
      <c r="B95" s="723"/>
      <c r="L95" s="135"/>
      <c r="P95" s="55"/>
      <c r="Q95" s="135"/>
      <c r="R95" s="55"/>
      <c r="U95" s="55"/>
      <c r="V95" s="55"/>
      <c r="W95" s="55"/>
      <c r="X95" s="55"/>
      <c r="AO95" s="136"/>
      <c r="AQ95" s="137"/>
      <c r="AU95" s="145"/>
      <c r="AV95" s="34"/>
      <c r="AW95" s="137"/>
    </row>
    <row r="96" spans="1:84" x14ac:dyDescent="0.25">
      <c r="A96" s="723"/>
      <c r="B96" s="723"/>
      <c r="L96" s="135"/>
      <c r="P96" s="55"/>
      <c r="Q96" s="135"/>
      <c r="R96" s="55"/>
      <c r="U96" s="55"/>
      <c r="V96" s="55"/>
      <c r="W96" s="55"/>
      <c r="X96" s="55"/>
      <c r="AO96" s="136"/>
      <c r="AQ96" s="137"/>
      <c r="AU96" s="145"/>
      <c r="AV96" s="34"/>
      <c r="AW96" s="137"/>
    </row>
    <row r="97" spans="1:49" x14ac:dyDescent="0.25">
      <c r="A97" s="723"/>
      <c r="B97" s="723"/>
      <c r="L97" s="135"/>
      <c r="P97" s="55"/>
      <c r="Q97" s="135"/>
      <c r="R97" s="55"/>
      <c r="U97" s="55"/>
      <c r="V97" s="55"/>
      <c r="W97" s="55"/>
      <c r="X97" s="55"/>
      <c r="AO97" s="136"/>
      <c r="AQ97" s="137"/>
      <c r="AU97" s="145"/>
      <c r="AV97" s="34"/>
      <c r="AW97" s="137"/>
    </row>
    <row r="98" spans="1:49" x14ac:dyDescent="0.25">
      <c r="A98" s="723"/>
      <c r="B98" s="723"/>
      <c r="L98" s="135"/>
      <c r="P98" s="55"/>
      <c r="Q98" s="135"/>
      <c r="R98" s="55"/>
      <c r="U98" s="55"/>
      <c r="V98" s="55"/>
      <c r="W98" s="55"/>
      <c r="X98" s="55"/>
      <c r="AO98" s="136"/>
      <c r="AQ98" s="137"/>
      <c r="AU98" s="145"/>
      <c r="AV98" s="34"/>
      <c r="AW98" s="137"/>
    </row>
    <row r="99" spans="1:49" x14ac:dyDescent="0.25">
      <c r="A99" s="723"/>
      <c r="B99" s="723"/>
      <c r="L99" s="135"/>
      <c r="P99" s="55"/>
      <c r="Q99" s="135"/>
      <c r="R99" s="55"/>
      <c r="U99" s="55"/>
      <c r="V99" s="55"/>
      <c r="W99" s="55"/>
      <c r="X99" s="55"/>
      <c r="AO99" s="136"/>
      <c r="AQ99" s="137"/>
      <c r="AU99" s="145"/>
      <c r="AV99" s="34"/>
      <c r="AW99" s="137"/>
    </row>
    <row r="100" spans="1:49" x14ac:dyDescent="0.25">
      <c r="A100" s="723"/>
      <c r="B100" s="723"/>
      <c r="L100" s="135"/>
      <c r="P100" s="55"/>
      <c r="Q100" s="135"/>
      <c r="R100" s="55"/>
      <c r="U100" s="55"/>
      <c r="V100" s="55"/>
      <c r="W100" s="55"/>
      <c r="X100" s="55"/>
      <c r="AO100" s="136"/>
      <c r="AQ100" s="137"/>
      <c r="AU100" s="145"/>
      <c r="AV100" s="34"/>
      <c r="AW100" s="137"/>
    </row>
    <row r="101" spans="1:49" x14ac:dyDescent="0.25">
      <c r="A101" s="723"/>
      <c r="B101" s="723"/>
      <c r="L101" s="135"/>
      <c r="P101" s="55"/>
      <c r="Q101" s="135"/>
      <c r="R101" s="55"/>
      <c r="U101" s="55"/>
      <c r="V101" s="55"/>
      <c r="W101" s="55"/>
      <c r="X101" s="55"/>
      <c r="AO101" s="136"/>
      <c r="AQ101" s="137"/>
      <c r="AU101" s="145"/>
      <c r="AV101" s="34"/>
      <c r="AW101" s="137"/>
    </row>
    <row r="102" spans="1:49" x14ac:dyDescent="0.25">
      <c r="A102" s="723"/>
      <c r="B102" s="723"/>
      <c r="L102" s="135"/>
      <c r="P102" s="55"/>
      <c r="Q102" s="135"/>
      <c r="R102" s="55"/>
      <c r="U102" s="55"/>
      <c r="V102" s="55"/>
      <c r="W102" s="55"/>
      <c r="X102" s="55"/>
      <c r="AO102" s="136"/>
      <c r="AQ102" s="137"/>
      <c r="AU102" s="145"/>
      <c r="AV102" s="34"/>
      <c r="AW102" s="137"/>
    </row>
    <row r="103" spans="1:49" x14ac:dyDescent="0.25">
      <c r="A103" s="723"/>
      <c r="B103" s="723"/>
      <c r="L103" s="135"/>
      <c r="P103" s="55"/>
      <c r="Q103" s="135"/>
      <c r="R103" s="55"/>
      <c r="U103" s="55"/>
      <c r="V103" s="55"/>
      <c r="W103" s="55"/>
      <c r="X103" s="55"/>
      <c r="AO103" s="136"/>
      <c r="AQ103" s="137"/>
      <c r="AU103" s="145"/>
      <c r="AV103" s="34"/>
      <c r="AW103" s="137"/>
    </row>
    <row r="104" spans="1:49" x14ac:dyDescent="0.25">
      <c r="A104" s="723"/>
      <c r="B104" s="723"/>
      <c r="L104" s="135"/>
      <c r="P104" s="55"/>
      <c r="Q104" s="135"/>
      <c r="R104" s="55"/>
      <c r="U104" s="55"/>
      <c r="V104" s="55"/>
      <c r="W104" s="55"/>
      <c r="X104" s="55"/>
      <c r="AO104" s="136"/>
      <c r="AQ104" s="137"/>
      <c r="AU104" s="145"/>
      <c r="AV104" s="34"/>
      <c r="AW104" s="137"/>
    </row>
    <row r="105" spans="1:49" x14ac:dyDescent="0.25">
      <c r="A105" s="723"/>
      <c r="B105" s="723"/>
      <c r="L105" s="135"/>
      <c r="P105" s="55"/>
      <c r="Q105" s="135"/>
      <c r="R105" s="55"/>
      <c r="U105" s="55"/>
      <c r="V105" s="55"/>
      <c r="W105" s="55"/>
      <c r="X105" s="55"/>
      <c r="AO105" s="136"/>
      <c r="AQ105" s="137"/>
      <c r="AU105" s="145"/>
      <c r="AV105" s="34"/>
      <c r="AW105" s="137"/>
    </row>
    <row r="106" spans="1:49" x14ac:dyDescent="0.25">
      <c r="A106" s="723"/>
      <c r="B106" s="723"/>
      <c r="L106" s="135"/>
      <c r="P106" s="55"/>
      <c r="Q106" s="135"/>
      <c r="R106" s="55"/>
      <c r="U106" s="55"/>
      <c r="V106" s="55"/>
      <c r="W106" s="55"/>
      <c r="X106" s="55"/>
      <c r="AO106" s="136"/>
      <c r="AQ106" s="137"/>
      <c r="AU106" s="145"/>
      <c r="AV106" s="34"/>
      <c r="AW106" s="137"/>
    </row>
    <row r="107" spans="1:49" x14ac:dyDescent="0.25">
      <c r="A107" s="723"/>
      <c r="B107" s="723"/>
      <c r="L107" s="135"/>
      <c r="P107" s="55"/>
      <c r="Q107" s="135"/>
      <c r="R107" s="55"/>
      <c r="U107" s="55"/>
      <c r="V107" s="55"/>
      <c r="W107" s="55"/>
      <c r="X107" s="55"/>
      <c r="AO107" s="136"/>
      <c r="AQ107" s="137"/>
      <c r="AU107" s="145"/>
      <c r="AV107" s="34"/>
      <c r="AW107" s="137"/>
    </row>
    <row r="108" spans="1:49" x14ac:dyDescent="0.25">
      <c r="A108" s="723"/>
      <c r="B108" s="723"/>
      <c r="L108" s="135"/>
      <c r="P108" s="55"/>
      <c r="Q108" s="135"/>
      <c r="R108" s="55"/>
      <c r="U108" s="55"/>
      <c r="V108" s="55"/>
      <c r="W108" s="55"/>
      <c r="X108" s="55"/>
      <c r="AO108" s="136"/>
      <c r="AQ108" s="137"/>
      <c r="AU108" s="145"/>
      <c r="AV108" s="34"/>
      <c r="AW108" s="137"/>
    </row>
    <row r="109" spans="1:49" x14ac:dyDescent="0.25">
      <c r="A109" s="723"/>
      <c r="B109" s="723"/>
      <c r="L109" s="135"/>
      <c r="P109" s="55"/>
      <c r="Q109" s="135"/>
      <c r="R109" s="55"/>
      <c r="U109" s="55"/>
      <c r="V109" s="55"/>
      <c r="W109" s="55"/>
      <c r="X109" s="55"/>
      <c r="AO109" s="136"/>
      <c r="AQ109" s="137"/>
      <c r="AU109" s="145"/>
      <c r="AV109" s="34"/>
      <c r="AW109" s="137"/>
    </row>
    <row r="110" spans="1:49" x14ac:dyDescent="0.25">
      <c r="A110" s="723"/>
      <c r="B110" s="723"/>
      <c r="L110" s="135"/>
      <c r="P110" s="55"/>
      <c r="Q110" s="135"/>
      <c r="R110" s="55"/>
      <c r="U110" s="55"/>
      <c r="V110" s="55"/>
      <c r="W110" s="55"/>
      <c r="X110" s="55"/>
      <c r="AO110" s="136"/>
      <c r="AQ110" s="137"/>
      <c r="AU110" s="145"/>
      <c r="AV110" s="34"/>
      <c r="AW110" s="137"/>
    </row>
    <row r="111" spans="1:49" x14ac:dyDescent="0.25">
      <c r="A111" s="723"/>
      <c r="B111" s="723"/>
      <c r="L111" s="135"/>
      <c r="P111" s="55"/>
      <c r="Q111" s="135"/>
      <c r="R111" s="55"/>
      <c r="U111" s="55"/>
      <c r="V111" s="55"/>
      <c r="W111" s="55"/>
      <c r="X111" s="55"/>
      <c r="AO111" s="136"/>
      <c r="AQ111" s="137"/>
      <c r="AU111" s="145"/>
      <c r="AV111" s="34"/>
      <c r="AW111" s="137"/>
    </row>
    <row r="112" spans="1:49" x14ac:dyDescent="0.25">
      <c r="A112" s="723"/>
      <c r="B112" s="723"/>
      <c r="L112" s="135"/>
      <c r="P112" s="55"/>
      <c r="Q112" s="135"/>
      <c r="R112" s="55"/>
      <c r="U112" s="55"/>
      <c r="V112" s="55"/>
      <c r="W112" s="55"/>
      <c r="X112" s="55"/>
      <c r="AO112" s="136"/>
      <c r="AQ112" s="137"/>
      <c r="AU112" s="145"/>
      <c r="AV112" s="34"/>
      <c r="AW112" s="137"/>
    </row>
    <row r="113" spans="1:49" x14ac:dyDescent="0.25">
      <c r="A113" s="723"/>
      <c r="B113" s="723"/>
      <c r="L113" s="135"/>
      <c r="P113" s="55"/>
      <c r="Q113" s="135"/>
      <c r="R113" s="55"/>
      <c r="U113" s="55"/>
      <c r="V113" s="55"/>
      <c r="W113" s="55"/>
      <c r="X113" s="55"/>
      <c r="AO113" s="136"/>
      <c r="AQ113" s="137"/>
      <c r="AU113" s="145"/>
      <c r="AV113" s="34"/>
      <c r="AW113" s="137"/>
    </row>
    <row r="114" spans="1:49" x14ac:dyDescent="0.25">
      <c r="A114" s="723"/>
      <c r="B114" s="723"/>
      <c r="L114" s="135"/>
      <c r="P114" s="55"/>
      <c r="Q114" s="135"/>
      <c r="R114" s="55"/>
      <c r="U114" s="55"/>
      <c r="V114" s="55"/>
      <c r="W114" s="55"/>
      <c r="X114" s="55"/>
      <c r="AO114" s="136"/>
      <c r="AQ114" s="137"/>
      <c r="AU114" s="145"/>
      <c r="AV114" s="34"/>
      <c r="AW114" s="137"/>
    </row>
    <row r="115" spans="1:49" x14ac:dyDescent="0.25">
      <c r="A115" s="723"/>
      <c r="B115" s="723"/>
      <c r="L115" s="135"/>
      <c r="P115" s="55"/>
      <c r="Q115" s="135"/>
      <c r="R115" s="55"/>
      <c r="U115" s="55"/>
      <c r="V115" s="55"/>
      <c r="W115" s="55"/>
      <c r="X115" s="55"/>
      <c r="AO115" s="136"/>
      <c r="AQ115" s="137"/>
      <c r="AU115" s="145"/>
      <c r="AV115" s="34"/>
      <c r="AW115" s="137"/>
    </row>
    <row r="116" spans="1:49" x14ac:dyDescent="0.25">
      <c r="A116" s="723"/>
      <c r="B116" s="723"/>
      <c r="L116" s="135"/>
      <c r="P116" s="55"/>
      <c r="Q116" s="135"/>
      <c r="R116" s="55"/>
      <c r="U116" s="55"/>
      <c r="V116" s="55"/>
      <c r="W116" s="55"/>
      <c r="X116" s="55"/>
      <c r="AO116" s="136"/>
      <c r="AQ116" s="137"/>
      <c r="AU116" s="145"/>
      <c r="AV116" s="34"/>
      <c r="AW116" s="137"/>
    </row>
    <row r="117" spans="1:49" x14ac:dyDescent="0.25">
      <c r="A117" s="723"/>
      <c r="B117" s="723"/>
      <c r="L117" s="135"/>
      <c r="P117" s="55"/>
      <c r="Q117" s="135"/>
      <c r="R117" s="55"/>
      <c r="U117" s="55"/>
      <c r="V117" s="55"/>
      <c r="W117" s="55"/>
      <c r="X117" s="55"/>
      <c r="AO117" s="136"/>
      <c r="AQ117" s="137"/>
      <c r="AU117" s="145"/>
      <c r="AV117" s="34"/>
      <c r="AW117" s="137"/>
    </row>
    <row r="118" spans="1:49" x14ac:dyDescent="0.25">
      <c r="A118" s="723"/>
      <c r="B118" s="723"/>
      <c r="P118" s="55"/>
      <c r="Q118" s="55"/>
      <c r="R118" s="55"/>
      <c r="U118" s="55"/>
      <c r="V118" s="55"/>
      <c r="W118" s="55"/>
      <c r="X118" s="55"/>
      <c r="AO118" s="136"/>
      <c r="AQ118" s="137"/>
      <c r="AS118" s="137"/>
      <c r="AU118" s="145"/>
      <c r="AV118" s="136"/>
      <c r="AW118" s="137"/>
    </row>
    <row r="119" spans="1:49" x14ac:dyDescent="0.25">
      <c r="A119" s="723"/>
      <c r="B119" s="723"/>
      <c r="P119" s="55"/>
      <c r="Q119" s="55"/>
      <c r="R119" s="55"/>
      <c r="U119" s="55"/>
      <c r="V119" s="55"/>
      <c r="W119" s="55"/>
      <c r="X119" s="55"/>
      <c r="AO119" s="136"/>
      <c r="AQ119" s="137"/>
      <c r="AS119" s="137"/>
      <c r="AU119" s="145"/>
      <c r="AV119" s="136"/>
      <c r="AW119" s="137"/>
    </row>
    <row r="120" spans="1:49" x14ac:dyDescent="0.25">
      <c r="A120" s="723"/>
      <c r="B120" s="723"/>
      <c r="P120" s="55"/>
      <c r="Q120" s="55"/>
      <c r="R120" s="55"/>
      <c r="U120" s="55"/>
      <c r="V120" s="55"/>
      <c r="W120" s="55"/>
      <c r="X120" s="55"/>
      <c r="AO120" s="136"/>
      <c r="AQ120" s="137"/>
      <c r="AS120" s="137"/>
      <c r="AU120" s="145"/>
      <c r="AV120" s="136"/>
      <c r="AW120" s="137"/>
    </row>
    <row r="121" spans="1:49" x14ac:dyDescent="0.25">
      <c r="A121" s="723"/>
      <c r="B121" s="723"/>
      <c r="P121" s="55"/>
      <c r="Q121" s="55"/>
      <c r="R121" s="55"/>
      <c r="U121" s="55"/>
      <c r="V121" s="55"/>
      <c r="W121" s="55"/>
      <c r="X121" s="55"/>
      <c r="AO121" s="136"/>
      <c r="AQ121" s="137"/>
      <c r="AS121" s="137"/>
      <c r="AU121" s="145"/>
      <c r="AV121" s="136"/>
      <c r="AW121" s="137"/>
    </row>
    <row r="122" spans="1:49" x14ac:dyDescent="0.25">
      <c r="A122" s="723"/>
      <c r="B122" s="723"/>
      <c r="P122" s="55"/>
      <c r="Q122" s="55"/>
      <c r="R122" s="55"/>
      <c r="U122" s="55"/>
      <c r="V122" s="55"/>
      <c r="W122" s="55"/>
      <c r="X122" s="55"/>
      <c r="AO122" s="136"/>
      <c r="AQ122" s="137"/>
      <c r="AS122" s="137"/>
      <c r="AU122" s="145"/>
      <c r="AV122" s="136"/>
      <c r="AW122" s="137"/>
    </row>
    <row r="123" spans="1:49" x14ac:dyDescent="0.25">
      <c r="A123" s="723"/>
      <c r="B123" s="723"/>
      <c r="P123" s="55"/>
      <c r="Q123" s="55"/>
      <c r="R123" s="55"/>
      <c r="U123" s="55"/>
      <c r="V123" s="55"/>
      <c r="W123" s="55"/>
      <c r="X123" s="55"/>
      <c r="AO123" s="136"/>
      <c r="AQ123" s="137"/>
      <c r="AS123" s="137"/>
      <c r="AU123" s="145"/>
      <c r="AV123" s="136"/>
      <c r="AW123" s="137"/>
    </row>
    <row r="124" spans="1:49" x14ac:dyDescent="0.25">
      <c r="A124" s="723"/>
      <c r="B124" s="723"/>
      <c r="P124" s="55"/>
      <c r="Q124" s="55"/>
      <c r="R124" s="55"/>
      <c r="U124" s="55"/>
      <c r="V124" s="55"/>
      <c r="W124" s="55"/>
      <c r="X124" s="55"/>
      <c r="AO124" s="136"/>
      <c r="AQ124" s="137"/>
      <c r="AS124" s="137"/>
      <c r="AU124" s="145"/>
      <c r="AV124" s="136"/>
      <c r="AW124" s="137"/>
    </row>
    <row r="125" spans="1:49" x14ac:dyDescent="0.25">
      <c r="A125" s="723"/>
      <c r="B125" s="723"/>
      <c r="P125" s="55"/>
      <c r="Q125" s="55"/>
      <c r="R125" s="55"/>
      <c r="U125" s="55"/>
      <c r="V125" s="55"/>
      <c r="W125" s="55"/>
      <c r="X125" s="55"/>
      <c r="AO125" s="136"/>
      <c r="AQ125" s="137"/>
      <c r="AS125" s="137"/>
      <c r="AU125" s="145"/>
      <c r="AV125" s="136"/>
      <c r="AW125" s="137"/>
    </row>
    <row r="126" spans="1:49" x14ac:dyDescent="0.25">
      <c r="A126" s="723"/>
      <c r="B126" s="723"/>
      <c r="P126" s="55"/>
      <c r="Q126" s="55"/>
      <c r="R126" s="55"/>
      <c r="U126" s="55"/>
      <c r="V126" s="55"/>
      <c r="W126" s="55"/>
      <c r="X126" s="55"/>
      <c r="AO126" s="136"/>
      <c r="AQ126" s="137"/>
      <c r="AS126" s="137"/>
      <c r="AU126" s="145"/>
      <c r="AV126" s="136"/>
      <c r="AW126" s="137"/>
    </row>
    <row r="127" spans="1:49" x14ac:dyDescent="0.25">
      <c r="A127" s="723"/>
      <c r="B127" s="723"/>
      <c r="P127" s="55"/>
      <c r="Q127" s="55"/>
      <c r="R127" s="55"/>
      <c r="U127" s="55"/>
      <c r="V127" s="55"/>
      <c r="W127" s="55"/>
      <c r="X127" s="55"/>
      <c r="AO127" s="136"/>
      <c r="AQ127" s="137"/>
      <c r="AS127" s="137"/>
      <c r="AU127" s="145"/>
      <c r="AV127" s="136"/>
      <c r="AW127" s="137"/>
    </row>
    <row r="128" spans="1:49" x14ac:dyDescent="0.25">
      <c r="A128" s="723"/>
      <c r="B128" s="723"/>
      <c r="P128" s="55"/>
      <c r="Q128" s="55"/>
      <c r="R128" s="55"/>
      <c r="U128" s="55"/>
      <c r="V128" s="55"/>
      <c r="W128" s="55"/>
      <c r="X128" s="55"/>
      <c r="AO128" s="136"/>
      <c r="AQ128" s="137"/>
      <c r="AS128" s="137"/>
      <c r="AU128" s="145"/>
      <c r="AV128" s="136"/>
      <c r="AW128" s="137"/>
    </row>
    <row r="129" spans="1:49" x14ac:dyDescent="0.25">
      <c r="A129" s="723"/>
      <c r="B129" s="723"/>
      <c r="P129" s="55"/>
      <c r="Q129" s="55"/>
      <c r="R129" s="55"/>
      <c r="U129" s="55"/>
      <c r="V129" s="55"/>
      <c r="W129" s="55"/>
      <c r="X129" s="55"/>
      <c r="AO129" s="136"/>
      <c r="AQ129" s="137"/>
      <c r="AS129" s="137"/>
      <c r="AU129" s="145"/>
      <c r="AV129" s="136"/>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row>
    <row r="167" spans="16:49" x14ac:dyDescent="0.25">
      <c r="P167" s="55"/>
      <c r="Q167" s="55"/>
      <c r="R167" s="55"/>
      <c r="U167" s="55"/>
      <c r="V167" s="55"/>
      <c r="W167" s="55"/>
      <c r="X167" s="55"/>
    </row>
    <row r="168" spans="16:49" x14ac:dyDescent="0.25">
      <c r="P168" s="55"/>
      <c r="Q168" s="55"/>
      <c r="R168" s="55"/>
      <c r="U168" s="55"/>
      <c r="V168" s="55"/>
      <c r="W168" s="55"/>
      <c r="X168" s="55"/>
    </row>
    <row r="169" spans="16:49" x14ac:dyDescent="0.25">
      <c r="P169" s="55"/>
      <c r="Q169" s="55"/>
      <c r="R169" s="55"/>
      <c r="U169" s="55"/>
      <c r="V169" s="55"/>
      <c r="W169" s="55"/>
      <c r="X169" s="55"/>
    </row>
    <row r="170" spans="16:49" x14ac:dyDescent="0.25">
      <c r="P170" s="55"/>
      <c r="Q170" s="55"/>
      <c r="R170" s="55"/>
      <c r="U170" s="55"/>
      <c r="V170" s="55"/>
      <c r="W170" s="55"/>
      <c r="X170" s="55"/>
    </row>
    <row r="171" spans="16:49" x14ac:dyDescent="0.25">
      <c r="P171" s="55"/>
      <c r="Q171" s="55"/>
      <c r="R171" s="55"/>
      <c r="U171" s="55"/>
      <c r="V171" s="55"/>
      <c r="W171" s="55"/>
      <c r="X171" s="55"/>
    </row>
    <row r="172" spans="16:49" x14ac:dyDescent="0.25">
      <c r="P172" s="55"/>
      <c r="Q172" s="55"/>
      <c r="R172" s="55"/>
      <c r="U172" s="55"/>
      <c r="V172" s="55"/>
      <c r="W172" s="55"/>
      <c r="X172" s="55"/>
    </row>
    <row r="173" spans="16:49" x14ac:dyDescent="0.25">
      <c r="P173" s="55"/>
      <c r="Q173" s="55"/>
      <c r="R173" s="55"/>
      <c r="U173" s="55"/>
      <c r="V173" s="55"/>
      <c r="W173" s="55"/>
      <c r="X173" s="55"/>
    </row>
    <row r="174" spans="16:49" x14ac:dyDescent="0.25">
      <c r="P174" s="55"/>
      <c r="Q174" s="55"/>
      <c r="R174" s="55"/>
      <c r="U174" s="55"/>
      <c r="V174" s="55"/>
      <c r="W174" s="55"/>
      <c r="X174" s="55"/>
    </row>
    <row r="175" spans="16:49" x14ac:dyDescent="0.25">
      <c r="P175" s="55"/>
      <c r="Q175" s="55"/>
      <c r="R175" s="55"/>
      <c r="U175" s="55"/>
      <c r="V175" s="55"/>
      <c r="W175" s="55"/>
      <c r="X175" s="55"/>
    </row>
    <row r="176" spans="16:49"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373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7373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2">
    <pageSetUpPr autoPageBreaks="0"/>
  </sheetPr>
  <dimension ref="A1:CX558"/>
  <sheetViews>
    <sheetView topLeftCell="P1" zoomScale="80" workbookViewId="0">
      <selection activeCell="CI21" sqref="CI21:CI62"/>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LongTerm20</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20</v>
      </c>
      <c r="F2" s="178" t="str">
        <f>GetRcptPoint($AH$12,$AH$13)</f>
        <v>Onshore</v>
      </c>
      <c r="G2" s="179" t="str">
        <f>GetDelPoint($AH$12,$AH$13)</f>
        <v>Rayne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$F$62</v>
      </c>
      <c r="AX2" s="339" t="str">
        <f>ADDRESS(ROW($G$22),COLUMN($G$22))</f>
        <v>$G$22</v>
      </c>
      <c r="AY2" s="138" t="str">
        <f ca="1">GetEnd($AV$1,AX2)</f>
        <v>$G$62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78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$AF$62</v>
      </c>
      <c r="AX3" s="339" t="str">
        <f>ADDRESS(ROW($AH$22),COLUMN($AH$22))</f>
        <v>$AH$22</v>
      </c>
      <c r="AY3" s="138" t="str">
        <f ca="1">GetEnd($AV$1,AX3)</f>
        <v>$AH$62</v>
      </c>
    </row>
    <row r="4" spans="1:102" x14ac:dyDescent="0.25">
      <c r="A4" s="269" t="str">
        <f>ADDRESS(ROW($S$22),COLUMN($S$22))</f>
        <v>$S$22</v>
      </c>
      <c r="L4" s="721" t="s">
        <v>201</v>
      </c>
      <c r="M4" s="722"/>
      <c r="N4" s="352">
        <f ca="1">SUMPRODUCT(INDIRECT(CONCATENATE(AV4,":",AW4)),INDIRECT(CONCATENATE($AV$2,":",$AW$2)),INDIRECT(CONCATENATE($AV$3,":",$AW$3)))</f>
        <v>925367.79601751675</v>
      </c>
      <c r="O4" s="352">
        <v>927669.94</v>
      </c>
      <c r="P4" s="354">
        <f ca="1">N4-O4</f>
        <v>-2302.1439824831905</v>
      </c>
      <c r="Q4" s="181"/>
      <c r="S4" s="427" t="s">
        <v>635</v>
      </c>
      <c r="T4" s="422">
        <f ca="1">SUMPRODUCT(INDIRECT(CONCATENATE(V4,":",W4)),INDIRECT(CONCATENATE(AV2,":",AW2)),INDIRECT(CONCATENATE(AV3,":",AW3)))</f>
        <v>735164.36318807874</v>
      </c>
      <c r="V4" s="30" t="str">
        <f>ADDRESS(ROW(K22),COLUMN(K22))</f>
        <v>$K$22</v>
      </c>
      <c r="W4" s="30" t="str">
        <f ca="1">GetEnd($AV$1,V4)</f>
        <v>$K$62</v>
      </c>
      <c r="AF4" s="28"/>
      <c r="AG4" s="103" t="s">
        <v>32</v>
      </c>
      <c r="AH4" s="104">
        <f>GetRcptIndexCol($AH$12,$AH$13)</f>
        <v>79</v>
      </c>
      <c r="AI4" s="29"/>
      <c r="AJ4" s="103" t="s">
        <v>72</v>
      </c>
      <c r="AK4" s="104">
        <f>GetNymexCol(AK3)</f>
        <v>3</v>
      </c>
      <c r="AL4" s="34">
        <v>1</v>
      </c>
      <c r="AM4" s="45">
        <f t="shared" ref="AM4:AM15" si="0">GetVolume($AH$12,$AH$13,AT4)</f>
        <v>25654</v>
      </c>
      <c r="AN4" s="46">
        <f t="shared" ref="AN4:AN15" si="1">GetCommodity($AH$12,$AH$13,AT4)</f>
        <v>1.6999999999999999E-3</v>
      </c>
      <c r="AO4" s="47">
        <f t="shared" ref="AO4:AO15" si="2">GetFuelRate($AH$12,$AH$13,AT4)</f>
        <v>6.9699999999999996E-3</v>
      </c>
      <c r="AP4" s="46">
        <f t="shared" ref="AP4:AP15" si="3">GetSurcharge($AH$12,$AH$13,$AT4)</f>
        <v>2.2000000000000001E-3</v>
      </c>
      <c r="AQ4" s="46">
        <f t="shared" ref="AQ4:AQ15" si="4">GetRcptIndexAdj($AH$12,$AH$13,$AT4)</f>
        <v>0</v>
      </c>
      <c r="AR4" s="132">
        <f t="shared" ref="AR4:AR15" si="5">GetDelIndexAdj($AH$12,$AH$13,$AT4)</f>
        <v>0</v>
      </c>
      <c r="AS4" s="48">
        <f t="shared" ref="AS4:AS15" si="6">GetDemandRate($AH$12,$AH$13,$AT4)</f>
        <v>4.1399999999999999E-2</v>
      </c>
      <c r="AT4" s="35">
        <f t="shared" ref="AT4:AT15" si="7">gettier($AH$12,$AH$13,AL4)</f>
        <v>1</v>
      </c>
      <c r="AV4" s="339" t="str">
        <f>ADDRESS(ROW($Q$22),COLUMN($Q$22))</f>
        <v>$Q$22</v>
      </c>
      <c r="AW4" s="138" t="str">
        <f ca="1">GetEnd($AV$1,AV4)</f>
        <v>$Q$62</v>
      </c>
      <c r="AX4" s="339" t="str">
        <f>ADDRESS(ROW($K$22),COLUMN($K$22))</f>
        <v>$K$22</v>
      </c>
      <c r="AY4" s="138" t="str">
        <f ca="1">GetEnd($AV$1,AX4)</f>
        <v>$K$62</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1046718.2143516573</v>
      </c>
      <c r="O5" s="352">
        <v>1046465.81</v>
      </c>
      <c r="P5" s="355">
        <f ca="1">N5-O5</f>
        <v>252.40435165725648</v>
      </c>
      <c r="Q5" s="181"/>
      <c r="S5" s="428" t="s">
        <v>636</v>
      </c>
      <c r="T5" s="423">
        <f ca="1">SUMPRODUCT(INDIRECT(CONCATENATE(V5,":",W5)),INDIRECT(CONCATENATE(AV2,":",AW2)),INDIRECT(CONCATENATE(AV3,":",AW3)))</f>
        <v>190203.43282943813</v>
      </c>
      <c r="V5" s="30" t="str">
        <f>ADDRESS(ROW(L22),COLUMN(L22))</f>
        <v>$L$22</v>
      </c>
      <c r="W5" s="30" t="str">
        <f ca="1">GetEnd($AV$1,V5)</f>
        <v>$L$62</v>
      </c>
      <c r="AF5" s="28"/>
      <c r="AG5" s="103" t="s">
        <v>33</v>
      </c>
      <c r="AH5" s="104">
        <f>GetDelBasisCol($AH$12,$AH$13)</f>
        <v>74</v>
      </c>
      <c r="AI5" s="29"/>
      <c r="AJ5" s="103" t="s">
        <v>77</v>
      </c>
      <c r="AK5" s="104" t="str">
        <f>LiborCurve</f>
        <v>Libor AA</v>
      </c>
      <c r="AL5" s="34">
        <v>2</v>
      </c>
      <c r="AM5" s="37">
        <f t="shared" si="0"/>
        <v>25654</v>
      </c>
      <c r="AN5" s="38">
        <f t="shared" si="1"/>
        <v>1.6999999999999999E-3</v>
      </c>
      <c r="AO5" s="39">
        <f t="shared" si="2"/>
        <v>6.9699999999999996E-3</v>
      </c>
      <c r="AP5" s="38">
        <f t="shared" si="3"/>
        <v>2.2000000000000001E-3</v>
      </c>
      <c r="AQ5" s="38">
        <f t="shared" si="4"/>
        <v>0</v>
      </c>
      <c r="AR5" s="133">
        <f t="shared" si="5"/>
        <v>0</v>
      </c>
      <c r="AS5" s="40">
        <f t="shared" si="6"/>
        <v>4.1399999999999999E-2</v>
      </c>
      <c r="AT5" s="35">
        <f t="shared" si="7"/>
        <v>1</v>
      </c>
      <c r="AV5" s="339" t="str">
        <f>ADDRESS(ROW($V$22),COLUMN($V$22))</f>
        <v>$V$22</v>
      </c>
      <c r="AW5" s="138" t="str">
        <f ca="1">GetEnd($AV$1,AV5)</f>
        <v>$V$62</v>
      </c>
      <c r="AX5" s="339" t="str">
        <f>ADDRESS(ROW($L$22),COLUMN($L$22))</f>
        <v>$L$22</v>
      </c>
      <c r="AY5" s="138" t="str">
        <f ca="1">GetEnd($AV$1,AX5)</f>
        <v>$L$62</v>
      </c>
      <c r="BV5" s="266">
        <f>O2</f>
        <v>37239</v>
      </c>
    </row>
    <row r="6" spans="1:102" x14ac:dyDescent="0.25">
      <c r="A6" s="269" t="str">
        <f>ADDRESS(ROW($BW$2),COLUMN($BW$2))</f>
        <v>$BW$2</v>
      </c>
      <c r="F6" s="187"/>
      <c r="G6" s="187"/>
      <c r="L6" s="704" t="s">
        <v>149</v>
      </c>
      <c r="M6" s="705"/>
      <c r="N6" s="356">
        <f ca="1">N4-N5</f>
        <v>-121350.41833414056</v>
      </c>
      <c r="O6" s="357">
        <v>-118795.88</v>
      </c>
      <c r="P6" s="358">
        <f ca="1">N6-O6</f>
        <v>-2554.5383341405541</v>
      </c>
      <c r="Q6" s="181"/>
      <c r="S6" s="428" t="s">
        <v>637</v>
      </c>
      <c r="T6" s="424">
        <f ca="1">SUMPRODUCT(INDIRECT(CONCATENATE(V6,":",W6)),INDIRECT(CONCATENATE(AV3,":",AW3)),INDIRECT(CONCATENATE(AX3,":",AY3)))</f>
        <v>25283048.655837145</v>
      </c>
      <c r="V6" s="30" t="str">
        <f>ADDRESS(ROW(G22),COLUMN(G22))</f>
        <v>$G$22</v>
      </c>
      <c r="W6" s="30" t="str">
        <f ca="1">GetEnd($AV$1,V6)</f>
        <v>$G$62</v>
      </c>
      <c r="AF6" s="28"/>
      <c r="AG6" s="103" t="s">
        <v>34</v>
      </c>
      <c r="AH6" s="104">
        <f>GetDelIndexCol($AH$12,$AH$13)</f>
        <v>75</v>
      </c>
      <c r="AI6" s="29"/>
      <c r="AJ6" s="103" t="s">
        <v>79</v>
      </c>
      <c r="AK6" s="104">
        <f>GetLiborCol(AK5)</f>
        <v>4</v>
      </c>
      <c r="AL6" s="34">
        <v>3</v>
      </c>
      <c r="AM6" s="37">
        <f t="shared" si="0"/>
        <v>25654</v>
      </c>
      <c r="AN6" s="38">
        <f t="shared" si="1"/>
        <v>1.6999999999999999E-3</v>
      </c>
      <c r="AO6" s="39">
        <f t="shared" si="2"/>
        <v>6.9699999999999996E-3</v>
      </c>
      <c r="AP6" s="38">
        <f t="shared" si="3"/>
        <v>2.2000000000000001E-3</v>
      </c>
      <c r="AQ6" s="38">
        <f t="shared" si="4"/>
        <v>0</v>
      </c>
      <c r="AR6" s="133">
        <f t="shared" si="5"/>
        <v>0</v>
      </c>
      <c r="AS6" s="40">
        <f t="shared" si="6"/>
        <v>4.1399999999999999E-2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7589.85</v>
      </c>
      <c r="P7" s="355">
        <f ca="1">N7</f>
        <v>0</v>
      </c>
      <c r="S7" s="428" t="s">
        <v>638</v>
      </c>
      <c r="T7" s="425">
        <f ca="1">T5/T6</f>
        <v>7.5229627335912869E-3</v>
      </c>
      <c r="AF7" s="28"/>
      <c r="AG7" s="103" t="s">
        <v>76</v>
      </c>
      <c r="AH7" s="104">
        <f>GetRcptOmicronCol($AH$12,$AH$13)</f>
        <v>6</v>
      </c>
      <c r="AI7" s="29"/>
      <c r="AJ7" s="103" t="s">
        <v>80</v>
      </c>
      <c r="AK7" s="104" t="str">
        <f>Configuration!$D$8</f>
        <v>Nymex Vol</v>
      </c>
      <c r="AL7" s="34">
        <v>4</v>
      </c>
      <c r="AM7" s="37">
        <f t="shared" si="0"/>
        <v>25654</v>
      </c>
      <c r="AN7" s="38">
        <f t="shared" si="1"/>
        <v>1.6999999999999999E-3</v>
      </c>
      <c r="AO7" s="39">
        <f t="shared" si="2"/>
        <v>6.9699999999999996E-3</v>
      </c>
      <c r="AP7" s="38">
        <f t="shared" si="3"/>
        <v>2.2000000000000001E-3</v>
      </c>
      <c r="AQ7" s="38">
        <f t="shared" si="4"/>
        <v>0</v>
      </c>
      <c r="AR7" s="133">
        <f t="shared" si="5"/>
        <v>0</v>
      </c>
      <c r="AS7" s="40">
        <f t="shared" si="6"/>
        <v>4.1399999999999999E-2</v>
      </c>
      <c r="AT7" s="35">
        <f t="shared" si="7"/>
        <v>1</v>
      </c>
      <c r="AU7" s="361" t="s">
        <v>574</v>
      </c>
      <c r="AV7" s="339" t="str">
        <f>ADDRESS(ROW($AL$22),COLUMN($AL$22))</f>
        <v>$AL$22</v>
      </c>
      <c r="AW7" s="138" t="str">
        <f ca="1">GetEnd($AV$1,AV7)</f>
        <v>$AL$62</v>
      </c>
      <c r="AX7" s="339" t="str">
        <f>ADDRESS(ROW($AV$22),COLUMN($AV$22))</f>
        <v>$AV$22</v>
      </c>
      <c r="AY7" s="138" t="str">
        <f t="shared" ref="AY7:AY13" ca="1" si="8">GetEnd($AV$1,AX7)</f>
        <v>$AV$62</v>
      </c>
    </row>
    <row r="8" spans="1:102" x14ac:dyDescent="0.25">
      <c r="A8" s="270" t="s">
        <v>224</v>
      </c>
      <c r="F8" s="186" t="s">
        <v>26</v>
      </c>
      <c r="G8" s="190">
        <f>GetMonthEnd($AH$12,$AH$13)</f>
        <v>38291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0.99927965877266611</v>
      </c>
      <c r="V8" s="30" t="str">
        <f>ADDRESS(ROW(P22),COLUMN(P22))</f>
        <v>$P$22</v>
      </c>
      <c r="W8" s="30" t="str">
        <f ca="1">GetEnd($AV$1,V8)</f>
        <v>$P$62</v>
      </c>
      <c r="Y8" s="334">
        <f ca="1">SUMIF(INDIRECT(CONCATENATE(V8,":",W8)),"&gt;0",INDIRECT(CONCATENATE(V8,":",W8)))</f>
        <v>33.975508398270648</v>
      </c>
      <c r="Z8" s="334">
        <f ca="1">COUNTIF(INDIRECT(CONCATENATE(V8,":",W8)),"&gt;0")</f>
        <v>34</v>
      </c>
      <c r="AF8" s="28"/>
      <c r="AG8" s="103" t="s">
        <v>75</v>
      </c>
      <c r="AH8" s="105">
        <f>GetDelOmicronCol($AH$12,$AH$13)</f>
        <v>6</v>
      </c>
      <c r="AI8" s="29"/>
      <c r="AJ8" s="103" t="s">
        <v>81</v>
      </c>
      <c r="AK8" s="104">
        <f>GetNGOmicronCol(AK7)</f>
        <v>5</v>
      </c>
      <c r="AL8" s="34">
        <v>5</v>
      </c>
      <c r="AM8" s="37">
        <f t="shared" si="0"/>
        <v>25654</v>
      </c>
      <c r="AN8" s="38">
        <f t="shared" si="1"/>
        <v>1.6999999999999999E-3</v>
      </c>
      <c r="AO8" s="39">
        <f t="shared" si="2"/>
        <v>6.9699999999999996E-3</v>
      </c>
      <c r="AP8" s="38">
        <f t="shared" si="3"/>
        <v>2.2000000000000001E-3</v>
      </c>
      <c r="AQ8" s="38">
        <f t="shared" si="4"/>
        <v>0</v>
      </c>
      <c r="AR8" s="133">
        <f t="shared" si="5"/>
        <v>0</v>
      </c>
      <c r="AS8" s="40">
        <f t="shared" si="6"/>
        <v>4.1399999999999999E-2</v>
      </c>
      <c r="AT8" s="35">
        <f t="shared" si="7"/>
        <v>1</v>
      </c>
      <c r="AU8" s="362" t="s">
        <v>575</v>
      </c>
      <c r="AV8" s="339" t="str">
        <f>ADDRESS(ROW($AM$22),COLUMN($AM$22))</f>
        <v>$AM$22</v>
      </c>
      <c r="AW8" s="138" t="str">
        <f ca="1">GetEnd($AV$1,AV8)</f>
        <v>$AM$62</v>
      </c>
      <c r="AX8" s="339" t="str">
        <f>ADDRESS(ROW($AO$22),COLUMN($AO$22))</f>
        <v>$AO$22</v>
      </c>
      <c r="AY8" s="138" t="str">
        <f t="shared" ca="1" si="8"/>
        <v>$AO$62</v>
      </c>
    </row>
    <row r="9" spans="1:102" x14ac:dyDescent="0.25">
      <c r="A9" s="270" t="s">
        <v>224</v>
      </c>
      <c r="L9" s="706" t="s">
        <v>627</v>
      </c>
      <c r="M9" s="707"/>
      <c r="N9" s="352">
        <f t="array" aca="1" ref="N9" ca="1">SUM(((INDIRECT(AX16)-INDIRECT(AY17))-(INDIRECT(AX17)-INDIRECT(AY15)))*INDIRECT(CONCATENATE(AX2,":",AY2))*INDIRECT(CONCATENATE(AV3,":",AW3))*INDIRECT(CONCATENATE(AX3,":",AY3)))</f>
        <v>0</v>
      </c>
      <c r="O9" s="421">
        <v>18461.97</v>
      </c>
      <c r="P9" s="355">
        <f ca="1">N9</f>
        <v>0</v>
      </c>
      <c r="AF9" s="28"/>
      <c r="AG9" s="52"/>
      <c r="AH9" s="52"/>
      <c r="AI9" s="29"/>
      <c r="AJ9" s="103" t="s">
        <v>139</v>
      </c>
      <c r="AK9" s="105">
        <f>GetCorrelCol($AH$12,$AH$13)</f>
        <v>40</v>
      </c>
      <c r="AL9" s="34">
        <v>6</v>
      </c>
      <c r="AM9" s="37">
        <f t="shared" si="0"/>
        <v>25654</v>
      </c>
      <c r="AN9" s="38">
        <f t="shared" si="1"/>
        <v>1.6999999999999999E-3</v>
      </c>
      <c r="AO9" s="39">
        <f t="shared" si="2"/>
        <v>6.9699999999999996E-3</v>
      </c>
      <c r="AP9" s="38">
        <f t="shared" si="3"/>
        <v>2.2000000000000001E-3</v>
      </c>
      <c r="AQ9" s="38">
        <f t="shared" si="4"/>
        <v>0</v>
      </c>
      <c r="AR9" s="133">
        <f t="shared" si="5"/>
        <v>0</v>
      </c>
      <c r="AS9" s="40">
        <f t="shared" si="6"/>
        <v>4.1399999999999999E-2</v>
      </c>
      <c r="AT9" s="35">
        <f t="shared" si="7"/>
        <v>1</v>
      </c>
      <c r="AU9" s="361" t="s">
        <v>578</v>
      </c>
      <c r="AV9" s="339" t="str">
        <f>ADDRESS(ROW($AN$22),COLUMN($AN$22))</f>
        <v>$AN$22</v>
      </c>
      <c r="AW9" s="138" t="str">
        <f ca="1">GetEnd($AV$1,AV9)</f>
        <v>$AN$62</v>
      </c>
      <c r="AX9" s="339" t="str">
        <f>ADDRESS(ROW($AP$22),COLUMN($AP$22))</f>
        <v>$AP$22</v>
      </c>
      <c r="AY9" s="138" t="str">
        <f t="shared" ca="1" si="8"/>
        <v>$AP$62</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-562355.65219025477</v>
      </c>
      <c r="O10" s="352">
        <v>-562218.42000000004</v>
      </c>
      <c r="P10" s="355">
        <f t="shared" ref="P10:P19" ca="1" si="9">N10-O10</f>
        <v>-137.23219025472645</v>
      </c>
      <c r="AF10" s="28"/>
      <c r="AG10" s="103" t="s">
        <v>142</v>
      </c>
      <c r="AH10" s="119" t="b">
        <f>GetGRIFactor($AH$12,$AH$13)</f>
        <v>0</v>
      </c>
      <c r="AI10" s="29"/>
      <c r="AJ10" s="29"/>
      <c r="AK10" s="29"/>
      <c r="AL10" s="34">
        <v>7</v>
      </c>
      <c r="AM10" s="37">
        <f t="shared" si="0"/>
        <v>25654</v>
      </c>
      <c r="AN10" s="38">
        <f t="shared" si="1"/>
        <v>1.6999999999999999E-3</v>
      </c>
      <c r="AO10" s="39">
        <f t="shared" si="2"/>
        <v>6.9699999999999996E-3</v>
      </c>
      <c r="AP10" s="38">
        <f t="shared" si="3"/>
        <v>2.2000000000000001E-3</v>
      </c>
      <c r="AQ10" s="38">
        <f t="shared" si="4"/>
        <v>0</v>
      </c>
      <c r="AR10" s="133">
        <f t="shared" si="5"/>
        <v>0</v>
      </c>
      <c r="AS10" s="40">
        <f t="shared" si="6"/>
        <v>4.1399999999999999E-2</v>
      </c>
      <c r="AT10" s="35">
        <f t="shared" si="7"/>
        <v>1</v>
      </c>
      <c r="AU10" s="361" t="s">
        <v>577</v>
      </c>
      <c r="AV10" s="339" t="str">
        <f>ADDRESS(ROW($AS$22),COLUMN($AS$22))</f>
        <v>$AS$22</v>
      </c>
      <c r="AW10" s="138" t="str">
        <f ca="1">GetEnd($AV$1,AV10)</f>
        <v>$AS$62</v>
      </c>
      <c r="AX10" s="339" t="str">
        <f>ADDRESS(ROW($CC$22),COLUMN($CC$22))</f>
        <v>$CC$22</v>
      </c>
      <c r="AY10" s="138" t="str">
        <f t="shared" ca="1" si="8"/>
        <v>$CC$62</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-103552.37099999994</v>
      </c>
      <c r="O11" s="357">
        <v>-103552.37</v>
      </c>
      <c r="P11" s="358">
        <f t="shared" ca="1" si="9"/>
        <v>-9.9999994563404471E-4</v>
      </c>
      <c r="AL11" s="34">
        <v>8</v>
      </c>
      <c r="AM11" s="37">
        <f t="shared" si="0"/>
        <v>25654</v>
      </c>
      <c r="AN11" s="38">
        <f t="shared" si="1"/>
        <v>1.6999999999999999E-3</v>
      </c>
      <c r="AO11" s="39">
        <f t="shared" si="2"/>
        <v>6.9699999999999996E-3</v>
      </c>
      <c r="AP11" s="38">
        <f t="shared" si="3"/>
        <v>2.2000000000000001E-3</v>
      </c>
      <c r="AQ11" s="38">
        <f t="shared" si="4"/>
        <v>0</v>
      </c>
      <c r="AR11" s="133">
        <f t="shared" si="5"/>
        <v>0</v>
      </c>
      <c r="AS11" s="40">
        <f t="shared" si="6"/>
        <v>4.1399999999999999E-2</v>
      </c>
      <c r="AT11" s="35">
        <f t="shared" si="7"/>
        <v>1</v>
      </c>
      <c r="AU11" s="361" t="s">
        <v>579</v>
      </c>
      <c r="AV11" s="339" t="str">
        <f>ADDRESS(ROW($AQ$22),COLUMN($AQ$22))</f>
        <v>$AQ$22</v>
      </c>
      <c r="AW11" s="138" t="str">
        <f ca="1">GetEnd($AV$1,AV11)</f>
        <v>$AQ$62</v>
      </c>
      <c r="AX11" s="339" t="str">
        <f>ADDRESS(ROW($CD$22),COLUMN($CD$22))</f>
        <v>$CD$22</v>
      </c>
      <c r="AY11" s="138" t="str">
        <f t="shared" ca="1" si="8"/>
        <v>$CD$62</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13510.89</v>
      </c>
      <c r="P12" s="355">
        <f t="shared" ca="1" si="9"/>
        <v>-13510.89</v>
      </c>
      <c r="AG12" s="248" t="s">
        <v>185</v>
      </c>
      <c r="AH12" s="119" t="str">
        <f>GetDBPage($D$2)</f>
        <v>Contract DB (East)</v>
      </c>
      <c r="AL12" s="34">
        <v>9</v>
      </c>
      <c r="AM12" s="37">
        <f t="shared" si="0"/>
        <v>25654</v>
      </c>
      <c r="AN12" s="38">
        <f t="shared" si="1"/>
        <v>1.6999999999999999E-3</v>
      </c>
      <c r="AO12" s="39">
        <f t="shared" si="2"/>
        <v>6.9699999999999996E-3</v>
      </c>
      <c r="AP12" s="38">
        <f t="shared" si="3"/>
        <v>2.2000000000000001E-3</v>
      </c>
      <c r="AQ12" s="38">
        <f t="shared" si="4"/>
        <v>0</v>
      </c>
      <c r="AR12" s="133">
        <f t="shared" si="5"/>
        <v>0</v>
      </c>
      <c r="AS12" s="40">
        <f t="shared" si="6"/>
        <v>4.1399999999999999E-2</v>
      </c>
      <c r="AT12" s="35">
        <f t="shared" si="7"/>
        <v>1</v>
      </c>
      <c r="AU12" s="361" t="s">
        <v>271</v>
      </c>
      <c r="AV12" s="339" t="str">
        <f>ADDRESS(ROW($X$22),COLUMN($X$22))</f>
        <v>$X$22</v>
      </c>
      <c r="AW12" s="138" t="str">
        <f t="shared" ref="AW12:AW17" ca="1" si="11">GetEnd($AV$1,AV12)</f>
        <v>$X$62</v>
      </c>
      <c r="AX12" s="339" t="str">
        <f>ADDRESS(ROW($CE$22),COLUMN($CE$22))</f>
        <v>$CE$22</v>
      </c>
      <c r="AY12" s="138" t="str">
        <f t="shared" ca="1" si="8"/>
        <v>$CE$62</v>
      </c>
    </row>
    <row r="13" spans="1:102" x14ac:dyDescent="0.25">
      <c r="A13" s="270" t="s">
        <v>224</v>
      </c>
      <c r="D13" s="170"/>
      <c r="E13" s="171"/>
      <c r="F13" s="172"/>
      <c r="G13" s="172"/>
      <c r="H13" s="173"/>
      <c r="L13" s="706" t="s">
        <v>155</v>
      </c>
      <c r="M13" s="707"/>
      <c r="N13" s="352">
        <f t="shared" ca="1" si="10"/>
        <v>0</v>
      </c>
      <c r="O13" s="352">
        <v>54.86</v>
      </c>
      <c r="P13" s="355">
        <f t="shared" ca="1" si="9"/>
        <v>-54.86</v>
      </c>
      <c r="AG13" s="248" t="s">
        <v>186</v>
      </c>
      <c r="AH13" s="119">
        <f>GetRecNdx($AH$12,$D$2)</f>
        <v>3</v>
      </c>
      <c r="AL13" s="34">
        <v>10</v>
      </c>
      <c r="AM13" s="37">
        <f t="shared" si="0"/>
        <v>25654</v>
      </c>
      <c r="AN13" s="38">
        <f t="shared" si="1"/>
        <v>1.6999999999999999E-3</v>
      </c>
      <c r="AO13" s="39">
        <f t="shared" si="2"/>
        <v>6.9699999999999996E-3</v>
      </c>
      <c r="AP13" s="38">
        <f t="shared" si="3"/>
        <v>2.2000000000000001E-3</v>
      </c>
      <c r="AQ13" s="38">
        <f t="shared" si="4"/>
        <v>0</v>
      </c>
      <c r="AR13" s="133">
        <f t="shared" si="5"/>
        <v>0</v>
      </c>
      <c r="AS13" s="40">
        <f t="shared" si="6"/>
        <v>4.1399999999999999E-2</v>
      </c>
      <c r="AT13" s="35">
        <f t="shared" si="7"/>
        <v>1</v>
      </c>
      <c r="AU13" s="361" t="s">
        <v>155</v>
      </c>
      <c r="AV13" s="339" t="str">
        <f>ADDRESS(ROW($Y$22),COLUMN($Y$22))</f>
        <v>$Y$22</v>
      </c>
      <c r="AW13" s="138" t="str">
        <f t="shared" ca="1" si="11"/>
        <v>$Y$62</v>
      </c>
      <c r="AX13" s="339" t="str">
        <f>ADDRESS(ROW($CF$22),COLUMN($CF$22))</f>
        <v>$CF$22</v>
      </c>
      <c r="AY13" s="138" t="str">
        <f t="shared" ca="1" si="8"/>
        <v>$CF$62</v>
      </c>
    </row>
    <row r="14" spans="1:102" x14ac:dyDescent="0.25">
      <c r="A14" s="270" t="s">
        <v>224</v>
      </c>
      <c r="D14" s="170"/>
      <c r="E14" s="171"/>
      <c r="F14" s="172"/>
      <c r="G14" s="172"/>
      <c r="H14" s="173"/>
      <c r="K14" s="185"/>
      <c r="L14" s="706" t="s">
        <v>156</v>
      </c>
      <c r="M14" s="707"/>
      <c r="N14" s="352">
        <f t="shared" ca="1" si="10"/>
        <v>-3221.2820846356635</v>
      </c>
      <c r="O14" s="352">
        <v>-1032.29</v>
      </c>
      <c r="P14" s="355">
        <f t="shared" ca="1" si="9"/>
        <v>-2188.9920846356636</v>
      </c>
      <c r="S14" s="181">
        <f>F22/(1-AR22)*AH22*AU22</f>
        <v>799669.15875597356</v>
      </c>
      <c r="T14" s="181">
        <f>F22*AH22*AU22</f>
        <v>794095.4647194444</v>
      </c>
      <c r="AL14" s="34">
        <v>11</v>
      </c>
      <c r="AM14" s="37">
        <f t="shared" si="0"/>
        <v>25654</v>
      </c>
      <c r="AN14" s="38">
        <f t="shared" si="1"/>
        <v>1.6999999999999999E-3</v>
      </c>
      <c r="AO14" s="39">
        <f t="shared" si="2"/>
        <v>6.9699999999999996E-3</v>
      </c>
      <c r="AP14" s="38">
        <f t="shared" si="3"/>
        <v>2.2000000000000001E-3</v>
      </c>
      <c r="AQ14" s="38">
        <f t="shared" si="4"/>
        <v>0</v>
      </c>
      <c r="AR14" s="133">
        <f t="shared" si="5"/>
        <v>0</v>
      </c>
      <c r="AS14" s="40">
        <f t="shared" si="6"/>
        <v>4.1399999999999999E-2</v>
      </c>
      <c r="AT14" s="35">
        <f t="shared" si="7"/>
        <v>1</v>
      </c>
      <c r="AU14" s="361" t="s">
        <v>156</v>
      </c>
      <c r="AV14" s="339" t="str">
        <f>ADDRESS(ROW($Z$22),COLUMN($Z$22))</f>
        <v>$Z$22</v>
      </c>
      <c r="AW14" s="138" t="str">
        <f t="shared" ca="1" si="11"/>
        <v>$Z$62</v>
      </c>
      <c r="AX14" s="353" t="str">
        <f ca="1">CONCATENATE(AX8,":",AY8)</f>
        <v>$AO$22:$AO$62</v>
      </c>
      <c r="AY14" s="353" t="str">
        <f ca="1">CONCATENATE(AX10,":",AY10)</f>
        <v>$CC$22:$CC$62</v>
      </c>
    </row>
    <row r="15" spans="1:102" ht="13.8" thickBot="1" x14ac:dyDescent="0.3">
      <c r="A15" s="270" t="s">
        <v>224</v>
      </c>
      <c r="D15" s="170"/>
      <c r="E15" s="171"/>
      <c r="F15" s="172"/>
      <c r="G15" s="172"/>
      <c r="H15" s="173"/>
      <c r="L15" s="706" t="s">
        <v>157</v>
      </c>
      <c r="M15" s="707"/>
      <c r="N15" s="352">
        <f t="shared" ca="1" si="10"/>
        <v>346.55970597670648</v>
      </c>
      <c r="O15" s="352">
        <v>2525.4299999999998</v>
      </c>
      <c r="P15" s="355">
        <f t="shared" ca="1" si="9"/>
        <v>-2178.8702940232934</v>
      </c>
      <c r="AL15" s="34">
        <v>12</v>
      </c>
      <c r="AM15" s="41">
        <f t="shared" si="0"/>
        <v>25654</v>
      </c>
      <c r="AN15" s="42">
        <f t="shared" si="1"/>
        <v>1.6999999999999999E-3</v>
      </c>
      <c r="AO15" s="43">
        <f t="shared" si="2"/>
        <v>6.9699999999999996E-3</v>
      </c>
      <c r="AP15" s="42">
        <f t="shared" si="3"/>
        <v>2.2000000000000001E-3</v>
      </c>
      <c r="AQ15" s="42">
        <f t="shared" si="4"/>
        <v>0</v>
      </c>
      <c r="AR15" s="134">
        <f t="shared" si="5"/>
        <v>0</v>
      </c>
      <c r="AS15" s="44">
        <f t="shared" si="6"/>
        <v>4.1399999999999999E-2</v>
      </c>
      <c r="AT15" s="35">
        <f t="shared" si="7"/>
        <v>1</v>
      </c>
      <c r="AU15" s="363" t="s">
        <v>157</v>
      </c>
      <c r="AV15" s="339" t="str">
        <f>ADDRESS(ROW($AA$22),COLUMN($AA$22))</f>
        <v>$AA$22</v>
      </c>
      <c r="AW15" s="138" t="str">
        <f t="shared" ca="1" si="11"/>
        <v>$AA$62</v>
      </c>
      <c r="AX15" s="353" t="str">
        <f ca="1">CONCATENATE(AV8,":",AW8)</f>
        <v>$AM$22:$AM$62</v>
      </c>
      <c r="AY15" s="353" t="str">
        <f ca="1">CONCATENATE(AX11,":",AY11)</f>
        <v>$CD$22:$CD$62</v>
      </c>
    </row>
    <row r="16" spans="1:102" x14ac:dyDescent="0.25">
      <c r="D16" s="174"/>
      <c r="E16" s="175"/>
      <c r="F16" s="176"/>
      <c r="G16" s="176"/>
      <c r="H16" s="177"/>
      <c r="L16" s="706" t="s">
        <v>158</v>
      </c>
      <c r="M16" s="707"/>
      <c r="N16" s="352">
        <f t="shared" ca="1" si="10"/>
        <v>0</v>
      </c>
      <c r="O16" s="352">
        <v>174.55</v>
      </c>
      <c r="P16" s="355">
        <f t="shared" ca="1" si="9"/>
        <v>-174.55</v>
      </c>
      <c r="AU16" s="361" t="s">
        <v>158</v>
      </c>
      <c r="AV16" s="339" t="str">
        <f>ADDRESS(ROW($AB$22),COLUMN($AB$22))</f>
        <v>$AB$22</v>
      </c>
      <c r="AW16" s="138" t="str">
        <f t="shared" ca="1" si="11"/>
        <v>$AB$62</v>
      </c>
      <c r="AX16" s="353" t="str">
        <f ca="1">CONCATENATE(AX9,":",AY9)</f>
        <v>$AP$22:$AP$62</v>
      </c>
      <c r="AY16" s="353" t="str">
        <f ca="1">CONCATENATE(AX12,":",AY12)</f>
        <v>$CE$22:$CE$62</v>
      </c>
      <c r="CM16" s="268"/>
    </row>
    <row r="17" spans="1:91" x14ac:dyDescent="0.25">
      <c r="D17" s="171"/>
      <c r="E17" s="171"/>
      <c r="F17" s="172"/>
      <c r="G17" s="172"/>
      <c r="H17" s="172"/>
      <c r="L17" s="704" t="s">
        <v>211</v>
      </c>
      <c r="M17" s="705"/>
      <c r="N17" s="356">
        <f t="shared" ca="1" si="10"/>
        <v>219.53592272894366</v>
      </c>
      <c r="O17" s="357">
        <v>71.03</v>
      </c>
      <c r="P17" s="358">
        <f t="shared" ca="1" si="9"/>
        <v>148.50592272894366</v>
      </c>
      <c r="AU17" s="361" t="s">
        <v>211</v>
      </c>
      <c r="AV17" s="339" t="str">
        <f>ADDRESS(ROW($AC$22),COLUMN($AC$22))</f>
        <v>$AC$22</v>
      </c>
      <c r="AW17" s="138" t="str">
        <f t="shared" ca="1" si="11"/>
        <v>$AC$62</v>
      </c>
      <c r="AX17" s="353" t="str">
        <f ca="1">CONCATENATE(AV9,":",AW9)</f>
        <v>$AN$22:$AN$62</v>
      </c>
      <c r="AY17" s="353" t="str">
        <f ca="1">CONCATENATE(AX13,":",AY13)</f>
        <v>$CF$22:$CF$62</v>
      </c>
      <c r="CM17" s="268"/>
    </row>
    <row r="18" spans="1:91" x14ac:dyDescent="0.25">
      <c r="D18" s="171"/>
      <c r="E18" s="171"/>
      <c r="F18" s="172"/>
      <c r="G18" s="172"/>
      <c r="H18" s="172"/>
      <c r="L18" s="706" t="s">
        <v>623</v>
      </c>
      <c r="M18" s="707"/>
      <c r="N18" s="352">
        <f ca="1">SUMPRODUCT(INDIRECT(CONCATENATE(AX4,":",AY4)),INDIRECT(CONCATENATE($AV$2,":",$AW$2)),INDIRECT(CONCATENATE($AV$3,":",$AW$3)))</f>
        <v>735164.36318807874</v>
      </c>
      <c r="O18" s="352">
        <v>734989.2</v>
      </c>
      <c r="P18" s="355">
        <f t="shared" ca="1" si="9"/>
        <v>175.16318807878997</v>
      </c>
      <c r="AU18" s="361"/>
      <c r="AV18" s="339"/>
      <c r="AW18" s="138"/>
      <c r="AX18" s="339" t="str">
        <f>ADDRESS(ROW($CI$22),COLUMN($CI$22))</f>
        <v>$CI$22</v>
      </c>
      <c r="AY18" s="138" t="str">
        <f ca="1">GetEnd($AV$1,AX18)</f>
        <v>$CI$62</v>
      </c>
      <c r="CM18" s="268"/>
    </row>
    <row r="19" spans="1:91" x14ac:dyDescent="0.25">
      <c r="D19" s="171"/>
      <c r="E19" s="171"/>
      <c r="F19" s="172"/>
      <c r="G19" s="172"/>
      <c r="H19" s="172"/>
      <c r="L19" s="724" t="s">
        <v>624</v>
      </c>
      <c r="M19" s="725"/>
      <c r="N19" s="359">
        <f ca="1">SUMPRODUCT(INDIRECT(CONCATENATE(AX5,":",AY5)),INDIRECT(CONCATENATE($AV$2,":",$AW$2)),INDIRECT(CONCATENATE($AV$3,":",$AW$3)))</f>
        <v>190203.43282943813</v>
      </c>
      <c r="O19" s="359">
        <v>192680.73</v>
      </c>
      <c r="P19" s="360">
        <f t="shared" ca="1" si="9"/>
        <v>-2477.2971705618838</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IF-COLGULF/LA Basis Mid</v>
      </c>
      <c r="T20" s="182" t="str">
        <f>GetDelBasis($AH$12,$AH$13)</f>
        <v>IF-COLGUL/RAYNE Basis Mid</v>
      </c>
      <c r="U20" s="158"/>
      <c r="V20" s="158"/>
      <c r="W20" s="158"/>
      <c r="X20" s="158"/>
      <c r="Y20" s="335"/>
      <c r="Z20" s="335"/>
      <c r="AA20" s="335"/>
      <c r="AB20" s="335"/>
      <c r="AC20" s="335"/>
      <c r="AI20" s="138"/>
      <c r="AM20" s="702" t="str">
        <f>GetRcptPoint($AH$12,$AH$13)</f>
        <v>Onshore</v>
      </c>
      <c r="AN20" s="703"/>
      <c r="AO20" s="702" t="str">
        <f>GetDelPoint($AH$12,$AH$13)</f>
        <v>Rayne</v>
      </c>
      <c r="AP20" s="703"/>
      <c r="AQ20" s="137"/>
      <c r="AS20" s="137"/>
      <c r="AU20" s="136" t="s">
        <v>576</v>
      </c>
      <c r="AV20" s="353">
        <f ca="1">SUMPRODUCT(INDIRECT(CONCATENATE(AV8,":",AW8)),INDIRECT(CONCATENATE($AV$2,":",$AW$2)),INDIRECT(CONCATENATE($AV$3,":",$AW$3)),INDIRECT(CONCATENATE(AX3,":",AY3)))</f>
        <v>-663797.24999999977</v>
      </c>
      <c r="AW20" s="353">
        <f ca="1">SUMPRODUCT(INDIRECT(CONCATENATE(AX8,":",AY8)),INDIRECT(CONCATENATE($AV$2,":",$AW$2)),INDIRECT(CONCATENATE($AV$3,":",$AW$3)),INDIRECT(CONCATENATE(AX3,":",AY3)))</f>
        <v>-663797.24999999977</v>
      </c>
      <c r="AX20" s="353">
        <f ca="1">SUMPRODUCT(INDIRECT(CONCATENATE(AV9,":",AW9)),INDIRECT(CONCATENATE($AV$2,":",$AW$2)),INDIRECT(CONCATENATE($AV$3,":",$AW$3)),INDIRECT(CONCATENATE(AX3,":",AY3)))</f>
        <v>60607.575000000004</v>
      </c>
      <c r="AY20" s="353">
        <f ca="1">SUMPRODUCT(INDIRECT(CONCATENATE(AX9,":",AY9)),INDIRECT(CONCATENATE($AV$2,":",$AW$2)),INDIRECT(CONCATENATE($AV$3,":",$AW$3)),INDIRECT(CONCATENATE(AX3,":",AY3)))</f>
        <v>1526733.6749999991</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VLOOKUP(AG22,$AL$4:$AS$15,2)</f>
        <v>25654</v>
      </c>
      <c r="G22" s="28">
        <f t="shared" ref="G22:G62" si="12">F22*$AU22</f>
        <v>25615.982732885306</v>
      </c>
      <c r="H22" s="52">
        <f>(AL22+AM22+AN22)/(1-(AR22))</f>
        <v>2.8408003786391149</v>
      </c>
      <c r="I22" s="52">
        <f>(AL22+AO22+AP22)</f>
        <v>2.8785000000000003</v>
      </c>
      <c r="K22" s="52">
        <f>MAX(((I22-H22)-AQ22)*AU22*AH22,0)</f>
        <v>1.0462355200714706</v>
      </c>
      <c r="L22" s="135">
        <f>MAX(Q22-K22,0)</f>
        <v>0.64849384892478756</v>
      </c>
      <c r="N22" s="131">
        <f>SQRT(($AX22^2*($AH22/2)+$AW22^2*$AI22)/(($AH22/2)+$AI22))</f>
        <v>0.96016221307122684</v>
      </c>
      <c r="O22" s="131">
        <f>SQRT(($AY22^2*($AH22/2)+$AW22^2*$AI22)/(($AH22/2)+$AI22))</f>
        <v>0.96016221307122684</v>
      </c>
      <c r="P22" s="55">
        <f>(VLOOKUP(AI22,CorrelationTwo,2)*(AW22^2)*AI22+VLOOKUP(D22,CorrelationOne,$AK$9)*AX22*AY22*(AH22/2))/((AI22+(AH22/2))*O22*N22)*AF22</f>
        <v>0.99345809810692698</v>
      </c>
      <c r="Q22" s="135">
        <f>_xll.xSPRDOPT(I22,H22,AQ22,0,O22,N22,P22,D22-$G$5,1,0)*AH22*AU22</f>
        <v>1.6947293689962581</v>
      </c>
      <c r="R22" s="135"/>
      <c r="S22" s="181">
        <f>_xll.xSPRDOPT(I22,H22,AQ22,AT22,O22,N22,P22,D22-$G$5,1,2)*AF22*(F22/(1-AR22))*AH22</f>
        <v>-514165.90805484244</v>
      </c>
      <c r="T22" s="181">
        <f>_xll.xSPRDOPT(I22,H22,AQ22,AT22,O22,N22,P22,D22-$G$5,1,1)*AF22*F22*AH22</f>
        <v>519695.50548004993</v>
      </c>
      <c r="U22" s="135"/>
      <c r="V22" s="146">
        <f>VLOOKUP($AG22,$AL$4:$AS$15,8)*AH22*AU22</f>
        <v>1.2814980992977703</v>
      </c>
      <c r="W22" s="146"/>
      <c r="X22" s="338">
        <f>((BM22*BC22)+(BL22*BB22))*AH22*F22</f>
        <v>0</v>
      </c>
      <c r="Y22" s="338">
        <f t="shared" ref="Y22:Y62" si="13">($F22*$AH22)*((($BG22/2)*($BC22)^2)+(($BF22/2)*($BB22)^2)+($BH22*$BC22*$BB22))</f>
        <v>0</v>
      </c>
      <c r="Z22" s="338">
        <f t="shared" ref="Z22:Z62" si="14">($BI22*$F22*$AH22*($G$5-$BV$5))/365.25</f>
        <v>-1301.5627231374131</v>
      </c>
      <c r="AA22" s="338">
        <f t="shared" ref="AA22:AA62" si="15">(($BK22*$BE22)+($BJ22*$BD22))*$F22*$AH22*$AF22</f>
        <v>226.4422952348657</v>
      </c>
      <c r="AB22" s="338">
        <f>BN22*(AT22-CA22)*F22*AH22</f>
        <v>0</v>
      </c>
      <c r="AC22" s="338">
        <f>BO22*CB22*F22*AH22*CA22*($G$5-$BV$5)/365.25</f>
        <v>6.9518270722524349</v>
      </c>
      <c r="AF22" s="138">
        <f>IF(AND(D22&gt;=$G$7,D22&lt;=$G$8),1,0)</f>
        <v>1</v>
      </c>
      <c r="AG22" s="138">
        <f>MONTH(D22)</f>
        <v>1</v>
      </c>
      <c r="AH22" s="138">
        <f t="shared" ref="AH22:AH62" si="16">(EOMONTH(D22,0)-EOMONTH(D22-DAY(D22),0))*AF22</f>
        <v>31</v>
      </c>
      <c r="AI22" s="138">
        <f>MAX(0,(D22-DAY(D22))-$G$5+1)</f>
        <v>15</v>
      </c>
      <c r="AJ22" s="138">
        <f>D22-$BV$5</f>
        <v>32</v>
      </c>
      <c r="AL22" s="136">
        <f t="shared" ref="AL22:AL62" si="17">VLOOKUP($D22,CurveTbl,$AK$4)</f>
        <v>2.8460000000000001</v>
      </c>
      <c r="AM22" s="258">
        <f t="shared" ref="AM22:AM62" si="18">VLOOKUP($D22,CurveTbl,$AH$3)</f>
        <v>-2.5000000000000001E-2</v>
      </c>
      <c r="AN22" s="258">
        <f t="shared" ref="AN22:AN62" si="19">VLOOKUP($D22,CurveTbl,$AH$4)+VLOOKUP($AG22,$AL$3:$AS$15,6)</f>
        <v>0</v>
      </c>
      <c r="AO22" s="258">
        <f t="shared" ref="AO22:AO62" si="20">VLOOKUP($D22,CurveTbl,$AH$5)</f>
        <v>-2.5000000000000001E-2</v>
      </c>
      <c r="AP22" s="258">
        <f t="shared" ref="AP22:AP62" si="21">VLOOKUP($D22,CurveTbl,$AH$6)+VLOOKUP($AG22,$AL$3:$AS$15,7)</f>
        <v>5.7500000000000002E-2</v>
      </c>
      <c r="AQ22" s="136">
        <f>VLOOKUP($AG22,$AL$4:$AS$15,3)+VLOOKUP($AG22,$AL$4:$AS$15,5)+($AH$10*VLOOKUP(D22,GRITable,2))</f>
        <v>3.8999999999999998E-3</v>
      </c>
      <c r="AR22" s="137">
        <f t="shared" ref="AR22:AR62" si="22">VLOOKUP($AG22,$AL$4:$AS$15,4)</f>
        <v>6.9699999999999996E-3</v>
      </c>
      <c r="AS22" s="136">
        <f>(AL22+AM22+AN22)</f>
        <v>2.8210000000000002</v>
      </c>
      <c r="AT22" s="137">
        <f>VLOOKUP(D22,CurveTbl,$AK$6)</f>
        <v>1.8765908157160699E-2</v>
      </c>
      <c r="AU22" s="137">
        <f t="shared" ref="AU22:AU62" si="23">(1+$AT22/2)^(-2*($D22-$G$5)/365.25)*$AF22</f>
        <v>0.99851807643585033</v>
      </c>
      <c r="AV22" s="394">
        <f>ROUND((F22/(1-AR22))-F22,0)*AF22*AH22*AU22</f>
        <v>5571.7308665120445</v>
      </c>
      <c r="AW22" s="137">
        <f t="shared" ref="AW22:AW62" si="24">VLOOKUP($D22,CurveTbl,$AK$8)</f>
        <v>0.87</v>
      </c>
      <c r="AX22" s="137">
        <f t="shared" ref="AX22:AX62" si="25">VLOOKUP($D22,CurveTbl,$AH$7)</f>
        <v>1.04</v>
      </c>
      <c r="AY22" s="137">
        <f t="shared" ref="AY22:AY62" si="26">VLOOKUP($D22,CurveTbl,$AH$8)</f>
        <v>1.04</v>
      </c>
      <c r="AZ22" s="137"/>
      <c r="BA22" s="264"/>
      <c r="BB22" s="258">
        <f t="shared" ref="BB22:BB62" si="27">$H22-$BV22</f>
        <v>0</v>
      </c>
      <c r="BC22" s="258">
        <f>I22-BW22</f>
        <v>0</v>
      </c>
      <c r="BD22" s="137">
        <f>N22-BX22</f>
        <v>7.7262160833929672E-3</v>
      </c>
      <c r="BE22" s="137">
        <f>O22-BY22</f>
        <v>7.7262160833929672E-3</v>
      </c>
      <c r="BF22" s="137">
        <f>_xll.xSPRDOPT($BW22,$BV22,$CG22,0,$BY22,$BX22,$BZ22,$AJ22,1,4)*$CB22</f>
        <v>4.0177542231226377</v>
      </c>
      <c r="BG22" s="137">
        <f>_xll.xSPRDOPT($BW22,$BV22,$CG22,0,$BY22,$BX22,$BZ22,$AJ22,1,3)*$CB22</f>
        <v>3.923905434469233</v>
      </c>
      <c r="BH22" s="137">
        <f>IF(OR(BF22&lt;&gt;0,BG22&lt;&gt;0),_xll.xSPRDOPT($BW22,$BV22,$CG22,0,$BY22,$BX22,$BZ22,$AJ22,1,12)*$CB22,0)</f>
        <v>-3.970555275923755</v>
      </c>
      <c r="BI22" s="137">
        <f>_xll.xSPRDOPT($BW22,$BV22,$CG22,2*LN(1+CA22/2),$BY22,$BX22,$BZ22,$AJ22,1,9)</f>
        <v>-0.19925869768404356</v>
      </c>
      <c r="BJ22" s="137">
        <f>_xll.xSPRDOPT($BW22,$BV22,$CG22,0,$BY22,$BX22,$BZ22,$AJ22,1,6)*$CB22</f>
        <v>1.4725453735130163E-2</v>
      </c>
      <c r="BK22" s="137">
        <f>_xll.xSPRDOPT($BW22,$BV22,$CG22,0,$BY22,$BX22,$BZ22,$AJ22,1,5)*$CB22</f>
        <v>2.2127636785832887E-2</v>
      </c>
      <c r="BL22" s="137">
        <f>_xll.xSPRDOPT(BW22,BV22,CG22,0,BY22,BX22,BZ22,AJ22,1,2)*CB22</f>
        <v>-0.63317929001707673</v>
      </c>
      <c r="BM22" s="137">
        <f>_xll.xSPRDOPT(BW22,BV22,CG22,0,BY22,BX22,BZ22,AJ22,1,1)*CB22</f>
        <v>0.64545324323951625</v>
      </c>
      <c r="BN22" s="137">
        <f>IF(AH22&lt;&gt;0,_xll.xSPRDOPT($BW22,$BV22,$CG22,2*LN(1+CA22/2),$BY22,$BX22,$BZ22,$AJ22,1,8)+(AJ22/365.25)*CH22/AH22,0)</f>
        <v>-1.3475092269988622E-3</v>
      </c>
      <c r="BO22" s="137">
        <f>_xll.xSPRDOPT($BW22,$BV22,$CG22,0,$BY22,$BX22,$BZ22,$AJ22,1,0)</f>
        <v>5.6805744478396543E-2</v>
      </c>
      <c r="BP22" s="137"/>
      <c r="BQ22" s="137"/>
      <c r="BR22" s="137"/>
      <c r="BS22" s="137"/>
      <c r="BV22" s="262">
        <v>2.8408003786391149</v>
      </c>
      <c r="BW22" s="136">
        <v>2.8785000000000003</v>
      </c>
      <c r="BX22" s="137">
        <v>0.95243599698783388</v>
      </c>
      <c r="BY22" s="137">
        <v>0.95243599698783388</v>
      </c>
      <c r="BZ22" s="137">
        <v>0.99319970515647116</v>
      </c>
      <c r="CA22" s="137">
        <v>1.8765908157160699E-2</v>
      </c>
      <c r="CB22" s="137">
        <v>0.99836489939579565</v>
      </c>
      <c r="CC22" s="258">
        <v>-2.5000000000000001E-2</v>
      </c>
      <c r="CD22" s="258">
        <v>0</v>
      </c>
      <c r="CE22" s="258">
        <v>-2.5000000000000001E-2</v>
      </c>
      <c r="CF22" s="258">
        <v>5.7500000000000002E-2</v>
      </c>
      <c r="CG22" s="258">
        <v>3.8999999999999998E-3</v>
      </c>
      <c r="CH22" s="258">
        <v>1.2813015118845641</v>
      </c>
      <c r="CI22" s="258">
        <v>2.8460000000000001</v>
      </c>
    </row>
    <row r="23" spans="1:91" x14ac:dyDescent="0.25">
      <c r="A23" s="723"/>
      <c r="B23" s="723"/>
      <c r="D23" s="31">
        <f>D22+AH22</f>
        <v>37302</v>
      </c>
      <c r="F23" s="28">
        <f>VLOOKUP(AG23,$AL$4:$AS$15,2)</f>
        <v>25654</v>
      </c>
      <c r="G23" s="28">
        <f t="shared" si="12"/>
        <v>25573.074295057733</v>
      </c>
      <c r="H23" s="52">
        <f>(AL23+AM23+AN23)/(1-(AR23))</f>
        <v>2.9032355517960182</v>
      </c>
      <c r="I23" s="52">
        <f>(AL23+AO23+AP23)</f>
        <v>2.9405000000000001</v>
      </c>
      <c r="K23" s="52">
        <f t="shared" ref="K23:K62" si="28">MAX(((I23-H23)-AQ23)*AU23*AH23,0)</f>
        <v>0.9312575955622111</v>
      </c>
      <c r="L23" s="135">
        <f t="shared" ref="L23:L62" si="29">MAX(Q23-K23,0)</f>
        <v>0.76177946142189512</v>
      </c>
      <c r="N23" s="131">
        <f t="shared" ref="N23:N62" si="30">SQRT(($AX23^2*($AH23/2)+$AW23^2*$AI23)/(($AH23/2)+$AI23))</f>
        <v>0.90885229823112634</v>
      </c>
      <c r="O23" s="131">
        <f t="shared" ref="O23:O62" si="31">SQRT(($AY23^2*($AH23/2)+$AW23^2*$AI23)/(($AH23/2)+$AI23))</f>
        <v>0.90885229823112634</v>
      </c>
      <c r="P23" s="55">
        <f t="shared" ref="P23:P62" si="32">(VLOOKUP(AI23,CorrelationTwo,2)*(AW23^2)*AI23+VLOOKUP(D23,CorrelationOne,$AK$9)*AX23*AY23*(AH23/2))/((AI23+(AH23/2))*O23*N23)*AF23</f>
        <v>0.99524442567959515</v>
      </c>
      <c r="Q23" s="135">
        <f>_xll.xSPRDOPT(I23,H23,AQ23,0,O23,N23,P23,D23-$G$5,1,0)*AH23*AU23</f>
        <v>1.6930370569841062</v>
      </c>
      <c r="R23" s="135"/>
      <c r="S23" s="181">
        <f>_xll.xSPRDOPT(I23,H23,AQ23,AT23,O23,N23,P23,D23-$G$5,1,2)*AF23*(F23/(1-AR23))*AH23</f>
        <v>-445514.51111686917</v>
      </c>
      <c r="T23" s="181">
        <f>_xll.xSPRDOPT(I23,H23,AQ23,AT23,O23,N23,P23,D23-$G$5,1,1)*AF23*F23*AH23</f>
        <v>452164.44426239579</v>
      </c>
      <c r="U23" s="135"/>
      <c r="V23" s="146">
        <f>VLOOKUP($AG23,$AL$4:$AS$15,8)*AH23*AU23</f>
        <v>1.155543296282487</v>
      </c>
      <c r="W23" s="146"/>
      <c r="X23" s="338">
        <f>((BM23*BC23)+(BL23*BB23))*AH23*F23</f>
        <v>0</v>
      </c>
      <c r="Y23" s="338">
        <f t="shared" si="13"/>
        <v>0</v>
      </c>
      <c r="Z23" s="338">
        <f t="shared" si="14"/>
        <v>-689.20146915921737</v>
      </c>
      <c r="AA23" s="338">
        <f t="shared" si="15"/>
        <v>65.781045898631078</v>
      </c>
      <c r="AB23" s="338">
        <f>BN23*(AT23-CA23)*F23*AH23</f>
        <v>0</v>
      </c>
      <c r="AC23" s="338">
        <f>BO23*CB23*F23*AH23*CA23*($G$5-$BV$5)/365.25</f>
        <v>6.9999370840178363</v>
      </c>
      <c r="AF23" s="138">
        <f>IF(AND(D23&gt;=$G$7,D23&lt;=$G$8),1,0)</f>
        <v>1</v>
      </c>
      <c r="AG23" s="138">
        <f>MONTH(D23)</f>
        <v>2</v>
      </c>
      <c r="AH23" s="138">
        <f t="shared" si="16"/>
        <v>28</v>
      </c>
      <c r="AI23" s="138">
        <f>AI22+AH22</f>
        <v>46</v>
      </c>
      <c r="AJ23" s="138">
        <f>D23-$BV$5</f>
        <v>63</v>
      </c>
      <c r="AL23" s="136">
        <f t="shared" si="17"/>
        <v>2.9079999999999999</v>
      </c>
      <c r="AM23" s="258">
        <f t="shared" si="18"/>
        <v>-2.5000000000000001E-2</v>
      </c>
      <c r="AN23" s="258">
        <f t="shared" si="19"/>
        <v>0</v>
      </c>
      <c r="AO23" s="258">
        <f t="shared" si="20"/>
        <v>-2.5000000000000001E-2</v>
      </c>
      <c r="AP23" s="258">
        <f t="shared" si="21"/>
        <v>5.7500000000000002E-2</v>
      </c>
      <c r="AQ23" s="136">
        <f>VLOOKUP($AG23,$AL$4:$AS$15,3)+VLOOKUP($AG23,$AL$4:$AS$15,5)+($AH$10*VLOOKUP(D23,GRITable,2))</f>
        <v>3.8999999999999998E-3</v>
      </c>
      <c r="AR23" s="137">
        <f t="shared" si="22"/>
        <v>6.9699999999999996E-3</v>
      </c>
      <c r="AS23" s="136">
        <f t="shared" ref="AS23:AS62" si="33">(AL23+AM23+AN23)</f>
        <v>2.883</v>
      </c>
      <c r="AT23" s="137">
        <f t="shared" ref="AT23:AT62" si="34">VLOOKUP(D23,CurveTbl,$AK$6)</f>
        <v>1.9326187282006298E-2</v>
      </c>
      <c r="AU23" s="137">
        <f t="shared" si="23"/>
        <v>0.99684549368744568</v>
      </c>
      <c r="AV23" s="394">
        <f t="shared" ref="AV23:AV62" si="35">ROUND((F23/(1-AR23))-F23,0)*AF23*AH23*AU23</f>
        <v>5024.1012881847264</v>
      </c>
      <c r="AW23" s="137">
        <f t="shared" si="24"/>
        <v>0.86499999999999999</v>
      </c>
      <c r="AX23" s="137">
        <f t="shared" si="25"/>
        <v>1.04</v>
      </c>
      <c r="AY23" s="137">
        <f t="shared" si="26"/>
        <v>1.04</v>
      </c>
      <c r="AZ23" s="137"/>
      <c r="BA23" s="264"/>
      <c r="BB23" s="258">
        <f t="shared" si="27"/>
        <v>0</v>
      </c>
      <c r="BC23" s="258">
        <f>I23-BW23</f>
        <v>0</v>
      </c>
      <c r="BD23" s="137">
        <f>N23-BX23</f>
        <v>2.0401162808982853E-3</v>
      </c>
      <c r="BE23" s="137">
        <f>O23-BY23</f>
        <v>2.0401162808982853E-3</v>
      </c>
      <c r="BF23" s="137">
        <f>_xll.xSPRDOPT($BW23,$BV23,$CG23,0,$BY23,$BX23,$BZ23,$AJ23,1,4)*$CB23</f>
        <v>3.5663922932975907</v>
      </c>
      <c r="BG23" s="137">
        <f>_xll.xSPRDOPT($BW23,$BV23,$CG23,0,$BY23,$BX23,$BZ23,$AJ23,1,3)*$CB23</f>
        <v>3.4858829480737632</v>
      </c>
      <c r="BH23" s="137">
        <f>IF(OR(BF23&lt;&gt;0,BG23&lt;&gt;0),_xll.xSPRDOPT($BW23,$BV23,$CG23,0,$BY23,$BX23,$BZ23,$AJ23,1,12)*$CB23,0)</f>
        <v>-3.5259080167151597</v>
      </c>
      <c r="BI23" s="137">
        <f>_xll.xSPRDOPT($BW23,$BV23,$CG23,2*LN(1+CA23/2),$BY23,$BX23,$BZ23,$AJ23,1,9)</f>
        <v>-0.11681592242665403</v>
      </c>
      <c r="BJ23" s="137">
        <f>_xll.xSPRDOPT($BW23,$BV23,$CG23,0,$BY23,$BX23,$BZ23,$AJ23,1,6)*$CB23</f>
        <v>1.6147745120780023E-2</v>
      </c>
      <c r="BK23" s="137">
        <f>_xll.xSPRDOPT($BW23,$BV23,$CG23,0,$BY23,$BX23,$BZ23,$AJ23,1,5)*$CB23</f>
        <v>2.8740510714252581E-2</v>
      </c>
      <c r="BL23" s="137">
        <f>_xll.xSPRDOPT(BW23,BV23,CG23,0,BY23,BX23,BZ23,AJ23,1,2)*CB23</f>
        <v>-0.61287140904545123</v>
      </c>
      <c r="BM23" s="137">
        <f>_xll.xSPRDOPT(BW23,BV23,CG23,0,BY23,BX23,BZ23,AJ23,1,1)*CB23</f>
        <v>0.62680160753031389</v>
      </c>
      <c r="BN23" s="137">
        <f>IF(AH23&lt;&gt;0,_xll.xSPRDOPT($BW23,$BV23,$CG23,2*LN(1+CA23/2),$BY23,$BX23,$BZ23,$AJ23,1,8)+(AJ23/365.25)*CH23/AH23,0)</f>
        <v>-3.4717678448493066E-3</v>
      </c>
      <c r="BO23" s="137">
        <f>_xll.xSPRDOPT($BW23,$BV23,$CG23,0,$BY23,$BX23,$BZ23,$AJ23,1,0)</f>
        <v>6.159487220023014E-2</v>
      </c>
      <c r="BP23" s="137"/>
      <c r="BQ23" s="137"/>
      <c r="BR23" s="137"/>
      <c r="BS23" s="137"/>
      <c r="BV23" s="262">
        <v>2.9032355517960182</v>
      </c>
      <c r="BW23" s="136">
        <v>2.9405000000000001</v>
      </c>
      <c r="BX23" s="137">
        <v>0.90681218195022806</v>
      </c>
      <c r="BY23" s="137">
        <v>0.90681218195022806</v>
      </c>
      <c r="BZ23" s="137">
        <v>0.99523383496998619</v>
      </c>
      <c r="CA23" s="137">
        <v>1.9326187282006298E-2</v>
      </c>
      <c r="CB23" s="137">
        <v>0.99668802984454063</v>
      </c>
      <c r="CC23" s="258">
        <v>-2.5000000000000001E-2</v>
      </c>
      <c r="CD23" s="258">
        <v>0</v>
      </c>
      <c r="CE23" s="258">
        <v>-2.5000000000000001E-2</v>
      </c>
      <c r="CF23" s="258">
        <v>5.7500000000000002E-2</v>
      </c>
      <c r="CG23" s="258">
        <v>3.8999999999999998E-3</v>
      </c>
      <c r="CH23" s="258">
        <v>1.1553607641957915</v>
      </c>
      <c r="CI23" s="258">
        <v>2.9079999999999999</v>
      </c>
    </row>
    <row r="24" spans="1:91" x14ac:dyDescent="0.25">
      <c r="A24" s="723"/>
      <c r="B24" s="723"/>
      <c r="D24" s="31">
        <f t="shared" ref="D24:D62" si="36">D23+AH23</f>
        <v>37330</v>
      </c>
      <c r="F24" s="28">
        <f t="shared" ref="F24:F62" si="37">VLOOKUP(AG24,$AL$4:$AS$15,2)</f>
        <v>25654</v>
      </c>
      <c r="G24" s="28">
        <f t="shared" si="12"/>
        <v>25535.719406120388</v>
      </c>
      <c r="H24" s="52">
        <f t="shared" ref="H24:H62" si="38">(AL24+AM24+AN24)/(1-(AR24))</f>
        <v>2.8971934382647051</v>
      </c>
      <c r="I24" s="52">
        <f t="shared" ref="I24:I62" si="39">(AL24+AO24+AP24)</f>
        <v>2.9345000000000003</v>
      </c>
      <c r="K24" s="52">
        <f t="shared" si="28"/>
        <v>1.030828650139076</v>
      </c>
      <c r="L24" s="135">
        <f t="shared" si="29"/>
        <v>0.60548047718217135</v>
      </c>
      <c r="N24" s="131">
        <f t="shared" si="30"/>
        <v>0.79</v>
      </c>
      <c r="O24" s="131">
        <f t="shared" si="31"/>
        <v>0.79</v>
      </c>
      <c r="P24" s="55">
        <f t="shared" si="32"/>
        <v>0.99720558659217906</v>
      </c>
      <c r="Q24" s="135">
        <f>_xll.xSPRDOPT(I24,H24,AQ24,0,O24,N24,P24,D24-$G$5,1,0)*AH24*AU24</f>
        <v>1.6363091273212473</v>
      </c>
      <c r="R24" s="135"/>
      <c r="S24" s="181">
        <f>_xll.xSPRDOPT(I24,H24,AQ24,AT24,O24,N24,P24,D24-$G$5,1,2)*AF24*(F24/(1-AR24))*AH24</f>
        <v>-516766.41053135257</v>
      </c>
      <c r="T24" s="181">
        <f>_xll.xSPRDOPT(I24,H24,AQ24,AT24,O24,N24,P24,D24-$G$5,1,1)*AF24*F24*AH24</f>
        <v>521629.99734510214</v>
      </c>
      <c r="U24" s="135"/>
      <c r="V24" s="146">
        <f t="shared" ref="V24:V62" si="40">VLOOKUP($AG24,$AL$4:$AS$15,8)*AH24*AU24</f>
        <v>1.2774827428788846</v>
      </c>
      <c r="W24" s="146"/>
      <c r="X24" s="338">
        <f t="shared" ref="X24:X62" si="41">((BM24*BC24)+(BL24*BB24))*AH24*F24</f>
        <v>0</v>
      </c>
      <c r="Y24" s="338">
        <f t="shared" si="13"/>
        <v>0</v>
      </c>
      <c r="Z24" s="338">
        <f t="shared" si="14"/>
        <v>-407.39145686660993</v>
      </c>
      <c r="AA24" s="338">
        <f t="shared" si="15"/>
        <v>0</v>
      </c>
      <c r="AB24" s="338">
        <f t="shared" ref="AB24:AB62" si="42">BN24*(AT24-CA24)*F24*AH24</f>
        <v>0</v>
      </c>
      <c r="AC24" s="338">
        <f t="shared" ref="AC24:AC62" si="43">BO24*CB24*F24*AH24*CA24*($G$5-$BV$5)/365.25</f>
        <v>6.7034347755366088</v>
      </c>
      <c r="AF24" s="138">
        <f t="shared" ref="AF24:AF62" si="44">IF(AND(D24&gt;=$G$7,D24&lt;=$G$8),1,0)</f>
        <v>1</v>
      </c>
      <c r="AG24" s="138">
        <f t="shared" ref="AG24:AG62" si="45">MONTH(D24)</f>
        <v>3</v>
      </c>
      <c r="AH24" s="138">
        <f t="shared" si="16"/>
        <v>31</v>
      </c>
      <c r="AI24" s="138">
        <f t="shared" ref="AI24:AI62" si="46">AI23+AH23</f>
        <v>74</v>
      </c>
      <c r="AJ24" s="138">
        <f t="shared" ref="AJ24:AJ62" si="47">D24-$BV$5</f>
        <v>91</v>
      </c>
      <c r="AL24" s="136">
        <f t="shared" si="17"/>
        <v>2.9020000000000001</v>
      </c>
      <c r="AM24" s="258">
        <f t="shared" si="18"/>
        <v>-2.5000000000000001E-2</v>
      </c>
      <c r="AN24" s="258">
        <f t="shared" si="19"/>
        <v>0</v>
      </c>
      <c r="AO24" s="258">
        <f t="shared" si="20"/>
        <v>-2.5000000000000001E-2</v>
      </c>
      <c r="AP24" s="258">
        <f t="shared" si="21"/>
        <v>5.7500000000000002E-2</v>
      </c>
      <c r="AQ24" s="136">
        <f t="shared" ref="AQ24:AQ62" si="48">VLOOKUP($AG24,$AL$4:$AS$15,3)+VLOOKUP($AG24,$AL$4:$AS$15,5)+($AH$10*VLOOKUP(D24,GRITable,2))</f>
        <v>3.8999999999999998E-3</v>
      </c>
      <c r="AR24" s="137">
        <f t="shared" si="22"/>
        <v>6.9699999999999996E-3</v>
      </c>
      <c r="AS24" s="136">
        <f t="shared" si="33"/>
        <v>2.8770000000000002</v>
      </c>
      <c r="AT24" s="137">
        <f t="shared" si="34"/>
        <v>1.9273175363903501E-2</v>
      </c>
      <c r="AU24" s="137">
        <f t="shared" si="23"/>
        <v>0.99538938980745262</v>
      </c>
      <c r="AV24" s="394">
        <f t="shared" si="35"/>
        <v>5554.2727951255856</v>
      </c>
      <c r="AW24" s="137">
        <f t="shared" si="24"/>
        <v>0.79</v>
      </c>
      <c r="AX24" s="137">
        <f t="shared" si="25"/>
        <v>0.79</v>
      </c>
      <c r="AY24" s="137">
        <f t="shared" si="26"/>
        <v>0.79</v>
      </c>
      <c r="AZ24" s="137"/>
      <c r="BA24" s="264"/>
      <c r="BB24" s="258">
        <f t="shared" si="27"/>
        <v>0</v>
      </c>
      <c r="BC24" s="258">
        <f t="shared" ref="BC24:BC62" si="49">I24-BW24</f>
        <v>0</v>
      </c>
      <c r="BD24" s="137">
        <f t="shared" ref="BD24:BD62" si="50">N24-BX24</f>
        <v>0</v>
      </c>
      <c r="BE24" s="137">
        <f t="shared" ref="BE24:BE62" si="51">O24-BY24</f>
        <v>0</v>
      </c>
      <c r="BF24" s="137">
        <f>_xll.xSPRDOPT($BW24,$BV24,$CG24,0,$BY24,$BX24,$BZ24,$AJ24,1,4)*$CB24</f>
        <v>4.3377037556531004</v>
      </c>
      <c r="BG24" s="137">
        <f>_xll.xSPRDOPT($BW24,$BV24,$CG24,0,$BY24,$BX24,$BZ24,$AJ24,1,3)*$CB24</f>
        <v>4.2394732677981626</v>
      </c>
      <c r="BH24" s="137">
        <f>IF(OR(BF24&lt;&gt;0,BG24&lt;&gt;0),_xll.xSPRDOPT($BW24,$BV24,$CG24,0,$BY24,$BX24,$BZ24,$AJ24,1,12)*$CB24,0)</f>
        <v>-4.2883114215537415</v>
      </c>
      <c r="BI24" s="137">
        <f>_xll.xSPRDOPT($BW24,$BV24,$CG24,2*LN(1+CA24/2),$BY24,$BX24,$BZ24,$AJ24,1,9)</f>
        <v>-6.236832824097073E-2</v>
      </c>
      <c r="BJ24" s="137">
        <f>_xll.xSPRDOPT($BW24,$BV24,$CG24,0,$BY24,$BX24,$BZ24,$AJ24,1,6)*$CB24</f>
        <v>1.036356431056455E-2</v>
      </c>
      <c r="BK24" s="137">
        <f>_xll.xSPRDOPT($BW24,$BV24,$CG24,0,$BY24,$BX24,$BZ24,$AJ24,1,5)*$CB24</f>
        <v>2.9619163504229443E-2</v>
      </c>
      <c r="BL24" s="137">
        <f>_xll.xSPRDOPT(BW24,BV24,CG24,0,BY24,BX24,BZ24,AJ24,1,2)*CB24</f>
        <v>-0.64291662395999505</v>
      </c>
      <c r="BM24" s="137">
        <f>_xll.xSPRDOPT(BW24,BV24,CG24,0,BY24,BX24,BZ24,AJ24,1,1)*CB24</f>
        <v>0.65374628857966643</v>
      </c>
      <c r="BN24" s="137">
        <f>IF(AH24&lt;&gt;0,_xll.xSPRDOPT($BW24,$BV24,$CG24,2*LN(1+CA24/2),$BY24,$BX24,$BZ24,$AJ24,1,8)+(AJ24/365.25)*CH24/AH24,0)</f>
        <v>-3.0008231692932007E-3</v>
      </c>
      <c r="BO24" s="137">
        <f>_xll.xSPRDOPT($BW24,$BV24,$CG24,0,$BY24,$BX24,$BZ24,$AJ24,1,0)</f>
        <v>5.3502209026411458E-2</v>
      </c>
      <c r="BP24" s="137"/>
      <c r="BQ24" s="137"/>
      <c r="BR24" s="137"/>
      <c r="BS24" s="137"/>
      <c r="BV24" s="262">
        <v>2.8971934382647051</v>
      </c>
      <c r="BW24" s="136">
        <v>2.9345000000000003</v>
      </c>
      <c r="BX24" s="137">
        <v>0.79</v>
      </c>
      <c r="BY24" s="137">
        <v>0.79</v>
      </c>
      <c r="BZ24" s="137">
        <v>0.99721513513513527</v>
      </c>
      <c r="CA24" s="137">
        <v>1.9273175363903501E-2</v>
      </c>
      <c r="CB24" s="137">
        <v>0.99523258517239033</v>
      </c>
      <c r="CC24" s="258">
        <v>-2.5000000000000001E-2</v>
      </c>
      <c r="CD24" s="258">
        <v>0</v>
      </c>
      <c r="CE24" s="258">
        <v>-2.5000000000000001E-2</v>
      </c>
      <c r="CF24" s="258">
        <v>5.7500000000000002E-2</v>
      </c>
      <c r="CG24" s="258">
        <v>3.8999999999999998E-3</v>
      </c>
      <c r="CH24" s="258">
        <v>1.2772814998102455</v>
      </c>
      <c r="CI24" s="258">
        <v>2.9020000000000001</v>
      </c>
    </row>
    <row r="25" spans="1:91" x14ac:dyDescent="0.25">
      <c r="A25" s="723"/>
      <c r="B25" s="723"/>
      <c r="D25" s="31">
        <f t="shared" si="36"/>
        <v>37361</v>
      </c>
      <c r="F25" s="28">
        <f t="shared" si="37"/>
        <v>25654</v>
      </c>
      <c r="G25" s="28">
        <f t="shared" si="12"/>
        <v>25492.952854514631</v>
      </c>
      <c r="H25" s="52">
        <f t="shared" si="38"/>
        <v>2.8453319637875993</v>
      </c>
      <c r="I25" s="52">
        <f t="shared" si="39"/>
        <v>2.8805000000000001</v>
      </c>
      <c r="K25" s="52">
        <f t="shared" si="28"/>
        <v>0.93215238132375589</v>
      </c>
      <c r="L25" s="135">
        <f t="shared" si="29"/>
        <v>7.4921704397887923E-2</v>
      </c>
      <c r="N25" s="131">
        <f t="shared" si="30"/>
        <v>0.60058305004387191</v>
      </c>
      <c r="O25" s="131">
        <f t="shared" si="31"/>
        <v>0.60058305004387191</v>
      </c>
      <c r="P25" s="55">
        <f t="shared" si="32"/>
        <v>0.99959114915442193</v>
      </c>
      <c r="Q25" s="135">
        <f>_xll.xSPRDOPT(I25,H25,AQ25,0,O25,N25,P25,D25-$G$5,1,0)*AH25*AU25</f>
        <v>1.0070740857216438</v>
      </c>
      <c r="R25" s="135"/>
      <c r="S25" s="181">
        <f>_xll.xSPRDOPT(I25,H25,AQ25,AT25,O25,N25,P25,D25-$G$5,1,2)*AF25*(F25/(1-AR25))*AH25</f>
        <v>-694378.08057903941</v>
      </c>
      <c r="T25" s="181">
        <f>_xll.xSPRDOPT(I25,H25,AQ25,AT25,O25,N25,P25,D25-$G$5,1,1)*AF25*F25*AH25</f>
        <v>691021.63614996569</v>
      </c>
      <c r="U25" s="135"/>
      <c r="V25" s="146">
        <f t="shared" si="40"/>
        <v>1.2342031435763301</v>
      </c>
      <c r="W25" s="146"/>
      <c r="X25" s="338">
        <f t="shared" si="41"/>
        <v>0</v>
      </c>
      <c r="Y25" s="338">
        <f t="shared" si="13"/>
        <v>0</v>
      </c>
      <c r="Z25" s="338">
        <f t="shared" si="14"/>
        <v>-52.742535479624074</v>
      </c>
      <c r="AA25" s="338">
        <f t="shared" si="15"/>
        <v>-1.7785102401627078</v>
      </c>
      <c r="AB25" s="338">
        <f t="shared" si="42"/>
        <v>0</v>
      </c>
      <c r="AC25" s="338">
        <f t="shared" si="43"/>
        <v>4.1217089058657272</v>
      </c>
      <c r="AF25" s="138">
        <f t="shared" si="44"/>
        <v>1</v>
      </c>
      <c r="AG25" s="138">
        <f t="shared" si="45"/>
        <v>4</v>
      </c>
      <c r="AH25" s="138">
        <f t="shared" si="16"/>
        <v>30</v>
      </c>
      <c r="AI25" s="138">
        <f t="shared" si="46"/>
        <v>105</v>
      </c>
      <c r="AJ25" s="138">
        <f t="shared" si="47"/>
        <v>122</v>
      </c>
      <c r="AL25" s="136">
        <f t="shared" si="17"/>
        <v>2.8479999999999999</v>
      </c>
      <c r="AM25" s="258">
        <f t="shared" si="18"/>
        <v>-2.5000000000000001E-2</v>
      </c>
      <c r="AN25" s="258">
        <f t="shared" si="19"/>
        <v>2.5000000000000001E-3</v>
      </c>
      <c r="AO25" s="258">
        <f t="shared" si="20"/>
        <v>-2.5000000000000001E-2</v>
      </c>
      <c r="AP25" s="258">
        <f t="shared" si="21"/>
        <v>5.7500000000000002E-2</v>
      </c>
      <c r="AQ25" s="136">
        <f t="shared" si="48"/>
        <v>3.8999999999999998E-3</v>
      </c>
      <c r="AR25" s="137">
        <f t="shared" si="22"/>
        <v>6.9699999999999996E-3</v>
      </c>
      <c r="AS25" s="136">
        <f t="shared" si="33"/>
        <v>2.8254999999999999</v>
      </c>
      <c r="AT25" s="137">
        <f t="shared" si="34"/>
        <v>1.9422640119623601E-2</v>
      </c>
      <c r="AU25" s="137">
        <f t="shared" si="23"/>
        <v>0.99372233782313213</v>
      </c>
      <c r="AV25" s="394">
        <f t="shared" si="35"/>
        <v>5366.1006242449139</v>
      </c>
      <c r="AW25" s="137">
        <f t="shared" si="24"/>
        <v>0.61</v>
      </c>
      <c r="AX25" s="137">
        <f t="shared" si="25"/>
        <v>0.53</v>
      </c>
      <c r="AY25" s="137">
        <f t="shared" si="26"/>
        <v>0.53</v>
      </c>
      <c r="AZ25" s="137"/>
      <c r="BA25" s="264"/>
      <c r="BB25" s="258">
        <f t="shared" si="27"/>
        <v>0</v>
      </c>
      <c r="BC25" s="258">
        <f t="shared" si="49"/>
        <v>0</v>
      </c>
      <c r="BD25" s="137">
        <f t="shared" si="50"/>
        <v>-2.3143778118694946E-4</v>
      </c>
      <c r="BE25" s="137">
        <f t="shared" si="51"/>
        <v>-2.3143778118694946E-4</v>
      </c>
      <c r="BF25" s="137">
        <f>_xll.xSPRDOPT($BW25,$BV25,$CG25,0,$BY25,$BX25,$BZ25,$AJ25,1,4)*$CB25</f>
        <v>2.8045934474754013</v>
      </c>
      <c r="BG25" s="137">
        <f>_xll.xSPRDOPT($BW25,$BV25,$CG25,0,$BY25,$BX25,$BZ25,$AJ25,1,3)*$CB25</f>
        <v>2.7440533577804138</v>
      </c>
      <c r="BH25" s="137">
        <f>IF(OR(BF25&lt;&gt;0,BG25&lt;&gt;0),_xll.xSPRDOPT($BW25,$BV25,$CG25,0,$BY25,$BX25,$BZ25,$AJ25,1,12)*$CB25,0)</f>
        <v>-2.7741578934882871</v>
      </c>
      <c r="BI25" s="137">
        <f>_xll.xSPRDOPT($BW25,$BV25,$CG25,2*LN(1+CA25/2),$BY25,$BX25,$BZ25,$AJ25,1,9)</f>
        <v>-8.3436029399498839E-3</v>
      </c>
      <c r="BJ25" s="137">
        <f>_xll.xSPRDOPT($BW25,$BV25,$CG25,0,$BY25,$BX25,$BZ25,$AJ25,1,6)*$CB25</f>
        <v>-1.2363358201181849E-2</v>
      </c>
      <c r="BK25" s="137">
        <f>_xll.xSPRDOPT($BW25,$BV25,$CG25,0,$BY25,$BX25,$BZ25,$AJ25,1,5)*$CB25</f>
        <v>2.2348305291479593E-2</v>
      </c>
      <c r="BL25" s="137">
        <f>_xll.xSPRDOPT(BW25,BV25,CG25,0,BY25,BX25,BZ25,AJ25,1,2)*CB25</f>
        <v>-0.89715344198645774</v>
      </c>
      <c r="BM25" s="137">
        <f>_xll.xSPRDOPT(BW25,BV25,CG25,0,BY25,BX25,BZ25,AJ25,1,1)*CB25</f>
        <v>0.89906868005408291</v>
      </c>
      <c r="BN25" s="137">
        <f>IF(AH25&lt;&gt;0,_xll.xSPRDOPT($BW25,$BV25,$CG25,2*LN(1+CA25/2),$BY25,$BX25,$BZ25,$AJ25,1,8)+(AJ25/365.25)*CH25/AH25,0)</f>
        <v>2.7383555368821096E-3</v>
      </c>
      <c r="BO25" s="137">
        <f>_xll.xSPRDOPT($BW25,$BV25,$CG25,0,$BY25,$BX25,$BZ25,$AJ25,1,0)</f>
        <v>3.3788240286095492E-2</v>
      </c>
      <c r="BP25" s="137"/>
      <c r="BQ25" s="137"/>
      <c r="BR25" s="137"/>
      <c r="BS25" s="137"/>
      <c r="BV25" s="262">
        <v>2.8453319637875993</v>
      </c>
      <c r="BW25" s="136">
        <v>2.8805000000000001</v>
      </c>
      <c r="BX25" s="137">
        <v>0.60081448782505886</v>
      </c>
      <c r="BY25" s="137">
        <v>0.60081448782505886</v>
      </c>
      <c r="BZ25" s="137">
        <v>0.99960142836872723</v>
      </c>
      <c r="CA25" s="137">
        <v>1.9422640119623601E-2</v>
      </c>
      <c r="CB25" s="137">
        <v>0.99356458774998258</v>
      </c>
      <c r="CC25" s="258">
        <v>-2.5000000000000001E-2</v>
      </c>
      <c r="CD25" s="258">
        <v>2.5000000000000001E-3</v>
      </c>
      <c r="CE25" s="258">
        <v>-2.5000000000000001E-2</v>
      </c>
      <c r="CF25" s="258">
        <v>5.7500000000000002E-2</v>
      </c>
      <c r="CG25" s="258">
        <v>3.8999999999999998E-3</v>
      </c>
      <c r="CH25" s="258">
        <v>1.2340072179854784</v>
      </c>
      <c r="CI25" s="258">
        <v>2.8479999999999999</v>
      </c>
    </row>
    <row r="26" spans="1:91" x14ac:dyDescent="0.25">
      <c r="A26" s="723"/>
      <c r="B26" s="723"/>
      <c r="D26" s="31">
        <f t="shared" si="36"/>
        <v>37391</v>
      </c>
      <c r="F26" s="28">
        <f t="shared" si="37"/>
        <v>25654</v>
      </c>
      <c r="G26" s="28">
        <f t="shared" si="12"/>
        <v>25449.535740876887</v>
      </c>
      <c r="H26" s="52">
        <f t="shared" si="38"/>
        <v>2.8936688720381056</v>
      </c>
      <c r="I26" s="52">
        <f t="shared" si="39"/>
        <v>2.9285000000000001</v>
      </c>
      <c r="K26" s="52">
        <f t="shared" si="28"/>
        <v>0.95122274279753494</v>
      </c>
      <c r="L26" s="135">
        <f t="shared" si="29"/>
        <v>0.10118769795501403</v>
      </c>
      <c r="N26" s="131">
        <f t="shared" si="30"/>
        <v>0.57775797476853397</v>
      </c>
      <c r="O26" s="131">
        <f t="shared" si="31"/>
        <v>0.57775797476853397</v>
      </c>
      <c r="P26" s="55">
        <f t="shared" si="32"/>
        <v>0.9995640782099342</v>
      </c>
      <c r="Q26" s="135">
        <f>_xll.xSPRDOPT(I26,H26,AQ26,0,O26,N26,P26,D26-$G$5,1,0)*AH26*AU26</f>
        <v>1.052410440752549</v>
      </c>
      <c r="R26" s="135"/>
      <c r="S26" s="181">
        <f>_xll.xSPRDOPT(I26,H26,AQ26,AT26,O26,N26,P26,D26-$G$5,1,2)*AF26*(F26/(1-AR26))*AH26</f>
        <v>-703493.77458875603</v>
      </c>
      <c r="T26" s="181">
        <f>_xll.xSPRDOPT(I26,H26,AQ26,AT26,O26,N26,P26,D26-$G$5,1,1)*AF26*F26*AH26</f>
        <v>700430.1605730555</v>
      </c>
      <c r="U26" s="135"/>
      <c r="V26" s="146">
        <f t="shared" si="40"/>
        <v>1.2731712079925701</v>
      </c>
      <c r="W26" s="146"/>
      <c r="X26" s="338">
        <f t="shared" si="41"/>
        <v>0</v>
      </c>
      <c r="Y26" s="338">
        <f t="shared" si="13"/>
        <v>0</v>
      </c>
      <c r="Z26" s="338">
        <f t="shared" si="14"/>
        <v>-57.10039519776776</v>
      </c>
      <c r="AA26" s="338">
        <f t="shared" si="15"/>
        <v>5.4270636399487315E-2</v>
      </c>
      <c r="AB26" s="338">
        <f t="shared" si="42"/>
        <v>0</v>
      </c>
      <c r="AC26" s="338">
        <f t="shared" si="43"/>
        <v>4.3708722265411826</v>
      </c>
      <c r="AF26" s="138">
        <f t="shared" si="44"/>
        <v>1</v>
      </c>
      <c r="AG26" s="138">
        <f t="shared" si="45"/>
        <v>5</v>
      </c>
      <c r="AH26" s="138">
        <f t="shared" si="16"/>
        <v>31</v>
      </c>
      <c r="AI26" s="138">
        <f t="shared" si="46"/>
        <v>135</v>
      </c>
      <c r="AJ26" s="138">
        <f t="shared" si="47"/>
        <v>152</v>
      </c>
      <c r="AL26" s="136">
        <f t="shared" si="17"/>
        <v>2.8959999999999999</v>
      </c>
      <c r="AM26" s="258">
        <f t="shared" si="18"/>
        <v>-2.5000000000000001E-2</v>
      </c>
      <c r="AN26" s="258">
        <f t="shared" si="19"/>
        <v>2.5000000000000001E-3</v>
      </c>
      <c r="AO26" s="258">
        <f t="shared" si="20"/>
        <v>-2.5000000000000001E-2</v>
      </c>
      <c r="AP26" s="258">
        <f t="shared" si="21"/>
        <v>5.7500000000000002E-2</v>
      </c>
      <c r="AQ26" s="136">
        <f t="shared" si="48"/>
        <v>3.8999999999999998E-3</v>
      </c>
      <c r="AR26" s="137">
        <f t="shared" si="22"/>
        <v>6.9699999999999996E-3</v>
      </c>
      <c r="AS26" s="136">
        <f t="shared" si="33"/>
        <v>2.8734999999999999</v>
      </c>
      <c r="AT26" s="137">
        <f t="shared" si="34"/>
        <v>1.9712159578257001E-2</v>
      </c>
      <c r="AU26" s="137">
        <f t="shared" si="23"/>
        <v>0.99202992675126245</v>
      </c>
      <c r="AV26" s="394">
        <f t="shared" si="35"/>
        <v>5535.5269912720441</v>
      </c>
      <c r="AW26" s="137">
        <f t="shared" si="24"/>
        <v>0.57750000000000001</v>
      </c>
      <c r="AX26" s="137">
        <f t="shared" si="25"/>
        <v>0.57999999999999996</v>
      </c>
      <c r="AY26" s="137">
        <f t="shared" si="26"/>
        <v>0.57999999999999996</v>
      </c>
      <c r="AZ26" s="137"/>
      <c r="BA26" s="264"/>
      <c r="BB26" s="258">
        <f t="shared" si="27"/>
        <v>0</v>
      </c>
      <c r="BC26" s="258">
        <f t="shared" si="49"/>
        <v>0</v>
      </c>
      <c r="BD26" s="137">
        <f t="shared" si="50"/>
        <v>5.0407485243653127E-6</v>
      </c>
      <c r="BE26" s="137">
        <f t="shared" si="51"/>
        <v>5.0407485243653127E-6</v>
      </c>
      <c r="BF26" s="137">
        <f>_xll.xSPRDOPT($BW26,$BV26,$CG26,0,$BY26,$BX26,$BZ26,$AJ26,1,4)*$CB26</f>
        <v>2.8741082291086695</v>
      </c>
      <c r="BG26" s="137">
        <f>_xll.xSPRDOPT($BW26,$BV26,$CG26,0,$BY26,$BX26,$BZ26,$AJ26,1,3)*$CB26</f>
        <v>2.813732375044057</v>
      </c>
      <c r="BH26" s="137">
        <f>IF(OR(BF26&lt;&gt;0,BG26&lt;&gt;0),_xll.xSPRDOPT($BW26,$BV26,$CG26,0,$BY26,$BX26,$BZ26,$AJ26,1,12)*$CB26,0)</f>
        <v>-2.8437614420138098</v>
      </c>
      <c r="BI26" s="137">
        <f>_xll.xSPRDOPT($BW26,$BV26,$CG26,2*LN(1+CA26/2),$BY26,$BX26,$BZ26,$AJ26,1,9)</f>
        <v>-8.7416074401127485E-3</v>
      </c>
      <c r="BJ26" s="137">
        <f>_xll.xSPRDOPT($BW26,$BV26,$CG26,0,$BY26,$BX26,$BZ26,$AJ26,1,6)*$CB26</f>
        <v>-1.4772343907560425E-2</v>
      </c>
      <c r="BK26" s="137">
        <f>_xll.xSPRDOPT($BW26,$BV26,$CG26,0,$BY26,$BX26,$BZ26,$AJ26,1,5)*$CB26</f>
        <v>2.8310299913024663E-2</v>
      </c>
      <c r="BL26" s="137">
        <f>_xll.xSPRDOPT(BW26,BV26,CG26,0,BY26,BX26,BZ26,AJ26,1,2)*CB26</f>
        <v>-0.87964298365594717</v>
      </c>
      <c r="BM26" s="137">
        <f>_xll.xSPRDOPT(BW26,BV26,CG26,0,BY26,BX26,BZ26,AJ26,1,1)*CB26</f>
        <v>0.88194294187201316</v>
      </c>
      <c r="BN26" s="137">
        <f>IF(AH26&lt;&gt;0,_xll.xSPRDOPT($BW26,$BV26,$CG26,2*LN(1+CA26/2),$BY26,$BX26,$BZ26,$AJ26,1,8)+(AJ26/365.25)*CH26/AH26,0)</f>
        <v>3.1738570838922599E-3</v>
      </c>
      <c r="BO26" s="137">
        <f>_xll.xSPRDOPT($BW26,$BV26,$CG26,0,$BY26,$BX26,$BZ26,$AJ26,1,0)</f>
        <v>3.4224041001509074E-2</v>
      </c>
      <c r="BP26" s="137"/>
      <c r="BQ26" s="137"/>
      <c r="BR26" s="137"/>
      <c r="BS26" s="137"/>
      <c r="BV26" s="262">
        <v>2.8936688720381056</v>
      </c>
      <c r="BW26" s="136">
        <v>2.9285000000000001</v>
      </c>
      <c r="BX26" s="137">
        <v>0.5777529340200096</v>
      </c>
      <c r="BY26" s="137">
        <v>0.5777529340200096</v>
      </c>
      <c r="BZ26" s="137">
        <v>0.99957259039605584</v>
      </c>
      <c r="CA26" s="137">
        <v>1.9712159578257001E-2</v>
      </c>
      <c r="CB26" s="137">
        <v>0.99187010954216859</v>
      </c>
      <c r="CC26" s="258">
        <v>-2.5000000000000001E-2</v>
      </c>
      <c r="CD26" s="258">
        <v>2.5000000000000001E-3</v>
      </c>
      <c r="CE26" s="258">
        <v>-2.5000000000000001E-2</v>
      </c>
      <c r="CF26" s="258">
        <v>5.7500000000000002E-2</v>
      </c>
      <c r="CG26" s="258">
        <v>3.8999999999999998E-3</v>
      </c>
      <c r="CH26" s="258">
        <v>1.2729660985864191</v>
      </c>
      <c r="CI26" s="258">
        <v>2.8959999999999999</v>
      </c>
    </row>
    <row r="27" spans="1:91" x14ac:dyDescent="0.25">
      <c r="A27" s="727"/>
      <c r="B27" s="727"/>
      <c r="C27" s="727"/>
      <c r="D27" s="31">
        <f t="shared" si="36"/>
        <v>37422</v>
      </c>
      <c r="F27" s="28">
        <f t="shared" si="37"/>
        <v>25654</v>
      </c>
      <c r="G27" s="28">
        <f t="shared" si="12"/>
        <v>25403.492615655417</v>
      </c>
      <c r="H27" s="52">
        <f t="shared" si="38"/>
        <v>2.9440198181323831</v>
      </c>
      <c r="I27" s="52">
        <f t="shared" si="39"/>
        <v>2.9785000000000004</v>
      </c>
      <c r="K27" s="52">
        <f t="shared" si="28"/>
        <v>0.908447132134655</v>
      </c>
      <c r="L27" s="135">
        <f t="shared" si="29"/>
        <v>9.9572756369221249E-2</v>
      </c>
      <c r="N27" s="131">
        <f t="shared" si="30"/>
        <v>0.5502663217587267</v>
      </c>
      <c r="O27" s="131">
        <f t="shared" si="31"/>
        <v>0.5502663217587267</v>
      </c>
      <c r="P27" s="55">
        <f t="shared" si="32"/>
        <v>0.9996133018492882</v>
      </c>
      <c r="Q27" s="135">
        <f>_xll.xSPRDOPT(I27,H27,AQ27,0,O27,N27,P27,D27-$G$5,1,0)*AH27*AU27</f>
        <v>1.0080198885038762</v>
      </c>
      <c r="R27" s="135"/>
      <c r="S27" s="181">
        <f>_xll.xSPRDOPT(I27,H27,AQ27,AT27,O27,N27,P27,D27-$G$5,1,2)*AF27*(F27/(1-AR27))*AH27</f>
        <v>-684924.72006512608</v>
      </c>
      <c r="T27" s="181">
        <f>_xll.xSPRDOPT(I27,H27,AQ27,AT27,O27,N27,P27,D27-$G$5,1,1)*AF27*F27*AH27</f>
        <v>681848.93235600367</v>
      </c>
      <c r="U27" s="135"/>
      <c r="V27" s="146">
        <f t="shared" si="40"/>
        <v>1.2298720600547295</v>
      </c>
      <c r="W27" s="146"/>
      <c r="X27" s="338">
        <f t="shared" si="41"/>
        <v>0</v>
      </c>
      <c r="Y27" s="338">
        <f t="shared" si="13"/>
        <v>0</v>
      </c>
      <c r="Z27" s="338">
        <f t="shared" si="14"/>
        <v>-45.903239754773672</v>
      </c>
      <c r="AA27" s="338">
        <f t="shared" si="15"/>
        <v>0.49950250758792464</v>
      </c>
      <c r="AB27" s="338">
        <f t="shared" si="42"/>
        <v>0</v>
      </c>
      <c r="AC27" s="338">
        <f t="shared" si="43"/>
        <v>4.2496384408267414</v>
      </c>
      <c r="AF27" s="138">
        <f t="shared" si="44"/>
        <v>1</v>
      </c>
      <c r="AG27" s="138">
        <f t="shared" si="45"/>
        <v>6</v>
      </c>
      <c r="AH27" s="138">
        <f t="shared" si="16"/>
        <v>30</v>
      </c>
      <c r="AI27" s="138">
        <f t="shared" si="46"/>
        <v>166</v>
      </c>
      <c r="AJ27" s="138">
        <f t="shared" si="47"/>
        <v>183</v>
      </c>
      <c r="AL27" s="136">
        <f t="shared" si="17"/>
        <v>2.9460000000000002</v>
      </c>
      <c r="AM27" s="258">
        <f t="shared" si="18"/>
        <v>-2.5000000000000001E-2</v>
      </c>
      <c r="AN27" s="258">
        <f t="shared" si="19"/>
        <v>2.5000000000000001E-3</v>
      </c>
      <c r="AO27" s="258">
        <f t="shared" si="20"/>
        <v>-2.5000000000000001E-2</v>
      </c>
      <c r="AP27" s="258">
        <f t="shared" si="21"/>
        <v>5.7500000000000002E-2</v>
      </c>
      <c r="AQ27" s="136">
        <f t="shared" si="48"/>
        <v>3.8999999999999998E-3</v>
      </c>
      <c r="AR27" s="137">
        <f t="shared" si="22"/>
        <v>6.9699999999999996E-3</v>
      </c>
      <c r="AS27" s="136">
        <f t="shared" si="33"/>
        <v>2.9235000000000002</v>
      </c>
      <c r="AT27" s="137">
        <f t="shared" si="34"/>
        <v>2.0011329715354399E-2</v>
      </c>
      <c r="AU27" s="137">
        <f t="shared" si="23"/>
        <v>0.99023515302313159</v>
      </c>
      <c r="AV27" s="394">
        <f t="shared" si="35"/>
        <v>5347.2698263249104</v>
      </c>
      <c r="AW27" s="137">
        <f t="shared" si="24"/>
        <v>0.54749999999999999</v>
      </c>
      <c r="AX27" s="137">
        <f t="shared" si="25"/>
        <v>0.57999999999999996</v>
      </c>
      <c r="AY27" s="137">
        <f t="shared" si="26"/>
        <v>0.57999999999999996</v>
      </c>
      <c r="AZ27" s="137"/>
      <c r="BA27" s="264"/>
      <c r="BB27" s="258">
        <f t="shared" si="27"/>
        <v>0</v>
      </c>
      <c r="BC27" s="258">
        <f t="shared" si="49"/>
        <v>0</v>
      </c>
      <c r="BD27" s="137">
        <f t="shared" si="50"/>
        <v>4.4991539458583141E-5</v>
      </c>
      <c r="BE27" s="137">
        <f t="shared" si="51"/>
        <v>4.4991539458583141E-5</v>
      </c>
      <c r="BF27" s="137">
        <f>_xll.xSPRDOPT($BW27,$BV27,$CG27,0,$BY27,$BX27,$BZ27,$AJ27,1,4)*$CB27</f>
        <v>2.4684434041342311</v>
      </c>
      <c r="BG27" s="137">
        <f>_xll.xSPRDOPT($BW27,$BV27,$CG27,0,$BY27,$BX27,$BZ27,$AJ27,1,3)*$CB27</f>
        <v>2.4180296751896329</v>
      </c>
      <c r="BH27" s="137">
        <f>IF(OR(BF27&lt;&gt;0,BG27&lt;&gt;0),_xll.xSPRDOPT($BW27,$BV27,$CG27,0,$BY27,$BX27,$BZ27,$AJ27,1,12)*$CB27,0)</f>
        <v>-2.4431089370965586</v>
      </c>
      <c r="BI27" s="137">
        <f>_xll.xSPRDOPT($BW27,$BV27,$CG27,2*LN(1+CA27/2),$BY27,$BX27,$BZ27,$AJ27,1,9)</f>
        <v>-7.2616608717856797E-3</v>
      </c>
      <c r="BJ27" s="137">
        <f>_xll.xSPRDOPT($BW27,$BV27,$CG27,0,$BY27,$BX27,$BZ27,$AJ27,1,6)*$CB27</f>
        <v>-1.8164868782668896E-2</v>
      </c>
      <c r="BK27" s="137">
        <f>_xll.xSPRDOPT($BW27,$BV27,$CG27,0,$BY27,$BX27,$BZ27,$AJ27,1,5)*$CB27</f>
        <v>3.2590355465248327E-2</v>
      </c>
      <c r="BL27" s="137">
        <f>_xll.xSPRDOPT(BW27,BV27,CG27,0,BY27,BX27,BZ27,AJ27,1,2)*CB27</f>
        <v>-0.88474056630053233</v>
      </c>
      <c r="BM27" s="137">
        <f>_xll.xSPRDOPT(BW27,BV27,CG27,0,BY27,BX27,BZ27,AJ27,1,1)*CB27</f>
        <v>0.88693534366832905</v>
      </c>
      <c r="BN27" s="137">
        <f>IF(AH27&lt;&gt;0,_xll.xSPRDOPT($BW27,$BV27,$CG27,2*LN(1+CA27/2),$BY27,$BX27,$BZ27,$AJ27,1,8)+(AJ27/365.25)*CH27/AH27,0)</f>
        <v>3.9475042781766008E-3</v>
      </c>
      <c r="BO27" s="137">
        <f>_xll.xSPRDOPT($BW27,$BV27,$CG27,0,$BY27,$BX27,$BZ27,$AJ27,1,0)</f>
        <v>3.3931366261901595E-2</v>
      </c>
      <c r="BP27" s="137"/>
      <c r="BQ27" s="137"/>
      <c r="BR27" s="137"/>
      <c r="BS27" s="137"/>
      <c r="BV27" s="262">
        <v>2.9440198181323831</v>
      </c>
      <c r="BW27" s="136">
        <v>2.9785000000000004</v>
      </c>
      <c r="BX27" s="137">
        <v>0.55022133021926811</v>
      </c>
      <c r="BY27" s="137">
        <v>0.55022133021926811</v>
      </c>
      <c r="BZ27" s="137">
        <v>0.99961954449846047</v>
      </c>
      <c r="CA27" s="137">
        <v>2.0011329715354399E-2</v>
      </c>
      <c r="CB27" s="137">
        <v>0.99007321601711695</v>
      </c>
      <c r="CC27" s="258">
        <v>-2.5000000000000001E-2</v>
      </c>
      <c r="CD27" s="258">
        <v>2.5000000000000001E-3</v>
      </c>
      <c r="CE27" s="258">
        <v>-2.5000000000000001E-2</v>
      </c>
      <c r="CF27" s="258">
        <v>5.7500000000000002E-2</v>
      </c>
      <c r="CG27" s="258">
        <v>3.8999999999999998E-3</v>
      </c>
      <c r="CH27" s="258">
        <v>1.2296709342932592</v>
      </c>
      <c r="CI27" s="258">
        <v>2.9460000000000002</v>
      </c>
    </row>
    <row r="28" spans="1:91" x14ac:dyDescent="0.25">
      <c r="A28" s="723"/>
      <c r="B28" s="723"/>
      <c r="D28" s="31">
        <f t="shared" si="36"/>
        <v>37452</v>
      </c>
      <c r="F28" s="28">
        <f t="shared" si="37"/>
        <v>25654</v>
      </c>
      <c r="G28" s="28">
        <f t="shared" si="12"/>
        <v>25355.956471836424</v>
      </c>
      <c r="H28" s="52">
        <f t="shared" si="38"/>
        <v>2.9822865371640335</v>
      </c>
      <c r="I28" s="52">
        <f t="shared" si="39"/>
        <v>3.0165000000000002</v>
      </c>
      <c r="K28" s="52">
        <f t="shared" si="28"/>
        <v>0.92879988187267071</v>
      </c>
      <c r="L28" s="135">
        <f t="shared" si="29"/>
        <v>0.12830843550282156</v>
      </c>
      <c r="N28" s="131">
        <f t="shared" si="30"/>
        <v>0.54938596714727361</v>
      </c>
      <c r="O28" s="131">
        <f t="shared" si="31"/>
        <v>0.54938596714727361</v>
      </c>
      <c r="P28" s="55">
        <f t="shared" si="32"/>
        <v>0.99959524092801877</v>
      </c>
      <c r="Q28" s="135">
        <f>_xll.xSPRDOPT(I28,H28,AQ28,0,O28,N28,P28,D28-$G$5,1,0)*AH28*AU28</f>
        <v>1.0571083173754923</v>
      </c>
      <c r="R28" s="135"/>
      <c r="S28" s="181">
        <f>_xll.xSPRDOPT(I28,H28,AQ28,AT28,O28,N28,P28,D28-$G$5,1,2)*AF28*(F28/(1-AR28))*AH28</f>
        <v>-696343.22406715993</v>
      </c>
      <c r="T28" s="181">
        <f>_xll.xSPRDOPT(I28,H28,AQ28,AT28,O28,N28,P28,D28-$G$5,1,1)*AF28*F28*AH28</f>
        <v>693529.91393594746</v>
      </c>
      <c r="U28" s="135"/>
      <c r="V28" s="146">
        <f t="shared" si="40"/>
        <v>1.2684896911185337</v>
      </c>
      <c r="W28" s="146"/>
      <c r="X28" s="338">
        <f t="shared" si="41"/>
        <v>0</v>
      </c>
      <c r="Y28" s="338">
        <f t="shared" si="13"/>
        <v>0</v>
      </c>
      <c r="Z28" s="338">
        <f t="shared" si="14"/>
        <v>-50.205192490842457</v>
      </c>
      <c r="AA28" s="338">
        <f t="shared" si="15"/>
        <v>1.3533019446942796</v>
      </c>
      <c r="AB28" s="338">
        <f t="shared" si="42"/>
        <v>0</v>
      </c>
      <c r="AC28" s="338">
        <f t="shared" si="43"/>
        <v>4.5491013630735253</v>
      </c>
      <c r="AF28" s="138">
        <f t="shared" si="44"/>
        <v>1</v>
      </c>
      <c r="AG28" s="138">
        <f t="shared" si="45"/>
        <v>7</v>
      </c>
      <c r="AH28" s="138">
        <f t="shared" si="16"/>
        <v>31</v>
      </c>
      <c r="AI28" s="138">
        <f t="shared" si="46"/>
        <v>196</v>
      </c>
      <c r="AJ28" s="138">
        <f t="shared" si="47"/>
        <v>213</v>
      </c>
      <c r="AL28" s="136">
        <f t="shared" si="17"/>
        <v>2.984</v>
      </c>
      <c r="AM28" s="258">
        <f t="shared" si="18"/>
        <v>-2.5000000000000001E-2</v>
      </c>
      <c r="AN28" s="258">
        <f t="shared" si="19"/>
        <v>2.5000000000000001E-3</v>
      </c>
      <c r="AO28" s="258">
        <f t="shared" si="20"/>
        <v>-2.5000000000000001E-2</v>
      </c>
      <c r="AP28" s="258">
        <f t="shared" si="21"/>
        <v>5.7500000000000002E-2</v>
      </c>
      <c r="AQ28" s="136">
        <f t="shared" si="48"/>
        <v>3.8999999999999998E-3</v>
      </c>
      <c r="AR28" s="137">
        <f t="shared" si="22"/>
        <v>6.9699999999999996E-3</v>
      </c>
      <c r="AS28" s="136">
        <f t="shared" si="33"/>
        <v>2.9615</v>
      </c>
      <c r="AT28" s="137">
        <f t="shared" si="34"/>
        <v>2.0428629809483099E-2</v>
      </c>
      <c r="AU28" s="137">
        <f t="shared" si="23"/>
        <v>0.98838218101802544</v>
      </c>
      <c r="AV28" s="394">
        <f t="shared" si="35"/>
        <v>5515.1725700805819</v>
      </c>
      <c r="AW28" s="137">
        <f t="shared" si="24"/>
        <v>0.54249999999999998</v>
      </c>
      <c r="AX28" s="137">
        <f t="shared" si="25"/>
        <v>0.63</v>
      </c>
      <c r="AY28" s="137">
        <f t="shared" si="26"/>
        <v>0.63</v>
      </c>
      <c r="AZ28" s="137"/>
      <c r="BA28" s="264"/>
      <c r="BB28" s="258">
        <f t="shared" si="27"/>
        <v>0</v>
      </c>
      <c r="BC28" s="258">
        <f t="shared" si="49"/>
        <v>0</v>
      </c>
      <c r="BD28" s="137">
        <f t="shared" si="50"/>
        <v>9.5712015904636516E-5</v>
      </c>
      <c r="BE28" s="137">
        <f t="shared" si="51"/>
        <v>9.5712015904636516E-5</v>
      </c>
      <c r="BF28" s="137">
        <f>_xll.xSPRDOPT($BW28,$BV28,$CG28,0,$BY28,$BX28,$BZ28,$AJ28,1,4)*$CB28</f>
        <v>2.4431307077399147</v>
      </c>
      <c r="BG28" s="137">
        <f>_xll.xSPRDOPT($BW28,$BV28,$CG28,0,$BY28,$BX28,$BZ28,$AJ28,1,3)*$CB28</f>
        <v>2.3942858350860727</v>
      </c>
      <c r="BH28" s="137">
        <f>IF(OR(BF28&lt;&gt;0,BG28&lt;&gt;0),_xll.xSPRDOPT($BW28,$BV28,$CG28,0,$BY28,$BX28,$BZ28,$AJ28,1,12)*$CB28,0)</f>
        <v>-2.4185873147028731</v>
      </c>
      <c r="BI28" s="137">
        <f>_xll.xSPRDOPT($BW28,$BV28,$CG28,2*LN(1+CA28/2),$BY28,$BX28,$BZ28,$AJ28,1,9)</f>
        <v>-7.6860078234169214E-3</v>
      </c>
      <c r="BJ28" s="137">
        <f>_xll.xSPRDOPT($BW28,$BV28,$CG28,0,$BY28,$BX28,$BZ28,$AJ28,1,6)*$CB28</f>
        <v>-2.049950252477753E-2</v>
      </c>
      <c r="BK28" s="137">
        <f>_xll.xSPRDOPT($BW28,$BV28,$CG28,0,$BY28,$BX28,$BZ28,$AJ28,1,5)*$CB28</f>
        <v>3.8278671524729288E-2</v>
      </c>
      <c r="BL28" s="137">
        <f>_xll.xSPRDOPT(BW28,BV28,CG28,0,BY28,BX28,BZ28,AJ28,1,2)*CB28</f>
        <v>-0.87050634065435661</v>
      </c>
      <c r="BM28" s="137">
        <f>_xll.xSPRDOPT(BW28,BV28,CG28,0,BY28,BX28,BZ28,AJ28,1,1)*CB28</f>
        <v>0.873059193337825</v>
      </c>
      <c r="BN28" s="137">
        <f>IF(AH28&lt;&gt;0,_xll.xSPRDOPT($BW28,$BV28,$CG28,2*LN(1+CA28/2),$BY28,$BX28,$BZ28,$AJ28,1,8)+(AJ28/365.25)*CH28/AH28,0)</f>
        <v>4.140096436783116E-3</v>
      </c>
      <c r="BO28" s="137">
        <f>_xll.xSPRDOPT($BW28,$BV28,$CG28,0,$BY28,$BX28,$BZ28,$AJ28,1,0)</f>
        <v>3.449738337719483E-2</v>
      </c>
      <c r="BP28" s="137"/>
      <c r="BQ28" s="137"/>
      <c r="BR28" s="137"/>
      <c r="BS28" s="137"/>
      <c r="BV28" s="262">
        <v>2.9822865371640335</v>
      </c>
      <c r="BW28" s="136">
        <v>3.0165000000000002</v>
      </c>
      <c r="BX28" s="137">
        <v>0.54929025513136898</v>
      </c>
      <c r="BY28" s="137">
        <v>0.54929025513136898</v>
      </c>
      <c r="BZ28" s="137">
        <v>0.9996007627988851</v>
      </c>
      <c r="CA28" s="137">
        <v>2.0428629809483099E-2</v>
      </c>
      <c r="CB28" s="137">
        <v>0.98821719380072837</v>
      </c>
      <c r="CC28" s="258">
        <v>-2.5000000000000001E-2</v>
      </c>
      <c r="CD28" s="258">
        <v>2.5000000000000001E-3</v>
      </c>
      <c r="CE28" s="258">
        <v>-2.5000000000000001E-2</v>
      </c>
      <c r="CF28" s="258">
        <v>5.7500000000000002E-2</v>
      </c>
      <c r="CG28" s="258">
        <v>3.8999999999999998E-3</v>
      </c>
      <c r="CH28" s="258">
        <v>1.2682779465238547</v>
      </c>
      <c r="CI28" s="258">
        <v>2.984</v>
      </c>
    </row>
    <row r="29" spans="1:91" x14ac:dyDescent="0.25">
      <c r="A29" s="723"/>
      <c r="B29" s="723"/>
      <c r="D29" s="31">
        <f t="shared" si="36"/>
        <v>37483</v>
      </c>
      <c r="F29" s="28">
        <f t="shared" si="37"/>
        <v>25654</v>
      </c>
      <c r="G29" s="28">
        <f t="shared" si="12"/>
        <v>25301.736625591901</v>
      </c>
      <c r="H29" s="52">
        <f t="shared" si="38"/>
        <v>3.0245813318832262</v>
      </c>
      <c r="I29" s="52">
        <f t="shared" si="39"/>
        <v>3.0585</v>
      </c>
      <c r="K29" s="52">
        <f t="shared" si="28"/>
        <v>0.91780063423994573</v>
      </c>
      <c r="L29" s="135">
        <f t="shared" si="29"/>
        <v>0.15234467646492156</v>
      </c>
      <c r="N29" s="131">
        <f t="shared" si="30"/>
        <v>0.55001555741820785</v>
      </c>
      <c r="O29" s="131">
        <f t="shared" si="31"/>
        <v>0.55001555741820785</v>
      </c>
      <c r="P29" s="55">
        <f t="shared" si="32"/>
        <v>0.99958966635950741</v>
      </c>
      <c r="Q29" s="135">
        <f>_xll.xSPRDOPT(I29,H29,AQ29,0,O29,N29,P29,D29-$G$5,1,0)*AH29*AU29</f>
        <v>1.0701453107048673</v>
      </c>
      <c r="R29" s="135"/>
      <c r="S29" s="181">
        <f>_xll.xSPRDOPT(I29,H29,AQ29,AT29,O29,N29,P29,D29-$G$5,1,2)*AF29*(F29/(1-AR29))*AH29</f>
        <v>-687949.79184734181</v>
      </c>
      <c r="T29" s="181">
        <f>_xll.xSPRDOPT(I29,H29,AQ29,AT29,O29,N29,P29,D29-$G$5,1,1)*AF29*F29*AH29</f>
        <v>685424.58783250232</v>
      </c>
      <c r="U29" s="135"/>
      <c r="V29" s="146">
        <f t="shared" si="40"/>
        <v>1.2657772193531085</v>
      </c>
      <c r="W29" s="146"/>
      <c r="X29" s="338">
        <f t="shared" si="41"/>
        <v>0</v>
      </c>
      <c r="Y29" s="338">
        <f t="shared" si="13"/>
        <v>0</v>
      </c>
      <c r="Z29" s="338">
        <f t="shared" si="14"/>
        <v>-51.013265940418194</v>
      </c>
      <c r="AA29" s="338">
        <f t="shared" si="15"/>
        <v>1.9995772466174715</v>
      </c>
      <c r="AB29" s="338">
        <f t="shared" si="42"/>
        <v>0</v>
      </c>
      <c r="AC29" s="338">
        <f t="shared" si="43"/>
        <v>4.74825498830225</v>
      </c>
      <c r="AF29" s="138">
        <f t="shared" si="44"/>
        <v>1</v>
      </c>
      <c r="AG29" s="138">
        <f t="shared" si="45"/>
        <v>8</v>
      </c>
      <c r="AH29" s="138">
        <f t="shared" si="16"/>
        <v>31</v>
      </c>
      <c r="AI29" s="138">
        <f t="shared" si="46"/>
        <v>227</v>
      </c>
      <c r="AJ29" s="138">
        <f t="shared" si="47"/>
        <v>244</v>
      </c>
      <c r="AL29" s="136">
        <f t="shared" si="17"/>
        <v>3.0259999999999998</v>
      </c>
      <c r="AM29" s="258">
        <f t="shared" si="18"/>
        <v>-2.5000000000000001E-2</v>
      </c>
      <c r="AN29" s="258">
        <f t="shared" si="19"/>
        <v>2.5000000000000001E-3</v>
      </c>
      <c r="AO29" s="258">
        <f t="shared" si="20"/>
        <v>-2.5000000000000001E-2</v>
      </c>
      <c r="AP29" s="258">
        <f t="shared" si="21"/>
        <v>5.7500000000000002E-2</v>
      </c>
      <c r="AQ29" s="136">
        <f t="shared" si="48"/>
        <v>3.8999999999999998E-3</v>
      </c>
      <c r="AR29" s="137">
        <f t="shared" si="22"/>
        <v>6.9699999999999996E-3</v>
      </c>
      <c r="AS29" s="136">
        <f t="shared" si="33"/>
        <v>3.0034999999999998</v>
      </c>
      <c r="AT29" s="137">
        <f t="shared" si="34"/>
        <v>2.1065008234303999E-2</v>
      </c>
      <c r="AU29" s="137">
        <f t="shared" si="23"/>
        <v>0.98626867644780158</v>
      </c>
      <c r="AV29" s="394">
        <f t="shared" si="35"/>
        <v>5503.3792145787329</v>
      </c>
      <c r="AW29" s="137">
        <f t="shared" si="24"/>
        <v>0.54</v>
      </c>
      <c r="AX29" s="137">
        <f t="shared" si="25"/>
        <v>0.68</v>
      </c>
      <c r="AY29" s="137">
        <f t="shared" si="26"/>
        <v>0.68</v>
      </c>
      <c r="AZ29" s="137"/>
      <c r="BA29" s="264"/>
      <c r="BB29" s="258">
        <f t="shared" si="27"/>
        <v>0</v>
      </c>
      <c r="BC29" s="258">
        <f t="shared" si="49"/>
        <v>0</v>
      </c>
      <c r="BD29" s="137">
        <f t="shared" si="50"/>
        <v>1.2128874378558585E-4</v>
      </c>
      <c r="BE29" s="137">
        <f t="shared" si="51"/>
        <v>1.2128874378558585E-4</v>
      </c>
      <c r="BF29" s="137">
        <f>_xll.xSPRDOPT($BW29,$BV29,$CG29,0,$BY29,$BX29,$BZ29,$AJ29,1,4)*$CB29</f>
        <v>2.3350143386296307</v>
      </c>
      <c r="BG29" s="137">
        <f>_xll.xSPRDOPT($BW29,$BV29,$CG29,0,$BY29,$BX29,$BZ29,$AJ29,1,3)*$CB29</f>
        <v>2.289414569789173</v>
      </c>
      <c r="BH29" s="137">
        <f>IF(OR(BF29&lt;&gt;0,BG29&lt;&gt;0),_xll.xSPRDOPT($BW29,$BV29,$CG29,0,$BY29,$BX29,$BZ29,$AJ29,1,12)*$CB29,0)</f>
        <v>-2.3121051603178642</v>
      </c>
      <c r="BI29" s="137">
        <f>_xll.xSPRDOPT($BW29,$BV29,$CG29,2*LN(1+CA29/2),$BY29,$BX29,$BZ29,$AJ29,1,9)</f>
        <v>-7.8097173153478111E-3</v>
      </c>
      <c r="BJ29" s="137">
        <f>_xll.xSPRDOPT($BW29,$BV29,$CG29,0,$BY29,$BX29,$BZ29,$AJ29,1,6)*$CB29</f>
        <v>-2.2878954728421587E-2</v>
      </c>
      <c r="BK29" s="137">
        <f>_xll.xSPRDOPT($BW29,$BV29,$CG29,0,$BY29,$BX29,$BZ29,$AJ29,1,5)*$CB29</f>
        <v>4.360903119171855E-2</v>
      </c>
      <c r="BL29" s="137">
        <f>_xll.xSPRDOPT(BW29,BV29,CG29,0,BY29,BX29,BZ29,AJ29,1,2)*CB29</f>
        <v>-0.86000574980339795</v>
      </c>
      <c r="BM29" s="137">
        <f>_xll.xSPRDOPT(BW29,BV29,CG29,0,BY29,BX29,BZ29,AJ29,1,1)*CB29</f>
        <v>0.86284692954297137</v>
      </c>
      <c r="BN29" s="137">
        <f>IF(AH29&lt;&gt;0,_xll.xSPRDOPT($BW29,$BV29,$CG29,2*LN(1+CA29/2),$BY29,$BX29,$BZ29,$AJ29,1,8)+(AJ29/365.25)*CH29/AH29,0)</f>
        <v>4.2460154356700509E-3</v>
      </c>
      <c r="BO29" s="137">
        <f>_xll.xSPRDOPT($BW29,$BV29,$CG29,0,$BY29,$BX29,$BZ29,$AJ29,1,0)</f>
        <v>3.4994846536208976E-2</v>
      </c>
      <c r="BP29" s="137"/>
      <c r="BQ29" s="137"/>
      <c r="BR29" s="137"/>
      <c r="BS29" s="137"/>
      <c r="BV29" s="262">
        <v>3.0245813318832262</v>
      </c>
      <c r="BW29" s="136">
        <v>3.0585</v>
      </c>
      <c r="BX29" s="137">
        <v>0.54989426867442226</v>
      </c>
      <c r="BY29" s="137">
        <v>0.54989426867442226</v>
      </c>
      <c r="BZ29" s="137">
        <v>0.99959450179968523</v>
      </c>
      <c r="CA29" s="137">
        <v>2.1065008234303999E-2</v>
      </c>
      <c r="CB29" s="137">
        <v>0.98609894066797232</v>
      </c>
      <c r="CC29" s="258">
        <v>-2.5000000000000001E-2</v>
      </c>
      <c r="CD29" s="258">
        <v>2.5000000000000001E-3</v>
      </c>
      <c r="CE29" s="258">
        <v>-2.5000000000000001E-2</v>
      </c>
      <c r="CF29" s="258">
        <v>5.7500000000000002E-2</v>
      </c>
      <c r="CG29" s="258">
        <v>3.8999999999999998E-3</v>
      </c>
      <c r="CH29" s="258">
        <v>1.2655593804532757</v>
      </c>
      <c r="CI29" s="258">
        <v>3.0259999999999998</v>
      </c>
    </row>
    <row r="30" spans="1:91" x14ac:dyDescent="0.25">
      <c r="A30" s="723"/>
      <c r="B30" s="723"/>
      <c r="D30" s="31">
        <f t="shared" si="36"/>
        <v>37514</v>
      </c>
      <c r="F30" s="28">
        <f t="shared" si="37"/>
        <v>25654</v>
      </c>
      <c r="G30" s="28">
        <f t="shared" si="12"/>
        <v>25244.937261694755</v>
      </c>
      <c r="H30" s="52">
        <f t="shared" si="38"/>
        <v>3.0165251805081419</v>
      </c>
      <c r="I30" s="52">
        <f t="shared" si="39"/>
        <v>3.0505</v>
      </c>
      <c r="K30" s="52">
        <f t="shared" si="28"/>
        <v>0.88785795341321305</v>
      </c>
      <c r="L30" s="135">
        <f t="shared" si="29"/>
        <v>0.13977376869498925</v>
      </c>
      <c r="N30" s="131">
        <f t="shared" si="30"/>
        <v>0.54862064797509713</v>
      </c>
      <c r="O30" s="131">
        <f t="shared" si="31"/>
        <v>0.54862064797509713</v>
      </c>
      <c r="P30" s="55">
        <f t="shared" si="32"/>
        <v>0.99964547127376802</v>
      </c>
      <c r="Q30" s="135">
        <f>_xll.xSPRDOPT(I30,H30,AQ30,0,O30,N30,P30,D30-$G$5,1,0)*AH30*AU30</f>
        <v>1.0276317221082023</v>
      </c>
      <c r="R30" s="135"/>
      <c r="S30" s="181">
        <f>_xll.xSPRDOPT(I30,H30,AQ30,AT30,O30,N30,P30,D30-$G$5,1,2)*AF30*(F30/(1-AR30))*AH30</f>
        <v>-675089.20649979834</v>
      </c>
      <c r="T30" s="181">
        <f>_xll.xSPRDOPT(I30,H30,AQ30,AT30,O30,N30,P30,D30-$G$5,1,1)*AF30*F30*AH30</f>
        <v>672415.3340568213</v>
      </c>
      <c r="U30" s="135"/>
      <c r="V30" s="146">
        <f t="shared" si="40"/>
        <v>1.2221958399869373</v>
      </c>
      <c r="W30" s="146"/>
      <c r="X30" s="338">
        <f t="shared" si="41"/>
        <v>0</v>
      </c>
      <c r="Y30" s="338">
        <f t="shared" si="13"/>
        <v>0</v>
      </c>
      <c r="Z30" s="338">
        <f t="shared" si="14"/>
        <v>-41.697460198026661</v>
      </c>
      <c r="AA30" s="338">
        <f t="shared" si="15"/>
        <v>1.4408945069956669</v>
      </c>
      <c r="AB30" s="338">
        <f t="shared" si="42"/>
        <v>0</v>
      </c>
      <c r="AC30" s="338">
        <f t="shared" si="43"/>
        <v>4.6972973952480848</v>
      </c>
      <c r="AF30" s="138">
        <f t="shared" si="44"/>
        <v>1</v>
      </c>
      <c r="AG30" s="138">
        <f t="shared" si="45"/>
        <v>9</v>
      </c>
      <c r="AH30" s="138">
        <f t="shared" si="16"/>
        <v>30</v>
      </c>
      <c r="AI30" s="138">
        <f t="shared" si="46"/>
        <v>258</v>
      </c>
      <c r="AJ30" s="138">
        <f t="shared" si="47"/>
        <v>275</v>
      </c>
      <c r="AL30" s="136">
        <f t="shared" si="17"/>
        <v>3.0179999999999998</v>
      </c>
      <c r="AM30" s="258">
        <f t="shared" si="18"/>
        <v>-2.5000000000000001E-2</v>
      </c>
      <c r="AN30" s="258">
        <f t="shared" si="19"/>
        <v>2.5000000000000001E-3</v>
      </c>
      <c r="AO30" s="258">
        <f t="shared" si="20"/>
        <v>-2.5000000000000001E-2</v>
      </c>
      <c r="AP30" s="258">
        <f t="shared" si="21"/>
        <v>5.7500000000000002E-2</v>
      </c>
      <c r="AQ30" s="136">
        <f t="shared" si="48"/>
        <v>3.8999999999999998E-3</v>
      </c>
      <c r="AR30" s="137">
        <f t="shared" si="22"/>
        <v>6.9699999999999996E-3</v>
      </c>
      <c r="AS30" s="136">
        <f t="shared" si="33"/>
        <v>2.9954999999999998</v>
      </c>
      <c r="AT30" s="137">
        <f t="shared" si="34"/>
        <v>2.1701386796276499E-2</v>
      </c>
      <c r="AU30" s="137">
        <f t="shared" si="23"/>
        <v>0.98405462156758228</v>
      </c>
      <c r="AV30" s="394">
        <f t="shared" si="35"/>
        <v>5313.8949564649447</v>
      </c>
      <c r="AW30" s="137">
        <f t="shared" si="24"/>
        <v>0.54</v>
      </c>
      <c r="AX30" s="137">
        <f t="shared" si="25"/>
        <v>0.68</v>
      </c>
      <c r="AY30" s="137">
        <f t="shared" si="26"/>
        <v>0.68</v>
      </c>
      <c r="AZ30" s="137"/>
      <c r="BA30" s="264"/>
      <c r="BB30" s="258">
        <f t="shared" si="27"/>
        <v>0</v>
      </c>
      <c r="BC30" s="258">
        <f t="shared" si="49"/>
        <v>0</v>
      </c>
      <c r="BD30" s="137">
        <f t="shared" si="50"/>
        <v>9.2974383643640301E-5</v>
      </c>
      <c r="BE30" s="137">
        <f t="shared" si="51"/>
        <v>9.2974383643640301E-5</v>
      </c>
      <c r="BF30" s="137">
        <f>_xll.xSPRDOPT($BW30,$BV30,$CG30,0,$BY30,$BX30,$BZ30,$AJ30,1,4)*$CB30</f>
        <v>1.9314687726904691</v>
      </c>
      <c r="BG30" s="137">
        <f>_xll.xSPRDOPT($BW30,$BV30,$CG30,0,$BY30,$BX30,$BZ30,$AJ30,1,3)*$CB30</f>
        <v>1.8935809335389118</v>
      </c>
      <c r="BH30" s="137">
        <f>IF(OR(BF30&lt;&gt;0,BG30&lt;&gt;0),_xll.xSPRDOPT($BW30,$BV30,$CG30,0,$BY30,$BX30,$BZ30,$AJ30,1,12)*$CB30,0)</f>
        <v>-1.9124333791282317</v>
      </c>
      <c r="BI30" s="137">
        <f>_xll.xSPRDOPT($BW30,$BV30,$CG30,2*LN(1+CA30/2),$BY30,$BX30,$BZ30,$AJ30,1,9)</f>
        <v>-6.5963277709905482E-3</v>
      </c>
      <c r="BJ30" s="137">
        <f>_xll.xSPRDOPT($BW30,$BV30,$CG30,0,$BY30,$BX30,$BZ30,$AJ30,1,6)*$CB30</f>
        <v>-2.74485635648383E-2</v>
      </c>
      <c r="BK30" s="137">
        <f>_xll.xSPRDOPT($BW30,$BV30,$CG30,0,$BY30,$BX30,$BZ30,$AJ30,1,5)*$CB30</f>
        <v>4.7585459822394746E-2</v>
      </c>
      <c r="BL30" s="137">
        <f>_xll.xSPRDOPT(BW30,BV30,CG30,0,BY30,BX30,BZ30,AJ30,1,2)*CB30</f>
        <v>-0.87185407150943972</v>
      </c>
      <c r="BM30" s="137">
        <f>_xll.xSPRDOPT(BW30,BV30,CG30,0,BY30,BX30,BZ30,AJ30,1,1)*CB30</f>
        <v>0.87448260126699584</v>
      </c>
      <c r="BN30" s="137">
        <f>IF(AH30&lt;&gt;0,_xll.xSPRDOPT($BW30,$BV30,$CG30,2*LN(1+CA30/2),$BY30,$BX30,$BZ30,$AJ30,1,8)+(AJ30/365.25)*CH30/AH30,0)</f>
        <v>4.8905326407083886E-3</v>
      </c>
      <c r="BO30" s="137">
        <f>_xll.xSPRDOPT($BW30,$BV30,$CG30,0,$BY30,$BX30,$BZ30,$AJ30,1,0)</f>
        <v>3.4802543333201701E-2</v>
      </c>
      <c r="BP30" s="137"/>
      <c r="BQ30" s="137"/>
      <c r="BR30" s="137"/>
      <c r="BS30" s="137"/>
      <c r="BV30" s="262">
        <v>3.0165251805081419</v>
      </c>
      <c r="BW30" s="136">
        <v>3.0505</v>
      </c>
      <c r="BX30" s="137">
        <v>0.54852767359145349</v>
      </c>
      <c r="BY30" s="137">
        <v>0.54852767359145349</v>
      </c>
      <c r="BZ30" s="137">
        <v>0.99964920595927931</v>
      </c>
      <c r="CA30" s="137">
        <v>2.1701386796276499E-2</v>
      </c>
      <c r="CB30" s="137">
        <v>0.98388017854127463</v>
      </c>
      <c r="CC30" s="258">
        <v>-2.5000000000000001E-2</v>
      </c>
      <c r="CD30" s="258">
        <v>2.5000000000000001E-3</v>
      </c>
      <c r="CE30" s="258">
        <v>-2.5000000000000001E-2</v>
      </c>
      <c r="CF30" s="258">
        <v>5.7500000000000002E-2</v>
      </c>
      <c r="CG30" s="258">
        <v>3.8999999999999998E-3</v>
      </c>
      <c r="CH30" s="258">
        <v>1.221979181748263</v>
      </c>
      <c r="CI30" s="258">
        <v>3.0179999999999998</v>
      </c>
    </row>
    <row r="31" spans="1:91" x14ac:dyDescent="0.25">
      <c r="A31" s="723"/>
      <c r="B31" s="723"/>
      <c r="D31" s="31">
        <f t="shared" si="36"/>
        <v>37544</v>
      </c>
      <c r="F31" s="28">
        <f t="shared" si="37"/>
        <v>25654</v>
      </c>
      <c r="G31" s="28">
        <f t="shared" si="12"/>
        <v>25185.618337763404</v>
      </c>
      <c r="H31" s="52">
        <f t="shared" si="38"/>
        <v>3.0296164264926539</v>
      </c>
      <c r="I31" s="52">
        <f t="shared" si="39"/>
        <v>3.0635000000000003</v>
      </c>
      <c r="K31" s="52">
        <f t="shared" si="28"/>
        <v>0.91252046470364478</v>
      </c>
      <c r="L31" s="135">
        <f t="shared" si="29"/>
        <v>0.16998549101426785</v>
      </c>
      <c r="N31" s="131">
        <f t="shared" si="30"/>
        <v>0.55129247567847639</v>
      </c>
      <c r="O31" s="131">
        <f t="shared" si="31"/>
        <v>0.55129247567847639</v>
      </c>
      <c r="P31" s="55">
        <f t="shared" si="32"/>
        <v>0.99962389952380049</v>
      </c>
      <c r="Q31" s="135">
        <f>_xll.xSPRDOPT(I31,H31,AQ31,0,O31,N31,P31,D31-$G$5,1,0)*AH31*AU31</f>
        <v>1.0825059557179126</v>
      </c>
      <c r="R31" s="135"/>
      <c r="S31" s="181">
        <f>_xll.xSPRDOPT(I31,H31,AQ31,AT31,O31,N31,P31,D31-$G$5,1,2)*AF31*(F31/(1-AR31))*AH31</f>
        <v>-687258.97625101509</v>
      </c>
      <c r="T31" s="181">
        <f>_xll.xSPRDOPT(I31,H31,AQ31,AT31,O31,N31,P31,D31-$G$5,1,1)*AF31*F31*AH31</f>
        <v>684852.55471352092</v>
      </c>
      <c r="U31" s="135"/>
      <c r="V31" s="146">
        <f t="shared" si="40"/>
        <v>1.2599681365356494</v>
      </c>
      <c r="W31" s="146"/>
      <c r="X31" s="338">
        <f t="shared" si="41"/>
        <v>0</v>
      </c>
      <c r="Y31" s="338">
        <f t="shared" si="13"/>
        <v>0</v>
      </c>
      <c r="Z31" s="338">
        <f t="shared" si="14"/>
        <v>-44.645318586450408</v>
      </c>
      <c r="AA31" s="338">
        <f t="shared" si="15"/>
        <v>2.0085495476458983</v>
      </c>
      <c r="AB31" s="338">
        <f t="shared" si="42"/>
        <v>0</v>
      </c>
      <c r="AC31" s="338">
        <f t="shared" si="43"/>
        <v>5.109484378867065</v>
      </c>
      <c r="AF31" s="138">
        <f t="shared" si="44"/>
        <v>1</v>
      </c>
      <c r="AG31" s="138">
        <f t="shared" si="45"/>
        <v>10</v>
      </c>
      <c r="AH31" s="138">
        <f t="shared" si="16"/>
        <v>31</v>
      </c>
      <c r="AI31" s="138">
        <f t="shared" si="46"/>
        <v>288</v>
      </c>
      <c r="AJ31" s="138">
        <f t="shared" si="47"/>
        <v>305</v>
      </c>
      <c r="AL31" s="136">
        <f t="shared" si="17"/>
        <v>3.0310000000000001</v>
      </c>
      <c r="AM31" s="258">
        <f t="shared" si="18"/>
        <v>-2.5000000000000001E-2</v>
      </c>
      <c r="AN31" s="258">
        <f t="shared" si="19"/>
        <v>2.5000000000000001E-3</v>
      </c>
      <c r="AO31" s="258">
        <f t="shared" si="20"/>
        <v>-2.5000000000000001E-2</v>
      </c>
      <c r="AP31" s="258">
        <f t="shared" si="21"/>
        <v>5.7500000000000002E-2</v>
      </c>
      <c r="AQ31" s="136">
        <f t="shared" si="48"/>
        <v>3.8999999999999998E-3</v>
      </c>
      <c r="AR31" s="137">
        <f t="shared" si="22"/>
        <v>6.9699999999999996E-3</v>
      </c>
      <c r="AS31" s="136">
        <f t="shared" si="33"/>
        <v>3.0085000000000002</v>
      </c>
      <c r="AT31" s="137">
        <f t="shared" si="34"/>
        <v>2.2410164045373999E-2</v>
      </c>
      <c r="AU31" s="137">
        <f t="shared" si="23"/>
        <v>0.98174235354188055</v>
      </c>
      <c r="AV31" s="394">
        <f t="shared" si="35"/>
        <v>5478.1223327636935</v>
      </c>
      <c r="AW31" s="137">
        <f t="shared" si="24"/>
        <v>0.54</v>
      </c>
      <c r="AX31" s="137">
        <f t="shared" si="25"/>
        <v>0.73</v>
      </c>
      <c r="AY31" s="137">
        <f t="shared" si="26"/>
        <v>0.73</v>
      </c>
      <c r="AZ31" s="137"/>
      <c r="BA31" s="264"/>
      <c r="BB31" s="258">
        <f t="shared" si="27"/>
        <v>0</v>
      </c>
      <c r="BC31" s="258">
        <f t="shared" si="49"/>
        <v>0</v>
      </c>
      <c r="BD31" s="137">
        <f t="shared" si="50"/>
        <v>1.0940877027609819E-4</v>
      </c>
      <c r="BE31" s="137">
        <f t="shared" si="51"/>
        <v>1.0940877027609819E-4</v>
      </c>
      <c r="BF31" s="137">
        <f>_xll.xSPRDOPT($BW31,$BV31,$CG31,0,$BY31,$BX31,$BZ31,$AJ31,1,4)*$CB31</f>
        <v>1.950673706304312</v>
      </c>
      <c r="BG31" s="137">
        <f>_xll.xSPRDOPT($BW31,$BV31,$CG31,0,$BY31,$BX31,$BZ31,$AJ31,1,3)*$CB31</f>
        <v>1.9126858013642005</v>
      </c>
      <c r="BH31" s="137">
        <f>IF(OR(BF31&lt;&gt;0,BG31&lt;&gt;0),_xll.xSPRDOPT($BW31,$BV31,$CG31,0,$BY31,$BX31,$BZ31,$AJ31,1,12)*$CB31,0)</f>
        <v>-1.9315883679995627</v>
      </c>
      <c r="BI31" s="137">
        <f>_xll.xSPRDOPT($BW31,$BV31,$CG31,2*LN(1+CA31/2),$BY31,$BX31,$BZ31,$AJ31,1,9)</f>
        <v>-6.8348362173292938E-3</v>
      </c>
      <c r="BJ31" s="137">
        <f>_xll.xSPRDOPT($BW31,$BV31,$CG31,0,$BY31,$BX31,$BZ31,$AJ31,1,6)*$CB31</f>
        <v>-2.873221685253138E-2</v>
      </c>
      <c r="BK31" s="137">
        <f>_xll.xSPRDOPT($BW31,$BV31,$CG31,0,$BY31,$BX31,$BZ31,$AJ31,1,5)*$CB31</f>
        <v>5.1816353081156008E-2</v>
      </c>
      <c r="BL31" s="137">
        <f>_xll.xSPRDOPT(BW31,BV31,CG31,0,BY31,BX31,BZ31,AJ31,1,2)*CB31</f>
        <v>-0.85896127477421025</v>
      </c>
      <c r="BM31" s="137">
        <f>_xll.xSPRDOPT(BW31,BV31,CG31,0,BY31,BX31,BZ31,AJ31,1,1)*CB31</f>
        <v>0.86194713065671891</v>
      </c>
      <c r="BN31" s="137">
        <f>IF(AH31&lt;&gt;0,_xll.xSPRDOPT($BW31,$BV31,$CG31,2*LN(1+CA31/2),$BY31,$BX31,$BZ31,$AJ31,1,8)+(AJ31/365.25)*CH31/AH31,0)</f>
        <v>4.5688159243760761E-3</v>
      </c>
      <c r="BO31" s="137">
        <f>_xll.xSPRDOPT($BW31,$BV31,$CG31,0,$BY31,$BX31,$BZ31,$AJ31,1,0)</f>
        <v>3.5560363615783089E-2</v>
      </c>
      <c r="BP31" s="137"/>
      <c r="BQ31" s="137"/>
      <c r="BR31" s="137"/>
      <c r="BS31" s="137"/>
      <c r="BV31" s="262">
        <v>3.0296164264926539</v>
      </c>
      <c r="BW31" s="136">
        <v>3.0635000000000003</v>
      </c>
      <c r="BX31" s="137">
        <v>0.55118306690820029</v>
      </c>
      <c r="BY31" s="137">
        <v>0.55118306690820029</v>
      </c>
      <c r="BZ31" s="137">
        <v>0.99962743290460054</v>
      </c>
      <c r="CA31" s="137">
        <v>2.2410164045373999E-2</v>
      </c>
      <c r="CB31" s="137">
        <v>0.98156266847823481</v>
      </c>
      <c r="CC31" s="258">
        <v>-2.5000000000000001E-2</v>
      </c>
      <c r="CD31" s="258">
        <v>2.5000000000000001E-3</v>
      </c>
      <c r="CE31" s="258">
        <v>-2.5000000000000001E-2</v>
      </c>
      <c r="CF31" s="258">
        <v>5.7500000000000002E-2</v>
      </c>
      <c r="CG31" s="258">
        <v>3.8999999999999998E-3</v>
      </c>
      <c r="CH31" s="258">
        <v>1.2597375287249664</v>
      </c>
      <c r="CI31" s="258">
        <v>3.0310000000000001</v>
      </c>
    </row>
    <row r="32" spans="1:91" x14ac:dyDescent="0.25">
      <c r="A32" s="723"/>
      <c r="B32" s="723"/>
      <c r="D32" s="31">
        <f t="shared" si="36"/>
        <v>37575</v>
      </c>
      <c r="F32" s="28">
        <f t="shared" si="37"/>
        <v>25654</v>
      </c>
      <c r="G32" s="28">
        <f t="shared" si="12"/>
        <v>25118.457976075984</v>
      </c>
      <c r="H32" s="52">
        <f t="shared" si="38"/>
        <v>3.2108798324320516</v>
      </c>
      <c r="I32" s="52">
        <f t="shared" si="39"/>
        <v>3.2435</v>
      </c>
      <c r="K32" s="52">
        <f t="shared" si="28"/>
        <v>0.8436185259078991</v>
      </c>
      <c r="L32" s="135">
        <f t="shared" si="29"/>
        <v>0.23718623067933853</v>
      </c>
      <c r="N32" s="131">
        <f t="shared" si="30"/>
        <v>0.55763051961597798</v>
      </c>
      <c r="O32" s="131">
        <f t="shared" si="31"/>
        <v>0.55763051961597798</v>
      </c>
      <c r="P32" s="55">
        <f t="shared" si="32"/>
        <v>0.99956173290621153</v>
      </c>
      <c r="Q32" s="135">
        <f>_xll.xSPRDOPT(I32,H32,AQ32,0,O32,N32,P32,D32-$G$5,1,0)*AH32*AU32</f>
        <v>1.0808047565872376</v>
      </c>
      <c r="R32" s="135"/>
      <c r="S32" s="181">
        <f>_xll.xSPRDOPT(I32,H32,AQ32,AT32,O32,N32,P32,D32-$G$5,1,2)*AF32*(F32/(1-AR32))*AH32</f>
        <v>-639434.29908252356</v>
      </c>
      <c r="T32" s="181">
        <f>_xll.xSPRDOPT(I32,H32,AQ32,AT32,O32,N32,P32,D32-$G$5,1,1)*AF32*F32*AH32</f>
        <v>637901.57441355602</v>
      </c>
      <c r="U32" s="135"/>
      <c r="V32" s="146">
        <f t="shared" si="40"/>
        <v>1.2160725347425887</v>
      </c>
      <c r="W32" s="146"/>
      <c r="X32" s="338">
        <f t="shared" si="41"/>
        <v>0</v>
      </c>
      <c r="Y32" s="338">
        <f t="shared" si="13"/>
        <v>0</v>
      </c>
      <c r="Z32" s="338">
        <f t="shared" si="14"/>
        <v>-52.881738657548247</v>
      </c>
      <c r="AA32" s="338">
        <f t="shared" si="15"/>
        <v>3.6188395278258261</v>
      </c>
      <c r="AB32" s="338">
        <f t="shared" si="42"/>
        <v>0</v>
      </c>
      <c r="AC32" s="338">
        <f t="shared" si="43"/>
        <v>5.2971929195102643</v>
      </c>
      <c r="AF32" s="138">
        <f t="shared" si="44"/>
        <v>1</v>
      </c>
      <c r="AG32" s="138">
        <f t="shared" si="45"/>
        <v>11</v>
      </c>
      <c r="AH32" s="138">
        <f t="shared" si="16"/>
        <v>30</v>
      </c>
      <c r="AI32" s="138">
        <f t="shared" si="46"/>
        <v>319</v>
      </c>
      <c r="AJ32" s="138">
        <f t="shared" si="47"/>
        <v>336</v>
      </c>
      <c r="AL32" s="136">
        <f t="shared" si="17"/>
        <v>3.2109999999999999</v>
      </c>
      <c r="AM32" s="258">
        <f t="shared" si="18"/>
        <v>-2.5000000000000001E-2</v>
      </c>
      <c r="AN32" s="258">
        <f t="shared" si="19"/>
        <v>2.5000000000000001E-3</v>
      </c>
      <c r="AO32" s="258">
        <f t="shared" si="20"/>
        <v>-2.5000000000000001E-2</v>
      </c>
      <c r="AP32" s="258">
        <f t="shared" si="21"/>
        <v>5.7500000000000002E-2</v>
      </c>
      <c r="AQ32" s="136">
        <f t="shared" si="48"/>
        <v>3.8999999999999998E-3</v>
      </c>
      <c r="AR32" s="137">
        <f t="shared" si="22"/>
        <v>6.9699999999999996E-3</v>
      </c>
      <c r="AS32" s="136">
        <f t="shared" si="33"/>
        <v>3.1884999999999999</v>
      </c>
      <c r="AT32" s="137">
        <f t="shared" si="34"/>
        <v>2.3274064967752799E-2</v>
      </c>
      <c r="AU32" s="137">
        <f t="shared" si="23"/>
        <v>0.97912442410836453</v>
      </c>
      <c r="AV32" s="394">
        <f t="shared" si="35"/>
        <v>5287.2718901851686</v>
      </c>
      <c r="AW32" s="137">
        <f t="shared" si="24"/>
        <v>0.54</v>
      </c>
      <c r="AX32" s="137">
        <f t="shared" si="25"/>
        <v>0.85</v>
      </c>
      <c r="AY32" s="137">
        <f t="shared" si="26"/>
        <v>0.85</v>
      </c>
      <c r="AZ32" s="137"/>
      <c r="BA32" s="264"/>
      <c r="BB32" s="258">
        <f t="shared" si="27"/>
        <v>0</v>
      </c>
      <c r="BC32" s="258">
        <f t="shared" si="49"/>
        <v>0</v>
      </c>
      <c r="BD32" s="137">
        <f t="shared" si="50"/>
        <v>1.5448854150035274E-4</v>
      </c>
      <c r="BE32" s="137">
        <f t="shared" si="51"/>
        <v>1.5448854150035274E-4</v>
      </c>
      <c r="BF32" s="137">
        <f>_xll.xSPRDOPT($BW32,$BV32,$CG32,0,$BY32,$BX32,$BZ32,$AJ32,1,4)*$CB32</f>
        <v>2.069752897999658</v>
      </c>
      <c r="BG32" s="137">
        <f>_xll.xSPRDOPT($BW32,$BV32,$CG32,0,$BY32,$BX32,$BZ32,$AJ32,1,3)*$CB32</f>
        <v>2.0332681607412995</v>
      </c>
      <c r="BH32" s="137">
        <f>IF(OR(BF32&lt;&gt;0,BG32&lt;&gt;0),_xll.xSPRDOPT($BW32,$BV32,$CG32,0,$BY32,$BX32,$BZ32,$AJ32,1,12)*$CB32,0)</f>
        <v>-2.0514308085369044</v>
      </c>
      <c r="BI32" s="137">
        <f>_xll.xSPRDOPT($BW32,$BV32,$CG32,2*LN(1+CA32/2),$BY32,$BX32,$BZ32,$AJ32,1,9)</f>
        <v>-8.3656241801882743E-3</v>
      </c>
      <c r="BJ32" s="137">
        <f>_xll.xSPRDOPT($BW32,$BV32,$CG32,0,$BY32,$BX32,$BZ32,$AJ32,1,6)*$CB32</f>
        <v>-2.7569918673539185E-2</v>
      </c>
      <c r="BK32" s="137">
        <f>_xll.xSPRDOPT($BW32,$BV32,$CG32,0,$BY32,$BX32,$BZ32,$AJ32,1,5)*$CB32</f>
        <v>5.8006558645516723E-2</v>
      </c>
      <c r="BL32" s="137">
        <f>_xll.xSPRDOPT(BW32,BV32,CG32,0,BY32,BX32,BZ32,AJ32,1,2)*CB32</f>
        <v>-0.82602582250100554</v>
      </c>
      <c r="BM32" s="137">
        <f>_xll.xSPRDOPT(BW32,BV32,CG32,0,BY32,BX32,BZ32,AJ32,1,1)*CB32</f>
        <v>0.82981137629337998</v>
      </c>
      <c r="BN32" s="137">
        <f>IF(AH32&lt;&gt;0,_xll.xSPRDOPT($BW32,$BV32,$CG32,2*LN(1+CA32/2),$BY32,$BX32,$BZ32,$AJ32,1,8)+(AJ32/365.25)*CH32/AH32,0)</f>
        <v>3.2210103496409653E-3</v>
      </c>
      <c r="BO32" s="137">
        <f>_xll.xSPRDOPT($BW32,$BV32,$CG32,0,$BY32,$BX32,$BZ32,$AJ32,1,0)</f>
        <v>3.6779924197430133E-2</v>
      </c>
      <c r="BP32" s="137"/>
      <c r="BQ32" s="137"/>
      <c r="BR32" s="137"/>
      <c r="BS32" s="137"/>
      <c r="BV32" s="262">
        <v>3.2108798324320516</v>
      </c>
      <c r="BW32" s="136">
        <v>3.2435</v>
      </c>
      <c r="BX32" s="137">
        <v>0.55747603107447763</v>
      </c>
      <c r="BY32" s="137">
        <v>0.55747603107447763</v>
      </c>
      <c r="BZ32" s="137">
        <v>0.99956539361632035</v>
      </c>
      <c r="CA32" s="137">
        <v>2.3274064967752799E-2</v>
      </c>
      <c r="CB32" s="137">
        <v>0.97893835036076038</v>
      </c>
      <c r="CC32" s="258">
        <v>-2.5000000000000001E-2</v>
      </c>
      <c r="CD32" s="258">
        <v>2.5000000000000001E-3</v>
      </c>
      <c r="CE32" s="258">
        <v>-2.5000000000000001E-2</v>
      </c>
      <c r="CF32" s="258">
        <v>5.7500000000000002E-2</v>
      </c>
      <c r="CG32" s="258">
        <v>3.8999999999999998E-3</v>
      </c>
      <c r="CH32" s="258">
        <v>1.2158414311480643</v>
      </c>
      <c r="CI32" s="258">
        <v>3.2109999999999999</v>
      </c>
    </row>
    <row r="33" spans="1:87" x14ac:dyDescent="0.25">
      <c r="A33" s="723"/>
      <c r="B33" s="723"/>
      <c r="D33" s="31">
        <f t="shared" si="36"/>
        <v>37605</v>
      </c>
      <c r="F33" s="28">
        <f t="shared" si="37"/>
        <v>25654</v>
      </c>
      <c r="G33" s="28">
        <f t="shared" si="12"/>
        <v>25050.18486482411</v>
      </c>
      <c r="H33" s="52">
        <f t="shared" si="38"/>
        <v>3.3720028599337382</v>
      </c>
      <c r="I33" s="52">
        <f t="shared" si="39"/>
        <v>3.4035000000000002</v>
      </c>
      <c r="K33" s="52">
        <f t="shared" si="28"/>
        <v>0.83537527373546239</v>
      </c>
      <c r="L33" s="135">
        <f t="shared" si="29"/>
        <v>0.40886010020996844</v>
      </c>
      <c r="N33" s="131">
        <f t="shared" si="30"/>
        <v>0.57103652777154523</v>
      </c>
      <c r="O33" s="131">
        <f t="shared" si="31"/>
        <v>0.57103652777154523</v>
      </c>
      <c r="P33" s="55">
        <f t="shared" si="32"/>
        <v>0.99939614276465494</v>
      </c>
      <c r="Q33" s="135">
        <f>_xll.xSPRDOPT(I33,H33,AQ33,0,O33,N33,P33,D33-$G$5,1,0)*AH33*AU33</f>
        <v>1.2442353739454308</v>
      </c>
      <c r="R33" s="135"/>
      <c r="S33" s="181">
        <f>_xll.xSPRDOPT(I33,H33,AQ33,AT33,O33,N33,P33,D33-$G$5,1,2)*AF33*(F33/(1-AR33))*AH33</f>
        <v>-602764.13502611453</v>
      </c>
      <c r="T33" s="181">
        <f>_xll.xSPRDOPT(I33,H33,AQ33,AT33,O33,N33,P33,D33-$G$5,1,1)*AF33*F33*AH33</f>
        <v>603085.52889176342</v>
      </c>
      <c r="U33" s="135"/>
      <c r="V33" s="146">
        <f t="shared" si="40"/>
        <v>1.2531927674247783</v>
      </c>
      <c r="W33" s="146"/>
      <c r="X33" s="338">
        <f t="shared" si="41"/>
        <v>0</v>
      </c>
      <c r="Y33" s="338">
        <f t="shared" si="13"/>
        <v>0</v>
      </c>
      <c r="Z33" s="338">
        <f t="shared" si="14"/>
        <v>-71.699461216158014</v>
      </c>
      <c r="AA33" s="338">
        <f t="shared" si="15"/>
        <v>8.245181730774199</v>
      </c>
      <c r="AB33" s="338">
        <f t="shared" si="42"/>
        <v>0</v>
      </c>
      <c r="AC33" s="338">
        <f t="shared" si="43"/>
        <v>6.3157363686415113</v>
      </c>
      <c r="AF33" s="138">
        <f t="shared" si="44"/>
        <v>1</v>
      </c>
      <c r="AG33" s="138">
        <f t="shared" si="45"/>
        <v>12</v>
      </c>
      <c r="AH33" s="138">
        <f t="shared" si="16"/>
        <v>31</v>
      </c>
      <c r="AI33" s="138">
        <f t="shared" si="46"/>
        <v>349</v>
      </c>
      <c r="AJ33" s="138">
        <f t="shared" si="47"/>
        <v>366</v>
      </c>
      <c r="AL33" s="136">
        <f t="shared" si="17"/>
        <v>3.371</v>
      </c>
      <c r="AM33" s="258">
        <f t="shared" si="18"/>
        <v>-2.5000000000000001E-2</v>
      </c>
      <c r="AN33" s="258">
        <f t="shared" si="19"/>
        <v>2.5000000000000001E-3</v>
      </c>
      <c r="AO33" s="258">
        <f t="shared" si="20"/>
        <v>-2.5000000000000001E-2</v>
      </c>
      <c r="AP33" s="258">
        <f t="shared" si="21"/>
        <v>5.7500000000000002E-2</v>
      </c>
      <c r="AQ33" s="136">
        <f t="shared" si="48"/>
        <v>3.8999999999999998E-3</v>
      </c>
      <c r="AR33" s="137">
        <f t="shared" si="22"/>
        <v>6.9699999999999996E-3</v>
      </c>
      <c r="AS33" s="136">
        <f t="shared" si="33"/>
        <v>3.3485</v>
      </c>
      <c r="AT33" s="137">
        <f t="shared" si="34"/>
        <v>2.4110098358835999E-2</v>
      </c>
      <c r="AU33" s="137">
        <f t="shared" si="23"/>
        <v>0.97646311938972907</v>
      </c>
      <c r="AV33" s="394">
        <f t="shared" si="35"/>
        <v>5448.6642061946886</v>
      </c>
      <c r="AW33" s="137">
        <f t="shared" si="24"/>
        <v>0.54</v>
      </c>
      <c r="AX33" s="137">
        <f t="shared" si="25"/>
        <v>1.05</v>
      </c>
      <c r="AY33" s="137">
        <f t="shared" si="26"/>
        <v>1.05</v>
      </c>
      <c r="AZ33" s="137"/>
      <c r="BA33" s="264"/>
      <c r="BB33" s="258">
        <f t="shared" si="27"/>
        <v>0</v>
      </c>
      <c r="BC33" s="258">
        <f t="shared" si="49"/>
        <v>0</v>
      </c>
      <c r="BD33" s="137">
        <f t="shared" si="50"/>
        <v>2.4652743009223599E-4</v>
      </c>
      <c r="BE33" s="137">
        <f t="shared" si="51"/>
        <v>2.4652743009223599E-4</v>
      </c>
      <c r="BF33" s="137">
        <f>_xll.xSPRDOPT($BW33,$BV33,$CG33,0,$BY33,$BX33,$BZ33,$AJ33,1,4)*$CB33</f>
        <v>2.5832217060123872</v>
      </c>
      <c r="BG33" s="137">
        <f>_xll.xSPRDOPT($BW33,$BV33,$CG33,0,$BY33,$BX33,$BZ33,$AJ33,1,3)*$CB33</f>
        <v>2.5415062251066947</v>
      </c>
      <c r="BH33" s="137">
        <f>IF(OR(BF33&lt;&gt;0,BG33&lt;&gt;0),_xll.xSPRDOPT($BW33,$BV33,$CG33,0,$BY33,$BX33,$BZ33,$AJ33,1,12)*$CB33,0)</f>
        <v>-2.5622790615508442</v>
      </c>
      <c r="BI33" s="137">
        <f>_xll.xSPRDOPT($BW33,$BV33,$CG33,2*LN(1+CA33/2),$BY33,$BX33,$BZ33,$AJ33,1,9)</f>
        <v>-1.0976606054098637E-2</v>
      </c>
      <c r="BJ33" s="137">
        <f>_xll.xSPRDOPT($BW33,$BV33,$CG33,0,$BY33,$BX33,$BZ33,$AJ33,1,6)*$CB33</f>
        <v>-1.9634328680097731E-2</v>
      </c>
      <c r="BK33" s="137">
        <f>_xll.xSPRDOPT($BW33,$BV33,$CG33,0,$BY33,$BX33,$BZ33,$AJ33,1,5)*$CB33</f>
        <v>6.1689383130016158E-2</v>
      </c>
      <c r="BL33" s="137">
        <f>_xll.xSPRDOPT(BW33,BV33,CG33,0,BY33,BX33,BZ33,AJ33,1,2)*CB33</f>
        <v>-0.75397114784082098</v>
      </c>
      <c r="BM33" s="137">
        <f>_xll.xSPRDOPT(BW33,BV33,CG33,0,BY33,BX33,BZ33,AJ33,1,1)*CB33</f>
        <v>0.75963917072253451</v>
      </c>
      <c r="BN33" s="137">
        <f>IF(AH33&lt;&gt;0,_xll.xSPRDOPT($BW33,$BV33,$CG33,2*LN(1+CA33/2),$BY33,$BX33,$BZ33,$AJ33,1,8)+(AJ33/365.25)*CH33/AH33,0)</f>
        <v>-1.3575163601189447E-3</v>
      </c>
      <c r="BO33" s="137">
        <f>_xll.xSPRDOPT($BW33,$BV33,$CG33,0,$BY33,$BX33,$BZ33,$AJ33,1,0)</f>
        <v>4.1077768307746829E-2</v>
      </c>
      <c r="BP33" s="137"/>
      <c r="BQ33" s="137"/>
      <c r="BR33" s="137"/>
      <c r="BS33" s="137"/>
      <c r="BV33" s="262">
        <v>3.3720028599337382</v>
      </c>
      <c r="BW33" s="136">
        <v>3.4035000000000002</v>
      </c>
      <c r="BX33" s="137">
        <v>0.570790000341453</v>
      </c>
      <c r="BY33" s="137">
        <v>0.570790000341453</v>
      </c>
      <c r="BZ33" s="137">
        <v>0.99940055473914857</v>
      </c>
      <c r="CA33" s="137">
        <v>2.4110098358835999E-2</v>
      </c>
      <c r="CB33" s="137">
        <v>0.97627092599980836</v>
      </c>
      <c r="CC33" s="258">
        <v>-2.5000000000000001E-2</v>
      </c>
      <c r="CD33" s="258">
        <v>2.5000000000000001E-3</v>
      </c>
      <c r="CE33" s="258">
        <v>-2.5000000000000001E-2</v>
      </c>
      <c r="CF33" s="258">
        <v>5.7500000000000002E-2</v>
      </c>
      <c r="CG33" s="258">
        <v>3.8999999999999998E-3</v>
      </c>
      <c r="CH33" s="258">
        <v>1.252946106428154</v>
      </c>
      <c r="CI33" s="258">
        <v>3.371</v>
      </c>
    </row>
    <row r="34" spans="1:87" x14ac:dyDescent="0.25">
      <c r="A34" s="723"/>
      <c r="B34" s="723"/>
      <c r="D34" s="31">
        <f t="shared" si="36"/>
        <v>37636</v>
      </c>
      <c r="F34" s="28">
        <f t="shared" si="37"/>
        <v>25654</v>
      </c>
      <c r="G34" s="28">
        <f t="shared" si="12"/>
        <v>24974.564659008505</v>
      </c>
      <c r="H34" s="52">
        <f t="shared" si="38"/>
        <v>3.4475292790751539</v>
      </c>
      <c r="I34" s="52">
        <f t="shared" si="39"/>
        <v>3.4785000000000004</v>
      </c>
      <c r="K34" s="52">
        <f t="shared" si="28"/>
        <v>0.81696669420792467</v>
      </c>
      <c r="L34" s="135">
        <f t="shared" si="29"/>
        <v>0.43998881673134294</v>
      </c>
      <c r="N34" s="131">
        <f t="shared" si="30"/>
        <v>0.5685912571426992</v>
      </c>
      <c r="O34" s="131">
        <f t="shared" si="31"/>
        <v>0.5685912571426992</v>
      </c>
      <c r="P34" s="55">
        <f t="shared" si="32"/>
        <v>0.99940614330547217</v>
      </c>
      <c r="Q34" s="135">
        <f>_xll.xSPRDOPT(I34,H34,AQ34,0,O34,N34,P34,D34-$G$5,1,0)*AH34*AU34</f>
        <v>1.2569555109392676</v>
      </c>
      <c r="R34" s="135"/>
      <c r="S34" s="181">
        <f>_xll.xSPRDOPT(I34,H34,AQ34,AT34,O34,N34,P34,D34-$G$5,1,2)*AF34*(F34/(1-AR34))*AH34</f>
        <v>-599551.25858920126</v>
      </c>
      <c r="T34" s="181">
        <f>_xll.xSPRDOPT(I34,H34,AQ34,AT34,O34,N34,P34,D34-$G$5,1,1)*AF34*F34*AH34</f>
        <v>600006.40857471095</v>
      </c>
      <c r="U34" s="135"/>
      <c r="V34" s="146">
        <f t="shared" si="40"/>
        <v>1.2494096937464532</v>
      </c>
      <c r="W34" s="146"/>
      <c r="X34" s="338">
        <f t="shared" si="41"/>
        <v>0</v>
      </c>
      <c r="Y34" s="338">
        <f t="shared" si="13"/>
        <v>0</v>
      </c>
      <c r="Z34" s="338">
        <f t="shared" si="14"/>
        <v>-69.540938590952408</v>
      </c>
      <c r="AA34" s="338">
        <f t="shared" si="15"/>
        <v>8.1071762866831207</v>
      </c>
      <c r="AB34" s="338">
        <f t="shared" si="42"/>
        <v>0</v>
      </c>
      <c r="AC34" s="338">
        <f t="shared" si="43"/>
        <v>6.6256890413138771</v>
      </c>
      <c r="AF34" s="138">
        <f t="shared" si="44"/>
        <v>1</v>
      </c>
      <c r="AG34" s="138">
        <f t="shared" si="45"/>
        <v>1</v>
      </c>
      <c r="AH34" s="138">
        <f t="shared" si="16"/>
        <v>31</v>
      </c>
      <c r="AI34" s="138">
        <f t="shared" si="46"/>
        <v>380</v>
      </c>
      <c r="AJ34" s="138">
        <f t="shared" si="47"/>
        <v>397</v>
      </c>
      <c r="AL34" s="136">
        <f t="shared" si="17"/>
        <v>3.4460000000000002</v>
      </c>
      <c r="AM34" s="258">
        <f t="shared" si="18"/>
        <v>-2.5000000000000001E-2</v>
      </c>
      <c r="AN34" s="258">
        <f t="shared" si="19"/>
        <v>2.5000000000000001E-3</v>
      </c>
      <c r="AO34" s="258">
        <f t="shared" si="20"/>
        <v>-2.5000000000000001E-2</v>
      </c>
      <c r="AP34" s="258">
        <f t="shared" si="21"/>
        <v>5.7500000000000002E-2</v>
      </c>
      <c r="AQ34" s="136">
        <f t="shared" si="48"/>
        <v>3.8999999999999998E-3</v>
      </c>
      <c r="AR34" s="137">
        <f t="shared" si="22"/>
        <v>6.9699999999999996E-3</v>
      </c>
      <c r="AS34" s="136">
        <f t="shared" si="33"/>
        <v>3.4235000000000002</v>
      </c>
      <c r="AT34" s="137">
        <f t="shared" si="34"/>
        <v>2.50384261928196E-2</v>
      </c>
      <c r="AU34" s="137">
        <f t="shared" si="23"/>
        <v>0.97351542289734561</v>
      </c>
      <c r="AV34" s="394">
        <f t="shared" si="35"/>
        <v>5432.2160597671882</v>
      </c>
      <c r="AW34" s="137">
        <f t="shared" si="24"/>
        <v>0.53749999999999998</v>
      </c>
      <c r="AX34" s="137">
        <f t="shared" si="25"/>
        <v>1.08</v>
      </c>
      <c r="AY34" s="137">
        <f t="shared" si="26"/>
        <v>1.08</v>
      </c>
      <c r="AZ34" s="137"/>
      <c r="BA34" s="264"/>
      <c r="BB34" s="258">
        <f t="shared" si="27"/>
        <v>0</v>
      </c>
      <c r="BC34" s="258">
        <f t="shared" si="49"/>
        <v>0</v>
      </c>
      <c r="BD34" s="137">
        <f t="shared" si="50"/>
        <v>2.2770835683916246E-4</v>
      </c>
      <c r="BE34" s="137">
        <f t="shared" si="51"/>
        <v>2.2770835683916246E-4</v>
      </c>
      <c r="BF34" s="137">
        <f>_xll.xSPRDOPT($BW34,$BV34,$CG34,0,$BY34,$BX34,$BZ34,$AJ34,1,4)*$CB34</f>
        <v>2.4072790435984093</v>
      </c>
      <c r="BG34" s="137">
        <f>_xll.xSPRDOPT($BW34,$BV34,$CG34,0,$BY34,$BX34,$BZ34,$AJ34,1,3)*$CB34</f>
        <v>2.3699617420444765</v>
      </c>
      <c r="BH34" s="137">
        <f>IF(OR(BF34&lt;&gt;0,BG34&lt;&gt;0),_xll.xSPRDOPT($BW34,$BV34,$CG34,0,$BY34,$BX34,$BZ34,$AJ34,1,12)*$CB34,0)</f>
        <v>-2.3885468793964955</v>
      </c>
      <c r="BI34" s="137">
        <f>_xll.xSPRDOPT($BW34,$BV34,$CG34,2*LN(1+CA34/2),$BY34,$BX34,$BZ34,$AJ34,1,9)</f>
        <v>-1.0646153745059509E-2</v>
      </c>
      <c r="BJ34" s="137">
        <f>_xll.xSPRDOPT($BW34,$BV34,$CG34,0,$BY34,$BX34,$BZ34,$AJ34,1,6)*$CB34</f>
        <v>-2.0632617227544999E-2</v>
      </c>
      <c r="BK34" s="137">
        <f>_xll.xSPRDOPT($BW34,$BV34,$CG34,0,$BY34,$BX34,$BZ34,$AJ34,1,5)*$CB34</f>
        <v>6.5401253268639062E-2</v>
      </c>
      <c r="BL34" s="137">
        <f>_xll.xSPRDOPT(BW34,BV34,CG34,0,BY34,BX34,BZ34,AJ34,1,2)*CB34</f>
        <v>-0.74989283030590437</v>
      </c>
      <c r="BM34" s="137">
        <f>_xll.xSPRDOPT(BW34,BV34,CG34,0,BY34,BX34,BZ34,AJ34,1,1)*CB34</f>
        <v>0.75570171689661036</v>
      </c>
      <c r="BN34" s="137">
        <f>IF(AH34&lt;&gt;0,_xll.xSPRDOPT($BW34,$BV34,$CG34,2*LN(1+CA34/2),$BY34,$BX34,$BZ34,$AJ34,1,8)+(AJ34/365.25)*CH34/AH34,0)</f>
        <v>-2.4525965469168812E-3</v>
      </c>
      <c r="BO34" s="137">
        <f>_xll.xSPRDOPT($BW34,$BV34,$CG34,0,$BY34,$BX34,$BZ34,$AJ34,1,0)</f>
        <v>4.1621922060273514E-2</v>
      </c>
      <c r="BP34" s="137"/>
      <c r="BQ34" s="137"/>
      <c r="BR34" s="137"/>
      <c r="BS34" s="137"/>
      <c r="BV34" s="262">
        <v>3.4475292790751539</v>
      </c>
      <c r="BW34" s="136">
        <v>3.4785000000000004</v>
      </c>
      <c r="BX34" s="137">
        <v>0.56836354878586004</v>
      </c>
      <c r="BY34" s="137">
        <v>0.56836354878586004</v>
      </c>
      <c r="BZ34" s="137">
        <v>0.99941014163964037</v>
      </c>
      <c r="CA34" s="137">
        <v>2.50384261928196E-2</v>
      </c>
      <c r="CB34" s="137">
        <v>0.97331647833327972</v>
      </c>
      <c r="CC34" s="258">
        <v>-2.5000000000000001E-2</v>
      </c>
      <c r="CD34" s="258">
        <v>2.5000000000000001E-3</v>
      </c>
      <c r="CE34" s="258">
        <v>-2.5000000000000001E-2</v>
      </c>
      <c r="CF34" s="258">
        <v>5.7500000000000002E-2</v>
      </c>
      <c r="CG34" s="258">
        <v>3.8999999999999998E-3</v>
      </c>
      <c r="CH34" s="258">
        <v>1.2491543682929311</v>
      </c>
      <c r="CI34" s="258">
        <v>3.4460000000000002</v>
      </c>
    </row>
    <row r="35" spans="1:87" x14ac:dyDescent="0.25">
      <c r="A35" s="723"/>
      <c r="B35" s="723"/>
      <c r="D35" s="31">
        <f t="shared" si="36"/>
        <v>37667</v>
      </c>
      <c r="F35" s="28">
        <f t="shared" si="37"/>
        <v>25654</v>
      </c>
      <c r="G35" s="28">
        <f t="shared" si="12"/>
        <v>24893.072171907857</v>
      </c>
      <c r="H35" s="52">
        <f t="shared" si="38"/>
        <v>3.3720028599337382</v>
      </c>
      <c r="I35" s="52">
        <f t="shared" si="39"/>
        <v>3.4035000000000002</v>
      </c>
      <c r="K35" s="52">
        <f t="shared" si="28"/>
        <v>0.74980013968254067</v>
      </c>
      <c r="L35" s="135">
        <f t="shared" si="29"/>
        <v>0.34265532620608785</v>
      </c>
      <c r="N35" s="131">
        <f t="shared" si="30"/>
        <v>0.5545383214891465</v>
      </c>
      <c r="O35" s="131">
        <f t="shared" si="31"/>
        <v>0.5545383214891465</v>
      </c>
      <c r="P35" s="55">
        <f t="shared" si="32"/>
        <v>0.99947522543182943</v>
      </c>
      <c r="Q35" s="135">
        <f>_xll.xSPRDOPT(I35,H35,AQ35,0,O35,N35,P35,D35-$G$5,1,0)*AH35*AU35</f>
        <v>1.0924554658886285</v>
      </c>
      <c r="R35" s="135"/>
      <c r="S35" s="181">
        <f>_xll.xSPRDOPT(I35,H35,AQ35,AT35,O35,N35,P35,D35-$G$5,1,2)*AF35*(F35/(1-AR35))*AH35</f>
        <v>-559766.26284364017</v>
      </c>
      <c r="T35" s="181">
        <f>_xll.xSPRDOPT(I35,H35,AQ35,AT35,O35,N35,P35,D35-$G$5,1,1)*AF35*F35*AH35</f>
        <v>559589.23683146387</v>
      </c>
      <c r="U35" s="135"/>
      <c r="V35" s="146">
        <f t="shared" si="40"/>
        <v>1.1248167639228028</v>
      </c>
      <c r="W35" s="146"/>
      <c r="X35" s="338">
        <f t="shared" si="41"/>
        <v>0</v>
      </c>
      <c r="Y35" s="338">
        <f t="shared" si="13"/>
        <v>0</v>
      </c>
      <c r="Z35" s="338">
        <f t="shared" si="14"/>
        <v>-52.3604082897116</v>
      </c>
      <c r="AA35" s="338">
        <f t="shared" si="15"/>
        <v>5.5801981327743189</v>
      </c>
      <c r="AB35" s="338">
        <f t="shared" si="42"/>
        <v>0</v>
      </c>
      <c r="AC35" s="338">
        <f t="shared" si="43"/>
        <v>5.9906982476119772</v>
      </c>
      <c r="AF35" s="138">
        <f t="shared" si="44"/>
        <v>1</v>
      </c>
      <c r="AG35" s="138">
        <f t="shared" si="45"/>
        <v>2</v>
      </c>
      <c r="AH35" s="138">
        <f t="shared" si="16"/>
        <v>28</v>
      </c>
      <c r="AI35" s="138">
        <f t="shared" si="46"/>
        <v>411</v>
      </c>
      <c r="AJ35" s="138">
        <f t="shared" si="47"/>
        <v>428</v>
      </c>
      <c r="AL35" s="136">
        <f t="shared" si="17"/>
        <v>3.371</v>
      </c>
      <c r="AM35" s="258">
        <f t="shared" si="18"/>
        <v>-2.5000000000000001E-2</v>
      </c>
      <c r="AN35" s="258">
        <f t="shared" si="19"/>
        <v>2.5000000000000001E-3</v>
      </c>
      <c r="AO35" s="258">
        <f t="shared" si="20"/>
        <v>-2.5000000000000001E-2</v>
      </c>
      <c r="AP35" s="258">
        <f t="shared" si="21"/>
        <v>5.7500000000000002E-2</v>
      </c>
      <c r="AQ35" s="136">
        <f t="shared" si="48"/>
        <v>3.8999999999999998E-3</v>
      </c>
      <c r="AR35" s="137">
        <f t="shared" si="22"/>
        <v>6.9699999999999996E-3</v>
      </c>
      <c r="AS35" s="136">
        <f t="shared" si="33"/>
        <v>3.3485</v>
      </c>
      <c r="AT35" s="137">
        <f t="shared" si="34"/>
        <v>2.6044986419747399E-2</v>
      </c>
      <c r="AU35" s="137">
        <f t="shared" si="23"/>
        <v>0.97033882325983689</v>
      </c>
      <c r="AV35" s="394">
        <f t="shared" si="35"/>
        <v>4890.5076692295779</v>
      </c>
      <c r="AW35" s="137">
        <f t="shared" si="24"/>
        <v>0.52749999999999997</v>
      </c>
      <c r="AX35" s="137">
        <f t="shared" si="25"/>
        <v>1.08</v>
      </c>
      <c r="AY35" s="137">
        <f t="shared" si="26"/>
        <v>1.08</v>
      </c>
      <c r="AZ35" s="137"/>
      <c r="BA35" s="264"/>
      <c r="BB35" s="258">
        <f t="shared" si="27"/>
        <v>0</v>
      </c>
      <c r="BC35" s="258">
        <f t="shared" si="49"/>
        <v>0</v>
      </c>
      <c r="BD35" s="137">
        <f t="shared" si="50"/>
        <v>1.8493142576248012E-4</v>
      </c>
      <c r="BE35" s="137">
        <f t="shared" si="51"/>
        <v>1.8493142576248012E-4</v>
      </c>
      <c r="BF35" s="137">
        <f>_xll.xSPRDOPT($BW35,$BV35,$CG35,0,$BY35,$BX35,$BZ35,$AJ35,1,4)*$CB35</f>
        <v>2.1362001741463974</v>
      </c>
      <c r="BG35" s="137">
        <f>_xll.xSPRDOPT($BW35,$BV35,$CG35,0,$BY35,$BX35,$BZ35,$AJ35,1,3)*$CB35</f>
        <v>2.1017038625326143</v>
      </c>
      <c r="BH35" s="137">
        <f>IF(OR(BF35&lt;&gt;0,BG35&lt;&gt;0),_xll.xSPRDOPT($BW35,$BV35,$CG35,0,$BY35,$BX35,$BZ35,$AJ35,1,12)*$CB35,0)</f>
        <v>-2.1188812068715261</v>
      </c>
      <c r="BI35" s="137">
        <f>_xll.xSPRDOPT($BW35,$BV35,$CG35,2*LN(1+CA35/2),$BY35,$BX35,$BZ35,$AJ35,1,9)</f>
        <v>-8.8748060860355769E-3</v>
      </c>
      <c r="BJ35" s="137">
        <f>_xll.xSPRDOPT($BW35,$BV35,$CG35,0,$BY35,$BX35,$BZ35,$AJ35,1,6)*$CB35</f>
        <v>-2.5734360831223164E-2</v>
      </c>
      <c r="BK35" s="137">
        <f>_xll.xSPRDOPT($BW35,$BV35,$CG35,0,$BY35,$BX35,$BZ35,$AJ35,1,5)*$CB35</f>
        <v>6.7741758659086757E-2</v>
      </c>
      <c r="BL35" s="137">
        <f>_xll.xSPRDOPT(BW35,BV35,CG35,0,BY35,BX35,BZ35,AJ35,1,2)*CB35</f>
        <v>-0.77488567191740865</v>
      </c>
      <c r="BM35" s="137">
        <f>_xll.xSPRDOPT(BW35,BV35,CG35,0,BY35,BX35,BZ35,AJ35,1,1)*CB35</f>
        <v>0.78005575576194175</v>
      </c>
      <c r="BN35" s="137">
        <f>IF(AH35&lt;&gt;0,_xll.xSPRDOPT($BW35,$BV35,$CG35,2*LN(1+CA35/2),$BY35,$BX35,$BZ35,$AJ35,1,8)+(AJ35/365.25)*CH35/AH35,0)</f>
        <v>-1.0097473066573298E-3</v>
      </c>
      <c r="BO35" s="137">
        <f>_xll.xSPRDOPT($BW35,$BV35,$CG35,0,$BY35,$BX35,$BZ35,$AJ35,1,0)</f>
        <v>4.01863030497603E-2</v>
      </c>
      <c r="BP35" s="137"/>
      <c r="BQ35" s="137"/>
      <c r="BR35" s="137"/>
      <c r="BS35" s="137"/>
      <c r="BV35" s="262">
        <v>3.3720028599337382</v>
      </c>
      <c r="BW35" s="136">
        <v>3.4035000000000002</v>
      </c>
      <c r="BX35" s="137">
        <v>0.55435339006338402</v>
      </c>
      <c r="BY35" s="137">
        <v>0.55435339006338402</v>
      </c>
      <c r="BZ35" s="137">
        <v>0.99947855602646396</v>
      </c>
      <c r="CA35" s="137">
        <v>2.6044986419747399E-2</v>
      </c>
      <c r="CB35" s="137">
        <v>0.97013260845196225</v>
      </c>
      <c r="CC35" s="258">
        <v>-2.5000000000000001E-2</v>
      </c>
      <c r="CD35" s="258">
        <v>2.5000000000000001E-3</v>
      </c>
      <c r="CE35" s="258">
        <v>-2.5000000000000001E-2</v>
      </c>
      <c r="CF35" s="258">
        <v>5.7500000000000002E-2</v>
      </c>
      <c r="CG35" s="258">
        <v>3.8999999999999998E-3</v>
      </c>
      <c r="CH35" s="258">
        <v>1.1245777197175146</v>
      </c>
      <c r="CI35" s="258">
        <v>3.371</v>
      </c>
    </row>
    <row r="36" spans="1:87" x14ac:dyDescent="0.25">
      <c r="A36" s="723"/>
      <c r="B36" s="723"/>
      <c r="D36" s="31">
        <f t="shared" si="36"/>
        <v>37695</v>
      </c>
      <c r="F36" s="28">
        <f t="shared" si="37"/>
        <v>25654</v>
      </c>
      <c r="G36" s="28">
        <f t="shared" si="12"/>
        <v>24816.108935956185</v>
      </c>
      <c r="H36" s="52">
        <f t="shared" si="38"/>
        <v>3.2813711569640396</v>
      </c>
      <c r="I36" s="52">
        <f t="shared" si="39"/>
        <v>3.3135000000000003</v>
      </c>
      <c r="K36" s="52">
        <f t="shared" si="28"/>
        <v>0.84651248777612509</v>
      </c>
      <c r="L36" s="135">
        <f t="shared" si="29"/>
        <v>0.24276548567447398</v>
      </c>
      <c r="N36" s="131">
        <f t="shared" si="30"/>
        <v>0.50303598357381651</v>
      </c>
      <c r="O36" s="131">
        <f t="shared" si="31"/>
        <v>0.50303598357381651</v>
      </c>
      <c r="P36" s="55">
        <f t="shared" si="32"/>
        <v>0.99961005336156439</v>
      </c>
      <c r="Q36" s="135">
        <f>_xll.xSPRDOPT(I36,H36,AQ36,0,O36,N36,P36,D36-$G$5,1,0)*AH36*AU36</f>
        <v>1.0892779734505991</v>
      </c>
      <c r="R36" s="135"/>
      <c r="S36" s="181">
        <f>_xll.xSPRDOPT(I36,H36,AQ36,AT36,O36,N36,P36,D36-$G$5,1,2)*AF36*(F36/(1-AR36))*AH36</f>
        <v>-662443.31006075325</v>
      </c>
      <c r="T36" s="181">
        <f>_xll.xSPRDOPT(I36,H36,AQ36,AT36,O36,N36,P36,D36-$G$5,1,1)*AF36*F36*AH36</f>
        <v>660652.63267795788</v>
      </c>
      <c r="U36" s="135"/>
      <c r="V36" s="146">
        <f t="shared" si="40"/>
        <v>1.2414825839403665</v>
      </c>
      <c r="W36" s="146"/>
      <c r="X36" s="338">
        <f t="shared" si="41"/>
        <v>0</v>
      </c>
      <c r="Y36" s="338">
        <f t="shared" si="13"/>
        <v>0</v>
      </c>
      <c r="Z36" s="338">
        <f t="shared" si="14"/>
        <v>-38.527311383332517</v>
      </c>
      <c r="AA36" s="338">
        <f t="shared" si="15"/>
        <v>2.7228978470539409</v>
      </c>
      <c r="AB36" s="338">
        <f t="shared" si="42"/>
        <v>0</v>
      </c>
      <c r="AC36" s="338">
        <f t="shared" si="43"/>
        <v>6.1830985101663138</v>
      </c>
      <c r="AF36" s="138">
        <f t="shared" si="44"/>
        <v>1</v>
      </c>
      <c r="AG36" s="138">
        <f t="shared" si="45"/>
        <v>3</v>
      </c>
      <c r="AH36" s="138">
        <f t="shared" si="16"/>
        <v>31</v>
      </c>
      <c r="AI36" s="138">
        <f t="shared" si="46"/>
        <v>439</v>
      </c>
      <c r="AJ36" s="138">
        <f t="shared" si="47"/>
        <v>456</v>
      </c>
      <c r="AL36" s="136">
        <f t="shared" si="17"/>
        <v>3.2810000000000001</v>
      </c>
      <c r="AM36" s="258">
        <f t="shared" si="18"/>
        <v>-2.5000000000000001E-2</v>
      </c>
      <c r="AN36" s="258">
        <f t="shared" si="19"/>
        <v>2.5000000000000001E-3</v>
      </c>
      <c r="AO36" s="258">
        <f t="shared" si="20"/>
        <v>-2.5000000000000001E-2</v>
      </c>
      <c r="AP36" s="258">
        <f t="shared" si="21"/>
        <v>5.7500000000000002E-2</v>
      </c>
      <c r="AQ36" s="136">
        <f t="shared" si="48"/>
        <v>3.8999999999999998E-3</v>
      </c>
      <c r="AR36" s="137">
        <f t="shared" si="22"/>
        <v>6.9699999999999996E-3</v>
      </c>
      <c r="AS36" s="136">
        <f t="shared" si="33"/>
        <v>3.2585000000000002</v>
      </c>
      <c r="AT36" s="137">
        <f t="shared" si="34"/>
        <v>2.6954137886657601E-2</v>
      </c>
      <c r="AU36" s="137">
        <f t="shared" si="23"/>
        <v>0.96733877508209964</v>
      </c>
      <c r="AV36" s="394">
        <f t="shared" si="35"/>
        <v>5397.7503649581158</v>
      </c>
      <c r="AW36" s="137">
        <f t="shared" si="24"/>
        <v>0.48749999999999999</v>
      </c>
      <c r="AX36" s="137">
        <f t="shared" si="25"/>
        <v>0.83</v>
      </c>
      <c r="AY36" s="137">
        <f t="shared" si="26"/>
        <v>0.83</v>
      </c>
      <c r="AZ36" s="137"/>
      <c r="BA36" s="264"/>
      <c r="BB36" s="258">
        <f t="shared" si="27"/>
        <v>0</v>
      </c>
      <c r="BC36" s="258">
        <f t="shared" si="49"/>
        <v>0</v>
      </c>
      <c r="BD36" s="137">
        <f t="shared" si="50"/>
        <v>1.0031212319616678E-4</v>
      </c>
      <c r="BE36" s="137">
        <f t="shared" si="51"/>
        <v>1.0031212319616678E-4</v>
      </c>
      <c r="BF36" s="137">
        <f>_xll.xSPRDOPT($BW36,$BV36,$CG36,0,$BY36,$BX36,$BZ36,$AJ36,1,4)*$CB36</f>
        <v>1.7165273373187659</v>
      </c>
      <c r="BG36" s="137">
        <f>_xll.xSPRDOPT($BW36,$BV36,$CG36,0,$BY36,$BX36,$BZ36,$AJ36,1,3)*$CB36</f>
        <v>1.6874106112277829</v>
      </c>
      <c r="BH36" s="137">
        <f>IF(OR(BF36&lt;&gt;0,BG36&lt;&gt;0),_xll.xSPRDOPT($BW36,$BV36,$CG36,0,$BY36,$BX36,$BZ36,$AJ36,1,12)*$CB36,0)</f>
        <v>-1.701907790274884</v>
      </c>
      <c r="BI36" s="137">
        <f>_xll.xSPRDOPT($BW36,$BV36,$CG36,2*LN(1+CA36/2),$BY36,$BX36,$BZ36,$AJ36,1,9)</f>
        <v>-5.8982189294768013E-3</v>
      </c>
      <c r="BJ36" s="137">
        <f>_xll.xSPRDOPT($BW36,$BV36,$CG36,0,$BY36,$BX36,$BZ36,$AJ36,1,6)*$CB36</f>
        <v>-3.5626096337096805E-2</v>
      </c>
      <c r="BK36" s="137">
        <f>_xll.xSPRDOPT($BW36,$BV36,$CG36,0,$BY36,$BX36,$BZ36,$AJ36,1,5)*$CB36</f>
        <v>6.9758049543664699E-2</v>
      </c>
      <c r="BL36" s="137">
        <f>_xll.xSPRDOPT(BW36,BV36,CG36,0,BY36,BX36,BZ36,AJ36,1,2)*CB36</f>
        <v>-0.82787874951497864</v>
      </c>
      <c r="BM36" s="137">
        <f>_xll.xSPRDOPT(BW36,BV36,CG36,0,BY36,BX36,BZ36,AJ36,1,1)*CB36</f>
        <v>0.83142329727521835</v>
      </c>
      <c r="BN36" s="137">
        <f>IF(AH36&lt;&gt;0,_xll.xSPRDOPT($BW36,$BV36,$CG36,2*LN(1+CA36/2),$BY36,$BX36,$BZ36,$AJ36,1,8)+(AJ36/365.25)*CH36/AH36,0)</f>
        <v>4.4426570884487163E-3</v>
      </c>
      <c r="BO36" s="137">
        <f>_xll.xSPRDOPT($BW36,$BV36,$CG36,0,$BY36,$BX36,$BZ36,$AJ36,1,0)</f>
        <v>3.6311970358414762E-2</v>
      </c>
      <c r="BP36" s="137"/>
      <c r="BQ36" s="137"/>
      <c r="BR36" s="137"/>
      <c r="BS36" s="137"/>
      <c r="BV36" s="262">
        <v>3.2813711569640396</v>
      </c>
      <c r="BW36" s="136">
        <v>3.3135000000000003</v>
      </c>
      <c r="BX36" s="137">
        <v>0.50293567145062035</v>
      </c>
      <c r="BY36" s="137">
        <v>0.50293567145062035</v>
      </c>
      <c r="BZ36" s="137">
        <v>0.99961245584110459</v>
      </c>
      <c r="CA36" s="137">
        <v>2.6954137886657601E-2</v>
      </c>
      <c r="CB36" s="137">
        <v>0.96712607036861076</v>
      </c>
      <c r="CC36" s="258">
        <v>-2.5000000000000001E-2</v>
      </c>
      <c r="CD36" s="258">
        <v>2.5000000000000001E-3</v>
      </c>
      <c r="CE36" s="258">
        <v>-2.5000000000000001E-2</v>
      </c>
      <c r="CF36" s="258">
        <v>5.7500000000000002E-2</v>
      </c>
      <c r="CG36" s="258">
        <v>3.8999999999999998E-3</v>
      </c>
      <c r="CH36" s="258">
        <v>1.2412095987110749</v>
      </c>
      <c r="CI36" s="258">
        <v>3.2810000000000001</v>
      </c>
    </row>
    <row r="37" spans="1:87" x14ac:dyDescent="0.25">
      <c r="A37" s="727"/>
      <c r="B37" s="723"/>
      <c r="D37" s="31">
        <f t="shared" si="36"/>
        <v>37726</v>
      </c>
      <c r="F37" s="28">
        <f t="shared" si="37"/>
        <v>25654</v>
      </c>
      <c r="G37" s="28">
        <f t="shared" si="12"/>
        <v>24726.775226512247</v>
      </c>
      <c r="H37" s="52">
        <f t="shared" si="38"/>
        <v>3.1252832240717803</v>
      </c>
      <c r="I37" s="52">
        <f t="shared" si="39"/>
        <v>3.1585000000000001</v>
      </c>
      <c r="K37" s="52">
        <f t="shared" si="28"/>
        <v>0.84771497085419367</v>
      </c>
      <c r="L37" s="135">
        <f t="shared" si="29"/>
        <v>6.0258642057780643E-2</v>
      </c>
      <c r="N37" s="131">
        <f t="shared" si="30"/>
        <v>0.38888404308877494</v>
      </c>
      <c r="O37" s="131">
        <f t="shared" si="31"/>
        <v>0.38888404308877494</v>
      </c>
      <c r="P37" s="55">
        <f t="shared" si="32"/>
        <v>0.99984118355316498</v>
      </c>
      <c r="Q37" s="135">
        <f>_xll.xSPRDOPT(I37,H37,AQ37,0,O37,N37,P37,D37-$G$5,1,0)*AH37*AU37</f>
        <v>0.90797361291197431</v>
      </c>
      <c r="R37" s="135"/>
      <c r="S37" s="181">
        <f>_xll.xSPRDOPT(I37,H37,AQ37,AT37,O37,N37,P37,D37-$G$5,1,2)*AF37*(F37/(1-AR37))*AH37</f>
        <v>-708361.29056522716</v>
      </c>
      <c r="T37" s="181">
        <f>_xll.xSPRDOPT(I37,H37,AQ37,AT37,O37,N37,P37,D37-$G$5,1,1)*AF37*F37*AH37</f>
        <v>704267.58089931111</v>
      </c>
      <c r="U37" s="135"/>
      <c r="V37" s="146">
        <f t="shared" si="40"/>
        <v>1.1971098008625638</v>
      </c>
      <c r="W37" s="146"/>
      <c r="X37" s="338">
        <f t="shared" si="41"/>
        <v>0</v>
      </c>
      <c r="Y37" s="338">
        <f t="shared" si="13"/>
        <v>0</v>
      </c>
      <c r="Z37" s="338">
        <f t="shared" si="14"/>
        <v>-6.3947587601587372</v>
      </c>
      <c r="AA37" s="338">
        <f t="shared" si="15"/>
        <v>8.2338059321704321E-2</v>
      </c>
      <c r="AB37" s="338">
        <f t="shared" si="42"/>
        <v>0</v>
      </c>
      <c r="AC37" s="338">
        <f t="shared" si="43"/>
        <v>5.3505604310920303</v>
      </c>
      <c r="AF37" s="138">
        <f t="shared" si="44"/>
        <v>1</v>
      </c>
      <c r="AG37" s="138">
        <f t="shared" si="45"/>
        <v>4</v>
      </c>
      <c r="AH37" s="138">
        <f t="shared" si="16"/>
        <v>30</v>
      </c>
      <c r="AI37" s="138">
        <f t="shared" si="46"/>
        <v>470</v>
      </c>
      <c r="AJ37" s="138">
        <f t="shared" si="47"/>
        <v>487</v>
      </c>
      <c r="AL37" s="136">
        <f t="shared" si="17"/>
        <v>3.1259999999999999</v>
      </c>
      <c r="AM37" s="258">
        <f t="shared" si="18"/>
        <v>-2.5000000000000001E-2</v>
      </c>
      <c r="AN37" s="258">
        <f t="shared" si="19"/>
        <v>2.5000000000000001E-3</v>
      </c>
      <c r="AO37" s="258">
        <f t="shared" si="20"/>
        <v>-2.5000000000000001E-2</v>
      </c>
      <c r="AP37" s="258">
        <f t="shared" si="21"/>
        <v>5.7500000000000002E-2</v>
      </c>
      <c r="AQ37" s="136">
        <f t="shared" si="48"/>
        <v>3.8999999999999998E-3</v>
      </c>
      <c r="AR37" s="137">
        <f t="shared" si="22"/>
        <v>6.9699999999999996E-3</v>
      </c>
      <c r="AS37" s="136">
        <f t="shared" si="33"/>
        <v>3.1034999999999999</v>
      </c>
      <c r="AT37" s="137">
        <f t="shared" si="34"/>
        <v>2.79745964320606E-2</v>
      </c>
      <c r="AU37" s="137">
        <f t="shared" si="23"/>
        <v>0.96385652243362618</v>
      </c>
      <c r="AV37" s="394">
        <f t="shared" si="35"/>
        <v>5204.8252211415811</v>
      </c>
      <c r="AW37" s="137">
        <f t="shared" si="24"/>
        <v>0.38750000000000001</v>
      </c>
      <c r="AX37" s="137">
        <f t="shared" si="25"/>
        <v>0.43</v>
      </c>
      <c r="AY37" s="137">
        <f t="shared" si="26"/>
        <v>0.43</v>
      </c>
      <c r="AZ37" s="137"/>
      <c r="BA37" s="264"/>
      <c r="BB37" s="258">
        <f t="shared" si="27"/>
        <v>0</v>
      </c>
      <c r="BC37" s="258">
        <f t="shared" si="49"/>
        <v>0</v>
      </c>
      <c r="BD37" s="137">
        <f t="shared" si="50"/>
        <v>8.4934135016756507E-6</v>
      </c>
      <c r="BE37" s="137">
        <f t="shared" si="51"/>
        <v>8.4934135016756507E-6</v>
      </c>
      <c r="BF37" s="137">
        <f>_xll.xSPRDOPT($BW37,$BV37,$CG37,0,$BY37,$BX37,$BZ37,$AJ37,1,4)*$CB37</f>
        <v>0.87111483198605644</v>
      </c>
      <c r="BG37" s="137">
        <f>_xll.xSPRDOPT($BW37,$BV37,$CG37,0,$BY37,$BX37,$BZ37,$AJ37,1,3)*$CB37</f>
        <v>0.85502177772443044</v>
      </c>
      <c r="BH37" s="137">
        <f>IF(OR(BF37&lt;&gt;0,BG37&lt;&gt;0),_xll.xSPRDOPT($BW37,$BV37,$CG37,0,$BY37,$BX37,$BZ37,$AJ37,1,12)*$CB37,0)</f>
        <v>-0.86303144114344899</v>
      </c>
      <c r="BI37" s="137">
        <f>_xll.xSPRDOPT($BW37,$BV37,$CG37,2*LN(1+CA37/2),$BY37,$BX37,$BZ37,$AJ37,1,9)</f>
        <v>-1.0116185637708561E-3</v>
      </c>
      <c r="BJ37" s="137">
        <f>_xll.xSPRDOPT($BW37,$BV37,$CG37,0,$BY37,$BX37,$BZ37,$AJ37,1,6)*$CB37</f>
        <v>-4.4920819761921173E-2</v>
      </c>
      <c r="BK37" s="137">
        <f>_xll.xSPRDOPT($BW37,$BV37,$CG37,0,$BY37,$BX37,$BZ37,$AJ37,1,5)*$CB37</f>
        <v>5.7517091274403881E-2</v>
      </c>
      <c r="BL37" s="137">
        <f>_xll.xSPRDOPT(BW37,BV37,CG37,0,BY37,BX37,BZ37,AJ37,1,2)*CB37</f>
        <v>-0.91423808756638014</v>
      </c>
      <c r="BM37" s="137">
        <f>_xll.xSPRDOPT(BW37,BV37,CG37,0,BY37,BX37,BZ37,AJ37,1,1)*CB37</f>
        <v>0.91533158516183466</v>
      </c>
      <c r="BN37" s="137">
        <f>IF(AH37&lt;&gt;0,_xll.xSPRDOPT($BW37,$BV37,$CG37,2*LN(1+CA37/2),$BY37,$BX37,$BZ37,$AJ37,1,8)+(AJ37/365.25)*CH37/AH37,0)</f>
        <v>1.3584108278481707E-2</v>
      </c>
      <c r="BO37" s="137">
        <f>_xll.xSPRDOPT($BW37,$BV37,$CG37,0,$BY37,$BX37,$BZ37,$AJ37,1,0)</f>
        <v>3.1398924634931921E-2</v>
      </c>
      <c r="BP37" s="137"/>
      <c r="BQ37" s="137"/>
      <c r="BR37" s="137"/>
      <c r="BS37" s="137"/>
      <c r="BV37" s="262">
        <v>3.1252832240717803</v>
      </c>
      <c r="BW37" s="136">
        <v>3.1585000000000001</v>
      </c>
      <c r="BX37" s="137">
        <v>0.38887554967527327</v>
      </c>
      <c r="BY37" s="137">
        <v>0.38887554967527327</v>
      </c>
      <c r="BZ37" s="137">
        <v>0.99984215298894741</v>
      </c>
      <c r="CA37" s="137">
        <v>2.79745964320606E-2</v>
      </c>
      <c r="CB37" s="137">
        <v>0.96363661599031902</v>
      </c>
      <c r="CC37" s="258">
        <v>-2.5000000000000001E-2</v>
      </c>
      <c r="CD37" s="258">
        <v>2.5000000000000001E-3</v>
      </c>
      <c r="CE37" s="258">
        <v>-2.5000000000000001E-2</v>
      </c>
      <c r="CF37" s="258">
        <v>5.7500000000000002E-2</v>
      </c>
      <c r="CG37" s="258">
        <v>3.8999999999999998E-3</v>
      </c>
      <c r="CH37" s="258">
        <v>1.1968366770599763</v>
      </c>
      <c r="CI37" s="258">
        <v>3.1259999999999999</v>
      </c>
    </row>
    <row r="38" spans="1:87" x14ac:dyDescent="0.25">
      <c r="A38" s="723"/>
      <c r="B38" s="723"/>
      <c r="D38" s="31">
        <f t="shared" si="36"/>
        <v>37756</v>
      </c>
      <c r="F38" s="28">
        <f t="shared" si="37"/>
        <v>25654</v>
      </c>
      <c r="G38" s="28">
        <f t="shared" si="12"/>
        <v>24636.601967877094</v>
      </c>
      <c r="H38" s="52">
        <f t="shared" si="38"/>
        <v>3.1262902429936656</v>
      </c>
      <c r="I38" s="52">
        <f t="shared" si="39"/>
        <v>3.1595</v>
      </c>
      <c r="K38" s="52">
        <f t="shared" si="28"/>
        <v>0.87256869616231114</v>
      </c>
      <c r="L38" s="135">
        <f t="shared" si="29"/>
        <v>7.9944358582689112E-2</v>
      </c>
      <c r="N38" s="131">
        <f t="shared" si="30"/>
        <v>0.3761805213924197</v>
      </c>
      <c r="O38" s="131">
        <f t="shared" si="31"/>
        <v>0.3761805213924197</v>
      </c>
      <c r="P38" s="55">
        <f t="shared" si="32"/>
        <v>0.99979439096934763</v>
      </c>
      <c r="Q38" s="135">
        <f>_xll.xSPRDOPT(I38,H38,AQ38,0,O38,N38,P38,D38-$G$5,1,0)*AH38*AU38</f>
        <v>0.95251305474500025</v>
      </c>
      <c r="R38" s="135"/>
      <c r="S38" s="181">
        <f>_xll.xSPRDOPT(I38,H38,AQ38,AT38,O38,N38,P38,D38-$G$5,1,2)*AF38*(F38/(1-AR38))*AH38</f>
        <v>-717683.22781610989</v>
      </c>
      <c r="T38" s="181">
        <f>_xll.xSPRDOPT(I38,H38,AQ38,AT38,O38,N38,P38,D38-$G$5,1,1)*AF38*F38*AH38</f>
        <v>713801.17820397427</v>
      </c>
      <c r="U38" s="135"/>
      <c r="V38" s="146">
        <f t="shared" si="40"/>
        <v>1.2325023374746027</v>
      </c>
      <c r="W38" s="146"/>
      <c r="X38" s="338">
        <f t="shared" si="41"/>
        <v>0</v>
      </c>
      <c r="Y38" s="338">
        <f t="shared" si="13"/>
        <v>0</v>
      </c>
      <c r="Z38" s="338">
        <f t="shared" si="14"/>
        <v>-9.1612673582976285</v>
      </c>
      <c r="AA38" s="338">
        <f t="shared" si="15"/>
        <v>0.28839988916952813</v>
      </c>
      <c r="AB38" s="338">
        <f t="shared" si="42"/>
        <v>0</v>
      </c>
      <c r="AC38" s="338">
        <f t="shared" si="43"/>
        <v>5.8112822533620818</v>
      </c>
      <c r="AF38" s="138">
        <f t="shared" si="44"/>
        <v>1</v>
      </c>
      <c r="AG38" s="138">
        <f t="shared" si="45"/>
        <v>5</v>
      </c>
      <c r="AH38" s="138">
        <f t="shared" si="16"/>
        <v>31</v>
      </c>
      <c r="AI38" s="138">
        <f t="shared" si="46"/>
        <v>500</v>
      </c>
      <c r="AJ38" s="138">
        <f t="shared" si="47"/>
        <v>517</v>
      </c>
      <c r="AL38" s="136">
        <f t="shared" si="17"/>
        <v>3.1269999999999998</v>
      </c>
      <c r="AM38" s="258">
        <f t="shared" si="18"/>
        <v>-2.5000000000000001E-2</v>
      </c>
      <c r="AN38" s="258">
        <f t="shared" si="19"/>
        <v>2.5000000000000001E-3</v>
      </c>
      <c r="AO38" s="258">
        <f t="shared" si="20"/>
        <v>-2.5000000000000001E-2</v>
      </c>
      <c r="AP38" s="258">
        <f t="shared" si="21"/>
        <v>5.7500000000000002E-2</v>
      </c>
      <c r="AQ38" s="136">
        <f t="shared" si="48"/>
        <v>3.8999999999999998E-3</v>
      </c>
      <c r="AR38" s="137">
        <f t="shared" si="22"/>
        <v>6.9699999999999996E-3</v>
      </c>
      <c r="AS38" s="136">
        <f t="shared" si="33"/>
        <v>3.1044999999999998</v>
      </c>
      <c r="AT38" s="137">
        <f t="shared" si="34"/>
        <v>2.8963180076380102E-2</v>
      </c>
      <c r="AU38" s="137">
        <f t="shared" si="23"/>
        <v>0.96034154392598015</v>
      </c>
      <c r="AV38" s="394">
        <f t="shared" si="35"/>
        <v>5358.7058151069696</v>
      </c>
      <c r="AW38" s="137">
        <f t="shared" si="24"/>
        <v>0.3725</v>
      </c>
      <c r="AX38" s="137">
        <f t="shared" si="25"/>
        <v>0.48</v>
      </c>
      <c r="AY38" s="137">
        <f t="shared" si="26"/>
        <v>0.48</v>
      </c>
      <c r="AZ38" s="137"/>
      <c r="BA38" s="264"/>
      <c r="BB38" s="258">
        <f t="shared" si="27"/>
        <v>0</v>
      </c>
      <c r="BC38" s="258">
        <f t="shared" si="49"/>
        <v>0</v>
      </c>
      <c r="BD38" s="137">
        <f t="shared" si="50"/>
        <v>2.1191627312566741E-5</v>
      </c>
      <c r="BE38" s="137">
        <f t="shared" si="51"/>
        <v>2.1191627312566741E-5</v>
      </c>
      <c r="BF38" s="137">
        <f>_xll.xSPRDOPT($BW38,$BV38,$CG38,0,$BY38,$BX38,$BZ38,$AJ38,1,4)*$CB38</f>
        <v>1.1268696406442169</v>
      </c>
      <c r="BG38" s="137">
        <f>_xll.xSPRDOPT($BW38,$BV38,$CG38,0,$BY38,$BX38,$BZ38,$AJ38,1,3)*$CB38</f>
        <v>1.1060639321169661</v>
      </c>
      <c r="BH38" s="137">
        <f>IF(OR(BF38&lt;&gt;0,BG38&lt;&gt;0),_xll.xSPRDOPT($BW38,$BV38,$CG38,0,$BY38,$BX38,$BZ38,$AJ38,1,12)*$CB38,0)</f>
        <v>-1.1164199551654808</v>
      </c>
      <c r="BI38" s="137">
        <f>_xll.xSPRDOPT($BW38,$BV38,$CG38,2*LN(1+CA38/2),$BY38,$BX38,$BZ38,$AJ38,1,9)</f>
        <v>-1.402515737812045E-3</v>
      </c>
      <c r="BJ38" s="137">
        <f>_xll.xSPRDOPT($BW38,$BV38,$CG38,0,$BY38,$BX38,$BZ38,$AJ38,1,6)*$CB38</f>
        <v>-4.4733216229250292E-2</v>
      </c>
      <c r="BK38" s="137">
        <f>_xll.xSPRDOPT($BW38,$BV38,$CG38,0,$BY38,$BX38,$BZ38,$AJ38,1,5)*$CB38</f>
        <v>6.1845737355299871E-2</v>
      </c>
      <c r="BL38" s="137">
        <f>_xll.xSPRDOPT(BW38,BV38,CG38,0,BY38,BX38,BZ38,AJ38,1,2)*CB38</f>
        <v>-0.89646223358788313</v>
      </c>
      <c r="BM38" s="137">
        <f>_xll.xSPRDOPT(BW38,BV38,CG38,0,BY38,BX38,BZ38,AJ38,1,1)*CB38</f>
        <v>0.89786776863227313</v>
      </c>
      <c r="BN38" s="137">
        <f>IF(AH38&lt;&gt;0,_xll.xSPRDOPT($BW38,$BV38,$CG38,2*LN(1+CA38/2),$BY38,$BX38,$BZ38,$AJ38,1,8)+(AJ38/365.25)*CH38/AH38,0)</f>
        <v>1.3373935052337901E-2</v>
      </c>
      <c r="BO38" s="137">
        <f>_xll.xSPRDOPT($BW38,$BV38,$CG38,0,$BY38,$BX38,$BZ38,$AJ38,1,0)</f>
        <v>3.1992985395914386E-2</v>
      </c>
      <c r="BP38" s="137"/>
      <c r="BQ38" s="137"/>
      <c r="BR38" s="137"/>
      <c r="BS38" s="137"/>
      <c r="BV38" s="262">
        <v>3.1262902429936656</v>
      </c>
      <c r="BW38" s="136">
        <v>3.1595</v>
      </c>
      <c r="BX38" s="137">
        <v>0.37615932976510713</v>
      </c>
      <c r="BY38" s="137">
        <v>0.37615932976510713</v>
      </c>
      <c r="BZ38" s="137">
        <v>0.99979555757360705</v>
      </c>
      <c r="CA38" s="137">
        <v>2.8963180076380102E-2</v>
      </c>
      <c r="CB38" s="137">
        <v>0.96011475289275328</v>
      </c>
      <c r="CC38" s="258">
        <v>-2.5000000000000001E-2</v>
      </c>
      <c r="CD38" s="258">
        <v>2.5000000000000001E-3</v>
      </c>
      <c r="CE38" s="258">
        <v>-2.5000000000000001E-2</v>
      </c>
      <c r="CF38" s="258">
        <v>5.7500000000000002E-2</v>
      </c>
      <c r="CG38" s="258">
        <v>3.8999999999999998E-3</v>
      </c>
      <c r="CH38" s="258">
        <v>1.2322112738625595</v>
      </c>
      <c r="CI38" s="258">
        <v>3.1269999999999998</v>
      </c>
    </row>
    <row r="39" spans="1:87" x14ac:dyDescent="0.25">
      <c r="A39" s="723"/>
      <c r="B39" s="723"/>
      <c r="D39" s="31">
        <f t="shared" si="36"/>
        <v>37787</v>
      </c>
      <c r="F39" s="28">
        <f t="shared" si="37"/>
        <v>25654</v>
      </c>
      <c r="G39" s="28">
        <f t="shared" si="12"/>
        <v>24539.658447356822</v>
      </c>
      <c r="H39" s="52">
        <f t="shared" si="38"/>
        <v>3.1615359052596599</v>
      </c>
      <c r="I39" s="52">
        <f t="shared" si="39"/>
        <v>3.1945000000000001</v>
      </c>
      <c r="K39" s="52">
        <f t="shared" si="28"/>
        <v>0.83404883216212178</v>
      </c>
      <c r="L39" s="135">
        <f t="shared" si="29"/>
        <v>7.5872442761895309E-2</v>
      </c>
      <c r="N39" s="131">
        <f t="shared" si="30"/>
        <v>0.37586425134556289</v>
      </c>
      <c r="O39" s="131">
        <f t="shared" si="31"/>
        <v>0.37586425134556289</v>
      </c>
      <c r="P39" s="55">
        <f t="shared" si="32"/>
        <v>0.99981182222111997</v>
      </c>
      <c r="Q39" s="135">
        <f>_xll.xSPRDOPT(I39,H39,AQ39,0,O39,N39,P39,D39-$G$5,1,0)*AH39*AU39</f>
        <v>0.90992127492401709</v>
      </c>
      <c r="R39" s="135"/>
      <c r="S39" s="181">
        <f>_xll.xSPRDOPT(I39,H39,AQ39,AT39,O39,N39,P39,D39-$G$5,1,2)*AF39*(F39/(1-AR39))*AH39</f>
        <v>-694838.10667758097</v>
      </c>
      <c r="T39" s="181">
        <f>_xll.xSPRDOPT(I39,H39,AQ39,AT39,O39,N39,P39,D39-$G$5,1,1)*AF39*F39*AH39</f>
        <v>691022.01352246094</v>
      </c>
      <c r="U39" s="135"/>
      <c r="V39" s="146">
        <f t="shared" si="40"/>
        <v>1.1880508221570583</v>
      </c>
      <c r="W39" s="146"/>
      <c r="X39" s="338">
        <f t="shared" si="41"/>
        <v>0</v>
      </c>
      <c r="Y39" s="338">
        <f t="shared" si="13"/>
        <v>0</v>
      </c>
      <c r="Z39" s="338">
        <f t="shared" si="14"/>
        <v>-7.8654826129288606</v>
      </c>
      <c r="AA39" s="338">
        <f t="shared" si="15"/>
        <v>0.24017771750429176</v>
      </c>
      <c r="AB39" s="338">
        <f t="shared" si="42"/>
        <v>0</v>
      </c>
      <c r="AC39" s="338">
        <f t="shared" si="43"/>
        <v>5.7471513504360354</v>
      </c>
      <c r="AF39" s="138">
        <f t="shared" si="44"/>
        <v>1</v>
      </c>
      <c r="AG39" s="138">
        <f t="shared" si="45"/>
        <v>6</v>
      </c>
      <c r="AH39" s="138">
        <f t="shared" si="16"/>
        <v>30</v>
      </c>
      <c r="AI39" s="138">
        <f t="shared" si="46"/>
        <v>531</v>
      </c>
      <c r="AJ39" s="138">
        <f t="shared" si="47"/>
        <v>548</v>
      </c>
      <c r="AL39" s="136">
        <f t="shared" si="17"/>
        <v>3.1619999999999999</v>
      </c>
      <c r="AM39" s="258">
        <f t="shared" si="18"/>
        <v>-2.5000000000000001E-2</v>
      </c>
      <c r="AN39" s="258">
        <f t="shared" si="19"/>
        <v>2.5000000000000001E-3</v>
      </c>
      <c r="AO39" s="258">
        <f t="shared" si="20"/>
        <v>-2.5000000000000001E-2</v>
      </c>
      <c r="AP39" s="258">
        <f t="shared" si="21"/>
        <v>5.7500000000000002E-2</v>
      </c>
      <c r="AQ39" s="136">
        <f t="shared" si="48"/>
        <v>3.8999999999999998E-3</v>
      </c>
      <c r="AR39" s="137">
        <f t="shared" si="22"/>
        <v>6.9699999999999996E-3</v>
      </c>
      <c r="AS39" s="136">
        <f t="shared" si="33"/>
        <v>3.1395</v>
      </c>
      <c r="AT39" s="137">
        <f t="shared" si="34"/>
        <v>2.99847168551968E-2</v>
      </c>
      <c r="AU39" s="137">
        <f t="shared" si="23"/>
        <v>0.95656265874159274</v>
      </c>
      <c r="AV39" s="394">
        <f t="shared" si="35"/>
        <v>5165.4383572046008</v>
      </c>
      <c r="AW39" s="137">
        <f t="shared" si="24"/>
        <v>0.3725</v>
      </c>
      <c r="AX39" s="137">
        <f t="shared" si="25"/>
        <v>0.48</v>
      </c>
      <c r="AY39" s="137">
        <f t="shared" si="26"/>
        <v>0.48</v>
      </c>
      <c r="AZ39" s="137"/>
      <c r="BA39" s="264"/>
      <c r="BB39" s="258">
        <f t="shared" si="27"/>
        <v>0</v>
      </c>
      <c r="BC39" s="258">
        <f t="shared" si="49"/>
        <v>0</v>
      </c>
      <c r="BD39" s="137">
        <f t="shared" si="50"/>
        <v>1.8302058320429637E-5</v>
      </c>
      <c r="BE39" s="137">
        <f t="shared" si="51"/>
        <v>1.8302058320429637E-5</v>
      </c>
      <c r="BF39" s="137">
        <f>_xll.xSPRDOPT($BW39,$BV39,$CG39,0,$BY39,$BX39,$BZ39,$AJ39,1,4)*$CB39</f>
        <v>0.99753256103506505</v>
      </c>
      <c r="BG39" s="137">
        <f>_xll.xSPRDOPT($BW39,$BV39,$CG39,0,$BY39,$BX39,$BZ39,$AJ39,1,3)*$CB39</f>
        <v>0.97946705487940733</v>
      </c>
      <c r="BH39" s="137">
        <f>IF(OR(BF39&lt;&gt;0,BG39&lt;&gt;0),_xll.xSPRDOPT($BW39,$BV39,$CG39,0,$BY39,$BX39,$BZ39,$AJ39,1,12)*$CB39,0)</f>
        <v>-0.98845965615762643</v>
      </c>
      <c r="BI39" s="137">
        <f>_xll.xSPRDOPT($BW39,$BV39,$CG39,2*LN(1+CA39/2),$BY39,$BX39,$BZ39,$AJ39,1,9)</f>
        <v>-1.2442796550558573E-3</v>
      </c>
      <c r="BJ39" s="137">
        <f>_xll.xSPRDOPT($BW39,$BV39,$CG39,0,$BY39,$BX39,$BZ39,$AJ39,1,6)*$CB39</f>
        <v>-4.8919636553154462E-2</v>
      </c>
      <c r="BK39" s="137">
        <f>_xll.xSPRDOPT($BW39,$BV39,$CG39,0,$BY39,$BX39,$BZ39,$AJ39,1,5)*$CB39</f>
        <v>6.5970894848327105E-2</v>
      </c>
      <c r="BL39" s="137">
        <f>_xll.xSPRDOPT(BW39,BV39,CG39,0,BY39,BX39,BZ39,AJ39,1,2)*CB39</f>
        <v>-0.89685932247065525</v>
      </c>
      <c r="BM39" s="137">
        <f>_xll.xSPRDOPT(BW39,BV39,CG39,0,BY39,BX39,BZ39,AJ39,1,1)*CB39</f>
        <v>0.89819090073761609</v>
      </c>
      <c r="BN39" s="137">
        <f>IF(AH39&lt;&gt;0,_xll.xSPRDOPT($BW39,$BV39,$CG39,2*LN(1+CA39/2),$BY39,$BX39,$BZ39,$AJ39,1,8)+(AJ39/365.25)*CH39/AH39,0)</f>
        <v>1.4462746781275237E-2</v>
      </c>
      <c r="BO39" s="137">
        <f>_xll.xSPRDOPT($BW39,$BV39,$CG39,0,$BY39,$BX39,$BZ39,$AJ39,1,0)</f>
        <v>3.1705751268624467E-2</v>
      </c>
      <c r="BP39" s="137"/>
      <c r="BQ39" s="137"/>
      <c r="BR39" s="137"/>
      <c r="BS39" s="137"/>
      <c r="BV39" s="262">
        <v>3.1615359052596599</v>
      </c>
      <c r="BW39" s="136">
        <v>3.1945000000000001</v>
      </c>
      <c r="BX39" s="137">
        <v>0.37584594928724246</v>
      </c>
      <c r="BY39" s="137">
        <v>0.37584594928724246</v>
      </c>
      <c r="BZ39" s="137">
        <v>0.99981283228782292</v>
      </c>
      <c r="CA39" s="137">
        <v>2.99847168551968E-2</v>
      </c>
      <c r="CB39" s="137">
        <v>0.95632885259143241</v>
      </c>
      <c r="CC39" s="258">
        <v>-2.5000000000000001E-2</v>
      </c>
      <c r="CD39" s="258">
        <v>2.5000000000000001E-3</v>
      </c>
      <c r="CE39" s="258">
        <v>-2.5000000000000001E-2</v>
      </c>
      <c r="CF39" s="258">
        <v>5.7500000000000002E-2</v>
      </c>
      <c r="CG39" s="258">
        <v>3.8999999999999998E-3</v>
      </c>
      <c r="CH39" s="258">
        <v>1.1877604349185591</v>
      </c>
      <c r="CI39" s="258">
        <v>3.1619999999999999</v>
      </c>
    </row>
    <row r="40" spans="1:87" x14ac:dyDescent="0.25">
      <c r="A40" s="723"/>
      <c r="B40" s="723"/>
      <c r="D40" s="31">
        <f t="shared" si="36"/>
        <v>37817</v>
      </c>
      <c r="F40" s="28">
        <f t="shared" si="37"/>
        <v>25654</v>
      </c>
      <c r="G40" s="28">
        <f t="shared" si="12"/>
        <v>24442.550682356585</v>
      </c>
      <c r="H40" s="52">
        <f t="shared" si="38"/>
        <v>3.2038306999788531</v>
      </c>
      <c r="I40" s="52">
        <f t="shared" si="39"/>
        <v>3.2365000000000004</v>
      </c>
      <c r="K40" s="52">
        <f t="shared" si="28"/>
        <v>0.8497328794631358</v>
      </c>
      <c r="L40" s="135">
        <f t="shared" si="29"/>
        <v>0.10006625948048831</v>
      </c>
      <c r="N40" s="131">
        <f t="shared" si="30"/>
        <v>0.37759499646180722</v>
      </c>
      <c r="O40" s="131">
        <f t="shared" si="31"/>
        <v>0.37759499646180722</v>
      </c>
      <c r="P40" s="55">
        <f t="shared" si="32"/>
        <v>0.99977752513364926</v>
      </c>
      <c r="Q40" s="135">
        <f>_xll.xSPRDOPT(I40,H40,AQ40,0,O40,N40,P40,D40-$G$5,1,0)*AH40*AU40</f>
        <v>0.94979913894362411</v>
      </c>
      <c r="R40" s="135"/>
      <c r="S40" s="181">
        <f>_xll.xSPRDOPT(I40,H40,AQ40,AT40,O40,N40,P40,D40-$G$5,1,2)*AF40*(F40/(1-AR40))*AH40</f>
        <v>-704959.36638057779</v>
      </c>
      <c r="T40" s="181">
        <f>_xll.xSPRDOPT(I40,H40,AQ40,AT40,O40,N40,P40,D40-$G$5,1,1)*AF40*F40*AH40</f>
        <v>701348.52020811418</v>
      </c>
      <c r="U40" s="135"/>
      <c r="V40" s="146">
        <f t="shared" si="40"/>
        <v>1.2227944782777125</v>
      </c>
      <c r="W40" s="146"/>
      <c r="X40" s="338">
        <f t="shared" si="41"/>
        <v>0</v>
      </c>
      <c r="Y40" s="338">
        <f t="shared" si="13"/>
        <v>0</v>
      </c>
      <c r="Z40" s="338">
        <f t="shared" si="14"/>
        <v>-10.862278775137804</v>
      </c>
      <c r="AA40" s="338">
        <f t="shared" si="15"/>
        <v>0.45429126214845711</v>
      </c>
      <c r="AB40" s="338">
        <f t="shared" si="42"/>
        <v>0</v>
      </c>
      <c r="AC40" s="338">
        <f t="shared" si="43"/>
        <v>6.1950048819581829</v>
      </c>
      <c r="AF40" s="138">
        <f t="shared" si="44"/>
        <v>1</v>
      </c>
      <c r="AG40" s="138">
        <f t="shared" si="45"/>
        <v>7</v>
      </c>
      <c r="AH40" s="138">
        <f t="shared" si="16"/>
        <v>31</v>
      </c>
      <c r="AI40" s="138">
        <f t="shared" si="46"/>
        <v>561</v>
      </c>
      <c r="AJ40" s="138">
        <f t="shared" si="47"/>
        <v>578</v>
      </c>
      <c r="AL40" s="136">
        <f t="shared" si="17"/>
        <v>3.2040000000000002</v>
      </c>
      <c r="AM40" s="258">
        <f t="shared" si="18"/>
        <v>-2.5000000000000001E-2</v>
      </c>
      <c r="AN40" s="258">
        <f t="shared" si="19"/>
        <v>2.5000000000000001E-3</v>
      </c>
      <c r="AO40" s="258">
        <f t="shared" si="20"/>
        <v>-2.5000000000000001E-2</v>
      </c>
      <c r="AP40" s="258">
        <f t="shared" si="21"/>
        <v>5.7500000000000002E-2</v>
      </c>
      <c r="AQ40" s="136">
        <f t="shared" si="48"/>
        <v>3.8999999999999998E-3</v>
      </c>
      <c r="AR40" s="137">
        <f t="shared" si="22"/>
        <v>6.9699999999999996E-3</v>
      </c>
      <c r="AS40" s="136">
        <f t="shared" si="33"/>
        <v>3.1815000000000002</v>
      </c>
      <c r="AT40" s="137">
        <f t="shared" si="34"/>
        <v>3.0965279300479799E-2</v>
      </c>
      <c r="AU40" s="137">
        <f t="shared" si="23"/>
        <v>0.9527773712620482</v>
      </c>
      <c r="AV40" s="394">
        <f t="shared" si="35"/>
        <v>5316.4977316422292</v>
      </c>
      <c r="AW40" s="137">
        <f t="shared" si="24"/>
        <v>0.3725</v>
      </c>
      <c r="AX40" s="137">
        <f t="shared" si="25"/>
        <v>0.53</v>
      </c>
      <c r="AY40" s="137">
        <f t="shared" si="26"/>
        <v>0.53</v>
      </c>
      <c r="AZ40" s="137"/>
      <c r="BA40" s="264"/>
      <c r="BB40" s="258">
        <f t="shared" si="27"/>
        <v>0</v>
      </c>
      <c r="BC40" s="258">
        <f t="shared" si="49"/>
        <v>0</v>
      </c>
      <c r="BD40" s="137">
        <f t="shared" si="50"/>
        <v>2.6199126392512095E-5</v>
      </c>
      <c r="BE40" s="137">
        <f t="shared" si="51"/>
        <v>2.6199126392512095E-5</v>
      </c>
      <c r="BF40" s="137">
        <f>_xll.xSPRDOPT($BW40,$BV40,$CG40,0,$BY40,$BX40,$BZ40,$AJ40,1,4)*$CB40</f>
        <v>1.1353097287633565</v>
      </c>
      <c r="BG40" s="137">
        <f>_xll.xSPRDOPT($BW40,$BV40,$CG40,0,$BY40,$BX40,$BZ40,$AJ40,1,3)*$CB40</f>
        <v>1.1152191997486283</v>
      </c>
      <c r="BH40" s="137">
        <f>IF(OR(BF40&lt;&gt;0,BG40&lt;&gt;0),_xll.xSPRDOPT($BW40,$BV40,$CG40,0,$BY40,$BX40,$BZ40,$AJ40,1,12)*$CB40,0)</f>
        <v>-1.1252207041354281</v>
      </c>
      <c r="BI40" s="137">
        <f>_xll.xSPRDOPT($BW40,$BV40,$CG40,2*LN(1+CA40/2),$BY40,$BX40,$BZ40,$AJ40,1,9)</f>
        <v>-1.6629267911097653E-3</v>
      </c>
      <c r="BJ40" s="137">
        <f>_xll.xSPRDOPT($BW40,$BV40,$CG40,0,$BY40,$BX40,$BZ40,$AJ40,1,6)*$CB40</f>
        <v>-5.0080878176709143E-2</v>
      </c>
      <c r="BK40" s="137">
        <f>_xll.xSPRDOPT($BW40,$BV40,$CG40,0,$BY40,$BX40,$BZ40,$AJ40,1,5)*$CB40</f>
        <v>7.1884607872544526E-2</v>
      </c>
      <c r="BL40" s="137">
        <f>_xll.xSPRDOPT(BW40,BV40,CG40,0,BY40,BX40,BZ40,AJ40,1,2)*CB40</f>
        <v>-0.88064315304118768</v>
      </c>
      <c r="BM40" s="137">
        <f>_xll.xSPRDOPT(BW40,BV40,CG40,0,BY40,BX40,BZ40,AJ40,1,1)*CB40</f>
        <v>0.88227804057886794</v>
      </c>
      <c r="BN40" s="137">
        <f>IF(AH40&lt;&gt;0,_xll.xSPRDOPT($BW40,$BV40,$CG40,2*LN(1+CA40/2),$BY40,$BX40,$BZ40,$AJ40,1,8)+(AJ40/365.25)*CH40/AH40,0)</f>
        <v>1.4088689878438997E-2</v>
      </c>
      <c r="BO40" s="137">
        <f>_xll.xSPRDOPT($BW40,$BV40,$CG40,0,$BY40,$BX40,$BZ40,$AJ40,1,0)</f>
        <v>3.2154148482252509E-2</v>
      </c>
      <c r="BP40" s="137"/>
      <c r="BQ40" s="137"/>
      <c r="BR40" s="137"/>
      <c r="BS40" s="137"/>
      <c r="BV40" s="262">
        <v>3.2038306999788531</v>
      </c>
      <c r="BW40" s="136">
        <v>3.2365000000000004</v>
      </c>
      <c r="BX40" s="137">
        <v>0.37756879733541471</v>
      </c>
      <c r="BY40" s="137">
        <v>0.37756879733541471</v>
      </c>
      <c r="BZ40" s="137">
        <v>0.99977864614272838</v>
      </c>
      <c r="CA40" s="137">
        <v>3.0965279300479799E-2</v>
      </c>
      <c r="CB40" s="137">
        <v>0.95253693379797033</v>
      </c>
      <c r="CC40" s="258">
        <v>-2.5000000000000001E-2</v>
      </c>
      <c r="CD40" s="258">
        <v>2.5000000000000001E-3</v>
      </c>
      <c r="CE40" s="258">
        <v>-2.5000000000000001E-2</v>
      </c>
      <c r="CF40" s="258">
        <v>5.7500000000000002E-2</v>
      </c>
      <c r="CG40" s="258">
        <v>3.8999999999999998E-3</v>
      </c>
      <c r="CH40" s="258">
        <v>1.2224859008363149</v>
      </c>
      <c r="CI40" s="258">
        <v>3.2040000000000002</v>
      </c>
    </row>
    <row r="41" spans="1:87" x14ac:dyDescent="0.25">
      <c r="A41" s="723"/>
      <c r="B41" s="723"/>
      <c r="D41" s="31">
        <f t="shared" si="36"/>
        <v>37848</v>
      </c>
      <c r="F41" s="28">
        <f t="shared" si="37"/>
        <v>25654</v>
      </c>
      <c r="G41" s="28">
        <f t="shared" si="12"/>
        <v>24339.027170724734</v>
      </c>
      <c r="H41" s="52">
        <f t="shared" si="38"/>
        <v>3.2461254946980453</v>
      </c>
      <c r="I41" s="52">
        <f t="shared" si="39"/>
        <v>3.2785000000000002</v>
      </c>
      <c r="K41" s="52">
        <f t="shared" si="28"/>
        <v>0.83746372903773136</v>
      </c>
      <c r="L41" s="135">
        <f t="shared" si="29"/>
        <v>0.12122749203652228</v>
      </c>
      <c r="N41" s="131">
        <f t="shared" si="30"/>
        <v>0.37920840226144648</v>
      </c>
      <c r="O41" s="131">
        <f t="shared" si="31"/>
        <v>0.37920840226144648</v>
      </c>
      <c r="P41" s="55">
        <f t="shared" si="32"/>
        <v>0.99974931128152122</v>
      </c>
      <c r="Q41" s="135">
        <f>_xll.xSPRDOPT(I41,H41,AQ41,0,O41,N41,P41,D41-$G$5,1,0)*AH41*AU41</f>
        <v>0.95869122107425364</v>
      </c>
      <c r="R41" s="135"/>
      <c r="S41" s="181">
        <f>_xll.xSPRDOPT(I41,H41,AQ41,AT41,O41,N41,P41,D41-$G$5,1,2)*AF41*(F41/(1-AR41))*AH41</f>
        <v>-693072.18010792206</v>
      </c>
      <c r="T41" s="181">
        <f>_xll.xSPRDOPT(I41,H41,AQ41,AT41,O41,N41,P41,D41-$G$5,1,1)*AF41*F41*AH41</f>
        <v>689762.13819467137</v>
      </c>
      <c r="U41" s="135"/>
      <c r="V41" s="146">
        <f t="shared" si="40"/>
        <v>1.2176154779335824</v>
      </c>
      <c r="W41" s="146"/>
      <c r="X41" s="338">
        <f t="shared" si="41"/>
        <v>0</v>
      </c>
      <c r="Y41" s="338">
        <f t="shared" si="13"/>
        <v>0</v>
      </c>
      <c r="Z41" s="338">
        <f t="shared" si="14"/>
        <v>-12.849953579499743</v>
      </c>
      <c r="AA41" s="338">
        <f t="shared" si="15"/>
        <v>0.67502353564801354</v>
      </c>
      <c r="AB41" s="338">
        <f t="shared" si="42"/>
        <v>0</v>
      </c>
      <c r="AC41" s="338">
        <f t="shared" si="43"/>
        <v>6.4550948472845722</v>
      </c>
      <c r="AF41" s="138">
        <f t="shared" si="44"/>
        <v>1</v>
      </c>
      <c r="AG41" s="138">
        <f t="shared" si="45"/>
        <v>8</v>
      </c>
      <c r="AH41" s="138">
        <f t="shared" si="16"/>
        <v>31</v>
      </c>
      <c r="AI41" s="138">
        <f t="shared" si="46"/>
        <v>592</v>
      </c>
      <c r="AJ41" s="138">
        <f t="shared" si="47"/>
        <v>609</v>
      </c>
      <c r="AL41" s="136">
        <f t="shared" si="17"/>
        <v>3.246</v>
      </c>
      <c r="AM41" s="258">
        <f t="shared" si="18"/>
        <v>-2.5000000000000001E-2</v>
      </c>
      <c r="AN41" s="258">
        <f t="shared" si="19"/>
        <v>2.5000000000000001E-3</v>
      </c>
      <c r="AO41" s="258">
        <f t="shared" si="20"/>
        <v>-2.5000000000000001E-2</v>
      </c>
      <c r="AP41" s="258">
        <f t="shared" si="21"/>
        <v>5.7500000000000002E-2</v>
      </c>
      <c r="AQ41" s="136">
        <f t="shared" si="48"/>
        <v>3.8999999999999998E-3</v>
      </c>
      <c r="AR41" s="137">
        <f t="shared" si="22"/>
        <v>6.9699999999999996E-3</v>
      </c>
      <c r="AS41" s="136">
        <f t="shared" si="33"/>
        <v>3.2235</v>
      </c>
      <c r="AT41" s="137">
        <f t="shared" si="34"/>
        <v>3.1967083332272501E-2</v>
      </c>
      <c r="AU41" s="137">
        <f t="shared" si="23"/>
        <v>0.94874199620818334</v>
      </c>
      <c r="AV41" s="394">
        <f t="shared" si="35"/>
        <v>5293.9803388416631</v>
      </c>
      <c r="AW41" s="137">
        <f t="shared" si="24"/>
        <v>0.3725</v>
      </c>
      <c r="AX41" s="137">
        <f t="shared" si="25"/>
        <v>0.57999999999999996</v>
      </c>
      <c r="AY41" s="137">
        <f t="shared" si="26"/>
        <v>0.57999999999999996</v>
      </c>
      <c r="AZ41" s="137"/>
      <c r="BA41" s="264"/>
      <c r="BB41" s="258">
        <f t="shared" si="27"/>
        <v>0</v>
      </c>
      <c r="BC41" s="258">
        <f t="shared" si="49"/>
        <v>0</v>
      </c>
      <c r="BD41" s="137">
        <f t="shared" si="50"/>
        <v>3.2674943976684911E-5</v>
      </c>
      <c r="BE41" s="137">
        <f t="shared" si="51"/>
        <v>3.2674943976684911E-5</v>
      </c>
      <c r="BF41" s="137">
        <f>_xll.xSPRDOPT($BW41,$BV41,$CG41,0,$BY41,$BX41,$BZ41,$AJ41,1,4)*$CB41</f>
        <v>1.2309280558571307</v>
      </c>
      <c r="BG41" s="137">
        <f>_xll.xSPRDOPT($BW41,$BV41,$CG41,0,$BY41,$BX41,$BZ41,$AJ41,1,3)*$CB41</f>
        <v>1.2096429613861985</v>
      </c>
      <c r="BH41" s="137">
        <f>IF(OR(BF41&lt;&gt;0,BG41&lt;&gt;0),_xll.xSPRDOPT($BW41,$BV41,$CG41,0,$BY41,$BX41,$BZ41,$AJ41,1,12)*$CB41,0)</f>
        <v>-1.220240047936584</v>
      </c>
      <c r="BI41" s="137">
        <f>_xll.xSPRDOPT($BW41,$BV41,$CG41,2*LN(1+CA41/2),$BY41,$BX41,$BZ41,$AJ41,1,9)</f>
        <v>-1.9672236842950908E-3</v>
      </c>
      <c r="BJ41" s="137">
        <f>_xll.xSPRDOPT($BW41,$BV41,$CG41,0,$BY41,$BX41,$BZ41,$AJ41,1,6)*$CB41</f>
        <v>-5.0428109132747229E-2</v>
      </c>
      <c r="BK41" s="137">
        <f>_xll.xSPRDOPT($BW41,$BV41,$CG41,0,$BY41,$BX41,$BZ41,$AJ41,1,5)*$CB41</f>
        <v>7.6405006560950756E-2</v>
      </c>
      <c r="BL41" s="137">
        <f>_xll.xSPRDOPT(BW41,BV41,CG41,0,BY41,BX41,BZ41,AJ41,1,2)*CB41</f>
        <v>-0.86585963386005227</v>
      </c>
      <c r="BM41" s="137">
        <f>_xll.xSPRDOPT(BW41,BV41,CG41,0,BY41,BX41,BZ41,AJ41,1,1)*CB41</f>
        <v>0.86776826713864597</v>
      </c>
      <c r="BN41" s="137">
        <f>IF(AH41&lt;&gt;0,_xll.xSPRDOPT($BW41,$BV41,$CG41,2*LN(1+CA41/2),$BY41,$BX41,$BZ41,$AJ41,1,8)+(AJ41/365.25)*CH41/AH41,0)</f>
        <v>1.3607966629606408E-2</v>
      </c>
      <c r="BO41" s="137">
        <f>_xll.xSPRDOPT($BW41,$BV41,$CG41,0,$BY41,$BX41,$BZ41,$AJ41,1,0)</f>
        <v>3.259243464664667E-2</v>
      </c>
      <c r="BP41" s="137"/>
      <c r="BQ41" s="137"/>
      <c r="BR41" s="137"/>
      <c r="BS41" s="137"/>
      <c r="BV41" s="262">
        <v>3.2461254946980453</v>
      </c>
      <c r="BW41" s="136">
        <v>3.2785000000000002</v>
      </c>
      <c r="BX41" s="137">
        <v>0.37917572731746979</v>
      </c>
      <c r="BY41" s="137">
        <v>0.37917572731746979</v>
      </c>
      <c r="BZ41" s="137">
        <v>0.99975050017206779</v>
      </c>
      <c r="CA41" s="137">
        <v>3.1967083332272501E-2</v>
      </c>
      <c r="CB41" s="137">
        <v>0.94849489337827508</v>
      </c>
      <c r="CC41" s="258">
        <v>-2.5000000000000001E-2</v>
      </c>
      <c r="CD41" s="258">
        <v>2.5000000000000001E-3</v>
      </c>
      <c r="CE41" s="258">
        <v>-2.5000000000000001E-2</v>
      </c>
      <c r="CF41" s="258">
        <v>5.7500000000000002E-2</v>
      </c>
      <c r="CG41" s="258">
        <v>3.8999999999999998E-3</v>
      </c>
      <c r="CH41" s="258">
        <v>1.2172983461616782</v>
      </c>
      <c r="CI41" s="258">
        <v>3.246</v>
      </c>
    </row>
    <row r="42" spans="1:87" x14ac:dyDescent="0.25">
      <c r="A42" s="723"/>
      <c r="B42" s="723"/>
      <c r="D42" s="31">
        <f t="shared" si="36"/>
        <v>37879</v>
      </c>
      <c r="F42" s="28">
        <f t="shared" si="37"/>
        <v>25654</v>
      </c>
      <c r="G42" s="28">
        <f t="shared" si="12"/>
        <v>24231.905434532164</v>
      </c>
      <c r="H42" s="52">
        <f t="shared" si="38"/>
        <v>3.241090400088618</v>
      </c>
      <c r="I42" s="52">
        <f t="shared" si="39"/>
        <v>3.2735000000000003</v>
      </c>
      <c r="K42" s="52">
        <f t="shared" si="28"/>
        <v>0.80787627157047015</v>
      </c>
      <c r="L42" s="135">
        <f t="shared" si="29"/>
        <v>0.11198759450948925</v>
      </c>
      <c r="N42" s="131">
        <f t="shared" si="30"/>
        <v>0.3762850500238793</v>
      </c>
      <c r="O42" s="131">
        <f t="shared" si="31"/>
        <v>0.3762850500238793</v>
      </c>
      <c r="P42" s="55">
        <f t="shared" si="32"/>
        <v>0.99976539247930196</v>
      </c>
      <c r="Q42" s="135">
        <f>_xll.xSPRDOPT(I42,H42,AQ42,0,O42,N42,P42,D42-$G$5,1,0)*AH42*AU42</f>
        <v>0.9198638660799594</v>
      </c>
      <c r="R42" s="135"/>
      <c r="S42" s="181">
        <f>_xll.xSPRDOPT(I42,H42,AQ42,AT42,O42,N42,P42,D42-$G$5,1,2)*AF42*(F42/(1-AR42))*AH42</f>
        <v>-671456.84769782971</v>
      </c>
      <c r="T42" s="181">
        <f>_xll.xSPRDOPT(I42,H42,AQ42,AT42,O42,N42,P42,D42-$G$5,1,1)*AF42*F42*AH42</f>
        <v>668174.84018583572</v>
      </c>
      <c r="U42" s="135"/>
      <c r="V42" s="146">
        <f t="shared" si="40"/>
        <v>1.1731514208189344</v>
      </c>
      <c r="W42" s="146"/>
      <c r="X42" s="338">
        <f t="shared" si="41"/>
        <v>0</v>
      </c>
      <c r="Y42" s="338">
        <f t="shared" si="13"/>
        <v>0</v>
      </c>
      <c r="Z42" s="338">
        <f t="shared" si="14"/>
        <v>-10.805258163263463</v>
      </c>
      <c r="AA42" s="338">
        <f t="shared" si="15"/>
        <v>0.56821459812239417</v>
      </c>
      <c r="AB42" s="338">
        <f t="shared" si="42"/>
        <v>0</v>
      </c>
      <c r="AC42" s="338">
        <f t="shared" si="43"/>
        <v>6.3877523928422111</v>
      </c>
      <c r="AF42" s="138">
        <f t="shared" si="44"/>
        <v>1</v>
      </c>
      <c r="AG42" s="138">
        <f t="shared" si="45"/>
        <v>9</v>
      </c>
      <c r="AH42" s="138">
        <f t="shared" si="16"/>
        <v>30</v>
      </c>
      <c r="AI42" s="138">
        <f t="shared" si="46"/>
        <v>623</v>
      </c>
      <c r="AJ42" s="138">
        <f t="shared" si="47"/>
        <v>640</v>
      </c>
      <c r="AL42" s="136">
        <f t="shared" si="17"/>
        <v>3.2410000000000001</v>
      </c>
      <c r="AM42" s="258">
        <f t="shared" si="18"/>
        <v>-2.5000000000000001E-2</v>
      </c>
      <c r="AN42" s="258">
        <f t="shared" si="19"/>
        <v>2.5000000000000001E-3</v>
      </c>
      <c r="AO42" s="258">
        <f t="shared" si="20"/>
        <v>-2.5000000000000001E-2</v>
      </c>
      <c r="AP42" s="258">
        <f t="shared" si="21"/>
        <v>5.7500000000000002E-2</v>
      </c>
      <c r="AQ42" s="136">
        <f t="shared" si="48"/>
        <v>3.8999999999999998E-3</v>
      </c>
      <c r="AR42" s="137">
        <f t="shared" si="22"/>
        <v>6.9699999999999996E-3</v>
      </c>
      <c r="AS42" s="136">
        <f t="shared" si="33"/>
        <v>3.2185000000000001</v>
      </c>
      <c r="AT42" s="137">
        <f t="shared" si="34"/>
        <v>3.2968887702129003E-2</v>
      </c>
      <c r="AU42" s="137">
        <f t="shared" si="23"/>
        <v>0.94456636136790217</v>
      </c>
      <c r="AV42" s="394">
        <f t="shared" si="35"/>
        <v>5100.6583513866717</v>
      </c>
      <c r="AW42" s="137">
        <f t="shared" si="24"/>
        <v>0.37</v>
      </c>
      <c r="AX42" s="137">
        <f t="shared" si="25"/>
        <v>0.57999999999999996</v>
      </c>
      <c r="AY42" s="137">
        <f t="shared" si="26"/>
        <v>0.57999999999999996</v>
      </c>
      <c r="AZ42" s="137"/>
      <c r="BA42" s="264"/>
      <c r="BB42" s="258">
        <f t="shared" si="27"/>
        <v>0</v>
      </c>
      <c r="BC42" s="258">
        <f t="shared" si="49"/>
        <v>0</v>
      </c>
      <c r="BD42" s="137">
        <f t="shared" si="50"/>
        <v>2.9170681815626764E-5</v>
      </c>
      <c r="BE42" s="137">
        <f t="shared" si="51"/>
        <v>2.9170681815626764E-5</v>
      </c>
      <c r="BF42" s="137">
        <f>_xll.xSPRDOPT($BW42,$BV42,$CG42,0,$BY42,$BX42,$BZ42,$AJ42,1,4)*$CB42</f>
        <v>1.1319877874312421</v>
      </c>
      <c r="BG42" s="137">
        <f>_xll.xSPRDOPT($BW42,$BV42,$CG42,0,$BY42,$BX42,$BZ42,$AJ42,1,3)*$CB42</f>
        <v>1.1123603159389059</v>
      </c>
      <c r="BH42" s="137">
        <f>IF(OR(BF42&lt;&gt;0,BG42&lt;&gt;0),_xll.xSPRDOPT($BW42,$BV42,$CG42,0,$BY42,$BX42,$BZ42,$AJ42,1,12)*$CB42,0)</f>
        <v>-1.122132361718895</v>
      </c>
      <c r="BI42" s="137">
        <f>_xll.xSPRDOPT($BW42,$BV42,$CG42,2*LN(1+CA42/2),$BY42,$BX42,$BZ42,$AJ42,1,9)</f>
        <v>-1.7093373111111026E-3</v>
      </c>
      <c r="BJ42" s="137">
        <f>_xll.xSPRDOPT($BW42,$BV42,$CG42,0,$BY42,$BX42,$BZ42,$AJ42,1,6)*$CB42</f>
        <v>-5.3548455540969833E-2</v>
      </c>
      <c r="BK42" s="137">
        <f>_xll.xSPRDOPT($BW42,$BV42,$CG42,0,$BY42,$BX42,$BZ42,$AJ42,1,5)*$CB42</f>
        <v>7.8858299160522005E-2</v>
      </c>
      <c r="BL42" s="137">
        <f>_xll.xSPRDOPT(BW42,BV42,CG42,0,BY42,BX42,BZ42,AJ42,1,2)*CB42</f>
        <v>-0.86682172495904841</v>
      </c>
      <c r="BM42" s="137">
        <f>_xll.xSPRDOPT(BW42,BV42,CG42,0,BY42,BX42,BZ42,AJ42,1,1)*CB42</f>
        <v>0.86863515705796024</v>
      </c>
      <c r="BN42" s="137">
        <f>IF(AH42&lt;&gt;0,_xll.xSPRDOPT($BW42,$BV42,$CG42,2*LN(1+CA42/2),$BY42,$BX42,$BZ42,$AJ42,1,8)+(AJ42/365.25)*CH42/AH42,0)</f>
        <v>1.4485526620919363E-2</v>
      </c>
      <c r="BO42" s="137">
        <f>_xll.xSPRDOPT($BW42,$BV42,$CG42,0,$BY42,$BX42,$BZ42,$AJ42,1,0)</f>
        <v>3.2457911539776334E-2</v>
      </c>
      <c r="BP42" s="137"/>
      <c r="BQ42" s="137"/>
      <c r="BR42" s="137"/>
      <c r="BS42" s="137"/>
      <c r="BV42" s="262">
        <v>3.241090400088618</v>
      </c>
      <c r="BW42" s="136">
        <v>3.2735000000000003</v>
      </c>
      <c r="BX42" s="137">
        <v>0.37625587934206367</v>
      </c>
      <c r="BY42" s="137">
        <v>0.37625587934206367</v>
      </c>
      <c r="BZ42" s="137">
        <v>0.99976645427757205</v>
      </c>
      <c r="CA42" s="137">
        <v>3.2968887702129003E-2</v>
      </c>
      <c r="CB42" s="137">
        <v>0.94431270003290391</v>
      </c>
      <c r="CC42" s="258">
        <v>-2.5000000000000001E-2</v>
      </c>
      <c r="CD42" s="258">
        <v>2.5000000000000001E-3</v>
      </c>
      <c r="CE42" s="258">
        <v>-2.5000000000000001E-2</v>
      </c>
      <c r="CF42" s="258">
        <v>5.7500000000000002E-2</v>
      </c>
      <c r="CG42" s="258">
        <v>3.8999999999999998E-3</v>
      </c>
      <c r="CH42" s="258">
        <v>1.1728363734408667</v>
      </c>
      <c r="CI42" s="258">
        <v>3.2410000000000001</v>
      </c>
    </row>
    <row r="43" spans="1:87" x14ac:dyDescent="0.25">
      <c r="A43" s="723"/>
      <c r="B43" s="723"/>
      <c r="D43" s="31">
        <f t="shared" si="36"/>
        <v>37909</v>
      </c>
      <c r="F43" s="28">
        <f t="shared" si="37"/>
        <v>25654</v>
      </c>
      <c r="G43" s="28">
        <f t="shared" si="12"/>
        <v>24126.236675223659</v>
      </c>
      <c r="H43" s="52">
        <f t="shared" si="38"/>
        <v>3.2672728920576417</v>
      </c>
      <c r="I43" s="52">
        <f t="shared" si="39"/>
        <v>3.2995000000000001</v>
      </c>
      <c r="K43" s="52">
        <f t="shared" si="28"/>
        <v>0.82584477378967569</v>
      </c>
      <c r="L43" s="135">
        <f t="shared" si="29"/>
        <v>0.14059712463339791</v>
      </c>
      <c r="N43" s="131">
        <f t="shared" si="30"/>
        <v>0.3804492507364664</v>
      </c>
      <c r="O43" s="131">
        <f t="shared" si="31"/>
        <v>0.3804492507364664</v>
      </c>
      <c r="P43" s="55">
        <f t="shared" si="32"/>
        <v>0.99973296560134584</v>
      </c>
      <c r="Q43" s="135">
        <f>_xll.xSPRDOPT(I43,H43,AQ43,0,O43,N43,P43,D43-$G$5,1,0)*AH43*AU43</f>
        <v>0.9664418984230736</v>
      </c>
      <c r="R43" s="135"/>
      <c r="S43" s="181">
        <f>_xll.xSPRDOPT(I43,H43,AQ43,AT43,O43,N43,P43,D43-$G$5,1,2)*AF43*(F43/(1-AR43))*AH43</f>
        <v>-680789.96946058597</v>
      </c>
      <c r="T43" s="181">
        <f>_xll.xSPRDOPT(I43,H43,AQ43,AT43,O43,N43,P43,D43-$G$5,1,1)*AF43*F43*AH43</f>
        <v>677750.73784984113</v>
      </c>
      <c r="U43" s="135"/>
      <c r="V43" s="146">
        <f t="shared" si="40"/>
        <v>1.2069701469159602</v>
      </c>
      <c r="W43" s="146"/>
      <c r="X43" s="338">
        <f t="shared" si="41"/>
        <v>0</v>
      </c>
      <c r="Y43" s="338">
        <f t="shared" si="13"/>
        <v>0</v>
      </c>
      <c r="Z43" s="338">
        <f t="shared" si="14"/>
        <v>-13.116739216292206</v>
      </c>
      <c r="AA43" s="338">
        <f t="shared" si="15"/>
        <v>0.8282202495691221</v>
      </c>
      <c r="AB43" s="338">
        <f t="shared" si="42"/>
        <v>0</v>
      </c>
      <c r="AC43" s="338">
        <f t="shared" si="43"/>
        <v>6.9018826520777319</v>
      </c>
      <c r="AF43" s="138">
        <f t="shared" si="44"/>
        <v>1</v>
      </c>
      <c r="AG43" s="138">
        <f t="shared" si="45"/>
        <v>10</v>
      </c>
      <c r="AH43" s="138">
        <f t="shared" si="16"/>
        <v>31</v>
      </c>
      <c r="AI43" s="138">
        <f t="shared" si="46"/>
        <v>653</v>
      </c>
      <c r="AJ43" s="138">
        <f t="shared" si="47"/>
        <v>670</v>
      </c>
      <c r="AL43" s="136">
        <f t="shared" si="17"/>
        <v>3.2669999999999999</v>
      </c>
      <c r="AM43" s="258">
        <f t="shared" si="18"/>
        <v>-2.5000000000000001E-2</v>
      </c>
      <c r="AN43" s="258">
        <f t="shared" si="19"/>
        <v>2.5000000000000001E-3</v>
      </c>
      <c r="AO43" s="258">
        <f t="shared" si="20"/>
        <v>-2.5000000000000001E-2</v>
      </c>
      <c r="AP43" s="258">
        <f t="shared" si="21"/>
        <v>5.7500000000000002E-2</v>
      </c>
      <c r="AQ43" s="136">
        <f t="shared" si="48"/>
        <v>3.8999999999999998E-3</v>
      </c>
      <c r="AR43" s="137">
        <f t="shared" si="22"/>
        <v>6.9699999999999996E-3</v>
      </c>
      <c r="AS43" s="136">
        <f t="shared" si="33"/>
        <v>3.2444999999999999</v>
      </c>
      <c r="AT43" s="137">
        <f t="shared" si="34"/>
        <v>3.3906701822071103E-2</v>
      </c>
      <c r="AU43" s="137">
        <f t="shared" si="23"/>
        <v>0.94044736396755513</v>
      </c>
      <c r="AV43" s="394">
        <f t="shared" si="35"/>
        <v>5247.6962909389576</v>
      </c>
      <c r="AW43" s="137">
        <f t="shared" si="24"/>
        <v>0.3725</v>
      </c>
      <c r="AX43" s="137">
        <f t="shared" si="25"/>
        <v>0.63</v>
      </c>
      <c r="AY43" s="137">
        <f t="shared" si="26"/>
        <v>0.63</v>
      </c>
      <c r="AZ43" s="137"/>
      <c r="BA43" s="264"/>
      <c r="BB43" s="258">
        <f t="shared" si="27"/>
        <v>0</v>
      </c>
      <c r="BC43" s="258">
        <f t="shared" si="49"/>
        <v>0</v>
      </c>
      <c r="BD43" s="137">
        <f t="shared" si="50"/>
        <v>3.5144750946347614E-5</v>
      </c>
      <c r="BE43" s="137">
        <f t="shared" si="51"/>
        <v>3.5144750946347614E-5</v>
      </c>
      <c r="BF43" s="137">
        <f>_xll.xSPRDOPT($BW43,$BV43,$CG43,0,$BY43,$BX43,$BZ43,$AJ43,1,4)*$CB43</f>
        <v>1.2391263542553907</v>
      </c>
      <c r="BG43" s="137">
        <f>_xll.xSPRDOPT($BW43,$BV43,$CG43,0,$BY43,$BX43,$BZ43,$AJ43,1,3)*$CB43</f>
        <v>1.2179446588613101</v>
      </c>
      <c r="BH43" s="137">
        <f>IF(OR(BF43&lt;&gt;0,BG43&lt;&gt;0),_xll.xSPRDOPT($BW43,$BV43,$CG43,0,$BY43,$BX43,$BZ43,$AJ43,1,12)*$CB43,0)</f>
        <v>-1.2284902312049375</v>
      </c>
      <c r="BI43" s="137">
        <f>_xll.xSPRDOPT($BW43,$BV43,$CG43,2*LN(1+CA43/2),$BY43,$BX43,$BZ43,$AJ43,1,9)</f>
        <v>-2.0080664017477949E-3</v>
      </c>
      <c r="BJ43" s="137">
        <f>_xll.xSPRDOPT($BW43,$BV43,$CG43,0,$BY43,$BX43,$BZ43,$AJ43,1,6)*$CB43</f>
        <v>-5.2526220633861691E-2</v>
      </c>
      <c r="BK43" s="137">
        <f>_xll.xSPRDOPT($BW43,$BV43,$CG43,0,$BY43,$BX43,$BZ43,$AJ43,1,5)*$CB43</f>
        <v>8.2158740914754724E-2</v>
      </c>
      <c r="BL43" s="137">
        <f>_xll.xSPRDOPT(BW43,BV43,CG43,0,BY43,BX43,BZ43,AJ43,1,2)*CB43</f>
        <v>-0.85059191117483057</v>
      </c>
      <c r="BM43" s="137">
        <f>_xll.xSPRDOPT(BW43,BV43,CG43,0,BY43,BX43,BZ43,AJ43,1,1)*CB43</f>
        <v>0.85273350341948895</v>
      </c>
      <c r="BN43" s="137">
        <f>IF(AH43&lt;&gt;0,_xll.xSPRDOPT($BW43,$BV43,$CG43,2*LN(1+CA43/2),$BY43,$BX43,$BZ43,$AJ43,1,8)+(AJ43/365.25)*CH43/AH43,0)</f>
        <v>1.331962301286839E-2</v>
      </c>
      <c r="BO43" s="137">
        <f>_xll.xSPRDOPT($BW43,$BV43,$CG43,0,$BY43,$BX43,$BZ43,$AJ43,1,0)</f>
        <v>3.3145124214972954E-2</v>
      </c>
      <c r="BP43" s="137"/>
      <c r="BQ43" s="137"/>
      <c r="BR43" s="137"/>
      <c r="BS43" s="137"/>
      <c r="BV43" s="262">
        <v>3.2672728920576417</v>
      </c>
      <c r="BW43" s="136">
        <v>3.2995000000000001</v>
      </c>
      <c r="BX43" s="137">
        <v>0.38041410598552006</v>
      </c>
      <c r="BY43" s="137">
        <v>0.38041410598552006</v>
      </c>
      <c r="BZ43" s="137">
        <v>0.99973410948479591</v>
      </c>
      <c r="CA43" s="137">
        <v>3.3906701822071103E-2</v>
      </c>
      <c r="CB43" s="137">
        <v>0.94018768577798628</v>
      </c>
      <c r="CC43" s="258">
        <v>-2.5000000000000001E-2</v>
      </c>
      <c r="CD43" s="258">
        <v>2.5000000000000001E-3</v>
      </c>
      <c r="CE43" s="258">
        <v>-2.5000000000000001E-2</v>
      </c>
      <c r="CF43" s="258">
        <v>5.7500000000000002E-2</v>
      </c>
      <c r="CG43" s="258">
        <v>3.8999999999999998E-3</v>
      </c>
      <c r="CH43" s="258">
        <v>1.2066368759274675</v>
      </c>
      <c r="CI43" s="258">
        <v>3.2669999999999999</v>
      </c>
    </row>
    <row r="44" spans="1:87" x14ac:dyDescent="0.25">
      <c r="A44" s="723"/>
      <c r="B44" s="723"/>
      <c r="D44" s="31">
        <f t="shared" si="36"/>
        <v>37940</v>
      </c>
      <c r="F44" s="28">
        <f t="shared" si="37"/>
        <v>25654</v>
      </c>
      <c r="G44" s="28">
        <f t="shared" si="12"/>
        <v>24015.514538868592</v>
      </c>
      <c r="H44" s="52">
        <f t="shared" si="38"/>
        <v>3.40322044651219</v>
      </c>
      <c r="I44" s="52">
        <f t="shared" si="39"/>
        <v>3.4345000000000003</v>
      </c>
      <c r="K44" s="52">
        <f t="shared" si="28"/>
        <v>0.76892577943506513</v>
      </c>
      <c r="L44" s="135">
        <f t="shared" si="29"/>
        <v>0.24218380665234862</v>
      </c>
      <c r="N44" s="131">
        <f t="shared" si="30"/>
        <v>0.38567537328980672</v>
      </c>
      <c r="O44" s="131">
        <f t="shared" si="31"/>
        <v>0.38567537328980672</v>
      </c>
      <c r="P44" s="55">
        <f t="shared" si="32"/>
        <v>0.99958257760901603</v>
      </c>
      <c r="Q44" s="135">
        <f>_xll.xSPRDOPT(I44,H44,AQ44,0,O44,N44,P44,D44-$G$5,1,0)*AH44*AU44</f>
        <v>1.0111095860874137</v>
      </c>
      <c r="R44" s="135"/>
      <c r="S44" s="181">
        <f>_xll.xSPRDOPT(I44,H44,AQ44,AT44,O44,N44,P44,D44-$G$5,1,2)*AF44*(F44/(1-AR44))*AH44</f>
        <v>-612194.12487771257</v>
      </c>
      <c r="T44" s="181">
        <f>_xll.xSPRDOPT(I44,H44,AQ44,AT44,O44,N44,P44,D44-$G$5,1,1)*AF44*F44*AH44</f>
        <v>610628.39374194667</v>
      </c>
      <c r="U44" s="135"/>
      <c r="V44" s="146">
        <f t="shared" si="40"/>
        <v>1.1626751795928429</v>
      </c>
      <c r="W44" s="146"/>
      <c r="X44" s="338">
        <f t="shared" si="41"/>
        <v>0</v>
      </c>
      <c r="Y44" s="338">
        <f t="shared" si="13"/>
        <v>0</v>
      </c>
      <c r="Z44" s="338">
        <f t="shared" si="14"/>
        <v>-20.668825509467901</v>
      </c>
      <c r="AA44" s="338">
        <f t="shared" si="15"/>
        <v>2.2533968290529285</v>
      </c>
      <c r="AB44" s="338">
        <f t="shared" si="42"/>
        <v>0</v>
      </c>
      <c r="AC44" s="338">
        <f t="shared" si="43"/>
        <v>7.4180010432438523</v>
      </c>
      <c r="AF44" s="138">
        <f t="shared" si="44"/>
        <v>1</v>
      </c>
      <c r="AG44" s="138">
        <f t="shared" si="45"/>
        <v>11</v>
      </c>
      <c r="AH44" s="138">
        <f t="shared" si="16"/>
        <v>30</v>
      </c>
      <c r="AI44" s="138">
        <f t="shared" si="46"/>
        <v>684</v>
      </c>
      <c r="AJ44" s="138">
        <f t="shared" si="47"/>
        <v>701</v>
      </c>
      <c r="AL44" s="136">
        <f t="shared" si="17"/>
        <v>3.4020000000000001</v>
      </c>
      <c r="AM44" s="258">
        <f t="shared" si="18"/>
        <v>-2.5000000000000001E-2</v>
      </c>
      <c r="AN44" s="258">
        <f t="shared" si="19"/>
        <v>2.5000000000000001E-3</v>
      </c>
      <c r="AO44" s="258">
        <f t="shared" si="20"/>
        <v>-2.5000000000000001E-2</v>
      </c>
      <c r="AP44" s="258">
        <f t="shared" si="21"/>
        <v>5.7500000000000002E-2</v>
      </c>
      <c r="AQ44" s="136">
        <f t="shared" si="48"/>
        <v>3.8999999999999998E-3</v>
      </c>
      <c r="AR44" s="137">
        <f t="shared" si="22"/>
        <v>6.9699999999999996E-3</v>
      </c>
      <c r="AS44" s="136">
        <f t="shared" si="33"/>
        <v>3.3795000000000002</v>
      </c>
      <c r="AT44" s="137">
        <f t="shared" si="34"/>
        <v>3.4836153967131397E-2</v>
      </c>
      <c r="AU44" s="137">
        <f t="shared" si="23"/>
        <v>0.9361313845353002</v>
      </c>
      <c r="AV44" s="394">
        <f t="shared" si="35"/>
        <v>5055.1094764906211</v>
      </c>
      <c r="AW44" s="137">
        <f t="shared" si="24"/>
        <v>0.37</v>
      </c>
      <c r="AX44" s="137">
        <f t="shared" si="25"/>
        <v>0.83</v>
      </c>
      <c r="AY44" s="137">
        <f t="shared" si="26"/>
        <v>0.83</v>
      </c>
      <c r="AZ44" s="137"/>
      <c r="BA44" s="264"/>
      <c r="BB44" s="258">
        <f t="shared" si="27"/>
        <v>0</v>
      </c>
      <c r="BC44" s="258">
        <f t="shared" si="49"/>
        <v>0</v>
      </c>
      <c r="BD44" s="137">
        <f t="shared" si="50"/>
        <v>6.5633014911969934E-5</v>
      </c>
      <c r="BE44" s="137">
        <f t="shared" si="51"/>
        <v>6.5633014911969934E-5</v>
      </c>
      <c r="BF44" s="137">
        <f>_xll.xSPRDOPT($BW44,$BV44,$CG44,0,$BY44,$BX44,$BZ44,$AJ44,1,4)*$CB44</f>
        <v>1.8104266089101997</v>
      </c>
      <c r="BG44" s="137">
        <f>_xll.xSPRDOPT($BW44,$BV44,$CG44,0,$BY44,$BX44,$BZ44,$AJ44,1,3)*$CB44</f>
        <v>1.7816797861582847</v>
      </c>
      <c r="BH44" s="137">
        <f>IF(OR(BF44&lt;&gt;0,BG44&lt;&gt;0),_xll.xSPRDOPT($BW44,$BV44,$CG44,0,$BY44,$BX44,$BZ44,$AJ44,1,12)*$CB44,0)</f>
        <v>-1.7959960618965176</v>
      </c>
      <c r="BI44" s="137">
        <f>_xll.xSPRDOPT($BW44,$BV44,$CG44,2*LN(1+CA44/2),$BY44,$BX44,$BZ44,$AJ44,1,9)</f>
        <v>-3.2697038873440356E-3</v>
      </c>
      <c r="BJ44" s="137">
        <f>_xll.xSPRDOPT($BW44,$BV44,$CG44,0,$BY44,$BX44,$BZ44,$AJ44,1,6)*$CB44</f>
        <v>-3.94861352611783E-2</v>
      </c>
      <c r="BK44" s="137">
        <f>_xll.xSPRDOPT($BW44,$BV44,$CG44,0,$BY44,$BX44,$BZ44,$AJ44,1,5)*$CB44</f>
        <v>8.4096829237652423E-2</v>
      </c>
      <c r="BL44" s="137">
        <f>_xll.xSPRDOPT(BW44,BV44,CG44,0,BY44,BX44,BZ44,AJ44,1,2)*CB44</f>
        <v>-0.79060660841950992</v>
      </c>
      <c r="BM44" s="137">
        <f>_xll.xSPRDOPT(BW44,BV44,CG44,0,BY44,BX44,BZ44,AJ44,1,1)*CB44</f>
        <v>0.79411136344548749</v>
      </c>
      <c r="BN44" s="137">
        <f>IF(AH44&lt;&gt;0,_xll.xSPRDOPT($BW44,$BV44,$CG44,2*LN(1+CA44/2),$BY44,$BX44,$BZ44,$AJ44,1,8)+(AJ44/365.25)*CH44/AH44,0)</f>
        <v>7.0149748870977913E-3</v>
      </c>
      <c r="BO44" s="137">
        <f>_xll.xSPRDOPT($BW44,$BV44,$CG44,0,$BY44,$BX44,$BZ44,$AJ44,1,0)</f>
        <v>3.5994463285857946E-2</v>
      </c>
      <c r="BP44" s="137"/>
      <c r="BQ44" s="137"/>
      <c r="BR44" s="137"/>
      <c r="BS44" s="137"/>
      <c r="BV44" s="262">
        <v>3.40322044651219</v>
      </c>
      <c r="BW44" s="136">
        <v>3.4345000000000003</v>
      </c>
      <c r="BX44" s="137">
        <v>0.38560974027489475</v>
      </c>
      <c r="BY44" s="137">
        <v>0.38560974027489475</v>
      </c>
      <c r="BZ44" s="137">
        <v>0.999584219965167</v>
      </c>
      <c r="CA44" s="137">
        <v>3.4836153967131397E-2</v>
      </c>
      <c r="CB44" s="137">
        <v>0.93586587426758006</v>
      </c>
      <c r="CC44" s="258">
        <v>-2.5000000000000001E-2</v>
      </c>
      <c r="CD44" s="258">
        <v>2.5000000000000001E-3</v>
      </c>
      <c r="CE44" s="258">
        <v>-2.5000000000000001E-2</v>
      </c>
      <c r="CF44" s="258">
        <v>5.7500000000000002E-2</v>
      </c>
      <c r="CG44" s="258">
        <v>3.8999999999999998E-3</v>
      </c>
      <c r="CH44" s="258">
        <v>1.1623454158403344</v>
      </c>
      <c r="CI44" s="258">
        <v>3.4020000000000001</v>
      </c>
    </row>
    <row r="45" spans="1:87" x14ac:dyDescent="0.25">
      <c r="A45" s="723"/>
      <c r="B45" s="723"/>
      <c r="D45" s="31">
        <f t="shared" si="36"/>
        <v>37970</v>
      </c>
      <c r="F45" s="28">
        <f t="shared" si="37"/>
        <v>25654</v>
      </c>
      <c r="G45" s="28">
        <f t="shared" si="12"/>
        <v>23905.336205545642</v>
      </c>
      <c r="H45" s="52">
        <f t="shared" si="38"/>
        <v>3.5391680009667383</v>
      </c>
      <c r="I45" s="52">
        <f t="shared" si="39"/>
        <v>3.5695000000000001</v>
      </c>
      <c r="K45" s="52">
        <f t="shared" si="28"/>
        <v>0.76353942962961674</v>
      </c>
      <c r="L45" s="135">
        <f t="shared" si="29"/>
        <v>0.41536091737313563</v>
      </c>
      <c r="N45" s="131">
        <f t="shared" si="30"/>
        <v>0.39564204160538236</v>
      </c>
      <c r="O45" s="131">
        <f t="shared" si="31"/>
        <v>0.39564204160538236</v>
      </c>
      <c r="P45" s="55">
        <f t="shared" si="32"/>
        <v>0.99939518121245585</v>
      </c>
      <c r="Q45" s="135">
        <f>_xll.xSPRDOPT(I45,H45,AQ45,0,O45,N45,P45,D45-$G$5,1,0)*AH45*AU45</f>
        <v>1.1789003470027524</v>
      </c>
      <c r="R45" s="135"/>
      <c r="S45" s="181">
        <f>_xll.xSPRDOPT(I45,H45,AQ45,AT45,O45,N45,P45,D45-$G$5,1,2)*AF45*(F45/(1-AR45))*AH45</f>
        <v>-570873.44090726983</v>
      </c>
      <c r="T45" s="181">
        <f>_xll.xSPRDOPT(I45,H45,AQ45,AT45,O45,N45,P45,D45-$G$5,1,1)*AF45*F45*AH45</f>
        <v>571163.28908675094</v>
      </c>
      <c r="U45" s="135"/>
      <c r="V45" s="146">
        <f t="shared" si="40"/>
        <v>1.1959190958991688</v>
      </c>
      <c r="W45" s="146"/>
      <c r="X45" s="338">
        <f t="shared" si="41"/>
        <v>0</v>
      </c>
      <c r="Y45" s="338">
        <f t="shared" si="13"/>
        <v>0</v>
      </c>
      <c r="Z45" s="338">
        <f t="shared" si="14"/>
        <v>-29.731549789793942</v>
      </c>
      <c r="AA45" s="338">
        <f t="shared" si="15"/>
        <v>4.8770664332117528</v>
      </c>
      <c r="AB45" s="338">
        <f t="shared" si="42"/>
        <v>0</v>
      </c>
      <c r="AC45" s="338">
        <f t="shared" si="43"/>
        <v>8.8711807353151428</v>
      </c>
      <c r="AF45" s="138">
        <f t="shared" si="44"/>
        <v>1</v>
      </c>
      <c r="AG45" s="138">
        <f t="shared" si="45"/>
        <v>12</v>
      </c>
      <c r="AH45" s="138">
        <f t="shared" si="16"/>
        <v>31</v>
      </c>
      <c r="AI45" s="138">
        <f t="shared" si="46"/>
        <v>714</v>
      </c>
      <c r="AJ45" s="138">
        <f t="shared" si="47"/>
        <v>731</v>
      </c>
      <c r="AL45" s="136">
        <f t="shared" si="17"/>
        <v>3.5369999999999999</v>
      </c>
      <c r="AM45" s="258">
        <f t="shared" si="18"/>
        <v>-2.5000000000000001E-2</v>
      </c>
      <c r="AN45" s="258">
        <f t="shared" si="19"/>
        <v>2.5000000000000001E-3</v>
      </c>
      <c r="AO45" s="258">
        <f t="shared" si="20"/>
        <v>-2.5000000000000001E-2</v>
      </c>
      <c r="AP45" s="258">
        <f t="shared" si="21"/>
        <v>5.7500000000000002E-2</v>
      </c>
      <c r="AQ45" s="136">
        <f t="shared" si="48"/>
        <v>3.8999999999999998E-3</v>
      </c>
      <c r="AR45" s="137">
        <f t="shared" si="22"/>
        <v>6.9699999999999996E-3</v>
      </c>
      <c r="AS45" s="136">
        <f t="shared" si="33"/>
        <v>3.5145</v>
      </c>
      <c r="AT45" s="137">
        <f t="shared" si="34"/>
        <v>3.5735624061610197E-2</v>
      </c>
      <c r="AU45" s="137">
        <f t="shared" si="23"/>
        <v>0.93183660269531621</v>
      </c>
      <c r="AV45" s="394">
        <f t="shared" si="35"/>
        <v>5199.6482430398646</v>
      </c>
      <c r="AW45" s="137">
        <f t="shared" si="24"/>
        <v>0.37</v>
      </c>
      <c r="AX45" s="137">
        <f t="shared" si="25"/>
        <v>1.03</v>
      </c>
      <c r="AY45" s="137">
        <f t="shared" si="26"/>
        <v>1.03</v>
      </c>
      <c r="AZ45" s="137"/>
      <c r="BA45" s="264"/>
      <c r="BB45" s="258">
        <f t="shared" si="27"/>
        <v>0</v>
      </c>
      <c r="BC45" s="258">
        <f t="shared" si="49"/>
        <v>0</v>
      </c>
      <c r="BD45" s="137">
        <f t="shared" si="50"/>
        <v>1.0162846149874838E-4</v>
      </c>
      <c r="BE45" s="137">
        <f t="shared" si="51"/>
        <v>1.0162846149874838E-4</v>
      </c>
      <c r="BF45" s="137">
        <f>_xll.xSPRDOPT($BW45,$BV45,$CG45,0,$BY45,$BX45,$BZ45,$AJ45,1,4)*$CB45</f>
        <v>2.4262841675635589</v>
      </c>
      <c r="BG45" s="137">
        <f>_xll.xSPRDOPT($BW45,$BV45,$CG45,0,$BY45,$BX45,$BZ45,$AJ45,1,3)*$CB45</f>
        <v>2.3904878728278631</v>
      </c>
      <c r="BH45" s="137">
        <f>IF(OR(BF45&lt;&gt;0,BG45&lt;&gt;0),_xll.xSPRDOPT($BW45,$BV45,$CG45,0,$BY45,$BX45,$BZ45,$AJ45,1,12)*$CB45,0)</f>
        <v>-2.4083185416371653</v>
      </c>
      <c r="BI45" s="137">
        <f>_xll.xSPRDOPT($BW45,$BV45,$CG45,2*LN(1+CA45/2),$BY45,$BX45,$BZ45,$AJ45,1,9)</f>
        <v>-4.5516591601226907E-3</v>
      </c>
      <c r="BJ45" s="137">
        <f>_xll.xSPRDOPT($BW45,$BV45,$CG45,0,$BY45,$BX45,$BZ45,$AJ45,1,6)*$CB45</f>
        <v>-2.5086294571164305E-2</v>
      </c>
      <c r="BK45" s="137">
        <f>_xll.xSPRDOPT($BW45,$BV45,$CG45,0,$BY45,$BX45,$BZ45,$AJ45,1,5)*$CB45</f>
        <v>8.5429244331976073E-2</v>
      </c>
      <c r="BL45" s="137">
        <f>_xll.xSPRDOPT(BW45,BV45,CG45,0,BY45,BX45,BZ45,AJ45,1,2)*CB45</f>
        <v>-0.71373310336493356</v>
      </c>
      <c r="BM45" s="137">
        <f>_xll.xSPRDOPT(BW45,BV45,CG45,0,BY45,BX45,BZ45,AJ45,1,1)*CB45</f>
        <v>0.71909391618102048</v>
      </c>
      <c r="BN45" s="137">
        <f>IF(AH45&lt;&gt;0,_xll.xSPRDOPT($BW45,$BV45,$CG45,2*LN(1+CA45/2),$BY45,$BX45,$BZ45,$AJ45,1,8)+(AJ45/365.25)*CH45/AH45,0)</f>
        <v>-2.5567848299712786E-3</v>
      </c>
      <c r="BO45" s="137">
        <f>_xll.xSPRDOPT($BW45,$BV45,$CG45,0,$BY45,$BX45,$BZ45,$AJ45,1,0)</f>
        <v>4.0796116545842233E-2</v>
      </c>
      <c r="BP45" s="137"/>
      <c r="BQ45" s="137"/>
      <c r="BR45" s="137"/>
      <c r="BS45" s="137"/>
      <c r="BV45" s="262">
        <v>3.5391680009667383</v>
      </c>
      <c r="BW45" s="136">
        <v>3.5695000000000001</v>
      </c>
      <c r="BX45" s="137">
        <v>0.39554041314388361</v>
      </c>
      <c r="BY45" s="137">
        <v>0.39554041314388361</v>
      </c>
      <c r="BZ45" s="137">
        <v>0.99939734872001806</v>
      </c>
      <c r="CA45" s="137">
        <v>3.5735624061610197E-2</v>
      </c>
      <c r="CB45" s="137">
        <v>0.93156554756707821</v>
      </c>
      <c r="CC45" s="258">
        <v>-2.5000000000000001E-2</v>
      </c>
      <c r="CD45" s="258">
        <v>2.5000000000000001E-3</v>
      </c>
      <c r="CE45" s="258">
        <v>-2.5000000000000001E-2</v>
      </c>
      <c r="CF45" s="258">
        <v>5.7500000000000002E-2</v>
      </c>
      <c r="CG45" s="258">
        <v>3.8999999999999998E-3</v>
      </c>
      <c r="CH45" s="258">
        <v>1.195571223747588</v>
      </c>
      <c r="CI45" s="258">
        <v>3.5369999999999999</v>
      </c>
    </row>
    <row r="46" spans="1:87" x14ac:dyDescent="0.25">
      <c r="A46" s="723"/>
      <c r="B46" s="723"/>
      <c r="D46" s="31">
        <f t="shared" si="36"/>
        <v>38001</v>
      </c>
      <c r="F46" s="28">
        <f t="shared" si="37"/>
        <v>25654</v>
      </c>
      <c r="G46" s="28">
        <f t="shared" si="12"/>
        <v>23790.139632038463</v>
      </c>
      <c r="H46" s="52">
        <f t="shared" si="38"/>
        <v>3.5995891362798709</v>
      </c>
      <c r="I46" s="52">
        <f t="shared" si="39"/>
        <v>3.6295000000000002</v>
      </c>
      <c r="K46" s="52">
        <f t="shared" si="28"/>
        <v>0.74775335134504495</v>
      </c>
      <c r="L46" s="135">
        <f t="shared" si="29"/>
        <v>0.398351412446456</v>
      </c>
      <c r="N46" s="131">
        <f t="shared" si="30"/>
        <v>0.39305358955281788</v>
      </c>
      <c r="O46" s="131">
        <f t="shared" si="31"/>
        <v>0.39305358955281788</v>
      </c>
      <c r="P46" s="55">
        <f t="shared" si="32"/>
        <v>0.99944591264825666</v>
      </c>
      <c r="Q46" s="135">
        <f>_xll.xSPRDOPT(I46,H46,AQ46,0,O46,N46,P46,D46-$G$5,1,0)*AH46*AU46</f>
        <v>1.1461047637915009</v>
      </c>
      <c r="R46" s="135"/>
      <c r="S46" s="181">
        <f>_xll.xSPRDOPT(I46,H46,AQ46,AT46,O46,N46,P46,D46-$G$5,1,2)*AF46*(F46/(1-AR46))*AH46</f>
        <v>-580480.91220227676</v>
      </c>
      <c r="T46" s="181">
        <f>_xll.xSPRDOPT(I46,H46,AQ46,AT46,O46,N46,P46,D46-$G$5,1,1)*AF46*F46*AH46</f>
        <v>580398.44616551069</v>
      </c>
      <c r="U46" s="135"/>
      <c r="V46" s="146">
        <f t="shared" si="40"/>
        <v>1.1901561239478506</v>
      </c>
      <c r="W46" s="146"/>
      <c r="X46" s="338">
        <f t="shared" si="41"/>
        <v>0</v>
      </c>
      <c r="Y46" s="338">
        <f t="shared" si="13"/>
        <v>0</v>
      </c>
      <c r="Z46" s="338">
        <f t="shared" si="14"/>
        <v>-27.465011612115067</v>
      </c>
      <c r="AA46" s="338">
        <f t="shared" si="15"/>
        <v>4.1760551664343319</v>
      </c>
      <c r="AB46" s="338">
        <f t="shared" si="42"/>
        <v>0</v>
      </c>
      <c r="AC46" s="338">
        <f t="shared" si="43"/>
        <v>8.8400472440092113</v>
      </c>
      <c r="AF46" s="138">
        <f t="shared" si="44"/>
        <v>1</v>
      </c>
      <c r="AG46" s="138">
        <f t="shared" si="45"/>
        <v>1</v>
      </c>
      <c r="AH46" s="138">
        <f t="shared" si="16"/>
        <v>31</v>
      </c>
      <c r="AI46" s="138">
        <f t="shared" si="46"/>
        <v>745</v>
      </c>
      <c r="AJ46" s="138">
        <f t="shared" si="47"/>
        <v>762</v>
      </c>
      <c r="AL46" s="136">
        <f t="shared" si="17"/>
        <v>3.597</v>
      </c>
      <c r="AM46" s="258">
        <f t="shared" si="18"/>
        <v>-2.5000000000000001E-2</v>
      </c>
      <c r="AN46" s="258">
        <f t="shared" si="19"/>
        <v>2.5000000000000001E-3</v>
      </c>
      <c r="AO46" s="258">
        <f t="shared" si="20"/>
        <v>-2.5000000000000001E-2</v>
      </c>
      <c r="AP46" s="258">
        <f t="shared" si="21"/>
        <v>5.7500000000000002E-2</v>
      </c>
      <c r="AQ46" s="136">
        <f t="shared" si="48"/>
        <v>3.8999999999999998E-3</v>
      </c>
      <c r="AR46" s="137">
        <f t="shared" si="22"/>
        <v>6.9699999999999996E-3</v>
      </c>
      <c r="AS46" s="136">
        <f t="shared" si="33"/>
        <v>3.5745</v>
      </c>
      <c r="AT46" s="137">
        <f t="shared" si="34"/>
        <v>3.6629399588957501E-2</v>
      </c>
      <c r="AU46" s="137">
        <f t="shared" si="23"/>
        <v>0.9273462084680153</v>
      </c>
      <c r="AV46" s="394">
        <f t="shared" si="35"/>
        <v>5174.5918432515255</v>
      </c>
      <c r="AW46" s="137">
        <f t="shared" si="24"/>
        <v>0.37</v>
      </c>
      <c r="AX46" s="137">
        <f t="shared" si="25"/>
        <v>1</v>
      </c>
      <c r="AY46" s="137">
        <f t="shared" si="26"/>
        <v>1</v>
      </c>
      <c r="AZ46" s="137"/>
      <c r="BA46" s="264"/>
      <c r="BB46" s="258">
        <f t="shared" si="27"/>
        <v>0</v>
      </c>
      <c r="BC46" s="258">
        <f t="shared" si="49"/>
        <v>0</v>
      </c>
      <c r="BD46" s="137">
        <f t="shared" si="50"/>
        <v>8.793719974886649E-5</v>
      </c>
      <c r="BE46" s="137">
        <f t="shared" si="51"/>
        <v>8.793719974886649E-5</v>
      </c>
      <c r="BF46" s="137">
        <f>_xll.xSPRDOPT($BW46,$BV46,$CG46,0,$BY46,$BX46,$BZ46,$AJ46,1,4)*$CB46</f>
        <v>2.1526857430593265</v>
      </c>
      <c r="BG46" s="137">
        <f>_xll.xSPRDOPT($BW46,$BV46,$CG46,0,$BY46,$BX46,$BZ46,$AJ46,1,3)*$CB46</f>
        <v>2.1219445340206007</v>
      </c>
      <c r="BH46" s="137">
        <f>IF(OR(BF46&lt;&gt;0,BG46&lt;&gt;0),_xll.xSPRDOPT($BW46,$BV46,$CG46,0,$BY46,$BX46,$BZ46,$AJ46,1,12)*$CB46,0)</f>
        <v>-2.1372587091607333</v>
      </c>
      <c r="BI46" s="137">
        <f>_xll.xSPRDOPT($BW46,$BV46,$CG46,2*LN(1+CA46/2),$BY46,$BX46,$BZ46,$AJ46,1,9)</f>
        <v>-4.2046705459690735E-3</v>
      </c>
      <c r="BJ46" s="137">
        <f>_xll.xSPRDOPT($BW46,$BV46,$CG46,0,$BY46,$BX46,$BZ46,$AJ46,1,6)*$CB46</f>
        <v>-2.8841783650136347E-2</v>
      </c>
      <c r="BK46" s="137">
        <f>_xll.xSPRDOPT($BW46,$BV46,$CG46,0,$BY46,$BX46,$BZ46,$AJ46,1,5)*$CB46</f>
        <v>8.855587263478111E-2</v>
      </c>
      <c r="BL46" s="137">
        <f>_xll.xSPRDOPT(BW46,BV46,CG46,0,BY46,BX46,BZ46,AJ46,1,2)*CB46</f>
        <v>-0.7257100917893432</v>
      </c>
      <c r="BM46" s="137">
        <f>_xll.xSPRDOPT(BW46,BV46,CG46,0,BY46,BX46,BZ46,AJ46,1,1)*CB46</f>
        <v>0.73068786434850408</v>
      </c>
      <c r="BN46" s="137">
        <f>IF(AH46&lt;&gt;0,_xll.xSPRDOPT($BW46,$BV46,$CG46,2*LN(1+CA46/2),$BY46,$BX46,$BZ46,$AJ46,1,8)+(AJ46/365.25)*CH46/AH46,0)</f>
        <v>-1.4994098183951782E-3</v>
      </c>
      <c r="BO46" s="137">
        <f>_xll.xSPRDOPT($BW46,$BV46,$CG46,0,$BY46,$BX46,$BZ46,$AJ46,1,0)</f>
        <v>3.9853323977169758E-2</v>
      </c>
      <c r="BP46" s="137"/>
      <c r="BQ46" s="137"/>
      <c r="BR46" s="137"/>
      <c r="BS46" s="137"/>
      <c r="BV46" s="262">
        <v>3.5995891362798709</v>
      </c>
      <c r="BW46" s="136">
        <v>3.6295000000000002</v>
      </c>
      <c r="BX46" s="137">
        <v>0.39296565235306902</v>
      </c>
      <c r="BY46" s="137">
        <v>0.39296565235306902</v>
      </c>
      <c r="BZ46" s="137">
        <v>0.99944784277004806</v>
      </c>
      <c r="CA46" s="137">
        <v>3.6629399588957501E-2</v>
      </c>
      <c r="CB46" s="137">
        <v>0.92706977474295649</v>
      </c>
      <c r="CC46" s="258">
        <v>-2.5000000000000001E-2</v>
      </c>
      <c r="CD46" s="258">
        <v>2.5000000000000001E-3</v>
      </c>
      <c r="CE46" s="258">
        <v>-2.5000000000000001E-2</v>
      </c>
      <c r="CF46" s="258">
        <v>5.7500000000000002E-2</v>
      </c>
      <c r="CG46" s="258">
        <v>3.8999999999999998E-3</v>
      </c>
      <c r="CH46" s="258">
        <v>1.1898013489051102</v>
      </c>
      <c r="CI46" s="258">
        <v>3.597</v>
      </c>
    </row>
    <row r="47" spans="1:87" x14ac:dyDescent="0.25">
      <c r="A47" s="723"/>
      <c r="B47" s="723"/>
      <c r="D47" s="31">
        <f t="shared" si="36"/>
        <v>38032</v>
      </c>
      <c r="F47" s="28">
        <f t="shared" si="37"/>
        <v>25654</v>
      </c>
      <c r="G47" s="28">
        <f t="shared" si="12"/>
        <v>23673.902704421293</v>
      </c>
      <c r="H47" s="52">
        <f t="shared" si="38"/>
        <v>3.5139925279195996</v>
      </c>
      <c r="I47" s="52">
        <f t="shared" si="39"/>
        <v>3.5445000000000002</v>
      </c>
      <c r="K47" s="52">
        <f t="shared" si="28"/>
        <v>0.71205965744204769</v>
      </c>
      <c r="L47" s="135">
        <f t="shared" si="29"/>
        <v>0.32996377326048343</v>
      </c>
      <c r="N47" s="131">
        <f t="shared" si="30"/>
        <v>0.39080901832551673</v>
      </c>
      <c r="O47" s="131">
        <f t="shared" si="31"/>
        <v>0.39080901832551673</v>
      </c>
      <c r="P47" s="55">
        <f t="shared" si="32"/>
        <v>0.99949558700751395</v>
      </c>
      <c r="Q47" s="135">
        <f>_xll.xSPRDOPT(I47,H47,AQ47,0,O47,N47,P47,D47-$G$5,1,0)*AH47*AU47</f>
        <v>1.0420234307025311</v>
      </c>
      <c r="R47" s="135"/>
      <c r="S47" s="181">
        <f>_xll.xSPRDOPT(I47,H47,AQ47,AT47,O47,N47,P47,D47-$G$5,1,2)*AF47*(F47/(1-AR47))*AH47</f>
        <v>-555053.50961349311</v>
      </c>
      <c r="T47" s="181">
        <f>_xll.xSPRDOPT(I47,H47,AQ47,AT47,O47,N47,P47,D47-$G$5,1,1)*AF47*F47*AH47</f>
        <v>554582.59222069662</v>
      </c>
      <c r="U47" s="135"/>
      <c r="V47" s="146">
        <f t="shared" si="40"/>
        <v>1.1079320022970376</v>
      </c>
      <c r="W47" s="146"/>
      <c r="X47" s="338">
        <f t="shared" si="41"/>
        <v>0</v>
      </c>
      <c r="Y47" s="338">
        <f t="shared" si="13"/>
        <v>0</v>
      </c>
      <c r="Z47" s="338">
        <f t="shared" si="14"/>
        <v>-22.050953542052184</v>
      </c>
      <c r="AA47" s="338">
        <f t="shared" si="15"/>
        <v>3.1784151608348146</v>
      </c>
      <c r="AB47" s="338">
        <f t="shared" si="42"/>
        <v>0</v>
      </c>
      <c r="AC47" s="338">
        <f t="shared" si="43"/>
        <v>8.225353399194228</v>
      </c>
      <c r="AF47" s="138">
        <f t="shared" si="44"/>
        <v>1</v>
      </c>
      <c r="AG47" s="138">
        <f t="shared" si="45"/>
        <v>2</v>
      </c>
      <c r="AH47" s="138">
        <f t="shared" si="16"/>
        <v>29</v>
      </c>
      <c r="AI47" s="138">
        <f t="shared" si="46"/>
        <v>776</v>
      </c>
      <c r="AJ47" s="138">
        <f t="shared" si="47"/>
        <v>793</v>
      </c>
      <c r="AL47" s="136">
        <f t="shared" si="17"/>
        <v>3.512</v>
      </c>
      <c r="AM47" s="258">
        <f t="shared" si="18"/>
        <v>-2.5000000000000001E-2</v>
      </c>
      <c r="AN47" s="258">
        <f t="shared" si="19"/>
        <v>2.5000000000000001E-3</v>
      </c>
      <c r="AO47" s="258">
        <f t="shared" si="20"/>
        <v>-2.5000000000000001E-2</v>
      </c>
      <c r="AP47" s="258">
        <f t="shared" si="21"/>
        <v>5.7500000000000002E-2</v>
      </c>
      <c r="AQ47" s="136">
        <f t="shared" si="48"/>
        <v>3.8999999999999998E-3</v>
      </c>
      <c r="AR47" s="137">
        <f t="shared" si="22"/>
        <v>6.9699999999999996E-3</v>
      </c>
      <c r="AS47" s="136">
        <f t="shared" si="33"/>
        <v>3.4895</v>
      </c>
      <c r="AT47" s="137">
        <f t="shared" si="34"/>
        <v>3.74851197051385E-2</v>
      </c>
      <c r="AU47" s="137">
        <f t="shared" si="23"/>
        <v>0.92281526095038946</v>
      </c>
      <c r="AV47" s="394">
        <f t="shared" si="35"/>
        <v>4817.095662161033</v>
      </c>
      <c r="AW47" s="137">
        <f t="shared" si="24"/>
        <v>0.37</v>
      </c>
      <c r="AX47" s="137">
        <f t="shared" si="25"/>
        <v>1</v>
      </c>
      <c r="AY47" s="137">
        <f t="shared" si="26"/>
        <v>1</v>
      </c>
      <c r="AZ47" s="137"/>
      <c r="BA47" s="264"/>
      <c r="BB47" s="258">
        <f t="shared" si="27"/>
        <v>0</v>
      </c>
      <c r="BC47" s="258">
        <f t="shared" si="49"/>
        <v>0</v>
      </c>
      <c r="BD47" s="137">
        <f t="shared" si="50"/>
        <v>7.6586028947334128E-5</v>
      </c>
      <c r="BE47" s="137">
        <f t="shared" si="51"/>
        <v>7.6586028947334128E-5</v>
      </c>
      <c r="BF47" s="137">
        <f>_xll.xSPRDOPT($BW47,$BV47,$CG47,0,$BY47,$BX47,$BZ47,$AJ47,1,4)*$CB47</f>
        <v>1.9645481995073386</v>
      </c>
      <c r="BG47" s="137">
        <f>_xll.xSPRDOPT($BW47,$BV47,$CG47,0,$BY47,$BX47,$BZ47,$AJ47,1,3)*$CB47</f>
        <v>1.9351675541680367</v>
      </c>
      <c r="BH47" s="137">
        <f>IF(OR(BF47&lt;&gt;0,BG47&lt;&gt;0),_xll.xSPRDOPT($BW47,$BV47,$CG47,0,$BY47,$BX47,$BZ47,$AJ47,1,12)*$CB47,0)</f>
        <v>-1.9498017517502431</v>
      </c>
      <c r="BI47" s="137">
        <f>_xll.xSPRDOPT($BW47,$BV47,$CG47,2*LN(1+CA47/2),$BY47,$BX47,$BZ47,$AJ47,1,9)</f>
        <v>-3.6086374830904284E-3</v>
      </c>
      <c r="BJ47" s="137">
        <f>_xll.xSPRDOPT($BW47,$BV47,$CG47,0,$BY47,$BX47,$BZ47,$AJ47,1,6)*$CB47</f>
        <v>-3.3863221022214916E-2</v>
      </c>
      <c r="BK47" s="137">
        <f>_xll.xSPRDOPT($BW47,$BV47,$CG47,0,$BY47,$BX47,$BZ47,$AJ47,1,5)*$CB47</f>
        <v>8.9647006714800095E-2</v>
      </c>
      <c r="BL47" s="137">
        <f>_xll.xSPRDOPT(BW47,BV47,CG47,0,BY47,BX47,BZ47,AJ47,1,2)*CB47</f>
        <v>-0.74172586979049482</v>
      </c>
      <c r="BM47" s="137">
        <f>_xll.xSPRDOPT(BW47,BV47,CG47,0,BY47,BX47,BZ47,AJ47,1,1)*CB47</f>
        <v>0.74628797370729016</v>
      </c>
      <c r="BN47" s="137">
        <f>IF(AH47&lt;&gt;0,_xll.xSPRDOPT($BW47,$BV47,$CG47,2*LN(1+CA47/2),$BY47,$BX47,$BZ47,$AJ47,1,8)+(AJ47/365.25)*CH47/AH47,0)</f>
        <v>4.312527837223995E-4</v>
      </c>
      <c r="BO47" s="137">
        <f>_xll.xSPRDOPT($BW47,$BV47,$CG47,0,$BY47,$BX47,$BZ47,$AJ47,1,0)</f>
        <v>3.8925056659814189E-2</v>
      </c>
      <c r="BP47" s="137"/>
      <c r="BQ47" s="137"/>
      <c r="BR47" s="137"/>
      <c r="BS47" s="137"/>
      <c r="BV47" s="262">
        <v>3.5139925279195996</v>
      </c>
      <c r="BW47" s="136">
        <v>3.5445000000000002</v>
      </c>
      <c r="BX47" s="137">
        <v>0.3907324322965694</v>
      </c>
      <c r="BY47" s="137">
        <v>0.3907324322965694</v>
      </c>
      <c r="BZ47" s="137">
        <v>0.99949729704296753</v>
      </c>
      <c r="CA47" s="137">
        <v>3.74851197051385E-2</v>
      </c>
      <c r="CB47" s="137">
        <v>0.92253381176270466</v>
      </c>
      <c r="CC47" s="258">
        <v>-2.5000000000000001E-2</v>
      </c>
      <c r="CD47" s="258">
        <v>2.5000000000000001E-3</v>
      </c>
      <c r="CE47" s="258">
        <v>-2.5000000000000001E-2</v>
      </c>
      <c r="CF47" s="258">
        <v>5.7500000000000002E-2</v>
      </c>
      <c r="CG47" s="258">
        <v>3.8999999999999998E-3</v>
      </c>
      <c r="CH47" s="258">
        <v>1.1075940944023031</v>
      </c>
      <c r="CI47" s="258">
        <v>3.512</v>
      </c>
    </row>
    <row r="48" spans="1:87" x14ac:dyDescent="0.25">
      <c r="A48" s="723"/>
      <c r="B48" s="723"/>
      <c r="D48" s="31">
        <f t="shared" si="36"/>
        <v>38061</v>
      </c>
      <c r="F48" s="28">
        <f t="shared" si="37"/>
        <v>25654</v>
      </c>
      <c r="G48" s="28">
        <f t="shared" si="12"/>
        <v>23562.65365696435</v>
      </c>
      <c r="H48" s="52">
        <f t="shared" si="38"/>
        <v>3.3830800680744795</v>
      </c>
      <c r="I48" s="52">
        <f t="shared" si="39"/>
        <v>3.4145000000000003</v>
      </c>
      <c r="K48" s="52">
        <f t="shared" si="28"/>
        <v>0.78357064642366847</v>
      </c>
      <c r="L48" s="135">
        <f t="shared" si="29"/>
        <v>0.2017639249531189</v>
      </c>
      <c r="N48" s="131">
        <f t="shared" si="30"/>
        <v>0.36642927609768672</v>
      </c>
      <c r="O48" s="131">
        <f t="shared" si="31"/>
        <v>0.36642927609768672</v>
      </c>
      <c r="P48" s="55">
        <f t="shared" si="32"/>
        <v>0.99966761256298553</v>
      </c>
      <c r="Q48" s="135">
        <f>_xll.xSPRDOPT(I48,H48,AQ48,0,O48,N48,P48,D48-$G$5,1,0)*AH48*AU48</f>
        <v>0.98533457137678737</v>
      </c>
      <c r="R48" s="135"/>
      <c r="S48" s="181">
        <f>_xll.xSPRDOPT(I48,H48,AQ48,AT48,O48,N48,P48,D48-$G$5,1,2)*AF48*(F48/(1-AR48))*AH48</f>
        <v>-643248.64499019366</v>
      </c>
      <c r="T48" s="181">
        <f>_xll.xSPRDOPT(I48,H48,AQ48,AT48,O48,N48,P48,D48-$G$5,1,1)*AF48*F48*AH48</f>
        <v>641013.41179483733</v>
      </c>
      <c r="U48" s="135"/>
      <c r="V48" s="146">
        <f t="shared" si="40"/>
        <v>1.1787756179678821</v>
      </c>
      <c r="W48" s="146"/>
      <c r="X48" s="338">
        <f t="shared" si="41"/>
        <v>0</v>
      </c>
      <c r="Y48" s="338">
        <f t="shared" si="13"/>
        <v>0</v>
      </c>
      <c r="Z48" s="338">
        <f t="shared" si="14"/>
        <v>-13.548092007299232</v>
      </c>
      <c r="AA48" s="338">
        <f t="shared" si="15"/>
        <v>1.3328851334610776</v>
      </c>
      <c r="AB48" s="338">
        <f t="shared" si="42"/>
        <v>0</v>
      </c>
      <c r="AC48" s="338">
        <f t="shared" si="43"/>
        <v>7.9449543535863993</v>
      </c>
      <c r="AF48" s="138">
        <f t="shared" si="44"/>
        <v>1</v>
      </c>
      <c r="AG48" s="138">
        <f t="shared" si="45"/>
        <v>3</v>
      </c>
      <c r="AH48" s="138">
        <f t="shared" si="16"/>
        <v>31</v>
      </c>
      <c r="AI48" s="138">
        <f t="shared" si="46"/>
        <v>805</v>
      </c>
      <c r="AJ48" s="138">
        <f t="shared" si="47"/>
        <v>822</v>
      </c>
      <c r="AL48" s="136">
        <f t="shared" si="17"/>
        <v>3.3820000000000001</v>
      </c>
      <c r="AM48" s="258">
        <f t="shared" si="18"/>
        <v>-2.5000000000000001E-2</v>
      </c>
      <c r="AN48" s="258">
        <f t="shared" si="19"/>
        <v>2.5000000000000001E-3</v>
      </c>
      <c r="AO48" s="258">
        <f t="shared" si="20"/>
        <v>-2.5000000000000001E-2</v>
      </c>
      <c r="AP48" s="258">
        <f t="shared" si="21"/>
        <v>5.7500000000000002E-2</v>
      </c>
      <c r="AQ48" s="136">
        <f t="shared" si="48"/>
        <v>3.8999999999999998E-3</v>
      </c>
      <c r="AR48" s="137">
        <f t="shared" si="22"/>
        <v>6.9699999999999996E-3</v>
      </c>
      <c r="AS48" s="136">
        <f t="shared" si="33"/>
        <v>3.3595000000000002</v>
      </c>
      <c r="AT48" s="137">
        <f t="shared" si="34"/>
        <v>3.8285632294587903E-2</v>
      </c>
      <c r="AU48" s="137">
        <f t="shared" si="23"/>
        <v>0.91847874237796645</v>
      </c>
      <c r="AV48" s="394">
        <f t="shared" si="35"/>
        <v>5125.1113824690528</v>
      </c>
      <c r="AW48" s="137">
        <f t="shared" si="24"/>
        <v>0.35499999999999998</v>
      </c>
      <c r="AX48" s="137">
        <f t="shared" si="25"/>
        <v>0.75</v>
      </c>
      <c r="AY48" s="137">
        <f t="shared" si="26"/>
        <v>0.75</v>
      </c>
      <c r="AZ48" s="137"/>
      <c r="BA48" s="264"/>
      <c r="BB48" s="258">
        <f t="shared" si="27"/>
        <v>0</v>
      </c>
      <c r="BC48" s="258">
        <f t="shared" si="49"/>
        <v>0</v>
      </c>
      <c r="BD48" s="137">
        <f t="shared" si="50"/>
        <v>4.0989655535617064E-5</v>
      </c>
      <c r="BE48" s="137">
        <f t="shared" si="51"/>
        <v>4.0989655535617064E-5</v>
      </c>
      <c r="BF48" s="137">
        <f>_xll.xSPRDOPT($BW48,$BV48,$CG48,0,$BY48,$BX48,$BZ48,$AJ48,1,4)*$CB48</f>
        <v>1.3862835140525647</v>
      </c>
      <c r="BG48" s="137">
        <f>_xll.xSPRDOPT($BW48,$BV48,$CG48,0,$BY48,$BX48,$BZ48,$AJ48,1,3)*$CB48</f>
        <v>1.3640308533364782</v>
      </c>
      <c r="BH48" s="137">
        <f>IF(OR(BF48&lt;&gt;0,BG48&lt;&gt;0),_xll.xSPRDOPT($BW48,$BV48,$CG48,0,$BY48,$BX48,$BZ48,$AJ48,1,12)*$CB48,0)</f>
        <v>-1.3751119590514154</v>
      </c>
      <c r="BI48" s="137">
        <f>_xll.xSPRDOPT($BW48,$BV48,$CG48,2*LN(1+CA48/2),$BY48,$BX48,$BZ48,$AJ48,1,9)</f>
        <v>-2.0741030159274433E-3</v>
      </c>
      <c r="BJ48" s="137">
        <f>_xll.xSPRDOPT($BW48,$BV48,$CG48,0,$BY48,$BX48,$BZ48,$AJ48,1,6)*$CB48</f>
        <v>-5.12580115523689E-2</v>
      </c>
      <c r="BK48" s="137">
        <f>_xll.xSPRDOPT($BW48,$BV48,$CG48,0,$BY48,$BX48,$BZ48,$AJ48,1,5)*$CB48</f>
        <v>9.2146557914194627E-2</v>
      </c>
      <c r="BL48" s="137">
        <f>_xll.xSPRDOPT(BW48,BV48,CG48,0,BY48,BX48,BZ48,AJ48,1,2)*CB48</f>
        <v>-0.80392718293642862</v>
      </c>
      <c r="BM48" s="137">
        <f>_xll.xSPRDOPT(BW48,BV48,CG48,0,BY48,BX48,BZ48,AJ48,1,1)*CB48</f>
        <v>0.8067512532339004</v>
      </c>
      <c r="BN48" s="137">
        <f>IF(AH48&lt;&gt;0,_xll.xSPRDOPT($BW48,$BV48,$CG48,2*LN(1+CA48/2),$BY48,$BX48,$BZ48,$AJ48,1,8)+(AJ48/365.25)*CH48/AH48,0)</f>
        <v>1.1116407927791089E-2</v>
      </c>
      <c r="BO48" s="137">
        <f>_xll.xSPRDOPT($BW48,$BV48,$CG48,0,$BY48,$BX48,$BZ48,$AJ48,1,0)</f>
        <v>3.459982775521591E-2</v>
      </c>
      <c r="BP48" s="137"/>
      <c r="BQ48" s="137"/>
      <c r="BR48" s="137"/>
      <c r="BS48" s="137"/>
      <c r="BV48" s="262">
        <v>3.3830800680744795</v>
      </c>
      <c r="BW48" s="136">
        <v>3.4145000000000003</v>
      </c>
      <c r="BX48" s="137">
        <v>0.3663882864421511</v>
      </c>
      <c r="BY48" s="137">
        <v>0.3663882864421511</v>
      </c>
      <c r="BZ48" s="137">
        <v>0.99966874934134331</v>
      </c>
      <c r="CA48" s="137">
        <v>3.8285632294587903E-2</v>
      </c>
      <c r="CB48" s="137">
        <v>0.91819269083412736</v>
      </c>
      <c r="CC48" s="258">
        <v>-2.5000000000000001E-2</v>
      </c>
      <c r="CD48" s="258">
        <v>2.5000000000000001E-3</v>
      </c>
      <c r="CE48" s="258">
        <v>-2.5000000000000001E-2</v>
      </c>
      <c r="CF48" s="258">
        <v>5.7500000000000002E-2</v>
      </c>
      <c r="CG48" s="258">
        <v>3.8999999999999998E-3</v>
      </c>
      <c r="CH48" s="258">
        <v>1.1784084994165189</v>
      </c>
      <c r="CI48" s="258">
        <v>3.3820000000000001</v>
      </c>
    </row>
    <row r="49" spans="1:87" x14ac:dyDescent="0.25">
      <c r="A49" s="723"/>
      <c r="B49" s="723"/>
      <c r="D49" s="31">
        <f t="shared" si="36"/>
        <v>38092</v>
      </c>
      <c r="F49" s="28">
        <f t="shared" si="37"/>
        <v>25654</v>
      </c>
      <c r="G49" s="28">
        <f t="shared" si="12"/>
        <v>23444.125457891289</v>
      </c>
      <c r="H49" s="52">
        <f t="shared" si="38"/>
        <v>3.1967815675256541</v>
      </c>
      <c r="I49" s="52">
        <f t="shared" si="39"/>
        <v>3.2295000000000003</v>
      </c>
      <c r="K49" s="52">
        <f t="shared" si="28"/>
        <v>0.79007906731309663</v>
      </c>
      <c r="L49" s="135">
        <f t="shared" si="29"/>
        <v>4.9777584359016802E-2</v>
      </c>
      <c r="N49" s="131">
        <f t="shared" si="30"/>
        <v>0.3313618943887166</v>
      </c>
      <c r="O49" s="131">
        <f t="shared" si="31"/>
        <v>0.3313618943887166</v>
      </c>
      <c r="P49" s="55">
        <f t="shared" si="32"/>
        <v>0.99989212374947023</v>
      </c>
      <c r="Q49" s="135">
        <f>_xll.xSPRDOPT(I49,H49,AQ49,0,O49,N49,P49,D49-$G$5,1,0)*AH49*AU49</f>
        <v>0.83985665167211343</v>
      </c>
      <c r="R49" s="135"/>
      <c r="S49" s="181">
        <f>_xll.xSPRDOPT(I49,H49,AQ49,AT49,O49,N49,P49,D49-$G$5,1,2)*AF49*(F49/(1-AR49))*AH49</f>
        <v>-680917.34360877692</v>
      </c>
      <c r="T49" s="181">
        <f>_xll.xSPRDOPT(I49,H49,AQ49,AT49,O49,N49,P49,D49-$G$5,1,1)*AF49*F49*AH49</f>
        <v>676803.03099704231</v>
      </c>
      <c r="U49" s="135"/>
      <c r="V49" s="146">
        <f t="shared" si="40"/>
        <v>1.1350122327395722</v>
      </c>
      <c r="W49" s="146"/>
      <c r="X49" s="338">
        <f t="shared" si="41"/>
        <v>0</v>
      </c>
      <c r="Y49" s="338">
        <f t="shared" si="13"/>
        <v>0</v>
      </c>
      <c r="Z49" s="338">
        <f t="shared" si="14"/>
        <v>1.00264925097475</v>
      </c>
      <c r="AA49" s="338">
        <f t="shared" si="15"/>
        <v>4.7014748932426083E-2</v>
      </c>
      <c r="AB49" s="338">
        <f t="shared" si="42"/>
        <v>0</v>
      </c>
      <c r="AC49" s="338">
        <f t="shared" si="43"/>
        <v>6.9141996134134924</v>
      </c>
      <c r="AF49" s="138">
        <f t="shared" si="44"/>
        <v>1</v>
      </c>
      <c r="AG49" s="138">
        <f t="shared" si="45"/>
        <v>4</v>
      </c>
      <c r="AH49" s="138">
        <f t="shared" si="16"/>
        <v>30</v>
      </c>
      <c r="AI49" s="138">
        <f t="shared" si="46"/>
        <v>836</v>
      </c>
      <c r="AJ49" s="138">
        <f t="shared" si="47"/>
        <v>853</v>
      </c>
      <c r="AL49" s="136">
        <f t="shared" si="17"/>
        <v>3.1970000000000001</v>
      </c>
      <c r="AM49" s="258">
        <f t="shared" si="18"/>
        <v>-2.5000000000000001E-2</v>
      </c>
      <c r="AN49" s="258">
        <f t="shared" si="19"/>
        <v>2.5000000000000001E-3</v>
      </c>
      <c r="AO49" s="258">
        <f t="shared" si="20"/>
        <v>-2.5000000000000001E-2</v>
      </c>
      <c r="AP49" s="258">
        <f t="shared" si="21"/>
        <v>5.7500000000000002E-2</v>
      </c>
      <c r="AQ49" s="136">
        <f t="shared" si="48"/>
        <v>3.8999999999999998E-3</v>
      </c>
      <c r="AR49" s="137">
        <f t="shared" si="22"/>
        <v>6.9699999999999996E-3</v>
      </c>
      <c r="AS49" s="136">
        <f t="shared" si="33"/>
        <v>3.1745000000000001</v>
      </c>
      <c r="AT49" s="137">
        <f t="shared" si="34"/>
        <v>3.9084714616572501E-2</v>
      </c>
      <c r="AU49" s="137">
        <f t="shared" si="23"/>
        <v>0.9138584804666442</v>
      </c>
      <c r="AV49" s="394">
        <f t="shared" si="35"/>
        <v>4934.8357945198786</v>
      </c>
      <c r="AW49" s="137">
        <f t="shared" si="24"/>
        <v>0.33</v>
      </c>
      <c r="AX49" s="137">
        <f t="shared" si="25"/>
        <v>0.4</v>
      </c>
      <c r="AY49" s="137">
        <f t="shared" si="26"/>
        <v>0.4</v>
      </c>
      <c r="AZ49" s="137"/>
      <c r="BA49" s="264"/>
      <c r="BB49" s="258">
        <f t="shared" si="27"/>
        <v>0</v>
      </c>
      <c r="BC49" s="258">
        <f t="shared" si="49"/>
        <v>0</v>
      </c>
      <c r="BD49" s="137">
        <f t="shared" si="50"/>
        <v>4.7743752686346674E-6</v>
      </c>
      <c r="BE49" s="137">
        <f t="shared" si="51"/>
        <v>4.7743752686346674E-6</v>
      </c>
      <c r="BF49" s="137">
        <f>_xll.xSPRDOPT($BW49,$BV49,$CG49,0,$BY49,$BX49,$BZ49,$AJ49,1,4)*$CB49</f>
        <v>0.50210393602834757</v>
      </c>
      <c r="BG49" s="137">
        <f>_xll.xSPRDOPT($BW49,$BV49,$CG49,0,$BY49,$BX49,$BZ49,$AJ49,1,3)*$CB49</f>
        <v>0.49318374495723716</v>
      </c>
      <c r="BH49" s="137">
        <f>IF(OR(BF49&lt;&gt;0,BG49&lt;&gt;0),_xll.xSPRDOPT($BW49,$BV49,$CG49,0,$BY49,$BX49,$BZ49,$AJ49,1,12)*$CB49,0)</f>
        <v>-0.49762359712324722</v>
      </c>
      <c r="BI49" s="137">
        <f>_xll.xSPRDOPT($BW49,$BV49,$CG49,2*LN(1+CA49/2),$BY49,$BX49,$BZ49,$AJ49,1,9)</f>
        <v>1.5861405148797562E-4</v>
      </c>
      <c r="BJ49" s="137">
        <f>_xll.xSPRDOPT($BW49,$BV49,$CG49,0,$BY49,$BX49,$BZ49,$AJ49,1,6)*$CB49</f>
        <v>-6.9276648123564391E-2</v>
      </c>
      <c r="BK49" s="137">
        <f>_xll.xSPRDOPT($BW49,$BV49,$CG49,0,$BY49,$BX49,$BZ49,$AJ49,1,5)*$CB49</f>
        <v>8.2071675643169098E-2</v>
      </c>
      <c r="BL49" s="137">
        <f>_xll.xSPRDOPT(BW49,BV49,CG49,0,BY49,BX49,BZ49,AJ49,1,2)*CB49</f>
        <v>-0.879164112919809</v>
      </c>
      <c r="BM49" s="137">
        <f>_xll.xSPRDOPT(BW49,BV49,CG49,0,BY49,BX49,BZ49,AJ49,1,1)*CB49</f>
        <v>0.8799841370426007</v>
      </c>
      <c r="BN49" s="137">
        <f>IF(AH49&lt;&gt;0,_xll.xSPRDOPT($BW49,$BV49,$CG49,2*LN(1+CA49/2),$BY49,$BX49,$BZ49,$AJ49,1,8)+(AJ49/365.25)*CH49/AH49,0)</f>
        <v>2.3993126779935287E-2</v>
      </c>
      <c r="BO49" s="137">
        <f>_xll.xSPRDOPT($BW49,$BV49,$CG49,0,$BY49,$BX49,$BZ49,$AJ49,1,0)</f>
        <v>3.0632801800377613E-2</v>
      </c>
      <c r="BP49" s="137"/>
      <c r="BQ49" s="137"/>
      <c r="BR49" s="137"/>
      <c r="BS49" s="137"/>
      <c r="BV49" s="262">
        <v>3.1967815675256541</v>
      </c>
      <c r="BW49" s="136">
        <v>3.2295000000000003</v>
      </c>
      <c r="BX49" s="137">
        <v>0.33135712001344797</v>
      </c>
      <c r="BY49" s="137">
        <v>0.33135712001344797</v>
      </c>
      <c r="BZ49" s="137">
        <v>0.99989249960807158</v>
      </c>
      <c r="CA49" s="137">
        <v>3.9084714616572501E-2</v>
      </c>
      <c r="CB49" s="137">
        <v>0.91356798559380814</v>
      </c>
      <c r="CC49" s="258">
        <v>-2.5000000000000001E-2</v>
      </c>
      <c r="CD49" s="258">
        <v>2.5000000000000001E-3</v>
      </c>
      <c r="CE49" s="258">
        <v>-2.5000000000000001E-2</v>
      </c>
      <c r="CF49" s="258">
        <v>5.7500000000000002E-2</v>
      </c>
      <c r="CG49" s="258">
        <v>3.8999999999999998E-3</v>
      </c>
      <c r="CH49" s="258">
        <v>1.1346514381075097</v>
      </c>
      <c r="CI49" s="258">
        <v>3.1970000000000001</v>
      </c>
    </row>
    <row r="50" spans="1:87" x14ac:dyDescent="0.25">
      <c r="A50" s="723"/>
      <c r="B50" s="723"/>
      <c r="D50" s="31">
        <f t="shared" si="36"/>
        <v>38122</v>
      </c>
      <c r="F50" s="28">
        <f t="shared" si="37"/>
        <v>25654</v>
      </c>
      <c r="G50" s="28">
        <f t="shared" si="12"/>
        <v>23330.271156961975</v>
      </c>
      <c r="H50" s="52">
        <f t="shared" si="38"/>
        <v>3.1917464729162264</v>
      </c>
      <c r="I50" s="52">
        <f t="shared" si="39"/>
        <v>3.2245000000000004</v>
      </c>
      <c r="K50" s="52">
        <f t="shared" si="28"/>
        <v>0.81343957790890309</v>
      </c>
      <c r="L50" s="135">
        <f t="shared" si="29"/>
        <v>6.6531424715342791E-2</v>
      </c>
      <c r="N50" s="131">
        <f t="shared" si="30"/>
        <v>0.32761016081651256</v>
      </c>
      <c r="O50" s="131">
        <f t="shared" si="31"/>
        <v>0.32761016081651256</v>
      </c>
      <c r="P50" s="55">
        <f t="shared" si="32"/>
        <v>0.99986066219215741</v>
      </c>
      <c r="Q50" s="135">
        <f>_xll.xSPRDOPT(I50,H50,AQ50,0,O50,N50,P50,D50-$G$5,1,0)*AH50*AU50</f>
        <v>0.87997100262424588</v>
      </c>
      <c r="R50" s="135"/>
      <c r="S50" s="181">
        <f>_xll.xSPRDOPT(I50,H50,AQ50,AT50,O50,N50,P50,D50-$G$5,1,2)*AF50*(F50/(1-AR50))*AH50</f>
        <v>-692090.24754163634</v>
      </c>
      <c r="T50" s="181">
        <f>_xll.xSPRDOPT(I50,H50,AQ50,AT50,O50,N50,P50,D50-$G$5,1,1)*AF50*F50*AH50</f>
        <v>688110.7653785625</v>
      </c>
      <c r="U50" s="135"/>
      <c r="V50" s="146">
        <f t="shared" si="40"/>
        <v>1.1671501521339751</v>
      </c>
      <c r="W50" s="146"/>
      <c r="X50" s="338">
        <f t="shared" si="41"/>
        <v>0</v>
      </c>
      <c r="Y50" s="338">
        <f t="shared" si="13"/>
        <v>0</v>
      </c>
      <c r="Z50" s="338">
        <f t="shared" si="14"/>
        <v>-0.44012822223987036</v>
      </c>
      <c r="AA50" s="338">
        <f t="shared" si="15"/>
        <v>0.12154154792184334</v>
      </c>
      <c r="AB50" s="338">
        <f t="shared" si="42"/>
        <v>0</v>
      </c>
      <c r="AC50" s="338">
        <f t="shared" si="43"/>
        <v>7.376829618005373</v>
      </c>
      <c r="AF50" s="138">
        <f t="shared" si="44"/>
        <v>1</v>
      </c>
      <c r="AG50" s="138">
        <f t="shared" si="45"/>
        <v>5</v>
      </c>
      <c r="AH50" s="138">
        <f t="shared" si="16"/>
        <v>31</v>
      </c>
      <c r="AI50" s="138">
        <f t="shared" si="46"/>
        <v>866</v>
      </c>
      <c r="AJ50" s="138">
        <f t="shared" si="47"/>
        <v>883</v>
      </c>
      <c r="AL50" s="136">
        <f t="shared" si="17"/>
        <v>3.1920000000000002</v>
      </c>
      <c r="AM50" s="258">
        <f t="shared" si="18"/>
        <v>-2.5000000000000001E-2</v>
      </c>
      <c r="AN50" s="258">
        <f t="shared" si="19"/>
        <v>2.5000000000000001E-3</v>
      </c>
      <c r="AO50" s="258">
        <f t="shared" si="20"/>
        <v>-2.5000000000000001E-2</v>
      </c>
      <c r="AP50" s="258">
        <f t="shared" si="21"/>
        <v>5.7500000000000002E-2</v>
      </c>
      <c r="AQ50" s="136">
        <f t="shared" si="48"/>
        <v>3.8999999999999998E-3</v>
      </c>
      <c r="AR50" s="137">
        <f t="shared" si="22"/>
        <v>6.9699999999999996E-3</v>
      </c>
      <c r="AS50" s="136">
        <f t="shared" si="33"/>
        <v>3.1695000000000002</v>
      </c>
      <c r="AT50" s="137">
        <f t="shared" si="34"/>
        <v>3.9799554968306797E-2</v>
      </c>
      <c r="AU50" s="137">
        <f t="shared" si="23"/>
        <v>0.90942040839486926</v>
      </c>
      <c r="AV50" s="394">
        <f t="shared" si="35"/>
        <v>5074.5658788433702</v>
      </c>
      <c r="AW50" s="137">
        <f t="shared" si="24"/>
        <v>0.32500000000000001</v>
      </c>
      <c r="AX50" s="137">
        <f t="shared" si="25"/>
        <v>0.45</v>
      </c>
      <c r="AY50" s="137">
        <f t="shared" si="26"/>
        <v>0.45</v>
      </c>
      <c r="AZ50" s="137"/>
      <c r="BA50" s="264"/>
      <c r="BB50" s="258">
        <f t="shared" si="27"/>
        <v>0</v>
      </c>
      <c r="BC50" s="258">
        <f t="shared" si="49"/>
        <v>0</v>
      </c>
      <c r="BD50" s="137">
        <f t="shared" si="50"/>
        <v>8.8178559663476541E-6</v>
      </c>
      <c r="BE50" s="137">
        <f t="shared" si="51"/>
        <v>8.8178559663476541E-6</v>
      </c>
      <c r="BF50" s="137">
        <f>_xll.xSPRDOPT($BW50,$BV50,$CG50,0,$BY50,$BX50,$BZ50,$AJ50,1,4)*$CB50</f>
        <v>0.6430230586410115</v>
      </c>
      <c r="BG50" s="137">
        <f>_xll.xSPRDOPT($BW50,$BV50,$CG50,0,$BY50,$BX50,$BZ50,$AJ50,1,3)*$CB50</f>
        <v>0.63156905924672491</v>
      </c>
      <c r="BH50" s="137">
        <f>IF(OR(BF50&lt;&gt;0,BG50&lt;&gt;0),_xll.xSPRDOPT($BW50,$BV50,$CG50,0,$BY50,$BX50,$BZ50,$AJ50,1,12)*$CB50,0)</f>
        <v>-0.6372708823137454</v>
      </c>
      <c r="BI50" s="137">
        <f>_xll.xSPRDOPT($BW50,$BV50,$CG50,2*LN(1+CA50/2),$BY50,$BX50,$BZ50,$AJ50,1,9)</f>
        <v>-6.7380061535652139E-5</v>
      </c>
      <c r="BJ50" s="137">
        <f>_xll.xSPRDOPT($BW50,$BV50,$CG50,0,$BY50,$BX50,$BZ50,$AJ50,1,6)*$CB50</f>
        <v>-6.9972549843962464E-2</v>
      </c>
      <c r="BK50" s="137">
        <f>_xll.xSPRDOPT($BW50,$BV50,$CG50,0,$BY50,$BX50,$BZ50,$AJ50,1,5)*$CB50</f>
        <v>8.7304402098304076E-2</v>
      </c>
      <c r="BL50" s="137">
        <f>_xll.xSPRDOPT(BW50,BV50,CG50,0,BY50,BX50,BZ50,AJ50,1,2)*CB50</f>
        <v>-0.86483871485020769</v>
      </c>
      <c r="BM50" s="137">
        <f>_xll.xSPRDOPT(BW50,BV50,CG50,0,BY50,BX50,BZ50,AJ50,1,1)*CB50</f>
        <v>0.86589963231912259</v>
      </c>
      <c r="BN50" s="137">
        <f>IF(AH50&lt;&gt;0,_xll.xSPRDOPT($BW50,$BV50,$CG50,2*LN(1+CA50/2),$BY50,$BX50,$BZ50,$AJ50,1,8)+(AJ50/365.25)*CH50/AH50,0)</f>
        <v>2.3084708554109545E-2</v>
      </c>
      <c r="BO50" s="137">
        <f>_xll.xSPRDOPT($BW50,$BV50,$CG50,0,$BY50,$BX50,$BZ50,$AJ50,1,0)</f>
        <v>3.1211856486424709E-2</v>
      </c>
      <c r="BP50" s="137"/>
      <c r="BQ50" s="137"/>
      <c r="BR50" s="137"/>
      <c r="BS50" s="137"/>
      <c r="BV50" s="262">
        <v>3.1917464729162264</v>
      </c>
      <c r="BW50" s="136">
        <v>3.2245000000000004</v>
      </c>
      <c r="BX50" s="137">
        <v>0.32760134296054622</v>
      </c>
      <c r="BY50" s="137">
        <v>0.32760134296054622</v>
      </c>
      <c r="BZ50" s="137">
        <v>0.99986112731510446</v>
      </c>
      <c r="CA50" s="137">
        <v>3.9799554968306797E-2</v>
      </c>
      <c r="CB50" s="137">
        <v>0.90912608967752451</v>
      </c>
      <c r="CC50" s="258">
        <v>-2.5000000000000001E-2</v>
      </c>
      <c r="CD50" s="258">
        <v>2.5000000000000001E-3</v>
      </c>
      <c r="CE50" s="258">
        <v>-2.5000000000000001E-2</v>
      </c>
      <c r="CF50" s="258">
        <v>5.7500000000000002E-2</v>
      </c>
      <c r="CG50" s="258">
        <v>3.8999999999999998E-3</v>
      </c>
      <c r="CH50" s="258">
        <v>1.1667724234921348</v>
      </c>
      <c r="CI50" s="258">
        <v>3.1920000000000002</v>
      </c>
    </row>
    <row r="51" spans="1:87" x14ac:dyDescent="0.25">
      <c r="A51" s="723"/>
      <c r="B51" s="723"/>
      <c r="D51" s="31">
        <f t="shared" si="36"/>
        <v>38153</v>
      </c>
      <c r="F51" s="28">
        <f t="shared" si="37"/>
        <v>25654</v>
      </c>
      <c r="G51" s="28">
        <f t="shared" si="12"/>
        <v>23210.40936039657</v>
      </c>
      <c r="H51" s="52">
        <f t="shared" si="38"/>
        <v>3.2269921351822202</v>
      </c>
      <c r="I51" s="52">
        <f t="shared" si="39"/>
        <v>3.2595000000000001</v>
      </c>
      <c r="K51" s="52">
        <f t="shared" si="28"/>
        <v>0.77648739379538267</v>
      </c>
      <c r="L51" s="135">
        <f t="shared" si="29"/>
        <v>6.3371168858854077E-2</v>
      </c>
      <c r="N51" s="131">
        <f t="shared" si="30"/>
        <v>0.32256221350143816</v>
      </c>
      <c r="O51" s="131">
        <f t="shared" si="31"/>
        <v>0.32256221350143816</v>
      </c>
      <c r="P51" s="55">
        <f t="shared" si="32"/>
        <v>0.99986555527804222</v>
      </c>
      <c r="Q51" s="135">
        <f>_xll.xSPRDOPT(I51,H51,AQ51,0,O51,N51,P51,D51-$G$5,1,0)*AH51*AU51</f>
        <v>0.83985856265423675</v>
      </c>
      <c r="R51" s="135"/>
      <c r="S51" s="181">
        <f>_xll.xSPRDOPT(I51,H51,AQ51,AT51,O51,N51,P51,D51-$G$5,1,2)*AF51*(F51/(1-AR51))*AH51</f>
        <v>-667188.09700855182</v>
      </c>
      <c r="T51" s="181">
        <f>_xll.xSPRDOPT(I51,H51,AQ51,AT51,O51,N51,P51,D51-$G$5,1,1)*AF51*F51*AH51</f>
        <v>663326.1043403534</v>
      </c>
      <c r="U51" s="135"/>
      <c r="V51" s="146">
        <f t="shared" si="40"/>
        <v>1.1236972178066789</v>
      </c>
      <c r="W51" s="146"/>
      <c r="X51" s="338">
        <f t="shared" si="41"/>
        <v>0</v>
      </c>
      <c r="Y51" s="338">
        <f t="shared" si="13"/>
        <v>0</v>
      </c>
      <c r="Z51" s="338">
        <f t="shared" si="14"/>
        <v>-9.1111543378970386E-2</v>
      </c>
      <c r="AA51" s="338">
        <f t="shared" si="15"/>
        <v>0.11262205330501503</v>
      </c>
      <c r="AB51" s="338">
        <f t="shared" si="42"/>
        <v>0</v>
      </c>
      <c r="AC51" s="338">
        <f t="shared" si="43"/>
        <v>7.1711933866314093</v>
      </c>
      <c r="AF51" s="138">
        <f t="shared" si="44"/>
        <v>1</v>
      </c>
      <c r="AG51" s="138">
        <f t="shared" si="45"/>
        <v>6</v>
      </c>
      <c r="AH51" s="138">
        <f t="shared" si="16"/>
        <v>30</v>
      </c>
      <c r="AI51" s="138">
        <f t="shared" si="46"/>
        <v>897</v>
      </c>
      <c r="AJ51" s="138">
        <f t="shared" si="47"/>
        <v>914</v>
      </c>
      <c r="AL51" s="136">
        <f t="shared" si="17"/>
        <v>3.2269999999999999</v>
      </c>
      <c r="AM51" s="258">
        <f t="shared" si="18"/>
        <v>-2.5000000000000001E-2</v>
      </c>
      <c r="AN51" s="258">
        <f t="shared" si="19"/>
        <v>2.5000000000000001E-3</v>
      </c>
      <c r="AO51" s="258">
        <f t="shared" si="20"/>
        <v>-2.5000000000000001E-2</v>
      </c>
      <c r="AP51" s="258">
        <f t="shared" si="21"/>
        <v>5.7500000000000002E-2</v>
      </c>
      <c r="AQ51" s="136">
        <f t="shared" si="48"/>
        <v>3.8999999999999998E-3</v>
      </c>
      <c r="AR51" s="137">
        <f t="shared" si="22"/>
        <v>6.9699999999999996E-3</v>
      </c>
      <c r="AS51" s="136">
        <f t="shared" si="33"/>
        <v>3.2044999999999999</v>
      </c>
      <c r="AT51" s="137">
        <f t="shared" si="34"/>
        <v>4.0538223511899799E-2</v>
      </c>
      <c r="AU51" s="137">
        <f t="shared" si="23"/>
        <v>0.9047481624852487</v>
      </c>
      <c r="AV51" s="394">
        <f t="shared" si="35"/>
        <v>4885.640077420343</v>
      </c>
      <c r="AW51" s="137">
        <f t="shared" si="24"/>
        <v>0.32</v>
      </c>
      <c r="AX51" s="137">
        <f t="shared" si="25"/>
        <v>0.45</v>
      </c>
      <c r="AY51" s="137">
        <f t="shared" si="26"/>
        <v>0.45</v>
      </c>
      <c r="AZ51" s="137"/>
      <c r="BA51" s="264"/>
      <c r="BB51" s="258">
        <f t="shared" si="27"/>
        <v>0</v>
      </c>
      <c r="BC51" s="258">
        <f t="shared" si="49"/>
        <v>0</v>
      </c>
      <c r="BD51" s="137">
        <f t="shared" si="50"/>
        <v>8.3674438265957107E-6</v>
      </c>
      <c r="BE51" s="137">
        <f t="shared" si="51"/>
        <v>8.3674438265957107E-6</v>
      </c>
      <c r="BF51" s="137">
        <f>_xll.xSPRDOPT($BW51,$BV51,$CG51,0,$BY51,$BX51,$BZ51,$AJ51,1,4)*$CB51</f>
        <v>0.61145108806263904</v>
      </c>
      <c r="BG51" s="137">
        <f>_xll.xSPRDOPT($BW51,$BV51,$CG51,0,$BY51,$BX51,$BZ51,$AJ51,1,3)*$CB51</f>
        <v>0.60076738848470213</v>
      </c>
      <c r="BH51" s="137">
        <f>IF(OR(BF51&lt;&gt;0,BG51&lt;&gt;0),_xll.xSPRDOPT($BW51,$BV51,$CG51,0,$BY51,$BX51,$BZ51,$AJ51,1,12)*$CB51,0)</f>
        <v>-0.60608600532894186</v>
      </c>
      <c r="BI51" s="137">
        <f>_xll.xSPRDOPT($BW51,$BV51,$CG51,2*LN(1+CA51/2),$BY51,$BX51,$BZ51,$AJ51,1,9)</f>
        <v>-1.4413386354811004E-5</v>
      </c>
      <c r="BJ51" s="137">
        <f>_xll.xSPRDOPT($BW51,$BV51,$CG51,0,$BY51,$BX51,$BZ51,$AJ51,1,6)*$CB51</f>
        <v>-7.2601409796514069E-2</v>
      </c>
      <c r="BK51" s="137">
        <f>_xll.xSPRDOPT($BW51,$BV51,$CG51,0,$BY51,$BX51,$BZ51,$AJ51,1,5)*$CB51</f>
        <v>9.0089979425349381E-2</v>
      </c>
      <c r="BL51" s="137">
        <f>_xll.xSPRDOPT(BW51,BV51,CG51,0,BY51,BX51,BZ51,AJ51,1,2)*CB51</f>
        <v>-0.86156008574958709</v>
      </c>
      <c r="BM51" s="137">
        <f>_xll.xSPRDOPT(BW51,BV51,CG51,0,BY51,BX51,BZ51,AJ51,1,1)*CB51</f>
        <v>0.86258366064642911</v>
      </c>
      <c r="BN51" s="137">
        <f>IF(AH51&lt;&gt;0,_xll.xSPRDOPT($BW51,$BV51,$CG51,2*LN(1+CA51/2),$BY51,$BX51,$BZ51,$AJ51,1,8)+(AJ51/365.25)*CH51/AH51,0)</f>
        <v>2.4319945167632084E-2</v>
      </c>
      <c r="BO51" s="137">
        <f>_xll.xSPRDOPT($BW51,$BV51,$CG51,0,$BY51,$BX51,$BZ51,$AJ51,1,0)</f>
        <v>3.0941031960375558E-2</v>
      </c>
      <c r="BP51" s="137"/>
      <c r="BQ51" s="137"/>
      <c r="BR51" s="137"/>
      <c r="BS51" s="137"/>
      <c r="BV51" s="262">
        <v>3.2269921351822202</v>
      </c>
      <c r="BW51" s="136">
        <v>3.2595000000000001</v>
      </c>
      <c r="BX51" s="137">
        <v>0.32255384605761156</v>
      </c>
      <c r="BY51" s="137">
        <v>0.32255384605761156</v>
      </c>
      <c r="BZ51" s="137">
        <v>0.99986598912786595</v>
      </c>
      <c r="CA51" s="137">
        <v>4.0538223511899799E-2</v>
      </c>
      <c r="CB51" s="137">
        <v>0.90444997650532444</v>
      </c>
      <c r="CC51" s="258">
        <v>-2.5000000000000001E-2</v>
      </c>
      <c r="CD51" s="258">
        <v>2.5000000000000001E-3</v>
      </c>
      <c r="CE51" s="258">
        <v>-2.5000000000000001E-2</v>
      </c>
      <c r="CF51" s="258">
        <v>5.7500000000000002E-2</v>
      </c>
      <c r="CG51" s="258">
        <v>3.8999999999999998E-3</v>
      </c>
      <c r="CH51" s="258">
        <v>1.1233268708196129</v>
      </c>
      <c r="CI51" s="258">
        <v>3.2269999999999999</v>
      </c>
    </row>
    <row r="52" spans="1:87" x14ac:dyDescent="0.25">
      <c r="A52" s="723"/>
      <c r="B52" s="723"/>
      <c r="D52" s="31">
        <f t="shared" si="36"/>
        <v>38183</v>
      </c>
      <c r="F52" s="28">
        <f t="shared" si="37"/>
        <v>25654</v>
      </c>
      <c r="G52" s="28">
        <f t="shared" si="12"/>
        <v>23094.516910194103</v>
      </c>
      <c r="H52" s="52">
        <f t="shared" si="38"/>
        <v>3.2672728920576417</v>
      </c>
      <c r="I52" s="52">
        <f t="shared" si="39"/>
        <v>3.2995000000000001</v>
      </c>
      <c r="K52" s="52">
        <f t="shared" si="28"/>
        <v>0.79052884833329595</v>
      </c>
      <c r="L52" s="135">
        <f t="shared" si="29"/>
        <v>8.4419973440345131E-2</v>
      </c>
      <c r="N52" s="131">
        <f t="shared" si="30"/>
        <v>0.32377055765666068</v>
      </c>
      <c r="O52" s="131">
        <f t="shared" si="31"/>
        <v>0.32377055765666068</v>
      </c>
      <c r="P52" s="55">
        <f t="shared" si="32"/>
        <v>0.99983527294589691</v>
      </c>
      <c r="Q52" s="135">
        <f>_xll.xSPRDOPT(I52,H52,AQ52,0,O52,N52,P52,D52-$G$5,1,0)*AH52*AU52</f>
        <v>0.87494882177364108</v>
      </c>
      <c r="R52" s="135"/>
      <c r="S52" s="181">
        <f>_xll.xSPRDOPT(I52,H52,AQ52,AT52,O52,N52,P52,D52-$G$5,1,2)*AF52*(F52/(1-AR52))*AH52</f>
        <v>-677506.53370044241</v>
      </c>
      <c r="T52" s="181">
        <f>_xll.xSPRDOPT(I52,H52,AQ52,AT52,O52,N52,P52,D52-$G$5,1,1)*AF52*F52*AH52</f>
        <v>673803.47444913478</v>
      </c>
      <c r="U52" s="135"/>
      <c r="V52" s="146">
        <f t="shared" si="40"/>
        <v>1.1553560069596598</v>
      </c>
      <c r="W52" s="146"/>
      <c r="X52" s="338">
        <f t="shared" si="41"/>
        <v>0</v>
      </c>
      <c r="Y52" s="338">
        <f t="shared" si="13"/>
        <v>0</v>
      </c>
      <c r="Z52" s="338">
        <f t="shared" si="14"/>
        <v>-1.7740074354241044</v>
      </c>
      <c r="AA52" s="338">
        <f t="shared" si="15"/>
        <v>0.21498285271842521</v>
      </c>
      <c r="AB52" s="338">
        <f t="shared" si="42"/>
        <v>0</v>
      </c>
      <c r="AC52" s="338">
        <f t="shared" si="43"/>
        <v>7.5954226602563057</v>
      </c>
      <c r="AF52" s="138">
        <f t="shared" si="44"/>
        <v>1</v>
      </c>
      <c r="AG52" s="138">
        <f t="shared" si="45"/>
        <v>7</v>
      </c>
      <c r="AH52" s="138">
        <f t="shared" si="16"/>
        <v>31</v>
      </c>
      <c r="AI52" s="138">
        <f t="shared" si="46"/>
        <v>927</v>
      </c>
      <c r="AJ52" s="138">
        <f t="shared" si="47"/>
        <v>944</v>
      </c>
      <c r="AL52" s="136">
        <f t="shared" si="17"/>
        <v>3.2669999999999999</v>
      </c>
      <c r="AM52" s="258">
        <f t="shared" si="18"/>
        <v>-2.5000000000000001E-2</v>
      </c>
      <c r="AN52" s="258">
        <f t="shared" si="19"/>
        <v>2.5000000000000001E-3</v>
      </c>
      <c r="AO52" s="258">
        <f t="shared" si="20"/>
        <v>-2.5000000000000001E-2</v>
      </c>
      <c r="AP52" s="258">
        <f t="shared" si="21"/>
        <v>5.7500000000000002E-2</v>
      </c>
      <c r="AQ52" s="136">
        <f t="shared" si="48"/>
        <v>3.8999999999999998E-3</v>
      </c>
      <c r="AR52" s="137">
        <f t="shared" si="22"/>
        <v>6.9699999999999996E-3</v>
      </c>
      <c r="AS52" s="136">
        <f t="shared" si="33"/>
        <v>3.2444999999999999</v>
      </c>
      <c r="AT52" s="137">
        <f t="shared" si="34"/>
        <v>4.12152492802473E-2</v>
      </c>
      <c r="AU52" s="137">
        <f t="shared" si="23"/>
        <v>0.90023064279231713</v>
      </c>
      <c r="AV52" s="394">
        <f t="shared" si="35"/>
        <v>5023.2869867811296</v>
      </c>
      <c r="AW52" s="137">
        <f t="shared" si="24"/>
        <v>0.32</v>
      </c>
      <c r="AX52" s="137">
        <f t="shared" si="25"/>
        <v>0.5</v>
      </c>
      <c r="AY52" s="137">
        <f t="shared" si="26"/>
        <v>0.5</v>
      </c>
      <c r="AZ52" s="137"/>
      <c r="BA52" s="264"/>
      <c r="BB52" s="258">
        <f t="shared" si="27"/>
        <v>0</v>
      </c>
      <c r="BC52" s="258">
        <f t="shared" si="49"/>
        <v>0</v>
      </c>
      <c r="BD52" s="137">
        <f t="shared" si="50"/>
        <v>1.1894249567379056E-5</v>
      </c>
      <c r="BE52" s="137">
        <f t="shared" si="51"/>
        <v>1.1894249567379056E-5</v>
      </c>
      <c r="BF52" s="137">
        <f>_xll.xSPRDOPT($BW52,$BV52,$CG52,0,$BY52,$BX52,$BZ52,$AJ52,1,4)*$CB52</f>
        <v>0.72614100748257127</v>
      </c>
      <c r="BG52" s="137">
        <f>_xll.xSPRDOPT($BW52,$BV52,$CG52,0,$BY52,$BX52,$BZ52,$AJ52,1,3)*$CB52</f>
        <v>0.71372822771265054</v>
      </c>
      <c r="BH52" s="137">
        <f>IF(OR(BF52&lt;&gt;0,BG52&lt;&gt;0),_xll.xSPRDOPT($BW52,$BV52,$CG52,0,$BY52,$BX52,$BZ52,$AJ52,1,12)*$CB52,0)</f>
        <v>-0.71990781872005738</v>
      </c>
      <c r="BI52" s="137">
        <f>_xll.xSPRDOPT($BW52,$BV52,$CG52,2*LN(1+CA52/2),$BY52,$BX52,$BZ52,$AJ52,1,9)</f>
        <v>-2.7158615177018831E-4</v>
      </c>
      <c r="BJ52" s="137">
        <f>_xll.xSPRDOPT($BW52,$BV52,$CG52,0,$BY52,$BX52,$BZ52,$AJ52,1,6)*$CB52</f>
        <v>-7.3183341042284814E-2</v>
      </c>
      <c r="BK52" s="137">
        <f>_xll.xSPRDOPT($BW52,$BV52,$CG52,0,$BY52,$BX52,$BZ52,$AJ52,1,5)*$CB52</f>
        <v>9.5910753338443067E-2</v>
      </c>
      <c r="BL52" s="137">
        <f>_xll.xSPRDOPT(BW52,BV52,CG52,0,BY52,BX52,BZ52,AJ52,1,2)*CB52</f>
        <v>-0.84674023775748852</v>
      </c>
      <c r="BM52" s="137">
        <f>_xll.xSPRDOPT(BW52,BV52,CG52,0,BY52,BX52,BZ52,AJ52,1,1)*CB52</f>
        <v>0.84802100152715087</v>
      </c>
      <c r="BN52" s="137">
        <f>IF(AH52&lt;&gt;0,_xll.xSPRDOPT($BW52,$BV52,$CG52,2*LN(1+CA52/2),$BY52,$BX52,$BZ52,$AJ52,1,8)+(AJ52/365.25)*CH52/AH52,0)</f>
        <v>2.331524259394617E-2</v>
      </c>
      <c r="BO52" s="137">
        <f>_xll.xSPRDOPT($BW52,$BV52,$CG52,0,$BY52,$BX52,$BZ52,$AJ52,1,0)</f>
        <v>3.1350028033370225E-2</v>
      </c>
      <c r="BP52" s="137"/>
      <c r="BQ52" s="137"/>
      <c r="BR52" s="137"/>
      <c r="BS52" s="137"/>
      <c r="BV52" s="262">
        <v>3.2672728920576417</v>
      </c>
      <c r="BW52" s="136">
        <v>3.2995000000000001</v>
      </c>
      <c r="BX52" s="137">
        <v>0.32375866340709331</v>
      </c>
      <c r="BY52" s="137">
        <v>0.32375866340709331</v>
      </c>
      <c r="BZ52" s="137">
        <v>0.99983578354707547</v>
      </c>
      <c r="CA52" s="137">
        <v>4.12152492802473E-2</v>
      </c>
      <c r="CB52" s="137">
        <v>0.89992904159661324</v>
      </c>
      <c r="CC52" s="258">
        <v>-2.5000000000000001E-2</v>
      </c>
      <c r="CD52" s="258">
        <v>2.5000000000000001E-3</v>
      </c>
      <c r="CE52" s="258">
        <v>-2.5000000000000001E-2</v>
      </c>
      <c r="CF52" s="258">
        <v>5.7500000000000002E-2</v>
      </c>
      <c r="CG52" s="258">
        <v>3.8999999999999998E-3</v>
      </c>
      <c r="CH52" s="258">
        <v>1.1549689319850933</v>
      </c>
      <c r="CI52" s="258">
        <v>3.2669999999999999</v>
      </c>
    </row>
    <row r="53" spans="1:87" x14ac:dyDescent="0.25">
      <c r="A53" s="723"/>
      <c r="B53" s="723"/>
      <c r="D53" s="31">
        <f t="shared" si="36"/>
        <v>38214</v>
      </c>
      <c r="F53" s="28">
        <f t="shared" si="37"/>
        <v>25654</v>
      </c>
      <c r="G53" s="28">
        <f t="shared" si="12"/>
        <v>22975.236705705436</v>
      </c>
      <c r="H53" s="52">
        <f t="shared" si="38"/>
        <v>3.3075536489330637</v>
      </c>
      <c r="I53" s="52">
        <f t="shared" si="39"/>
        <v>3.3395000000000001</v>
      </c>
      <c r="K53" s="52">
        <f t="shared" si="28"/>
        <v>0.77865121187025599</v>
      </c>
      <c r="L53" s="135">
        <f t="shared" si="29"/>
        <v>0.10313662124073242</v>
      </c>
      <c r="N53" s="131">
        <f t="shared" si="30"/>
        <v>0.32493996126723368</v>
      </c>
      <c r="O53" s="131">
        <f t="shared" si="31"/>
        <v>0.32493996126723368</v>
      </c>
      <c r="P53" s="55">
        <f t="shared" si="32"/>
        <v>0.99980841382671781</v>
      </c>
      <c r="Q53" s="135">
        <f>_xll.xSPRDOPT(I53,H53,AQ53,0,O53,N53,P53,D53-$G$5,1,0)*AH53*AU53</f>
        <v>0.88178783311098841</v>
      </c>
      <c r="R53" s="135"/>
      <c r="S53" s="181">
        <f>_xll.xSPRDOPT(I53,H53,AQ53,AT53,O53,N53,P53,D53-$G$5,1,2)*AF53*(F53/(1-AR53))*AH53</f>
        <v>-666243.91747709562</v>
      </c>
      <c r="T53" s="181">
        <f>_xll.xSPRDOPT(I53,H53,AQ53,AT53,O53,N53,P53,D53-$G$5,1,1)*AF53*F53*AH53</f>
        <v>662809.60757799249</v>
      </c>
      <c r="U53" s="135"/>
      <c r="V53" s="146">
        <f t="shared" si="40"/>
        <v>1.1493887420325233</v>
      </c>
      <c r="W53" s="146"/>
      <c r="X53" s="338">
        <f t="shared" si="41"/>
        <v>0</v>
      </c>
      <c r="Y53" s="338">
        <f t="shared" si="13"/>
        <v>0</v>
      </c>
      <c r="Z53" s="338">
        <f t="shared" si="14"/>
        <v>-3.0884472878227283</v>
      </c>
      <c r="AA53" s="338">
        <f t="shared" si="15"/>
        <v>0.32756634759996339</v>
      </c>
      <c r="AB53" s="338">
        <f t="shared" si="42"/>
        <v>0</v>
      </c>
      <c r="AC53" s="338">
        <f t="shared" si="43"/>
        <v>7.776859122616985</v>
      </c>
      <c r="AF53" s="138">
        <f t="shared" si="44"/>
        <v>1</v>
      </c>
      <c r="AG53" s="138">
        <f t="shared" si="45"/>
        <v>8</v>
      </c>
      <c r="AH53" s="138">
        <f t="shared" si="16"/>
        <v>31</v>
      </c>
      <c r="AI53" s="138">
        <f t="shared" si="46"/>
        <v>958</v>
      </c>
      <c r="AJ53" s="138">
        <f t="shared" si="47"/>
        <v>975</v>
      </c>
      <c r="AL53" s="136">
        <f t="shared" si="17"/>
        <v>3.3069999999999999</v>
      </c>
      <c r="AM53" s="258">
        <f t="shared" si="18"/>
        <v>-2.5000000000000001E-2</v>
      </c>
      <c r="AN53" s="258">
        <f t="shared" si="19"/>
        <v>2.5000000000000001E-3</v>
      </c>
      <c r="AO53" s="258">
        <f t="shared" si="20"/>
        <v>-2.5000000000000001E-2</v>
      </c>
      <c r="AP53" s="258">
        <f t="shared" si="21"/>
        <v>5.7500000000000002E-2</v>
      </c>
      <c r="AQ53" s="136">
        <f t="shared" si="48"/>
        <v>3.8999999999999998E-3</v>
      </c>
      <c r="AR53" s="137">
        <f t="shared" si="22"/>
        <v>6.9699999999999996E-3</v>
      </c>
      <c r="AS53" s="136">
        <f t="shared" si="33"/>
        <v>3.2845</v>
      </c>
      <c r="AT53" s="137">
        <f t="shared" si="34"/>
        <v>4.1873365630825901E-2</v>
      </c>
      <c r="AU53" s="137">
        <f t="shared" si="23"/>
        <v>0.89558106750235578</v>
      </c>
      <c r="AV53" s="394">
        <f t="shared" si="35"/>
        <v>4997.3423566631454</v>
      </c>
      <c r="AW53" s="137">
        <f t="shared" si="24"/>
        <v>0.32</v>
      </c>
      <c r="AX53" s="137">
        <f t="shared" si="25"/>
        <v>0.55000000000000004</v>
      </c>
      <c r="AY53" s="137">
        <f t="shared" si="26"/>
        <v>0.55000000000000004</v>
      </c>
      <c r="AZ53" s="137"/>
      <c r="BA53" s="264"/>
      <c r="BB53" s="258">
        <f t="shared" si="27"/>
        <v>0</v>
      </c>
      <c r="BC53" s="258">
        <f t="shared" si="49"/>
        <v>0</v>
      </c>
      <c r="BD53" s="137">
        <f t="shared" si="50"/>
        <v>1.5061519321957206E-5</v>
      </c>
      <c r="BE53" s="137">
        <f t="shared" si="51"/>
        <v>1.5061519321957206E-5</v>
      </c>
      <c r="BF53" s="137">
        <f>_xll.xSPRDOPT($BW53,$BV53,$CG53,0,$BY53,$BX53,$BZ53,$AJ53,1,4)*$CB53</f>
        <v>0.81823790452623513</v>
      </c>
      <c r="BG53" s="137">
        <f>_xll.xSPRDOPT($BW53,$BV53,$CG53,0,$BY53,$BX53,$BZ53,$AJ53,1,3)*$CB53</f>
        <v>0.8045542788251282</v>
      </c>
      <c r="BH53" s="137">
        <f>IF(OR(BF53&lt;&gt;0,BG53&lt;&gt;0),_xll.xSPRDOPT($BW53,$BV53,$CG53,0,$BY53,$BX53,$BZ53,$AJ53,1,12)*$CB53,0)</f>
        <v>-0.811367608776844</v>
      </c>
      <c r="BI53" s="137">
        <f>_xll.xSPRDOPT($BW53,$BV53,$CG53,2*LN(1+CA53/2),$BY53,$BX53,$BZ53,$AJ53,1,9)</f>
        <v>-4.728162335150114E-4</v>
      </c>
      <c r="BJ53" s="137">
        <f>_xll.xSPRDOPT($BW53,$BV53,$CG53,0,$BY53,$BX53,$BZ53,$AJ53,1,6)*$CB53</f>
        <v>-7.2304853809090339E-2</v>
      </c>
      <c r="BK53" s="137">
        <f>_xll.xSPRDOPT($BW53,$BV53,$CG53,0,$BY53,$BX53,$BZ53,$AJ53,1,5)*$CB53</f>
        <v>9.965210695473517E-2</v>
      </c>
      <c r="BL53" s="137">
        <f>_xll.xSPRDOPT(BW53,BV53,CG53,0,BY53,BX53,BZ53,AJ53,1,2)*CB53</f>
        <v>-0.83274047488780067</v>
      </c>
      <c r="BM53" s="137">
        <f>_xll.xSPRDOPT(BW53,BV53,CG53,0,BY53,BX53,BZ53,AJ53,1,1)*CB53</f>
        <v>0.83426047507637024</v>
      </c>
      <c r="BN53" s="137">
        <f>IF(AH53&lt;&gt;0,_xll.xSPRDOPT($BW53,$BV53,$CG53,2*LN(1+CA53/2),$BY53,$BX53,$BZ53,$AJ53,1,8)+(AJ53/365.25)*CH53/AH53,0)</f>
        <v>2.2185585378199174E-2</v>
      </c>
      <c r="BO53" s="137">
        <f>_xll.xSPRDOPT($BW53,$BV53,$CG53,0,$BY53,$BX53,$BZ53,$AJ53,1,0)</f>
        <v>3.1758608707169456E-2</v>
      </c>
      <c r="BP53" s="137"/>
      <c r="BQ53" s="137"/>
      <c r="BR53" s="137"/>
      <c r="BS53" s="137"/>
      <c r="BV53" s="262">
        <v>3.3075536489330637</v>
      </c>
      <c r="BW53" s="136">
        <v>3.3395000000000001</v>
      </c>
      <c r="BX53" s="137">
        <v>0.32492489974791172</v>
      </c>
      <c r="BY53" s="137">
        <v>0.32492489974791172</v>
      </c>
      <c r="BZ53" s="137">
        <v>0.99980898470975599</v>
      </c>
      <c r="CA53" s="137">
        <v>4.1873365630825901E-2</v>
      </c>
      <c r="CB53" s="137">
        <v>0.89527628311247864</v>
      </c>
      <c r="CC53" s="258">
        <v>-2.5000000000000001E-2</v>
      </c>
      <c r="CD53" s="258">
        <v>2.5000000000000001E-3</v>
      </c>
      <c r="CE53" s="258">
        <v>-2.5000000000000001E-2</v>
      </c>
      <c r="CF53" s="258">
        <v>5.7500000000000002E-2</v>
      </c>
      <c r="CG53" s="258">
        <v>3.8999999999999998E-3</v>
      </c>
      <c r="CH53" s="258">
        <v>1.148997581746555</v>
      </c>
      <c r="CI53" s="258">
        <v>3.3069999999999999</v>
      </c>
    </row>
    <row r="54" spans="1:87" x14ac:dyDescent="0.25">
      <c r="A54" s="723"/>
      <c r="B54" s="723"/>
      <c r="D54" s="31">
        <f t="shared" si="36"/>
        <v>38245</v>
      </c>
      <c r="F54" s="28">
        <f t="shared" si="37"/>
        <v>25654</v>
      </c>
      <c r="G54" s="28">
        <f t="shared" si="12"/>
        <v>22854.0843163059</v>
      </c>
      <c r="H54" s="52">
        <f t="shared" si="38"/>
        <v>3.3025185543236359</v>
      </c>
      <c r="I54" s="52">
        <f t="shared" si="39"/>
        <v>3.3345000000000002</v>
      </c>
      <c r="K54" s="52">
        <f t="shared" si="28"/>
        <v>0.75049784892577387</v>
      </c>
      <c r="L54" s="135">
        <f t="shared" si="29"/>
        <v>9.5172207475170745E-2</v>
      </c>
      <c r="N54" s="131">
        <f t="shared" si="30"/>
        <v>0.32463755456303778</v>
      </c>
      <c r="O54" s="131">
        <f t="shared" si="31"/>
        <v>0.32463755456303778</v>
      </c>
      <c r="P54" s="55">
        <f t="shared" si="32"/>
        <v>0.99981989129684878</v>
      </c>
      <c r="Q54" s="135">
        <f>_xll.xSPRDOPT(I54,H54,AQ54,0,O54,N54,P54,D54-$G$5,1,0)*AH54*AU54</f>
        <v>0.84567005640094461</v>
      </c>
      <c r="R54" s="135"/>
      <c r="S54" s="181">
        <f>_xll.xSPRDOPT(I54,H54,AQ54,AT54,O54,N54,P54,D54-$G$5,1,2)*AF54*(F54/(1-AR54))*AH54</f>
        <v>-643990.45827576774</v>
      </c>
      <c r="T54" s="181">
        <f>_xll.xSPRDOPT(I54,H54,AQ54,AT54,O54,N54,P54,D54-$G$5,1,1)*AF54*F54*AH54</f>
        <v>640614.18890590337</v>
      </c>
      <c r="U54" s="135"/>
      <c r="V54" s="146">
        <f t="shared" si="40"/>
        <v>1.1064462742984302</v>
      </c>
      <c r="W54" s="146"/>
      <c r="X54" s="338">
        <f t="shared" si="41"/>
        <v>0</v>
      </c>
      <c r="Y54" s="338">
        <f t="shared" si="13"/>
        <v>0</v>
      </c>
      <c r="Z54" s="338">
        <f t="shared" si="14"/>
        <v>-2.268387062058554</v>
      </c>
      <c r="AA54" s="338">
        <f t="shared" si="15"/>
        <v>0.27896821840106711</v>
      </c>
      <c r="AB54" s="338">
        <f t="shared" si="42"/>
        <v>0</v>
      </c>
      <c r="AC54" s="338">
        <f t="shared" si="43"/>
        <v>7.5755333859699299</v>
      </c>
      <c r="AF54" s="138">
        <f t="shared" si="44"/>
        <v>1</v>
      </c>
      <c r="AG54" s="138">
        <f t="shared" si="45"/>
        <v>9</v>
      </c>
      <c r="AH54" s="138">
        <f t="shared" si="16"/>
        <v>30</v>
      </c>
      <c r="AI54" s="138">
        <f t="shared" si="46"/>
        <v>989</v>
      </c>
      <c r="AJ54" s="138">
        <f t="shared" si="47"/>
        <v>1006</v>
      </c>
      <c r="AL54" s="136">
        <f t="shared" si="17"/>
        <v>3.302</v>
      </c>
      <c r="AM54" s="258">
        <f t="shared" si="18"/>
        <v>-2.5000000000000001E-2</v>
      </c>
      <c r="AN54" s="258">
        <f t="shared" si="19"/>
        <v>2.5000000000000001E-3</v>
      </c>
      <c r="AO54" s="258">
        <f t="shared" si="20"/>
        <v>-2.5000000000000001E-2</v>
      </c>
      <c r="AP54" s="258">
        <f t="shared" si="21"/>
        <v>5.7500000000000002E-2</v>
      </c>
      <c r="AQ54" s="136">
        <f t="shared" si="48"/>
        <v>3.8999999999999998E-3</v>
      </c>
      <c r="AR54" s="137">
        <f t="shared" si="22"/>
        <v>6.9699999999999996E-3</v>
      </c>
      <c r="AS54" s="136">
        <f t="shared" si="33"/>
        <v>3.2795000000000001</v>
      </c>
      <c r="AT54" s="137">
        <f t="shared" si="34"/>
        <v>4.2531482126591399E-2</v>
      </c>
      <c r="AU54" s="137">
        <f t="shared" si="23"/>
        <v>0.89085851392788262</v>
      </c>
      <c r="AV54" s="394">
        <f t="shared" si="35"/>
        <v>4810.6359752105664</v>
      </c>
      <c r="AW54" s="137">
        <f t="shared" si="24"/>
        <v>0.32</v>
      </c>
      <c r="AX54" s="137">
        <f t="shared" si="25"/>
        <v>0.55000000000000004</v>
      </c>
      <c r="AY54" s="137">
        <f t="shared" si="26"/>
        <v>0.55000000000000004</v>
      </c>
      <c r="AZ54" s="137"/>
      <c r="BA54" s="264"/>
      <c r="BB54" s="258">
        <f t="shared" si="27"/>
        <v>0</v>
      </c>
      <c r="BC54" s="258">
        <f t="shared" si="49"/>
        <v>0</v>
      </c>
      <c r="BD54" s="137">
        <f t="shared" si="50"/>
        <v>1.3717559126436019E-5</v>
      </c>
      <c r="BE54" s="137">
        <f t="shared" si="51"/>
        <v>1.3717559126436019E-5</v>
      </c>
      <c r="BF54" s="137">
        <f>_xll.xSPRDOPT($BW54,$BV54,$CG54,0,$BY54,$BX54,$BZ54,$AJ54,1,4)*$CB54</f>
        <v>0.7563217784869618</v>
      </c>
      <c r="BG54" s="137">
        <f>_xll.xSPRDOPT($BW54,$BV54,$CG54,0,$BY54,$BX54,$BZ54,$AJ54,1,3)*$CB54</f>
        <v>0.74363862655879276</v>
      </c>
      <c r="BH54" s="137">
        <f>IF(OR(BF54&lt;&gt;0,BG54&lt;&gt;0),_xll.xSPRDOPT($BW54,$BV54,$CG54,0,$BY54,$BX54,$BZ54,$AJ54,1,12)*$CB54,0)</f>
        <v>-0.74995355359284432</v>
      </c>
      <c r="BI54" s="137">
        <f>_xll.xSPRDOPT($BW54,$BV54,$CG54,2*LN(1+CA54/2),$BY54,$BX54,$BZ54,$AJ54,1,9)</f>
        <v>-3.5884738547026966E-4</v>
      </c>
      <c r="BJ54" s="137">
        <f>_xll.xSPRDOPT($BW54,$BV54,$CG54,0,$BY54,$BX54,$BZ54,$AJ54,1,6)*$CB54</f>
        <v>-7.5427221680159418E-2</v>
      </c>
      <c r="BK54" s="137">
        <f>_xll.xSPRDOPT($BW54,$BV54,$CG54,0,$BY54,$BX54,$BZ54,$AJ54,1,5)*$CB54</f>
        <v>0.10185140313205428</v>
      </c>
      <c r="BL54" s="137">
        <f>_xll.xSPRDOPT(BW54,BV54,CG54,0,BY54,BX54,BZ54,AJ54,1,2)*CB54</f>
        <v>-0.83180124901342312</v>
      </c>
      <c r="BM54" s="137">
        <f>_xll.xSPRDOPT(BW54,BV54,CG54,0,BY54,BX54,BZ54,AJ54,1,1)*CB54</f>
        <v>0.83324600100561719</v>
      </c>
      <c r="BN54" s="137">
        <f>IF(AH54&lt;&gt;0,_xll.xSPRDOPT($BW54,$BV54,$CG54,2*LN(1+CA54/2),$BY54,$BX54,$BZ54,$AJ54,1,8)+(AJ54/365.25)*CH54/AH54,0)</f>
        <v>2.312068179951357E-2</v>
      </c>
      <c r="BO54" s="137">
        <f>_xll.xSPRDOPT($BW54,$BV54,$CG54,0,$BY54,$BX54,$BZ54,$AJ54,1,0)</f>
        <v>3.1640017324815861E-2</v>
      </c>
      <c r="BP54" s="137"/>
      <c r="BQ54" s="137"/>
      <c r="BR54" s="137"/>
      <c r="BS54" s="137"/>
      <c r="BV54" s="262">
        <v>3.3025185543236359</v>
      </c>
      <c r="BW54" s="136">
        <v>3.3345000000000002</v>
      </c>
      <c r="BX54" s="137">
        <v>0.32462383700391134</v>
      </c>
      <c r="BY54" s="137">
        <v>0.32462383700391134</v>
      </c>
      <c r="BZ54" s="137">
        <v>0.99982041269036559</v>
      </c>
      <c r="CA54" s="137">
        <v>4.2531482126591399E-2</v>
      </c>
      <c r="CB54" s="137">
        <v>0.89055062233660143</v>
      </c>
      <c r="CC54" s="258">
        <v>-2.5000000000000001E-2</v>
      </c>
      <c r="CD54" s="258">
        <v>2.5000000000000001E-3</v>
      </c>
      <c r="CE54" s="258">
        <v>-2.5000000000000001E-2</v>
      </c>
      <c r="CF54" s="258">
        <v>5.7500000000000002E-2</v>
      </c>
      <c r="CG54" s="258">
        <v>3.8999999999999998E-3</v>
      </c>
      <c r="CH54" s="258">
        <v>1.1060638729420589</v>
      </c>
      <c r="CI54" s="258">
        <v>3.302</v>
      </c>
    </row>
    <row r="55" spans="1:87" x14ac:dyDescent="0.25">
      <c r="A55" s="723"/>
      <c r="B55" s="723"/>
      <c r="D55" s="31">
        <f t="shared" si="36"/>
        <v>38275</v>
      </c>
      <c r="F55" s="28">
        <f t="shared" si="37"/>
        <v>25654</v>
      </c>
      <c r="G55" s="28">
        <f t="shared" si="12"/>
        <v>22737.310869278852</v>
      </c>
      <c r="H55" s="52">
        <f t="shared" si="38"/>
        <v>3.3276940273707742</v>
      </c>
      <c r="I55" s="52">
        <f t="shared" si="39"/>
        <v>3.3595000000000002</v>
      </c>
      <c r="K55" s="52">
        <f t="shared" si="28"/>
        <v>0.76673072496254724</v>
      </c>
      <c r="L55" s="135">
        <f t="shared" si="29"/>
        <v>0.12089129783575414</v>
      </c>
      <c r="N55" s="131">
        <f t="shared" si="30"/>
        <v>0.3259749105978777</v>
      </c>
      <c r="O55" s="131">
        <f t="shared" si="31"/>
        <v>0.3259749105978777</v>
      </c>
      <c r="P55" s="55">
        <f t="shared" si="32"/>
        <v>0.99978680125466679</v>
      </c>
      <c r="Q55" s="135">
        <f>_xll.xSPRDOPT(I55,H55,AQ55,0,O55,N55,P55,D55-$G$5,1,0)*AH55*AU55</f>
        <v>0.88762202279830138</v>
      </c>
      <c r="R55" s="135"/>
      <c r="S55" s="181">
        <f>_xll.xSPRDOPT(I55,H55,AQ55,AT55,O55,N55,P55,D55-$G$5,1,2)*AF55*(F55/(1-AR55))*AH55</f>
        <v>-652730.36114673445</v>
      </c>
      <c r="T55" s="181">
        <f>_xll.xSPRDOPT(I55,H55,AQ55,AT55,O55,N55,P55,D55-$G$5,1,1)*AF55*F55*AH55</f>
        <v>649565.5320765099</v>
      </c>
      <c r="U55" s="135"/>
      <c r="V55" s="146">
        <f t="shared" si="40"/>
        <v>1.1374859581208574</v>
      </c>
      <c r="W55" s="146"/>
      <c r="X55" s="338">
        <f t="shared" si="41"/>
        <v>0</v>
      </c>
      <c r="Y55" s="338">
        <f t="shared" si="13"/>
        <v>0</v>
      </c>
      <c r="Z55" s="338">
        <f t="shared" si="14"/>
        <v>-3.629566460560758</v>
      </c>
      <c r="AA55" s="338">
        <f t="shared" si="15"/>
        <v>0.42730536496303811</v>
      </c>
      <c r="AB55" s="338">
        <f t="shared" si="42"/>
        <v>0</v>
      </c>
      <c r="AC55" s="338">
        <f t="shared" si="43"/>
        <v>8.0636476398730377</v>
      </c>
      <c r="AF55" s="138">
        <f t="shared" si="44"/>
        <v>1</v>
      </c>
      <c r="AG55" s="138">
        <f t="shared" si="45"/>
        <v>10</v>
      </c>
      <c r="AH55" s="138">
        <f t="shared" si="16"/>
        <v>31</v>
      </c>
      <c r="AI55" s="138">
        <f t="shared" si="46"/>
        <v>1019</v>
      </c>
      <c r="AJ55" s="138">
        <f t="shared" si="47"/>
        <v>1036</v>
      </c>
      <c r="AL55" s="136">
        <f t="shared" si="17"/>
        <v>3.327</v>
      </c>
      <c r="AM55" s="258">
        <f t="shared" si="18"/>
        <v>-2.5000000000000001E-2</v>
      </c>
      <c r="AN55" s="258">
        <f t="shared" si="19"/>
        <v>2.5000000000000001E-3</v>
      </c>
      <c r="AO55" s="258">
        <f t="shared" si="20"/>
        <v>-2.5000000000000001E-2</v>
      </c>
      <c r="AP55" s="258">
        <f t="shared" si="21"/>
        <v>5.7500000000000002E-2</v>
      </c>
      <c r="AQ55" s="136">
        <f t="shared" si="48"/>
        <v>3.8999999999999998E-3</v>
      </c>
      <c r="AR55" s="137">
        <f t="shared" si="22"/>
        <v>6.9699999999999996E-3</v>
      </c>
      <c r="AS55" s="136">
        <f t="shared" si="33"/>
        <v>3.3045</v>
      </c>
      <c r="AT55" s="137">
        <f t="shared" si="34"/>
        <v>4.3133129078657198E-2</v>
      </c>
      <c r="AU55" s="137">
        <f t="shared" si="23"/>
        <v>0.88630665273559095</v>
      </c>
      <c r="AV55" s="394">
        <f t="shared" si="35"/>
        <v>4945.5911222645973</v>
      </c>
      <c r="AW55" s="137">
        <f t="shared" si="24"/>
        <v>0.32</v>
      </c>
      <c r="AX55" s="137">
        <f t="shared" si="25"/>
        <v>0.6</v>
      </c>
      <c r="AY55" s="137">
        <f t="shared" si="26"/>
        <v>0.6</v>
      </c>
      <c r="AZ55" s="137"/>
      <c r="BA55" s="264"/>
      <c r="BB55" s="258">
        <f t="shared" si="27"/>
        <v>0</v>
      </c>
      <c r="BC55" s="258">
        <f t="shared" si="49"/>
        <v>0</v>
      </c>
      <c r="BD55" s="137">
        <f t="shared" si="50"/>
        <v>1.711896265560453E-5</v>
      </c>
      <c r="BE55" s="137">
        <f t="shared" si="51"/>
        <v>1.711896265560453E-5</v>
      </c>
      <c r="BF55" s="137">
        <f>_xll.xSPRDOPT($BW55,$BV55,$CG55,0,$BY55,$BX55,$BZ55,$AJ55,1,4)*$CB55</f>
        <v>0.87092928729866892</v>
      </c>
      <c r="BG55" s="137">
        <f>_xll.xSPRDOPT($BW55,$BV55,$CG55,0,$BY55,$BX55,$BZ55,$AJ55,1,3)*$CB55</f>
        <v>0.85652224757570328</v>
      </c>
      <c r="BH55" s="137">
        <f>IF(OR(BF55&lt;&gt;0,BG55&lt;&gt;0),_xll.xSPRDOPT($BW55,$BV55,$CG55,0,$BY55,$BX55,$BZ55,$AJ55,1,12)*$CB55,0)</f>
        <v>-0.8636961067384239</v>
      </c>
      <c r="BI55" s="137">
        <f>_xll.xSPRDOPT($BW55,$BV55,$CG55,2*LN(1+CA55/2),$BY55,$BX55,$BZ55,$AJ55,1,9)</f>
        <v>-5.5565719056988191E-4</v>
      </c>
      <c r="BJ55" s="137">
        <f>_xll.xSPRDOPT($BW55,$BV55,$CG55,0,$BY55,$BX55,$BZ55,$AJ55,1,6)*$CB55</f>
        <v>-7.2183912076273421E-2</v>
      </c>
      <c r="BK55" s="137">
        <f>_xll.xSPRDOPT($BW55,$BV55,$CG55,0,$BY55,$BX55,$BZ55,$AJ55,1,5)*$CB55</f>
        <v>0.10357050081215025</v>
      </c>
      <c r="BL55" s="137">
        <f>_xll.xSPRDOPT(BW55,BV55,CG55,0,BY55,BX55,BZ55,AJ55,1,2)*CB55</f>
        <v>-0.81597306369329126</v>
      </c>
      <c r="BM55" s="137">
        <f>_xll.xSPRDOPT(BW55,BV55,CG55,0,BY55,BX55,BZ55,AJ55,1,1)*CB55</f>
        <v>0.81771372938759068</v>
      </c>
      <c r="BN55" s="137">
        <f>IF(AH55&lt;&gt;0,_xll.xSPRDOPT($BW55,$BV55,$CG55,2*LN(1+CA55/2),$BY55,$BX55,$BZ55,$AJ55,1,8)+(AJ55/365.25)*CH55/AH55,0)</f>
        <v>2.1103312101477562E-2</v>
      </c>
      <c r="BO55" s="137">
        <f>_xll.xSPRDOPT($BW55,$BV55,$CG55,0,$BY55,$BX55,$BZ55,$AJ55,1,0)</f>
        <v>3.2302860207550785E-2</v>
      </c>
      <c r="BP55" s="137"/>
      <c r="BQ55" s="137"/>
      <c r="BR55" s="137"/>
      <c r="BS55" s="137"/>
      <c r="BV55" s="262">
        <v>3.3276940273707742</v>
      </c>
      <c r="BW55" s="136">
        <v>3.3595000000000002</v>
      </c>
      <c r="BX55" s="137">
        <v>0.32595779163522209</v>
      </c>
      <c r="BY55" s="137">
        <v>0.32595779163522209</v>
      </c>
      <c r="BZ55" s="137">
        <v>0.99978739540318295</v>
      </c>
      <c r="CA55" s="137">
        <v>4.3133129078657198E-2</v>
      </c>
      <c r="CB55" s="137">
        <v>0.88599604782278252</v>
      </c>
      <c r="CC55" s="258">
        <v>-2.5000000000000001E-2</v>
      </c>
      <c r="CD55" s="258">
        <v>2.5000000000000001E-3</v>
      </c>
      <c r="CE55" s="258">
        <v>-2.5000000000000001E-2</v>
      </c>
      <c r="CF55" s="258">
        <v>5.7500000000000002E-2</v>
      </c>
      <c r="CG55" s="258">
        <v>3.8999999999999998E-3</v>
      </c>
      <c r="CH55" s="258">
        <v>1.1370873277757589</v>
      </c>
      <c r="CI55" s="258">
        <v>3.327</v>
      </c>
    </row>
    <row r="56" spans="1:87" x14ac:dyDescent="0.25">
      <c r="A56" s="723"/>
      <c r="B56" s="723"/>
      <c r="D56" s="31">
        <f t="shared" si="36"/>
        <v>38306</v>
      </c>
      <c r="F56" s="28">
        <f t="shared" si="37"/>
        <v>25654</v>
      </c>
      <c r="G56" s="28">
        <f t="shared" si="12"/>
        <v>0</v>
      </c>
      <c r="H56" s="52">
        <f t="shared" si="38"/>
        <v>3.4819693262036395</v>
      </c>
      <c r="I56" s="52">
        <f t="shared" si="39"/>
        <v>3.5115000000000003</v>
      </c>
      <c r="K56" s="52">
        <f t="shared" si="28"/>
        <v>0</v>
      </c>
      <c r="L56" s="135">
        <f t="shared" si="29"/>
        <v>0</v>
      </c>
      <c r="N56" s="131">
        <f t="shared" si="30"/>
        <v>0.32</v>
      </c>
      <c r="O56" s="131">
        <f t="shared" si="31"/>
        <v>0.32</v>
      </c>
      <c r="P56" s="55">
        <f t="shared" si="32"/>
        <v>0</v>
      </c>
      <c r="Q56" s="135">
        <f>_xll.xSPRDOPT(I56,H56,AQ56,0,O56,N56,P56,D56-$G$5,1,0)*AH56*AU56</f>
        <v>0</v>
      </c>
      <c r="R56" s="135"/>
      <c r="S56" s="181">
        <f>_xll.xSPRDOPT(I56,H56,AQ56,AT56,O56,N56,P56,D56-$G$5,1,2)*AF56*(F56/(1-AR56))*AH56</f>
        <v>0</v>
      </c>
      <c r="T56" s="181">
        <f>_xll.xSPRDOPT(I56,H56,AQ56,AT56,O56,N56,P56,D56-$G$5,1,1)*AF56*F56*AH56</f>
        <v>0</v>
      </c>
      <c r="U56" s="135"/>
      <c r="V56" s="146">
        <f t="shared" si="40"/>
        <v>0</v>
      </c>
      <c r="W56" s="146"/>
      <c r="X56" s="338">
        <f t="shared" si="41"/>
        <v>0</v>
      </c>
      <c r="Y56" s="338">
        <f t="shared" si="13"/>
        <v>0</v>
      </c>
      <c r="Z56" s="338">
        <f t="shared" si="14"/>
        <v>0</v>
      </c>
      <c r="AA56" s="338">
        <f t="shared" si="15"/>
        <v>0</v>
      </c>
      <c r="AB56" s="338">
        <f t="shared" si="42"/>
        <v>0</v>
      </c>
      <c r="AC56" s="338">
        <f t="shared" si="43"/>
        <v>0</v>
      </c>
      <c r="AF56" s="138">
        <f t="shared" si="44"/>
        <v>0</v>
      </c>
      <c r="AG56" s="138">
        <f t="shared" si="45"/>
        <v>11</v>
      </c>
      <c r="AH56" s="138">
        <f t="shared" si="16"/>
        <v>0</v>
      </c>
      <c r="AI56" s="138">
        <f t="shared" si="46"/>
        <v>1050</v>
      </c>
      <c r="AJ56" s="138">
        <f t="shared" si="47"/>
        <v>1067</v>
      </c>
      <c r="AL56" s="136">
        <f t="shared" si="17"/>
        <v>3.4790000000000001</v>
      </c>
      <c r="AM56" s="258">
        <f t="shared" si="18"/>
        <v>-2.5000000000000001E-2</v>
      </c>
      <c r="AN56" s="258">
        <f t="shared" si="19"/>
        <v>3.7000000000000002E-3</v>
      </c>
      <c r="AO56" s="258">
        <f t="shared" si="20"/>
        <v>-2.5000000000000001E-2</v>
      </c>
      <c r="AP56" s="258">
        <f t="shared" si="21"/>
        <v>5.7500000000000002E-2</v>
      </c>
      <c r="AQ56" s="136">
        <f t="shared" si="48"/>
        <v>3.8999999999999998E-3</v>
      </c>
      <c r="AR56" s="137">
        <f t="shared" si="22"/>
        <v>6.9699999999999996E-3</v>
      </c>
      <c r="AS56" s="136">
        <f t="shared" si="33"/>
        <v>3.4577</v>
      </c>
      <c r="AT56" s="137">
        <f t="shared" si="34"/>
        <v>4.37209690349563E-2</v>
      </c>
      <c r="AU56" s="137">
        <f t="shared" si="23"/>
        <v>0</v>
      </c>
      <c r="AV56" s="394">
        <f t="shared" si="35"/>
        <v>0</v>
      </c>
      <c r="AW56" s="137">
        <f t="shared" si="24"/>
        <v>0.32</v>
      </c>
      <c r="AX56" s="137">
        <f t="shared" si="25"/>
        <v>0.8</v>
      </c>
      <c r="AY56" s="137">
        <f t="shared" si="26"/>
        <v>0.8</v>
      </c>
      <c r="AZ56" s="137"/>
      <c r="BA56" s="264"/>
      <c r="BB56" s="258">
        <f t="shared" si="27"/>
        <v>0</v>
      </c>
      <c r="BC56" s="258">
        <f t="shared" si="49"/>
        <v>0</v>
      </c>
      <c r="BD56" s="137">
        <f t="shared" si="50"/>
        <v>0</v>
      </c>
      <c r="BE56" s="137">
        <f t="shared" si="51"/>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-0.11040907980502906</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1.0655629684989829</v>
      </c>
      <c r="BP56" s="137"/>
      <c r="BQ56" s="137"/>
      <c r="BR56" s="137"/>
      <c r="BS56" s="137"/>
      <c r="BV56" s="262">
        <v>3.4819693262036395</v>
      </c>
      <c r="BW56" s="136">
        <v>3.5115000000000003</v>
      </c>
      <c r="BX56" s="137">
        <v>0.32</v>
      </c>
      <c r="BY56" s="137">
        <v>0.32</v>
      </c>
      <c r="BZ56" s="137">
        <v>0</v>
      </c>
      <c r="CA56" s="137">
        <v>4.37209690349563E-2</v>
      </c>
      <c r="CB56" s="137">
        <v>0</v>
      </c>
      <c r="CC56" s="258">
        <v>-2.5000000000000001E-2</v>
      </c>
      <c r="CD56" s="258">
        <v>3.7000000000000002E-3</v>
      </c>
      <c r="CE56" s="258">
        <v>-2.5000000000000001E-2</v>
      </c>
      <c r="CF56" s="258">
        <v>5.7500000000000002E-2</v>
      </c>
      <c r="CG56" s="258">
        <v>3.8999999999999998E-3</v>
      </c>
      <c r="CH56" s="258">
        <v>0</v>
      </c>
      <c r="CI56" s="258">
        <v>3.4790000000000001</v>
      </c>
    </row>
    <row r="57" spans="1:87" x14ac:dyDescent="0.25">
      <c r="A57" s="723"/>
      <c r="B57" s="723"/>
      <c r="D57" s="31">
        <f t="shared" si="36"/>
        <v>38306</v>
      </c>
      <c r="F57" s="28">
        <f t="shared" si="37"/>
        <v>25654</v>
      </c>
      <c r="G57" s="28">
        <f t="shared" si="12"/>
        <v>0</v>
      </c>
      <c r="H57" s="52">
        <f t="shared" si="38"/>
        <v>3.4819693262036395</v>
      </c>
      <c r="I57" s="52">
        <f t="shared" si="39"/>
        <v>3.5115000000000003</v>
      </c>
      <c r="K57" s="52">
        <f t="shared" si="28"/>
        <v>0</v>
      </c>
      <c r="L57" s="135">
        <f t="shared" si="29"/>
        <v>0</v>
      </c>
      <c r="N57" s="131">
        <f t="shared" si="30"/>
        <v>0.32</v>
      </c>
      <c r="O57" s="131">
        <f t="shared" si="31"/>
        <v>0.32</v>
      </c>
      <c r="P57" s="55">
        <f t="shared" si="32"/>
        <v>0</v>
      </c>
      <c r="Q57" s="135">
        <f>_xll.xSPRDOPT(I57,H57,AQ57,0,O57,N57,P57,D57-$G$5,1,0)*AH57*AU57</f>
        <v>0</v>
      </c>
      <c r="R57" s="135"/>
      <c r="S57" s="181">
        <f>_xll.xSPRDOPT(I57,H57,AQ57,AT57,O57,N57,P57,D57-$G$5,1,2)*AF57*(F57/(1-AR57))*AH57</f>
        <v>0</v>
      </c>
      <c r="T57" s="181">
        <f>_xll.xSPRDOPT(I57,H57,AQ57,AT57,O57,N57,P57,D57-$G$5,1,1)*AF57*F57*AH57</f>
        <v>0</v>
      </c>
      <c r="U57" s="135"/>
      <c r="V57" s="146">
        <f t="shared" si="40"/>
        <v>0</v>
      </c>
      <c r="W57" s="146"/>
      <c r="X57" s="338">
        <f t="shared" si="41"/>
        <v>0</v>
      </c>
      <c r="Y57" s="338">
        <f t="shared" si="13"/>
        <v>0</v>
      </c>
      <c r="Z57" s="338">
        <f t="shared" si="14"/>
        <v>0</v>
      </c>
      <c r="AA57" s="338">
        <f t="shared" si="15"/>
        <v>0</v>
      </c>
      <c r="AB57" s="338">
        <f t="shared" si="42"/>
        <v>0</v>
      </c>
      <c r="AC57" s="338">
        <f t="shared" si="43"/>
        <v>0</v>
      </c>
      <c r="AF57" s="138">
        <f t="shared" si="44"/>
        <v>0</v>
      </c>
      <c r="AG57" s="138">
        <f t="shared" si="45"/>
        <v>11</v>
      </c>
      <c r="AH57" s="138">
        <f t="shared" si="16"/>
        <v>0</v>
      </c>
      <c r="AI57" s="138">
        <f t="shared" si="46"/>
        <v>1050</v>
      </c>
      <c r="AJ57" s="138">
        <f t="shared" si="47"/>
        <v>1067</v>
      </c>
      <c r="AL57" s="136">
        <f t="shared" si="17"/>
        <v>3.4790000000000001</v>
      </c>
      <c r="AM57" s="258">
        <f t="shared" si="18"/>
        <v>-2.5000000000000001E-2</v>
      </c>
      <c r="AN57" s="258">
        <f t="shared" si="19"/>
        <v>3.7000000000000002E-3</v>
      </c>
      <c r="AO57" s="258">
        <f t="shared" si="20"/>
        <v>-2.5000000000000001E-2</v>
      </c>
      <c r="AP57" s="258">
        <f t="shared" si="21"/>
        <v>5.7500000000000002E-2</v>
      </c>
      <c r="AQ57" s="136">
        <f t="shared" si="48"/>
        <v>3.8999999999999998E-3</v>
      </c>
      <c r="AR57" s="137">
        <f t="shared" si="22"/>
        <v>6.9699999999999996E-3</v>
      </c>
      <c r="AS57" s="136">
        <f t="shared" si="33"/>
        <v>3.4577</v>
      </c>
      <c r="AT57" s="137">
        <f t="shared" si="34"/>
        <v>4.37209690349563E-2</v>
      </c>
      <c r="AU57" s="137">
        <f t="shared" si="23"/>
        <v>0</v>
      </c>
      <c r="AV57" s="394">
        <f t="shared" si="35"/>
        <v>0</v>
      </c>
      <c r="AW57" s="137">
        <f t="shared" si="24"/>
        <v>0.32</v>
      </c>
      <c r="AX57" s="137">
        <f t="shared" si="25"/>
        <v>0.8</v>
      </c>
      <c r="AY57" s="137">
        <f t="shared" si="26"/>
        <v>0.8</v>
      </c>
      <c r="AZ57" s="137"/>
      <c r="BA57" s="264"/>
      <c r="BB57" s="258">
        <f t="shared" si="27"/>
        <v>0</v>
      </c>
      <c r="BC57" s="258">
        <f t="shared" si="49"/>
        <v>0</v>
      </c>
      <c r="BD57" s="137">
        <f t="shared" si="50"/>
        <v>0</v>
      </c>
      <c r="BE57" s="137">
        <f t="shared" si="51"/>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-0.11040907980502906</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1.0655629684989829</v>
      </c>
      <c r="BP57" s="137"/>
      <c r="BQ57" s="137"/>
      <c r="BR57" s="137"/>
      <c r="BS57" s="137"/>
      <c r="BV57" s="262">
        <v>3.4819693262036395</v>
      </c>
      <c r="BW57" s="136">
        <v>3.5115000000000003</v>
      </c>
      <c r="BX57" s="137">
        <v>0.32</v>
      </c>
      <c r="BY57" s="137">
        <v>0.32</v>
      </c>
      <c r="BZ57" s="137">
        <v>0</v>
      </c>
      <c r="CA57" s="137">
        <v>4.37209690349563E-2</v>
      </c>
      <c r="CB57" s="137">
        <v>0</v>
      </c>
      <c r="CC57" s="258">
        <v>-2.5000000000000001E-2</v>
      </c>
      <c r="CD57" s="258">
        <v>3.7000000000000002E-3</v>
      </c>
      <c r="CE57" s="258">
        <v>-2.5000000000000001E-2</v>
      </c>
      <c r="CF57" s="258">
        <v>5.7500000000000002E-2</v>
      </c>
      <c r="CG57" s="258">
        <v>3.8999999999999998E-3</v>
      </c>
      <c r="CH57" s="258">
        <v>0</v>
      </c>
      <c r="CI57" s="258">
        <v>3.4790000000000001</v>
      </c>
    </row>
    <row r="58" spans="1:87" x14ac:dyDescent="0.25">
      <c r="A58" s="723"/>
      <c r="B58" s="723"/>
      <c r="D58" s="31">
        <f t="shared" si="36"/>
        <v>38306</v>
      </c>
      <c r="F58" s="28">
        <f t="shared" si="37"/>
        <v>25654</v>
      </c>
      <c r="G58" s="28">
        <f t="shared" si="12"/>
        <v>0</v>
      </c>
      <c r="H58" s="52">
        <f t="shared" si="38"/>
        <v>3.4819693262036395</v>
      </c>
      <c r="I58" s="52">
        <f t="shared" si="39"/>
        <v>3.5115000000000003</v>
      </c>
      <c r="K58" s="52">
        <f t="shared" si="28"/>
        <v>0</v>
      </c>
      <c r="L58" s="135">
        <f t="shared" si="29"/>
        <v>0</v>
      </c>
      <c r="N58" s="131">
        <f t="shared" si="30"/>
        <v>0.32</v>
      </c>
      <c r="O58" s="131">
        <f t="shared" si="31"/>
        <v>0.32</v>
      </c>
      <c r="P58" s="55">
        <f t="shared" si="32"/>
        <v>0</v>
      </c>
      <c r="Q58" s="135">
        <f>_xll.xSPRDOPT(I58,H58,AQ58,0,O58,N58,P58,D58-$G$5,1,0)*AH58*AU58</f>
        <v>0</v>
      </c>
      <c r="R58" s="135"/>
      <c r="S58" s="181">
        <f>_xll.xSPRDOPT(I58,H58,AQ58,AT58,O58,N58,P58,D58-$G$5,1,2)*AF58*(F58/(1-AR58))*AH58</f>
        <v>0</v>
      </c>
      <c r="T58" s="181">
        <f>_xll.xSPRDOPT(I58,H58,AQ58,AT58,O58,N58,P58,D58-$G$5,1,1)*AF58*F58*AH58</f>
        <v>0</v>
      </c>
      <c r="U58" s="135"/>
      <c r="V58" s="146">
        <f t="shared" si="40"/>
        <v>0</v>
      </c>
      <c r="W58" s="146"/>
      <c r="X58" s="338">
        <f t="shared" si="41"/>
        <v>0</v>
      </c>
      <c r="Y58" s="338">
        <f t="shared" si="13"/>
        <v>0</v>
      </c>
      <c r="Z58" s="338">
        <f t="shared" si="14"/>
        <v>0</v>
      </c>
      <c r="AA58" s="338">
        <f t="shared" si="15"/>
        <v>0</v>
      </c>
      <c r="AB58" s="338">
        <f t="shared" si="42"/>
        <v>0</v>
      </c>
      <c r="AC58" s="338">
        <f t="shared" si="43"/>
        <v>0</v>
      </c>
      <c r="AF58" s="138">
        <f t="shared" si="44"/>
        <v>0</v>
      </c>
      <c r="AG58" s="138">
        <f t="shared" si="45"/>
        <v>11</v>
      </c>
      <c r="AH58" s="138">
        <f t="shared" si="16"/>
        <v>0</v>
      </c>
      <c r="AI58" s="138">
        <f t="shared" si="46"/>
        <v>1050</v>
      </c>
      <c r="AJ58" s="138">
        <f t="shared" si="47"/>
        <v>1067</v>
      </c>
      <c r="AL58" s="136">
        <f t="shared" si="17"/>
        <v>3.4790000000000001</v>
      </c>
      <c r="AM58" s="258">
        <f t="shared" si="18"/>
        <v>-2.5000000000000001E-2</v>
      </c>
      <c r="AN58" s="258">
        <f t="shared" si="19"/>
        <v>3.7000000000000002E-3</v>
      </c>
      <c r="AO58" s="258">
        <f t="shared" si="20"/>
        <v>-2.5000000000000001E-2</v>
      </c>
      <c r="AP58" s="258">
        <f t="shared" si="21"/>
        <v>5.7500000000000002E-2</v>
      </c>
      <c r="AQ58" s="136">
        <f t="shared" si="48"/>
        <v>3.8999999999999998E-3</v>
      </c>
      <c r="AR58" s="137">
        <f t="shared" si="22"/>
        <v>6.9699999999999996E-3</v>
      </c>
      <c r="AS58" s="136">
        <f t="shared" si="33"/>
        <v>3.4577</v>
      </c>
      <c r="AT58" s="137">
        <f t="shared" si="34"/>
        <v>4.37209690349563E-2</v>
      </c>
      <c r="AU58" s="137">
        <f t="shared" si="23"/>
        <v>0</v>
      </c>
      <c r="AV58" s="394">
        <f t="shared" si="35"/>
        <v>0</v>
      </c>
      <c r="AW58" s="137">
        <f t="shared" si="24"/>
        <v>0.32</v>
      </c>
      <c r="AX58" s="137">
        <f t="shared" si="25"/>
        <v>0.8</v>
      </c>
      <c r="AY58" s="137">
        <f t="shared" si="26"/>
        <v>0.8</v>
      </c>
      <c r="AZ58" s="137"/>
      <c r="BA58" s="264"/>
      <c r="BB58" s="258">
        <f t="shared" si="27"/>
        <v>0</v>
      </c>
      <c r="BC58" s="258">
        <f t="shared" si="49"/>
        <v>0</v>
      </c>
      <c r="BD58" s="137">
        <f t="shared" si="50"/>
        <v>0</v>
      </c>
      <c r="BE58" s="137">
        <f t="shared" si="51"/>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-0.11040907980502906</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1.0655629684989829</v>
      </c>
      <c r="BP58" s="137"/>
      <c r="BQ58" s="137"/>
      <c r="BR58" s="137"/>
      <c r="BS58" s="137"/>
      <c r="BV58" s="262">
        <v>3.4819693262036395</v>
      </c>
      <c r="BW58" s="136">
        <v>3.5115000000000003</v>
      </c>
      <c r="BX58" s="137">
        <v>0.32</v>
      </c>
      <c r="BY58" s="137">
        <v>0.32</v>
      </c>
      <c r="BZ58" s="137">
        <v>0</v>
      </c>
      <c r="CA58" s="137">
        <v>4.37209690349563E-2</v>
      </c>
      <c r="CB58" s="137">
        <v>0</v>
      </c>
      <c r="CC58" s="258">
        <v>-2.5000000000000001E-2</v>
      </c>
      <c r="CD58" s="258">
        <v>3.7000000000000002E-3</v>
      </c>
      <c r="CE58" s="258">
        <v>-2.5000000000000001E-2</v>
      </c>
      <c r="CF58" s="258">
        <v>5.7500000000000002E-2</v>
      </c>
      <c r="CG58" s="258">
        <v>3.8999999999999998E-3</v>
      </c>
      <c r="CH58" s="258">
        <v>0</v>
      </c>
      <c r="CI58" s="258">
        <v>3.4790000000000001</v>
      </c>
    </row>
    <row r="59" spans="1:87" x14ac:dyDescent="0.25">
      <c r="A59" s="723"/>
      <c r="B59" s="723"/>
      <c r="D59" s="31">
        <f t="shared" si="36"/>
        <v>38306</v>
      </c>
      <c r="F59" s="28">
        <f t="shared" si="37"/>
        <v>25654</v>
      </c>
      <c r="G59" s="28">
        <f t="shared" si="12"/>
        <v>0</v>
      </c>
      <c r="H59" s="52">
        <f t="shared" si="38"/>
        <v>3.4819693262036395</v>
      </c>
      <c r="I59" s="52">
        <f t="shared" si="39"/>
        <v>3.5115000000000003</v>
      </c>
      <c r="K59" s="52">
        <f t="shared" si="28"/>
        <v>0</v>
      </c>
      <c r="L59" s="135">
        <f t="shared" si="29"/>
        <v>0</v>
      </c>
      <c r="N59" s="131">
        <f t="shared" si="30"/>
        <v>0.32</v>
      </c>
      <c r="O59" s="131">
        <f t="shared" si="31"/>
        <v>0.32</v>
      </c>
      <c r="P59" s="55">
        <f t="shared" si="32"/>
        <v>0</v>
      </c>
      <c r="Q59" s="135">
        <f>_xll.xSPRDOPT(I59,H59,AQ59,0,O59,N59,P59,D59-$G$5,1,0)*AH59*AU59</f>
        <v>0</v>
      </c>
      <c r="R59" s="135"/>
      <c r="S59" s="181">
        <f>_xll.xSPRDOPT(I59,H59,AQ59,AT59,O59,N59,P59,D59-$G$5,1,2)*AF59*(F59/(1-AR59))*AH59</f>
        <v>0</v>
      </c>
      <c r="T59" s="181">
        <f>_xll.xSPRDOPT(I59,H59,AQ59,AT59,O59,N59,P59,D59-$G$5,1,1)*AF59*F59*AH59</f>
        <v>0</v>
      </c>
      <c r="U59" s="135"/>
      <c r="V59" s="146">
        <f t="shared" si="40"/>
        <v>0</v>
      </c>
      <c r="W59" s="146"/>
      <c r="X59" s="338">
        <f t="shared" si="41"/>
        <v>0</v>
      </c>
      <c r="Y59" s="338">
        <f t="shared" si="13"/>
        <v>0</v>
      </c>
      <c r="Z59" s="338">
        <f t="shared" si="14"/>
        <v>0</v>
      </c>
      <c r="AA59" s="338">
        <f t="shared" si="15"/>
        <v>0</v>
      </c>
      <c r="AB59" s="338">
        <f t="shared" si="42"/>
        <v>0</v>
      </c>
      <c r="AC59" s="338">
        <f t="shared" si="43"/>
        <v>0</v>
      </c>
      <c r="AF59" s="138">
        <f t="shared" si="44"/>
        <v>0</v>
      </c>
      <c r="AG59" s="138">
        <f t="shared" si="45"/>
        <v>11</v>
      </c>
      <c r="AH59" s="138">
        <f t="shared" si="16"/>
        <v>0</v>
      </c>
      <c r="AI59" s="138">
        <f t="shared" si="46"/>
        <v>1050</v>
      </c>
      <c r="AJ59" s="138">
        <f t="shared" si="47"/>
        <v>1067</v>
      </c>
      <c r="AL59" s="136">
        <f t="shared" si="17"/>
        <v>3.4790000000000001</v>
      </c>
      <c r="AM59" s="258">
        <f t="shared" si="18"/>
        <v>-2.5000000000000001E-2</v>
      </c>
      <c r="AN59" s="258">
        <f t="shared" si="19"/>
        <v>3.7000000000000002E-3</v>
      </c>
      <c r="AO59" s="258">
        <f t="shared" si="20"/>
        <v>-2.5000000000000001E-2</v>
      </c>
      <c r="AP59" s="258">
        <f t="shared" si="21"/>
        <v>5.7500000000000002E-2</v>
      </c>
      <c r="AQ59" s="136">
        <f t="shared" si="48"/>
        <v>3.8999999999999998E-3</v>
      </c>
      <c r="AR59" s="137">
        <f t="shared" si="22"/>
        <v>6.9699999999999996E-3</v>
      </c>
      <c r="AS59" s="136">
        <f t="shared" si="33"/>
        <v>3.4577</v>
      </c>
      <c r="AT59" s="137">
        <f t="shared" si="34"/>
        <v>4.37209690349563E-2</v>
      </c>
      <c r="AU59" s="137">
        <f t="shared" si="23"/>
        <v>0</v>
      </c>
      <c r="AV59" s="394">
        <f t="shared" si="35"/>
        <v>0</v>
      </c>
      <c r="AW59" s="137">
        <f t="shared" si="24"/>
        <v>0.32</v>
      </c>
      <c r="AX59" s="137">
        <f t="shared" si="25"/>
        <v>0.8</v>
      </c>
      <c r="AY59" s="137">
        <f t="shared" si="26"/>
        <v>0.8</v>
      </c>
      <c r="AZ59" s="137"/>
      <c r="BA59" s="264"/>
      <c r="BB59" s="258">
        <f t="shared" si="27"/>
        <v>0</v>
      </c>
      <c r="BC59" s="258">
        <f t="shared" si="49"/>
        <v>0</v>
      </c>
      <c r="BD59" s="137">
        <f t="shared" si="50"/>
        <v>0</v>
      </c>
      <c r="BE59" s="137">
        <f t="shared" si="51"/>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-0.11040907980502906</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1.0655629684989829</v>
      </c>
      <c r="BP59" s="137"/>
      <c r="BQ59" s="137"/>
      <c r="BR59" s="137"/>
      <c r="BS59" s="137"/>
      <c r="BV59" s="262">
        <v>3.4819693262036395</v>
      </c>
      <c r="BW59" s="136">
        <v>3.5115000000000003</v>
      </c>
      <c r="BX59" s="137">
        <v>0.32</v>
      </c>
      <c r="BY59" s="137">
        <v>0.32</v>
      </c>
      <c r="BZ59" s="137">
        <v>0</v>
      </c>
      <c r="CA59" s="137">
        <v>4.37209690349563E-2</v>
      </c>
      <c r="CB59" s="137">
        <v>0</v>
      </c>
      <c r="CC59" s="258">
        <v>-2.5000000000000001E-2</v>
      </c>
      <c r="CD59" s="258">
        <v>3.7000000000000002E-3</v>
      </c>
      <c r="CE59" s="258">
        <v>-2.5000000000000001E-2</v>
      </c>
      <c r="CF59" s="258">
        <v>5.7500000000000002E-2</v>
      </c>
      <c r="CG59" s="258">
        <v>3.8999999999999998E-3</v>
      </c>
      <c r="CH59" s="258">
        <v>0</v>
      </c>
      <c r="CI59" s="258">
        <v>3.4790000000000001</v>
      </c>
    </row>
    <row r="60" spans="1:87" x14ac:dyDescent="0.25">
      <c r="A60" s="723"/>
      <c r="B60" s="723"/>
      <c r="D60" s="31">
        <f t="shared" si="36"/>
        <v>38306</v>
      </c>
      <c r="F60" s="28">
        <f t="shared" si="37"/>
        <v>25654</v>
      </c>
      <c r="G60" s="28">
        <f t="shared" si="12"/>
        <v>0</v>
      </c>
      <c r="H60" s="52">
        <f t="shared" si="38"/>
        <v>3.4819693262036395</v>
      </c>
      <c r="I60" s="52">
        <f t="shared" si="39"/>
        <v>3.5115000000000003</v>
      </c>
      <c r="K60" s="52">
        <f t="shared" si="28"/>
        <v>0</v>
      </c>
      <c r="L60" s="135">
        <f t="shared" si="29"/>
        <v>0</v>
      </c>
      <c r="N60" s="131">
        <f t="shared" si="30"/>
        <v>0.32</v>
      </c>
      <c r="O60" s="131">
        <f t="shared" si="31"/>
        <v>0.32</v>
      </c>
      <c r="P60" s="55">
        <f t="shared" si="32"/>
        <v>0</v>
      </c>
      <c r="Q60" s="135">
        <f>_xll.xSPRDOPT(I60,H60,AQ60,0,O60,N60,P60,D60-$G$5,1,0)*AH60*AU60</f>
        <v>0</v>
      </c>
      <c r="R60" s="135"/>
      <c r="S60" s="181">
        <f>_xll.xSPRDOPT(I60,H60,AQ60,AT60,O60,N60,P60,D60-$G$5,1,2)*AF60*(F60/(1-AR60))*AH60</f>
        <v>0</v>
      </c>
      <c r="T60" s="181">
        <f>_xll.xSPRDOPT(I60,H60,AQ60,AT60,O60,N60,P60,D60-$G$5,1,1)*AF60*F60*AH60</f>
        <v>0</v>
      </c>
      <c r="U60" s="135"/>
      <c r="V60" s="146">
        <f t="shared" si="40"/>
        <v>0</v>
      </c>
      <c r="W60" s="146"/>
      <c r="X60" s="338">
        <f t="shared" si="41"/>
        <v>0</v>
      </c>
      <c r="Y60" s="338">
        <f t="shared" si="13"/>
        <v>0</v>
      </c>
      <c r="Z60" s="338">
        <f t="shared" si="14"/>
        <v>0</v>
      </c>
      <c r="AA60" s="338">
        <f t="shared" si="15"/>
        <v>0</v>
      </c>
      <c r="AB60" s="338">
        <f t="shared" si="42"/>
        <v>0</v>
      </c>
      <c r="AC60" s="338">
        <f t="shared" si="43"/>
        <v>0</v>
      </c>
      <c r="AF60" s="138">
        <f t="shared" si="44"/>
        <v>0</v>
      </c>
      <c r="AG60" s="138">
        <f t="shared" si="45"/>
        <v>11</v>
      </c>
      <c r="AH60" s="138">
        <f t="shared" si="16"/>
        <v>0</v>
      </c>
      <c r="AI60" s="138">
        <f t="shared" si="46"/>
        <v>1050</v>
      </c>
      <c r="AJ60" s="138">
        <f t="shared" si="47"/>
        <v>1067</v>
      </c>
      <c r="AL60" s="136">
        <f t="shared" si="17"/>
        <v>3.4790000000000001</v>
      </c>
      <c r="AM60" s="258">
        <f t="shared" si="18"/>
        <v>-2.5000000000000001E-2</v>
      </c>
      <c r="AN60" s="258">
        <f t="shared" si="19"/>
        <v>3.7000000000000002E-3</v>
      </c>
      <c r="AO60" s="258">
        <f t="shared" si="20"/>
        <v>-2.5000000000000001E-2</v>
      </c>
      <c r="AP60" s="258">
        <f t="shared" si="21"/>
        <v>5.7500000000000002E-2</v>
      </c>
      <c r="AQ60" s="136">
        <f t="shared" si="48"/>
        <v>3.8999999999999998E-3</v>
      </c>
      <c r="AR60" s="137">
        <f t="shared" si="22"/>
        <v>6.9699999999999996E-3</v>
      </c>
      <c r="AS60" s="136">
        <f t="shared" si="33"/>
        <v>3.4577</v>
      </c>
      <c r="AT60" s="137">
        <f t="shared" si="34"/>
        <v>4.37209690349563E-2</v>
      </c>
      <c r="AU60" s="137">
        <f t="shared" si="23"/>
        <v>0</v>
      </c>
      <c r="AV60" s="394">
        <f t="shared" si="35"/>
        <v>0</v>
      </c>
      <c r="AW60" s="137">
        <f t="shared" si="24"/>
        <v>0.32</v>
      </c>
      <c r="AX60" s="137">
        <f t="shared" si="25"/>
        <v>0.8</v>
      </c>
      <c r="AY60" s="137">
        <f t="shared" si="26"/>
        <v>0.8</v>
      </c>
      <c r="AZ60" s="137"/>
      <c r="BA60" s="264"/>
      <c r="BB60" s="258">
        <f t="shared" si="27"/>
        <v>0</v>
      </c>
      <c r="BC60" s="258">
        <f t="shared" si="49"/>
        <v>0</v>
      </c>
      <c r="BD60" s="137">
        <f t="shared" si="50"/>
        <v>0</v>
      </c>
      <c r="BE60" s="137">
        <f t="shared" si="51"/>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-0.11040907980502906</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1.0655629684989829</v>
      </c>
      <c r="BP60" s="137"/>
      <c r="BQ60" s="137"/>
      <c r="BR60" s="137"/>
      <c r="BS60" s="137"/>
      <c r="BV60" s="262">
        <v>3.4819693262036395</v>
      </c>
      <c r="BW60" s="136">
        <v>3.5115000000000003</v>
      </c>
      <c r="BX60" s="137">
        <v>0.32</v>
      </c>
      <c r="BY60" s="137">
        <v>0.32</v>
      </c>
      <c r="BZ60" s="137">
        <v>0</v>
      </c>
      <c r="CA60" s="137">
        <v>4.37209690349563E-2</v>
      </c>
      <c r="CB60" s="137">
        <v>0</v>
      </c>
      <c r="CC60" s="258">
        <v>-2.5000000000000001E-2</v>
      </c>
      <c r="CD60" s="258">
        <v>3.7000000000000002E-3</v>
      </c>
      <c r="CE60" s="258">
        <v>-2.5000000000000001E-2</v>
      </c>
      <c r="CF60" s="258">
        <v>5.7500000000000002E-2</v>
      </c>
      <c r="CG60" s="258">
        <v>3.8999999999999998E-3</v>
      </c>
      <c r="CH60" s="258">
        <v>0</v>
      </c>
      <c r="CI60" s="258">
        <v>3.4790000000000001</v>
      </c>
    </row>
    <row r="61" spans="1:87" x14ac:dyDescent="0.25">
      <c r="A61" s="723"/>
      <c r="B61" s="723"/>
      <c r="D61" s="31">
        <f t="shared" si="36"/>
        <v>38306</v>
      </c>
      <c r="F61" s="28">
        <f t="shared" si="37"/>
        <v>25654</v>
      </c>
      <c r="G61" s="28">
        <f t="shared" si="12"/>
        <v>0</v>
      </c>
      <c r="H61" s="52">
        <f t="shared" si="38"/>
        <v>3.4819693262036395</v>
      </c>
      <c r="I61" s="52">
        <f t="shared" si="39"/>
        <v>3.5115000000000003</v>
      </c>
      <c r="K61" s="52">
        <f t="shared" si="28"/>
        <v>0</v>
      </c>
      <c r="L61" s="135">
        <f t="shared" si="29"/>
        <v>0</v>
      </c>
      <c r="N61" s="131">
        <f t="shared" si="30"/>
        <v>0.32</v>
      </c>
      <c r="O61" s="131">
        <f t="shared" si="31"/>
        <v>0.32</v>
      </c>
      <c r="P61" s="55">
        <f t="shared" si="32"/>
        <v>0</v>
      </c>
      <c r="Q61" s="135">
        <f>_xll.xSPRDOPT(I61,H61,AQ61,0,O61,N61,P61,D61-$G$5,1,0)*AH61*AU61</f>
        <v>0</v>
      </c>
      <c r="R61" s="135"/>
      <c r="S61" s="181">
        <f>_xll.xSPRDOPT(I61,H61,AQ61,AT61,O61,N61,P61,D61-$G$5,1,2)*AF61*(F61/(1-AR61))*AH61</f>
        <v>0</v>
      </c>
      <c r="T61" s="181">
        <f>_xll.xSPRDOPT(I61,H61,AQ61,AT61,O61,N61,P61,D61-$G$5,1,1)*AF61*F61*AH61</f>
        <v>0</v>
      </c>
      <c r="U61" s="135"/>
      <c r="V61" s="146">
        <f t="shared" si="40"/>
        <v>0</v>
      </c>
      <c r="W61" s="146"/>
      <c r="X61" s="338">
        <f t="shared" si="41"/>
        <v>0</v>
      </c>
      <c r="Y61" s="338">
        <f t="shared" si="13"/>
        <v>0</v>
      </c>
      <c r="Z61" s="338">
        <f t="shared" si="14"/>
        <v>0</v>
      </c>
      <c r="AA61" s="338">
        <f t="shared" si="15"/>
        <v>0</v>
      </c>
      <c r="AB61" s="338">
        <f t="shared" si="42"/>
        <v>0</v>
      </c>
      <c r="AC61" s="338">
        <f t="shared" si="43"/>
        <v>0</v>
      </c>
      <c r="AF61" s="138">
        <f t="shared" si="44"/>
        <v>0</v>
      </c>
      <c r="AG61" s="138">
        <f t="shared" si="45"/>
        <v>11</v>
      </c>
      <c r="AH61" s="138">
        <f t="shared" si="16"/>
        <v>0</v>
      </c>
      <c r="AI61" s="138">
        <f t="shared" si="46"/>
        <v>1050</v>
      </c>
      <c r="AJ61" s="138">
        <f t="shared" si="47"/>
        <v>1067</v>
      </c>
      <c r="AL61" s="136">
        <f t="shared" si="17"/>
        <v>3.4790000000000001</v>
      </c>
      <c r="AM61" s="258">
        <f t="shared" si="18"/>
        <v>-2.5000000000000001E-2</v>
      </c>
      <c r="AN61" s="258">
        <f t="shared" si="19"/>
        <v>3.7000000000000002E-3</v>
      </c>
      <c r="AO61" s="258">
        <f t="shared" si="20"/>
        <v>-2.5000000000000001E-2</v>
      </c>
      <c r="AP61" s="258">
        <f t="shared" si="21"/>
        <v>5.7500000000000002E-2</v>
      </c>
      <c r="AQ61" s="136">
        <f t="shared" si="48"/>
        <v>3.8999999999999998E-3</v>
      </c>
      <c r="AR61" s="137">
        <f t="shared" si="22"/>
        <v>6.9699999999999996E-3</v>
      </c>
      <c r="AS61" s="136">
        <f t="shared" si="33"/>
        <v>3.4577</v>
      </c>
      <c r="AT61" s="137">
        <f t="shared" si="34"/>
        <v>4.37209690349563E-2</v>
      </c>
      <c r="AU61" s="137">
        <f t="shared" si="23"/>
        <v>0</v>
      </c>
      <c r="AV61" s="394">
        <f t="shared" si="35"/>
        <v>0</v>
      </c>
      <c r="AW61" s="137">
        <f t="shared" si="24"/>
        <v>0.32</v>
      </c>
      <c r="AX61" s="137">
        <f t="shared" si="25"/>
        <v>0.8</v>
      </c>
      <c r="AY61" s="137">
        <f t="shared" si="26"/>
        <v>0.8</v>
      </c>
      <c r="AZ61" s="137"/>
      <c r="BA61" s="264"/>
      <c r="BB61" s="258">
        <f t="shared" si="27"/>
        <v>0</v>
      </c>
      <c r="BC61" s="258">
        <f t="shared" si="49"/>
        <v>0</v>
      </c>
      <c r="BD61" s="137">
        <f t="shared" si="50"/>
        <v>0</v>
      </c>
      <c r="BE61" s="137">
        <f t="shared" si="51"/>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-0.11040907980502906</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1.0655629684989829</v>
      </c>
      <c r="BP61" s="137"/>
      <c r="BQ61" s="137"/>
      <c r="BR61" s="137"/>
      <c r="BS61" s="137"/>
      <c r="BV61" s="262">
        <v>3.4819693262036395</v>
      </c>
      <c r="BW61" s="136">
        <v>3.5115000000000003</v>
      </c>
      <c r="BX61" s="137">
        <v>0.32</v>
      </c>
      <c r="BY61" s="137">
        <v>0.32</v>
      </c>
      <c r="BZ61" s="137">
        <v>0</v>
      </c>
      <c r="CA61" s="137">
        <v>4.37209690349563E-2</v>
      </c>
      <c r="CB61" s="137">
        <v>0</v>
      </c>
      <c r="CC61" s="258">
        <v>-2.5000000000000001E-2</v>
      </c>
      <c r="CD61" s="258">
        <v>3.7000000000000002E-3</v>
      </c>
      <c r="CE61" s="258">
        <v>-2.5000000000000001E-2</v>
      </c>
      <c r="CF61" s="258">
        <v>5.7500000000000002E-2</v>
      </c>
      <c r="CG61" s="258">
        <v>3.8999999999999998E-3</v>
      </c>
      <c r="CH61" s="258">
        <v>0</v>
      </c>
      <c r="CI61" s="258">
        <v>3.4790000000000001</v>
      </c>
    </row>
    <row r="62" spans="1:87" x14ac:dyDescent="0.25">
      <c r="A62" s="723"/>
      <c r="B62" s="723"/>
      <c r="D62" s="31">
        <f t="shared" si="36"/>
        <v>38306</v>
      </c>
      <c r="F62" s="28">
        <f t="shared" si="37"/>
        <v>25654</v>
      </c>
      <c r="G62" s="28">
        <f t="shared" si="12"/>
        <v>0</v>
      </c>
      <c r="H62" s="52">
        <f t="shared" si="38"/>
        <v>3.4819693262036395</v>
      </c>
      <c r="I62" s="52">
        <f t="shared" si="39"/>
        <v>3.5115000000000003</v>
      </c>
      <c r="K62" s="52">
        <f t="shared" si="28"/>
        <v>0</v>
      </c>
      <c r="L62" s="135">
        <f t="shared" si="29"/>
        <v>0</v>
      </c>
      <c r="N62" s="131">
        <f t="shared" si="30"/>
        <v>0.32</v>
      </c>
      <c r="O62" s="131">
        <f t="shared" si="31"/>
        <v>0.32</v>
      </c>
      <c r="P62" s="55">
        <f t="shared" si="32"/>
        <v>0</v>
      </c>
      <c r="Q62" s="135">
        <f>_xll.xSPRDOPT(I62,H62,AQ62,0,O62,N62,P62,D62-$G$5,1,0)*AH62*AU62</f>
        <v>0</v>
      </c>
      <c r="R62" s="135"/>
      <c r="S62" s="181">
        <f>_xll.xSPRDOPT(I62,H62,AQ62,AT62,O62,N62,P62,D62-$G$5,1,2)*AF62*(F62/(1-AR62))*AH62</f>
        <v>0</v>
      </c>
      <c r="T62" s="181">
        <f>_xll.xSPRDOPT(I62,H62,AQ62,AT62,O62,N62,P62,D62-$G$5,1,1)*AF62*F62*AH62</f>
        <v>0</v>
      </c>
      <c r="U62" s="135"/>
      <c r="V62" s="146">
        <f t="shared" si="40"/>
        <v>0</v>
      </c>
      <c r="W62" s="146"/>
      <c r="X62" s="338">
        <f t="shared" si="41"/>
        <v>0</v>
      </c>
      <c r="Y62" s="338">
        <f t="shared" si="13"/>
        <v>0</v>
      </c>
      <c r="Z62" s="338">
        <f t="shared" si="14"/>
        <v>0</v>
      </c>
      <c r="AA62" s="338">
        <f t="shared" si="15"/>
        <v>0</v>
      </c>
      <c r="AB62" s="338">
        <f t="shared" si="42"/>
        <v>0</v>
      </c>
      <c r="AC62" s="338">
        <f t="shared" si="43"/>
        <v>0</v>
      </c>
      <c r="AF62" s="138">
        <f t="shared" si="44"/>
        <v>0</v>
      </c>
      <c r="AG62" s="138">
        <f t="shared" si="45"/>
        <v>11</v>
      </c>
      <c r="AH62" s="138">
        <f t="shared" si="16"/>
        <v>0</v>
      </c>
      <c r="AI62" s="138">
        <f t="shared" si="46"/>
        <v>1050</v>
      </c>
      <c r="AJ62" s="138">
        <f t="shared" si="47"/>
        <v>1067</v>
      </c>
      <c r="AL62" s="136">
        <f t="shared" si="17"/>
        <v>3.4790000000000001</v>
      </c>
      <c r="AM62" s="258">
        <f t="shared" si="18"/>
        <v>-2.5000000000000001E-2</v>
      </c>
      <c r="AN62" s="258">
        <f t="shared" si="19"/>
        <v>3.7000000000000002E-3</v>
      </c>
      <c r="AO62" s="258">
        <f t="shared" si="20"/>
        <v>-2.5000000000000001E-2</v>
      </c>
      <c r="AP62" s="258">
        <f t="shared" si="21"/>
        <v>5.7500000000000002E-2</v>
      </c>
      <c r="AQ62" s="136">
        <f t="shared" si="48"/>
        <v>3.8999999999999998E-3</v>
      </c>
      <c r="AR62" s="137">
        <f t="shared" si="22"/>
        <v>6.9699999999999996E-3</v>
      </c>
      <c r="AS62" s="136">
        <f t="shared" si="33"/>
        <v>3.4577</v>
      </c>
      <c r="AT62" s="137">
        <f t="shared" si="34"/>
        <v>4.37209690349563E-2</v>
      </c>
      <c r="AU62" s="137">
        <f t="shared" si="23"/>
        <v>0</v>
      </c>
      <c r="AV62" s="394">
        <f t="shared" si="35"/>
        <v>0</v>
      </c>
      <c r="AW62" s="137">
        <f t="shared" si="24"/>
        <v>0.32</v>
      </c>
      <c r="AX62" s="137">
        <f t="shared" si="25"/>
        <v>0.8</v>
      </c>
      <c r="AY62" s="137">
        <f t="shared" si="26"/>
        <v>0.8</v>
      </c>
      <c r="AZ62" s="137"/>
      <c r="BA62" s="264"/>
      <c r="BB62" s="258">
        <f t="shared" si="27"/>
        <v>0</v>
      </c>
      <c r="BC62" s="258">
        <f t="shared" si="49"/>
        <v>0</v>
      </c>
      <c r="BD62" s="137">
        <f t="shared" si="50"/>
        <v>0</v>
      </c>
      <c r="BE62" s="137">
        <f t="shared" si="51"/>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-0.11040907980502906</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1.0655629684989829</v>
      </c>
      <c r="BP62" s="137"/>
      <c r="BQ62" s="137"/>
      <c r="BR62" s="137"/>
      <c r="BS62" s="137"/>
      <c r="BV62" s="262">
        <v>3.4819693262036395</v>
      </c>
      <c r="BW62" s="136">
        <v>3.5115000000000003</v>
      </c>
      <c r="BX62" s="137">
        <v>0.32</v>
      </c>
      <c r="BY62" s="137">
        <v>0.32</v>
      </c>
      <c r="BZ62" s="137">
        <v>0</v>
      </c>
      <c r="CA62" s="137">
        <v>4.37209690349563E-2</v>
      </c>
      <c r="CB62" s="137">
        <v>0</v>
      </c>
      <c r="CC62" s="258">
        <v>-2.5000000000000001E-2</v>
      </c>
      <c r="CD62" s="258">
        <v>3.7000000000000002E-3</v>
      </c>
      <c r="CE62" s="258">
        <v>-2.5000000000000001E-2</v>
      </c>
      <c r="CF62" s="258">
        <v>5.7500000000000002E-2</v>
      </c>
      <c r="CG62" s="258">
        <v>3.8999999999999998E-3</v>
      </c>
      <c r="CH62" s="258">
        <v>0</v>
      </c>
      <c r="CI62" s="258">
        <v>3.4790000000000001</v>
      </c>
    </row>
    <row r="63" spans="1:87" x14ac:dyDescent="0.25">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7" x14ac:dyDescent="0.25">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5">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5">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5">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5">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5">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5">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5">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5">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5">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5">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5">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5">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5">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5">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5">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5">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5">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5">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5">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5">
      <c r="A84" s="723"/>
      <c r="B84" s="723"/>
      <c r="L84" s="135"/>
      <c r="P84" s="55"/>
      <c r="Q84" s="135"/>
      <c r="R84" s="55"/>
      <c r="U84" s="55"/>
      <c r="V84" s="55"/>
      <c r="W84" s="55"/>
      <c r="X84" s="55"/>
      <c r="AO84" s="136"/>
      <c r="AQ84" s="137"/>
      <c r="AU84" s="145"/>
      <c r="AV84" s="34"/>
      <c r="AW84" s="137"/>
    </row>
    <row r="85" spans="1:84" x14ac:dyDescent="0.25">
      <c r="A85" s="723"/>
      <c r="B85" s="723"/>
      <c r="L85" s="135"/>
      <c r="P85" s="55"/>
      <c r="Q85" s="135"/>
      <c r="R85" s="55"/>
      <c r="U85" s="55"/>
      <c r="V85" s="55"/>
      <c r="W85" s="55"/>
      <c r="X85" s="55"/>
      <c r="AO85" s="136"/>
      <c r="AQ85" s="137"/>
      <c r="AU85" s="145"/>
      <c r="AV85" s="34"/>
      <c r="AW85" s="137"/>
    </row>
    <row r="86" spans="1:84" x14ac:dyDescent="0.25">
      <c r="A86" s="723"/>
      <c r="B86" s="723"/>
      <c r="L86" s="135"/>
      <c r="P86" s="55"/>
      <c r="Q86" s="135"/>
      <c r="R86" s="55"/>
      <c r="U86" s="55"/>
      <c r="V86" s="55"/>
      <c r="W86" s="55"/>
      <c r="X86" s="55"/>
      <c r="AO86" s="136"/>
      <c r="AQ86" s="137"/>
      <c r="AU86" s="145"/>
      <c r="AV86" s="34"/>
      <c r="AW86" s="137"/>
    </row>
    <row r="87" spans="1:84" x14ac:dyDescent="0.25">
      <c r="A87" s="723"/>
      <c r="B87" s="723"/>
      <c r="L87" s="135"/>
      <c r="P87" s="55"/>
      <c r="Q87" s="135"/>
      <c r="R87" s="55"/>
      <c r="U87" s="55"/>
      <c r="V87" s="55"/>
      <c r="W87" s="55"/>
      <c r="X87" s="55"/>
      <c r="AO87" s="136"/>
      <c r="AQ87" s="137"/>
      <c r="AU87" s="145"/>
      <c r="AV87" s="34"/>
      <c r="AW87" s="137"/>
    </row>
    <row r="88" spans="1:84" x14ac:dyDescent="0.25">
      <c r="A88" s="723"/>
      <c r="B88" s="723"/>
      <c r="L88" s="135"/>
      <c r="P88" s="55"/>
      <c r="Q88" s="135"/>
      <c r="R88" s="55"/>
      <c r="U88" s="55"/>
      <c r="V88" s="55"/>
      <c r="W88" s="55"/>
      <c r="X88" s="55"/>
      <c r="AO88" s="136"/>
      <c r="AQ88" s="137"/>
      <c r="AU88" s="145"/>
      <c r="AV88" s="34"/>
      <c r="AW88" s="137"/>
    </row>
    <row r="89" spans="1:84" x14ac:dyDescent="0.25">
      <c r="A89" s="723"/>
      <c r="B89" s="723"/>
      <c r="L89" s="135"/>
      <c r="P89" s="55"/>
      <c r="Q89" s="135"/>
      <c r="R89" s="55"/>
      <c r="U89" s="55"/>
      <c r="V89" s="55"/>
      <c r="W89" s="55"/>
      <c r="X89" s="55"/>
      <c r="AO89" s="136"/>
      <c r="AQ89" s="137"/>
      <c r="AU89" s="145"/>
      <c r="AV89" s="34"/>
      <c r="AW89" s="137"/>
    </row>
    <row r="90" spans="1:84" x14ac:dyDescent="0.25">
      <c r="A90" s="723"/>
      <c r="B90" s="723"/>
      <c r="L90" s="135"/>
      <c r="P90" s="55"/>
      <c r="Q90" s="135"/>
      <c r="R90" s="55"/>
      <c r="U90" s="55"/>
      <c r="V90" s="55"/>
      <c r="W90" s="55"/>
      <c r="X90" s="55"/>
      <c r="AO90" s="136"/>
      <c r="AQ90" s="137"/>
      <c r="AU90" s="145"/>
      <c r="AV90" s="34"/>
      <c r="AW90" s="137"/>
    </row>
    <row r="91" spans="1:84" x14ac:dyDescent="0.25">
      <c r="A91" s="723"/>
      <c r="B91" s="723"/>
      <c r="L91" s="135"/>
      <c r="P91" s="55"/>
      <c r="Q91" s="135"/>
      <c r="R91" s="55"/>
      <c r="U91" s="55"/>
      <c r="V91" s="55"/>
      <c r="W91" s="55"/>
      <c r="X91" s="55"/>
      <c r="AO91" s="136"/>
      <c r="AQ91" s="137"/>
      <c r="AU91" s="145"/>
      <c r="AV91" s="34"/>
      <c r="AW91" s="137"/>
    </row>
    <row r="92" spans="1:84" x14ac:dyDescent="0.25">
      <c r="A92" s="723"/>
      <c r="B92" s="723"/>
      <c r="L92" s="135"/>
      <c r="P92" s="55"/>
      <c r="Q92" s="135"/>
      <c r="R92" s="55"/>
      <c r="U92" s="55"/>
      <c r="V92" s="55"/>
      <c r="W92" s="55"/>
      <c r="X92" s="55"/>
      <c r="AO92" s="136"/>
      <c r="AQ92" s="137"/>
      <c r="AU92" s="145"/>
      <c r="AV92" s="34"/>
      <c r="AW92" s="137"/>
    </row>
    <row r="93" spans="1:84" x14ac:dyDescent="0.25">
      <c r="A93" s="723"/>
      <c r="B93" s="723"/>
      <c r="L93" s="135"/>
      <c r="P93" s="55"/>
      <c r="Q93" s="135"/>
      <c r="R93" s="55"/>
      <c r="U93" s="55"/>
      <c r="V93" s="55"/>
      <c r="W93" s="55"/>
      <c r="X93" s="55"/>
      <c r="AO93" s="136"/>
      <c r="AQ93" s="137"/>
      <c r="AU93" s="145"/>
      <c r="AV93" s="34"/>
      <c r="AW93" s="137"/>
    </row>
    <row r="94" spans="1:84" x14ac:dyDescent="0.25">
      <c r="A94" s="723"/>
      <c r="B94" s="723"/>
      <c r="L94" s="135"/>
      <c r="P94" s="55"/>
      <c r="Q94" s="135"/>
      <c r="R94" s="55"/>
      <c r="U94" s="55"/>
      <c r="V94" s="55"/>
      <c r="W94" s="55"/>
      <c r="X94" s="55"/>
      <c r="AO94" s="136"/>
      <c r="AQ94" s="137"/>
      <c r="AU94" s="145"/>
      <c r="AV94" s="34"/>
      <c r="AW94" s="137"/>
    </row>
    <row r="95" spans="1:84" x14ac:dyDescent="0.25">
      <c r="A95" s="723"/>
      <c r="B95" s="723"/>
      <c r="L95" s="135"/>
      <c r="P95" s="55"/>
      <c r="Q95" s="135"/>
      <c r="R95" s="55"/>
      <c r="U95" s="55"/>
      <c r="V95" s="55"/>
      <c r="W95" s="55"/>
      <c r="X95" s="55"/>
      <c r="AO95" s="136"/>
      <c r="AQ95" s="137"/>
      <c r="AU95" s="145"/>
      <c r="AV95" s="34"/>
      <c r="AW95" s="137"/>
    </row>
    <row r="96" spans="1:84" x14ac:dyDescent="0.25">
      <c r="A96" s="723"/>
      <c r="B96" s="723"/>
      <c r="L96" s="135"/>
      <c r="P96" s="55"/>
      <c r="Q96" s="135"/>
      <c r="R96" s="55"/>
      <c r="U96" s="55"/>
      <c r="V96" s="55"/>
      <c r="W96" s="55"/>
      <c r="X96" s="55"/>
      <c r="AO96" s="136"/>
      <c r="AQ96" s="137"/>
      <c r="AU96" s="145"/>
      <c r="AV96" s="34"/>
      <c r="AW96" s="137"/>
    </row>
    <row r="97" spans="1:49" x14ac:dyDescent="0.25">
      <c r="A97" s="723"/>
      <c r="B97" s="723"/>
      <c r="L97" s="135"/>
      <c r="P97" s="55"/>
      <c r="Q97" s="135"/>
      <c r="R97" s="55"/>
      <c r="U97" s="55"/>
      <c r="V97" s="55"/>
      <c r="W97" s="55"/>
      <c r="X97" s="55"/>
      <c r="AO97" s="136"/>
      <c r="AQ97" s="137"/>
      <c r="AU97" s="145"/>
      <c r="AV97" s="34"/>
      <c r="AW97" s="137"/>
    </row>
    <row r="98" spans="1:49" x14ac:dyDescent="0.25">
      <c r="A98" s="723"/>
      <c r="B98" s="723"/>
      <c r="L98" s="135"/>
      <c r="P98" s="55"/>
      <c r="Q98" s="135"/>
      <c r="R98" s="55"/>
      <c r="U98" s="55"/>
      <c r="V98" s="55"/>
      <c r="W98" s="55"/>
      <c r="X98" s="55"/>
      <c r="AO98" s="136"/>
      <c r="AQ98" s="137"/>
      <c r="AU98" s="145"/>
      <c r="AV98" s="34"/>
      <c r="AW98" s="137"/>
    </row>
    <row r="99" spans="1:49" x14ac:dyDescent="0.25">
      <c r="A99" s="723"/>
      <c r="B99" s="723"/>
      <c r="L99" s="135"/>
      <c r="P99" s="55"/>
      <c r="Q99" s="135"/>
      <c r="R99" s="55"/>
      <c r="U99" s="55"/>
      <c r="V99" s="55"/>
      <c r="W99" s="55"/>
      <c r="X99" s="55"/>
      <c r="AO99" s="136"/>
      <c r="AQ99" s="137"/>
      <c r="AU99" s="145"/>
      <c r="AV99" s="34"/>
      <c r="AW99" s="137"/>
    </row>
    <row r="100" spans="1:49" x14ac:dyDescent="0.25">
      <c r="A100" s="723"/>
      <c r="B100" s="723"/>
      <c r="L100" s="135"/>
      <c r="P100" s="55"/>
      <c r="Q100" s="135"/>
      <c r="R100" s="55"/>
      <c r="U100" s="55"/>
      <c r="V100" s="55"/>
      <c r="W100" s="55"/>
      <c r="X100" s="55"/>
      <c r="AO100" s="136"/>
      <c r="AQ100" s="137"/>
      <c r="AU100" s="145"/>
      <c r="AV100" s="34"/>
      <c r="AW100" s="137"/>
    </row>
    <row r="101" spans="1:49" x14ac:dyDescent="0.25">
      <c r="A101" s="723"/>
      <c r="B101" s="723"/>
      <c r="L101" s="135"/>
      <c r="P101" s="55"/>
      <c r="Q101" s="135"/>
      <c r="R101" s="55"/>
      <c r="U101" s="55"/>
      <c r="V101" s="55"/>
      <c r="W101" s="55"/>
      <c r="X101" s="55"/>
      <c r="AO101" s="136"/>
      <c r="AQ101" s="137"/>
      <c r="AU101" s="145"/>
      <c r="AV101" s="34"/>
      <c r="AW101" s="137"/>
    </row>
    <row r="102" spans="1:49" x14ac:dyDescent="0.25">
      <c r="A102" s="723"/>
      <c r="B102" s="723"/>
      <c r="L102" s="135"/>
      <c r="P102" s="55"/>
      <c r="Q102" s="135"/>
      <c r="R102" s="55"/>
      <c r="U102" s="55"/>
      <c r="V102" s="55"/>
      <c r="W102" s="55"/>
      <c r="X102" s="55"/>
      <c r="AO102" s="136"/>
      <c r="AQ102" s="137"/>
      <c r="AU102" s="145"/>
      <c r="AV102" s="34"/>
      <c r="AW102" s="137"/>
    </row>
    <row r="103" spans="1:49" x14ac:dyDescent="0.25">
      <c r="A103" s="723"/>
      <c r="B103" s="723"/>
      <c r="L103" s="135"/>
      <c r="P103" s="55"/>
      <c r="Q103" s="135"/>
      <c r="R103" s="55"/>
      <c r="U103" s="55"/>
      <c r="V103" s="55"/>
      <c r="W103" s="55"/>
      <c r="X103" s="55"/>
      <c r="AO103" s="136"/>
      <c r="AQ103" s="137"/>
      <c r="AU103" s="145"/>
      <c r="AV103" s="34"/>
      <c r="AW103" s="137"/>
    </row>
    <row r="104" spans="1:49" x14ac:dyDescent="0.25">
      <c r="A104" s="723"/>
      <c r="B104" s="723"/>
      <c r="L104" s="135"/>
      <c r="P104" s="55"/>
      <c r="Q104" s="135"/>
      <c r="R104" s="55"/>
      <c r="U104" s="55"/>
      <c r="V104" s="55"/>
      <c r="W104" s="55"/>
      <c r="X104" s="55"/>
      <c r="AO104" s="136"/>
      <c r="AQ104" s="137"/>
      <c r="AU104" s="145"/>
      <c r="AV104" s="34"/>
      <c r="AW104" s="137"/>
    </row>
    <row r="105" spans="1:49" x14ac:dyDescent="0.25">
      <c r="A105" s="723"/>
      <c r="B105" s="723"/>
      <c r="L105" s="135"/>
      <c r="P105" s="55"/>
      <c r="Q105" s="135"/>
      <c r="R105" s="55"/>
      <c r="U105" s="55"/>
      <c r="V105" s="55"/>
      <c r="W105" s="55"/>
      <c r="X105" s="55"/>
      <c r="AO105" s="136"/>
      <c r="AQ105" s="137"/>
      <c r="AU105" s="145"/>
      <c r="AV105" s="34"/>
      <c r="AW105" s="137"/>
    </row>
    <row r="106" spans="1:49" x14ac:dyDescent="0.25">
      <c r="A106" s="723"/>
      <c r="B106" s="723"/>
      <c r="L106" s="135"/>
      <c r="P106" s="55"/>
      <c r="Q106" s="135"/>
      <c r="R106" s="55"/>
      <c r="U106" s="55"/>
      <c r="V106" s="55"/>
      <c r="W106" s="55"/>
      <c r="X106" s="55"/>
      <c r="AO106" s="136"/>
      <c r="AQ106" s="137"/>
      <c r="AU106" s="145"/>
      <c r="AV106" s="34"/>
      <c r="AW106" s="137"/>
    </row>
    <row r="107" spans="1:49" x14ac:dyDescent="0.25">
      <c r="A107" s="723"/>
      <c r="B107" s="723"/>
      <c r="L107" s="135"/>
      <c r="P107" s="55"/>
      <c r="Q107" s="135"/>
      <c r="R107" s="55"/>
      <c r="U107" s="55"/>
      <c r="V107" s="55"/>
      <c r="W107" s="55"/>
      <c r="X107" s="55"/>
      <c r="AO107" s="136"/>
      <c r="AQ107" s="137"/>
      <c r="AU107" s="145"/>
      <c r="AV107" s="34"/>
      <c r="AW107" s="137"/>
    </row>
    <row r="108" spans="1:49" x14ac:dyDescent="0.25">
      <c r="A108" s="723"/>
      <c r="B108" s="723"/>
      <c r="L108" s="135"/>
      <c r="P108" s="55"/>
      <c r="Q108" s="135"/>
      <c r="R108" s="55"/>
      <c r="U108" s="55"/>
      <c r="V108" s="55"/>
      <c r="W108" s="55"/>
      <c r="X108" s="55"/>
      <c r="AO108" s="136"/>
      <c r="AQ108" s="137"/>
      <c r="AU108" s="145"/>
      <c r="AV108" s="34"/>
      <c r="AW108" s="137"/>
    </row>
    <row r="109" spans="1:49" x14ac:dyDescent="0.25">
      <c r="A109" s="723"/>
      <c r="B109" s="723"/>
      <c r="L109" s="135"/>
      <c r="P109" s="55"/>
      <c r="Q109" s="135"/>
      <c r="R109" s="55"/>
      <c r="U109" s="55"/>
      <c r="V109" s="55"/>
      <c r="W109" s="55"/>
      <c r="X109" s="55"/>
      <c r="AO109" s="136"/>
      <c r="AQ109" s="137"/>
      <c r="AU109" s="145"/>
      <c r="AV109" s="34"/>
      <c r="AW109" s="137"/>
    </row>
    <row r="110" spans="1:49" x14ac:dyDescent="0.25">
      <c r="A110" s="723"/>
      <c r="B110" s="723"/>
      <c r="L110" s="135"/>
      <c r="P110" s="55"/>
      <c r="Q110" s="135"/>
      <c r="R110" s="55"/>
      <c r="U110" s="55"/>
      <c r="V110" s="55"/>
      <c r="W110" s="55"/>
      <c r="X110" s="55"/>
      <c r="AO110" s="136"/>
      <c r="AQ110" s="137"/>
      <c r="AU110" s="145"/>
      <c r="AV110" s="34"/>
      <c r="AW110" s="137"/>
    </row>
    <row r="111" spans="1:49" x14ac:dyDescent="0.25">
      <c r="A111" s="723"/>
      <c r="B111" s="723"/>
      <c r="L111" s="135"/>
      <c r="P111" s="55"/>
      <c r="Q111" s="135"/>
      <c r="R111" s="55"/>
      <c r="U111" s="55"/>
      <c r="V111" s="55"/>
      <c r="W111" s="55"/>
      <c r="X111" s="55"/>
      <c r="AO111" s="136"/>
      <c r="AQ111" s="137"/>
      <c r="AU111" s="145"/>
      <c r="AV111" s="34"/>
      <c r="AW111" s="137"/>
    </row>
    <row r="112" spans="1:49" x14ac:dyDescent="0.25">
      <c r="A112" s="723"/>
      <c r="B112" s="723"/>
      <c r="L112" s="135"/>
      <c r="P112" s="55"/>
      <c r="Q112" s="135"/>
      <c r="R112" s="55"/>
      <c r="U112" s="55"/>
      <c r="V112" s="55"/>
      <c r="W112" s="55"/>
      <c r="X112" s="55"/>
      <c r="AO112" s="136"/>
      <c r="AQ112" s="137"/>
      <c r="AU112" s="145"/>
      <c r="AV112" s="34"/>
      <c r="AW112" s="137"/>
    </row>
    <row r="113" spans="1:49" x14ac:dyDescent="0.25">
      <c r="A113" s="723"/>
      <c r="B113" s="723"/>
      <c r="L113" s="135"/>
      <c r="P113" s="55"/>
      <c r="Q113" s="135"/>
      <c r="R113" s="55"/>
      <c r="U113" s="55"/>
      <c r="V113" s="55"/>
      <c r="W113" s="55"/>
      <c r="X113" s="55"/>
      <c r="AO113" s="136"/>
      <c r="AQ113" s="137"/>
      <c r="AU113" s="145"/>
      <c r="AV113" s="34"/>
      <c r="AW113" s="137"/>
    </row>
    <row r="114" spans="1:49" x14ac:dyDescent="0.25">
      <c r="A114" s="723"/>
      <c r="B114" s="723"/>
      <c r="L114" s="135"/>
      <c r="P114" s="55"/>
      <c r="Q114" s="135"/>
      <c r="R114" s="55"/>
      <c r="U114" s="55"/>
      <c r="V114" s="55"/>
      <c r="W114" s="55"/>
      <c r="X114" s="55"/>
      <c r="AO114" s="136"/>
      <c r="AQ114" s="137"/>
      <c r="AU114" s="145"/>
      <c r="AV114" s="34"/>
      <c r="AW114" s="137"/>
    </row>
    <row r="115" spans="1:49" x14ac:dyDescent="0.25">
      <c r="A115" s="723"/>
      <c r="B115" s="723"/>
      <c r="L115" s="135"/>
      <c r="P115" s="55"/>
      <c r="Q115" s="135"/>
      <c r="R115" s="55"/>
      <c r="U115" s="55"/>
      <c r="V115" s="55"/>
      <c r="W115" s="55"/>
      <c r="X115" s="55"/>
      <c r="AO115" s="136"/>
      <c r="AQ115" s="137"/>
      <c r="AU115" s="145"/>
      <c r="AV115" s="34"/>
      <c r="AW115" s="137"/>
    </row>
    <row r="116" spans="1:49" x14ac:dyDescent="0.25">
      <c r="A116" s="723"/>
      <c r="B116" s="723"/>
      <c r="L116" s="135"/>
      <c r="P116" s="55"/>
      <c r="Q116" s="135"/>
      <c r="R116" s="55"/>
      <c r="U116" s="55"/>
      <c r="V116" s="55"/>
      <c r="W116" s="55"/>
      <c r="X116" s="55"/>
      <c r="AO116" s="136"/>
      <c r="AQ116" s="137"/>
      <c r="AU116" s="145"/>
      <c r="AV116" s="34"/>
      <c r="AW116" s="137"/>
    </row>
    <row r="117" spans="1:49" x14ac:dyDescent="0.25">
      <c r="A117" s="723"/>
      <c r="B117" s="723"/>
      <c r="L117" s="135"/>
      <c r="P117" s="55"/>
      <c r="Q117" s="135"/>
      <c r="R117" s="55"/>
      <c r="U117" s="55"/>
      <c r="V117" s="55"/>
      <c r="W117" s="55"/>
      <c r="X117" s="55"/>
      <c r="AO117" s="136"/>
      <c r="AQ117" s="137"/>
      <c r="AU117" s="145"/>
      <c r="AV117" s="34"/>
      <c r="AW117" s="137"/>
    </row>
    <row r="118" spans="1:49" x14ac:dyDescent="0.25">
      <c r="A118" s="723"/>
      <c r="B118" s="723"/>
      <c r="P118" s="55"/>
      <c r="Q118" s="55"/>
      <c r="R118" s="55"/>
      <c r="U118" s="55"/>
      <c r="V118" s="55"/>
      <c r="W118" s="55"/>
      <c r="X118" s="55"/>
      <c r="AO118" s="136"/>
      <c r="AQ118" s="137"/>
      <c r="AS118" s="137"/>
      <c r="AU118" s="145"/>
      <c r="AV118" s="136"/>
      <c r="AW118" s="137"/>
    </row>
    <row r="119" spans="1:49" x14ac:dyDescent="0.25">
      <c r="A119" s="723"/>
      <c r="B119" s="723"/>
      <c r="P119" s="55"/>
      <c r="Q119" s="55"/>
      <c r="R119" s="55"/>
      <c r="U119" s="55"/>
      <c r="V119" s="55"/>
      <c r="W119" s="55"/>
      <c r="X119" s="55"/>
      <c r="AO119" s="136"/>
      <c r="AQ119" s="137"/>
      <c r="AS119" s="137"/>
      <c r="AU119" s="145"/>
      <c r="AV119" s="136"/>
      <c r="AW119" s="137"/>
    </row>
    <row r="120" spans="1:49" x14ac:dyDescent="0.25">
      <c r="A120" s="723"/>
      <c r="B120" s="723"/>
      <c r="P120" s="55"/>
      <c r="Q120" s="55"/>
      <c r="R120" s="55"/>
      <c r="U120" s="55"/>
      <c r="V120" s="55"/>
      <c r="W120" s="55"/>
      <c r="X120" s="55"/>
      <c r="AO120" s="136"/>
      <c r="AQ120" s="137"/>
      <c r="AS120" s="137"/>
      <c r="AU120" s="145"/>
      <c r="AV120" s="136"/>
      <c r="AW120" s="137"/>
    </row>
    <row r="121" spans="1:49" x14ac:dyDescent="0.25">
      <c r="A121" s="723"/>
      <c r="B121" s="723"/>
      <c r="P121" s="55"/>
      <c r="Q121" s="55"/>
      <c r="R121" s="55"/>
      <c r="U121" s="55"/>
      <c r="V121" s="55"/>
      <c r="W121" s="55"/>
      <c r="X121" s="55"/>
      <c r="AO121" s="136"/>
      <c r="AQ121" s="137"/>
      <c r="AS121" s="137"/>
      <c r="AU121" s="145"/>
      <c r="AV121" s="136"/>
      <c r="AW121" s="137"/>
    </row>
    <row r="122" spans="1:49" x14ac:dyDescent="0.25">
      <c r="A122" s="723"/>
      <c r="B122" s="723"/>
      <c r="P122" s="55"/>
      <c r="Q122" s="55"/>
      <c r="R122" s="55"/>
      <c r="U122" s="55"/>
      <c r="V122" s="55"/>
      <c r="W122" s="55"/>
      <c r="X122" s="55"/>
      <c r="AO122" s="136"/>
      <c r="AQ122" s="137"/>
      <c r="AS122" s="137"/>
      <c r="AU122" s="145"/>
      <c r="AV122" s="136"/>
      <c r="AW122" s="137"/>
    </row>
    <row r="123" spans="1:49" x14ac:dyDescent="0.25">
      <c r="A123" s="723"/>
      <c r="B123" s="723"/>
      <c r="P123" s="55"/>
      <c r="Q123" s="55"/>
      <c r="R123" s="55"/>
      <c r="U123" s="55"/>
      <c r="V123" s="55"/>
      <c r="W123" s="55"/>
      <c r="X123" s="55"/>
      <c r="AO123" s="136"/>
      <c r="AQ123" s="137"/>
      <c r="AS123" s="137"/>
      <c r="AU123" s="145"/>
      <c r="AV123" s="136"/>
      <c r="AW123" s="137"/>
    </row>
    <row r="124" spans="1:49" x14ac:dyDescent="0.25">
      <c r="A124" s="723"/>
      <c r="B124" s="723"/>
      <c r="P124" s="55"/>
      <c r="Q124" s="55"/>
      <c r="R124" s="55"/>
      <c r="U124" s="55"/>
      <c r="V124" s="55"/>
      <c r="W124" s="55"/>
      <c r="X124" s="55"/>
      <c r="AO124" s="136"/>
      <c r="AQ124" s="137"/>
      <c r="AS124" s="137"/>
      <c r="AU124" s="145"/>
      <c r="AV124" s="136"/>
      <c r="AW124" s="137"/>
    </row>
    <row r="125" spans="1:49" x14ac:dyDescent="0.25">
      <c r="A125" s="723"/>
      <c r="B125" s="723"/>
      <c r="P125" s="55"/>
      <c r="Q125" s="55"/>
      <c r="R125" s="55"/>
      <c r="U125" s="55"/>
      <c r="V125" s="55"/>
      <c r="W125" s="55"/>
      <c r="X125" s="55"/>
      <c r="AO125" s="136"/>
      <c r="AQ125" s="137"/>
      <c r="AS125" s="137"/>
      <c r="AU125" s="145"/>
      <c r="AV125" s="136"/>
      <c r="AW125" s="137"/>
    </row>
    <row r="126" spans="1:49" x14ac:dyDescent="0.25">
      <c r="A126" s="723"/>
      <c r="B126" s="723"/>
      <c r="P126" s="55"/>
      <c r="Q126" s="55"/>
      <c r="R126" s="55"/>
      <c r="U126" s="55"/>
      <c r="V126" s="55"/>
      <c r="W126" s="55"/>
      <c r="X126" s="55"/>
      <c r="AO126" s="136"/>
      <c r="AQ126" s="137"/>
      <c r="AS126" s="137"/>
      <c r="AU126" s="145"/>
      <c r="AV126" s="136"/>
      <c r="AW126" s="137"/>
    </row>
    <row r="127" spans="1:49" x14ac:dyDescent="0.25">
      <c r="A127" s="723"/>
      <c r="B127" s="723"/>
      <c r="P127" s="55"/>
      <c r="Q127" s="55"/>
      <c r="R127" s="55"/>
      <c r="U127" s="55"/>
      <c r="V127" s="55"/>
      <c r="W127" s="55"/>
      <c r="X127" s="55"/>
      <c r="AO127" s="136"/>
      <c r="AQ127" s="137"/>
      <c r="AS127" s="137"/>
      <c r="AU127" s="145"/>
      <c r="AV127" s="136"/>
      <c r="AW127" s="137"/>
    </row>
    <row r="128" spans="1:49" x14ac:dyDescent="0.25">
      <c r="A128" s="723"/>
      <c r="B128" s="723"/>
      <c r="P128" s="55"/>
      <c r="Q128" s="55"/>
      <c r="R128" s="55"/>
      <c r="U128" s="55"/>
      <c r="V128" s="55"/>
      <c r="W128" s="55"/>
      <c r="X128" s="55"/>
      <c r="AO128" s="136"/>
      <c r="AQ128" s="137"/>
      <c r="AS128" s="137"/>
      <c r="AU128" s="145"/>
      <c r="AV128" s="136"/>
      <c r="AW128" s="137"/>
    </row>
    <row r="129" spans="1:49" x14ac:dyDescent="0.25">
      <c r="A129" s="723"/>
      <c r="B129" s="723"/>
      <c r="P129" s="55"/>
      <c r="Q129" s="55"/>
      <c r="R129" s="55"/>
      <c r="U129" s="55"/>
      <c r="V129" s="55"/>
      <c r="W129" s="55"/>
      <c r="X129" s="55"/>
      <c r="AO129" s="136"/>
      <c r="AQ129" s="137"/>
      <c r="AS129" s="137"/>
      <c r="AU129" s="145"/>
      <c r="AV129" s="136"/>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row>
    <row r="167" spans="16:49" x14ac:dyDescent="0.25">
      <c r="P167" s="55"/>
      <c r="Q167" s="55"/>
      <c r="R167" s="55"/>
      <c r="U167" s="55"/>
      <c r="V167" s="55"/>
      <c r="W167" s="55"/>
      <c r="X167" s="55"/>
    </row>
    <row r="168" spans="16:49" x14ac:dyDescent="0.25">
      <c r="P168" s="55"/>
      <c r="Q168" s="55"/>
      <c r="R168" s="55"/>
      <c r="U168" s="55"/>
      <c r="V168" s="55"/>
      <c r="W168" s="55"/>
      <c r="X168" s="55"/>
    </row>
    <row r="169" spans="16:49" x14ac:dyDescent="0.25">
      <c r="P169" s="55"/>
      <c r="Q169" s="55"/>
      <c r="R169" s="55"/>
      <c r="U169" s="55"/>
      <c r="V169" s="55"/>
      <c r="W169" s="55"/>
      <c r="X169" s="55"/>
    </row>
    <row r="170" spans="16:49" x14ac:dyDescent="0.25">
      <c r="P170" s="55"/>
      <c r="Q170" s="55"/>
      <c r="R170" s="55"/>
      <c r="U170" s="55"/>
      <c r="V170" s="55"/>
      <c r="W170" s="55"/>
      <c r="X170" s="55"/>
    </row>
    <row r="171" spans="16:49" x14ac:dyDescent="0.25">
      <c r="P171" s="55"/>
      <c r="Q171" s="55"/>
      <c r="R171" s="55"/>
      <c r="U171" s="55"/>
      <c r="V171" s="55"/>
      <c r="W171" s="55"/>
      <c r="X171" s="55"/>
    </row>
    <row r="172" spans="16:49" x14ac:dyDescent="0.25">
      <c r="P172" s="55"/>
      <c r="Q172" s="55"/>
      <c r="R172" s="55"/>
      <c r="U172" s="55"/>
      <c r="V172" s="55"/>
      <c r="W172" s="55"/>
      <c r="X172" s="55"/>
    </row>
    <row r="173" spans="16:49" x14ac:dyDescent="0.25">
      <c r="P173" s="55"/>
      <c r="Q173" s="55"/>
      <c r="R173" s="55"/>
      <c r="U173" s="55"/>
      <c r="V173" s="55"/>
      <c r="W173" s="55"/>
      <c r="X173" s="55"/>
    </row>
    <row r="174" spans="16:49" x14ac:dyDescent="0.25">
      <c r="P174" s="55"/>
      <c r="Q174" s="55"/>
      <c r="R174" s="55"/>
      <c r="U174" s="55"/>
      <c r="V174" s="55"/>
      <c r="W174" s="55"/>
      <c r="X174" s="55"/>
    </row>
    <row r="175" spans="16:49" x14ac:dyDescent="0.25">
      <c r="P175" s="55"/>
      <c r="Q175" s="55"/>
      <c r="R175" s="55"/>
      <c r="U175" s="55"/>
      <c r="V175" s="55"/>
      <c r="W175" s="55"/>
      <c r="X175" s="55"/>
    </row>
    <row r="176" spans="16:49"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sheetData>
  <sheetCalcPr fullCalcOnLoad="1"/>
  <mergeCells count="133">
    <mergeCell ref="A128:B128"/>
    <mergeCell ref="A129:B129"/>
    <mergeCell ref="A27:C27"/>
    <mergeCell ref="A113:B113"/>
    <mergeCell ref="A124:B124"/>
    <mergeCell ref="A125:B125"/>
    <mergeCell ref="A126:B126"/>
    <mergeCell ref="A127:B127"/>
    <mergeCell ref="A120:B120"/>
    <mergeCell ref="A121:B121"/>
    <mergeCell ref="A122:B122"/>
    <mergeCell ref="A123:B123"/>
    <mergeCell ref="A116:B116"/>
    <mergeCell ref="A117:B117"/>
    <mergeCell ref="A118:B118"/>
    <mergeCell ref="A119:B119"/>
    <mergeCell ref="A112:B112"/>
    <mergeCell ref="A114:B114"/>
    <mergeCell ref="A115:B115"/>
    <mergeCell ref="L4:M4"/>
    <mergeCell ref="L5:M5"/>
    <mergeCell ref="L6:M6"/>
    <mergeCell ref="L7:M7"/>
    <mergeCell ref="L8:M8"/>
    <mergeCell ref="L9:M9"/>
    <mergeCell ref="L10:M10"/>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8:B28"/>
    <mergeCell ref="A29:B29"/>
    <mergeCell ref="A30:B30"/>
    <mergeCell ref="A31:B31"/>
    <mergeCell ref="A32:B32"/>
    <mergeCell ref="A33:B33"/>
    <mergeCell ref="A26:B26"/>
    <mergeCell ref="L11:M11"/>
    <mergeCell ref="L12:M12"/>
    <mergeCell ref="L13:M13"/>
    <mergeCell ref="L14:M14"/>
    <mergeCell ref="L15:M15"/>
    <mergeCell ref="L16:M16"/>
    <mergeCell ref="L17:M17"/>
    <mergeCell ref="A22:B22"/>
    <mergeCell ref="A23:B23"/>
    <mergeCell ref="A25:B25"/>
    <mergeCell ref="F1:G1"/>
    <mergeCell ref="L1:P1"/>
    <mergeCell ref="L3:M3"/>
    <mergeCell ref="D10:H10"/>
    <mergeCell ref="L18:M18"/>
    <mergeCell ref="L19:M19"/>
    <mergeCell ref="BU1:CB1"/>
    <mergeCell ref="AE1:AK1"/>
    <mergeCell ref="BA1:BH1"/>
    <mergeCell ref="AM20:AN20"/>
    <mergeCell ref="AO20:AP20"/>
    <mergeCell ref="A24:B2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475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7475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411">
    <pageSetUpPr autoPageBreaks="0"/>
  </sheetPr>
  <dimension ref="A1:CX505"/>
  <sheetViews>
    <sheetView topLeftCell="J4" zoomScale="80" workbookViewId="0">
      <selection activeCell="CI21" sqref="CI21:CI67"/>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CGLF</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LongTerm21</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21</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$F$67</v>
      </c>
      <c r="AX2" s="339" t="str">
        <f>ADDRESS(ROW($G$22),COLUMN($G$22))</f>
        <v>$G$22</v>
      </c>
      <c r="AY2" s="138" t="str">
        <f ca="1">GetEnd($AV$1,AX2)</f>
        <v>$G$67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$AF$67</v>
      </c>
      <c r="AX3" s="339" t="str">
        <f>ADDRESS(ROW($AH$22),COLUMN($AH$22))</f>
        <v>$AH$22</v>
      </c>
      <c r="AY3" s="138" t="str">
        <f ca="1">GetEnd($AV$1,AX3)</f>
        <v>$AH$67</v>
      </c>
    </row>
    <row r="4" spans="1:102" x14ac:dyDescent="0.25">
      <c r="A4" s="269" t="str">
        <f>ADDRESS(ROW($S$22),COLUMN($S$22))</f>
        <v>$S$22</v>
      </c>
      <c r="L4" s="721" t="s">
        <v>201</v>
      </c>
      <c r="M4" s="722"/>
      <c r="N4" s="352">
        <f ca="1">SUMPRODUCT(INDIRECT(CONCATENATE(AV4,":",AW4)),INDIRECT(CONCATENATE($AV$2,":",$AW$2)),INDIRECT(CONCATENATE($AV$3,":",$AW$3)))</f>
        <v>731938.66523044161</v>
      </c>
      <c r="O4" s="352">
        <v>732889.12</v>
      </c>
      <c r="P4" s="354">
        <f ca="1">N4-O4</f>
        <v>-950.45476955838967</v>
      </c>
      <c r="Q4" s="181"/>
      <c r="S4" s="427" t="s">
        <v>635</v>
      </c>
      <c r="T4" s="422">
        <f ca="1">SUMPRODUCT(INDIRECT(CONCATENATE(V4,":",W4)),INDIRECT(CONCATENATE(AV2,":",AW2)),INDIRECT(CONCATENATE(AV3,":",AW3)))</f>
        <v>212072.50124266039</v>
      </c>
      <c r="V4" s="30" t="str">
        <f>ADDRESS(ROW(K22),COLUMN(K22))</f>
        <v>$K$22</v>
      </c>
      <c r="W4" s="30" t="str">
        <f ca="1">GetEnd($AV$1,V4)</f>
        <v>$K$67</v>
      </c>
      <c r="AF4" s="28"/>
      <c r="AG4" s="103" t="s">
        <v>32</v>
      </c>
      <c r="AH4" s="104">
        <f>GetRcptIndexCol($AH$12,$AH$13)</f>
        <v>75</v>
      </c>
      <c r="AI4" s="29"/>
      <c r="AJ4" s="103" t="s">
        <v>72</v>
      </c>
      <c r="AK4" s="104">
        <f>GetNymexCol(AK3)</f>
        <v>3</v>
      </c>
      <c r="AL4" s="34">
        <v>1</v>
      </c>
      <c r="AM4" s="45">
        <f t="shared" ref="AM4:AM15" si="0">GetVolume($AH$12,$AH$13,AT4)</f>
        <v>15000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0.11</v>
      </c>
      <c r="AT4" s="35">
        <f t="shared" ref="AT4:AT15" si="7">gettier($AH$12,$AH$13,AL4)</f>
        <v>1</v>
      </c>
      <c r="AV4" s="339" t="str">
        <f>ADDRESS(ROW($Q$22),COLUMN($Q$22))</f>
        <v>$Q$22</v>
      </c>
      <c r="AW4" s="138" t="str">
        <f ca="1">GetEnd($AV$1,AV4)</f>
        <v>$Q$67</v>
      </c>
      <c r="AX4" s="339" t="str">
        <f>ADDRESS(ROW($K$22),COLUMN($K$22))</f>
        <v>$K$22</v>
      </c>
      <c r="AY4" s="138" t="str">
        <f ca="1">GetEnd($AV$1,AX4)</f>
        <v>$K$67</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1885988.7484715856</v>
      </c>
      <c r="O5" s="352">
        <v>1885501.5</v>
      </c>
      <c r="P5" s="355">
        <f ca="1">N5-O5</f>
        <v>487.24847158556804</v>
      </c>
      <c r="Q5" s="181"/>
      <c r="S5" s="428" t="s">
        <v>636</v>
      </c>
      <c r="T5" s="423">
        <f ca="1">SUMPRODUCT(INDIRECT(CONCATENATE(V5,":",W5)),INDIRECT(CONCATENATE(AV2,":",AW2)),INDIRECT(CONCATENATE(AV3,":",AW3)))</f>
        <v>519866.16398778121</v>
      </c>
      <c r="V5" s="30" t="str">
        <f>ADDRESS(ROW(L22),COLUMN(L22))</f>
        <v>$L$22</v>
      </c>
      <c r="W5" s="30" t="str">
        <f ca="1">GetEnd($AV$1,V5)</f>
        <v>$L$67</v>
      </c>
      <c r="AF5" s="28"/>
      <c r="AG5" s="103" t="s">
        <v>33</v>
      </c>
      <c r="AH5" s="104">
        <f>GetDelBasisCol($AH$12,$AH$13)</f>
        <v>76</v>
      </c>
      <c r="AI5" s="29"/>
      <c r="AJ5" s="103" t="s">
        <v>77</v>
      </c>
      <c r="AK5" s="104" t="str">
        <f>LiborCurve</f>
        <v>Libor AA</v>
      </c>
      <c r="AL5" s="34">
        <v>2</v>
      </c>
      <c r="AM5" s="37">
        <f t="shared" si="0"/>
        <v>15000</v>
      </c>
      <c r="AN5" s="38">
        <f t="shared" si="1"/>
        <v>1.7000000000000001E-2</v>
      </c>
      <c r="AO5" s="39">
        <f t="shared" si="2"/>
        <v>2.9020000000000001E-2</v>
      </c>
      <c r="AP5" s="38">
        <f t="shared" si="3"/>
        <v>2.2000000000000001E-3</v>
      </c>
      <c r="AQ5" s="38">
        <f t="shared" si="4"/>
        <v>0</v>
      </c>
      <c r="AR5" s="133">
        <f t="shared" si="5"/>
        <v>-0.03</v>
      </c>
      <c r="AS5" s="40">
        <f t="shared" si="6"/>
        <v>0.11</v>
      </c>
      <c r="AT5" s="35">
        <f t="shared" si="7"/>
        <v>1</v>
      </c>
      <c r="AV5" s="339" t="str">
        <f>ADDRESS(ROW($V$22),COLUMN($V$22))</f>
        <v>$V$22</v>
      </c>
      <c r="AW5" s="138" t="str">
        <f ca="1">GetEnd($AV$1,AV5)</f>
        <v>$V$67</v>
      </c>
      <c r="AX5" s="339" t="str">
        <f>ADDRESS(ROW($L$22),COLUMN($L$22))</f>
        <v>$L$22</v>
      </c>
      <c r="AY5" s="138" t="str">
        <f ca="1">GetEnd($AV$1,AX5)</f>
        <v>$L$67</v>
      </c>
      <c r="BV5" s="266">
        <f>O2</f>
        <v>37239</v>
      </c>
    </row>
    <row r="6" spans="1:102" x14ac:dyDescent="0.25">
      <c r="A6" s="269" t="str">
        <f>ADDRESS(ROW($BW$2),COLUMN($BW$2))</f>
        <v>$BW$2</v>
      </c>
      <c r="F6" s="187"/>
      <c r="G6" s="187"/>
      <c r="L6" s="704" t="s">
        <v>149</v>
      </c>
      <c r="M6" s="705"/>
      <c r="N6" s="356">
        <f ca="1">N4-N5</f>
        <v>-1154050.083241144</v>
      </c>
      <c r="O6" s="357">
        <v>-1152612.3700000001</v>
      </c>
      <c r="P6" s="358">
        <f ca="1">N6-O6</f>
        <v>-1437.7132411438506</v>
      </c>
      <c r="Q6" s="181"/>
      <c r="S6" s="428" t="s">
        <v>637</v>
      </c>
      <c r="T6" s="424">
        <f ca="1">SUMPRODUCT(INDIRECT(CONCATENATE(V6,":",W6)),INDIRECT(CONCATENATE(AV3,":",AW3)),INDIRECT(CONCATENATE(AX3,":",AY3)))</f>
        <v>17145352.258832596</v>
      </c>
      <c r="V6" s="30" t="str">
        <f>ADDRESS(ROW(G22),COLUMN(G22))</f>
        <v>$G$22</v>
      </c>
      <c r="W6" s="30" t="str">
        <f ca="1">GetEnd($AV$1,V6)</f>
        <v>$G$67</v>
      </c>
      <c r="AF6" s="28"/>
      <c r="AG6" s="103" t="s">
        <v>34</v>
      </c>
      <c r="AH6" s="104">
        <f>GetDelIndexCol($AH$12,$AH$13)</f>
        <v>77</v>
      </c>
      <c r="AI6" s="29"/>
      <c r="AJ6" s="103" t="s">
        <v>79</v>
      </c>
      <c r="AK6" s="104">
        <f>GetLiborCol(AK5)</f>
        <v>4</v>
      </c>
      <c r="AL6" s="34">
        <v>3</v>
      </c>
      <c r="AM6" s="37">
        <f t="shared" si="0"/>
        <v>15000</v>
      </c>
      <c r="AN6" s="38">
        <f t="shared" si="1"/>
        <v>1.7000000000000001E-2</v>
      </c>
      <c r="AO6" s="39">
        <f t="shared" si="2"/>
        <v>2.9020000000000001E-2</v>
      </c>
      <c r="AP6" s="38">
        <f t="shared" si="3"/>
        <v>2.2000000000000001E-3</v>
      </c>
      <c r="AQ6" s="38">
        <f t="shared" si="4"/>
        <v>0</v>
      </c>
      <c r="AR6" s="133">
        <f t="shared" si="5"/>
        <v>-0.03</v>
      </c>
      <c r="AS6" s="40">
        <f t="shared" si="6"/>
        <v>0.11</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21217.66</v>
      </c>
      <c r="P7" s="355">
        <f ca="1">N7</f>
        <v>0</v>
      </c>
      <c r="S7" s="428" t="s">
        <v>638</v>
      </c>
      <c r="T7" s="425">
        <f ca="1">T5/T6</f>
        <v>3.0321113042163776E-2</v>
      </c>
      <c r="AF7" s="28"/>
      <c r="AG7" s="103" t="s">
        <v>76</v>
      </c>
      <c r="AH7" s="104">
        <f>GetRcptOmicronCol($AH$12,$AH$13)</f>
        <v>6</v>
      </c>
      <c r="AI7" s="29"/>
      <c r="AJ7" s="103" t="s">
        <v>80</v>
      </c>
      <c r="AK7" s="104" t="str">
        <f>Configuration!$D$8</f>
        <v>Nymex Vol</v>
      </c>
      <c r="AL7" s="34">
        <v>4</v>
      </c>
      <c r="AM7" s="37">
        <f t="shared" si="0"/>
        <v>15000</v>
      </c>
      <c r="AN7" s="38">
        <f t="shared" si="1"/>
        <v>1.7000000000000001E-2</v>
      </c>
      <c r="AO7" s="39">
        <f t="shared" si="2"/>
        <v>2.9020000000000001E-2</v>
      </c>
      <c r="AP7" s="38">
        <f t="shared" si="3"/>
        <v>2.2000000000000001E-3</v>
      </c>
      <c r="AQ7" s="38">
        <f t="shared" si="4"/>
        <v>0</v>
      </c>
      <c r="AR7" s="133">
        <f t="shared" si="5"/>
        <v>-0.03</v>
      </c>
      <c r="AS7" s="40">
        <f t="shared" si="6"/>
        <v>0.11</v>
      </c>
      <c r="AT7" s="35">
        <f t="shared" si="7"/>
        <v>1</v>
      </c>
      <c r="AU7" s="361" t="s">
        <v>574</v>
      </c>
      <c r="AV7" s="339" t="str">
        <f>ADDRESS(ROW($AL$22),COLUMN($AL$22))</f>
        <v>$AL$22</v>
      </c>
      <c r="AW7" s="138" t="str">
        <f ca="1">GetEnd($AV$1,AV7)</f>
        <v>$AL$67</v>
      </c>
      <c r="AX7" s="339" t="str">
        <f>ADDRESS(ROW($AV$22),COLUMN($AV$22))</f>
        <v>$AV$22</v>
      </c>
      <c r="AY7" s="138" t="str">
        <f t="shared" ref="AY7:AY13" ca="1" si="8">GetEnd($AV$1,AX7)</f>
        <v>$AV$67</v>
      </c>
    </row>
    <row r="8" spans="1:102" x14ac:dyDescent="0.25">
      <c r="A8" s="270" t="s">
        <v>224</v>
      </c>
      <c r="F8" s="186" t="s">
        <v>26</v>
      </c>
      <c r="G8" s="190">
        <f>GetMonthEnd($AH$12,$AH$13)</f>
        <v>38472</v>
      </c>
      <c r="L8" s="706" t="s">
        <v>626</v>
      </c>
      <c r="M8" s="707"/>
      <c r="N8" s="352">
        <f t="array" aca="1" ref="N8" ca="1">SUM(((INDIRECT(AX14)-INDIRECT(AY16))-(INDIRECT(AX15)-INDIRECT(AY14)))*INDIRECT(CONCATENATE(AX2,":",AY2))*INDIRECT(CONCATENATE(AV3,":",AW3))*INDIRECT(CONCATENATE(AX3,":",AY3)))</f>
        <v>0</v>
      </c>
      <c r="O8" s="421">
        <v>-539.91</v>
      </c>
      <c r="P8" s="355">
        <f ca="1">N8</f>
        <v>0</v>
      </c>
      <c r="S8" s="429" t="s">
        <v>639</v>
      </c>
      <c r="T8" s="426">
        <f ca="1">Y8/Z8</f>
        <v>0.99752757637358425</v>
      </c>
      <c r="V8" s="30" t="str">
        <f>ADDRESS(ROW(P22),COLUMN(P22))</f>
        <v>$P$22</v>
      </c>
      <c r="W8" s="30" t="str">
        <f ca="1">GetEnd($AV$1,V8)</f>
        <v>$P$67</v>
      </c>
      <c r="Y8" s="334">
        <f ca="1">SUMIF(INDIRECT(CONCATENATE(V8,":",W8)),"&gt;0",INDIRECT(CONCATENATE(V8,":",W8)))</f>
        <v>39.90110305494337</v>
      </c>
      <c r="Z8" s="334">
        <f ca="1">COUNTIF(INDIRECT(CONCATENATE(V8,":",W8)),"&gt;0")</f>
        <v>40</v>
      </c>
      <c r="AF8" s="28"/>
      <c r="AG8" s="103" t="s">
        <v>75</v>
      </c>
      <c r="AH8" s="105">
        <f>GetDelOmicronCol($AH$12,$AH$13)</f>
        <v>12</v>
      </c>
      <c r="AI8" s="29"/>
      <c r="AJ8" s="103" t="s">
        <v>81</v>
      </c>
      <c r="AK8" s="104">
        <f>GetNGOmicronCol(AK7)</f>
        <v>5</v>
      </c>
      <c r="AL8" s="34">
        <v>5</v>
      </c>
      <c r="AM8" s="37">
        <f t="shared" si="0"/>
        <v>15000</v>
      </c>
      <c r="AN8" s="38">
        <f t="shared" si="1"/>
        <v>1.7000000000000001E-2</v>
      </c>
      <c r="AO8" s="39">
        <f t="shared" si="2"/>
        <v>2.9020000000000001E-2</v>
      </c>
      <c r="AP8" s="38">
        <f t="shared" si="3"/>
        <v>2.2000000000000001E-3</v>
      </c>
      <c r="AQ8" s="38">
        <f t="shared" si="4"/>
        <v>0</v>
      </c>
      <c r="AR8" s="133">
        <f t="shared" si="5"/>
        <v>-0.03</v>
      </c>
      <c r="AS8" s="40">
        <f t="shared" si="6"/>
        <v>0.11</v>
      </c>
      <c r="AT8" s="35">
        <f t="shared" si="7"/>
        <v>1</v>
      </c>
      <c r="AU8" s="362" t="s">
        <v>575</v>
      </c>
      <c r="AV8" s="339" t="str">
        <f>ADDRESS(ROW($AM$22),COLUMN($AM$22))</f>
        <v>$AM$22</v>
      </c>
      <c r="AW8" s="138" t="str">
        <f ca="1">GetEnd($AV$1,AV8)</f>
        <v>$AM$67</v>
      </c>
      <c r="AX8" s="339" t="str">
        <f>ADDRESS(ROW($AO$22),COLUMN($AO$22))</f>
        <v>$AO$22</v>
      </c>
      <c r="AY8" s="138" t="str">
        <f t="shared" ca="1" si="8"/>
        <v>$AO$67</v>
      </c>
    </row>
    <row r="9" spans="1:102" x14ac:dyDescent="0.25">
      <c r="A9" s="270" t="s">
        <v>224</v>
      </c>
      <c r="L9" s="706" t="s">
        <v>627</v>
      </c>
      <c r="M9" s="707"/>
      <c r="N9" s="352">
        <f t="array" aca="1" ref="N9" ca="1">SUM(((INDIRECT(AX16)-INDIRECT(AY17))-(INDIRECT(AX17)-INDIRECT(AY15)))*INDIRECT(CONCATENATE(AX2,":",AY2))*INDIRECT(CONCATENATE(AV3,":",AW3))*INDIRECT(CONCATENATE(AX3,":",AY3)))</f>
        <v>5.9484890134577765E-11</v>
      </c>
      <c r="O9" s="421">
        <v>0</v>
      </c>
      <c r="P9" s="355">
        <f ca="1">N9</f>
        <v>5.9484890134577765E-11</v>
      </c>
      <c r="AF9" s="28"/>
      <c r="AG9" s="52"/>
      <c r="AH9" s="52"/>
      <c r="AI9" s="29"/>
      <c r="AJ9" s="103" t="s">
        <v>139</v>
      </c>
      <c r="AK9" s="105">
        <f>GetCorrelCol($AH$12,$AH$13)</f>
        <v>2</v>
      </c>
      <c r="AL9" s="34">
        <v>6</v>
      </c>
      <c r="AM9" s="37">
        <f t="shared" si="0"/>
        <v>15000</v>
      </c>
      <c r="AN9" s="38">
        <f t="shared" si="1"/>
        <v>1.7000000000000001E-2</v>
      </c>
      <c r="AO9" s="39">
        <f t="shared" si="2"/>
        <v>2.9020000000000001E-2</v>
      </c>
      <c r="AP9" s="38">
        <f t="shared" si="3"/>
        <v>2.2000000000000001E-3</v>
      </c>
      <c r="AQ9" s="38">
        <f t="shared" si="4"/>
        <v>0</v>
      </c>
      <c r="AR9" s="133">
        <f t="shared" si="5"/>
        <v>-0.03</v>
      </c>
      <c r="AS9" s="40">
        <f t="shared" si="6"/>
        <v>0.11</v>
      </c>
      <c r="AT9" s="35">
        <f t="shared" si="7"/>
        <v>1</v>
      </c>
      <c r="AU9" s="361" t="s">
        <v>578</v>
      </c>
      <c r="AV9" s="339" t="str">
        <f>ADDRESS(ROW($AN$22),COLUMN($AN$22))</f>
        <v>$AN$22</v>
      </c>
      <c r="AW9" s="138" t="str">
        <f ca="1">GetEnd($AV$1,AV9)</f>
        <v>$AN$67</v>
      </c>
      <c r="AX9" s="339" t="str">
        <f>ADDRESS(ROW($AP$22),COLUMN($AP$22))</f>
        <v>$AP$22</v>
      </c>
      <c r="AY9" s="138" t="str">
        <f t="shared" ca="1" si="8"/>
        <v>$AP$67</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-1674838.3431604465</v>
      </c>
      <c r="O10" s="352">
        <v>-1674399.14</v>
      </c>
      <c r="P10" s="355">
        <f t="shared" ref="P10:P19" ca="1" si="9">N10-O10</f>
        <v>-439.20316044660285</v>
      </c>
      <c r="AF10" s="28"/>
      <c r="AG10" s="103" t="s">
        <v>142</v>
      </c>
      <c r="AH10" s="119" t="b">
        <f>GetGRIFactor($AH$12,$AH$13)</f>
        <v>0</v>
      </c>
      <c r="AI10" s="29"/>
      <c r="AJ10" s="29"/>
      <c r="AK10" s="29"/>
      <c r="AL10" s="34">
        <v>7</v>
      </c>
      <c r="AM10" s="37">
        <f t="shared" si="0"/>
        <v>15000</v>
      </c>
      <c r="AN10" s="38">
        <f t="shared" si="1"/>
        <v>1.7000000000000001E-2</v>
      </c>
      <c r="AO10" s="39">
        <f t="shared" si="2"/>
        <v>2.9020000000000001E-2</v>
      </c>
      <c r="AP10" s="38">
        <f t="shared" si="3"/>
        <v>2.2000000000000001E-3</v>
      </c>
      <c r="AQ10" s="38">
        <f t="shared" si="4"/>
        <v>0</v>
      </c>
      <c r="AR10" s="133">
        <f t="shared" si="5"/>
        <v>-0.03</v>
      </c>
      <c r="AS10" s="40">
        <f t="shared" si="6"/>
        <v>0.11</v>
      </c>
      <c r="AT10" s="35">
        <f t="shared" si="7"/>
        <v>1</v>
      </c>
      <c r="AU10" s="361" t="s">
        <v>577</v>
      </c>
      <c r="AV10" s="339" t="str">
        <f>ADDRESS(ROW($AS$22),COLUMN($AS$22))</f>
        <v>$AS$22</v>
      </c>
      <c r="AW10" s="138" t="str">
        <f ca="1">GetEnd($AV$1,AV10)</f>
        <v>$AS$67</v>
      </c>
      <c r="AX10" s="339" t="str">
        <f>ADDRESS(ROW($CC$22),COLUMN($CC$22))</f>
        <v>$CC$22</v>
      </c>
      <c r="AY10" s="138" t="str">
        <f t="shared" ca="1" si="8"/>
        <v>$CC$67</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-350208</v>
      </c>
      <c r="O11" s="357">
        <v>-350208</v>
      </c>
      <c r="P11" s="358">
        <f t="shared" ca="1" si="9"/>
        <v>0</v>
      </c>
      <c r="AL11" s="34">
        <v>8</v>
      </c>
      <c r="AM11" s="37">
        <f t="shared" si="0"/>
        <v>15000</v>
      </c>
      <c r="AN11" s="38">
        <f t="shared" si="1"/>
        <v>1.7000000000000001E-2</v>
      </c>
      <c r="AO11" s="39">
        <f t="shared" si="2"/>
        <v>2.9020000000000001E-2</v>
      </c>
      <c r="AP11" s="38">
        <f t="shared" si="3"/>
        <v>2.2000000000000001E-3</v>
      </c>
      <c r="AQ11" s="38">
        <f t="shared" si="4"/>
        <v>0</v>
      </c>
      <c r="AR11" s="133">
        <f t="shared" si="5"/>
        <v>-0.03</v>
      </c>
      <c r="AS11" s="40">
        <f t="shared" si="6"/>
        <v>0.11</v>
      </c>
      <c r="AT11" s="35">
        <f t="shared" si="7"/>
        <v>1</v>
      </c>
      <c r="AU11" s="361" t="s">
        <v>579</v>
      </c>
      <c r="AV11" s="339" t="str">
        <f>ADDRESS(ROW($AQ$22),COLUMN($AQ$22))</f>
        <v>$AQ$22</v>
      </c>
      <c r="AW11" s="138" t="str">
        <f ca="1">GetEnd($AV$1,AV11)</f>
        <v>$AQ$67</v>
      </c>
      <c r="AX11" s="339" t="str">
        <f>ADDRESS(ROW($CD$22),COLUMN($CD$22))</f>
        <v>$CD$22</v>
      </c>
      <c r="AY11" s="138" t="str">
        <f t="shared" ca="1" si="8"/>
        <v>$CD$67</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1730.19</v>
      </c>
      <c r="P12" s="355">
        <f t="shared" ca="1" si="9"/>
        <v>-1730.19</v>
      </c>
      <c r="AG12" s="248" t="s">
        <v>185</v>
      </c>
      <c r="AH12" s="119" t="str">
        <f>GetDBPage($D$2)</f>
        <v>Contract DB (East)</v>
      </c>
      <c r="AL12" s="34">
        <v>9</v>
      </c>
      <c r="AM12" s="37">
        <f t="shared" si="0"/>
        <v>15000</v>
      </c>
      <c r="AN12" s="38">
        <f t="shared" si="1"/>
        <v>1.7000000000000001E-2</v>
      </c>
      <c r="AO12" s="39">
        <f t="shared" si="2"/>
        <v>2.9020000000000001E-2</v>
      </c>
      <c r="AP12" s="38">
        <f t="shared" si="3"/>
        <v>2.2000000000000001E-3</v>
      </c>
      <c r="AQ12" s="38">
        <f t="shared" si="4"/>
        <v>0</v>
      </c>
      <c r="AR12" s="133">
        <f t="shared" si="5"/>
        <v>-0.03</v>
      </c>
      <c r="AS12" s="40">
        <f t="shared" si="6"/>
        <v>0.11</v>
      </c>
      <c r="AT12" s="35">
        <f t="shared" si="7"/>
        <v>1</v>
      </c>
      <c r="AU12" s="361" t="s">
        <v>271</v>
      </c>
      <c r="AV12" s="339" t="str">
        <f>ADDRESS(ROW($X$22),COLUMN($X$22))</f>
        <v>$X$22</v>
      </c>
      <c r="AW12" s="138" t="str">
        <f t="shared" ref="AW12:AW17" ca="1" si="11">GetEnd($AV$1,AV12)</f>
        <v>$X$67</v>
      </c>
      <c r="AX12" s="339" t="str">
        <f>ADDRESS(ROW($CE$22),COLUMN($CE$22))</f>
        <v>$CE$22</v>
      </c>
      <c r="AY12" s="138" t="str">
        <f t="shared" ca="1" si="8"/>
        <v>$CE$67</v>
      </c>
    </row>
    <row r="13" spans="1:102" x14ac:dyDescent="0.25">
      <c r="A13" s="270" t="s">
        <v>224</v>
      </c>
      <c r="D13" s="170"/>
      <c r="E13" s="171"/>
      <c r="F13" s="172"/>
      <c r="G13" s="172"/>
      <c r="H13" s="173"/>
      <c r="L13" s="706" t="s">
        <v>155</v>
      </c>
      <c r="M13" s="707"/>
      <c r="N13" s="352">
        <f t="shared" ca="1" si="10"/>
        <v>0</v>
      </c>
      <c r="O13" s="352">
        <v>103.45</v>
      </c>
      <c r="P13" s="355">
        <f t="shared" ca="1" si="9"/>
        <v>-103.45</v>
      </c>
      <c r="AG13" s="248" t="s">
        <v>186</v>
      </c>
      <c r="AH13" s="119">
        <f>GetRecNdx($AH$12,$D$2)</f>
        <v>4</v>
      </c>
      <c r="AL13" s="34">
        <v>10</v>
      </c>
      <c r="AM13" s="37">
        <f t="shared" si="0"/>
        <v>15000</v>
      </c>
      <c r="AN13" s="38">
        <f t="shared" si="1"/>
        <v>1.7000000000000001E-2</v>
      </c>
      <c r="AO13" s="39">
        <f t="shared" si="2"/>
        <v>2.9020000000000001E-2</v>
      </c>
      <c r="AP13" s="38">
        <f t="shared" si="3"/>
        <v>2.2000000000000001E-3</v>
      </c>
      <c r="AQ13" s="38">
        <f t="shared" si="4"/>
        <v>0</v>
      </c>
      <c r="AR13" s="133">
        <f t="shared" si="5"/>
        <v>-0.03</v>
      </c>
      <c r="AS13" s="40">
        <f t="shared" si="6"/>
        <v>0.11</v>
      </c>
      <c r="AT13" s="35">
        <f t="shared" si="7"/>
        <v>1</v>
      </c>
      <c r="AU13" s="361" t="s">
        <v>155</v>
      </c>
      <c r="AV13" s="339" t="str">
        <f>ADDRESS(ROW($Y$22),COLUMN($Y$22))</f>
        <v>$Y$22</v>
      </c>
      <c r="AW13" s="138" t="str">
        <f t="shared" ca="1" si="11"/>
        <v>$Y$67</v>
      </c>
      <c r="AX13" s="339" t="str">
        <f>ADDRESS(ROW($CF$22),COLUMN($CF$22))</f>
        <v>$CF$22</v>
      </c>
      <c r="AY13" s="138" t="str">
        <f t="shared" ca="1" si="8"/>
        <v>$CF$67</v>
      </c>
    </row>
    <row r="14" spans="1:102" x14ac:dyDescent="0.25">
      <c r="A14" s="270" t="s">
        <v>224</v>
      </c>
      <c r="D14" s="170"/>
      <c r="E14" s="171"/>
      <c r="F14" s="172"/>
      <c r="G14" s="172"/>
      <c r="H14" s="173"/>
      <c r="K14" s="185"/>
      <c r="L14" s="706" t="s">
        <v>156</v>
      </c>
      <c r="M14" s="707"/>
      <c r="N14" s="352">
        <f t="shared" ca="1" si="10"/>
        <v>-4103.3532058556702</v>
      </c>
      <c r="O14" s="352">
        <v>-1326.53</v>
      </c>
      <c r="P14" s="355">
        <f t="shared" ca="1" si="9"/>
        <v>-2776.8232058556705</v>
      </c>
      <c r="S14" s="181">
        <f>F22/(1-AR22)*AH22*AU22</f>
        <v>478187.91895061737</v>
      </c>
      <c r="T14" s="181">
        <f>F22*AH22*AU22</f>
        <v>464310.9055426704</v>
      </c>
      <c r="AL14" s="34">
        <v>11</v>
      </c>
      <c r="AM14" s="37">
        <f t="shared" si="0"/>
        <v>15000</v>
      </c>
      <c r="AN14" s="38">
        <f t="shared" si="1"/>
        <v>1.7000000000000001E-2</v>
      </c>
      <c r="AO14" s="39">
        <f t="shared" si="2"/>
        <v>2.9020000000000001E-2</v>
      </c>
      <c r="AP14" s="38">
        <f t="shared" si="3"/>
        <v>2.2000000000000001E-3</v>
      </c>
      <c r="AQ14" s="38">
        <f t="shared" si="4"/>
        <v>0</v>
      </c>
      <c r="AR14" s="133">
        <f t="shared" si="5"/>
        <v>-0.03</v>
      </c>
      <c r="AS14" s="40">
        <f t="shared" si="6"/>
        <v>0.11</v>
      </c>
      <c r="AT14" s="35">
        <f t="shared" si="7"/>
        <v>1</v>
      </c>
      <c r="AU14" s="361" t="s">
        <v>156</v>
      </c>
      <c r="AV14" s="339" t="str">
        <f>ADDRESS(ROW($Z$22),COLUMN($Z$22))</f>
        <v>$Z$22</v>
      </c>
      <c r="AW14" s="138" t="str">
        <f t="shared" ca="1" si="11"/>
        <v>$Z$67</v>
      </c>
      <c r="AX14" s="353" t="str">
        <f ca="1">CONCATENATE(AX8,":",AY8)</f>
        <v>$AO$22:$AO$67</v>
      </c>
      <c r="AY14" s="353" t="str">
        <f ca="1">CONCATENATE(AX10,":",AY10)</f>
        <v>$CC$22:$CC$67</v>
      </c>
    </row>
    <row r="15" spans="1:102" ht="13.8" thickBot="1" x14ac:dyDescent="0.3">
      <c r="A15" s="270" t="s">
        <v>224</v>
      </c>
      <c r="D15" s="170"/>
      <c r="E15" s="171"/>
      <c r="F15" s="172"/>
      <c r="G15" s="172"/>
      <c r="H15" s="173"/>
      <c r="L15" s="706" t="s">
        <v>157</v>
      </c>
      <c r="M15" s="707"/>
      <c r="N15" s="352">
        <f t="shared" ca="1" si="10"/>
        <v>552.21656922452757</v>
      </c>
      <c r="O15" s="352">
        <v>5104.33</v>
      </c>
      <c r="P15" s="355">
        <f t="shared" ca="1" si="9"/>
        <v>-4552.1134307754728</v>
      </c>
      <c r="AL15" s="34">
        <v>12</v>
      </c>
      <c r="AM15" s="41">
        <f t="shared" si="0"/>
        <v>15000</v>
      </c>
      <c r="AN15" s="42">
        <f t="shared" si="1"/>
        <v>1.7000000000000001E-2</v>
      </c>
      <c r="AO15" s="43">
        <f t="shared" si="2"/>
        <v>2.9020000000000001E-2</v>
      </c>
      <c r="AP15" s="42">
        <f t="shared" si="3"/>
        <v>2.2000000000000001E-3</v>
      </c>
      <c r="AQ15" s="42">
        <f t="shared" si="4"/>
        <v>0</v>
      </c>
      <c r="AR15" s="134">
        <f t="shared" si="5"/>
        <v>-0.03</v>
      </c>
      <c r="AS15" s="44">
        <f t="shared" si="6"/>
        <v>0.11</v>
      </c>
      <c r="AT15" s="35">
        <f t="shared" si="7"/>
        <v>1</v>
      </c>
      <c r="AU15" s="363" t="s">
        <v>157</v>
      </c>
      <c r="AV15" s="339" t="str">
        <f>ADDRESS(ROW($AA$22),COLUMN($AA$22))</f>
        <v>$AA$22</v>
      </c>
      <c r="AW15" s="138" t="str">
        <f t="shared" ca="1" si="11"/>
        <v>$AA$67</v>
      </c>
      <c r="AX15" s="353" t="str">
        <f ca="1">CONCATENATE(AV8,":",AW8)</f>
        <v>$AM$22:$AM$67</v>
      </c>
      <c r="AY15" s="353" t="str">
        <f ca="1">CONCATENATE(AX11,":",AY11)</f>
        <v>$CD$22:$CD$67</v>
      </c>
    </row>
    <row r="16" spans="1:102" x14ac:dyDescent="0.25">
      <c r="D16" s="174"/>
      <c r="E16" s="175"/>
      <c r="F16" s="176"/>
      <c r="G16" s="176"/>
      <c r="H16" s="177"/>
      <c r="L16" s="706" t="s">
        <v>158</v>
      </c>
      <c r="M16" s="707"/>
      <c r="N16" s="352">
        <f t="shared" ca="1" si="10"/>
        <v>0</v>
      </c>
      <c r="O16" s="352">
        <v>1348.77</v>
      </c>
      <c r="P16" s="355">
        <f t="shared" ca="1" si="9"/>
        <v>-1348.77</v>
      </c>
      <c r="AU16" s="361" t="s">
        <v>158</v>
      </c>
      <c r="AV16" s="339" t="str">
        <f>ADDRESS(ROW($AB$22),COLUMN($AB$22))</f>
        <v>$AB$22</v>
      </c>
      <c r="AW16" s="138" t="str">
        <f t="shared" ca="1" si="11"/>
        <v>$AB$67</v>
      </c>
      <c r="AX16" s="353" t="str">
        <f ca="1">CONCATENATE(AX9,":",AY9)</f>
        <v>$AP$22:$AP$67</v>
      </c>
      <c r="AY16" s="353" t="str">
        <f ca="1">CONCATENATE(AX12,":",AY12)</f>
        <v>$CE$22:$CE$67</v>
      </c>
      <c r="CM16" s="268"/>
    </row>
    <row r="17" spans="1:91" x14ac:dyDescent="0.25">
      <c r="D17" s="171"/>
      <c r="E17" s="171"/>
      <c r="F17" s="172"/>
      <c r="G17" s="172"/>
      <c r="H17" s="172"/>
      <c r="L17" s="704" t="s">
        <v>211</v>
      </c>
      <c r="M17" s="705"/>
      <c r="N17" s="356">
        <f t="shared" ca="1" si="10"/>
        <v>194.62602568042141</v>
      </c>
      <c r="O17" s="357">
        <v>63.8</v>
      </c>
      <c r="P17" s="358">
        <f t="shared" ca="1" si="9"/>
        <v>130.82602568042142</v>
      </c>
      <c r="AU17" s="361" t="s">
        <v>211</v>
      </c>
      <c r="AV17" s="339" t="str">
        <f>ADDRESS(ROW($AC$22),COLUMN($AC$22))</f>
        <v>$AC$22</v>
      </c>
      <c r="AW17" s="138" t="str">
        <f t="shared" ca="1" si="11"/>
        <v>$AC$67</v>
      </c>
      <c r="AX17" s="353" t="str">
        <f ca="1">CONCATENATE(AV9,":",AW9)</f>
        <v>$AN$22:$AN$67</v>
      </c>
      <c r="AY17" s="353" t="str">
        <f ca="1">CONCATENATE(AX13,":",AY13)</f>
        <v>$CF$22:$CF$67</v>
      </c>
      <c r="CM17" s="268"/>
    </row>
    <row r="18" spans="1:91" x14ac:dyDescent="0.25">
      <c r="D18" s="171"/>
      <c r="E18" s="171"/>
      <c r="F18" s="172"/>
      <c r="G18" s="172"/>
      <c r="H18" s="172"/>
      <c r="L18" s="706" t="s">
        <v>623</v>
      </c>
      <c r="M18" s="707"/>
      <c r="N18" s="352">
        <f ca="1">SUMPRODUCT(INDIRECT(CONCATENATE(AX4,":",AY4)),INDIRECT(CONCATENATE($AV$2,":",$AW$2)),INDIRECT(CONCATENATE($AV$3,":",$AW$3)))</f>
        <v>212072.50124266039</v>
      </c>
      <c r="O18" s="352">
        <v>212012.9</v>
      </c>
      <c r="P18" s="355">
        <f t="shared" ca="1" si="9"/>
        <v>59.601242660399294</v>
      </c>
      <c r="AU18" s="361"/>
      <c r="AV18" s="339"/>
      <c r="AW18" s="138"/>
      <c r="AX18" s="339" t="str">
        <f>ADDRESS(ROW($CI$22),COLUMN($CI$22))</f>
        <v>$CI$22</v>
      </c>
      <c r="AY18" s="138" t="str">
        <f ca="1">GetEnd($AV$1,AX18)</f>
        <v>$CI$67</v>
      </c>
      <c r="CM18" s="268"/>
    </row>
    <row r="19" spans="1:91" x14ac:dyDescent="0.25">
      <c r="D19" s="171"/>
      <c r="E19" s="171"/>
      <c r="F19" s="172"/>
      <c r="G19" s="172"/>
      <c r="H19" s="172"/>
      <c r="L19" s="724" t="s">
        <v>624</v>
      </c>
      <c r="M19" s="725"/>
      <c r="N19" s="359">
        <f ca="1">SUMPRODUCT(INDIRECT(CONCATENATE(AX5,":",AY5)),INDIRECT(CONCATENATE($AV$2,":",$AW$2)),INDIRECT(CONCATENATE($AV$3,":",$AW$3)))</f>
        <v>519866.16398778121</v>
      </c>
      <c r="O19" s="359">
        <v>520876.22</v>
      </c>
      <c r="P19" s="360">
        <f t="shared" ca="1" si="9"/>
        <v>-1010.0560122187599</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-456000</v>
      </c>
      <c r="AW20" s="353">
        <f ca="1">SUMPRODUCT(INDIRECT(CONCATENATE(AX8,":",AY8)),INDIRECT(CONCATENATE($AV$2,":",$AW$2)),INDIRECT(CONCATENATE($AV$3,":",$AW$3)),INDIRECT(CONCATENATE(AX3,":",AY3)))</f>
        <v>3081712.5</v>
      </c>
      <c r="AX20" s="353">
        <f ca="1">SUMPRODUCT(INDIRECT(CONCATENATE(AV9,":",AW9)),INDIRECT(CONCATENATE($AV$2,":",$AW$2)),INDIRECT(CONCATENATE($AV$3,":",$AW$3)),INDIRECT(CONCATENATE(AX3,":",AY3)))</f>
        <v>1048800</v>
      </c>
      <c r="AY20" s="353">
        <f ca="1">SUMPRODUCT(INDIRECT(CONCATENATE(AX9,":",AY9)),INDIRECT(CONCATENATE($AV$2,":",$AW$2)),INDIRECT(CONCATENATE($AV$3,":",$AW$3)),INDIRECT(CONCATENATE(AX3,":",AY3)))</f>
        <v>-455999.99999999994</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 t="shared" ref="F22:F53" si="12">VLOOKUP(AG22,$AL$4:$AS$15,2)</f>
        <v>15000</v>
      </c>
      <c r="G22" s="28">
        <f t="shared" ref="G22:G67" si="13">F22*$AU22</f>
        <v>14977.771146537754</v>
      </c>
      <c r="H22" s="52">
        <f t="shared" ref="H22:H53" si="14">(AL22+AM22+AN22)/(1-(AR22))</f>
        <v>2.9645306803435707</v>
      </c>
      <c r="I22" s="52">
        <f t="shared" ref="I22:I53" si="15">(AL22+AO22+AP22)</f>
        <v>2.9535</v>
      </c>
      <c r="K22" s="52">
        <f>MAX(((I22-H22)-AQ22)*AU22*AH22,0)</f>
        <v>0</v>
      </c>
      <c r="L22" s="135">
        <f>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-196124.82517754653</v>
      </c>
      <c r="T22" s="181">
        <f>_xll.xSPRDOPT(I22,H22,AQ22,AT22,O22,N22,P22,D22-$G$5,1,1)*AF22*F22*AH22</f>
        <v>199540.33326020068</v>
      </c>
      <c r="U22" s="135"/>
      <c r="V22" s="146">
        <f t="shared" ref="V22:V53" si="16">VLOOKUP($AG22,$AL$4:$AS$15,8)*AH22*AU22</f>
        <v>3.4049466406462496</v>
      </c>
      <c r="W22" s="146"/>
      <c r="X22" s="338">
        <f t="shared" ref="X22:X53" si="17">((BM22*BC22)+(BL22*BB22))*AH22*F22</f>
        <v>0</v>
      </c>
      <c r="Y22" s="338">
        <f t="shared" ref="Y22:Y67" si="18">($F22*$AH22)*((($BG22/2)*($BC22)^2)+(($BF22/2)*($BB22)^2)+($BH22*$BC22*$BB22))</f>
        <v>0</v>
      </c>
      <c r="Z22" s="338">
        <f t="shared" ref="Z22:Z67" si="19">($BI22*$F22*$AH22*($G$5-$BV$5))/365.25</f>
        <v>-1301.3389001372193</v>
      </c>
      <c r="AA22" s="338">
        <f t="shared" ref="AA22:AA67" si="20">(($BK22*$BE22)+($BJ22*$BD22))*$F22*$AH22*$AF22</f>
        <v>313.23463417572759</v>
      </c>
      <c r="AB22" s="338">
        <f t="shared" ref="AB22:AB53" si="21">BN22*(AT22-CA22)*F22*AH22</f>
        <v>0</v>
      </c>
      <c r="AC22" s="338">
        <f t="shared" ref="AC22:AC53" si="22">BO22*CB22*F22*AH22*CA22*($G$5-$BV$5)/365.25</f>
        <v>3.3784200582393682</v>
      </c>
      <c r="AF22" s="138">
        <f t="shared" ref="AF22:AF53" si="23">IF(AND(D22&gt;=$G$7,D22&lt;=$G$8),1,0)</f>
        <v>1</v>
      </c>
      <c r="AG22" s="138">
        <f t="shared" ref="AG22:AG53" si="24">MONTH(D22)</f>
        <v>1</v>
      </c>
      <c r="AH22" s="138">
        <f t="shared" ref="AH22:AH67" si="25">(EOMONTH(D22,0)-EOMONTH(D22-DAY(D22),0))*AF22</f>
        <v>31</v>
      </c>
      <c r="AI22" s="138">
        <f>MAX(0,(D22-DAY(D22))-$G$5+1)</f>
        <v>15</v>
      </c>
      <c r="AJ22" s="138">
        <f t="shared" ref="AJ22:AJ53" si="26">D22-$BV$5</f>
        <v>32</v>
      </c>
      <c r="AL22" s="136">
        <f t="shared" ref="AL22:AL67" si="27">VLOOKUP($D22,CurveTbl,$AK$4)</f>
        <v>2.8460000000000001</v>
      </c>
      <c r="AM22" s="258">
        <f t="shared" ref="AM22:AM67" si="28">VLOOKUP($D22,CurveTbl,$AH$3)</f>
        <v>-2.5000000000000001E-2</v>
      </c>
      <c r="AN22" s="258">
        <f t="shared" ref="AN22:AN67" si="29">VLOOKUP($D22,CurveTbl,$AH$4)+VLOOKUP($AG22,$AL$3:$AS$15,6)</f>
        <v>5.7500000000000002E-2</v>
      </c>
      <c r="AO22" s="258">
        <f t="shared" ref="AO22:AO67" si="30">VLOOKUP($D22,CurveTbl,$AH$5)</f>
        <v>0.13250000000000001</v>
      </c>
      <c r="AP22" s="258">
        <f t="shared" ref="AP22:AP67" si="31">VLOOKUP($D22,CurveTbl,$AH$6)+VLOOKUP($AG22,$AL$3:$AS$15,7)</f>
        <v>-2.4999999999999998E-2</v>
      </c>
      <c r="AQ22" s="136">
        <f t="shared" ref="AQ22:AQ53" si="32">VLOOKUP($AG22,$AL$4:$AS$15,3)+VLOOKUP($AG22,$AL$4:$AS$15,5)+($AH$10*VLOOKUP(D22,GRITable,2))</f>
        <v>1.9200000000000002E-2</v>
      </c>
      <c r="AR22" s="137">
        <f t="shared" ref="AR22:AR67" si="33">VLOOKUP($AG22,$AL$4:$AS$15,4)</f>
        <v>2.9020000000000001E-2</v>
      </c>
      <c r="AS22" s="136">
        <f>(AL22+AM22+AN22)</f>
        <v>2.8785000000000003</v>
      </c>
      <c r="AT22" s="137">
        <f>VLOOKUP(D22,CurveTbl,$AK$6)</f>
        <v>1.8765908157160699E-2</v>
      </c>
      <c r="AU22" s="137">
        <f t="shared" ref="AU22:AU67" si="34">(1+$AT22/2)^(-2*($D22-$G$5)/365.25)*$AF22</f>
        <v>0.99851807643585033</v>
      </c>
      <c r="AV22" s="394">
        <f>ROUND((F22/(1-AR22))-F22,0)*AF22*AH22*AU22</f>
        <v>13867.41904554109</v>
      </c>
      <c r="AW22" s="137">
        <f t="shared" ref="AW22:AW67" si="35">VLOOKUP($D22,CurveTbl,$AK$8)</f>
        <v>0.87</v>
      </c>
      <c r="AX22" s="137">
        <f t="shared" ref="AX22:AX67" si="36">VLOOKUP($D22,CurveTbl,$AH$7)</f>
        <v>1.04</v>
      </c>
      <c r="AY22" s="137">
        <f t="shared" ref="AY22:AY67" si="37">VLOOKUP($D22,CurveTbl,$AH$8)</f>
        <v>1.0900000000000001</v>
      </c>
      <c r="AZ22" s="137"/>
      <c r="BA22" s="264"/>
      <c r="BB22" s="258">
        <f t="shared" ref="BB22:BB67" si="38">$H22-$BV22</f>
        <v>0</v>
      </c>
      <c r="BC22" s="258">
        <f t="shared" ref="BC22:BC53" si="39">I22-BW22</f>
        <v>0</v>
      </c>
      <c r="BD22" s="137">
        <f t="shared" ref="BD22:BD53" si="40">N22-BX22</f>
        <v>7.7262160833929672E-3</v>
      </c>
      <c r="BE22" s="137">
        <f t="shared" ref="BE22:BE53" si="41">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5.4917642999008807E-3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3.4044243069396631</v>
      </c>
      <c r="CI22" s="258">
        <v>2.8460000000000001</v>
      </c>
    </row>
    <row r="23" spans="1:91" x14ac:dyDescent="0.25">
      <c r="A23" s="723"/>
      <c r="B23" s="723"/>
      <c r="D23" s="31">
        <f t="shared" ref="D23:D54" si="42">D22+AH22</f>
        <v>37302</v>
      </c>
      <c r="F23" s="28">
        <f t="shared" si="12"/>
        <v>15000</v>
      </c>
      <c r="G23" s="28">
        <f t="shared" si="13"/>
        <v>14952.682405311685</v>
      </c>
      <c r="H23" s="52">
        <f t="shared" si="14"/>
        <v>3.0283836948237863</v>
      </c>
      <c r="I23" s="52">
        <f t="shared" si="15"/>
        <v>3.0154999999999998</v>
      </c>
      <c r="K23" s="52">
        <f>MAX(((I23-H23)-AQ23)*AU23*AH23,0)</f>
        <v>0</v>
      </c>
      <c r="L23" s="135">
        <f t="shared" ref="L23:L67" si="43">MAX(Q23-K23,0)</f>
        <v>1.3707667485992725</v>
      </c>
      <c r="N23" s="131">
        <f t="shared" ref="N23:N67" si="44">SQRT(($AX23^2*($AH23/2)+$AW23^2*$AI23)/(($AH23/2)+$AI23))</f>
        <v>0.90885229823112634</v>
      </c>
      <c r="O23" s="131">
        <f t="shared" ref="O23:O67" si="45">SQRT(($AY23^2*($AH23/2)+$AW23^2*$AI23)/(($AH23/2)+$AI23))</f>
        <v>0.92242208343035681</v>
      </c>
      <c r="P23" s="55">
        <f t="shared" ref="P23:P67" si="46">(VLOOKUP(AI23,CorrelationTwo,2)*(AW23^2)*AI23+VLOOKUP(D23,CorrelationOne,$AK$9)*AX23*AY23*(AH23/2))/((AI23+(AH23/2))*O23*N23)*AF23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-176953.78983940682</v>
      </c>
      <c r="T23" s="181">
        <f>_xll.xSPRDOPT(I23,H23,AQ23,AT23,O23,N23,P23,D23-$G$5,1,1)*AF23*F23*AH23</f>
        <v>180434.66994052177</v>
      </c>
      <c r="U23" s="135"/>
      <c r="V23" s="146">
        <f t="shared" si="16"/>
        <v>3.0702841205573326</v>
      </c>
      <c r="W23" s="146"/>
      <c r="X23" s="338">
        <f t="shared" si="17"/>
        <v>0</v>
      </c>
      <c r="Y23" s="338">
        <f t="shared" si="18"/>
        <v>0</v>
      </c>
      <c r="Z23" s="338">
        <f t="shared" si="19"/>
        <v>-627.71629007626768</v>
      </c>
      <c r="AA23" s="338">
        <f t="shared" si="20"/>
        <v>85.290134506591457</v>
      </c>
      <c r="AB23" s="338">
        <f t="shared" si="21"/>
        <v>0</v>
      </c>
      <c r="AC23" s="338">
        <f t="shared" si="22"/>
        <v>3.3088332930927482</v>
      </c>
      <c r="AF23" s="138">
        <f t="shared" si="23"/>
        <v>1</v>
      </c>
      <c r="AG23" s="138">
        <f t="shared" si="24"/>
        <v>2</v>
      </c>
      <c r="AH23" s="138">
        <f t="shared" si="25"/>
        <v>28</v>
      </c>
      <c r="AI23" s="138">
        <f t="shared" ref="AI23:AI54" si="47">AI22+AH22</f>
        <v>46</v>
      </c>
      <c r="AJ23" s="138">
        <f t="shared" si="26"/>
        <v>63</v>
      </c>
      <c r="AL23" s="136">
        <f t="shared" si="27"/>
        <v>2.9079999999999999</v>
      </c>
      <c r="AM23" s="258">
        <f t="shared" si="28"/>
        <v>-2.5000000000000001E-2</v>
      </c>
      <c r="AN23" s="258">
        <f t="shared" si="29"/>
        <v>5.7500000000000002E-2</v>
      </c>
      <c r="AO23" s="258">
        <f t="shared" si="30"/>
        <v>0.13250000000000001</v>
      </c>
      <c r="AP23" s="258">
        <f t="shared" si="31"/>
        <v>-2.4999999999999998E-2</v>
      </c>
      <c r="AQ23" s="136">
        <f t="shared" si="32"/>
        <v>1.9200000000000002E-2</v>
      </c>
      <c r="AR23" s="137">
        <f t="shared" si="33"/>
        <v>2.9020000000000001E-2</v>
      </c>
      <c r="AS23" s="136">
        <f>(AL23+AM23+AN23)</f>
        <v>2.9405000000000001</v>
      </c>
      <c r="AT23" s="137">
        <f>VLOOKUP(D23,CurveTbl,$AK$6)</f>
        <v>1.9326187282006298E-2</v>
      </c>
      <c r="AU23" s="137">
        <f t="shared" si="34"/>
        <v>0.99684549368744568</v>
      </c>
      <c r="AV23" s="394">
        <f t="shared" ref="AV23:AV67" si="48">ROUND((F23/(1-AR23))-F23,0)*AF23*AH23*AU23</f>
        <v>12504.429872815319</v>
      </c>
      <c r="AW23" s="137">
        <f t="shared" si="35"/>
        <v>0.86499999999999999</v>
      </c>
      <c r="AX23" s="137">
        <f t="shared" si="36"/>
        <v>1.04</v>
      </c>
      <c r="AY23" s="137">
        <f t="shared" si="37"/>
        <v>1.0900000000000001</v>
      </c>
      <c r="AZ23" s="137"/>
      <c r="BA23" s="264"/>
      <c r="BB23" s="258">
        <f t="shared" si="38"/>
        <v>0</v>
      </c>
      <c r="BC23" s="258">
        <f t="shared" si="39"/>
        <v>0</v>
      </c>
      <c r="BD23" s="137">
        <f t="shared" si="40"/>
        <v>2.0401162808982853E-3</v>
      </c>
      <c r="BE23" s="137">
        <f t="shared" si="41"/>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1.0349975292065825E-2</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3.0697991319211853</v>
      </c>
      <c r="CI23" s="258">
        <v>2.9079999999999999</v>
      </c>
    </row>
    <row r="24" spans="1:91" x14ac:dyDescent="0.25">
      <c r="A24" s="723"/>
      <c r="B24" s="723"/>
      <c r="D24" s="31">
        <f t="shared" si="42"/>
        <v>37330</v>
      </c>
      <c r="F24" s="28">
        <f t="shared" si="12"/>
        <v>15000</v>
      </c>
      <c r="G24" s="28">
        <f t="shared" si="13"/>
        <v>14930.840847111789</v>
      </c>
      <c r="H24" s="52">
        <f t="shared" si="14"/>
        <v>3.0222043708418305</v>
      </c>
      <c r="I24" s="52">
        <f t="shared" si="15"/>
        <v>2.9970000000000003</v>
      </c>
      <c r="K24" s="52">
        <f t="shared" ref="K24:K67" si="49">MAX(((I24-H24)-AQ24)*AU24*AH24,0)</f>
        <v>0</v>
      </c>
      <c r="L24" s="135">
        <f t="shared" si="43"/>
        <v>0.92634375312468864</v>
      </c>
      <c r="N24" s="131">
        <f t="shared" si="44"/>
        <v>0.79</v>
      </c>
      <c r="O24" s="131">
        <f t="shared" si="45"/>
        <v>0.79</v>
      </c>
      <c r="P24" s="55">
        <f t="shared" si="46"/>
        <v>0.99446927374301697</v>
      </c>
      <c r="Q24" s="135">
        <f>_xll.xSPRDOPT(I24,H24,AQ24,0,O24,N24,P24,D24-$G$5,1,0)*AH24*AU24</f>
        <v>0.92634375312468864</v>
      </c>
      <c r="R24" s="135"/>
      <c r="S24" s="181">
        <f>_xll.xSPRDOPT(I24,H24,AQ24,AT24,O24,N24,P24,D24-$G$5,1,2)*AF24*(F24/(1-AR24))*AH24</f>
        <v>-167529.89968458994</v>
      </c>
      <c r="T24" s="181">
        <f>_xll.xSPRDOPT(I24,H24,AQ24,AT24,O24,N24,P24,D24-$G$5,1,1)*AF24*F24*AH24</f>
        <v>169709.48996679953</v>
      </c>
      <c r="U24" s="135"/>
      <c r="V24" s="146">
        <f t="shared" si="16"/>
        <v>3.3942778192434138</v>
      </c>
      <c r="W24" s="146"/>
      <c r="X24" s="338">
        <f t="shared" si="17"/>
        <v>0</v>
      </c>
      <c r="Y24" s="338">
        <f t="shared" si="18"/>
        <v>0</v>
      </c>
      <c r="Z24" s="338">
        <f t="shared" si="19"/>
        <v>-351.57188154092319</v>
      </c>
      <c r="AA24" s="338">
        <f t="shared" si="20"/>
        <v>0</v>
      </c>
      <c r="AB24" s="338">
        <f t="shared" si="21"/>
        <v>0</v>
      </c>
      <c r="AC24" s="338">
        <f t="shared" si="22"/>
        <v>2.2257701005360406</v>
      </c>
      <c r="AF24" s="138">
        <f t="shared" si="23"/>
        <v>1</v>
      </c>
      <c r="AG24" s="138">
        <f t="shared" si="24"/>
        <v>3</v>
      </c>
      <c r="AH24" s="138">
        <f t="shared" si="25"/>
        <v>31</v>
      </c>
      <c r="AI24" s="138">
        <f t="shared" si="47"/>
        <v>74</v>
      </c>
      <c r="AJ24" s="138">
        <f t="shared" si="26"/>
        <v>91</v>
      </c>
      <c r="AL24" s="136">
        <f t="shared" si="27"/>
        <v>2.9020000000000001</v>
      </c>
      <c r="AM24" s="258">
        <f t="shared" si="28"/>
        <v>-2.5000000000000001E-2</v>
      </c>
      <c r="AN24" s="258">
        <f t="shared" si="29"/>
        <v>5.7500000000000002E-2</v>
      </c>
      <c r="AO24" s="258">
        <f t="shared" si="30"/>
        <v>0.12</v>
      </c>
      <c r="AP24" s="258">
        <f t="shared" si="31"/>
        <v>-2.4999999999999998E-2</v>
      </c>
      <c r="AQ24" s="136">
        <f t="shared" si="32"/>
        <v>1.9200000000000002E-2</v>
      </c>
      <c r="AR24" s="137">
        <f t="shared" si="33"/>
        <v>2.9020000000000001E-2</v>
      </c>
      <c r="AS24" s="136">
        <f t="shared" ref="AS24:AS67" si="50">(AL24+AM24+AN24)</f>
        <v>2.9345000000000003</v>
      </c>
      <c r="AT24" s="137">
        <f t="shared" ref="AT24:AT67" si="51">VLOOKUP(D24,CurveTbl,$AK$6)</f>
        <v>1.9273175363903501E-2</v>
      </c>
      <c r="AU24" s="137">
        <f t="shared" si="34"/>
        <v>0.99538938980745262</v>
      </c>
      <c r="AV24" s="394">
        <f t="shared" si="48"/>
        <v>13823.967845645902</v>
      </c>
      <c r="AW24" s="137">
        <f t="shared" si="35"/>
        <v>0.79</v>
      </c>
      <c r="AX24" s="137">
        <f t="shared" si="36"/>
        <v>0.79</v>
      </c>
      <c r="AY24" s="137">
        <f t="shared" si="37"/>
        <v>0.79</v>
      </c>
      <c r="AZ24" s="137"/>
      <c r="BA24" s="264"/>
      <c r="BB24" s="258">
        <f t="shared" si="38"/>
        <v>0</v>
      </c>
      <c r="BC24" s="258">
        <f t="shared" si="39"/>
        <v>0</v>
      </c>
      <c r="BD24" s="137">
        <f t="shared" si="40"/>
        <v>0</v>
      </c>
      <c r="BE24" s="137">
        <f t="shared" si="41"/>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1.9741775848467657E-2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3.393743115437851</v>
      </c>
      <c r="CI24" s="258">
        <v>2.9020000000000001</v>
      </c>
    </row>
    <row r="25" spans="1:91" x14ac:dyDescent="0.25">
      <c r="A25" s="723"/>
      <c r="B25" s="723"/>
      <c r="D25" s="31">
        <f t="shared" si="42"/>
        <v>37361</v>
      </c>
      <c r="F25" s="28">
        <f t="shared" si="12"/>
        <v>15000</v>
      </c>
      <c r="G25" s="28">
        <f t="shared" si="13"/>
        <v>14905.835067346981</v>
      </c>
      <c r="H25" s="52">
        <f t="shared" si="14"/>
        <v>2.9665904550042228</v>
      </c>
      <c r="I25" s="52">
        <f t="shared" si="15"/>
        <v>2.9729999999999999</v>
      </c>
      <c r="K25" s="52">
        <f t="shared" si="49"/>
        <v>0</v>
      </c>
      <c r="L25" s="135">
        <f t="shared" si="43"/>
        <v>0.70346788210603195</v>
      </c>
      <c r="N25" s="131">
        <f t="shared" si="44"/>
        <v>0.60058305004387191</v>
      </c>
      <c r="O25" s="131">
        <f t="shared" si="45"/>
        <v>0.60633118013178244</v>
      </c>
      <c r="P25" s="55">
        <f t="shared" si="46"/>
        <v>0.99750590707218045</v>
      </c>
      <c r="Q25" s="135">
        <f>_xll.xSPRDOPT(I25,H25,AQ25,0,O25,N25,P25,D25-$G$5,1,0)*AH25*AU25</f>
        <v>0.70346788210603195</v>
      </c>
      <c r="R25" s="135"/>
      <c r="S25" s="181">
        <f>_xll.xSPRDOPT(I25,H25,AQ25,AT25,O25,N25,P25,D25-$G$5,1,2)*AF25*(F25/(1-AR25))*AH25</f>
        <v>-196623.44288840159</v>
      </c>
      <c r="T25" s="181">
        <f>_xll.xSPRDOPT(I25,H25,AQ25,AT25,O25,N25,P25,D25-$G$5,1,1)*AF25*F25*AH25</f>
        <v>195214.94904847504</v>
      </c>
      <c r="U25" s="135"/>
      <c r="V25" s="146">
        <f t="shared" si="16"/>
        <v>3.2792837148163358</v>
      </c>
      <c r="W25" s="146"/>
      <c r="X25" s="338">
        <f t="shared" si="17"/>
        <v>0</v>
      </c>
      <c r="Y25" s="338">
        <f t="shared" si="18"/>
        <v>0</v>
      </c>
      <c r="Z25" s="338">
        <f t="shared" si="19"/>
        <v>-158.4726773693836</v>
      </c>
      <c r="AA25" s="338">
        <f t="shared" si="20"/>
        <v>5.9703757354285045</v>
      </c>
      <c r="AB25" s="338">
        <f t="shared" si="21"/>
        <v>0</v>
      </c>
      <c r="AC25" s="338">
        <f t="shared" si="22"/>
        <v>1.6835251944075711</v>
      </c>
      <c r="AF25" s="138">
        <f t="shared" si="23"/>
        <v>1</v>
      </c>
      <c r="AG25" s="138">
        <f t="shared" si="24"/>
        <v>4</v>
      </c>
      <c r="AH25" s="138">
        <f t="shared" si="25"/>
        <v>30</v>
      </c>
      <c r="AI25" s="138">
        <f t="shared" si="47"/>
        <v>105</v>
      </c>
      <c r="AJ25" s="138">
        <f t="shared" si="26"/>
        <v>122</v>
      </c>
      <c r="AL25" s="136">
        <f t="shared" si="27"/>
        <v>2.8479999999999999</v>
      </c>
      <c r="AM25" s="258">
        <f t="shared" si="28"/>
        <v>-2.5000000000000001E-2</v>
      </c>
      <c r="AN25" s="258">
        <f t="shared" si="29"/>
        <v>5.7500000000000002E-2</v>
      </c>
      <c r="AO25" s="258">
        <f t="shared" si="30"/>
        <v>0.15</v>
      </c>
      <c r="AP25" s="258">
        <f t="shared" si="31"/>
        <v>-2.4999999999999998E-2</v>
      </c>
      <c r="AQ25" s="136">
        <f t="shared" si="32"/>
        <v>1.9200000000000002E-2</v>
      </c>
      <c r="AR25" s="137">
        <f t="shared" si="33"/>
        <v>2.9020000000000001E-2</v>
      </c>
      <c r="AS25" s="136">
        <f t="shared" si="50"/>
        <v>2.8805000000000001</v>
      </c>
      <c r="AT25" s="137">
        <f t="shared" si="51"/>
        <v>1.9422640119623601E-2</v>
      </c>
      <c r="AU25" s="137">
        <f t="shared" si="34"/>
        <v>0.99372233782313213</v>
      </c>
      <c r="AV25" s="394">
        <f t="shared" si="48"/>
        <v>13355.628220342896</v>
      </c>
      <c r="AW25" s="137">
        <f t="shared" si="35"/>
        <v>0.61</v>
      </c>
      <c r="AX25" s="137">
        <f t="shared" si="36"/>
        <v>0.53</v>
      </c>
      <c r="AY25" s="137">
        <f t="shared" si="37"/>
        <v>0.57999999999999996</v>
      </c>
      <c r="AZ25" s="137"/>
      <c r="BA25" s="264"/>
      <c r="BB25" s="258">
        <f t="shared" si="38"/>
        <v>0</v>
      </c>
      <c r="BC25" s="258">
        <f t="shared" si="39"/>
        <v>0</v>
      </c>
      <c r="BD25" s="137">
        <f t="shared" si="40"/>
        <v>-2.3143778118694946E-4</v>
      </c>
      <c r="BE25" s="137">
        <f t="shared" si="41"/>
        <v>-8.9747494742220546E-5</v>
      </c>
      <c r="BF25" s="137">
        <f>_xll.xSPRDOPT($BW25,$BV25,$CG25,0,$BY25,$BX25,$BZ25,$AJ25,1,4)*$CB25</f>
        <v>5.2498442881489531</v>
      </c>
      <c r="BG25" s="137">
        <f>_xll.xSPRDOPT($BW25,$BV25,$CG25,0,$BY25,$BX25,$BZ25,$AJ25,1,3)*$CB25</f>
        <v>5.2939844558760987</v>
      </c>
      <c r="BH25" s="137">
        <f>IF(OR(BF25&lt;&gt;0,BG25&lt;&gt;0),_xll.xSPRDOPT($BW25,$BV25,$CG25,0,$BY25,$BX25,$BZ25,$AJ25,1,12)*$CB25,0)</f>
        <v>-5.2718549343803378</v>
      </c>
      <c r="BI25" s="137">
        <f>_xll.xSPRDOPT($BW25,$BV25,$CG25,2*LN(1+CA25/2),$BY25,$BX25,$BZ25,$AJ25,1,9)</f>
        <v>-4.2875663266049899E-2</v>
      </c>
      <c r="BJ25" s="137">
        <f>_xll.xSPRDOPT($BW25,$BV25,$CG25,0,$BY25,$BX25,$BZ25,$AJ25,1,6)*$CB25</f>
        <v>-0.1231495025030485</v>
      </c>
      <c r="BK25" s="137">
        <f>_xll.xSPRDOPT($BW25,$BV25,$CG25,0,$BY25,$BX25,$BZ25,$AJ25,1,5)*$CB25</f>
        <v>0.16974229779954009</v>
      </c>
      <c r="BL25" s="137">
        <f>_xll.xSPRDOPT(BW25,BV25,CG25,0,BY25,BX25,BZ25,AJ25,1,2)*CB25</f>
        <v>-0.42422748254475406</v>
      </c>
      <c r="BM25" s="137">
        <f>_xll.xSPRDOPT(BW25,BV25,CG25,0,BY25,BX25,BZ25,AJ25,1,1)*CB25</f>
        <v>0.43377634633975959</v>
      </c>
      <c r="BN25" s="137">
        <f>IF(AH25&lt;&gt;0,_xll.xSPRDOPT($BW25,$BV25,$CG25,2*LN(1+CA25/2),$BY25,$BX25,$BZ25,$AJ25,1,8)+(AJ25/365.25)*CH25/AH25,0)</f>
        <v>2.867234031669022E-2</v>
      </c>
      <c r="BO25" s="137">
        <f>_xll.xSPRDOPT($BW25,$BV25,$CG25,0,$BY25,$BX25,$BZ25,$AJ25,1,0)</f>
        <v>2.3603244699700789E-2</v>
      </c>
      <c r="BP25" s="137"/>
      <c r="BQ25" s="137"/>
      <c r="BR25" s="137"/>
      <c r="BS25" s="137"/>
      <c r="BV25" s="262">
        <v>2.9665904550042228</v>
      </c>
      <c r="BW25" s="136">
        <v>2.9729999999999999</v>
      </c>
      <c r="BX25" s="137">
        <v>0.60081448782505886</v>
      </c>
      <c r="BY25" s="137">
        <v>0.60642092762652466</v>
      </c>
      <c r="BZ25" s="137">
        <v>0.99756693397815366</v>
      </c>
      <c r="CA25" s="137">
        <v>1.9422640119623601E-2</v>
      </c>
      <c r="CB25" s="137">
        <v>0.99356458774998258</v>
      </c>
      <c r="CC25" s="258">
        <v>-2.5000000000000001E-2</v>
      </c>
      <c r="CD25" s="258">
        <v>5.7500000000000002E-2</v>
      </c>
      <c r="CE25" s="258">
        <v>0.15</v>
      </c>
      <c r="CF25" s="258">
        <v>-2.5000000000000001E-2</v>
      </c>
      <c r="CG25" s="258">
        <v>1.9200000000000002E-2</v>
      </c>
      <c r="CH25" s="258">
        <v>3.2787631395749424</v>
      </c>
      <c r="CI25" s="258">
        <v>2.8479999999999999</v>
      </c>
    </row>
    <row r="26" spans="1:91" x14ac:dyDescent="0.25">
      <c r="A26" s="723"/>
      <c r="B26" s="723"/>
      <c r="D26" s="31">
        <f t="shared" si="42"/>
        <v>37391</v>
      </c>
      <c r="F26" s="28">
        <f t="shared" si="12"/>
        <v>15000</v>
      </c>
      <c r="G26" s="28">
        <f t="shared" si="13"/>
        <v>14880.448901268937</v>
      </c>
      <c r="H26" s="52">
        <f t="shared" si="14"/>
        <v>3.0160250468598737</v>
      </c>
      <c r="I26" s="52">
        <f t="shared" si="15"/>
        <v>3.0009999999999999</v>
      </c>
      <c r="K26" s="52">
        <f t="shared" si="49"/>
        <v>0</v>
      </c>
      <c r="L26" s="135">
        <f t="shared" si="43"/>
        <v>0.45392297459898207</v>
      </c>
      <c r="N26" s="131">
        <f t="shared" si="44"/>
        <v>0.57775797476853397</v>
      </c>
      <c r="O26" s="131">
        <f t="shared" si="45"/>
        <v>0.57775797476853397</v>
      </c>
      <c r="P26" s="55">
        <f t="shared" si="46"/>
        <v>0.99792418195206833</v>
      </c>
      <c r="Q26" s="135">
        <f>_xll.xSPRDOPT(I26,H26,AQ26,0,O26,N26,P26,D26-$G$5,1,0)*AH26*AU26</f>
        <v>0.45392297459898207</v>
      </c>
      <c r="R26" s="135"/>
      <c r="S26" s="181">
        <f>_xll.xSPRDOPT(I26,H26,AQ26,AT26,O26,N26,P26,D26-$G$5,1,2)*AF26*(F26/(1-AR26))*AH26</f>
        <v>-148644.46014422367</v>
      </c>
      <c r="T26" s="181">
        <f>_xll.xSPRDOPT(I26,H26,AQ26,AT26,O26,N26,P26,D26-$G$5,1,1)*AF26*F26*AH26</f>
        <v>148218.39272567863</v>
      </c>
      <c r="U26" s="135"/>
      <c r="V26" s="146">
        <f t="shared" si="16"/>
        <v>3.3828220502218049</v>
      </c>
      <c r="W26" s="146"/>
      <c r="X26" s="338">
        <f t="shared" si="17"/>
        <v>0</v>
      </c>
      <c r="Y26" s="338">
        <f t="shared" si="18"/>
        <v>0</v>
      </c>
      <c r="Z26" s="338">
        <f t="shared" si="19"/>
        <v>-115.57339537974623</v>
      </c>
      <c r="AA26" s="338">
        <f t="shared" si="20"/>
        <v>0.10314936378484597</v>
      </c>
      <c r="AB26" s="338">
        <f t="shared" si="21"/>
        <v>0</v>
      </c>
      <c r="AC26" s="338">
        <f t="shared" si="22"/>
        <v>1.1026119730088992</v>
      </c>
      <c r="AF26" s="138">
        <f t="shared" si="23"/>
        <v>1</v>
      </c>
      <c r="AG26" s="138">
        <f t="shared" si="24"/>
        <v>5</v>
      </c>
      <c r="AH26" s="138">
        <f t="shared" si="25"/>
        <v>31</v>
      </c>
      <c r="AI26" s="138">
        <f t="shared" si="47"/>
        <v>135</v>
      </c>
      <c r="AJ26" s="138">
        <f t="shared" si="26"/>
        <v>152</v>
      </c>
      <c r="AL26" s="136">
        <f t="shared" si="27"/>
        <v>2.8959999999999999</v>
      </c>
      <c r="AM26" s="258">
        <f t="shared" si="28"/>
        <v>-2.5000000000000001E-2</v>
      </c>
      <c r="AN26" s="258">
        <f t="shared" si="29"/>
        <v>5.7500000000000002E-2</v>
      </c>
      <c r="AO26" s="258">
        <f t="shared" si="30"/>
        <v>0.13</v>
      </c>
      <c r="AP26" s="258">
        <f t="shared" si="31"/>
        <v>-2.4999999999999998E-2</v>
      </c>
      <c r="AQ26" s="136">
        <f t="shared" si="32"/>
        <v>1.9200000000000002E-2</v>
      </c>
      <c r="AR26" s="137">
        <f t="shared" si="33"/>
        <v>2.9020000000000001E-2</v>
      </c>
      <c r="AS26" s="136">
        <f t="shared" si="50"/>
        <v>2.9285000000000001</v>
      </c>
      <c r="AT26" s="137">
        <f t="shared" si="51"/>
        <v>1.9712159578257001E-2</v>
      </c>
      <c r="AU26" s="137">
        <f t="shared" si="34"/>
        <v>0.99202992675126245</v>
      </c>
      <c r="AV26" s="394">
        <f t="shared" si="48"/>
        <v>13777.311622721532</v>
      </c>
      <c r="AW26" s="137">
        <f t="shared" si="35"/>
        <v>0.57750000000000001</v>
      </c>
      <c r="AX26" s="137">
        <f t="shared" si="36"/>
        <v>0.57999999999999996</v>
      </c>
      <c r="AY26" s="137">
        <f t="shared" si="37"/>
        <v>0.57999999999999996</v>
      </c>
      <c r="AZ26" s="137"/>
      <c r="BA26" s="264"/>
      <c r="BB26" s="258">
        <f t="shared" si="38"/>
        <v>0</v>
      </c>
      <c r="BC26" s="258">
        <f t="shared" si="39"/>
        <v>0</v>
      </c>
      <c r="BD26" s="137">
        <f t="shared" si="40"/>
        <v>5.0407485243653127E-6</v>
      </c>
      <c r="BE26" s="137">
        <f t="shared" si="41"/>
        <v>5.0407485243653127E-6</v>
      </c>
      <c r="BF26" s="137">
        <f>_xll.xSPRDOPT($BW26,$BV26,$CG26,0,$BY26,$BX26,$BZ26,$AJ26,1,4)*$CB26</f>
        <v>4.8589724291024048</v>
      </c>
      <c r="BG26" s="137">
        <f>_xll.xSPRDOPT($BW26,$BV26,$CG26,0,$BY26,$BX26,$BZ26,$AJ26,1,3)*$CB26</f>
        <v>4.9694925751390722</v>
      </c>
      <c r="BH26" s="137">
        <f>IF(OR(BF26&lt;&gt;0,BG26&lt;&gt;0),_xll.xSPRDOPT($BW26,$BV26,$CG26,0,$BY26,$BX26,$BZ26,$AJ26,1,12)*$CB26,0)</f>
        <v>-4.9139143348814107</v>
      </c>
      <c r="BI26" s="137">
        <f>_xll.xSPRDOPT($BW26,$BV26,$CG26,2*LN(1+CA26/2),$BY26,$BX26,$BZ26,$AJ26,1,9)</f>
        <v>-3.0260345994589467E-2</v>
      </c>
      <c r="BJ26" s="137">
        <f>_xll.xSPRDOPT($BW26,$BV26,$CG26,0,$BY26,$BX26,$BZ26,$AJ26,1,6)*$CB26</f>
        <v>-4.4841468101313037E-2</v>
      </c>
      <c r="BK26" s="137">
        <f>_xll.xSPRDOPT($BW26,$BV26,$CG26,0,$BY26,$BX26,$BZ26,$AJ26,1,5)*$CB26</f>
        <v>8.884814443368283E-2</v>
      </c>
      <c r="BL26" s="137">
        <f>_xll.xSPRDOPT(BW26,BV26,CG26,0,BY26,BX26,BZ26,AJ26,1,2)*CB26</f>
        <v>-0.31038818099327298</v>
      </c>
      <c r="BM26" s="137">
        <f>_xll.xSPRDOPT(BW26,BV26,CG26,0,BY26,BX26,BZ26,AJ26,1,1)*CB26</f>
        <v>0.31874798303488355</v>
      </c>
      <c r="BN26" s="137">
        <f>IF(AH26&lt;&gt;0,_xll.xSPRDOPT($BW26,$BV26,$CG26,2*LN(1+CA26/2),$BY26,$BX26,$BZ26,$AJ26,1,8)+(AJ26/365.25)*CH26/AH26,0)</f>
        <v>3.9309926445673576E-2</v>
      </c>
      <c r="BO26" s="137">
        <f>_xll.xSPRDOPT($BW26,$BV26,$CG26,0,$BY26,$BX26,$BZ26,$AJ26,1,0)</f>
        <v>1.4765552835409E-2</v>
      </c>
      <c r="BP26" s="137"/>
      <c r="BQ26" s="137"/>
      <c r="BR26" s="137"/>
      <c r="BS26" s="137"/>
      <c r="BV26" s="262">
        <v>3.0160250468598737</v>
      </c>
      <c r="BW26" s="136">
        <v>3.0009999999999999</v>
      </c>
      <c r="BX26" s="137">
        <v>0.5777529340200096</v>
      </c>
      <c r="BY26" s="137">
        <v>0.5777529340200096</v>
      </c>
      <c r="BZ26" s="137">
        <v>0.9979647161716938</v>
      </c>
      <c r="CA26" s="137">
        <v>1.9712159578257001E-2</v>
      </c>
      <c r="CB26" s="137">
        <v>0.99187010954216859</v>
      </c>
      <c r="CC26" s="258">
        <v>-2.5000000000000001E-2</v>
      </c>
      <c r="CD26" s="258">
        <v>5.7500000000000002E-2</v>
      </c>
      <c r="CE26" s="258">
        <v>0.13</v>
      </c>
      <c r="CF26" s="258">
        <v>-2.5000000000000001E-2</v>
      </c>
      <c r="CG26" s="258">
        <v>1.9200000000000002E-2</v>
      </c>
      <c r="CH26" s="258">
        <v>3.3822770735387948</v>
      </c>
      <c r="CI26" s="258">
        <v>2.8959999999999999</v>
      </c>
    </row>
    <row r="27" spans="1:91" x14ac:dyDescent="0.25">
      <c r="A27" s="727"/>
      <c r="B27" s="727"/>
      <c r="C27" s="727"/>
      <c r="D27" s="31">
        <f t="shared" si="42"/>
        <v>37422</v>
      </c>
      <c r="F27" s="28">
        <f t="shared" si="12"/>
        <v>15000</v>
      </c>
      <c r="G27" s="28">
        <f t="shared" si="13"/>
        <v>14853.527295346974</v>
      </c>
      <c r="H27" s="52">
        <f t="shared" si="14"/>
        <v>3.0675194133761772</v>
      </c>
      <c r="I27" s="52">
        <f t="shared" si="15"/>
        <v>3.0710000000000002</v>
      </c>
      <c r="K27" s="52">
        <f t="shared" si="49"/>
        <v>0</v>
      </c>
      <c r="L27" s="135">
        <f t="shared" si="43"/>
        <v>0.76061184586447861</v>
      </c>
      <c r="N27" s="131">
        <f t="shared" si="44"/>
        <v>0.5502663217587267</v>
      </c>
      <c r="O27" s="131">
        <f t="shared" si="45"/>
        <v>0.5548034219582415</v>
      </c>
      <c r="P27" s="55">
        <f t="shared" si="46"/>
        <v>0.99771058761077325</v>
      </c>
      <c r="Q27" s="135">
        <f>_xll.xSPRDOPT(I27,H27,AQ27,0,O27,N27,P27,D27-$G$5,1,0)*AH27*AU27</f>
        <v>0.76061184586447861</v>
      </c>
      <c r="R27" s="135"/>
      <c r="S27" s="181">
        <f>_xll.xSPRDOPT(I27,H27,AQ27,AT27,O27,N27,P27,D27-$G$5,1,2)*AF27*(F27/(1-AR27))*AH27</f>
        <v>-192506.33979003382</v>
      </c>
      <c r="T27" s="181">
        <f>_xll.xSPRDOPT(I27,H27,AQ27,AT27,O27,N27,P27,D27-$G$5,1,1)*AF27*F27*AH27</f>
        <v>191516.40396742584</v>
      </c>
      <c r="U27" s="135"/>
      <c r="V27" s="146">
        <f t="shared" si="16"/>
        <v>3.267776004976334</v>
      </c>
      <c r="W27" s="146"/>
      <c r="X27" s="338">
        <f t="shared" si="17"/>
        <v>0</v>
      </c>
      <c r="Y27" s="338">
        <f t="shared" si="18"/>
        <v>0</v>
      </c>
      <c r="Z27" s="338">
        <f t="shared" si="19"/>
        <v>-116.06926478643258</v>
      </c>
      <c r="AA27" s="338">
        <f t="shared" si="20"/>
        <v>7.8223360261709924</v>
      </c>
      <c r="AB27" s="338">
        <f t="shared" si="21"/>
        <v>0</v>
      </c>
      <c r="AC27" s="338">
        <f t="shared" si="22"/>
        <v>1.875233049598287</v>
      </c>
      <c r="AF27" s="138">
        <f t="shared" si="23"/>
        <v>1</v>
      </c>
      <c r="AG27" s="138">
        <f t="shared" si="24"/>
        <v>6</v>
      </c>
      <c r="AH27" s="138">
        <f t="shared" si="25"/>
        <v>30</v>
      </c>
      <c r="AI27" s="138">
        <f t="shared" si="47"/>
        <v>166</v>
      </c>
      <c r="AJ27" s="138">
        <f t="shared" si="26"/>
        <v>183</v>
      </c>
      <c r="AL27" s="136">
        <f t="shared" si="27"/>
        <v>2.9460000000000002</v>
      </c>
      <c r="AM27" s="258">
        <f t="shared" si="28"/>
        <v>-2.5000000000000001E-2</v>
      </c>
      <c r="AN27" s="258">
        <f t="shared" si="29"/>
        <v>5.7500000000000002E-2</v>
      </c>
      <c r="AO27" s="258">
        <f t="shared" si="30"/>
        <v>0.15</v>
      </c>
      <c r="AP27" s="258">
        <f t="shared" si="31"/>
        <v>-2.4999999999999998E-2</v>
      </c>
      <c r="AQ27" s="136">
        <f t="shared" si="32"/>
        <v>1.9200000000000002E-2</v>
      </c>
      <c r="AR27" s="137">
        <f t="shared" si="33"/>
        <v>2.9020000000000001E-2</v>
      </c>
      <c r="AS27" s="136">
        <f t="shared" si="50"/>
        <v>2.9785000000000004</v>
      </c>
      <c r="AT27" s="137">
        <f t="shared" si="51"/>
        <v>2.0011329715354399E-2</v>
      </c>
      <c r="AU27" s="137">
        <f t="shared" si="34"/>
        <v>0.99023515302313159</v>
      </c>
      <c r="AV27" s="394">
        <f t="shared" si="48"/>
        <v>13308.760456630889</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1"/>
        <v>1.1830637855325676E-4</v>
      </c>
      <c r="BF27" s="137">
        <f>_xll.xSPRDOPT($BW27,$BV27,$CG27,0,$BY27,$BX27,$BZ27,$AJ27,1,4)*$CB27</f>
        <v>4.6852614919680873</v>
      </c>
      <c r="BG27" s="137">
        <f>_xll.xSPRDOPT($BW27,$BV27,$CG27,0,$BY27,$BX27,$BZ27,$AJ27,1,3)*$CB27</f>
        <v>4.7321977106769948</v>
      </c>
      <c r="BH27" s="137">
        <f>IF(OR(BF27&lt;&gt;0,BG27&lt;&gt;0),_xll.xSPRDOPT($BW27,$BV27,$CG27,0,$BY27,$BX27,$BZ27,$AJ27,1,12)*$CB27,0)</f>
        <v>-4.7086570608824516</v>
      </c>
      <c r="BI27" s="137">
        <f>_xll.xSPRDOPT($BW27,$BV27,$CG27,2*LN(1+CA27/2),$BY27,$BX27,$BZ27,$AJ27,1,9)</f>
        <v>-3.140318441721815E-2</v>
      </c>
      <c r="BJ27" s="137">
        <f>_xll.xSPRDOPT($BW27,$BV27,$CG27,0,$BY27,$BX27,$BZ27,$AJ27,1,6)*$CB27</f>
        <v>-0.14597938839440244</v>
      </c>
      <c r="BK27" s="137">
        <f>_xll.xSPRDOPT($BW27,$BV27,$CG27,0,$BY27,$BX27,$BZ27,$AJ27,1,5)*$CB27</f>
        <v>0.2024472953447016</v>
      </c>
      <c r="BL27" s="137">
        <f>_xll.xSPRDOPT(BW27,BV27,CG27,0,BY27,BX27,BZ27,AJ27,1,2)*CB27</f>
        <v>-0.41534338062239268</v>
      </c>
      <c r="BM27" s="137">
        <f>_xll.xSPRDOPT(BW27,BV27,CG27,0,BY27,BX27,BZ27,AJ27,1,1)*CB27</f>
        <v>0.42555668077216352</v>
      </c>
      <c r="BN27" s="137">
        <f>IF(AH27&lt;&gt;0,_xll.xSPRDOPT($BW27,$BV27,$CG27,2*LN(1+CA27/2),$BY27,$BX27,$BZ27,$AJ27,1,8)+(AJ27/365.25)*CH27/AH27,0)</f>
        <v>4.1863125145457855E-2</v>
      </c>
      <c r="BO27" s="137">
        <f>_xll.xSPRDOPT($BW27,$BV27,$CG27,0,$BY27,$BX27,$BZ27,$AJ27,1,0)</f>
        <v>2.5607574511676071E-2</v>
      </c>
      <c r="BP27" s="137"/>
      <c r="BQ27" s="137"/>
      <c r="BR27" s="137"/>
      <c r="BS27" s="137"/>
      <c r="BV27" s="262">
        <v>3.0675194133761772</v>
      </c>
      <c r="BW27" s="136">
        <v>3.0710000000000002</v>
      </c>
      <c r="BX27" s="137">
        <v>0.55022133021926811</v>
      </c>
      <c r="BY27" s="137">
        <v>0.55468511557968825</v>
      </c>
      <c r="BZ27" s="137">
        <v>0.99774671921642777</v>
      </c>
      <c r="CA27" s="137">
        <v>2.0011329715354399E-2</v>
      </c>
      <c r="CB27" s="137">
        <v>0.99007321601711695</v>
      </c>
      <c r="CC27" s="258">
        <v>-2.5000000000000001E-2</v>
      </c>
      <c r="CD27" s="258">
        <v>5.7500000000000002E-2</v>
      </c>
      <c r="CE27" s="258">
        <v>0.15</v>
      </c>
      <c r="CF27" s="258">
        <v>-2.5000000000000001E-2</v>
      </c>
      <c r="CG27" s="258">
        <v>1.9200000000000002E-2</v>
      </c>
      <c r="CH27" s="258">
        <v>3.2672416128564858</v>
      </c>
      <c r="CI27" s="258">
        <v>2.9460000000000002</v>
      </c>
    </row>
    <row r="28" spans="1:91" x14ac:dyDescent="0.25">
      <c r="A28" s="723"/>
      <c r="B28" s="723"/>
      <c r="D28" s="31">
        <f t="shared" si="42"/>
        <v>37452</v>
      </c>
      <c r="F28" s="28">
        <f t="shared" si="12"/>
        <v>15000</v>
      </c>
      <c r="G28" s="28">
        <f t="shared" si="13"/>
        <v>14825.732715270382</v>
      </c>
      <c r="H28" s="52">
        <f t="shared" si="14"/>
        <v>3.1066551319285671</v>
      </c>
      <c r="I28" s="52">
        <f t="shared" si="15"/>
        <v>3.1240000000000001</v>
      </c>
      <c r="K28" s="52">
        <f t="shared" si="49"/>
        <v>0</v>
      </c>
      <c r="L28" s="135">
        <f t="shared" si="43"/>
        <v>0.96198087172044877</v>
      </c>
      <c r="N28" s="131">
        <f t="shared" si="44"/>
        <v>0.54938596714727361</v>
      </c>
      <c r="O28" s="131">
        <f t="shared" si="45"/>
        <v>0.54938596714727361</v>
      </c>
      <c r="P28" s="55">
        <f t="shared" si="46"/>
        <v>0.99807257584770948</v>
      </c>
      <c r="Q28" s="135">
        <f>_xll.xSPRDOPT(I28,H28,AQ28,0,O28,N28,P28,D28-$G$5,1,0)*AH28*AU28</f>
        <v>0.96198087172044877</v>
      </c>
      <c r="R28" s="135"/>
      <c r="S28" s="181">
        <f>_xll.xSPRDOPT(I28,H28,AQ28,AT28,O28,N28,P28,D28-$G$5,1,2)*AF28*(F28/(1-AR28))*AH28</f>
        <v>-229944.31301950256</v>
      </c>
      <c r="T28" s="181">
        <f>_xll.xSPRDOPT(I28,H28,AQ28,AT28,O28,N28,P28,D28-$G$5,1,1)*AF28*F28*AH28</f>
        <v>227986.96299316926</v>
      </c>
      <c r="U28" s="135"/>
      <c r="V28" s="146">
        <f t="shared" si="16"/>
        <v>3.3703832372714668</v>
      </c>
      <c r="W28" s="146"/>
      <c r="X28" s="338">
        <f t="shared" si="17"/>
        <v>0</v>
      </c>
      <c r="Y28" s="338">
        <f t="shared" si="18"/>
        <v>0</v>
      </c>
      <c r="Z28" s="338">
        <f t="shared" si="19"/>
        <v>-102.24326304650073</v>
      </c>
      <c r="AA28" s="338">
        <f t="shared" si="20"/>
        <v>2.5894088232139643</v>
      </c>
      <c r="AB28" s="338">
        <f t="shared" si="21"/>
        <v>0</v>
      </c>
      <c r="AC28" s="338">
        <f t="shared" si="22"/>
        <v>2.4211028042190272</v>
      </c>
      <c r="AF28" s="138">
        <f t="shared" si="23"/>
        <v>1</v>
      </c>
      <c r="AG28" s="138">
        <f t="shared" si="24"/>
        <v>7</v>
      </c>
      <c r="AH28" s="138">
        <f t="shared" si="25"/>
        <v>31</v>
      </c>
      <c r="AI28" s="138">
        <f t="shared" si="47"/>
        <v>196</v>
      </c>
      <c r="AJ28" s="138">
        <f t="shared" si="26"/>
        <v>213</v>
      </c>
      <c r="AL28" s="136">
        <f t="shared" si="27"/>
        <v>2.984</v>
      </c>
      <c r="AM28" s="258">
        <f t="shared" si="28"/>
        <v>-2.5000000000000001E-2</v>
      </c>
      <c r="AN28" s="258">
        <f t="shared" si="29"/>
        <v>5.7500000000000002E-2</v>
      </c>
      <c r="AO28" s="258">
        <f t="shared" si="30"/>
        <v>0.16500000000000001</v>
      </c>
      <c r="AP28" s="258">
        <f t="shared" si="31"/>
        <v>-2.4999999999999998E-2</v>
      </c>
      <c r="AQ28" s="136">
        <f t="shared" si="32"/>
        <v>1.9200000000000002E-2</v>
      </c>
      <c r="AR28" s="137">
        <f t="shared" si="33"/>
        <v>2.9020000000000001E-2</v>
      </c>
      <c r="AS28" s="136">
        <f t="shared" si="50"/>
        <v>3.0165000000000002</v>
      </c>
      <c r="AT28" s="137">
        <f t="shared" si="51"/>
        <v>2.0428629809483099E-2</v>
      </c>
      <c r="AU28" s="137">
        <f t="shared" si="34"/>
        <v>0.98838218101802544</v>
      </c>
      <c r="AV28" s="394">
        <f t="shared" si="48"/>
        <v>13726.651729978337</v>
      </c>
      <c r="AW28" s="137">
        <f t="shared" si="35"/>
        <v>0.54249999999999998</v>
      </c>
      <c r="AX28" s="137">
        <f t="shared" si="36"/>
        <v>0.63</v>
      </c>
      <c r="AY28" s="137">
        <f t="shared" si="37"/>
        <v>0.63</v>
      </c>
      <c r="AZ28" s="137"/>
      <c r="BA28" s="264"/>
      <c r="BB28" s="258">
        <f t="shared" si="38"/>
        <v>0</v>
      </c>
      <c r="BC28" s="258">
        <f t="shared" si="39"/>
        <v>0</v>
      </c>
      <c r="BD28" s="137">
        <f t="shared" si="40"/>
        <v>9.5712015904636516E-5</v>
      </c>
      <c r="BE28" s="137">
        <f t="shared" si="41"/>
        <v>9.5712015904636516E-5</v>
      </c>
      <c r="BF28" s="137">
        <f>_xll.xSPRDOPT($BW28,$BV28,$CG28,0,$BY28,$BX28,$BZ28,$AJ28,1,4)*$CB28</f>
        <v>4.8620241699318258</v>
      </c>
      <c r="BG28" s="137">
        <f>_xll.xSPRDOPT($BW28,$BV28,$CG28,0,$BY28,$BX28,$BZ28,$AJ28,1,3)*$CB28</f>
        <v>4.8675702507019514</v>
      </c>
      <c r="BH28" s="137">
        <f>IF(OR(BF28&lt;&gt;0,BG28&lt;&gt;0),_xll.xSPRDOPT($BW28,$BV28,$CG28,0,$BY28,$BX28,$BZ28,$AJ28,1,12)*$CB28,0)</f>
        <v>-4.8647881411920979</v>
      </c>
      <c r="BI28" s="137">
        <f>_xll.xSPRDOPT($BW28,$BV28,$CG28,2*LN(1+CA28/2),$BY28,$BX28,$BZ28,$AJ28,1,9)</f>
        <v>-2.6770144679379493E-2</v>
      </c>
      <c r="BJ28" s="137">
        <f>_xll.xSPRDOPT($BW28,$BV28,$CG28,0,$BY28,$BX28,$BZ28,$AJ28,1,6)*$CB28</f>
        <v>-6.3685311911134801E-2</v>
      </c>
      <c r="BK28" s="137">
        <f>_xll.xSPRDOPT($BW28,$BV28,$CG28,0,$BY28,$BX28,$BZ28,$AJ28,1,5)*$CB28</f>
        <v>0.12186631533644834</v>
      </c>
      <c r="BL28" s="137">
        <f>_xll.xSPRDOPT(BW28,BV28,CG28,0,BY28,BX28,BZ28,AJ28,1,2)*CB28</f>
        <v>-0.48010616049710236</v>
      </c>
      <c r="BM28" s="137">
        <f>_xll.xSPRDOPT(BW28,BV28,CG28,0,BY28,BX28,BZ28,AJ28,1,1)*CB28</f>
        <v>0.49024593985103576</v>
      </c>
      <c r="BN28" s="137">
        <f>IF(AH28&lt;&gt;0,_xll.xSPRDOPT($BW28,$BV28,$CG28,2*LN(1+CA28/2),$BY28,$BX28,$BZ28,$AJ28,1,8)+(AJ28/365.25)*CH28/AH28,0)</f>
        <v>4.5296135648400696E-2</v>
      </c>
      <c r="BO28" s="137">
        <f>_xll.xSPRDOPT($BW28,$BV28,$CG28,0,$BY28,$BX28,$BZ28,$AJ28,1,0)</f>
        <v>3.1400575179076531E-2</v>
      </c>
      <c r="BP28" s="137"/>
      <c r="BQ28" s="137"/>
      <c r="BR28" s="137"/>
      <c r="BS28" s="137"/>
      <c r="BV28" s="262">
        <v>3.1066551319285671</v>
      </c>
      <c r="BW28" s="136">
        <v>3.1240000000000001</v>
      </c>
      <c r="BX28" s="137">
        <v>0.54929025513136898</v>
      </c>
      <c r="BY28" s="137">
        <v>0.54929025513136898</v>
      </c>
      <c r="BZ28" s="137">
        <v>0.99809887047088153</v>
      </c>
      <c r="CA28" s="137">
        <v>2.0428629809483099E-2</v>
      </c>
      <c r="CB28" s="137">
        <v>0.98821719380072837</v>
      </c>
      <c r="CC28" s="258">
        <v>-2.5000000000000001E-2</v>
      </c>
      <c r="CD28" s="258">
        <v>5.7500000000000002E-2</v>
      </c>
      <c r="CE28" s="258">
        <v>0.16500000000000001</v>
      </c>
      <c r="CF28" s="258">
        <v>-2.5000000000000001E-2</v>
      </c>
      <c r="CG28" s="258">
        <v>1.9200000000000002E-2</v>
      </c>
      <c r="CH28" s="258">
        <v>3.3698206308604837</v>
      </c>
      <c r="CI28" s="258">
        <v>2.984</v>
      </c>
    </row>
    <row r="29" spans="1:91" x14ac:dyDescent="0.25">
      <c r="A29" s="723"/>
      <c r="B29" s="723"/>
      <c r="D29" s="31">
        <f t="shared" si="42"/>
        <v>37483</v>
      </c>
      <c r="F29" s="28">
        <f t="shared" si="12"/>
        <v>15000</v>
      </c>
      <c r="G29" s="28">
        <f t="shared" si="13"/>
        <v>14794.030146717023</v>
      </c>
      <c r="H29" s="52">
        <f t="shared" si="14"/>
        <v>3.1499103998022617</v>
      </c>
      <c r="I29" s="52">
        <f t="shared" si="15"/>
        <v>3.1659999999999999</v>
      </c>
      <c r="K29" s="52">
        <f t="shared" si="49"/>
        <v>0</v>
      </c>
      <c r="L29" s="135">
        <f t="shared" si="43"/>
        <v>1.0344749070838604</v>
      </c>
      <c r="N29" s="131">
        <f t="shared" si="44"/>
        <v>0.55001555741820785</v>
      </c>
      <c r="O29" s="131">
        <f t="shared" si="45"/>
        <v>0.55001555741820785</v>
      </c>
      <c r="P29" s="55">
        <f t="shared" si="46"/>
        <v>0.99804603028336814</v>
      </c>
      <c r="Q29" s="135">
        <f>_xll.xSPRDOPT(I29,H29,AQ29,0,O29,N29,P29,D29-$G$5,1,0)*AH29*AU29</f>
        <v>1.0344749070838604</v>
      </c>
      <c r="R29" s="135"/>
      <c r="S29" s="181">
        <f>_xll.xSPRDOPT(I29,H29,AQ29,AT29,O29,N29,P29,D29-$G$5,1,2)*AF29*(F29/(1-AR29))*AH29</f>
        <v>-226964.32623003086</v>
      </c>
      <c r="T29" s="181">
        <f>_xll.xSPRDOPT(I29,H29,AQ29,AT29,O29,N29,P29,D29-$G$5,1,1)*AF29*F29*AH29</f>
        <v>225458.08292835971</v>
      </c>
      <c r="U29" s="135"/>
      <c r="V29" s="146">
        <f t="shared" si="16"/>
        <v>3.3631761866870034</v>
      </c>
      <c r="W29" s="146"/>
      <c r="X29" s="338">
        <f t="shared" si="17"/>
        <v>0</v>
      </c>
      <c r="Y29" s="338">
        <f t="shared" si="18"/>
        <v>0</v>
      </c>
      <c r="Z29" s="338">
        <f t="shared" si="19"/>
        <v>-97.073372854192101</v>
      </c>
      <c r="AA29" s="338">
        <f t="shared" si="20"/>
        <v>3.5787068115282419</v>
      </c>
      <c r="AB29" s="338">
        <f t="shared" si="21"/>
        <v>0</v>
      </c>
      <c r="AC29" s="338">
        <f t="shared" si="22"/>
        <v>2.6845832759819555</v>
      </c>
      <c r="AF29" s="138">
        <f t="shared" si="23"/>
        <v>1</v>
      </c>
      <c r="AG29" s="138">
        <f t="shared" si="24"/>
        <v>8</v>
      </c>
      <c r="AH29" s="138">
        <f t="shared" si="25"/>
        <v>31</v>
      </c>
      <c r="AI29" s="138">
        <f t="shared" si="47"/>
        <v>227</v>
      </c>
      <c r="AJ29" s="138">
        <f t="shared" si="26"/>
        <v>244</v>
      </c>
      <c r="AL29" s="136">
        <f t="shared" si="27"/>
        <v>3.0259999999999998</v>
      </c>
      <c r="AM29" s="258">
        <f t="shared" si="28"/>
        <v>-2.5000000000000001E-2</v>
      </c>
      <c r="AN29" s="258">
        <f t="shared" si="29"/>
        <v>5.7500000000000002E-2</v>
      </c>
      <c r="AO29" s="258">
        <f t="shared" si="30"/>
        <v>0.16500000000000001</v>
      </c>
      <c r="AP29" s="258">
        <f t="shared" si="31"/>
        <v>-2.4999999999999998E-2</v>
      </c>
      <c r="AQ29" s="136">
        <f t="shared" si="32"/>
        <v>1.9200000000000002E-2</v>
      </c>
      <c r="AR29" s="137">
        <f t="shared" si="33"/>
        <v>2.9020000000000001E-2</v>
      </c>
      <c r="AS29" s="136">
        <f t="shared" si="50"/>
        <v>3.0585</v>
      </c>
      <c r="AT29" s="137">
        <f t="shared" si="51"/>
        <v>2.1065008234303999E-2</v>
      </c>
      <c r="AU29" s="137">
        <f t="shared" si="34"/>
        <v>0.98626867644780158</v>
      </c>
      <c r="AV29" s="394">
        <f t="shared" si="48"/>
        <v>13697.299378507068</v>
      </c>
      <c r="AW29" s="137">
        <f t="shared" si="35"/>
        <v>0.54</v>
      </c>
      <c r="AX29" s="137">
        <f t="shared" si="36"/>
        <v>0.68</v>
      </c>
      <c r="AY29" s="137">
        <f t="shared" si="37"/>
        <v>0.68</v>
      </c>
      <c r="AZ29" s="137"/>
      <c r="BA29" s="264"/>
      <c r="BB29" s="258">
        <f t="shared" si="38"/>
        <v>0</v>
      </c>
      <c r="BC29" s="258">
        <f t="shared" si="39"/>
        <v>0</v>
      </c>
      <c r="BD29" s="137">
        <f t="shared" si="40"/>
        <v>1.2128874378558585E-4</v>
      </c>
      <c r="BE29" s="137">
        <f t="shared" si="41"/>
        <v>1.2128874378558585E-4</v>
      </c>
      <c r="BF29" s="137">
        <f>_xll.xSPRDOPT($BW29,$BV29,$CG29,0,$BY29,$BX29,$BZ29,$AJ29,1,4)*$CB29</f>
        <v>4.4296599865096038</v>
      </c>
      <c r="BG29" s="137">
        <f>_xll.xSPRDOPT($BW29,$BV29,$CG29,0,$BY29,$BX29,$BZ29,$AJ29,1,3)*$CB29</f>
        <v>4.4381143647526047</v>
      </c>
      <c r="BH29" s="137">
        <f>IF(OR(BF29&lt;&gt;0,BG29&lt;&gt;0),_xll.xSPRDOPT($BW29,$BV29,$CG29,0,$BY29,$BX29,$BZ29,$AJ29,1,12)*$CB29,0)</f>
        <v>-4.4338771891893618</v>
      </c>
      <c r="BI29" s="137">
        <f>_xll.xSPRDOPT($BW29,$BV29,$CG29,2*LN(1+CA29/2),$BY29,$BX29,$BZ29,$AJ29,1,9)</f>
        <v>-2.5416522892468575E-2</v>
      </c>
      <c r="BJ29" s="137">
        <f>_xll.xSPRDOPT($BW29,$BV29,$CG29,0,$BY29,$BX29,$BZ29,$AJ29,1,6)*$CB29</f>
        <v>-6.6471431798974023E-2</v>
      </c>
      <c r="BK29" s="137">
        <f>_xll.xSPRDOPT($BW29,$BV29,$CG29,0,$BY29,$BX29,$BZ29,$AJ29,1,5)*$CB29</f>
        <v>0.12992450617750939</v>
      </c>
      <c r="BL29" s="137">
        <f>_xll.xSPRDOPT(BW29,BV29,CG29,0,BY29,BX29,BZ29,AJ29,1,2)*CB29</f>
        <v>-0.4738880043127035</v>
      </c>
      <c r="BM29" s="137">
        <f>_xll.xSPRDOPT(BW29,BV29,CG29,0,BY29,BX29,BZ29,AJ29,1,1)*CB29</f>
        <v>0.48481191406165536</v>
      </c>
      <c r="BN29" s="137">
        <f>IF(AH29&lt;&gt;0,_xll.xSPRDOPT($BW29,$BV29,$CG29,2*LN(1+CA29/2),$BY29,$BX29,$BZ29,$AJ29,1,8)+(AJ29/365.25)*CH29/AH29,0)</f>
        <v>5.0171343419423128E-2</v>
      </c>
      <c r="BO29" s="137">
        <f>_xll.xSPRDOPT($BW29,$BV29,$CG29,0,$BY29,$BX29,$BZ29,$AJ29,1,0)</f>
        <v>3.3838474176511993E-2</v>
      </c>
      <c r="BP29" s="137"/>
      <c r="BQ29" s="137"/>
      <c r="BR29" s="137"/>
      <c r="BS29" s="137"/>
      <c r="BV29" s="262">
        <v>3.1499103998022617</v>
      </c>
      <c r="BW29" s="136">
        <v>3.1659999999999999</v>
      </c>
      <c r="BX29" s="137">
        <v>0.54989426867442226</v>
      </c>
      <c r="BY29" s="137">
        <v>0.54989426867442226</v>
      </c>
      <c r="BZ29" s="137">
        <v>0.99806905618897757</v>
      </c>
      <c r="CA29" s="137">
        <v>2.1065008234303999E-2</v>
      </c>
      <c r="CB29" s="137">
        <v>0.98609894066797232</v>
      </c>
      <c r="CC29" s="258">
        <v>-2.5000000000000001E-2</v>
      </c>
      <c r="CD29" s="258">
        <v>5.7500000000000002E-2</v>
      </c>
      <c r="CE29" s="258">
        <v>0.16500000000000001</v>
      </c>
      <c r="CF29" s="258">
        <v>-2.5000000000000001E-2</v>
      </c>
      <c r="CG29" s="258">
        <v>1.9200000000000002E-2</v>
      </c>
      <c r="CH29" s="258">
        <v>3.3625973876777859</v>
      </c>
      <c r="CI29" s="258">
        <v>3.0259999999999998</v>
      </c>
    </row>
    <row r="30" spans="1:91" x14ac:dyDescent="0.25">
      <c r="A30" s="723"/>
      <c r="B30" s="723"/>
      <c r="D30" s="31">
        <f t="shared" si="42"/>
        <v>37514</v>
      </c>
      <c r="F30" s="28">
        <f t="shared" si="12"/>
        <v>15000</v>
      </c>
      <c r="G30" s="28">
        <f t="shared" si="13"/>
        <v>14760.819323513733</v>
      </c>
      <c r="H30" s="52">
        <f t="shared" si="14"/>
        <v>3.1416713011596533</v>
      </c>
      <c r="I30" s="52">
        <f t="shared" si="15"/>
        <v>3.1229999999999998</v>
      </c>
      <c r="K30" s="52">
        <f t="shared" si="49"/>
        <v>0</v>
      </c>
      <c r="L30" s="135">
        <f t="shared" si="43"/>
        <v>0.65943043783951061</v>
      </c>
      <c r="N30" s="131">
        <f t="shared" si="44"/>
        <v>0.54862064797509713</v>
      </c>
      <c r="O30" s="131">
        <f t="shared" si="45"/>
        <v>0.55213969406142294</v>
      </c>
      <c r="P30" s="55">
        <f t="shared" si="46"/>
        <v>0.99799289072394404</v>
      </c>
      <c r="Q30" s="135">
        <f>_xll.xSPRDOPT(I30,H30,AQ30,0,O30,N30,P30,D30-$G$5,1,0)*AH30*AU30</f>
        <v>0.65943043783951061</v>
      </c>
      <c r="R30" s="135"/>
      <c r="S30" s="181">
        <f>_xll.xSPRDOPT(I30,H30,AQ30,AT30,O30,N30,P30,D30-$G$5,1,2)*AF30*(F30/(1-AR30))*AH30</f>
        <v>-155741.75653360639</v>
      </c>
      <c r="T30" s="181">
        <f>_xll.xSPRDOPT(I30,H30,AQ30,AT30,O30,N30,P30,D30-$G$5,1,1)*AF30*F30*AH30</f>
        <v>156144.72863131156</v>
      </c>
      <c r="U30" s="135"/>
      <c r="V30" s="146">
        <f t="shared" si="16"/>
        <v>3.2473802511730212</v>
      </c>
      <c r="W30" s="146"/>
      <c r="X30" s="338">
        <f t="shared" si="17"/>
        <v>0</v>
      </c>
      <c r="Y30" s="338">
        <f t="shared" si="18"/>
        <v>0</v>
      </c>
      <c r="Z30" s="338">
        <f t="shared" si="19"/>
        <v>-83.981702450966182</v>
      </c>
      <c r="AA30" s="338">
        <f t="shared" si="20"/>
        <v>6.2940153867164979</v>
      </c>
      <c r="AB30" s="338">
        <f t="shared" si="21"/>
        <v>0</v>
      </c>
      <c r="AC30" s="338">
        <f t="shared" si="22"/>
        <v>1.7630008940218735</v>
      </c>
      <c r="AF30" s="138">
        <f t="shared" si="23"/>
        <v>1</v>
      </c>
      <c r="AG30" s="138">
        <f t="shared" si="24"/>
        <v>9</v>
      </c>
      <c r="AH30" s="138">
        <f t="shared" si="25"/>
        <v>30</v>
      </c>
      <c r="AI30" s="138">
        <f t="shared" si="47"/>
        <v>258</v>
      </c>
      <c r="AJ30" s="138">
        <f t="shared" si="26"/>
        <v>275</v>
      </c>
      <c r="AL30" s="136">
        <f t="shared" si="27"/>
        <v>3.0179999999999998</v>
      </c>
      <c r="AM30" s="258">
        <f t="shared" si="28"/>
        <v>-2.5000000000000001E-2</v>
      </c>
      <c r="AN30" s="258">
        <f t="shared" si="29"/>
        <v>5.7500000000000002E-2</v>
      </c>
      <c r="AO30" s="258">
        <f t="shared" si="30"/>
        <v>0.13</v>
      </c>
      <c r="AP30" s="258">
        <f t="shared" si="31"/>
        <v>-2.4999999999999998E-2</v>
      </c>
      <c r="AQ30" s="136">
        <f t="shared" si="32"/>
        <v>1.9200000000000002E-2</v>
      </c>
      <c r="AR30" s="137">
        <f t="shared" si="33"/>
        <v>2.9020000000000001E-2</v>
      </c>
      <c r="AS30" s="136">
        <f t="shared" si="50"/>
        <v>3.0505</v>
      </c>
      <c r="AT30" s="137">
        <f t="shared" si="51"/>
        <v>2.1701386796276499E-2</v>
      </c>
      <c r="AU30" s="137">
        <f t="shared" si="34"/>
        <v>0.98405462156758228</v>
      </c>
      <c r="AV30" s="394">
        <f t="shared" si="48"/>
        <v>13225.694113868305</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1"/>
        <v>1.3051801922825401E-4</v>
      </c>
      <c r="BF30" s="137">
        <f>_xll.xSPRDOPT($BW30,$BV30,$CG30,0,$BY30,$BX30,$BZ30,$AJ30,1,4)*$CB30</f>
        <v>3.7376313509319066</v>
      </c>
      <c r="BG30" s="137">
        <f>_xll.xSPRDOPT($BW30,$BV30,$CG30,0,$BY30,$BX30,$BZ30,$AJ30,1,3)*$CB30</f>
        <v>3.8269871094740706</v>
      </c>
      <c r="BH30" s="137">
        <f>IF(OR(BF30&lt;&gt;0,BG30&lt;&gt;0),_xll.xSPRDOPT($BW30,$BV30,$CG30,0,$BY30,$BX30,$BZ30,$AJ30,1,12)*$CB30,0)</f>
        <v>-3.7820304809505587</v>
      </c>
      <c r="BI30" s="137">
        <f>_xll.xSPRDOPT($BW30,$BV30,$CG30,2*LN(1+CA30/2),$BY30,$BX30,$BZ30,$AJ30,1,9)</f>
        <v>-2.2721716163122518E-2</v>
      </c>
      <c r="BJ30" s="137">
        <f>_xll.xSPRDOPT($BW30,$BV30,$CG30,0,$BY30,$BX30,$BZ30,$AJ30,1,6)*$CB30</f>
        <v>-0.15598909307427877</v>
      </c>
      <c r="BK30" s="137">
        <f>_xll.xSPRDOPT($BW30,$BV30,$CG30,0,$BY30,$BX30,$BZ30,$AJ30,1,5)*$CB30</f>
        <v>0.21828166571588739</v>
      </c>
      <c r="BL30" s="137">
        <f>_xll.xSPRDOPT(BW30,BV30,CG30,0,BY30,BX30,BZ30,AJ30,1,2)*CB30</f>
        <v>-0.33603318038929292</v>
      </c>
      <c r="BM30" s="137">
        <f>_xll.xSPRDOPT(BW30,BV30,CG30,0,BY30,BX30,BZ30,AJ30,1,1)*CB30</f>
        <v>0.34697114229454795</v>
      </c>
      <c r="BN30" s="137">
        <f>IF(AH30&lt;&gt;0,_xll.xSPRDOPT($BW30,$BV30,$CG30,2*LN(1+CA30/2),$BY30,$BX30,$BZ30,$AJ30,1,8)+(AJ30/365.25)*CH30/AH30,0)</f>
        <v>6.4936239597232701E-2</v>
      </c>
      <c r="BO30" s="137">
        <f>_xll.xSPRDOPT($BW30,$BV30,$CG30,0,$BY30,$BX30,$BZ30,$AJ30,1,0)</f>
        <v>2.2339800460240113E-2</v>
      </c>
      <c r="BP30" s="137"/>
      <c r="BQ30" s="137"/>
      <c r="BR30" s="137"/>
      <c r="BS30" s="137"/>
      <c r="BV30" s="262">
        <v>3.1416713011596533</v>
      </c>
      <c r="BW30" s="136">
        <v>3.1229999999999998</v>
      </c>
      <c r="BX30" s="137">
        <v>0.54852767359145349</v>
      </c>
      <c r="BY30" s="137">
        <v>0.55200917604219468</v>
      </c>
      <c r="BZ30" s="137">
        <v>0.99801368940954993</v>
      </c>
      <c r="CA30" s="137">
        <v>2.1701386796276499E-2</v>
      </c>
      <c r="CB30" s="137">
        <v>0.98388017854127463</v>
      </c>
      <c r="CC30" s="258">
        <v>-2.5000000000000001E-2</v>
      </c>
      <c r="CD30" s="258">
        <v>5.7500000000000002E-2</v>
      </c>
      <c r="CE30" s="258">
        <v>0.13</v>
      </c>
      <c r="CF30" s="258">
        <v>-2.5000000000000001E-2</v>
      </c>
      <c r="CG30" s="258">
        <v>1.9200000000000002E-2</v>
      </c>
      <c r="CH30" s="258">
        <v>3.2468045891862061</v>
      </c>
      <c r="CI30" s="258">
        <v>3.0179999999999998</v>
      </c>
    </row>
    <row r="31" spans="1:91" x14ac:dyDescent="0.25">
      <c r="A31" s="723"/>
      <c r="B31" s="723"/>
      <c r="D31" s="31">
        <f t="shared" si="42"/>
        <v>37544</v>
      </c>
      <c r="F31" s="28">
        <f t="shared" si="12"/>
        <v>15000</v>
      </c>
      <c r="G31" s="28">
        <f t="shared" si="13"/>
        <v>14726.135303128209</v>
      </c>
      <c r="H31" s="52">
        <f t="shared" si="14"/>
        <v>3.1550598364538924</v>
      </c>
      <c r="I31" s="52">
        <f t="shared" si="15"/>
        <v>3.1560000000000001</v>
      </c>
      <c r="K31" s="52">
        <f t="shared" si="49"/>
        <v>0</v>
      </c>
      <c r="L31" s="135">
        <f t="shared" si="43"/>
        <v>1.0102591329206085</v>
      </c>
      <c r="N31" s="131">
        <f t="shared" si="44"/>
        <v>0.55129247567847639</v>
      </c>
      <c r="O31" s="131">
        <f t="shared" si="45"/>
        <v>0.554778552374395</v>
      </c>
      <c r="P31" s="55">
        <f t="shared" si="46"/>
        <v>0.99790954108121499</v>
      </c>
      <c r="Q31" s="135">
        <f>_xll.xSPRDOPT(I31,H31,AQ31,0,O31,N31,P31,D31-$G$5,1,0)*AH31*AU31</f>
        <v>1.0102591329206085</v>
      </c>
      <c r="R31" s="135"/>
      <c r="S31" s="181">
        <f>_xll.xSPRDOPT(I31,H31,AQ31,AT31,O31,N31,P31,D31-$G$5,1,2)*AF31*(F31/(1-AR31))*AH31</f>
        <v>-199613.1039705764</v>
      </c>
      <c r="T31" s="181">
        <f>_xll.xSPRDOPT(I31,H31,AQ31,AT31,O31,N31,P31,D31-$G$5,1,1)*AF31*F31*AH31</f>
        <v>199653.73550190133</v>
      </c>
      <c r="U31" s="135"/>
      <c r="V31" s="146">
        <f t="shared" si="16"/>
        <v>3.3477414255778126</v>
      </c>
      <c r="W31" s="146"/>
      <c r="X31" s="338">
        <f t="shared" si="17"/>
        <v>0</v>
      </c>
      <c r="Y31" s="338">
        <f t="shared" si="18"/>
        <v>0</v>
      </c>
      <c r="Z31" s="338">
        <f t="shared" si="19"/>
        <v>-89.485852084383666</v>
      </c>
      <c r="AA31" s="338">
        <f t="shared" si="20"/>
        <v>7.400648116403616</v>
      </c>
      <c r="AB31" s="338">
        <f t="shared" si="21"/>
        <v>0</v>
      </c>
      <c r="AC31" s="338">
        <f t="shared" si="22"/>
        <v>2.7890714609392129</v>
      </c>
      <c r="AF31" s="138">
        <f t="shared" si="23"/>
        <v>1</v>
      </c>
      <c r="AG31" s="138">
        <f t="shared" si="24"/>
        <v>10</v>
      </c>
      <c r="AH31" s="138">
        <f t="shared" si="25"/>
        <v>31</v>
      </c>
      <c r="AI31" s="138">
        <f t="shared" si="47"/>
        <v>288</v>
      </c>
      <c r="AJ31" s="138">
        <f t="shared" si="26"/>
        <v>305</v>
      </c>
      <c r="AL31" s="136">
        <f t="shared" si="27"/>
        <v>3.0310000000000001</v>
      </c>
      <c r="AM31" s="258">
        <f t="shared" si="28"/>
        <v>-2.5000000000000001E-2</v>
      </c>
      <c r="AN31" s="258">
        <f t="shared" si="29"/>
        <v>5.7500000000000002E-2</v>
      </c>
      <c r="AO31" s="258">
        <f t="shared" si="30"/>
        <v>0.15</v>
      </c>
      <c r="AP31" s="258">
        <f t="shared" si="31"/>
        <v>-2.4999999999999998E-2</v>
      </c>
      <c r="AQ31" s="136">
        <f t="shared" si="32"/>
        <v>1.9200000000000002E-2</v>
      </c>
      <c r="AR31" s="137">
        <f t="shared" si="33"/>
        <v>2.9020000000000001E-2</v>
      </c>
      <c r="AS31" s="136">
        <f t="shared" si="50"/>
        <v>3.0635000000000003</v>
      </c>
      <c r="AT31" s="137">
        <f t="shared" si="51"/>
        <v>2.2410164045373999E-2</v>
      </c>
      <c r="AU31" s="137">
        <f t="shared" si="34"/>
        <v>0.98174235354188055</v>
      </c>
      <c r="AV31" s="394">
        <f t="shared" si="48"/>
        <v>13634.437805989637</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1"/>
        <v>1.4274311435447107E-4</v>
      </c>
      <c r="BF31" s="137">
        <f>_xll.xSPRDOPT($BW31,$BV31,$CG31,0,$BY31,$BX31,$BZ31,$AJ31,1,4)*$CB31</f>
        <v>3.6705321611756556</v>
      </c>
      <c r="BG31" s="137">
        <f>_xll.xSPRDOPT($BW31,$BV31,$CG31,0,$BY31,$BX31,$BZ31,$AJ31,1,3)*$CB31</f>
        <v>3.7120486590781963</v>
      </c>
      <c r="BH31" s="137">
        <f>IF(OR(BF31&lt;&gt;0,BG31&lt;&gt;0),_xll.xSPRDOPT($BW31,$BV31,$CG31,0,$BY31,$BX31,$BZ31,$AJ31,1,12)*$CB31,0)</f>
        <v>-3.6912142653778468</v>
      </c>
      <c r="BI31" s="137">
        <f>_xll.xSPRDOPT($BW31,$BV31,$CG31,2*LN(1+CA31/2),$BY31,$BX31,$BZ31,$AJ31,1,9)</f>
        <v>-2.3429897830696156E-2</v>
      </c>
      <c r="BJ31" s="137">
        <f>_xll.xSPRDOPT($BW31,$BV31,$CG31,0,$BY31,$BX31,$BZ31,$AJ31,1,6)*$CB31</f>
        <v>-0.17051848665645986</v>
      </c>
      <c r="BK31" s="137">
        <f>_xll.xSPRDOPT($BW31,$BV31,$CG31,0,$BY31,$BX31,$BZ31,$AJ31,1,5)*$CB31</f>
        <v>0.24219445108865087</v>
      </c>
      <c r="BL31" s="137">
        <f>_xll.xSPRDOPT(BW31,BV31,CG31,0,BY31,BX31,BZ31,AJ31,1,2)*CB31</f>
        <v>-0.41679334260774498</v>
      </c>
      <c r="BM31" s="137">
        <f>_xll.xSPRDOPT(BW31,BV31,CG31,0,BY31,BX31,BZ31,AJ31,1,1)*CB31</f>
        <v>0.42933707548719702</v>
      </c>
      <c r="BN31" s="137">
        <f>IF(AH31&lt;&gt;0,_xll.xSPRDOPT($BW31,$BV31,$CG31,2*LN(1+CA31/2),$BY31,$BX31,$BZ31,$AJ31,1,8)+(AJ31/365.25)*CH31/AH31,0)</f>
        <v>6.2950601966660247E-2</v>
      </c>
      <c r="BO31" s="137">
        <f>_xll.xSPRDOPT($BW31,$BV31,$CG31,0,$BY31,$BX31,$BZ31,$AJ31,1,0)</f>
        <v>3.3198051210878148E-2</v>
      </c>
      <c r="BP31" s="137"/>
      <c r="BQ31" s="137"/>
      <c r="BR31" s="137"/>
      <c r="BS31" s="137"/>
      <c r="BV31" s="262">
        <v>3.1550598364538924</v>
      </c>
      <c r="BW31" s="136">
        <v>3.1560000000000001</v>
      </c>
      <c r="BX31" s="137">
        <v>0.55118306690820029</v>
      </c>
      <c r="BY31" s="137">
        <v>0.55463580926004052</v>
      </c>
      <c r="BZ31" s="137">
        <v>0.99792887484799786</v>
      </c>
      <c r="CA31" s="137">
        <v>2.2410164045373999E-2</v>
      </c>
      <c r="CB31" s="137">
        <v>0.98156266847823481</v>
      </c>
      <c r="CC31" s="258">
        <v>-2.5000000000000001E-2</v>
      </c>
      <c r="CD31" s="258">
        <v>5.7500000000000002E-2</v>
      </c>
      <c r="CE31" s="258">
        <v>0.15</v>
      </c>
      <c r="CF31" s="258">
        <v>-2.5000000000000001E-2</v>
      </c>
      <c r="CG31" s="258">
        <v>1.9200000000000002E-2</v>
      </c>
      <c r="CH31" s="258">
        <v>3.347128699510781</v>
      </c>
      <c r="CI31" s="258">
        <v>3.0310000000000001</v>
      </c>
    </row>
    <row r="32" spans="1:91" x14ac:dyDescent="0.25">
      <c r="A32" s="723"/>
      <c r="B32" s="723"/>
      <c r="D32" s="31">
        <f t="shared" si="42"/>
        <v>37575</v>
      </c>
      <c r="F32" s="28">
        <f t="shared" si="12"/>
        <v>15000</v>
      </c>
      <c r="G32" s="28">
        <f t="shared" si="13"/>
        <v>14686.866361625467</v>
      </c>
      <c r="H32" s="52">
        <f t="shared" si="14"/>
        <v>3.3404395559125835</v>
      </c>
      <c r="I32" s="52">
        <f t="shared" si="15"/>
        <v>3.3809999999999998</v>
      </c>
      <c r="K32" s="52">
        <f t="shared" si="49"/>
        <v>0.62743597547371277</v>
      </c>
      <c r="L32" s="135">
        <f t="shared" si="43"/>
        <v>1.174024474509662</v>
      </c>
      <c r="N32" s="131">
        <f t="shared" si="44"/>
        <v>0.55763051961597798</v>
      </c>
      <c r="O32" s="131">
        <f t="shared" si="45"/>
        <v>0.5611429738718543</v>
      </c>
      <c r="P32" s="55">
        <f t="shared" si="46"/>
        <v>0.99764439055940113</v>
      </c>
      <c r="Q32" s="135">
        <f>_xll.xSPRDOPT(I32,H32,AQ32,0,O32,N32,P32,D32-$G$5,1,0)*AH32*AU32</f>
        <v>1.8014604499833746</v>
      </c>
      <c r="R32" s="135"/>
      <c r="S32" s="181">
        <f>_xll.xSPRDOPT(I32,H32,AQ32,AT32,O32,N32,P32,D32-$G$5,1,2)*AF32*(F32/(1-AR32))*AH32</f>
        <v>-254462.42412830549</v>
      </c>
      <c r="T32" s="181">
        <f>_xll.xSPRDOPT(I32,H32,AQ32,AT32,O32,N32,P32,D32-$G$5,1,1)*AF32*F32*AH32</f>
        <v>253428.76235583893</v>
      </c>
      <c r="U32" s="135"/>
      <c r="V32" s="146">
        <f t="shared" si="16"/>
        <v>3.2311105995576028</v>
      </c>
      <c r="W32" s="146"/>
      <c r="X32" s="338">
        <f t="shared" si="17"/>
        <v>0</v>
      </c>
      <c r="Y32" s="338">
        <f t="shared" si="18"/>
        <v>0</v>
      </c>
      <c r="Z32" s="338">
        <f t="shared" si="19"/>
        <v>-91.719421880179667</v>
      </c>
      <c r="AA32" s="338">
        <f t="shared" si="20"/>
        <v>9.3859436781682426</v>
      </c>
      <c r="AB32" s="338">
        <f t="shared" si="21"/>
        <v>0</v>
      </c>
      <c r="AC32" s="338">
        <f t="shared" si="22"/>
        <v>5.1648110120649156</v>
      </c>
      <c r="AF32" s="138">
        <f t="shared" si="23"/>
        <v>1</v>
      </c>
      <c r="AG32" s="138">
        <f t="shared" si="24"/>
        <v>11</v>
      </c>
      <c r="AH32" s="138">
        <f t="shared" si="25"/>
        <v>30</v>
      </c>
      <c r="AI32" s="138">
        <f t="shared" si="47"/>
        <v>319</v>
      </c>
      <c r="AJ32" s="138">
        <f t="shared" si="26"/>
        <v>336</v>
      </c>
      <c r="AL32" s="136">
        <f t="shared" si="27"/>
        <v>3.2109999999999999</v>
      </c>
      <c r="AM32" s="258">
        <f t="shared" si="28"/>
        <v>-2.5000000000000001E-2</v>
      </c>
      <c r="AN32" s="258">
        <f t="shared" si="29"/>
        <v>5.7500000000000002E-2</v>
      </c>
      <c r="AO32" s="258">
        <f t="shared" si="30"/>
        <v>0.19500000000000001</v>
      </c>
      <c r="AP32" s="258">
        <f t="shared" si="31"/>
        <v>-2.4999999999999998E-2</v>
      </c>
      <c r="AQ32" s="136">
        <f t="shared" si="32"/>
        <v>1.9200000000000002E-2</v>
      </c>
      <c r="AR32" s="137">
        <f t="shared" si="33"/>
        <v>2.9020000000000001E-2</v>
      </c>
      <c r="AS32" s="136">
        <f t="shared" si="50"/>
        <v>3.2435</v>
      </c>
      <c r="AT32" s="137">
        <f t="shared" si="51"/>
        <v>2.3274064967752799E-2</v>
      </c>
      <c r="AU32" s="137">
        <f t="shared" si="34"/>
        <v>0.97912442410836453</v>
      </c>
      <c r="AV32" s="394">
        <f t="shared" si="48"/>
        <v>13159.43226001642</v>
      </c>
      <c r="AW32" s="137">
        <f t="shared" si="35"/>
        <v>0.54</v>
      </c>
      <c r="AX32" s="137">
        <f t="shared" si="36"/>
        <v>0.85</v>
      </c>
      <c r="AY32" s="137">
        <f t="shared" si="37"/>
        <v>0.9</v>
      </c>
      <c r="AZ32" s="137"/>
      <c r="BA32" s="264"/>
      <c r="BB32" s="258">
        <f t="shared" si="38"/>
        <v>0</v>
      </c>
      <c r="BC32" s="258">
        <f t="shared" si="39"/>
        <v>0</v>
      </c>
      <c r="BD32" s="137">
        <f t="shared" si="40"/>
        <v>1.5448854150035274E-4</v>
      </c>
      <c r="BE32" s="137">
        <f t="shared" si="41"/>
        <v>1.847009350330886E-4</v>
      </c>
      <c r="BF32" s="137">
        <f>_xll.xSPRDOPT($BW32,$BV32,$CG32,0,$BY32,$BX32,$BZ32,$AJ32,1,4)*$CB32</f>
        <v>3.0939922276250895</v>
      </c>
      <c r="BG32" s="137">
        <f>_xll.xSPRDOPT($BW32,$BV32,$CG32,0,$BY32,$BX32,$BZ32,$AJ32,1,3)*$CB32</f>
        <v>3.0551582354456674</v>
      </c>
      <c r="BH32" s="137">
        <f>IF(OR(BF32&lt;&gt;0,BG32&lt;&gt;0),_xll.xSPRDOPT($BW32,$BV32,$CG32,0,$BY32,$BX32,$BZ32,$AJ32,1,12)*$CB32,0)</f>
        <v>-3.0744960431688</v>
      </c>
      <c r="BI32" s="137">
        <f>_xll.xSPRDOPT($BW32,$BV32,$CG32,2*LN(1+CA32/2),$BY32,$BX32,$BZ32,$AJ32,1,9)</f>
        <v>-2.4815199142026387E-2</v>
      </c>
      <c r="BJ32" s="137">
        <f>_xll.xSPRDOPT($BW32,$BV32,$CG32,0,$BY32,$BX32,$BZ32,$AJ32,1,6)*$CB32</f>
        <v>-0.1714521209066705</v>
      </c>
      <c r="BK32" s="137">
        <f>_xll.xSPRDOPT($BW32,$BV32,$CG32,0,$BY32,$BX32,$BZ32,$AJ32,1,5)*$CB32</f>
        <v>0.25633351940358934</v>
      </c>
      <c r="BL32" s="137">
        <f>_xll.xSPRDOPT(BW32,BV32,CG32,0,BY32,BX32,BZ32,AJ32,1,2)*CB32</f>
        <v>-0.54902478027657242</v>
      </c>
      <c r="BM32" s="137">
        <f>_xll.xSPRDOPT(BW32,BV32,CG32,0,BY32,BX32,BZ32,AJ32,1,1)*CB32</f>
        <v>0.56313647372160902</v>
      </c>
      <c r="BN32" s="137">
        <f>IF(AH32&lt;&gt;0,_xll.xSPRDOPT($BW32,$BV32,$CG32,2*LN(1+CA32/2),$BY32,$BX32,$BZ32,$AJ32,1,8)+(AJ32/365.25)*CH32/AH32,0)</f>
        <v>4.3828106666676032E-2</v>
      </c>
      <c r="BO32" s="137">
        <f>_xll.xSPRDOPT($BW32,$BV32,$CG32,0,$BY32,$BX32,$BZ32,$AJ32,1,0)</f>
        <v>6.1331460389303497E-2</v>
      </c>
      <c r="BP32" s="137"/>
      <c r="BQ32" s="137"/>
      <c r="BR32" s="137"/>
      <c r="BS32" s="137"/>
      <c r="BV32" s="262">
        <v>3.3404395559125835</v>
      </c>
      <c r="BW32" s="136">
        <v>3.3809999999999998</v>
      </c>
      <c r="BX32" s="137">
        <v>0.55747603107447763</v>
      </c>
      <c r="BY32" s="137">
        <v>0.56095827293682121</v>
      </c>
      <c r="BZ32" s="137">
        <v>0.99766378219896323</v>
      </c>
      <c r="CA32" s="137">
        <v>2.3274064967752799E-2</v>
      </c>
      <c r="CB32" s="137">
        <v>0.97893835036076038</v>
      </c>
      <c r="CC32" s="258">
        <v>-2.5000000000000001E-2</v>
      </c>
      <c r="CD32" s="258">
        <v>5.7500000000000002E-2</v>
      </c>
      <c r="CE32" s="258">
        <v>0.19500000000000001</v>
      </c>
      <c r="CF32" s="258">
        <v>-2.5000000000000001E-2</v>
      </c>
      <c r="CG32" s="258">
        <v>1.9200000000000002E-2</v>
      </c>
      <c r="CH32" s="258">
        <v>3.2304965561905092</v>
      </c>
      <c r="CI32" s="258">
        <v>3.2109999999999999</v>
      </c>
    </row>
    <row r="33" spans="1:87" x14ac:dyDescent="0.25">
      <c r="A33" s="723"/>
      <c r="B33" s="723"/>
      <c r="D33" s="31">
        <f t="shared" si="42"/>
        <v>37605</v>
      </c>
      <c r="F33" s="28">
        <f t="shared" si="12"/>
        <v>15000</v>
      </c>
      <c r="G33" s="28">
        <f t="shared" si="13"/>
        <v>14646.946790845936</v>
      </c>
      <c r="H33" s="52">
        <f t="shared" si="14"/>
        <v>3.5052215287647535</v>
      </c>
      <c r="I33" s="52">
        <f t="shared" si="15"/>
        <v>3.5609999999999999</v>
      </c>
      <c r="K33" s="52">
        <f t="shared" si="49"/>
        <v>1.1072433718711641</v>
      </c>
      <c r="L33" s="135">
        <f t="shared" si="43"/>
        <v>1.4486184840331933</v>
      </c>
      <c r="N33" s="131">
        <f t="shared" si="44"/>
        <v>0.57103652777154523</v>
      </c>
      <c r="O33" s="131">
        <f t="shared" si="45"/>
        <v>0.57502525739243127</v>
      </c>
      <c r="P33" s="55">
        <f t="shared" si="46"/>
        <v>0.99687080272432205</v>
      </c>
      <c r="Q33" s="135">
        <f>_xll.xSPRDOPT(I33,H33,AQ33,0,O33,N33,P33,D33-$G$5,1,0)*AH33*AU33</f>
        <v>2.5558618559043573</v>
      </c>
      <c r="R33" s="135"/>
      <c r="S33" s="181">
        <f>_xll.xSPRDOPT(I33,H33,AQ33,AT33,O33,N33,P33,D33-$G$5,1,2)*AF33*(F33/(1-AR33))*AH33</f>
        <v>-271592.64277798159</v>
      </c>
      <c r="T33" s="181">
        <f>_xll.xSPRDOPT(I33,H33,AQ33,AT33,O33,N33,P33,D33-$G$5,1,1)*AF33*F33*AH33</f>
        <v>271696.55386994389</v>
      </c>
      <c r="U33" s="135"/>
      <c r="V33" s="146">
        <f t="shared" si="16"/>
        <v>3.3297392371189765</v>
      </c>
      <c r="W33" s="146"/>
      <c r="X33" s="338">
        <f t="shared" si="17"/>
        <v>0</v>
      </c>
      <c r="Y33" s="338">
        <f t="shared" si="18"/>
        <v>0</v>
      </c>
      <c r="Z33" s="338">
        <f t="shared" si="19"/>
        <v>-109.51448864052091</v>
      </c>
      <c r="AA33" s="338">
        <f t="shared" si="20"/>
        <v>15.867240371505755</v>
      </c>
      <c r="AB33" s="338">
        <f t="shared" si="21"/>
        <v>0</v>
      </c>
      <c r="AC33" s="338">
        <f t="shared" si="22"/>
        <v>7.5907775432847702</v>
      </c>
      <c r="AF33" s="138">
        <f t="shared" si="23"/>
        <v>1</v>
      </c>
      <c r="AG33" s="138">
        <f t="shared" si="24"/>
        <v>12</v>
      </c>
      <c r="AH33" s="138">
        <f t="shared" si="25"/>
        <v>31</v>
      </c>
      <c r="AI33" s="138">
        <f t="shared" si="47"/>
        <v>349</v>
      </c>
      <c r="AJ33" s="138">
        <f t="shared" si="26"/>
        <v>366</v>
      </c>
      <c r="AL33" s="136">
        <f t="shared" si="27"/>
        <v>3.371</v>
      </c>
      <c r="AM33" s="258">
        <f t="shared" si="28"/>
        <v>-2.5000000000000001E-2</v>
      </c>
      <c r="AN33" s="258">
        <f t="shared" si="29"/>
        <v>5.7500000000000002E-2</v>
      </c>
      <c r="AO33" s="258">
        <f t="shared" si="30"/>
        <v>0.215</v>
      </c>
      <c r="AP33" s="258">
        <f t="shared" si="31"/>
        <v>-2.4999999999999998E-2</v>
      </c>
      <c r="AQ33" s="136">
        <f t="shared" si="32"/>
        <v>1.9200000000000002E-2</v>
      </c>
      <c r="AR33" s="137">
        <f t="shared" si="33"/>
        <v>2.9020000000000001E-2</v>
      </c>
      <c r="AS33" s="136">
        <f t="shared" si="50"/>
        <v>3.4035000000000002</v>
      </c>
      <c r="AT33" s="137">
        <f t="shared" si="51"/>
        <v>2.4110098358835999E-2</v>
      </c>
      <c r="AU33" s="137">
        <f t="shared" si="34"/>
        <v>0.97646311938972907</v>
      </c>
      <c r="AV33" s="394">
        <f t="shared" si="48"/>
        <v>13561.119802084557</v>
      </c>
      <c r="AW33" s="137">
        <f t="shared" si="35"/>
        <v>0.54</v>
      </c>
      <c r="AX33" s="137">
        <f t="shared" si="36"/>
        <v>1.05</v>
      </c>
      <c r="AY33" s="137">
        <f t="shared" si="37"/>
        <v>1.1000000000000001</v>
      </c>
      <c r="AZ33" s="137"/>
      <c r="BA33" s="264"/>
      <c r="BB33" s="258">
        <f t="shared" si="38"/>
        <v>0</v>
      </c>
      <c r="BC33" s="258">
        <f t="shared" si="39"/>
        <v>0</v>
      </c>
      <c r="BD33" s="137">
        <f t="shared" si="40"/>
        <v>2.4652743009223599E-4</v>
      </c>
      <c r="BE33" s="137">
        <f t="shared" si="41"/>
        <v>2.7727949669464902E-4</v>
      </c>
      <c r="BF33" s="137">
        <f>_xll.xSPRDOPT($BW33,$BV33,$CG33,0,$BY33,$BX33,$BZ33,$AJ33,1,4)*$CB33</f>
        <v>2.3710822284780528</v>
      </c>
      <c r="BG33" s="137">
        <f>_xll.xSPRDOPT($BW33,$BV33,$CG33,0,$BY33,$BX33,$BZ33,$AJ33,1,3)*$CB33</f>
        <v>2.3228146003842318</v>
      </c>
      <c r="BH33" s="137">
        <f>IF(OR(BF33&lt;&gt;0,BG33&lt;&gt;0),_xll.xSPRDOPT($BW33,$BV33,$CG33,0,$BY33,$BX33,$BZ33,$AJ33,1,12)*$CB33,0)</f>
        <v>-2.3468100289547653</v>
      </c>
      <c r="BI33" s="137">
        <f>_xll.xSPRDOPT($BW33,$BV33,$CG33,2*LN(1+CA33/2),$BY33,$BX33,$BZ33,$AJ33,1,9)</f>
        <v>-2.867395482146972E-2</v>
      </c>
      <c r="BJ33" s="137">
        <f>_xll.xSPRDOPT($BW33,$BV33,$CG33,0,$BY33,$BX33,$BZ33,$AJ33,1,6)*$CB33</f>
        <v>-0.15565337989006714</v>
      </c>
      <c r="BK33" s="137">
        <f>_xll.xSPRDOPT($BW33,$BV33,$CG33,0,$BY33,$BX33,$BZ33,$AJ33,1,5)*$CB33</f>
        <v>0.26145433097938275</v>
      </c>
      <c r="BL33" s="137">
        <f>_xll.xSPRDOPT(BW33,BV33,CG33,0,BY33,BX33,BZ33,AJ33,1,2)*CB33</f>
        <v>-0.56708850338888228</v>
      </c>
      <c r="BM33" s="137">
        <f>_xll.xSPRDOPT(BW33,BV33,CG33,0,BY33,BX33,BZ33,AJ33,1,1)*CB33</f>
        <v>0.58426067156761552</v>
      </c>
      <c r="BN33" s="137">
        <f>IF(AH33&lt;&gt;0,_xll.xSPRDOPT($BW33,$BV33,$CG33,2*LN(1+CA33/2),$BY33,$BX33,$BZ33,$AJ33,1,8)+(AJ33/365.25)*CH33/AH33,0)</f>
        <v>2.5007630660385319E-2</v>
      </c>
      <c r="BO33" s="137">
        <f>_xll.xSPRDOPT($BW33,$BV33,$CG33,0,$BY33,$BX33,$BZ33,$AJ33,1,0)</f>
        <v>8.4437028850335383E-2</v>
      </c>
      <c r="BP33" s="137"/>
      <c r="BQ33" s="137"/>
      <c r="BR33" s="137"/>
      <c r="BS33" s="137"/>
      <c r="BV33" s="262">
        <v>3.5052215287647535</v>
      </c>
      <c r="BW33" s="136">
        <v>3.5609999999999999</v>
      </c>
      <c r="BX33" s="137">
        <v>0.570790000341453</v>
      </c>
      <c r="BY33" s="137">
        <v>0.57474797789573662</v>
      </c>
      <c r="BZ33" s="137">
        <v>0.99689333423289428</v>
      </c>
      <c r="CA33" s="137">
        <v>2.4110098358835999E-2</v>
      </c>
      <c r="CB33" s="137">
        <v>0.97627092599980836</v>
      </c>
      <c r="CC33" s="258">
        <v>-2.5000000000000001E-2</v>
      </c>
      <c r="CD33" s="258">
        <v>5.7500000000000002E-2</v>
      </c>
      <c r="CE33" s="258">
        <v>0.215</v>
      </c>
      <c r="CF33" s="258">
        <v>-2.5000000000000001E-2</v>
      </c>
      <c r="CG33" s="258">
        <v>1.9200000000000002E-2</v>
      </c>
      <c r="CH33" s="258">
        <v>3.3290838576593464</v>
      </c>
      <c r="CI33" s="258">
        <v>3.371</v>
      </c>
    </row>
    <row r="34" spans="1:87" x14ac:dyDescent="0.25">
      <c r="A34" s="723"/>
      <c r="B34" s="723"/>
      <c r="D34" s="31">
        <f t="shared" si="42"/>
        <v>37636</v>
      </c>
      <c r="F34" s="28">
        <f t="shared" si="12"/>
        <v>15000</v>
      </c>
      <c r="G34" s="28">
        <f t="shared" si="13"/>
        <v>14602.731343460184</v>
      </c>
      <c r="H34" s="52">
        <f t="shared" si="14"/>
        <v>3.5824630785392082</v>
      </c>
      <c r="I34" s="52">
        <f t="shared" si="15"/>
        <v>3.6560000000000001</v>
      </c>
      <c r="K34" s="52">
        <f t="shared" si="49"/>
        <v>1.6398327633201242</v>
      </c>
      <c r="L34" s="135">
        <f t="shared" si="43"/>
        <v>1.3303965250754279</v>
      </c>
      <c r="N34" s="131">
        <f t="shared" si="44"/>
        <v>0.5685912571426992</v>
      </c>
      <c r="O34" s="131">
        <f t="shared" si="45"/>
        <v>0.57238676773986619</v>
      </c>
      <c r="P34" s="55">
        <f t="shared" si="46"/>
        <v>0.99693241823071543</v>
      </c>
      <c r="Q34" s="135">
        <f>_xll.xSPRDOPT(I34,H34,AQ34,0,O34,N34,P34,D34-$G$5,1,0)*AH34*AU34</f>
        <v>2.9702292883955521</v>
      </c>
      <c r="R34" s="135"/>
      <c r="S34" s="181">
        <f>_xll.xSPRDOPT(I34,H34,AQ34,AT34,O34,N34,P34,D34-$G$5,1,2)*AF34*(F34/(1-AR34))*AH34</f>
        <v>-287484.24305286218</v>
      </c>
      <c r="T34" s="181">
        <f>_xll.xSPRDOPT(I34,H34,AQ34,AT34,O34,N34,P34,D34-$G$5,1,1)*AF34*F34*AH34</f>
        <v>287108.82570865517</v>
      </c>
      <c r="U34" s="135"/>
      <c r="V34" s="146">
        <f t="shared" si="16"/>
        <v>3.3196875920799487</v>
      </c>
      <c r="W34" s="146"/>
      <c r="X34" s="338">
        <f t="shared" si="17"/>
        <v>0</v>
      </c>
      <c r="Y34" s="338">
        <f t="shared" si="18"/>
        <v>0</v>
      </c>
      <c r="Z34" s="338">
        <f t="shared" si="19"/>
        <v>-101.17791136744052</v>
      </c>
      <c r="AA34" s="338">
        <f t="shared" si="20"/>
        <v>14.844436231831905</v>
      </c>
      <c r="AB34" s="338">
        <f t="shared" si="21"/>
        <v>0</v>
      </c>
      <c r="AC34" s="338">
        <f t="shared" si="22"/>
        <v>9.1609583131594405</v>
      </c>
      <c r="AF34" s="138">
        <f t="shared" si="23"/>
        <v>1</v>
      </c>
      <c r="AG34" s="138">
        <f t="shared" si="24"/>
        <v>1</v>
      </c>
      <c r="AH34" s="138">
        <f t="shared" si="25"/>
        <v>31</v>
      </c>
      <c r="AI34" s="138">
        <f t="shared" si="47"/>
        <v>380</v>
      </c>
      <c r="AJ34" s="138">
        <f t="shared" si="26"/>
        <v>397</v>
      </c>
      <c r="AL34" s="136">
        <f t="shared" si="27"/>
        <v>3.4460000000000002</v>
      </c>
      <c r="AM34" s="258">
        <f t="shared" si="28"/>
        <v>-2.5000000000000001E-2</v>
      </c>
      <c r="AN34" s="258">
        <f t="shared" si="29"/>
        <v>5.7500000000000002E-2</v>
      </c>
      <c r="AO34" s="258">
        <f t="shared" si="30"/>
        <v>0.23499999999999999</v>
      </c>
      <c r="AP34" s="258">
        <f t="shared" si="31"/>
        <v>-2.4999999999999998E-2</v>
      </c>
      <c r="AQ34" s="136">
        <f t="shared" si="32"/>
        <v>1.9200000000000002E-2</v>
      </c>
      <c r="AR34" s="137">
        <f t="shared" si="33"/>
        <v>2.9020000000000001E-2</v>
      </c>
      <c r="AS34" s="136">
        <f t="shared" si="50"/>
        <v>3.4785000000000004</v>
      </c>
      <c r="AT34" s="137">
        <f t="shared" si="51"/>
        <v>2.50384261928196E-2</v>
      </c>
      <c r="AU34" s="137">
        <f t="shared" si="34"/>
        <v>0.97351542289734561</v>
      </c>
      <c r="AV34" s="394">
        <f t="shared" si="48"/>
        <v>13520.182193198336</v>
      </c>
      <c r="AW34" s="137">
        <f t="shared" si="35"/>
        <v>0.53749999999999998</v>
      </c>
      <c r="AX34" s="137">
        <f t="shared" si="36"/>
        <v>1.08</v>
      </c>
      <c r="AY34" s="137">
        <f t="shared" si="37"/>
        <v>1.1299999999999999</v>
      </c>
      <c r="AZ34" s="137"/>
      <c r="BA34" s="264"/>
      <c r="BB34" s="258">
        <f t="shared" si="38"/>
        <v>0</v>
      </c>
      <c r="BC34" s="258">
        <f t="shared" si="39"/>
        <v>0</v>
      </c>
      <c r="BD34" s="137">
        <f t="shared" si="40"/>
        <v>2.2770835683916246E-4</v>
      </c>
      <c r="BE34" s="137">
        <f t="shared" si="41"/>
        <v>2.5468853068055797E-4</v>
      </c>
      <c r="BF34" s="137">
        <f>_xll.xSPRDOPT($BW34,$BV34,$CG34,0,$BY34,$BX34,$BZ34,$AJ34,1,4)*$CB34</f>
        <v>2.2016698671024235</v>
      </c>
      <c r="BG34" s="137">
        <f>_xll.xSPRDOPT($BW34,$BV34,$CG34,0,$BY34,$BX34,$BZ34,$AJ34,1,3)*$CB34</f>
        <v>2.1370420523888245</v>
      </c>
      <c r="BH34" s="137">
        <f>IF(OR(BF34&lt;&gt;0,BG34&lt;&gt;0),_xll.xSPRDOPT($BW34,$BV34,$CG34,0,$BY34,$BX34,$BZ34,$AJ34,1,12)*$CB34,0)</f>
        <v>-2.1691030589771558</v>
      </c>
      <c r="BI34" s="137">
        <f>_xll.xSPRDOPT($BW34,$BV34,$CG34,2*LN(1+CA34/2),$BY34,$BX34,$BZ34,$AJ34,1,9)</f>
        <v>-2.6491205825776097E-2</v>
      </c>
      <c r="BJ34" s="137">
        <f>_xll.xSPRDOPT($BW34,$BV34,$CG34,0,$BY34,$BX34,$BZ34,$AJ34,1,6)*$CB34</f>
        <v>-0.15733981830086308</v>
      </c>
      <c r="BK34" s="137">
        <f>_xll.xSPRDOPT($BW34,$BV34,$CG34,0,$BY34,$BX34,$BZ34,$AJ34,1,5)*$CB34</f>
        <v>0.26601555275283123</v>
      </c>
      <c r="BL34" s="137">
        <f>_xll.xSPRDOPT(BW34,BV34,CG34,0,BY34,BX34,BZ34,AJ34,1,2)*CB34</f>
        <v>-0.60027963087292446</v>
      </c>
      <c r="BM34" s="137">
        <f>_xll.xSPRDOPT(BW34,BV34,CG34,0,BY34,BX34,BZ34,AJ34,1,1)*CB34</f>
        <v>0.61741304938015318</v>
      </c>
      <c r="BN34" s="137">
        <f>IF(AH34&lt;&gt;0,_xll.xSPRDOPT($BW34,$BV34,$CG34,2*LN(1+CA34/2),$BY34,$BX34,$BZ34,$AJ34,1,8)+(AJ34/365.25)*CH34/AH34,0)</f>
        <v>1.2247769584906892E-2</v>
      </c>
      <c r="BO34" s="137">
        <f>_xll.xSPRDOPT($BW34,$BV34,$CG34,0,$BY34,$BX34,$BZ34,$AJ34,1,0)</f>
        <v>9.842282363752819E-2</v>
      </c>
      <c r="BP34" s="137"/>
      <c r="BQ34" s="137"/>
      <c r="BR34" s="137"/>
      <c r="BS34" s="137"/>
      <c r="BV34" s="262">
        <v>3.5824630785392082</v>
      </c>
      <c r="BW34" s="136">
        <v>3.6560000000000001</v>
      </c>
      <c r="BX34" s="137">
        <v>0.56836354878586004</v>
      </c>
      <c r="BY34" s="137">
        <v>0.57213207920918563</v>
      </c>
      <c r="BZ34" s="137">
        <v>0.99695278909785223</v>
      </c>
      <c r="CA34" s="137">
        <v>2.50384261928196E-2</v>
      </c>
      <c r="CB34" s="137">
        <v>0.97331647833327972</v>
      </c>
      <c r="CC34" s="258">
        <v>-2.5000000000000001E-2</v>
      </c>
      <c r="CD34" s="258">
        <v>5.7500000000000002E-2</v>
      </c>
      <c r="CE34" s="258">
        <v>0.23499999999999999</v>
      </c>
      <c r="CF34" s="258">
        <v>-2.5000000000000001E-2</v>
      </c>
      <c r="CG34" s="258">
        <v>1.9200000000000002E-2</v>
      </c>
      <c r="CH34" s="258">
        <v>3.3190091911164838</v>
      </c>
      <c r="CI34" s="258">
        <v>3.4460000000000002</v>
      </c>
    </row>
    <row r="35" spans="1:87" x14ac:dyDescent="0.25">
      <c r="A35" s="723"/>
      <c r="B35" s="723"/>
      <c r="D35" s="31">
        <f t="shared" si="42"/>
        <v>37667</v>
      </c>
      <c r="F35" s="28">
        <f t="shared" si="12"/>
        <v>15000</v>
      </c>
      <c r="G35" s="28">
        <f t="shared" si="13"/>
        <v>14555.082348897553</v>
      </c>
      <c r="H35" s="52">
        <f t="shared" si="14"/>
        <v>3.5052215287647535</v>
      </c>
      <c r="I35" s="52">
        <f t="shared" si="15"/>
        <v>3.581</v>
      </c>
      <c r="K35" s="52">
        <f t="shared" si="49"/>
        <v>1.5372080416069893</v>
      </c>
      <c r="L35" s="135">
        <f t="shared" si="43"/>
        <v>1.0583453084127028</v>
      </c>
      <c r="N35" s="131">
        <f t="shared" si="44"/>
        <v>0.5545383214891465</v>
      </c>
      <c r="O35" s="131">
        <f t="shared" si="45"/>
        <v>0.55781067576732513</v>
      </c>
      <c r="P35" s="55">
        <f t="shared" si="46"/>
        <v>0.99728491376485739</v>
      </c>
      <c r="Q35" s="135">
        <f>_xll.xSPRDOPT(I35,H35,AQ35,0,O35,N35,P35,D35-$G$5,1,0)*AH35*AU35</f>
        <v>2.5955533500196921</v>
      </c>
      <c r="R35" s="135"/>
      <c r="S35" s="181">
        <f>_xll.xSPRDOPT(I35,H35,AQ35,AT35,O35,N35,P35,D35-$G$5,1,2)*AF35*(F35/(1-AR35))*AH35</f>
        <v>-264919.87677731388</v>
      </c>
      <c r="T35" s="181">
        <f>_xll.xSPRDOPT(I35,H35,AQ35,AT35,O35,N35,P35,D35-$G$5,1,1)*AF35*F35*AH35</f>
        <v>263972.43620349374</v>
      </c>
      <c r="U35" s="135"/>
      <c r="V35" s="146">
        <f t="shared" si="16"/>
        <v>2.9886435756402978</v>
      </c>
      <c r="W35" s="146"/>
      <c r="X35" s="338">
        <f t="shared" si="17"/>
        <v>0</v>
      </c>
      <c r="Y35" s="338">
        <f t="shared" si="18"/>
        <v>0</v>
      </c>
      <c r="Z35" s="338">
        <f t="shared" si="19"/>
        <v>-76.573457238879513</v>
      </c>
      <c r="AA35" s="338">
        <f t="shared" si="20"/>
        <v>10.377125199297886</v>
      </c>
      <c r="AB35" s="338">
        <f t="shared" si="21"/>
        <v>0</v>
      </c>
      <c r="AC35" s="338">
        <f t="shared" si="22"/>
        <v>8.3270433151512755</v>
      </c>
      <c r="AF35" s="138">
        <f t="shared" si="23"/>
        <v>1</v>
      </c>
      <c r="AG35" s="138">
        <f t="shared" si="24"/>
        <v>2</v>
      </c>
      <c r="AH35" s="138">
        <f t="shared" si="25"/>
        <v>28</v>
      </c>
      <c r="AI35" s="138">
        <f t="shared" si="47"/>
        <v>411</v>
      </c>
      <c r="AJ35" s="138">
        <f t="shared" si="26"/>
        <v>428</v>
      </c>
      <c r="AL35" s="136">
        <f t="shared" si="27"/>
        <v>3.371</v>
      </c>
      <c r="AM35" s="258">
        <f t="shared" si="28"/>
        <v>-2.5000000000000001E-2</v>
      </c>
      <c r="AN35" s="258">
        <f t="shared" si="29"/>
        <v>5.7500000000000002E-2</v>
      </c>
      <c r="AO35" s="258">
        <f t="shared" si="30"/>
        <v>0.23499999999999999</v>
      </c>
      <c r="AP35" s="258">
        <f t="shared" si="31"/>
        <v>-2.4999999999999998E-2</v>
      </c>
      <c r="AQ35" s="136">
        <f t="shared" si="32"/>
        <v>1.9200000000000002E-2</v>
      </c>
      <c r="AR35" s="137">
        <f t="shared" si="33"/>
        <v>2.9020000000000001E-2</v>
      </c>
      <c r="AS35" s="136">
        <f t="shared" si="50"/>
        <v>3.4035000000000002</v>
      </c>
      <c r="AT35" s="137">
        <f t="shared" si="51"/>
        <v>2.6044986419747399E-2</v>
      </c>
      <c r="AU35" s="137">
        <f t="shared" si="34"/>
        <v>0.97033882325983689</v>
      </c>
      <c r="AV35" s="394">
        <f t="shared" si="48"/>
        <v>12171.930198971393</v>
      </c>
      <c r="AW35" s="137">
        <f t="shared" si="35"/>
        <v>0.52749999999999997</v>
      </c>
      <c r="AX35" s="137">
        <f t="shared" si="36"/>
        <v>1.08</v>
      </c>
      <c r="AY35" s="137">
        <f t="shared" si="37"/>
        <v>1.1299999999999999</v>
      </c>
      <c r="AZ35" s="137"/>
      <c r="BA35" s="264"/>
      <c r="BB35" s="258">
        <f t="shared" si="38"/>
        <v>0</v>
      </c>
      <c r="BC35" s="258">
        <f t="shared" si="39"/>
        <v>0</v>
      </c>
      <c r="BD35" s="137">
        <f t="shared" si="40"/>
        <v>1.8493142576248012E-4</v>
      </c>
      <c r="BE35" s="137">
        <f t="shared" si="41"/>
        <v>2.0672397351406691E-4</v>
      </c>
      <c r="BF35" s="137">
        <f>_xll.xSPRDOPT($BW35,$BV35,$CG35,0,$BY35,$BX35,$BZ35,$AJ35,1,4)*$CB35</f>
        <v>2.3253262547085134</v>
      </c>
      <c r="BG35" s="137">
        <f>_xll.xSPRDOPT($BW35,$BV35,$CG35,0,$BY35,$BX35,$BZ35,$AJ35,1,3)*$CB35</f>
        <v>2.2528619768420515</v>
      </c>
      <c r="BH35" s="137">
        <f>IF(OR(BF35&lt;&gt;0,BG35&lt;&gt;0),_xll.xSPRDOPT($BW35,$BV35,$CG35,0,$BY35,$BX35,$BZ35,$AJ35,1,12)*$CB35,0)</f>
        <v>-2.2887939772978934</v>
      </c>
      <c r="BI35" s="137">
        <f>_xll.xSPRDOPT($BW35,$BV35,$CG35,2*LN(1+CA35/2),$BY35,$BX35,$BZ35,$AJ35,1,9)</f>
        <v>-2.2197186711508523E-2</v>
      </c>
      <c r="BJ35" s="137">
        <f>_xll.xSPRDOPT($BW35,$BV35,$CG35,0,$BY35,$BX35,$BZ35,$AJ35,1,6)*$CB35</f>
        <v>-0.16211336135904614</v>
      </c>
      <c r="BK35" s="137">
        <f>_xll.xSPRDOPT($BW35,$BV35,$CG35,0,$BY35,$BX35,$BZ35,$AJ35,1,5)*$CB35</f>
        <v>0.26454259306439132</v>
      </c>
      <c r="BL35" s="137">
        <f>_xll.xSPRDOPT(BW35,BV35,CG35,0,BY35,BX35,BZ35,AJ35,1,2)*CB35</f>
        <v>-0.61244548965632284</v>
      </c>
      <c r="BM35" s="137">
        <f>_xll.xSPRDOPT(BW35,BV35,CG35,0,BY35,BX35,BZ35,AJ35,1,1)*CB35</f>
        <v>0.62849373023482569</v>
      </c>
      <c r="BN35" s="137">
        <f>IF(AH35&lt;&gt;0,_xll.xSPRDOPT($BW35,$BV35,$CG35,2*LN(1+CA35/2),$BY35,$BX35,$BZ35,$AJ35,1,8)+(AJ35/365.25)*CH35/AH35,0)</f>
        <v>1.6445645161967754E-2</v>
      </c>
      <c r="BO35" s="137">
        <f>_xll.xSPRDOPT($BW35,$BV35,$CG35,0,$BY35,$BX35,$BZ35,$AJ35,1,0)</f>
        <v>9.5533406822893754E-2</v>
      </c>
      <c r="BP35" s="137"/>
      <c r="BQ35" s="137"/>
      <c r="BR35" s="137"/>
      <c r="BS35" s="137"/>
      <c r="BV35" s="262">
        <v>3.5052215287647535</v>
      </c>
      <c r="BW35" s="136">
        <v>3.581</v>
      </c>
      <c r="BX35" s="137">
        <v>0.55435339006338402</v>
      </c>
      <c r="BY35" s="137">
        <v>0.55760395179381106</v>
      </c>
      <c r="BZ35" s="137">
        <v>0.99730193695874381</v>
      </c>
      <c r="CA35" s="137">
        <v>2.6044986419747399E-2</v>
      </c>
      <c r="CB35" s="137">
        <v>0.97013260845196225</v>
      </c>
      <c r="CC35" s="258">
        <v>-2.5000000000000001E-2</v>
      </c>
      <c r="CD35" s="258">
        <v>5.7500000000000002E-2</v>
      </c>
      <c r="CE35" s="258">
        <v>0.23499999999999999</v>
      </c>
      <c r="CF35" s="258">
        <v>-2.5000000000000001E-2</v>
      </c>
      <c r="CG35" s="258">
        <v>1.9200000000000002E-2</v>
      </c>
      <c r="CH35" s="258">
        <v>2.9880084340320439</v>
      </c>
      <c r="CI35" s="258">
        <v>3.371</v>
      </c>
    </row>
    <row r="36" spans="1:87" x14ac:dyDescent="0.25">
      <c r="A36" s="723"/>
      <c r="B36" s="723"/>
      <c r="D36" s="31">
        <f t="shared" si="42"/>
        <v>37695</v>
      </c>
      <c r="F36" s="28">
        <f t="shared" si="12"/>
        <v>15000</v>
      </c>
      <c r="G36" s="28">
        <f t="shared" si="13"/>
        <v>14510.081626231495</v>
      </c>
      <c r="H36" s="52">
        <f t="shared" si="14"/>
        <v>3.4125316690354079</v>
      </c>
      <c r="I36" s="52">
        <f t="shared" si="15"/>
        <v>3.4510000000000001</v>
      </c>
      <c r="K36" s="52">
        <f t="shared" si="49"/>
        <v>0.57780911386811606</v>
      </c>
      <c r="L36" s="135">
        <f t="shared" si="43"/>
        <v>1.1383989989218963</v>
      </c>
      <c r="N36" s="131">
        <f t="shared" si="44"/>
        <v>0.50303598357381651</v>
      </c>
      <c r="O36" s="131">
        <f t="shared" si="45"/>
        <v>0.50303598357381651</v>
      </c>
      <c r="P36" s="55">
        <f t="shared" si="46"/>
        <v>0.998143111245545</v>
      </c>
      <c r="Q36" s="135">
        <f>_xll.xSPRDOPT(I36,H36,AQ36,0,O36,N36,P36,D36-$G$5,1,0)*AH36*AU36</f>
        <v>1.7162081127900124</v>
      </c>
      <c r="R36" s="135"/>
      <c r="S36" s="181">
        <f>_xll.xSPRDOPT(I36,H36,AQ36,AT36,O36,N36,P36,D36-$G$5,1,2)*AF36*(F36/(1-AR36))*AH36</f>
        <v>-258635.10560751284</v>
      </c>
      <c r="T36" s="181">
        <f>_xll.xSPRDOPT(I36,H36,AQ36,AT36,O36,N36,P36,D36-$G$5,1,1)*AF36*F36*AH36</f>
        <v>257142.68220500706</v>
      </c>
      <c r="U36" s="135"/>
      <c r="V36" s="146">
        <f t="shared" si="16"/>
        <v>3.2986252230299598</v>
      </c>
      <c r="W36" s="146"/>
      <c r="X36" s="338">
        <f t="shared" si="17"/>
        <v>0</v>
      </c>
      <c r="Y36" s="338">
        <f t="shared" si="18"/>
        <v>0</v>
      </c>
      <c r="Z36" s="338">
        <f t="shared" si="19"/>
        <v>-63.001965697907167</v>
      </c>
      <c r="AA36" s="338">
        <f t="shared" si="20"/>
        <v>4.1632411372828191</v>
      </c>
      <c r="AB36" s="338">
        <f t="shared" si="21"/>
        <v>0</v>
      </c>
      <c r="AC36" s="338">
        <f t="shared" si="22"/>
        <v>5.6982104992346549</v>
      </c>
      <c r="AF36" s="138">
        <f t="shared" si="23"/>
        <v>1</v>
      </c>
      <c r="AG36" s="138">
        <f t="shared" si="24"/>
        <v>3</v>
      </c>
      <c r="AH36" s="138">
        <f t="shared" si="25"/>
        <v>31</v>
      </c>
      <c r="AI36" s="138">
        <f t="shared" si="47"/>
        <v>439</v>
      </c>
      <c r="AJ36" s="138">
        <f t="shared" si="26"/>
        <v>456</v>
      </c>
      <c r="AL36" s="136">
        <f t="shared" si="27"/>
        <v>3.2810000000000001</v>
      </c>
      <c r="AM36" s="258">
        <f t="shared" si="28"/>
        <v>-2.5000000000000001E-2</v>
      </c>
      <c r="AN36" s="258">
        <f t="shared" si="29"/>
        <v>5.7500000000000002E-2</v>
      </c>
      <c r="AO36" s="258">
        <f t="shared" si="30"/>
        <v>0.19500000000000001</v>
      </c>
      <c r="AP36" s="258">
        <f t="shared" si="31"/>
        <v>-2.4999999999999998E-2</v>
      </c>
      <c r="AQ36" s="136">
        <f t="shared" si="32"/>
        <v>1.9200000000000002E-2</v>
      </c>
      <c r="AR36" s="137">
        <f t="shared" si="33"/>
        <v>2.9020000000000001E-2</v>
      </c>
      <c r="AS36" s="136">
        <f t="shared" si="50"/>
        <v>3.3135000000000003</v>
      </c>
      <c r="AT36" s="137">
        <f t="shared" si="51"/>
        <v>2.6954137886657601E-2</v>
      </c>
      <c r="AU36" s="137">
        <f t="shared" si="34"/>
        <v>0.96733877508209964</v>
      </c>
      <c r="AV36" s="394">
        <f t="shared" si="48"/>
        <v>13434.4009083402</v>
      </c>
      <c r="AW36" s="137">
        <f t="shared" si="35"/>
        <v>0.48749999999999999</v>
      </c>
      <c r="AX36" s="137">
        <f t="shared" si="36"/>
        <v>0.83</v>
      </c>
      <c r="AY36" s="137">
        <f t="shared" si="37"/>
        <v>0.83</v>
      </c>
      <c r="AZ36" s="137"/>
      <c r="BA36" s="264"/>
      <c r="BB36" s="258">
        <f t="shared" si="38"/>
        <v>0</v>
      </c>
      <c r="BC36" s="258">
        <f t="shared" si="39"/>
        <v>0</v>
      </c>
      <c r="BD36" s="137">
        <f t="shared" si="40"/>
        <v>1.0031212319616678E-4</v>
      </c>
      <c r="BE36" s="137">
        <f t="shared" si="41"/>
        <v>1.0031212319616678E-4</v>
      </c>
      <c r="BF36" s="137">
        <f>_xll.xSPRDOPT($BW36,$BV36,$CG36,0,$BY36,$BX36,$BZ36,$AJ36,1,4)*$CB36</f>
        <v>3.2507701661039308</v>
      </c>
      <c r="BG36" s="137">
        <f>_xll.xSPRDOPT($BW36,$BV36,$CG36,0,$BY36,$BX36,$BZ36,$AJ36,1,3)*$CB36</f>
        <v>3.2146161193490488</v>
      </c>
      <c r="BH36" s="137">
        <f>IF(OR(BF36&lt;&gt;0,BG36&lt;&gt;0),_xll.xSPRDOPT($BW36,$BV36,$CG36,0,$BY36,$BX36,$BZ36,$AJ36,1,12)*$CB36,0)</f>
        <v>-3.2326192031609478</v>
      </c>
      <c r="BI36" s="137">
        <f>_xll.xSPRDOPT($BW36,$BV36,$CG36,2*LN(1+CA36/2),$BY36,$BX36,$BZ36,$AJ36,1,9)</f>
        <v>-1.6495675964989673E-2</v>
      </c>
      <c r="BJ36" s="137">
        <f>_xll.xSPRDOPT($BW36,$BV36,$CG36,0,$BY36,$BX36,$BZ36,$AJ36,1,6)*$CB36</f>
        <v>-8.9674206443017782E-2</v>
      </c>
      <c r="BK36" s="137">
        <f>_xll.xSPRDOPT($BW36,$BV36,$CG36,0,$BY36,$BX36,$BZ36,$AJ36,1,5)*$CB36</f>
        <v>0.17892769307629541</v>
      </c>
      <c r="BL36" s="137">
        <f>_xll.xSPRDOPT(BW36,BV36,CG36,0,BY36,BX36,BZ36,AJ36,1,2)*CB36</f>
        <v>-0.54006441437146535</v>
      </c>
      <c r="BM36" s="137">
        <f>_xll.xSPRDOPT(BW36,BV36,CG36,0,BY36,BX36,BZ36,AJ36,1,1)*CB36</f>
        <v>0.55299569538090954</v>
      </c>
      <c r="BN36" s="137">
        <f>IF(AH36&lt;&gt;0,_xll.xSPRDOPT($BW36,$BV36,$CG36,2*LN(1+CA36/2),$BY36,$BX36,$BZ36,$AJ36,1,8)+(AJ36/365.25)*CH36/AH36,0)</f>
        <v>6.3711920986419757E-2</v>
      </c>
      <c r="BO36" s="137">
        <f>_xll.xSPRDOPT($BW36,$BV36,$CG36,0,$BY36,$BX36,$BZ36,$AJ36,1,0)</f>
        <v>5.7232928612996795E-2</v>
      </c>
      <c r="BP36" s="137"/>
      <c r="BQ36" s="137"/>
      <c r="BR36" s="137"/>
      <c r="BS36" s="137"/>
      <c r="BV36" s="262">
        <v>3.4125316690354079</v>
      </c>
      <c r="BW36" s="136">
        <v>3.4510000000000001</v>
      </c>
      <c r="BX36" s="137">
        <v>0.50293567145062035</v>
      </c>
      <c r="BY36" s="137">
        <v>0.50293567145062035</v>
      </c>
      <c r="BZ36" s="137">
        <v>0.99815455162430755</v>
      </c>
      <c r="CA36" s="137">
        <v>2.6954137886657601E-2</v>
      </c>
      <c r="CB36" s="137">
        <v>0.96712607036861076</v>
      </c>
      <c r="CC36" s="258">
        <v>-2.5000000000000001E-2</v>
      </c>
      <c r="CD36" s="258">
        <v>5.7500000000000002E-2</v>
      </c>
      <c r="CE36" s="258">
        <v>0.19500000000000001</v>
      </c>
      <c r="CF36" s="258">
        <v>-2.5000000000000001E-2</v>
      </c>
      <c r="CG36" s="258">
        <v>1.9200000000000002E-2</v>
      </c>
      <c r="CH36" s="258">
        <v>3.2978998999569629</v>
      </c>
      <c r="CI36" s="258">
        <v>3.2810000000000001</v>
      </c>
    </row>
    <row r="37" spans="1:87" x14ac:dyDescent="0.25">
      <c r="A37" s="727"/>
      <c r="B37" s="723"/>
      <c r="D37" s="31">
        <f t="shared" si="42"/>
        <v>37726</v>
      </c>
      <c r="F37" s="28">
        <f t="shared" si="12"/>
        <v>15000</v>
      </c>
      <c r="G37" s="28">
        <f t="shared" si="13"/>
        <v>14457.847836504392</v>
      </c>
      <c r="H37" s="52">
        <f t="shared" si="14"/>
        <v>3.2528991328348682</v>
      </c>
      <c r="I37" s="52">
        <f t="shared" si="15"/>
        <v>3.246</v>
      </c>
      <c r="K37" s="52">
        <f t="shared" si="49"/>
        <v>0</v>
      </c>
      <c r="L37" s="135">
        <f t="shared" si="43"/>
        <v>0.4814961017846347</v>
      </c>
      <c r="N37" s="131">
        <f t="shared" si="44"/>
        <v>0.38888404308877494</v>
      </c>
      <c r="O37" s="131">
        <f t="shared" si="45"/>
        <v>0.39068915452558645</v>
      </c>
      <c r="P37" s="55">
        <f t="shared" si="46"/>
        <v>0.99891596345816525</v>
      </c>
      <c r="Q37" s="135">
        <f>_xll.xSPRDOPT(I37,H37,AQ37,0,O37,N37,P37,D37-$G$5,1,0)*AH37*AU37</f>
        <v>0.4814961017846347</v>
      </c>
      <c r="R37" s="135"/>
      <c r="S37" s="181">
        <f>_xll.xSPRDOPT(I37,H37,AQ37,AT37,O37,N37,P37,D37-$G$5,1,2)*AF37*(F37/(1-AR37))*AH37</f>
        <v>-156533.83037051928</v>
      </c>
      <c r="T37" s="181">
        <f>_xll.xSPRDOPT(I37,H37,AQ37,AT37,O37,N37,P37,D37-$G$5,1,1)*AF37*F37*AH37</f>
        <v>155352.9030720178</v>
      </c>
      <c r="U37" s="135"/>
      <c r="V37" s="146">
        <f t="shared" si="16"/>
        <v>3.1807265240309661</v>
      </c>
      <c r="W37" s="146"/>
      <c r="X37" s="338">
        <f t="shared" si="17"/>
        <v>0</v>
      </c>
      <c r="Y37" s="338">
        <f t="shared" si="18"/>
        <v>0</v>
      </c>
      <c r="Z37" s="338">
        <f t="shared" si="19"/>
        <v>-32.973823782776172</v>
      </c>
      <c r="AA37" s="338">
        <f t="shared" si="20"/>
        <v>1.8316626742112909</v>
      </c>
      <c r="AB37" s="338">
        <f t="shared" si="21"/>
        <v>0</v>
      </c>
      <c r="AC37" s="338">
        <f t="shared" si="22"/>
        <v>1.6592758282690165</v>
      </c>
      <c r="AF37" s="138">
        <f t="shared" si="23"/>
        <v>1</v>
      </c>
      <c r="AG37" s="138">
        <f t="shared" si="24"/>
        <v>4</v>
      </c>
      <c r="AH37" s="138">
        <f t="shared" si="25"/>
        <v>30</v>
      </c>
      <c r="AI37" s="138">
        <f t="shared" si="47"/>
        <v>470</v>
      </c>
      <c r="AJ37" s="138">
        <f t="shared" si="26"/>
        <v>487</v>
      </c>
      <c r="AL37" s="136">
        <f t="shared" si="27"/>
        <v>3.1259999999999999</v>
      </c>
      <c r="AM37" s="258">
        <f t="shared" si="28"/>
        <v>-2.5000000000000001E-2</v>
      </c>
      <c r="AN37" s="258">
        <f t="shared" si="29"/>
        <v>5.7500000000000002E-2</v>
      </c>
      <c r="AO37" s="258">
        <f t="shared" si="30"/>
        <v>0.14499999999999999</v>
      </c>
      <c r="AP37" s="258">
        <f t="shared" si="31"/>
        <v>-2.4999999999999998E-2</v>
      </c>
      <c r="AQ37" s="136">
        <f t="shared" si="32"/>
        <v>1.9200000000000002E-2</v>
      </c>
      <c r="AR37" s="137">
        <f t="shared" si="33"/>
        <v>2.9020000000000001E-2</v>
      </c>
      <c r="AS37" s="136">
        <f t="shared" si="50"/>
        <v>3.1585000000000001</v>
      </c>
      <c r="AT37" s="137">
        <f t="shared" si="51"/>
        <v>2.79745964320606E-2</v>
      </c>
      <c r="AU37" s="137">
        <f t="shared" si="34"/>
        <v>0.96385652243362618</v>
      </c>
      <c r="AV37" s="394">
        <f t="shared" si="48"/>
        <v>12954.231661507936</v>
      </c>
      <c r="AW37" s="137">
        <f t="shared" si="35"/>
        <v>0.38750000000000001</v>
      </c>
      <c r="AX37" s="137">
        <f t="shared" si="36"/>
        <v>0.43</v>
      </c>
      <c r="AY37" s="137">
        <f t="shared" si="37"/>
        <v>0.48</v>
      </c>
      <c r="AZ37" s="137"/>
      <c r="BA37" s="264"/>
      <c r="BB37" s="258">
        <f t="shared" si="38"/>
        <v>0</v>
      </c>
      <c r="BC37" s="258">
        <f t="shared" si="39"/>
        <v>0</v>
      </c>
      <c r="BD37" s="137">
        <f t="shared" si="40"/>
        <v>8.4934135016756507E-6</v>
      </c>
      <c r="BE37" s="137">
        <f t="shared" si="41"/>
        <v>1.9525927436481183E-5</v>
      </c>
      <c r="BF37" s="137">
        <f>_xll.xSPRDOPT($BW37,$BV37,$CG37,0,$BY37,$BX37,$BZ37,$AJ37,1,4)*$CB37</f>
        <v>5.1138965980682958</v>
      </c>
      <c r="BG37" s="137">
        <f>_xll.xSPRDOPT($BW37,$BV37,$CG37,0,$BY37,$BX37,$BZ37,$AJ37,1,3)*$CB37</f>
        <v>5.1937864731830619</v>
      </c>
      <c r="BH37" s="137">
        <f>IF(OR(BF37&lt;&gt;0,BG37&lt;&gt;0),_xll.xSPRDOPT($BW37,$BV37,$CG37,0,$BY37,$BX37,$BZ37,$AJ37,1,12)*$CB37,0)</f>
        <v>-5.1536699922356153</v>
      </c>
      <c r="BI37" s="137">
        <f>_xll.xSPRDOPT($BW37,$BV37,$CG37,2*LN(1+CA37/2),$BY37,$BX37,$BZ37,$AJ37,1,9)</f>
        <v>-8.9212512123399978E-3</v>
      </c>
      <c r="BJ37" s="137">
        <f>_xll.xSPRDOPT($BW37,$BV37,$CG37,0,$BY37,$BX37,$BZ37,$AJ37,1,6)*$CB37</f>
        <v>-0.25787660161949699</v>
      </c>
      <c r="BK37" s="137">
        <f>_xll.xSPRDOPT($BW37,$BV37,$CG37,0,$BY37,$BX37,$BZ37,$AJ37,1,5)*$CB37</f>
        <v>0.32063081912880564</v>
      </c>
      <c r="BL37" s="137">
        <f>_xll.xSPRDOPT(BW37,BV37,CG37,0,BY37,BX37,BZ37,AJ37,1,2)*CB37</f>
        <v>-0.33777944396532711</v>
      </c>
      <c r="BM37" s="137">
        <f>_xll.xSPRDOPT(BW37,BV37,CG37,0,BY37,BX37,BZ37,AJ37,1,1)*CB37</f>
        <v>0.34524985441797418</v>
      </c>
      <c r="BN37" s="137">
        <f>IF(AH37&lt;&gt;0,_xll.xSPRDOPT($BW37,$BV37,$CG37,2*LN(1+CA37/2),$BY37,$BX37,$BZ37,$AJ37,1,8)+(AJ37/365.25)*CH37/AH37,0)</f>
        <v>0.11993651506489766</v>
      </c>
      <c r="BO37" s="137">
        <f>_xll.xSPRDOPT($BW37,$BV37,$CG37,0,$BY37,$BX37,$BZ37,$AJ37,1,0)</f>
        <v>1.6653208475032717E-2</v>
      </c>
      <c r="BP37" s="137"/>
      <c r="BQ37" s="137"/>
      <c r="BR37" s="137"/>
      <c r="BS37" s="137"/>
      <c r="BV37" s="262">
        <v>3.2528991328348682</v>
      </c>
      <c r="BW37" s="136">
        <v>3.246</v>
      </c>
      <c r="BX37" s="137">
        <v>0.38887554967527327</v>
      </c>
      <c r="BY37" s="137">
        <v>0.39066962859814997</v>
      </c>
      <c r="BZ37" s="137">
        <v>0.99892248547781615</v>
      </c>
      <c r="CA37" s="137">
        <v>2.79745964320606E-2</v>
      </c>
      <c r="CB37" s="137">
        <v>0.96363661599031902</v>
      </c>
      <c r="CC37" s="258">
        <v>-2.5000000000000001E-2</v>
      </c>
      <c r="CD37" s="258">
        <v>5.7500000000000002E-2</v>
      </c>
      <c r="CE37" s="258">
        <v>0.14499999999999999</v>
      </c>
      <c r="CF37" s="258">
        <v>-2.5000000000000001E-2</v>
      </c>
      <c r="CG37" s="258">
        <v>1.9200000000000002E-2</v>
      </c>
      <c r="CH37" s="258">
        <v>3.1800008327680525</v>
      </c>
      <c r="CI37" s="258">
        <v>3.1259999999999999</v>
      </c>
    </row>
    <row r="38" spans="1:87" x14ac:dyDescent="0.25">
      <c r="A38" s="723"/>
      <c r="B38" s="723"/>
      <c r="D38" s="31">
        <f t="shared" si="42"/>
        <v>37756</v>
      </c>
      <c r="F38" s="28">
        <f t="shared" si="12"/>
        <v>15000</v>
      </c>
      <c r="G38" s="28">
        <f t="shared" si="13"/>
        <v>14405.123158889703</v>
      </c>
      <c r="H38" s="52">
        <f t="shared" si="14"/>
        <v>3.2539290201651943</v>
      </c>
      <c r="I38" s="52">
        <f t="shared" si="15"/>
        <v>3.2269999999999999</v>
      </c>
      <c r="K38" s="52">
        <f t="shared" si="49"/>
        <v>0</v>
      </c>
      <c r="L38" s="135">
        <f t="shared" si="43"/>
        <v>0.26866306553683578</v>
      </c>
      <c r="N38" s="131">
        <f t="shared" si="44"/>
        <v>0.3761805213924197</v>
      </c>
      <c r="O38" s="131">
        <f t="shared" si="45"/>
        <v>0.3761805213924197</v>
      </c>
      <c r="P38" s="55">
        <f t="shared" si="46"/>
        <v>0.9990209093778456</v>
      </c>
      <c r="Q38" s="135">
        <f>_xll.xSPRDOPT(I38,H38,AQ38,0,O38,N38,P38,D38-$G$5,1,0)*AH38*AU38</f>
        <v>0.26866306553683578</v>
      </c>
      <c r="R38" s="135"/>
      <c r="S38" s="181">
        <f>_xll.xSPRDOPT(I38,H38,AQ38,AT38,O38,N38,P38,D38-$G$5,1,2)*AF38*(F38/(1-AR38))*AH38</f>
        <v>-106663.1343406925</v>
      </c>
      <c r="T38" s="181">
        <f>_xll.xSPRDOPT(I38,H38,AQ38,AT38,O38,N38,P38,D38-$G$5,1,1)*AF38*F38*AH38</f>
        <v>106256.30090852345</v>
      </c>
      <c r="U38" s="135"/>
      <c r="V38" s="146">
        <f t="shared" si="16"/>
        <v>3.2747646647875923</v>
      </c>
      <c r="W38" s="146"/>
      <c r="X38" s="338">
        <f t="shared" si="17"/>
        <v>0</v>
      </c>
      <c r="Y38" s="338">
        <f t="shared" si="18"/>
        <v>0</v>
      </c>
      <c r="Z38" s="338">
        <f t="shared" si="19"/>
        <v>-24.95665512547782</v>
      </c>
      <c r="AA38" s="338">
        <f t="shared" si="20"/>
        <v>0.50304050224181285</v>
      </c>
      <c r="AB38" s="338">
        <f t="shared" si="21"/>
        <v>0</v>
      </c>
      <c r="AC38" s="338">
        <f t="shared" si="22"/>
        <v>0.95902742980142941</v>
      </c>
      <c r="AF38" s="138">
        <f t="shared" si="23"/>
        <v>1</v>
      </c>
      <c r="AG38" s="138">
        <f t="shared" si="24"/>
        <v>5</v>
      </c>
      <c r="AH38" s="138">
        <f t="shared" si="25"/>
        <v>31</v>
      </c>
      <c r="AI38" s="138">
        <f t="shared" si="47"/>
        <v>500</v>
      </c>
      <c r="AJ38" s="138">
        <f t="shared" si="26"/>
        <v>517</v>
      </c>
      <c r="AL38" s="136">
        <f t="shared" si="27"/>
        <v>3.1269999999999998</v>
      </c>
      <c r="AM38" s="258">
        <f t="shared" si="28"/>
        <v>-2.5000000000000001E-2</v>
      </c>
      <c r="AN38" s="258">
        <f t="shared" si="29"/>
        <v>5.7500000000000002E-2</v>
      </c>
      <c r="AO38" s="258">
        <f t="shared" si="30"/>
        <v>0.125</v>
      </c>
      <c r="AP38" s="258">
        <f t="shared" si="31"/>
        <v>-2.4999999999999998E-2</v>
      </c>
      <c r="AQ38" s="136">
        <f t="shared" si="32"/>
        <v>1.9200000000000002E-2</v>
      </c>
      <c r="AR38" s="137">
        <f t="shared" si="33"/>
        <v>2.9020000000000001E-2</v>
      </c>
      <c r="AS38" s="136">
        <f t="shared" si="50"/>
        <v>3.1595</v>
      </c>
      <c r="AT38" s="137">
        <f t="shared" si="51"/>
        <v>2.8963180076380102E-2</v>
      </c>
      <c r="AU38" s="137">
        <f t="shared" si="34"/>
        <v>0.96034154392598015</v>
      </c>
      <c r="AV38" s="394">
        <f t="shared" si="48"/>
        <v>13337.223362044013</v>
      </c>
      <c r="AW38" s="137">
        <f t="shared" si="35"/>
        <v>0.3725</v>
      </c>
      <c r="AX38" s="137">
        <f t="shared" si="36"/>
        <v>0.48</v>
      </c>
      <c r="AY38" s="137">
        <f t="shared" si="37"/>
        <v>0.48</v>
      </c>
      <c r="AZ38" s="137"/>
      <c r="BA38" s="264"/>
      <c r="BB38" s="258">
        <f t="shared" si="38"/>
        <v>0</v>
      </c>
      <c r="BC38" s="258">
        <f t="shared" si="39"/>
        <v>0</v>
      </c>
      <c r="BD38" s="137">
        <f t="shared" si="40"/>
        <v>2.1191627312566741E-5</v>
      </c>
      <c r="BE38" s="137">
        <f t="shared" si="41"/>
        <v>2.1191627312566741E-5</v>
      </c>
      <c r="BF38" s="137">
        <f>_xll.xSPRDOPT($BW38,$BV38,$CG38,0,$BY38,$BX38,$BZ38,$AJ38,1,4)*$CB38</f>
        <v>4.3864657559363449</v>
      </c>
      <c r="BG38" s="137">
        <f>_xll.xSPRDOPT($BW38,$BV38,$CG38,0,$BY38,$BX38,$BZ38,$AJ38,1,3)*$CB38</f>
        <v>4.5105985314901957</v>
      </c>
      <c r="BH38" s="137">
        <f>IF(OR(BF38&lt;&gt;0,BG38&lt;&gt;0),_xll.xSPRDOPT($BW38,$BV38,$CG38,0,$BY38,$BX38,$BZ38,$AJ38,1,12)*$CB38,0)</f>
        <v>-4.4480860771611486</v>
      </c>
      <c r="BI38" s="137">
        <f>_xll.xSPRDOPT($BW38,$BV38,$CG38,2*LN(1+CA38/2),$BY38,$BX38,$BZ38,$AJ38,1,9)</f>
        <v>-6.5343500247890861E-3</v>
      </c>
      <c r="BJ38" s="137">
        <f>_xll.xSPRDOPT($BW38,$BV38,$CG38,0,$BY38,$BX38,$BZ38,$AJ38,1,6)*$CB38</f>
        <v>-0.11939648896072616</v>
      </c>
      <c r="BK38" s="137">
        <f>_xll.xSPRDOPT($BW38,$BV38,$CG38,0,$BY38,$BX38,$BZ38,$AJ38,1,5)*$CB38</f>
        <v>0.17044530723912737</v>
      </c>
      <c r="BL38" s="137">
        <f>_xll.xSPRDOPT(BW38,BV38,CG38,0,BY38,BX38,BZ38,AJ38,1,2)*CB38</f>
        <v>-0.22205006763833665</v>
      </c>
      <c r="BM38" s="137">
        <f>_xll.xSPRDOPT(BW38,BV38,CG38,0,BY38,BX38,BZ38,AJ38,1,1)*CB38</f>
        <v>0.22782399847816728</v>
      </c>
      <c r="BN38" s="137">
        <f>IF(AH38&lt;&gt;0,_xll.xSPRDOPT($BW38,$BV38,$CG38,2*LN(1+CA38/2),$BY38,$BX38,$BZ38,$AJ38,1,8)+(AJ38/365.25)*CH38/AH38,0)</f>
        <v>0.13724732648300852</v>
      </c>
      <c r="BO38" s="137">
        <f>_xll.xSPRDOPT($BW38,$BV38,$CG38,0,$BY38,$BX38,$BZ38,$AJ38,1,0)</f>
        <v>9.0297901684394267E-3</v>
      </c>
      <c r="BP38" s="137"/>
      <c r="BQ38" s="137"/>
      <c r="BR38" s="137"/>
      <c r="BS38" s="137"/>
      <c r="BV38" s="262">
        <v>3.2539290201651943</v>
      </c>
      <c r="BW38" s="136">
        <v>3.2269999999999999</v>
      </c>
      <c r="BX38" s="137">
        <v>0.37615932976510713</v>
      </c>
      <c r="BY38" s="137">
        <v>0.37615932976510713</v>
      </c>
      <c r="BZ38" s="137">
        <v>0.99902646463622458</v>
      </c>
      <c r="CA38" s="137">
        <v>2.8963180076380102E-2</v>
      </c>
      <c r="CB38" s="137">
        <v>0.96011475289275328</v>
      </c>
      <c r="CC38" s="258">
        <v>-2.5000000000000001E-2</v>
      </c>
      <c r="CD38" s="258">
        <v>5.7500000000000002E-2</v>
      </c>
      <c r="CE38" s="258">
        <v>0.125</v>
      </c>
      <c r="CF38" s="258">
        <v>-2.5000000000000001E-2</v>
      </c>
      <c r="CG38" s="258">
        <v>1.9200000000000002E-2</v>
      </c>
      <c r="CH38" s="258">
        <v>3.2739913073642888</v>
      </c>
      <c r="CI38" s="258">
        <v>3.1269999999999998</v>
      </c>
    </row>
    <row r="39" spans="1:87" x14ac:dyDescent="0.25">
      <c r="A39" s="723"/>
      <c r="B39" s="723"/>
      <c r="D39" s="31">
        <f t="shared" si="42"/>
        <v>37787</v>
      </c>
      <c r="F39" s="28">
        <f t="shared" si="12"/>
        <v>15000</v>
      </c>
      <c r="G39" s="28">
        <f t="shared" si="13"/>
        <v>14348.439881123892</v>
      </c>
      <c r="H39" s="52">
        <f t="shared" si="14"/>
        <v>3.2899750767266065</v>
      </c>
      <c r="I39" s="52">
        <f t="shared" si="15"/>
        <v>3.282</v>
      </c>
      <c r="K39" s="52">
        <f t="shared" si="49"/>
        <v>0</v>
      </c>
      <c r="L39" s="135">
        <f t="shared" si="43"/>
        <v>0.53837421758130588</v>
      </c>
      <c r="N39" s="131">
        <f t="shared" si="44"/>
        <v>0.37586425134556289</v>
      </c>
      <c r="O39" s="131">
        <f t="shared" si="45"/>
        <v>0.37770530586281559</v>
      </c>
      <c r="P39" s="55">
        <f t="shared" si="46"/>
        <v>0.99878543994359403</v>
      </c>
      <c r="Q39" s="135">
        <f>_xll.xSPRDOPT(I39,H39,AQ39,0,O39,N39,P39,D39-$G$5,1,0)*AH39*AU39</f>
        <v>0.53837421758130588</v>
      </c>
      <c r="R39" s="135"/>
      <c r="S39" s="181">
        <f>_xll.xSPRDOPT(I39,H39,AQ39,AT39,O39,N39,P39,D39-$G$5,1,2)*AF39*(F39/(1-AR39))*AH39</f>
        <v>-158252.20640363274</v>
      </c>
      <c r="T39" s="181">
        <f>_xll.xSPRDOPT(I39,H39,AQ39,AT39,O39,N39,P39,D39-$G$5,1,1)*AF39*F39*AH39</f>
        <v>157309.46379519688</v>
      </c>
      <c r="U39" s="135"/>
      <c r="V39" s="146">
        <f t="shared" si="16"/>
        <v>3.156656773847256</v>
      </c>
      <c r="W39" s="146"/>
      <c r="X39" s="338">
        <f t="shared" si="17"/>
        <v>0</v>
      </c>
      <c r="Y39" s="338">
        <f t="shared" si="18"/>
        <v>0</v>
      </c>
      <c r="Z39" s="338">
        <f t="shared" si="19"/>
        <v>-31.71816901875636</v>
      </c>
      <c r="AA39" s="338">
        <f t="shared" si="20"/>
        <v>2.0846939345937807</v>
      </c>
      <c r="AB39" s="338">
        <f t="shared" si="21"/>
        <v>0</v>
      </c>
      <c r="AC39" s="338">
        <f t="shared" si="22"/>
        <v>1.9885203958398134</v>
      </c>
      <c r="AF39" s="138">
        <f t="shared" si="23"/>
        <v>1</v>
      </c>
      <c r="AG39" s="138">
        <f t="shared" si="24"/>
        <v>6</v>
      </c>
      <c r="AH39" s="138">
        <f t="shared" si="25"/>
        <v>30</v>
      </c>
      <c r="AI39" s="138">
        <f t="shared" si="47"/>
        <v>531</v>
      </c>
      <c r="AJ39" s="138">
        <f t="shared" si="26"/>
        <v>548</v>
      </c>
      <c r="AL39" s="136">
        <f t="shared" si="27"/>
        <v>3.1619999999999999</v>
      </c>
      <c r="AM39" s="258">
        <f t="shared" si="28"/>
        <v>-2.5000000000000001E-2</v>
      </c>
      <c r="AN39" s="258">
        <f t="shared" si="29"/>
        <v>5.7500000000000002E-2</v>
      </c>
      <c r="AO39" s="258">
        <f t="shared" si="30"/>
        <v>0.14499999999999999</v>
      </c>
      <c r="AP39" s="258">
        <f t="shared" si="31"/>
        <v>-2.4999999999999998E-2</v>
      </c>
      <c r="AQ39" s="136">
        <f t="shared" si="32"/>
        <v>1.9200000000000002E-2</v>
      </c>
      <c r="AR39" s="137">
        <f t="shared" si="33"/>
        <v>2.9020000000000001E-2</v>
      </c>
      <c r="AS39" s="136">
        <f t="shared" si="50"/>
        <v>3.1945000000000001</v>
      </c>
      <c r="AT39" s="137">
        <f t="shared" si="51"/>
        <v>2.99847168551968E-2</v>
      </c>
      <c r="AU39" s="137">
        <f t="shared" si="34"/>
        <v>0.95656265874159274</v>
      </c>
      <c r="AV39" s="394">
        <f t="shared" si="48"/>
        <v>12856.202133487006</v>
      </c>
      <c r="AW39" s="137">
        <f t="shared" si="35"/>
        <v>0.3725</v>
      </c>
      <c r="AX39" s="137">
        <f t="shared" si="36"/>
        <v>0.48</v>
      </c>
      <c r="AY39" s="137">
        <f t="shared" si="37"/>
        <v>0.53</v>
      </c>
      <c r="AZ39" s="137"/>
      <c r="BA39" s="264"/>
      <c r="BB39" s="258">
        <f t="shared" si="38"/>
        <v>0</v>
      </c>
      <c r="BC39" s="258">
        <f t="shared" si="39"/>
        <v>0</v>
      </c>
      <c r="BD39" s="137">
        <f t="shared" si="40"/>
        <v>1.8302058320429637E-5</v>
      </c>
      <c r="BE39" s="137">
        <f t="shared" si="41"/>
        <v>2.8249349723397099E-5</v>
      </c>
      <c r="BF39" s="137">
        <f>_xll.xSPRDOPT($BW39,$BV39,$CG39,0,$BY39,$BX39,$BZ39,$AJ39,1,4)*$CB39</f>
        <v>4.6604030753751395</v>
      </c>
      <c r="BG39" s="137">
        <f>_xll.xSPRDOPT($BW39,$BV39,$CG39,0,$BY39,$BX39,$BZ39,$AJ39,1,3)*$CB39</f>
        <v>4.7356241685022207</v>
      </c>
      <c r="BH39" s="137">
        <f>IF(OR(BF39&lt;&gt;0,BG39&lt;&gt;0),_xll.xSPRDOPT($BW39,$BV39,$CG39,0,$BY39,$BX39,$BZ39,$AJ39,1,12)*$CB39,0)</f>
        <v>-4.6978468118226209</v>
      </c>
      <c r="BI39" s="137">
        <f>_xll.xSPRDOPT($BW39,$BV39,$CG39,2*LN(1+CA39/2),$BY39,$BX39,$BZ39,$AJ39,1,9)</f>
        <v>-8.5815268400746374E-3</v>
      </c>
      <c r="BJ39" s="137">
        <f>_xll.xSPRDOPT($BW39,$BV39,$CG39,0,$BY39,$BX39,$BZ39,$AJ39,1,6)*$CB39</f>
        <v>-0.2636737767774584</v>
      </c>
      <c r="BK39" s="137">
        <f>_xll.xSPRDOPT($BW39,$BV39,$CG39,0,$BY39,$BX39,$BZ39,$AJ39,1,5)*$CB39</f>
        <v>0.33481924790294798</v>
      </c>
      <c r="BL39" s="137">
        <f>_xll.xSPRDOPT(BW39,BV39,CG39,0,BY39,BX39,BZ39,AJ39,1,2)*CB39</f>
        <v>-0.3415046629571189</v>
      </c>
      <c r="BM39" s="137">
        <f>_xll.xSPRDOPT(BW39,BV39,CG39,0,BY39,BX39,BZ39,AJ39,1,1)*CB39</f>
        <v>0.34961571063734942</v>
      </c>
      <c r="BN39" s="137">
        <f>IF(AH39&lt;&gt;0,_xll.xSPRDOPT($BW39,$BV39,$CG39,2*LN(1+CA39/2),$BY39,$BX39,$BZ39,$AJ39,1,8)+(AJ39/365.25)*CH39/AH39,0)</f>
        <v>0.13091014854273406</v>
      </c>
      <c r="BO39" s="137">
        <f>_xll.xSPRDOPT($BW39,$BV39,$CG39,0,$BY39,$BX39,$BZ39,$AJ39,1,0)</f>
        <v>1.8762007060276194E-2</v>
      </c>
      <c r="BP39" s="137"/>
      <c r="BQ39" s="137"/>
      <c r="BR39" s="137"/>
      <c r="BS39" s="137"/>
      <c r="BV39" s="262">
        <v>3.2899750767266065</v>
      </c>
      <c r="BW39" s="136">
        <v>3.282</v>
      </c>
      <c r="BX39" s="137">
        <v>0.37584594928724246</v>
      </c>
      <c r="BY39" s="137">
        <v>0.37767705651309219</v>
      </c>
      <c r="BZ39" s="137">
        <v>0.99879186428348421</v>
      </c>
      <c r="CA39" s="137">
        <v>2.99847168551968E-2</v>
      </c>
      <c r="CB39" s="137">
        <v>0.95632885259143241</v>
      </c>
      <c r="CC39" s="258">
        <v>-2.5000000000000001E-2</v>
      </c>
      <c r="CD39" s="258">
        <v>5.7500000000000002E-2</v>
      </c>
      <c r="CE39" s="258">
        <v>0.14499999999999999</v>
      </c>
      <c r="CF39" s="258">
        <v>-2.5000000000000001E-2</v>
      </c>
      <c r="CG39" s="258">
        <v>1.9200000000000002E-2</v>
      </c>
      <c r="CH39" s="258">
        <v>3.1558852135517266</v>
      </c>
      <c r="CI39" s="258">
        <v>3.1619999999999999</v>
      </c>
    </row>
    <row r="40" spans="1:87" x14ac:dyDescent="0.25">
      <c r="A40" s="723"/>
      <c r="B40" s="723"/>
      <c r="D40" s="31">
        <f t="shared" si="42"/>
        <v>37817</v>
      </c>
      <c r="F40" s="28">
        <f t="shared" si="12"/>
        <v>15000</v>
      </c>
      <c r="G40" s="28">
        <f t="shared" si="13"/>
        <v>14291.660568930723</v>
      </c>
      <c r="H40" s="52">
        <f t="shared" si="14"/>
        <v>3.3332303446003011</v>
      </c>
      <c r="I40" s="52">
        <f t="shared" si="15"/>
        <v>3.3290000000000002</v>
      </c>
      <c r="K40" s="52">
        <f t="shared" si="49"/>
        <v>0</v>
      </c>
      <c r="L40" s="135">
        <f t="shared" si="43"/>
        <v>0.56099576741026802</v>
      </c>
      <c r="N40" s="131">
        <f t="shared" si="44"/>
        <v>0.37759499646180722</v>
      </c>
      <c r="O40" s="131">
        <f t="shared" si="45"/>
        <v>0.37759499646180722</v>
      </c>
      <c r="P40" s="55">
        <f t="shared" si="46"/>
        <v>0.99894059587452066</v>
      </c>
      <c r="Q40" s="135">
        <f>_xll.xSPRDOPT(I40,H40,AQ40,0,O40,N40,P40,D40-$G$5,1,0)*AH40*AU40</f>
        <v>0.56099576741026802</v>
      </c>
      <c r="R40" s="135"/>
      <c r="S40" s="181">
        <f>_xll.xSPRDOPT(I40,H40,AQ40,AT40,O40,N40,P40,D40-$G$5,1,2)*AF40*(F40/(1-AR40))*AH40</f>
        <v>-169066.06816185292</v>
      </c>
      <c r="T40" s="181">
        <f>_xll.xSPRDOPT(I40,H40,AQ40,AT40,O40,N40,P40,D40-$G$5,1,1)*AF40*F40*AH40</f>
        <v>167791.43396158516</v>
      </c>
      <c r="U40" s="135"/>
      <c r="V40" s="146">
        <f t="shared" si="16"/>
        <v>3.2489708360035845</v>
      </c>
      <c r="W40" s="146"/>
      <c r="X40" s="338">
        <f t="shared" si="17"/>
        <v>0</v>
      </c>
      <c r="Y40" s="338">
        <f t="shared" si="18"/>
        <v>0</v>
      </c>
      <c r="Z40" s="338">
        <f t="shared" si="19"/>
        <v>-29.853095467711128</v>
      </c>
      <c r="AA40" s="338">
        <f t="shared" si="20"/>
        <v>0.85498428419338801</v>
      </c>
      <c r="AB40" s="338">
        <f t="shared" si="21"/>
        <v>0</v>
      </c>
      <c r="AC40" s="338">
        <f t="shared" si="22"/>
        <v>2.13983669471479</v>
      </c>
      <c r="AF40" s="138">
        <f t="shared" si="23"/>
        <v>1</v>
      </c>
      <c r="AG40" s="138">
        <f t="shared" si="24"/>
        <v>7</v>
      </c>
      <c r="AH40" s="138">
        <f t="shared" si="25"/>
        <v>31</v>
      </c>
      <c r="AI40" s="138">
        <f t="shared" si="47"/>
        <v>561</v>
      </c>
      <c r="AJ40" s="138">
        <f t="shared" si="26"/>
        <v>578</v>
      </c>
      <c r="AL40" s="136">
        <f t="shared" si="27"/>
        <v>3.2040000000000002</v>
      </c>
      <c r="AM40" s="258">
        <f t="shared" si="28"/>
        <v>-2.5000000000000001E-2</v>
      </c>
      <c r="AN40" s="258">
        <f t="shared" si="29"/>
        <v>5.7500000000000002E-2</v>
      </c>
      <c r="AO40" s="258">
        <f t="shared" si="30"/>
        <v>0.15</v>
      </c>
      <c r="AP40" s="258">
        <f t="shared" si="31"/>
        <v>-2.4999999999999998E-2</v>
      </c>
      <c r="AQ40" s="136">
        <f t="shared" si="32"/>
        <v>1.9200000000000002E-2</v>
      </c>
      <c r="AR40" s="137">
        <f t="shared" si="33"/>
        <v>2.9020000000000001E-2</v>
      </c>
      <c r="AS40" s="136">
        <f t="shared" si="50"/>
        <v>3.2365000000000004</v>
      </c>
      <c r="AT40" s="137">
        <f t="shared" si="51"/>
        <v>3.0965279300479799E-2</v>
      </c>
      <c r="AU40" s="137">
        <f t="shared" si="34"/>
        <v>0.9527773712620482</v>
      </c>
      <c r="AV40" s="394">
        <f t="shared" si="48"/>
        <v>13232.172132087326</v>
      </c>
      <c r="AW40" s="137">
        <f t="shared" si="35"/>
        <v>0.3725</v>
      </c>
      <c r="AX40" s="137">
        <f t="shared" si="36"/>
        <v>0.53</v>
      </c>
      <c r="AY40" s="137">
        <f t="shared" si="37"/>
        <v>0.53</v>
      </c>
      <c r="AZ40" s="137"/>
      <c r="BA40" s="264"/>
      <c r="BB40" s="258">
        <f t="shared" si="38"/>
        <v>0</v>
      </c>
      <c r="BC40" s="258">
        <f t="shared" si="39"/>
        <v>0</v>
      </c>
      <c r="BD40" s="137">
        <f t="shared" si="40"/>
        <v>2.6199126392512095E-5</v>
      </c>
      <c r="BE40" s="137">
        <f t="shared" si="41"/>
        <v>2.6199126392512095E-5</v>
      </c>
      <c r="BF40" s="137">
        <f>_xll.xSPRDOPT($BW40,$BV40,$CG40,0,$BY40,$BX40,$BZ40,$AJ40,1,4)*$CB40</f>
        <v>4.8963162227337698</v>
      </c>
      <c r="BG40" s="137">
        <f>_xll.xSPRDOPT($BW40,$BV40,$CG40,0,$BY40,$BX40,$BZ40,$AJ40,1,3)*$CB40</f>
        <v>4.9641747289216589</v>
      </c>
      <c r="BH40" s="137">
        <f>IF(OR(BF40&lt;&gt;0,BG40&lt;&gt;0),_xll.xSPRDOPT($BW40,$BV40,$CG40,0,$BY40,$BX40,$BZ40,$AJ40,1,12)*$CB40,0)</f>
        <v>-4.9301080058342475</v>
      </c>
      <c r="BI40" s="137">
        <f>_xll.xSPRDOPT($BW40,$BV40,$CG40,2*LN(1+CA40/2),$BY40,$BX40,$BZ40,$AJ40,1,9)</f>
        <v>-7.8163749961157637E-3</v>
      </c>
      <c r="BJ40" s="137">
        <f>_xll.xSPRDOPT($BW40,$BV40,$CG40,0,$BY40,$BX40,$BZ40,$AJ40,1,6)*$CB40</f>
        <v>-0.14834190677200931</v>
      </c>
      <c r="BK40" s="137">
        <f>_xll.xSPRDOPT($BW40,$BV40,$CG40,0,$BY40,$BX40,$BZ40,$AJ40,1,5)*$CB40</f>
        <v>0.21852271556841588</v>
      </c>
      <c r="BL40" s="137">
        <f>_xll.xSPRDOPT(BW40,BV40,CG40,0,BY40,BX40,BZ40,AJ40,1,2)*CB40</f>
        <v>-0.35308292113485068</v>
      </c>
      <c r="BM40" s="137">
        <f>_xll.xSPRDOPT(BW40,BV40,CG40,0,BY40,BX40,BZ40,AJ40,1,1)*CB40</f>
        <v>0.36089367573562459</v>
      </c>
      <c r="BN40" s="137">
        <f>IF(AH40&lt;&gt;0,_xll.xSPRDOPT($BW40,$BV40,$CG40,2*LN(1+CA40/2),$BY40,$BX40,$BZ40,$AJ40,1,8)+(AJ40/365.25)*CH40/AH40,0)</f>
        <v>0.13717803656304198</v>
      </c>
      <c r="BO40" s="137">
        <f>_xll.xSPRDOPT($BW40,$BV40,$CG40,0,$BY40,$BX40,$BZ40,$AJ40,1,0)</f>
        <v>1.8995022923655427E-2</v>
      </c>
      <c r="BP40" s="137"/>
      <c r="BQ40" s="137"/>
      <c r="BR40" s="137"/>
      <c r="BS40" s="137"/>
      <c r="BV40" s="262">
        <v>3.3332303446003011</v>
      </c>
      <c r="BW40" s="136">
        <v>3.3290000000000002</v>
      </c>
      <c r="BX40" s="137">
        <v>0.37756879733541471</v>
      </c>
      <c r="BY40" s="137">
        <v>0.37756879733541471</v>
      </c>
      <c r="BZ40" s="137">
        <v>0.99894593401299259</v>
      </c>
      <c r="CA40" s="137">
        <v>3.0965279300479799E-2</v>
      </c>
      <c r="CB40" s="137">
        <v>0.95253693379797033</v>
      </c>
      <c r="CC40" s="258">
        <v>-2.5000000000000001E-2</v>
      </c>
      <c r="CD40" s="258">
        <v>5.7500000000000002E-2</v>
      </c>
      <c r="CE40" s="258">
        <v>0.15</v>
      </c>
      <c r="CF40" s="258">
        <v>-2.5000000000000001E-2</v>
      </c>
      <c r="CG40" s="258">
        <v>1.9200000000000002E-2</v>
      </c>
      <c r="CH40" s="258">
        <v>3.248150944251079</v>
      </c>
      <c r="CI40" s="258">
        <v>3.2040000000000002</v>
      </c>
    </row>
    <row r="41" spans="1:87" x14ac:dyDescent="0.25">
      <c r="A41" s="723"/>
      <c r="B41" s="723"/>
      <c r="D41" s="31">
        <f t="shared" si="42"/>
        <v>37848</v>
      </c>
      <c r="F41" s="28">
        <f t="shared" si="12"/>
        <v>15000</v>
      </c>
      <c r="G41" s="28">
        <f t="shared" si="13"/>
        <v>14231.129943122751</v>
      </c>
      <c r="H41" s="52">
        <f t="shared" si="14"/>
        <v>3.3764856124739957</v>
      </c>
      <c r="I41" s="52">
        <f t="shared" si="15"/>
        <v>3.371</v>
      </c>
      <c r="K41" s="52">
        <f t="shared" si="49"/>
        <v>0</v>
      </c>
      <c r="L41" s="135">
        <f t="shared" si="43"/>
        <v>0.63247985511924687</v>
      </c>
      <c r="N41" s="131">
        <f t="shared" si="44"/>
        <v>0.37920840226144648</v>
      </c>
      <c r="O41" s="131">
        <f t="shared" si="45"/>
        <v>0.37920840226144648</v>
      </c>
      <c r="P41" s="55">
        <f t="shared" si="46"/>
        <v>0.99880624419771991</v>
      </c>
      <c r="Q41" s="135">
        <f>_xll.xSPRDOPT(I41,H41,AQ41,0,O41,N41,P41,D41-$G$5,1,0)*AH41*AU41</f>
        <v>0.63247985511924687</v>
      </c>
      <c r="R41" s="135"/>
      <c r="S41" s="181">
        <f>_xll.xSPRDOPT(I41,H41,AQ41,AT41,O41,N41,P41,D41-$G$5,1,2)*AF41*(F41/(1-AR41))*AH41</f>
        <v>-170815.92088352176</v>
      </c>
      <c r="T41" s="181">
        <f>_xll.xSPRDOPT(I41,H41,AQ41,AT41,O41,N41,P41,D41-$G$5,1,1)*AF41*F41*AH41</f>
        <v>169839.4455397347</v>
      </c>
      <c r="U41" s="135"/>
      <c r="V41" s="146">
        <f t="shared" si="16"/>
        <v>3.2352102070699051</v>
      </c>
      <c r="W41" s="146"/>
      <c r="X41" s="338">
        <f t="shared" si="17"/>
        <v>0</v>
      </c>
      <c r="Y41" s="338">
        <f t="shared" si="18"/>
        <v>0</v>
      </c>
      <c r="Z41" s="338">
        <f t="shared" si="19"/>
        <v>-31.147958447528531</v>
      </c>
      <c r="AA41" s="338">
        <f t="shared" si="20"/>
        <v>1.17620108560725</v>
      </c>
      <c r="AB41" s="338">
        <f t="shared" si="21"/>
        <v>0</v>
      </c>
      <c r="AC41" s="338">
        <f t="shared" si="22"/>
        <v>2.4904991726285597</v>
      </c>
      <c r="AF41" s="138">
        <f t="shared" si="23"/>
        <v>1</v>
      </c>
      <c r="AG41" s="138">
        <f t="shared" si="24"/>
        <v>8</v>
      </c>
      <c r="AH41" s="138">
        <f t="shared" si="25"/>
        <v>31</v>
      </c>
      <c r="AI41" s="138">
        <f t="shared" si="47"/>
        <v>592</v>
      </c>
      <c r="AJ41" s="138">
        <f t="shared" si="26"/>
        <v>609</v>
      </c>
      <c r="AL41" s="136">
        <f t="shared" si="27"/>
        <v>3.246</v>
      </c>
      <c r="AM41" s="258">
        <f t="shared" si="28"/>
        <v>-2.5000000000000001E-2</v>
      </c>
      <c r="AN41" s="258">
        <f t="shared" si="29"/>
        <v>5.7500000000000002E-2</v>
      </c>
      <c r="AO41" s="258">
        <f t="shared" si="30"/>
        <v>0.15</v>
      </c>
      <c r="AP41" s="258">
        <f t="shared" si="31"/>
        <v>-2.4999999999999998E-2</v>
      </c>
      <c r="AQ41" s="136">
        <f t="shared" si="32"/>
        <v>1.9200000000000002E-2</v>
      </c>
      <c r="AR41" s="137">
        <f t="shared" si="33"/>
        <v>2.9020000000000001E-2</v>
      </c>
      <c r="AS41" s="136">
        <f t="shared" si="50"/>
        <v>3.2785000000000002</v>
      </c>
      <c r="AT41" s="137">
        <f t="shared" si="51"/>
        <v>3.1967083332272501E-2</v>
      </c>
      <c r="AU41" s="137">
        <f t="shared" si="34"/>
        <v>0.94874199620818334</v>
      </c>
      <c r="AV41" s="394">
        <f t="shared" si="48"/>
        <v>13176.128843339251</v>
      </c>
      <c r="AW41" s="137">
        <f t="shared" si="35"/>
        <v>0.3725</v>
      </c>
      <c r="AX41" s="137">
        <f t="shared" si="36"/>
        <v>0.57999999999999996</v>
      </c>
      <c r="AY41" s="137">
        <f t="shared" si="37"/>
        <v>0.57999999999999996</v>
      </c>
      <c r="AZ41" s="137"/>
      <c r="BA41" s="264"/>
      <c r="BB41" s="258">
        <f t="shared" si="38"/>
        <v>0</v>
      </c>
      <c r="BC41" s="258">
        <f t="shared" si="39"/>
        <v>0</v>
      </c>
      <c r="BD41" s="137">
        <f t="shared" si="40"/>
        <v>3.2674943976684911E-5</v>
      </c>
      <c r="BE41" s="137">
        <f t="shared" si="41"/>
        <v>3.2674943976684911E-5</v>
      </c>
      <c r="BF41" s="137">
        <f>_xll.xSPRDOPT($BW41,$BV41,$CG41,0,$BY41,$BX41,$BZ41,$AJ41,1,4)*$CB41</f>
        <v>4.4229857035408005</v>
      </c>
      <c r="BG41" s="137">
        <f>_xll.xSPRDOPT($BW41,$BV41,$CG41,0,$BY41,$BX41,$BZ41,$AJ41,1,3)*$CB41</f>
        <v>4.4869389222436489</v>
      </c>
      <c r="BH41" s="137">
        <f>IF(OR(BF41&lt;&gt;0,BG41&lt;&gt;0),_xll.xSPRDOPT($BW41,$BV41,$CG41,0,$BY41,$BX41,$BZ41,$AJ41,1,12)*$CB41,0)</f>
        <v>-4.4548271571323284</v>
      </c>
      <c r="BI41" s="137">
        <f>_xll.xSPRDOPT($BW41,$BV41,$CG41,2*LN(1+CA41/2),$BY41,$BX41,$BZ41,$AJ41,1,9)</f>
        <v>-8.1554063247023627E-3</v>
      </c>
      <c r="BJ41" s="137">
        <f>_xll.xSPRDOPT($BW41,$BV41,$CG41,0,$BY41,$BX41,$BZ41,$AJ41,1,6)*$CB41</f>
        <v>-0.13926635928644029</v>
      </c>
      <c r="BK41" s="137">
        <f>_xll.xSPRDOPT($BW41,$BV41,$CG41,0,$BY41,$BX41,$BZ41,$AJ41,1,5)*$CB41</f>
        <v>0.21667933670533152</v>
      </c>
      <c r="BL41" s="137">
        <f>_xll.xSPRDOPT(BW41,BV41,CG41,0,BY41,BX41,BZ41,AJ41,1,2)*CB41</f>
        <v>-0.356749123515129</v>
      </c>
      <c r="BM41" s="137">
        <f>_xll.xSPRDOPT(BW41,BV41,CG41,0,BY41,BX41,BZ41,AJ41,1,1)*CB41</f>
        <v>0.36531071841538693</v>
      </c>
      <c r="BN41" s="137">
        <f>IF(AH41&lt;&gt;0,_xll.xSPRDOPT($BW41,$BV41,$CG41,2*LN(1+CA41/2),$BY41,$BX41,$BZ41,$AJ41,1,8)+(AJ41/365.25)*CH41/AH41,0)</f>
        <v>0.13995058962569917</v>
      </c>
      <c r="BO41" s="137">
        <f>_xll.xSPRDOPT($BW41,$BV41,$CG41,0,$BY41,$BX41,$BZ41,$AJ41,1,0)</f>
        <v>2.150623606640047E-2</v>
      </c>
      <c r="BP41" s="137"/>
      <c r="BQ41" s="137"/>
      <c r="BR41" s="137"/>
      <c r="BS41" s="137"/>
      <c r="BV41" s="262">
        <v>3.3764856124739957</v>
      </c>
      <c r="BW41" s="136">
        <v>3.371</v>
      </c>
      <c r="BX41" s="137">
        <v>0.37917572731746979</v>
      </c>
      <c r="BY41" s="137">
        <v>0.37917572731746979</v>
      </c>
      <c r="BZ41" s="137">
        <v>0.99881190558127586</v>
      </c>
      <c r="CA41" s="137">
        <v>3.1967083332272501E-2</v>
      </c>
      <c r="CB41" s="137">
        <v>0.94849489337827508</v>
      </c>
      <c r="CC41" s="258">
        <v>-2.5000000000000001E-2</v>
      </c>
      <c r="CD41" s="258">
        <v>5.7500000000000002E-2</v>
      </c>
      <c r="CE41" s="258">
        <v>0.15</v>
      </c>
      <c r="CF41" s="258">
        <v>-2.5000000000000001E-2</v>
      </c>
      <c r="CG41" s="258">
        <v>1.9200000000000002E-2</v>
      </c>
      <c r="CH41" s="258">
        <v>3.2343675864199182</v>
      </c>
      <c r="CI41" s="258">
        <v>3.246</v>
      </c>
    </row>
    <row r="42" spans="1:87" x14ac:dyDescent="0.25">
      <c r="A42" s="723"/>
      <c r="B42" s="723"/>
      <c r="D42" s="31">
        <f t="shared" si="42"/>
        <v>37879</v>
      </c>
      <c r="F42" s="28">
        <f t="shared" si="12"/>
        <v>15000</v>
      </c>
      <c r="G42" s="28">
        <f t="shared" si="13"/>
        <v>14168.495420518533</v>
      </c>
      <c r="H42" s="52">
        <f t="shared" si="14"/>
        <v>3.3713361758223654</v>
      </c>
      <c r="I42" s="52">
        <f t="shared" si="15"/>
        <v>3.3410000000000002</v>
      </c>
      <c r="K42" s="52">
        <f t="shared" si="49"/>
        <v>0</v>
      </c>
      <c r="L42" s="135">
        <f t="shared" si="43"/>
        <v>0.46894530469223106</v>
      </c>
      <c r="N42" s="131">
        <f t="shared" si="44"/>
        <v>0.3762850500238793</v>
      </c>
      <c r="O42" s="131">
        <f t="shared" si="45"/>
        <v>0.37817040162415777</v>
      </c>
      <c r="P42" s="55">
        <f t="shared" si="46"/>
        <v>0.99859852561119111</v>
      </c>
      <c r="Q42" s="135">
        <f>_xll.xSPRDOPT(I42,H42,AQ42,0,O42,N42,P42,D42-$G$5,1,0)*AH42*AU42</f>
        <v>0.46894530469223106</v>
      </c>
      <c r="R42" s="135"/>
      <c r="S42" s="181">
        <f>_xll.xSPRDOPT(I42,H42,AQ42,AT42,O42,N42,P42,D42-$G$5,1,2)*AF42*(F42/(1-AR42))*AH42</f>
        <v>-125810.83315691535</v>
      </c>
      <c r="T42" s="181">
        <f>_xll.xSPRDOPT(I42,H42,AQ42,AT42,O42,N42,P42,D42-$G$5,1,1)*AF42*F42*AH42</f>
        <v>126003.96701308353</v>
      </c>
      <c r="U42" s="135"/>
      <c r="V42" s="146">
        <f t="shared" si="16"/>
        <v>3.1170689925140769</v>
      </c>
      <c r="W42" s="146"/>
      <c r="X42" s="338">
        <f t="shared" si="17"/>
        <v>0</v>
      </c>
      <c r="Y42" s="338">
        <f t="shared" si="18"/>
        <v>0</v>
      </c>
      <c r="Z42" s="338">
        <f t="shared" si="19"/>
        <v>-29.019083586227907</v>
      </c>
      <c r="AA42" s="338">
        <f t="shared" si="20"/>
        <v>2.2265956839021812</v>
      </c>
      <c r="AB42" s="338">
        <f t="shared" si="21"/>
        <v>0</v>
      </c>
      <c r="AC42" s="338">
        <f t="shared" si="22"/>
        <v>1.9043985085865804</v>
      </c>
      <c r="AF42" s="138">
        <f t="shared" si="23"/>
        <v>1</v>
      </c>
      <c r="AG42" s="138">
        <f t="shared" si="24"/>
        <v>9</v>
      </c>
      <c r="AH42" s="138">
        <f t="shared" si="25"/>
        <v>30</v>
      </c>
      <c r="AI42" s="138">
        <f t="shared" si="47"/>
        <v>623</v>
      </c>
      <c r="AJ42" s="138">
        <f t="shared" si="26"/>
        <v>640</v>
      </c>
      <c r="AL42" s="136">
        <f t="shared" si="27"/>
        <v>3.2410000000000001</v>
      </c>
      <c r="AM42" s="258">
        <f t="shared" si="28"/>
        <v>-2.5000000000000001E-2</v>
      </c>
      <c r="AN42" s="258">
        <f t="shared" si="29"/>
        <v>5.7500000000000002E-2</v>
      </c>
      <c r="AO42" s="258">
        <f t="shared" si="30"/>
        <v>0.125</v>
      </c>
      <c r="AP42" s="258">
        <f t="shared" si="31"/>
        <v>-2.4999999999999998E-2</v>
      </c>
      <c r="AQ42" s="136">
        <f t="shared" si="32"/>
        <v>1.9200000000000002E-2</v>
      </c>
      <c r="AR42" s="137">
        <f t="shared" si="33"/>
        <v>2.9020000000000001E-2</v>
      </c>
      <c r="AS42" s="136">
        <f t="shared" si="50"/>
        <v>3.2735000000000003</v>
      </c>
      <c r="AT42" s="137">
        <f t="shared" si="51"/>
        <v>3.2968887702129003E-2</v>
      </c>
      <c r="AU42" s="137">
        <f t="shared" si="34"/>
        <v>0.94456636136790217</v>
      </c>
      <c r="AV42" s="394">
        <f t="shared" si="48"/>
        <v>12694.971896784606</v>
      </c>
      <c r="AW42" s="137">
        <f t="shared" si="35"/>
        <v>0.37</v>
      </c>
      <c r="AX42" s="137">
        <f t="shared" si="36"/>
        <v>0.57999999999999996</v>
      </c>
      <c r="AY42" s="137">
        <f t="shared" si="37"/>
        <v>0.63</v>
      </c>
      <c r="AZ42" s="137"/>
      <c r="BA42" s="264"/>
      <c r="BB42" s="258">
        <f t="shared" si="38"/>
        <v>0</v>
      </c>
      <c r="BC42" s="258">
        <f t="shared" si="39"/>
        <v>0</v>
      </c>
      <c r="BD42" s="137">
        <f t="shared" si="40"/>
        <v>2.9170681815626764E-5</v>
      </c>
      <c r="BE42" s="137">
        <f t="shared" si="41"/>
        <v>3.782782267369722E-5</v>
      </c>
      <c r="BF42" s="137">
        <f>_xll.xSPRDOPT($BW42,$BV42,$CG42,0,$BY42,$BX42,$BZ42,$AJ42,1,4)*$CB42</f>
        <v>3.5418964028647477</v>
      </c>
      <c r="BG42" s="137">
        <f>_xll.xSPRDOPT($BW42,$BV42,$CG42,0,$BY42,$BX42,$BZ42,$AJ42,1,3)*$CB42</f>
        <v>3.645341580015605</v>
      </c>
      <c r="BH42" s="137">
        <f>IF(OR(BF42&lt;&gt;0,BG42&lt;&gt;0),_xll.xSPRDOPT($BW42,$BV42,$CG42,0,$BY42,$BX42,$BZ42,$AJ42,1,12)*$CB42,0)</f>
        <v>-3.5932362688987642</v>
      </c>
      <c r="BI42" s="137">
        <f>_xll.xSPRDOPT($BW42,$BV42,$CG42,2*LN(1+CA42/2),$BY42,$BX42,$BZ42,$AJ42,1,9)</f>
        <v>-7.8512742813849953E-3</v>
      </c>
      <c r="BJ42" s="137">
        <f>_xll.xSPRDOPT($BW42,$BV42,$CG42,0,$BY42,$BX42,$BZ42,$AJ42,1,6)*$CB42</f>
        <v>-0.23807257760752984</v>
      </c>
      <c r="BK42" s="137">
        <f>_xll.xSPRDOPT($BW42,$BV42,$CG42,0,$BY42,$BX42,$BZ42,$AJ42,1,5)*$CB42</f>
        <v>0.31439107457158072</v>
      </c>
      <c r="BL42" s="137">
        <f>_xll.xSPRDOPT(BW42,BV42,CG42,0,BY42,BX42,BZ42,AJ42,1,2)*CB42</f>
        <v>-0.27152805260064683</v>
      </c>
      <c r="BM42" s="137">
        <f>_xll.xSPRDOPT(BW42,BV42,CG42,0,BY42,BX42,BZ42,AJ42,1,1)*CB42</f>
        <v>0.28007227428163334</v>
      </c>
      <c r="BN42" s="137">
        <f>IF(AH42&lt;&gt;0,_xll.xSPRDOPT($BW42,$BV42,$CG42,2*LN(1+CA42/2),$BY42,$BX42,$BZ42,$AJ42,1,8)+(AJ42/365.25)*CH42/AH42,0)</f>
        <v>0.15462708361031177</v>
      </c>
      <c r="BO42" s="137">
        <f>_xll.xSPRDOPT($BW42,$BV42,$CG42,0,$BY42,$BX42,$BZ42,$AJ42,1,0)</f>
        <v>1.6549853853531422E-2</v>
      </c>
      <c r="BP42" s="137"/>
      <c r="BQ42" s="137"/>
      <c r="BR42" s="137"/>
      <c r="BS42" s="137"/>
      <c r="BV42" s="262">
        <v>3.3713361758223654</v>
      </c>
      <c r="BW42" s="136">
        <v>3.3410000000000002</v>
      </c>
      <c r="BX42" s="137">
        <v>0.37625587934206367</v>
      </c>
      <c r="BY42" s="137">
        <v>0.37813257380148407</v>
      </c>
      <c r="BZ42" s="137">
        <v>0.99860478107904105</v>
      </c>
      <c r="CA42" s="137">
        <v>3.2968887702129003E-2</v>
      </c>
      <c r="CB42" s="137">
        <v>0.94431270003290391</v>
      </c>
      <c r="CC42" s="258">
        <v>-2.5000000000000001E-2</v>
      </c>
      <c r="CD42" s="258">
        <v>5.7500000000000002E-2</v>
      </c>
      <c r="CE42" s="258">
        <v>0.125</v>
      </c>
      <c r="CF42" s="258">
        <v>-2.5000000000000001E-2</v>
      </c>
      <c r="CG42" s="258">
        <v>1.9200000000000002E-2</v>
      </c>
      <c r="CH42" s="258">
        <v>3.1162319101085827</v>
      </c>
      <c r="CI42" s="258">
        <v>3.2410000000000001</v>
      </c>
    </row>
    <row r="43" spans="1:87" x14ac:dyDescent="0.25">
      <c r="A43" s="723"/>
      <c r="B43" s="723"/>
      <c r="D43" s="31">
        <f t="shared" si="42"/>
        <v>37909</v>
      </c>
      <c r="F43" s="28">
        <f t="shared" si="12"/>
        <v>15000</v>
      </c>
      <c r="G43" s="28">
        <f t="shared" si="13"/>
        <v>14106.710459513328</v>
      </c>
      <c r="H43" s="52">
        <f t="shared" si="14"/>
        <v>3.3981132464108428</v>
      </c>
      <c r="I43" s="52">
        <f t="shared" si="15"/>
        <v>3.387</v>
      </c>
      <c r="K43" s="52">
        <f t="shared" si="49"/>
        <v>0</v>
      </c>
      <c r="L43" s="135">
        <f t="shared" si="43"/>
        <v>0.76602147096010931</v>
      </c>
      <c r="N43" s="131">
        <f t="shared" si="44"/>
        <v>0.3804492507364664</v>
      </c>
      <c r="O43" s="131">
        <f t="shared" si="45"/>
        <v>0.38243997040692113</v>
      </c>
      <c r="P43" s="55">
        <f t="shared" si="46"/>
        <v>0.99844905462945577</v>
      </c>
      <c r="Q43" s="135">
        <f>_xll.xSPRDOPT(I43,H43,AQ43,0,O43,N43,P43,D43-$G$5,1,0)*AH43*AU43</f>
        <v>0.76602147096010931</v>
      </c>
      <c r="R43" s="135"/>
      <c r="S43" s="181">
        <f>_xll.xSPRDOPT(I43,H43,AQ43,AT43,O43,N43,P43,D43-$G$5,1,2)*AF43*(F43/(1-AR43))*AH43</f>
        <v>-168791.03431574599</v>
      </c>
      <c r="T43" s="181">
        <f>_xll.xSPRDOPT(I43,H43,AQ43,AT43,O43,N43,P43,D43-$G$5,1,1)*AF43*F43*AH43</f>
        <v>168668.23878738828</v>
      </c>
      <c r="U43" s="135"/>
      <c r="V43" s="146">
        <f t="shared" si="16"/>
        <v>3.2069255111293633</v>
      </c>
      <c r="W43" s="146"/>
      <c r="X43" s="338">
        <f t="shared" si="17"/>
        <v>0</v>
      </c>
      <c r="Y43" s="338">
        <f t="shared" si="18"/>
        <v>0</v>
      </c>
      <c r="Z43" s="338">
        <f t="shared" si="19"/>
        <v>-33.864098996863014</v>
      </c>
      <c r="AA43" s="338">
        <f t="shared" si="20"/>
        <v>2.9299925903393071</v>
      </c>
      <c r="AB43" s="338">
        <f t="shared" si="21"/>
        <v>0</v>
      </c>
      <c r="AC43" s="338">
        <f t="shared" si="22"/>
        <v>3.1992458034785916</v>
      </c>
      <c r="AF43" s="138">
        <f t="shared" si="23"/>
        <v>1</v>
      </c>
      <c r="AG43" s="138">
        <f t="shared" si="24"/>
        <v>10</v>
      </c>
      <c r="AH43" s="138">
        <f t="shared" si="25"/>
        <v>31</v>
      </c>
      <c r="AI43" s="138">
        <f t="shared" si="47"/>
        <v>653</v>
      </c>
      <c r="AJ43" s="138">
        <f t="shared" si="26"/>
        <v>670</v>
      </c>
      <c r="AL43" s="136">
        <f t="shared" si="27"/>
        <v>3.2669999999999999</v>
      </c>
      <c r="AM43" s="258">
        <f t="shared" si="28"/>
        <v>-2.5000000000000001E-2</v>
      </c>
      <c r="AN43" s="258">
        <f t="shared" si="29"/>
        <v>5.7500000000000002E-2</v>
      </c>
      <c r="AO43" s="258">
        <f t="shared" si="30"/>
        <v>0.14499999999999999</v>
      </c>
      <c r="AP43" s="258">
        <f t="shared" si="31"/>
        <v>-2.4999999999999998E-2</v>
      </c>
      <c r="AQ43" s="136">
        <f t="shared" si="32"/>
        <v>1.9200000000000002E-2</v>
      </c>
      <c r="AR43" s="137">
        <f t="shared" si="33"/>
        <v>2.9020000000000001E-2</v>
      </c>
      <c r="AS43" s="136">
        <f t="shared" si="50"/>
        <v>3.2995000000000001</v>
      </c>
      <c r="AT43" s="137">
        <f t="shared" si="51"/>
        <v>3.3906701822071103E-2</v>
      </c>
      <c r="AU43" s="137">
        <f t="shared" si="34"/>
        <v>0.94044736396755513</v>
      </c>
      <c r="AV43" s="394">
        <f t="shared" si="48"/>
        <v>13060.932990781406</v>
      </c>
      <c r="AW43" s="137">
        <f t="shared" si="35"/>
        <v>0.3725</v>
      </c>
      <c r="AX43" s="137">
        <f t="shared" si="36"/>
        <v>0.63</v>
      </c>
      <c r="AY43" s="137">
        <f t="shared" si="37"/>
        <v>0.68</v>
      </c>
      <c r="AZ43" s="137"/>
      <c r="BA43" s="264"/>
      <c r="BB43" s="258">
        <f t="shared" si="38"/>
        <v>0</v>
      </c>
      <c r="BC43" s="258">
        <f t="shared" si="39"/>
        <v>0</v>
      </c>
      <c r="BD43" s="137">
        <f t="shared" si="40"/>
        <v>3.5144750946347614E-5</v>
      </c>
      <c r="BE43" s="137">
        <f t="shared" si="41"/>
        <v>4.3833320035158163E-5</v>
      </c>
      <c r="BF43" s="137">
        <f>_xll.xSPRDOPT($BW43,$BV43,$CG43,0,$BY43,$BX43,$BZ43,$AJ43,1,4)*$CB43</f>
        <v>3.5776337776276805</v>
      </c>
      <c r="BG43" s="137">
        <f>_xll.xSPRDOPT($BW43,$BV43,$CG43,0,$BY43,$BX43,$BZ43,$AJ43,1,3)*$CB43</f>
        <v>3.6404346801958196</v>
      </c>
      <c r="BH43" s="137">
        <f>IF(OR(BF43&lt;&gt;0,BG43&lt;&gt;0),_xll.xSPRDOPT($BW43,$BV43,$CG43,0,$BY43,$BX43,$BZ43,$AJ43,1,12)*$CB43,0)</f>
        <v>-3.6088814285279498</v>
      </c>
      <c r="BI43" s="137">
        <f>_xll.xSPRDOPT($BW43,$BV43,$CG43,2*LN(1+CA43/2),$BY43,$BX43,$BZ43,$AJ43,1,9)</f>
        <v>-8.8665678556302616E-3</v>
      </c>
      <c r="BJ43" s="137">
        <f>_xll.xSPRDOPT($BW43,$BV43,$CG43,0,$BY43,$BX43,$BZ43,$AJ43,1,6)*$CB43</f>
        <v>-0.26272572731480193</v>
      </c>
      <c r="BK43" s="137">
        <f>_xll.xSPRDOPT($BW43,$BV43,$CG43,0,$BY43,$BX43,$BZ43,$AJ43,1,5)*$CB43</f>
        <v>0.35439910951941933</v>
      </c>
      <c r="BL43" s="137">
        <f>_xll.xSPRDOPT(BW43,BV43,CG43,0,BY43,BX43,BZ43,AJ43,1,2)*CB43</f>
        <v>-0.35254828003615923</v>
      </c>
      <c r="BM43" s="137">
        <f>_xll.xSPRDOPT(BW43,BV43,CG43,0,BY43,BX43,BZ43,AJ43,1,1)*CB43</f>
        <v>0.36282057009188184</v>
      </c>
      <c r="BN43" s="137">
        <f>IF(AH43&lt;&gt;0,_xll.xSPRDOPT($BW43,$BV43,$CG43,2*LN(1+CA43/2),$BY43,$BX43,$BZ43,$AJ43,1,8)+(AJ43/365.25)*CH43/AH43,0)</f>
        <v>0.14439354092447376</v>
      </c>
      <c r="BO43" s="137">
        <f>_xll.xSPRDOPT($BW43,$BV43,$CG43,0,$BY43,$BX43,$BZ43,$AJ43,1,0)</f>
        <v>2.6276258167041253E-2</v>
      </c>
      <c r="BP43" s="137"/>
      <c r="BQ43" s="137"/>
      <c r="BR43" s="137"/>
      <c r="BS43" s="137"/>
      <c r="BV43" s="262">
        <v>3.3981132464108428</v>
      </c>
      <c r="BW43" s="136">
        <v>3.387</v>
      </c>
      <c r="BX43" s="137">
        <v>0.38041410598552006</v>
      </c>
      <c r="BY43" s="137">
        <v>0.38239613708688597</v>
      </c>
      <c r="BZ43" s="137">
        <v>0.99845560621217311</v>
      </c>
      <c r="CA43" s="137">
        <v>3.3906701822071103E-2</v>
      </c>
      <c r="CB43" s="137">
        <v>0.94018768577798628</v>
      </c>
      <c r="CC43" s="258">
        <v>-2.5000000000000001E-2</v>
      </c>
      <c r="CD43" s="258">
        <v>5.7500000000000002E-2</v>
      </c>
      <c r="CE43" s="258">
        <v>0.14499999999999999</v>
      </c>
      <c r="CF43" s="258">
        <v>-2.5000000000000001E-2</v>
      </c>
      <c r="CG43" s="258">
        <v>1.9200000000000002E-2</v>
      </c>
      <c r="CH43" s="258">
        <v>3.2060400085029332</v>
      </c>
      <c r="CI43" s="258">
        <v>3.2669999999999999</v>
      </c>
    </row>
    <row r="44" spans="1:87" x14ac:dyDescent="0.25">
      <c r="A44" s="723"/>
      <c r="B44" s="723"/>
      <c r="D44" s="31">
        <f t="shared" si="42"/>
        <v>37940</v>
      </c>
      <c r="F44" s="28">
        <f t="shared" si="12"/>
        <v>15000</v>
      </c>
      <c r="G44" s="28">
        <f t="shared" si="13"/>
        <v>14041.970768029503</v>
      </c>
      <c r="H44" s="52">
        <f t="shared" si="14"/>
        <v>3.5371480360048615</v>
      </c>
      <c r="I44" s="52">
        <f t="shared" si="15"/>
        <v>3.5720000000000001</v>
      </c>
      <c r="K44" s="52">
        <f t="shared" si="49"/>
        <v>0.4395688417639721</v>
      </c>
      <c r="L44" s="135">
        <f t="shared" si="43"/>
        <v>1.2427075884302945</v>
      </c>
      <c r="N44" s="131">
        <f t="shared" si="44"/>
        <v>0.38567537328980672</v>
      </c>
      <c r="O44" s="131">
        <f t="shared" si="45"/>
        <v>0.38804672078337377</v>
      </c>
      <c r="P44" s="55">
        <f t="shared" si="46"/>
        <v>0.99774496431485926</v>
      </c>
      <c r="Q44" s="135">
        <f>_xll.xSPRDOPT(I44,H44,AQ44,0,O44,N44,P44,D44-$G$5,1,0)*AH44*AU44</f>
        <v>1.6822764301942665</v>
      </c>
      <c r="R44" s="135"/>
      <c r="S44" s="181">
        <f>_xll.xSPRDOPT(I44,H44,AQ44,AT44,O44,N44,P44,D44-$G$5,1,2)*AF44*(F44/(1-AR44))*AH44</f>
        <v>-234671.26185546996</v>
      </c>
      <c r="T44" s="181">
        <f>_xll.xSPRDOPT(I44,H44,AQ44,AT44,O44,N44,P44,D44-$G$5,1,1)*AF44*F44*AH44</f>
        <v>233852.13597971428</v>
      </c>
      <c r="U44" s="135"/>
      <c r="V44" s="146">
        <f t="shared" si="16"/>
        <v>3.0892335689664905</v>
      </c>
      <c r="W44" s="146"/>
      <c r="X44" s="338">
        <f t="shared" si="17"/>
        <v>0</v>
      </c>
      <c r="Y44" s="338">
        <f t="shared" si="18"/>
        <v>0</v>
      </c>
      <c r="Z44" s="338">
        <f t="shared" si="19"/>
        <v>-39.134379306476056</v>
      </c>
      <c r="AA44" s="338">
        <f t="shared" si="20"/>
        <v>5.2307418595255717</v>
      </c>
      <c r="AB44" s="338">
        <f t="shared" si="21"/>
        <v>0</v>
      </c>
      <c r="AC44" s="338">
        <f t="shared" si="22"/>
        <v>7.2182821118794624</v>
      </c>
      <c r="AF44" s="138">
        <f t="shared" si="23"/>
        <v>1</v>
      </c>
      <c r="AG44" s="138">
        <f t="shared" si="24"/>
        <v>11</v>
      </c>
      <c r="AH44" s="138">
        <f t="shared" si="25"/>
        <v>30</v>
      </c>
      <c r="AI44" s="138">
        <f t="shared" si="47"/>
        <v>684</v>
      </c>
      <c r="AJ44" s="138">
        <f t="shared" si="26"/>
        <v>701</v>
      </c>
      <c r="AL44" s="136">
        <f t="shared" si="27"/>
        <v>3.4020000000000001</v>
      </c>
      <c r="AM44" s="258">
        <f t="shared" si="28"/>
        <v>-2.5000000000000001E-2</v>
      </c>
      <c r="AN44" s="258">
        <f t="shared" si="29"/>
        <v>5.7500000000000002E-2</v>
      </c>
      <c r="AO44" s="258">
        <f t="shared" si="30"/>
        <v>0.19500000000000001</v>
      </c>
      <c r="AP44" s="258">
        <f t="shared" si="31"/>
        <v>-2.4999999999999998E-2</v>
      </c>
      <c r="AQ44" s="136">
        <f t="shared" si="32"/>
        <v>1.9200000000000002E-2</v>
      </c>
      <c r="AR44" s="137">
        <f t="shared" si="33"/>
        <v>2.9020000000000001E-2</v>
      </c>
      <c r="AS44" s="136">
        <f t="shared" si="50"/>
        <v>3.4345000000000003</v>
      </c>
      <c r="AT44" s="137">
        <f t="shared" si="51"/>
        <v>3.4836153967131397E-2</v>
      </c>
      <c r="AU44" s="137">
        <f t="shared" si="34"/>
        <v>0.9361313845353002</v>
      </c>
      <c r="AV44" s="394">
        <f t="shared" si="48"/>
        <v>12581.605808154434</v>
      </c>
      <c r="AW44" s="137">
        <f t="shared" si="35"/>
        <v>0.37</v>
      </c>
      <c r="AX44" s="137">
        <f t="shared" si="36"/>
        <v>0.83</v>
      </c>
      <c r="AY44" s="137">
        <f t="shared" si="37"/>
        <v>0.88</v>
      </c>
      <c r="AZ44" s="137"/>
      <c r="BA44" s="264"/>
      <c r="BB44" s="258">
        <f t="shared" si="38"/>
        <v>0</v>
      </c>
      <c r="BC44" s="258">
        <f t="shared" si="39"/>
        <v>0</v>
      </c>
      <c r="BD44" s="137">
        <f t="shared" si="40"/>
        <v>6.5633014911969934E-5</v>
      </c>
      <c r="BE44" s="137">
        <f t="shared" si="41"/>
        <v>7.5336694553507222E-5</v>
      </c>
      <c r="BF44" s="137">
        <f>_xll.xSPRDOPT($BW44,$BV44,$CG44,0,$BY44,$BX44,$BZ44,$AJ44,1,4)*$CB44</f>
        <v>2.8718947890017583</v>
      </c>
      <c r="BG44" s="137">
        <f>_xll.xSPRDOPT($BW44,$BV44,$CG44,0,$BY44,$BX44,$BZ44,$AJ44,1,3)*$CB44</f>
        <v>2.8467875698073812</v>
      </c>
      <c r="BH44" s="137">
        <f>IF(OR(BF44&lt;&gt;0,BG44&lt;&gt;0),_xll.xSPRDOPT($BW44,$BV44,$CG44,0,$BY44,$BX44,$BZ44,$AJ44,1,12)*$CB44,0)</f>
        <v>-2.8592985699261715</v>
      </c>
      <c r="BI44" s="137">
        <f>_xll.xSPRDOPT($BW44,$BV44,$CG44,2*LN(1+CA44/2),$BY44,$BX44,$BZ44,$AJ44,1,9)</f>
        <v>-1.0588023734585467E-2</v>
      </c>
      <c r="BJ44" s="137">
        <f>_xll.xSPRDOPT($BW44,$BV44,$CG44,0,$BY44,$BX44,$BZ44,$AJ44,1,6)*$CB44</f>
        <v>-0.24758018692848996</v>
      </c>
      <c r="BK44" s="137">
        <f>_xll.xSPRDOPT($BW44,$BV44,$CG44,0,$BY44,$BX44,$BZ44,$AJ44,1,5)*$CB44</f>
        <v>0.36998311466578654</v>
      </c>
      <c r="BL44" s="137">
        <f>_xll.xSPRDOPT(BW44,BV44,CG44,0,BY44,BX44,BZ44,AJ44,1,2)*CB44</f>
        <v>-0.50650504347020142</v>
      </c>
      <c r="BM44" s="137">
        <f>_xll.xSPRDOPT(BW44,BV44,CG44,0,BY44,BX44,BZ44,AJ44,1,1)*CB44</f>
        <v>0.51982213517513842</v>
      </c>
      <c r="BN44" s="137">
        <f>IF(AH44&lt;&gt;0,_xll.xSPRDOPT($BW44,$BV44,$CG44,2*LN(1+CA44/2),$BY44,$BX44,$BZ44,$AJ44,1,8)+(AJ44/365.25)*CH44/AH44,0)</f>
        <v>8.9981993106911129E-2</v>
      </c>
      <c r="BO44" s="137">
        <f>_xll.xSPRDOPT($BW44,$BV44,$CG44,0,$BY44,$BX44,$BZ44,$AJ44,1,0)</f>
        <v>5.9902713406497776E-2</v>
      </c>
      <c r="BP44" s="137"/>
      <c r="BQ44" s="137"/>
      <c r="BR44" s="137"/>
      <c r="BS44" s="137"/>
      <c r="BV44" s="262">
        <v>3.5371480360048615</v>
      </c>
      <c r="BW44" s="136">
        <v>3.5720000000000001</v>
      </c>
      <c r="BX44" s="137">
        <v>0.38560974027489475</v>
      </c>
      <c r="BY44" s="137">
        <v>0.38797138408882026</v>
      </c>
      <c r="BZ44" s="137">
        <v>0.99775370977142142</v>
      </c>
      <c r="CA44" s="137">
        <v>3.4836153967131397E-2</v>
      </c>
      <c r="CB44" s="137">
        <v>0.93586587426758006</v>
      </c>
      <c r="CC44" s="258">
        <v>-2.5000000000000001E-2</v>
      </c>
      <c r="CD44" s="258">
        <v>5.7500000000000002E-2</v>
      </c>
      <c r="CE44" s="258">
        <v>0.19500000000000001</v>
      </c>
      <c r="CF44" s="258">
        <v>-2.5000000000000001E-2</v>
      </c>
      <c r="CG44" s="258">
        <v>1.9200000000000002E-2</v>
      </c>
      <c r="CH44" s="258">
        <v>3.0883573850830142</v>
      </c>
      <c r="CI44" s="258">
        <v>3.4020000000000001</v>
      </c>
    </row>
    <row r="45" spans="1:87" x14ac:dyDescent="0.25">
      <c r="A45" s="723"/>
      <c r="B45" s="723"/>
      <c r="D45" s="31">
        <f t="shared" si="42"/>
        <v>37970</v>
      </c>
      <c r="F45" s="28">
        <f t="shared" si="12"/>
        <v>15000</v>
      </c>
      <c r="G45" s="28">
        <f t="shared" si="13"/>
        <v>13977.549040429743</v>
      </c>
      <c r="H45" s="52">
        <f t="shared" si="14"/>
        <v>3.6761828255988798</v>
      </c>
      <c r="I45" s="52">
        <f t="shared" si="15"/>
        <v>3.7269999999999999</v>
      </c>
      <c r="K45" s="52">
        <f t="shared" si="49"/>
        <v>0.91332325180371732</v>
      </c>
      <c r="L45" s="135">
        <f t="shared" si="43"/>
        <v>1.4965809132173364</v>
      </c>
      <c r="N45" s="131">
        <f t="shared" si="44"/>
        <v>0.39564204160538236</v>
      </c>
      <c r="O45" s="131">
        <f t="shared" si="45"/>
        <v>0.39846484026061885</v>
      </c>
      <c r="P45" s="55">
        <f t="shared" si="46"/>
        <v>0.99685829522186231</v>
      </c>
      <c r="Q45" s="135">
        <f>_xll.xSPRDOPT(I45,H45,AQ45,0,O45,N45,P45,D45-$G$5,1,0)*AH45*AU45</f>
        <v>2.4099041650210538</v>
      </c>
      <c r="R45" s="135"/>
      <c r="S45" s="181">
        <f>_xll.xSPRDOPT(I45,H45,AQ45,AT45,O45,N45,P45,D45-$G$5,1,2)*AF45*(F45/(1-AR45))*AH45</f>
        <v>-252755.6986079831</v>
      </c>
      <c r="T45" s="181">
        <f>_xll.xSPRDOPT(I45,H45,AQ45,AT45,O45,N45,P45,D45-$G$5,1,1)*AF45*F45*AH45</f>
        <v>252970.11040482455</v>
      </c>
      <c r="U45" s="135"/>
      <c r="V45" s="146">
        <f t="shared" si="16"/>
        <v>3.1775628151910285</v>
      </c>
      <c r="W45" s="146"/>
      <c r="X45" s="338">
        <f t="shared" si="17"/>
        <v>0</v>
      </c>
      <c r="Y45" s="338">
        <f t="shared" si="18"/>
        <v>0</v>
      </c>
      <c r="Z45" s="338">
        <f t="shared" si="19"/>
        <v>-47.507104722299701</v>
      </c>
      <c r="AA45" s="338">
        <f t="shared" si="20"/>
        <v>8.9954031895437705</v>
      </c>
      <c r="AB45" s="338">
        <f t="shared" si="21"/>
        <v>0</v>
      </c>
      <c r="AC45" s="338">
        <f t="shared" si="22"/>
        <v>10.607230719389996</v>
      </c>
      <c r="AF45" s="138">
        <f t="shared" si="23"/>
        <v>1</v>
      </c>
      <c r="AG45" s="138">
        <f t="shared" si="24"/>
        <v>12</v>
      </c>
      <c r="AH45" s="138">
        <f t="shared" si="25"/>
        <v>31</v>
      </c>
      <c r="AI45" s="138">
        <f t="shared" si="47"/>
        <v>714</v>
      </c>
      <c r="AJ45" s="138">
        <f t="shared" si="26"/>
        <v>731</v>
      </c>
      <c r="AL45" s="136">
        <f t="shared" si="27"/>
        <v>3.5369999999999999</v>
      </c>
      <c r="AM45" s="258">
        <f t="shared" si="28"/>
        <v>-2.5000000000000001E-2</v>
      </c>
      <c r="AN45" s="258">
        <f t="shared" si="29"/>
        <v>5.7500000000000002E-2</v>
      </c>
      <c r="AO45" s="258">
        <f t="shared" si="30"/>
        <v>0.215</v>
      </c>
      <c r="AP45" s="258">
        <f t="shared" si="31"/>
        <v>-2.4999999999999998E-2</v>
      </c>
      <c r="AQ45" s="136">
        <f t="shared" si="32"/>
        <v>1.9200000000000002E-2</v>
      </c>
      <c r="AR45" s="137">
        <f t="shared" si="33"/>
        <v>2.9020000000000001E-2</v>
      </c>
      <c r="AS45" s="136">
        <f t="shared" si="50"/>
        <v>3.5695000000000001</v>
      </c>
      <c r="AT45" s="137">
        <f t="shared" si="51"/>
        <v>3.5735624061610197E-2</v>
      </c>
      <c r="AU45" s="137">
        <f t="shared" si="34"/>
        <v>0.93183660269531621</v>
      </c>
      <c r="AV45" s="394">
        <f t="shared" si="48"/>
        <v>12941.346738232551</v>
      </c>
      <c r="AW45" s="137">
        <f t="shared" si="35"/>
        <v>0.37</v>
      </c>
      <c r="AX45" s="137">
        <f t="shared" si="36"/>
        <v>1.03</v>
      </c>
      <c r="AY45" s="137">
        <f t="shared" si="37"/>
        <v>1.08</v>
      </c>
      <c r="AZ45" s="137"/>
      <c r="BA45" s="264"/>
      <c r="BB45" s="258">
        <f t="shared" si="38"/>
        <v>0</v>
      </c>
      <c r="BC45" s="258">
        <f t="shared" si="39"/>
        <v>0</v>
      </c>
      <c r="BD45" s="137">
        <f t="shared" si="40"/>
        <v>1.0162846149874838E-4</v>
      </c>
      <c r="BE45" s="137">
        <f t="shared" si="41"/>
        <v>1.1243140857580824E-4</v>
      </c>
      <c r="BF45" s="137">
        <f>_xll.xSPRDOPT($BW45,$BV45,$CG45,0,$BY45,$BX45,$BZ45,$AJ45,1,4)*$CB45</f>
        <v>2.209950219490127</v>
      </c>
      <c r="BG45" s="137">
        <f>_xll.xSPRDOPT($BW45,$BV45,$CG45,0,$BY45,$BX45,$BZ45,$AJ45,1,3)*$CB45</f>
        <v>2.172732037363915</v>
      </c>
      <c r="BH45" s="137">
        <f>IF(OR(BF45&lt;&gt;0,BG45&lt;&gt;0),_xll.xSPRDOPT($BW45,$BV45,$CG45,0,$BY45,$BX45,$BZ45,$AJ45,1,12)*$CB45,0)</f>
        <v>-2.191249841866342</v>
      </c>
      <c r="BI45" s="137">
        <f>_xll.xSPRDOPT($BW45,$BV45,$CG45,2*LN(1+CA45/2),$BY45,$BX45,$BZ45,$AJ45,1,9)</f>
        <v>-1.2438688171913953E-2</v>
      </c>
      <c r="BJ45" s="137">
        <f>_xll.xSPRDOPT($BW45,$BV45,$CG45,0,$BY45,$BX45,$BZ45,$AJ45,1,6)*$CB45</f>
        <v>-0.21806064329673208</v>
      </c>
      <c r="BK45" s="137">
        <f>_xll.xSPRDOPT($BW45,$BV45,$CG45,0,$BY45,$BX45,$BZ45,$AJ45,1,5)*$CB45</f>
        <v>0.36916837842053085</v>
      </c>
      <c r="BL45" s="137">
        <f>_xll.xSPRDOPT(BW45,BV45,CG45,0,BY45,BX45,BZ45,AJ45,1,2)*CB45</f>
        <v>-0.52796467132844582</v>
      </c>
      <c r="BM45" s="137">
        <f>_xll.xSPRDOPT(BW45,BV45,CG45,0,BY45,BX45,BZ45,AJ45,1,1)*CB45</f>
        <v>0.54420529518840899</v>
      </c>
      <c r="BN45" s="137">
        <f>IF(AH45&lt;&gt;0,_xll.xSPRDOPT($BW45,$BV45,$CG45,2*LN(1+CA45/2),$BY45,$BX45,$BZ45,$AJ45,1,8)+(AJ45/365.25)*CH45/AH45,0)</f>
        <v>4.9544081491916442E-2</v>
      </c>
      <c r="BO45" s="137">
        <f>_xll.xSPRDOPT($BW45,$BV45,$CG45,0,$BY45,$BX45,$BZ45,$AJ45,1,0)</f>
        <v>8.3426350008014877E-2</v>
      </c>
      <c r="BP45" s="137"/>
      <c r="BQ45" s="137"/>
      <c r="BR45" s="137"/>
      <c r="BS45" s="137"/>
      <c r="BV45" s="262">
        <v>3.6761828255988798</v>
      </c>
      <c r="BW45" s="136">
        <v>3.7269999999999999</v>
      </c>
      <c r="BX45" s="137">
        <v>0.39554041314388361</v>
      </c>
      <c r="BY45" s="137">
        <v>0.39835240885204304</v>
      </c>
      <c r="BZ45" s="137">
        <v>0.99686938544033588</v>
      </c>
      <c r="CA45" s="137">
        <v>3.5735624061610197E-2</v>
      </c>
      <c r="CB45" s="137">
        <v>0.93156554756707821</v>
      </c>
      <c r="CC45" s="258">
        <v>-2.5000000000000001E-2</v>
      </c>
      <c r="CD45" s="258">
        <v>5.7500000000000002E-2</v>
      </c>
      <c r="CE45" s="258">
        <v>0.215</v>
      </c>
      <c r="CF45" s="258">
        <v>-2.5000000000000001E-2</v>
      </c>
      <c r="CG45" s="258">
        <v>1.9200000000000002E-2</v>
      </c>
      <c r="CH45" s="258">
        <v>3.1766385172037368</v>
      </c>
      <c r="CI45" s="258">
        <v>3.5369999999999999</v>
      </c>
    </row>
    <row r="46" spans="1:87" x14ac:dyDescent="0.25">
      <c r="A46" s="723"/>
      <c r="B46" s="723"/>
      <c r="D46" s="31">
        <f t="shared" si="42"/>
        <v>38001</v>
      </c>
      <c r="F46" s="28">
        <f t="shared" si="12"/>
        <v>15000</v>
      </c>
      <c r="G46" s="28">
        <f t="shared" si="13"/>
        <v>13910.193127020229</v>
      </c>
      <c r="H46" s="52">
        <f t="shared" si="14"/>
        <v>3.7379760654184437</v>
      </c>
      <c r="I46" s="52">
        <f t="shared" si="15"/>
        <v>3.8069999999999999</v>
      </c>
      <c r="K46" s="52">
        <f t="shared" si="49"/>
        <v>1.4323251415801017</v>
      </c>
      <c r="L46" s="135">
        <f t="shared" si="43"/>
        <v>1.2635645436014811</v>
      </c>
      <c r="N46" s="131">
        <f t="shared" si="44"/>
        <v>0.39305358955281788</v>
      </c>
      <c r="O46" s="131">
        <f t="shared" si="45"/>
        <v>0.39570217384783563</v>
      </c>
      <c r="P46" s="55">
        <f t="shared" si="46"/>
        <v>0.99710685525899245</v>
      </c>
      <c r="Q46" s="135">
        <f>_xll.xSPRDOPT(I46,H46,AQ46,0,O46,N46,P46,D46-$G$5,1,0)*AH46*AU46</f>
        <v>2.6958896851815828</v>
      </c>
      <c r="R46" s="135"/>
      <c r="S46" s="181">
        <f>_xll.xSPRDOPT(I46,H46,AQ46,AT46,O46,N46,P46,D46-$G$5,1,2)*AF46*(F46/(1-AR46))*AH46</f>
        <v>-270919.06476982066</v>
      </c>
      <c r="T46" s="181">
        <f>_xll.xSPRDOPT(I46,H46,AQ46,AT46,O46,N46,P46,D46-$G$5,1,1)*AF46*F46*AH46</f>
        <v>270167.90121129761</v>
      </c>
      <c r="U46" s="135"/>
      <c r="V46" s="146">
        <f t="shared" si="16"/>
        <v>3.1622505708759321</v>
      </c>
      <c r="W46" s="146"/>
      <c r="X46" s="338">
        <f t="shared" si="17"/>
        <v>0</v>
      </c>
      <c r="Y46" s="338">
        <f t="shared" si="18"/>
        <v>0</v>
      </c>
      <c r="Z46" s="338">
        <f t="shared" si="19"/>
        <v>-41.410385089886887</v>
      </c>
      <c r="AA46" s="338">
        <f t="shared" si="20"/>
        <v>7.6611660950681228</v>
      </c>
      <c r="AB46" s="338">
        <f t="shared" si="21"/>
        <v>0</v>
      </c>
      <c r="AC46" s="338">
        <f t="shared" si="22"/>
        <v>12.162672328732526</v>
      </c>
      <c r="AF46" s="138">
        <f t="shared" si="23"/>
        <v>1</v>
      </c>
      <c r="AG46" s="138">
        <f t="shared" si="24"/>
        <v>1</v>
      </c>
      <c r="AH46" s="138">
        <f t="shared" si="25"/>
        <v>31</v>
      </c>
      <c r="AI46" s="138">
        <f t="shared" si="47"/>
        <v>745</v>
      </c>
      <c r="AJ46" s="138">
        <f t="shared" si="26"/>
        <v>762</v>
      </c>
      <c r="AL46" s="136">
        <f t="shared" si="27"/>
        <v>3.597</v>
      </c>
      <c r="AM46" s="258">
        <f t="shared" si="28"/>
        <v>-2.5000000000000001E-2</v>
      </c>
      <c r="AN46" s="258">
        <f t="shared" si="29"/>
        <v>5.7500000000000002E-2</v>
      </c>
      <c r="AO46" s="258">
        <f t="shared" si="30"/>
        <v>0.23499999999999999</v>
      </c>
      <c r="AP46" s="258">
        <f t="shared" si="31"/>
        <v>-2.4999999999999998E-2</v>
      </c>
      <c r="AQ46" s="136">
        <f t="shared" si="32"/>
        <v>1.9200000000000002E-2</v>
      </c>
      <c r="AR46" s="137">
        <f t="shared" si="33"/>
        <v>2.9020000000000001E-2</v>
      </c>
      <c r="AS46" s="136">
        <f t="shared" si="50"/>
        <v>3.6295000000000002</v>
      </c>
      <c r="AT46" s="137">
        <f t="shared" si="51"/>
        <v>3.6629399588957501E-2</v>
      </c>
      <c r="AU46" s="137">
        <f t="shared" si="34"/>
        <v>0.9273462084680153</v>
      </c>
      <c r="AV46" s="394">
        <f t="shared" si="48"/>
        <v>12878.984143203796</v>
      </c>
      <c r="AW46" s="137">
        <f t="shared" si="35"/>
        <v>0.37</v>
      </c>
      <c r="AX46" s="137">
        <f t="shared" si="36"/>
        <v>1</v>
      </c>
      <c r="AY46" s="137">
        <f t="shared" si="37"/>
        <v>1.05</v>
      </c>
      <c r="AZ46" s="137"/>
      <c r="BA46" s="264"/>
      <c r="BB46" s="258">
        <f t="shared" si="38"/>
        <v>0</v>
      </c>
      <c r="BC46" s="258">
        <f t="shared" si="39"/>
        <v>0</v>
      </c>
      <c r="BD46" s="137">
        <f t="shared" si="40"/>
        <v>8.793719974886649E-5</v>
      </c>
      <c r="BE46" s="137">
        <f t="shared" si="41"/>
        <v>9.772308049577072E-5</v>
      </c>
      <c r="BF46" s="137">
        <f>_xll.xSPRDOPT($BW46,$BV46,$CG46,0,$BY46,$BX46,$BZ46,$AJ46,1,4)*$CB46</f>
        <v>2.1667689957040017</v>
      </c>
      <c r="BG46" s="137">
        <f>_xll.xSPRDOPT($BW46,$BV46,$CG46,0,$BY46,$BX46,$BZ46,$AJ46,1,3)*$CB46</f>
        <v>2.1107142417231457</v>
      </c>
      <c r="BH46" s="137">
        <f>IF(OR(BF46&lt;&gt;0,BG46&lt;&gt;0),_xll.xSPRDOPT($BW46,$BV46,$CG46,0,$BY46,$BX46,$BZ46,$AJ46,1,12)*$CB46,0)</f>
        <v>-2.1385477142887046</v>
      </c>
      <c r="BI46" s="137">
        <f>_xll.xSPRDOPT($BW46,$BV46,$CG46,2*LN(1+CA46/2),$BY46,$BX46,$BZ46,$AJ46,1,9)</f>
        <v>-1.0842396526223073E-2</v>
      </c>
      <c r="BJ46" s="137">
        <f>_xll.xSPRDOPT($BW46,$BV46,$CG46,0,$BY46,$BX46,$BZ46,$AJ46,1,6)*$CB46</f>
        <v>-0.22419746811258767</v>
      </c>
      <c r="BK46" s="137">
        <f>_xll.xSPRDOPT($BW46,$BV46,$CG46,0,$BY46,$BX46,$BZ46,$AJ46,1,5)*$CB46</f>
        <v>0.37034161596115689</v>
      </c>
      <c r="BL46" s="137">
        <f>_xll.xSPRDOPT(BW46,BV46,CG46,0,BY46,BX46,BZ46,AJ46,1,2)*CB46</f>
        <v>-0.56593417075355923</v>
      </c>
      <c r="BM46" s="137">
        <f>_xll.xSPRDOPT(BW46,BV46,CG46,0,BY46,BX46,BZ46,AJ46,1,1)*CB46</f>
        <v>0.58123232383400236</v>
      </c>
      <c r="BN46" s="137">
        <f>IF(AH46&lt;&gt;0,_xll.xSPRDOPT($BW46,$BV46,$CG46,2*LN(1+CA46/2),$BY46,$BX46,$BZ46,$AJ46,1,8)+(AJ46/365.25)*CH46/AH46,0)</f>
        <v>3.1374076810799262E-2</v>
      </c>
      <c r="BO46" s="137">
        <f>_xll.xSPRDOPT($BW46,$BV46,$CG46,0,$BY46,$BX46,$BZ46,$AJ46,1,0)</f>
        <v>9.3778396318132798E-2</v>
      </c>
      <c r="BP46" s="137"/>
      <c r="BQ46" s="137"/>
      <c r="BR46" s="137"/>
      <c r="BS46" s="137"/>
      <c r="BV46" s="262">
        <v>3.7379760654184437</v>
      </c>
      <c r="BW46" s="136">
        <v>3.8069999999999999</v>
      </c>
      <c r="BX46" s="137">
        <v>0.39296565235306902</v>
      </c>
      <c r="BY46" s="137">
        <v>0.39560445076733985</v>
      </c>
      <c r="BZ46" s="137">
        <v>0.99711678855059926</v>
      </c>
      <c r="CA46" s="137">
        <v>3.6629399588957501E-2</v>
      </c>
      <c r="CB46" s="137">
        <v>0.92706977474295649</v>
      </c>
      <c r="CC46" s="258">
        <v>-2.5000000000000001E-2</v>
      </c>
      <c r="CD46" s="258">
        <v>5.7500000000000002E-2</v>
      </c>
      <c r="CE46" s="258">
        <v>0.23499999999999999</v>
      </c>
      <c r="CF46" s="258">
        <v>-2.5000000000000001E-2</v>
      </c>
      <c r="CG46" s="258">
        <v>1.9200000000000002E-2</v>
      </c>
      <c r="CH46" s="258">
        <v>3.1613079318734818</v>
      </c>
      <c r="CI46" s="258">
        <v>3.597</v>
      </c>
    </row>
    <row r="47" spans="1:87" x14ac:dyDescent="0.25">
      <c r="A47" s="723"/>
      <c r="B47" s="723"/>
      <c r="D47" s="31">
        <f t="shared" si="42"/>
        <v>38032</v>
      </c>
      <c r="F47" s="28">
        <f t="shared" si="12"/>
        <v>15000</v>
      </c>
      <c r="G47" s="28">
        <f t="shared" si="13"/>
        <v>13842.228914255842</v>
      </c>
      <c r="H47" s="52">
        <f t="shared" si="14"/>
        <v>3.6504356423407285</v>
      </c>
      <c r="I47" s="52">
        <f t="shared" si="15"/>
        <v>3.722</v>
      </c>
      <c r="K47" s="52">
        <f t="shared" si="49"/>
        <v>1.4013562229573642</v>
      </c>
      <c r="L47" s="135">
        <f t="shared" si="43"/>
        <v>1.0606703028946101</v>
      </c>
      <c r="N47" s="131">
        <f t="shared" si="44"/>
        <v>0.39080901832551673</v>
      </c>
      <c r="O47" s="131">
        <f t="shared" si="45"/>
        <v>0.3932071056796777</v>
      </c>
      <c r="P47" s="55">
        <f t="shared" si="46"/>
        <v>0.99736282096982642</v>
      </c>
      <c r="Q47" s="135">
        <f>_xll.xSPRDOPT(I47,H47,AQ47,0,O47,N47,P47,D47-$G$5,1,0)*AH47*AU47</f>
        <v>2.4620265258519742</v>
      </c>
      <c r="R47" s="135"/>
      <c r="S47" s="181">
        <f>_xll.xSPRDOPT(I47,H47,AQ47,AT47,O47,N47,P47,D47-$G$5,1,2)*AF47*(F47/(1-AR47))*AH47</f>
        <v>-257572.26016973943</v>
      </c>
      <c r="T47" s="181">
        <f>_xll.xSPRDOPT(I47,H47,AQ47,AT47,O47,N47,P47,D47-$G$5,1,1)*AF47*F47*AH47</f>
        <v>256433.29464308679</v>
      </c>
      <c r="U47" s="135"/>
      <c r="V47" s="146">
        <f t="shared" si="16"/>
        <v>2.9437806824317425</v>
      </c>
      <c r="W47" s="146"/>
      <c r="X47" s="338">
        <f t="shared" si="17"/>
        <v>0</v>
      </c>
      <c r="Y47" s="338">
        <f t="shared" si="18"/>
        <v>0</v>
      </c>
      <c r="Z47" s="338">
        <f t="shared" si="19"/>
        <v>-33.520606097864288</v>
      </c>
      <c r="AA47" s="338">
        <f t="shared" si="20"/>
        <v>5.9178046012830112</v>
      </c>
      <c r="AB47" s="338">
        <f t="shared" si="21"/>
        <v>0</v>
      </c>
      <c r="AC47" s="338">
        <f t="shared" si="22"/>
        <v>11.366982361392932</v>
      </c>
      <c r="AF47" s="138">
        <f t="shared" si="23"/>
        <v>1</v>
      </c>
      <c r="AG47" s="138">
        <f t="shared" si="24"/>
        <v>2</v>
      </c>
      <c r="AH47" s="138">
        <f t="shared" si="25"/>
        <v>29</v>
      </c>
      <c r="AI47" s="138">
        <f t="shared" si="47"/>
        <v>776</v>
      </c>
      <c r="AJ47" s="138">
        <f t="shared" si="26"/>
        <v>793</v>
      </c>
      <c r="AL47" s="136">
        <f t="shared" si="27"/>
        <v>3.512</v>
      </c>
      <c r="AM47" s="258">
        <f t="shared" si="28"/>
        <v>-2.5000000000000001E-2</v>
      </c>
      <c r="AN47" s="258">
        <f t="shared" si="29"/>
        <v>5.7500000000000002E-2</v>
      </c>
      <c r="AO47" s="258">
        <f t="shared" si="30"/>
        <v>0.23499999999999999</v>
      </c>
      <c r="AP47" s="258">
        <f t="shared" si="31"/>
        <v>-2.4999999999999998E-2</v>
      </c>
      <c r="AQ47" s="136">
        <f t="shared" si="32"/>
        <v>1.9200000000000002E-2</v>
      </c>
      <c r="AR47" s="137">
        <f t="shared" si="33"/>
        <v>2.9020000000000001E-2</v>
      </c>
      <c r="AS47" s="136">
        <f t="shared" si="50"/>
        <v>3.5445000000000002</v>
      </c>
      <c r="AT47" s="137">
        <f t="shared" si="51"/>
        <v>3.74851197051385E-2</v>
      </c>
      <c r="AU47" s="137">
        <f t="shared" si="34"/>
        <v>0.92281526095038946</v>
      </c>
      <c r="AV47" s="394">
        <f t="shared" si="48"/>
        <v>11989.215870267461</v>
      </c>
      <c r="AW47" s="137">
        <f t="shared" si="35"/>
        <v>0.37</v>
      </c>
      <c r="AX47" s="137">
        <f t="shared" si="36"/>
        <v>1</v>
      </c>
      <c r="AY47" s="137">
        <f t="shared" si="37"/>
        <v>1.05</v>
      </c>
      <c r="AZ47" s="137"/>
      <c r="BA47" s="264"/>
      <c r="BB47" s="258">
        <f t="shared" si="38"/>
        <v>0</v>
      </c>
      <c r="BC47" s="258">
        <f t="shared" si="39"/>
        <v>0</v>
      </c>
      <c r="BD47" s="137">
        <f t="shared" si="40"/>
        <v>7.6586028947334128E-5</v>
      </c>
      <c r="BE47" s="137">
        <f t="shared" si="41"/>
        <v>8.5159555755998095E-5</v>
      </c>
      <c r="BF47" s="137">
        <f>_xll.xSPRDOPT($BW47,$BV47,$CG47,0,$BY47,$BX47,$BZ47,$AJ47,1,4)*$CB47</f>
        <v>2.256659558874452</v>
      </c>
      <c r="BG47" s="137">
        <f>_xll.xSPRDOPT($BW47,$BV47,$CG47,0,$BY47,$BX47,$BZ47,$AJ47,1,3)*$CB47</f>
        <v>2.1939794741316936</v>
      </c>
      <c r="BH47" s="137">
        <f>IF(OR(BF47&lt;&gt;0,BG47&lt;&gt;0),_xll.xSPRDOPT($BW47,$BV47,$CG47,0,$BY47,$BX47,$BZ47,$AJ47,1,12)*$CB47,0)</f>
        <v>-2.2250878148492195</v>
      </c>
      <c r="BI47" s="137">
        <f>_xll.xSPRDOPT($BW47,$BV47,$CG47,2*LN(1+CA47/2),$BY47,$BX47,$BZ47,$AJ47,1,9)</f>
        <v>-9.3819167641723614E-3</v>
      </c>
      <c r="BJ47" s="137">
        <f>_xll.xSPRDOPT($BW47,$BV47,$CG47,0,$BY47,$BX47,$BZ47,$AJ47,1,6)*$CB47</f>
        <v>-0.22522226632408585</v>
      </c>
      <c r="BK47" s="137">
        <f>_xll.xSPRDOPT($BW47,$BV47,$CG47,0,$BY47,$BX47,$BZ47,$AJ47,1,5)*$CB47</f>
        <v>0.36229671753312459</v>
      </c>
      <c r="BL47" s="137">
        <f>_xll.xSPRDOPT(BW47,BV47,CG47,0,BY47,BX47,BZ47,AJ47,1,2)*CB47</f>
        <v>-0.57519233952384308</v>
      </c>
      <c r="BM47" s="137">
        <f>_xll.xSPRDOPT(BW47,BV47,CG47,0,BY47,BX47,BZ47,AJ47,1,1)*CB47</f>
        <v>0.58976369227947389</v>
      </c>
      <c r="BN47" s="137">
        <f>IF(AH47&lt;&gt;0,_xll.xSPRDOPT($BW47,$BV47,$CG47,2*LN(1+CA47/2),$BY47,$BX47,$BZ47,$AJ47,1,8)+(AJ47/365.25)*CH47/AH47,0)</f>
        <v>3.6054446428379572E-2</v>
      </c>
      <c r="BO47" s="137">
        <f>_xll.xSPRDOPT($BW47,$BV47,$CG47,0,$BY47,$BX47,$BZ47,$AJ47,1,0)</f>
        <v>9.1999126632495806E-2</v>
      </c>
      <c r="BP47" s="137"/>
      <c r="BQ47" s="137"/>
      <c r="BR47" s="137"/>
      <c r="BS47" s="137"/>
      <c r="BV47" s="262">
        <v>3.6504356423407285</v>
      </c>
      <c r="BW47" s="136">
        <v>3.722</v>
      </c>
      <c r="BX47" s="137">
        <v>0.3907324322965694</v>
      </c>
      <c r="BY47" s="137">
        <v>0.39312194612392171</v>
      </c>
      <c r="BZ47" s="137">
        <v>0.99737164438651982</v>
      </c>
      <c r="CA47" s="137">
        <v>3.74851197051385E-2</v>
      </c>
      <c r="CB47" s="137">
        <v>0.92253381176270466</v>
      </c>
      <c r="CC47" s="258">
        <v>-2.5000000000000001E-2</v>
      </c>
      <c r="CD47" s="258">
        <v>5.7500000000000002E-2</v>
      </c>
      <c r="CE47" s="258">
        <v>0.23499999999999999</v>
      </c>
      <c r="CF47" s="258">
        <v>-2.5000000000000001E-2</v>
      </c>
      <c r="CG47" s="258">
        <v>1.9200000000000002E-2</v>
      </c>
      <c r="CH47" s="258">
        <v>2.9428828595230279</v>
      </c>
      <c r="CI47" s="258">
        <v>3.512</v>
      </c>
    </row>
    <row r="48" spans="1:87" x14ac:dyDescent="0.25">
      <c r="A48" s="723"/>
      <c r="B48" s="723"/>
      <c r="D48" s="31">
        <f t="shared" si="42"/>
        <v>38061</v>
      </c>
      <c r="F48" s="28">
        <f t="shared" si="12"/>
        <v>15000</v>
      </c>
      <c r="G48" s="28">
        <f t="shared" si="13"/>
        <v>13777.181135669496</v>
      </c>
      <c r="H48" s="52">
        <f t="shared" si="14"/>
        <v>3.5165502893983405</v>
      </c>
      <c r="I48" s="52">
        <f t="shared" si="15"/>
        <v>3.552</v>
      </c>
      <c r="K48" s="52">
        <f t="shared" si="49"/>
        <v>0.46267542647996412</v>
      </c>
      <c r="L48" s="135">
        <f t="shared" si="43"/>
        <v>1.0283760030471183</v>
      </c>
      <c r="N48" s="131">
        <f t="shared" si="44"/>
        <v>0.36642927609768672</v>
      </c>
      <c r="O48" s="131">
        <f t="shared" si="45"/>
        <v>0.36642927609768672</v>
      </c>
      <c r="P48" s="55">
        <f t="shared" si="46"/>
        <v>0.99841720268088407</v>
      </c>
      <c r="Q48" s="135">
        <f>_xll.xSPRDOPT(I48,H48,AQ48,0,O48,N48,P48,D48-$G$5,1,0)*AH48*AU48</f>
        <v>1.4910514295270825</v>
      </c>
      <c r="R48" s="135"/>
      <c r="S48" s="181">
        <f>_xll.xSPRDOPT(I48,H48,AQ48,AT48,O48,N48,P48,D48-$G$5,1,2)*AF48*(F48/(1-AR48))*AH48</f>
        <v>-243021.76133386462</v>
      </c>
      <c r="T48" s="181">
        <f>_xll.xSPRDOPT(I48,H48,AQ48,AT48,O48,N48,P48,D48-$G$5,1,1)*AF48*F48*AH48</f>
        <v>241139.27360177669</v>
      </c>
      <c r="U48" s="135"/>
      <c r="V48" s="146">
        <f t="shared" si="16"/>
        <v>3.1320125115088659</v>
      </c>
      <c r="W48" s="146"/>
      <c r="X48" s="338">
        <f t="shared" si="17"/>
        <v>0</v>
      </c>
      <c r="Y48" s="338">
        <f t="shared" si="18"/>
        <v>0</v>
      </c>
      <c r="Z48" s="338">
        <f t="shared" si="19"/>
        <v>-26.813515111582394</v>
      </c>
      <c r="AA48" s="338">
        <f t="shared" si="20"/>
        <v>2.0708519363219122</v>
      </c>
      <c r="AB48" s="338">
        <f t="shared" si="21"/>
        <v>0</v>
      </c>
      <c r="AC48" s="338">
        <f t="shared" si="22"/>
        <v>7.0311171460755402</v>
      </c>
      <c r="AF48" s="138">
        <f t="shared" si="23"/>
        <v>1</v>
      </c>
      <c r="AG48" s="138">
        <f t="shared" si="24"/>
        <v>3</v>
      </c>
      <c r="AH48" s="138">
        <f t="shared" si="25"/>
        <v>31</v>
      </c>
      <c r="AI48" s="138">
        <f t="shared" si="47"/>
        <v>805</v>
      </c>
      <c r="AJ48" s="138">
        <f t="shared" si="26"/>
        <v>822</v>
      </c>
      <c r="AL48" s="136">
        <f t="shared" si="27"/>
        <v>3.3820000000000001</v>
      </c>
      <c r="AM48" s="258">
        <f t="shared" si="28"/>
        <v>-2.5000000000000001E-2</v>
      </c>
      <c r="AN48" s="258">
        <f t="shared" si="29"/>
        <v>5.7500000000000002E-2</v>
      </c>
      <c r="AO48" s="258">
        <f t="shared" si="30"/>
        <v>0.19500000000000001</v>
      </c>
      <c r="AP48" s="258">
        <f t="shared" si="31"/>
        <v>-2.4999999999999998E-2</v>
      </c>
      <c r="AQ48" s="136">
        <f t="shared" si="32"/>
        <v>1.9200000000000002E-2</v>
      </c>
      <c r="AR48" s="137">
        <f t="shared" si="33"/>
        <v>2.9020000000000001E-2</v>
      </c>
      <c r="AS48" s="136">
        <f t="shared" si="50"/>
        <v>3.4145000000000003</v>
      </c>
      <c r="AT48" s="137">
        <f t="shared" si="51"/>
        <v>3.8285632294587903E-2</v>
      </c>
      <c r="AU48" s="137">
        <f t="shared" si="34"/>
        <v>0.91847874237796645</v>
      </c>
      <c r="AV48" s="394">
        <f t="shared" si="48"/>
        <v>12755.832774145198</v>
      </c>
      <c r="AW48" s="137">
        <f t="shared" si="35"/>
        <v>0.35499999999999998</v>
      </c>
      <c r="AX48" s="137">
        <f t="shared" si="36"/>
        <v>0.75</v>
      </c>
      <c r="AY48" s="137">
        <f t="shared" si="37"/>
        <v>0.75</v>
      </c>
      <c r="AZ48" s="137"/>
      <c r="BA48" s="264"/>
      <c r="BB48" s="258">
        <f t="shared" si="38"/>
        <v>0</v>
      </c>
      <c r="BC48" s="258">
        <f t="shared" si="39"/>
        <v>0</v>
      </c>
      <c r="BD48" s="137">
        <f t="shared" si="40"/>
        <v>4.0989655535617064E-5</v>
      </c>
      <c r="BE48" s="137">
        <f t="shared" si="41"/>
        <v>4.0989655535617064E-5</v>
      </c>
      <c r="BF48" s="137">
        <f>_xll.xSPRDOPT($BW48,$BV48,$CG48,0,$BY48,$BX48,$BZ48,$AJ48,1,4)*$CB48</f>
        <v>3.3172337140225454</v>
      </c>
      <c r="BG48" s="137">
        <f>_xll.xSPRDOPT($BW48,$BV48,$CG48,0,$BY48,$BX48,$BZ48,$AJ48,1,3)*$CB48</f>
        <v>3.2869799668127837</v>
      </c>
      <c r="BH48" s="137">
        <f>IF(OR(BF48&lt;&gt;0,BG48&lt;&gt;0),_xll.xSPRDOPT($BW48,$BV48,$CG48,0,$BY48,$BX48,$BZ48,$AJ48,1,12)*$CB48,0)</f>
        <v>-3.3020504631016045</v>
      </c>
      <c r="BI48" s="137">
        <f>_xll.xSPRDOPT($BW48,$BV48,$CG48,2*LN(1+CA48/2),$BY48,$BX48,$BZ48,$AJ48,1,9)</f>
        <v>-7.0205278813659268E-3</v>
      </c>
      <c r="BJ48" s="137">
        <f>_xll.xSPRDOPT($BW48,$BV48,$CG48,0,$BY48,$BX48,$BZ48,$AJ48,1,6)*$CB48</f>
        <v>-0.13102861614426878</v>
      </c>
      <c r="BK48" s="137">
        <f>_xll.xSPRDOPT($BW48,$BV48,$CG48,0,$BY48,$BX48,$BZ48,$AJ48,1,5)*$CB48</f>
        <v>0.23967663882595427</v>
      </c>
      <c r="BL48" s="137">
        <f>_xll.xSPRDOPT(BW48,BV48,CG48,0,BY48,BX48,BZ48,AJ48,1,2)*CB48</f>
        <v>-0.50771436787869284</v>
      </c>
      <c r="BM48" s="137">
        <f>_xll.xSPRDOPT(BW48,BV48,CG48,0,BY48,BX48,BZ48,AJ48,1,1)*CB48</f>
        <v>0.5188380196948349</v>
      </c>
      <c r="BN48" s="137">
        <f>IF(AH48&lt;&gt;0,_xll.xSPRDOPT($BW48,$BV48,$CG48,2*LN(1+CA48/2),$BY48,$BX48,$BZ48,$AJ48,1,8)+(AJ48/365.25)*CH48/AH48,0)</f>
        <v>0.11908987452974906</v>
      </c>
      <c r="BO48" s="137">
        <f>_xll.xSPRDOPT($BW48,$BV48,$CG48,0,$BY48,$BX48,$BZ48,$AJ48,1,0)</f>
        <v>5.2368567654875631E-2</v>
      </c>
      <c r="BP48" s="137"/>
      <c r="BQ48" s="137"/>
      <c r="BR48" s="137"/>
      <c r="BS48" s="137"/>
      <c r="BV48" s="262">
        <v>3.5165502893983405</v>
      </c>
      <c r="BW48" s="136">
        <v>3.552</v>
      </c>
      <c r="BX48" s="137">
        <v>0.3663882864421511</v>
      </c>
      <c r="BY48" s="137">
        <v>0.3663882864421511</v>
      </c>
      <c r="BZ48" s="137">
        <v>0.99842261591115822</v>
      </c>
      <c r="CA48" s="137">
        <v>3.8285632294587903E-2</v>
      </c>
      <c r="CB48" s="137">
        <v>0.91819269083412736</v>
      </c>
      <c r="CC48" s="258">
        <v>-2.5000000000000001E-2</v>
      </c>
      <c r="CD48" s="258">
        <v>5.7500000000000002E-2</v>
      </c>
      <c r="CE48" s="258">
        <v>0.19500000000000001</v>
      </c>
      <c r="CF48" s="258">
        <v>-2.5000000000000001E-2</v>
      </c>
      <c r="CG48" s="258">
        <v>1.9200000000000002E-2</v>
      </c>
      <c r="CH48" s="258">
        <v>3.1310370757443744</v>
      </c>
      <c r="CI48" s="258">
        <v>3.3820000000000001</v>
      </c>
    </row>
    <row r="49" spans="1:87" x14ac:dyDescent="0.25">
      <c r="A49" s="723"/>
      <c r="B49" s="723"/>
      <c r="D49" s="31">
        <f t="shared" si="42"/>
        <v>38092</v>
      </c>
      <c r="F49" s="28">
        <f t="shared" si="12"/>
        <v>15000</v>
      </c>
      <c r="G49" s="28">
        <f t="shared" si="13"/>
        <v>13707.877206999663</v>
      </c>
      <c r="H49" s="52">
        <f t="shared" si="14"/>
        <v>3.3260211332880187</v>
      </c>
      <c r="I49" s="52">
        <f t="shared" si="15"/>
        <v>3.3170000000000002</v>
      </c>
      <c r="K49" s="52">
        <f t="shared" si="49"/>
        <v>0</v>
      </c>
      <c r="L49" s="135">
        <f t="shared" si="43"/>
        <v>0.39239409266752656</v>
      </c>
      <c r="N49" s="131">
        <f t="shared" si="44"/>
        <v>0.3313618943887166</v>
      </c>
      <c r="O49" s="131">
        <f t="shared" si="45"/>
        <v>0.33249033630585456</v>
      </c>
      <c r="P49" s="55">
        <f t="shared" si="46"/>
        <v>0.99922985016820542</v>
      </c>
      <c r="Q49" s="135">
        <f>_xll.xSPRDOPT(I49,H49,AQ49,0,O49,N49,P49,D49-$G$5,1,0)*AH49*AU49</f>
        <v>0.39239409266752656</v>
      </c>
      <c r="R49" s="135"/>
      <c r="S49" s="181">
        <f>_xll.xSPRDOPT(I49,H49,AQ49,AT49,O49,N49,P49,D49-$G$5,1,2)*AF49*(F49/(1-AR49))*AH49</f>
        <v>-115691.77680122957</v>
      </c>
      <c r="T49" s="181">
        <f>_xll.xSPRDOPT(I49,H49,AQ49,AT49,O49,N49,P49,D49-$G$5,1,1)*AF49*F49*AH49</f>
        <v>114996.94443938941</v>
      </c>
      <c r="U49" s="135"/>
      <c r="V49" s="146">
        <f t="shared" si="16"/>
        <v>3.0157329855399255</v>
      </c>
      <c r="W49" s="146"/>
      <c r="X49" s="338">
        <f t="shared" si="17"/>
        <v>0</v>
      </c>
      <c r="Y49" s="338">
        <f t="shared" si="18"/>
        <v>0</v>
      </c>
      <c r="Z49" s="338">
        <f t="shared" si="19"/>
        <v>-15.978745580633626</v>
      </c>
      <c r="AA49" s="338">
        <f t="shared" si="20"/>
        <v>0.86333170306940654</v>
      </c>
      <c r="AB49" s="338">
        <f t="shared" si="21"/>
        <v>0</v>
      </c>
      <c r="AC49" s="338">
        <f t="shared" si="22"/>
        <v>1.8873354326424607</v>
      </c>
      <c r="AF49" s="138">
        <f t="shared" si="23"/>
        <v>1</v>
      </c>
      <c r="AG49" s="138">
        <f t="shared" si="24"/>
        <v>4</v>
      </c>
      <c r="AH49" s="138">
        <f t="shared" si="25"/>
        <v>30</v>
      </c>
      <c r="AI49" s="138">
        <f t="shared" si="47"/>
        <v>836</v>
      </c>
      <c r="AJ49" s="138">
        <f t="shared" si="26"/>
        <v>853</v>
      </c>
      <c r="AL49" s="136">
        <f t="shared" si="27"/>
        <v>3.1970000000000001</v>
      </c>
      <c r="AM49" s="258">
        <f t="shared" si="28"/>
        <v>-2.5000000000000001E-2</v>
      </c>
      <c r="AN49" s="258">
        <f t="shared" si="29"/>
        <v>5.7500000000000002E-2</v>
      </c>
      <c r="AO49" s="258">
        <f t="shared" si="30"/>
        <v>0.14499999999999999</v>
      </c>
      <c r="AP49" s="258">
        <f t="shared" si="31"/>
        <v>-2.4999999999999998E-2</v>
      </c>
      <c r="AQ49" s="136">
        <f t="shared" si="32"/>
        <v>1.9200000000000002E-2</v>
      </c>
      <c r="AR49" s="137">
        <f t="shared" si="33"/>
        <v>2.9020000000000001E-2</v>
      </c>
      <c r="AS49" s="136">
        <f t="shared" si="50"/>
        <v>3.2295000000000003</v>
      </c>
      <c r="AT49" s="137">
        <f t="shared" si="51"/>
        <v>3.9084714616572501E-2</v>
      </c>
      <c r="AU49" s="137">
        <f t="shared" si="34"/>
        <v>0.9138584804666442</v>
      </c>
      <c r="AV49" s="394">
        <f t="shared" si="48"/>
        <v>12282.257977471698</v>
      </c>
      <c r="AW49" s="137">
        <f t="shared" si="35"/>
        <v>0.33</v>
      </c>
      <c r="AX49" s="137">
        <f t="shared" si="36"/>
        <v>0.4</v>
      </c>
      <c r="AY49" s="137">
        <f t="shared" si="37"/>
        <v>0.45</v>
      </c>
      <c r="AZ49" s="137"/>
      <c r="BA49" s="264"/>
      <c r="BB49" s="258">
        <f t="shared" si="38"/>
        <v>0</v>
      </c>
      <c r="BC49" s="258">
        <f t="shared" si="39"/>
        <v>0</v>
      </c>
      <c r="BD49" s="137">
        <f t="shared" si="40"/>
        <v>4.7743752686346674E-6</v>
      </c>
      <c r="BE49" s="137">
        <f t="shared" si="41"/>
        <v>8.715606236775475E-6</v>
      </c>
      <c r="BF49" s="137">
        <f>_xll.xSPRDOPT($BW49,$BV49,$CG49,0,$BY49,$BX49,$BZ49,$AJ49,1,4)*$CB49</f>
        <v>3.3753171923939913</v>
      </c>
      <c r="BG49" s="137">
        <f>_xll.xSPRDOPT($BW49,$BV49,$CG49,0,$BY49,$BX49,$BZ49,$AJ49,1,3)*$CB49</f>
        <v>3.4311778436487512</v>
      </c>
      <c r="BH49" s="137">
        <f>IF(OR(BF49&lt;&gt;0,BG49&lt;&gt;0),_xll.xSPRDOPT($BW49,$BV49,$CG49,0,$BY49,$BX49,$BZ49,$AJ49,1,12)*$CB49,0)</f>
        <v>-3.403118850452957</v>
      </c>
      <c r="BI49" s="137">
        <f>_xll.xSPRDOPT($BW49,$BV49,$CG49,2*LN(1+CA49/2),$BY49,$BX49,$BZ49,$AJ49,1,9)</f>
        <v>-4.3231383876492085E-3</v>
      </c>
      <c r="BJ49" s="137">
        <f>_xll.xSPRDOPT($BW49,$BV49,$CG49,0,$BY49,$BX49,$BZ49,$AJ49,1,6)*$CB49</f>
        <v>-0.33825322814132175</v>
      </c>
      <c r="BK49" s="137">
        <f>_xll.xSPRDOPT($BW49,$BV49,$CG49,0,$BY49,$BX49,$BZ49,$AJ49,1,5)*$CB49</f>
        <v>0.40541789597769151</v>
      </c>
      <c r="BL49" s="137">
        <f>_xll.xSPRDOPT(BW49,BV49,CG49,0,BY49,BX49,BZ49,AJ49,1,2)*CB49</f>
        <v>-0.24909266223018625</v>
      </c>
      <c r="BM49" s="137">
        <f>_xll.xSPRDOPT(BW49,BV49,CG49,0,BY49,BX49,BZ49,AJ49,1,1)*CB49</f>
        <v>0.25500390690869995</v>
      </c>
      <c r="BN49" s="137">
        <f>IF(AH49&lt;&gt;0,_xll.xSPRDOPT($BW49,$BV49,$CG49,2*LN(1+CA49/2),$BY49,$BX49,$BZ49,$AJ49,1,8)+(AJ49/365.25)*CH49/AH49,0)</f>
        <v>0.20214968284594226</v>
      </c>
      <c r="BO49" s="137">
        <f>_xll.xSPRDOPT($BW49,$BV49,$CG49,0,$BY49,$BX49,$BZ49,$AJ49,1,0)</f>
        <v>1.4300714359293368E-2</v>
      </c>
      <c r="BP49" s="137"/>
      <c r="BQ49" s="137"/>
      <c r="BR49" s="137"/>
      <c r="BS49" s="137"/>
      <c r="BV49" s="262">
        <v>3.3260211332880187</v>
      </c>
      <c r="BW49" s="136">
        <v>3.3170000000000002</v>
      </c>
      <c r="BX49" s="137">
        <v>0.33135712001344797</v>
      </c>
      <c r="BY49" s="137">
        <v>0.33248162069961779</v>
      </c>
      <c r="BZ49" s="137">
        <v>0.99923250443995992</v>
      </c>
      <c r="CA49" s="137">
        <v>3.9084714616572501E-2</v>
      </c>
      <c r="CB49" s="137">
        <v>0.91356798559380814</v>
      </c>
      <c r="CC49" s="258">
        <v>-2.5000000000000001E-2</v>
      </c>
      <c r="CD49" s="258">
        <v>5.7500000000000002E-2</v>
      </c>
      <c r="CE49" s="258">
        <v>0.14499999999999999</v>
      </c>
      <c r="CF49" s="258">
        <v>-2.5000000000000001E-2</v>
      </c>
      <c r="CG49" s="258">
        <v>1.9200000000000002E-2</v>
      </c>
      <c r="CH49" s="258">
        <v>3.0147743524595665</v>
      </c>
      <c r="CI49" s="258">
        <v>3.1970000000000001</v>
      </c>
    </row>
    <row r="50" spans="1:87" x14ac:dyDescent="0.25">
      <c r="A50" s="723"/>
      <c r="B50" s="723"/>
      <c r="D50" s="31">
        <f t="shared" si="42"/>
        <v>38122</v>
      </c>
      <c r="F50" s="28">
        <f t="shared" si="12"/>
        <v>15000</v>
      </c>
      <c r="G50" s="28">
        <f t="shared" si="13"/>
        <v>13641.306125923038</v>
      </c>
      <c r="H50" s="52">
        <f t="shared" si="14"/>
        <v>3.3208716966363885</v>
      </c>
      <c r="I50" s="52">
        <f t="shared" si="15"/>
        <v>3.2920000000000003</v>
      </c>
      <c r="K50" s="52">
        <f t="shared" si="49"/>
        <v>0</v>
      </c>
      <c r="L50" s="135">
        <f t="shared" si="43"/>
        <v>0.22657289889972335</v>
      </c>
      <c r="N50" s="131">
        <f t="shared" si="44"/>
        <v>0.32761016081651256</v>
      </c>
      <c r="O50" s="131">
        <f t="shared" si="45"/>
        <v>0.32761016081651256</v>
      </c>
      <c r="P50" s="55">
        <f t="shared" si="46"/>
        <v>0.99933648662932051</v>
      </c>
      <c r="Q50" s="135">
        <f>_xll.xSPRDOPT(I50,H50,AQ50,0,O50,N50,P50,D50-$G$5,1,0)*AH50*AU50</f>
        <v>0.22657289889972335</v>
      </c>
      <c r="R50" s="135"/>
      <c r="S50" s="181">
        <f>_xll.xSPRDOPT(I50,H50,AQ50,AT50,O50,N50,P50,D50-$G$5,1,2)*AF50*(F50/(1-AR50))*AH50</f>
        <v>-74979.714903328553</v>
      </c>
      <c r="T50" s="181">
        <f>_xll.xSPRDOPT(I50,H50,AQ50,AT50,O50,N50,P50,D50-$G$5,1,1)*AF50*F50*AH50</f>
        <v>74867.809832934276</v>
      </c>
      <c r="U50" s="135"/>
      <c r="V50" s="146">
        <f t="shared" si="16"/>
        <v>3.1011235926265042</v>
      </c>
      <c r="W50" s="146"/>
      <c r="X50" s="338">
        <f t="shared" si="17"/>
        <v>0</v>
      </c>
      <c r="Y50" s="338">
        <f t="shared" si="18"/>
        <v>0</v>
      </c>
      <c r="Z50" s="338">
        <f t="shared" si="19"/>
        <v>-12.141608675340127</v>
      </c>
      <c r="AA50" s="338">
        <f t="shared" si="20"/>
        <v>0.20929441148528216</v>
      </c>
      <c r="AB50" s="338">
        <f t="shared" si="21"/>
        <v>0</v>
      </c>
      <c r="AC50" s="338">
        <f t="shared" si="22"/>
        <v>1.110720805826324</v>
      </c>
      <c r="AF50" s="138">
        <f t="shared" si="23"/>
        <v>1</v>
      </c>
      <c r="AG50" s="138">
        <f t="shared" si="24"/>
        <v>5</v>
      </c>
      <c r="AH50" s="138">
        <f t="shared" si="25"/>
        <v>31</v>
      </c>
      <c r="AI50" s="138">
        <f t="shared" si="47"/>
        <v>866</v>
      </c>
      <c r="AJ50" s="138">
        <f t="shared" si="26"/>
        <v>883</v>
      </c>
      <c r="AL50" s="136">
        <f t="shared" si="27"/>
        <v>3.1920000000000002</v>
      </c>
      <c r="AM50" s="258">
        <f t="shared" si="28"/>
        <v>-2.5000000000000001E-2</v>
      </c>
      <c r="AN50" s="258">
        <f t="shared" si="29"/>
        <v>5.7500000000000002E-2</v>
      </c>
      <c r="AO50" s="258">
        <f t="shared" si="30"/>
        <v>0.125</v>
      </c>
      <c r="AP50" s="258">
        <f t="shared" si="31"/>
        <v>-2.4999999999999998E-2</v>
      </c>
      <c r="AQ50" s="136">
        <f t="shared" si="32"/>
        <v>1.9200000000000002E-2</v>
      </c>
      <c r="AR50" s="137">
        <f t="shared" si="33"/>
        <v>2.9020000000000001E-2</v>
      </c>
      <c r="AS50" s="136">
        <f t="shared" si="50"/>
        <v>3.2245000000000004</v>
      </c>
      <c r="AT50" s="137">
        <f t="shared" si="51"/>
        <v>3.9799554968306797E-2</v>
      </c>
      <c r="AU50" s="137">
        <f t="shared" si="34"/>
        <v>0.90942040839486926</v>
      </c>
      <c r="AV50" s="394">
        <f t="shared" si="48"/>
        <v>12630.030631787944</v>
      </c>
      <c r="AW50" s="137">
        <f t="shared" si="35"/>
        <v>0.32500000000000001</v>
      </c>
      <c r="AX50" s="137">
        <f t="shared" si="36"/>
        <v>0.45</v>
      </c>
      <c r="AY50" s="137">
        <f t="shared" si="37"/>
        <v>0.45</v>
      </c>
      <c r="AZ50" s="137"/>
      <c r="BA50" s="264"/>
      <c r="BB50" s="258">
        <f t="shared" si="38"/>
        <v>0</v>
      </c>
      <c r="BC50" s="258">
        <f t="shared" si="39"/>
        <v>0</v>
      </c>
      <c r="BD50" s="137">
        <f t="shared" si="40"/>
        <v>8.8178559663476541E-6</v>
      </c>
      <c r="BE50" s="137">
        <f t="shared" si="41"/>
        <v>8.8178559663476541E-6</v>
      </c>
      <c r="BF50" s="137">
        <f>_xll.xSPRDOPT($BW50,$BV50,$CG50,0,$BY50,$BX50,$BZ50,$AJ50,1,4)*$CB50</f>
        <v>2.5493773416912249</v>
      </c>
      <c r="BG50" s="137">
        <f>_xll.xSPRDOPT($BW50,$BV50,$CG50,0,$BY50,$BX50,$BZ50,$AJ50,1,3)*$CB50</f>
        <v>2.6230598436599091</v>
      </c>
      <c r="BH50" s="137">
        <f>IF(OR(BF50&lt;&gt;0,BG50&lt;&gt;0),_xll.xSPRDOPT($BW50,$BV50,$CG50,0,$BY50,$BX50,$BZ50,$AJ50,1,12)*$CB50,0)</f>
        <v>-2.5859478000708127</v>
      </c>
      <c r="BI50" s="137">
        <f>_xll.xSPRDOPT($BW50,$BV50,$CG50,2*LN(1+CA50/2),$BY50,$BX50,$BZ50,$AJ50,1,9)</f>
        <v>-3.1790125940272269E-3</v>
      </c>
      <c r="BJ50" s="137">
        <f>_xll.xSPRDOPT($BW50,$BV50,$CG50,0,$BY50,$BX50,$BZ50,$AJ50,1,6)*$CB50</f>
        <v>-0.17682792422202517</v>
      </c>
      <c r="BK50" s="137">
        <f>_xll.xSPRDOPT($BW50,$BV50,$CG50,0,$BY50,$BX50,$BZ50,$AJ50,1,5)*$CB50</f>
        <v>0.22787156910443623</v>
      </c>
      <c r="BL50" s="137">
        <f>_xll.xSPRDOPT(BW50,BV50,CG50,0,BY50,BX50,BZ50,AJ50,1,2)*CB50</f>
        <v>-0.15634490134829196</v>
      </c>
      <c r="BM50" s="137">
        <f>_xll.xSPRDOPT(BW50,BV50,CG50,0,BY50,BX50,BZ50,AJ50,1,1)*CB50</f>
        <v>0.16078193538801214</v>
      </c>
      <c r="BN50" s="137">
        <f>IF(AH50&lt;&gt;0,_xll.xSPRDOPT($BW50,$BV50,$CG50,2*LN(1+CA50/2),$BY50,$BX50,$BZ50,$AJ50,1,8)+(AJ50/365.25)*CH50/AH50,0)</f>
        <v>0.22461663829771519</v>
      </c>
      <c r="BO50" s="137">
        <f>_xll.xSPRDOPT($BW50,$BV50,$CG50,0,$BY50,$BX50,$BZ50,$AJ50,1,0)</f>
        <v>8.037455603903166E-3</v>
      </c>
      <c r="BP50" s="137"/>
      <c r="BQ50" s="137"/>
      <c r="BR50" s="137"/>
      <c r="BS50" s="137"/>
      <c r="BV50" s="262">
        <v>3.3208716966363885</v>
      </c>
      <c r="BW50" s="136">
        <v>3.2920000000000003</v>
      </c>
      <c r="BX50" s="137">
        <v>0.32760134296054622</v>
      </c>
      <c r="BY50" s="137">
        <v>0.32760134296054622</v>
      </c>
      <c r="BZ50" s="137">
        <v>0.99933870150049708</v>
      </c>
      <c r="CA50" s="137">
        <v>3.9799554968306797E-2</v>
      </c>
      <c r="CB50" s="137">
        <v>0.90912608967752451</v>
      </c>
      <c r="CC50" s="258">
        <v>-2.5000000000000001E-2</v>
      </c>
      <c r="CD50" s="258">
        <v>5.7500000000000002E-2</v>
      </c>
      <c r="CE50" s="258">
        <v>0.125</v>
      </c>
      <c r="CF50" s="258">
        <v>-2.5000000000000001E-2</v>
      </c>
      <c r="CG50" s="258">
        <v>1.9200000000000002E-2</v>
      </c>
      <c r="CH50" s="258">
        <v>3.1001199658003586</v>
      </c>
      <c r="CI50" s="258">
        <v>3.1920000000000002</v>
      </c>
    </row>
    <row r="51" spans="1:87" x14ac:dyDescent="0.25">
      <c r="A51" s="723"/>
      <c r="B51" s="723"/>
      <c r="D51" s="31">
        <f t="shared" si="42"/>
        <v>38153</v>
      </c>
      <c r="F51" s="28">
        <f t="shared" si="12"/>
        <v>15000</v>
      </c>
      <c r="G51" s="28">
        <f t="shared" si="13"/>
        <v>13571.22243727873</v>
      </c>
      <c r="H51" s="52">
        <f t="shared" si="14"/>
        <v>3.3569177531978003</v>
      </c>
      <c r="I51" s="52">
        <f t="shared" si="15"/>
        <v>3.347</v>
      </c>
      <c r="K51" s="52">
        <f t="shared" si="49"/>
        <v>0</v>
      </c>
      <c r="L51" s="135">
        <f t="shared" si="43"/>
        <v>0.45827627809081256</v>
      </c>
      <c r="N51" s="131">
        <f t="shared" si="44"/>
        <v>0.32256221350143816</v>
      </c>
      <c r="O51" s="131">
        <f t="shared" si="45"/>
        <v>0.32377095542828943</v>
      </c>
      <c r="P51" s="55">
        <f t="shared" si="46"/>
        <v>0.99910144402455636</v>
      </c>
      <c r="Q51" s="135">
        <f>_xll.xSPRDOPT(I51,H51,AQ51,0,O51,N51,P51,D51-$G$5,1,0)*AH51*AU51</f>
        <v>0.45827627809081256</v>
      </c>
      <c r="R51" s="135"/>
      <c r="S51" s="181">
        <f>_xll.xSPRDOPT(I51,H51,AQ51,AT51,O51,N51,P51,D51-$G$5,1,2)*AF51*(F51/(1-AR51))*AH51</f>
        <v>-132474.06326382328</v>
      </c>
      <c r="T51" s="181">
        <f>_xll.xSPRDOPT(I51,H51,AQ51,AT51,O51,N51,P51,D51-$G$5,1,1)*AF51*F51*AH51</f>
        <v>131724.1975081795</v>
      </c>
      <c r="U51" s="135"/>
      <c r="V51" s="146">
        <f t="shared" si="16"/>
        <v>2.9856689362013205</v>
      </c>
      <c r="W51" s="146"/>
      <c r="X51" s="338">
        <f t="shared" si="17"/>
        <v>0</v>
      </c>
      <c r="Y51" s="338">
        <f t="shared" si="18"/>
        <v>0</v>
      </c>
      <c r="Z51" s="338">
        <f t="shared" si="19"/>
        <v>-16.052343942995183</v>
      </c>
      <c r="AA51" s="338">
        <f t="shared" si="20"/>
        <v>1.0107687245529591</v>
      </c>
      <c r="AB51" s="338">
        <f t="shared" si="21"/>
        <v>0</v>
      </c>
      <c r="AC51" s="338">
        <f t="shared" si="22"/>
        <v>2.2863166848406657</v>
      </c>
      <c r="AF51" s="138">
        <f t="shared" si="23"/>
        <v>1</v>
      </c>
      <c r="AG51" s="138">
        <f t="shared" si="24"/>
        <v>6</v>
      </c>
      <c r="AH51" s="138">
        <f t="shared" si="25"/>
        <v>30</v>
      </c>
      <c r="AI51" s="138">
        <f t="shared" si="47"/>
        <v>897</v>
      </c>
      <c r="AJ51" s="138">
        <f t="shared" si="26"/>
        <v>914</v>
      </c>
      <c r="AL51" s="136">
        <f t="shared" si="27"/>
        <v>3.2269999999999999</v>
      </c>
      <c r="AM51" s="258">
        <f t="shared" si="28"/>
        <v>-2.5000000000000001E-2</v>
      </c>
      <c r="AN51" s="258">
        <f t="shared" si="29"/>
        <v>5.7500000000000002E-2</v>
      </c>
      <c r="AO51" s="258">
        <f t="shared" si="30"/>
        <v>0.14499999999999999</v>
      </c>
      <c r="AP51" s="258">
        <f t="shared" si="31"/>
        <v>-2.4999999999999998E-2</v>
      </c>
      <c r="AQ51" s="136">
        <f t="shared" si="32"/>
        <v>1.9200000000000002E-2</v>
      </c>
      <c r="AR51" s="137">
        <f t="shared" si="33"/>
        <v>2.9020000000000001E-2</v>
      </c>
      <c r="AS51" s="136">
        <f t="shared" si="50"/>
        <v>3.2595000000000001</v>
      </c>
      <c r="AT51" s="137">
        <f t="shared" si="51"/>
        <v>4.0538223511899799E-2</v>
      </c>
      <c r="AU51" s="137">
        <f t="shared" si="34"/>
        <v>0.9047481624852487</v>
      </c>
      <c r="AV51" s="394">
        <f t="shared" si="48"/>
        <v>12159.815303801743</v>
      </c>
      <c r="AW51" s="137">
        <f t="shared" si="35"/>
        <v>0.32</v>
      </c>
      <c r="AX51" s="137">
        <f t="shared" si="36"/>
        <v>0.45</v>
      </c>
      <c r="AY51" s="137">
        <f t="shared" si="37"/>
        <v>0.5</v>
      </c>
      <c r="AZ51" s="137"/>
      <c r="BA51" s="264"/>
      <c r="BB51" s="258">
        <f t="shared" si="38"/>
        <v>0</v>
      </c>
      <c r="BC51" s="258">
        <f t="shared" si="39"/>
        <v>0</v>
      </c>
      <c r="BD51" s="137">
        <f t="shared" si="40"/>
        <v>8.3674438265957107E-6</v>
      </c>
      <c r="BE51" s="137">
        <f t="shared" si="41"/>
        <v>1.2292021196125269E-5</v>
      </c>
      <c r="BF51" s="137">
        <f>_xll.xSPRDOPT($BW51,$BV51,$CG51,0,$BY51,$BX51,$BZ51,$AJ51,1,4)*$CB51</f>
        <v>3.8224450848534444</v>
      </c>
      <c r="BG51" s="137">
        <f>_xll.xSPRDOPT($BW51,$BV51,$CG51,0,$BY51,$BX51,$BZ51,$AJ51,1,3)*$CB51</f>
        <v>3.8870993604656134</v>
      </c>
      <c r="BH51" s="137">
        <f>IF(OR(BF51&lt;&gt;0,BG51&lt;&gt;0),_xll.xSPRDOPT($BW51,$BV51,$CG51,0,$BY51,$BX51,$BZ51,$AJ51,1,12)*$CB51,0)</f>
        <v>-3.8546210396838374</v>
      </c>
      <c r="BI51" s="137">
        <f>_xll.xSPRDOPT($BW51,$BV51,$CG51,2*LN(1+CA51/2),$BY51,$BX51,$BZ51,$AJ51,1,9)</f>
        <v>-4.3430508334659189E-3</v>
      </c>
      <c r="BJ51" s="137">
        <f>_xll.xSPRDOPT($BW51,$BV51,$CG51,0,$BY51,$BX51,$BZ51,$AJ51,1,6)*$CB51</f>
        <v>-0.33548609049148503</v>
      </c>
      <c r="BK51" s="137">
        <f>_xll.xSPRDOPT($BW51,$BV51,$CG51,0,$BY51,$BX51,$BZ51,$AJ51,1,5)*$CB51</f>
        <v>0.41110519233512438</v>
      </c>
      <c r="BL51" s="137">
        <f>_xll.xSPRDOPT(BW51,BV51,CG51,0,BY51,BX51,BZ51,AJ51,1,2)*CB51</f>
        <v>-0.28531633829829373</v>
      </c>
      <c r="BM51" s="137">
        <f>_xll.xSPRDOPT(BW51,BV51,CG51,0,BY51,BX51,BZ51,AJ51,1,1)*CB51</f>
        <v>0.29218827273425158</v>
      </c>
      <c r="BN51" s="137">
        <f>IF(AH51&lt;&gt;0,_xll.xSPRDOPT($BW51,$BV51,$CG51,2*LN(1+CA51/2),$BY51,$BX51,$BZ51,$AJ51,1,8)+(AJ51/365.25)*CH51/AH51,0)</f>
        <v>0.20971091316461876</v>
      </c>
      <c r="BO51" s="137">
        <f>_xll.xSPRDOPT($BW51,$BV51,$CG51,0,$BY51,$BX51,$BZ51,$AJ51,1,0)</f>
        <v>1.6871106895119788E-2</v>
      </c>
      <c r="BP51" s="137"/>
      <c r="BQ51" s="137"/>
      <c r="BR51" s="137"/>
      <c r="BS51" s="137"/>
      <c r="BV51" s="262">
        <v>3.3569177531978003</v>
      </c>
      <c r="BW51" s="136">
        <v>3.347</v>
      </c>
      <c r="BX51" s="137">
        <v>0.32255384605761156</v>
      </c>
      <c r="BY51" s="137">
        <v>0.32375866340709331</v>
      </c>
      <c r="BZ51" s="137">
        <v>0.99910431045604597</v>
      </c>
      <c r="CA51" s="137">
        <v>4.0538223511899799E-2</v>
      </c>
      <c r="CB51" s="137">
        <v>0.90444997650532444</v>
      </c>
      <c r="CC51" s="258">
        <v>-2.5000000000000001E-2</v>
      </c>
      <c r="CD51" s="258">
        <v>5.7500000000000002E-2</v>
      </c>
      <c r="CE51" s="258">
        <v>0.14499999999999999</v>
      </c>
      <c r="CF51" s="258">
        <v>-2.5000000000000001E-2</v>
      </c>
      <c r="CG51" s="258">
        <v>1.9200000000000002E-2</v>
      </c>
      <c r="CH51" s="258">
        <v>2.9846849224675704</v>
      </c>
      <c r="CI51" s="258">
        <v>3.2269999999999999</v>
      </c>
    </row>
    <row r="52" spans="1:87" x14ac:dyDescent="0.25">
      <c r="A52" s="723"/>
      <c r="B52" s="723"/>
      <c r="D52" s="31">
        <f t="shared" si="42"/>
        <v>38183</v>
      </c>
      <c r="F52" s="28">
        <f t="shared" si="12"/>
        <v>15000</v>
      </c>
      <c r="G52" s="28">
        <f t="shared" si="13"/>
        <v>13503.459641884758</v>
      </c>
      <c r="H52" s="52">
        <f t="shared" si="14"/>
        <v>3.3981132464108428</v>
      </c>
      <c r="I52" s="52">
        <f t="shared" si="15"/>
        <v>3.3919999999999999</v>
      </c>
      <c r="K52" s="52">
        <f t="shared" si="49"/>
        <v>0</v>
      </c>
      <c r="L52" s="135">
        <f t="shared" si="43"/>
        <v>0.45294414732839078</v>
      </c>
      <c r="N52" s="131">
        <f t="shared" si="44"/>
        <v>0.32377055765666068</v>
      </c>
      <c r="O52" s="131">
        <f t="shared" si="45"/>
        <v>0.32377055765666068</v>
      </c>
      <c r="P52" s="55">
        <f t="shared" si="46"/>
        <v>0.9992155854566509</v>
      </c>
      <c r="Q52" s="135">
        <f>_xll.xSPRDOPT(I52,H52,AQ52,0,O52,N52,P52,D52-$G$5,1,0)*AH52*AU52</f>
        <v>0.45294414732839078</v>
      </c>
      <c r="R52" s="135"/>
      <c r="S52" s="181">
        <f>_xll.xSPRDOPT(I52,H52,AQ52,AT52,O52,N52,P52,D52-$G$5,1,2)*AF52*(F52/(1-AR52))*AH52</f>
        <v>-125369.61868245013</v>
      </c>
      <c r="T52" s="181">
        <f>_xll.xSPRDOPT(I52,H52,AQ52,AT52,O52,N52,P52,D52-$G$5,1,1)*AF52*F52*AH52</f>
        <v>124598.86009143376</v>
      </c>
      <c r="U52" s="135"/>
      <c r="V52" s="146">
        <f t="shared" si="16"/>
        <v>3.0697864919218016</v>
      </c>
      <c r="W52" s="146"/>
      <c r="X52" s="338">
        <f t="shared" si="17"/>
        <v>0</v>
      </c>
      <c r="Y52" s="338">
        <f t="shared" si="18"/>
        <v>0</v>
      </c>
      <c r="Z52" s="338">
        <f t="shared" si="19"/>
        <v>-15.196559536576036</v>
      </c>
      <c r="AA52" s="338">
        <f t="shared" si="20"/>
        <v>0.407513835959392</v>
      </c>
      <c r="AB52" s="338">
        <f t="shared" si="21"/>
        <v>0</v>
      </c>
      <c r="AC52" s="338">
        <f t="shared" si="22"/>
        <v>2.2973019455515757</v>
      </c>
      <c r="AF52" s="138">
        <f t="shared" si="23"/>
        <v>1</v>
      </c>
      <c r="AG52" s="138">
        <f t="shared" si="24"/>
        <v>7</v>
      </c>
      <c r="AH52" s="138">
        <f t="shared" si="25"/>
        <v>31</v>
      </c>
      <c r="AI52" s="138">
        <f t="shared" si="47"/>
        <v>927</v>
      </c>
      <c r="AJ52" s="138">
        <f t="shared" si="26"/>
        <v>944</v>
      </c>
      <c r="AL52" s="136">
        <f t="shared" si="27"/>
        <v>3.2669999999999999</v>
      </c>
      <c r="AM52" s="258">
        <f t="shared" si="28"/>
        <v>-2.5000000000000001E-2</v>
      </c>
      <c r="AN52" s="258">
        <f t="shared" si="29"/>
        <v>5.7500000000000002E-2</v>
      </c>
      <c r="AO52" s="258">
        <f t="shared" si="30"/>
        <v>0.15</v>
      </c>
      <c r="AP52" s="258">
        <f t="shared" si="31"/>
        <v>-2.4999999999999998E-2</v>
      </c>
      <c r="AQ52" s="136">
        <f t="shared" si="32"/>
        <v>1.9200000000000002E-2</v>
      </c>
      <c r="AR52" s="137">
        <f t="shared" si="33"/>
        <v>2.9020000000000001E-2</v>
      </c>
      <c r="AS52" s="136">
        <f t="shared" si="50"/>
        <v>3.2995000000000001</v>
      </c>
      <c r="AT52" s="137">
        <f t="shared" si="51"/>
        <v>4.12152492802473E-2</v>
      </c>
      <c r="AU52" s="137">
        <f t="shared" si="34"/>
        <v>0.90023064279231713</v>
      </c>
      <c r="AV52" s="394">
        <f t="shared" si="48"/>
        <v>12502.403167099701</v>
      </c>
      <c r="AW52" s="137">
        <f t="shared" si="35"/>
        <v>0.32</v>
      </c>
      <c r="AX52" s="137">
        <f t="shared" si="36"/>
        <v>0.5</v>
      </c>
      <c r="AY52" s="137">
        <f t="shared" si="37"/>
        <v>0.5</v>
      </c>
      <c r="AZ52" s="137"/>
      <c r="BA52" s="264"/>
      <c r="BB52" s="258">
        <f t="shared" si="38"/>
        <v>0</v>
      </c>
      <c r="BC52" s="258">
        <f t="shared" si="39"/>
        <v>0</v>
      </c>
      <c r="BD52" s="137">
        <f t="shared" si="40"/>
        <v>1.1894249567379056E-5</v>
      </c>
      <c r="BE52" s="137">
        <f t="shared" si="41"/>
        <v>1.1894249567379056E-5</v>
      </c>
      <c r="BF52" s="137">
        <f>_xll.xSPRDOPT($BW52,$BV52,$CG52,0,$BY52,$BX52,$BZ52,$AJ52,1,4)*$CB52</f>
        <v>3.3256606081225573</v>
      </c>
      <c r="BG52" s="137">
        <f>_xll.xSPRDOPT($BW52,$BV52,$CG52,0,$BY52,$BX52,$BZ52,$AJ52,1,3)*$CB52</f>
        <v>3.3744699783578773</v>
      </c>
      <c r="BH52" s="137">
        <f>IF(OR(BF52&lt;&gt;0,BG52&lt;&gt;0),_xll.xSPRDOPT($BW52,$BV52,$CG52,0,$BY52,$BX52,$BZ52,$AJ52,1,12)*$CB52,0)</f>
        <v>-3.3499601082898445</v>
      </c>
      <c r="BI52" s="137">
        <f>_xll.xSPRDOPT($BW52,$BV52,$CG52,2*LN(1+CA52/2),$BY52,$BX52,$BZ52,$AJ52,1,9)</f>
        <v>-3.9788841367271663E-3</v>
      </c>
      <c r="BJ52" s="137">
        <f>_xll.xSPRDOPT($BW52,$BV52,$CG52,0,$BY52,$BX52,$BZ52,$AJ52,1,6)*$CB52</f>
        <v>-0.21344297190303779</v>
      </c>
      <c r="BK52" s="137">
        <f>_xll.xSPRDOPT($BW52,$BV52,$CG52,0,$BY52,$BX52,$BZ52,$AJ52,1,5)*$CB52</f>
        <v>0.28712343705625032</v>
      </c>
      <c r="BL52" s="137">
        <f>_xll.xSPRDOPT(BW52,BV52,CG52,0,BY52,BX52,BZ52,AJ52,1,2)*CB52</f>
        <v>-0.2612981362270147</v>
      </c>
      <c r="BM52" s="137">
        <f>_xll.xSPRDOPT(BW52,BV52,CG52,0,BY52,BX52,BZ52,AJ52,1,1)*CB52</f>
        <v>0.26746072293648226</v>
      </c>
      <c r="BN52" s="137">
        <f>IF(AH52&lt;&gt;0,_xll.xSPRDOPT($BW52,$BV52,$CG52,2*LN(1+CA52/2),$BY52,$BX52,$BZ52,$AJ52,1,8)+(AJ52/365.25)*CH52/AH52,0)</f>
        <v>0.21555500125241231</v>
      </c>
      <c r="BO52" s="137">
        <f>_xll.xSPRDOPT($BW52,$BV52,$CG52,0,$BY52,$BX52,$BZ52,$AJ52,1,0)</f>
        <v>1.6216902264039629E-2</v>
      </c>
      <c r="BP52" s="137"/>
      <c r="BQ52" s="137"/>
      <c r="BR52" s="137"/>
      <c r="BS52" s="137"/>
      <c r="BV52" s="262">
        <v>3.3981132464108428</v>
      </c>
      <c r="BW52" s="136">
        <v>3.3919999999999999</v>
      </c>
      <c r="BX52" s="137">
        <v>0.32375866340709331</v>
      </c>
      <c r="BY52" s="137">
        <v>0.32375866340709331</v>
      </c>
      <c r="BZ52" s="137">
        <v>0.99921801689083511</v>
      </c>
      <c r="CA52" s="137">
        <v>4.12152492802473E-2</v>
      </c>
      <c r="CB52" s="137">
        <v>0.89992904159661324</v>
      </c>
      <c r="CC52" s="258">
        <v>-2.5000000000000001E-2</v>
      </c>
      <c r="CD52" s="258">
        <v>5.7500000000000002E-2</v>
      </c>
      <c r="CE52" s="258">
        <v>0.15</v>
      </c>
      <c r="CF52" s="258">
        <v>-2.5000000000000001E-2</v>
      </c>
      <c r="CG52" s="258">
        <v>1.9200000000000002E-2</v>
      </c>
      <c r="CH52" s="258">
        <v>3.0687580318444514</v>
      </c>
      <c r="CI52" s="258">
        <v>3.2669999999999999</v>
      </c>
    </row>
    <row r="53" spans="1:87" x14ac:dyDescent="0.25">
      <c r="A53" s="723"/>
      <c r="B53" s="723"/>
      <c r="D53" s="31">
        <f t="shared" si="42"/>
        <v>38214</v>
      </c>
      <c r="F53" s="28">
        <f t="shared" si="12"/>
        <v>15000</v>
      </c>
      <c r="G53" s="28">
        <f t="shared" si="13"/>
        <v>13433.716012535337</v>
      </c>
      <c r="H53" s="52">
        <f t="shared" si="14"/>
        <v>3.4393087396238853</v>
      </c>
      <c r="I53" s="52">
        <f t="shared" si="15"/>
        <v>3.4319999999999999</v>
      </c>
      <c r="K53" s="52">
        <f t="shared" si="49"/>
        <v>0</v>
      </c>
      <c r="L53" s="135">
        <f t="shared" si="43"/>
        <v>0.53721870917214132</v>
      </c>
      <c r="N53" s="131">
        <f t="shared" si="44"/>
        <v>0.32493996126723368</v>
      </c>
      <c r="O53" s="131">
        <f t="shared" si="45"/>
        <v>0.32493996126723368</v>
      </c>
      <c r="P53" s="55">
        <f t="shared" si="46"/>
        <v>0.99908768488913335</v>
      </c>
      <c r="Q53" s="135">
        <f>_xll.xSPRDOPT(I53,H53,AQ53,0,O53,N53,P53,D53-$G$5,1,0)*AH53*AU53</f>
        <v>0.53721870917214132</v>
      </c>
      <c r="R53" s="135"/>
      <c r="S53" s="181">
        <f>_xll.xSPRDOPT(I53,H53,AQ53,AT53,O53,N53,P53,D53-$G$5,1,2)*AF53*(F53/(1-AR53))*AH53</f>
        <v>-144322.34905118236</v>
      </c>
      <c r="T53" s="181">
        <f>_xll.xSPRDOPT(I53,H53,AQ53,AT53,O53,N53,P53,D53-$G$5,1,1)*AF53*F53*AH53</f>
        <v>143513.55727731611</v>
      </c>
      <c r="U53" s="135"/>
      <c r="V53" s="146">
        <f t="shared" si="16"/>
        <v>3.0539314401830335</v>
      </c>
      <c r="W53" s="146"/>
      <c r="X53" s="338">
        <f t="shared" si="17"/>
        <v>0</v>
      </c>
      <c r="Y53" s="338">
        <f t="shared" si="18"/>
        <v>0</v>
      </c>
      <c r="Z53" s="338">
        <f t="shared" si="19"/>
        <v>-16.186237139801584</v>
      </c>
      <c r="AA53" s="338">
        <f t="shared" si="20"/>
        <v>0.57240702243979147</v>
      </c>
      <c r="AB53" s="338">
        <f t="shared" si="21"/>
        <v>0</v>
      </c>
      <c r="AC53" s="338">
        <f t="shared" si="22"/>
        <v>2.7683513556465522</v>
      </c>
      <c r="AF53" s="138">
        <f t="shared" si="23"/>
        <v>1</v>
      </c>
      <c r="AG53" s="138">
        <f t="shared" si="24"/>
        <v>8</v>
      </c>
      <c r="AH53" s="138">
        <f t="shared" si="25"/>
        <v>31</v>
      </c>
      <c r="AI53" s="138">
        <f t="shared" si="47"/>
        <v>958</v>
      </c>
      <c r="AJ53" s="138">
        <f t="shared" si="26"/>
        <v>975</v>
      </c>
      <c r="AL53" s="136">
        <f t="shared" si="27"/>
        <v>3.3069999999999999</v>
      </c>
      <c r="AM53" s="258">
        <f t="shared" si="28"/>
        <v>-2.5000000000000001E-2</v>
      </c>
      <c r="AN53" s="258">
        <f t="shared" si="29"/>
        <v>5.7500000000000002E-2</v>
      </c>
      <c r="AO53" s="258">
        <f t="shared" si="30"/>
        <v>0.15</v>
      </c>
      <c r="AP53" s="258">
        <f t="shared" si="31"/>
        <v>-2.4999999999999998E-2</v>
      </c>
      <c r="AQ53" s="136">
        <f t="shared" si="32"/>
        <v>1.9200000000000002E-2</v>
      </c>
      <c r="AR53" s="137">
        <f t="shared" si="33"/>
        <v>2.9020000000000001E-2</v>
      </c>
      <c r="AS53" s="136">
        <f t="shared" si="50"/>
        <v>3.3395000000000001</v>
      </c>
      <c r="AT53" s="137">
        <f t="shared" si="51"/>
        <v>4.1873365630825901E-2</v>
      </c>
      <c r="AU53" s="137">
        <f t="shared" si="34"/>
        <v>0.89558106750235578</v>
      </c>
      <c r="AV53" s="394">
        <f t="shared" si="48"/>
        <v>12437.829865472717</v>
      </c>
      <c r="AW53" s="137">
        <f t="shared" si="35"/>
        <v>0.32</v>
      </c>
      <c r="AX53" s="137">
        <f t="shared" si="36"/>
        <v>0.55000000000000004</v>
      </c>
      <c r="AY53" s="137">
        <f t="shared" si="37"/>
        <v>0.55000000000000004</v>
      </c>
      <c r="AZ53" s="137"/>
      <c r="BA53" s="264"/>
      <c r="BB53" s="258">
        <f t="shared" si="38"/>
        <v>0</v>
      </c>
      <c r="BC53" s="258">
        <f t="shared" si="39"/>
        <v>0</v>
      </c>
      <c r="BD53" s="137">
        <f t="shared" si="40"/>
        <v>1.5061519321957206E-5</v>
      </c>
      <c r="BE53" s="137">
        <f t="shared" si="41"/>
        <v>1.5061519321957206E-5</v>
      </c>
      <c r="BF53" s="137">
        <f>_xll.xSPRDOPT($BW53,$BV53,$CG53,0,$BY53,$BX53,$BZ53,$AJ53,1,4)*$CB53</f>
        <v>3.7226110670052095</v>
      </c>
      <c r="BG53" s="137">
        <f>_xll.xSPRDOPT($BW53,$BV53,$CG53,0,$BY53,$BX53,$BZ53,$AJ53,1,3)*$CB53</f>
        <v>3.7791908930499081</v>
      </c>
      <c r="BH53" s="137">
        <f>IF(OR(BF53&lt;&gt;0,BG53&lt;&gt;0),_xll.xSPRDOPT($BW53,$BV53,$CG53,0,$BY53,$BX53,$BZ53,$AJ53,1,12)*$CB53,0)</f>
        <v>-3.7507760034439901</v>
      </c>
      <c r="BI53" s="137">
        <f>_xll.xSPRDOPT($BW53,$BV53,$CG53,2*LN(1+CA53/2),$BY53,$BX53,$BZ53,$AJ53,1,9)</f>
        <v>-4.2380094016577271E-3</v>
      </c>
      <c r="BJ53" s="137">
        <f>_xll.xSPRDOPT($BW53,$BV53,$CG53,0,$BY53,$BX53,$BZ53,$AJ53,1,6)*$CB53</f>
        <v>-0.19675791485536998</v>
      </c>
      <c r="BK53" s="137">
        <f>_xll.xSPRDOPT($BW53,$BV53,$CG53,0,$BY53,$BX53,$BZ53,$AJ53,1,5)*$CB53</f>
        <v>0.27848823818085089</v>
      </c>
      <c r="BL53" s="137">
        <f>_xll.xSPRDOPT(BW53,BV53,CG53,0,BY53,BX53,BZ53,AJ53,1,2)*CB53</f>
        <v>-0.30085269673981224</v>
      </c>
      <c r="BM53" s="137">
        <f>_xll.xSPRDOPT(BW53,BV53,CG53,0,BY53,BX53,BZ53,AJ53,1,1)*CB53</f>
        <v>0.30811649209012876</v>
      </c>
      <c r="BN53" s="137">
        <f>IF(AH53&lt;&gt;0,_xll.xSPRDOPT($BW53,$BV53,$CG53,2*LN(1+CA53/2),$BY53,$BX53,$BZ53,$AJ53,1,8)+(AJ53/365.25)*CH53/AH53,0)</f>
        <v>0.215463034829011</v>
      </c>
      <c r="BO53" s="137">
        <f>_xll.xSPRDOPT($BW53,$BV53,$CG53,0,$BY53,$BX53,$BZ53,$AJ53,1,0)</f>
        <v>1.9334915454004609E-2</v>
      </c>
      <c r="BP53" s="137"/>
      <c r="BQ53" s="137"/>
      <c r="BR53" s="137"/>
      <c r="BS53" s="137"/>
      <c r="BV53" s="262">
        <v>3.4393087396238853</v>
      </c>
      <c r="BW53" s="136">
        <v>3.4319999999999999</v>
      </c>
      <c r="BX53" s="137">
        <v>0.32492489974791172</v>
      </c>
      <c r="BY53" s="137">
        <v>0.32492489974791172</v>
      </c>
      <c r="BZ53" s="137">
        <v>0.99909040337979049</v>
      </c>
      <c r="CA53" s="137">
        <v>4.1873365630825901E-2</v>
      </c>
      <c r="CB53" s="137">
        <v>0.89527628311247864</v>
      </c>
      <c r="CC53" s="258">
        <v>-2.5000000000000001E-2</v>
      </c>
      <c r="CD53" s="258">
        <v>5.7500000000000002E-2</v>
      </c>
      <c r="CE53" s="258">
        <v>0.15</v>
      </c>
      <c r="CF53" s="258">
        <v>-2.5000000000000001E-2</v>
      </c>
      <c r="CG53" s="258">
        <v>1.9200000000000002E-2</v>
      </c>
      <c r="CH53" s="258">
        <v>3.0528921254135524</v>
      </c>
      <c r="CI53" s="258">
        <v>3.3069999999999999</v>
      </c>
    </row>
    <row r="54" spans="1:87" x14ac:dyDescent="0.25">
      <c r="A54" s="723"/>
      <c r="B54" s="723"/>
      <c r="D54" s="31">
        <f t="shared" si="42"/>
        <v>38245</v>
      </c>
      <c r="F54" s="28">
        <f t="shared" ref="F54:F67" si="52">VLOOKUP(AG54,$AL$4:$AS$15,2)</f>
        <v>15000</v>
      </c>
      <c r="G54" s="28">
        <f t="shared" si="13"/>
        <v>13362.877708918239</v>
      </c>
      <c r="H54" s="52">
        <f t="shared" ref="H54:H67" si="53">(AL54+AM54+AN54)/(1-(AR54))</f>
        <v>3.4341593029722555</v>
      </c>
      <c r="I54" s="52">
        <f t="shared" ref="I54:I67" si="54">(AL54+AO54+AP54)</f>
        <v>3.4020000000000001</v>
      </c>
      <c r="K54" s="52">
        <f t="shared" si="49"/>
        <v>0</v>
      </c>
      <c r="L54" s="135">
        <f t="shared" si="43"/>
        <v>0.40961378457949604</v>
      </c>
      <c r="N54" s="131">
        <f t="shared" si="44"/>
        <v>0.32463755456303778</v>
      </c>
      <c r="O54" s="131">
        <f t="shared" si="45"/>
        <v>0.32595798130693049</v>
      </c>
      <c r="P54" s="55">
        <f t="shared" si="46"/>
        <v>0.9988999140888345</v>
      </c>
      <c r="Q54" s="135">
        <f>_xll.xSPRDOPT(I54,H54,AQ54,0,O54,N54,P54,D54-$G$5,1,0)*AH54*AU54</f>
        <v>0.40961378457949604</v>
      </c>
      <c r="R54" s="135"/>
      <c r="S54" s="181">
        <f>_xll.xSPRDOPT(I54,H54,AQ54,AT54,O54,N54,P54,D54-$G$5,1,2)*AF54*(F54/(1-AR54))*AH54</f>
        <v>-114023.23107631689</v>
      </c>
      <c r="T54" s="181">
        <f>_xll.xSPRDOPT(I54,H54,AQ54,AT54,O54,N54,P54,D54-$G$5,1,1)*AF54*F54*AH54</f>
        <v>114116.57267457817</v>
      </c>
      <c r="U54" s="135"/>
      <c r="V54" s="146">
        <f t="shared" ref="V54:V67" si="55">VLOOKUP($AG54,$AL$4:$AS$15,8)*AH54*AU54</f>
        <v>2.9398330959620127</v>
      </c>
      <c r="W54" s="146"/>
      <c r="X54" s="338">
        <f t="shared" ref="X54:X67" si="56">((BM54*BC54)+(BL54*BB54))*AH54*F54</f>
        <v>0</v>
      </c>
      <c r="Y54" s="338">
        <f t="shared" si="18"/>
        <v>0</v>
      </c>
      <c r="Z54" s="338">
        <f t="shared" si="19"/>
        <v>-15.666059206257932</v>
      </c>
      <c r="AA54" s="338">
        <f t="shared" si="20"/>
        <v>1.1380333541717553</v>
      </c>
      <c r="AB54" s="338">
        <f t="shared" ref="AB54:AB67" si="57">BN54*(AT54-CA54)*F54*AH54</f>
        <v>0</v>
      </c>
      <c r="AC54" s="338">
        <f t="shared" ref="AC54:AC67" si="58">BO54*CB54*F54*AH54*CA54*($G$5-$BV$5)/365.25</f>
        <v>2.1457400139328842</v>
      </c>
      <c r="AF54" s="138">
        <f t="shared" ref="AF54:AF67" si="59">IF(AND(D54&gt;=$G$7,D54&lt;=$G$8),1,0)</f>
        <v>1</v>
      </c>
      <c r="AG54" s="138">
        <f t="shared" ref="AG54:AG67" si="60">MONTH(D54)</f>
        <v>9</v>
      </c>
      <c r="AH54" s="138">
        <f t="shared" si="25"/>
        <v>30</v>
      </c>
      <c r="AI54" s="138">
        <f t="shared" si="47"/>
        <v>989</v>
      </c>
      <c r="AJ54" s="138">
        <f t="shared" ref="AJ54:AJ67" si="61">D54-$BV$5</f>
        <v>1006</v>
      </c>
      <c r="AL54" s="136">
        <f t="shared" si="27"/>
        <v>3.302</v>
      </c>
      <c r="AM54" s="258">
        <f t="shared" si="28"/>
        <v>-2.5000000000000001E-2</v>
      </c>
      <c r="AN54" s="258">
        <f t="shared" si="29"/>
        <v>5.7500000000000002E-2</v>
      </c>
      <c r="AO54" s="258">
        <f t="shared" si="30"/>
        <v>0.125</v>
      </c>
      <c r="AP54" s="258">
        <f t="shared" si="31"/>
        <v>-2.4999999999999998E-2</v>
      </c>
      <c r="AQ54" s="136">
        <f t="shared" ref="AQ54:AQ67" si="62">VLOOKUP($AG54,$AL$4:$AS$15,3)+VLOOKUP($AG54,$AL$4:$AS$15,5)+($AH$10*VLOOKUP(D54,GRITable,2))</f>
        <v>1.9200000000000002E-2</v>
      </c>
      <c r="AR54" s="137">
        <f t="shared" si="33"/>
        <v>2.9020000000000001E-2</v>
      </c>
      <c r="AS54" s="136">
        <f t="shared" si="50"/>
        <v>3.3345000000000002</v>
      </c>
      <c r="AT54" s="137">
        <f t="shared" si="51"/>
        <v>4.2531482126591399E-2</v>
      </c>
      <c r="AU54" s="137">
        <f t="shared" si="34"/>
        <v>0.89085851392788262</v>
      </c>
      <c r="AV54" s="394">
        <f t="shared" si="48"/>
        <v>11973.138427190743</v>
      </c>
      <c r="AW54" s="137">
        <f t="shared" si="35"/>
        <v>0.32</v>
      </c>
      <c r="AX54" s="137">
        <f t="shared" si="36"/>
        <v>0.55000000000000004</v>
      </c>
      <c r="AY54" s="137">
        <f t="shared" si="37"/>
        <v>0.6</v>
      </c>
      <c r="AZ54" s="137"/>
      <c r="BA54" s="264"/>
      <c r="BB54" s="258">
        <f t="shared" si="38"/>
        <v>0</v>
      </c>
      <c r="BC54" s="258">
        <f t="shared" ref="BC54:BC67" si="63">I54-BW54</f>
        <v>0</v>
      </c>
      <c r="BD54" s="137">
        <f t="shared" ref="BD54:BD67" si="64">N54-BX54</f>
        <v>1.3717559126436019E-5</v>
      </c>
      <c r="BE54" s="137">
        <f t="shared" ref="BE54:BE67" si="65">O54-BY54</f>
        <v>1.7587952775954818E-5</v>
      </c>
      <c r="BF54" s="137">
        <f>_xll.xSPRDOPT($BW54,$BV54,$CG54,0,$BY54,$BX54,$BZ54,$AJ54,1,4)*$CB54</f>
        <v>3.3551552181555402</v>
      </c>
      <c r="BG54" s="137">
        <f>_xll.xSPRDOPT($BW54,$BV54,$CG54,0,$BY54,$BX54,$BZ54,$AJ54,1,3)*$CB54</f>
        <v>3.4545767009187154</v>
      </c>
      <c r="BH54" s="137">
        <f>IF(OR(BF54&lt;&gt;0,BG54&lt;&gt;0),_xll.xSPRDOPT($BW54,$BV54,$CG54,0,$BY54,$BX54,$BZ54,$AJ54,1,12)*$CB54,0)</f>
        <v>-3.4044918811103511</v>
      </c>
      <c r="BI54" s="137">
        <f>_xll.xSPRDOPT($BW54,$BV54,$CG54,2*LN(1+CA54/2),$BY54,$BX54,$BZ54,$AJ54,1,9)</f>
        <v>-4.2385393519153401E-3</v>
      </c>
      <c r="BJ54" s="137">
        <f>_xll.xSPRDOPT($BW54,$BV54,$CG54,0,$BY54,$BX54,$BZ54,$AJ54,1,6)*$CB54</f>
        <v>-0.2890822920546976</v>
      </c>
      <c r="BK54" s="137">
        <f>_xll.xSPRDOPT($BW54,$BV54,$CG54,0,$BY54,$BX54,$BZ54,$AJ54,1,5)*$CB54</f>
        <v>0.36925653176732243</v>
      </c>
      <c r="BL54" s="137">
        <f>_xll.xSPRDOPT(BW54,BV54,CG54,0,BY54,BX54,BZ54,AJ54,1,2)*CB54</f>
        <v>-0.24625365633838747</v>
      </c>
      <c r="BM54" s="137">
        <f>_xll.xSPRDOPT(BW54,BV54,CG54,0,BY54,BX54,BZ54,AJ54,1,1)*CB54</f>
        <v>0.25382090889074815</v>
      </c>
      <c r="BN54" s="137">
        <f>IF(AH54&lt;&gt;0,_xll.xSPRDOPT($BW54,$BV54,$CG54,2*LN(1+CA54/2),$BY54,$BX54,$BZ54,$AJ54,1,8)+(AJ54/365.25)*CH54/AH54,0)</f>
        <v>0.23221556686487171</v>
      </c>
      <c r="BO54" s="137">
        <f>_xll.xSPRDOPT($BW54,$BV54,$CG54,0,$BY54,$BX54,$BZ54,$AJ54,1,0)</f>
        <v>1.5327256576680373E-2</v>
      </c>
      <c r="BP54" s="137"/>
      <c r="BQ54" s="137"/>
      <c r="BR54" s="137"/>
      <c r="BS54" s="137"/>
      <c r="BV54" s="262">
        <v>3.4341593029722555</v>
      </c>
      <c r="BW54" s="136">
        <v>3.4020000000000001</v>
      </c>
      <c r="BX54" s="137">
        <v>0.32462383700391134</v>
      </c>
      <c r="BY54" s="137">
        <v>0.32594039335415453</v>
      </c>
      <c r="BZ54" s="137">
        <v>0.99890306218662306</v>
      </c>
      <c r="CA54" s="137">
        <v>4.2531482126591399E-2</v>
      </c>
      <c r="CB54" s="137">
        <v>0.89055062233660143</v>
      </c>
      <c r="CC54" s="258">
        <v>-2.5000000000000001E-2</v>
      </c>
      <c r="CD54" s="258">
        <v>5.7500000000000002E-2</v>
      </c>
      <c r="CE54" s="258">
        <v>0.125</v>
      </c>
      <c r="CF54" s="258">
        <v>-2.5000000000000001E-2</v>
      </c>
      <c r="CG54" s="258">
        <v>1.9200000000000002E-2</v>
      </c>
      <c r="CH54" s="258">
        <v>2.9388170537107845</v>
      </c>
      <c r="CI54" s="258">
        <v>3.302</v>
      </c>
    </row>
    <row r="55" spans="1:87" x14ac:dyDescent="0.25">
      <c r="A55" s="723"/>
      <c r="B55" s="723"/>
      <c r="D55" s="31">
        <f t="shared" ref="D55:D67" si="66">D54+AH54</f>
        <v>38275</v>
      </c>
      <c r="F55" s="28">
        <f t="shared" si="52"/>
        <v>15000</v>
      </c>
      <c r="G55" s="28">
        <f t="shared" si="13"/>
        <v>13294.599791033865</v>
      </c>
      <c r="H55" s="52">
        <f t="shared" si="53"/>
        <v>3.4599064862304068</v>
      </c>
      <c r="I55" s="52">
        <f t="shared" si="54"/>
        <v>3.4470000000000001</v>
      </c>
      <c r="K55" s="52">
        <f t="shared" si="49"/>
        <v>0</v>
      </c>
      <c r="L55" s="135">
        <f t="shared" si="43"/>
        <v>0.68159841263040477</v>
      </c>
      <c r="N55" s="131">
        <f t="shared" si="44"/>
        <v>0.3259749105978777</v>
      </c>
      <c r="O55" s="131">
        <f t="shared" si="45"/>
        <v>0.32740813225277243</v>
      </c>
      <c r="P55" s="55">
        <f t="shared" si="46"/>
        <v>0.99873911896202849</v>
      </c>
      <c r="Q55" s="135">
        <f>_xll.xSPRDOPT(I55,H55,AQ55,0,O55,N55,P55,D55-$G$5,1,0)*AH55*AU55</f>
        <v>0.68159841263040477</v>
      </c>
      <c r="R55" s="135"/>
      <c r="S55" s="181">
        <f>_xll.xSPRDOPT(I55,H55,AQ55,AT55,O55,N55,P55,D55-$G$5,1,2)*AF55*(F55/(1-AR55))*AH55</f>
        <v>-155069.17997292517</v>
      </c>
      <c r="T55" s="181">
        <f>_xll.xSPRDOPT(I55,H55,AQ55,AT55,O55,N55,P55,D55-$G$5,1,1)*AF55*F55*AH55</f>
        <v>154850.49897656139</v>
      </c>
      <c r="U55" s="135"/>
      <c r="V55" s="146">
        <f t="shared" si="55"/>
        <v>3.0223056858283655</v>
      </c>
      <c r="W55" s="146"/>
      <c r="X55" s="338">
        <f t="shared" si="56"/>
        <v>0</v>
      </c>
      <c r="Y55" s="338">
        <f t="shared" si="18"/>
        <v>0</v>
      </c>
      <c r="Z55" s="338">
        <f t="shared" si="19"/>
        <v>-18.346245923514648</v>
      </c>
      <c r="AA55" s="338">
        <f t="shared" si="20"/>
        <v>1.5683029808228897</v>
      </c>
      <c r="AB55" s="338">
        <f t="shared" si="57"/>
        <v>0</v>
      </c>
      <c r="AC55" s="338">
        <f t="shared" si="58"/>
        <v>3.6209582080356184</v>
      </c>
      <c r="AF55" s="138">
        <f t="shared" si="59"/>
        <v>1</v>
      </c>
      <c r="AG55" s="138">
        <f t="shared" si="60"/>
        <v>10</v>
      </c>
      <c r="AH55" s="138">
        <f t="shared" si="25"/>
        <v>31</v>
      </c>
      <c r="AI55" s="138">
        <f t="shared" ref="AI55:AI67" si="67">AI54+AH54</f>
        <v>1019</v>
      </c>
      <c r="AJ55" s="138">
        <f t="shared" si="61"/>
        <v>1036</v>
      </c>
      <c r="AL55" s="136">
        <f t="shared" si="27"/>
        <v>3.327</v>
      </c>
      <c r="AM55" s="258">
        <f t="shared" si="28"/>
        <v>-2.5000000000000001E-2</v>
      </c>
      <c r="AN55" s="258">
        <f t="shared" si="29"/>
        <v>5.7500000000000002E-2</v>
      </c>
      <c r="AO55" s="258">
        <f t="shared" si="30"/>
        <v>0.14499999999999999</v>
      </c>
      <c r="AP55" s="258">
        <f t="shared" si="31"/>
        <v>-2.4999999999999998E-2</v>
      </c>
      <c r="AQ55" s="136">
        <f t="shared" si="62"/>
        <v>1.9200000000000002E-2</v>
      </c>
      <c r="AR55" s="137">
        <f t="shared" si="33"/>
        <v>2.9020000000000001E-2</v>
      </c>
      <c r="AS55" s="136">
        <f t="shared" si="50"/>
        <v>3.3595000000000002</v>
      </c>
      <c r="AT55" s="137">
        <f t="shared" si="51"/>
        <v>4.3133129078657198E-2</v>
      </c>
      <c r="AU55" s="137">
        <f t="shared" si="34"/>
        <v>0.88630665273559095</v>
      </c>
      <c r="AV55" s="394">
        <f t="shared" si="48"/>
        <v>12309.026793191888</v>
      </c>
      <c r="AW55" s="137">
        <f t="shared" si="35"/>
        <v>0.32</v>
      </c>
      <c r="AX55" s="137">
        <f t="shared" si="36"/>
        <v>0.6</v>
      </c>
      <c r="AY55" s="137">
        <f t="shared" si="37"/>
        <v>0.65</v>
      </c>
      <c r="AZ55" s="137"/>
      <c r="BA55" s="264"/>
      <c r="BB55" s="258">
        <f t="shared" si="38"/>
        <v>0</v>
      </c>
      <c r="BC55" s="258">
        <f t="shared" si="63"/>
        <v>0</v>
      </c>
      <c r="BD55" s="137">
        <f t="shared" si="64"/>
        <v>1.711896265560453E-5</v>
      </c>
      <c r="BE55" s="137">
        <f t="shared" si="65"/>
        <v>2.1179446968222493E-5</v>
      </c>
      <c r="BF55" s="137">
        <f>_xll.xSPRDOPT($BW55,$BV55,$CG55,0,$BY55,$BX55,$BZ55,$AJ55,1,4)*$CB55</f>
        <v>3.416670521028256</v>
      </c>
      <c r="BG55" s="137">
        <f>_xll.xSPRDOPT($BW55,$BV55,$CG55,0,$BY55,$BX55,$BZ55,$AJ55,1,3)*$CB55</f>
        <v>3.4788945598327894</v>
      </c>
      <c r="BH55" s="137">
        <f>IF(OR(BF55&lt;&gt;0,BG55&lt;&gt;0),_xll.xSPRDOPT($BW55,$BV55,$CG55,0,$BY55,$BX55,$BZ55,$AJ55,1,12)*$CB55,0)</f>
        <v>-3.4476257166981412</v>
      </c>
      <c r="BI55" s="137">
        <f>_xll.xSPRDOPT($BW55,$BV55,$CG55,2*LN(1+CA55/2),$BY55,$BX55,$BZ55,$AJ55,1,9)</f>
        <v>-4.8035600885761474E-3</v>
      </c>
      <c r="BJ55" s="137">
        <f>_xll.xSPRDOPT($BW55,$BV55,$CG55,0,$BY55,$BX55,$BZ55,$AJ55,1,6)*$CB55</f>
        <v>-0.31895268704440383</v>
      </c>
      <c r="BK55" s="137">
        <f>_xll.xSPRDOPT($BW55,$BV55,$CG55,0,$BY55,$BX55,$BZ55,$AJ55,1,5)*$CB55</f>
        <v>0.41704742026953828</v>
      </c>
      <c r="BL55" s="137">
        <f>_xll.xSPRDOPT(BW55,BV55,CG55,0,BY55,BX55,BZ55,AJ55,1,2)*CB55</f>
        <v>-0.32411495102892479</v>
      </c>
      <c r="BM55" s="137">
        <f>_xll.xSPRDOPT(BW55,BV55,CG55,0,BY55,BX55,BZ55,AJ55,1,1)*CB55</f>
        <v>0.33333092941096809</v>
      </c>
      <c r="BN55" s="137">
        <f>IF(AH55&lt;&gt;0,_xll.xSPRDOPT($BW55,$BV55,$CG55,2*LN(1+CA55/2),$BY55,$BX55,$BZ55,$AJ55,1,8)+(AJ55/365.25)*CH55/AH55,0)</f>
        <v>0.21409112571356895</v>
      </c>
      <c r="BO55" s="137">
        <f>_xll.xSPRDOPT($BW55,$BV55,$CG55,0,$BY55,$BX55,$BZ55,$AJ55,1,0)</f>
        <v>2.4808287125593027E-2</v>
      </c>
      <c r="BP55" s="137"/>
      <c r="BQ55" s="137"/>
      <c r="BR55" s="137"/>
      <c r="BS55" s="137"/>
      <c r="BV55" s="262">
        <v>3.4599064862304068</v>
      </c>
      <c r="BW55" s="136">
        <v>3.4470000000000001</v>
      </c>
      <c r="BX55" s="137">
        <v>0.32595779163522209</v>
      </c>
      <c r="BY55" s="137">
        <v>0.32738695280580421</v>
      </c>
      <c r="BZ55" s="137">
        <v>0.99874259088932427</v>
      </c>
      <c r="CA55" s="137">
        <v>4.3133129078657198E-2</v>
      </c>
      <c r="CB55" s="137">
        <v>0.88599604782278252</v>
      </c>
      <c r="CC55" s="258">
        <v>-2.5000000000000001E-2</v>
      </c>
      <c r="CD55" s="258">
        <v>5.7500000000000002E-2</v>
      </c>
      <c r="CE55" s="258">
        <v>0.14499999999999999</v>
      </c>
      <c r="CF55" s="258">
        <v>-2.5000000000000001E-2</v>
      </c>
      <c r="CG55" s="258">
        <v>1.9200000000000002E-2</v>
      </c>
      <c r="CH55" s="258">
        <v>3.0212465230756886</v>
      </c>
      <c r="CI55" s="258">
        <v>3.327</v>
      </c>
    </row>
    <row r="56" spans="1:87" x14ac:dyDescent="0.25">
      <c r="A56" s="723"/>
      <c r="B56" s="723"/>
      <c r="D56" s="31">
        <f t="shared" si="66"/>
        <v>38306</v>
      </c>
      <c r="F56" s="28">
        <f t="shared" si="52"/>
        <v>15000</v>
      </c>
      <c r="G56" s="28">
        <f t="shared" si="13"/>
        <v>13224.351715399462</v>
      </c>
      <c r="H56" s="52">
        <f t="shared" si="53"/>
        <v>3.6164493604399683</v>
      </c>
      <c r="I56" s="52">
        <f t="shared" si="54"/>
        <v>3.649</v>
      </c>
      <c r="K56" s="52">
        <f t="shared" si="49"/>
        <v>0.35310710633476966</v>
      </c>
      <c r="L56" s="135">
        <f t="shared" si="43"/>
        <v>1.1843049810806245</v>
      </c>
      <c r="N56" s="131">
        <f t="shared" si="44"/>
        <v>0.33162000992991286</v>
      </c>
      <c r="O56" s="131">
        <f t="shared" si="45"/>
        <v>0.33336736915436316</v>
      </c>
      <c r="P56" s="55">
        <f t="shared" si="46"/>
        <v>0.9981218826397944</v>
      </c>
      <c r="Q56" s="135">
        <f>_xll.xSPRDOPT(I56,H56,AQ56,0,O56,N56,P56,D56-$G$5,1,0)*AH56*AU56</f>
        <v>1.5374120874153943</v>
      </c>
      <c r="R56" s="135"/>
      <c r="S56" s="181">
        <f>_xll.xSPRDOPT(I56,H56,AQ56,AT56,O56,N56,P56,D56-$G$5,1,2)*AF56*(F56/(1-AR56))*AH56</f>
        <v>-218239.46518024156</v>
      </c>
      <c r="T56" s="181">
        <f>_xll.xSPRDOPT(I56,H56,AQ56,AT56,O56,N56,P56,D56-$G$5,1,1)*AF56*F56*AH56</f>
        <v>217370.12072369116</v>
      </c>
      <c r="U56" s="135"/>
      <c r="V56" s="146">
        <f t="shared" si="55"/>
        <v>2.9093573773878814</v>
      </c>
      <c r="W56" s="146"/>
      <c r="X56" s="338">
        <f t="shared" si="56"/>
        <v>0</v>
      </c>
      <c r="Y56" s="338">
        <f t="shared" si="18"/>
        <v>0</v>
      </c>
      <c r="Z56" s="338">
        <f t="shared" si="19"/>
        <v>-20.221583146871396</v>
      </c>
      <c r="AA56" s="338">
        <f t="shared" si="20"/>
        <v>2.8451750343821325</v>
      </c>
      <c r="AB56" s="338">
        <f t="shared" si="57"/>
        <v>0</v>
      </c>
      <c r="AC56" s="338">
        <f t="shared" si="58"/>
        <v>8.2785340784040073</v>
      </c>
      <c r="AF56" s="138">
        <f t="shared" si="59"/>
        <v>1</v>
      </c>
      <c r="AG56" s="138">
        <f t="shared" si="60"/>
        <v>11</v>
      </c>
      <c r="AH56" s="138">
        <f t="shared" si="25"/>
        <v>30</v>
      </c>
      <c r="AI56" s="138">
        <f t="shared" si="67"/>
        <v>1050</v>
      </c>
      <c r="AJ56" s="138">
        <f t="shared" si="61"/>
        <v>1067</v>
      </c>
      <c r="AL56" s="136">
        <f t="shared" si="27"/>
        <v>3.4790000000000001</v>
      </c>
      <c r="AM56" s="258">
        <f t="shared" si="28"/>
        <v>-2.5000000000000001E-2</v>
      </c>
      <c r="AN56" s="258">
        <f t="shared" si="29"/>
        <v>5.7500000000000002E-2</v>
      </c>
      <c r="AO56" s="258">
        <f t="shared" si="30"/>
        <v>0.19500000000000001</v>
      </c>
      <c r="AP56" s="258">
        <f t="shared" si="31"/>
        <v>-2.4999999999999998E-2</v>
      </c>
      <c r="AQ56" s="136">
        <f t="shared" si="62"/>
        <v>1.9200000000000002E-2</v>
      </c>
      <c r="AR56" s="137">
        <f t="shared" si="33"/>
        <v>2.9020000000000001E-2</v>
      </c>
      <c r="AS56" s="136">
        <f t="shared" si="50"/>
        <v>3.5115000000000003</v>
      </c>
      <c r="AT56" s="137">
        <f t="shared" si="51"/>
        <v>4.37209690349563E-2</v>
      </c>
      <c r="AU56" s="137">
        <f t="shared" si="34"/>
        <v>0.88162344769329748</v>
      </c>
      <c r="AV56" s="394">
        <f t="shared" si="48"/>
        <v>11849.019136997918</v>
      </c>
      <c r="AW56" s="137">
        <f t="shared" si="35"/>
        <v>0.32</v>
      </c>
      <c r="AX56" s="137">
        <f t="shared" si="36"/>
        <v>0.8</v>
      </c>
      <c r="AY56" s="137">
        <f t="shared" si="37"/>
        <v>0.85</v>
      </c>
      <c r="AZ56" s="137"/>
      <c r="BA56" s="264"/>
      <c r="BB56" s="258">
        <f t="shared" si="38"/>
        <v>0</v>
      </c>
      <c r="BC56" s="258">
        <f t="shared" si="63"/>
        <v>0</v>
      </c>
      <c r="BD56" s="137">
        <f t="shared" si="64"/>
        <v>3.2070164678321689E-5</v>
      </c>
      <c r="BE56" s="137">
        <f t="shared" si="65"/>
        <v>3.6798004758975544E-5</v>
      </c>
      <c r="BF56" s="137">
        <f>_xll.xSPRDOPT($BW56,$BV56,$CG56,0,$BY56,$BX56,$BZ56,$AJ56,1,4)*$CB56</f>
        <v>2.7354678264800643</v>
      </c>
      <c r="BG56" s="137">
        <f>_xll.xSPRDOPT($BW56,$BV56,$CG56,0,$BY56,$BX56,$BZ56,$AJ56,1,3)*$CB56</f>
        <v>2.7154242267442794</v>
      </c>
      <c r="BH56" s="137">
        <f>IF(OR(BF56&lt;&gt;0,BG56&lt;&gt;0),_xll.xSPRDOPT($BW56,$BV56,$CG56,0,$BY56,$BX56,$BZ56,$AJ56,1,12)*$CB56,0)</f>
        <v>-2.725412186145789</v>
      </c>
      <c r="BI56" s="137">
        <f>_xll.xSPRDOPT($BW56,$BV56,$CG56,2*LN(1+CA56/2),$BY56,$BX56,$BZ56,$AJ56,1,9)</f>
        <v>-5.4710616625146492E-3</v>
      </c>
      <c r="BJ56" s="137">
        <f>_xll.xSPRDOPT($BW56,$BV56,$CG56,0,$BY56,$BX56,$BZ56,$AJ56,1,6)*$CB56</f>
        <v>-0.30090550111042313</v>
      </c>
      <c r="BK56" s="137">
        <f>_xll.xSPRDOPT($BW56,$BV56,$CG56,0,$BY56,$BX56,$BZ56,$AJ56,1,5)*$CB56</f>
        <v>0.43406429955537379</v>
      </c>
      <c r="BL56" s="137">
        <f>_xll.xSPRDOPT(BW56,BV56,CG56,0,BY56,BX56,BZ56,AJ56,1,2)*CB56</f>
        <v>-0.47138220792673197</v>
      </c>
      <c r="BM56" s="137">
        <f>_xll.xSPRDOPT(BW56,BV56,CG56,0,BY56,BX56,BZ56,AJ56,1,1)*CB56</f>
        <v>0.48353657043356446</v>
      </c>
      <c r="BN56" s="137">
        <f>IF(AH56&lt;&gt;0,_xll.xSPRDOPT($BW56,$BV56,$CG56,2*LN(1+CA56/2),$BY56,$BX56,$BZ56,$AJ56,1,8)+(AJ56/365.25)*CH56/AH56,0)</f>
        <v>0.1335455594274946</v>
      </c>
      <c r="BO56" s="137">
        <f>_xll.xSPRDOPT($BW56,$BV56,$CG56,0,$BY56,$BX56,$BZ56,$AJ56,1,0)</f>
        <v>5.8128787288742254E-2</v>
      </c>
      <c r="BP56" s="137"/>
      <c r="BQ56" s="137"/>
      <c r="BR56" s="137"/>
      <c r="BS56" s="137"/>
      <c r="BV56" s="262">
        <v>3.6164493604399683</v>
      </c>
      <c r="BW56" s="136">
        <v>3.649</v>
      </c>
      <c r="BX56" s="137">
        <v>0.33158793976523454</v>
      </c>
      <c r="BY56" s="137">
        <v>0.33333057114960418</v>
      </c>
      <c r="BZ56" s="137">
        <v>0.99812673449876388</v>
      </c>
      <c r="CA56" s="137">
        <v>4.37209690349563E-2</v>
      </c>
      <c r="CB56" s="137">
        <v>0.88131031923448877</v>
      </c>
      <c r="CC56" s="258">
        <v>-2.5000000000000001E-2</v>
      </c>
      <c r="CD56" s="258">
        <v>5.7500000000000002E-2</v>
      </c>
      <c r="CE56" s="258">
        <v>0.19500000000000001</v>
      </c>
      <c r="CF56" s="258">
        <v>-2.5000000000000001E-2</v>
      </c>
      <c r="CG56" s="258">
        <v>1.9200000000000002E-2</v>
      </c>
      <c r="CH56" s="258">
        <v>2.9083240534738128</v>
      </c>
      <c r="CI56" s="258">
        <v>3.4790000000000001</v>
      </c>
    </row>
    <row r="57" spans="1:87" x14ac:dyDescent="0.25">
      <c r="A57" s="723"/>
      <c r="B57" s="723"/>
      <c r="D57" s="31">
        <f t="shared" si="66"/>
        <v>38336</v>
      </c>
      <c r="F57" s="28">
        <f t="shared" si="52"/>
        <v>15000</v>
      </c>
      <c r="G57" s="28">
        <f t="shared" si="13"/>
        <v>13155.505983792151</v>
      </c>
      <c r="H57" s="52">
        <f t="shared" si="53"/>
        <v>3.763723248676595</v>
      </c>
      <c r="I57" s="52">
        <f t="shared" si="54"/>
        <v>3.8119999999999998</v>
      </c>
      <c r="K57" s="52">
        <f t="shared" si="49"/>
        <v>0.79054004378352916</v>
      </c>
      <c r="L57" s="135">
        <f t="shared" si="43"/>
        <v>1.4317767738022646</v>
      </c>
      <c r="N57" s="131">
        <f t="shared" si="44"/>
        <v>0.33926384180861408</v>
      </c>
      <c r="O57" s="131">
        <f t="shared" si="45"/>
        <v>0.34139450110637204</v>
      </c>
      <c r="P57" s="55">
        <f t="shared" si="46"/>
        <v>0.99730156146096804</v>
      </c>
      <c r="Q57" s="135">
        <f>_xll.xSPRDOPT(I57,H57,AQ57,0,O57,N57,P57,D57-$G$5,1,0)*AH57*AU57</f>
        <v>2.2223168175857939</v>
      </c>
      <c r="R57" s="135"/>
      <c r="S57" s="181">
        <f>_xll.xSPRDOPT(I57,H57,AQ57,AT57,O57,N57,P57,D57-$G$5,1,2)*AF57*(F57/(1-AR57))*AH57</f>
        <v>-235388.90667135417</v>
      </c>
      <c r="T57" s="181">
        <f>_xll.xSPRDOPT(I57,H57,AQ57,AT57,O57,N57,P57,D57-$G$5,1,1)*AF57*F57*AH57</f>
        <v>235485.08544497169</v>
      </c>
      <c r="U57" s="135"/>
      <c r="V57" s="146">
        <f t="shared" si="55"/>
        <v>2.9906850269820824</v>
      </c>
      <c r="W57" s="146"/>
      <c r="X57" s="338">
        <f t="shared" si="56"/>
        <v>0</v>
      </c>
      <c r="Y57" s="338">
        <f t="shared" si="18"/>
        <v>0</v>
      </c>
      <c r="Z57" s="338">
        <f t="shared" si="19"/>
        <v>-24.370841972432995</v>
      </c>
      <c r="AA57" s="338">
        <f t="shared" si="20"/>
        <v>5.0352649978277348</v>
      </c>
      <c r="AB57" s="338">
        <f t="shared" si="57"/>
        <v>0</v>
      </c>
      <c r="AC57" s="338">
        <f t="shared" si="58"/>
        <v>12.122148081196768</v>
      </c>
      <c r="AF57" s="138">
        <f t="shared" si="59"/>
        <v>1</v>
      </c>
      <c r="AG57" s="138">
        <f t="shared" si="60"/>
        <v>12</v>
      </c>
      <c r="AH57" s="138">
        <f t="shared" si="25"/>
        <v>31</v>
      </c>
      <c r="AI57" s="138">
        <f t="shared" si="67"/>
        <v>1080</v>
      </c>
      <c r="AJ57" s="138">
        <f t="shared" si="61"/>
        <v>1097</v>
      </c>
      <c r="AL57" s="136">
        <f t="shared" si="27"/>
        <v>3.6219999999999999</v>
      </c>
      <c r="AM57" s="258">
        <f t="shared" si="28"/>
        <v>-2.5000000000000001E-2</v>
      </c>
      <c r="AN57" s="258">
        <f t="shared" si="29"/>
        <v>5.7500000000000002E-2</v>
      </c>
      <c r="AO57" s="258">
        <f t="shared" si="30"/>
        <v>0.215</v>
      </c>
      <c r="AP57" s="258">
        <f t="shared" si="31"/>
        <v>-2.4999999999999998E-2</v>
      </c>
      <c r="AQ57" s="136">
        <f t="shared" si="62"/>
        <v>1.9200000000000002E-2</v>
      </c>
      <c r="AR57" s="137">
        <f t="shared" si="33"/>
        <v>2.9020000000000001E-2</v>
      </c>
      <c r="AS57" s="136">
        <f t="shared" si="50"/>
        <v>3.6545000000000001</v>
      </c>
      <c r="AT57" s="137">
        <f t="shared" si="51"/>
        <v>4.4289846522210997E-2</v>
      </c>
      <c r="AU57" s="137">
        <f t="shared" si="34"/>
        <v>0.87703373225281001</v>
      </c>
      <c r="AV57" s="394">
        <f t="shared" si="48"/>
        <v>12180.244473527026</v>
      </c>
      <c r="AW57" s="137">
        <f t="shared" si="35"/>
        <v>0.32</v>
      </c>
      <c r="AX57" s="137">
        <f t="shared" si="36"/>
        <v>1</v>
      </c>
      <c r="AY57" s="137">
        <f t="shared" si="37"/>
        <v>1.05</v>
      </c>
      <c r="AZ57" s="137"/>
      <c r="BA57" s="264"/>
      <c r="BB57" s="258">
        <f t="shared" si="38"/>
        <v>0</v>
      </c>
      <c r="BC57" s="258">
        <f t="shared" si="63"/>
        <v>0</v>
      </c>
      <c r="BD57" s="137">
        <f t="shared" si="64"/>
        <v>5.1119724299109048E-5</v>
      </c>
      <c r="BE57" s="137">
        <f t="shared" si="65"/>
        <v>5.6602214606349399E-5</v>
      </c>
      <c r="BF57" s="137">
        <f>_xll.xSPRDOPT($BW57,$BV57,$CG57,0,$BY57,$BX57,$BZ57,$AJ57,1,4)*$CB57</f>
        <v>2.0911235034837636</v>
      </c>
      <c r="BG57" s="137">
        <f>_xll.xSPRDOPT($BW57,$BV57,$CG57,0,$BY57,$BX57,$BZ57,$AJ57,1,3)*$CB57</f>
        <v>2.0594260357606791</v>
      </c>
      <c r="BH57" s="137">
        <f>IF(OR(BF57&lt;&gt;0,BG57&lt;&gt;0),_xll.xSPRDOPT($BW57,$BV57,$CG57,0,$BY57,$BX57,$BZ57,$AJ57,1,12)*$CB57,0)</f>
        <v>-2.0752019617331299</v>
      </c>
      <c r="BI57" s="137">
        <f>_xll.xSPRDOPT($BW57,$BV57,$CG57,2*LN(1+CA57/2),$BY57,$BX57,$BZ57,$AJ57,1,9)</f>
        <v>-6.3809677637499292E-3</v>
      </c>
      <c r="BJ57" s="137">
        <f>_xll.xSPRDOPT($BW57,$BV57,$CG57,0,$BY57,$BX57,$BZ57,$AJ57,1,6)*$CB57</f>
        <v>-0.2622914773719176</v>
      </c>
      <c r="BK57" s="137">
        <f>_xll.xSPRDOPT($BW57,$BV57,$CG57,0,$BY57,$BX57,$BZ57,$AJ57,1,5)*$CB57</f>
        <v>0.42819516965663984</v>
      </c>
      <c r="BL57" s="137">
        <f>_xll.xSPRDOPT(BW57,BV57,CG57,0,BY57,BX57,BZ57,AJ57,1,2)*CB57</f>
        <v>-0.49205735265474759</v>
      </c>
      <c r="BM57" s="137">
        <f>_xll.xSPRDOPT(BW57,BV57,CG57,0,BY57,BX57,BZ57,AJ57,1,1)*CB57</f>
        <v>0.50697060562643748</v>
      </c>
      <c r="BN57" s="137">
        <f>IF(AH57&lt;&gt;0,_xll.xSPRDOPT($BW57,$BV57,$CG57,2*LN(1+CA57/2),$BY57,$BX57,$BZ57,$AJ57,1,8)+(AJ57/365.25)*CH57/AH57,0)</f>
        <v>7.4414569186700447E-2</v>
      </c>
      <c r="BO57" s="137">
        <f>_xll.xSPRDOPT($BW57,$BV57,$CG57,0,$BY57,$BX57,$BZ57,$AJ57,1,0)</f>
        <v>8.1739389864237677E-2</v>
      </c>
      <c r="BP57" s="137"/>
      <c r="BQ57" s="137"/>
      <c r="BR57" s="137"/>
      <c r="BS57" s="137"/>
      <c r="BV57" s="262">
        <v>3.763723248676595</v>
      </c>
      <c r="BW57" s="136">
        <v>3.8119999999999998</v>
      </c>
      <c r="BX57" s="137">
        <v>0.33921272208431497</v>
      </c>
      <c r="BY57" s="137">
        <v>0.34133789889176569</v>
      </c>
      <c r="BZ57" s="137">
        <v>0.99730803180917549</v>
      </c>
      <c r="CA57" s="137">
        <v>4.4289846522210997E-2</v>
      </c>
      <c r="CB57" s="137">
        <v>0.8767182256484275</v>
      </c>
      <c r="CC57" s="258">
        <v>-2.5000000000000001E-2</v>
      </c>
      <c r="CD57" s="258">
        <v>5.7500000000000002E-2</v>
      </c>
      <c r="CE57" s="258">
        <v>0.215</v>
      </c>
      <c r="CF57" s="258">
        <v>-2.5000000000000001E-2</v>
      </c>
      <c r="CG57" s="258">
        <v>1.9200000000000002E-2</v>
      </c>
      <c r="CH57" s="258">
        <v>2.9896091494611379</v>
      </c>
      <c r="CI57" s="258">
        <v>3.6219999999999999</v>
      </c>
    </row>
    <row r="58" spans="1:87" x14ac:dyDescent="0.25">
      <c r="A58" s="723"/>
      <c r="B58" s="723"/>
      <c r="D58" s="31">
        <f t="shared" si="66"/>
        <v>38367</v>
      </c>
      <c r="F58" s="28">
        <f t="shared" si="52"/>
        <v>15000</v>
      </c>
      <c r="G58" s="28">
        <f t="shared" si="13"/>
        <v>13084.390222085625</v>
      </c>
      <c r="H58" s="52">
        <f t="shared" si="53"/>
        <v>3.825516488496159</v>
      </c>
      <c r="I58" s="52">
        <f t="shared" si="54"/>
        <v>3.8919999999999999</v>
      </c>
      <c r="K58" s="52">
        <f t="shared" si="49"/>
        <v>1.2785968922125737</v>
      </c>
      <c r="L58" s="135">
        <f t="shared" si="43"/>
        <v>1.2547406279810585</v>
      </c>
      <c r="N58" s="131">
        <f t="shared" si="44"/>
        <v>0.33874838161277315</v>
      </c>
      <c r="O58" s="131">
        <f t="shared" si="45"/>
        <v>0.34082371955573526</v>
      </c>
      <c r="P58" s="55">
        <f t="shared" si="46"/>
        <v>0.99736695822164156</v>
      </c>
      <c r="Q58" s="135">
        <f>_xll.xSPRDOPT(I58,H58,AQ58,0,O58,N58,P58,D58-$G$5,1,0)*AH58*AU58</f>
        <v>2.5333375201936321</v>
      </c>
      <c r="R58" s="135"/>
      <c r="S58" s="181">
        <f>_xll.xSPRDOPT(I58,H58,AQ58,AT58,O58,N58,P58,D58-$G$5,1,2)*AF58*(F58/(1-AR58))*AH58</f>
        <v>-251116.3307296831</v>
      </c>
      <c r="T58" s="181">
        <f>_xll.xSPRDOPT(I58,H58,AQ58,AT58,O58,N58,P58,D58-$G$5,1,1)*AF58*F58*AH58</f>
        <v>250555.74800151432</v>
      </c>
      <c r="U58" s="135"/>
      <c r="V58" s="146">
        <f t="shared" si="55"/>
        <v>2.9745180438207992</v>
      </c>
      <c r="W58" s="146"/>
      <c r="X58" s="338">
        <f t="shared" si="56"/>
        <v>0</v>
      </c>
      <c r="Y58" s="338">
        <f t="shared" si="18"/>
        <v>0</v>
      </c>
      <c r="Z58" s="338">
        <f t="shared" si="19"/>
        <v>-21.145455256534266</v>
      </c>
      <c r="AA58" s="338">
        <f t="shared" si="20"/>
        <v>4.7349282641201587</v>
      </c>
      <c r="AB58" s="338">
        <f t="shared" si="57"/>
        <v>0</v>
      </c>
      <c r="AC58" s="338">
        <f t="shared" si="58"/>
        <v>13.994899870633754</v>
      </c>
      <c r="AF58" s="138">
        <f t="shared" si="59"/>
        <v>1</v>
      </c>
      <c r="AG58" s="138">
        <f t="shared" si="60"/>
        <v>1</v>
      </c>
      <c r="AH58" s="138">
        <f t="shared" si="25"/>
        <v>31</v>
      </c>
      <c r="AI58" s="138">
        <f t="shared" si="67"/>
        <v>1111</v>
      </c>
      <c r="AJ58" s="138">
        <f t="shared" si="61"/>
        <v>1128</v>
      </c>
      <c r="AL58" s="136">
        <f t="shared" si="27"/>
        <v>3.6819999999999999</v>
      </c>
      <c r="AM58" s="258">
        <f t="shared" si="28"/>
        <v>-2.5000000000000001E-2</v>
      </c>
      <c r="AN58" s="258">
        <f t="shared" si="29"/>
        <v>5.7500000000000002E-2</v>
      </c>
      <c r="AO58" s="258">
        <f t="shared" si="30"/>
        <v>0.23499999999999999</v>
      </c>
      <c r="AP58" s="258">
        <f t="shared" si="31"/>
        <v>-2.4999999999999998E-2</v>
      </c>
      <c r="AQ58" s="136">
        <f t="shared" si="62"/>
        <v>1.9200000000000002E-2</v>
      </c>
      <c r="AR58" s="137">
        <f t="shared" si="33"/>
        <v>2.9020000000000001E-2</v>
      </c>
      <c r="AS58" s="136">
        <f t="shared" si="50"/>
        <v>3.7145000000000001</v>
      </c>
      <c r="AT58" s="137">
        <f t="shared" si="51"/>
        <v>4.4854887495736399E-2</v>
      </c>
      <c r="AU58" s="137">
        <f t="shared" si="34"/>
        <v>0.87229268147237504</v>
      </c>
      <c r="AV58" s="394">
        <f t="shared" si="48"/>
        <v>12114.400760288345</v>
      </c>
      <c r="AW58" s="137">
        <f t="shared" si="35"/>
        <v>0.32</v>
      </c>
      <c r="AX58" s="137">
        <f t="shared" si="36"/>
        <v>1</v>
      </c>
      <c r="AY58" s="137">
        <f t="shared" si="37"/>
        <v>1.05</v>
      </c>
      <c r="AZ58" s="137"/>
      <c r="BA58" s="264"/>
      <c r="BB58" s="258">
        <f t="shared" si="38"/>
        <v>0</v>
      </c>
      <c r="BC58" s="258">
        <f t="shared" si="63"/>
        <v>0</v>
      </c>
      <c r="BD58" s="137">
        <f t="shared" si="64"/>
        <v>4.8421939609133435E-5</v>
      </c>
      <c r="BE58" s="137">
        <f t="shared" si="65"/>
        <v>5.3623271642766479E-5</v>
      </c>
      <c r="BF58" s="137">
        <f>_xll.xSPRDOPT($BW58,$BV58,$CG58,0,$BY58,$BX58,$BZ58,$AJ58,1,4)*$CB58</f>
        <v>2.0025717840135298</v>
      </c>
      <c r="BG58" s="137">
        <f>_xll.xSPRDOPT($BW58,$BV58,$CG58,0,$BY58,$BX58,$BZ58,$AJ58,1,3)*$CB58</f>
        <v>1.9544411910070998</v>
      </c>
      <c r="BH58" s="137">
        <f>IF(OR(BF58&lt;&gt;0,BG58&lt;&gt;0),_xll.xSPRDOPT($BW58,$BV58,$CG58,0,$BY58,$BX58,$BZ58,$AJ58,1,12)*$CB58,0)</f>
        <v>-1.9783497214561168</v>
      </c>
      <c r="BI58" s="137">
        <f>_xll.xSPRDOPT($BW58,$BV58,$CG58,2*LN(1+CA58/2),$BY58,$BX58,$BZ58,$AJ58,1,9)</f>
        <v>-5.5364713494259069E-3</v>
      </c>
      <c r="BJ58" s="137">
        <f>_xll.xSPRDOPT($BW58,$BV58,$CG58,0,$BY58,$BX58,$BZ58,$AJ58,1,6)*$CB58</f>
        <v>-0.26241337159643574</v>
      </c>
      <c r="BK58" s="137">
        <f>_xll.xSPRDOPT($BW58,$BV58,$CG58,0,$BY58,$BX58,$BZ58,$AJ58,1,5)*$CB58</f>
        <v>0.42685209535093221</v>
      </c>
      <c r="BL58" s="137">
        <f>_xll.xSPRDOPT(BW58,BV58,CG58,0,BY58,BX58,BZ58,AJ58,1,2)*CB58</f>
        <v>-0.5249727260924133</v>
      </c>
      <c r="BM58" s="137">
        <f>_xll.xSPRDOPT(BW58,BV58,CG58,0,BY58,BX58,BZ58,AJ58,1,1)*CB58</f>
        <v>0.53945572880977355</v>
      </c>
      <c r="BN58" s="137">
        <f>IF(AH58&lt;&gt;0,_xll.xSPRDOPT($BW58,$BV58,$CG58,2*LN(1+CA58/2),$BY58,$BX58,$BZ58,$AJ58,1,8)+(AJ58/365.25)*CH58/AH58,0)</f>
        <v>4.3933777807348362E-2</v>
      </c>
      <c r="BO58" s="137">
        <f>_xll.xSPRDOPT($BW58,$BV58,$CG58,0,$BY58,$BX58,$BZ58,$AJ58,1,0)</f>
        <v>9.3685428201684601E-2</v>
      </c>
      <c r="BP58" s="137"/>
      <c r="BQ58" s="137"/>
      <c r="BR58" s="137"/>
      <c r="BS58" s="137"/>
      <c r="BV58" s="262">
        <v>3.825516488496159</v>
      </c>
      <c r="BW58" s="136">
        <v>3.8919999999999999</v>
      </c>
      <c r="BX58" s="137">
        <v>0.33869995967316402</v>
      </c>
      <c r="BY58" s="137">
        <v>0.34077009628409249</v>
      </c>
      <c r="BZ58" s="137">
        <v>0.99737311911970583</v>
      </c>
      <c r="CA58" s="137">
        <v>4.4854887495736399E-2</v>
      </c>
      <c r="CB58" s="137">
        <v>0.87197492181025593</v>
      </c>
      <c r="CC58" s="258">
        <v>-2.5000000000000001E-2</v>
      </c>
      <c r="CD58" s="258">
        <v>5.7500000000000002E-2</v>
      </c>
      <c r="CE58" s="258">
        <v>0.23499999999999999</v>
      </c>
      <c r="CF58" s="258">
        <v>-2.5000000000000001E-2</v>
      </c>
      <c r="CG58" s="258">
        <v>1.9200000000000002E-2</v>
      </c>
      <c r="CH58" s="258">
        <v>2.9734344833729729</v>
      </c>
      <c r="CI58" s="258">
        <v>3.6819999999999999</v>
      </c>
    </row>
    <row r="59" spans="1:87" x14ac:dyDescent="0.25">
      <c r="A59" s="723"/>
      <c r="B59" s="723"/>
      <c r="D59" s="31">
        <f t="shared" si="66"/>
        <v>38398</v>
      </c>
      <c r="F59" s="28">
        <f t="shared" si="52"/>
        <v>15000</v>
      </c>
      <c r="G59" s="28">
        <f t="shared" si="13"/>
        <v>13013.20037378887</v>
      </c>
      <c r="H59" s="52">
        <f t="shared" si="53"/>
        <v>3.7379760654184437</v>
      </c>
      <c r="I59" s="52">
        <f t="shared" si="54"/>
        <v>3.8069999999999999</v>
      </c>
      <c r="K59" s="52">
        <f t="shared" si="49"/>
        <v>1.2102885090246336</v>
      </c>
      <c r="L59" s="135">
        <f t="shared" si="43"/>
        <v>0.99434044073923888</v>
      </c>
      <c r="N59" s="131">
        <f t="shared" si="44"/>
        <v>0.33420972413423633</v>
      </c>
      <c r="O59" s="131">
        <f t="shared" si="45"/>
        <v>0.33606173419009072</v>
      </c>
      <c r="P59" s="55">
        <f t="shared" si="46"/>
        <v>0.99761609348657188</v>
      </c>
      <c r="Q59" s="135">
        <f>_xll.xSPRDOPT(I59,H59,AQ59,0,O59,N59,P59,D59-$G$5,1,0)*AH59*AU59</f>
        <v>2.2046289497638725</v>
      </c>
      <c r="R59" s="135"/>
      <c r="S59" s="181">
        <f>_xll.xSPRDOPT(I59,H59,AQ59,AT59,O59,N59,P59,D59-$G$5,1,2)*AF59*(F59/(1-AR59))*AH59</f>
        <v>-231063.38092594463</v>
      </c>
      <c r="T59" s="181">
        <f>_xll.xSPRDOPT(I59,H59,AQ59,AT59,O59,N59,P59,D59-$G$5,1,1)*AF59*F59*AH59</f>
        <v>230038.14767664153</v>
      </c>
      <c r="U59" s="135"/>
      <c r="V59" s="146">
        <f t="shared" si="55"/>
        <v>2.6720438100846482</v>
      </c>
      <c r="W59" s="146"/>
      <c r="X59" s="338">
        <f t="shared" si="56"/>
        <v>0</v>
      </c>
      <c r="Y59" s="338">
        <f t="shared" si="18"/>
        <v>0</v>
      </c>
      <c r="Z59" s="338">
        <f t="shared" si="19"/>
        <v>-15.957609481878359</v>
      </c>
      <c r="AA59" s="338">
        <f t="shared" si="20"/>
        <v>3.4972646690229672</v>
      </c>
      <c r="AB59" s="338">
        <f t="shared" si="57"/>
        <v>0</v>
      </c>
      <c r="AC59" s="338">
        <f t="shared" si="58"/>
        <v>12.327276255518607</v>
      </c>
      <c r="AF59" s="138">
        <f t="shared" si="59"/>
        <v>1</v>
      </c>
      <c r="AG59" s="138">
        <f t="shared" si="60"/>
        <v>2</v>
      </c>
      <c r="AH59" s="138">
        <f t="shared" si="25"/>
        <v>28</v>
      </c>
      <c r="AI59" s="138">
        <f t="shared" si="67"/>
        <v>1142</v>
      </c>
      <c r="AJ59" s="138">
        <f t="shared" si="61"/>
        <v>1159</v>
      </c>
      <c r="AL59" s="136">
        <f t="shared" si="27"/>
        <v>3.597</v>
      </c>
      <c r="AM59" s="258">
        <f t="shared" si="28"/>
        <v>-2.5000000000000001E-2</v>
      </c>
      <c r="AN59" s="258">
        <f t="shared" si="29"/>
        <v>5.7500000000000002E-2</v>
      </c>
      <c r="AO59" s="258">
        <f t="shared" si="30"/>
        <v>0.23499999999999999</v>
      </c>
      <c r="AP59" s="258">
        <f t="shared" si="31"/>
        <v>-2.4999999999999998E-2</v>
      </c>
      <c r="AQ59" s="136">
        <f t="shared" si="62"/>
        <v>1.9200000000000002E-2</v>
      </c>
      <c r="AR59" s="137">
        <f t="shared" si="33"/>
        <v>2.9020000000000001E-2</v>
      </c>
      <c r="AS59" s="136">
        <f t="shared" si="50"/>
        <v>3.6295000000000002</v>
      </c>
      <c r="AT59" s="137">
        <f t="shared" si="51"/>
        <v>4.5401152752323697E-2</v>
      </c>
      <c r="AU59" s="137">
        <f t="shared" si="34"/>
        <v>0.86754669158592468</v>
      </c>
      <c r="AV59" s="394">
        <f t="shared" si="48"/>
        <v>10882.505699253839</v>
      </c>
      <c r="AW59" s="137">
        <f t="shared" si="35"/>
        <v>0.3175</v>
      </c>
      <c r="AX59" s="137">
        <f t="shared" si="36"/>
        <v>1</v>
      </c>
      <c r="AY59" s="137">
        <f t="shared" si="37"/>
        <v>1.05</v>
      </c>
      <c r="AZ59" s="137"/>
      <c r="BA59" s="264"/>
      <c r="BB59" s="258">
        <f t="shared" si="38"/>
        <v>0</v>
      </c>
      <c r="BC59" s="258">
        <f t="shared" si="63"/>
        <v>0</v>
      </c>
      <c r="BD59" s="137">
        <f t="shared" si="64"/>
        <v>4.2173498050079861E-5</v>
      </c>
      <c r="BE59" s="137">
        <f t="shared" si="65"/>
        <v>4.6722289423262175E-5</v>
      </c>
      <c r="BF59" s="137">
        <f>_xll.xSPRDOPT($BW59,$BV59,$CG59,0,$BY59,$BX59,$BZ59,$AJ59,1,4)*$CB59</f>
        <v>2.1192046273883212</v>
      </c>
      <c r="BG59" s="137">
        <f>_xll.xSPRDOPT($BW59,$BV59,$CG59,0,$BY59,$BX59,$BZ59,$AJ59,1,3)*$CB59</f>
        <v>2.0644118027792149</v>
      </c>
      <c r="BH59" s="137">
        <f>IF(OR(BF59&lt;&gt;0,BG59&lt;&gt;0),_xll.xSPRDOPT($BW59,$BV59,$CG59,0,$BY59,$BX59,$BZ59,$AJ59,1,12)*$CB59,0)</f>
        <v>-2.0916178536891099</v>
      </c>
      <c r="BI59" s="137">
        <f>_xll.xSPRDOPT($BW59,$BV59,$CG59,2*LN(1+CA59/2),$BY59,$BX59,$BZ59,$AJ59,1,9)</f>
        <v>-4.6258070343302149E-3</v>
      </c>
      <c r="BJ59" s="137">
        <f>_xll.xSPRDOPT($BW59,$BV59,$CG59,0,$BY59,$BX59,$BZ59,$AJ59,1,6)*$CB59</f>
        <v>-0.26251319135335233</v>
      </c>
      <c r="BK59" s="137">
        <f>_xll.xSPRDOPT($BW59,$BV59,$CG59,0,$BY59,$BX59,$BZ59,$AJ59,1,5)*$CB59</f>
        <v>0.41517486500851669</v>
      </c>
      <c r="BL59" s="137">
        <f>_xll.xSPRDOPT(BW59,BV59,CG59,0,BY59,BX59,BZ59,AJ59,1,2)*CB59</f>
        <v>-0.53484698836093669</v>
      </c>
      <c r="BM59" s="137">
        <f>_xll.xSPRDOPT(BW59,BV59,CG59,0,BY59,BX59,BZ59,AJ59,1,1)*CB59</f>
        <v>0.54838797103852843</v>
      </c>
      <c r="BN59" s="137">
        <f>IF(AH59&lt;&gt;0,_xll.xSPRDOPT($BW59,$BV59,$CG59,2*LN(1+CA59/2),$BY59,$BX59,$BZ59,$AJ59,1,8)+(AJ59/365.25)*CH59/AH59,0)</f>
        <v>5.2949921952040457E-2</v>
      </c>
      <c r="BO59" s="137">
        <f>_xll.xSPRDOPT($BW59,$BV59,$CG59,0,$BY59,$BX59,$BZ59,$AJ59,1,0)</f>
        <v>9.0758479196550029E-2</v>
      </c>
      <c r="BP59" s="137"/>
      <c r="BQ59" s="137"/>
      <c r="BR59" s="137"/>
      <c r="BS59" s="137"/>
      <c r="BV59" s="262">
        <v>3.7379760654184437</v>
      </c>
      <c r="BW59" s="136">
        <v>3.8069999999999999</v>
      </c>
      <c r="BX59" s="137">
        <v>0.33416755063618625</v>
      </c>
      <c r="BY59" s="137">
        <v>0.33601501190066746</v>
      </c>
      <c r="BZ59" s="137">
        <v>0.99762159793793137</v>
      </c>
      <c r="CA59" s="137">
        <v>4.5401152752323697E-2</v>
      </c>
      <c r="CB59" s="137">
        <v>0.86722685559525425</v>
      </c>
      <c r="CC59" s="258">
        <v>-2.5000000000000001E-2</v>
      </c>
      <c r="CD59" s="258">
        <v>5.7500000000000002E-2</v>
      </c>
      <c r="CE59" s="258">
        <v>0.23499999999999999</v>
      </c>
      <c r="CF59" s="258">
        <v>-2.5000000000000001E-2</v>
      </c>
      <c r="CG59" s="258">
        <v>1.9200000000000002E-2</v>
      </c>
      <c r="CH59" s="258">
        <v>2.6710587152333831</v>
      </c>
      <c r="CI59" s="258">
        <v>3.597</v>
      </c>
    </row>
    <row r="60" spans="1:87" x14ac:dyDescent="0.25">
      <c r="A60" s="723"/>
      <c r="B60" s="723"/>
      <c r="D60" s="31">
        <f t="shared" si="66"/>
        <v>38426</v>
      </c>
      <c r="F60" s="28">
        <f t="shared" si="52"/>
        <v>15000</v>
      </c>
      <c r="G60" s="28">
        <f t="shared" si="13"/>
        <v>12948.228737772086</v>
      </c>
      <c r="H60" s="52">
        <f t="shared" si="53"/>
        <v>3.6040907124760557</v>
      </c>
      <c r="I60" s="52">
        <f t="shared" si="54"/>
        <v>3.637</v>
      </c>
      <c r="K60" s="52">
        <f t="shared" si="49"/>
        <v>0.36685604742995914</v>
      </c>
      <c r="L60" s="135">
        <f t="shared" si="43"/>
        <v>1.0257864824471237</v>
      </c>
      <c r="N60" s="131">
        <f t="shared" si="44"/>
        <v>0.31729237574852004</v>
      </c>
      <c r="O60" s="131">
        <f t="shared" si="45"/>
        <v>0.31729237574852004</v>
      </c>
      <c r="P60" s="55">
        <f t="shared" si="46"/>
        <v>0.99853895568322659</v>
      </c>
      <c r="Q60" s="135">
        <f>_xll.xSPRDOPT(I60,H60,AQ60,0,O60,N60,P60,D60-$G$5,1,0)*AH60*AU60</f>
        <v>1.3926425298770828</v>
      </c>
      <c r="R60" s="135"/>
      <c r="S60" s="181">
        <f>_xll.xSPRDOPT(I60,H60,AQ60,AT60,O60,N60,P60,D60-$G$5,1,2)*AF60*(F60/(1-AR60))*AH60</f>
        <v>-223925.8287184666</v>
      </c>
      <c r="T60" s="181">
        <f>_xll.xSPRDOPT(I60,H60,AQ60,AT60,O60,N60,P60,D60-$G$5,1,1)*AF60*F60*AH60</f>
        <v>222299.73874347541</v>
      </c>
      <c r="U60" s="135"/>
      <c r="V60" s="146">
        <f t="shared" si="55"/>
        <v>2.9435639997201877</v>
      </c>
      <c r="W60" s="146"/>
      <c r="X60" s="338">
        <f t="shared" si="56"/>
        <v>0</v>
      </c>
      <c r="Y60" s="338">
        <f t="shared" si="18"/>
        <v>0</v>
      </c>
      <c r="Z60" s="338">
        <f t="shared" si="19"/>
        <v>-14.832436923474775</v>
      </c>
      <c r="AA60" s="338">
        <f t="shared" si="20"/>
        <v>1.3727929792522251</v>
      </c>
      <c r="AB60" s="338">
        <f t="shared" si="57"/>
        <v>0</v>
      </c>
      <c r="AC60" s="338">
        <f t="shared" si="58"/>
        <v>7.8716833517451823</v>
      </c>
      <c r="AF60" s="138">
        <f t="shared" si="59"/>
        <v>1</v>
      </c>
      <c r="AG60" s="138">
        <f t="shared" si="60"/>
        <v>3</v>
      </c>
      <c r="AH60" s="138">
        <f t="shared" si="25"/>
        <v>31</v>
      </c>
      <c r="AI60" s="138">
        <f t="shared" si="67"/>
        <v>1170</v>
      </c>
      <c r="AJ60" s="138">
        <f t="shared" si="61"/>
        <v>1187</v>
      </c>
      <c r="AL60" s="136">
        <f t="shared" si="27"/>
        <v>3.4670000000000001</v>
      </c>
      <c r="AM60" s="258">
        <f t="shared" si="28"/>
        <v>-2.5000000000000001E-2</v>
      </c>
      <c r="AN60" s="258">
        <f t="shared" si="29"/>
        <v>5.7500000000000002E-2</v>
      </c>
      <c r="AO60" s="258">
        <f t="shared" si="30"/>
        <v>0.19500000000000001</v>
      </c>
      <c r="AP60" s="258">
        <f t="shared" si="31"/>
        <v>-2.4999999999999998E-2</v>
      </c>
      <c r="AQ60" s="136">
        <f t="shared" si="62"/>
        <v>1.9200000000000002E-2</v>
      </c>
      <c r="AR60" s="137">
        <f t="shared" si="33"/>
        <v>2.9020000000000001E-2</v>
      </c>
      <c r="AS60" s="136">
        <f t="shared" si="50"/>
        <v>3.4995000000000003</v>
      </c>
      <c r="AT60" s="137">
        <f t="shared" si="51"/>
        <v>4.5894553715070799E-2</v>
      </c>
      <c r="AU60" s="137">
        <f t="shared" si="34"/>
        <v>0.86321524918480574</v>
      </c>
      <c r="AV60" s="394">
        <f t="shared" si="48"/>
        <v>11988.333380678581</v>
      </c>
      <c r="AW60" s="137">
        <f t="shared" si="35"/>
        <v>0.3075</v>
      </c>
      <c r="AX60" s="137">
        <f t="shared" si="36"/>
        <v>0.75</v>
      </c>
      <c r="AY60" s="137">
        <f t="shared" si="37"/>
        <v>0.75</v>
      </c>
      <c r="AZ60" s="137"/>
      <c r="BA60" s="264"/>
      <c r="BB60" s="258">
        <f t="shared" si="38"/>
        <v>0</v>
      </c>
      <c r="BC60" s="258">
        <f t="shared" si="63"/>
        <v>0</v>
      </c>
      <c r="BD60" s="137">
        <f t="shared" si="64"/>
        <v>2.4337327348467053E-5</v>
      </c>
      <c r="BE60" s="137">
        <f t="shared" si="65"/>
        <v>2.4337327348467053E-5</v>
      </c>
      <c r="BF60" s="137">
        <f>_xll.xSPRDOPT($BW60,$BV60,$CG60,0,$BY60,$BX60,$BZ60,$AJ60,1,4)*$CB60</f>
        <v>3.0500117640558235</v>
      </c>
      <c r="BG60" s="137">
        <f>_xll.xSPRDOPT($BW60,$BV60,$CG60,0,$BY60,$BX60,$BZ60,$AJ60,1,3)*$CB60</f>
        <v>3.0270362382799689</v>
      </c>
      <c r="BH60" s="137">
        <f>IF(OR(BF60&lt;&gt;0,BG60&lt;&gt;0),_xll.xSPRDOPT($BW60,$BV60,$CG60,0,$BY60,$BX60,$BZ60,$AJ60,1,12)*$CB60,0)</f>
        <v>-3.0384818593418759</v>
      </c>
      <c r="BI60" s="137">
        <f>_xll.xSPRDOPT($BW60,$BV60,$CG60,2*LN(1+CA60/2),$BY60,$BX60,$BZ60,$AJ60,1,9)</f>
        <v>-3.8835466568452773E-3</v>
      </c>
      <c r="BJ60" s="137">
        <f>_xll.xSPRDOPT($BW60,$BV60,$CG60,0,$BY60,$BX60,$BZ60,$AJ60,1,6)*$CB60</f>
        <v>-0.15738806584525664</v>
      </c>
      <c r="BK60" s="137">
        <f>_xll.xSPRDOPT($BW60,$BV60,$CG60,0,$BY60,$BX60,$BZ60,$AJ60,1,5)*$CB60</f>
        <v>0.27869320851203233</v>
      </c>
      <c r="BL60" s="137">
        <f>_xll.xSPRDOPT(BW60,BV60,CG60,0,BY60,BX60,BZ60,AJ60,1,2)*CB60</f>
        <v>-0.46819845569549828</v>
      </c>
      <c r="BM60" s="137">
        <f>_xll.xSPRDOPT(BW60,BV60,CG60,0,BY60,BX60,BZ60,AJ60,1,1)*CB60</f>
        <v>0.47868996402348352</v>
      </c>
      <c r="BN60" s="137">
        <f>IF(AH60&lt;&gt;0,_xll.xSPRDOPT($BW60,$BV60,$CG60,2*LN(1+CA60/2),$BY60,$BX60,$BZ60,$AJ60,1,8)+(AJ60/365.25)*CH60/AH60,0)</f>
        <v>0.1625253154016181</v>
      </c>
      <c r="BO60" s="137">
        <f>_xll.xSPRDOPT($BW60,$BV60,$CG60,0,$BY60,$BX60,$BZ60,$AJ60,1,0)</f>
        <v>5.2043349301218546E-2</v>
      </c>
      <c r="BP60" s="137"/>
      <c r="BQ60" s="137"/>
      <c r="BR60" s="137"/>
      <c r="BS60" s="137"/>
      <c r="BV60" s="262">
        <v>3.6040907124760557</v>
      </c>
      <c r="BW60" s="136">
        <v>3.637</v>
      </c>
      <c r="BX60" s="137">
        <v>0.31726803842117157</v>
      </c>
      <c r="BY60" s="137">
        <v>0.31726803842117157</v>
      </c>
      <c r="BZ60" s="137">
        <v>0.99854242004351113</v>
      </c>
      <c r="CA60" s="137">
        <v>4.5894553715070799E-2</v>
      </c>
      <c r="CB60" s="137">
        <v>0.86289359114020647</v>
      </c>
      <c r="CC60" s="258">
        <v>-2.5000000000000001E-2</v>
      </c>
      <c r="CD60" s="258">
        <v>5.7500000000000002E-2</v>
      </c>
      <c r="CE60" s="258">
        <v>0.19500000000000001</v>
      </c>
      <c r="CF60" s="258">
        <v>-2.5000000000000001E-2</v>
      </c>
      <c r="CG60" s="258">
        <v>1.9200000000000002E-2</v>
      </c>
      <c r="CH60" s="258">
        <v>2.942467145788104</v>
      </c>
      <c r="CI60" s="258">
        <v>3.4670000000000001</v>
      </c>
    </row>
    <row r="61" spans="1:87" x14ac:dyDescent="0.25">
      <c r="A61" s="723"/>
      <c r="B61" s="723"/>
      <c r="D61" s="31">
        <f t="shared" si="66"/>
        <v>38457</v>
      </c>
      <c r="F61" s="28">
        <f t="shared" si="52"/>
        <v>15000</v>
      </c>
      <c r="G61" s="28">
        <f t="shared" si="13"/>
        <v>12877.233673755158</v>
      </c>
      <c r="H61" s="52">
        <f t="shared" si="53"/>
        <v>3.413561556365734</v>
      </c>
      <c r="I61" s="52">
        <f t="shared" si="54"/>
        <v>3.4020000000000001</v>
      </c>
      <c r="K61" s="52">
        <f t="shared" si="49"/>
        <v>0</v>
      </c>
      <c r="L61" s="135">
        <f t="shared" si="43"/>
        <v>0.35258857745206162</v>
      </c>
      <c r="N61" s="131">
        <f t="shared" si="44"/>
        <v>0.29897853273193292</v>
      </c>
      <c r="O61" s="131">
        <f t="shared" si="45"/>
        <v>0.29985400264622203</v>
      </c>
      <c r="P61" s="55">
        <f t="shared" si="46"/>
        <v>0.99933693096830445</v>
      </c>
      <c r="Q61" s="135">
        <f>_xll.xSPRDOPT(I61,H61,AQ61,0,O61,N61,P61,D61-$G$5,1,0)*AH61*AU61</f>
        <v>0.35258857745206162</v>
      </c>
      <c r="R61" s="135"/>
      <c r="S61" s="181">
        <f>_xll.xSPRDOPT(I61,H61,AQ61,AT61,O61,N61,P61,D61-$G$5,1,2)*AF61*(F61/(1-AR61))*AH61</f>
        <v>-93554.698781617946</v>
      </c>
      <c r="T61" s="181">
        <f>_xll.xSPRDOPT(I61,H61,AQ61,AT61,O61,N61,P61,D61-$G$5,1,1)*AF61*F61*AH61</f>
        <v>93161.245321400827</v>
      </c>
      <c r="U61" s="135"/>
      <c r="V61" s="146">
        <f t="shared" si="55"/>
        <v>2.8329914082261345</v>
      </c>
      <c r="W61" s="146"/>
      <c r="X61" s="338">
        <f t="shared" si="56"/>
        <v>0</v>
      </c>
      <c r="Y61" s="338">
        <f t="shared" si="18"/>
        <v>0</v>
      </c>
      <c r="Z61" s="338">
        <f t="shared" si="19"/>
        <v>-9.8247597649640532</v>
      </c>
      <c r="AA61" s="338">
        <f t="shared" si="20"/>
        <v>0.55695724693712911</v>
      </c>
      <c r="AB61" s="338">
        <f t="shared" si="57"/>
        <v>0</v>
      </c>
      <c r="AC61" s="338">
        <f t="shared" si="58"/>
        <v>2.0137183087177042</v>
      </c>
      <c r="AF61" s="138">
        <f t="shared" si="59"/>
        <v>1</v>
      </c>
      <c r="AG61" s="138">
        <f t="shared" si="60"/>
        <v>4</v>
      </c>
      <c r="AH61" s="138">
        <f t="shared" si="25"/>
        <v>30</v>
      </c>
      <c r="AI61" s="138">
        <f t="shared" si="67"/>
        <v>1201</v>
      </c>
      <c r="AJ61" s="138">
        <f t="shared" si="61"/>
        <v>1218</v>
      </c>
      <c r="AL61" s="136">
        <f t="shared" si="27"/>
        <v>3.282</v>
      </c>
      <c r="AM61" s="258">
        <f t="shared" si="28"/>
        <v>-2.5000000000000001E-2</v>
      </c>
      <c r="AN61" s="258">
        <f t="shared" si="29"/>
        <v>5.7500000000000002E-2</v>
      </c>
      <c r="AO61" s="258">
        <f t="shared" si="30"/>
        <v>0.14499999999999999</v>
      </c>
      <c r="AP61" s="258">
        <f t="shared" si="31"/>
        <v>-2.4999999999999998E-2</v>
      </c>
      <c r="AQ61" s="136">
        <f t="shared" si="62"/>
        <v>1.9200000000000002E-2</v>
      </c>
      <c r="AR61" s="137">
        <f t="shared" si="33"/>
        <v>2.9020000000000001E-2</v>
      </c>
      <c r="AS61" s="136">
        <f t="shared" si="50"/>
        <v>3.3145000000000002</v>
      </c>
      <c r="AT61" s="137">
        <f t="shared" si="51"/>
        <v>4.6401056415071598E-2</v>
      </c>
      <c r="AU61" s="137">
        <f t="shared" si="34"/>
        <v>0.85848224491701053</v>
      </c>
      <c r="AV61" s="394">
        <f t="shared" si="48"/>
        <v>11538.001371684621</v>
      </c>
      <c r="AW61" s="137">
        <f t="shared" si="35"/>
        <v>0.29749999999999999</v>
      </c>
      <c r="AX61" s="137">
        <f t="shared" si="36"/>
        <v>0.4</v>
      </c>
      <c r="AY61" s="137">
        <f t="shared" si="37"/>
        <v>0.45</v>
      </c>
      <c r="AZ61" s="137"/>
      <c r="BA61" s="264"/>
      <c r="BB61" s="258">
        <f t="shared" si="38"/>
        <v>0</v>
      </c>
      <c r="BC61" s="258">
        <f t="shared" si="63"/>
        <v>0</v>
      </c>
      <c r="BD61" s="137">
        <f t="shared" si="64"/>
        <v>3.6297435732079997E-6</v>
      </c>
      <c r="BE61" s="137">
        <f t="shared" si="65"/>
        <v>5.7705951543307599E-6</v>
      </c>
      <c r="BF61" s="137">
        <f>_xll.xSPRDOPT($BW61,$BV61,$CG61,0,$BY61,$BX61,$BZ61,$AJ61,1,4)*$CB61</f>
        <v>2.4794865772789887</v>
      </c>
      <c r="BG61" s="137">
        <f>_xll.xSPRDOPT($BW61,$BV61,$CG61,0,$BY61,$BX61,$BZ61,$AJ61,1,3)*$CB61</f>
        <v>2.5231956911080493</v>
      </c>
      <c r="BH61" s="137">
        <f>IF(OR(BF61&lt;&gt;0,BG61&lt;&gt;0),_xll.xSPRDOPT($BW61,$BV61,$CG61,0,$BY61,$BX61,$BZ61,$AJ61,1,12)*$CB61,0)</f>
        <v>-2.5012339939021926</v>
      </c>
      <c r="BI61" s="137">
        <f>_xll.xSPRDOPT($BW61,$BV61,$CG61,2*LN(1+CA61/2),$BY61,$BX61,$BZ61,$AJ61,1,9)</f>
        <v>-2.6581433364097191E-3</v>
      </c>
      <c r="BJ61" s="137">
        <f>_xll.xSPRDOPT($BW61,$BV61,$CG61,0,$BY61,$BX61,$BZ61,$AJ61,1,6)*$CB61</f>
        <v>-0.38622467983377773</v>
      </c>
      <c r="BK61" s="137">
        <f>_xll.xSPRDOPT($BW61,$BV61,$CG61,0,$BY61,$BX61,$BZ61,$AJ61,1,5)*$CB61</f>
        <v>0.45741890564466275</v>
      </c>
      <c r="BL61" s="137">
        <f>_xll.xSPRDOPT(BW61,BV61,CG61,0,BY61,BX61,BZ61,AJ61,1,2)*CB61</f>
        <v>-0.20175130613945311</v>
      </c>
      <c r="BM61" s="137">
        <f>_xll.xSPRDOPT(BW61,BV61,CG61,0,BY61,BX61,BZ61,AJ61,1,1)*CB61</f>
        <v>0.20691192245890758</v>
      </c>
      <c r="BN61" s="137">
        <f>IF(AH61&lt;&gt;0,_xll.xSPRDOPT($BW61,$BV61,$CG61,2*LN(1+CA61/2),$BY61,$BX61,$BZ61,$AJ61,1,8)+(AJ61/365.25)*CH61/AH61,0)</f>
        <v>0.27166007079603521</v>
      </c>
      <c r="BO61" s="137">
        <f>_xll.xSPRDOPT($BW61,$BV61,$CG61,0,$BY61,$BX61,$BZ61,$AJ61,1,0)</f>
        <v>1.3682315965808343E-2</v>
      </c>
      <c r="BP61" s="137"/>
      <c r="BQ61" s="137"/>
      <c r="BR61" s="137"/>
      <c r="BS61" s="137"/>
      <c r="BV61" s="262">
        <v>3.413561556365734</v>
      </c>
      <c r="BW61" s="136">
        <v>3.4020000000000001</v>
      </c>
      <c r="BX61" s="137">
        <v>0.29897490298835971</v>
      </c>
      <c r="BY61" s="137">
        <v>0.2998482320510677</v>
      </c>
      <c r="BZ61" s="137">
        <v>0.99933853168268805</v>
      </c>
      <c r="CA61" s="137">
        <v>4.6401056415071598E-2</v>
      </c>
      <c r="CB61" s="137">
        <v>0.85815886093193994</v>
      </c>
      <c r="CC61" s="258">
        <v>-2.5000000000000001E-2</v>
      </c>
      <c r="CD61" s="258">
        <v>5.7500000000000002E-2</v>
      </c>
      <c r="CE61" s="258">
        <v>0.14499999999999999</v>
      </c>
      <c r="CF61" s="258">
        <v>-2.5000000000000001E-2</v>
      </c>
      <c r="CG61" s="258">
        <v>1.9200000000000002E-2</v>
      </c>
      <c r="CH61" s="258">
        <v>2.8319242410754017</v>
      </c>
      <c r="CI61" s="258">
        <v>3.282</v>
      </c>
    </row>
    <row r="62" spans="1:87" x14ac:dyDescent="0.25">
      <c r="A62" s="723"/>
      <c r="B62" s="723"/>
      <c r="D62" s="31">
        <f t="shared" si="66"/>
        <v>38487</v>
      </c>
      <c r="F62" s="28">
        <f t="shared" si="52"/>
        <v>15000</v>
      </c>
      <c r="G62" s="28">
        <f t="shared" si="13"/>
        <v>0</v>
      </c>
      <c r="H62" s="52">
        <f t="shared" si="53"/>
        <v>3.4084121197141037</v>
      </c>
      <c r="I62" s="52">
        <f t="shared" si="54"/>
        <v>3.3770000000000002</v>
      </c>
      <c r="K62" s="52">
        <f t="shared" si="49"/>
        <v>0</v>
      </c>
      <c r="L62" s="135">
        <f t="shared" si="43"/>
        <v>0</v>
      </c>
      <c r="N62" s="131">
        <f t="shared" si="44"/>
        <v>0.28999999999999998</v>
      </c>
      <c r="O62" s="131">
        <f t="shared" si="45"/>
        <v>0.28999999999999998</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55"/>
        <v>0</v>
      </c>
      <c r="W62" s="146"/>
      <c r="X62" s="338">
        <f t="shared" si="56"/>
        <v>0</v>
      </c>
      <c r="Y62" s="338">
        <f t="shared" si="18"/>
        <v>0</v>
      </c>
      <c r="Z62" s="338">
        <f t="shared" si="19"/>
        <v>0</v>
      </c>
      <c r="AA62" s="338">
        <f t="shared" si="20"/>
        <v>0</v>
      </c>
      <c r="AB62" s="338">
        <f t="shared" si="57"/>
        <v>0</v>
      </c>
      <c r="AC62" s="338">
        <f t="shared" si="58"/>
        <v>0</v>
      </c>
      <c r="AF62" s="138">
        <f t="shared" si="59"/>
        <v>0</v>
      </c>
      <c r="AG62" s="138">
        <f t="shared" si="60"/>
        <v>5</v>
      </c>
      <c r="AH62" s="138">
        <f t="shared" si="25"/>
        <v>0</v>
      </c>
      <c r="AI62" s="138">
        <f t="shared" si="67"/>
        <v>1231</v>
      </c>
      <c r="AJ62" s="138">
        <f t="shared" si="61"/>
        <v>1248</v>
      </c>
      <c r="AL62" s="136">
        <f t="shared" si="27"/>
        <v>3.2770000000000001</v>
      </c>
      <c r="AM62" s="258">
        <f t="shared" si="28"/>
        <v>-2.5000000000000001E-2</v>
      </c>
      <c r="AN62" s="258">
        <f t="shared" si="29"/>
        <v>5.7500000000000002E-2</v>
      </c>
      <c r="AO62" s="258">
        <f t="shared" si="30"/>
        <v>0.125</v>
      </c>
      <c r="AP62" s="258">
        <f t="shared" si="31"/>
        <v>-2.4999999999999998E-2</v>
      </c>
      <c r="AQ62" s="136">
        <f t="shared" si="62"/>
        <v>1.9200000000000002E-2</v>
      </c>
      <c r="AR62" s="137">
        <f t="shared" si="33"/>
        <v>2.9020000000000001E-2</v>
      </c>
      <c r="AS62" s="136">
        <f t="shared" si="50"/>
        <v>3.3095000000000003</v>
      </c>
      <c r="AT62" s="137">
        <f t="shared" si="51"/>
        <v>4.6856677050253197E-2</v>
      </c>
      <c r="AU62" s="137">
        <f t="shared" si="34"/>
        <v>0</v>
      </c>
      <c r="AV62" s="394">
        <f t="shared" si="48"/>
        <v>0</v>
      </c>
      <c r="AW62" s="137">
        <f t="shared" si="35"/>
        <v>0.28999999999999998</v>
      </c>
      <c r="AX62" s="137">
        <f t="shared" si="36"/>
        <v>0.45</v>
      </c>
      <c r="AY62" s="137">
        <f t="shared" si="37"/>
        <v>0.45</v>
      </c>
      <c r="AZ62" s="137"/>
      <c r="BA62" s="264"/>
      <c r="BB62" s="258">
        <f t="shared" si="38"/>
        <v>0</v>
      </c>
      <c r="BC62" s="258">
        <f t="shared" si="63"/>
        <v>0</v>
      </c>
      <c r="BD62" s="137">
        <f t="shared" si="64"/>
        <v>0</v>
      </c>
      <c r="BE62" s="137">
        <f t="shared" si="65"/>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-8.0639466644733704E-2</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0.97692465319537825</v>
      </c>
      <c r="BP62" s="137"/>
      <c r="BQ62" s="137"/>
      <c r="BR62" s="137"/>
      <c r="BS62" s="137"/>
      <c r="BV62" s="262">
        <v>3.4084121197141037</v>
      </c>
      <c r="BW62" s="136">
        <v>3.3770000000000002</v>
      </c>
      <c r="BX62" s="137">
        <v>0.28999999999999998</v>
      </c>
      <c r="BY62" s="137">
        <v>0.28999999999999998</v>
      </c>
      <c r="BZ62" s="137">
        <v>0</v>
      </c>
      <c r="CA62" s="137">
        <v>4.6856677050253197E-2</v>
      </c>
      <c r="CB62" s="137">
        <v>0</v>
      </c>
      <c r="CC62" s="258">
        <v>-2.5000000000000001E-2</v>
      </c>
      <c r="CD62" s="258">
        <v>5.7500000000000002E-2</v>
      </c>
      <c r="CE62" s="258">
        <v>0.125</v>
      </c>
      <c r="CF62" s="258">
        <v>-2.5000000000000001E-2</v>
      </c>
      <c r="CG62" s="258">
        <v>1.9200000000000002E-2</v>
      </c>
      <c r="CH62" s="258">
        <v>0</v>
      </c>
      <c r="CI62" s="258">
        <v>3.2770000000000001</v>
      </c>
    </row>
    <row r="63" spans="1:87" x14ac:dyDescent="0.25">
      <c r="A63" s="723"/>
      <c r="B63" s="723"/>
      <c r="D63" s="31">
        <f t="shared" si="66"/>
        <v>38487</v>
      </c>
      <c r="F63" s="28">
        <f t="shared" si="52"/>
        <v>15000</v>
      </c>
      <c r="G63" s="28">
        <f t="shared" si="13"/>
        <v>0</v>
      </c>
      <c r="H63" s="52">
        <f t="shared" si="53"/>
        <v>3.4084121197141037</v>
      </c>
      <c r="I63" s="52">
        <f t="shared" si="54"/>
        <v>3.3770000000000002</v>
      </c>
      <c r="K63" s="52">
        <f t="shared" si="49"/>
        <v>0</v>
      </c>
      <c r="L63" s="135">
        <f t="shared" si="43"/>
        <v>0</v>
      </c>
      <c r="N63" s="131">
        <f t="shared" si="44"/>
        <v>0.28999999999999998</v>
      </c>
      <c r="O63" s="131">
        <f t="shared" si="45"/>
        <v>0.28999999999999998</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55"/>
        <v>0</v>
      </c>
      <c r="W63" s="146"/>
      <c r="X63" s="338">
        <f t="shared" si="56"/>
        <v>0</v>
      </c>
      <c r="Y63" s="338">
        <f t="shared" si="18"/>
        <v>0</v>
      </c>
      <c r="Z63" s="338">
        <f t="shared" si="19"/>
        <v>0</v>
      </c>
      <c r="AA63" s="338">
        <f t="shared" si="20"/>
        <v>0</v>
      </c>
      <c r="AB63" s="338">
        <f t="shared" si="57"/>
        <v>0</v>
      </c>
      <c r="AC63" s="338">
        <f t="shared" si="58"/>
        <v>0</v>
      </c>
      <c r="AF63" s="138">
        <f t="shared" si="59"/>
        <v>0</v>
      </c>
      <c r="AG63" s="138">
        <f t="shared" si="60"/>
        <v>5</v>
      </c>
      <c r="AH63" s="138">
        <f t="shared" si="25"/>
        <v>0</v>
      </c>
      <c r="AI63" s="138">
        <f t="shared" si="67"/>
        <v>1231</v>
      </c>
      <c r="AJ63" s="138">
        <f t="shared" si="61"/>
        <v>1248</v>
      </c>
      <c r="AL63" s="136">
        <f t="shared" si="27"/>
        <v>3.2770000000000001</v>
      </c>
      <c r="AM63" s="258">
        <f t="shared" si="28"/>
        <v>-2.5000000000000001E-2</v>
      </c>
      <c r="AN63" s="258">
        <f t="shared" si="29"/>
        <v>5.7500000000000002E-2</v>
      </c>
      <c r="AO63" s="258">
        <f t="shared" si="30"/>
        <v>0.125</v>
      </c>
      <c r="AP63" s="258">
        <f t="shared" si="31"/>
        <v>-2.4999999999999998E-2</v>
      </c>
      <c r="AQ63" s="136">
        <f t="shared" si="62"/>
        <v>1.9200000000000002E-2</v>
      </c>
      <c r="AR63" s="137">
        <f t="shared" si="33"/>
        <v>2.9020000000000001E-2</v>
      </c>
      <c r="AS63" s="136">
        <f t="shared" si="50"/>
        <v>3.3095000000000003</v>
      </c>
      <c r="AT63" s="137">
        <f t="shared" si="51"/>
        <v>4.6856677050253197E-2</v>
      </c>
      <c r="AU63" s="137">
        <f t="shared" si="34"/>
        <v>0</v>
      </c>
      <c r="AV63" s="394">
        <f t="shared" si="48"/>
        <v>0</v>
      </c>
      <c r="AW63" s="137">
        <f t="shared" si="35"/>
        <v>0.28999999999999998</v>
      </c>
      <c r="AX63" s="137">
        <f t="shared" si="36"/>
        <v>0.45</v>
      </c>
      <c r="AY63" s="137">
        <f t="shared" si="37"/>
        <v>0.45</v>
      </c>
      <c r="AZ63" s="137"/>
      <c r="BA63" s="264"/>
      <c r="BB63" s="258">
        <f t="shared" si="38"/>
        <v>0</v>
      </c>
      <c r="BC63" s="258">
        <f t="shared" si="63"/>
        <v>0</v>
      </c>
      <c r="BD63" s="137">
        <f t="shared" si="64"/>
        <v>0</v>
      </c>
      <c r="BE63" s="137">
        <f t="shared" si="65"/>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-8.0639466644733704E-2</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0.97692465319537825</v>
      </c>
      <c r="BP63" s="137"/>
      <c r="BQ63" s="137"/>
      <c r="BR63" s="137"/>
      <c r="BS63" s="137"/>
      <c r="BV63" s="262">
        <v>3.4084121197141037</v>
      </c>
      <c r="BW63" s="136">
        <v>3.3770000000000002</v>
      </c>
      <c r="BX63" s="137">
        <v>0.28999999999999998</v>
      </c>
      <c r="BY63" s="137">
        <v>0.28999999999999998</v>
      </c>
      <c r="BZ63" s="137">
        <v>0</v>
      </c>
      <c r="CA63" s="137">
        <v>4.6856677050253197E-2</v>
      </c>
      <c r="CB63" s="137">
        <v>0</v>
      </c>
      <c r="CC63" s="258">
        <v>-2.5000000000000001E-2</v>
      </c>
      <c r="CD63" s="258">
        <v>5.7500000000000002E-2</v>
      </c>
      <c r="CE63" s="258">
        <v>0.125</v>
      </c>
      <c r="CF63" s="258">
        <v>-2.5000000000000001E-2</v>
      </c>
      <c r="CG63" s="258">
        <v>1.9200000000000002E-2</v>
      </c>
      <c r="CH63" s="258">
        <v>0</v>
      </c>
      <c r="CI63" s="258">
        <v>3.2770000000000001</v>
      </c>
    </row>
    <row r="64" spans="1:87" x14ac:dyDescent="0.25">
      <c r="A64" s="723"/>
      <c r="B64" s="723"/>
      <c r="D64" s="31">
        <f t="shared" si="66"/>
        <v>38487</v>
      </c>
      <c r="F64" s="28">
        <f t="shared" si="52"/>
        <v>15000</v>
      </c>
      <c r="G64" s="28">
        <f t="shared" si="13"/>
        <v>0</v>
      </c>
      <c r="H64" s="52">
        <f t="shared" si="53"/>
        <v>3.4084121197141037</v>
      </c>
      <c r="I64" s="52">
        <f t="shared" si="54"/>
        <v>3.3770000000000002</v>
      </c>
      <c r="K64" s="52">
        <f t="shared" si="49"/>
        <v>0</v>
      </c>
      <c r="L64" s="135">
        <f t="shared" si="43"/>
        <v>0</v>
      </c>
      <c r="N64" s="131">
        <f t="shared" si="44"/>
        <v>0.28999999999999998</v>
      </c>
      <c r="O64" s="131">
        <f t="shared" si="45"/>
        <v>0.28999999999999998</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55"/>
        <v>0</v>
      </c>
      <c r="W64" s="146"/>
      <c r="X64" s="338">
        <f t="shared" si="56"/>
        <v>0</v>
      </c>
      <c r="Y64" s="338">
        <f t="shared" si="18"/>
        <v>0</v>
      </c>
      <c r="Z64" s="338">
        <f t="shared" si="19"/>
        <v>0</v>
      </c>
      <c r="AA64" s="338">
        <f t="shared" si="20"/>
        <v>0</v>
      </c>
      <c r="AB64" s="338">
        <f t="shared" si="57"/>
        <v>0</v>
      </c>
      <c r="AC64" s="338">
        <f t="shared" si="58"/>
        <v>0</v>
      </c>
      <c r="AF64" s="138">
        <f t="shared" si="59"/>
        <v>0</v>
      </c>
      <c r="AG64" s="138">
        <f t="shared" si="60"/>
        <v>5</v>
      </c>
      <c r="AH64" s="138">
        <f t="shared" si="25"/>
        <v>0</v>
      </c>
      <c r="AI64" s="138">
        <f t="shared" si="67"/>
        <v>1231</v>
      </c>
      <c r="AJ64" s="138">
        <f t="shared" si="61"/>
        <v>1248</v>
      </c>
      <c r="AL64" s="136">
        <f t="shared" si="27"/>
        <v>3.2770000000000001</v>
      </c>
      <c r="AM64" s="258">
        <f t="shared" si="28"/>
        <v>-2.5000000000000001E-2</v>
      </c>
      <c r="AN64" s="258">
        <f t="shared" si="29"/>
        <v>5.7500000000000002E-2</v>
      </c>
      <c r="AO64" s="258">
        <f t="shared" si="30"/>
        <v>0.125</v>
      </c>
      <c r="AP64" s="258">
        <f t="shared" si="31"/>
        <v>-2.4999999999999998E-2</v>
      </c>
      <c r="AQ64" s="136">
        <f t="shared" si="62"/>
        <v>1.9200000000000002E-2</v>
      </c>
      <c r="AR64" s="137">
        <f t="shared" si="33"/>
        <v>2.9020000000000001E-2</v>
      </c>
      <c r="AS64" s="136">
        <f t="shared" si="50"/>
        <v>3.3095000000000003</v>
      </c>
      <c r="AT64" s="137">
        <f t="shared" si="51"/>
        <v>4.6856677050253197E-2</v>
      </c>
      <c r="AU64" s="137">
        <f t="shared" si="34"/>
        <v>0</v>
      </c>
      <c r="AV64" s="394">
        <f t="shared" si="48"/>
        <v>0</v>
      </c>
      <c r="AW64" s="137">
        <f t="shared" si="35"/>
        <v>0.28999999999999998</v>
      </c>
      <c r="AX64" s="137">
        <f t="shared" si="36"/>
        <v>0.45</v>
      </c>
      <c r="AY64" s="137">
        <f t="shared" si="37"/>
        <v>0.45</v>
      </c>
      <c r="AZ64" s="137"/>
      <c r="BA64" s="264"/>
      <c r="BB64" s="258">
        <f t="shared" si="38"/>
        <v>0</v>
      </c>
      <c r="BC64" s="258">
        <f t="shared" si="63"/>
        <v>0</v>
      </c>
      <c r="BD64" s="137">
        <f t="shared" si="64"/>
        <v>0</v>
      </c>
      <c r="BE64" s="137">
        <f t="shared" si="65"/>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-8.0639466644733704E-2</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0.97692465319537825</v>
      </c>
      <c r="BP64" s="137"/>
      <c r="BQ64" s="137"/>
      <c r="BR64" s="137"/>
      <c r="BS64" s="137"/>
      <c r="BV64" s="262">
        <v>3.4084121197141037</v>
      </c>
      <c r="BW64" s="136">
        <v>3.3770000000000002</v>
      </c>
      <c r="BX64" s="137">
        <v>0.28999999999999998</v>
      </c>
      <c r="BY64" s="137">
        <v>0.28999999999999998</v>
      </c>
      <c r="BZ64" s="137">
        <v>0</v>
      </c>
      <c r="CA64" s="137">
        <v>4.6856677050253197E-2</v>
      </c>
      <c r="CB64" s="137">
        <v>0</v>
      </c>
      <c r="CC64" s="258">
        <v>-2.5000000000000001E-2</v>
      </c>
      <c r="CD64" s="258">
        <v>5.7500000000000002E-2</v>
      </c>
      <c r="CE64" s="258">
        <v>0.125</v>
      </c>
      <c r="CF64" s="258">
        <v>-2.5000000000000001E-2</v>
      </c>
      <c r="CG64" s="258">
        <v>1.9200000000000002E-2</v>
      </c>
      <c r="CH64" s="258">
        <v>0</v>
      </c>
      <c r="CI64" s="258">
        <v>3.2770000000000001</v>
      </c>
    </row>
    <row r="65" spans="1:87" x14ac:dyDescent="0.25">
      <c r="A65" s="723"/>
      <c r="B65" s="723"/>
      <c r="D65" s="31">
        <f t="shared" si="66"/>
        <v>38487</v>
      </c>
      <c r="F65" s="28">
        <f t="shared" si="52"/>
        <v>15000</v>
      </c>
      <c r="G65" s="28">
        <f t="shared" si="13"/>
        <v>0</v>
      </c>
      <c r="H65" s="52">
        <f t="shared" si="53"/>
        <v>3.4084121197141037</v>
      </c>
      <c r="I65" s="52">
        <f t="shared" si="54"/>
        <v>3.3770000000000002</v>
      </c>
      <c r="K65" s="52">
        <f t="shared" si="49"/>
        <v>0</v>
      </c>
      <c r="L65" s="135">
        <f t="shared" si="43"/>
        <v>0</v>
      </c>
      <c r="N65" s="131">
        <f t="shared" si="44"/>
        <v>0.28999999999999998</v>
      </c>
      <c r="O65" s="131">
        <f t="shared" si="45"/>
        <v>0.28999999999999998</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55"/>
        <v>0</v>
      </c>
      <c r="W65" s="146"/>
      <c r="X65" s="338">
        <f t="shared" si="56"/>
        <v>0</v>
      </c>
      <c r="Y65" s="338">
        <f t="shared" si="18"/>
        <v>0</v>
      </c>
      <c r="Z65" s="338">
        <f t="shared" si="19"/>
        <v>0</v>
      </c>
      <c r="AA65" s="338">
        <f t="shared" si="20"/>
        <v>0</v>
      </c>
      <c r="AB65" s="338">
        <f t="shared" si="57"/>
        <v>0</v>
      </c>
      <c r="AC65" s="338">
        <f t="shared" si="58"/>
        <v>0</v>
      </c>
      <c r="AF65" s="138">
        <f t="shared" si="59"/>
        <v>0</v>
      </c>
      <c r="AG65" s="138">
        <f t="shared" si="60"/>
        <v>5</v>
      </c>
      <c r="AH65" s="138">
        <f t="shared" si="25"/>
        <v>0</v>
      </c>
      <c r="AI65" s="138">
        <f t="shared" si="67"/>
        <v>1231</v>
      </c>
      <c r="AJ65" s="138">
        <f t="shared" si="61"/>
        <v>1248</v>
      </c>
      <c r="AL65" s="136">
        <f t="shared" si="27"/>
        <v>3.2770000000000001</v>
      </c>
      <c r="AM65" s="258">
        <f t="shared" si="28"/>
        <v>-2.5000000000000001E-2</v>
      </c>
      <c r="AN65" s="258">
        <f t="shared" si="29"/>
        <v>5.7500000000000002E-2</v>
      </c>
      <c r="AO65" s="258">
        <f t="shared" si="30"/>
        <v>0.125</v>
      </c>
      <c r="AP65" s="258">
        <f t="shared" si="31"/>
        <v>-2.4999999999999998E-2</v>
      </c>
      <c r="AQ65" s="136">
        <f t="shared" si="62"/>
        <v>1.9200000000000002E-2</v>
      </c>
      <c r="AR65" s="137">
        <f t="shared" si="33"/>
        <v>2.9020000000000001E-2</v>
      </c>
      <c r="AS65" s="136">
        <f t="shared" si="50"/>
        <v>3.3095000000000003</v>
      </c>
      <c r="AT65" s="137">
        <f t="shared" si="51"/>
        <v>4.6856677050253197E-2</v>
      </c>
      <c r="AU65" s="137">
        <f t="shared" si="34"/>
        <v>0</v>
      </c>
      <c r="AV65" s="394">
        <f t="shared" si="48"/>
        <v>0</v>
      </c>
      <c r="AW65" s="137">
        <f t="shared" si="35"/>
        <v>0.28999999999999998</v>
      </c>
      <c r="AX65" s="137">
        <f t="shared" si="36"/>
        <v>0.45</v>
      </c>
      <c r="AY65" s="137">
        <f t="shared" si="37"/>
        <v>0.45</v>
      </c>
      <c r="AZ65" s="137"/>
      <c r="BA65" s="264"/>
      <c r="BB65" s="258">
        <f t="shared" si="38"/>
        <v>0</v>
      </c>
      <c r="BC65" s="258">
        <f t="shared" si="63"/>
        <v>0</v>
      </c>
      <c r="BD65" s="137">
        <f t="shared" si="64"/>
        <v>0</v>
      </c>
      <c r="BE65" s="137">
        <f t="shared" si="65"/>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-8.0639466644733704E-2</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0.97692465319537825</v>
      </c>
      <c r="BP65" s="137"/>
      <c r="BQ65" s="137"/>
      <c r="BR65" s="137"/>
      <c r="BS65" s="137"/>
      <c r="BV65" s="262">
        <v>3.4084121197141037</v>
      </c>
      <c r="BW65" s="136">
        <v>3.3770000000000002</v>
      </c>
      <c r="BX65" s="137">
        <v>0.28999999999999998</v>
      </c>
      <c r="BY65" s="137">
        <v>0.28999999999999998</v>
      </c>
      <c r="BZ65" s="137">
        <v>0</v>
      </c>
      <c r="CA65" s="137">
        <v>4.6856677050253197E-2</v>
      </c>
      <c r="CB65" s="137">
        <v>0</v>
      </c>
      <c r="CC65" s="258">
        <v>-2.5000000000000001E-2</v>
      </c>
      <c r="CD65" s="258">
        <v>5.7500000000000002E-2</v>
      </c>
      <c r="CE65" s="258">
        <v>0.125</v>
      </c>
      <c r="CF65" s="258">
        <v>-2.5000000000000001E-2</v>
      </c>
      <c r="CG65" s="258">
        <v>1.9200000000000002E-2</v>
      </c>
      <c r="CH65" s="258">
        <v>0</v>
      </c>
      <c r="CI65" s="258">
        <v>3.2770000000000001</v>
      </c>
    </row>
    <row r="66" spans="1:87" x14ac:dyDescent="0.25">
      <c r="A66" s="723"/>
      <c r="B66" s="723"/>
      <c r="D66" s="31">
        <f t="shared" si="66"/>
        <v>38487</v>
      </c>
      <c r="F66" s="28">
        <f t="shared" si="52"/>
        <v>15000</v>
      </c>
      <c r="G66" s="28">
        <f t="shared" si="13"/>
        <v>0</v>
      </c>
      <c r="H66" s="52">
        <f t="shared" si="53"/>
        <v>3.4084121197141037</v>
      </c>
      <c r="I66" s="52">
        <f t="shared" si="54"/>
        <v>3.3770000000000002</v>
      </c>
      <c r="K66" s="52">
        <f t="shared" si="49"/>
        <v>0</v>
      </c>
      <c r="L66" s="135">
        <f t="shared" si="43"/>
        <v>0</v>
      </c>
      <c r="N66" s="131">
        <f t="shared" si="44"/>
        <v>0.28999999999999998</v>
      </c>
      <c r="O66" s="131">
        <f t="shared" si="45"/>
        <v>0.28999999999999998</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55"/>
        <v>0</v>
      </c>
      <c r="W66" s="146"/>
      <c r="X66" s="338">
        <f t="shared" si="56"/>
        <v>0</v>
      </c>
      <c r="Y66" s="338">
        <f t="shared" si="18"/>
        <v>0</v>
      </c>
      <c r="Z66" s="338">
        <f t="shared" si="19"/>
        <v>0</v>
      </c>
      <c r="AA66" s="338">
        <f t="shared" si="20"/>
        <v>0</v>
      </c>
      <c r="AB66" s="338">
        <f t="shared" si="57"/>
        <v>0</v>
      </c>
      <c r="AC66" s="338">
        <f t="shared" si="58"/>
        <v>0</v>
      </c>
      <c r="AF66" s="138">
        <f t="shared" si="59"/>
        <v>0</v>
      </c>
      <c r="AG66" s="138">
        <f t="shared" si="60"/>
        <v>5</v>
      </c>
      <c r="AH66" s="138">
        <f t="shared" si="25"/>
        <v>0</v>
      </c>
      <c r="AI66" s="138">
        <f t="shared" si="67"/>
        <v>1231</v>
      </c>
      <c r="AJ66" s="138">
        <f t="shared" si="61"/>
        <v>1248</v>
      </c>
      <c r="AL66" s="136">
        <f t="shared" si="27"/>
        <v>3.2770000000000001</v>
      </c>
      <c r="AM66" s="258">
        <f t="shared" si="28"/>
        <v>-2.5000000000000001E-2</v>
      </c>
      <c r="AN66" s="258">
        <f t="shared" si="29"/>
        <v>5.7500000000000002E-2</v>
      </c>
      <c r="AO66" s="258">
        <f t="shared" si="30"/>
        <v>0.125</v>
      </c>
      <c r="AP66" s="258">
        <f t="shared" si="31"/>
        <v>-2.4999999999999998E-2</v>
      </c>
      <c r="AQ66" s="136">
        <f t="shared" si="62"/>
        <v>1.9200000000000002E-2</v>
      </c>
      <c r="AR66" s="137">
        <f t="shared" si="33"/>
        <v>2.9020000000000001E-2</v>
      </c>
      <c r="AS66" s="136">
        <f t="shared" si="50"/>
        <v>3.3095000000000003</v>
      </c>
      <c r="AT66" s="137">
        <f t="shared" si="51"/>
        <v>4.6856677050253197E-2</v>
      </c>
      <c r="AU66" s="137">
        <f t="shared" si="34"/>
        <v>0</v>
      </c>
      <c r="AV66" s="394">
        <f t="shared" si="48"/>
        <v>0</v>
      </c>
      <c r="AW66" s="137">
        <f t="shared" si="35"/>
        <v>0.28999999999999998</v>
      </c>
      <c r="AX66" s="137">
        <f t="shared" si="36"/>
        <v>0.45</v>
      </c>
      <c r="AY66" s="137">
        <f t="shared" si="37"/>
        <v>0.45</v>
      </c>
      <c r="AZ66" s="137"/>
      <c r="BA66" s="264"/>
      <c r="BB66" s="258">
        <f t="shared" si="38"/>
        <v>0</v>
      </c>
      <c r="BC66" s="258">
        <f t="shared" si="63"/>
        <v>0</v>
      </c>
      <c r="BD66" s="137">
        <f t="shared" si="64"/>
        <v>0</v>
      </c>
      <c r="BE66" s="137">
        <f t="shared" si="65"/>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-8.0639466644733704E-2</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0.97692465319537825</v>
      </c>
      <c r="BP66" s="137"/>
      <c r="BQ66" s="137"/>
      <c r="BR66" s="137"/>
      <c r="BS66" s="137"/>
      <c r="BV66" s="262">
        <v>3.4084121197141037</v>
      </c>
      <c r="BW66" s="136">
        <v>3.3770000000000002</v>
      </c>
      <c r="BX66" s="137">
        <v>0.28999999999999998</v>
      </c>
      <c r="BY66" s="137">
        <v>0.28999999999999998</v>
      </c>
      <c r="BZ66" s="137">
        <v>0</v>
      </c>
      <c r="CA66" s="137">
        <v>4.6856677050253197E-2</v>
      </c>
      <c r="CB66" s="137">
        <v>0</v>
      </c>
      <c r="CC66" s="258">
        <v>-2.5000000000000001E-2</v>
      </c>
      <c r="CD66" s="258">
        <v>5.7500000000000002E-2</v>
      </c>
      <c r="CE66" s="258">
        <v>0.125</v>
      </c>
      <c r="CF66" s="258">
        <v>-2.5000000000000001E-2</v>
      </c>
      <c r="CG66" s="258">
        <v>1.9200000000000002E-2</v>
      </c>
      <c r="CH66" s="258">
        <v>0</v>
      </c>
      <c r="CI66" s="258">
        <v>3.2770000000000001</v>
      </c>
    </row>
    <row r="67" spans="1:87" x14ac:dyDescent="0.25">
      <c r="A67" s="723"/>
      <c r="B67" s="723"/>
      <c r="D67" s="31">
        <f t="shared" si="66"/>
        <v>38487</v>
      </c>
      <c r="F67" s="28">
        <f t="shared" si="52"/>
        <v>15000</v>
      </c>
      <c r="G67" s="28">
        <f t="shared" si="13"/>
        <v>0</v>
      </c>
      <c r="H67" s="52">
        <f t="shared" si="53"/>
        <v>3.4084121197141037</v>
      </c>
      <c r="I67" s="52">
        <f t="shared" si="54"/>
        <v>3.3770000000000002</v>
      </c>
      <c r="K67" s="52">
        <f t="shared" si="49"/>
        <v>0</v>
      </c>
      <c r="L67" s="135">
        <f t="shared" si="43"/>
        <v>0</v>
      </c>
      <c r="N67" s="131">
        <f t="shared" si="44"/>
        <v>0.28999999999999998</v>
      </c>
      <c r="O67" s="131">
        <f t="shared" si="45"/>
        <v>0.28999999999999998</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55"/>
        <v>0</v>
      </c>
      <c r="W67" s="146"/>
      <c r="X67" s="338">
        <f t="shared" si="56"/>
        <v>0</v>
      </c>
      <c r="Y67" s="338">
        <f t="shared" si="18"/>
        <v>0</v>
      </c>
      <c r="Z67" s="338">
        <f t="shared" si="19"/>
        <v>0</v>
      </c>
      <c r="AA67" s="338">
        <f t="shared" si="20"/>
        <v>0</v>
      </c>
      <c r="AB67" s="338">
        <f t="shared" si="57"/>
        <v>0</v>
      </c>
      <c r="AC67" s="338">
        <f t="shared" si="58"/>
        <v>0</v>
      </c>
      <c r="AF67" s="138">
        <f t="shared" si="59"/>
        <v>0</v>
      </c>
      <c r="AG67" s="138">
        <f t="shared" si="60"/>
        <v>5</v>
      </c>
      <c r="AH67" s="138">
        <f t="shared" si="25"/>
        <v>0</v>
      </c>
      <c r="AI67" s="138">
        <f t="shared" si="67"/>
        <v>1231</v>
      </c>
      <c r="AJ67" s="138">
        <f t="shared" si="61"/>
        <v>1248</v>
      </c>
      <c r="AL67" s="136">
        <f t="shared" si="27"/>
        <v>3.2770000000000001</v>
      </c>
      <c r="AM67" s="258">
        <f t="shared" si="28"/>
        <v>-2.5000000000000001E-2</v>
      </c>
      <c r="AN67" s="258">
        <f t="shared" si="29"/>
        <v>5.7500000000000002E-2</v>
      </c>
      <c r="AO67" s="258">
        <f t="shared" si="30"/>
        <v>0.125</v>
      </c>
      <c r="AP67" s="258">
        <f t="shared" si="31"/>
        <v>-2.4999999999999998E-2</v>
      </c>
      <c r="AQ67" s="136">
        <f t="shared" si="62"/>
        <v>1.9200000000000002E-2</v>
      </c>
      <c r="AR67" s="137">
        <f t="shared" si="33"/>
        <v>2.9020000000000001E-2</v>
      </c>
      <c r="AS67" s="136">
        <f t="shared" si="50"/>
        <v>3.3095000000000003</v>
      </c>
      <c r="AT67" s="137">
        <f t="shared" si="51"/>
        <v>4.6856677050253197E-2</v>
      </c>
      <c r="AU67" s="137">
        <f t="shared" si="34"/>
        <v>0</v>
      </c>
      <c r="AV67" s="394">
        <f t="shared" si="48"/>
        <v>0</v>
      </c>
      <c r="AW67" s="137">
        <f t="shared" si="35"/>
        <v>0.28999999999999998</v>
      </c>
      <c r="AX67" s="137">
        <f t="shared" si="36"/>
        <v>0.45</v>
      </c>
      <c r="AY67" s="137">
        <f t="shared" si="37"/>
        <v>0.45</v>
      </c>
      <c r="AZ67" s="137"/>
      <c r="BA67" s="264"/>
      <c r="BB67" s="258">
        <f t="shared" si="38"/>
        <v>0</v>
      </c>
      <c r="BC67" s="258">
        <f t="shared" si="63"/>
        <v>0</v>
      </c>
      <c r="BD67" s="137">
        <f t="shared" si="64"/>
        <v>0</v>
      </c>
      <c r="BE67" s="137">
        <f t="shared" si="65"/>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-8.0639466644733704E-2</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0.97692465319537825</v>
      </c>
      <c r="BP67" s="137"/>
      <c r="BQ67" s="137"/>
      <c r="BR67" s="137"/>
      <c r="BS67" s="137"/>
      <c r="BV67" s="262">
        <v>3.4084121197141037</v>
      </c>
      <c r="BW67" s="136">
        <v>3.3770000000000002</v>
      </c>
      <c r="BX67" s="137">
        <v>0.28999999999999998</v>
      </c>
      <c r="BY67" s="137">
        <v>0.28999999999999998</v>
      </c>
      <c r="BZ67" s="137">
        <v>0</v>
      </c>
      <c r="CA67" s="137">
        <v>4.6856677050253197E-2</v>
      </c>
      <c r="CB67" s="137">
        <v>0</v>
      </c>
      <c r="CC67" s="258">
        <v>-2.5000000000000001E-2</v>
      </c>
      <c r="CD67" s="258">
        <v>5.7500000000000002E-2</v>
      </c>
      <c r="CE67" s="258">
        <v>0.125</v>
      </c>
      <c r="CF67" s="258">
        <v>-2.5000000000000001E-2</v>
      </c>
      <c r="CG67" s="258">
        <v>1.9200000000000002E-2</v>
      </c>
      <c r="CH67" s="258">
        <v>0</v>
      </c>
      <c r="CI67" s="258">
        <v>3.2770000000000001</v>
      </c>
    </row>
    <row r="68" spans="1:87" x14ac:dyDescent="0.25">
      <c r="A68" s="723"/>
      <c r="B68" s="723"/>
      <c r="L68" s="135"/>
      <c r="P68" s="55"/>
      <c r="Q68" s="55"/>
      <c r="R68" s="55"/>
      <c r="U68" s="55"/>
      <c r="V68" s="55"/>
      <c r="W68" s="55"/>
      <c r="X68" s="55"/>
      <c r="AO68" s="136"/>
      <c r="AQ68" s="137"/>
      <c r="AS68" s="137"/>
      <c r="AU68" s="145"/>
      <c r="AV68" s="136"/>
      <c r="AW68" s="137"/>
    </row>
    <row r="69" spans="1:87" x14ac:dyDescent="0.25">
      <c r="A69" s="723"/>
      <c r="B69" s="723"/>
      <c r="L69" s="135"/>
      <c r="P69" s="55"/>
      <c r="Q69" s="55"/>
      <c r="R69" s="55"/>
      <c r="U69" s="55"/>
      <c r="V69" s="55"/>
      <c r="W69" s="55"/>
      <c r="X69" s="55"/>
      <c r="AO69" s="136"/>
      <c r="AQ69" s="137"/>
      <c r="AS69" s="137"/>
      <c r="AU69" s="145"/>
      <c r="AV69" s="136"/>
      <c r="AW69" s="137"/>
    </row>
    <row r="70" spans="1:87" x14ac:dyDescent="0.25">
      <c r="A70" s="723"/>
      <c r="B70" s="723"/>
      <c r="L70" s="135"/>
      <c r="P70" s="55"/>
      <c r="Q70" s="55"/>
      <c r="R70" s="55"/>
      <c r="U70" s="55"/>
      <c r="V70" s="55"/>
      <c r="W70" s="55"/>
      <c r="X70" s="55"/>
      <c r="AO70" s="136"/>
      <c r="AQ70" s="137"/>
      <c r="AS70" s="137"/>
      <c r="AU70" s="145"/>
      <c r="AV70" s="136"/>
      <c r="AW70" s="137"/>
    </row>
    <row r="71" spans="1:87" x14ac:dyDescent="0.25">
      <c r="A71" s="723"/>
      <c r="B71" s="723"/>
      <c r="L71" s="135"/>
      <c r="P71" s="55"/>
      <c r="Q71" s="55"/>
      <c r="R71" s="55"/>
      <c r="U71" s="55"/>
      <c r="V71" s="55"/>
      <c r="W71" s="55"/>
      <c r="X71" s="55"/>
      <c r="AO71" s="136"/>
      <c r="AQ71" s="137"/>
      <c r="AS71" s="137"/>
      <c r="AU71" s="145"/>
      <c r="AV71" s="136"/>
      <c r="AW71" s="137"/>
    </row>
    <row r="72" spans="1:87" x14ac:dyDescent="0.25">
      <c r="A72" s="723"/>
      <c r="B72" s="723"/>
      <c r="L72" s="135"/>
      <c r="P72" s="55"/>
      <c r="Q72" s="55"/>
      <c r="R72" s="55"/>
      <c r="U72" s="55"/>
      <c r="V72" s="55"/>
      <c r="W72" s="55"/>
      <c r="X72" s="55"/>
      <c r="AO72" s="136"/>
      <c r="AQ72" s="137"/>
      <c r="AS72" s="137"/>
      <c r="AU72" s="145"/>
      <c r="AV72" s="136"/>
      <c r="AW72" s="137"/>
    </row>
    <row r="73" spans="1:87" x14ac:dyDescent="0.25">
      <c r="A73" s="723"/>
      <c r="B73" s="723"/>
      <c r="L73" s="135"/>
      <c r="P73" s="55"/>
      <c r="Q73" s="55"/>
      <c r="R73" s="55"/>
      <c r="U73" s="55"/>
      <c r="V73" s="55"/>
      <c r="W73" s="55"/>
      <c r="X73" s="55"/>
      <c r="AO73" s="136"/>
      <c r="AQ73" s="137"/>
      <c r="AS73" s="137"/>
      <c r="AU73" s="145"/>
      <c r="AV73" s="136"/>
      <c r="AW73" s="137"/>
    </row>
    <row r="74" spans="1:87" x14ac:dyDescent="0.25">
      <c r="A74" s="723"/>
      <c r="B74" s="723"/>
      <c r="L74" s="135"/>
      <c r="P74" s="55"/>
      <c r="Q74" s="55"/>
      <c r="R74" s="55"/>
      <c r="U74" s="55"/>
      <c r="V74" s="55"/>
      <c r="W74" s="55"/>
      <c r="X74" s="55"/>
      <c r="AO74" s="136"/>
      <c r="AQ74" s="137"/>
      <c r="AS74" s="137"/>
      <c r="AU74" s="145"/>
      <c r="AV74" s="136"/>
      <c r="AW74" s="137"/>
    </row>
    <row r="75" spans="1:87" x14ac:dyDescent="0.25">
      <c r="A75" s="723"/>
      <c r="B75" s="723"/>
      <c r="L75" s="135"/>
      <c r="P75" s="55"/>
      <c r="Q75" s="55"/>
      <c r="R75" s="55"/>
      <c r="U75" s="55"/>
      <c r="V75" s="55"/>
      <c r="W75" s="55"/>
      <c r="X75" s="55"/>
      <c r="AO75" s="136"/>
      <c r="AQ75" s="137"/>
      <c r="AS75" s="137"/>
      <c r="AU75" s="145"/>
      <c r="AV75" s="136"/>
      <c r="AW75" s="137"/>
    </row>
    <row r="76" spans="1:87" x14ac:dyDescent="0.25">
      <c r="A76" s="723"/>
      <c r="B76" s="723"/>
      <c r="L76" s="135"/>
      <c r="P76" s="55"/>
      <c r="Q76" s="55"/>
      <c r="R76" s="55"/>
      <c r="U76" s="55"/>
      <c r="V76" s="55"/>
      <c r="W76" s="55"/>
      <c r="X76" s="55"/>
      <c r="AO76" s="136"/>
      <c r="AQ76" s="137"/>
      <c r="AS76" s="137"/>
      <c r="AU76" s="145"/>
      <c r="AV76" s="136"/>
      <c r="AW76" s="137"/>
    </row>
    <row r="77" spans="1:87" x14ac:dyDescent="0.25">
      <c r="A77" s="723"/>
      <c r="B77" s="723"/>
      <c r="L77" s="135"/>
      <c r="P77" s="55"/>
      <c r="Q77" s="55"/>
      <c r="R77" s="55"/>
      <c r="U77" s="55"/>
      <c r="V77" s="55"/>
      <c r="W77" s="55"/>
      <c r="X77" s="55"/>
      <c r="AO77" s="136"/>
      <c r="AQ77" s="137"/>
      <c r="AS77" s="137"/>
      <c r="AU77" s="145"/>
      <c r="AV77" s="136"/>
      <c r="AW77" s="137"/>
    </row>
    <row r="78" spans="1:87" x14ac:dyDescent="0.25">
      <c r="A78" s="723"/>
      <c r="B78" s="723"/>
      <c r="L78" s="135"/>
      <c r="P78" s="55"/>
      <c r="Q78" s="55"/>
      <c r="R78" s="55"/>
      <c r="U78" s="55"/>
      <c r="V78" s="55"/>
      <c r="W78" s="55"/>
      <c r="X78" s="55"/>
      <c r="AO78" s="136"/>
      <c r="AQ78" s="137"/>
      <c r="AS78" s="137"/>
      <c r="AU78" s="145"/>
      <c r="AV78" s="136"/>
      <c r="AW78" s="137"/>
    </row>
    <row r="79" spans="1:87" x14ac:dyDescent="0.25">
      <c r="A79" s="723"/>
      <c r="B79" s="723"/>
      <c r="L79" s="135"/>
      <c r="P79" s="55"/>
      <c r="Q79" s="55"/>
      <c r="R79" s="55"/>
      <c r="U79" s="55"/>
      <c r="V79" s="55"/>
      <c r="W79" s="55"/>
      <c r="X79" s="55"/>
      <c r="AO79" s="136"/>
      <c r="AQ79" s="137"/>
      <c r="AS79" s="137"/>
      <c r="AU79" s="145"/>
      <c r="AV79" s="136"/>
      <c r="AW79" s="137"/>
    </row>
    <row r="80" spans="1:87" x14ac:dyDescent="0.25">
      <c r="A80" s="723"/>
      <c r="B80" s="723"/>
      <c r="L80" s="135"/>
      <c r="P80" s="55"/>
      <c r="Q80" s="55"/>
      <c r="R80" s="55"/>
      <c r="U80" s="55"/>
      <c r="V80" s="55"/>
      <c r="W80" s="55"/>
      <c r="X80" s="55"/>
      <c r="AO80" s="136"/>
      <c r="AQ80" s="137"/>
      <c r="AS80" s="137"/>
      <c r="AU80" s="145"/>
      <c r="AV80" s="136"/>
      <c r="AW80" s="137"/>
    </row>
    <row r="81" spans="1:49" x14ac:dyDescent="0.25">
      <c r="A81" s="723"/>
      <c r="B81" s="723"/>
      <c r="L81" s="135"/>
      <c r="P81" s="55"/>
      <c r="Q81" s="55"/>
      <c r="R81" s="55"/>
      <c r="U81" s="55"/>
      <c r="V81" s="55"/>
      <c r="W81" s="55"/>
      <c r="X81" s="55"/>
      <c r="AO81" s="136"/>
      <c r="AQ81" s="137"/>
      <c r="AS81" s="137"/>
      <c r="AU81" s="145"/>
      <c r="AV81" s="136"/>
      <c r="AW81" s="137"/>
    </row>
    <row r="82" spans="1:49" x14ac:dyDescent="0.25">
      <c r="A82" s="723"/>
      <c r="B82" s="723"/>
      <c r="L82" s="135"/>
      <c r="P82" s="55"/>
      <c r="Q82" s="55"/>
      <c r="R82" s="55"/>
      <c r="U82" s="55"/>
      <c r="V82" s="55"/>
      <c r="W82" s="55"/>
      <c r="X82" s="55"/>
      <c r="AO82" s="136"/>
      <c r="AQ82" s="137"/>
      <c r="AS82" s="137"/>
      <c r="AU82" s="145"/>
      <c r="AV82" s="136"/>
      <c r="AW82" s="137"/>
    </row>
    <row r="83" spans="1:49" x14ac:dyDescent="0.25">
      <c r="A83" s="723"/>
      <c r="B83" s="723"/>
      <c r="L83" s="135"/>
      <c r="P83" s="55"/>
      <c r="Q83" s="55"/>
      <c r="R83" s="55"/>
      <c r="U83" s="55"/>
      <c r="V83" s="55"/>
      <c r="W83" s="55"/>
      <c r="X83" s="55"/>
      <c r="AO83" s="136"/>
      <c r="AQ83" s="137"/>
      <c r="AS83" s="137"/>
      <c r="AU83" s="145"/>
      <c r="AV83" s="136"/>
      <c r="AW83" s="137"/>
    </row>
    <row r="84" spans="1:49" x14ac:dyDescent="0.25">
      <c r="A84" s="723"/>
      <c r="B84" s="723"/>
      <c r="L84" s="135"/>
      <c r="P84" s="55"/>
      <c r="Q84" s="55"/>
      <c r="R84" s="55"/>
      <c r="U84" s="55"/>
      <c r="V84" s="55"/>
      <c r="W84" s="55"/>
      <c r="X84" s="55"/>
      <c r="AO84" s="136"/>
      <c r="AQ84" s="137"/>
      <c r="AS84" s="137"/>
      <c r="AU84" s="145"/>
      <c r="AV84" s="136"/>
      <c r="AW84" s="137"/>
    </row>
    <row r="85" spans="1:49" x14ac:dyDescent="0.25">
      <c r="A85" s="723"/>
      <c r="B85" s="723"/>
      <c r="L85" s="135"/>
      <c r="P85" s="55"/>
      <c r="Q85" s="55"/>
      <c r="R85" s="55"/>
      <c r="U85" s="55"/>
      <c r="V85" s="55"/>
      <c r="W85" s="55"/>
      <c r="X85" s="55"/>
      <c r="AO85" s="136"/>
      <c r="AQ85" s="137"/>
      <c r="AS85" s="137"/>
      <c r="AU85" s="145"/>
      <c r="AV85" s="136"/>
      <c r="AW85" s="137"/>
    </row>
    <row r="86" spans="1:49" x14ac:dyDescent="0.25">
      <c r="A86" s="723"/>
      <c r="B86" s="723"/>
      <c r="L86" s="135"/>
      <c r="P86" s="55"/>
      <c r="Q86" s="55"/>
      <c r="R86" s="55"/>
      <c r="U86" s="55"/>
      <c r="V86" s="55"/>
      <c r="W86" s="55"/>
      <c r="X86" s="55"/>
      <c r="AO86" s="136"/>
      <c r="AQ86" s="137"/>
      <c r="AS86" s="137"/>
      <c r="AU86" s="145"/>
      <c r="AV86" s="136"/>
      <c r="AW86" s="137"/>
    </row>
    <row r="87" spans="1:49" x14ac:dyDescent="0.25">
      <c r="A87" s="723"/>
      <c r="B87" s="723"/>
      <c r="L87" s="135"/>
      <c r="P87" s="55"/>
      <c r="Q87" s="55"/>
      <c r="R87" s="55"/>
      <c r="U87" s="55"/>
      <c r="V87" s="55"/>
      <c r="W87" s="55"/>
      <c r="X87" s="55"/>
      <c r="AO87" s="136"/>
      <c r="AQ87" s="137"/>
      <c r="AS87" s="137"/>
      <c r="AU87" s="145"/>
      <c r="AV87" s="136"/>
      <c r="AW87" s="137"/>
    </row>
    <row r="88" spans="1:49" x14ac:dyDescent="0.25">
      <c r="A88" s="723"/>
      <c r="B88" s="723"/>
      <c r="L88" s="135"/>
      <c r="P88" s="55"/>
      <c r="Q88" s="55"/>
      <c r="R88" s="55"/>
      <c r="U88" s="55"/>
      <c r="V88" s="55"/>
      <c r="W88" s="55"/>
      <c r="X88" s="55"/>
      <c r="AO88" s="136"/>
      <c r="AQ88" s="137"/>
      <c r="AS88" s="137"/>
      <c r="AU88" s="145"/>
      <c r="AV88" s="136"/>
      <c r="AW88" s="137"/>
    </row>
    <row r="89" spans="1:49" x14ac:dyDescent="0.25">
      <c r="A89" s="723"/>
      <c r="B89" s="723"/>
      <c r="L89" s="135"/>
      <c r="P89" s="55"/>
      <c r="Q89" s="55"/>
      <c r="R89" s="55"/>
      <c r="U89" s="55"/>
      <c r="V89" s="55"/>
      <c r="W89" s="55"/>
      <c r="X89" s="55"/>
      <c r="AO89" s="136"/>
      <c r="AQ89" s="137"/>
      <c r="AS89" s="137"/>
      <c r="AU89" s="145"/>
      <c r="AV89" s="136"/>
      <c r="AW89" s="137"/>
    </row>
    <row r="90" spans="1:49" x14ac:dyDescent="0.25">
      <c r="A90" s="723"/>
      <c r="B90" s="723"/>
      <c r="L90" s="135"/>
      <c r="P90" s="55"/>
      <c r="Q90" s="55"/>
      <c r="R90" s="55"/>
      <c r="U90" s="55"/>
      <c r="V90" s="55"/>
      <c r="W90" s="55"/>
      <c r="X90" s="55"/>
      <c r="AO90" s="136"/>
      <c r="AQ90" s="137"/>
      <c r="AS90" s="137"/>
      <c r="AU90" s="145"/>
      <c r="AV90" s="136"/>
      <c r="AW90" s="137"/>
    </row>
    <row r="91" spans="1:49" x14ac:dyDescent="0.25">
      <c r="A91" s="723"/>
      <c r="B91" s="723"/>
      <c r="L91" s="135"/>
      <c r="P91" s="55"/>
      <c r="Q91" s="55"/>
      <c r="R91" s="55"/>
      <c r="U91" s="55"/>
      <c r="V91" s="55"/>
      <c r="W91" s="55"/>
      <c r="X91" s="55"/>
      <c r="AO91" s="136"/>
      <c r="AQ91" s="137"/>
      <c r="AS91" s="137"/>
      <c r="AU91" s="145"/>
      <c r="AV91" s="136"/>
      <c r="AW91" s="137"/>
    </row>
    <row r="92" spans="1:49" x14ac:dyDescent="0.25">
      <c r="A92" s="723"/>
      <c r="B92" s="723"/>
      <c r="L92" s="135"/>
      <c r="P92" s="55"/>
      <c r="Q92" s="55"/>
      <c r="R92" s="55"/>
      <c r="U92" s="55"/>
      <c r="V92" s="55"/>
      <c r="W92" s="55"/>
      <c r="X92" s="55"/>
      <c r="AO92" s="136"/>
      <c r="AQ92" s="137"/>
      <c r="AS92" s="137"/>
      <c r="AU92" s="145"/>
      <c r="AV92" s="136"/>
      <c r="AW92" s="137"/>
    </row>
    <row r="93" spans="1:49" x14ac:dyDescent="0.25">
      <c r="A93" s="723"/>
      <c r="B93" s="723"/>
      <c r="L93" s="135"/>
      <c r="P93" s="55"/>
      <c r="Q93" s="55"/>
      <c r="R93" s="55"/>
      <c r="U93" s="55"/>
      <c r="V93" s="55"/>
      <c r="W93" s="55"/>
      <c r="X93" s="55"/>
      <c r="AO93" s="136"/>
      <c r="AQ93" s="137"/>
      <c r="AS93" s="137"/>
      <c r="AU93" s="145"/>
      <c r="AV93" s="136"/>
      <c r="AW93" s="137"/>
    </row>
    <row r="94" spans="1:49" x14ac:dyDescent="0.25">
      <c r="A94" s="723"/>
      <c r="B94" s="723"/>
      <c r="L94" s="135"/>
      <c r="P94" s="55"/>
      <c r="Q94" s="55"/>
      <c r="R94" s="55"/>
      <c r="U94" s="55"/>
      <c r="V94" s="55"/>
      <c r="W94" s="55"/>
      <c r="X94" s="55"/>
      <c r="AO94" s="136"/>
      <c r="AQ94" s="137"/>
      <c r="AS94" s="137"/>
      <c r="AU94" s="145"/>
      <c r="AV94" s="136"/>
      <c r="AW94" s="137"/>
    </row>
    <row r="95" spans="1:49" x14ac:dyDescent="0.25">
      <c r="A95" s="723"/>
      <c r="B95" s="723"/>
      <c r="L95" s="135"/>
      <c r="P95" s="55"/>
      <c r="Q95" s="55"/>
      <c r="R95" s="55"/>
      <c r="U95" s="55"/>
      <c r="V95" s="55"/>
      <c r="W95" s="55"/>
      <c r="X95" s="55"/>
      <c r="AO95" s="136"/>
      <c r="AQ95" s="137"/>
      <c r="AS95" s="137"/>
      <c r="AU95" s="145"/>
      <c r="AV95" s="136"/>
      <c r="AW95" s="137"/>
    </row>
    <row r="96" spans="1:49" x14ac:dyDescent="0.25">
      <c r="A96" s="723"/>
      <c r="B96" s="723"/>
      <c r="L96" s="135"/>
      <c r="P96" s="55"/>
      <c r="Q96" s="55"/>
      <c r="R96" s="55"/>
      <c r="U96" s="55"/>
      <c r="V96" s="55"/>
      <c r="W96" s="55"/>
      <c r="X96" s="55"/>
      <c r="AO96" s="136"/>
      <c r="AQ96" s="137"/>
      <c r="AS96" s="137"/>
      <c r="AU96" s="145"/>
      <c r="AV96" s="136"/>
      <c r="AW96" s="137"/>
    </row>
    <row r="97" spans="1:49" x14ac:dyDescent="0.25">
      <c r="A97" s="723"/>
      <c r="B97" s="723"/>
      <c r="L97" s="135"/>
      <c r="P97" s="55"/>
      <c r="Q97" s="55"/>
      <c r="R97" s="55"/>
      <c r="U97" s="55"/>
      <c r="V97" s="55"/>
      <c r="W97" s="55"/>
      <c r="X97" s="55"/>
      <c r="AO97" s="136"/>
      <c r="AQ97" s="137"/>
      <c r="AS97" s="137"/>
      <c r="AU97" s="145"/>
      <c r="AV97" s="136"/>
      <c r="AW97" s="137"/>
    </row>
    <row r="98" spans="1:49" x14ac:dyDescent="0.25">
      <c r="A98" s="723"/>
      <c r="B98" s="723"/>
      <c r="L98" s="135"/>
      <c r="P98" s="55"/>
      <c r="Q98" s="55"/>
      <c r="R98" s="55"/>
      <c r="U98" s="55"/>
      <c r="V98" s="55"/>
      <c r="W98" s="55"/>
      <c r="X98" s="55"/>
      <c r="AO98" s="136"/>
      <c r="AQ98" s="137"/>
      <c r="AS98" s="137"/>
      <c r="AU98" s="145"/>
      <c r="AV98" s="136"/>
      <c r="AW98" s="137"/>
    </row>
    <row r="99" spans="1:49" x14ac:dyDescent="0.25">
      <c r="A99" s="723"/>
      <c r="B99" s="723"/>
      <c r="L99" s="135"/>
      <c r="P99" s="55"/>
      <c r="Q99" s="55"/>
      <c r="R99" s="55"/>
      <c r="U99" s="55"/>
      <c r="V99" s="55"/>
      <c r="W99" s="55"/>
      <c r="X99" s="55"/>
      <c r="AO99" s="136"/>
      <c r="AQ99" s="137"/>
      <c r="AS99" s="137"/>
      <c r="AU99" s="145"/>
      <c r="AV99" s="136"/>
      <c r="AW99" s="137"/>
    </row>
    <row r="100" spans="1:49" x14ac:dyDescent="0.25">
      <c r="A100" s="723"/>
      <c r="B100" s="723"/>
      <c r="L100" s="135"/>
      <c r="P100" s="55"/>
      <c r="Q100" s="55"/>
      <c r="R100" s="55"/>
      <c r="U100" s="55"/>
      <c r="V100" s="55"/>
      <c r="W100" s="55"/>
      <c r="X100" s="55"/>
      <c r="AO100" s="136"/>
      <c r="AQ100" s="137"/>
      <c r="AS100" s="137"/>
      <c r="AU100" s="145"/>
      <c r="AV100" s="136"/>
      <c r="AW100" s="137"/>
    </row>
    <row r="101" spans="1:49" x14ac:dyDescent="0.25">
      <c r="A101" s="723"/>
      <c r="B101" s="723"/>
      <c r="L101" s="135"/>
      <c r="P101" s="55"/>
      <c r="Q101" s="55"/>
      <c r="R101" s="55"/>
      <c r="U101" s="55"/>
      <c r="V101" s="55"/>
      <c r="W101" s="55"/>
      <c r="X101" s="55"/>
      <c r="AO101" s="136"/>
      <c r="AQ101" s="137"/>
      <c r="AS101" s="137"/>
      <c r="AU101" s="145"/>
      <c r="AV101" s="136"/>
      <c r="AW101" s="137"/>
    </row>
    <row r="102" spans="1:49" x14ac:dyDescent="0.25">
      <c r="A102" s="723"/>
      <c r="B102" s="723"/>
      <c r="L102" s="135"/>
      <c r="P102" s="55"/>
      <c r="Q102" s="55"/>
      <c r="R102" s="55"/>
      <c r="U102" s="55"/>
      <c r="V102" s="55"/>
      <c r="W102" s="55"/>
      <c r="X102" s="55"/>
      <c r="AO102" s="136"/>
      <c r="AQ102" s="137"/>
      <c r="AS102" s="137"/>
      <c r="AU102" s="145"/>
      <c r="AV102" s="136"/>
      <c r="AW102" s="137"/>
    </row>
    <row r="103" spans="1:49" x14ac:dyDescent="0.25">
      <c r="A103" s="723"/>
      <c r="B103" s="723"/>
      <c r="L103" s="135"/>
      <c r="P103" s="55"/>
      <c r="Q103" s="55"/>
      <c r="R103" s="55"/>
      <c r="U103" s="55"/>
      <c r="V103" s="55"/>
      <c r="W103" s="55"/>
      <c r="X103" s="55"/>
      <c r="AO103" s="136"/>
      <c r="AQ103" s="137"/>
      <c r="AS103" s="137"/>
      <c r="AU103" s="145"/>
      <c r="AV103" s="136"/>
      <c r="AW103" s="137"/>
    </row>
    <row r="104" spans="1:49" x14ac:dyDescent="0.25">
      <c r="A104" s="723"/>
      <c r="B104" s="723"/>
      <c r="L104" s="135"/>
      <c r="P104" s="55"/>
      <c r="Q104" s="55"/>
      <c r="R104" s="55"/>
      <c r="U104" s="55"/>
      <c r="V104" s="55"/>
      <c r="W104" s="55"/>
      <c r="X104" s="55"/>
      <c r="AO104" s="136"/>
      <c r="AQ104" s="137"/>
      <c r="AS104" s="137"/>
      <c r="AU104" s="145"/>
      <c r="AV104" s="136"/>
      <c r="AW104" s="137"/>
    </row>
    <row r="105" spans="1:49" x14ac:dyDescent="0.25">
      <c r="A105" s="723"/>
      <c r="B105" s="723"/>
      <c r="L105" s="135"/>
      <c r="P105" s="55"/>
      <c r="Q105" s="55"/>
      <c r="R105" s="55"/>
      <c r="U105" s="55"/>
      <c r="V105" s="55"/>
      <c r="W105" s="55"/>
      <c r="X105" s="55"/>
      <c r="AO105" s="136"/>
      <c r="AQ105" s="137"/>
      <c r="AS105" s="137"/>
      <c r="AU105" s="145"/>
      <c r="AV105" s="136"/>
      <c r="AW105" s="137"/>
    </row>
    <row r="106" spans="1:49" x14ac:dyDescent="0.25">
      <c r="A106" s="723"/>
      <c r="B106" s="723"/>
      <c r="L106" s="135"/>
      <c r="P106" s="55"/>
      <c r="Q106" s="55"/>
      <c r="R106" s="55"/>
      <c r="U106" s="55"/>
      <c r="V106" s="55"/>
      <c r="W106" s="55"/>
      <c r="X106" s="55"/>
      <c r="AO106" s="136"/>
      <c r="AQ106" s="137"/>
      <c r="AS106" s="137"/>
      <c r="AU106" s="145"/>
      <c r="AV106" s="136"/>
      <c r="AW106" s="137"/>
    </row>
    <row r="107" spans="1:49" x14ac:dyDescent="0.25">
      <c r="A107" s="723"/>
      <c r="B107" s="723"/>
      <c r="L107" s="135"/>
      <c r="P107" s="55"/>
      <c r="Q107" s="55"/>
      <c r="R107" s="55"/>
      <c r="U107" s="55"/>
      <c r="V107" s="55"/>
      <c r="W107" s="55"/>
      <c r="X107" s="55"/>
      <c r="AO107" s="136"/>
      <c r="AQ107" s="137"/>
      <c r="AS107" s="137"/>
      <c r="AU107" s="145"/>
      <c r="AV107" s="136"/>
      <c r="AW107" s="137"/>
    </row>
    <row r="108" spans="1:49" x14ac:dyDescent="0.25">
      <c r="A108" s="723"/>
      <c r="B108" s="723"/>
      <c r="L108" s="135"/>
      <c r="P108" s="55"/>
      <c r="Q108" s="55"/>
      <c r="R108" s="55"/>
      <c r="U108" s="55"/>
      <c r="V108" s="55"/>
      <c r="W108" s="55"/>
      <c r="X108" s="55"/>
      <c r="AO108" s="136"/>
      <c r="AQ108" s="137"/>
      <c r="AS108" s="137"/>
      <c r="AU108" s="145"/>
      <c r="AV108" s="136"/>
      <c r="AW108" s="137"/>
    </row>
    <row r="109" spans="1:49" x14ac:dyDescent="0.25">
      <c r="A109" s="723"/>
      <c r="B109" s="723"/>
      <c r="L109" s="135"/>
      <c r="P109" s="55"/>
      <c r="Q109" s="55"/>
      <c r="R109" s="55"/>
      <c r="U109" s="55"/>
      <c r="V109" s="55"/>
      <c r="W109" s="55"/>
      <c r="X109" s="55"/>
      <c r="AO109" s="136"/>
      <c r="AQ109" s="137"/>
      <c r="AS109" s="137"/>
      <c r="AU109" s="145"/>
      <c r="AV109" s="136"/>
      <c r="AW109" s="137"/>
    </row>
    <row r="110" spans="1:49" x14ac:dyDescent="0.25">
      <c r="A110" s="723"/>
      <c r="B110" s="723"/>
      <c r="L110" s="135"/>
      <c r="P110" s="55"/>
      <c r="Q110" s="55"/>
      <c r="R110" s="55"/>
      <c r="U110" s="55"/>
      <c r="V110" s="55"/>
      <c r="W110" s="55"/>
      <c r="X110" s="55"/>
      <c r="AO110" s="136"/>
      <c r="AQ110" s="137"/>
      <c r="AS110" s="137"/>
      <c r="AU110" s="145"/>
      <c r="AV110" s="136"/>
      <c r="AW110" s="137"/>
    </row>
    <row r="111" spans="1:49" x14ac:dyDescent="0.25">
      <c r="A111" s="723"/>
      <c r="B111" s="723"/>
      <c r="L111" s="135"/>
      <c r="P111" s="55"/>
      <c r="Q111" s="55"/>
      <c r="R111" s="55"/>
      <c r="U111" s="55"/>
      <c r="V111" s="55"/>
      <c r="W111" s="55"/>
      <c r="X111" s="55"/>
      <c r="AO111" s="136"/>
      <c r="AQ111" s="137"/>
      <c r="AS111" s="137"/>
      <c r="AU111" s="145"/>
      <c r="AV111" s="136"/>
      <c r="AW111" s="137"/>
    </row>
    <row r="112" spans="1:49" x14ac:dyDescent="0.25">
      <c r="A112" s="723"/>
      <c r="B112" s="723"/>
      <c r="L112" s="135"/>
      <c r="P112" s="55"/>
      <c r="Q112" s="55"/>
      <c r="R112" s="55"/>
      <c r="U112" s="55"/>
      <c r="V112" s="55"/>
      <c r="W112" s="55"/>
      <c r="X112" s="55"/>
      <c r="AO112" s="136"/>
      <c r="AQ112" s="137"/>
      <c r="AS112" s="137"/>
      <c r="AU112" s="145"/>
      <c r="AV112" s="136"/>
      <c r="AW112" s="137"/>
    </row>
    <row r="113" spans="1:24" x14ac:dyDescent="0.25">
      <c r="A113" s="723"/>
      <c r="B113" s="723"/>
      <c r="L113" s="135"/>
      <c r="P113" s="55"/>
      <c r="Q113" s="55"/>
      <c r="R113" s="55"/>
      <c r="U113" s="55"/>
      <c r="V113" s="55"/>
      <c r="W113" s="55"/>
      <c r="X113" s="55"/>
    </row>
    <row r="114" spans="1:24" x14ac:dyDescent="0.25">
      <c r="A114" s="723"/>
      <c r="B114" s="723"/>
      <c r="L114" s="135"/>
      <c r="P114" s="55"/>
      <c r="Q114" s="55"/>
      <c r="R114" s="55"/>
      <c r="U114" s="55"/>
      <c r="V114" s="55"/>
      <c r="W114" s="55"/>
      <c r="X114" s="55"/>
    </row>
    <row r="115" spans="1:24" x14ac:dyDescent="0.25">
      <c r="A115" s="723"/>
      <c r="B115" s="723"/>
      <c r="L115" s="135"/>
      <c r="P115" s="55"/>
      <c r="Q115" s="55"/>
      <c r="R115" s="55"/>
      <c r="U115" s="55"/>
      <c r="V115" s="55"/>
      <c r="W115" s="55"/>
      <c r="X115" s="55"/>
    </row>
    <row r="116" spans="1:24" x14ac:dyDescent="0.25">
      <c r="A116" s="723"/>
      <c r="B116" s="723"/>
      <c r="L116" s="135"/>
      <c r="P116" s="55"/>
      <c r="Q116" s="55"/>
      <c r="R116" s="55"/>
      <c r="U116" s="55"/>
      <c r="V116" s="55"/>
      <c r="W116" s="55"/>
      <c r="X116" s="55"/>
    </row>
    <row r="117" spans="1:24" x14ac:dyDescent="0.25">
      <c r="A117" s="723"/>
      <c r="B117" s="723"/>
      <c r="L117" s="135"/>
      <c r="P117" s="55"/>
      <c r="Q117" s="55"/>
      <c r="R117" s="55"/>
      <c r="U117" s="55"/>
      <c r="V117" s="55"/>
      <c r="W117" s="55"/>
      <c r="X117" s="55"/>
    </row>
    <row r="118" spans="1:24" x14ac:dyDescent="0.25">
      <c r="A118" s="723"/>
      <c r="B118" s="723"/>
      <c r="L118" s="135"/>
      <c r="P118" s="55"/>
      <c r="Q118" s="55"/>
      <c r="R118" s="55"/>
      <c r="U118" s="55"/>
      <c r="V118" s="55"/>
      <c r="W118" s="55"/>
      <c r="X118" s="55"/>
    </row>
    <row r="119" spans="1:24" x14ac:dyDescent="0.25">
      <c r="A119" s="723"/>
      <c r="B119" s="723"/>
      <c r="L119" s="135"/>
      <c r="P119" s="55"/>
      <c r="Q119" s="55"/>
      <c r="R119" s="55"/>
      <c r="U119" s="55"/>
      <c r="V119" s="55"/>
      <c r="W119" s="55"/>
      <c r="X119" s="55"/>
    </row>
    <row r="120" spans="1:24" x14ac:dyDescent="0.25">
      <c r="A120" s="723"/>
      <c r="B120" s="723"/>
      <c r="L120" s="135"/>
      <c r="P120" s="55"/>
      <c r="Q120" s="55"/>
      <c r="R120" s="55"/>
      <c r="U120" s="55"/>
      <c r="V120" s="55"/>
      <c r="W120" s="55"/>
      <c r="X120" s="55"/>
    </row>
    <row r="121" spans="1:24" x14ac:dyDescent="0.25">
      <c r="A121" s="723"/>
      <c r="B121" s="723"/>
      <c r="P121" s="55"/>
      <c r="Q121" s="55"/>
      <c r="R121" s="55"/>
      <c r="U121" s="55"/>
      <c r="V121" s="55"/>
      <c r="W121" s="55"/>
      <c r="X121" s="55"/>
    </row>
    <row r="122" spans="1:24" x14ac:dyDescent="0.25">
      <c r="A122" s="723"/>
      <c r="B122" s="723"/>
      <c r="P122" s="55"/>
      <c r="Q122" s="55"/>
      <c r="R122" s="55"/>
      <c r="U122" s="55"/>
      <c r="V122" s="55"/>
      <c r="W122" s="55"/>
      <c r="X122" s="55"/>
    </row>
    <row r="123" spans="1:24" x14ac:dyDescent="0.25">
      <c r="A123" s="723"/>
      <c r="B123" s="723"/>
      <c r="P123" s="55"/>
      <c r="Q123" s="55"/>
      <c r="R123" s="55"/>
      <c r="U123" s="55"/>
      <c r="V123" s="55"/>
      <c r="W123" s="55"/>
      <c r="X123" s="55"/>
    </row>
    <row r="124" spans="1:24" x14ac:dyDescent="0.25">
      <c r="A124" s="723"/>
      <c r="B124" s="723"/>
      <c r="P124" s="55"/>
      <c r="Q124" s="55"/>
      <c r="R124" s="55"/>
      <c r="U124" s="55"/>
      <c r="V124" s="55"/>
      <c r="W124" s="55"/>
      <c r="X124" s="55"/>
    </row>
    <row r="125" spans="1:24" x14ac:dyDescent="0.25">
      <c r="A125" s="723"/>
      <c r="B125" s="723"/>
      <c r="P125" s="55"/>
      <c r="Q125" s="55"/>
      <c r="R125" s="55"/>
      <c r="U125" s="55"/>
      <c r="V125" s="55"/>
      <c r="W125" s="55"/>
      <c r="X125" s="55"/>
    </row>
    <row r="126" spans="1:24" x14ac:dyDescent="0.25">
      <c r="A126" s="723"/>
      <c r="B126" s="723"/>
      <c r="P126" s="55"/>
      <c r="Q126" s="55"/>
      <c r="R126" s="55"/>
      <c r="U126" s="55"/>
      <c r="V126" s="55"/>
      <c r="W126" s="55"/>
      <c r="X126" s="55"/>
    </row>
    <row r="127" spans="1:24" x14ac:dyDescent="0.25">
      <c r="A127" s="723"/>
      <c r="B127" s="723"/>
      <c r="P127" s="55"/>
      <c r="Q127" s="55"/>
      <c r="R127" s="55"/>
      <c r="U127" s="55"/>
      <c r="V127" s="55"/>
      <c r="W127" s="55"/>
      <c r="X127" s="55"/>
    </row>
    <row r="128" spans="1:24" x14ac:dyDescent="0.25">
      <c r="A128" s="723"/>
      <c r="B128" s="723"/>
      <c r="P128" s="55"/>
      <c r="Q128" s="55"/>
      <c r="R128" s="55"/>
      <c r="U128" s="55"/>
      <c r="V128" s="55"/>
      <c r="W128" s="55"/>
      <c r="X128" s="55"/>
    </row>
    <row r="129" spans="1:24" x14ac:dyDescent="0.25">
      <c r="A129" s="723"/>
      <c r="B129" s="723"/>
      <c r="P129" s="55"/>
      <c r="Q129" s="55"/>
      <c r="R129" s="55"/>
      <c r="U129" s="55"/>
      <c r="V129" s="55"/>
      <c r="W129" s="55"/>
      <c r="X129" s="55"/>
    </row>
    <row r="130" spans="1:24" x14ac:dyDescent="0.25">
      <c r="P130" s="55"/>
      <c r="Q130" s="55"/>
      <c r="R130" s="55"/>
      <c r="U130" s="55"/>
      <c r="V130" s="55"/>
      <c r="W130" s="55"/>
      <c r="X130" s="55"/>
    </row>
    <row r="131" spans="1:24" x14ac:dyDescent="0.25">
      <c r="P131" s="55"/>
      <c r="Q131" s="55"/>
      <c r="R131" s="55"/>
      <c r="U131" s="55"/>
      <c r="V131" s="55"/>
      <c r="W131" s="55"/>
      <c r="X131" s="55"/>
    </row>
    <row r="132" spans="1:24" x14ac:dyDescent="0.25">
      <c r="P132" s="55"/>
      <c r="Q132" s="55"/>
      <c r="R132" s="55"/>
      <c r="U132" s="55"/>
      <c r="V132" s="55"/>
      <c r="W132" s="55"/>
      <c r="X132" s="55"/>
    </row>
    <row r="133" spans="1:24" x14ac:dyDescent="0.25">
      <c r="P133" s="55"/>
      <c r="Q133" s="55"/>
      <c r="R133" s="55"/>
      <c r="U133" s="55"/>
      <c r="V133" s="55"/>
      <c r="W133" s="55"/>
      <c r="X133" s="55"/>
    </row>
    <row r="134" spans="1:24" x14ac:dyDescent="0.25">
      <c r="P134" s="55"/>
      <c r="Q134" s="55"/>
      <c r="R134" s="55"/>
      <c r="U134" s="55"/>
      <c r="V134" s="55"/>
      <c r="W134" s="55"/>
      <c r="X134" s="55"/>
    </row>
    <row r="135" spans="1:24" x14ac:dyDescent="0.25">
      <c r="P135" s="55"/>
      <c r="Q135" s="55"/>
      <c r="R135" s="55"/>
      <c r="U135" s="55"/>
      <c r="V135" s="55"/>
      <c r="W135" s="55"/>
      <c r="X135" s="55"/>
    </row>
    <row r="136" spans="1:24" x14ac:dyDescent="0.25">
      <c r="P136" s="55"/>
      <c r="Q136" s="55"/>
      <c r="R136" s="55"/>
      <c r="U136" s="55"/>
      <c r="V136" s="55"/>
      <c r="W136" s="55"/>
      <c r="X136" s="55"/>
    </row>
    <row r="137" spans="1:24" x14ac:dyDescent="0.25">
      <c r="P137" s="55"/>
      <c r="Q137" s="55"/>
      <c r="R137" s="55"/>
      <c r="U137" s="55"/>
      <c r="V137" s="55"/>
      <c r="W137" s="55"/>
      <c r="X137" s="55"/>
    </row>
    <row r="138" spans="1:24" x14ac:dyDescent="0.25">
      <c r="P138" s="55"/>
      <c r="Q138" s="55"/>
      <c r="R138" s="55"/>
      <c r="U138" s="55"/>
      <c r="V138" s="55"/>
      <c r="W138" s="55"/>
      <c r="X138" s="55"/>
    </row>
    <row r="139" spans="1:24" x14ac:dyDescent="0.25">
      <c r="P139" s="55"/>
      <c r="Q139" s="55"/>
      <c r="R139" s="55"/>
      <c r="U139" s="55"/>
      <c r="V139" s="55"/>
      <c r="W139" s="55"/>
      <c r="X139" s="55"/>
    </row>
    <row r="140" spans="1:24" x14ac:dyDescent="0.25">
      <c r="P140" s="55"/>
      <c r="Q140" s="55"/>
      <c r="R140" s="55"/>
      <c r="U140" s="55"/>
      <c r="V140" s="55"/>
      <c r="W140" s="55"/>
      <c r="X140" s="55"/>
    </row>
    <row r="141" spans="1:24" x14ac:dyDescent="0.25">
      <c r="P141" s="55"/>
      <c r="Q141" s="55"/>
      <c r="R141" s="55"/>
      <c r="U141" s="55"/>
      <c r="V141" s="55"/>
      <c r="W141" s="55"/>
      <c r="X141" s="55"/>
    </row>
    <row r="142" spans="1:24" x14ac:dyDescent="0.25">
      <c r="P142" s="55"/>
      <c r="Q142" s="55"/>
      <c r="R142" s="55"/>
      <c r="U142" s="55"/>
      <c r="V142" s="55"/>
      <c r="W142" s="55"/>
      <c r="X142" s="55"/>
    </row>
    <row r="143" spans="1:24" x14ac:dyDescent="0.25">
      <c r="P143" s="55"/>
      <c r="Q143" s="55"/>
      <c r="R143" s="55"/>
      <c r="U143" s="55"/>
      <c r="V143" s="55"/>
      <c r="W143" s="55"/>
      <c r="X143" s="55"/>
    </row>
    <row r="144" spans="1:24" x14ac:dyDescent="0.25">
      <c r="P144" s="55"/>
      <c r="Q144" s="55"/>
      <c r="R144" s="55"/>
      <c r="U144" s="55"/>
      <c r="V144" s="55"/>
      <c r="W144" s="55"/>
      <c r="X144" s="55"/>
    </row>
    <row r="145" spans="16:24" x14ac:dyDescent="0.25">
      <c r="P145" s="55"/>
      <c r="Q145" s="55"/>
      <c r="R145" s="55"/>
      <c r="U145" s="55"/>
      <c r="V145" s="55"/>
      <c r="W145" s="55"/>
      <c r="X145" s="55"/>
    </row>
    <row r="146" spans="16:24" x14ac:dyDescent="0.25">
      <c r="P146" s="55"/>
      <c r="Q146" s="55"/>
      <c r="R146" s="55"/>
      <c r="U146" s="55"/>
      <c r="V146" s="55"/>
      <c r="W146" s="55"/>
      <c r="X146" s="55"/>
    </row>
    <row r="147" spans="16:24" x14ac:dyDescent="0.25">
      <c r="P147" s="55"/>
      <c r="Q147" s="55"/>
      <c r="R147" s="55"/>
      <c r="U147" s="55"/>
      <c r="V147" s="55"/>
      <c r="W147" s="55"/>
      <c r="X147" s="55"/>
    </row>
    <row r="148" spans="16:24" x14ac:dyDescent="0.25">
      <c r="P148" s="55"/>
      <c r="Q148" s="55"/>
      <c r="R148" s="55"/>
      <c r="U148" s="55"/>
      <c r="V148" s="55"/>
      <c r="W148" s="55"/>
      <c r="X148" s="55"/>
    </row>
    <row r="149" spans="16:24" x14ac:dyDescent="0.25">
      <c r="P149" s="55"/>
      <c r="Q149" s="55"/>
      <c r="R149" s="55"/>
      <c r="U149" s="55"/>
      <c r="V149" s="55"/>
      <c r="W149" s="55"/>
      <c r="X149" s="55"/>
    </row>
    <row r="150" spans="16:24" x14ac:dyDescent="0.25">
      <c r="P150" s="55"/>
      <c r="Q150" s="55"/>
      <c r="R150" s="55"/>
      <c r="U150" s="55"/>
      <c r="V150" s="55"/>
      <c r="W150" s="55"/>
      <c r="X150" s="55"/>
    </row>
    <row r="151" spans="16:24" x14ac:dyDescent="0.25">
      <c r="P151" s="55"/>
      <c r="Q151" s="55"/>
      <c r="R151" s="55"/>
      <c r="U151" s="55"/>
      <c r="V151" s="55"/>
      <c r="W151" s="55"/>
      <c r="X151" s="55"/>
    </row>
    <row r="152" spans="16:24" x14ac:dyDescent="0.25">
      <c r="P152" s="55"/>
      <c r="Q152" s="55"/>
      <c r="R152" s="55"/>
      <c r="U152" s="55"/>
      <c r="V152" s="55"/>
      <c r="W152" s="55"/>
      <c r="X152" s="55"/>
    </row>
    <row r="153" spans="16:24" x14ac:dyDescent="0.25">
      <c r="P153" s="55"/>
      <c r="Q153" s="55"/>
      <c r="R153" s="55"/>
      <c r="U153" s="55"/>
      <c r="V153" s="55"/>
      <c r="W153" s="55"/>
      <c r="X153" s="55"/>
    </row>
    <row r="154" spans="16:24" x14ac:dyDescent="0.25">
      <c r="P154" s="55"/>
      <c r="Q154" s="55"/>
      <c r="R154" s="55"/>
      <c r="U154" s="55"/>
      <c r="V154" s="55"/>
      <c r="W154" s="55"/>
      <c r="X154" s="55"/>
    </row>
    <row r="155" spans="16:24" x14ac:dyDescent="0.25">
      <c r="P155" s="55"/>
      <c r="Q155" s="55"/>
      <c r="R155" s="55"/>
      <c r="U155" s="55"/>
      <c r="V155" s="55"/>
      <c r="W155" s="55"/>
      <c r="X155" s="55"/>
    </row>
    <row r="156" spans="16:24" x14ac:dyDescent="0.25">
      <c r="P156" s="55"/>
      <c r="Q156" s="55"/>
      <c r="R156" s="55"/>
      <c r="U156" s="55"/>
      <c r="V156" s="55"/>
      <c r="W156" s="55"/>
      <c r="X156" s="55"/>
    </row>
    <row r="157" spans="16:24" x14ac:dyDescent="0.25">
      <c r="P157" s="55"/>
      <c r="Q157" s="55"/>
      <c r="R157" s="55"/>
      <c r="U157" s="55"/>
      <c r="V157" s="55"/>
      <c r="W157" s="55"/>
      <c r="X157" s="55"/>
    </row>
    <row r="158" spans="16:24" x14ac:dyDescent="0.25">
      <c r="P158" s="55"/>
      <c r="Q158" s="55"/>
      <c r="R158" s="55"/>
      <c r="U158" s="55"/>
      <c r="V158" s="55"/>
      <c r="W158" s="55"/>
      <c r="X158" s="55"/>
    </row>
    <row r="159" spans="16:24" x14ac:dyDescent="0.25">
      <c r="P159" s="55"/>
      <c r="Q159" s="55"/>
      <c r="R159" s="55"/>
      <c r="U159" s="55"/>
      <c r="V159" s="55"/>
      <c r="W159" s="55"/>
      <c r="X159" s="55"/>
    </row>
    <row r="160" spans="16:24" x14ac:dyDescent="0.25">
      <c r="P160" s="55"/>
      <c r="Q160" s="55"/>
      <c r="R160" s="55"/>
      <c r="U160" s="55"/>
      <c r="V160" s="55"/>
      <c r="W160" s="55"/>
      <c r="X160" s="55"/>
    </row>
    <row r="161" spans="16:24" x14ac:dyDescent="0.25">
      <c r="P161" s="55"/>
      <c r="Q161" s="55"/>
      <c r="R161" s="55"/>
      <c r="U161" s="55"/>
      <c r="V161" s="55"/>
      <c r="W161" s="55"/>
      <c r="X161" s="55"/>
    </row>
    <row r="162" spans="16:24" x14ac:dyDescent="0.25">
      <c r="P162" s="55"/>
      <c r="Q162" s="55"/>
      <c r="R162" s="55"/>
      <c r="U162" s="55"/>
      <c r="V162" s="55"/>
      <c r="W162" s="55"/>
      <c r="X162" s="55"/>
    </row>
    <row r="163" spans="16:24" x14ac:dyDescent="0.25">
      <c r="P163" s="55"/>
      <c r="Q163" s="55"/>
      <c r="R163" s="55"/>
      <c r="U163" s="55"/>
      <c r="V163" s="55"/>
      <c r="W163" s="55"/>
      <c r="X163" s="55"/>
    </row>
    <row r="164" spans="16:24" x14ac:dyDescent="0.25">
      <c r="P164" s="55"/>
      <c r="Q164" s="55"/>
      <c r="R164" s="55"/>
      <c r="U164" s="55"/>
      <c r="V164" s="55"/>
      <c r="W164" s="55"/>
      <c r="X164" s="55"/>
    </row>
    <row r="165" spans="16:24" x14ac:dyDescent="0.25">
      <c r="P165" s="55"/>
      <c r="Q165" s="55"/>
      <c r="R165" s="55"/>
      <c r="U165" s="55"/>
      <c r="V165" s="55"/>
      <c r="W165" s="55"/>
      <c r="X165" s="55"/>
    </row>
    <row r="166" spans="16:24" x14ac:dyDescent="0.25">
      <c r="P166" s="55"/>
      <c r="Q166" s="55"/>
      <c r="R166" s="55"/>
      <c r="U166" s="55"/>
      <c r="V166" s="55"/>
      <c r="W166" s="55"/>
      <c r="X166" s="55"/>
    </row>
    <row r="167" spans="16:24" x14ac:dyDescent="0.25">
      <c r="P167" s="55"/>
      <c r="Q167" s="55"/>
      <c r="R167" s="55"/>
      <c r="U167" s="55"/>
      <c r="V167" s="55"/>
      <c r="W167" s="55"/>
      <c r="X167" s="55"/>
    </row>
    <row r="168" spans="16:24" x14ac:dyDescent="0.25">
      <c r="P168" s="55"/>
      <c r="Q168" s="55"/>
      <c r="R168" s="55"/>
      <c r="U168" s="55"/>
      <c r="V168" s="55"/>
      <c r="W168" s="55"/>
      <c r="X168" s="55"/>
    </row>
    <row r="169" spans="16:24" x14ac:dyDescent="0.25">
      <c r="P169" s="55"/>
      <c r="Q169" s="55"/>
      <c r="R169" s="55"/>
      <c r="U169" s="55"/>
      <c r="V169" s="55"/>
      <c r="W169" s="55"/>
      <c r="X169" s="55"/>
    </row>
    <row r="170" spans="16:24" x14ac:dyDescent="0.25">
      <c r="P170" s="55"/>
      <c r="Q170" s="55"/>
      <c r="R170" s="55"/>
      <c r="U170" s="55"/>
      <c r="V170" s="55"/>
      <c r="W170" s="55"/>
      <c r="X170" s="55"/>
    </row>
    <row r="171" spans="16:24" x14ac:dyDescent="0.25">
      <c r="P171" s="55"/>
      <c r="Q171" s="55"/>
      <c r="R171" s="55"/>
      <c r="U171" s="55"/>
      <c r="V171" s="55"/>
      <c r="W171" s="55"/>
      <c r="X171" s="55"/>
    </row>
    <row r="172" spans="16:24" x14ac:dyDescent="0.25">
      <c r="P172" s="55"/>
      <c r="Q172" s="55"/>
      <c r="R172" s="55"/>
      <c r="U172" s="55"/>
      <c r="V172" s="55"/>
      <c r="W172" s="55"/>
      <c r="X172" s="55"/>
    </row>
    <row r="173" spans="16:24" x14ac:dyDescent="0.25">
      <c r="P173" s="55"/>
      <c r="Q173" s="55"/>
      <c r="R173" s="55"/>
      <c r="U173" s="55"/>
      <c r="V173" s="55"/>
      <c r="W173" s="55"/>
      <c r="X173" s="55"/>
    </row>
    <row r="174" spans="16:24" x14ac:dyDescent="0.25">
      <c r="P174" s="55"/>
      <c r="Q174" s="55"/>
      <c r="R174" s="55"/>
      <c r="U174" s="55"/>
      <c r="V174" s="55"/>
      <c r="W174" s="55"/>
      <c r="X174" s="55"/>
    </row>
    <row r="175" spans="16:24" x14ac:dyDescent="0.25">
      <c r="P175" s="55"/>
      <c r="Q175" s="55"/>
      <c r="R175" s="55"/>
      <c r="U175" s="55"/>
      <c r="V175" s="55"/>
      <c r="W175" s="55"/>
      <c r="X175" s="55"/>
    </row>
    <row r="176" spans="16:24"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5780"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75781"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1">
    <pageSetUpPr autoPageBreaks="0"/>
  </sheetPr>
  <dimension ref="A1:CX558"/>
  <sheetViews>
    <sheetView topLeftCell="L6" zoomScale="80" workbookViewId="0">
      <selection activeCell="CI21" sqref="CI21:CI31"/>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LongTerm24</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24</v>
      </c>
      <c r="F2" s="178" t="str">
        <f>GetRcptPoint($AH$12,$AH$13)</f>
        <v>Rayne</v>
      </c>
      <c r="G2" s="179" t="str">
        <f>GetDelPoint($AH$12,$AH$13)</f>
        <v>Leach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74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5">
      <c r="A4" s="269" t="str">
        <f>ADDRESS(ROW($S$22),COLUMN($S$22))</f>
        <v>$S$22</v>
      </c>
      <c r="L4" s="721" t="s">
        <v>201</v>
      </c>
      <c r="M4" s="722"/>
      <c r="N4" s="352">
        <f ca="1">SUMPRODUCT(INDIRECT(CONCATENATE(AV4,":",AW4)),INDIRECT(CONCATENATE($AV$2,":",$AW$2)),INDIRECT(CONCATENATE($AV$3,":",$AW$3)))</f>
        <v>111383.43244856824</v>
      </c>
      <c r="O4" s="352">
        <v>113647.51</v>
      </c>
      <c r="P4" s="354">
        <f ca="1">N4-O4</f>
        <v>-2264.0775514317502</v>
      </c>
      <c r="Q4" s="181"/>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75</v>
      </c>
      <c r="AI4" s="29"/>
      <c r="AJ4" s="103" t="s">
        <v>72</v>
      </c>
      <c r="AK4" s="104">
        <f>GetNymexCol(AK3)</f>
        <v>3</v>
      </c>
      <c r="AL4" s="34">
        <v>1</v>
      </c>
      <c r="AM4" s="45">
        <f t="shared" ref="AM4:AM15" si="0">GetVolume($AH$12,$AH$13,AT4)</f>
        <v>30000</v>
      </c>
      <c r="AN4" s="46">
        <f t="shared" ref="AN4:AN15" si="1">GetCommodity($AH$12,$AH$13,AT4)</f>
        <v>1.7000000000000001E-2</v>
      </c>
      <c r="AO4" s="47">
        <f t="shared" ref="AO4:AO15" si="2">GetFuelRate($AH$12,$AH$13,AT4)</f>
        <v>2.9020000000000001E-2</v>
      </c>
      <c r="AP4" s="46">
        <f t="shared" ref="AP4:AP15" si="3">GetSurcharge($AH$12,$AH$13,$AT4)</f>
        <v>2.2000000000000001E-3</v>
      </c>
      <c r="AQ4" s="46">
        <f t="shared" ref="AQ4:AQ15" si="4">GetRcptIndexAdj($AH$12,$AH$13,$AT4)</f>
        <v>0</v>
      </c>
      <c r="AR4" s="132">
        <f t="shared" ref="AR4:AR15" si="5">GetDelIndexAdj($AH$12,$AH$13,$AT4)</f>
        <v>-0.03</v>
      </c>
      <c r="AS4" s="48">
        <f t="shared" ref="AS4:AS15" si="6">GetDemandRate($AH$12,$AH$13,$AT4)</f>
        <v>0.11</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296085.25741340988</v>
      </c>
      <c r="O5" s="352">
        <v>296039</v>
      </c>
      <c r="P5" s="355">
        <f ca="1">N5-O5</f>
        <v>46.257413409883156</v>
      </c>
      <c r="Q5" s="181"/>
      <c r="S5" s="428" t="s">
        <v>636</v>
      </c>
      <c r="T5" s="423">
        <f ca="1">SUMPRODUCT(INDIRECT(CONCATENATE(V5,":",W5)),INDIRECT(CONCATENATE(AV2,":",AW2)),INDIRECT(CONCATENATE(AV3,":",AW3)))</f>
        <v>111383.43244856824</v>
      </c>
      <c r="V5" s="30" t="str">
        <f>ADDRESS(ROW(L22),COLUMN(L22))</f>
        <v>$L$22</v>
      </c>
      <c r="W5" s="30" t="str">
        <f ca="1">GetEnd($AV$1,V5)</f>
        <v>$L$31</v>
      </c>
      <c r="AF5" s="28"/>
      <c r="AG5" s="103" t="s">
        <v>33</v>
      </c>
      <c r="AH5" s="104">
        <f>GetDelBasisCol($AH$12,$AH$13)</f>
        <v>76</v>
      </c>
      <c r="AI5" s="29"/>
      <c r="AJ5" s="103" t="s">
        <v>77</v>
      </c>
      <c r="AK5" s="104" t="str">
        <f>LiborCurve</f>
        <v>Libor AA</v>
      </c>
      <c r="AL5" s="34">
        <v>2</v>
      </c>
      <c r="AM5" s="37">
        <f t="shared" si="0"/>
        <v>30000</v>
      </c>
      <c r="AN5" s="38">
        <f t="shared" si="1"/>
        <v>1.7000000000000001E-2</v>
      </c>
      <c r="AO5" s="39">
        <f t="shared" si="2"/>
        <v>2.9020000000000001E-2</v>
      </c>
      <c r="AP5" s="38">
        <f t="shared" si="3"/>
        <v>2.2000000000000001E-3</v>
      </c>
      <c r="AQ5" s="38">
        <f t="shared" si="4"/>
        <v>0</v>
      </c>
      <c r="AR5" s="133">
        <f t="shared" si="5"/>
        <v>-0.03</v>
      </c>
      <c r="AS5" s="40">
        <f t="shared" si="6"/>
        <v>0.11</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5">
      <c r="A6" s="269" t="str">
        <f>ADDRESS(ROW($BW$2),COLUMN($BW$2))</f>
        <v>$BW$2</v>
      </c>
      <c r="F6" s="187"/>
      <c r="G6" s="187"/>
      <c r="L6" s="704" t="s">
        <v>149</v>
      </c>
      <c r="M6" s="705"/>
      <c r="N6" s="356">
        <f ca="1">N4-N5</f>
        <v>-184701.82496484165</v>
      </c>
      <c r="O6" s="357">
        <v>-182391.49</v>
      </c>
      <c r="P6" s="358">
        <f ca="1">N6-O6</f>
        <v>-2310.3349648416624</v>
      </c>
      <c r="Q6" s="181"/>
      <c r="S6" s="428" t="s">
        <v>637</v>
      </c>
      <c r="T6" s="424">
        <f ca="1">SUMPRODUCT(INDIRECT(CONCATENATE(V6,":",W6)),INDIRECT(CONCATENATE(AV3,":",AW3)),INDIRECT(CONCATENATE(AX3,":",AY3)))</f>
        <v>2691684.158303726</v>
      </c>
      <c r="V6" s="30" t="str">
        <f>ADDRESS(ROW(G22),COLUMN(G22))</f>
        <v>$G$22</v>
      </c>
      <c r="W6" s="30" t="str">
        <f ca="1">GetEnd($AV$1,V6)</f>
        <v>$G$31</v>
      </c>
      <c r="AF6" s="28"/>
      <c r="AG6" s="103" t="s">
        <v>34</v>
      </c>
      <c r="AH6" s="104">
        <f>GetDelIndexCol($AH$12,$AH$13)</f>
        <v>77</v>
      </c>
      <c r="AI6" s="29"/>
      <c r="AJ6" s="103" t="s">
        <v>79</v>
      </c>
      <c r="AK6" s="104">
        <f>GetLiborCol(AK5)</f>
        <v>4</v>
      </c>
      <c r="AL6" s="34">
        <v>3</v>
      </c>
      <c r="AM6" s="37">
        <f t="shared" si="0"/>
        <v>30000</v>
      </c>
      <c r="AN6" s="38">
        <f t="shared" si="1"/>
        <v>1.7000000000000001E-2</v>
      </c>
      <c r="AO6" s="39">
        <f t="shared" si="2"/>
        <v>2.9020000000000001E-2</v>
      </c>
      <c r="AP6" s="38">
        <f t="shared" si="3"/>
        <v>2.2000000000000001E-3</v>
      </c>
      <c r="AQ6" s="38">
        <f t="shared" si="4"/>
        <v>0</v>
      </c>
      <c r="AR6" s="133">
        <f t="shared" si="5"/>
        <v>-0.03</v>
      </c>
      <c r="AS6" s="40">
        <f t="shared" si="6"/>
        <v>0.11</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6865.31</v>
      </c>
      <c r="P7" s="355">
        <f ca="1">N7</f>
        <v>0</v>
      </c>
      <c r="S7" s="428" t="s">
        <v>638</v>
      </c>
      <c r="T7" s="425">
        <f ca="1">T5/T6</f>
        <v>4.1380572867346012E-2</v>
      </c>
      <c r="AF7" s="28"/>
      <c r="AG7" s="103" t="s">
        <v>76</v>
      </c>
      <c r="AH7" s="104">
        <f>GetRcptOmicronCol($AH$12,$AH$13)</f>
        <v>6</v>
      </c>
      <c r="AI7" s="29"/>
      <c r="AJ7" s="103" t="s">
        <v>80</v>
      </c>
      <c r="AK7" s="104" t="str">
        <f>Configuration!$D$8</f>
        <v>Nymex Vol</v>
      </c>
      <c r="AL7" s="34">
        <v>4</v>
      </c>
      <c r="AM7" s="37">
        <f t="shared" si="0"/>
        <v>30000</v>
      </c>
      <c r="AN7" s="38">
        <f t="shared" si="1"/>
        <v>1.7000000000000001E-2</v>
      </c>
      <c r="AO7" s="39">
        <f t="shared" si="2"/>
        <v>2.9020000000000001E-2</v>
      </c>
      <c r="AP7" s="38">
        <f t="shared" si="3"/>
        <v>2.2000000000000001E-3</v>
      </c>
      <c r="AQ7" s="38">
        <f t="shared" si="4"/>
        <v>0</v>
      </c>
      <c r="AR7" s="133">
        <f t="shared" si="5"/>
        <v>-0.03</v>
      </c>
      <c r="AS7" s="40">
        <f t="shared" si="6"/>
        <v>0.11</v>
      </c>
      <c r="AT7" s="35">
        <f t="shared" si="7"/>
        <v>1</v>
      </c>
      <c r="AU7" s="361" t="s">
        <v>574</v>
      </c>
      <c r="AV7" s="339" t="str">
        <f>ADDRESS(ROW($AL$22),COLUMN($AL$22))</f>
        <v>$AL$22</v>
      </c>
      <c r="AW7" s="138" t="str">
        <f ca="1">GetEnd($AV$1,AV7)</f>
        <v>$AL$31</v>
      </c>
      <c r="AX7" s="339" t="str">
        <f>ADDRESS(ROW($AV$22),COLUMN($AV$22))</f>
        <v>$AV$22</v>
      </c>
      <c r="AY7" s="138" t="str">
        <f t="shared" ref="AY7:AY13" ca="1" si="8">GetEnd($AV$1,AX7)</f>
        <v>$AV$31</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0.9893887885430438</v>
      </c>
      <c r="V8" s="30" t="str">
        <f>ADDRESS(ROW(P22),COLUMN(P22))</f>
        <v>$P$22</v>
      </c>
      <c r="W8" s="30" t="str">
        <f ca="1">GetEnd($AV$1,V8)</f>
        <v>$P$31</v>
      </c>
      <c r="Y8" s="334">
        <f ca="1">SUMIF(INDIRECT(CONCATENATE(V8,":",W8)),"&gt;0",INDIRECT(CONCATENATE(V8,":",W8)))</f>
        <v>2.9681663656291315</v>
      </c>
      <c r="Z8" s="334">
        <f ca="1">COUNTIF(INDIRECT(CONCATENATE(V8,":",W8)),"&gt;0")</f>
        <v>3</v>
      </c>
      <c r="AF8" s="28"/>
      <c r="AG8" s="103" t="s">
        <v>75</v>
      </c>
      <c r="AH8" s="105">
        <f>GetDelOmicronCol($AH$12,$AH$13)</f>
        <v>12</v>
      </c>
      <c r="AI8" s="29"/>
      <c r="AJ8" s="103" t="s">
        <v>81</v>
      </c>
      <c r="AK8" s="104">
        <f>GetNGOmicronCol(AK7)</f>
        <v>5</v>
      </c>
      <c r="AL8" s="34">
        <v>5</v>
      </c>
      <c r="AM8" s="37">
        <f t="shared" si="0"/>
        <v>30000</v>
      </c>
      <c r="AN8" s="38">
        <f t="shared" si="1"/>
        <v>1.7000000000000001E-2</v>
      </c>
      <c r="AO8" s="39">
        <f t="shared" si="2"/>
        <v>2.9020000000000001E-2</v>
      </c>
      <c r="AP8" s="38">
        <f t="shared" si="3"/>
        <v>2.2000000000000001E-3</v>
      </c>
      <c r="AQ8" s="38">
        <f t="shared" si="4"/>
        <v>0</v>
      </c>
      <c r="AR8" s="133">
        <f t="shared" si="5"/>
        <v>-0.03</v>
      </c>
      <c r="AS8" s="40">
        <f t="shared" si="6"/>
        <v>0.11</v>
      </c>
      <c r="AT8" s="35">
        <f t="shared" si="7"/>
        <v>1</v>
      </c>
      <c r="AU8" s="362" t="s">
        <v>575</v>
      </c>
      <c r="AV8" s="339" t="str">
        <f>ADDRESS(ROW($AM$22),COLUMN($AM$22))</f>
        <v>$AM$22</v>
      </c>
      <c r="AW8" s="138" t="str">
        <f ca="1">GetEnd($AV$1,AV8)</f>
        <v>$AM$31</v>
      </c>
      <c r="AX8" s="339" t="str">
        <f>ADDRESS(ROW($AO$22),COLUMN($AO$22))</f>
        <v>$AO$22</v>
      </c>
      <c r="AY8" s="138" t="str">
        <f t="shared" ca="1" si="8"/>
        <v>$AO$31</v>
      </c>
    </row>
    <row r="9" spans="1:102" x14ac:dyDescent="0.25">
      <c r="A9" s="270" t="s">
        <v>224</v>
      </c>
      <c r="L9" s="706" t="s">
        <v>627</v>
      </c>
      <c r="M9" s="707"/>
      <c r="N9" s="352">
        <f t="array" aca="1" ref="N9" ca="1">SUM(((INDIRECT(AX16)-INDIRECT(AY17))-(INDIRECT(AX17)-INDIRECT(AY15)))*INDIRECT(CONCATENATE(AX2,":",AY2))*INDIRECT(CONCATENATE(AV3,":",AW3))*INDIRECT(CONCATENATE(AX3,":",AY3)))</f>
        <v>9.3386553986486917E-12</v>
      </c>
      <c r="O9" s="421">
        <v>0</v>
      </c>
      <c r="P9" s="355">
        <f ca="1">N9</f>
        <v>9.3386553986486917E-12</v>
      </c>
      <c r="AF9" s="28"/>
      <c r="AG9" s="52"/>
      <c r="AH9" s="52"/>
      <c r="AI9" s="29"/>
      <c r="AJ9" s="103" t="s">
        <v>139</v>
      </c>
      <c r="AK9" s="105">
        <f>GetCorrelCol($AH$12,$AH$13)</f>
        <v>2</v>
      </c>
      <c r="AL9" s="34">
        <v>6</v>
      </c>
      <c r="AM9" s="37">
        <f t="shared" si="0"/>
        <v>30000</v>
      </c>
      <c r="AN9" s="38">
        <f t="shared" si="1"/>
        <v>1.7000000000000001E-2</v>
      </c>
      <c r="AO9" s="39">
        <f t="shared" si="2"/>
        <v>2.9020000000000001E-2</v>
      </c>
      <c r="AP9" s="38">
        <f t="shared" si="3"/>
        <v>2.2000000000000001E-3</v>
      </c>
      <c r="AQ9" s="38">
        <f t="shared" si="4"/>
        <v>0</v>
      </c>
      <c r="AR9" s="133">
        <f t="shared" si="5"/>
        <v>-0.03</v>
      </c>
      <c r="AS9" s="40">
        <f t="shared" si="6"/>
        <v>0.11</v>
      </c>
      <c r="AT9" s="35">
        <f t="shared" si="7"/>
        <v>1</v>
      </c>
      <c r="AU9" s="361" t="s">
        <v>578</v>
      </c>
      <c r="AV9" s="339" t="str">
        <f>ADDRESS(ROW($AN$22),COLUMN($AN$22))</f>
        <v>$AN$22</v>
      </c>
      <c r="AW9" s="138" t="str">
        <f ca="1">GetEnd($AV$1,AV9)</f>
        <v>$AN$31</v>
      </c>
      <c r="AX9" s="339" t="str">
        <f>ADDRESS(ROW($AP$22),COLUMN($AP$22))</f>
        <v>$AP$22</v>
      </c>
      <c r="AY9" s="138" t="str">
        <f t="shared" ca="1" si="8"/>
        <v>$AP$31</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-234767.87642804976</v>
      </c>
      <c r="O10" s="352">
        <v>-234731.19</v>
      </c>
      <c r="P10" s="355">
        <f t="shared" ref="P10:P19" ca="1" si="9">N10-O10</f>
        <v>-36.686428049753886</v>
      </c>
      <c r="AF10" s="28"/>
      <c r="AG10" s="103" t="s">
        <v>142</v>
      </c>
      <c r="AH10" s="119" t="b">
        <f>GetGRIFactor($AH$12,$AH$13)</f>
        <v>0</v>
      </c>
      <c r="AI10" s="29"/>
      <c r="AJ10" s="29"/>
      <c r="AK10" s="29"/>
      <c r="AL10" s="34">
        <v>7</v>
      </c>
      <c r="AM10" s="37">
        <f t="shared" si="0"/>
        <v>30000</v>
      </c>
      <c r="AN10" s="38">
        <f t="shared" si="1"/>
        <v>1.7000000000000001E-2</v>
      </c>
      <c r="AO10" s="39">
        <f t="shared" si="2"/>
        <v>2.9020000000000001E-2</v>
      </c>
      <c r="AP10" s="38">
        <f t="shared" si="3"/>
        <v>2.2000000000000001E-3</v>
      </c>
      <c r="AQ10" s="38">
        <f t="shared" si="4"/>
        <v>0</v>
      </c>
      <c r="AR10" s="133">
        <f t="shared" si="5"/>
        <v>-0.03</v>
      </c>
      <c r="AS10" s="40">
        <f t="shared" si="6"/>
        <v>0.11</v>
      </c>
      <c r="AT10" s="35">
        <f t="shared" si="7"/>
        <v>1</v>
      </c>
      <c r="AU10" s="361" t="s">
        <v>577</v>
      </c>
      <c r="AV10" s="339" t="str">
        <f>ADDRESS(ROW($AS$22),COLUMN($AS$22))</f>
        <v>$AS$22</v>
      </c>
      <c r="AW10" s="138" t="str">
        <f ca="1">GetEnd($AV$1,AV10)</f>
        <v>$AS$31</v>
      </c>
      <c r="AX10" s="339" t="str">
        <f>ADDRESS(ROW($CC$22),COLUMN($CC$22))</f>
        <v>$CC$22</v>
      </c>
      <c r="AY10" s="138" t="str">
        <f t="shared" ca="1" si="8"/>
        <v>$CC$31</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-51840</v>
      </c>
      <c r="O11" s="357">
        <v>-51840</v>
      </c>
      <c r="P11" s="358">
        <f t="shared" ca="1" si="9"/>
        <v>0</v>
      </c>
      <c r="AL11" s="34">
        <v>8</v>
      </c>
      <c r="AM11" s="37">
        <f t="shared" si="0"/>
        <v>30000</v>
      </c>
      <c r="AN11" s="38">
        <f t="shared" si="1"/>
        <v>1.7000000000000001E-2</v>
      </c>
      <c r="AO11" s="39">
        <f t="shared" si="2"/>
        <v>2.9020000000000001E-2</v>
      </c>
      <c r="AP11" s="38">
        <f t="shared" si="3"/>
        <v>2.2000000000000001E-3</v>
      </c>
      <c r="AQ11" s="38">
        <f t="shared" si="4"/>
        <v>0</v>
      </c>
      <c r="AR11" s="133">
        <f t="shared" si="5"/>
        <v>-0.03</v>
      </c>
      <c r="AS11" s="40">
        <f t="shared" si="6"/>
        <v>0.11</v>
      </c>
      <c r="AT11" s="35">
        <f t="shared" si="7"/>
        <v>1</v>
      </c>
      <c r="AU11" s="361" t="s">
        <v>579</v>
      </c>
      <c r="AV11" s="339" t="str">
        <f>ADDRESS(ROW($AQ$22),COLUMN($AQ$22))</f>
        <v>$AQ$22</v>
      </c>
      <c r="AW11" s="138" t="str">
        <f ca="1">GetEnd($AV$1,AV11)</f>
        <v>$AQ$31</v>
      </c>
      <c r="AX11" s="339" t="str">
        <f>ADDRESS(ROW($CD$22),COLUMN($CD$22))</f>
        <v>$CD$22</v>
      </c>
      <c r="AY11" s="138" t="str">
        <f t="shared" ca="1" si="8"/>
        <v>$CD$31</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1624.47</v>
      </c>
      <c r="P12" s="355">
        <f t="shared" ca="1" si="9"/>
        <v>-1624.47</v>
      </c>
      <c r="AG12" s="248" t="s">
        <v>185</v>
      </c>
      <c r="AH12" s="119" t="str">
        <f>GetDBPage($D$2)</f>
        <v>Contract DB (East)</v>
      </c>
      <c r="AL12" s="34">
        <v>9</v>
      </c>
      <c r="AM12" s="37">
        <f t="shared" si="0"/>
        <v>30000</v>
      </c>
      <c r="AN12" s="38">
        <f t="shared" si="1"/>
        <v>1.7000000000000001E-2</v>
      </c>
      <c r="AO12" s="39">
        <f t="shared" si="2"/>
        <v>2.9020000000000001E-2</v>
      </c>
      <c r="AP12" s="38">
        <f t="shared" si="3"/>
        <v>2.2000000000000001E-3</v>
      </c>
      <c r="AQ12" s="38">
        <f t="shared" si="4"/>
        <v>0</v>
      </c>
      <c r="AR12" s="133">
        <f t="shared" si="5"/>
        <v>-0.03</v>
      </c>
      <c r="AS12" s="40">
        <f t="shared" si="6"/>
        <v>0.11</v>
      </c>
      <c r="AT12" s="35">
        <f t="shared" si="7"/>
        <v>1</v>
      </c>
      <c r="AU12" s="361" t="s">
        <v>271</v>
      </c>
      <c r="AV12" s="339" t="str">
        <f>ADDRESS(ROW($X$22),COLUMN($X$22))</f>
        <v>$X$22</v>
      </c>
      <c r="AW12" s="138" t="str">
        <f t="shared" ref="AW12:AW17" ca="1" si="11">GetEnd($AV$1,AV12)</f>
        <v>$X$31</v>
      </c>
      <c r="AX12" s="339" t="str">
        <f>ADDRESS(ROW($CE$22),COLUMN($CE$22))</f>
        <v>$CE$22</v>
      </c>
      <c r="AY12" s="138" t="str">
        <f t="shared" ca="1" si="8"/>
        <v>$CE$31</v>
      </c>
    </row>
    <row r="13" spans="1:102" x14ac:dyDescent="0.25">
      <c r="A13" s="270" t="s">
        <v>224</v>
      </c>
      <c r="D13" s="170"/>
      <c r="E13" s="171"/>
      <c r="F13" s="172"/>
      <c r="G13" s="172"/>
      <c r="H13" s="173"/>
      <c r="L13" s="706" t="s">
        <v>155</v>
      </c>
      <c r="M13" s="707"/>
      <c r="N13" s="352">
        <f t="shared" ca="1" si="10"/>
        <v>0</v>
      </c>
      <c r="O13" s="352">
        <v>9.4</v>
      </c>
      <c r="P13" s="355">
        <f t="shared" ca="1" si="9"/>
        <v>-9.4</v>
      </c>
      <c r="AG13" s="248" t="s">
        <v>186</v>
      </c>
      <c r="AH13" s="119">
        <f>GetRecNdx($AH$12,$D$2)</f>
        <v>5</v>
      </c>
      <c r="AL13" s="34">
        <v>10</v>
      </c>
      <c r="AM13" s="37">
        <f t="shared" si="0"/>
        <v>30000</v>
      </c>
      <c r="AN13" s="38">
        <f t="shared" si="1"/>
        <v>1.7000000000000001E-2</v>
      </c>
      <c r="AO13" s="39">
        <f t="shared" si="2"/>
        <v>2.9020000000000001E-2</v>
      </c>
      <c r="AP13" s="38">
        <f t="shared" si="3"/>
        <v>2.2000000000000001E-3</v>
      </c>
      <c r="AQ13" s="38">
        <f t="shared" si="4"/>
        <v>0</v>
      </c>
      <c r="AR13" s="133">
        <f t="shared" si="5"/>
        <v>-0.03</v>
      </c>
      <c r="AS13" s="40">
        <f t="shared" si="6"/>
        <v>0.11</v>
      </c>
      <c r="AT13" s="35">
        <f t="shared" si="7"/>
        <v>1</v>
      </c>
      <c r="AU13" s="361" t="s">
        <v>155</v>
      </c>
      <c r="AV13" s="339" t="str">
        <f>ADDRESS(ROW($Y$22),COLUMN($Y$22))</f>
        <v>$Y$22</v>
      </c>
      <c r="AW13" s="138" t="str">
        <f t="shared" ca="1" si="11"/>
        <v>$Y$31</v>
      </c>
      <c r="AX13" s="339" t="str">
        <f>ADDRESS(ROW($CF$22),COLUMN($CF$22))</f>
        <v>$CF$22</v>
      </c>
      <c r="AY13" s="138" t="str">
        <f t="shared" ca="1" si="8"/>
        <v>$CF$31</v>
      </c>
    </row>
    <row r="14" spans="1:102" x14ac:dyDescent="0.25">
      <c r="A14" s="270" t="s">
        <v>224</v>
      </c>
      <c r="D14" s="170"/>
      <c r="E14" s="171"/>
      <c r="F14" s="172"/>
      <c r="G14" s="172"/>
      <c r="H14" s="173"/>
      <c r="K14" s="185"/>
      <c r="L14" s="706" t="s">
        <v>156</v>
      </c>
      <c r="M14" s="707"/>
      <c r="N14" s="352">
        <f t="shared" ca="1" si="10"/>
        <v>-4561.2541435088206</v>
      </c>
      <c r="O14" s="352">
        <v>-1452.76</v>
      </c>
      <c r="P14" s="355">
        <f t="shared" ca="1" si="9"/>
        <v>-3108.4941435088203</v>
      </c>
      <c r="S14" s="181">
        <f>F22/(1-AR22)*AH22*AU22</f>
        <v>956375.83790123474</v>
      </c>
      <c r="T14" s="181">
        <f>F22*AH22*AU22</f>
        <v>928621.8110853408</v>
      </c>
      <c r="AL14" s="34">
        <v>11</v>
      </c>
      <c r="AM14" s="37">
        <f t="shared" si="0"/>
        <v>30000</v>
      </c>
      <c r="AN14" s="38">
        <f t="shared" si="1"/>
        <v>1.7000000000000001E-2</v>
      </c>
      <c r="AO14" s="39">
        <f t="shared" si="2"/>
        <v>2.9020000000000001E-2</v>
      </c>
      <c r="AP14" s="38">
        <f t="shared" si="3"/>
        <v>2.2000000000000001E-3</v>
      </c>
      <c r="AQ14" s="38">
        <f t="shared" si="4"/>
        <v>0</v>
      </c>
      <c r="AR14" s="133">
        <f t="shared" si="5"/>
        <v>-0.03</v>
      </c>
      <c r="AS14" s="40">
        <f t="shared" si="6"/>
        <v>0.11</v>
      </c>
      <c r="AT14" s="35">
        <f t="shared" si="7"/>
        <v>1</v>
      </c>
      <c r="AU14" s="361" t="s">
        <v>156</v>
      </c>
      <c r="AV14" s="339" t="str">
        <f>ADDRESS(ROW($Z$22),COLUMN($Z$22))</f>
        <v>$Z$22</v>
      </c>
      <c r="AW14" s="138" t="str">
        <f t="shared" ca="1" si="11"/>
        <v>$Z$31</v>
      </c>
      <c r="AX14" s="353" t="str">
        <f ca="1">CONCATENATE(AX8,":",AY8)</f>
        <v>$AO$22:$AO$31</v>
      </c>
      <c r="AY14" s="353" t="str">
        <f ca="1">CONCATENATE(AX10,":",AY10)</f>
        <v>$CC$22:$CC$31</v>
      </c>
    </row>
    <row r="15" spans="1:102" ht="13.8" thickBot="1" x14ac:dyDescent="0.3">
      <c r="A15" s="270" t="s">
        <v>224</v>
      </c>
      <c r="D15" s="170"/>
      <c r="E15" s="171"/>
      <c r="F15" s="172"/>
      <c r="G15" s="172"/>
      <c r="H15" s="173"/>
      <c r="L15" s="706" t="s">
        <v>157</v>
      </c>
      <c r="M15" s="707"/>
      <c r="N15" s="352">
        <f t="shared" ca="1" si="10"/>
        <v>797.04953736463813</v>
      </c>
      <c r="O15" s="352">
        <v>457.31</v>
      </c>
      <c r="P15" s="355">
        <f t="shared" ca="1" si="9"/>
        <v>339.73953736463812</v>
      </c>
      <c r="AL15" s="34">
        <v>12</v>
      </c>
      <c r="AM15" s="41">
        <f t="shared" si="0"/>
        <v>30000</v>
      </c>
      <c r="AN15" s="42">
        <f t="shared" si="1"/>
        <v>1.7000000000000001E-2</v>
      </c>
      <c r="AO15" s="43">
        <f t="shared" si="2"/>
        <v>2.9020000000000001E-2</v>
      </c>
      <c r="AP15" s="42">
        <f t="shared" si="3"/>
        <v>2.2000000000000001E-3</v>
      </c>
      <c r="AQ15" s="42">
        <f t="shared" si="4"/>
        <v>0</v>
      </c>
      <c r="AR15" s="134">
        <f t="shared" si="5"/>
        <v>-0.03</v>
      </c>
      <c r="AS15" s="44">
        <f t="shared" si="6"/>
        <v>0.11</v>
      </c>
      <c r="AT15" s="35">
        <f t="shared" si="7"/>
        <v>1</v>
      </c>
      <c r="AU15" s="363" t="s">
        <v>157</v>
      </c>
      <c r="AV15" s="339" t="str">
        <f>ADDRESS(ROW($AA$22),COLUMN($AA$22))</f>
        <v>$AA$22</v>
      </c>
      <c r="AW15" s="138" t="str">
        <f t="shared" ca="1" si="11"/>
        <v>$AA$31</v>
      </c>
      <c r="AX15" s="353" t="str">
        <f ca="1">CONCATENATE(AV8,":",AW8)</f>
        <v>$AM$22:$AM$31</v>
      </c>
      <c r="AY15" s="353" t="str">
        <f ca="1">CONCATENATE(AX11,":",AY11)</f>
        <v>$CD$22:$CD$31</v>
      </c>
    </row>
    <row r="16" spans="1:102" x14ac:dyDescent="0.25">
      <c r="D16" s="174"/>
      <c r="E16" s="175"/>
      <c r="F16" s="176"/>
      <c r="G16" s="176"/>
      <c r="H16" s="177"/>
      <c r="L16" s="706" t="s">
        <v>158</v>
      </c>
      <c r="M16" s="707"/>
      <c r="N16" s="352">
        <f t="shared" ca="1" si="10"/>
        <v>0</v>
      </c>
      <c r="O16" s="352">
        <v>5.0599999999999996</v>
      </c>
      <c r="P16" s="355">
        <f t="shared" ca="1" si="9"/>
        <v>-5.0599999999999996</v>
      </c>
      <c r="AU16" s="361" t="s">
        <v>158</v>
      </c>
      <c r="AV16" s="339" t="str">
        <f>ADDRESS(ROW($AB$22),COLUMN($AB$22))</f>
        <v>$AB$22</v>
      </c>
      <c r="AW16" s="138" t="str">
        <f t="shared" ca="1" si="11"/>
        <v>$AB$31</v>
      </c>
      <c r="AX16" s="353" t="str">
        <f ca="1">CONCATENATE(AX9,":",AY9)</f>
        <v>$AP$22:$AP$31</v>
      </c>
      <c r="AY16" s="353" t="str">
        <f ca="1">CONCATENATE(AX12,":",AY12)</f>
        <v>$CE$22:$CE$31</v>
      </c>
      <c r="CM16" s="268"/>
    </row>
    <row r="17" spans="1:91" x14ac:dyDescent="0.25">
      <c r="D17" s="171"/>
      <c r="E17" s="171"/>
      <c r="F17" s="172"/>
      <c r="G17" s="172"/>
      <c r="H17" s="172"/>
      <c r="L17" s="704" t="s">
        <v>211</v>
      </c>
      <c r="M17" s="705"/>
      <c r="N17" s="356">
        <f t="shared" ca="1" si="10"/>
        <v>17.826046903736312</v>
      </c>
      <c r="O17" s="357">
        <v>5.86</v>
      </c>
      <c r="P17" s="358">
        <f t="shared" ca="1" si="9"/>
        <v>11.966046903736313</v>
      </c>
      <c r="AU17" s="361" t="s">
        <v>211</v>
      </c>
      <c r="AV17" s="339" t="str">
        <f>ADDRESS(ROW($AC$22),COLUMN($AC$22))</f>
        <v>$AC$22</v>
      </c>
      <c r="AW17" s="138" t="str">
        <f t="shared" ca="1" si="11"/>
        <v>$AC$31</v>
      </c>
      <c r="AX17" s="353" t="str">
        <f ca="1">CONCATENATE(AV9,":",AW9)</f>
        <v>$AN$22:$AN$31</v>
      </c>
      <c r="AY17" s="353" t="str">
        <f ca="1">CONCATENATE(AX13,":",AY13)</f>
        <v>$CF$22:$CF$31</v>
      </c>
      <c r="CM17" s="268"/>
    </row>
    <row r="18" spans="1:91" x14ac:dyDescent="0.25">
      <c r="D18" s="171"/>
      <c r="E18" s="171"/>
      <c r="F18" s="172"/>
      <c r="G18" s="172"/>
      <c r="H18" s="172"/>
      <c r="L18" s="706" t="s">
        <v>623</v>
      </c>
      <c r="M18" s="707"/>
      <c r="N18" s="352">
        <f ca="1">SUMPRODUCT(INDIRECT(CONCATENATE(AX4,":",AY4)),INDIRECT(CONCATENATE($AV$2,":",$AW$2)),INDIRECT(CONCATENATE($AV$3,":",$AW$3)))</f>
        <v>0</v>
      </c>
      <c r="O18" s="352">
        <v>0</v>
      </c>
      <c r="P18" s="355">
        <f t="shared" ca="1" si="9"/>
        <v>0</v>
      </c>
      <c r="AU18" s="361"/>
      <c r="AV18" s="339"/>
      <c r="AW18" s="138"/>
      <c r="AX18" s="339" t="str">
        <f>ADDRESS(ROW($CI$22),COLUMN($CI$22))</f>
        <v>$CI$22</v>
      </c>
      <c r="AY18" s="138" t="str">
        <f ca="1">GetEnd($AV$1,AX18)</f>
        <v>$CI$31</v>
      </c>
      <c r="CM18" s="268"/>
    </row>
    <row r="19" spans="1:91" x14ac:dyDescent="0.25">
      <c r="D19" s="171"/>
      <c r="E19" s="171"/>
      <c r="F19" s="172"/>
      <c r="G19" s="172"/>
      <c r="H19" s="172"/>
      <c r="L19" s="724" t="s">
        <v>624</v>
      </c>
      <c r="M19" s="725"/>
      <c r="N19" s="359">
        <f ca="1">SUMPRODUCT(INDIRECT(CONCATENATE(AX5,":",AY5)),INDIRECT(CONCATENATE($AV$2,":",$AW$2)),INDIRECT(CONCATENATE($AV$3,":",$AW$3)))</f>
        <v>111383.43244856824</v>
      </c>
      <c r="O19" s="359">
        <v>113647.51</v>
      </c>
      <c r="P19" s="360">
        <f t="shared" ca="1" si="9"/>
        <v>-2264.0775514317502</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IF-COLGUL/RAYNE Basis Mid</v>
      </c>
      <c r="T20" s="182" t="str">
        <f>GetDelBasis($AH$12,$AH$13)</f>
        <v>IF-CGT/APPALAC Basis Mid</v>
      </c>
      <c r="U20" s="158"/>
      <c r="V20" s="158"/>
      <c r="W20" s="158"/>
      <c r="X20" s="158"/>
      <c r="Y20" s="335"/>
      <c r="Z20" s="335"/>
      <c r="AA20" s="335"/>
      <c r="AB20" s="335"/>
      <c r="AC20" s="335"/>
      <c r="AI20" s="138"/>
      <c r="AM20" s="702" t="str">
        <f>GetRcptPoint($AH$12,$AH$13)</f>
        <v>Rayne</v>
      </c>
      <c r="AN20" s="703"/>
      <c r="AO20" s="702" t="str">
        <f>GetDelPoint($AH$12,$AH$13)</f>
        <v>Leach</v>
      </c>
      <c r="AP20" s="703"/>
      <c r="AQ20" s="137"/>
      <c r="AS20" s="137"/>
      <c r="AU20" s="136" t="s">
        <v>576</v>
      </c>
      <c r="AV20" s="353">
        <f ca="1">SUMPRODUCT(INDIRECT(CONCATENATE(AV8,":",AW8)),INDIRECT(CONCATENATE($AV$2,":",$AW$2)),INDIRECT(CONCATENATE($AV$3,":",$AW$3)),INDIRECT(CONCATENATE(AX3,":",AY3)))</f>
        <v>-67500</v>
      </c>
      <c r="AW20" s="353">
        <f ca="1">SUMPRODUCT(INDIRECT(CONCATENATE(AX8,":",AY8)),INDIRECT(CONCATENATE($AV$2,":",$AW$2)),INDIRECT(CONCATENATE($AV$3,":",$AW$3)),INDIRECT(CONCATENATE(AX3,":",AY3)))</f>
        <v>346125</v>
      </c>
      <c r="AX20" s="353">
        <f ca="1">SUMPRODUCT(INDIRECT(CONCATENATE(AV9,":",AW9)),INDIRECT(CONCATENATE($AV$2,":",$AW$2)),INDIRECT(CONCATENATE($AV$3,":",$AW$3)),INDIRECT(CONCATENATE(AX3,":",AY3)))</f>
        <v>155250</v>
      </c>
      <c r="AY20" s="353">
        <f ca="1">SUMPRODUCT(INDIRECT(CONCATENATE(AX9,":",AY9)),INDIRECT(CONCATENATE($AV$2,":",$AW$2)),INDIRECT(CONCATENATE($AV$3,":",$AW$3)),INDIRECT(CONCATENATE(AX3,":",AY3)))</f>
        <v>-67499.999999999985</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37271</v>
      </c>
      <c r="F22" s="28">
        <f>VLOOKUP(AG22,$AL$4:$AS$15,2)</f>
        <v>30000</v>
      </c>
      <c r="G22" s="28">
        <f t="shared" ref="G22:G31" si="12">F22*$AU22</f>
        <v>29955.542293075508</v>
      </c>
      <c r="H22" s="52">
        <f>(AL22+AM22+AN22)/(1-(AR22))</f>
        <v>2.9645306803435707</v>
      </c>
      <c r="I22" s="52">
        <f>(AL22+AO22+AP22)</f>
        <v>2.9535</v>
      </c>
      <c r="K22" s="52">
        <f>MAX(((I22-H22)-AQ22)*AU22*AH22,0)</f>
        <v>0</v>
      </c>
      <c r="L22" s="135">
        <f t="shared" ref="L22:L31" si="13">MAX(Q22-K22,0)</f>
        <v>1.4156705798949805</v>
      </c>
      <c r="N22" s="131">
        <f>SQRT(($AX22^2*($AH22/2)+$AW22^2*$AI22)/(($AH22/2)+$AI22))</f>
        <v>0.96016221307122684</v>
      </c>
      <c r="O22" s="131">
        <f>SQRT(($AY22^2*($AH22/2)+$AW22^2*$AI22)/(($AH22/2)+$AI22))</f>
        <v>0.98794454613075744</v>
      </c>
      <c r="P22" s="55">
        <f>(VLOOKUP(AI22,CorrelationTwo,2)*(AW22^2)*AI22+VLOOKUP(D22,CorrelationOne,$AK$9)*AX22*AY22*(AH22/2))/((AI22+(AH22/2))*O22*N22)*AF22</f>
        <v>0.98366664142313831</v>
      </c>
      <c r="Q22" s="135">
        <f>_xll.xSPRDOPT(I22,H22,AQ22,0,O22,N22,P22,D22-$G$5,1,0)*AH22*AU22</f>
        <v>1.4156705798949805</v>
      </c>
      <c r="R22" s="135"/>
      <c r="S22" s="181">
        <f>_xll.xSPRDOPT(I22,H22,AQ22,AT22,O22,N22,P22,D22-$G$5,1,2)*AF22*(F22/(1-AR22))*AH22</f>
        <v>-392249.65035509306</v>
      </c>
      <c r="T22" s="181">
        <f>_xll.xSPRDOPT(I22,H22,AQ22,AT22,O22,N22,P22,D22-$G$5,1,1)*AF22*F22*AH22</f>
        <v>399080.66652040137</v>
      </c>
      <c r="U22" s="135"/>
      <c r="V22" s="146">
        <f>VLOOKUP($AG22,$AL$4:$AS$15,8)*AH22*AU22</f>
        <v>3.4049466406462496</v>
      </c>
      <c r="W22" s="146"/>
      <c r="X22" s="338">
        <f>((BM22*BC22)+(BL22*BB22))*AH22*F22</f>
        <v>0</v>
      </c>
      <c r="Y22" s="338">
        <f t="shared" ref="Y22:Y31" si="14">($F22*$AH22)*((($BG22/2)*($BC22)^2)+(($BF22/2)*($BB22)^2)+($BH22*$BC22*$BB22))</f>
        <v>0</v>
      </c>
      <c r="Z22" s="338">
        <f t="shared" ref="Z22:Z31" si="15">($BI22*$F22*$AH22*($G$5-$BV$5))/365.25</f>
        <v>-2602.6778002744386</v>
      </c>
      <c r="AA22" s="338">
        <f t="shared" ref="AA22:AA31" si="16">(($BK22*$BE22)+($BJ22*$BD22))*$F22*$AH22*$AF22</f>
        <v>626.46926835145518</v>
      </c>
      <c r="AB22" s="338">
        <f>BN22*(AT22-CA22)*F22*AH22</f>
        <v>0</v>
      </c>
      <c r="AC22" s="338">
        <f>BO22*CB22*F22*AH22*CA22*($G$5-$BV$5)/365.25</f>
        <v>6.7568401164787364</v>
      </c>
      <c r="AF22" s="138">
        <f>IF(AND(D22&gt;=$G$7,D22&lt;=$G$8),1,0)</f>
        <v>1</v>
      </c>
      <c r="AG22" s="138">
        <f>MONTH(D22)</f>
        <v>1</v>
      </c>
      <c r="AH22" s="138">
        <f t="shared" ref="AH22:AH31" si="17">(EOMONTH(D22,0)-EOMONTH(D22-DAY(D22),0))*AF22</f>
        <v>31</v>
      </c>
      <c r="AI22" s="138">
        <f>MAX(0,(D22-DAY(D22))-$G$5+1)</f>
        <v>15</v>
      </c>
      <c r="AJ22" s="138">
        <f>D22-$BV$5</f>
        <v>32</v>
      </c>
      <c r="AL22" s="136">
        <f t="shared" ref="AL22:AL31" si="18">VLOOKUP($D22,CurveTbl,$AK$4)</f>
        <v>2.8460000000000001</v>
      </c>
      <c r="AM22" s="258">
        <f t="shared" ref="AM22:AM31" si="19">VLOOKUP($D22,CurveTbl,$AH$3)</f>
        <v>-2.5000000000000001E-2</v>
      </c>
      <c r="AN22" s="258">
        <f t="shared" ref="AN22:AN31" si="20">VLOOKUP($D22,CurveTbl,$AH$4)+VLOOKUP($AG22,$AL$3:$AS$15,6)</f>
        <v>5.7500000000000002E-2</v>
      </c>
      <c r="AO22" s="258">
        <f t="shared" ref="AO22:AO31" si="21">VLOOKUP($D22,CurveTbl,$AH$5)</f>
        <v>0.13250000000000001</v>
      </c>
      <c r="AP22" s="258">
        <f t="shared" ref="AP22:AP31" si="22">VLOOKUP($D22,CurveTbl,$AH$6)+VLOOKUP($AG22,$AL$3:$AS$15,7)</f>
        <v>-2.4999999999999998E-2</v>
      </c>
      <c r="AQ22" s="136">
        <f>VLOOKUP($AG22,$AL$4:$AS$15,3)+VLOOKUP($AG22,$AL$4:$AS$15,5)+($AH$10*VLOOKUP(D22,GRITable,2))</f>
        <v>1.9200000000000002E-2</v>
      </c>
      <c r="AR22" s="137">
        <f t="shared" ref="AR22:AR31" si="23">VLOOKUP($AG22,$AL$4:$AS$15,4)</f>
        <v>2.9020000000000001E-2</v>
      </c>
      <c r="AS22" s="136">
        <f>(AL22+AM22+AN22)</f>
        <v>2.8785000000000003</v>
      </c>
      <c r="AT22" s="137">
        <f>VLOOKUP(D22,CurveTbl,$AK$6)</f>
        <v>1.8765908157160699E-2</v>
      </c>
      <c r="AU22" s="137">
        <f t="shared" ref="AU22:AU31" si="24">(1+$AT22/2)^(-2*($D22-$G$5)/365.25)*$AF22</f>
        <v>0.99851807643585033</v>
      </c>
      <c r="AV22" s="394">
        <f>ROUND((F22/(1-AR22))-F22,0)*AF22*AH22*AU22</f>
        <v>27765.792151451689</v>
      </c>
      <c r="AW22" s="137">
        <f t="shared" ref="AW22:AW31" si="25">VLOOKUP($D22,CurveTbl,$AK$8)</f>
        <v>0.87</v>
      </c>
      <c r="AX22" s="137">
        <f t="shared" ref="AX22:AX31" si="26">VLOOKUP($D22,CurveTbl,$AH$7)</f>
        <v>1.04</v>
      </c>
      <c r="AY22" s="137">
        <f t="shared" ref="AY22:AY31" si="27">VLOOKUP($D22,CurveTbl,$AH$8)</f>
        <v>1.0900000000000001</v>
      </c>
      <c r="AZ22" s="137"/>
      <c r="BA22" s="264"/>
      <c r="BB22" s="258">
        <f t="shared" ref="BB22:BB31" si="28">$H22-$BV22</f>
        <v>0</v>
      </c>
      <c r="BC22" s="258">
        <f>I22-BW22</f>
        <v>0</v>
      </c>
      <c r="BD22" s="137">
        <f>N22-BX22</f>
        <v>7.7262160833929672E-3</v>
      </c>
      <c r="BE22" s="137">
        <f>O22-BY22</f>
        <v>9.9821502477693835E-3</v>
      </c>
      <c r="BF22" s="137">
        <f>_xll.xSPRDOPT($BW22,$BV22,$CG22,0,$BY22,$BX22,$BZ22,$AJ22,1,4)*$CB22</f>
        <v>2.5219851764595429</v>
      </c>
      <c r="BG22" s="137">
        <f>_xll.xSPRDOPT($BW22,$BV22,$CG22,0,$BY22,$BX22,$BZ22,$AJ22,1,3)*$CB22</f>
        <v>2.5736541271105282</v>
      </c>
      <c r="BH22" s="137">
        <f>IF(OR(BF22&lt;&gt;0,BG22&lt;&gt;0),_xll.xSPRDOPT($BW22,$BV22,$CG22,0,$BY22,$BX22,$BZ22,$AJ22,1,12)*$CB22,0)</f>
        <v>-2.5476817948522594</v>
      </c>
      <c r="BI22" s="137">
        <f>_xll.xSPRDOPT($BW22,$BV22,$CG22,2*LN(1+CA22/2),$BY22,$BX22,$BZ22,$AJ22,1,9)</f>
        <v>-0.34072690557356228</v>
      </c>
      <c r="BJ22" s="137">
        <f>_xll.xSPRDOPT($BW22,$BV22,$CG22,0,$BY22,$BX22,$BZ22,$AJ22,1,6)*$CB22</f>
        <v>-3.1399609694510749E-2</v>
      </c>
      <c r="BK22" s="137">
        <f>_xll.xSPRDOPT($BW22,$BV22,$CG22,0,$BY22,$BX22,$BZ22,$AJ22,1,5)*$CB22</f>
        <v>9.1786139848360176E-2</v>
      </c>
      <c r="BL22" s="137">
        <f>_xll.xSPRDOPT(BW22,BV22,CG22,0,BY22,BX22,BZ22,AJ22,1,2)*CB22</f>
        <v>-0.41116134310579694</v>
      </c>
      <c r="BM22" s="137">
        <f>_xll.xSPRDOPT(BW22,BV22,CG22,0,BY22,BX22,BZ22,AJ22,1,1)*CB22</f>
        <v>0.43126308488317883</v>
      </c>
      <c r="BN22" s="137">
        <f>IF(AH22&lt;&gt;0,_xll.xSPRDOPT($BW22,$BV22,$CG22,2*LN(1+CA22/2),$BY22,$BX22,$BZ22,$AJ22,1,8)+(AJ22/365.25)*CH22/AH22,0)</f>
        <v>5.4917642999008807E-3</v>
      </c>
      <c r="BO22" s="137">
        <f>_xll.xSPRDOPT($BW22,$BV22,$CG22,0,$BY22,$BX22,$BZ22,$AJ22,1,0)</f>
        <v>4.7213997615227689E-2</v>
      </c>
      <c r="BP22" s="137"/>
      <c r="BQ22" s="137"/>
      <c r="BR22" s="137"/>
      <c r="BS22" s="137"/>
      <c r="BV22" s="262">
        <v>2.9645306803435707</v>
      </c>
      <c r="BW22" s="136">
        <v>2.9535</v>
      </c>
      <c r="BX22" s="137">
        <v>0.95243599698783388</v>
      </c>
      <c r="BY22" s="137">
        <v>0.97796239588298806</v>
      </c>
      <c r="BZ22" s="137">
        <v>0.98410052161994421</v>
      </c>
      <c r="CA22" s="137">
        <v>1.8765908157160699E-2</v>
      </c>
      <c r="CB22" s="137">
        <v>0.99836489939579565</v>
      </c>
      <c r="CC22" s="258">
        <v>-2.5000000000000001E-2</v>
      </c>
      <c r="CD22" s="258">
        <v>5.7500000000000002E-2</v>
      </c>
      <c r="CE22" s="258">
        <v>0.13250000000000001</v>
      </c>
      <c r="CF22" s="258">
        <v>-2.5000000000000001E-2</v>
      </c>
      <c r="CG22" s="258">
        <v>1.9200000000000002E-2</v>
      </c>
      <c r="CH22" s="258">
        <v>3.4044243069396631</v>
      </c>
      <c r="CI22" s="258">
        <v>2.8460000000000001</v>
      </c>
    </row>
    <row r="23" spans="1:91" x14ac:dyDescent="0.25">
      <c r="A23" s="723"/>
      <c r="B23" s="723"/>
      <c r="D23" s="31">
        <f>D22+AH22</f>
        <v>37302</v>
      </c>
      <c r="F23" s="28">
        <f>VLOOKUP(AG23,$AL$4:$AS$15,2)</f>
        <v>30000</v>
      </c>
      <c r="G23" s="28">
        <f t="shared" si="12"/>
        <v>29905.36481062337</v>
      </c>
      <c r="H23" s="52">
        <f>(AL23+AM23+AN23)/(1-(AR23))</f>
        <v>3.0283836948237863</v>
      </c>
      <c r="I23" s="52">
        <f>(AL23+AO23+AP23)</f>
        <v>3.0154999999999998</v>
      </c>
      <c r="K23" s="52">
        <f t="shared" ref="K23:K31" si="29">MAX(((I23-H23)-AQ23)*AU23*AH23,0)</f>
        <v>0</v>
      </c>
      <c r="L23" s="135">
        <f t="shared" si="13"/>
        <v>1.3707667485992725</v>
      </c>
      <c r="N23" s="131">
        <f t="shared" ref="N23:N31" si="30">SQRT(($AX23^2*($AH23/2)+$AW23^2*$AI23)/(($AH23/2)+$AI23))</f>
        <v>0.90885229823112634</v>
      </c>
      <c r="O23" s="131">
        <f t="shared" ref="O23:O31" si="31">SQRT(($AY23^2*($AH23/2)+$AW23^2*$AI23)/(($AH23/2)+$AI23))</f>
        <v>0.92242208343035681</v>
      </c>
      <c r="P23" s="55">
        <f t="shared" ref="P23:P31" si="32">(VLOOKUP(AI23,CorrelationTwo,2)*(AW23^2)*AI23+VLOOKUP(D23,CorrelationOne,$AK$9)*AX23*AY23*(AH23/2))/((AI23+(AH23/2))*O23*N23)*AF23</f>
        <v>0.990030450462976</v>
      </c>
      <c r="Q23" s="135">
        <f>_xll.xSPRDOPT(I23,H23,AQ23,0,O23,N23,P23,D23-$G$5,1,0)*AH23*AU23</f>
        <v>1.3707667485992725</v>
      </c>
      <c r="R23" s="135"/>
      <c r="S23" s="181">
        <f>_xll.xSPRDOPT(I23,H23,AQ23,AT23,O23,N23,P23,D23-$G$5,1,2)*AF23*(F23/(1-AR23))*AH23</f>
        <v>-353907.57967881364</v>
      </c>
      <c r="T23" s="181">
        <f>_xll.xSPRDOPT(I23,H23,AQ23,AT23,O23,N23,P23,D23-$G$5,1,1)*AF23*F23*AH23</f>
        <v>360869.33988104353</v>
      </c>
      <c r="U23" s="135"/>
      <c r="V23" s="146">
        <f>VLOOKUP($AG23,$AL$4:$AS$15,8)*AH23*AU23</f>
        <v>3.0702841205573326</v>
      </c>
      <c r="W23" s="146"/>
      <c r="X23" s="338">
        <f>((BM23*BC23)+(BL23*BB23))*AH23*F23</f>
        <v>0</v>
      </c>
      <c r="Y23" s="338">
        <f t="shared" si="14"/>
        <v>0</v>
      </c>
      <c r="Z23" s="338">
        <f t="shared" si="15"/>
        <v>-1255.4325801525354</v>
      </c>
      <c r="AA23" s="338">
        <f t="shared" si="16"/>
        <v>170.58026901318291</v>
      </c>
      <c r="AB23" s="338">
        <f>BN23*(AT23-CA23)*F23*AH23</f>
        <v>0</v>
      </c>
      <c r="AC23" s="338">
        <f>BO23*CB23*F23*AH23*CA23*($G$5-$BV$5)/365.25</f>
        <v>6.6176665861854964</v>
      </c>
      <c r="AF23" s="138">
        <f>IF(AND(D23&gt;=$G$7,D23&lt;=$G$8),1,0)</f>
        <v>1</v>
      </c>
      <c r="AG23" s="138">
        <f>MONTH(D23)</f>
        <v>2</v>
      </c>
      <c r="AH23" s="138">
        <f t="shared" si="17"/>
        <v>28</v>
      </c>
      <c r="AI23" s="138">
        <f>AI22+AH22</f>
        <v>46</v>
      </c>
      <c r="AJ23" s="138">
        <f>D23-$BV$5</f>
        <v>63</v>
      </c>
      <c r="AL23" s="136">
        <f t="shared" si="18"/>
        <v>2.9079999999999999</v>
      </c>
      <c r="AM23" s="258">
        <f t="shared" si="19"/>
        <v>-2.5000000000000001E-2</v>
      </c>
      <c r="AN23" s="258">
        <f t="shared" si="20"/>
        <v>5.7500000000000002E-2</v>
      </c>
      <c r="AO23" s="258">
        <f t="shared" si="21"/>
        <v>0.13250000000000001</v>
      </c>
      <c r="AP23" s="258">
        <f t="shared" si="22"/>
        <v>-2.4999999999999998E-2</v>
      </c>
      <c r="AQ23" s="136">
        <f>VLOOKUP($AG23,$AL$4:$AS$15,3)+VLOOKUP($AG23,$AL$4:$AS$15,5)+($AH$10*VLOOKUP(D23,GRITable,2))</f>
        <v>1.9200000000000002E-2</v>
      </c>
      <c r="AR23" s="137">
        <f t="shared" si="23"/>
        <v>2.9020000000000001E-2</v>
      </c>
      <c r="AS23" s="136">
        <f t="shared" ref="AS23:AS31" si="33">(AL23+AM23+AN23)</f>
        <v>2.9405000000000001</v>
      </c>
      <c r="AT23" s="137">
        <f t="shared" ref="AT23:AT31" si="34">VLOOKUP(D23,CurveTbl,$AK$6)</f>
        <v>1.9326187282006298E-2</v>
      </c>
      <c r="AU23" s="137">
        <f t="shared" si="24"/>
        <v>0.99684549368744568</v>
      </c>
      <c r="AV23" s="394">
        <f t="shared" ref="AV23:AV31" si="35">ROUND((F23/(1-AR23))-F23,0)*AF23*AH23*AU23</f>
        <v>25036.771419453886</v>
      </c>
      <c r="AW23" s="137">
        <f t="shared" si="25"/>
        <v>0.86499999999999999</v>
      </c>
      <c r="AX23" s="137">
        <f t="shared" si="26"/>
        <v>1.04</v>
      </c>
      <c r="AY23" s="137">
        <f t="shared" si="27"/>
        <v>1.0900000000000001</v>
      </c>
      <c r="AZ23" s="137"/>
      <c r="BA23" s="264"/>
      <c r="BB23" s="258">
        <f t="shared" si="28"/>
        <v>0</v>
      </c>
      <c r="BC23" s="258">
        <f>I23-BW23</f>
        <v>0</v>
      </c>
      <c r="BD23" s="137">
        <f>N23-BX23</f>
        <v>2.0401162808982853E-3</v>
      </c>
      <c r="BE23" s="137">
        <f>O23-BY23</f>
        <v>2.6530906935935405E-3</v>
      </c>
      <c r="BF23" s="137">
        <f>_xll.xSPRDOPT($BW23,$BV23,$CG23,0,$BY23,$BX23,$BZ23,$AJ23,1,4)*$CB23</f>
        <v>2.3826084482341137</v>
      </c>
      <c r="BG23" s="137">
        <f>_xll.xSPRDOPT($BW23,$BV23,$CG23,0,$BY23,$BX23,$BZ23,$AJ23,1,3)*$CB23</f>
        <v>2.4333319934580673</v>
      </c>
      <c r="BH23" s="137">
        <f>IF(OR(BF23&lt;&gt;0,BG23&lt;&gt;0),_xll.xSPRDOPT($BW23,$BV23,$CG23,0,$BY23,$BX23,$BZ23,$AJ23,1,12)*$CB23,0)</f>
        <v>-2.4078261678619759</v>
      </c>
      <c r="BI23" s="137">
        <f>_xll.xSPRDOPT($BW23,$BV23,$CG23,2*LN(1+CA23/2),$BY23,$BX23,$BZ23,$AJ23,1,9)</f>
        <v>-0.18196299599234667</v>
      </c>
      <c r="BJ23" s="137">
        <f>_xll.xSPRDOPT($BW23,$BV23,$CG23,0,$BY23,$BX23,$BZ23,$AJ23,1,6)*$CB23</f>
        <v>-3.6580891938055374E-2</v>
      </c>
      <c r="BK23" s="137">
        <f>_xll.xSPRDOPT($BW23,$BV23,$CG23,0,$BY23,$BX23,$BZ23,$AJ23,1,5)*$CB23</f>
        <v>0.10467076105177796</v>
      </c>
      <c r="BL23" s="137">
        <f>_xll.xSPRDOPT(BW23,BV23,CG23,0,BY23,BX23,BZ23,AJ23,1,2)*CB23</f>
        <v>-0.40976114128851199</v>
      </c>
      <c r="BM23" s="137">
        <f>_xll.xSPRDOPT(BW23,BV23,CG23,0,BY23,BX23,BZ23,AJ23,1,1)*CB23</f>
        <v>0.43050681789130363</v>
      </c>
      <c r="BN23" s="137">
        <f>IF(AH23&lt;&gt;0,_xll.xSPRDOPT($BW23,$BV23,$CG23,2*LN(1+CA23/2),$BY23,$BX23,$BZ23,$AJ23,1,8)+(AJ23/365.25)*CH23/AH23,0)</f>
        <v>1.0349975292065825E-2</v>
      </c>
      <c r="BO23" s="137">
        <f>_xll.xSPRDOPT($BW23,$BV23,$CG23,0,$BY23,$BX23,$BZ23,$AJ23,1,0)</f>
        <v>4.9795390233565162E-2</v>
      </c>
      <c r="BP23" s="137"/>
      <c r="BQ23" s="137"/>
      <c r="BR23" s="137"/>
      <c r="BS23" s="137"/>
      <c r="BV23" s="262">
        <v>3.0283836948237863</v>
      </c>
      <c r="BW23" s="136">
        <v>3.0154999999999998</v>
      </c>
      <c r="BX23" s="137">
        <v>0.90681218195022806</v>
      </c>
      <c r="BY23" s="137">
        <v>0.91976899273676327</v>
      </c>
      <c r="BZ23" s="137">
        <v>0.99023829628267646</v>
      </c>
      <c r="CA23" s="137">
        <v>1.9326187282006298E-2</v>
      </c>
      <c r="CB23" s="137">
        <v>0.99668802984454063</v>
      </c>
      <c r="CC23" s="258">
        <v>-2.5000000000000001E-2</v>
      </c>
      <c r="CD23" s="258">
        <v>5.7500000000000002E-2</v>
      </c>
      <c r="CE23" s="258">
        <v>0.13250000000000001</v>
      </c>
      <c r="CF23" s="258">
        <v>-2.5000000000000001E-2</v>
      </c>
      <c r="CG23" s="258">
        <v>1.9200000000000002E-2</v>
      </c>
      <c r="CH23" s="258">
        <v>3.0697991319211853</v>
      </c>
      <c r="CI23" s="258">
        <v>2.9079999999999999</v>
      </c>
    </row>
    <row r="24" spans="1:91" x14ac:dyDescent="0.25">
      <c r="A24" s="723"/>
      <c r="B24" s="723"/>
      <c r="D24" s="31">
        <f t="shared" ref="D24:D31" si="36">D23+AH23</f>
        <v>37330</v>
      </c>
      <c r="F24" s="28">
        <f t="shared" ref="F24:F31" si="37">VLOOKUP(AG24,$AL$4:$AS$15,2)</f>
        <v>30000</v>
      </c>
      <c r="G24" s="28">
        <f t="shared" si="12"/>
        <v>29861.681694223578</v>
      </c>
      <c r="H24" s="52">
        <f t="shared" ref="H24:H31" si="38">(AL24+AM24+AN24)/(1-(AR24))</f>
        <v>3.0222043708418305</v>
      </c>
      <c r="I24" s="52">
        <f t="shared" ref="I24:I31" si="39">(AL24+AO24+AP24)</f>
        <v>2.9970000000000003</v>
      </c>
      <c r="K24" s="52">
        <f t="shared" si="29"/>
        <v>0</v>
      </c>
      <c r="L24" s="135">
        <f t="shared" si="13"/>
        <v>0.92634375312468864</v>
      </c>
      <c r="N24" s="131">
        <f t="shared" si="30"/>
        <v>0.79</v>
      </c>
      <c r="O24" s="131">
        <f t="shared" si="31"/>
        <v>0.79</v>
      </c>
      <c r="P24" s="55">
        <f t="shared" si="32"/>
        <v>0.99446927374301697</v>
      </c>
      <c r="Q24" s="135">
        <f>_xll.xSPRDOPT(I24,H24,AQ24,0,O24,N24,P24,D24-$G$5,1,0)*AH24*AU24</f>
        <v>0.92634375312468864</v>
      </c>
      <c r="R24" s="135"/>
      <c r="S24" s="181">
        <f>_xll.xSPRDOPT(I24,H24,AQ24,AT24,O24,N24,P24,D24-$G$5,1,2)*AF24*(F24/(1-AR24))*AH24</f>
        <v>-335059.79936917988</v>
      </c>
      <c r="T24" s="181">
        <f>_xll.xSPRDOPT(I24,H24,AQ24,AT24,O24,N24,P24,D24-$G$5,1,1)*AF24*F24*AH24</f>
        <v>339418.97993359907</v>
      </c>
      <c r="U24" s="135"/>
      <c r="V24" s="146">
        <f t="shared" ref="V24:V31" si="40">VLOOKUP($AG24,$AL$4:$AS$15,8)*AH24*AU24</f>
        <v>3.3942778192434138</v>
      </c>
      <c r="W24" s="146"/>
      <c r="X24" s="338">
        <f t="shared" ref="X24:X31" si="41">((BM24*BC24)+(BL24*BB24))*AH24*F24</f>
        <v>0</v>
      </c>
      <c r="Y24" s="338">
        <f t="shared" si="14"/>
        <v>0</v>
      </c>
      <c r="Z24" s="338">
        <f t="shared" si="15"/>
        <v>-703.14376308184637</v>
      </c>
      <c r="AA24" s="338">
        <f t="shared" si="16"/>
        <v>0</v>
      </c>
      <c r="AB24" s="338">
        <f t="shared" ref="AB24:AB31" si="42">BN24*(AT24-CA24)*F24*AH24</f>
        <v>0</v>
      </c>
      <c r="AC24" s="338">
        <f t="shared" ref="AC24:AC31" si="43">BO24*CB24*F24*AH24*CA24*($G$5-$BV$5)/365.25</f>
        <v>4.4515402010720813</v>
      </c>
      <c r="AF24" s="138">
        <f t="shared" ref="AF24:AF31" si="44">IF(AND(D24&gt;=$G$7,D24&lt;=$G$8),1,0)</f>
        <v>1</v>
      </c>
      <c r="AG24" s="138">
        <f t="shared" ref="AG24:AG31" si="45">MONTH(D24)</f>
        <v>3</v>
      </c>
      <c r="AH24" s="138">
        <f t="shared" si="17"/>
        <v>31</v>
      </c>
      <c r="AI24" s="138">
        <f t="shared" ref="AI24:AI31" si="46">AI23+AH23</f>
        <v>74</v>
      </c>
      <c r="AJ24" s="138">
        <f t="shared" ref="AJ24:AJ31" si="47">D24-$BV$5</f>
        <v>91</v>
      </c>
      <c r="AL24" s="136">
        <f t="shared" si="18"/>
        <v>2.9020000000000001</v>
      </c>
      <c r="AM24" s="258">
        <f t="shared" si="19"/>
        <v>-2.5000000000000001E-2</v>
      </c>
      <c r="AN24" s="258">
        <f t="shared" si="20"/>
        <v>5.7500000000000002E-2</v>
      </c>
      <c r="AO24" s="258">
        <f t="shared" si="21"/>
        <v>0.12</v>
      </c>
      <c r="AP24" s="258">
        <f t="shared" si="22"/>
        <v>-2.4999999999999998E-2</v>
      </c>
      <c r="AQ24" s="136">
        <f t="shared" ref="AQ24:AQ31" si="48">VLOOKUP($AG24,$AL$4:$AS$15,3)+VLOOKUP($AG24,$AL$4:$AS$15,5)+($AH$10*VLOOKUP(D24,GRITable,2))</f>
        <v>1.9200000000000002E-2</v>
      </c>
      <c r="AR24" s="137">
        <f t="shared" si="23"/>
        <v>2.9020000000000001E-2</v>
      </c>
      <c r="AS24" s="136">
        <f t="shared" si="33"/>
        <v>2.9345000000000003</v>
      </c>
      <c r="AT24" s="137">
        <f t="shared" si="34"/>
        <v>1.9273175363903501E-2</v>
      </c>
      <c r="AU24" s="137">
        <f t="shared" si="24"/>
        <v>0.99538938980745262</v>
      </c>
      <c r="AV24" s="394">
        <f t="shared" si="35"/>
        <v>27678.792762375833</v>
      </c>
      <c r="AW24" s="137">
        <f t="shared" si="25"/>
        <v>0.79</v>
      </c>
      <c r="AX24" s="137">
        <f t="shared" si="26"/>
        <v>0.79</v>
      </c>
      <c r="AY24" s="137">
        <f t="shared" si="27"/>
        <v>0.79</v>
      </c>
      <c r="AZ24" s="137"/>
      <c r="BA24" s="264"/>
      <c r="BB24" s="258">
        <f t="shared" si="28"/>
        <v>0</v>
      </c>
      <c r="BC24" s="258">
        <f t="shared" ref="BC24:BC31" si="49">I24-BW24</f>
        <v>0</v>
      </c>
      <c r="BD24" s="137">
        <f t="shared" ref="BD24:BD31" si="50">N24-BX24</f>
        <v>0</v>
      </c>
      <c r="BE24" s="137">
        <f t="shared" ref="BE24:BE31" si="51">O24-BY24</f>
        <v>0</v>
      </c>
      <c r="BF24" s="137">
        <f>_xll.xSPRDOPT($BW24,$BV24,$CG24,0,$BY24,$BX24,$BZ24,$AJ24,1,4)*$CB24</f>
        <v>2.9598431197564161</v>
      </c>
      <c r="BG24" s="137">
        <f>_xll.xSPRDOPT($BW24,$BV24,$CG24,0,$BY24,$BX24,$BZ24,$AJ24,1,3)*$CB24</f>
        <v>3.0480976685052767</v>
      </c>
      <c r="BH24" s="137">
        <f>IF(OR(BF24&lt;&gt;0,BG24&lt;&gt;0),_xll.xSPRDOPT($BW24,$BV24,$CG24,0,$BY24,$BX24,$BZ24,$AJ24,1,12)*$CB24,0)</f>
        <v>-3.003637463614425</v>
      </c>
      <c r="BI24" s="137">
        <f>_xll.xSPRDOPT($BW24,$BV24,$CG24,2*LN(1+CA24/2),$BY24,$BX24,$BZ24,$AJ24,1,9)</f>
        <v>-9.2051347478725579E-2</v>
      </c>
      <c r="BJ24" s="137">
        <f>_xll.xSPRDOPT($BW24,$BV24,$CG24,0,$BY24,$BX24,$BZ24,$AJ24,1,6)*$CB24</f>
        <v>-4.6067673842695158E-3</v>
      </c>
      <c r="BK24" s="137">
        <f>_xll.xSPRDOPT($BW24,$BV24,$CG24,0,$BY24,$BX24,$BZ24,$AJ24,1,5)*$CB24</f>
        <v>6.303354416245148E-2</v>
      </c>
      <c r="BL24" s="137">
        <f>_xll.xSPRDOPT(BW24,BV24,CG24,0,BY24,BX24,BZ24,AJ24,1,2)*CB24</f>
        <v>-0.35075996915204177</v>
      </c>
      <c r="BM24" s="137">
        <f>_xll.xSPRDOPT(BW24,BV24,CG24,0,BY24,BX24,BZ24,AJ24,1,1)*CB24</f>
        <v>0.36603387633030982</v>
      </c>
      <c r="BN24" s="137">
        <f>IF(AH24&lt;&gt;0,_xll.xSPRDOPT($BW24,$BV24,$CG24,2*LN(1+CA24/2),$BY24,$BX24,$BZ24,$AJ24,1,8)+(AJ24/365.25)*CH24/AH24,0)</f>
        <v>1.9741775848467657E-2</v>
      </c>
      <c r="BO24" s="137">
        <f>_xll.xSPRDOPT($BW24,$BV24,$CG24,0,$BY24,$BX24,$BZ24,$AJ24,1,0)</f>
        <v>3.0382147033678541E-2</v>
      </c>
      <c r="BP24" s="137"/>
      <c r="BQ24" s="137"/>
      <c r="BR24" s="137"/>
      <c r="BS24" s="137"/>
      <c r="BV24" s="262">
        <v>3.0222043708418305</v>
      </c>
      <c r="BW24" s="136">
        <v>2.9970000000000003</v>
      </c>
      <c r="BX24" s="137">
        <v>0.79</v>
      </c>
      <c r="BY24" s="137">
        <v>0.79</v>
      </c>
      <c r="BZ24" s="137">
        <v>0.99456756756756759</v>
      </c>
      <c r="CA24" s="137">
        <v>1.9273175363903501E-2</v>
      </c>
      <c r="CB24" s="137">
        <v>0.99523258517239033</v>
      </c>
      <c r="CC24" s="258">
        <v>-2.5000000000000001E-2</v>
      </c>
      <c r="CD24" s="258">
        <v>5.7500000000000002E-2</v>
      </c>
      <c r="CE24" s="258">
        <v>0.12</v>
      </c>
      <c r="CF24" s="258">
        <v>-2.5000000000000001E-2</v>
      </c>
      <c r="CG24" s="258">
        <v>1.9200000000000002E-2</v>
      </c>
      <c r="CH24" s="258">
        <v>3.393743115437851</v>
      </c>
      <c r="CI24" s="258">
        <v>2.9020000000000001</v>
      </c>
    </row>
    <row r="25" spans="1:91" x14ac:dyDescent="0.25">
      <c r="A25" s="723"/>
      <c r="B25" s="723"/>
      <c r="D25" s="31">
        <f t="shared" si="36"/>
        <v>37361</v>
      </c>
      <c r="F25" s="28">
        <f t="shared" si="37"/>
        <v>30000</v>
      </c>
      <c r="G25" s="28">
        <f t="shared" si="12"/>
        <v>0</v>
      </c>
      <c r="H25" s="52">
        <f t="shared" si="38"/>
        <v>2.9665904550042228</v>
      </c>
      <c r="I25" s="52">
        <f t="shared" si="39"/>
        <v>2.9729999999999999</v>
      </c>
      <c r="K25" s="52">
        <f t="shared" si="29"/>
        <v>0</v>
      </c>
      <c r="L25" s="135">
        <f t="shared" si="13"/>
        <v>0</v>
      </c>
      <c r="N25" s="131">
        <f t="shared" si="30"/>
        <v>0.61</v>
      </c>
      <c r="O25" s="131">
        <f t="shared" si="31"/>
        <v>0.61</v>
      </c>
      <c r="P25" s="55">
        <f t="shared" si="32"/>
        <v>0</v>
      </c>
      <c r="Q25" s="135">
        <f>_xll.xSPRDOPT(I25,H25,AQ25,0,O25,N25,P25,D25-$G$5,1,0)*AH25*AU25</f>
        <v>0</v>
      </c>
      <c r="R25" s="135"/>
      <c r="S25" s="181">
        <f>_xll.xSPRDOPT(I25,H25,AQ25,AT25,O25,N25,P25,D25-$G$5,1,2)*AF25*(F25/(1-AR25))*AH25</f>
        <v>0</v>
      </c>
      <c r="T25" s="181">
        <f>_xll.xSPRDOPT(I25,H25,AQ25,AT25,O25,N25,P25,D25-$G$5,1,1)*AF25*F25*AH25</f>
        <v>0</v>
      </c>
      <c r="U25" s="135"/>
      <c r="V25" s="146">
        <f t="shared" si="40"/>
        <v>0</v>
      </c>
      <c r="W25" s="146"/>
      <c r="X25" s="338">
        <f t="shared" si="41"/>
        <v>0</v>
      </c>
      <c r="Y25" s="338">
        <f t="shared" si="14"/>
        <v>0</v>
      </c>
      <c r="Z25" s="338">
        <f t="shared" si="15"/>
        <v>0</v>
      </c>
      <c r="AA25" s="338">
        <f t="shared" si="16"/>
        <v>0</v>
      </c>
      <c r="AB25" s="338">
        <f t="shared" si="42"/>
        <v>0</v>
      </c>
      <c r="AC25" s="338">
        <f t="shared" si="43"/>
        <v>0</v>
      </c>
      <c r="AF25" s="138">
        <f t="shared" si="44"/>
        <v>0</v>
      </c>
      <c r="AG25" s="138">
        <f t="shared" si="45"/>
        <v>4</v>
      </c>
      <c r="AH25" s="138">
        <f t="shared" si="17"/>
        <v>0</v>
      </c>
      <c r="AI25" s="138">
        <f t="shared" si="46"/>
        <v>105</v>
      </c>
      <c r="AJ25" s="138">
        <f t="shared" si="47"/>
        <v>122</v>
      </c>
      <c r="AL25" s="136">
        <f t="shared" si="18"/>
        <v>2.8479999999999999</v>
      </c>
      <c r="AM25" s="258">
        <f t="shared" si="19"/>
        <v>-2.5000000000000001E-2</v>
      </c>
      <c r="AN25" s="258">
        <f t="shared" si="20"/>
        <v>5.7500000000000002E-2</v>
      </c>
      <c r="AO25" s="258">
        <f t="shared" si="21"/>
        <v>0.15</v>
      </c>
      <c r="AP25" s="258">
        <f t="shared" si="22"/>
        <v>-2.4999999999999998E-2</v>
      </c>
      <c r="AQ25" s="136">
        <f t="shared" si="48"/>
        <v>1.9200000000000002E-2</v>
      </c>
      <c r="AR25" s="137">
        <f t="shared" si="23"/>
        <v>2.9020000000000001E-2</v>
      </c>
      <c r="AS25" s="136">
        <f t="shared" si="33"/>
        <v>2.8805000000000001</v>
      </c>
      <c r="AT25" s="137">
        <f t="shared" si="34"/>
        <v>1.9422640119623601E-2</v>
      </c>
      <c r="AU25" s="137">
        <f t="shared" si="24"/>
        <v>0</v>
      </c>
      <c r="AV25" s="394">
        <f t="shared" si="35"/>
        <v>0</v>
      </c>
      <c r="AW25" s="137">
        <f t="shared" si="25"/>
        <v>0.61</v>
      </c>
      <c r="AX25" s="137">
        <f t="shared" si="26"/>
        <v>0.53</v>
      </c>
      <c r="AY25" s="137">
        <f t="shared" si="27"/>
        <v>0.57999999999999996</v>
      </c>
      <c r="AZ25" s="137"/>
      <c r="BA25" s="264"/>
      <c r="BB25" s="258">
        <f t="shared" si="28"/>
        <v>0</v>
      </c>
      <c r="BC25" s="258">
        <f t="shared" si="49"/>
        <v>0</v>
      </c>
      <c r="BD25" s="137">
        <f t="shared" si="50"/>
        <v>0</v>
      </c>
      <c r="BE25" s="137">
        <f t="shared" si="51"/>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-0.84053349409663747</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0.57826907620733425</v>
      </c>
      <c r="BP25" s="137"/>
      <c r="BQ25" s="137"/>
      <c r="BR25" s="137"/>
      <c r="BS25" s="137"/>
      <c r="BV25" s="262">
        <v>2.9665904550042228</v>
      </c>
      <c r="BW25" s="136">
        <v>2.9729999999999999</v>
      </c>
      <c r="BX25" s="137">
        <v>0.61</v>
      </c>
      <c r="BY25" s="137">
        <v>0.61</v>
      </c>
      <c r="BZ25" s="137">
        <v>0</v>
      </c>
      <c r="CA25" s="137">
        <v>1.9422640119623601E-2</v>
      </c>
      <c r="CB25" s="137">
        <v>0</v>
      </c>
      <c r="CC25" s="258">
        <v>-2.5000000000000001E-2</v>
      </c>
      <c r="CD25" s="258">
        <v>5.7500000000000002E-2</v>
      </c>
      <c r="CE25" s="258">
        <v>0.15</v>
      </c>
      <c r="CF25" s="258">
        <v>-2.5000000000000001E-2</v>
      </c>
      <c r="CG25" s="258">
        <v>1.9200000000000002E-2</v>
      </c>
      <c r="CH25" s="258">
        <v>0</v>
      </c>
      <c r="CI25" s="258">
        <v>2.8479999999999999</v>
      </c>
    </row>
    <row r="26" spans="1:91" x14ac:dyDescent="0.25">
      <c r="A26" s="723"/>
      <c r="B26" s="723"/>
      <c r="D26" s="31">
        <f t="shared" si="36"/>
        <v>37361</v>
      </c>
      <c r="F26" s="28">
        <f t="shared" si="37"/>
        <v>30000</v>
      </c>
      <c r="G26" s="28">
        <f t="shared" si="12"/>
        <v>0</v>
      </c>
      <c r="H26" s="52">
        <f t="shared" si="38"/>
        <v>2.9665904550042228</v>
      </c>
      <c r="I26" s="52">
        <f t="shared" si="39"/>
        <v>2.9729999999999999</v>
      </c>
      <c r="K26" s="52">
        <f t="shared" si="29"/>
        <v>0</v>
      </c>
      <c r="L26" s="135">
        <f t="shared" si="13"/>
        <v>0</v>
      </c>
      <c r="N26" s="131">
        <f t="shared" si="30"/>
        <v>0.61</v>
      </c>
      <c r="O26" s="131">
        <f t="shared" si="31"/>
        <v>0.61</v>
      </c>
      <c r="P26" s="55">
        <f t="shared" si="32"/>
        <v>0</v>
      </c>
      <c r="Q26" s="135">
        <f>_xll.xSPRDOPT(I26,H26,AQ26,0,O26,N26,P26,D26-$G$5,1,0)*AH26*AU26</f>
        <v>0</v>
      </c>
      <c r="R26" s="135"/>
      <c r="S26" s="181">
        <f>_xll.xSPRDOPT(I26,H26,AQ26,AT26,O26,N26,P26,D26-$G$5,1,2)*AF26*(F26/(1-AR26))*AH26</f>
        <v>0</v>
      </c>
      <c r="T26" s="181">
        <f>_xll.xSPRDOPT(I26,H26,AQ26,AT26,O26,N26,P26,D26-$G$5,1,1)*AF26*F26*AH26</f>
        <v>0</v>
      </c>
      <c r="U26" s="135"/>
      <c r="V26" s="146">
        <f t="shared" si="40"/>
        <v>0</v>
      </c>
      <c r="W26" s="146"/>
      <c r="X26" s="338">
        <f t="shared" si="41"/>
        <v>0</v>
      </c>
      <c r="Y26" s="338">
        <f t="shared" si="14"/>
        <v>0</v>
      </c>
      <c r="Z26" s="338">
        <f t="shared" si="15"/>
        <v>0</v>
      </c>
      <c r="AA26" s="338">
        <f t="shared" si="16"/>
        <v>0</v>
      </c>
      <c r="AB26" s="338">
        <f t="shared" si="42"/>
        <v>0</v>
      </c>
      <c r="AC26" s="338">
        <f t="shared" si="43"/>
        <v>0</v>
      </c>
      <c r="AF26" s="138">
        <f t="shared" si="44"/>
        <v>0</v>
      </c>
      <c r="AG26" s="138">
        <f t="shared" si="45"/>
        <v>4</v>
      </c>
      <c r="AH26" s="138">
        <f t="shared" si="17"/>
        <v>0</v>
      </c>
      <c r="AI26" s="138">
        <f t="shared" si="46"/>
        <v>105</v>
      </c>
      <c r="AJ26" s="138">
        <f t="shared" si="47"/>
        <v>122</v>
      </c>
      <c r="AL26" s="136">
        <f t="shared" si="18"/>
        <v>2.8479999999999999</v>
      </c>
      <c r="AM26" s="258">
        <f t="shared" si="19"/>
        <v>-2.5000000000000001E-2</v>
      </c>
      <c r="AN26" s="258">
        <f t="shared" si="20"/>
        <v>5.7500000000000002E-2</v>
      </c>
      <c r="AO26" s="258">
        <f t="shared" si="21"/>
        <v>0.15</v>
      </c>
      <c r="AP26" s="258">
        <f t="shared" si="22"/>
        <v>-2.4999999999999998E-2</v>
      </c>
      <c r="AQ26" s="136">
        <f t="shared" si="48"/>
        <v>1.9200000000000002E-2</v>
      </c>
      <c r="AR26" s="137">
        <f t="shared" si="23"/>
        <v>2.9020000000000001E-2</v>
      </c>
      <c r="AS26" s="136">
        <f t="shared" si="33"/>
        <v>2.8805000000000001</v>
      </c>
      <c r="AT26" s="137">
        <f t="shared" si="34"/>
        <v>1.9422640119623601E-2</v>
      </c>
      <c r="AU26" s="137">
        <f t="shared" si="24"/>
        <v>0</v>
      </c>
      <c r="AV26" s="394">
        <f t="shared" si="35"/>
        <v>0</v>
      </c>
      <c r="AW26" s="137">
        <f t="shared" si="25"/>
        <v>0.61</v>
      </c>
      <c r="AX26" s="137">
        <f t="shared" si="26"/>
        <v>0.53</v>
      </c>
      <c r="AY26" s="137">
        <f t="shared" si="27"/>
        <v>0.57999999999999996</v>
      </c>
      <c r="AZ26" s="137"/>
      <c r="BA26" s="264"/>
      <c r="BB26" s="258">
        <f t="shared" si="28"/>
        <v>0</v>
      </c>
      <c r="BC26" s="258">
        <f t="shared" si="49"/>
        <v>0</v>
      </c>
      <c r="BD26" s="137">
        <f t="shared" si="50"/>
        <v>0</v>
      </c>
      <c r="BE26" s="137">
        <f t="shared" si="51"/>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-0.84053349409663747</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0.57826907620733425</v>
      </c>
      <c r="BP26" s="137"/>
      <c r="BQ26" s="137"/>
      <c r="BR26" s="137"/>
      <c r="BS26" s="137"/>
      <c r="BV26" s="262">
        <v>2.9665904550042228</v>
      </c>
      <c r="BW26" s="136">
        <v>2.9729999999999999</v>
      </c>
      <c r="BX26" s="137">
        <v>0.61</v>
      </c>
      <c r="BY26" s="137">
        <v>0.61</v>
      </c>
      <c r="BZ26" s="137">
        <v>0</v>
      </c>
      <c r="CA26" s="137">
        <v>1.9422640119623601E-2</v>
      </c>
      <c r="CB26" s="137">
        <v>0</v>
      </c>
      <c r="CC26" s="258">
        <v>-2.5000000000000001E-2</v>
      </c>
      <c r="CD26" s="258">
        <v>5.7500000000000002E-2</v>
      </c>
      <c r="CE26" s="258">
        <v>0.15</v>
      </c>
      <c r="CF26" s="258">
        <v>-2.5000000000000001E-2</v>
      </c>
      <c r="CG26" s="258">
        <v>1.9200000000000002E-2</v>
      </c>
      <c r="CH26" s="258">
        <v>0</v>
      </c>
      <c r="CI26" s="258">
        <v>2.8479999999999999</v>
      </c>
    </row>
    <row r="27" spans="1:91" x14ac:dyDescent="0.25">
      <c r="A27" s="727"/>
      <c r="B27" s="727"/>
      <c r="C27" s="727"/>
      <c r="D27" s="31">
        <f t="shared" si="36"/>
        <v>37361</v>
      </c>
      <c r="F27" s="28">
        <f t="shared" si="37"/>
        <v>30000</v>
      </c>
      <c r="G27" s="28">
        <f t="shared" si="12"/>
        <v>0</v>
      </c>
      <c r="H27" s="52">
        <f t="shared" si="38"/>
        <v>2.9665904550042228</v>
      </c>
      <c r="I27" s="52">
        <f t="shared" si="39"/>
        <v>2.9729999999999999</v>
      </c>
      <c r="K27" s="52">
        <f t="shared" si="29"/>
        <v>0</v>
      </c>
      <c r="L27" s="135">
        <f t="shared" si="13"/>
        <v>0</v>
      </c>
      <c r="N27" s="131">
        <f t="shared" si="30"/>
        <v>0.61</v>
      </c>
      <c r="O27" s="131">
        <f t="shared" si="31"/>
        <v>0.61</v>
      </c>
      <c r="P27" s="55">
        <f t="shared" si="32"/>
        <v>0</v>
      </c>
      <c r="Q27" s="135">
        <f>_xll.xSPRDOPT(I27,H27,AQ27,0,O27,N27,P27,D27-$G$5,1,0)*AH27*AU27</f>
        <v>0</v>
      </c>
      <c r="R27" s="135"/>
      <c r="S27" s="181">
        <f>_xll.xSPRDOPT(I27,H27,AQ27,AT27,O27,N27,P27,D27-$G$5,1,2)*AF27*(F27/(1-AR27))*AH27</f>
        <v>0</v>
      </c>
      <c r="T27" s="181">
        <f>_xll.xSPRDOPT(I27,H27,AQ27,AT27,O27,N27,P27,D27-$G$5,1,1)*AF27*F27*AH27</f>
        <v>0</v>
      </c>
      <c r="U27" s="135"/>
      <c r="V27" s="146">
        <f t="shared" si="40"/>
        <v>0</v>
      </c>
      <c r="W27" s="146"/>
      <c r="X27" s="338">
        <f t="shared" si="41"/>
        <v>0</v>
      </c>
      <c r="Y27" s="338">
        <f t="shared" si="14"/>
        <v>0</v>
      </c>
      <c r="Z27" s="338">
        <f t="shared" si="15"/>
        <v>0</v>
      </c>
      <c r="AA27" s="338">
        <f t="shared" si="16"/>
        <v>0</v>
      </c>
      <c r="AB27" s="338">
        <f t="shared" si="42"/>
        <v>0</v>
      </c>
      <c r="AC27" s="338">
        <f t="shared" si="43"/>
        <v>0</v>
      </c>
      <c r="AF27" s="138">
        <f t="shared" si="44"/>
        <v>0</v>
      </c>
      <c r="AG27" s="138">
        <f t="shared" si="45"/>
        <v>4</v>
      </c>
      <c r="AH27" s="138">
        <f t="shared" si="17"/>
        <v>0</v>
      </c>
      <c r="AI27" s="138">
        <f t="shared" si="46"/>
        <v>105</v>
      </c>
      <c r="AJ27" s="138">
        <f t="shared" si="47"/>
        <v>122</v>
      </c>
      <c r="AL27" s="136">
        <f t="shared" si="18"/>
        <v>2.8479999999999999</v>
      </c>
      <c r="AM27" s="258">
        <f t="shared" si="19"/>
        <v>-2.5000000000000001E-2</v>
      </c>
      <c r="AN27" s="258">
        <f t="shared" si="20"/>
        <v>5.7500000000000002E-2</v>
      </c>
      <c r="AO27" s="258">
        <f t="shared" si="21"/>
        <v>0.15</v>
      </c>
      <c r="AP27" s="258">
        <f t="shared" si="22"/>
        <v>-2.4999999999999998E-2</v>
      </c>
      <c r="AQ27" s="136">
        <f t="shared" si="48"/>
        <v>1.9200000000000002E-2</v>
      </c>
      <c r="AR27" s="137">
        <f t="shared" si="23"/>
        <v>2.9020000000000001E-2</v>
      </c>
      <c r="AS27" s="136">
        <f t="shared" si="33"/>
        <v>2.8805000000000001</v>
      </c>
      <c r="AT27" s="137">
        <f t="shared" si="34"/>
        <v>1.9422640119623601E-2</v>
      </c>
      <c r="AU27" s="137">
        <f t="shared" si="24"/>
        <v>0</v>
      </c>
      <c r="AV27" s="394">
        <f t="shared" si="35"/>
        <v>0</v>
      </c>
      <c r="AW27" s="137">
        <f t="shared" si="25"/>
        <v>0.61</v>
      </c>
      <c r="AX27" s="137">
        <f t="shared" si="26"/>
        <v>0.53</v>
      </c>
      <c r="AY27" s="137">
        <f t="shared" si="27"/>
        <v>0.57999999999999996</v>
      </c>
      <c r="AZ27" s="137"/>
      <c r="BA27" s="264"/>
      <c r="BB27" s="258">
        <f t="shared" si="28"/>
        <v>0</v>
      </c>
      <c r="BC27" s="258">
        <f t="shared" si="49"/>
        <v>0</v>
      </c>
      <c r="BD27" s="137">
        <f t="shared" si="50"/>
        <v>0</v>
      </c>
      <c r="BE27" s="137">
        <f t="shared" si="51"/>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-0.84053349409663747</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0.57826907620733425</v>
      </c>
      <c r="BP27" s="137"/>
      <c r="BQ27" s="137"/>
      <c r="BR27" s="137"/>
      <c r="BS27" s="137"/>
      <c r="BV27" s="262">
        <v>2.9665904550042228</v>
      </c>
      <c r="BW27" s="136">
        <v>2.9729999999999999</v>
      </c>
      <c r="BX27" s="137">
        <v>0.61</v>
      </c>
      <c r="BY27" s="137">
        <v>0.61</v>
      </c>
      <c r="BZ27" s="137">
        <v>0</v>
      </c>
      <c r="CA27" s="137">
        <v>1.9422640119623601E-2</v>
      </c>
      <c r="CB27" s="137">
        <v>0</v>
      </c>
      <c r="CC27" s="258">
        <v>-2.5000000000000001E-2</v>
      </c>
      <c r="CD27" s="258">
        <v>5.7500000000000002E-2</v>
      </c>
      <c r="CE27" s="258">
        <v>0.15</v>
      </c>
      <c r="CF27" s="258">
        <v>-2.5000000000000001E-2</v>
      </c>
      <c r="CG27" s="258">
        <v>1.9200000000000002E-2</v>
      </c>
      <c r="CH27" s="258">
        <v>0</v>
      </c>
      <c r="CI27" s="258">
        <v>2.8479999999999999</v>
      </c>
    </row>
    <row r="28" spans="1:91" x14ac:dyDescent="0.25">
      <c r="A28" s="723"/>
      <c r="B28" s="723"/>
      <c r="D28" s="31">
        <f t="shared" si="36"/>
        <v>37361</v>
      </c>
      <c r="F28" s="28">
        <f t="shared" si="37"/>
        <v>30000</v>
      </c>
      <c r="G28" s="28">
        <f t="shared" si="12"/>
        <v>0</v>
      </c>
      <c r="H28" s="52">
        <f t="shared" si="38"/>
        <v>2.9665904550042228</v>
      </c>
      <c r="I28" s="52">
        <f t="shared" si="39"/>
        <v>2.9729999999999999</v>
      </c>
      <c r="K28" s="52">
        <f t="shared" si="29"/>
        <v>0</v>
      </c>
      <c r="L28" s="135">
        <f t="shared" si="13"/>
        <v>0</v>
      </c>
      <c r="N28" s="131">
        <f t="shared" si="30"/>
        <v>0.61</v>
      </c>
      <c r="O28" s="131">
        <f t="shared" si="31"/>
        <v>0.61</v>
      </c>
      <c r="P28" s="55">
        <f t="shared" si="32"/>
        <v>0</v>
      </c>
      <c r="Q28" s="135">
        <f>_xll.xSPRDOPT(I28,H28,AQ28,0,O28,N28,P28,D28-$G$5,1,0)*AH28*AU28</f>
        <v>0</v>
      </c>
      <c r="R28" s="135"/>
      <c r="S28" s="181">
        <f>_xll.xSPRDOPT(I28,H28,AQ28,AT28,O28,N28,P28,D28-$G$5,1,2)*AF28*(F28/(1-AR28))*AH28</f>
        <v>0</v>
      </c>
      <c r="T28" s="181">
        <f>_xll.xSPRDOPT(I28,H28,AQ28,AT28,O28,N28,P28,D28-$G$5,1,1)*AF28*F28*AH28</f>
        <v>0</v>
      </c>
      <c r="U28" s="135"/>
      <c r="V28" s="146">
        <f t="shared" si="40"/>
        <v>0</v>
      </c>
      <c r="W28" s="146"/>
      <c r="X28" s="338">
        <f t="shared" si="41"/>
        <v>0</v>
      </c>
      <c r="Y28" s="338">
        <f t="shared" si="14"/>
        <v>0</v>
      </c>
      <c r="Z28" s="338">
        <f t="shared" si="15"/>
        <v>0</v>
      </c>
      <c r="AA28" s="338">
        <f t="shared" si="16"/>
        <v>0</v>
      </c>
      <c r="AB28" s="338">
        <f t="shared" si="42"/>
        <v>0</v>
      </c>
      <c r="AC28" s="338">
        <f t="shared" si="43"/>
        <v>0</v>
      </c>
      <c r="AF28" s="138">
        <f t="shared" si="44"/>
        <v>0</v>
      </c>
      <c r="AG28" s="138">
        <f t="shared" si="45"/>
        <v>4</v>
      </c>
      <c r="AH28" s="138">
        <f t="shared" si="17"/>
        <v>0</v>
      </c>
      <c r="AI28" s="138">
        <f t="shared" si="46"/>
        <v>105</v>
      </c>
      <c r="AJ28" s="138">
        <f t="shared" si="47"/>
        <v>122</v>
      </c>
      <c r="AL28" s="136">
        <f t="shared" si="18"/>
        <v>2.8479999999999999</v>
      </c>
      <c r="AM28" s="258">
        <f t="shared" si="19"/>
        <v>-2.5000000000000001E-2</v>
      </c>
      <c r="AN28" s="258">
        <f t="shared" si="20"/>
        <v>5.7500000000000002E-2</v>
      </c>
      <c r="AO28" s="258">
        <f t="shared" si="21"/>
        <v>0.15</v>
      </c>
      <c r="AP28" s="258">
        <f t="shared" si="22"/>
        <v>-2.4999999999999998E-2</v>
      </c>
      <c r="AQ28" s="136">
        <f t="shared" si="48"/>
        <v>1.9200000000000002E-2</v>
      </c>
      <c r="AR28" s="137">
        <f t="shared" si="23"/>
        <v>2.9020000000000001E-2</v>
      </c>
      <c r="AS28" s="136">
        <f t="shared" si="33"/>
        <v>2.8805000000000001</v>
      </c>
      <c r="AT28" s="137">
        <f t="shared" si="34"/>
        <v>1.9422640119623601E-2</v>
      </c>
      <c r="AU28" s="137">
        <f t="shared" si="24"/>
        <v>0</v>
      </c>
      <c r="AV28" s="394">
        <f t="shared" si="35"/>
        <v>0</v>
      </c>
      <c r="AW28" s="137">
        <f t="shared" si="25"/>
        <v>0.61</v>
      </c>
      <c r="AX28" s="137">
        <f t="shared" si="26"/>
        <v>0.53</v>
      </c>
      <c r="AY28" s="137">
        <f t="shared" si="27"/>
        <v>0.57999999999999996</v>
      </c>
      <c r="AZ28" s="137"/>
      <c r="BA28" s="264"/>
      <c r="BB28" s="258">
        <f t="shared" si="28"/>
        <v>0</v>
      </c>
      <c r="BC28" s="258">
        <f t="shared" si="49"/>
        <v>0</v>
      </c>
      <c r="BD28" s="137">
        <f t="shared" si="50"/>
        <v>0</v>
      </c>
      <c r="BE28" s="137">
        <f t="shared" si="51"/>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-0.84053349409663747</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0.57826907620733425</v>
      </c>
      <c r="BP28" s="137"/>
      <c r="BQ28" s="137"/>
      <c r="BR28" s="137"/>
      <c r="BS28" s="137"/>
      <c r="BV28" s="262">
        <v>2.9665904550042228</v>
      </c>
      <c r="BW28" s="136">
        <v>2.9729999999999999</v>
      </c>
      <c r="BX28" s="137">
        <v>0.61</v>
      </c>
      <c r="BY28" s="137">
        <v>0.61</v>
      </c>
      <c r="BZ28" s="137">
        <v>0</v>
      </c>
      <c r="CA28" s="137">
        <v>1.9422640119623601E-2</v>
      </c>
      <c r="CB28" s="137">
        <v>0</v>
      </c>
      <c r="CC28" s="258">
        <v>-2.5000000000000001E-2</v>
      </c>
      <c r="CD28" s="258">
        <v>5.7500000000000002E-2</v>
      </c>
      <c r="CE28" s="258">
        <v>0.15</v>
      </c>
      <c r="CF28" s="258">
        <v>-2.5000000000000001E-2</v>
      </c>
      <c r="CG28" s="258">
        <v>1.9200000000000002E-2</v>
      </c>
      <c r="CH28" s="258">
        <v>0</v>
      </c>
      <c r="CI28" s="258">
        <v>2.8479999999999999</v>
      </c>
    </row>
    <row r="29" spans="1:91" x14ac:dyDescent="0.25">
      <c r="A29" s="723"/>
      <c r="B29" s="723"/>
      <c r="D29" s="31">
        <f t="shared" si="36"/>
        <v>37361</v>
      </c>
      <c r="F29" s="28">
        <f t="shared" si="37"/>
        <v>30000</v>
      </c>
      <c r="G29" s="28">
        <f t="shared" si="12"/>
        <v>0</v>
      </c>
      <c r="H29" s="52">
        <f t="shared" si="38"/>
        <v>2.9665904550042228</v>
      </c>
      <c r="I29" s="52">
        <f t="shared" si="39"/>
        <v>2.9729999999999999</v>
      </c>
      <c r="K29" s="52">
        <f t="shared" si="29"/>
        <v>0</v>
      </c>
      <c r="L29" s="135">
        <f t="shared" si="13"/>
        <v>0</v>
      </c>
      <c r="N29" s="131">
        <f t="shared" si="30"/>
        <v>0.61</v>
      </c>
      <c r="O29" s="131">
        <f t="shared" si="31"/>
        <v>0.61</v>
      </c>
      <c r="P29" s="55">
        <f t="shared" si="32"/>
        <v>0</v>
      </c>
      <c r="Q29" s="135">
        <f>_xll.xSPRDOPT(I29,H29,AQ29,0,O29,N29,P29,D29-$G$5,1,0)*AH29*AU29</f>
        <v>0</v>
      </c>
      <c r="R29" s="135"/>
      <c r="S29" s="181">
        <f>_xll.xSPRDOPT(I29,H29,AQ29,AT29,O29,N29,P29,D29-$G$5,1,2)*AF29*(F29/(1-AR29))*AH29</f>
        <v>0</v>
      </c>
      <c r="T29" s="181">
        <f>_xll.xSPRDOPT(I29,H29,AQ29,AT29,O29,N29,P29,D29-$G$5,1,1)*AF29*F29*AH29</f>
        <v>0</v>
      </c>
      <c r="U29" s="135"/>
      <c r="V29" s="146">
        <f t="shared" si="40"/>
        <v>0</v>
      </c>
      <c r="W29" s="146"/>
      <c r="X29" s="338">
        <f t="shared" si="41"/>
        <v>0</v>
      </c>
      <c r="Y29" s="338">
        <f t="shared" si="14"/>
        <v>0</v>
      </c>
      <c r="Z29" s="338">
        <f t="shared" si="15"/>
        <v>0</v>
      </c>
      <c r="AA29" s="338">
        <f t="shared" si="16"/>
        <v>0</v>
      </c>
      <c r="AB29" s="338">
        <f t="shared" si="42"/>
        <v>0</v>
      </c>
      <c r="AC29" s="338">
        <f t="shared" si="43"/>
        <v>0</v>
      </c>
      <c r="AF29" s="138">
        <f t="shared" si="44"/>
        <v>0</v>
      </c>
      <c r="AG29" s="138">
        <f t="shared" si="45"/>
        <v>4</v>
      </c>
      <c r="AH29" s="138">
        <f t="shared" si="17"/>
        <v>0</v>
      </c>
      <c r="AI29" s="138">
        <f t="shared" si="46"/>
        <v>105</v>
      </c>
      <c r="AJ29" s="138">
        <f t="shared" si="47"/>
        <v>122</v>
      </c>
      <c r="AL29" s="136">
        <f t="shared" si="18"/>
        <v>2.8479999999999999</v>
      </c>
      <c r="AM29" s="258">
        <f t="shared" si="19"/>
        <v>-2.5000000000000001E-2</v>
      </c>
      <c r="AN29" s="258">
        <f t="shared" si="20"/>
        <v>5.7500000000000002E-2</v>
      </c>
      <c r="AO29" s="258">
        <f t="shared" si="21"/>
        <v>0.15</v>
      </c>
      <c r="AP29" s="258">
        <f t="shared" si="22"/>
        <v>-2.4999999999999998E-2</v>
      </c>
      <c r="AQ29" s="136">
        <f t="shared" si="48"/>
        <v>1.9200000000000002E-2</v>
      </c>
      <c r="AR29" s="137">
        <f t="shared" si="23"/>
        <v>2.9020000000000001E-2</v>
      </c>
      <c r="AS29" s="136">
        <f t="shared" si="33"/>
        <v>2.8805000000000001</v>
      </c>
      <c r="AT29" s="137">
        <f t="shared" si="34"/>
        <v>1.9422640119623601E-2</v>
      </c>
      <c r="AU29" s="137">
        <f t="shared" si="24"/>
        <v>0</v>
      </c>
      <c r="AV29" s="394">
        <f t="shared" si="35"/>
        <v>0</v>
      </c>
      <c r="AW29" s="137">
        <f t="shared" si="25"/>
        <v>0.61</v>
      </c>
      <c r="AX29" s="137">
        <f t="shared" si="26"/>
        <v>0.53</v>
      </c>
      <c r="AY29" s="137">
        <f t="shared" si="27"/>
        <v>0.57999999999999996</v>
      </c>
      <c r="AZ29" s="137"/>
      <c r="BA29" s="264"/>
      <c r="BB29" s="258">
        <f t="shared" si="28"/>
        <v>0</v>
      </c>
      <c r="BC29" s="258">
        <f t="shared" si="49"/>
        <v>0</v>
      </c>
      <c r="BD29" s="137">
        <f t="shared" si="50"/>
        <v>0</v>
      </c>
      <c r="BE29" s="137">
        <f t="shared" si="51"/>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-0.84053349409663747</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0.57826907620733425</v>
      </c>
      <c r="BP29" s="137"/>
      <c r="BQ29" s="137"/>
      <c r="BR29" s="137"/>
      <c r="BS29" s="137"/>
      <c r="BV29" s="262">
        <v>2.9665904550042228</v>
      </c>
      <c r="BW29" s="136">
        <v>2.9729999999999999</v>
      </c>
      <c r="BX29" s="137">
        <v>0.61</v>
      </c>
      <c r="BY29" s="137">
        <v>0.61</v>
      </c>
      <c r="BZ29" s="137">
        <v>0</v>
      </c>
      <c r="CA29" s="137">
        <v>1.9422640119623601E-2</v>
      </c>
      <c r="CB29" s="137">
        <v>0</v>
      </c>
      <c r="CC29" s="258">
        <v>-2.5000000000000001E-2</v>
      </c>
      <c r="CD29" s="258">
        <v>5.7500000000000002E-2</v>
      </c>
      <c r="CE29" s="258">
        <v>0.15</v>
      </c>
      <c r="CF29" s="258">
        <v>-2.5000000000000001E-2</v>
      </c>
      <c r="CG29" s="258">
        <v>1.9200000000000002E-2</v>
      </c>
      <c r="CH29" s="258">
        <v>0</v>
      </c>
      <c r="CI29" s="258">
        <v>2.8479999999999999</v>
      </c>
    </row>
    <row r="30" spans="1:91" x14ac:dyDescent="0.25">
      <c r="A30" s="723"/>
      <c r="B30" s="723"/>
      <c r="D30" s="31">
        <f t="shared" si="36"/>
        <v>37361</v>
      </c>
      <c r="F30" s="28">
        <f t="shared" si="37"/>
        <v>30000</v>
      </c>
      <c r="G30" s="28">
        <f t="shared" si="12"/>
        <v>0</v>
      </c>
      <c r="H30" s="52">
        <f t="shared" si="38"/>
        <v>2.9665904550042228</v>
      </c>
      <c r="I30" s="52">
        <f t="shared" si="39"/>
        <v>2.9729999999999999</v>
      </c>
      <c r="K30" s="52">
        <f t="shared" si="29"/>
        <v>0</v>
      </c>
      <c r="L30" s="135">
        <f t="shared" si="13"/>
        <v>0</v>
      </c>
      <c r="N30" s="131">
        <f t="shared" si="30"/>
        <v>0.61</v>
      </c>
      <c r="O30" s="131">
        <f t="shared" si="31"/>
        <v>0.61</v>
      </c>
      <c r="P30" s="55">
        <f t="shared" si="32"/>
        <v>0</v>
      </c>
      <c r="Q30" s="135">
        <f>_xll.xSPRDOPT(I30,H30,AQ30,0,O30,N30,P30,D30-$G$5,1,0)*AH30*AU30</f>
        <v>0</v>
      </c>
      <c r="R30" s="135"/>
      <c r="S30" s="181">
        <f>_xll.xSPRDOPT(I30,H30,AQ30,AT30,O30,N30,P30,D30-$G$5,1,2)*AF30*(F30/(1-AR30))*AH30</f>
        <v>0</v>
      </c>
      <c r="T30" s="181">
        <f>_xll.xSPRDOPT(I30,H30,AQ30,AT30,O30,N30,P30,D30-$G$5,1,1)*AF30*F30*AH30</f>
        <v>0</v>
      </c>
      <c r="U30" s="135"/>
      <c r="V30" s="146">
        <f t="shared" si="40"/>
        <v>0</v>
      </c>
      <c r="W30" s="146"/>
      <c r="X30" s="338">
        <f t="shared" si="41"/>
        <v>0</v>
      </c>
      <c r="Y30" s="338">
        <f t="shared" si="14"/>
        <v>0</v>
      </c>
      <c r="Z30" s="338">
        <f t="shared" si="15"/>
        <v>0</v>
      </c>
      <c r="AA30" s="338">
        <f t="shared" si="16"/>
        <v>0</v>
      </c>
      <c r="AB30" s="338">
        <f t="shared" si="42"/>
        <v>0</v>
      </c>
      <c r="AC30" s="338">
        <f t="shared" si="43"/>
        <v>0</v>
      </c>
      <c r="AF30" s="138">
        <f t="shared" si="44"/>
        <v>0</v>
      </c>
      <c r="AG30" s="138">
        <f t="shared" si="45"/>
        <v>4</v>
      </c>
      <c r="AH30" s="138">
        <f t="shared" si="17"/>
        <v>0</v>
      </c>
      <c r="AI30" s="138">
        <f t="shared" si="46"/>
        <v>105</v>
      </c>
      <c r="AJ30" s="138">
        <f t="shared" si="47"/>
        <v>122</v>
      </c>
      <c r="AL30" s="136">
        <f t="shared" si="18"/>
        <v>2.8479999999999999</v>
      </c>
      <c r="AM30" s="258">
        <f t="shared" si="19"/>
        <v>-2.5000000000000001E-2</v>
      </c>
      <c r="AN30" s="258">
        <f t="shared" si="20"/>
        <v>5.7500000000000002E-2</v>
      </c>
      <c r="AO30" s="258">
        <f t="shared" si="21"/>
        <v>0.15</v>
      </c>
      <c r="AP30" s="258">
        <f t="shared" si="22"/>
        <v>-2.4999999999999998E-2</v>
      </c>
      <c r="AQ30" s="136">
        <f t="shared" si="48"/>
        <v>1.9200000000000002E-2</v>
      </c>
      <c r="AR30" s="137">
        <f t="shared" si="23"/>
        <v>2.9020000000000001E-2</v>
      </c>
      <c r="AS30" s="136">
        <f t="shared" si="33"/>
        <v>2.8805000000000001</v>
      </c>
      <c r="AT30" s="137">
        <f t="shared" si="34"/>
        <v>1.9422640119623601E-2</v>
      </c>
      <c r="AU30" s="137">
        <f t="shared" si="24"/>
        <v>0</v>
      </c>
      <c r="AV30" s="394">
        <f t="shared" si="35"/>
        <v>0</v>
      </c>
      <c r="AW30" s="137">
        <f t="shared" si="25"/>
        <v>0.61</v>
      </c>
      <c r="AX30" s="137">
        <f t="shared" si="26"/>
        <v>0.53</v>
      </c>
      <c r="AY30" s="137">
        <f t="shared" si="27"/>
        <v>0.57999999999999996</v>
      </c>
      <c r="AZ30" s="137"/>
      <c r="BA30" s="264"/>
      <c r="BB30" s="258">
        <f t="shared" si="28"/>
        <v>0</v>
      </c>
      <c r="BC30" s="258">
        <f t="shared" si="49"/>
        <v>0</v>
      </c>
      <c r="BD30" s="137">
        <f t="shared" si="50"/>
        <v>0</v>
      </c>
      <c r="BE30" s="137">
        <f t="shared" si="51"/>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-0.84053349409663747</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0.57826907620733425</v>
      </c>
      <c r="BP30" s="137"/>
      <c r="BQ30" s="137"/>
      <c r="BR30" s="137"/>
      <c r="BS30" s="137"/>
      <c r="BV30" s="262">
        <v>2.9665904550042228</v>
      </c>
      <c r="BW30" s="136">
        <v>2.9729999999999999</v>
      </c>
      <c r="BX30" s="137">
        <v>0.61</v>
      </c>
      <c r="BY30" s="137">
        <v>0.61</v>
      </c>
      <c r="BZ30" s="137">
        <v>0</v>
      </c>
      <c r="CA30" s="137">
        <v>1.9422640119623601E-2</v>
      </c>
      <c r="CB30" s="137">
        <v>0</v>
      </c>
      <c r="CC30" s="258">
        <v>-2.5000000000000001E-2</v>
      </c>
      <c r="CD30" s="258">
        <v>5.7500000000000002E-2</v>
      </c>
      <c r="CE30" s="258">
        <v>0.15</v>
      </c>
      <c r="CF30" s="258">
        <v>-2.5000000000000001E-2</v>
      </c>
      <c r="CG30" s="258">
        <v>1.9200000000000002E-2</v>
      </c>
      <c r="CH30" s="258">
        <v>0</v>
      </c>
      <c r="CI30" s="258">
        <v>2.8479999999999999</v>
      </c>
    </row>
    <row r="31" spans="1:91" x14ac:dyDescent="0.25">
      <c r="A31" s="723"/>
      <c r="B31" s="723"/>
      <c r="D31" s="31">
        <f t="shared" si="36"/>
        <v>37361</v>
      </c>
      <c r="F31" s="28">
        <f t="shared" si="37"/>
        <v>30000</v>
      </c>
      <c r="G31" s="28">
        <f t="shared" si="12"/>
        <v>0</v>
      </c>
      <c r="H31" s="52">
        <f t="shared" si="38"/>
        <v>2.9665904550042228</v>
      </c>
      <c r="I31" s="52">
        <f t="shared" si="39"/>
        <v>2.9729999999999999</v>
      </c>
      <c r="K31" s="52">
        <f t="shared" si="29"/>
        <v>0</v>
      </c>
      <c r="L31" s="135">
        <f t="shared" si="13"/>
        <v>0</v>
      </c>
      <c r="N31" s="131">
        <f t="shared" si="30"/>
        <v>0.61</v>
      </c>
      <c r="O31" s="131">
        <f t="shared" si="31"/>
        <v>0.61</v>
      </c>
      <c r="P31" s="55">
        <f t="shared" si="32"/>
        <v>0</v>
      </c>
      <c r="Q31" s="135">
        <f>_xll.xSPRDOPT(I31,H31,AQ31,0,O31,N31,P31,D31-$G$5,1,0)*AH31*AU31</f>
        <v>0</v>
      </c>
      <c r="R31" s="135"/>
      <c r="S31" s="181">
        <f>_xll.xSPRDOPT(I31,H31,AQ31,AT31,O31,N31,P31,D31-$G$5,1,2)*AF31*(F31/(1-AR31))*AH31</f>
        <v>0</v>
      </c>
      <c r="T31" s="181">
        <f>_xll.xSPRDOPT(I31,H31,AQ31,AT31,O31,N31,P31,D31-$G$5,1,1)*AF31*F31*AH31</f>
        <v>0</v>
      </c>
      <c r="U31" s="135"/>
      <c r="V31" s="146">
        <f t="shared" si="40"/>
        <v>0</v>
      </c>
      <c r="W31" s="146"/>
      <c r="X31" s="338">
        <f t="shared" si="41"/>
        <v>0</v>
      </c>
      <c r="Y31" s="338">
        <f t="shared" si="14"/>
        <v>0</v>
      </c>
      <c r="Z31" s="338">
        <f t="shared" si="15"/>
        <v>0</v>
      </c>
      <c r="AA31" s="338">
        <f t="shared" si="16"/>
        <v>0</v>
      </c>
      <c r="AB31" s="338">
        <f t="shared" si="42"/>
        <v>0</v>
      </c>
      <c r="AC31" s="338">
        <f t="shared" si="43"/>
        <v>0</v>
      </c>
      <c r="AF31" s="138">
        <f t="shared" si="44"/>
        <v>0</v>
      </c>
      <c r="AG31" s="138">
        <f t="shared" si="45"/>
        <v>4</v>
      </c>
      <c r="AH31" s="138">
        <f t="shared" si="17"/>
        <v>0</v>
      </c>
      <c r="AI31" s="138">
        <f t="shared" si="46"/>
        <v>105</v>
      </c>
      <c r="AJ31" s="138">
        <f t="shared" si="47"/>
        <v>122</v>
      </c>
      <c r="AL31" s="136">
        <f t="shared" si="18"/>
        <v>2.8479999999999999</v>
      </c>
      <c r="AM31" s="258">
        <f t="shared" si="19"/>
        <v>-2.5000000000000001E-2</v>
      </c>
      <c r="AN31" s="258">
        <f t="shared" si="20"/>
        <v>5.7500000000000002E-2</v>
      </c>
      <c r="AO31" s="258">
        <f t="shared" si="21"/>
        <v>0.15</v>
      </c>
      <c r="AP31" s="258">
        <f t="shared" si="22"/>
        <v>-2.4999999999999998E-2</v>
      </c>
      <c r="AQ31" s="136">
        <f t="shared" si="48"/>
        <v>1.9200000000000002E-2</v>
      </c>
      <c r="AR31" s="137">
        <f t="shared" si="23"/>
        <v>2.9020000000000001E-2</v>
      </c>
      <c r="AS31" s="136">
        <f t="shared" si="33"/>
        <v>2.8805000000000001</v>
      </c>
      <c r="AT31" s="137">
        <f t="shared" si="34"/>
        <v>1.9422640119623601E-2</v>
      </c>
      <c r="AU31" s="137">
        <f t="shared" si="24"/>
        <v>0</v>
      </c>
      <c r="AV31" s="394">
        <f t="shared" si="35"/>
        <v>0</v>
      </c>
      <c r="AW31" s="137">
        <f t="shared" si="25"/>
        <v>0.61</v>
      </c>
      <c r="AX31" s="137">
        <f t="shared" si="26"/>
        <v>0.53</v>
      </c>
      <c r="AY31" s="137">
        <f t="shared" si="27"/>
        <v>0.57999999999999996</v>
      </c>
      <c r="AZ31" s="137"/>
      <c r="BA31" s="264"/>
      <c r="BB31" s="258">
        <f t="shared" si="28"/>
        <v>0</v>
      </c>
      <c r="BC31" s="258">
        <f t="shared" si="49"/>
        <v>0</v>
      </c>
      <c r="BD31" s="137">
        <f t="shared" si="50"/>
        <v>0</v>
      </c>
      <c r="BE31" s="137">
        <f t="shared" si="51"/>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-0.84053349409663747</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0.57826907620733425</v>
      </c>
      <c r="BP31" s="137"/>
      <c r="BQ31" s="137"/>
      <c r="BR31" s="137"/>
      <c r="BS31" s="137"/>
      <c r="BV31" s="262">
        <v>2.9665904550042228</v>
      </c>
      <c r="BW31" s="136">
        <v>2.9729999999999999</v>
      </c>
      <c r="BX31" s="137">
        <v>0.61</v>
      </c>
      <c r="BY31" s="137">
        <v>0.61</v>
      </c>
      <c r="BZ31" s="137">
        <v>0</v>
      </c>
      <c r="CA31" s="137">
        <v>1.9422640119623601E-2</v>
      </c>
      <c r="CB31" s="137">
        <v>0</v>
      </c>
      <c r="CC31" s="258">
        <v>-2.5000000000000001E-2</v>
      </c>
      <c r="CD31" s="258">
        <v>5.7500000000000002E-2</v>
      </c>
      <c r="CE31" s="258">
        <v>0.15</v>
      </c>
      <c r="CF31" s="258">
        <v>-2.5000000000000001E-2</v>
      </c>
      <c r="CG31" s="258">
        <v>1.9200000000000002E-2</v>
      </c>
      <c r="CH31" s="258">
        <v>0</v>
      </c>
      <c r="CI31" s="258">
        <v>2.8479999999999999</v>
      </c>
    </row>
    <row r="32" spans="1:91" x14ac:dyDescent="0.25">
      <c r="A32" s="723"/>
      <c r="B32" s="723"/>
      <c r="K32" s="52"/>
      <c r="L32" s="135"/>
      <c r="N32" s="131"/>
      <c r="O32" s="131"/>
      <c r="P32" s="55"/>
      <c r="Q32" s="135"/>
      <c r="R32" s="135"/>
      <c r="U32" s="135"/>
      <c r="V32" s="146"/>
      <c r="W32" s="146"/>
      <c r="X32" s="146"/>
      <c r="Y32" s="338"/>
      <c r="Z32" s="338"/>
      <c r="AA32" s="338"/>
      <c r="AB32" s="338"/>
      <c r="AC32" s="338"/>
      <c r="AF32" s="138"/>
      <c r="AG32" s="138"/>
      <c r="AH32" s="138"/>
      <c r="AI32" s="138"/>
      <c r="AL32" s="258"/>
      <c r="AM32" s="258"/>
      <c r="AN32" s="258"/>
      <c r="AO32" s="258"/>
      <c r="AQ32" s="137"/>
      <c r="AT32" s="137"/>
      <c r="AV32" s="34"/>
      <c r="AW32" s="137"/>
      <c r="AX32" s="137"/>
      <c r="AY32" s="137"/>
      <c r="AZ32" s="137"/>
      <c r="BA32" s="264"/>
      <c r="BB32" s="258"/>
      <c r="BC32" s="258"/>
      <c r="BD32" s="137"/>
      <c r="BE32" s="137"/>
      <c r="BF32" s="137"/>
      <c r="BG32" s="137"/>
      <c r="BH32" s="137"/>
      <c r="BI32" s="137"/>
      <c r="BJ32" s="137"/>
      <c r="BK32" s="137"/>
      <c r="BL32" s="137"/>
      <c r="BM32" s="137"/>
      <c r="BO32" s="137"/>
      <c r="BP32" s="137"/>
      <c r="BQ32" s="137"/>
      <c r="BR32" s="137"/>
      <c r="BS32" s="137"/>
      <c r="BV32" s="262"/>
      <c r="BW32" s="136"/>
      <c r="BX32" s="137"/>
      <c r="BY32" s="137"/>
      <c r="BZ32" s="137"/>
      <c r="CA32" s="137"/>
      <c r="CB32" s="137"/>
      <c r="CC32" s="258"/>
      <c r="CD32" s="258"/>
      <c r="CE32" s="258"/>
      <c r="CF32" s="258"/>
    </row>
    <row r="33" spans="1:84" x14ac:dyDescent="0.25">
      <c r="A33" s="723"/>
      <c r="B33" s="723"/>
      <c r="K33" s="52"/>
      <c r="L33" s="135"/>
      <c r="N33" s="131"/>
      <c r="O33" s="131"/>
      <c r="P33" s="55"/>
      <c r="Q33" s="135"/>
      <c r="R33" s="135"/>
      <c r="U33" s="135"/>
      <c r="V33" s="146"/>
      <c r="W33" s="146"/>
      <c r="X33" s="146"/>
      <c r="Y33" s="338"/>
      <c r="Z33" s="338"/>
      <c r="AA33" s="338"/>
      <c r="AB33" s="338"/>
      <c r="AC33" s="338"/>
      <c r="AF33" s="138"/>
      <c r="AG33" s="138"/>
      <c r="AH33" s="138"/>
      <c r="AI33" s="138"/>
      <c r="AL33" s="258"/>
      <c r="AM33" s="258"/>
      <c r="AN33" s="258"/>
      <c r="AO33" s="258"/>
      <c r="AQ33" s="137"/>
      <c r="AT33" s="137"/>
      <c r="AV33" s="34"/>
      <c r="AW33" s="137"/>
      <c r="AX33" s="137"/>
      <c r="AY33" s="137"/>
      <c r="AZ33" s="137"/>
      <c r="BA33" s="264"/>
      <c r="BB33" s="258"/>
      <c r="BC33" s="258"/>
      <c r="BD33" s="137"/>
      <c r="BE33" s="137"/>
      <c r="BF33" s="137"/>
      <c r="BG33" s="137"/>
      <c r="BH33" s="137"/>
      <c r="BI33" s="137"/>
      <c r="BJ33" s="137"/>
      <c r="BK33" s="137"/>
      <c r="BL33" s="137"/>
      <c r="BM33" s="137"/>
      <c r="BO33" s="137"/>
      <c r="BP33" s="137"/>
      <c r="BQ33" s="137"/>
      <c r="BR33" s="137"/>
      <c r="BS33" s="137"/>
      <c r="BV33" s="262"/>
      <c r="BW33" s="136"/>
      <c r="BX33" s="137"/>
      <c r="BY33" s="137"/>
      <c r="BZ33" s="137"/>
      <c r="CA33" s="137"/>
      <c r="CB33" s="137"/>
      <c r="CC33" s="258"/>
      <c r="CD33" s="258"/>
      <c r="CE33" s="258"/>
      <c r="CF33" s="258"/>
    </row>
    <row r="34" spans="1:84" x14ac:dyDescent="0.25">
      <c r="A34" s="723"/>
      <c r="B34" s="723"/>
      <c r="K34" s="52"/>
      <c r="L34" s="135"/>
      <c r="N34" s="131"/>
      <c r="O34" s="131"/>
      <c r="P34" s="55"/>
      <c r="Q34" s="135"/>
      <c r="R34" s="135"/>
      <c r="U34" s="135"/>
      <c r="V34" s="146"/>
      <c r="W34" s="146"/>
      <c r="X34" s="146"/>
      <c r="Y34" s="338"/>
      <c r="Z34" s="338"/>
      <c r="AA34" s="338"/>
      <c r="AB34" s="338"/>
      <c r="AC34" s="338"/>
      <c r="AF34" s="138"/>
      <c r="AG34" s="138"/>
      <c r="AH34" s="138"/>
      <c r="AI34" s="138"/>
      <c r="AL34" s="258"/>
      <c r="AM34" s="258"/>
      <c r="AN34" s="258"/>
      <c r="AO34" s="258"/>
      <c r="AQ34" s="137"/>
      <c r="AT34" s="137"/>
      <c r="AV34" s="34"/>
      <c r="AW34" s="137"/>
      <c r="AX34" s="137"/>
      <c r="AY34" s="137"/>
      <c r="AZ34" s="137"/>
      <c r="BA34" s="264"/>
      <c r="BB34" s="258"/>
      <c r="BC34" s="258"/>
      <c r="BD34" s="137"/>
      <c r="BE34" s="137"/>
      <c r="BF34" s="137"/>
      <c r="BG34" s="137"/>
      <c r="BH34" s="137"/>
      <c r="BI34" s="137"/>
      <c r="BJ34" s="137"/>
      <c r="BK34" s="137"/>
      <c r="BL34" s="137"/>
      <c r="BM34" s="137"/>
      <c r="BO34" s="137"/>
      <c r="BP34" s="137"/>
      <c r="BQ34" s="137"/>
      <c r="BR34" s="137"/>
      <c r="BS34" s="137"/>
      <c r="BV34" s="262"/>
      <c r="BW34" s="136"/>
      <c r="BX34" s="137"/>
      <c r="BY34" s="137"/>
      <c r="BZ34" s="137"/>
      <c r="CA34" s="137"/>
      <c r="CB34" s="137"/>
      <c r="CC34" s="258"/>
      <c r="CD34" s="258"/>
      <c r="CE34" s="258"/>
      <c r="CF34" s="258"/>
    </row>
    <row r="35" spans="1:84" x14ac:dyDescent="0.25">
      <c r="A35" s="723"/>
      <c r="B35" s="723"/>
      <c r="K35" s="52"/>
      <c r="L35" s="135"/>
      <c r="N35" s="131"/>
      <c r="O35" s="131"/>
      <c r="P35" s="55"/>
      <c r="Q35" s="135"/>
      <c r="R35" s="135"/>
      <c r="U35" s="135"/>
      <c r="V35" s="146"/>
      <c r="W35" s="146"/>
      <c r="X35" s="146"/>
      <c r="Y35" s="338"/>
      <c r="Z35" s="338"/>
      <c r="AA35" s="338"/>
      <c r="AB35" s="338"/>
      <c r="AC35" s="338"/>
      <c r="AF35" s="138"/>
      <c r="AG35" s="138"/>
      <c r="AH35" s="138"/>
      <c r="AI35" s="138"/>
      <c r="AL35" s="258"/>
      <c r="AM35" s="258"/>
      <c r="AN35" s="258"/>
      <c r="AO35" s="258"/>
      <c r="AQ35" s="137"/>
      <c r="AT35" s="137"/>
      <c r="AV35" s="34"/>
      <c r="AW35" s="137"/>
      <c r="AX35" s="137"/>
      <c r="AY35" s="137"/>
      <c r="AZ35" s="137"/>
      <c r="BA35" s="264"/>
      <c r="BB35" s="258"/>
      <c r="BC35" s="258"/>
      <c r="BD35" s="137"/>
      <c r="BE35" s="137"/>
      <c r="BF35" s="137"/>
      <c r="BG35" s="137"/>
      <c r="BH35" s="137"/>
      <c r="BI35" s="137"/>
      <c r="BJ35" s="137"/>
      <c r="BK35" s="137"/>
      <c r="BL35" s="137"/>
      <c r="BM35" s="137"/>
      <c r="BO35" s="137"/>
      <c r="BP35" s="137"/>
      <c r="BQ35" s="137"/>
      <c r="BR35" s="137"/>
      <c r="BS35" s="137"/>
      <c r="BV35" s="262"/>
      <c r="BW35" s="136"/>
      <c r="BX35" s="137"/>
      <c r="BY35" s="137"/>
      <c r="BZ35" s="137"/>
      <c r="CA35" s="137"/>
      <c r="CB35" s="137"/>
      <c r="CC35" s="258"/>
      <c r="CD35" s="258"/>
      <c r="CE35" s="258"/>
      <c r="CF35" s="258"/>
    </row>
    <row r="36" spans="1:84" x14ac:dyDescent="0.25">
      <c r="A36" s="723"/>
      <c r="B36" s="723"/>
      <c r="K36" s="52"/>
      <c r="L36" s="135"/>
      <c r="N36" s="131"/>
      <c r="O36" s="131"/>
      <c r="P36" s="55"/>
      <c r="Q36" s="135"/>
      <c r="R36" s="135"/>
      <c r="U36" s="135"/>
      <c r="V36" s="146"/>
      <c r="W36" s="146"/>
      <c r="X36" s="146"/>
      <c r="Y36" s="338"/>
      <c r="Z36" s="338"/>
      <c r="AA36" s="338"/>
      <c r="AB36" s="338"/>
      <c r="AC36" s="338"/>
      <c r="AF36" s="138"/>
      <c r="AG36" s="138"/>
      <c r="AH36" s="138"/>
      <c r="AI36" s="138"/>
      <c r="AL36" s="258"/>
      <c r="AM36" s="258"/>
      <c r="AN36" s="258"/>
      <c r="AO36" s="258"/>
      <c r="AQ36" s="137"/>
      <c r="AT36" s="137"/>
      <c r="AV36" s="34"/>
      <c r="AW36" s="137"/>
      <c r="AX36" s="137"/>
      <c r="AY36" s="137"/>
      <c r="AZ36" s="137"/>
      <c r="BA36" s="264"/>
      <c r="BB36" s="258"/>
      <c r="BC36" s="258"/>
      <c r="BD36" s="137"/>
      <c r="BE36" s="137"/>
      <c r="BF36" s="137"/>
      <c r="BG36" s="137"/>
      <c r="BH36" s="137"/>
      <c r="BI36" s="137"/>
      <c r="BJ36" s="137"/>
      <c r="BK36" s="137"/>
      <c r="BL36" s="137"/>
      <c r="BM36" s="137"/>
      <c r="BO36" s="137"/>
      <c r="BP36" s="137"/>
      <c r="BQ36" s="137"/>
      <c r="BR36" s="137"/>
      <c r="BS36" s="137"/>
      <c r="BV36" s="262"/>
      <c r="BW36" s="136"/>
      <c r="BX36" s="137"/>
      <c r="BY36" s="137"/>
      <c r="BZ36" s="137"/>
      <c r="CA36" s="137"/>
      <c r="CB36" s="137"/>
      <c r="CC36" s="258"/>
      <c r="CD36" s="258"/>
      <c r="CE36" s="258"/>
      <c r="CF36" s="258"/>
    </row>
    <row r="37" spans="1:84" x14ac:dyDescent="0.25">
      <c r="A37" s="727"/>
      <c r="B37" s="723"/>
      <c r="K37" s="52"/>
      <c r="L37" s="135"/>
      <c r="N37" s="131"/>
      <c r="O37" s="131"/>
      <c r="P37" s="55"/>
      <c r="Q37" s="135"/>
      <c r="R37" s="135"/>
      <c r="U37" s="135"/>
      <c r="V37" s="146"/>
      <c r="W37" s="146"/>
      <c r="X37" s="146"/>
      <c r="Y37" s="338"/>
      <c r="Z37" s="338"/>
      <c r="AA37" s="338"/>
      <c r="AB37" s="338"/>
      <c r="AC37" s="338"/>
      <c r="AF37" s="138"/>
      <c r="AG37" s="138"/>
      <c r="AH37" s="138"/>
      <c r="AI37" s="138"/>
      <c r="AL37" s="258"/>
      <c r="AM37" s="258"/>
      <c r="AN37" s="258"/>
      <c r="AO37" s="258"/>
      <c r="AQ37" s="137"/>
      <c r="AT37" s="137"/>
      <c r="AV37" s="34"/>
      <c r="AW37" s="137"/>
      <c r="AX37" s="137"/>
      <c r="AY37" s="137"/>
      <c r="AZ37" s="137"/>
      <c r="BA37" s="264"/>
      <c r="BB37" s="258"/>
      <c r="BC37" s="258"/>
      <c r="BD37" s="137"/>
      <c r="BE37" s="137"/>
      <c r="BF37" s="137"/>
      <c r="BG37" s="137"/>
      <c r="BH37" s="137"/>
      <c r="BI37" s="137"/>
      <c r="BJ37" s="137"/>
      <c r="BK37" s="137"/>
      <c r="BL37" s="137"/>
      <c r="BM37" s="137"/>
      <c r="BO37" s="137"/>
      <c r="BP37" s="137"/>
      <c r="BQ37" s="137"/>
      <c r="BR37" s="137"/>
      <c r="BS37" s="137"/>
      <c r="BV37" s="262"/>
      <c r="BW37" s="136"/>
      <c r="BX37" s="137"/>
      <c r="BY37" s="137"/>
      <c r="BZ37" s="137"/>
      <c r="CA37" s="137"/>
      <c r="CB37" s="137"/>
      <c r="CC37" s="258"/>
      <c r="CD37" s="258"/>
      <c r="CE37" s="258"/>
      <c r="CF37" s="258"/>
    </row>
    <row r="38" spans="1:84" x14ac:dyDescent="0.25">
      <c r="A38" s="723"/>
      <c r="B38" s="723"/>
      <c r="K38" s="52"/>
      <c r="L38" s="135"/>
      <c r="N38" s="131"/>
      <c r="O38" s="131"/>
      <c r="P38" s="55"/>
      <c r="Q38" s="135"/>
      <c r="R38" s="135"/>
      <c r="U38" s="135"/>
      <c r="V38" s="146"/>
      <c r="W38" s="146"/>
      <c r="X38" s="146"/>
      <c r="Y38" s="338"/>
      <c r="Z38" s="338"/>
      <c r="AA38" s="338"/>
      <c r="AB38" s="338"/>
      <c r="AC38" s="338"/>
      <c r="AF38" s="138"/>
      <c r="AG38" s="138"/>
      <c r="AH38" s="138"/>
      <c r="AI38" s="138"/>
      <c r="AL38" s="258"/>
      <c r="AM38" s="258"/>
      <c r="AN38" s="258"/>
      <c r="AO38" s="258"/>
      <c r="AQ38" s="137"/>
      <c r="AT38" s="137"/>
      <c r="AV38" s="34"/>
      <c r="AW38" s="137"/>
      <c r="AX38" s="137"/>
      <c r="AY38" s="137"/>
      <c r="AZ38" s="137"/>
      <c r="BA38" s="264"/>
      <c r="BB38" s="258"/>
      <c r="BC38" s="258"/>
      <c r="BD38" s="137"/>
      <c r="BE38" s="137"/>
      <c r="BF38" s="137"/>
      <c r="BG38" s="137"/>
      <c r="BH38" s="137"/>
      <c r="BI38" s="137"/>
      <c r="BJ38" s="137"/>
      <c r="BK38" s="137"/>
      <c r="BL38" s="137"/>
      <c r="BM38" s="137"/>
      <c r="BO38" s="137"/>
      <c r="BP38" s="137"/>
      <c r="BQ38" s="137"/>
      <c r="BR38" s="137"/>
      <c r="BS38" s="137"/>
      <c r="BV38" s="262"/>
      <c r="BW38" s="136"/>
      <c r="BX38" s="137"/>
      <c r="BY38" s="137"/>
      <c r="BZ38" s="137"/>
      <c r="CA38" s="137"/>
      <c r="CB38" s="137"/>
      <c r="CC38" s="258"/>
      <c r="CD38" s="258"/>
      <c r="CE38" s="258"/>
      <c r="CF38" s="258"/>
    </row>
    <row r="39" spans="1:84" x14ac:dyDescent="0.25">
      <c r="A39" s="723"/>
      <c r="B39" s="723"/>
      <c r="K39" s="52"/>
      <c r="L39" s="135"/>
      <c r="N39" s="131"/>
      <c r="O39" s="131"/>
      <c r="P39" s="55"/>
      <c r="Q39" s="135"/>
      <c r="R39" s="135"/>
      <c r="U39" s="135"/>
      <c r="V39" s="146"/>
      <c r="W39" s="146"/>
      <c r="X39" s="146"/>
      <c r="Y39" s="338"/>
      <c r="Z39" s="338"/>
      <c r="AA39" s="338"/>
      <c r="AB39" s="338"/>
      <c r="AC39" s="338"/>
      <c r="AF39" s="138"/>
      <c r="AG39" s="138"/>
      <c r="AH39" s="138"/>
      <c r="AI39" s="138"/>
      <c r="AL39" s="258"/>
      <c r="AM39" s="258"/>
      <c r="AN39" s="258"/>
      <c r="AO39" s="258"/>
      <c r="AQ39" s="137"/>
      <c r="AT39" s="137"/>
      <c r="AV39" s="34"/>
      <c r="AW39" s="137"/>
      <c r="AX39" s="137"/>
      <c r="AY39" s="137"/>
      <c r="AZ39" s="137"/>
      <c r="BA39" s="264"/>
      <c r="BB39" s="258"/>
      <c r="BC39" s="258"/>
      <c r="BD39" s="137"/>
      <c r="BE39" s="137"/>
      <c r="BF39" s="137"/>
      <c r="BG39" s="137"/>
      <c r="BH39" s="137"/>
      <c r="BI39" s="137"/>
      <c r="BJ39" s="137"/>
      <c r="BK39" s="137"/>
      <c r="BL39" s="137"/>
      <c r="BM39" s="137"/>
      <c r="BO39" s="137"/>
      <c r="BP39" s="137"/>
      <c r="BQ39" s="137"/>
      <c r="BR39" s="137"/>
      <c r="BS39" s="137"/>
      <c r="BV39" s="262"/>
      <c r="BW39" s="136"/>
      <c r="BX39" s="137"/>
      <c r="BY39" s="137"/>
      <c r="BZ39" s="137"/>
      <c r="CA39" s="137"/>
      <c r="CB39" s="137"/>
      <c r="CC39" s="258"/>
      <c r="CD39" s="258"/>
      <c r="CE39" s="258"/>
      <c r="CF39" s="258"/>
    </row>
    <row r="40" spans="1:84" x14ac:dyDescent="0.25">
      <c r="A40" s="723"/>
      <c r="B40" s="723"/>
      <c r="K40" s="52"/>
      <c r="L40" s="135"/>
      <c r="N40" s="131"/>
      <c r="O40" s="131"/>
      <c r="P40" s="55"/>
      <c r="Q40" s="135"/>
      <c r="R40" s="135"/>
      <c r="U40" s="135"/>
      <c r="V40" s="146"/>
      <c r="W40" s="146"/>
      <c r="X40" s="146"/>
      <c r="Y40" s="338"/>
      <c r="Z40" s="338"/>
      <c r="AA40" s="338"/>
      <c r="AB40" s="338"/>
      <c r="AC40" s="338"/>
      <c r="AF40" s="138"/>
      <c r="AG40" s="138"/>
      <c r="AH40" s="138"/>
      <c r="AI40" s="138"/>
      <c r="AL40" s="258"/>
      <c r="AM40" s="258"/>
      <c r="AN40" s="258"/>
      <c r="AO40" s="258"/>
      <c r="AQ40" s="137"/>
      <c r="AT40" s="137"/>
      <c r="AV40" s="34"/>
      <c r="AW40" s="137"/>
      <c r="AX40" s="137"/>
      <c r="AY40" s="137"/>
      <c r="AZ40" s="137"/>
      <c r="BA40" s="264"/>
      <c r="BB40" s="258"/>
      <c r="BC40" s="258"/>
      <c r="BD40" s="137"/>
      <c r="BE40" s="137"/>
      <c r="BF40" s="137"/>
      <c r="BG40" s="137"/>
      <c r="BH40" s="137"/>
      <c r="BI40" s="137"/>
      <c r="BJ40" s="137"/>
      <c r="BK40" s="137"/>
      <c r="BL40" s="137"/>
      <c r="BM40" s="137"/>
      <c r="BO40" s="137"/>
      <c r="BP40" s="137"/>
      <c r="BQ40" s="137"/>
      <c r="BR40" s="137"/>
      <c r="BS40" s="137"/>
      <c r="BV40" s="262"/>
      <c r="BW40" s="136"/>
      <c r="BX40" s="137"/>
      <c r="BY40" s="137"/>
      <c r="BZ40" s="137"/>
      <c r="CA40" s="137"/>
      <c r="CB40" s="137"/>
      <c r="CC40" s="258"/>
      <c r="CD40" s="258"/>
      <c r="CE40" s="258"/>
      <c r="CF40" s="258"/>
    </row>
    <row r="41" spans="1:84" x14ac:dyDescent="0.25">
      <c r="A41" s="723"/>
      <c r="B41" s="723"/>
      <c r="K41" s="52"/>
      <c r="L41" s="135"/>
      <c r="N41" s="131"/>
      <c r="O41" s="131"/>
      <c r="P41" s="55"/>
      <c r="Q41" s="135"/>
      <c r="R41" s="135"/>
      <c r="U41" s="135"/>
      <c r="V41" s="146"/>
      <c r="W41" s="146"/>
      <c r="X41" s="146"/>
      <c r="Y41" s="338"/>
      <c r="Z41" s="338"/>
      <c r="AA41" s="338"/>
      <c r="AB41" s="338"/>
      <c r="AC41" s="338"/>
      <c r="AF41" s="138"/>
      <c r="AG41" s="138"/>
      <c r="AH41" s="138"/>
      <c r="AI41" s="138"/>
      <c r="AL41" s="258"/>
      <c r="AM41" s="258"/>
      <c r="AN41" s="258"/>
      <c r="AO41" s="258"/>
      <c r="AQ41" s="137"/>
      <c r="AT41" s="137"/>
      <c r="AV41" s="34"/>
      <c r="AW41" s="137"/>
      <c r="AX41" s="137"/>
      <c r="AY41" s="137"/>
      <c r="AZ41" s="137"/>
      <c r="BA41" s="264"/>
      <c r="BB41" s="258"/>
      <c r="BC41" s="258"/>
      <c r="BD41" s="137"/>
      <c r="BE41" s="137"/>
      <c r="BF41" s="137"/>
      <c r="BG41" s="137"/>
      <c r="BH41" s="137"/>
      <c r="BI41" s="137"/>
      <c r="BJ41" s="137"/>
      <c r="BK41" s="137"/>
      <c r="BL41" s="137"/>
      <c r="BM41" s="137"/>
      <c r="BO41" s="137"/>
      <c r="BP41" s="137"/>
      <c r="BQ41" s="137"/>
      <c r="BR41" s="137"/>
      <c r="BS41" s="137"/>
      <c r="BV41" s="262"/>
      <c r="BW41" s="136"/>
      <c r="BX41" s="137"/>
      <c r="BY41" s="137"/>
      <c r="BZ41" s="137"/>
      <c r="CA41" s="137"/>
      <c r="CB41" s="137"/>
      <c r="CC41" s="258"/>
      <c r="CD41" s="258"/>
      <c r="CE41" s="258"/>
      <c r="CF41" s="258"/>
    </row>
    <row r="42" spans="1:84" x14ac:dyDescent="0.25">
      <c r="A42" s="723"/>
      <c r="B42" s="723"/>
      <c r="K42" s="52"/>
      <c r="L42" s="135"/>
      <c r="N42" s="131"/>
      <c r="O42" s="131"/>
      <c r="P42" s="55"/>
      <c r="Q42" s="135"/>
      <c r="R42" s="135"/>
      <c r="U42" s="135"/>
      <c r="V42" s="146"/>
      <c r="W42" s="146"/>
      <c r="X42" s="146"/>
      <c r="Y42" s="338"/>
      <c r="Z42" s="338"/>
      <c r="AA42" s="338"/>
      <c r="AB42" s="338"/>
      <c r="AC42" s="338"/>
      <c r="AF42" s="138"/>
      <c r="AG42" s="138"/>
      <c r="AH42" s="138"/>
      <c r="AI42" s="138"/>
      <c r="AL42" s="258"/>
      <c r="AM42" s="258"/>
      <c r="AN42" s="258"/>
      <c r="AO42" s="258"/>
      <c r="AQ42" s="137"/>
      <c r="AT42" s="137"/>
      <c r="AV42" s="34"/>
      <c r="AW42" s="137"/>
      <c r="AX42" s="137"/>
      <c r="AY42" s="137"/>
      <c r="AZ42" s="137"/>
      <c r="BA42" s="264"/>
      <c r="BB42" s="258"/>
      <c r="BC42" s="258"/>
      <c r="BD42" s="137"/>
      <c r="BE42" s="137"/>
      <c r="BF42" s="137"/>
      <c r="BG42" s="137"/>
      <c r="BH42" s="137"/>
      <c r="BI42" s="137"/>
      <c r="BJ42" s="137"/>
      <c r="BK42" s="137"/>
      <c r="BL42" s="137"/>
      <c r="BM42" s="137"/>
      <c r="BO42" s="137"/>
      <c r="BP42" s="137"/>
      <c r="BQ42" s="137"/>
      <c r="BR42" s="137"/>
      <c r="BS42" s="137"/>
      <c r="BV42" s="262"/>
      <c r="BW42" s="136"/>
      <c r="BX42" s="137"/>
      <c r="BY42" s="137"/>
      <c r="BZ42" s="137"/>
      <c r="CA42" s="137"/>
      <c r="CB42" s="137"/>
      <c r="CC42" s="258"/>
      <c r="CD42" s="258"/>
      <c r="CE42" s="258"/>
      <c r="CF42" s="258"/>
    </row>
    <row r="43" spans="1:84" x14ac:dyDescent="0.25">
      <c r="A43" s="723"/>
      <c r="B43" s="723"/>
      <c r="K43" s="52"/>
      <c r="L43" s="135"/>
      <c r="N43" s="131"/>
      <c r="O43" s="131"/>
      <c r="P43" s="55"/>
      <c r="Q43" s="135"/>
      <c r="R43" s="135"/>
      <c r="U43" s="135"/>
      <c r="V43" s="146"/>
      <c r="W43" s="146"/>
      <c r="X43" s="146"/>
      <c r="Y43" s="338"/>
      <c r="Z43" s="338"/>
      <c r="AA43" s="338"/>
      <c r="AB43" s="338"/>
      <c r="AC43" s="338"/>
      <c r="AF43" s="138"/>
      <c r="AG43" s="138"/>
      <c r="AH43" s="138"/>
      <c r="AI43" s="138"/>
      <c r="AL43" s="258"/>
      <c r="AM43" s="258"/>
      <c r="AN43" s="258"/>
      <c r="AO43" s="258"/>
      <c r="AQ43" s="137"/>
      <c r="AT43" s="137"/>
      <c r="AV43" s="34"/>
      <c r="AW43" s="137"/>
      <c r="AX43" s="137"/>
      <c r="AY43" s="137"/>
      <c r="AZ43" s="137"/>
      <c r="BA43" s="264"/>
      <c r="BB43" s="258"/>
      <c r="BC43" s="258"/>
      <c r="BD43" s="137"/>
      <c r="BE43" s="137"/>
      <c r="BF43" s="137"/>
      <c r="BG43" s="137"/>
      <c r="BH43" s="137"/>
      <c r="BI43" s="137"/>
      <c r="BJ43" s="137"/>
      <c r="BK43" s="137"/>
      <c r="BL43" s="137"/>
      <c r="BM43" s="137"/>
      <c r="BO43" s="137"/>
      <c r="BP43" s="137"/>
      <c r="BQ43" s="137"/>
      <c r="BR43" s="137"/>
      <c r="BS43" s="137"/>
      <c r="BV43" s="262"/>
      <c r="BW43" s="136"/>
      <c r="BX43" s="137"/>
      <c r="BY43" s="137"/>
      <c r="BZ43" s="137"/>
      <c r="CA43" s="137"/>
      <c r="CB43" s="137"/>
      <c r="CC43" s="258"/>
      <c r="CD43" s="258"/>
      <c r="CE43" s="258"/>
      <c r="CF43" s="258"/>
    </row>
    <row r="44" spans="1:84" x14ac:dyDescent="0.25">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84" x14ac:dyDescent="0.25">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84" x14ac:dyDescent="0.25">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84" x14ac:dyDescent="0.25">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84" x14ac:dyDescent="0.25">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5">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5">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5">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5">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5">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5">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5">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5">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5">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5">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5">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5">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5">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5">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5">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5">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5">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5">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5">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5">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5">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5">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5">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5">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5">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5">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5">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5">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5">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5">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5">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5">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5">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5">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5">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5">
      <c r="A84" s="723"/>
      <c r="B84" s="723"/>
      <c r="L84" s="135"/>
      <c r="P84" s="55"/>
      <c r="Q84" s="135"/>
      <c r="R84" s="55"/>
      <c r="U84" s="55"/>
      <c r="V84" s="55"/>
      <c r="W84" s="55"/>
      <c r="X84" s="55"/>
      <c r="AO84" s="136"/>
      <c r="AQ84" s="137"/>
      <c r="AU84" s="145"/>
      <c r="AV84" s="34"/>
      <c r="AW84" s="137"/>
    </row>
    <row r="85" spans="1:84" x14ac:dyDescent="0.25">
      <c r="A85" s="723"/>
      <c r="B85" s="723"/>
      <c r="L85" s="135"/>
      <c r="P85" s="55"/>
      <c r="Q85" s="135"/>
      <c r="R85" s="55"/>
      <c r="U85" s="55"/>
      <c r="V85" s="55"/>
      <c r="W85" s="55"/>
      <c r="X85" s="55"/>
      <c r="AO85" s="136"/>
      <c r="AQ85" s="137"/>
      <c r="AU85" s="145"/>
      <c r="AV85" s="34"/>
      <c r="AW85" s="137"/>
    </row>
    <row r="86" spans="1:84" x14ac:dyDescent="0.25">
      <c r="A86" s="723"/>
      <c r="B86" s="723"/>
      <c r="L86" s="135"/>
      <c r="P86" s="55"/>
      <c r="Q86" s="135"/>
      <c r="R86" s="55"/>
      <c r="U86" s="55"/>
      <c r="V86" s="55"/>
      <c r="W86" s="55"/>
      <c r="X86" s="55"/>
      <c r="AO86" s="136"/>
      <c r="AQ86" s="137"/>
      <c r="AU86" s="145"/>
      <c r="AV86" s="34"/>
      <c r="AW86" s="137"/>
    </row>
    <row r="87" spans="1:84" x14ac:dyDescent="0.25">
      <c r="A87" s="723"/>
      <c r="B87" s="723"/>
      <c r="L87" s="135"/>
      <c r="P87" s="55"/>
      <c r="Q87" s="135"/>
      <c r="R87" s="55"/>
      <c r="U87" s="55"/>
      <c r="V87" s="55"/>
      <c r="W87" s="55"/>
      <c r="X87" s="55"/>
      <c r="AO87" s="136"/>
      <c r="AQ87" s="137"/>
      <c r="AU87" s="145"/>
      <c r="AV87" s="34"/>
      <c r="AW87" s="137"/>
    </row>
    <row r="88" spans="1:84" x14ac:dyDescent="0.25">
      <c r="A88" s="723"/>
      <c r="B88" s="723"/>
      <c r="L88" s="135"/>
      <c r="P88" s="55"/>
      <c r="Q88" s="135"/>
      <c r="R88" s="55"/>
      <c r="U88" s="55"/>
      <c r="V88" s="55"/>
      <c r="W88" s="55"/>
      <c r="X88" s="55"/>
      <c r="AO88" s="136"/>
      <c r="AQ88" s="137"/>
      <c r="AU88" s="145"/>
      <c r="AV88" s="34"/>
      <c r="AW88" s="137"/>
    </row>
    <row r="89" spans="1:84" x14ac:dyDescent="0.25">
      <c r="A89" s="723"/>
      <c r="B89" s="723"/>
      <c r="L89" s="135"/>
      <c r="P89" s="55"/>
      <c r="Q89" s="135"/>
      <c r="R89" s="55"/>
      <c r="U89" s="55"/>
      <c r="V89" s="55"/>
      <c r="W89" s="55"/>
      <c r="X89" s="55"/>
      <c r="AO89" s="136"/>
      <c r="AQ89" s="137"/>
      <c r="AU89" s="145"/>
      <c r="AV89" s="34"/>
      <c r="AW89" s="137"/>
    </row>
    <row r="90" spans="1:84" x14ac:dyDescent="0.25">
      <c r="A90" s="723"/>
      <c r="B90" s="723"/>
      <c r="L90" s="135"/>
      <c r="P90" s="55"/>
      <c r="Q90" s="135"/>
      <c r="R90" s="55"/>
      <c r="U90" s="55"/>
      <c r="V90" s="55"/>
      <c r="W90" s="55"/>
      <c r="X90" s="55"/>
      <c r="AO90" s="136"/>
      <c r="AQ90" s="137"/>
      <c r="AU90" s="145"/>
      <c r="AV90" s="34"/>
      <c r="AW90" s="137"/>
    </row>
    <row r="91" spans="1:84" x14ac:dyDescent="0.25">
      <c r="A91" s="723"/>
      <c r="B91" s="723"/>
      <c r="L91" s="135"/>
      <c r="P91" s="55"/>
      <c r="Q91" s="135"/>
      <c r="R91" s="55"/>
      <c r="U91" s="55"/>
      <c r="V91" s="55"/>
      <c r="W91" s="55"/>
      <c r="X91" s="55"/>
      <c r="AO91" s="136"/>
      <c r="AQ91" s="137"/>
      <c r="AU91" s="145"/>
      <c r="AV91" s="34"/>
      <c r="AW91" s="137"/>
    </row>
    <row r="92" spans="1:84" x14ac:dyDescent="0.25">
      <c r="A92" s="723"/>
      <c r="B92" s="723"/>
      <c r="L92" s="135"/>
      <c r="P92" s="55"/>
      <c r="Q92" s="135"/>
      <c r="R92" s="55"/>
      <c r="U92" s="55"/>
      <c r="V92" s="55"/>
      <c r="W92" s="55"/>
      <c r="X92" s="55"/>
      <c r="AO92" s="136"/>
      <c r="AQ92" s="137"/>
      <c r="AU92" s="145"/>
      <c r="AV92" s="34"/>
      <c r="AW92" s="137"/>
    </row>
    <row r="93" spans="1:84" x14ac:dyDescent="0.25">
      <c r="A93" s="723"/>
      <c r="B93" s="723"/>
      <c r="L93" s="135"/>
      <c r="P93" s="55"/>
      <c r="Q93" s="135"/>
      <c r="R93" s="55"/>
      <c r="U93" s="55"/>
      <c r="V93" s="55"/>
      <c r="W93" s="55"/>
      <c r="X93" s="55"/>
      <c r="AO93" s="136"/>
      <c r="AQ93" s="137"/>
      <c r="AU93" s="145"/>
      <c r="AV93" s="34"/>
      <c r="AW93" s="137"/>
    </row>
    <row r="94" spans="1:84" x14ac:dyDescent="0.25">
      <c r="A94" s="723"/>
      <c r="B94" s="723"/>
      <c r="L94" s="135"/>
      <c r="P94" s="55"/>
      <c r="Q94" s="135"/>
      <c r="R94" s="55"/>
      <c r="U94" s="55"/>
      <c r="V94" s="55"/>
      <c r="W94" s="55"/>
      <c r="X94" s="55"/>
      <c r="AO94" s="136"/>
      <c r="AQ94" s="137"/>
      <c r="AU94" s="145"/>
      <c r="AV94" s="34"/>
      <c r="AW94" s="137"/>
    </row>
    <row r="95" spans="1:84" x14ac:dyDescent="0.25">
      <c r="A95" s="723"/>
      <c r="B95" s="723"/>
      <c r="L95" s="135"/>
      <c r="P95" s="55"/>
      <c r="Q95" s="135"/>
      <c r="R95" s="55"/>
      <c r="U95" s="55"/>
      <c r="V95" s="55"/>
      <c r="W95" s="55"/>
      <c r="X95" s="55"/>
      <c r="AO95" s="136"/>
      <c r="AQ95" s="137"/>
      <c r="AU95" s="145"/>
      <c r="AV95" s="34"/>
      <c r="AW95" s="137"/>
    </row>
    <row r="96" spans="1:84" x14ac:dyDescent="0.25">
      <c r="A96" s="723"/>
      <c r="B96" s="723"/>
      <c r="L96" s="135"/>
      <c r="P96" s="55"/>
      <c r="Q96" s="135"/>
      <c r="R96" s="55"/>
      <c r="U96" s="55"/>
      <c r="V96" s="55"/>
      <c r="W96" s="55"/>
      <c r="X96" s="55"/>
      <c r="AO96" s="136"/>
      <c r="AQ96" s="137"/>
      <c r="AU96" s="145"/>
      <c r="AV96" s="34"/>
      <c r="AW96" s="137"/>
    </row>
    <row r="97" spans="1:49" x14ac:dyDescent="0.25">
      <c r="A97" s="723"/>
      <c r="B97" s="723"/>
      <c r="L97" s="135"/>
      <c r="P97" s="55"/>
      <c r="Q97" s="135"/>
      <c r="R97" s="55"/>
      <c r="U97" s="55"/>
      <c r="V97" s="55"/>
      <c r="W97" s="55"/>
      <c r="X97" s="55"/>
      <c r="AO97" s="136"/>
      <c r="AQ97" s="137"/>
      <c r="AU97" s="145"/>
      <c r="AV97" s="34"/>
      <c r="AW97" s="137"/>
    </row>
    <row r="98" spans="1:49" x14ac:dyDescent="0.25">
      <c r="A98" s="723"/>
      <c r="B98" s="723"/>
      <c r="L98" s="135"/>
      <c r="P98" s="55"/>
      <c r="Q98" s="135"/>
      <c r="R98" s="55"/>
      <c r="U98" s="55"/>
      <c r="V98" s="55"/>
      <c r="W98" s="55"/>
      <c r="X98" s="55"/>
      <c r="AO98" s="136"/>
      <c r="AQ98" s="137"/>
      <c r="AU98" s="145"/>
      <c r="AV98" s="34"/>
      <c r="AW98" s="137"/>
    </row>
    <row r="99" spans="1:49" x14ac:dyDescent="0.25">
      <c r="A99" s="723"/>
      <c r="B99" s="723"/>
      <c r="L99" s="135"/>
      <c r="P99" s="55"/>
      <c r="Q99" s="135"/>
      <c r="R99" s="55"/>
      <c r="U99" s="55"/>
      <c r="V99" s="55"/>
      <c r="W99" s="55"/>
      <c r="X99" s="55"/>
      <c r="AO99" s="136"/>
      <c r="AQ99" s="137"/>
      <c r="AU99" s="145"/>
      <c r="AV99" s="34"/>
      <c r="AW99" s="137"/>
    </row>
    <row r="100" spans="1:49" x14ac:dyDescent="0.25">
      <c r="A100" s="723"/>
      <c r="B100" s="723"/>
      <c r="L100" s="135"/>
      <c r="P100" s="55"/>
      <c r="Q100" s="135"/>
      <c r="R100" s="55"/>
      <c r="U100" s="55"/>
      <c r="V100" s="55"/>
      <c r="W100" s="55"/>
      <c r="X100" s="55"/>
      <c r="AO100" s="136"/>
      <c r="AQ100" s="137"/>
      <c r="AU100" s="145"/>
      <c r="AV100" s="34"/>
      <c r="AW100" s="137"/>
    </row>
    <row r="101" spans="1:49" x14ac:dyDescent="0.25">
      <c r="A101" s="723"/>
      <c r="B101" s="723"/>
      <c r="L101" s="135"/>
      <c r="P101" s="55"/>
      <c r="Q101" s="135"/>
      <c r="R101" s="55"/>
      <c r="U101" s="55"/>
      <c r="V101" s="55"/>
      <c r="W101" s="55"/>
      <c r="X101" s="55"/>
      <c r="AO101" s="136"/>
      <c r="AQ101" s="137"/>
      <c r="AU101" s="145"/>
      <c r="AV101" s="34"/>
      <c r="AW101" s="137"/>
    </row>
    <row r="102" spans="1:49" x14ac:dyDescent="0.25">
      <c r="A102" s="723"/>
      <c r="B102" s="723"/>
      <c r="L102" s="135"/>
      <c r="P102" s="55"/>
      <c r="Q102" s="135"/>
      <c r="R102" s="55"/>
      <c r="U102" s="55"/>
      <c r="V102" s="55"/>
      <c r="W102" s="55"/>
      <c r="X102" s="55"/>
      <c r="AO102" s="136"/>
      <c r="AQ102" s="137"/>
      <c r="AU102" s="145"/>
      <c r="AV102" s="34"/>
      <c r="AW102" s="137"/>
    </row>
    <row r="103" spans="1:49" x14ac:dyDescent="0.25">
      <c r="A103" s="723"/>
      <c r="B103" s="723"/>
      <c r="L103" s="135"/>
      <c r="P103" s="55"/>
      <c r="Q103" s="135"/>
      <c r="R103" s="55"/>
      <c r="U103" s="55"/>
      <c r="V103" s="55"/>
      <c r="W103" s="55"/>
      <c r="X103" s="55"/>
      <c r="AO103" s="136"/>
      <c r="AQ103" s="137"/>
      <c r="AU103" s="145"/>
      <c r="AV103" s="34"/>
      <c r="AW103" s="137"/>
    </row>
    <row r="104" spans="1:49" x14ac:dyDescent="0.25">
      <c r="A104" s="723"/>
      <c r="B104" s="723"/>
      <c r="L104" s="135"/>
      <c r="P104" s="55"/>
      <c r="Q104" s="135"/>
      <c r="R104" s="55"/>
      <c r="U104" s="55"/>
      <c r="V104" s="55"/>
      <c r="W104" s="55"/>
      <c r="X104" s="55"/>
      <c r="AO104" s="136"/>
      <c r="AQ104" s="137"/>
      <c r="AU104" s="145"/>
      <c r="AV104" s="34"/>
      <c r="AW104" s="137"/>
    </row>
    <row r="105" spans="1:49" x14ac:dyDescent="0.25">
      <c r="A105" s="723"/>
      <c r="B105" s="723"/>
      <c r="L105" s="135"/>
      <c r="P105" s="55"/>
      <c r="Q105" s="135"/>
      <c r="R105" s="55"/>
      <c r="U105" s="55"/>
      <c r="V105" s="55"/>
      <c r="W105" s="55"/>
      <c r="X105" s="55"/>
      <c r="AO105" s="136"/>
      <c r="AQ105" s="137"/>
      <c r="AU105" s="145"/>
      <c r="AV105" s="34"/>
      <c r="AW105" s="137"/>
    </row>
    <row r="106" spans="1:49" x14ac:dyDescent="0.25">
      <c r="A106" s="723"/>
      <c r="B106" s="723"/>
      <c r="L106" s="135"/>
      <c r="P106" s="55"/>
      <c r="Q106" s="135"/>
      <c r="R106" s="55"/>
      <c r="U106" s="55"/>
      <c r="V106" s="55"/>
      <c r="W106" s="55"/>
      <c r="X106" s="55"/>
      <c r="AO106" s="136"/>
      <c r="AQ106" s="137"/>
      <c r="AU106" s="145"/>
      <c r="AV106" s="34"/>
      <c r="AW106" s="137"/>
    </row>
    <row r="107" spans="1:49" x14ac:dyDescent="0.25">
      <c r="A107" s="723"/>
      <c r="B107" s="723"/>
      <c r="L107" s="135"/>
      <c r="P107" s="55"/>
      <c r="Q107" s="135"/>
      <c r="R107" s="55"/>
      <c r="U107" s="55"/>
      <c r="V107" s="55"/>
      <c r="W107" s="55"/>
      <c r="X107" s="55"/>
      <c r="AO107" s="136"/>
      <c r="AQ107" s="137"/>
      <c r="AU107" s="145"/>
      <c r="AV107" s="34"/>
      <c r="AW107" s="137"/>
    </row>
    <row r="108" spans="1:49" x14ac:dyDescent="0.25">
      <c r="A108" s="723"/>
      <c r="B108" s="723"/>
      <c r="L108" s="135"/>
      <c r="P108" s="55"/>
      <c r="Q108" s="135"/>
      <c r="R108" s="55"/>
      <c r="U108" s="55"/>
      <c r="V108" s="55"/>
      <c r="W108" s="55"/>
      <c r="X108" s="55"/>
      <c r="AO108" s="136"/>
      <c r="AQ108" s="137"/>
      <c r="AU108" s="145"/>
      <c r="AV108" s="34"/>
      <c r="AW108" s="137"/>
    </row>
    <row r="109" spans="1:49" x14ac:dyDescent="0.25">
      <c r="A109" s="723"/>
      <c r="B109" s="723"/>
      <c r="L109" s="135"/>
      <c r="P109" s="55"/>
      <c r="Q109" s="135"/>
      <c r="R109" s="55"/>
      <c r="U109" s="55"/>
      <c r="V109" s="55"/>
      <c r="W109" s="55"/>
      <c r="X109" s="55"/>
      <c r="AO109" s="136"/>
      <c r="AQ109" s="137"/>
      <c r="AU109" s="145"/>
      <c r="AV109" s="34"/>
      <c r="AW109" s="137"/>
    </row>
    <row r="110" spans="1:49" x14ac:dyDescent="0.25">
      <c r="A110" s="723"/>
      <c r="B110" s="723"/>
      <c r="L110" s="135"/>
      <c r="P110" s="55"/>
      <c r="Q110" s="135"/>
      <c r="R110" s="55"/>
      <c r="U110" s="55"/>
      <c r="V110" s="55"/>
      <c r="W110" s="55"/>
      <c r="X110" s="55"/>
      <c r="AO110" s="136"/>
      <c r="AQ110" s="137"/>
      <c r="AU110" s="145"/>
      <c r="AV110" s="34"/>
      <c r="AW110" s="137"/>
    </row>
    <row r="111" spans="1:49" x14ac:dyDescent="0.25">
      <c r="A111" s="723"/>
      <c r="B111" s="723"/>
      <c r="L111" s="135"/>
      <c r="P111" s="55"/>
      <c r="Q111" s="135"/>
      <c r="R111" s="55"/>
      <c r="U111" s="55"/>
      <c r="V111" s="55"/>
      <c r="W111" s="55"/>
      <c r="X111" s="55"/>
      <c r="AO111" s="136"/>
      <c r="AQ111" s="137"/>
      <c r="AU111" s="145"/>
      <c r="AV111" s="34"/>
      <c r="AW111" s="137"/>
    </row>
    <row r="112" spans="1:49" x14ac:dyDescent="0.25">
      <c r="A112" s="723"/>
      <c r="B112" s="723"/>
      <c r="L112" s="135"/>
      <c r="P112" s="55"/>
      <c r="Q112" s="135"/>
      <c r="R112" s="55"/>
      <c r="U112" s="55"/>
      <c r="V112" s="55"/>
      <c r="W112" s="55"/>
      <c r="X112" s="55"/>
      <c r="AO112" s="136"/>
      <c r="AQ112" s="137"/>
      <c r="AU112" s="145"/>
      <c r="AV112" s="34"/>
      <c r="AW112" s="137"/>
    </row>
    <row r="113" spans="1:49" x14ac:dyDescent="0.25">
      <c r="A113" s="723"/>
      <c r="B113" s="723"/>
      <c r="L113" s="135"/>
      <c r="P113" s="55"/>
      <c r="Q113" s="135"/>
      <c r="R113" s="55"/>
      <c r="U113" s="55"/>
      <c r="V113" s="55"/>
      <c r="W113" s="55"/>
      <c r="X113" s="55"/>
      <c r="AO113" s="136"/>
      <c r="AQ113" s="137"/>
      <c r="AU113" s="145"/>
      <c r="AV113" s="34"/>
      <c r="AW113" s="137"/>
    </row>
    <row r="114" spans="1:49" x14ac:dyDescent="0.25">
      <c r="A114" s="723"/>
      <c r="B114" s="723"/>
      <c r="L114" s="135"/>
      <c r="P114" s="55"/>
      <c r="Q114" s="135"/>
      <c r="R114" s="55"/>
      <c r="U114" s="55"/>
      <c r="V114" s="55"/>
      <c r="W114" s="55"/>
      <c r="X114" s="55"/>
      <c r="AO114" s="136"/>
      <c r="AQ114" s="137"/>
      <c r="AU114" s="145"/>
      <c r="AV114" s="34"/>
      <c r="AW114" s="137"/>
    </row>
    <row r="115" spans="1:49" x14ac:dyDescent="0.25">
      <c r="A115" s="723"/>
      <c r="B115" s="723"/>
      <c r="L115" s="135"/>
      <c r="P115" s="55"/>
      <c r="Q115" s="135"/>
      <c r="R115" s="55"/>
      <c r="U115" s="55"/>
      <c r="V115" s="55"/>
      <c r="W115" s="55"/>
      <c r="X115" s="55"/>
      <c r="AO115" s="136"/>
      <c r="AQ115" s="137"/>
      <c r="AU115" s="145"/>
      <c r="AV115" s="34"/>
      <c r="AW115" s="137"/>
    </row>
    <row r="116" spans="1:49" x14ac:dyDescent="0.25">
      <c r="A116" s="723"/>
      <c r="B116" s="723"/>
      <c r="L116" s="135"/>
      <c r="P116" s="55"/>
      <c r="Q116" s="135"/>
      <c r="R116" s="55"/>
      <c r="U116" s="55"/>
      <c r="V116" s="55"/>
      <c r="W116" s="55"/>
      <c r="X116" s="55"/>
      <c r="AO116" s="136"/>
      <c r="AQ116" s="137"/>
      <c r="AU116" s="145"/>
      <c r="AV116" s="34"/>
      <c r="AW116" s="137"/>
    </row>
    <row r="117" spans="1:49" x14ac:dyDescent="0.25">
      <c r="A117" s="723"/>
      <c r="B117" s="723"/>
      <c r="L117" s="135"/>
      <c r="P117" s="55"/>
      <c r="Q117" s="135"/>
      <c r="R117" s="55"/>
      <c r="U117" s="55"/>
      <c r="V117" s="55"/>
      <c r="W117" s="55"/>
      <c r="X117" s="55"/>
      <c r="AO117" s="136"/>
      <c r="AQ117" s="137"/>
      <c r="AU117" s="145"/>
      <c r="AV117" s="34"/>
      <c r="AW117" s="137"/>
    </row>
    <row r="118" spans="1:49" x14ac:dyDescent="0.25">
      <c r="A118" s="723"/>
      <c r="B118" s="723"/>
      <c r="P118" s="55"/>
      <c r="Q118" s="55"/>
      <c r="R118" s="55"/>
      <c r="U118" s="55"/>
      <c r="V118" s="55"/>
      <c r="W118" s="55"/>
      <c r="X118" s="55"/>
      <c r="AO118" s="136"/>
      <c r="AQ118" s="137"/>
      <c r="AS118" s="137"/>
      <c r="AU118" s="145"/>
      <c r="AV118" s="136"/>
      <c r="AW118" s="137"/>
    </row>
    <row r="119" spans="1:49" x14ac:dyDescent="0.25">
      <c r="A119" s="723"/>
      <c r="B119" s="723"/>
      <c r="P119" s="55"/>
      <c r="Q119" s="55"/>
      <c r="R119" s="55"/>
      <c r="U119" s="55"/>
      <c r="V119" s="55"/>
      <c r="W119" s="55"/>
      <c r="X119" s="55"/>
      <c r="AO119" s="136"/>
      <c r="AQ119" s="137"/>
      <c r="AS119" s="137"/>
      <c r="AU119" s="145"/>
      <c r="AV119" s="136"/>
      <c r="AW119" s="137"/>
    </row>
    <row r="120" spans="1:49" x14ac:dyDescent="0.25">
      <c r="A120" s="723"/>
      <c r="B120" s="723"/>
      <c r="P120" s="55"/>
      <c r="Q120" s="55"/>
      <c r="R120" s="55"/>
      <c r="U120" s="55"/>
      <c r="V120" s="55"/>
      <c r="W120" s="55"/>
      <c r="X120" s="55"/>
      <c r="AO120" s="136"/>
      <c r="AQ120" s="137"/>
      <c r="AS120" s="137"/>
      <c r="AU120" s="145"/>
      <c r="AV120" s="136"/>
      <c r="AW120" s="137"/>
    </row>
    <row r="121" spans="1:49" x14ac:dyDescent="0.25">
      <c r="A121" s="723"/>
      <c r="B121" s="723"/>
      <c r="P121" s="55"/>
      <c r="Q121" s="55"/>
      <c r="R121" s="55"/>
      <c r="U121" s="55"/>
      <c r="V121" s="55"/>
      <c r="W121" s="55"/>
      <c r="X121" s="55"/>
      <c r="AO121" s="136"/>
      <c r="AQ121" s="137"/>
      <c r="AS121" s="137"/>
      <c r="AU121" s="145"/>
      <c r="AV121" s="136"/>
      <c r="AW121" s="137"/>
    </row>
    <row r="122" spans="1:49" x14ac:dyDescent="0.25">
      <c r="A122" s="723"/>
      <c r="B122" s="723"/>
      <c r="P122" s="55"/>
      <c r="Q122" s="55"/>
      <c r="R122" s="55"/>
      <c r="U122" s="55"/>
      <c r="V122" s="55"/>
      <c r="W122" s="55"/>
      <c r="X122" s="55"/>
      <c r="AO122" s="136"/>
      <c r="AQ122" s="137"/>
      <c r="AS122" s="137"/>
      <c r="AU122" s="145"/>
      <c r="AV122" s="136"/>
      <c r="AW122" s="137"/>
    </row>
    <row r="123" spans="1:49" x14ac:dyDescent="0.25">
      <c r="A123" s="723"/>
      <c r="B123" s="723"/>
      <c r="P123" s="55"/>
      <c r="Q123" s="55"/>
      <c r="R123" s="55"/>
      <c r="U123" s="55"/>
      <c r="V123" s="55"/>
      <c r="W123" s="55"/>
      <c r="X123" s="55"/>
      <c r="AO123" s="136"/>
      <c r="AQ123" s="137"/>
      <c r="AS123" s="137"/>
      <c r="AU123" s="145"/>
      <c r="AV123" s="136"/>
      <c r="AW123" s="137"/>
    </row>
    <row r="124" spans="1:49" x14ac:dyDescent="0.25">
      <c r="A124" s="723"/>
      <c r="B124" s="723"/>
      <c r="P124" s="55"/>
      <c r="Q124" s="55"/>
      <c r="R124" s="55"/>
      <c r="U124" s="55"/>
      <c r="V124" s="55"/>
      <c r="W124" s="55"/>
      <c r="X124" s="55"/>
      <c r="AO124" s="136"/>
      <c r="AQ124" s="137"/>
      <c r="AS124" s="137"/>
      <c r="AU124" s="145"/>
      <c r="AV124" s="136"/>
      <c r="AW124" s="137"/>
    </row>
    <row r="125" spans="1:49" x14ac:dyDescent="0.25">
      <c r="A125" s="723"/>
      <c r="B125" s="723"/>
      <c r="P125" s="55"/>
      <c r="Q125" s="55"/>
      <c r="R125" s="55"/>
      <c r="U125" s="55"/>
      <c r="V125" s="55"/>
      <c r="W125" s="55"/>
      <c r="X125" s="55"/>
      <c r="AO125" s="136"/>
      <c r="AQ125" s="137"/>
      <c r="AS125" s="137"/>
      <c r="AU125" s="145"/>
      <c r="AV125" s="136"/>
      <c r="AW125" s="137"/>
    </row>
    <row r="126" spans="1:49" x14ac:dyDescent="0.25">
      <c r="A126" s="723"/>
      <c r="B126" s="723"/>
      <c r="P126" s="55"/>
      <c r="Q126" s="55"/>
      <c r="R126" s="55"/>
      <c r="U126" s="55"/>
      <c r="V126" s="55"/>
      <c r="W126" s="55"/>
      <c r="X126" s="55"/>
      <c r="AO126" s="136"/>
      <c r="AQ126" s="137"/>
      <c r="AS126" s="137"/>
      <c r="AU126" s="145"/>
      <c r="AV126" s="136"/>
      <c r="AW126" s="137"/>
    </row>
    <row r="127" spans="1:49" x14ac:dyDescent="0.25">
      <c r="A127" s="723"/>
      <c r="B127" s="723"/>
      <c r="P127" s="55"/>
      <c r="Q127" s="55"/>
      <c r="R127" s="55"/>
      <c r="U127" s="55"/>
      <c r="V127" s="55"/>
      <c r="W127" s="55"/>
      <c r="X127" s="55"/>
      <c r="AO127" s="136"/>
      <c r="AQ127" s="137"/>
      <c r="AS127" s="137"/>
      <c r="AU127" s="145"/>
      <c r="AV127" s="136"/>
      <c r="AW127" s="137"/>
    </row>
    <row r="128" spans="1:49" x14ac:dyDescent="0.25">
      <c r="A128" s="723"/>
      <c r="B128" s="723"/>
      <c r="P128" s="55"/>
      <c r="Q128" s="55"/>
      <c r="R128" s="55"/>
      <c r="U128" s="55"/>
      <c r="V128" s="55"/>
      <c r="W128" s="55"/>
      <c r="X128" s="55"/>
      <c r="AO128" s="136"/>
      <c r="AQ128" s="137"/>
      <c r="AS128" s="137"/>
      <c r="AU128" s="145"/>
      <c r="AV128" s="136"/>
      <c r="AW128" s="137"/>
    </row>
    <row r="129" spans="1:49" x14ac:dyDescent="0.25">
      <c r="A129" s="723"/>
      <c r="B129" s="723"/>
      <c r="P129" s="55"/>
      <c r="Q129" s="55"/>
      <c r="R129" s="55"/>
      <c r="U129" s="55"/>
      <c r="V129" s="55"/>
      <c r="W129" s="55"/>
      <c r="X129" s="55"/>
      <c r="AO129" s="136"/>
      <c r="AQ129" s="137"/>
      <c r="AS129" s="137"/>
      <c r="AU129" s="145"/>
      <c r="AV129" s="136"/>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row>
    <row r="167" spans="16:49" x14ac:dyDescent="0.25">
      <c r="P167" s="55"/>
      <c r="Q167" s="55"/>
      <c r="R167" s="55"/>
      <c r="U167" s="55"/>
      <c r="V167" s="55"/>
      <c r="W167" s="55"/>
      <c r="X167" s="55"/>
    </row>
    <row r="168" spans="16:49" x14ac:dyDescent="0.25">
      <c r="P168" s="55"/>
      <c r="Q168" s="55"/>
      <c r="R168" s="55"/>
      <c r="U168" s="55"/>
      <c r="V168" s="55"/>
      <c r="W168" s="55"/>
      <c r="X168" s="55"/>
    </row>
    <row r="169" spans="16:49" x14ac:dyDescent="0.25">
      <c r="P169" s="55"/>
      <c r="Q169" s="55"/>
      <c r="R169" s="55"/>
      <c r="U169" s="55"/>
      <c r="V169" s="55"/>
      <c r="W169" s="55"/>
      <c r="X169" s="55"/>
    </row>
    <row r="170" spans="16:49" x14ac:dyDescent="0.25">
      <c r="P170" s="55"/>
      <c r="Q170" s="55"/>
      <c r="R170" s="55"/>
      <c r="U170" s="55"/>
      <c r="V170" s="55"/>
      <c r="W170" s="55"/>
      <c r="X170" s="55"/>
    </row>
    <row r="171" spans="16:49" x14ac:dyDescent="0.25">
      <c r="P171" s="55"/>
      <c r="Q171" s="55"/>
      <c r="R171" s="55"/>
      <c r="U171" s="55"/>
      <c r="V171" s="55"/>
      <c r="W171" s="55"/>
      <c r="X171" s="55"/>
    </row>
    <row r="172" spans="16:49" x14ac:dyDescent="0.25">
      <c r="P172" s="55"/>
      <c r="Q172" s="55"/>
      <c r="R172" s="55"/>
      <c r="U172" s="55"/>
      <c r="V172" s="55"/>
      <c r="W172" s="55"/>
      <c r="X172" s="55"/>
    </row>
    <row r="173" spans="16:49" x14ac:dyDescent="0.25">
      <c r="P173" s="55"/>
      <c r="Q173" s="55"/>
      <c r="R173" s="55"/>
      <c r="U173" s="55"/>
      <c r="V173" s="55"/>
      <c r="W173" s="55"/>
      <c r="X173" s="55"/>
    </row>
    <row r="174" spans="16:49" x14ac:dyDescent="0.25">
      <c r="P174" s="55"/>
      <c r="Q174" s="55"/>
      <c r="R174" s="55"/>
      <c r="U174" s="55"/>
      <c r="V174" s="55"/>
      <c r="W174" s="55"/>
      <c r="X174" s="55"/>
    </row>
    <row r="175" spans="16:49" x14ac:dyDescent="0.25">
      <c r="P175" s="55"/>
      <c r="Q175" s="55"/>
      <c r="R175" s="55"/>
      <c r="U175" s="55"/>
      <c r="V175" s="55"/>
      <c r="W175" s="55"/>
      <c r="X175" s="55"/>
    </row>
    <row r="176" spans="16:49" x14ac:dyDescent="0.25">
      <c r="P176" s="55"/>
      <c r="Q176" s="55"/>
      <c r="R176" s="55"/>
      <c r="U176" s="55"/>
      <c r="V176" s="55"/>
      <c r="W176" s="55"/>
      <c r="X176" s="55"/>
    </row>
    <row r="177" spans="16:24" x14ac:dyDescent="0.25">
      <c r="P177" s="55"/>
      <c r="Q177" s="55"/>
      <c r="R177" s="55"/>
      <c r="U177" s="55"/>
      <c r="V177" s="55"/>
      <c r="W177" s="55"/>
      <c r="X177" s="55"/>
    </row>
    <row r="178" spans="16:24" x14ac:dyDescent="0.25">
      <c r="P178" s="55"/>
      <c r="Q178" s="55"/>
      <c r="R178" s="55"/>
      <c r="U178" s="55"/>
      <c r="V178" s="55"/>
      <c r="W178" s="55"/>
      <c r="X178" s="55"/>
    </row>
    <row r="179" spans="16:24" x14ac:dyDescent="0.25">
      <c r="P179" s="55"/>
      <c r="Q179" s="55"/>
      <c r="R179" s="55"/>
      <c r="U179" s="55"/>
      <c r="V179" s="55"/>
      <c r="W179" s="55"/>
      <c r="X179" s="55"/>
    </row>
    <row r="180" spans="16:24" x14ac:dyDescent="0.25">
      <c r="P180" s="55"/>
      <c r="Q180" s="55"/>
      <c r="R180" s="55"/>
      <c r="U180" s="55"/>
      <c r="V180" s="55"/>
      <c r="W180" s="55"/>
      <c r="X180" s="55"/>
    </row>
    <row r="181" spans="16:24" x14ac:dyDescent="0.25">
      <c r="P181" s="55"/>
      <c r="Q181" s="55"/>
      <c r="R181" s="55"/>
      <c r="U181" s="55"/>
      <c r="V181" s="55"/>
      <c r="W181" s="55"/>
      <c r="X181" s="55"/>
    </row>
    <row r="182" spans="16:24" x14ac:dyDescent="0.25">
      <c r="P182" s="55"/>
      <c r="Q182" s="55"/>
      <c r="R182" s="55"/>
      <c r="U182" s="55"/>
      <c r="V182" s="55"/>
      <c r="W182" s="55"/>
      <c r="X182" s="55"/>
    </row>
    <row r="183" spans="16:24" x14ac:dyDescent="0.25">
      <c r="P183" s="55"/>
      <c r="Q183" s="55"/>
      <c r="R183" s="55"/>
      <c r="U183" s="55"/>
      <c r="V183" s="55"/>
      <c r="W183" s="55"/>
      <c r="X183" s="55"/>
    </row>
    <row r="184" spans="16:24" x14ac:dyDescent="0.25">
      <c r="P184" s="55"/>
      <c r="Q184" s="55"/>
      <c r="R184" s="55"/>
      <c r="U184" s="55"/>
      <c r="V184" s="55"/>
      <c r="W184" s="55"/>
      <c r="X184" s="55"/>
    </row>
    <row r="185" spans="16:24" x14ac:dyDescent="0.25">
      <c r="P185" s="55"/>
      <c r="Q185" s="55"/>
      <c r="R185" s="55"/>
      <c r="U185" s="55"/>
      <c r="V185" s="55"/>
      <c r="W185" s="55"/>
      <c r="X185" s="55"/>
    </row>
    <row r="186" spans="16:24" x14ac:dyDescent="0.25">
      <c r="P186" s="55"/>
      <c r="Q186" s="55"/>
      <c r="R186" s="55"/>
      <c r="U186" s="55"/>
      <c r="V186" s="55"/>
      <c r="W186" s="55"/>
      <c r="X186" s="55"/>
    </row>
    <row r="187" spans="16:24" x14ac:dyDescent="0.25">
      <c r="P187" s="55"/>
      <c r="Q187" s="55"/>
      <c r="R187" s="55"/>
      <c r="U187" s="55"/>
      <c r="V187" s="55"/>
      <c r="W187" s="55"/>
      <c r="X187" s="55"/>
    </row>
    <row r="188" spans="16:24" x14ac:dyDescent="0.25">
      <c r="P188" s="55"/>
      <c r="Q188" s="55"/>
      <c r="R188" s="55"/>
      <c r="U188" s="55"/>
      <c r="V188" s="55"/>
      <c r="W188" s="55"/>
      <c r="X188" s="55"/>
    </row>
    <row r="189" spans="16:24" x14ac:dyDescent="0.25">
      <c r="P189" s="55"/>
      <c r="Q189" s="55"/>
      <c r="R189" s="55"/>
      <c r="U189" s="55"/>
      <c r="V189" s="55"/>
      <c r="W189" s="55"/>
      <c r="X189" s="55"/>
    </row>
    <row r="190" spans="16:24" x14ac:dyDescent="0.25">
      <c r="P190" s="55"/>
      <c r="Q190" s="55"/>
      <c r="R190" s="55"/>
      <c r="U190" s="55"/>
      <c r="V190" s="55"/>
      <c r="W190" s="55"/>
      <c r="X190" s="55"/>
    </row>
    <row r="191" spans="16:24" x14ac:dyDescent="0.25">
      <c r="P191" s="55"/>
      <c r="Q191" s="55"/>
      <c r="R191" s="55"/>
      <c r="U191" s="55"/>
      <c r="V191" s="55"/>
      <c r="W191" s="55"/>
      <c r="X191" s="55"/>
    </row>
    <row r="192" spans="16:24"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7885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7885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2">
    <pageSetUpPr autoPageBreaks="0"/>
  </sheetPr>
  <dimension ref="A1:CX570"/>
  <sheetViews>
    <sheetView zoomScale="80" workbookViewId="0">
      <pane xSplit="4" ySplit="21" topLeftCell="E22" activePane="bottomRight" state="frozen"/>
      <selection activeCell="T23" sqref="T23"/>
      <selection pane="topRight" activeCell="T23" sqref="T23"/>
      <selection pane="bottomLeft" activeCell="T23" sqref="T23"/>
      <selection pane="bottomRight" activeCell="CI21" sqref="CI21:CI105"/>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LongTerm25</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25</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$F$105</v>
      </c>
      <c r="AX2" s="339" t="str">
        <f>ADDRESS(ROW($G$22),COLUMN($G$22))</f>
        <v>$G$22</v>
      </c>
      <c r="AY2" s="138" t="str">
        <f ca="1">GetEnd($AV$1,AX2)</f>
        <v>$G$105</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$AF$105</v>
      </c>
      <c r="AX3" s="339" t="str">
        <f>ADDRESS(ROW($AH$22),COLUMN($AH$22))</f>
        <v>$AH$22</v>
      </c>
      <c r="AY3" s="138" t="str">
        <f ca="1">GetEnd($AV$1,AX3)</f>
        <v>$AH$105</v>
      </c>
    </row>
    <row r="4" spans="1:102" x14ac:dyDescent="0.25">
      <c r="A4" s="269" t="str">
        <f>ADDRESS(ROW($S$22),COLUMN($S$22))</f>
        <v>$S$22</v>
      </c>
      <c r="L4" s="721" t="s">
        <v>201</v>
      </c>
      <c r="M4" s="722"/>
      <c r="N4" s="352">
        <f ca="1">SUMPRODUCT(INDIRECT(CONCATENATE(AV4,":",AW4)),INDIRECT(CONCATENATE($AV$2,":",$AW$2)),INDIRECT(CONCATENATE($AV$3,":",$AW$3)))</f>
        <v>5233143.6755969934</v>
      </c>
      <c r="O4" s="352">
        <v>5231364.72</v>
      </c>
      <c r="P4" s="354">
        <f ca="1">N4-O4</f>
        <v>1778.9555969936773</v>
      </c>
      <c r="Q4" s="181"/>
      <c r="S4" s="427" t="s">
        <v>635</v>
      </c>
      <c r="T4" s="422">
        <f ca="1">SUMPRODUCT(INDIRECT(CONCATENATE(V4,":",W4)),INDIRECT(CONCATENATE(AV2,":",AW2)),INDIRECT(CONCATENATE(AV3,":",AW3)))</f>
        <v>5231444.1393280262</v>
      </c>
      <c r="V4" s="30" t="str">
        <f>ADDRESS(ROW(K22),COLUMN(K22))</f>
        <v>$K$22</v>
      </c>
      <c r="W4" s="30" t="str">
        <f ca="1">GetEnd($AV$1,V4)</f>
        <v>$K$105</v>
      </c>
      <c r="AF4" s="28"/>
      <c r="AG4" s="103" t="s">
        <v>32</v>
      </c>
      <c r="AH4" s="104">
        <f>GetRcptIndexCol($AH$12,$AH$13)</f>
        <v>39</v>
      </c>
      <c r="AI4" s="29"/>
      <c r="AJ4" s="103" t="s">
        <v>72</v>
      </c>
      <c r="AK4" s="104">
        <f>GetNymexCol(AK3)</f>
        <v>3</v>
      </c>
      <c r="AL4" s="34">
        <v>1</v>
      </c>
      <c r="AM4" s="45">
        <f t="shared" ref="AM4:AM15" si="0">GetVolume($AH$12,$AH$13,AT4)</f>
        <v>9300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$Q$105</v>
      </c>
      <c r="AX4" s="339" t="str">
        <f>ADDRESS(ROW($K$22),COLUMN($K$22))</f>
        <v>$K$22</v>
      </c>
      <c r="AY4" s="138" t="str">
        <f ca="1">GetEnd($AV$1,AX4)</f>
        <v>$K$105</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8812371.1124724634</v>
      </c>
      <c r="O5" s="352">
        <v>8809310.5299999993</v>
      </c>
      <c r="P5" s="355">
        <f ca="1">N5-O5</f>
        <v>3060.5824724640697</v>
      </c>
      <c r="Q5" s="181"/>
      <c r="S5" s="428" t="s">
        <v>636</v>
      </c>
      <c r="T5" s="423">
        <f ca="1">SUMPRODUCT(INDIRECT(CONCATENATE(V5,":",W5)),INDIRECT(CONCATENATE(AV2,":",AW2)),INDIRECT(CONCATENATE(AV3,":",AW3)))</f>
        <v>1699.5362689632152</v>
      </c>
      <c r="V5" s="30" t="str">
        <f>ADDRESS(ROW(L22),COLUMN(L22))</f>
        <v>$L$22</v>
      </c>
      <c r="W5" s="30" t="str">
        <f ca="1">GetEnd($AV$1,V5)</f>
        <v>$L$105</v>
      </c>
      <c r="AF5" s="28"/>
      <c r="AG5" s="103" t="s">
        <v>33</v>
      </c>
      <c r="AH5" s="104">
        <f>GetDelBasisCol($AH$12,$AH$13)</f>
        <v>22</v>
      </c>
      <c r="AI5" s="29"/>
      <c r="AJ5" s="103" t="s">
        <v>77</v>
      </c>
      <c r="AK5" s="104" t="str">
        <f>LiborCurve</f>
        <v>Libor AA</v>
      </c>
      <c r="AL5" s="34">
        <v>2</v>
      </c>
      <c r="AM5" s="37">
        <f t="shared" si="0"/>
        <v>9300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$V$105</v>
      </c>
      <c r="AX5" s="339" t="str">
        <f>ADDRESS(ROW($L$22),COLUMN($L$22))</f>
        <v>$L$22</v>
      </c>
      <c r="AY5" s="138" t="str">
        <f ca="1">GetEnd($AV$1,AX5)</f>
        <v>$L$105</v>
      </c>
      <c r="BV5" s="266">
        <f>O2</f>
        <v>37239</v>
      </c>
    </row>
    <row r="6" spans="1:102" x14ac:dyDescent="0.25">
      <c r="A6" s="269" t="str">
        <f>ADDRESS(ROW($BW$2),COLUMN($BW$2))</f>
        <v>$BW$2</v>
      </c>
      <c r="F6" s="187"/>
      <c r="G6" s="187"/>
      <c r="L6" s="704" t="s">
        <v>149</v>
      </c>
      <c r="M6" s="705"/>
      <c r="N6" s="356">
        <f ca="1">N4-N5</f>
        <v>-3579227.43687547</v>
      </c>
      <c r="O6" s="357">
        <v>-3577945.81</v>
      </c>
      <c r="P6" s="358">
        <f ca="1">N6-O6</f>
        <v>-1281.6268754699267</v>
      </c>
      <c r="Q6" s="181"/>
      <c r="S6" s="428" t="s">
        <v>637</v>
      </c>
      <c r="T6" s="424">
        <f ca="1">SUMPRODUCT(INDIRECT(CONCATENATE(V6,":",W6)),INDIRECT(CONCATENATE(AV3,":",AW3)),INDIRECT(CONCATENATE(AX3,":",AY3)))</f>
        <v>19919464.539946787</v>
      </c>
      <c r="V6" s="30" t="str">
        <f>ADDRESS(ROW(G22),COLUMN(G22))</f>
        <v>$G$22</v>
      </c>
      <c r="W6" s="30" t="str">
        <f ca="1">GetEnd($AV$1,V6)</f>
        <v>$G$105</v>
      </c>
      <c r="AF6" s="28"/>
      <c r="AG6" s="103" t="s">
        <v>34</v>
      </c>
      <c r="AH6" s="104">
        <f>GetDelIndexCol($AH$12,$AH$13)</f>
        <v>35</v>
      </c>
      <c r="AI6" s="29"/>
      <c r="AJ6" s="103" t="s">
        <v>79</v>
      </c>
      <c r="AK6" s="104">
        <f>GetLiborCol(AK5)</f>
        <v>4</v>
      </c>
      <c r="AL6" s="34">
        <v>3</v>
      </c>
      <c r="AM6" s="37">
        <f t="shared" si="0"/>
        <v>9300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5">
      <c r="A7" s="269" t="str">
        <f>ADDRESS(ROW($AH$12),COLUMN($AH$12))</f>
        <v>$AH$12</v>
      </c>
      <c r="F7" s="186" t="s">
        <v>25</v>
      </c>
      <c r="G7" s="189">
        <f>GetMonthStart($AH$12,$AH$13,G5)</f>
        <v>37316</v>
      </c>
      <c r="L7" s="706" t="s">
        <v>625</v>
      </c>
      <c r="M7" s="707"/>
      <c r="N7" s="352">
        <f t="array" aca="1" ref="N7" ca="1">SUM((INDIRECT(CONCATENATE(AV7,":",AW7))-INDIRECT(CONCATENATE(AX18,":",AY18)))*INDIRECT(CONCATENATE(AX7,":",AY7))*INDIRECT(CONCATENATE(AV3,":",AW3)))</f>
        <v>0</v>
      </c>
      <c r="O7" s="421">
        <v>26741.57</v>
      </c>
      <c r="P7" s="355">
        <f ca="1">N7</f>
        <v>0</v>
      </c>
      <c r="S7" s="428" t="s">
        <v>638</v>
      </c>
      <c r="T7" s="425">
        <f ca="1">T5/T6</f>
        <v>8.532037924789294E-5</v>
      </c>
      <c r="AF7" s="28"/>
      <c r="AG7" s="103" t="s">
        <v>76</v>
      </c>
      <c r="AH7" s="104">
        <f>GetRcptOmicronCol($AH$12,$AH$13)</f>
        <v>10</v>
      </c>
      <c r="AI7" s="29"/>
      <c r="AJ7" s="103" t="s">
        <v>80</v>
      </c>
      <c r="AK7" s="104" t="str">
        <f>Configuration!$D$8</f>
        <v>Nymex Vol</v>
      </c>
      <c r="AL7" s="34">
        <v>4</v>
      </c>
      <c r="AM7" s="37">
        <f t="shared" si="0"/>
        <v>9300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$AL$105</v>
      </c>
      <c r="AX7" s="339" t="str">
        <f>ADDRESS(ROW($AV$22),COLUMN($AV$22))</f>
        <v>$AV$22</v>
      </c>
      <c r="AY7" s="138" t="str">
        <f t="shared" ref="AY7:AY13" ca="1" si="8">GetEnd($AV$1,AX7)</f>
        <v>$AV$105</v>
      </c>
    </row>
    <row r="8" spans="1:102" x14ac:dyDescent="0.25">
      <c r="A8" s="270" t="s">
        <v>224</v>
      </c>
      <c r="F8" s="186" t="s">
        <v>26</v>
      </c>
      <c r="G8" s="190">
        <f>GetMonthEnd($AH$12,$AH$13)</f>
        <v>39872</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0.99883622786765969</v>
      </c>
      <c r="V8" s="30" t="str">
        <f>ADDRESS(ROW(P22),COLUMN(P22))</f>
        <v>$P$22</v>
      </c>
      <c r="W8" s="30" t="str">
        <f ca="1">GetEnd($AV$1,V8)</f>
        <v>$P$105</v>
      </c>
      <c r="Y8" s="334">
        <f ca="1">SUMIF(INDIRECT(CONCATENATE(V8,":",W8)),"&gt;0",INDIRECT(CONCATENATE(V8,":",W8)))</f>
        <v>83.902243140883414</v>
      </c>
      <c r="Z8" s="334">
        <f ca="1">COUNTIF(INDIRECT(CONCATENATE(V8,":",W8)),"&gt;0")</f>
        <v>84</v>
      </c>
      <c r="AF8" s="28"/>
      <c r="AG8" s="103" t="s">
        <v>75</v>
      </c>
      <c r="AH8" s="105">
        <f>GetDelOmicronCol($AH$12,$AH$13)</f>
        <v>16</v>
      </c>
      <c r="AI8" s="29"/>
      <c r="AJ8" s="103" t="s">
        <v>81</v>
      </c>
      <c r="AK8" s="104">
        <f>GetNGOmicronCol(AK7)</f>
        <v>5</v>
      </c>
      <c r="AL8" s="34">
        <v>5</v>
      </c>
      <c r="AM8" s="37">
        <f t="shared" si="0"/>
        <v>9300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$AM$105</v>
      </c>
      <c r="AX8" s="339" t="str">
        <f>ADDRESS(ROW($AO$22),COLUMN($AO$22))</f>
        <v>$AO$22</v>
      </c>
      <c r="AY8" s="138" t="str">
        <f t="shared" ca="1" si="8"/>
        <v>$AO$105</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9300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$AN$105</v>
      </c>
      <c r="AX9" s="339" t="str">
        <f>ADDRESS(ROW($AP$22),COLUMN($AP$22))</f>
        <v>$AP$22</v>
      </c>
      <c r="AY9" s="138" t="str">
        <f t="shared" ca="1" si="8"/>
        <v>$AP$105</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-2340741.1771191326</v>
      </c>
      <c r="O10" s="352">
        <v>-2339911.58</v>
      </c>
      <c r="P10" s="355">
        <f t="shared" ref="P10:P19" ca="1" si="9">N10-O10</f>
        <v>-829.59711913252249</v>
      </c>
      <c r="AF10" s="28"/>
      <c r="AG10" s="103" t="s">
        <v>142</v>
      </c>
      <c r="AH10" s="119" t="b">
        <f>GetGRIFactor($AH$12,$AH$13)</f>
        <v>0</v>
      </c>
      <c r="AI10" s="29"/>
      <c r="AJ10" s="29"/>
      <c r="AK10" s="29"/>
      <c r="AL10" s="34">
        <v>7</v>
      </c>
      <c r="AM10" s="37">
        <f t="shared" si="0"/>
        <v>9300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$AS$105</v>
      </c>
      <c r="AX10" s="339" t="str">
        <f>ADDRESS(ROW($CC$22),COLUMN($CC$22))</f>
        <v>$CC$22</v>
      </c>
      <c r="AY10" s="138" t="str">
        <f t="shared" ca="1" si="8"/>
        <v>$CC$105</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9300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$AQ$105</v>
      </c>
      <c r="AX11" s="339" t="str">
        <f>ADDRESS(ROW($CD$22),COLUMN($CD$22))</f>
        <v>$CD$22</v>
      </c>
      <c r="AY11" s="138" t="str">
        <f t="shared" ca="1" si="8"/>
        <v>$CD$105</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-26664.880000000001</v>
      </c>
      <c r="P12" s="355">
        <f t="shared" ca="1" si="9"/>
        <v>26664.880000000001</v>
      </c>
      <c r="AG12" s="248" t="s">
        <v>185</v>
      </c>
      <c r="AH12" s="119" t="str">
        <f>GetDBPage($D$2)</f>
        <v>Contract DB (Central)</v>
      </c>
      <c r="AL12" s="34">
        <v>9</v>
      </c>
      <c r="AM12" s="37">
        <f t="shared" si="0"/>
        <v>9300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$X$105</v>
      </c>
      <c r="AX12" s="339" t="str">
        <f>ADDRESS(ROW($CE$22),COLUMN($CE$22))</f>
        <v>$CE$22</v>
      </c>
      <c r="AY12" s="138" t="str">
        <f t="shared" ca="1" si="8"/>
        <v>$CE$105</v>
      </c>
    </row>
    <row r="13" spans="1:102" x14ac:dyDescent="0.25">
      <c r="A13" s="270" t="s">
        <v>224</v>
      </c>
      <c r="D13" s="170"/>
      <c r="E13" s="171"/>
      <c r="F13" s="172"/>
      <c r="G13" s="172"/>
      <c r="H13" s="173"/>
      <c r="L13" s="706" t="s">
        <v>155</v>
      </c>
      <c r="M13" s="707"/>
      <c r="N13" s="352">
        <f t="shared" ca="1" si="10"/>
        <v>0</v>
      </c>
      <c r="O13" s="352">
        <v>12.04</v>
      </c>
      <c r="P13" s="355">
        <f t="shared" ca="1" si="9"/>
        <v>-12.04</v>
      </c>
      <c r="AG13" s="248" t="s">
        <v>186</v>
      </c>
      <c r="AH13" s="119">
        <f>GetRecNdx($AH$12,$D$2)</f>
        <v>3</v>
      </c>
      <c r="AL13" s="34">
        <v>10</v>
      </c>
      <c r="AM13" s="37">
        <f t="shared" si="0"/>
        <v>9300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$Y$105</v>
      </c>
      <c r="AX13" s="339" t="str">
        <f>ADDRESS(ROW($CF$22),COLUMN($CF$22))</f>
        <v>$CF$22</v>
      </c>
      <c r="AY13" s="138" t="str">
        <f t="shared" ca="1" si="8"/>
        <v>$CF$105</v>
      </c>
    </row>
    <row r="14" spans="1:102" x14ac:dyDescent="0.25">
      <c r="A14" s="270" t="s">
        <v>224</v>
      </c>
      <c r="D14" s="170"/>
      <c r="E14" s="171"/>
      <c r="F14" s="172"/>
      <c r="G14" s="172"/>
      <c r="H14" s="173"/>
      <c r="K14" s="185"/>
      <c r="L14" s="706" t="s">
        <v>156</v>
      </c>
      <c r="M14" s="707"/>
      <c r="N14" s="352">
        <f t="shared" ca="1" si="10"/>
        <v>1764.0105474687562</v>
      </c>
      <c r="O14" s="352">
        <v>581.24</v>
      </c>
      <c r="P14" s="355">
        <f t="shared" ca="1" si="9"/>
        <v>1182.7705474687561</v>
      </c>
      <c r="S14" s="181">
        <f>F22/(1-AR22)*AH22*AU22</f>
        <v>297687.51149532013</v>
      </c>
      <c r="T14" s="181">
        <f>F22*AH22*AU22</f>
        <v>286970.76108148857</v>
      </c>
      <c r="AL14" s="34">
        <v>11</v>
      </c>
      <c r="AM14" s="37">
        <f t="shared" si="0"/>
        <v>9300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$Z$105</v>
      </c>
      <c r="AX14" s="353" t="str">
        <f ca="1">CONCATENATE(AX8,":",AY8)</f>
        <v>$AO$22:$AO$105</v>
      </c>
      <c r="AY14" s="353" t="str">
        <f ca="1">CONCATENATE(AX10,":",AY10)</f>
        <v>$CC$22:$CC$105</v>
      </c>
    </row>
    <row r="15" spans="1:102" ht="13.8" thickBot="1" x14ac:dyDescent="0.3">
      <c r="A15" s="270" t="s">
        <v>224</v>
      </c>
      <c r="D15" s="170"/>
      <c r="E15" s="171"/>
      <c r="F15" s="172"/>
      <c r="G15" s="172"/>
      <c r="H15" s="173"/>
      <c r="L15" s="706" t="s">
        <v>157</v>
      </c>
      <c r="M15" s="707"/>
      <c r="N15" s="352">
        <f t="shared" ca="1" si="10"/>
        <v>2.3205678577606883</v>
      </c>
      <c r="O15" s="352">
        <v>35.630000000000003</v>
      </c>
      <c r="P15" s="355">
        <f t="shared" ca="1" si="9"/>
        <v>-33.309432142239316</v>
      </c>
      <c r="AL15" s="34">
        <v>12</v>
      </c>
      <c r="AM15" s="41">
        <f t="shared" si="0"/>
        <v>9300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$AA$105</v>
      </c>
      <c r="AX15" s="353" t="str">
        <f ca="1">CONCATENATE(AV8,":",AW8)</f>
        <v>$AM$22:$AM$105</v>
      </c>
      <c r="AY15" s="353" t="str">
        <f ca="1">CONCATENATE(AX11,":",AY11)</f>
        <v>$CD$22:$CD$105</v>
      </c>
    </row>
    <row r="16" spans="1:102" x14ac:dyDescent="0.25">
      <c r="D16" s="174"/>
      <c r="E16" s="175"/>
      <c r="F16" s="176"/>
      <c r="G16" s="176"/>
      <c r="H16" s="177"/>
      <c r="L16" s="706" t="s">
        <v>158</v>
      </c>
      <c r="M16" s="707"/>
      <c r="N16" s="352">
        <f t="shared" ca="1" si="10"/>
        <v>0</v>
      </c>
      <c r="O16" s="352">
        <v>16513.64</v>
      </c>
      <c r="P16" s="355">
        <f t="shared" ca="1" si="9"/>
        <v>-16513.64</v>
      </c>
      <c r="AU16" s="361" t="s">
        <v>158</v>
      </c>
      <c r="AV16" s="339" t="str">
        <f>ADDRESS(ROW($AB$22),COLUMN($AB$22))</f>
        <v>$AB$22</v>
      </c>
      <c r="AW16" s="138" t="str">
        <f t="shared" ca="1" si="11"/>
        <v>$AB$105</v>
      </c>
      <c r="AX16" s="353" t="str">
        <f ca="1">CONCATENATE(AX9,":",AY9)</f>
        <v>$AP$22:$AP$105</v>
      </c>
      <c r="AY16" s="353" t="str">
        <f ca="1">CONCATENATE(AX12,":",AY12)</f>
        <v>$CE$22:$CE$105</v>
      </c>
      <c r="CM16" s="268"/>
    </row>
    <row r="17" spans="1:91" x14ac:dyDescent="0.25">
      <c r="D17" s="171"/>
      <c r="E17" s="171"/>
      <c r="F17" s="172"/>
      <c r="G17" s="172"/>
      <c r="H17" s="172"/>
      <c r="L17" s="704" t="s">
        <v>211</v>
      </c>
      <c r="M17" s="705"/>
      <c r="N17" s="356">
        <f t="shared" ca="1" si="10"/>
        <v>1805.4226033405134</v>
      </c>
      <c r="O17" s="357">
        <v>593.67999999999995</v>
      </c>
      <c r="P17" s="358">
        <f t="shared" ca="1" si="9"/>
        <v>1211.7426033405136</v>
      </c>
      <c r="AU17" s="361" t="s">
        <v>211</v>
      </c>
      <c r="AV17" s="339" t="str">
        <f>ADDRESS(ROW($AC$22),COLUMN($AC$22))</f>
        <v>$AC$22</v>
      </c>
      <c r="AW17" s="138" t="str">
        <f t="shared" ca="1" si="11"/>
        <v>$AC$105</v>
      </c>
      <c r="AX17" s="353" t="str">
        <f ca="1">CONCATENATE(AV9,":",AW9)</f>
        <v>$AN$22:$AN$105</v>
      </c>
      <c r="AY17" s="353" t="str">
        <f ca="1">CONCATENATE(AX13,":",AY13)</f>
        <v>$CF$22:$CF$105</v>
      </c>
      <c r="CM17" s="268"/>
    </row>
    <row r="18" spans="1:91" x14ac:dyDescent="0.25">
      <c r="D18" s="171"/>
      <c r="E18" s="171"/>
      <c r="F18" s="172"/>
      <c r="G18" s="172"/>
      <c r="H18" s="172"/>
      <c r="L18" s="706" t="s">
        <v>623</v>
      </c>
      <c r="M18" s="707"/>
      <c r="N18" s="352">
        <f ca="1">SUMPRODUCT(INDIRECT(CONCATENATE(AX4,":",AY4)),INDIRECT(CONCATENATE($AV$2,":",$AW$2)),INDIRECT(CONCATENATE($AV$3,":",$AW$3)))</f>
        <v>5231444.1393280262</v>
      </c>
      <c r="O18" s="352">
        <v>5229659.4800000004</v>
      </c>
      <c r="P18" s="355">
        <f t="shared" ca="1" si="9"/>
        <v>1784.6593280257657</v>
      </c>
      <c r="AU18" s="361"/>
      <c r="AV18" s="339"/>
      <c r="AW18" s="138"/>
      <c r="AX18" s="339" t="str">
        <f>ADDRESS(ROW($CI$22),COLUMN($CI$22))</f>
        <v>$CI$22</v>
      </c>
      <c r="AY18" s="138" t="str">
        <f ca="1">GetEnd($AV$1,AX18)</f>
        <v>$CI$105</v>
      </c>
      <c r="CM18" s="268"/>
    </row>
    <row r="19" spans="1:91" x14ac:dyDescent="0.25">
      <c r="D19" s="171"/>
      <c r="E19" s="171"/>
      <c r="F19" s="172"/>
      <c r="G19" s="172"/>
      <c r="H19" s="172"/>
      <c r="L19" s="724" t="s">
        <v>624</v>
      </c>
      <c r="M19" s="725"/>
      <c r="N19" s="359">
        <f ca="1">SUMPRODUCT(INDIRECT(CONCATENATE(AX5,":",AY5)),INDIRECT(CONCATENATE($AV$2,":",$AW$2)),INDIRECT(CONCATENATE($AV$3,":",$AW$3)))</f>
        <v>1699.5362689632152</v>
      </c>
      <c r="O19" s="359">
        <v>1705.24</v>
      </c>
      <c r="P19" s="360">
        <f t="shared" ca="1" si="9"/>
        <v>-5.7037310367848022</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-10056741</v>
      </c>
      <c r="AW20" s="353">
        <f ca="1">SUMPRODUCT(INDIRECT(CONCATENATE(AX8,":",AY8)),INDIRECT(CONCATENATE($AV$2,":",$AW$2)),INDIRECT(CONCATENATE($AV$3,":",$AW$3)),INDIRECT(CONCATENATE(AX3,":",AY3)))</f>
        <v>1763094</v>
      </c>
      <c r="AX20" s="353">
        <f ca="1">SUMPRODUCT(INDIRECT(CONCATENATE(AV9,":",AW9)),INDIRECT(CONCATENATE($AV$2,":",$AW$2)),INDIRECT(CONCATENATE($AV$3,":",$AW$3)),INDIRECT(CONCATENATE(AX3,":",AY3)))</f>
        <v>3685915.5</v>
      </c>
      <c r="AY20" s="353">
        <f ca="1">SUMPRODUCT(INDIRECT(CONCATENATE(AX9,":",AY9)),INDIRECT(CONCATENATE($AV$2,":",$AW$2)),INDIRECT(CONCATENATE($AV$3,":",$AW$3)),INDIRECT(CONCATENATE(AX3,":",AY3)))</f>
        <v>900379.5</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37330</v>
      </c>
      <c r="F22" s="28">
        <f t="shared" ref="F22:F43" si="12">VLOOKUP(AG22,$AL$4:$AS$15,2)</f>
        <v>9300</v>
      </c>
      <c r="G22" s="28">
        <f t="shared" ref="G22:G85" si="13">F22*$AU22</f>
        <v>9257.1213252093094</v>
      </c>
      <c r="H22" s="52">
        <f t="shared" ref="H22:H43" si="14">(AL22+AM22+AN22)/(1-(AR22))</f>
        <v>2.7043568464730288</v>
      </c>
      <c r="I22" s="52">
        <f t="shared" ref="I22:I43" si="15">(AL22+AO22+AP22)</f>
        <v>3.0020000000000002</v>
      </c>
      <c r="K22" s="52">
        <f>MAX(((I22-H22)-AQ22)*AU22*AH22,0)</f>
        <v>9.1843959460569202</v>
      </c>
      <c r="L22" s="135">
        <f>MAX(Q22-K22,0)</f>
        <v>2.4983227709682865E-3</v>
      </c>
      <c r="N22" s="131">
        <f>SQRT(($AX22^2*($AH22/2)+$AW22^2*$AI22)/(($AH22/2)+$AI22))</f>
        <v>0.80820478349675651</v>
      </c>
      <c r="O22" s="131">
        <f>SQRT(($AY22^2*($AH22/2)+$AW22^2*$AI22)/(($AH22/2)+$AI22))</f>
        <v>0.79</v>
      </c>
      <c r="P22" s="55">
        <f>(VLOOKUP(AI22,CorrelationTwo,2)*(AW22^2)*AI22+VLOOKUP(D22,CorrelationOne,$AK$9)*AX22*AY22*(AH22/2))/((AI22+(AH22/2))*O22*N22)*AF22</f>
        <v>0.9957385638194397</v>
      </c>
      <c r="Q22" s="135">
        <f>_xll.xSPRDOPT(I22,H22,AQ22,0,O22,N22,P22,D22-$G$5,1,0)*AH22*AU22</f>
        <v>9.1868942688278885</v>
      </c>
      <c r="R22" s="135"/>
      <c r="S22" s="181">
        <f>_xll.xSPRDOPT(I22,H22,AQ22,AT22,O22,N22,P22,D22-$G$5,1,2)*AF22*(F22/(1-AR22))*AH22</f>
        <v>-296874.43375863461</v>
      </c>
      <c r="T22" s="181">
        <f>_xll.xSPRDOPT(I22,H22,AQ22,AT22,O22,N22,P22,D22-$G$5,1,1)*AF22*F22*AH22</f>
        <v>286271.7687501281</v>
      </c>
      <c r="U22" s="135"/>
      <c r="V22" s="146">
        <f t="shared" ref="V22:V43" si="16">VLOOKUP($AG22,$AL$4:$AS$15,8)*AH22*AU22</f>
        <v>13.651168247575329</v>
      </c>
      <c r="W22" s="146"/>
      <c r="X22" s="338">
        <f t="shared" ref="X22:X43" si="17">((BM22*BC22)+(BL22*BB22))*AH22*F22</f>
        <v>0</v>
      </c>
      <c r="Y22" s="338">
        <f t="shared" ref="Y22:Y85" si="18">($F22*$AH22)*((($BG22/2)*($BC22)^2)+(($BF22/2)*($BB22)^2)+($BH22*$BC22*$BB22))</f>
        <v>0</v>
      </c>
      <c r="Z22" s="338">
        <f t="shared" ref="Z22:Z85" si="19">($BI22*$F22*$AH22*($G$5-$BV$5))/365.25</f>
        <v>9.1413967332057258</v>
      </c>
      <c r="AA22" s="338">
        <f t="shared" ref="AA22:AA85" si="20">(($BK22*$BE22)+($BJ22*$BD22))*$F22*$AH22*$AF22</f>
        <v>0.56351176976830741</v>
      </c>
      <c r="AB22" s="338">
        <f t="shared" ref="AB22:AB43" si="21">BN22*(AT22-CA22)*F22*AH22</f>
        <v>0</v>
      </c>
      <c r="AC22" s="338">
        <f t="shared" ref="AC22:AC43" si="22">BO22*CB22*F22*AH22*CA22*($G$5-$BV$5)/365.25</f>
        <v>13.523197342349292</v>
      </c>
      <c r="AF22" s="138">
        <f t="shared" ref="AF22:AF43" si="23">IF(AND(D22&gt;=$G$7,D22&lt;=$G$8),1,0)</f>
        <v>1</v>
      </c>
      <c r="AG22" s="138">
        <f t="shared" ref="AG22:AG43" si="24">MONTH(D22)</f>
        <v>3</v>
      </c>
      <c r="AH22" s="138">
        <f t="shared" ref="AH22:AH53" si="25">(EOMONTH(D22,0)-EOMONTH(D22-DAY(D22),0))*AF22</f>
        <v>31</v>
      </c>
      <c r="AI22" s="138">
        <f>MAX(0,(D22-DAY(D22))-$G$5+1)</f>
        <v>74</v>
      </c>
      <c r="AJ22" s="138">
        <f t="shared" ref="AJ22:AJ43" si="26">D22-$BV$5</f>
        <v>91</v>
      </c>
      <c r="AL22" s="136">
        <f t="shared" ref="AL22:AL85" si="27">VLOOKUP($D22,CurveTbl,$AK$4)</f>
        <v>2.9020000000000001</v>
      </c>
      <c r="AM22" s="258">
        <f t="shared" ref="AM22:AM85" si="28">VLOOKUP($D22,CurveTbl,$AH$3)</f>
        <v>-0.45</v>
      </c>
      <c r="AN22" s="258">
        <f t="shared" ref="AN22:AN85" si="29">VLOOKUP($D22,CurveTbl,$AH$4)+VLOOKUP($AG22,$AL$3:$AS$15,6)</f>
        <v>0.155</v>
      </c>
      <c r="AO22" s="258">
        <f t="shared" ref="AO22:AO85" si="30">VLOOKUP($D22,CurveTbl,$AH$5)</f>
        <v>8.5000000000000006E-2</v>
      </c>
      <c r="AP22" s="258">
        <f t="shared" ref="AP22:AP85" si="31">VLOOKUP($D22,CurveTbl,$AH$6)+VLOOKUP($AG22,$AL$3:$AS$15,7)</f>
        <v>1.4999999999999999E-2</v>
      </c>
      <c r="AQ22" s="136">
        <f t="shared" ref="AQ22:AQ43" si="32">VLOOKUP($AG22,$AL$4:$AS$15,3)+VLOOKUP($AG22,$AL$4:$AS$15,5)+($AH$10*VLOOKUP(D22,GRITable,2))</f>
        <v>0</v>
      </c>
      <c r="AR22" s="137">
        <f t="shared" ref="AR22:AR85" si="33">VLOOKUP($AG22,$AL$4:$AS$15,4)</f>
        <v>3.5999999999999997E-2</v>
      </c>
      <c r="AS22" s="136">
        <f>(AL22+AM22+AN22)</f>
        <v>2.6069999999999998</v>
      </c>
      <c r="AT22" s="137">
        <f>VLOOKUP(D22,CurveTbl,$AK$6)</f>
        <v>1.9273175363903501E-2</v>
      </c>
      <c r="AU22" s="137">
        <f t="shared" ref="AU22:AU85" si="34">(1+$AT22/2)^(-2*($D22-$G$5)/365.25)*$AF22</f>
        <v>0.99538938980745262</v>
      </c>
      <c r="AV22" s="394">
        <f>ROUND((F22/(1-AR22))-F22,0)*AF22*AH22*AU22</f>
        <v>10707.403666158767</v>
      </c>
      <c r="AW22" s="137">
        <f t="shared" ref="AW22:AW85" si="35">VLOOKUP($D22,CurveTbl,$AK$8)</f>
        <v>0.79</v>
      </c>
      <c r="AX22" s="137">
        <f t="shared" ref="AX22:AX85" si="36">VLOOKUP($D22,CurveTbl,$AH$7)</f>
        <v>0.89</v>
      </c>
      <c r="AY22" s="137">
        <f t="shared" ref="AY22:AY85" si="37">VLOOKUP($D22,CurveTbl,$AH$8)</f>
        <v>0.79</v>
      </c>
      <c r="AZ22" s="137"/>
      <c r="BA22" s="264"/>
      <c r="BB22" s="258">
        <f t="shared" ref="BB22:BB85" si="38">$H22-$BV22</f>
        <v>0</v>
      </c>
      <c r="BC22" s="258">
        <f t="shared" ref="BC22:BC43" si="39">I22-BW22</f>
        <v>0</v>
      </c>
      <c r="BD22" s="137">
        <f t="shared" ref="BD22:BD43" si="40">N22-BX22</f>
        <v>5.8398674165105469E-4</v>
      </c>
      <c r="BE22" s="137">
        <f t="shared" ref="BE22:BE43" si="41">O22-BY22</f>
        <v>0</v>
      </c>
      <c r="BF22" s="137">
        <f>_xll.xSPRDOPT($BW22,$BV22,$CG22,0,$BY22,$BX22,$BZ22,$AJ22,1,4)*$CB22</f>
        <v>8.7670182759393187E-2</v>
      </c>
      <c r="BG22" s="137">
        <f>_xll.xSPRDOPT($BW22,$BV22,$CG22,0,$BY22,$BX22,$BZ22,$AJ22,1,3)*$CB22</f>
        <v>7.1147255803078582E-2</v>
      </c>
      <c r="BH22" s="137">
        <f>IF(OR(BF22&lt;&gt;0,BG22&lt;&gt;0),_xll.xSPRDOPT($BW22,$BV22,$CG22,0,$BY22,$BX22,$BZ22,$AJ22,1,12)*$CB22,0)</f>
        <v>-7.8977235541562107E-2</v>
      </c>
      <c r="BI22" s="137">
        <f>_xll.xSPRDOPT($BW22,$BV22,$CG22,2*LN(1+CA22/2),$BY22,$BX22,$BZ22,$AJ22,1,9)</f>
        <v>3.8604406946507008E-3</v>
      </c>
      <c r="BJ22" s="137">
        <f>_xll.xSPRDOPT($BW22,$BV22,$CG22,0,$BY22,$BX22,$BZ22,$AJ22,1,6)*$CB22</f>
        <v>3.3469972968044361E-3</v>
      </c>
      <c r="BK22" s="137">
        <f>_xll.xSPRDOPT($BW22,$BV22,$CG22,0,$BY22,$BX22,$BZ22,$AJ22,1,5)*$CB22</f>
        <v>-2.2717344060716677E-3</v>
      </c>
      <c r="BL22" s="137">
        <f>_xll.xSPRDOPT(BW22,BV22,CG22,0,BY22,BX22,BZ22,AJ22,1,2)*CB22</f>
        <v>-0.99231276851223327</v>
      </c>
      <c r="BM22" s="137">
        <f>_xll.xSPRDOPT(BW22,BV22,CG22,0,BY22,BX22,BZ22,AJ22,1,1)*CB22</f>
        <v>0.99263177644005673</v>
      </c>
      <c r="BN22" s="137">
        <f>IF(AH22&lt;&gt;0,_xll.xSPRDOPT($BW22,$BV22,$CG22,2*LN(1+CA22/2),$BY22,$BX22,$BZ22,$AJ22,1,8)+(AJ22/365.25)*CH22/AH22,0)</f>
        <v>3.5871334646959782E-2</v>
      </c>
      <c r="BO22" s="137">
        <f>_xll.xSPRDOPT($BW22,$BV22,$CG22,0,$BY22,$BX22,$BZ22,$AJ22,1,0)</f>
        <v>0.29773223203681359</v>
      </c>
      <c r="BP22" s="137"/>
      <c r="BQ22" s="137"/>
      <c r="BR22" s="137"/>
      <c r="BS22" s="137"/>
      <c r="BV22" s="262">
        <v>2.7043568464730288</v>
      </c>
      <c r="BW22" s="136">
        <v>3.0020000000000002</v>
      </c>
      <c r="BX22" s="137">
        <v>0.80762079675510545</v>
      </c>
      <c r="BY22" s="137">
        <v>0.79</v>
      </c>
      <c r="BZ22" s="137">
        <v>0.9957865066416246</v>
      </c>
      <c r="CA22" s="137">
        <v>1.9273175363903501E-2</v>
      </c>
      <c r="CB22" s="137">
        <v>0.99523258517239033</v>
      </c>
      <c r="CC22" s="258">
        <v>-0.45</v>
      </c>
      <c r="CD22" s="258">
        <v>0.155</v>
      </c>
      <c r="CE22" s="258">
        <v>8.5000000000000006E-2</v>
      </c>
      <c r="CF22" s="258">
        <v>1.4999999999999999E-2</v>
      </c>
      <c r="CG22" s="258">
        <v>0</v>
      </c>
      <c r="CH22" s="258">
        <v>13.649017766088232</v>
      </c>
      <c r="CI22" s="258">
        <v>2.9020000000000001</v>
      </c>
    </row>
    <row r="23" spans="1:91" x14ac:dyDescent="0.25">
      <c r="A23" s="723"/>
      <c r="B23" s="723"/>
      <c r="D23" s="31">
        <f t="shared" ref="D23:D43" si="42">D22+AH22</f>
        <v>37361</v>
      </c>
      <c r="F23" s="28">
        <f t="shared" si="12"/>
        <v>9300</v>
      </c>
      <c r="G23" s="28">
        <f t="shared" si="13"/>
        <v>9241.617741755128</v>
      </c>
      <c r="H23" s="52">
        <f t="shared" si="14"/>
        <v>2.6120331950207469</v>
      </c>
      <c r="I23" s="52">
        <f t="shared" si="15"/>
        <v>2.9104999999999999</v>
      </c>
      <c r="K23" s="52">
        <f t="shared" ref="K23:K86" si="43">MAX(((I23-H23)-AQ23)*AU23*AH23,0)</f>
        <v>8.8977939361975231</v>
      </c>
      <c r="L23" s="135">
        <f t="shared" ref="L23:L86" si="44">MAX(Q23-K23,0)</f>
        <v>3.2568490038187292E-6</v>
      </c>
      <c r="N23" s="131">
        <f t="shared" ref="N23:N86" si="45">SQRT(($AX23^2*($AH23/2)+$AW23^2*$AI23)/(($AH23/2)+$AI23))</f>
        <v>0.60633118013178244</v>
      </c>
      <c r="O23" s="131">
        <f t="shared" ref="O23:O86" si="46">SQRT(($AY23^2*($AH23/2)+$AW23^2*$AI23)/(($AH23/2)+$AI23))</f>
        <v>0.60633118013178244</v>
      </c>
      <c r="P23" s="55">
        <f t="shared" ref="P23:P86" si="47">(VLOOKUP(AI23,CorrelationTwo,2)*(AW23^2)*AI23+VLOOKUP(D23,CorrelationOne,$AK$9)*AX23*AY23*(AH23/2))/((AI23+(AH23/2))*O23*N23)*AF23</f>
        <v>0.99748366257522669</v>
      </c>
      <c r="Q23" s="135">
        <f>_xll.xSPRDOPT(I23,H23,AQ23,0,O23,N23,P23,D23-$G$5,1,0)*AH23*AU23</f>
        <v>8.8977971930465269</v>
      </c>
      <c r="R23" s="135"/>
      <c r="S23" s="181">
        <f t="shared" ref="S23:S86" si="48">-T23/(1-AR23)</f>
        <v>-287592.03949477029</v>
      </c>
      <c r="T23" s="181">
        <f>_xll.xSPRDOPT(I23,H23,AQ23,AT23,O23,N23,P23,D23-$G$5,1,1)*AF23*F23*AH23</f>
        <v>277238.72607295855</v>
      </c>
      <c r="U23" s="135"/>
      <c r="V23" s="146">
        <f t="shared" si="16"/>
        <v>13.188682867588609</v>
      </c>
      <c r="W23" s="146"/>
      <c r="X23" s="338">
        <f t="shared" si="17"/>
        <v>0</v>
      </c>
      <c r="Y23" s="338">
        <f t="shared" si="18"/>
        <v>0</v>
      </c>
      <c r="Z23" s="338">
        <f t="shared" si="19"/>
        <v>13.1296102273428</v>
      </c>
      <c r="AA23" s="338">
        <f t="shared" si="20"/>
        <v>-6.6848751309355218E-5</v>
      </c>
      <c r="AB23" s="338">
        <f t="shared" si="21"/>
        <v>0</v>
      </c>
      <c r="AC23" s="338">
        <f t="shared" si="22"/>
        <v>13.198840977895186</v>
      </c>
      <c r="AF23" s="138">
        <f t="shared" si="23"/>
        <v>1</v>
      </c>
      <c r="AG23" s="138">
        <f t="shared" si="24"/>
        <v>4</v>
      </c>
      <c r="AH23" s="138">
        <f t="shared" si="25"/>
        <v>30</v>
      </c>
      <c r="AI23" s="138">
        <f t="shared" ref="AI23:AI43" si="49">AI22+AH22</f>
        <v>105</v>
      </c>
      <c r="AJ23" s="138">
        <f t="shared" si="26"/>
        <v>122</v>
      </c>
      <c r="AL23" s="136">
        <f t="shared" si="27"/>
        <v>2.8479999999999999</v>
      </c>
      <c r="AM23" s="258">
        <f t="shared" si="28"/>
        <v>-0.48499999999999999</v>
      </c>
      <c r="AN23" s="258">
        <f t="shared" si="29"/>
        <v>0.155</v>
      </c>
      <c r="AO23" s="258">
        <f t="shared" si="30"/>
        <v>2.75E-2</v>
      </c>
      <c r="AP23" s="258">
        <f t="shared" si="31"/>
        <v>3.5000000000000003E-2</v>
      </c>
      <c r="AQ23" s="136">
        <f t="shared" si="32"/>
        <v>0</v>
      </c>
      <c r="AR23" s="137">
        <f t="shared" si="33"/>
        <v>3.5999999999999997E-2</v>
      </c>
      <c r="AS23" s="136">
        <f t="shared" ref="AS23:AS86" si="50">(AL23+AM23+AN23)</f>
        <v>2.5179999999999998</v>
      </c>
      <c r="AT23" s="137">
        <f t="shared" ref="AT23:AT86" si="51">VLOOKUP(D23,CurveTbl,$AK$6)</f>
        <v>1.9422640119623601E-2</v>
      </c>
      <c r="AU23" s="137">
        <f t="shared" si="34"/>
        <v>0.99372233782313213</v>
      </c>
      <c r="AV23" s="394">
        <f t="shared" ref="AV23:AV86" si="52">ROUND((F23/(1-AR23))-F23,0)*AF23*AH23*AU23</f>
        <v>10344.649536738805</v>
      </c>
      <c r="AW23" s="137">
        <f t="shared" si="35"/>
        <v>0.61</v>
      </c>
      <c r="AX23" s="137">
        <f t="shared" si="36"/>
        <v>0.57999999999999996</v>
      </c>
      <c r="AY23" s="137">
        <f t="shared" si="37"/>
        <v>0.57999999999999996</v>
      </c>
      <c r="AZ23" s="137"/>
      <c r="BA23" s="264"/>
      <c r="BB23" s="258">
        <f t="shared" si="38"/>
        <v>0</v>
      </c>
      <c r="BC23" s="258">
        <f t="shared" si="39"/>
        <v>0</v>
      </c>
      <c r="BD23" s="137">
        <f t="shared" si="40"/>
        <v>-8.9747494742220546E-5</v>
      </c>
      <c r="BE23" s="137">
        <f t="shared" si="41"/>
        <v>-8.9747494742220546E-5</v>
      </c>
      <c r="BF23" s="137">
        <f>_xll.xSPRDOPT($BW23,$BV23,$CG23,0,$BY23,$BX23,$BZ23,$AJ23,1,4)*$CB23</f>
        <v>3.9668670424812546E-4</v>
      </c>
      <c r="BG23" s="137">
        <f>_xll.xSPRDOPT($BW23,$BV23,$CG23,0,$BY23,$BX23,$BZ23,$AJ23,1,3)*$CB23</f>
        <v>3.1942439854427577E-4</v>
      </c>
      <c r="BH23" s="137">
        <f>IF(OR(BF23&lt;&gt;0,BG23&lt;&gt;0),_xll.xSPRDOPT($BW23,$BV23,$CG23,0,$BY23,$BX23,$BZ23,$AJ23,1,12)*$CB23,0)</f>
        <v>-3.5614007730896751E-4</v>
      </c>
      <c r="BI23" s="137">
        <f>_xll.xSPRDOPT($BW23,$BV23,$CG23,2*LN(1+CA23/2),$BY23,$BX23,$BZ23,$AJ23,1,9)</f>
        <v>5.7294983698171539E-3</v>
      </c>
      <c r="BJ23" s="137">
        <f>_xll.xSPRDOPT($BW23,$BV23,$CG23,0,$BY23,$BX23,$BZ23,$AJ23,1,6)*$CB23</f>
        <v>1.4474142790040979E-6</v>
      </c>
      <c r="BK23" s="137">
        <f>_xll.xSPRDOPT($BW23,$BV23,$CG23,0,$BY23,$BX23,$BZ23,$AJ23,1,5)*$CB23</f>
        <v>1.2223121558286156E-6</v>
      </c>
      <c r="BL23" s="137">
        <f>_xll.xSPRDOPT(BW23,BV23,CG23,0,BY23,BX23,BZ23,AJ23,1,2)*CB23</f>
        <v>-0.9935591970215627</v>
      </c>
      <c r="BM23" s="137">
        <f>_xll.xSPRDOPT(BW23,BV23,CG23,0,BY23,BX23,BZ23,AJ23,1,1)*CB23</f>
        <v>0.99355976709510985</v>
      </c>
      <c r="BN23" s="137">
        <f>IF(AH23&lt;&gt;0,_xll.xSPRDOPT($BW23,$BV23,$CG23,2*LN(1+CA23/2),$BY23,$BX23,$BZ23,$AJ23,1,8)+(AJ23/365.25)*CH23/AH23,0)</f>
        <v>4.7766821816469157E-2</v>
      </c>
      <c r="BO23" s="137">
        <f>_xll.xSPRDOPT($BW23,$BV23,$CG23,0,$BY23,$BX23,$BZ23,$AJ23,1,0)</f>
        <v>0.29846691430248534</v>
      </c>
      <c r="BP23" s="137"/>
      <c r="BQ23" s="137"/>
      <c r="BR23" s="137"/>
      <c r="BS23" s="137"/>
      <c r="BV23" s="262">
        <v>2.6120331950207469</v>
      </c>
      <c r="BW23" s="136">
        <v>2.9104999999999999</v>
      </c>
      <c r="BX23" s="137">
        <v>0.60642092762652466</v>
      </c>
      <c r="BY23" s="137">
        <v>0.60642092762652466</v>
      </c>
      <c r="BZ23" s="137">
        <v>0.99754576325144562</v>
      </c>
      <c r="CA23" s="137">
        <v>1.9422640119623601E-2</v>
      </c>
      <c r="CB23" s="137">
        <v>0.99356458774998258</v>
      </c>
      <c r="CC23" s="258">
        <v>-0.48499999999999999</v>
      </c>
      <c r="CD23" s="258">
        <v>0.155</v>
      </c>
      <c r="CE23" s="258">
        <v>2.75E-2</v>
      </c>
      <c r="CF23" s="258">
        <v>3.5000000000000003E-2</v>
      </c>
      <c r="CG23" s="258">
        <v>0</v>
      </c>
      <c r="CH23" s="258">
        <v>13.18658920861777</v>
      </c>
      <c r="CI23" s="258">
        <v>2.8479999999999999</v>
      </c>
    </row>
    <row r="24" spans="1:91" x14ac:dyDescent="0.25">
      <c r="A24" s="723"/>
      <c r="B24" s="723"/>
      <c r="D24" s="31">
        <f t="shared" si="42"/>
        <v>37391</v>
      </c>
      <c r="F24" s="28">
        <f t="shared" si="12"/>
        <v>9300</v>
      </c>
      <c r="G24" s="28">
        <f t="shared" si="13"/>
        <v>9225.8783187867411</v>
      </c>
      <c r="H24" s="52">
        <f t="shared" si="14"/>
        <v>2.6618257261410787</v>
      </c>
      <c r="I24" s="52">
        <f t="shared" si="15"/>
        <v>2.9584999999999999</v>
      </c>
      <c r="K24" s="52">
        <f t="shared" si="43"/>
        <v>9.1236025031227364</v>
      </c>
      <c r="L24" s="135">
        <f t="shared" si="44"/>
        <v>4.5196998700092195E-5</v>
      </c>
      <c r="N24" s="131">
        <f t="shared" si="45"/>
        <v>0.57775797476853397</v>
      </c>
      <c r="O24" s="131">
        <f t="shared" si="46"/>
        <v>0.58312535051959857</v>
      </c>
      <c r="P24" s="55">
        <f t="shared" si="47"/>
        <v>0.9972032217982495</v>
      </c>
      <c r="Q24" s="135">
        <f>_xll.xSPRDOPT(I24,H24,AQ24,0,O24,N24,P24,D24-$G$5,1,0)*AH24*AU24</f>
        <v>9.1236477001214364</v>
      </c>
      <c r="R24" s="135"/>
      <c r="S24" s="181">
        <f t="shared" si="48"/>
        <v>-296649.37196143769</v>
      </c>
      <c r="T24" s="181">
        <f>_xll.xSPRDOPT(I24,H24,AQ24,AT24,O24,N24,P24,D24-$G$5,1,1)*AF24*F24*AH24</f>
        <v>285969.99457082595</v>
      </c>
      <c r="U24" s="135"/>
      <c r="V24" s="146">
        <f t="shared" si="16"/>
        <v>13.605095227437515</v>
      </c>
      <c r="W24" s="146"/>
      <c r="X24" s="338">
        <f t="shared" si="17"/>
        <v>0</v>
      </c>
      <c r="Y24" s="338">
        <f t="shared" si="18"/>
        <v>0</v>
      </c>
      <c r="Z24" s="338">
        <f t="shared" si="19"/>
        <v>13.599293329334094</v>
      </c>
      <c r="AA24" s="338">
        <f t="shared" si="20"/>
        <v>2.7228957292633558E-3</v>
      </c>
      <c r="AB24" s="338">
        <f t="shared" si="21"/>
        <v>0</v>
      </c>
      <c r="AC24" s="338">
        <f t="shared" si="22"/>
        <v>13.735571200369705</v>
      </c>
      <c r="AF24" s="138">
        <f t="shared" si="23"/>
        <v>1</v>
      </c>
      <c r="AG24" s="138">
        <f t="shared" si="24"/>
        <v>5</v>
      </c>
      <c r="AH24" s="138">
        <f t="shared" si="25"/>
        <v>31</v>
      </c>
      <c r="AI24" s="138">
        <f t="shared" si="49"/>
        <v>135</v>
      </c>
      <c r="AJ24" s="138">
        <f t="shared" si="26"/>
        <v>152</v>
      </c>
      <c r="AL24" s="136">
        <f t="shared" si="27"/>
        <v>2.8959999999999999</v>
      </c>
      <c r="AM24" s="258">
        <f t="shared" si="28"/>
        <v>-0.48499999999999999</v>
      </c>
      <c r="AN24" s="258">
        <f t="shared" si="29"/>
        <v>0.155</v>
      </c>
      <c r="AO24" s="258">
        <f t="shared" si="30"/>
        <v>2.75E-2</v>
      </c>
      <c r="AP24" s="258">
        <f t="shared" si="31"/>
        <v>3.5000000000000003E-2</v>
      </c>
      <c r="AQ24" s="136">
        <f t="shared" si="32"/>
        <v>0</v>
      </c>
      <c r="AR24" s="137">
        <f t="shared" si="33"/>
        <v>3.5999999999999997E-2</v>
      </c>
      <c r="AS24" s="136">
        <f t="shared" si="50"/>
        <v>2.5659999999999998</v>
      </c>
      <c r="AT24" s="137">
        <f t="shared" si="51"/>
        <v>1.9712159578257001E-2</v>
      </c>
      <c r="AU24" s="137">
        <f t="shared" si="34"/>
        <v>0.99202992675126245</v>
      </c>
      <c r="AV24" s="394">
        <f t="shared" si="52"/>
        <v>10671.26592206333</v>
      </c>
      <c r="AW24" s="137">
        <f t="shared" si="35"/>
        <v>0.57750000000000001</v>
      </c>
      <c r="AX24" s="137">
        <f t="shared" si="36"/>
        <v>0.57999999999999996</v>
      </c>
      <c r="AY24" s="137">
        <f t="shared" si="37"/>
        <v>0.63</v>
      </c>
      <c r="AZ24" s="137"/>
      <c r="BA24" s="264"/>
      <c r="BB24" s="258">
        <f t="shared" si="38"/>
        <v>0</v>
      </c>
      <c r="BC24" s="258">
        <f t="shared" si="39"/>
        <v>0</v>
      </c>
      <c r="BD24" s="137">
        <f t="shared" si="40"/>
        <v>5.0407485243653127E-6</v>
      </c>
      <c r="BE24" s="137">
        <f t="shared" si="41"/>
        <v>1.0942167210792331E-4</v>
      </c>
      <c r="BF24" s="137">
        <f>_xll.xSPRDOPT($BW24,$BV24,$CG24,0,$BY24,$BX24,$BZ24,$AJ24,1,4)*$CB24</f>
        <v>4.3946919244327518E-3</v>
      </c>
      <c r="BG24" s="137">
        <f>_xll.xSPRDOPT($BW24,$BV24,$CG24,0,$BY24,$BX24,$BZ24,$AJ24,1,3)*$CB24</f>
        <v>3.5574241405110572E-3</v>
      </c>
      <c r="BH24" s="137">
        <f>IF(OR(BF24&lt;&gt;0,BG24&lt;&gt;0),_xll.xSPRDOPT($BW24,$BV24,$CG24,0,$BY24,$BX24,$BZ24,$AJ24,1,12)*$CB24,0)</f>
        <v>-3.9546589876581512E-3</v>
      </c>
      <c r="BI24" s="137">
        <f>_xll.xSPRDOPT($BW24,$BV24,$CG24,2*LN(1+CA24/2),$BY24,$BX24,$BZ24,$AJ24,1,9)</f>
        <v>5.7430244982532991E-3</v>
      </c>
      <c r="BJ24" s="137">
        <f>_xll.xSPRDOPT($BW24,$BV24,$CG24,0,$BY24,$BX24,$BZ24,$AJ24,1,6)*$CB24</f>
        <v>-4.7303954248043496E-5</v>
      </c>
      <c r="BK24" s="137">
        <f>_xll.xSPRDOPT($BW24,$BV24,$CG24,0,$BY24,$BX24,$BZ24,$AJ24,1,5)*$CB24</f>
        <v>8.8493513419867298E-5</v>
      </c>
      <c r="BL24" s="137">
        <f>_xll.xSPRDOPT(BW24,BV24,CG24,0,BY24,BX24,BZ24,AJ24,1,2)*CB24</f>
        <v>-0.99178861425757348</v>
      </c>
      <c r="BM24" s="137">
        <f>_xll.xSPRDOPT(BW24,BV24,CG24,0,BY24,BX24,BZ24,AJ24,1,1)*CB24</f>
        <v>0.99179725960335208</v>
      </c>
      <c r="BN24" s="137">
        <f>IF(AH24&lt;&gt;0,_xll.xSPRDOPT($BW24,$BV24,$CG24,2*LN(1+CA24/2),$BY24,$BX24,$BZ24,$AJ24,1,8)+(AJ24/365.25)*CH24/AH24,0)</f>
        <v>6.0150606025826989E-2</v>
      </c>
      <c r="BO24" s="137">
        <f>_xll.xSPRDOPT($BW24,$BV24,$CG24,0,$BY24,$BX24,$BZ24,$AJ24,1,0)</f>
        <v>0.29667574586278028</v>
      </c>
      <c r="BP24" s="137"/>
      <c r="BQ24" s="137"/>
      <c r="BR24" s="137"/>
      <c r="BS24" s="137"/>
      <c r="BV24" s="262">
        <v>2.6618257261410787</v>
      </c>
      <c r="BW24" s="136">
        <v>2.9584999999999999</v>
      </c>
      <c r="BX24" s="137">
        <v>0.5777529340200096</v>
      </c>
      <c r="BY24" s="137">
        <v>0.58301592884749065</v>
      </c>
      <c r="BZ24" s="137">
        <v>0.99725653205982701</v>
      </c>
      <c r="CA24" s="137">
        <v>1.9712159578257001E-2</v>
      </c>
      <c r="CB24" s="137">
        <v>0.99187010954216859</v>
      </c>
      <c r="CC24" s="258">
        <v>-0.48499999999999999</v>
      </c>
      <c r="CD24" s="258">
        <v>0.155</v>
      </c>
      <c r="CE24" s="258">
        <v>2.75E-2</v>
      </c>
      <c r="CF24" s="258">
        <v>3.5000000000000003E-2</v>
      </c>
      <c r="CG24" s="258">
        <v>0</v>
      </c>
      <c r="CH24" s="258">
        <v>13.602903430305117</v>
      </c>
      <c r="CI24" s="258">
        <v>2.8959999999999999</v>
      </c>
    </row>
    <row r="25" spans="1:91" x14ac:dyDescent="0.25">
      <c r="A25" s="723"/>
      <c r="B25" s="723"/>
      <c r="D25" s="31">
        <f t="shared" si="42"/>
        <v>37422</v>
      </c>
      <c r="F25" s="28">
        <f t="shared" si="12"/>
        <v>9300</v>
      </c>
      <c r="G25" s="28">
        <f t="shared" si="13"/>
        <v>9209.1869231151231</v>
      </c>
      <c r="H25" s="52">
        <f t="shared" si="14"/>
        <v>2.7136929460580914</v>
      </c>
      <c r="I25" s="52">
        <f t="shared" si="15"/>
        <v>3.0135000000000001</v>
      </c>
      <c r="K25" s="52">
        <f t="shared" si="43"/>
        <v>8.9063845181274051</v>
      </c>
      <c r="L25" s="135">
        <f t="shared" si="44"/>
        <v>4.0032934984779445E-5</v>
      </c>
      <c r="N25" s="131">
        <f t="shared" si="45"/>
        <v>0.5502663217587267</v>
      </c>
      <c r="O25" s="131">
        <f t="shared" si="46"/>
        <v>0.5548034219582415</v>
      </c>
      <c r="P25" s="55">
        <f t="shared" si="47"/>
        <v>0.99751220702947074</v>
      </c>
      <c r="Q25" s="135">
        <f>_xll.xSPRDOPT(I25,H25,AQ25,0,O25,N25,P25,D25-$G$5,1,0)*AH25*AU25</f>
        <v>8.9064245510623898</v>
      </c>
      <c r="R25" s="135"/>
      <c r="S25" s="181">
        <f t="shared" si="48"/>
        <v>-286559.6696831173</v>
      </c>
      <c r="T25" s="181">
        <f>_xll.xSPRDOPT(I25,H25,AQ25,AT25,O25,N25,P25,D25-$G$5,1,1)*AF25*F25*AH25</f>
        <v>276243.52157452505</v>
      </c>
      <c r="U25" s="135"/>
      <c r="V25" s="146">
        <f t="shared" si="16"/>
        <v>13.142400950923003</v>
      </c>
      <c r="W25" s="146"/>
      <c r="X25" s="338">
        <f t="shared" si="17"/>
        <v>0</v>
      </c>
      <c r="Y25" s="338">
        <f t="shared" si="18"/>
        <v>0</v>
      </c>
      <c r="Z25" s="338">
        <f t="shared" si="19"/>
        <v>13.493226265587611</v>
      </c>
      <c r="AA25" s="338">
        <f t="shared" si="20"/>
        <v>2.2544034288464175E-3</v>
      </c>
      <c r="AB25" s="338">
        <f t="shared" si="21"/>
        <v>0</v>
      </c>
      <c r="AC25" s="338">
        <f t="shared" si="22"/>
        <v>13.612011058120766</v>
      </c>
      <c r="AF25" s="138">
        <f t="shared" si="23"/>
        <v>1</v>
      </c>
      <c r="AG25" s="138">
        <f t="shared" si="24"/>
        <v>6</v>
      </c>
      <c r="AH25" s="138">
        <f t="shared" si="25"/>
        <v>30</v>
      </c>
      <c r="AI25" s="138">
        <f t="shared" si="49"/>
        <v>166</v>
      </c>
      <c r="AJ25" s="138">
        <f t="shared" si="26"/>
        <v>183</v>
      </c>
      <c r="AL25" s="136">
        <f t="shared" si="27"/>
        <v>2.9460000000000002</v>
      </c>
      <c r="AM25" s="258">
        <f t="shared" si="28"/>
        <v>-0.48499999999999999</v>
      </c>
      <c r="AN25" s="258">
        <f t="shared" si="29"/>
        <v>0.155</v>
      </c>
      <c r="AO25" s="258">
        <f t="shared" si="30"/>
        <v>2.75E-2</v>
      </c>
      <c r="AP25" s="258">
        <f t="shared" si="31"/>
        <v>0.04</v>
      </c>
      <c r="AQ25" s="136">
        <f t="shared" si="32"/>
        <v>0</v>
      </c>
      <c r="AR25" s="137">
        <f t="shared" si="33"/>
        <v>3.5999999999999997E-2</v>
      </c>
      <c r="AS25" s="136">
        <f t="shared" si="50"/>
        <v>2.6160000000000001</v>
      </c>
      <c r="AT25" s="137">
        <f t="shared" si="51"/>
        <v>2.0011329715354399E-2</v>
      </c>
      <c r="AU25" s="137">
        <f t="shared" si="34"/>
        <v>0.99023515302313159</v>
      </c>
      <c r="AV25" s="394">
        <f t="shared" si="52"/>
        <v>10308.3479429708</v>
      </c>
      <c r="AW25" s="137">
        <f t="shared" si="35"/>
        <v>0.54749999999999999</v>
      </c>
      <c r="AX25" s="137">
        <f t="shared" si="36"/>
        <v>0.57999999999999996</v>
      </c>
      <c r="AY25" s="137">
        <f t="shared" si="37"/>
        <v>0.63</v>
      </c>
      <c r="AZ25" s="137"/>
      <c r="BA25" s="264"/>
      <c r="BB25" s="258">
        <f t="shared" si="38"/>
        <v>0</v>
      </c>
      <c r="BC25" s="258">
        <f t="shared" si="39"/>
        <v>0</v>
      </c>
      <c r="BD25" s="137">
        <f t="shared" si="40"/>
        <v>4.4991539458583141E-5</v>
      </c>
      <c r="BE25" s="137">
        <f t="shared" si="41"/>
        <v>1.1830637855325676E-4</v>
      </c>
      <c r="BF25" s="137">
        <f>_xll.xSPRDOPT($BW25,$BV25,$CG25,0,$BY25,$BX25,$BZ25,$AJ25,1,4)*$CB25</f>
        <v>4.0096839776580665E-3</v>
      </c>
      <c r="BG25" s="137">
        <f>_xll.xSPRDOPT($BW25,$BV25,$CG25,0,$BY25,$BX25,$BZ25,$AJ25,1,3)*$CB25</f>
        <v>3.2514639838100061E-3</v>
      </c>
      <c r="BH25" s="137">
        <f>IF(OR(BF25&lt;&gt;0,BG25&lt;&gt;0),_xll.xSPRDOPT($BW25,$BV25,$CG25,0,$BY25,$BX25,$BZ25,$AJ25,1,12)*$CB25,0)</f>
        <v>-3.6113981318769196E-3</v>
      </c>
      <c r="BI25" s="137">
        <f>_xll.xSPRDOPT($BW25,$BV25,$CG25,2*LN(1+CA25/2),$BY25,$BX25,$BZ25,$AJ25,1,9)</f>
        <v>5.8881731105207584E-3</v>
      </c>
      <c r="BJ25" s="137">
        <f>_xll.xSPRDOPT($BW25,$BV25,$CG25,0,$BY25,$BX25,$BZ25,$AJ25,1,6)*$CB25</f>
        <v>-4.5755489057615827E-5</v>
      </c>
      <c r="BK25" s="137">
        <f>_xll.xSPRDOPT($BW25,$BV25,$CG25,0,$BY25,$BX25,$BZ25,$AJ25,1,5)*$CB25</f>
        <v>8.5700441882275382E-5</v>
      </c>
      <c r="BL25" s="137">
        <f>_xll.xSPRDOPT(BW25,BV25,CG25,0,BY25,BX25,BZ25,AJ25,1,2)*CB25</f>
        <v>-0.98999888594330365</v>
      </c>
      <c r="BM25" s="137">
        <f>_xll.xSPRDOPT(BW25,BV25,CG25,0,BY25,BX25,BZ25,AJ25,1,1)*CB25</f>
        <v>0.99000670378576161</v>
      </c>
      <c r="BN25" s="137">
        <f>IF(AH25&lt;&gt;0,_xll.xSPRDOPT($BW25,$BV25,$CG25,2*LN(1+CA25/2),$BY25,$BX25,$BZ25,$AJ25,1,8)+(AJ25/365.25)*CH25/AH25,0)</f>
        <v>7.0733005449962028E-2</v>
      </c>
      <c r="BO25" s="137">
        <f>_xll.xSPRDOPT($BW25,$BV25,$CG25,0,$BY25,$BX25,$BZ25,$AJ25,1,0)</f>
        <v>0.29980840248032203</v>
      </c>
      <c r="BP25" s="137"/>
      <c r="BQ25" s="137"/>
      <c r="BR25" s="137"/>
      <c r="BS25" s="137"/>
      <c r="BV25" s="262">
        <v>2.7136929460580914</v>
      </c>
      <c r="BW25" s="136">
        <v>3.0135000000000001</v>
      </c>
      <c r="BX25" s="137">
        <v>0.55022133021926811</v>
      </c>
      <c r="BY25" s="137">
        <v>0.55468511557968825</v>
      </c>
      <c r="BZ25" s="137">
        <v>0.9975515155187773</v>
      </c>
      <c r="CA25" s="137">
        <v>2.0011329715354399E-2</v>
      </c>
      <c r="CB25" s="137">
        <v>0.99007321601711695</v>
      </c>
      <c r="CC25" s="258">
        <v>-0.48499999999999999</v>
      </c>
      <c r="CD25" s="258">
        <v>0.155</v>
      </c>
      <c r="CE25" s="258">
        <v>2.75E-2</v>
      </c>
      <c r="CF25" s="258">
        <v>0.04</v>
      </c>
      <c r="CG25" s="258">
        <v>0</v>
      </c>
      <c r="CH25" s="258">
        <v>13.140251722979176</v>
      </c>
      <c r="CI25" s="258">
        <v>2.9460000000000002</v>
      </c>
    </row>
    <row r="26" spans="1:91" x14ac:dyDescent="0.25">
      <c r="A26" s="723"/>
      <c r="B26" s="723"/>
      <c r="D26" s="31">
        <f t="shared" si="42"/>
        <v>37452</v>
      </c>
      <c r="F26" s="28">
        <f t="shared" si="12"/>
        <v>9300</v>
      </c>
      <c r="G26" s="28">
        <f t="shared" si="13"/>
        <v>9191.9542834676358</v>
      </c>
      <c r="H26" s="52">
        <f t="shared" si="14"/>
        <v>2.7531120331950207</v>
      </c>
      <c r="I26" s="52">
        <f t="shared" si="15"/>
        <v>3.0514999999999999</v>
      </c>
      <c r="K26" s="52">
        <f t="shared" si="43"/>
        <v>9.1425618320274236</v>
      </c>
      <c r="L26" s="135">
        <f t="shared" si="44"/>
        <v>2.0540369449406626E-4</v>
      </c>
      <c r="N26" s="131">
        <f t="shared" si="45"/>
        <v>0.54938596714727361</v>
      </c>
      <c r="O26" s="131">
        <f t="shared" si="46"/>
        <v>0.55373746243591337</v>
      </c>
      <c r="P26" s="55">
        <f t="shared" si="47"/>
        <v>0.99745954443377638</v>
      </c>
      <c r="Q26" s="135">
        <f>_xll.xSPRDOPT(I26,H26,AQ26,0,O26,N26,P26,D26-$G$5,1,0)*AH26*AU26</f>
        <v>9.1427672357219176</v>
      </c>
      <c r="R26" s="135"/>
      <c r="S26" s="181">
        <f t="shared" si="48"/>
        <v>-295490.16632167908</v>
      </c>
      <c r="T26" s="181">
        <f>_xll.xSPRDOPT(I26,H26,AQ26,AT26,O26,N26,P26,D26-$G$5,1,1)*AF26*F26*AH26</f>
        <v>284852.5203340986</v>
      </c>
      <c r="U26" s="135"/>
      <c r="V26" s="146">
        <f t="shared" si="16"/>
        <v>13.555068583353609</v>
      </c>
      <c r="W26" s="146"/>
      <c r="X26" s="338">
        <f t="shared" si="17"/>
        <v>0</v>
      </c>
      <c r="Y26" s="338">
        <f t="shared" si="18"/>
        <v>0</v>
      </c>
      <c r="Z26" s="338">
        <f t="shared" si="19"/>
        <v>13.998836196517603</v>
      </c>
      <c r="AA26" s="338">
        <f t="shared" si="20"/>
        <v>1.0749221286259951E-2</v>
      </c>
      <c r="AB26" s="338">
        <f t="shared" si="21"/>
        <v>0</v>
      </c>
      <c r="AC26" s="338">
        <f t="shared" si="22"/>
        <v>14.264560196993298</v>
      </c>
      <c r="AF26" s="138">
        <f t="shared" si="23"/>
        <v>1</v>
      </c>
      <c r="AG26" s="138">
        <f t="shared" si="24"/>
        <v>7</v>
      </c>
      <c r="AH26" s="138">
        <f t="shared" si="25"/>
        <v>31</v>
      </c>
      <c r="AI26" s="138">
        <f t="shared" si="49"/>
        <v>196</v>
      </c>
      <c r="AJ26" s="138">
        <f t="shared" si="26"/>
        <v>213</v>
      </c>
      <c r="AL26" s="136">
        <f t="shared" si="27"/>
        <v>2.984</v>
      </c>
      <c r="AM26" s="258">
        <f t="shared" si="28"/>
        <v>-0.48499999999999999</v>
      </c>
      <c r="AN26" s="258">
        <f t="shared" si="29"/>
        <v>0.155</v>
      </c>
      <c r="AO26" s="258">
        <f t="shared" si="30"/>
        <v>2.75E-2</v>
      </c>
      <c r="AP26" s="258">
        <f t="shared" si="31"/>
        <v>0.04</v>
      </c>
      <c r="AQ26" s="136">
        <f t="shared" si="32"/>
        <v>0</v>
      </c>
      <c r="AR26" s="137">
        <f t="shared" si="33"/>
        <v>3.5999999999999997E-2</v>
      </c>
      <c r="AS26" s="136">
        <f t="shared" si="50"/>
        <v>2.6539999999999999</v>
      </c>
      <c r="AT26" s="137">
        <f t="shared" si="51"/>
        <v>2.0428629809483099E-2</v>
      </c>
      <c r="AU26" s="137">
        <f t="shared" si="34"/>
        <v>0.98838218101802544</v>
      </c>
      <c r="AV26" s="394">
        <f t="shared" si="52"/>
        <v>10632.0271212109</v>
      </c>
      <c r="AW26" s="137">
        <f t="shared" si="35"/>
        <v>0.54249999999999998</v>
      </c>
      <c r="AX26" s="137">
        <f t="shared" si="36"/>
        <v>0.63</v>
      </c>
      <c r="AY26" s="137">
        <f t="shared" si="37"/>
        <v>0.68</v>
      </c>
      <c r="AZ26" s="137"/>
      <c r="BA26" s="264"/>
      <c r="BB26" s="258">
        <f t="shared" si="38"/>
        <v>0</v>
      </c>
      <c r="BC26" s="258">
        <f t="shared" si="39"/>
        <v>0</v>
      </c>
      <c r="BD26" s="137">
        <f t="shared" si="40"/>
        <v>9.5712015904636516E-5</v>
      </c>
      <c r="BE26" s="137">
        <f t="shared" si="41"/>
        <v>1.555944024809186E-4</v>
      </c>
      <c r="BF26" s="137">
        <f>_xll.xSPRDOPT($BW26,$BV26,$CG26,0,$BY26,$BX26,$BZ26,$AJ26,1,4)*$CB26</f>
        <v>1.3979051495834123E-2</v>
      </c>
      <c r="BG26" s="137">
        <f>_xll.xSPRDOPT($BW26,$BV26,$CG26,0,$BY26,$BX26,$BZ26,$AJ26,1,3)*$CB26</f>
        <v>1.1378778348918419E-2</v>
      </c>
      <c r="BH26" s="137">
        <f>IF(OR(BF26&lt;&gt;0,BG26&lt;&gt;0),_xll.xSPRDOPT($BW26,$BV26,$CG26,0,$BY26,$BX26,$BZ26,$AJ26,1,12)*$CB26,0)</f>
        <v>-1.2612894907249461E-2</v>
      </c>
      <c r="BI26" s="137">
        <f>_xll.xSPRDOPT($BW26,$BV26,$CG26,2*LN(1+CA26/2),$BY26,$BX26,$BZ26,$AJ26,1,9)</f>
        <v>5.9117527121956923E-3</v>
      </c>
      <c r="BJ26" s="137">
        <f>_xll.xSPRDOPT($BW26,$BV26,$CG26,0,$BY26,$BX26,$BZ26,$AJ26,1,6)*$CB26</f>
        <v>-1.7921525964313418E-4</v>
      </c>
      <c r="BK26" s="137">
        <f>_xll.xSPRDOPT($BW26,$BV26,$CG26,0,$BY26,$BX26,$BZ26,$AJ26,1,5)*$CB26</f>
        <v>3.4987055802224442E-4</v>
      </c>
      <c r="BL26" s="137">
        <f>_xll.xSPRDOPT(BW26,BV26,CG26,0,BY26,BX26,BZ26,AJ26,1,2)*CB26</f>
        <v>-0.98790290633365729</v>
      </c>
      <c r="BM26" s="137">
        <f>_xll.xSPRDOPT(BW26,BV26,CG26,0,BY26,BX26,BZ26,AJ26,1,1)*CB26</f>
        <v>0.98793579214018379</v>
      </c>
      <c r="BN26" s="137">
        <f>IF(AH26&lt;&gt;0,_xll.xSPRDOPT($BW26,$BV26,$CG26,2*LN(1+CA26/2),$BY26,$BX26,$BZ26,$AJ26,1,8)+(AJ26/365.25)*CH26/AH26,0)</f>
        <v>8.2988962503951602E-2</v>
      </c>
      <c r="BO26" s="137">
        <f>_xll.xSPRDOPT($BW26,$BV26,$CG26,0,$BY26,$BX26,$BZ26,$AJ26,1,0)</f>
        <v>0.29839467535314823</v>
      </c>
      <c r="BP26" s="137"/>
      <c r="BQ26" s="137"/>
      <c r="BR26" s="137"/>
      <c r="BS26" s="137"/>
      <c r="BV26" s="262">
        <v>2.7531120331950207</v>
      </c>
      <c r="BW26" s="136">
        <v>3.0514999999999999</v>
      </c>
      <c r="BX26" s="137">
        <v>0.54929025513136898</v>
      </c>
      <c r="BY26" s="137">
        <v>0.55358186803343246</v>
      </c>
      <c r="BZ26" s="137">
        <v>0.99749351904653105</v>
      </c>
      <c r="CA26" s="137">
        <v>2.0428629809483099E-2</v>
      </c>
      <c r="CB26" s="137">
        <v>0.98821719380072837</v>
      </c>
      <c r="CC26" s="258">
        <v>-0.48499999999999999</v>
      </c>
      <c r="CD26" s="258">
        <v>0.155</v>
      </c>
      <c r="CE26" s="258">
        <v>2.75E-2</v>
      </c>
      <c r="CF26" s="258">
        <v>0.04</v>
      </c>
      <c r="CG26" s="258">
        <v>0</v>
      </c>
      <c r="CH26" s="258">
        <v>13.55280588266071</v>
      </c>
      <c r="CI26" s="258">
        <v>2.984</v>
      </c>
    </row>
    <row r="27" spans="1:91" x14ac:dyDescent="0.25">
      <c r="A27" s="727"/>
      <c r="B27" s="727"/>
      <c r="C27" s="727"/>
      <c r="D27" s="31">
        <f t="shared" si="42"/>
        <v>37483</v>
      </c>
      <c r="F27" s="28">
        <f t="shared" si="12"/>
        <v>9300</v>
      </c>
      <c r="G27" s="28">
        <f t="shared" si="13"/>
        <v>9172.2986909645551</v>
      </c>
      <c r="H27" s="52">
        <f t="shared" si="14"/>
        <v>2.796680497925311</v>
      </c>
      <c r="I27" s="52">
        <f t="shared" si="15"/>
        <v>3.0934999999999997</v>
      </c>
      <c r="K27" s="52">
        <f t="shared" si="43"/>
        <v>9.0750571011080581</v>
      </c>
      <c r="L27" s="135">
        <f t="shared" si="44"/>
        <v>6.4647704491882507E-4</v>
      </c>
      <c r="N27" s="131">
        <f t="shared" si="45"/>
        <v>0.55001555741820785</v>
      </c>
      <c r="O27" s="131">
        <f t="shared" si="46"/>
        <v>0.55409683176234836</v>
      </c>
      <c r="P27" s="55">
        <f t="shared" si="47"/>
        <v>0.99747475298375021</v>
      </c>
      <c r="Q27" s="135">
        <f>_xll.xSPRDOPT(I27,H27,AQ27,0,O27,N27,P27,D27-$G$5,1,0)*AH27*AU27</f>
        <v>9.0757035781529769</v>
      </c>
      <c r="R27" s="135"/>
      <c r="S27" s="181">
        <f t="shared" si="48"/>
        <v>-294709.0831137544</v>
      </c>
      <c r="T27" s="181">
        <f>_xll.xSPRDOPT(I27,H27,AQ27,AT27,O27,N27,P27,D27-$G$5,1,1)*AF27*F27*AH27</f>
        <v>284099.55612165923</v>
      </c>
      <c r="U27" s="135"/>
      <c r="V27" s="146">
        <f t="shared" si="16"/>
        <v>13.526083136275732</v>
      </c>
      <c r="W27" s="146"/>
      <c r="X27" s="338">
        <f t="shared" si="17"/>
        <v>0</v>
      </c>
      <c r="Y27" s="338">
        <f t="shared" si="18"/>
        <v>0</v>
      </c>
      <c r="Z27" s="338">
        <f t="shared" si="19"/>
        <v>14.061827140751367</v>
      </c>
      <c r="AA27" s="338">
        <f t="shared" si="20"/>
        <v>2.9289948450753632E-2</v>
      </c>
      <c r="AB27" s="338">
        <f t="shared" si="21"/>
        <v>0</v>
      </c>
      <c r="AC27" s="338">
        <f t="shared" si="22"/>
        <v>14.600952274637242</v>
      </c>
      <c r="AF27" s="138">
        <f t="shared" si="23"/>
        <v>1</v>
      </c>
      <c r="AG27" s="138">
        <f t="shared" si="24"/>
        <v>8</v>
      </c>
      <c r="AH27" s="138">
        <f t="shared" si="25"/>
        <v>31</v>
      </c>
      <c r="AI27" s="138">
        <f t="shared" si="49"/>
        <v>227</v>
      </c>
      <c r="AJ27" s="138">
        <f t="shared" si="26"/>
        <v>244</v>
      </c>
      <c r="AL27" s="136">
        <f t="shared" si="27"/>
        <v>3.0259999999999998</v>
      </c>
      <c r="AM27" s="258">
        <f t="shared" si="28"/>
        <v>-0.48499999999999999</v>
      </c>
      <c r="AN27" s="258">
        <f t="shared" si="29"/>
        <v>0.155</v>
      </c>
      <c r="AO27" s="258">
        <f t="shared" si="30"/>
        <v>2.75E-2</v>
      </c>
      <c r="AP27" s="258">
        <f t="shared" si="31"/>
        <v>0.04</v>
      </c>
      <c r="AQ27" s="136">
        <f t="shared" si="32"/>
        <v>0</v>
      </c>
      <c r="AR27" s="137">
        <f t="shared" si="33"/>
        <v>3.5999999999999997E-2</v>
      </c>
      <c r="AS27" s="136">
        <f t="shared" si="50"/>
        <v>2.6959999999999997</v>
      </c>
      <c r="AT27" s="137">
        <f t="shared" si="51"/>
        <v>2.1065008234303999E-2</v>
      </c>
      <c r="AU27" s="137">
        <f t="shared" si="34"/>
        <v>0.98626867644780158</v>
      </c>
      <c r="AV27" s="394">
        <f t="shared" si="52"/>
        <v>10609.292152549002</v>
      </c>
      <c r="AW27" s="137">
        <f t="shared" si="35"/>
        <v>0.54</v>
      </c>
      <c r="AX27" s="137">
        <f t="shared" si="36"/>
        <v>0.68</v>
      </c>
      <c r="AY27" s="137">
        <f t="shared" si="37"/>
        <v>0.73</v>
      </c>
      <c r="AZ27" s="137"/>
      <c r="BA27" s="264"/>
      <c r="BB27" s="258">
        <f t="shared" si="38"/>
        <v>0</v>
      </c>
      <c r="BC27" s="258">
        <f t="shared" si="39"/>
        <v>0</v>
      </c>
      <c r="BD27" s="137">
        <f t="shared" si="40"/>
        <v>1.2128874378558585E-4</v>
      </c>
      <c r="BE27" s="137">
        <f t="shared" si="41"/>
        <v>1.7009754209929007E-4</v>
      </c>
      <c r="BF27" s="137">
        <f>_xll.xSPRDOPT($BW27,$BV27,$CG27,0,$BY27,$BX27,$BZ27,$AJ27,1,4)*$CB27</f>
        <v>3.2530362811979172E-2</v>
      </c>
      <c r="BG27" s="137">
        <f>_xll.xSPRDOPT($BW27,$BV27,$CG27,0,$BY27,$BX27,$BZ27,$AJ27,1,3)*$CB27</f>
        <v>2.6587219702793818E-2</v>
      </c>
      <c r="BH27" s="137">
        <f>IF(OR(BF27&lt;&gt;0,BG27&lt;&gt;0),_xll.xSPRDOPT($BW27,$BV27,$CG27,0,$BY27,$BX27,$BZ27,$AJ27,1,12)*$CB27,0)</f>
        <v>-2.940946278195997E-2</v>
      </c>
      <c r="BI27" s="137">
        <f>_xll.xSPRDOPT($BW27,$BV27,$CG27,2*LN(1+CA27/2),$BY27,$BX27,$BZ27,$AJ27,1,9)</f>
        <v>5.9383539867723864E-3</v>
      </c>
      <c r="BJ27" s="137">
        <f>_xll.xSPRDOPT($BW27,$BV27,$CG27,0,$BY27,$BX27,$BZ27,$AJ27,1,6)*$CB27</f>
        <v>-4.5018708187484914E-4</v>
      </c>
      <c r="BK27" s="137">
        <f>_xll.xSPRDOPT($BW27,$BV27,$CG27,0,$BY27,$BX27,$BZ27,$AJ27,1,5)*$CB27</f>
        <v>9.1828491509951288E-4</v>
      </c>
      <c r="BL27" s="137">
        <f>_xll.xSPRDOPT(BW27,BV27,CG27,0,BY27,BX27,BZ27,AJ27,1,2)*CB27</f>
        <v>-0.98524317958832808</v>
      </c>
      <c r="BM27" s="137">
        <f>_xll.xSPRDOPT(BW27,BV27,CG27,0,BY27,BX27,BZ27,AJ27,1,1)*CB27</f>
        <v>0.98533201439775153</v>
      </c>
      <c r="BN27" s="137">
        <f>IF(AH27&lt;&gt;0,_xll.xSPRDOPT($BW27,$BV27,$CG27,2*LN(1+CA27/2),$BY27,$BX27,$BZ27,$AJ27,1,8)+(AJ27/365.25)*CH27/AH27,0)</f>
        <v>9.5887099572582096E-2</v>
      </c>
      <c r="BO27" s="137">
        <f>_xll.xSPRDOPT($BW27,$BV27,$CG27,0,$BY27,$BX27,$BZ27,$AJ27,1,0)</f>
        <v>0.29684065650812619</v>
      </c>
      <c r="BP27" s="137"/>
      <c r="BQ27" s="137"/>
      <c r="BR27" s="137"/>
      <c r="BS27" s="137"/>
      <c r="BV27" s="262">
        <v>2.796680497925311</v>
      </c>
      <c r="BW27" s="136">
        <v>3.0934999999999997</v>
      </c>
      <c r="BX27" s="137">
        <v>0.54989426867442226</v>
      </c>
      <c r="BY27" s="137">
        <v>0.55392673422024907</v>
      </c>
      <c r="BZ27" s="137">
        <v>0.99750397913472599</v>
      </c>
      <c r="CA27" s="137">
        <v>2.1065008234303999E-2</v>
      </c>
      <c r="CB27" s="137">
        <v>0.98609894066797232</v>
      </c>
      <c r="CC27" s="258">
        <v>-0.48499999999999999</v>
      </c>
      <c r="CD27" s="258">
        <v>0.155</v>
      </c>
      <c r="CE27" s="258">
        <v>2.75E-2</v>
      </c>
      <c r="CF27" s="258">
        <v>0.04</v>
      </c>
      <c r="CG27" s="258">
        <v>0</v>
      </c>
      <c r="CH27" s="258">
        <v>13.52375531189684</v>
      </c>
      <c r="CI27" s="258">
        <v>3.0259999999999998</v>
      </c>
    </row>
    <row r="28" spans="1:91" x14ac:dyDescent="0.25">
      <c r="A28" s="723"/>
      <c r="B28" s="723"/>
      <c r="D28" s="31">
        <f t="shared" si="42"/>
        <v>37514</v>
      </c>
      <c r="F28" s="28">
        <f t="shared" si="12"/>
        <v>9300</v>
      </c>
      <c r="G28" s="28">
        <f t="shared" si="13"/>
        <v>9151.7079805785161</v>
      </c>
      <c r="H28" s="52">
        <f t="shared" si="14"/>
        <v>2.7883817427385891</v>
      </c>
      <c r="I28" s="52">
        <f t="shared" si="15"/>
        <v>3.0854999999999997</v>
      </c>
      <c r="K28" s="52">
        <f t="shared" si="43"/>
        <v>8.7714178263059086</v>
      </c>
      <c r="L28" s="135">
        <f t="shared" si="44"/>
        <v>4.9132216024361242E-4</v>
      </c>
      <c r="N28" s="131">
        <f t="shared" si="45"/>
        <v>0.54862064797509713</v>
      </c>
      <c r="O28" s="131">
        <f t="shared" si="46"/>
        <v>0.55213969406142294</v>
      </c>
      <c r="P28" s="55">
        <f t="shared" si="47"/>
        <v>0.99781280915677528</v>
      </c>
      <c r="Q28" s="135">
        <f>_xll.xSPRDOPT(I28,H28,AQ28,0,O28,N28,P28,D28-$G$5,1,0)*AH28*AU28</f>
        <v>8.7719091484661522</v>
      </c>
      <c r="R28" s="135"/>
      <c r="S28" s="181">
        <f t="shared" si="48"/>
        <v>-284599.47104552615</v>
      </c>
      <c r="T28" s="181">
        <f>_xll.xSPRDOPT(I28,H28,AQ28,AT28,O28,N28,P28,D28-$G$5,1,1)*AF28*F28*AH28</f>
        <v>274353.89008788718</v>
      </c>
      <c r="U28" s="135"/>
      <c r="V28" s="146">
        <f t="shared" si="16"/>
        <v>13.060372937444953</v>
      </c>
      <c r="W28" s="146"/>
      <c r="X28" s="338">
        <f t="shared" si="17"/>
        <v>0</v>
      </c>
      <c r="Y28" s="338">
        <f t="shared" si="18"/>
        <v>0</v>
      </c>
      <c r="Z28" s="338">
        <f t="shared" si="19"/>
        <v>14.138533489583555</v>
      </c>
      <c r="AA28" s="338">
        <f t="shared" si="20"/>
        <v>1.7683607080044978E-2</v>
      </c>
      <c r="AB28" s="338">
        <f t="shared" si="21"/>
        <v>0</v>
      </c>
      <c r="AC28" s="338">
        <f t="shared" si="22"/>
        <v>14.538466613872629</v>
      </c>
      <c r="AF28" s="138">
        <f t="shared" si="23"/>
        <v>1</v>
      </c>
      <c r="AG28" s="138">
        <f t="shared" si="24"/>
        <v>9</v>
      </c>
      <c r="AH28" s="138">
        <f t="shared" si="25"/>
        <v>30</v>
      </c>
      <c r="AI28" s="138">
        <f t="shared" si="49"/>
        <v>258</v>
      </c>
      <c r="AJ28" s="138">
        <f t="shared" si="26"/>
        <v>275</v>
      </c>
      <c r="AL28" s="136">
        <f t="shared" si="27"/>
        <v>3.0179999999999998</v>
      </c>
      <c r="AM28" s="258">
        <f t="shared" si="28"/>
        <v>-0.48499999999999999</v>
      </c>
      <c r="AN28" s="258">
        <f t="shared" si="29"/>
        <v>0.155</v>
      </c>
      <c r="AO28" s="258">
        <f t="shared" si="30"/>
        <v>2.75E-2</v>
      </c>
      <c r="AP28" s="258">
        <f t="shared" si="31"/>
        <v>0.04</v>
      </c>
      <c r="AQ28" s="136">
        <f t="shared" si="32"/>
        <v>0</v>
      </c>
      <c r="AR28" s="137">
        <f t="shared" si="33"/>
        <v>3.5999999999999997E-2</v>
      </c>
      <c r="AS28" s="136">
        <f t="shared" si="50"/>
        <v>2.6879999999999997</v>
      </c>
      <c r="AT28" s="137">
        <f t="shared" si="51"/>
        <v>2.1701386796276499E-2</v>
      </c>
      <c r="AU28" s="137">
        <f t="shared" si="34"/>
        <v>0.98405462156758228</v>
      </c>
      <c r="AV28" s="394">
        <f t="shared" si="52"/>
        <v>10244.008610518531</v>
      </c>
      <c r="AW28" s="137">
        <f t="shared" si="35"/>
        <v>0.54</v>
      </c>
      <c r="AX28" s="137">
        <f t="shared" si="36"/>
        <v>0.68</v>
      </c>
      <c r="AY28" s="137">
        <f t="shared" si="37"/>
        <v>0.73</v>
      </c>
      <c r="AZ28" s="137"/>
      <c r="BA28" s="264"/>
      <c r="BB28" s="258">
        <f t="shared" si="38"/>
        <v>0</v>
      </c>
      <c r="BC28" s="258">
        <f t="shared" si="39"/>
        <v>0</v>
      </c>
      <c r="BD28" s="137">
        <f t="shared" si="40"/>
        <v>9.2974383643640301E-5</v>
      </c>
      <c r="BE28" s="137">
        <f t="shared" si="41"/>
        <v>1.3051801922825401E-4</v>
      </c>
      <c r="BF28" s="137">
        <f>_xll.xSPRDOPT($BW28,$BV28,$CG28,0,$BY28,$BX28,$BZ28,$AJ28,1,4)*$CB28</f>
        <v>2.7304304015472684E-2</v>
      </c>
      <c r="BG28" s="137">
        <f>_xll.xSPRDOPT($BW28,$BV28,$CG28,0,$BY28,$BX28,$BZ28,$AJ28,1,3)*$CB28</f>
        <v>2.2298861799778094E-2</v>
      </c>
      <c r="BH28" s="137">
        <f>IF(OR(BF28&lt;&gt;0,BG28&lt;&gt;0),_xll.xSPRDOPT($BW28,$BV28,$CG28,0,$BY28,$BX28,$BZ28,$AJ28,1,12)*$CB28,0)</f>
        <v>-2.4675535591935759E-2</v>
      </c>
      <c r="BI28" s="137">
        <f>_xll.xSPRDOPT($BW28,$BV28,$CG28,2*LN(1+CA28/2),$BY28,$BX28,$BZ28,$AJ28,1,9)</f>
        <v>6.1697722306695265E-3</v>
      </c>
      <c r="BJ28" s="137">
        <f>_xll.xSPRDOPT($BW28,$BV28,$CG28,0,$BY28,$BX28,$BZ28,$AJ28,1,6)*$CB28</f>
        <v>-3.6524728342874881E-4</v>
      </c>
      <c r="BK28" s="137">
        <f>_xll.xSPRDOPT($BW28,$BV28,$CG28,0,$BY28,$BX28,$BZ28,$AJ28,1,5)*$CB28</f>
        <v>7.4580311484517131E-4</v>
      </c>
      <c r="BL28" s="137">
        <f>_xll.xSPRDOPT(BW28,BV28,CG28,0,BY28,BX28,BZ28,AJ28,1,2)*CB28</f>
        <v>-0.98318630154175657</v>
      </c>
      <c r="BM28" s="137">
        <f>_xll.xSPRDOPT(BW28,BV28,CG28,0,BY28,BX28,BZ28,AJ28,1,1)*CB28</f>
        <v>0.98325840834387712</v>
      </c>
      <c r="BN28" s="137">
        <f>IF(AH28&lt;&gt;0,_xll.xSPRDOPT($BW28,$BV28,$CG28,2*LN(1+CA28/2),$BY28,$BX28,$BZ28,$AJ28,1,8)+(AJ28/365.25)*CH28/AH28,0)</f>
        <v>0.10760834576616807</v>
      </c>
      <c r="BO28" s="137">
        <f>_xll.xSPRDOPT($BW28,$BV28,$CG28,0,$BY28,$BX28,$BZ28,$AJ28,1,0)</f>
        <v>0.29713490426126005</v>
      </c>
      <c r="BP28" s="137"/>
      <c r="BQ28" s="137"/>
      <c r="BR28" s="137"/>
      <c r="BS28" s="137"/>
      <c r="BV28" s="262">
        <v>2.7883817427385891</v>
      </c>
      <c r="BW28" s="136">
        <v>3.0854999999999997</v>
      </c>
      <c r="BX28" s="137">
        <v>0.54852767359145349</v>
      </c>
      <c r="BY28" s="137">
        <v>0.55200917604219468</v>
      </c>
      <c r="BZ28" s="137">
        <v>0.9978354929358908</v>
      </c>
      <c r="CA28" s="137">
        <v>2.1701386796276499E-2</v>
      </c>
      <c r="CB28" s="137">
        <v>0.98388017854127463</v>
      </c>
      <c r="CC28" s="258">
        <v>-0.48499999999999999</v>
      </c>
      <c r="CD28" s="258">
        <v>0.155</v>
      </c>
      <c r="CE28" s="258">
        <v>2.75E-2</v>
      </c>
      <c r="CF28" s="258">
        <v>0.04</v>
      </c>
      <c r="CG28" s="258">
        <v>0</v>
      </c>
      <c r="CH28" s="258">
        <v>13.058057729599797</v>
      </c>
      <c r="CI28" s="258">
        <v>3.0179999999999998</v>
      </c>
    </row>
    <row r="29" spans="1:91" x14ac:dyDescent="0.25">
      <c r="A29" s="723"/>
      <c r="B29" s="723"/>
      <c r="D29" s="31">
        <f t="shared" si="42"/>
        <v>37544</v>
      </c>
      <c r="F29" s="28">
        <f t="shared" si="12"/>
        <v>9300</v>
      </c>
      <c r="G29" s="28">
        <f t="shared" si="13"/>
        <v>9130.2038879394895</v>
      </c>
      <c r="H29" s="52">
        <f t="shared" si="14"/>
        <v>2.8018672199170127</v>
      </c>
      <c r="I29" s="52">
        <f t="shared" si="15"/>
        <v>3.0985</v>
      </c>
      <c r="K29" s="52">
        <f t="shared" si="43"/>
        <v>9.0277258733466343</v>
      </c>
      <c r="L29" s="135">
        <f t="shared" si="44"/>
        <v>1.3922614119152854E-3</v>
      </c>
      <c r="N29" s="131">
        <f t="shared" si="45"/>
        <v>0.55129247567847639</v>
      </c>
      <c r="O29" s="131">
        <f t="shared" si="46"/>
        <v>0.554778552374395</v>
      </c>
      <c r="P29" s="55">
        <f t="shared" si="47"/>
        <v>0.99771938127191251</v>
      </c>
      <c r="Q29" s="135">
        <f>_xll.xSPRDOPT(I29,H29,AQ29,0,O29,N29,P29,D29-$G$5,1,0)*AH29*AU29</f>
        <v>9.0291181347585496</v>
      </c>
      <c r="R29" s="135"/>
      <c r="S29" s="181">
        <f t="shared" si="48"/>
        <v>-293134.85273689171</v>
      </c>
      <c r="T29" s="181">
        <f>_xll.xSPRDOPT(I29,H29,AQ29,AT29,O29,N29,P29,D29-$G$5,1,1)*AF29*F29*AH29</f>
        <v>282581.99803836358</v>
      </c>
      <c r="U29" s="135"/>
      <c r="V29" s="146">
        <f t="shared" si="16"/>
        <v>13.464007333414768</v>
      </c>
      <c r="W29" s="146"/>
      <c r="X29" s="338">
        <f t="shared" si="17"/>
        <v>0</v>
      </c>
      <c r="Y29" s="338">
        <f t="shared" si="18"/>
        <v>0</v>
      </c>
      <c r="Z29" s="338">
        <f t="shared" si="19"/>
        <v>14.648698120471369</v>
      </c>
      <c r="AA29" s="338">
        <f t="shared" si="20"/>
        <v>4.5100483827982783E-2</v>
      </c>
      <c r="AB29" s="338">
        <f t="shared" si="21"/>
        <v>0</v>
      </c>
      <c r="AC29" s="338">
        <f t="shared" si="22"/>
        <v>15.453429424687602</v>
      </c>
      <c r="AF29" s="138">
        <f t="shared" si="23"/>
        <v>1</v>
      </c>
      <c r="AG29" s="138">
        <f t="shared" si="24"/>
        <v>10</v>
      </c>
      <c r="AH29" s="138">
        <f t="shared" si="25"/>
        <v>31</v>
      </c>
      <c r="AI29" s="138">
        <f t="shared" si="49"/>
        <v>288</v>
      </c>
      <c r="AJ29" s="138">
        <f t="shared" si="26"/>
        <v>305</v>
      </c>
      <c r="AL29" s="136">
        <f t="shared" si="27"/>
        <v>3.0310000000000001</v>
      </c>
      <c r="AM29" s="258">
        <f t="shared" si="28"/>
        <v>-0.48499999999999999</v>
      </c>
      <c r="AN29" s="258">
        <f t="shared" si="29"/>
        <v>0.155</v>
      </c>
      <c r="AO29" s="258">
        <f t="shared" si="30"/>
        <v>2.75E-2</v>
      </c>
      <c r="AP29" s="258">
        <f t="shared" si="31"/>
        <v>0.04</v>
      </c>
      <c r="AQ29" s="136">
        <f t="shared" si="32"/>
        <v>0</v>
      </c>
      <c r="AR29" s="137">
        <f t="shared" si="33"/>
        <v>3.5999999999999997E-2</v>
      </c>
      <c r="AS29" s="136">
        <f t="shared" si="50"/>
        <v>2.7010000000000001</v>
      </c>
      <c r="AT29" s="137">
        <f t="shared" si="51"/>
        <v>2.2410164045373999E-2</v>
      </c>
      <c r="AU29" s="137">
        <f t="shared" si="34"/>
        <v>0.98174235354188055</v>
      </c>
      <c r="AV29" s="394">
        <f t="shared" si="52"/>
        <v>10560.602497050009</v>
      </c>
      <c r="AW29" s="137">
        <f t="shared" si="35"/>
        <v>0.54</v>
      </c>
      <c r="AX29" s="137">
        <f t="shared" si="36"/>
        <v>0.73</v>
      </c>
      <c r="AY29" s="137">
        <f t="shared" si="37"/>
        <v>0.78</v>
      </c>
      <c r="AZ29" s="137"/>
      <c r="BA29" s="264"/>
      <c r="BB29" s="258">
        <f t="shared" si="38"/>
        <v>0</v>
      </c>
      <c r="BC29" s="258">
        <f t="shared" si="39"/>
        <v>0</v>
      </c>
      <c r="BD29" s="137">
        <f t="shared" si="40"/>
        <v>1.0940877027609819E-4</v>
      </c>
      <c r="BE29" s="137">
        <f t="shared" si="41"/>
        <v>1.4274311435447107E-4</v>
      </c>
      <c r="BF29" s="137">
        <f>_xll.xSPRDOPT($BW29,$BV29,$CG29,0,$BY29,$BX29,$BZ29,$AJ29,1,4)*$CB29</f>
        <v>5.5511097240909066E-2</v>
      </c>
      <c r="BG29" s="137">
        <f>_xll.xSPRDOPT($BW29,$BV29,$CG29,0,$BY29,$BX29,$BZ29,$AJ29,1,3)*$CB29</f>
        <v>4.5391126921676669E-2</v>
      </c>
      <c r="BH29" s="137">
        <f>IF(OR(BF29&lt;&gt;0,BG29&lt;&gt;0),_xll.xSPRDOPT($BW29,$BV29,$CG29,0,$BY29,$BX29,$BZ29,$AJ29,1,12)*$CB29,0)</f>
        <v>-5.0196513339610234E-2</v>
      </c>
      <c r="BI29" s="137">
        <f>_xll.xSPRDOPT($BW29,$BV29,$CG29,2*LN(1+CA29/2),$BY29,$BX29,$BZ29,$AJ29,1,9)</f>
        <v>6.1861914539278161E-3</v>
      </c>
      <c r="BJ29" s="137">
        <f>_xll.xSPRDOPT($BW29,$BV29,$CG29,0,$BY29,$BX29,$BZ29,$AJ29,1,6)*$CB29</f>
        <v>-8.0023071516595714E-4</v>
      </c>
      <c r="BK29" s="137">
        <f>_xll.xSPRDOPT($BW29,$BV29,$CG29,0,$BY29,$BX29,$BZ29,$AJ29,1,5)*$CB29</f>
        <v>1.709281793764875E-3</v>
      </c>
      <c r="BL29" s="137">
        <f>_xll.xSPRDOPT(BW29,BV29,CG29,0,BY29,BX29,BZ29,AJ29,1,2)*CB29</f>
        <v>-0.9799155720323659</v>
      </c>
      <c r="BM29" s="137">
        <f>_xll.xSPRDOPT(BW29,BV29,CG29,0,BY29,BX29,BZ29,AJ29,1,1)*CB29</f>
        <v>0.98008773336375077</v>
      </c>
      <c r="BN29" s="137">
        <f>IF(AH29&lt;&gt;0,_xll.xSPRDOPT($BW29,$BV29,$CG29,2*LN(1+CA29/2),$BY29,$BX29,$BZ29,$AJ29,1,8)+(AJ29/365.25)*CH29/AH29,0)</f>
        <v>0.11944037626105239</v>
      </c>
      <c r="BO29" s="137">
        <f>_xll.xSPRDOPT($BW29,$BV29,$CG29,0,$BY29,$BX29,$BZ29,$AJ29,1,0)</f>
        <v>0.29667853945204348</v>
      </c>
      <c r="BP29" s="137"/>
      <c r="BQ29" s="137"/>
      <c r="BR29" s="137"/>
      <c r="BS29" s="137"/>
      <c r="BV29" s="262">
        <v>2.8018672199170127</v>
      </c>
      <c r="BW29" s="136">
        <v>3.0985</v>
      </c>
      <c r="BX29" s="137">
        <v>0.55118306690820029</v>
      </c>
      <c r="BY29" s="137">
        <v>0.55463580926004052</v>
      </c>
      <c r="BZ29" s="137">
        <v>0.99774049046154001</v>
      </c>
      <c r="CA29" s="137">
        <v>2.2410164045373999E-2</v>
      </c>
      <c r="CB29" s="137">
        <v>0.98156266847823481</v>
      </c>
      <c r="CC29" s="258">
        <v>-0.48499999999999999</v>
      </c>
      <c r="CD29" s="258">
        <v>0.155</v>
      </c>
      <c r="CE29" s="258">
        <v>2.75E-2</v>
      </c>
      <c r="CF29" s="258">
        <v>0.04</v>
      </c>
      <c r="CG29" s="258">
        <v>0</v>
      </c>
      <c r="CH29" s="258">
        <v>13.461543060577904</v>
      </c>
      <c r="CI29" s="258">
        <v>3.0310000000000001</v>
      </c>
    </row>
    <row r="30" spans="1:91" x14ac:dyDescent="0.25">
      <c r="A30" s="723"/>
      <c r="B30" s="723"/>
      <c r="D30" s="31">
        <f t="shared" si="42"/>
        <v>37575</v>
      </c>
      <c r="F30" s="28">
        <f t="shared" si="12"/>
        <v>9300</v>
      </c>
      <c r="G30" s="28">
        <f t="shared" si="13"/>
        <v>9105.85714420779</v>
      </c>
      <c r="H30" s="52">
        <f t="shared" si="14"/>
        <v>3.0456431535269703</v>
      </c>
      <c r="I30" s="52">
        <f t="shared" si="15"/>
        <v>3.3460000000000001</v>
      </c>
      <c r="K30" s="52">
        <f t="shared" si="43"/>
        <v>8.8226017298972899</v>
      </c>
      <c r="L30" s="135">
        <f t="shared" si="44"/>
        <v>3.2382435705713419E-4</v>
      </c>
      <c r="N30" s="131">
        <f t="shared" si="45"/>
        <v>0.56483238995521046</v>
      </c>
      <c r="O30" s="131">
        <f t="shared" si="46"/>
        <v>0.55763051961597798</v>
      </c>
      <c r="P30" s="55">
        <f t="shared" si="47"/>
        <v>0.99867857197472154</v>
      </c>
      <c r="Q30" s="135">
        <f>_xll.xSPRDOPT(I30,H30,AQ30,0,O30,N30,P30,D30-$G$5,1,0)*AH30*AU30</f>
        <v>8.822925554254347</v>
      </c>
      <c r="R30" s="135"/>
      <c r="S30" s="181">
        <f t="shared" si="48"/>
        <v>-283218.08327733283</v>
      </c>
      <c r="T30" s="181">
        <f>_xll.xSPRDOPT(I30,H30,AQ30,AT30,O30,N30,P30,D30-$G$5,1,1)*AF30*F30*AH30</f>
        <v>273022.23227934883</v>
      </c>
      <c r="U30" s="135"/>
      <c r="V30" s="146">
        <f t="shared" si="16"/>
        <v>12.994939356766213</v>
      </c>
      <c r="W30" s="146"/>
      <c r="X30" s="338">
        <f t="shared" si="17"/>
        <v>0</v>
      </c>
      <c r="Y30" s="338">
        <f t="shared" si="18"/>
        <v>0</v>
      </c>
      <c r="Z30" s="338">
        <f t="shared" si="19"/>
        <v>15.409395574820261</v>
      </c>
      <c r="AA30" s="338">
        <f t="shared" si="20"/>
        <v>3.3306622710976369E-2</v>
      </c>
      <c r="AB30" s="338">
        <f t="shared" si="21"/>
        <v>0</v>
      </c>
      <c r="AC30" s="338">
        <f t="shared" si="22"/>
        <v>15.682536135377379</v>
      </c>
      <c r="AF30" s="138">
        <f t="shared" si="23"/>
        <v>1</v>
      </c>
      <c r="AG30" s="138">
        <f t="shared" si="24"/>
        <v>11</v>
      </c>
      <c r="AH30" s="138">
        <f t="shared" si="25"/>
        <v>30</v>
      </c>
      <c r="AI30" s="138">
        <f t="shared" si="49"/>
        <v>319</v>
      </c>
      <c r="AJ30" s="138">
        <f t="shared" si="26"/>
        <v>336</v>
      </c>
      <c r="AL30" s="136">
        <f t="shared" si="27"/>
        <v>3.2109999999999999</v>
      </c>
      <c r="AM30" s="258">
        <f t="shared" si="28"/>
        <v>-0.43</v>
      </c>
      <c r="AN30" s="258">
        <f t="shared" si="29"/>
        <v>0.155</v>
      </c>
      <c r="AO30" s="258">
        <f t="shared" si="30"/>
        <v>9.5000000000000001E-2</v>
      </c>
      <c r="AP30" s="258">
        <f t="shared" si="31"/>
        <v>0.04</v>
      </c>
      <c r="AQ30" s="136">
        <f t="shared" si="32"/>
        <v>0</v>
      </c>
      <c r="AR30" s="137">
        <f t="shared" si="33"/>
        <v>3.5999999999999997E-2</v>
      </c>
      <c r="AS30" s="136">
        <f t="shared" si="50"/>
        <v>2.9359999999999995</v>
      </c>
      <c r="AT30" s="137">
        <f t="shared" si="51"/>
        <v>2.3274064967752799E-2</v>
      </c>
      <c r="AU30" s="137">
        <f t="shared" si="34"/>
        <v>0.97912442410836453</v>
      </c>
      <c r="AV30" s="394">
        <f t="shared" si="52"/>
        <v>10192.685254968075</v>
      </c>
      <c r="AW30" s="137">
        <f t="shared" si="35"/>
        <v>0.54</v>
      </c>
      <c r="AX30" s="137">
        <f t="shared" si="36"/>
        <v>0.95</v>
      </c>
      <c r="AY30" s="137">
        <f t="shared" si="37"/>
        <v>0.85</v>
      </c>
      <c r="AZ30" s="137"/>
      <c r="BA30" s="264"/>
      <c r="BB30" s="258">
        <f t="shared" si="38"/>
        <v>0</v>
      </c>
      <c r="BC30" s="258">
        <f t="shared" si="39"/>
        <v>0</v>
      </c>
      <c r="BD30" s="137">
        <f t="shared" si="40"/>
        <v>2.1624188755753337E-4</v>
      </c>
      <c r="BE30" s="137">
        <f t="shared" si="41"/>
        <v>1.5448854150035274E-4</v>
      </c>
      <c r="BF30" s="137">
        <f>_xll.xSPRDOPT($BW30,$BV30,$CG30,0,$BY30,$BX30,$BZ30,$AJ30,1,4)*$CB30</f>
        <v>1.9613589429552863E-2</v>
      </c>
      <c r="BG30" s="137">
        <f>_xll.xSPRDOPT($BW30,$BV30,$CG30,0,$BY30,$BX30,$BZ30,$AJ30,1,3)*$CB30</f>
        <v>1.6250262343470642E-2</v>
      </c>
      <c r="BH30" s="137">
        <f>IF(OR(BF30&lt;&gt;0,BG30&lt;&gt;0),_xll.xSPRDOPT($BW30,$BV30,$CG30,0,$BY30,$BX30,$BZ30,$AJ30,1,12)*$CB30,0)</f>
        <v>-1.7853476561533247E-2</v>
      </c>
      <c r="BI30" s="137">
        <f>_xll.xSPRDOPT($BW30,$BV30,$CG30,2*LN(1+CA30/2),$BY30,$BX30,$BZ30,$AJ30,1,9)</f>
        <v>6.7243509363238948E-3</v>
      </c>
      <c r="BJ30" s="137">
        <f>_xll.xSPRDOPT($BW30,$BV30,$CG30,0,$BY30,$BX30,$BZ30,$AJ30,1,6)*$CB30</f>
        <v>1.317494577578175E-3</v>
      </c>
      <c r="BK30" s="137">
        <f>_xll.xSPRDOPT($BW30,$BV30,$CG30,0,$BY30,$BX30,$BZ30,$AJ30,1,5)*$CB30</f>
        <v>-1.07139944923965E-3</v>
      </c>
      <c r="BL30" s="137">
        <f>_xll.xSPRDOPT(BW30,BV30,CG30,0,BY30,BX30,BZ30,AJ30,1,2)*CB30</f>
        <v>-0.97846219484002128</v>
      </c>
      <c r="BM30" s="137">
        <f>_xll.xSPRDOPT(BW30,BV30,CG30,0,BY30,BX30,BZ30,AJ30,1,1)*CB30</f>
        <v>0.97850814521335705</v>
      </c>
      <c r="BN30" s="137">
        <f>IF(AH30&lt;&gt;0,_xll.xSPRDOPT($BW30,$BV30,$CG30,2*LN(1+CA30/2),$BY30,$BX30,$BZ30,$AJ30,1,8)+(AJ30/365.25)*CH30/AH30,0)</f>
        <v>0.12790602053210232</v>
      </c>
      <c r="BO30" s="137">
        <f>_xll.xSPRDOPT($BW30,$BV30,$CG30,0,$BY30,$BX30,$BZ30,$AJ30,1,0)</f>
        <v>0.30036787267002213</v>
      </c>
      <c r="BP30" s="137"/>
      <c r="BQ30" s="137"/>
      <c r="BR30" s="137"/>
      <c r="BS30" s="137"/>
      <c r="BV30" s="262">
        <v>3.0456431535269703</v>
      </c>
      <c r="BW30" s="136">
        <v>3.3460000000000001</v>
      </c>
      <c r="BX30" s="137">
        <v>0.56461614806765292</v>
      </c>
      <c r="BY30" s="137">
        <v>0.55747603107447763</v>
      </c>
      <c r="BZ30" s="137">
        <v>0.99868879732912896</v>
      </c>
      <c r="CA30" s="137">
        <v>2.3274064967752799E-2</v>
      </c>
      <c r="CB30" s="137">
        <v>0.97893835036076038</v>
      </c>
      <c r="CC30" s="258">
        <v>-0.43</v>
      </c>
      <c r="CD30" s="258">
        <v>0.155</v>
      </c>
      <c r="CE30" s="258">
        <v>9.5000000000000001E-2</v>
      </c>
      <c r="CF30" s="258">
        <v>0.04</v>
      </c>
      <c r="CG30" s="258">
        <v>0</v>
      </c>
      <c r="CH30" s="258">
        <v>12.992469785988012</v>
      </c>
      <c r="CI30" s="258">
        <v>3.2109999999999999</v>
      </c>
    </row>
    <row r="31" spans="1:91" x14ac:dyDescent="0.25">
      <c r="A31" s="723"/>
      <c r="B31" s="723"/>
      <c r="D31" s="31">
        <f t="shared" si="42"/>
        <v>37605</v>
      </c>
      <c r="F31" s="28">
        <f t="shared" si="12"/>
        <v>9300</v>
      </c>
      <c r="G31" s="28">
        <f t="shared" si="13"/>
        <v>9081.1070103244801</v>
      </c>
      <c r="H31" s="52">
        <f t="shared" si="14"/>
        <v>3.2116182572614105</v>
      </c>
      <c r="I31" s="52">
        <f t="shared" si="15"/>
        <v>3.536</v>
      </c>
      <c r="K31" s="52">
        <f t="shared" si="43"/>
        <v>9.8191510600155922</v>
      </c>
      <c r="L31" s="135">
        <f t="shared" si="44"/>
        <v>2.6126829440187294E-4</v>
      </c>
      <c r="N31" s="131">
        <f t="shared" si="45"/>
        <v>0.58346770939036086</v>
      </c>
      <c r="O31" s="131">
        <f t="shared" si="46"/>
        <v>0.57917009354464755</v>
      </c>
      <c r="P31" s="55">
        <f t="shared" si="47"/>
        <v>0.99882809315247889</v>
      </c>
      <c r="Q31" s="135">
        <f>_xll.xSPRDOPT(I31,H31,AQ31,0,O31,N31,P31,D31-$G$5,1,0)*AH31*AU31</f>
        <v>9.8194123283099941</v>
      </c>
      <c r="R31" s="135"/>
      <c r="S31" s="181">
        <f t="shared" si="48"/>
        <v>-291888.6904186692</v>
      </c>
      <c r="T31" s="181">
        <f>_xll.xSPRDOPT(I31,H31,AQ31,AT31,O31,N31,P31,D31-$G$5,1,1)*AF31*F31*AH31</f>
        <v>281380.69756359712</v>
      </c>
      <c r="U31" s="135"/>
      <c r="V31" s="146">
        <f t="shared" si="16"/>
        <v>13.391605804558502</v>
      </c>
      <c r="W31" s="146"/>
      <c r="X31" s="338">
        <f t="shared" si="17"/>
        <v>0</v>
      </c>
      <c r="Y31" s="338">
        <f t="shared" si="18"/>
        <v>0</v>
      </c>
      <c r="Z31" s="338">
        <f t="shared" si="19"/>
        <v>17.832075045212729</v>
      </c>
      <c r="AA31" s="338">
        <f t="shared" si="20"/>
        <v>2.4700376620665904E-2</v>
      </c>
      <c r="AB31" s="338">
        <f t="shared" si="21"/>
        <v>0</v>
      </c>
      <c r="AC31" s="338">
        <f t="shared" si="22"/>
        <v>18.080605542817246</v>
      </c>
      <c r="AF31" s="138">
        <f t="shared" si="23"/>
        <v>1</v>
      </c>
      <c r="AG31" s="138">
        <f t="shared" si="24"/>
        <v>12</v>
      </c>
      <c r="AH31" s="138">
        <f t="shared" si="25"/>
        <v>31</v>
      </c>
      <c r="AI31" s="138">
        <f t="shared" si="49"/>
        <v>349</v>
      </c>
      <c r="AJ31" s="138">
        <f t="shared" si="26"/>
        <v>366</v>
      </c>
      <c r="AL31" s="136">
        <f t="shared" si="27"/>
        <v>3.371</v>
      </c>
      <c r="AM31" s="258">
        <f t="shared" si="28"/>
        <v>-0.43</v>
      </c>
      <c r="AN31" s="258">
        <f t="shared" si="29"/>
        <v>0.155</v>
      </c>
      <c r="AO31" s="258">
        <f t="shared" si="30"/>
        <v>0.125</v>
      </c>
      <c r="AP31" s="258">
        <f t="shared" si="31"/>
        <v>0.04</v>
      </c>
      <c r="AQ31" s="136">
        <f t="shared" si="32"/>
        <v>0</v>
      </c>
      <c r="AR31" s="137">
        <f t="shared" si="33"/>
        <v>3.5999999999999997E-2</v>
      </c>
      <c r="AS31" s="136">
        <f t="shared" si="50"/>
        <v>3.0959999999999996</v>
      </c>
      <c r="AT31" s="137">
        <f t="shared" si="51"/>
        <v>2.4110098358835999E-2</v>
      </c>
      <c r="AU31" s="137">
        <f t="shared" si="34"/>
        <v>0.97646311938972907</v>
      </c>
      <c r="AV31" s="394">
        <f t="shared" si="52"/>
        <v>10503.813775275315</v>
      </c>
      <c r="AW31" s="137">
        <f t="shared" si="35"/>
        <v>0.54</v>
      </c>
      <c r="AX31" s="137">
        <f t="shared" si="36"/>
        <v>1.2</v>
      </c>
      <c r="AY31" s="137">
        <f t="shared" si="37"/>
        <v>1.1499999999999999</v>
      </c>
      <c r="AZ31" s="137"/>
      <c r="BA31" s="264"/>
      <c r="BB31" s="258">
        <f t="shared" si="38"/>
        <v>0</v>
      </c>
      <c r="BC31" s="258">
        <f t="shared" si="39"/>
        <v>0</v>
      </c>
      <c r="BD31" s="137">
        <f t="shared" si="40"/>
        <v>3.4172097332341167E-4</v>
      </c>
      <c r="BE31" s="137">
        <f t="shared" si="41"/>
        <v>3.0902553746003925E-4</v>
      </c>
      <c r="BF31" s="137">
        <f>_xll.xSPRDOPT($BW31,$BV31,$CG31,0,$BY31,$BX31,$BZ31,$AJ31,1,4)*$CB31</f>
        <v>1.4314560641492384E-2</v>
      </c>
      <c r="BG31" s="137">
        <f>_xll.xSPRDOPT($BW31,$BV31,$CG31,0,$BY31,$BX31,$BZ31,$AJ31,1,3)*$CB31</f>
        <v>1.180858020205906E-2</v>
      </c>
      <c r="BH31" s="137">
        <f>IF(OR(BF31&lt;&gt;0,BG31&lt;&gt;0),_xll.xSPRDOPT($BW31,$BV31,$CG31,0,$BY31,$BX31,$BZ31,$AJ31,1,12)*$CB31,0)</f>
        <v>-1.3001987436358673E-2</v>
      </c>
      <c r="BI31" s="137">
        <f>_xll.xSPRDOPT($BW31,$BV31,$CG31,2*LN(1+CA31/2),$BY31,$BX31,$BZ31,$AJ31,1,9)</f>
        <v>7.5305415773661115E-3</v>
      </c>
      <c r="BJ31" s="137">
        <f>_xll.xSPRDOPT($BW31,$BV31,$CG31,0,$BY31,$BX31,$BZ31,$AJ31,1,6)*$CB31</f>
        <v>7.3087638260458147E-4</v>
      </c>
      <c r="BK31" s="137">
        <f>_xll.xSPRDOPT($BW31,$BV31,$CG31,0,$BY31,$BX31,$BZ31,$AJ31,1,5)*$CB31</f>
        <v>-5.3095883069701464E-4</v>
      </c>
      <c r="BL31" s="137">
        <f>_xll.xSPRDOPT(BW31,BV31,CG31,0,BY31,BX31,BZ31,AJ31,1,2)*CB31</f>
        <v>-0.97591200558991686</v>
      </c>
      <c r="BM31" s="137">
        <f>_xll.xSPRDOPT(BW31,BV31,CG31,0,BY31,BX31,BZ31,AJ31,1,1)*CB31</f>
        <v>0.9759472971914015</v>
      </c>
      <c r="BN31" s="137">
        <f>IF(AH31&lt;&gt;0,_xll.xSPRDOPT($BW31,$BV31,$CG31,2*LN(1+CA31/2),$BY31,$BX31,$BZ31,$AJ31,1,8)+(AJ31/365.25)*CH31/AH31,0)</f>
        <v>0.11544593456533658</v>
      </c>
      <c r="BO31" s="137">
        <f>_xll.xSPRDOPT($BW31,$BV31,$CG31,0,$BY31,$BX31,$BZ31,$AJ31,1,0)</f>
        <v>0.32439037586896707</v>
      </c>
      <c r="BP31" s="137"/>
      <c r="BQ31" s="137"/>
      <c r="BR31" s="137"/>
      <c r="BS31" s="137"/>
      <c r="BV31" s="262">
        <v>3.2116182572614105</v>
      </c>
      <c r="BW31" s="136">
        <v>3.536</v>
      </c>
      <c r="BX31" s="137">
        <v>0.58312598841703744</v>
      </c>
      <c r="BY31" s="137">
        <v>0.57886106800718751</v>
      </c>
      <c r="BZ31" s="137">
        <v>0.99883616635270389</v>
      </c>
      <c r="CA31" s="137">
        <v>2.4110098358835999E-2</v>
      </c>
      <c r="CB31" s="137">
        <v>0.97627092599980836</v>
      </c>
      <c r="CC31" s="258">
        <v>-0.43</v>
      </c>
      <c r="CD31" s="258">
        <v>0.155</v>
      </c>
      <c r="CE31" s="258">
        <v>0.125</v>
      </c>
      <c r="CF31" s="258">
        <v>0.04</v>
      </c>
      <c r="CG31" s="258">
        <v>0</v>
      </c>
      <c r="CH31" s="258">
        <v>13.388969987531773</v>
      </c>
      <c r="CI31" s="258">
        <v>3.371</v>
      </c>
    </row>
    <row r="32" spans="1:91" x14ac:dyDescent="0.25">
      <c r="A32" s="723"/>
      <c r="B32" s="723"/>
      <c r="D32" s="31">
        <f t="shared" si="42"/>
        <v>37636</v>
      </c>
      <c r="F32" s="28">
        <f t="shared" si="12"/>
        <v>9300</v>
      </c>
      <c r="G32" s="28">
        <f t="shared" si="13"/>
        <v>9053.6934329453143</v>
      </c>
      <c r="H32" s="52">
        <f t="shared" si="14"/>
        <v>3.2894190871369293</v>
      </c>
      <c r="I32" s="52">
        <f t="shared" si="15"/>
        <v>3.6310000000000002</v>
      </c>
      <c r="K32" s="52">
        <f t="shared" si="43"/>
        <v>10.308562892026169</v>
      </c>
      <c r="L32" s="135">
        <f t="shared" si="44"/>
        <v>2.5817084775425769E-4</v>
      </c>
      <c r="N32" s="131">
        <f t="shared" si="45"/>
        <v>0.58040991007805343</v>
      </c>
      <c r="O32" s="131">
        <f t="shared" si="46"/>
        <v>0.57632730332360438</v>
      </c>
      <c r="P32" s="55">
        <f t="shared" si="47"/>
        <v>0.99885818279408323</v>
      </c>
      <c r="Q32" s="135">
        <f>_xll.xSPRDOPT(I32,H32,AQ32,0,O32,N32,P32,D32-$G$5,1,0)*AH32*AU32</f>
        <v>10.308821062873923</v>
      </c>
      <c r="R32" s="135"/>
      <c r="S32" s="181">
        <f t="shared" si="48"/>
        <v>-291005.56203042774</v>
      </c>
      <c r="T32" s="181">
        <f>_xll.xSPRDOPT(I32,H32,AQ32,AT32,O32,N32,P32,D32-$G$5,1,1)*AF32*F32*AH32</f>
        <v>280529.36179733236</v>
      </c>
      <c r="U32" s="135"/>
      <c r="V32" s="146">
        <f t="shared" si="16"/>
        <v>13.351179915783359</v>
      </c>
      <c r="W32" s="146"/>
      <c r="X32" s="338">
        <f t="shared" si="17"/>
        <v>0</v>
      </c>
      <c r="Y32" s="338">
        <f t="shared" si="18"/>
        <v>0</v>
      </c>
      <c r="Z32" s="338">
        <f t="shared" si="19"/>
        <v>19.461305294869931</v>
      </c>
      <c r="AA32" s="338">
        <f t="shared" si="20"/>
        <v>2.2249860369379315E-2</v>
      </c>
      <c r="AB32" s="338">
        <f t="shared" si="21"/>
        <v>0</v>
      </c>
      <c r="AC32" s="338">
        <f t="shared" si="22"/>
        <v>19.712479264965729</v>
      </c>
      <c r="AF32" s="138">
        <f t="shared" si="23"/>
        <v>1</v>
      </c>
      <c r="AG32" s="138">
        <f t="shared" si="24"/>
        <v>1</v>
      </c>
      <c r="AH32" s="138">
        <f t="shared" si="25"/>
        <v>31</v>
      </c>
      <c r="AI32" s="138">
        <f t="shared" si="49"/>
        <v>380</v>
      </c>
      <c r="AJ32" s="138">
        <f t="shared" si="26"/>
        <v>397</v>
      </c>
      <c r="AL32" s="136">
        <f t="shared" si="27"/>
        <v>3.4460000000000002</v>
      </c>
      <c r="AM32" s="258">
        <f t="shared" si="28"/>
        <v>-0.43</v>
      </c>
      <c r="AN32" s="258">
        <f t="shared" si="29"/>
        <v>0.155</v>
      </c>
      <c r="AO32" s="258">
        <f t="shared" si="30"/>
        <v>0.14499999999999999</v>
      </c>
      <c r="AP32" s="258">
        <f t="shared" si="31"/>
        <v>0.04</v>
      </c>
      <c r="AQ32" s="136">
        <f t="shared" si="32"/>
        <v>0</v>
      </c>
      <c r="AR32" s="137">
        <f t="shared" si="33"/>
        <v>3.5999999999999997E-2</v>
      </c>
      <c r="AS32" s="136">
        <f t="shared" si="50"/>
        <v>3.1709999999999998</v>
      </c>
      <c r="AT32" s="137">
        <f t="shared" si="51"/>
        <v>2.50384261928196E-2</v>
      </c>
      <c r="AU32" s="137">
        <f t="shared" si="34"/>
        <v>0.97351542289734561</v>
      </c>
      <c r="AV32" s="394">
        <f t="shared" si="52"/>
        <v>10472.105404106747</v>
      </c>
      <c r="AW32" s="137">
        <f t="shared" si="35"/>
        <v>0.53749999999999998</v>
      </c>
      <c r="AX32" s="137">
        <f t="shared" si="36"/>
        <v>1.23</v>
      </c>
      <c r="AY32" s="137">
        <f t="shared" si="37"/>
        <v>1.18</v>
      </c>
      <c r="AZ32" s="137"/>
      <c r="BA32" s="264"/>
      <c r="BB32" s="258">
        <f t="shared" si="38"/>
        <v>0</v>
      </c>
      <c r="BC32" s="258">
        <f t="shared" si="39"/>
        <v>0</v>
      </c>
      <c r="BD32" s="137">
        <f t="shared" si="40"/>
        <v>3.1117805404756727E-4</v>
      </c>
      <c r="BE32" s="137">
        <f t="shared" si="41"/>
        <v>2.8252396234673682E-4</v>
      </c>
      <c r="BF32" s="137">
        <f>_xll.xSPRDOPT($BW32,$BV32,$CG32,0,$BY32,$BX32,$BZ32,$AJ32,1,4)*$CB32</f>
        <v>1.2989252986667118E-2</v>
      </c>
      <c r="BG32" s="137">
        <f>_xll.xSPRDOPT($BW32,$BV32,$CG32,0,$BY32,$BX32,$BZ32,$AJ32,1,3)*$CB32</f>
        <v>1.0660219767904983E-2</v>
      </c>
      <c r="BH32" s="137">
        <f>IF(OR(BF32&lt;&gt;0,BG32&lt;&gt;0),_xll.xSPRDOPT($BW32,$BV32,$CG32,0,$BY32,$BX32,$BZ32,$AJ32,1,12)*$CB32,0)</f>
        <v>-1.1767885045112619E-2</v>
      </c>
      <c r="BI32" s="137">
        <f>_xll.xSPRDOPT($BW32,$BV32,$CG32,2*LN(1+CA32/2),$BY32,$BX32,$BZ32,$AJ32,1,9)</f>
        <v>8.218570654354539E-3</v>
      </c>
      <c r="BJ32" s="137">
        <f>_xll.xSPRDOPT($BW32,$BV32,$CG32,0,$BY32,$BX32,$BZ32,$AJ32,1,6)*$CB32</f>
        <v>7.1937126517113473E-4</v>
      </c>
      <c r="BK32" s="137">
        <f>_xll.xSPRDOPT($BW32,$BV32,$CG32,0,$BY32,$BX32,$BZ32,$AJ32,1,5)*$CB32</f>
        <v>-5.1916475097128127E-4</v>
      </c>
      <c r="BL32" s="137">
        <f>_xll.xSPRDOPT(BW32,BV32,CG32,0,BY32,BX32,BZ32,AJ32,1,2)*CB32</f>
        <v>-0.97297667962803769</v>
      </c>
      <c r="BM32" s="137">
        <f>_xll.xSPRDOPT(BW32,BV32,CG32,0,BY32,BX32,BZ32,AJ32,1,1)*CB32</f>
        <v>0.97301092073390683</v>
      </c>
      <c r="BN32" s="137">
        <f>IF(AH32&lt;&gt;0,_xll.xSPRDOPT($BW32,$BV32,$CG32,2*LN(1+CA32/2),$BY32,$BX32,$BZ32,$AJ32,1,8)+(AJ32/365.25)*CH32/AH32,0)</f>
        <v>0.10664985265783522</v>
      </c>
      <c r="BO32" s="137">
        <f>_xll.xSPRDOPT($BW32,$BV32,$CG32,0,$BY32,$BX32,$BZ32,$AJ32,1,0)</f>
        <v>0.34158946917707095</v>
      </c>
      <c r="BP32" s="137"/>
      <c r="BQ32" s="137"/>
      <c r="BR32" s="137"/>
      <c r="BS32" s="137"/>
      <c r="BV32" s="262">
        <v>3.2894190871369293</v>
      </c>
      <c r="BW32" s="136">
        <v>3.6310000000000002</v>
      </c>
      <c r="BX32" s="137">
        <v>0.58009873202400586</v>
      </c>
      <c r="BY32" s="137">
        <v>0.57604477936125764</v>
      </c>
      <c r="BZ32" s="137">
        <v>0.9988654535795678</v>
      </c>
      <c r="CA32" s="137">
        <v>2.50384261928196E-2</v>
      </c>
      <c r="CB32" s="137">
        <v>0.97331647833327972</v>
      </c>
      <c r="CC32" s="258">
        <v>-0.43</v>
      </c>
      <c r="CD32" s="258">
        <v>0.155</v>
      </c>
      <c r="CE32" s="258">
        <v>0.14499999999999999</v>
      </c>
      <c r="CF32" s="258">
        <v>0.04</v>
      </c>
      <c r="CG32" s="258">
        <v>0</v>
      </c>
      <c r="CH32" s="258">
        <v>13.348451510453932</v>
      </c>
      <c r="CI32" s="258">
        <v>3.4460000000000002</v>
      </c>
    </row>
    <row r="33" spans="1:87" x14ac:dyDescent="0.25">
      <c r="A33" s="723"/>
      <c r="B33" s="723"/>
      <c r="D33" s="31">
        <f t="shared" si="42"/>
        <v>37667</v>
      </c>
      <c r="F33" s="28">
        <f t="shared" si="12"/>
        <v>9300</v>
      </c>
      <c r="G33" s="28">
        <f t="shared" si="13"/>
        <v>9024.1510563164829</v>
      </c>
      <c r="H33" s="52">
        <f t="shared" si="14"/>
        <v>3.2116182572614105</v>
      </c>
      <c r="I33" s="52">
        <f t="shared" si="15"/>
        <v>3.5460000000000003</v>
      </c>
      <c r="K33" s="52">
        <f t="shared" si="43"/>
        <v>9.0849804295190282</v>
      </c>
      <c r="L33" s="135">
        <f t="shared" si="44"/>
        <v>1.0616423859133306E-4</v>
      </c>
      <c r="N33" s="131">
        <f t="shared" si="45"/>
        <v>0.56473610443025402</v>
      </c>
      <c r="O33" s="131">
        <f t="shared" si="46"/>
        <v>0.56121070542386564</v>
      </c>
      <c r="P33" s="55">
        <f t="shared" si="47"/>
        <v>0.99898456708625261</v>
      </c>
      <c r="Q33" s="135">
        <f>_xll.xSPRDOPT(I33,H33,AQ33,0,O33,N33,P33,D33-$G$5,1,0)*AH33*AU33</f>
        <v>9.0850865937576195</v>
      </c>
      <c r="R33" s="135"/>
      <c r="S33" s="181">
        <f t="shared" si="48"/>
        <v>-262019.08288271591</v>
      </c>
      <c r="T33" s="181">
        <f>_xll.xSPRDOPT(I33,H33,AQ33,AT33,O33,N33,P33,D33-$G$5,1,1)*AF33*F33*AH33</f>
        <v>252586.39589893812</v>
      </c>
      <c r="U33" s="135"/>
      <c r="V33" s="146">
        <f t="shared" si="16"/>
        <v>12.019781071484251</v>
      </c>
      <c r="W33" s="146"/>
      <c r="X33" s="338">
        <f t="shared" si="17"/>
        <v>0</v>
      </c>
      <c r="Y33" s="338">
        <f t="shared" si="18"/>
        <v>0</v>
      </c>
      <c r="Z33" s="338">
        <f t="shared" si="19"/>
        <v>17.900756361468996</v>
      </c>
      <c r="AA33" s="338">
        <f t="shared" si="20"/>
        <v>8.2857459737094036E-3</v>
      </c>
      <c r="AB33" s="338">
        <f t="shared" si="21"/>
        <v>0</v>
      </c>
      <c r="AC33" s="338">
        <f t="shared" si="22"/>
        <v>18.070695988753862</v>
      </c>
      <c r="AF33" s="138">
        <f t="shared" si="23"/>
        <v>1</v>
      </c>
      <c r="AG33" s="138">
        <f t="shared" si="24"/>
        <v>2</v>
      </c>
      <c r="AH33" s="138">
        <f t="shared" si="25"/>
        <v>28</v>
      </c>
      <c r="AI33" s="138">
        <f t="shared" si="49"/>
        <v>411</v>
      </c>
      <c r="AJ33" s="138">
        <f t="shared" si="26"/>
        <v>428</v>
      </c>
      <c r="AL33" s="136">
        <f t="shared" si="27"/>
        <v>3.371</v>
      </c>
      <c r="AM33" s="258">
        <f t="shared" si="28"/>
        <v>-0.43</v>
      </c>
      <c r="AN33" s="258">
        <f t="shared" si="29"/>
        <v>0.155</v>
      </c>
      <c r="AO33" s="258">
        <f t="shared" si="30"/>
        <v>0.13500000000000001</v>
      </c>
      <c r="AP33" s="258">
        <f t="shared" si="31"/>
        <v>0.04</v>
      </c>
      <c r="AQ33" s="136">
        <f t="shared" si="32"/>
        <v>0</v>
      </c>
      <c r="AR33" s="137">
        <f t="shared" si="33"/>
        <v>3.5999999999999997E-2</v>
      </c>
      <c r="AS33" s="136">
        <f t="shared" si="50"/>
        <v>3.0959999999999996</v>
      </c>
      <c r="AT33" s="137">
        <f t="shared" si="51"/>
        <v>2.6044986419747399E-2</v>
      </c>
      <c r="AU33" s="137">
        <f t="shared" si="34"/>
        <v>0.97033882325983689</v>
      </c>
      <c r="AV33" s="394">
        <f t="shared" si="52"/>
        <v>9427.8120067925756</v>
      </c>
      <c r="AW33" s="137">
        <f t="shared" si="35"/>
        <v>0.52749999999999997</v>
      </c>
      <c r="AX33" s="137">
        <f t="shared" si="36"/>
        <v>1.23</v>
      </c>
      <c r="AY33" s="137">
        <f t="shared" si="37"/>
        <v>1.18</v>
      </c>
      <c r="AZ33" s="137"/>
      <c r="BA33" s="264"/>
      <c r="BB33" s="258">
        <f t="shared" si="38"/>
        <v>0</v>
      </c>
      <c r="BC33" s="258">
        <f t="shared" si="39"/>
        <v>0</v>
      </c>
      <c r="BD33" s="137">
        <f t="shared" si="40"/>
        <v>2.524525639673314E-4</v>
      </c>
      <c r="BE33" s="137">
        <f t="shared" si="41"/>
        <v>2.2924009791358557E-4</v>
      </c>
      <c r="BF33" s="137">
        <f>_xll.xSPRDOPT($BW33,$BV33,$CG33,0,$BY33,$BX33,$BZ33,$AJ33,1,4)*$CB33</f>
        <v>7.4254840909699568E-3</v>
      </c>
      <c r="BG33" s="137">
        <f>_xll.xSPRDOPT($BW33,$BV33,$CG33,0,$BY33,$BX33,$BZ33,$AJ33,1,3)*$CB33</f>
        <v>6.0909936434007175E-3</v>
      </c>
      <c r="BH33" s="137">
        <f>IF(OR(BF33&lt;&gt;0,BG33&lt;&gt;0),_xll.xSPRDOPT($BW33,$BV33,$CG33,0,$BY33,$BX33,$BZ33,$AJ33,1,12)*$CB33,0)</f>
        <v>-6.7258785809520853E-3</v>
      </c>
      <c r="BI33" s="137">
        <f>_xll.xSPRDOPT($BW33,$BV33,$CG33,2*LN(1+CA33/2),$BY33,$BX33,$BZ33,$AJ33,1,9)</f>
        <v>8.3694972619387485E-3</v>
      </c>
      <c r="BJ33" s="137">
        <f>_xll.xSPRDOPT($BW33,$BV33,$CG33,0,$BY33,$BX33,$BZ33,$AJ33,1,6)*$CB33</f>
        <v>3.65365899285236E-4</v>
      </c>
      <c r="BK33" s="137">
        <f>_xll.xSPRDOPT($BW33,$BV33,$CG33,0,$BY33,$BX33,$BZ33,$AJ33,1,5)*$CB33</f>
        <v>-2.635588522094264E-4</v>
      </c>
      <c r="BL33" s="137">
        <f>_xll.xSPRDOPT(BW33,BV33,CG33,0,BY33,BX33,BZ33,AJ33,1,2)*CB33</f>
        <v>-0.96996012060699022</v>
      </c>
      <c r="BM33" s="137">
        <f>_xll.xSPRDOPT(BW33,BV33,CG33,0,BY33,BX33,BZ33,AJ33,1,1)*CB33</f>
        <v>0.96997743688333282</v>
      </c>
      <c r="BN33" s="137">
        <f>IF(AH33&lt;&gt;0,_xll.xSPRDOPT($BW33,$BV33,$CG33,2*LN(1+CA33/2),$BY33,$BX33,$BZ33,$AJ33,1,8)+(AJ33/365.25)*CH33/AH33,0)</f>
        <v>0.12279087746764422</v>
      </c>
      <c r="BO33" s="137">
        <f>_xll.xSPRDOPT($BW33,$BV33,$CG33,0,$BY33,$BX33,$BZ33,$AJ33,1,0)</f>
        <v>0.33438565014084459</v>
      </c>
      <c r="BP33" s="137"/>
      <c r="BQ33" s="137"/>
      <c r="BR33" s="137"/>
      <c r="BS33" s="137"/>
      <c r="BV33" s="262">
        <v>3.2116182572614105</v>
      </c>
      <c r="BW33" s="136">
        <v>3.5460000000000003</v>
      </c>
      <c r="BX33" s="137">
        <v>0.56448365186628668</v>
      </c>
      <c r="BY33" s="137">
        <v>0.56098146532595206</v>
      </c>
      <c r="BZ33" s="137">
        <v>0.99899070141676205</v>
      </c>
      <c r="CA33" s="137">
        <v>2.6044986419747399E-2</v>
      </c>
      <c r="CB33" s="137">
        <v>0.97013260845196225</v>
      </c>
      <c r="CC33" s="258">
        <v>-0.43</v>
      </c>
      <c r="CD33" s="258">
        <v>0.155</v>
      </c>
      <c r="CE33" s="258">
        <v>0.13500000000000001</v>
      </c>
      <c r="CF33" s="258">
        <v>0.04</v>
      </c>
      <c r="CG33" s="258">
        <v>0</v>
      </c>
      <c r="CH33" s="258">
        <v>12.017226647416146</v>
      </c>
      <c r="CI33" s="258">
        <v>3.371</v>
      </c>
    </row>
    <row r="34" spans="1:87" x14ac:dyDescent="0.25">
      <c r="A34" s="723"/>
      <c r="B34" s="723"/>
      <c r="D34" s="31">
        <f t="shared" si="42"/>
        <v>37695</v>
      </c>
      <c r="F34" s="28">
        <f t="shared" si="12"/>
        <v>9300</v>
      </c>
      <c r="G34" s="28">
        <f t="shared" si="13"/>
        <v>8996.2506082635264</v>
      </c>
      <c r="H34" s="52">
        <f t="shared" si="14"/>
        <v>3.1182572614107884</v>
      </c>
      <c r="I34" s="52">
        <f t="shared" si="15"/>
        <v>3.4510000000000001</v>
      </c>
      <c r="K34" s="52">
        <f t="shared" si="43"/>
        <v>9.9781235480948887</v>
      </c>
      <c r="L34" s="135">
        <f t="shared" si="44"/>
        <v>1.3421510279520987E-4</v>
      </c>
      <c r="N34" s="131">
        <f t="shared" si="45"/>
        <v>0.50896699400854961</v>
      </c>
      <c r="O34" s="131">
        <f t="shared" si="46"/>
        <v>0.50303598357381651</v>
      </c>
      <c r="P34" s="55">
        <f t="shared" si="47"/>
        <v>0.99878578015328723</v>
      </c>
      <c r="Q34" s="135">
        <f>_xll.xSPRDOPT(I34,H34,AQ34,0,O34,N34,P34,D34-$G$5,1,0)*AH34*AU34</f>
        <v>9.9782577631976839</v>
      </c>
      <c r="R34" s="135"/>
      <c r="S34" s="181">
        <f t="shared" si="48"/>
        <v>-289181.60086994094</v>
      </c>
      <c r="T34" s="181">
        <f>_xll.xSPRDOPT(I34,H34,AQ34,AT34,O34,N34,P34,D34-$G$5,1,1)*AF34*F34*AH34</f>
        <v>278771.06323862309</v>
      </c>
      <c r="U34" s="135"/>
      <c r="V34" s="146">
        <f t="shared" si="16"/>
        <v>13.266470896985949</v>
      </c>
      <c r="W34" s="146"/>
      <c r="X34" s="338">
        <f t="shared" si="17"/>
        <v>0</v>
      </c>
      <c r="Y34" s="338">
        <f t="shared" si="18"/>
        <v>0</v>
      </c>
      <c r="Z34" s="338">
        <f t="shared" si="19"/>
        <v>20.340423957956936</v>
      </c>
      <c r="AA34" s="338">
        <f t="shared" si="20"/>
        <v>1.064213393559116E-2</v>
      </c>
      <c r="AB34" s="338">
        <f t="shared" si="21"/>
        <v>0</v>
      </c>
      <c r="AC34" s="338">
        <f t="shared" si="22"/>
        <v>20.539914805733702</v>
      </c>
      <c r="AF34" s="138">
        <f t="shared" si="23"/>
        <v>1</v>
      </c>
      <c r="AG34" s="138">
        <f t="shared" si="24"/>
        <v>3</v>
      </c>
      <c r="AH34" s="138">
        <f t="shared" si="25"/>
        <v>31</v>
      </c>
      <c r="AI34" s="138">
        <f t="shared" si="49"/>
        <v>439</v>
      </c>
      <c r="AJ34" s="138">
        <f t="shared" si="26"/>
        <v>456</v>
      </c>
      <c r="AL34" s="136">
        <f t="shared" si="27"/>
        <v>3.2810000000000001</v>
      </c>
      <c r="AM34" s="258">
        <f t="shared" si="28"/>
        <v>-0.43</v>
      </c>
      <c r="AN34" s="258">
        <f t="shared" si="29"/>
        <v>0.155</v>
      </c>
      <c r="AO34" s="258">
        <f t="shared" si="30"/>
        <v>0.13</v>
      </c>
      <c r="AP34" s="258">
        <f t="shared" si="31"/>
        <v>0.04</v>
      </c>
      <c r="AQ34" s="136">
        <f t="shared" si="32"/>
        <v>0</v>
      </c>
      <c r="AR34" s="137">
        <f t="shared" si="33"/>
        <v>3.5999999999999997E-2</v>
      </c>
      <c r="AS34" s="136">
        <f t="shared" si="50"/>
        <v>3.0059999999999998</v>
      </c>
      <c r="AT34" s="137">
        <f t="shared" si="51"/>
        <v>2.6954137886657601E-2</v>
      </c>
      <c r="AU34" s="137">
        <f t="shared" si="34"/>
        <v>0.96733877508209964</v>
      </c>
      <c r="AV34" s="394">
        <f t="shared" si="52"/>
        <v>10405.663203558146</v>
      </c>
      <c r="AW34" s="137">
        <f t="shared" si="35"/>
        <v>0.48749999999999999</v>
      </c>
      <c r="AX34" s="137">
        <f t="shared" si="36"/>
        <v>0.93</v>
      </c>
      <c r="AY34" s="137">
        <f t="shared" si="37"/>
        <v>0.83</v>
      </c>
      <c r="AZ34" s="137"/>
      <c r="BA34" s="264"/>
      <c r="BB34" s="258">
        <f t="shared" si="38"/>
        <v>0</v>
      </c>
      <c r="BC34" s="258">
        <f t="shared" si="39"/>
        <v>0</v>
      </c>
      <c r="BD34" s="137">
        <f t="shared" si="40"/>
        <v>1.3781722370664884E-4</v>
      </c>
      <c r="BE34" s="137">
        <f t="shared" si="41"/>
        <v>1.0031212319616678E-4</v>
      </c>
      <c r="BF34" s="137">
        <f>_xll.xSPRDOPT($BW34,$BV34,$CG34,0,$BY34,$BX34,$BZ34,$AJ34,1,4)*$CB34</f>
        <v>8.3025514875204234E-3</v>
      </c>
      <c r="BG34" s="137">
        <f>_xll.xSPRDOPT($BW34,$BV34,$CG34,0,$BY34,$BX34,$BZ34,$AJ34,1,3)*$CB34</f>
        <v>6.7785838427420874E-3</v>
      </c>
      <c r="BH34" s="137">
        <f>IF(OR(BF34&lt;&gt;0,BG34&lt;&gt;0),_xll.xSPRDOPT($BW34,$BV34,$CG34,0,$BY34,$BX34,$BZ34,$AJ34,1,12)*$CB34,0)</f>
        <v>-7.5025583100896279E-3</v>
      </c>
      <c r="BI34" s="137">
        <f>_xll.xSPRDOPT($BW34,$BV34,$CG34,2*LN(1+CA34/2),$BY34,$BX34,$BZ34,$AJ34,1,9)</f>
        <v>8.5898252406564572E-3</v>
      </c>
      <c r="BJ34" s="137">
        <f>_xll.xSPRDOPT($BW34,$BV34,$CG34,0,$BY34,$BX34,$BZ34,$AJ34,1,6)*$CB34</f>
        <v>6.553300662268186E-4</v>
      </c>
      <c r="BK34" s="137">
        <f>_xll.xSPRDOPT($BW34,$BV34,$CG34,0,$BY34,$BX34,$BZ34,$AJ34,1,5)*$CB34</f>
        <v>-5.3236205311233125E-4</v>
      </c>
      <c r="BL34" s="137">
        <f>_xll.xSPRDOPT(BW34,BV34,CG34,0,BY34,BX34,BZ34,AJ34,1,2)*CB34</f>
        <v>-0.96693101683166383</v>
      </c>
      <c r="BM34" s="137">
        <f>_xll.xSPRDOPT(BW34,BV34,CG34,0,BY34,BX34,BZ34,AJ34,1,1)*CB34</f>
        <v>0.96695105995080488</v>
      </c>
      <c r="BN34" s="137">
        <f>IF(AH34&lt;&gt;0,_xll.xSPRDOPT($BW34,$BV34,$CG34,2*LN(1+CA34/2),$BY34,$BX34,$BZ34,$AJ34,1,8)+(AJ34/365.25)*CH34/AH34,0)</f>
        <v>0.13239676550068524</v>
      </c>
      <c r="BO34" s="137">
        <f>_xll.xSPRDOPT($BW34,$BV34,$CG34,0,$BY34,$BX34,$BZ34,$AJ34,1,0)</f>
        <v>0.33274721495727477</v>
      </c>
      <c r="BP34" s="137"/>
      <c r="BQ34" s="137"/>
      <c r="BR34" s="137"/>
      <c r="BS34" s="137"/>
      <c r="BV34" s="262">
        <v>3.1182572614107884</v>
      </c>
      <c r="BW34" s="136">
        <v>3.4510000000000001</v>
      </c>
      <c r="BX34" s="137">
        <v>0.50882917678484296</v>
      </c>
      <c r="BY34" s="137">
        <v>0.50293567145062035</v>
      </c>
      <c r="BZ34" s="137">
        <v>0.99879275908018039</v>
      </c>
      <c r="CA34" s="137">
        <v>2.6954137886657601E-2</v>
      </c>
      <c r="CB34" s="137">
        <v>0.96712607036861076</v>
      </c>
      <c r="CC34" s="258">
        <v>-0.43</v>
      </c>
      <c r="CD34" s="258">
        <v>0.155</v>
      </c>
      <c r="CE34" s="258">
        <v>0.13</v>
      </c>
      <c r="CF34" s="258">
        <v>0.04</v>
      </c>
      <c r="CG34" s="258">
        <v>0</v>
      </c>
      <c r="CH34" s="258">
        <v>13.263553779463276</v>
      </c>
      <c r="CI34" s="258">
        <v>3.2810000000000001</v>
      </c>
    </row>
    <row r="35" spans="1:87" x14ac:dyDescent="0.25">
      <c r="A35" s="723"/>
      <c r="B35" s="723"/>
      <c r="D35" s="31">
        <f t="shared" si="42"/>
        <v>37726</v>
      </c>
      <c r="F35" s="28">
        <f t="shared" si="12"/>
        <v>9300</v>
      </c>
      <c r="G35" s="28">
        <f t="shared" si="13"/>
        <v>8963.8656586327234</v>
      </c>
      <c r="H35" s="52">
        <f t="shared" si="14"/>
        <v>2.9522821576763483</v>
      </c>
      <c r="I35" s="52">
        <f t="shared" si="15"/>
        <v>3.2010000000000001</v>
      </c>
      <c r="K35" s="52">
        <f t="shared" si="43"/>
        <v>7.1918494370780994</v>
      </c>
      <c r="L35" s="135">
        <f t="shared" si="44"/>
        <v>1.5657602017604688E-5</v>
      </c>
      <c r="N35" s="131">
        <f t="shared" si="45"/>
        <v>0.39068915452558645</v>
      </c>
      <c r="O35" s="131">
        <f t="shared" si="46"/>
        <v>0.39068915452558645</v>
      </c>
      <c r="P35" s="55">
        <f t="shared" si="47"/>
        <v>0.99897294910555012</v>
      </c>
      <c r="Q35" s="135">
        <f>_xll.xSPRDOPT(I35,H35,AQ35,0,O35,N35,P35,D35-$G$5,1,0)*AH35*AU35</f>
        <v>7.191865094680117</v>
      </c>
      <c r="R35" s="135"/>
      <c r="S35" s="181">
        <f t="shared" si="48"/>
        <v>-278877.1835456526</v>
      </c>
      <c r="T35" s="181">
        <f>_xll.xSPRDOPT(I35,H35,AQ35,AT35,O35,N35,P35,D35-$G$5,1,1)*AF35*F35*AH35</f>
        <v>268837.60493800911</v>
      </c>
      <c r="U35" s="135"/>
      <c r="V35" s="146">
        <f t="shared" si="16"/>
        <v>12.792303765739087</v>
      </c>
      <c r="W35" s="146"/>
      <c r="X35" s="338">
        <f t="shared" si="17"/>
        <v>0</v>
      </c>
      <c r="Y35" s="338">
        <f t="shared" si="18"/>
        <v>0</v>
      </c>
      <c r="Z35" s="338">
        <f t="shared" si="19"/>
        <v>15.250243301612734</v>
      </c>
      <c r="AA35" s="338">
        <f t="shared" si="20"/>
        <v>1.2751570534718905E-4</v>
      </c>
      <c r="AB35" s="338">
        <f t="shared" si="21"/>
        <v>0</v>
      </c>
      <c r="AC35" s="338">
        <f t="shared" si="22"/>
        <v>15.364564122683312</v>
      </c>
      <c r="AF35" s="138">
        <f t="shared" si="23"/>
        <v>1</v>
      </c>
      <c r="AG35" s="138">
        <f t="shared" si="24"/>
        <v>4</v>
      </c>
      <c r="AH35" s="138">
        <f t="shared" si="25"/>
        <v>30</v>
      </c>
      <c r="AI35" s="138">
        <f t="shared" si="49"/>
        <v>470</v>
      </c>
      <c r="AJ35" s="138">
        <f t="shared" si="26"/>
        <v>487</v>
      </c>
      <c r="AL35" s="136">
        <f t="shared" si="27"/>
        <v>3.1259999999999999</v>
      </c>
      <c r="AM35" s="258">
        <f t="shared" si="28"/>
        <v>-0.435</v>
      </c>
      <c r="AN35" s="258">
        <f t="shared" si="29"/>
        <v>0.155</v>
      </c>
      <c r="AO35" s="258">
        <f t="shared" si="30"/>
        <v>3.5000000000000003E-2</v>
      </c>
      <c r="AP35" s="258">
        <f t="shared" si="31"/>
        <v>0.04</v>
      </c>
      <c r="AQ35" s="136">
        <f t="shared" si="32"/>
        <v>0</v>
      </c>
      <c r="AR35" s="137">
        <f t="shared" si="33"/>
        <v>3.5999999999999997E-2</v>
      </c>
      <c r="AS35" s="136">
        <f t="shared" si="50"/>
        <v>2.8459999999999996</v>
      </c>
      <c r="AT35" s="137">
        <f t="shared" si="51"/>
        <v>2.79745964320606E-2</v>
      </c>
      <c r="AU35" s="137">
        <f t="shared" si="34"/>
        <v>0.96385652243362618</v>
      </c>
      <c r="AV35" s="394">
        <f t="shared" si="52"/>
        <v>10033.746398534049</v>
      </c>
      <c r="AW35" s="137">
        <f t="shared" si="35"/>
        <v>0.38750000000000001</v>
      </c>
      <c r="AX35" s="137">
        <f t="shared" si="36"/>
        <v>0.48</v>
      </c>
      <c r="AY35" s="137">
        <f t="shared" si="37"/>
        <v>0.48</v>
      </c>
      <c r="AZ35" s="137"/>
      <c r="BA35" s="264"/>
      <c r="BB35" s="258">
        <f t="shared" si="38"/>
        <v>0</v>
      </c>
      <c r="BC35" s="258">
        <f t="shared" si="39"/>
        <v>0</v>
      </c>
      <c r="BD35" s="137">
        <f t="shared" si="40"/>
        <v>1.9525927436481183E-5</v>
      </c>
      <c r="BE35" s="137">
        <f t="shared" si="41"/>
        <v>1.9525927436481183E-5</v>
      </c>
      <c r="BF35" s="137">
        <f>_xll.xSPRDOPT($BW35,$BV35,$CG35,0,$BY35,$BX35,$BZ35,$AJ35,1,4)*$CB35</f>
        <v>2.532858957068943E-3</v>
      </c>
      <c r="BG35" s="137">
        <f>_xll.xSPRDOPT($BW35,$BV35,$CG35,0,$BY35,$BX35,$BZ35,$AJ35,1,3)*$CB35</f>
        <v>2.1544495843583166E-3</v>
      </c>
      <c r="BH35" s="137">
        <f>IF(OR(BF35&lt;&gt;0,BG35&lt;&gt;0),_xll.xSPRDOPT($BW35,$BV35,$CG35,0,$BY35,$BX35,$BZ35,$AJ35,1,12)*$CB35,0)</f>
        <v>-2.3366179376082129E-3</v>
      </c>
      <c r="BI35" s="137">
        <f>_xll.xSPRDOPT($BW35,$BV35,$CG35,2*LN(1+CA35/2),$BY35,$BX35,$BZ35,$AJ35,1,9)</f>
        <v>6.6549000787503596E-3</v>
      </c>
      <c r="BJ35" s="137">
        <f>_xll.xSPRDOPT($BW35,$BV35,$CG35,0,$BY35,$BX35,$BZ35,$AJ35,1,6)*$CB35</f>
        <v>1.2019814947805515E-5</v>
      </c>
      <c r="BK35" s="137">
        <f>_xll.xSPRDOPT($BW35,$BV35,$CG35,0,$BY35,$BX35,$BZ35,$AJ35,1,5)*$CB35</f>
        <v>1.1387295437378786E-5</v>
      </c>
      <c r="BL35" s="137">
        <f>_xll.xSPRDOPT(BW35,BV35,CG35,0,BY35,BX35,BZ35,AJ35,1,2)*CB35</f>
        <v>-0.96360030905115124</v>
      </c>
      <c r="BM35" s="137">
        <f>_xll.xSPRDOPT(BW35,BV35,CG35,0,BY35,BX35,BZ35,AJ35,1,1)*CB35</f>
        <v>0.96360327827794623</v>
      </c>
      <c r="BN35" s="137">
        <f>IF(AH35&lt;&gt;0,_xll.xSPRDOPT($BW35,$BV35,$CG35,2*LN(1+CA35/2),$BY35,$BX35,$BZ35,$AJ35,1,8)+(AJ35/365.25)*CH35/AH35,0)</f>
        <v>0.24885159622848102</v>
      </c>
      <c r="BO35" s="137">
        <f>_xll.xSPRDOPT($BW35,$BV35,$CG35,0,$BY35,$BX35,$BZ35,$AJ35,1,0)</f>
        <v>0.24871838384477096</v>
      </c>
      <c r="BP35" s="137"/>
      <c r="BQ35" s="137"/>
      <c r="BR35" s="137"/>
      <c r="BS35" s="137"/>
      <c r="BV35" s="262">
        <v>2.9522821576763483</v>
      </c>
      <c r="BW35" s="136">
        <v>3.2010000000000001</v>
      </c>
      <c r="BX35" s="137">
        <v>0.39066962859814997</v>
      </c>
      <c r="BY35" s="137">
        <v>0.39066962859814997</v>
      </c>
      <c r="BZ35" s="137">
        <v>0.9989791609062344</v>
      </c>
      <c r="CA35" s="137">
        <v>2.79745964320606E-2</v>
      </c>
      <c r="CB35" s="137">
        <v>0.96363661599031902</v>
      </c>
      <c r="CC35" s="258">
        <v>-0.435</v>
      </c>
      <c r="CD35" s="258">
        <v>0.155</v>
      </c>
      <c r="CE35" s="258">
        <v>3.5000000000000003E-2</v>
      </c>
      <c r="CF35" s="258">
        <v>0.04</v>
      </c>
      <c r="CG35" s="258">
        <v>0</v>
      </c>
      <c r="CH35" s="258">
        <v>12.789385167423514</v>
      </c>
      <c r="CI35" s="258">
        <v>3.1259999999999999</v>
      </c>
    </row>
    <row r="36" spans="1:87" x14ac:dyDescent="0.25">
      <c r="A36" s="723"/>
      <c r="B36" s="723"/>
      <c r="D36" s="31">
        <f t="shared" si="42"/>
        <v>37756</v>
      </c>
      <c r="F36" s="28">
        <f t="shared" si="12"/>
        <v>9300</v>
      </c>
      <c r="G36" s="28">
        <f t="shared" si="13"/>
        <v>8931.176358511615</v>
      </c>
      <c r="H36" s="52">
        <f t="shared" si="14"/>
        <v>2.9533195020746885</v>
      </c>
      <c r="I36" s="52">
        <f t="shared" si="15"/>
        <v>3.202</v>
      </c>
      <c r="K36" s="52">
        <f t="shared" si="43"/>
        <v>7.4033646129781276</v>
      </c>
      <c r="L36" s="135">
        <f t="shared" si="44"/>
        <v>2.2467906962031492E-4</v>
      </c>
      <c r="N36" s="131">
        <f t="shared" si="45"/>
        <v>0.3761805213924197</v>
      </c>
      <c r="O36" s="131">
        <f t="shared" si="46"/>
        <v>0.37819335449616648</v>
      </c>
      <c r="P36" s="55">
        <f t="shared" si="47"/>
        <v>0.99856719907421909</v>
      </c>
      <c r="Q36" s="135">
        <f>_xll.xSPRDOPT(I36,H36,AQ36,0,O36,N36,P36,D36-$G$5,1,0)*AH36*AU36</f>
        <v>7.403589292047748</v>
      </c>
      <c r="R36" s="135"/>
      <c r="S36" s="181">
        <f t="shared" si="48"/>
        <v>-287014.29975161591</v>
      </c>
      <c r="T36" s="181">
        <f>_xll.xSPRDOPT(I36,H36,AQ36,AT36,O36,N36,P36,D36-$G$5,1,1)*AF36*F36*AH36</f>
        <v>276681.78496055771</v>
      </c>
      <c r="U36" s="135"/>
      <c r="V36" s="146">
        <f t="shared" si="16"/>
        <v>13.170508070018464</v>
      </c>
      <c r="W36" s="146"/>
      <c r="X36" s="338">
        <f t="shared" si="17"/>
        <v>0</v>
      </c>
      <c r="Y36" s="338">
        <f t="shared" si="18"/>
        <v>0</v>
      </c>
      <c r="Z36" s="338">
        <f t="shared" si="19"/>
        <v>16.174077817836533</v>
      </c>
      <c r="AA36" s="338">
        <f t="shared" si="20"/>
        <v>3.6828946590383147E-3</v>
      </c>
      <c r="AB36" s="338">
        <f t="shared" si="21"/>
        <v>0</v>
      </c>
      <c r="AC36" s="338">
        <f t="shared" si="22"/>
        <v>16.375703623087364</v>
      </c>
      <c r="AF36" s="138">
        <f t="shared" si="23"/>
        <v>1</v>
      </c>
      <c r="AG36" s="138">
        <f t="shared" si="24"/>
        <v>5</v>
      </c>
      <c r="AH36" s="138">
        <f t="shared" si="25"/>
        <v>31</v>
      </c>
      <c r="AI36" s="138">
        <f t="shared" si="49"/>
        <v>500</v>
      </c>
      <c r="AJ36" s="138">
        <f t="shared" si="26"/>
        <v>517</v>
      </c>
      <c r="AL36" s="136">
        <f t="shared" si="27"/>
        <v>3.1269999999999998</v>
      </c>
      <c r="AM36" s="258">
        <f t="shared" si="28"/>
        <v>-0.435</v>
      </c>
      <c r="AN36" s="258">
        <f t="shared" si="29"/>
        <v>0.155</v>
      </c>
      <c r="AO36" s="258">
        <f t="shared" si="30"/>
        <v>3.5000000000000003E-2</v>
      </c>
      <c r="AP36" s="258">
        <f t="shared" si="31"/>
        <v>0.04</v>
      </c>
      <c r="AQ36" s="136">
        <f t="shared" si="32"/>
        <v>0</v>
      </c>
      <c r="AR36" s="137">
        <f t="shared" si="33"/>
        <v>3.5999999999999997E-2</v>
      </c>
      <c r="AS36" s="136">
        <f t="shared" si="50"/>
        <v>2.8469999999999995</v>
      </c>
      <c r="AT36" s="137">
        <f t="shared" si="51"/>
        <v>2.8963180076380102E-2</v>
      </c>
      <c r="AU36" s="137">
        <f t="shared" si="34"/>
        <v>0.96034154392598015</v>
      </c>
      <c r="AV36" s="394">
        <f t="shared" si="52"/>
        <v>10330.393988011769</v>
      </c>
      <c r="AW36" s="137">
        <f t="shared" si="35"/>
        <v>0.3725</v>
      </c>
      <c r="AX36" s="137">
        <f t="shared" si="36"/>
        <v>0.48</v>
      </c>
      <c r="AY36" s="137">
        <f t="shared" si="37"/>
        <v>0.53</v>
      </c>
      <c r="AZ36" s="137"/>
      <c r="BA36" s="264"/>
      <c r="BB36" s="258">
        <f t="shared" si="38"/>
        <v>0</v>
      </c>
      <c r="BC36" s="258">
        <f t="shared" si="39"/>
        <v>0</v>
      </c>
      <c r="BD36" s="137">
        <f t="shared" si="40"/>
        <v>2.1191627312566741E-5</v>
      </c>
      <c r="BE36" s="137">
        <f t="shared" si="41"/>
        <v>3.26947616066664E-5</v>
      </c>
      <c r="BF36" s="137">
        <f>_xll.xSPRDOPT($BW36,$BV36,$CG36,0,$BY36,$BX36,$BZ36,$AJ36,1,4)*$CB36</f>
        <v>1.9929599287898329E-2</v>
      </c>
      <c r="BG36" s="137">
        <f>_xll.xSPRDOPT($BW36,$BV36,$CG36,0,$BY36,$BX36,$BZ36,$AJ36,1,3)*$CB36</f>
        <v>1.6954093032606258E-2</v>
      </c>
      <c r="BH36" s="137">
        <f>IF(OR(BF36&lt;&gt;0,BG36&lt;&gt;0),_xll.xSPRDOPT($BW36,$BV36,$CG36,0,$BY36,$BX36,$BZ36,$AJ36,1,12)*$CB36,0)</f>
        <v>-1.8382629170255061E-2</v>
      </c>
      <c r="BI36" s="137">
        <f>_xll.xSPRDOPT($BW36,$BV36,$CG36,2*LN(1+CA36/2),$BY36,$BX36,$BZ36,$AJ36,1,9)</f>
        <v>6.8303641148858745E-3</v>
      </c>
      <c r="BJ36" s="137">
        <f>_xll.xSPRDOPT($BW36,$BV36,$CG36,0,$BY36,$BX36,$BZ36,$AJ36,1,6)*$CB36</f>
        <v>-3.5948100636447864E-4</v>
      </c>
      <c r="BK36" s="137">
        <f>_xll.xSPRDOPT($BW36,$BV36,$CG36,0,$BY36,$BX36,$BZ36,$AJ36,1,5)*$CB36</f>
        <v>6.2372405835961508E-4</v>
      </c>
      <c r="BL36" s="137">
        <f>_xll.xSPRDOPT(BW36,BV36,CG36,0,BY36,BX36,BZ36,AJ36,1,2)*CB36</f>
        <v>-0.95972202873830936</v>
      </c>
      <c r="BM36" s="137">
        <f>_xll.xSPRDOPT(BW36,BV36,CG36,0,BY36,BX36,BZ36,AJ36,1,1)*CB36</f>
        <v>0.95975477796903508</v>
      </c>
      <c r="BN36" s="137">
        <f>IF(AH36&lt;&gt;0,_xll.xSPRDOPT($BW36,$BV36,$CG36,2*LN(1+CA36/2),$BY36,$BX36,$BZ36,$AJ36,1,8)+(AJ36/365.25)*CH36/AH36,0)</f>
        <v>0.26325697332534698</v>
      </c>
      <c r="BO36" s="137">
        <f>_xll.xSPRDOPT($BW36,$BV36,$CG36,0,$BY36,$BX36,$BZ36,$AJ36,1,0)</f>
        <v>0.24868804579624185</v>
      </c>
      <c r="BP36" s="137"/>
      <c r="BQ36" s="137"/>
      <c r="BR36" s="137"/>
      <c r="BS36" s="137"/>
      <c r="BV36" s="262">
        <v>2.9533195020746885</v>
      </c>
      <c r="BW36" s="136">
        <v>3.202</v>
      </c>
      <c r="BX36" s="137">
        <v>0.37615932976510713</v>
      </c>
      <c r="BY36" s="137">
        <v>0.37816065973455981</v>
      </c>
      <c r="BZ36" s="137">
        <v>0.9985752058195807</v>
      </c>
      <c r="CA36" s="137">
        <v>2.8963180076380102E-2</v>
      </c>
      <c r="CB36" s="137">
        <v>0.96011475289275328</v>
      </c>
      <c r="CC36" s="258">
        <v>-0.435</v>
      </c>
      <c r="CD36" s="258">
        <v>0.155</v>
      </c>
      <c r="CE36" s="258">
        <v>3.5000000000000003E-2</v>
      </c>
      <c r="CF36" s="258">
        <v>0.04</v>
      </c>
      <c r="CG36" s="258">
        <v>0</v>
      </c>
      <c r="CH36" s="258">
        <v>13.167397767072377</v>
      </c>
      <c r="CI36" s="258">
        <v>3.1269999999999998</v>
      </c>
    </row>
    <row r="37" spans="1:87" x14ac:dyDescent="0.25">
      <c r="A37" s="727"/>
      <c r="B37" s="723"/>
      <c r="D37" s="31">
        <f t="shared" si="42"/>
        <v>37787</v>
      </c>
      <c r="F37" s="28">
        <f t="shared" si="12"/>
        <v>9300</v>
      </c>
      <c r="G37" s="28">
        <f t="shared" si="13"/>
        <v>8896.0327262968131</v>
      </c>
      <c r="H37" s="52">
        <f t="shared" si="14"/>
        <v>2.9896265560165971</v>
      </c>
      <c r="I37" s="52">
        <f t="shared" si="15"/>
        <v>3.2370000000000001</v>
      </c>
      <c r="K37" s="52">
        <f t="shared" si="43"/>
        <v>7.0988459783648521</v>
      </c>
      <c r="L37" s="135">
        <f t="shared" si="44"/>
        <v>2.1829505072457067E-4</v>
      </c>
      <c r="N37" s="131">
        <f t="shared" si="45"/>
        <v>0.37586425134556289</v>
      </c>
      <c r="O37" s="131">
        <f t="shared" si="46"/>
        <v>0.37770530586281559</v>
      </c>
      <c r="P37" s="55">
        <f t="shared" si="47"/>
        <v>0.99868697954000285</v>
      </c>
      <c r="Q37" s="135">
        <f>_xll.xSPRDOPT(I37,H37,AQ37,0,O37,N37,P37,D37-$G$5,1,0)*AH37*AU37</f>
        <v>7.0990642734155767</v>
      </c>
      <c r="R37" s="135"/>
      <c r="S37" s="181">
        <f t="shared" si="48"/>
        <v>-276650.53850647015</v>
      </c>
      <c r="T37" s="181">
        <f>_xll.xSPRDOPT(I37,H37,AQ37,AT37,O37,N37,P37,D37-$G$5,1,1)*AF37*F37*AH37</f>
        <v>266691.11912023724</v>
      </c>
      <c r="U37" s="135"/>
      <c r="V37" s="146">
        <f t="shared" si="16"/>
        <v>12.695499606818419</v>
      </c>
      <c r="W37" s="146"/>
      <c r="X37" s="338">
        <f t="shared" si="17"/>
        <v>0</v>
      </c>
      <c r="Y37" s="338">
        <f t="shared" si="18"/>
        <v>0</v>
      </c>
      <c r="Z37" s="338">
        <f t="shared" si="19"/>
        <v>16.058120507339595</v>
      </c>
      <c r="AA37" s="338">
        <f t="shared" si="20"/>
        <v>3.0925113248949972E-3</v>
      </c>
      <c r="AB37" s="338">
        <f t="shared" si="21"/>
        <v>0</v>
      </c>
      <c r="AC37" s="338">
        <f t="shared" si="22"/>
        <v>16.255819759017257</v>
      </c>
      <c r="AF37" s="138">
        <f t="shared" si="23"/>
        <v>1</v>
      </c>
      <c r="AG37" s="138">
        <f t="shared" si="24"/>
        <v>6</v>
      </c>
      <c r="AH37" s="138">
        <f t="shared" si="25"/>
        <v>30</v>
      </c>
      <c r="AI37" s="138">
        <f t="shared" si="49"/>
        <v>531</v>
      </c>
      <c r="AJ37" s="138">
        <f t="shared" si="26"/>
        <v>548</v>
      </c>
      <c r="AL37" s="136">
        <f t="shared" si="27"/>
        <v>3.1619999999999999</v>
      </c>
      <c r="AM37" s="258">
        <f t="shared" si="28"/>
        <v>-0.435</v>
      </c>
      <c r="AN37" s="258">
        <f t="shared" si="29"/>
        <v>0.155</v>
      </c>
      <c r="AO37" s="258">
        <f t="shared" si="30"/>
        <v>3.5000000000000003E-2</v>
      </c>
      <c r="AP37" s="258">
        <f t="shared" si="31"/>
        <v>0.04</v>
      </c>
      <c r="AQ37" s="136">
        <f t="shared" si="32"/>
        <v>0</v>
      </c>
      <c r="AR37" s="137">
        <f t="shared" si="33"/>
        <v>3.5999999999999997E-2</v>
      </c>
      <c r="AS37" s="136">
        <f t="shared" si="50"/>
        <v>2.8819999999999997</v>
      </c>
      <c r="AT37" s="137">
        <f t="shared" si="51"/>
        <v>2.99847168551968E-2</v>
      </c>
      <c r="AU37" s="137">
        <f t="shared" si="34"/>
        <v>0.95656265874159274</v>
      </c>
      <c r="AV37" s="394">
        <f t="shared" si="52"/>
        <v>9957.8172774999803</v>
      </c>
      <c r="AW37" s="137">
        <f t="shared" si="35"/>
        <v>0.3725</v>
      </c>
      <c r="AX37" s="137">
        <f t="shared" si="36"/>
        <v>0.48</v>
      </c>
      <c r="AY37" s="137">
        <f t="shared" si="37"/>
        <v>0.53</v>
      </c>
      <c r="AZ37" s="137"/>
      <c r="BA37" s="264"/>
      <c r="BB37" s="258">
        <f t="shared" si="38"/>
        <v>0</v>
      </c>
      <c r="BC37" s="258">
        <f t="shared" si="39"/>
        <v>0</v>
      </c>
      <c r="BD37" s="137">
        <f t="shared" si="40"/>
        <v>1.8302058320429637E-5</v>
      </c>
      <c r="BE37" s="137">
        <f t="shared" si="41"/>
        <v>2.8249349723397099E-5</v>
      </c>
      <c r="BF37" s="137">
        <f>_xll.xSPRDOPT($BW37,$BV37,$CG37,0,$BY37,$BX37,$BZ37,$AJ37,1,4)*$CB37</f>
        <v>2.0123846486636052E-2</v>
      </c>
      <c r="BG37" s="137">
        <f>_xll.xSPRDOPT($BW37,$BV37,$CG37,0,$BY37,$BX37,$BZ37,$AJ37,1,3)*$CB37</f>
        <v>1.7165532289323444E-2</v>
      </c>
      <c r="BH37" s="137">
        <f>IF(OR(BF37&lt;&gt;0,BG37&lt;&gt;0),_xll.xSPRDOPT($BW37,$BV37,$CG37,0,$BY37,$BX37,$BZ37,$AJ37,1,12)*$CB37,0)</f>
        <v>-1.858681242453775E-2</v>
      </c>
      <c r="BI37" s="137">
        <f>_xll.xSPRDOPT($BW37,$BV37,$CG37,2*LN(1+CA37/2),$BY37,$BX37,$BZ37,$AJ37,1,9)</f>
        <v>7.0074414758731019E-3</v>
      </c>
      <c r="BJ37" s="137">
        <f>_xll.xSPRDOPT($BW37,$BV37,$CG37,0,$BY37,$BX37,$BZ37,$AJ37,1,6)*$CB37</f>
        <v>-3.6063515445998906E-4</v>
      </c>
      <c r="BK37" s="137">
        <f>_xll.xSPRDOPT($BW37,$BV37,$CG37,0,$BY37,$BX37,$BZ37,$AJ37,1,5)*$CB37</f>
        <v>6.2601921050166104E-4</v>
      </c>
      <c r="BL37" s="137">
        <f>_xll.xSPRDOPT(BW37,BV37,CG37,0,BY37,BX37,BZ37,AJ37,1,2)*CB37</f>
        <v>-0.95593343063211089</v>
      </c>
      <c r="BM37" s="137">
        <f>_xll.xSPRDOPT(BW37,BV37,CG37,0,BY37,BX37,BZ37,AJ37,1,1)*CB37</f>
        <v>0.95596588225069179</v>
      </c>
      <c r="BN37" s="137">
        <f>IF(AH37&lt;&gt;0,_xll.xSPRDOPT($BW37,$BV37,$CG37,2*LN(1+CA37/2),$BY37,$BX37,$BZ37,$AJ37,1,8)+(AJ37/365.25)*CH37/AH37,0)</f>
        <v>0.27981719792363879</v>
      </c>
      <c r="BO37" s="137">
        <f>_xll.xSPRDOPT($BW37,$BV37,$CG37,0,$BY37,$BX37,$BZ37,$AJ37,1,0)</f>
        <v>0.24738105140995773</v>
      </c>
      <c r="BP37" s="137"/>
      <c r="BQ37" s="137"/>
      <c r="BR37" s="137"/>
      <c r="BS37" s="137"/>
      <c r="BV37" s="262">
        <v>2.9896265560165971</v>
      </c>
      <c r="BW37" s="136">
        <v>3.2370000000000001</v>
      </c>
      <c r="BX37" s="137">
        <v>0.37584594928724246</v>
      </c>
      <c r="BY37" s="137">
        <v>0.37767705651309219</v>
      </c>
      <c r="BZ37" s="137">
        <v>0.99869392982177507</v>
      </c>
      <c r="CA37" s="137">
        <v>2.99847168551968E-2</v>
      </c>
      <c r="CB37" s="137">
        <v>0.95632885259143241</v>
      </c>
      <c r="CC37" s="258">
        <v>-0.435</v>
      </c>
      <c r="CD37" s="258">
        <v>0.155</v>
      </c>
      <c r="CE37" s="258">
        <v>3.5000000000000003E-2</v>
      </c>
      <c r="CF37" s="258">
        <v>0.04</v>
      </c>
      <c r="CG37" s="258">
        <v>0</v>
      </c>
      <c r="CH37" s="258">
        <v>12.692396531593491</v>
      </c>
      <c r="CI37" s="258">
        <v>3.1619999999999999</v>
      </c>
    </row>
    <row r="38" spans="1:87" x14ac:dyDescent="0.25">
      <c r="A38" s="723"/>
      <c r="B38" s="723"/>
      <c r="D38" s="31">
        <f t="shared" si="42"/>
        <v>37817</v>
      </c>
      <c r="F38" s="28">
        <f t="shared" si="12"/>
        <v>9300</v>
      </c>
      <c r="G38" s="28">
        <f t="shared" si="13"/>
        <v>8860.8295527370483</v>
      </c>
      <c r="H38" s="52">
        <f t="shared" si="14"/>
        <v>3.0331950207468878</v>
      </c>
      <c r="I38" s="52">
        <f t="shared" si="15"/>
        <v>3.2790000000000004</v>
      </c>
      <c r="K38" s="52">
        <f t="shared" si="43"/>
        <v>7.2601200812529871</v>
      </c>
      <c r="L38" s="135">
        <f t="shared" si="44"/>
        <v>9.5415086929673265E-4</v>
      </c>
      <c r="N38" s="131">
        <f t="shared" si="45"/>
        <v>0.37759499646180722</v>
      </c>
      <c r="O38" s="131">
        <f t="shared" si="46"/>
        <v>0.37956577246742684</v>
      </c>
      <c r="P38" s="55">
        <f t="shared" si="47"/>
        <v>0.99851039596078517</v>
      </c>
      <c r="Q38" s="135">
        <f>_xll.xSPRDOPT(I38,H38,AQ38,0,O38,N38,P38,D38-$G$5,1,0)*AH38*AU38</f>
        <v>7.2610742321222839</v>
      </c>
      <c r="R38" s="135"/>
      <c r="S38" s="181">
        <f t="shared" si="48"/>
        <v>-284458.96061708574</v>
      </c>
      <c r="T38" s="181">
        <f>_xll.xSPRDOPT(I38,H38,AQ38,AT38,O38,N38,P38,D38-$G$5,1,1)*AF38*F38*AH38</f>
        <v>274218.43803487066</v>
      </c>
      <c r="U38" s="135"/>
      <c r="V38" s="146">
        <f t="shared" si="16"/>
        <v>13.066769980436234</v>
      </c>
      <c r="W38" s="146"/>
      <c r="X38" s="338">
        <f t="shared" si="17"/>
        <v>0</v>
      </c>
      <c r="Y38" s="338">
        <f t="shared" si="18"/>
        <v>0</v>
      </c>
      <c r="Z38" s="338">
        <f t="shared" si="19"/>
        <v>16.773108988514764</v>
      </c>
      <c r="AA38" s="338">
        <f t="shared" si="20"/>
        <v>1.3068088257767391E-2</v>
      </c>
      <c r="AB38" s="338">
        <f t="shared" si="21"/>
        <v>0</v>
      </c>
      <c r="AC38" s="338">
        <f t="shared" si="22"/>
        <v>17.170393630873662</v>
      </c>
      <c r="AF38" s="138">
        <f t="shared" si="23"/>
        <v>1</v>
      </c>
      <c r="AG38" s="138">
        <f t="shared" si="24"/>
        <v>7</v>
      </c>
      <c r="AH38" s="138">
        <f t="shared" si="25"/>
        <v>31</v>
      </c>
      <c r="AI38" s="138">
        <f t="shared" si="49"/>
        <v>561</v>
      </c>
      <c r="AJ38" s="138">
        <f t="shared" si="26"/>
        <v>578</v>
      </c>
      <c r="AL38" s="136">
        <f t="shared" si="27"/>
        <v>3.2040000000000002</v>
      </c>
      <c r="AM38" s="258">
        <f t="shared" si="28"/>
        <v>-0.435</v>
      </c>
      <c r="AN38" s="258">
        <f t="shared" si="29"/>
        <v>0.155</v>
      </c>
      <c r="AO38" s="258">
        <f t="shared" si="30"/>
        <v>3.5000000000000003E-2</v>
      </c>
      <c r="AP38" s="258">
        <f t="shared" si="31"/>
        <v>0.04</v>
      </c>
      <c r="AQ38" s="136">
        <f t="shared" si="32"/>
        <v>0</v>
      </c>
      <c r="AR38" s="137">
        <f t="shared" si="33"/>
        <v>3.5999999999999997E-2</v>
      </c>
      <c r="AS38" s="136">
        <f t="shared" si="50"/>
        <v>2.9239999999999999</v>
      </c>
      <c r="AT38" s="137">
        <f t="shared" si="51"/>
        <v>3.0965279300479799E-2</v>
      </c>
      <c r="AU38" s="137">
        <f t="shared" si="34"/>
        <v>0.9527773712620482</v>
      </c>
      <c r="AV38" s="394">
        <f t="shared" si="52"/>
        <v>10249.026182665852</v>
      </c>
      <c r="AW38" s="137">
        <f t="shared" si="35"/>
        <v>0.3725</v>
      </c>
      <c r="AX38" s="137">
        <f t="shared" si="36"/>
        <v>0.53</v>
      </c>
      <c r="AY38" s="137">
        <f t="shared" si="37"/>
        <v>0.57999999999999996</v>
      </c>
      <c r="AZ38" s="137"/>
      <c r="BA38" s="264"/>
      <c r="BB38" s="258">
        <f t="shared" si="38"/>
        <v>0</v>
      </c>
      <c r="BC38" s="258">
        <f t="shared" si="39"/>
        <v>0</v>
      </c>
      <c r="BD38" s="137">
        <f t="shared" si="40"/>
        <v>2.6199126392512095E-5</v>
      </c>
      <c r="BE38" s="137">
        <f t="shared" si="41"/>
        <v>3.6239899198153847E-5</v>
      </c>
      <c r="BF38" s="137">
        <f>_xll.xSPRDOPT($BW38,$BV38,$CG38,0,$BY38,$BX38,$BZ38,$AJ38,1,4)*$CB38</f>
        <v>5.6923939081159045E-2</v>
      </c>
      <c r="BG38" s="137">
        <f>_xll.xSPRDOPT($BW38,$BV38,$CG38,0,$BY38,$BX38,$BZ38,$AJ38,1,3)*$CB38</f>
        <v>4.8709306401653545E-2</v>
      </c>
      <c r="BH38" s="137">
        <f>IF(OR(BF38&lt;&gt;0,BG38&lt;&gt;0),_xll.xSPRDOPT($BW38,$BV38,$CG38,0,$BY38,$BX38,$BZ38,$AJ38,1,12)*$CB38,0)</f>
        <v>-5.2656608385977965E-2</v>
      </c>
      <c r="BI38" s="137">
        <f>_xll.xSPRDOPT($BW38,$BV38,$CG38,2*LN(1+CA38/2),$BY38,$BX38,$BZ38,$AJ38,1,9)</f>
        <v>7.083336869065808E-3</v>
      </c>
      <c r="BJ38" s="137">
        <f>_xll.xSPRDOPT($BW38,$BV38,$CG38,0,$BY38,$BX38,$BZ38,$AJ38,1,6)*$CB38</f>
        <v>-1.1585205828911797E-3</v>
      </c>
      <c r="BK38" s="137">
        <f>_xll.xSPRDOPT($BW38,$BV38,$CG38,0,$BY38,$BX38,$BZ38,$AJ38,1,5)*$CB38</f>
        <v>2.088314773067446E-3</v>
      </c>
      <c r="BL38" s="137">
        <f>_xll.xSPRDOPT(BW38,BV38,CG38,0,BY38,BX38,BZ38,AJ38,1,2)*CB38</f>
        <v>-0.95115904385050742</v>
      </c>
      <c r="BM38" s="137">
        <f>_xll.xSPRDOPT(BW38,BV38,CG38,0,BY38,BX38,BZ38,AJ38,1,1)*CB38</f>
        <v>0.95127170644713077</v>
      </c>
      <c r="BN38" s="137">
        <f>IF(AH38&lt;&gt;0,_xll.xSPRDOPT($BW38,$BV38,$CG38,2*LN(1+CA38/2),$BY38,$BX38,$BZ38,$AJ38,1,8)+(AJ38/365.25)*CH38/AH38,0)</f>
        <v>0.29629244456691656</v>
      </c>
      <c r="BO38" s="137">
        <f>_xll.xSPRDOPT($BW38,$BV38,$CG38,0,$BY38,$BX38,$BZ38,$AJ38,1,0)</f>
        <v>0.24583728630847823</v>
      </c>
      <c r="BP38" s="137"/>
      <c r="BQ38" s="137"/>
      <c r="BR38" s="137"/>
      <c r="BS38" s="137"/>
      <c r="BV38" s="262">
        <v>3.0331950207468878</v>
      </c>
      <c r="BW38" s="136">
        <v>3.2790000000000004</v>
      </c>
      <c r="BX38" s="137">
        <v>0.37756879733541471</v>
      </c>
      <c r="BY38" s="137">
        <v>0.37952953256822869</v>
      </c>
      <c r="BZ38" s="137">
        <v>0.99851779553823738</v>
      </c>
      <c r="CA38" s="137">
        <v>3.0965279300479799E-2</v>
      </c>
      <c r="CB38" s="137">
        <v>0.95253693379797033</v>
      </c>
      <c r="CC38" s="258">
        <v>-0.435</v>
      </c>
      <c r="CD38" s="258">
        <v>0.155</v>
      </c>
      <c r="CE38" s="258">
        <v>3.5000000000000003E-2</v>
      </c>
      <c r="CF38" s="258">
        <v>0.04</v>
      </c>
      <c r="CG38" s="258">
        <v>0</v>
      </c>
      <c r="CH38" s="258">
        <v>13.063472524878886</v>
      </c>
      <c r="CI38" s="258">
        <v>3.2040000000000002</v>
      </c>
    </row>
    <row r="39" spans="1:87" x14ac:dyDescent="0.25">
      <c r="A39" s="723"/>
      <c r="B39" s="723"/>
      <c r="D39" s="31">
        <f t="shared" si="42"/>
        <v>37848</v>
      </c>
      <c r="F39" s="28">
        <f t="shared" si="12"/>
        <v>9300</v>
      </c>
      <c r="G39" s="28">
        <f t="shared" si="13"/>
        <v>8823.3005647361042</v>
      </c>
      <c r="H39" s="52">
        <f t="shared" si="14"/>
        <v>3.0767634854771782</v>
      </c>
      <c r="I39" s="52">
        <f t="shared" si="15"/>
        <v>3.3210000000000002</v>
      </c>
      <c r="K39" s="52">
        <f t="shared" si="43"/>
        <v>7.1832405883946455</v>
      </c>
      <c r="L39" s="135">
        <f t="shared" si="44"/>
        <v>2.5837935493564501E-3</v>
      </c>
      <c r="N39" s="131">
        <f t="shared" si="45"/>
        <v>0.37920840226144648</v>
      </c>
      <c r="O39" s="131">
        <f t="shared" si="46"/>
        <v>0.38123828997735254</v>
      </c>
      <c r="P39" s="55">
        <f t="shared" si="47"/>
        <v>0.9983749050441959</v>
      </c>
      <c r="Q39" s="135">
        <f>_xll.xSPRDOPT(I39,H39,AQ39,0,O39,N39,P39,D39-$G$5,1,0)*AH39*AU39</f>
        <v>7.185824381944002</v>
      </c>
      <c r="R39" s="135"/>
      <c r="S39" s="181">
        <f t="shared" si="48"/>
        <v>-282741.15703830932</v>
      </c>
      <c r="T39" s="181">
        <f>_xll.xSPRDOPT(I39,H39,AQ39,AT39,O39,N39,P39,D39-$G$5,1,1)*AF39*F39*AH39</f>
        <v>272562.47538493015</v>
      </c>
      <c r="U39" s="135"/>
      <c r="V39" s="146">
        <f t="shared" si="16"/>
        <v>13.01142723279751</v>
      </c>
      <c r="W39" s="146"/>
      <c r="X39" s="338">
        <f t="shared" si="17"/>
        <v>0</v>
      </c>
      <c r="Y39" s="338">
        <f t="shared" si="18"/>
        <v>0</v>
      </c>
      <c r="Z39" s="338">
        <f t="shared" si="19"/>
        <v>16.813752455996649</v>
      </c>
      <c r="AA39" s="338">
        <f t="shared" si="20"/>
        <v>3.3459788384378776E-2</v>
      </c>
      <c r="AB39" s="338">
        <f t="shared" si="21"/>
        <v>0</v>
      </c>
      <c r="AC39" s="338">
        <f t="shared" si="22"/>
        <v>17.542055156793371</v>
      </c>
      <c r="AF39" s="138">
        <f t="shared" si="23"/>
        <v>1</v>
      </c>
      <c r="AG39" s="138">
        <f t="shared" si="24"/>
        <v>8</v>
      </c>
      <c r="AH39" s="138">
        <f t="shared" si="25"/>
        <v>31</v>
      </c>
      <c r="AI39" s="138">
        <f t="shared" si="49"/>
        <v>592</v>
      </c>
      <c r="AJ39" s="138">
        <f t="shared" si="26"/>
        <v>609</v>
      </c>
      <c r="AL39" s="136">
        <f t="shared" si="27"/>
        <v>3.246</v>
      </c>
      <c r="AM39" s="258">
        <f t="shared" si="28"/>
        <v>-0.435</v>
      </c>
      <c r="AN39" s="258">
        <f t="shared" si="29"/>
        <v>0.155</v>
      </c>
      <c r="AO39" s="258">
        <f t="shared" si="30"/>
        <v>3.5000000000000003E-2</v>
      </c>
      <c r="AP39" s="258">
        <f t="shared" si="31"/>
        <v>0.04</v>
      </c>
      <c r="AQ39" s="136">
        <f t="shared" si="32"/>
        <v>0</v>
      </c>
      <c r="AR39" s="137">
        <f t="shared" si="33"/>
        <v>3.5999999999999997E-2</v>
      </c>
      <c r="AS39" s="136">
        <f t="shared" si="50"/>
        <v>2.9659999999999997</v>
      </c>
      <c r="AT39" s="137">
        <f t="shared" si="51"/>
        <v>3.1967083332272501E-2</v>
      </c>
      <c r="AU39" s="137">
        <f t="shared" si="34"/>
        <v>0.94874199620818334</v>
      </c>
      <c r="AV39" s="394">
        <f t="shared" si="52"/>
        <v>10205.617653211428</v>
      </c>
      <c r="AW39" s="137">
        <f t="shared" si="35"/>
        <v>0.3725</v>
      </c>
      <c r="AX39" s="137">
        <f t="shared" si="36"/>
        <v>0.57999999999999996</v>
      </c>
      <c r="AY39" s="137">
        <f t="shared" si="37"/>
        <v>0.63</v>
      </c>
      <c r="AZ39" s="137"/>
      <c r="BA39" s="264"/>
      <c r="BB39" s="258">
        <f t="shared" si="38"/>
        <v>0</v>
      </c>
      <c r="BC39" s="258">
        <f t="shared" si="39"/>
        <v>0</v>
      </c>
      <c r="BD39" s="137">
        <f t="shared" si="40"/>
        <v>3.2674943976684911E-5</v>
      </c>
      <c r="BE39" s="137">
        <f t="shared" si="41"/>
        <v>4.245025350635423E-5</v>
      </c>
      <c r="BF39" s="137">
        <f>_xll.xSPRDOPT($BW39,$BV39,$CG39,0,$BY39,$BX39,$BZ39,$AJ39,1,4)*$CB39</f>
        <v>0.11153339297026824</v>
      </c>
      <c r="BG39" s="137">
        <f>_xll.xSPRDOPT($BW39,$BV39,$CG39,0,$BY39,$BX39,$BZ39,$AJ39,1,3)*$CB39</f>
        <v>9.5731513991986039E-2</v>
      </c>
      <c r="BH39" s="137">
        <f>IF(OR(BF39&lt;&gt;0,BG39&lt;&gt;0),_xll.xSPRDOPT($BW39,$BV39,$CG39,0,$BY39,$BX39,$BZ39,$AJ39,1,12)*$CB39,0)</f>
        <v>-0.10332954139971906</v>
      </c>
      <c r="BI39" s="137">
        <f>_xll.xSPRDOPT($BW39,$BV39,$CG39,2*LN(1+CA39/2),$BY39,$BX39,$BZ39,$AJ39,1,9)</f>
        <v>7.1005007336718429E-3</v>
      </c>
      <c r="BJ39" s="137">
        <f>_xll.xSPRDOPT($BW39,$BV39,$CG39,0,$BY39,$BX39,$BZ39,$AJ39,1,6)*$CB39</f>
        <v>-2.4707746656305084E-3</v>
      </c>
      <c r="BK39" s="137">
        <f>_xll.xSPRDOPT($BW39,$BV39,$CG39,0,$BY39,$BX39,$BZ39,$AJ39,1,5)*$CB39</f>
        <v>4.6358109454746783E-3</v>
      </c>
      <c r="BL39" s="137">
        <f>_xll.xSPRDOPT(BW39,BV39,CG39,0,BY39,BX39,BZ39,AJ39,1,2)*CB39</f>
        <v>-0.94530296237930289</v>
      </c>
      <c r="BM39" s="137">
        <f>_xll.xSPRDOPT(BW39,BV39,CG39,0,BY39,BX39,BZ39,AJ39,1,1)*CB39</f>
        <v>0.94556278488935475</v>
      </c>
      <c r="BN39" s="137">
        <f>IF(AH39&lt;&gt;0,_xll.xSPRDOPT($BW39,$BV39,$CG39,2*LN(1+CA39/2),$BY39,$BX39,$BZ39,$AJ39,1,8)+(AJ39/365.25)*CH39/AH39,0)</f>
        <v>0.3132514634491389</v>
      </c>
      <c r="BO39" s="137">
        <f>_xll.xSPRDOPT($BW39,$BV39,$CG39,0,$BY39,$BX39,$BZ39,$AJ39,1,0)</f>
        <v>0.24432437107651669</v>
      </c>
      <c r="BP39" s="137"/>
      <c r="BQ39" s="137"/>
      <c r="BR39" s="137"/>
      <c r="BS39" s="137"/>
      <c r="BV39" s="262">
        <v>3.0767634854771782</v>
      </c>
      <c r="BW39" s="136">
        <v>3.3210000000000002</v>
      </c>
      <c r="BX39" s="137">
        <v>0.37917572731746979</v>
      </c>
      <c r="BY39" s="137">
        <v>0.38119583972384619</v>
      </c>
      <c r="BZ39" s="137">
        <v>0.99838250440949283</v>
      </c>
      <c r="CA39" s="137">
        <v>3.1967083332272501E-2</v>
      </c>
      <c r="CB39" s="137">
        <v>0.94849489337827508</v>
      </c>
      <c r="CC39" s="258">
        <v>-0.435</v>
      </c>
      <c r="CD39" s="258">
        <v>0.155</v>
      </c>
      <c r="CE39" s="258">
        <v>3.5000000000000003E-2</v>
      </c>
      <c r="CF39" s="258">
        <v>0.04</v>
      </c>
      <c r="CG39" s="258">
        <v>0</v>
      </c>
      <c r="CH39" s="258">
        <v>13.008038365747018</v>
      </c>
      <c r="CI39" s="258">
        <v>3.246</v>
      </c>
    </row>
    <row r="40" spans="1:87" x14ac:dyDescent="0.25">
      <c r="A40" s="723"/>
      <c r="B40" s="723"/>
      <c r="D40" s="31">
        <f t="shared" si="42"/>
        <v>37879</v>
      </c>
      <c r="F40" s="28">
        <f t="shared" si="12"/>
        <v>9300</v>
      </c>
      <c r="G40" s="28">
        <f t="shared" si="13"/>
        <v>8784.4671607214896</v>
      </c>
      <c r="H40" s="52">
        <f t="shared" si="14"/>
        <v>3.0715767634854769</v>
      </c>
      <c r="I40" s="52">
        <f t="shared" si="15"/>
        <v>3.3160000000000003</v>
      </c>
      <c r="K40" s="52">
        <f t="shared" si="43"/>
        <v>6.9262190144486846</v>
      </c>
      <c r="L40" s="135">
        <f t="shared" si="44"/>
        <v>2.0706062309141515E-3</v>
      </c>
      <c r="N40" s="131">
        <f t="shared" si="45"/>
        <v>0.3762850500238793</v>
      </c>
      <c r="O40" s="131">
        <f t="shared" si="46"/>
        <v>0.37817040162415777</v>
      </c>
      <c r="P40" s="55">
        <f t="shared" si="47"/>
        <v>0.9984777818721855</v>
      </c>
      <c r="Q40" s="135">
        <f>_xll.xSPRDOPT(I40,H40,AQ40,0,O40,N40,P40,D40-$G$5,1,0)*AH40*AU40</f>
        <v>6.9282896206795987</v>
      </c>
      <c r="R40" s="135"/>
      <c r="S40" s="181">
        <f t="shared" si="48"/>
        <v>-272522.93505354755</v>
      </c>
      <c r="T40" s="181">
        <f>_xll.xSPRDOPT(I40,H40,AQ40,AT40,O40,N40,P40,D40-$G$5,1,1)*AF40*F40*AH40</f>
        <v>262712.10939161986</v>
      </c>
      <c r="U40" s="135"/>
      <c r="V40" s="146">
        <f t="shared" si="16"/>
        <v>12.536284748074799</v>
      </c>
      <c r="W40" s="146"/>
      <c r="X40" s="338">
        <f t="shared" si="17"/>
        <v>0</v>
      </c>
      <c r="Y40" s="338">
        <f t="shared" si="18"/>
        <v>0</v>
      </c>
      <c r="Z40" s="338">
        <f t="shared" si="19"/>
        <v>16.838544822713281</v>
      </c>
      <c r="AA40" s="338">
        <f t="shared" si="20"/>
        <v>2.4753369270147124E-2</v>
      </c>
      <c r="AB40" s="338">
        <f t="shared" si="21"/>
        <v>0</v>
      </c>
      <c r="AC40" s="338">
        <f t="shared" si="22"/>
        <v>17.443260563984921</v>
      </c>
      <c r="AF40" s="138">
        <f t="shared" si="23"/>
        <v>1</v>
      </c>
      <c r="AG40" s="138">
        <f t="shared" si="24"/>
        <v>9</v>
      </c>
      <c r="AH40" s="138">
        <f t="shared" si="25"/>
        <v>30</v>
      </c>
      <c r="AI40" s="138">
        <f t="shared" si="49"/>
        <v>623</v>
      </c>
      <c r="AJ40" s="138">
        <f t="shared" si="26"/>
        <v>640</v>
      </c>
      <c r="AL40" s="136">
        <f t="shared" si="27"/>
        <v>3.2410000000000001</v>
      </c>
      <c r="AM40" s="258">
        <f t="shared" si="28"/>
        <v>-0.435</v>
      </c>
      <c r="AN40" s="258">
        <f t="shared" si="29"/>
        <v>0.155</v>
      </c>
      <c r="AO40" s="258">
        <f t="shared" si="30"/>
        <v>3.5000000000000003E-2</v>
      </c>
      <c r="AP40" s="258">
        <f t="shared" si="31"/>
        <v>0.04</v>
      </c>
      <c r="AQ40" s="136">
        <f t="shared" si="32"/>
        <v>0</v>
      </c>
      <c r="AR40" s="137">
        <f t="shared" si="33"/>
        <v>3.5999999999999997E-2</v>
      </c>
      <c r="AS40" s="136">
        <f t="shared" si="50"/>
        <v>2.9609999999999999</v>
      </c>
      <c r="AT40" s="137">
        <f t="shared" si="51"/>
        <v>3.2968887702129003E-2</v>
      </c>
      <c r="AU40" s="137">
        <f t="shared" si="34"/>
        <v>0.94456636136790217</v>
      </c>
      <c r="AV40" s="394">
        <f t="shared" si="52"/>
        <v>9832.9358218398611</v>
      </c>
      <c r="AW40" s="137">
        <f t="shared" si="35"/>
        <v>0.37</v>
      </c>
      <c r="AX40" s="137">
        <f t="shared" si="36"/>
        <v>0.57999999999999996</v>
      </c>
      <c r="AY40" s="137">
        <f t="shared" si="37"/>
        <v>0.63</v>
      </c>
      <c r="AZ40" s="137"/>
      <c r="BA40" s="264"/>
      <c r="BB40" s="258">
        <f t="shared" si="38"/>
        <v>0</v>
      </c>
      <c r="BC40" s="258">
        <f t="shared" si="39"/>
        <v>0</v>
      </c>
      <c r="BD40" s="137">
        <f t="shared" si="40"/>
        <v>2.9170681815626764E-5</v>
      </c>
      <c r="BE40" s="137">
        <f t="shared" si="41"/>
        <v>3.782782267369722E-5</v>
      </c>
      <c r="BF40" s="137">
        <f>_xll.xSPRDOPT($BW40,$BV40,$CG40,0,$BY40,$BX40,$BZ40,$AJ40,1,4)*$CB40</f>
        <v>9.8424833326114833E-2</v>
      </c>
      <c r="BG40" s="137">
        <f>_xll.xSPRDOPT($BW40,$BV40,$CG40,0,$BY40,$BX40,$BZ40,$AJ40,1,3)*$CB40</f>
        <v>8.444965465049549E-2</v>
      </c>
      <c r="BH40" s="137">
        <f>IF(OR(BF40&lt;&gt;0,BG40&lt;&gt;0),_xll.xSPRDOPT($BW40,$BV40,$CG40,0,$BY40,$BX40,$BZ40,$AJ40,1,12)*$CB40,0)</f>
        <v>-9.1168803361272463E-2</v>
      </c>
      <c r="BI40" s="137">
        <f>_xll.xSPRDOPT($BW40,$BV40,$CG40,2*LN(1+CA40/2),$BY40,$BX40,$BZ40,$AJ40,1,9)</f>
        <v>7.3480029826714774E-3</v>
      </c>
      <c r="BJ40" s="137">
        <f>_xll.xSPRDOPT($BW40,$BV40,$CG40,0,$BY40,$BX40,$BZ40,$AJ40,1,6)*$CB40</f>
        <v>-2.1210949889721685E-3</v>
      </c>
      <c r="BK40" s="137">
        <f>_xll.xSPRDOPT($BW40,$BV40,$CG40,0,$BY40,$BX40,$BZ40,$AJ40,1,5)*$CB40</f>
        <v>3.9810787414201933E-3</v>
      </c>
      <c r="BL40" s="137">
        <f>_xll.xSPRDOPT(BW40,BV40,CG40,0,BY40,BX40,BZ40,AJ40,1,2)*CB40</f>
        <v>-0.9415872088418975</v>
      </c>
      <c r="BM40" s="137">
        <f>_xll.xSPRDOPT(BW40,BV40,CG40,0,BY40,BX40,BZ40,AJ40,1,1)*CB40</f>
        <v>0.94180890108750326</v>
      </c>
      <c r="BN40" s="137">
        <f>IF(AH40&lt;&gt;0,_xll.xSPRDOPT($BW40,$BV40,$CG40,2*LN(1+CA40/2),$BY40,$BX40,$BZ40,$AJ40,1,8)+(AJ40/365.25)*CH40/AH40,0)</f>
        <v>0.32746091556262635</v>
      </c>
      <c r="BO40" s="137">
        <f>_xll.xSPRDOPT($BW40,$BV40,$CG40,0,$BY40,$BX40,$BZ40,$AJ40,1,0)</f>
        <v>0.24449631002480401</v>
      </c>
      <c r="BP40" s="137"/>
      <c r="BQ40" s="137"/>
      <c r="BR40" s="137"/>
      <c r="BS40" s="137"/>
      <c r="BV40" s="262">
        <v>3.0715767634854769</v>
      </c>
      <c r="BW40" s="136">
        <v>3.3160000000000003</v>
      </c>
      <c r="BX40" s="137">
        <v>0.37625587934206367</v>
      </c>
      <c r="BY40" s="137">
        <v>0.37813257380148407</v>
      </c>
      <c r="BZ40" s="137">
        <v>0.99848458110260296</v>
      </c>
      <c r="CA40" s="137">
        <v>3.2968887702129003E-2</v>
      </c>
      <c r="CB40" s="137">
        <v>0.94431270003290391</v>
      </c>
      <c r="CC40" s="258">
        <v>-0.435</v>
      </c>
      <c r="CD40" s="258">
        <v>0.155</v>
      </c>
      <c r="CE40" s="258">
        <v>3.5000000000000003E-2</v>
      </c>
      <c r="CF40" s="258">
        <v>0.04</v>
      </c>
      <c r="CG40" s="258">
        <v>0</v>
      </c>
      <c r="CH40" s="258">
        <v>12.5329181548367</v>
      </c>
      <c r="CI40" s="258">
        <v>3.2410000000000001</v>
      </c>
    </row>
    <row r="41" spans="1:87" x14ac:dyDescent="0.25">
      <c r="A41" s="723"/>
      <c r="B41" s="723"/>
      <c r="D41" s="31">
        <f t="shared" si="42"/>
        <v>37909</v>
      </c>
      <c r="F41" s="28">
        <f t="shared" si="12"/>
        <v>9300</v>
      </c>
      <c r="G41" s="28">
        <f t="shared" si="13"/>
        <v>8746.1604848982624</v>
      </c>
      <c r="H41" s="52">
        <f t="shared" si="14"/>
        <v>3.0985477178423233</v>
      </c>
      <c r="I41" s="52">
        <f t="shared" si="15"/>
        <v>3.3420000000000001</v>
      </c>
      <c r="K41" s="52">
        <f t="shared" si="43"/>
        <v>7.0975757672192499</v>
      </c>
      <c r="L41" s="135">
        <f t="shared" si="44"/>
        <v>5.3844487080079162E-3</v>
      </c>
      <c r="N41" s="131">
        <f t="shared" si="45"/>
        <v>0.3804492507364664</v>
      </c>
      <c r="O41" s="131">
        <f t="shared" si="46"/>
        <v>0.38243997040692113</v>
      </c>
      <c r="P41" s="55">
        <f t="shared" si="47"/>
        <v>0.99831251782466646</v>
      </c>
      <c r="Q41" s="135">
        <f>_xll.xSPRDOPT(I41,H41,AQ41,0,O41,N41,P41,D41-$G$5,1,0)*AH41*AU41</f>
        <v>7.1029602159272578</v>
      </c>
      <c r="R41" s="135"/>
      <c r="S41" s="181">
        <f t="shared" si="48"/>
        <v>-279510.1961310581</v>
      </c>
      <c r="T41" s="181">
        <f>_xll.xSPRDOPT(I41,H41,AQ41,AT41,O41,N41,P41,D41-$G$5,1,1)*AF41*F41*AH41</f>
        <v>269447.82907033997</v>
      </c>
      <c r="U41" s="135"/>
      <c r="V41" s="146">
        <f t="shared" si="16"/>
        <v>12.897671328396639</v>
      </c>
      <c r="W41" s="146"/>
      <c r="X41" s="338">
        <f t="shared" si="17"/>
        <v>0</v>
      </c>
      <c r="Y41" s="338">
        <f t="shared" si="18"/>
        <v>0</v>
      </c>
      <c r="Z41" s="338">
        <f t="shared" si="19"/>
        <v>17.247944574067983</v>
      </c>
      <c r="AA41" s="338">
        <f t="shared" si="20"/>
        <v>6.0826380687560952E-2</v>
      </c>
      <c r="AB41" s="338">
        <f t="shared" si="21"/>
        <v>0</v>
      </c>
      <c r="AC41" s="338">
        <f t="shared" si="22"/>
        <v>18.391577757950593</v>
      </c>
      <c r="AF41" s="138">
        <f t="shared" si="23"/>
        <v>1</v>
      </c>
      <c r="AG41" s="138">
        <f t="shared" si="24"/>
        <v>10</v>
      </c>
      <c r="AH41" s="138">
        <f t="shared" si="25"/>
        <v>31</v>
      </c>
      <c r="AI41" s="138">
        <f t="shared" si="49"/>
        <v>653</v>
      </c>
      <c r="AJ41" s="138">
        <f t="shared" si="26"/>
        <v>670</v>
      </c>
      <c r="AL41" s="136">
        <f t="shared" si="27"/>
        <v>3.2669999999999999</v>
      </c>
      <c r="AM41" s="258">
        <f t="shared" si="28"/>
        <v>-0.435</v>
      </c>
      <c r="AN41" s="258">
        <f t="shared" si="29"/>
        <v>0.155</v>
      </c>
      <c r="AO41" s="258">
        <f t="shared" si="30"/>
        <v>3.5000000000000003E-2</v>
      </c>
      <c r="AP41" s="258">
        <f t="shared" si="31"/>
        <v>0.04</v>
      </c>
      <c r="AQ41" s="136">
        <f t="shared" si="32"/>
        <v>0</v>
      </c>
      <c r="AR41" s="137">
        <f t="shared" si="33"/>
        <v>3.5999999999999997E-2</v>
      </c>
      <c r="AS41" s="136">
        <f t="shared" si="50"/>
        <v>2.9869999999999997</v>
      </c>
      <c r="AT41" s="137">
        <f t="shared" si="51"/>
        <v>3.3906701822071103E-2</v>
      </c>
      <c r="AU41" s="137">
        <f t="shared" si="34"/>
        <v>0.94044736396755513</v>
      </c>
      <c r="AV41" s="394">
        <f t="shared" si="52"/>
        <v>10116.392294198991</v>
      </c>
      <c r="AW41" s="137">
        <f t="shared" si="35"/>
        <v>0.3725</v>
      </c>
      <c r="AX41" s="137">
        <f t="shared" si="36"/>
        <v>0.63</v>
      </c>
      <c r="AY41" s="137">
        <f t="shared" si="37"/>
        <v>0.68</v>
      </c>
      <c r="AZ41" s="137"/>
      <c r="BA41" s="264"/>
      <c r="BB41" s="258">
        <f t="shared" si="38"/>
        <v>0</v>
      </c>
      <c r="BC41" s="258">
        <f t="shared" si="39"/>
        <v>0</v>
      </c>
      <c r="BD41" s="137">
        <f t="shared" si="40"/>
        <v>3.5144750946347614E-5</v>
      </c>
      <c r="BE41" s="137">
        <f t="shared" si="41"/>
        <v>4.3833320035158163E-5</v>
      </c>
      <c r="BF41" s="137">
        <f>_xll.xSPRDOPT($BW41,$BV41,$CG41,0,$BY41,$BX41,$BZ41,$AJ41,1,4)*$CB41</f>
        <v>0.17662841325218995</v>
      </c>
      <c r="BG41" s="137">
        <f>_xll.xSPRDOPT($BW41,$BV41,$CG41,0,$BY41,$BX41,$BZ41,$AJ41,1,3)*$CB41</f>
        <v>0.15183215338609604</v>
      </c>
      <c r="BH41" s="137">
        <f>IF(OR(BF41&lt;&gt;0,BG41&lt;&gt;0),_xll.xSPRDOPT($BW41,$BV41,$CG41,0,$BY41,$BX41,$BZ41,$AJ41,1,12)*$CB41,0)</f>
        <v>-0.16375962236198729</v>
      </c>
      <c r="BI41" s="137">
        <f>_xll.xSPRDOPT($BW41,$BV41,$CG41,2*LN(1+CA41/2),$BY41,$BX41,$BZ41,$AJ41,1,9)</f>
        <v>7.2838614356322473E-3</v>
      </c>
      <c r="BJ41" s="137">
        <f>_xll.xSPRDOPT($BW41,$BV41,$CG41,0,$BY41,$BX41,$BZ41,$AJ41,1,6)*$CB41</f>
        <v>-4.1668016912285938E-3</v>
      </c>
      <c r="BK41" s="137">
        <f>_xll.xSPRDOPT($BW41,$BV41,$CG41,0,$BY41,$BX41,$BZ41,$AJ41,1,5)*$CB41</f>
        <v>8.1541654664198816E-3</v>
      </c>
      <c r="BL41" s="137">
        <f>_xll.xSPRDOPT(BW41,BV41,CG41,0,BY41,BX41,BZ41,AJ41,1,2)*CB41</f>
        <v>-0.93435948224049492</v>
      </c>
      <c r="BM41" s="137">
        <f>_xll.xSPRDOPT(BW41,BV41,CG41,0,BY41,BX41,BZ41,AJ41,1,1)*CB41</f>
        <v>0.93483599058528177</v>
      </c>
      <c r="BN41" s="137">
        <f>IF(AH41&lt;&gt;0,_xll.xSPRDOPT($BW41,$BV41,$CG41,2*LN(1+CA41/2),$BY41,$BX41,$BZ41,$AJ41,1,8)+(AJ41/365.25)*CH41/AH41,0)</f>
        <v>0.34279519148597032</v>
      </c>
      <c r="BO41" s="137">
        <f>_xll.xSPRDOPT($BW41,$BV41,$CG41,0,$BY41,$BX41,$BZ41,$AJ41,1,0)</f>
        <v>0.24363698103253217</v>
      </c>
      <c r="BP41" s="137"/>
      <c r="BQ41" s="137"/>
      <c r="BR41" s="137"/>
      <c r="BS41" s="137"/>
      <c r="BV41" s="262">
        <v>3.0985477178423233</v>
      </c>
      <c r="BW41" s="136">
        <v>3.3420000000000001</v>
      </c>
      <c r="BX41" s="137">
        <v>0.38041410598552006</v>
      </c>
      <c r="BY41" s="137">
        <v>0.38239613708688597</v>
      </c>
      <c r="BZ41" s="137">
        <v>0.99831965126042366</v>
      </c>
      <c r="CA41" s="137">
        <v>3.3906701822071103E-2</v>
      </c>
      <c r="CB41" s="137">
        <v>0.94018768577798628</v>
      </c>
      <c r="CC41" s="258">
        <v>-0.435</v>
      </c>
      <c r="CD41" s="258">
        <v>0.155</v>
      </c>
      <c r="CE41" s="258">
        <v>3.5000000000000003E-2</v>
      </c>
      <c r="CF41" s="258">
        <v>0.04</v>
      </c>
      <c r="CG41" s="258">
        <v>0</v>
      </c>
      <c r="CH41" s="258">
        <v>12.894109997833617</v>
      </c>
      <c r="CI41" s="258">
        <v>3.2669999999999999</v>
      </c>
    </row>
    <row r="42" spans="1:87" x14ac:dyDescent="0.25">
      <c r="A42" s="723"/>
      <c r="B42" s="723"/>
      <c r="D42" s="31">
        <f t="shared" si="42"/>
        <v>37940</v>
      </c>
      <c r="F42" s="28">
        <f t="shared" si="12"/>
        <v>9300</v>
      </c>
      <c r="G42" s="28">
        <f t="shared" si="13"/>
        <v>8706.0218761782926</v>
      </c>
      <c r="H42" s="52">
        <f t="shared" si="14"/>
        <v>3.2800829875518671</v>
      </c>
      <c r="I42" s="52">
        <f t="shared" si="15"/>
        <v>3.5620000000000003</v>
      </c>
      <c r="K42" s="52">
        <f t="shared" si="43"/>
        <v>7.9173408956137914</v>
      </c>
      <c r="L42" s="135">
        <f t="shared" si="44"/>
        <v>1.3011015789192726E-3</v>
      </c>
      <c r="N42" s="131">
        <f t="shared" si="45"/>
        <v>0.39054105750428664</v>
      </c>
      <c r="O42" s="131">
        <f t="shared" si="46"/>
        <v>0.38567537328980672</v>
      </c>
      <c r="P42" s="55">
        <f t="shared" si="47"/>
        <v>0.99870639830932673</v>
      </c>
      <c r="Q42" s="135">
        <f>_xll.xSPRDOPT(I42,H42,AQ42,0,O42,N42,P42,D42-$G$5,1,0)*AH42*AU42</f>
        <v>7.9186419971927107</v>
      </c>
      <c r="R42" s="135"/>
      <c r="S42" s="181">
        <f t="shared" si="48"/>
        <v>-270345.63446013321</v>
      </c>
      <c r="T42" s="181">
        <f>_xll.xSPRDOPT(I42,H42,AQ42,AT42,O42,N42,P42,D42-$G$5,1,1)*AF42*F42*AH42</f>
        <v>260613.19161956842</v>
      </c>
      <c r="U42" s="135"/>
      <c r="V42" s="146">
        <f t="shared" si="16"/>
        <v>12.424335735552505</v>
      </c>
      <c r="W42" s="146"/>
      <c r="X42" s="338">
        <f t="shared" si="17"/>
        <v>0</v>
      </c>
      <c r="Y42" s="338">
        <f t="shared" si="18"/>
        <v>0</v>
      </c>
      <c r="Z42" s="338">
        <f t="shared" si="19"/>
        <v>20.594574893906206</v>
      </c>
      <c r="AA42" s="338">
        <f t="shared" si="20"/>
        <v>5.6463009945538857E-2</v>
      </c>
      <c r="AB42" s="338">
        <f t="shared" si="21"/>
        <v>0</v>
      </c>
      <c r="AC42" s="338">
        <f t="shared" si="22"/>
        <v>21.065496375348634</v>
      </c>
      <c r="AF42" s="138">
        <f t="shared" si="23"/>
        <v>1</v>
      </c>
      <c r="AG42" s="138">
        <f t="shared" si="24"/>
        <v>11</v>
      </c>
      <c r="AH42" s="138">
        <f t="shared" si="25"/>
        <v>30</v>
      </c>
      <c r="AI42" s="138">
        <f t="shared" si="49"/>
        <v>684</v>
      </c>
      <c r="AJ42" s="138">
        <f t="shared" si="26"/>
        <v>701</v>
      </c>
      <c r="AL42" s="136">
        <f t="shared" si="27"/>
        <v>3.4020000000000001</v>
      </c>
      <c r="AM42" s="258">
        <f t="shared" si="28"/>
        <v>-0.39500000000000002</v>
      </c>
      <c r="AN42" s="258">
        <f t="shared" si="29"/>
        <v>0.155</v>
      </c>
      <c r="AO42" s="258">
        <f t="shared" si="30"/>
        <v>0.125</v>
      </c>
      <c r="AP42" s="258">
        <f t="shared" si="31"/>
        <v>3.5000000000000003E-2</v>
      </c>
      <c r="AQ42" s="136">
        <f t="shared" si="32"/>
        <v>0</v>
      </c>
      <c r="AR42" s="137">
        <f t="shared" si="33"/>
        <v>3.5999999999999997E-2</v>
      </c>
      <c r="AS42" s="136">
        <f t="shared" si="50"/>
        <v>3.1619999999999999</v>
      </c>
      <c r="AT42" s="137">
        <f t="shared" si="51"/>
        <v>3.4836153967131397E-2</v>
      </c>
      <c r="AU42" s="137">
        <f t="shared" si="34"/>
        <v>0.9361313845353002</v>
      </c>
      <c r="AV42" s="394">
        <f t="shared" si="52"/>
        <v>9745.1277130124745</v>
      </c>
      <c r="AW42" s="137">
        <f t="shared" si="35"/>
        <v>0.37</v>
      </c>
      <c r="AX42" s="137">
        <f t="shared" si="36"/>
        <v>0.93</v>
      </c>
      <c r="AY42" s="137">
        <f t="shared" si="37"/>
        <v>0.83</v>
      </c>
      <c r="AZ42" s="137"/>
      <c r="BA42" s="264"/>
      <c r="BB42" s="258">
        <f t="shared" si="38"/>
        <v>0</v>
      </c>
      <c r="BC42" s="258">
        <f t="shared" si="39"/>
        <v>0</v>
      </c>
      <c r="BD42" s="137">
        <f t="shared" si="40"/>
        <v>8.5483135632558049E-5</v>
      </c>
      <c r="BE42" s="137">
        <f t="shared" si="41"/>
        <v>6.5633014911969934E-5</v>
      </c>
      <c r="BF42" s="137">
        <f>_xll.xSPRDOPT($BW42,$BV42,$CG42,0,$BY42,$BX42,$BZ42,$AJ42,1,4)*$CB42</f>
        <v>5.7077699994320844E-2</v>
      </c>
      <c r="BG42" s="137">
        <f>_xll.xSPRDOPT($BW42,$BV42,$CG42,0,$BY42,$BX42,$BZ42,$AJ42,1,3)*$CB42</f>
        <v>4.8400244655410471E-2</v>
      </c>
      <c r="BH42" s="137">
        <f>IF(OR(BF42&lt;&gt;0,BG42&lt;&gt;0),_xll.xSPRDOPT($BW42,$BV42,$CG42,0,$BY42,$BX42,$BZ42,$AJ42,1,12)*$CB42,0)</f>
        <v>-5.2560063969268593E-2</v>
      </c>
      <c r="BI42" s="137">
        <f>_xll.xSPRDOPT($BW42,$BV42,$CG42,2*LN(1+CA42/2),$BY42,$BX42,$BZ42,$AJ42,1,9)</f>
        <v>8.9870591158891788E-3</v>
      </c>
      <c r="BJ42" s="137">
        <f>_xll.xSPRDOPT($BW42,$BV42,$CG42,0,$BY42,$BX42,$BZ42,$AJ42,1,6)*$CB42</f>
        <v>6.2979639304153933E-3</v>
      </c>
      <c r="BK42" s="137">
        <f>_xll.xSPRDOPT($BW42,$BV42,$CG42,0,$BY42,$BX42,$BZ42,$AJ42,1,5)*$CB42</f>
        <v>-5.1192730608245448E-3</v>
      </c>
      <c r="BL42" s="137">
        <f>_xll.xSPRDOPT(BW42,BV42,CG42,0,BY42,BX42,BZ42,AJ42,1,2)*CB42</f>
        <v>-0.93422589745932605</v>
      </c>
      <c r="BM42" s="137">
        <f>_xll.xSPRDOPT(BW42,BV42,CG42,0,BY42,BX42,BZ42,AJ42,1,1)*CB42</f>
        <v>0.93436785195557859</v>
      </c>
      <c r="BN42" s="137">
        <f>IF(AH42&lt;&gt;0,_xll.xSPRDOPT($BW42,$BV42,$CG42,2*LN(1+CA42/2),$BY42,$BX42,$BZ42,$AJ42,1,8)+(AJ42/365.25)*CH42/AH42,0)</f>
        <v>0.28816750656430246</v>
      </c>
      <c r="BO42" s="137">
        <f>_xll.xSPRDOPT($BW42,$BV42,$CG42,0,$BY42,$BX42,$BZ42,$AJ42,1,0)</f>
        <v>0.28196334301092524</v>
      </c>
      <c r="BP42" s="137"/>
      <c r="BQ42" s="137"/>
      <c r="BR42" s="137"/>
      <c r="BS42" s="137"/>
      <c r="BV42" s="262">
        <v>3.2800829875518671</v>
      </c>
      <c r="BW42" s="136">
        <v>3.5620000000000003</v>
      </c>
      <c r="BX42" s="137">
        <v>0.39045557436865408</v>
      </c>
      <c r="BY42" s="137">
        <v>0.38560974027489475</v>
      </c>
      <c r="BZ42" s="137">
        <v>0.99871112104490789</v>
      </c>
      <c r="CA42" s="137">
        <v>3.4836153967131397E-2</v>
      </c>
      <c r="CB42" s="137">
        <v>0.93586587426758006</v>
      </c>
      <c r="CC42" s="258">
        <v>-0.39500000000000002</v>
      </c>
      <c r="CD42" s="258">
        <v>0.155</v>
      </c>
      <c r="CE42" s="258">
        <v>0.125</v>
      </c>
      <c r="CF42" s="258">
        <v>3.5000000000000003E-2</v>
      </c>
      <c r="CG42" s="258">
        <v>0</v>
      </c>
      <c r="CH42" s="258">
        <v>12.420811883279322</v>
      </c>
      <c r="CI42" s="258">
        <v>3.4020000000000001</v>
      </c>
    </row>
    <row r="43" spans="1:87" x14ac:dyDescent="0.25">
      <c r="A43" s="723"/>
      <c r="B43" s="723"/>
      <c r="D43" s="31">
        <f t="shared" si="42"/>
        <v>37970</v>
      </c>
      <c r="F43" s="28">
        <f t="shared" si="12"/>
        <v>9300</v>
      </c>
      <c r="G43" s="28">
        <f t="shared" si="13"/>
        <v>8666.080405066441</v>
      </c>
      <c r="H43" s="52">
        <f t="shared" si="14"/>
        <v>3.4201244813278007</v>
      </c>
      <c r="I43" s="52">
        <f t="shared" si="15"/>
        <v>3.6970000000000001</v>
      </c>
      <c r="K43" s="52">
        <f t="shared" si="43"/>
        <v>7.9980850233591818</v>
      </c>
      <c r="L43" s="135">
        <f t="shared" si="44"/>
        <v>2.3315507148291559E-3</v>
      </c>
      <c r="N43" s="131">
        <f t="shared" si="45"/>
        <v>0.4044454821686197</v>
      </c>
      <c r="O43" s="131">
        <f t="shared" si="46"/>
        <v>0.40140013690941595</v>
      </c>
      <c r="P43" s="55">
        <f t="shared" si="47"/>
        <v>0.99881788299910301</v>
      </c>
      <c r="Q43" s="135">
        <f>_xll.xSPRDOPT(I43,H43,AQ43,0,O43,N43,P43,D43-$G$5,1,0)*AH43*AU43</f>
        <v>8.000416574074011</v>
      </c>
      <c r="R43" s="135"/>
      <c r="S43" s="181">
        <f t="shared" si="48"/>
        <v>-277783.2296121837</v>
      </c>
      <c r="T43" s="181">
        <f>_xll.xSPRDOPT(I43,H43,AQ43,AT43,O43,N43,P43,D43-$G$5,1,1)*AF43*F43*AH43</f>
        <v>267783.03334614506</v>
      </c>
      <c r="U43" s="135"/>
      <c r="V43" s="146">
        <f t="shared" si="16"/>
        <v>12.779579904004645</v>
      </c>
      <c r="W43" s="146"/>
      <c r="X43" s="338">
        <f t="shared" si="17"/>
        <v>0</v>
      </c>
      <c r="Y43" s="338">
        <f t="shared" si="18"/>
        <v>0</v>
      </c>
      <c r="Z43" s="338">
        <f t="shared" si="19"/>
        <v>21.181968450077562</v>
      </c>
      <c r="AA43" s="338">
        <f t="shared" si="20"/>
        <v>8.9807675768388814E-2</v>
      </c>
      <c r="AB43" s="338">
        <f t="shared" si="21"/>
        <v>0</v>
      </c>
      <c r="AC43" s="338">
        <f t="shared" si="22"/>
        <v>21.832406483013077</v>
      </c>
      <c r="AF43" s="138">
        <f t="shared" si="23"/>
        <v>1</v>
      </c>
      <c r="AG43" s="138">
        <f t="shared" si="24"/>
        <v>12</v>
      </c>
      <c r="AH43" s="138">
        <f t="shared" si="25"/>
        <v>31</v>
      </c>
      <c r="AI43" s="138">
        <f t="shared" si="49"/>
        <v>714</v>
      </c>
      <c r="AJ43" s="138">
        <f t="shared" si="26"/>
        <v>731</v>
      </c>
      <c r="AL43" s="136">
        <f t="shared" si="27"/>
        <v>3.5369999999999999</v>
      </c>
      <c r="AM43" s="258">
        <f t="shared" si="28"/>
        <v>-0.39500000000000002</v>
      </c>
      <c r="AN43" s="258">
        <f t="shared" si="29"/>
        <v>0.155</v>
      </c>
      <c r="AO43" s="258">
        <f t="shared" si="30"/>
        <v>0.125</v>
      </c>
      <c r="AP43" s="258">
        <f t="shared" si="31"/>
        <v>3.5000000000000003E-2</v>
      </c>
      <c r="AQ43" s="136">
        <f t="shared" si="32"/>
        <v>0</v>
      </c>
      <c r="AR43" s="137">
        <f t="shared" si="33"/>
        <v>3.5999999999999997E-2</v>
      </c>
      <c r="AS43" s="136">
        <f t="shared" si="50"/>
        <v>3.2969999999999997</v>
      </c>
      <c r="AT43" s="137">
        <f t="shared" si="51"/>
        <v>3.5735624061610197E-2</v>
      </c>
      <c r="AU43" s="137">
        <f t="shared" si="34"/>
        <v>0.93183660269531621</v>
      </c>
      <c r="AV43" s="394">
        <f t="shared" si="52"/>
        <v>10023.766335193517</v>
      </c>
      <c r="AW43" s="137">
        <f t="shared" si="35"/>
        <v>0.37</v>
      </c>
      <c r="AX43" s="137">
        <f t="shared" si="36"/>
        <v>1.18</v>
      </c>
      <c r="AY43" s="137">
        <f t="shared" si="37"/>
        <v>1.1299999999999999</v>
      </c>
      <c r="AZ43" s="137"/>
      <c r="BA43" s="264"/>
      <c r="BB43" s="258">
        <f t="shared" si="38"/>
        <v>0</v>
      </c>
      <c r="BC43" s="258">
        <f t="shared" si="39"/>
        <v>0</v>
      </c>
      <c r="BD43" s="137">
        <f t="shared" si="40"/>
        <v>1.3508878508050604E-4</v>
      </c>
      <c r="BE43" s="137">
        <f t="shared" si="41"/>
        <v>1.2359025586688999E-4</v>
      </c>
      <c r="BF43" s="137">
        <f>_xll.xSPRDOPT($BW43,$BV43,$CG43,0,$BY43,$BX43,$BZ43,$AJ43,1,4)*$CB43</f>
        <v>8.4422281705059485E-2</v>
      </c>
      <c r="BG43" s="137">
        <f>_xll.xSPRDOPT($BW43,$BV43,$CG43,0,$BY43,$BX43,$BZ43,$AJ43,1,3)*$CB43</f>
        <v>7.2250619219533657E-2</v>
      </c>
      <c r="BH43" s="137">
        <f>IF(OR(BF43&lt;&gt;0,BG43&lt;&gt;0),_xll.xSPRDOPT($BW43,$BV43,$CG43,0,$BY43,$BX43,$BZ43,$AJ43,1,12)*$CB43,0)</f>
        <v>-7.8098939898384359E-2</v>
      </c>
      <c r="BI43" s="137">
        <f>_xll.xSPRDOPT($BW43,$BV43,$CG43,2*LN(1+CA43/2),$BY43,$BX43,$BZ43,$AJ43,1,9)</f>
        <v>8.9452121359588736E-3</v>
      </c>
      <c r="BJ43" s="137">
        <f>_xll.xSPRDOPT($BW43,$BV43,$CG43,0,$BY43,$BX43,$BZ43,$AJ43,1,6)*$CB43</f>
        <v>6.9316356044212589E-3</v>
      </c>
      <c r="BK43" s="137">
        <f>_xll.xSPRDOPT($BW43,$BV43,$CG43,0,$BY43,$BX43,$BZ43,$AJ43,1,5)*$CB43</f>
        <v>-5.0560499913083531E-3</v>
      </c>
      <c r="BL43" s="137">
        <f>_xll.xSPRDOPT(BW43,BV43,CG43,0,BY43,BX43,BZ43,AJ43,1,2)*CB43</f>
        <v>-0.92893086574868755</v>
      </c>
      <c r="BM43" s="137">
        <f>_xll.xSPRDOPT(BW43,BV43,CG43,0,BY43,BX43,BZ43,AJ43,1,1)*CB43</f>
        <v>0.92914850737718957</v>
      </c>
      <c r="BN43" s="137">
        <f>IF(AH43&lt;&gt;0,_xll.xSPRDOPT($BW43,$BV43,$CG43,2*LN(1+CA43/2),$BY43,$BX43,$BZ43,$AJ43,1,8)+(AJ43/365.25)*CH43/AH43,0)</f>
        <v>0.30845440396494372</v>
      </c>
      <c r="BO43" s="137">
        <f>_xll.xSPRDOPT($BW43,$BV43,$CG43,0,$BY43,$BX43,$BZ43,$AJ43,1,0)</f>
        <v>0.27695623512188483</v>
      </c>
      <c r="BP43" s="137"/>
      <c r="BQ43" s="137"/>
      <c r="BR43" s="137"/>
      <c r="BS43" s="137"/>
      <c r="BV43" s="262">
        <v>3.4201244813278007</v>
      </c>
      <c r="BW43" s="136">
        <v>3.6970000000000001</v>
      </c>
      <c r="BX43" s="137">
        <v>0.40431039338353919</v>
      </c>
      <c r="BY43" s="137">
        <v>0.40127654665354906</v>
      </c>
      <c r="BZ43" s="137">
        <v>0.99882186999791156</v>
      </c>
      <c r="CA43" s="137">
        <v>3.5735624061610197E-2</v>
      </c>
      <c r="CB43" s="137">
        <v>0.93156554756707821</v>
      </c>
      <c r="CC43" s="258">
        <v>-0.39500000000000002</v>
      </c>
      <c r="CD43" s="258">
        <v>0.155</v>
      </c>
      <c r="CE43" s="258">
        <v>0.125</v>
      </c>
      <c r="CF43" s="258">
        <v>3.5000000000000003E-2</v>
      </c>
      <c r="CG43" s="258">
        <v>0</v>
      </c>
      <c r="CH43" s="258">
        <v>12.775862545553938</v>
      </c>
      <c r="CI43" s="258">
        <v>3.5369999999999999</v>
      </c>
    </row>
    <row r="44" spans="1:87" x14ac:dyDescent="0.25">
      <c r="A44" s="723"/>
      <c r="B44" s="723"/>
      <c r="D44" s="31">
        <f t="shared" ref="D44:D96" si="53">D43+AH43</f>
        <v>38001</v>
      </c>
      <c r="F44" s="28">
        <f t="shared" ref="F44:F96" si="54">VLOOKUP(AG44,$AL$4:$AS$15,2)</f>
        <v>9300</v>
      </c>
      <c r="G44" s="28">
        <f t="shared" si="13"/>
        <v>8624.3197387525415</v>
      </c>
      <c r="H44" s="52">
        <f t="shared" ref="H44:H96" si="55">(AL44+AM44+AN44)/(1-(AR44))</f>
        <v>3.4823651452282158</v>
      </c>
      <c r="I44" s="52">
        <f t="shared" ref="I44:I96" si="56">(AL44+AO44+AP44)</f>
        <v>3.7570000000000001</v>
      </c>
      <c r="K44" s="52">
        <f t="shared" si="43"/>
        <v>7.895129329859123</v>
      </c>
      <c r="L44" s="135">
        <f t="shared" si="44"/>
        <v>2.3621978610277594E-3</v>
      </c>
      <c r="N44" s="131">
        <f t="shared" si="45"/>
        <v>0.4013279239775156</v>
      </c>
      <c r="O44" s="131">
        <f t="shared" si="46"/>
        <v>0.39846104346073596</v>
      </c>
      <c r="P44" s="55">
        <f t="shared" si="47"/>
        <v>0.99889902109274142</v>
      </c>
      <c r="Q44" s="135">
        <f>_xll.xSPRDOPT(I44,H44,AQ44,0,O44,N44,P44,D44-$G$5,1,0)*AH44*AU44</f>
        <v>7.8974915277201507</v>
      </c>
      <c r="R44" s="135"/>
      <c r="S44" s="181">
        <f t="shared" si="48"/>
        <v>-276411.59413990163</v>
      </c>
      <c r="T44" s="181">
        <f>_xll.xSPRDOPT(I44,H44,AQ44,AT44,O44,N44,P44,D44-$G$5,1,1)*AF44*F44*AH44</f>
        <v>266460.77675086516</v>
      </c>
      <c r="U44" s="135"/>
      <c r="V44" s="146">
        <f t="shared" ref="V44:V96" si="57">VLOOKUP($AG44,$AL$4:$AS$15,8)*AH44*AU44</f>
        <v>12.717996841413751</v>
      </c>
      <c r="W44" s="146"/>
      <c r="X44" s="338">
        <f t="shared" ref="X44:X96" si="58">((BM44*BC44)+(BL44*BB44))*AH44*F44</f>
        <v>0</v>
      </c>
      <c r="Y44" s="338">
        <f t="shared" si="18"/>
        <v>0</v>
      </c>
      <c r="Z44" s="338">
        <f t="shared" si="19"/>
        <v>21.447456444958497</v>
      </c>
      <c r="AA44" s="338">
        <f t="shared" si="20"/>
        <v>8.094811639242816E-2</v>
      </c>
      <c r="AB44" s="338">
        <f t="shared" ref="AB44:AB96" si="59">BN44*(AT44-CA44)*F44*AH44</f>
        <v>0</v>
      </c>
      <c r="AC44" s="338">
        <f t="shared" ref="AC44:AC96" si="60">BO44*CB44*F44*AH44*CA44*($G$5-$BV$5)/365.25</f>
        <v>22.090394602549036</v>
      </c>
      <c r="AF44" s="138">
        <f t="shared" ref="AF44:AF96" si="61">IF(AND(D44&gt;=$G$7,D44&lt;=$G$8),1,0)</f>
        <v>1</v>
      </c>
      <c r="AG44" s="138">
        <f t="shared" ref="AG44:AG96" si="62">MONTH(D44)</f>
        <v>1</v>
      </c>
      <c r="AH44" s="138">
        <f t="shared" si="25"/>
        <v>31</v>
      </c>
      <c r="AI44" s="138">
        <f t="shared" ref="AI44:AI96" si="63">AI43+AH43</f>
        <v>745</v>
      </c>
      <c r="AJ44" s="138">
        <f t="shared" ref="AJ44:AJ96" si="64">D44-$BV$5</f>
        <v>762</v>
      </c>
      <c r="AL44" s="136">
        <f t="shared" si="27"/>
        <v>3.597</v>
      </c>
      <c r="AM44" s="258">
        <f t="shared" si="28"/>
        <v>-0.39500000000000002</v>
      </c>
      <c r="AN44" s="258">
        <f t="shared" si="29"/>
        <v>0.155</v>
      </c>
      <c r="AO44" s="258">
        <f t="shared" si="30"/>
        <v>0.125</v>
      </c>
      <c r="AP44" s="258">
        <f t="shared" si="31"/>
        <v>3.5000000000000003E-2</v>
      </c>
      <c r="AQ44" s="136">
        <f t="shared" ref="AQ44:AQ96" si="65">VLOOKUP($AG44,$AL$4:$AS$15,3)+VLOOKUP($AG44,$AL$4:$AS$15,5)+($AH$10*VLOOKUP(D44,GRITable,2))</f>
        <v>0</v>
      </c>
      <c r="AR44" s="137">
        <f t="shared" si="33"/>
        <v>3.5999999999999997E-2</v>
      </c>
      <c r="AS44" s="136">
        <f t="shared" si="50"/>
        <v>3.3569999999999998</v>
      </c>
      <c r="AT44" s="137">
        <f t="shared" si="51"/>
        <v>3.6629399588957501E-2</v>
      </c>
      <c r="AU44" s="137">
        <f t="shared" si="34"/>
        <v>0.9273462084680153</v>
      </c>
      <c r="AV44" s="394">
        <f t="shared" si="52"/>
        <v>9975.4631644904402</v>
      </c>
      <c r="AW44" s="137">
        <f t="shared" si="35"/>
        <v>0.37</v>
      </c>
      <c r="AX44" s="137">
        <f t="shared" si="36"/>
        <v>1.1499999999999999</v>
      </c>
      <c r="AY44" s="137">
        <f t="shared" si="37"/>
        <v>1.1000000000000001</v>
      </c>
      <c r="AZ44" s="137"/>
      <c r="BA44" s="264"/>
      <c r="BB44" s="258">
        <f t="shared" si="38"/>
        <v>0</v>
      </c>
      <c r="BC44" s="258">
        <f t="shared" ref="BC44:BC96" si="66">I44-BW44</f>
        <v>0</v>
      </c>
      <c r="BD44" s="137">
        <f t="shared" ref="BD44:BD96" si="67">N44-BX44</f>
        <v>1.1830893035996715E-4</v>
      </c>
      <c r="BE44" s="137">
        <f t="shared" ref="BE44:BE96" si="68">O44-BY44</f>
        <v>1.0785190086759489E-4</v>
      </c>
      <c r="BF44" s="137">
        <f>_xll.xSPRDOPT($BW44,$BV44,$CG44,0,$BY44,$BX44,$BZ44,$AJ44,1,4)*$CB44</f>
        <v>8.598525369946862E-2</v>
      </c>
      <c r="BG44" s="137">
        <f>_xll.xSPRDOPT($BW44,$BV44,$CG44,0,$BY44,$BX44,$BZ44,$AJ44,1,3)*$CB44</f>
        <v>7.3873687825677589E-2</v>
      </c>
      <c r="BH44" s="137">
        <f>IF(OR(BF44&lt;&gt;0,BG44&lt;&gt;0),_xll.xSPRDOPT($BW44,$BV44,$CG44,0,$BY44,$BX44,$BZ44,$AJ44,1,12)*$CB44,0)</f>
        <v>-7.9698948576213957E-2</v>
      </c>
      <c r="BI44" s="137">
        <f>_xll.xSPRDOPT($BW44,$BV44,$CG44,2*LN(1+CA44/2),$BY44,$BX44,$BZ44,$AJ44,1,9)</f>
        <v>9.0573285541924974E-3</v>
      </c>
      <c r="BJ44" s="137">
        <f>_xll.xSPRDOPT($BW44,$BV44,$CG44,0,$BY44,$BX44,$BZ44,$AJ44,1,6)*$CB44</f>
        <v>7.1661394437767577E-3</v>
      </c>
      <c r="BK44" s="137">
        <f>_xll.xSPRDOPT($BW44,$BV44,$CG44,0,$BY44,$BX44,$BZ44,$AJ44,1,5)*$CB44</f>
        <v>-5.2575885606711593E-3</v>
      </c>
      <c r="BL44" s="137">
        <f>_xll.xSPRDOPT(BW44,BV44,CG44,0,BY44,BX44,BZ44,AJ44,1,2)*CB44</f>
        <v>-0.92439326295115498</v>
      </c>
      <c r="BM44" s="137">
        <f>_xll.xSPRDOPT(BW44,BV44,CG44,0,BY44,BX44,BZ44,AJ44,1,1)*CB44</f>
        <v>0.92460917831085343</v>
      </c>
      <c r="BN44" s="137">
        <f>IF(AH44&lt;&gt;0,_xll.xSPRDOPT($BW44,$BV44,$CG44,2*LN(1+CA44/2),$BY44,$BX44,$BZ44,$AJ44,1,8)+(AJ44/365.25)*CH44/AH44,0)</f>
        <v>0.32431432490146384</v>
      </c>
      <c r="BO44" s="137">
        <f>_xll.xSPRDOPT($BW44,$BV44,$CG44,0,$BY44,$BX44,$BZ44,$AJ44,1,0)</f>
        <v>0.27471702788803615</v>
      </c>
      <c r="BP44" s="137"/>
      <c r="BQ44" s="137"/>
      <c r="BR44" s="137"/>
      <c r="BS44" s="137"/>
      <c r="BV44" s="262">
        <v>3.4823651452282158</v>
      </c>
      <c r="BW44" s="136">
        <v>3.7570000000000001</v>
      </c>
      <c r="BX44" s="137">
        <v>0.40120961504715563</v>
      </c>
      <c r="BY44" s="137">
        <v>0.39835319155986837</v>
      </c>
      <c r="BZ44" s="137">
        <v>0.99890264055600064</v>
      </c>
      <c r="CA44" s="137">
        <v>3.6629399588957501E-2</v>
      </c>
      <c r="CB44" s="137">
        <v>0.92706977474295649</v>
      </c>
      <c r="CC44" s="258">
        <v>-0.39500000000000002</v>
      </c>
      <c r="CD44" s="258">
        <v>0.155</v>
      </c>
      <c r="CE44" s="258">
        <v>0.125</v>
      </c>
      <c r="CF44" s="258">
        <v>3.5000000000000003E-2</v>
      </c>
      <c r="CG44" s="258">
        <v>0</v>
      </c>
      <c r="CH44" s="258">
        <v>12.714205718734803</v>
      </c>
      <c r="CI44" s="258">
        <v>3.597</v>
      </c>
    </row>
    <row r="45" spans="1:87" x14ac:dyDescent="0.25">
      <c r="A45" s="723"/>
      <c r="B45" s="723"/>
      <c r="D45" s="31">
        <f t="shared" si="53"/>
        <v>38032</v>
      </c>
      <c r="F45" s="28">
        <f t="shared" si="54"/>
        <v>9300</v>
      </c>
      <c r="G45" s="28">
        <f t="shared" si="13"/>
        <v>8582.1819268386225</v>
      </c>
      <c r="H45" s="52">
        <f t="shared" si="55"/>
        <v>3.3941908713692945</v>
      </c>
      <c r="I45" s="52">
        <f t="shared" si="56"/>
        <v>3.6720000000000002</v>
      </c>
      <c r="K45" s="52">
        <f t="shared" si="43"/>
        <v>7.4346286024206023</v>
      </c>
      <c r="L45" s="135">
        <f t="shared" si="44"/>
        <v>1.0612118948243321E-3</v>
      </c>
      <c r="N45" s="131">
        <f t="shared" si="45"/>
        <v>0.39830547143725015</v>
      </c>
      <c r="O45" s="131">
        <f t="shared" si="46"/>
        <v>0.39570655947863848</v>
      </c>
      <c r="P45" s="55">
        <f t="shared" si="47"/>
        <v>0.99899263204844935</v>
      </c>
      <c r="Q45" s="135">
        <f>_xll.xSPRDOPT(I45,H45,AQ45,0,O45,N45,P45,D45-$G$5,1,0)*AH45*AU45</f>
        <v>7.4356898143154266</v>
      </c>
      <c r="R45" s="135"/>
      <c r="S45" s="181">
        <f t="shared" si="48"/>
        <v>-257616.65021576424</v>
      </c>
      <c r="T45" s="181">
        <f>_xll.xSPRDOPT(I45,H45,AQ45,AT45,O45,N45,P45,D45-$G$5,1,1)*AF45*F45*AH45</f>
        <v>248342.45080799671</v>
      </c>
      <c r="U45" s="135"/>
      <c r="V45" s="146">
        <f t="shared" si="57"/>
        <v>11.839350671889118</v>
      </c>
      <c r="W45" s="146"/>
      <c r="X45" s="338">
        <f t="shared" si="58"/>
        <v>0</v>
      </c>
      <c r="Y45" s="338">
        <f t="shared" si="18"/>
        <v>0</v>
      </c>
      <c r="Z45" s="338">
        <f t="shared" si="19"/>
        <v>20.874467619712959</v>
      </c>
      <c r="AA45" s="338">
        <f t="shared" si="20"/>
        <v>3.5681344475726184E-2</v>
      </c>
      <c r="AB45" s="338">
        <f t="shared" si="59"/>
        <v>0</v>
      </c>
      <c r="AC45" s="338">
        <f t="shared" si="60"/>
        <v>21.28441266504565</v>
      </c>
      <c r="AF45" s="138">
        <f t="shared" si="61"/>
        <v>1</v>
      </c>
      <c r="AG45" s="138">
        <f t="shared" si="62"/>
        <v>2</v>
      </c>
      <c r="AH45" s="138">
        <f t="shared" si="25"/>
        <v>29</v>
      </c>
      <c r="AI45" s="138">
        <f t="shared" si="63"/>
        <v>776</v>
      </c>
      <c r="AJ45" s="138">
        <f t="shared" si="64"/>
        <v>793</v>
      </c>
      <c r="AL45" s="136">
        <f t="shared" si="27"/>
        <v>3.512</v>
      </c>
      <c r="AM45" s="258">
        <f t="shared" si="28"/>
        <v>-0.39500000000000002</v>
      </c>
      <c r="AN45" s="258">
        <f t="shared" si="29"/>
        <v>0.155</v>
      </c>
      <c r="AO45" s="258">
        <f t="shared" si="30"/>
        <v>0.125</v>
      </c>
      <c r="AP45" s="258">
        <f t="shared" si="31"/>
        <v>3.5000000000000003E-2</v>
      </c>
      <c r="AQ45" s="136">
        <f t="shared" si="65"/>
        <v>0</v>
      </c>
      <c r="AR45" s="137">
        <f t="shared" si="33"/>
        <v>3.5999999999999997E-2</v>
      </c>
      <c r="AS45" s="136">
        <f t="shared" si="50"/>
        <v>3.2719999999999998</v>
      </c>
      <c r="AT45" s="137">
        <f t="shared" si="51"/>
        <v>3.74851197051385E-2</v>
      </c>
      <c r="AU45" s="137">
        <f t="shared" si="34"/>
        <v>0.92281526095038946</v>
      </c>
      <c r="AV45" s="394">
        <f t="shared" si="52"/>
        <v>9286.2899709437697</v>
      </c>
      <c r="AW45" s="137">
        <f t="shared" si="35"/>
        <v>0.37</v>
      </c>
      <c r="AX45" s="137">
        <f t="shared" si="36"/>
        <v>1.1499999999999999</v>
      </c>
      <c r="AY45" s="137">
        <f t="shared" si="37"/>
        <v>1.1000000000000001</v>
      </c>
      <c r="AZ45" s="137"/>
      <c r="BA45" s="264"/>
      <c r="BB45" s="258">
        <f t="shared" si="38"/>
        <v>0</v>
      </c>
      <c r="BC45" s="258">
        <f t="shared" si="66"/>
        <v>0</v>
      </c>
      <c r="BD45" s="137">
        <f t="shared" si="67"/>
        <v>1.0322589437589125E-4</v>
      </c>
      <c r="BE45" s="137">
        <f t="shared" si="68"/>
        <v>9.4043549321132236E-5</v>
      </c>
      <c r="BF45" s="137">
        <f>_xll.xSPRDOPT($BW45,$BV45,$CG45,0,$BY45,$BX45,$BZ45,$AJ45,1,4)*$CB45</f>
        <v>5.1665105053490118E-2</v>
      </c>
      <c r="BG45" s="137">
        <f>_xll.xSPRDOPT($BW45,$BV45,$CG45,0,$BY45,$BX45,$BZ45,$AJ45,1,3)*$CB45</f>
        <v>4.4143185995987877E-2</v>
      </c>
      <c r="BH45" s="137">
        <f>IF(OR(BF45&lt;&gt;0,BG45&lt;&gt;0),_xll.xSPRDOPT($BW45,$BV45,$CG45,0,$BY45,$BX45,$BZ45,$AJ45,1,12)*$CB45,0)</f>
        <v>-4.7756181160638227E-2</v>
      </c>
      <c r="BI45" s="137">
        <f>_xll.xSPRDOPT($BW45,$BV45,$CG45,2*LN(1+CA45/2),$BY45,$BX45,$BZ45,$AJ45,1,9)</f>
        <v>9.423308982944207E-3</v>
      </c>
      <c r="BJ45" s="137">
        <f>_xll.xSPRDOPT($BW45,$BV45,$CG45,0,$BY45,$BX45,$BZ45,$AJ45,1,6)*$CB45</f>
        <v>3.8608132138969473E-3</v>
      </c>
      <c r="BK45" s="137">
        <f>_xll.xSPRDOPT($BW45,$BV45,$CG45,0,$BY45,$BX45,$BZ45,$AJ45,1,5)*$CB45</f>
        <v>-2.8309838485970299E-3</v>
      </c>
      <c r="BL45" s="137">
        <f>_xll.xSPRDOPT(BW45,BV45,CG45,0,BY45,BX45,BZ45,AJ45,1,2)*CB45</f>
        <v>-0.92110189449099089</v>
      </c>
      <c r="BM45" s="137">
        <f>_xll.xSPRDOPT(BW45,BV45,CG45,0,BY45,BX45,BZ45,AJ45,1,1)*CB45</f>
        <v>0.92122017588526139</v>
      </c>
      <c r="BN45" s="137">
        <f>IF(AH45&lt;&gt;0,_xll.xSPRDOPT($BW45,$BV45,$CG45,2*LN(1+CA45/2),$BY45,$BX45,$BZ45,$AJ45,1,8)+(AJ45/365.25)*CH45/AH45,0)</f>
        <v>0.32958417651905247</v>
      </c>
      <c r="BO45" s="137">
        <f>_xll.xSPRDOPT($BW45,$BV45,$CG45,0,$BY45,$BX45,$BZ45,$AJ45,1,0)</f>
        <v>0.27784878334943131</v>
      </c>
      <c r="BP45" s="137"/>
      <c r="BQ45" s="137"/>
      <c r="BR45" s="137"/>
      <c r="BS45" s="137"/>
      <c r="BV45" s="262">
        <v>3.3941908713692945</v>
      </c>
      <c r="BW45" s="136">
        <v>3.6720000000000002</v>
      </c>
      <c r="BX45" s="137">
        <v>0.39820224554287426</v>
      </c>
      <c r="BY45" s="137">
        <v>0.39561251592931734</v>
      </c>
      <c r="BZ45" s="137">
        <v>0.99899587167825521</v>
      </c>
      <c r="CA45" s="137">
        <v>3.74851197051385E-2</v>
      </c>
      <c r="CB45" s="137">
        <v>0.92253381176270466</v>
      </c>
      <c r="CC45" s="258">
        <v>-0.39500000000000002</v>
      </c>
      <c r="CD45" s="258">
        <v>0.155</v>
      </c>
      <c r="CE45" s="258">
        <v>0.125</v>
      </c>
      <c r="CF45" s="258">
        <v>3.5000000000000003E-2</v>
      </c>
      <c r="CG45" s="258">
        <v>0</v>
      </c>
      <c r="CH45" s="258">
        <v>11.835739791390797</v>
      </c>
      <c r="CI45" s="258">
        <v>3.512</v>
      </c>
    </row>
    <row r="46" spans="1:87" x14ac:dyDescent="0.25">
      <c r="A46" s="723"/>
      <c r="B46" s="723"/>
      <c r="D46" s="31">
        <f t="shared" si="53"/>
        <v>38061</v>
      </c>
      <c r="F46" s="28">
        <f t="shared" si="54"/>
        <v>9300</v>
      </c>
      <c r="G46" s="28">
        <f t="shared" si="13"/>
        <v>8541.8523041150875</v>
      </c>
      <c r="H46" s="52">
        <f t="shared" si="55"/>
        <v>3.2593360995850622</v>
      </c>
      <c r="I46" s="52">
        <f t="shared" si="56"/>
        <v>3.5420000000000003</v>
      </c>
      <c r="K46" s="52">
        <f t="shared" si="43"/>
        <v>8.0482442968316548</v>
      </c>
      <c r="L46" s="135">
        <f t="shared" si="44"/>
        <v>8.7226636683013226E-4</v>
      </c>
      <c r="N46" s="131">
        <f t="shared" si="45"/>
        <v>0.37053064867669872</v>
      </c>
      <c r="O46" s="131">
        <f t="shared" si="46"/>
        <v>0.36642927609768672</v>
      </c>
      <c r="P46" s="55">
        <f t="shared" si="47"/>
        <v>0.99883407291139892</v>
      </c>
      <c r="Q46" s="135">
        <f>_xll.xSPRDOPT(I46,H46,AQ46,0,O46,N46,P46,D46-$G$5,1,0)*AH46*AU46</f>
        <v>8.0491165631984849</v>
      </c>
      <c r="R46" s="135"/>
      <c r="S46" s="181">
        <f t="shared" si="48"/>
        <v>-274154.84432047221</v>
      </c>
      <c r="T46" s="181">
        <f>_xll.xSPRDOPT(I46,H46,AQ46,AT46,O46,N46,P46,D46-$G$5,1,1)*AF46*F46*AH46</f>
        <v>264285.26992493519</v>
      </c>
      <c r="U46" s="135"/>
      <c r="V46" s="146">
        <f t="shared" si="57"/>
        <v>12.596384864468384</v>
      </c>
      <c r="W46" s="146"/>
      <c r="X46" s="338">
        <f t="shared" si="58"/>
        <v>0</v>
      </c>
      <c r="Y46" s="338">
        <f t="shared" si="18"/>
        <v>0</v>
      </c>
      <c r="Z46" s="338">
        <f t="shared" si="19"/>
        <v>23.134490256063078</v>
      </c>
      <c r="AA46" s="338">
        <f t="shared" si="20"/>
        <v>2.8961280396209745E-2</v>
      </c>
      <c r="AB46" s="338">
        <f t="shared" si="59"/>
        <v>0</v>
      </c>
      <c r="AC46" s="338">
        <f t="shared" si="60"/>
        <v>23.532211503272645</v>
      </c>
      <c r="AF46" s="138">
        <f t="shared" si="61"/>
        <v>1</v>
      </c>
      <c r="AG46" s="138">
        <f t="shared" si="62"/>
        <v>3</v>
      </c>
      <c r="AH46" s="138">
        <f t="shared" si="25"/>
        <v>31</v>
      </c>
      <c r="AI46" s="138">
        <f t="shared" si="63"/>
        <v>805</v>
      </c>
      <c r="AJ46" s="138">
        <f t="shared" si="64"/>
        <v>822</v>
      </c>
      <c r="AL46" s="136">
        <f t="shared" si="27"/>
        <v>3.3820000000000001</v>
      </c>
      <c r="AM46" s="258">
        <f t="shared" si="28"/>
        <v>-0.39500000000000002</v>
      </c>
      <c r="AN46" s="258">
        <f t="shared" si="29"/>
        <v>0.155</v>
      </c>
      <c r="AO46" s="258">
        <f t="shared" si="30"/>
        <v>0.125</v>
      </c>
      <c r="AP46" s="258">
        <f t="shared" si="31"/>
        <v>3.5000000000000003E-2</v>
      </c>
      <c r="AQ46" s="136">
        <f t="shared" si="65"/>
        <v>0</v>
      </c>
      <c r="AR46" s="137">
        <f t="shared" si="33"/>
        <v>3.5999999999999997E-2</v>
      </c>
      <c r="AS46" s="136">
        <f t="shared" si="50"/>
        <v>3.1419999999999999</v>
      </c>
      <c r="AT46" s="137">
        <f t="shared" si="51"/>
        <v>3.8285632294587903E-2</v>
      </c>
      <c r="AU46" s="137">
        <f t="shared" si="34"/>
        <v>0.91847874237796645</v>
      </c>
      <c r="AV46" s="394">
        <f t="shared" si="52"/>
        <v>9880.0758317597847</v>
      </c>
      <c r="AW46" s="137">
        <f t="shared" si="35"/>
        <v>0.35499999999999998</v>
      </c>
      <c r="AX46" s="137">
        <f t="shared" si="36"/>
        <v>0.85</v>
      </c>
      <c r="AY46" s="137">
        <f t="shared" si="37"/>
        <v>0.75</v>
      </c>
      <c r="AZ46" s="137"/>
      <c r="BA46" s="264"/>
      <c r="BB46" s="258">
        <f t="shared" si="38"/>
        <v>0</v>
      </c>
      <c r="BC46" s="258">
        <f t="shared" si="66"/>
        <v>0</v>
      </c>
      <c r="BD46" s="137">
        <f t="shared" si="67"/>
        <v>5.5396374596894393E-5</v>
      </c>
      <c r="BE46" s="137">
        <f t="shared" si="68"/>
        <v>4.0989655535617064E-5</v>
      </c>
      <c r="BF46" s="137">
        <f>_xll.xSPRDOPT($BW46,$BV46,$CG46,0,$BY46,$BX46,$BZ46,$AJ46,1,4)*$CB46</f>
        <v>4.1968331914064669E-2</v>
      </c>
      <c r="BG46" s="137">
        <f>_xll.xSPRDOPT($BW46,$BV46,$CG46,0,$BY46,$BX46,$BZ46,$AJ46,1,3)*$CB46</f>
        <v>3.5537085768697213E-2</v>
      </c>
      <c r="BH46" s="137">
        <f>IF(OR(BF46&lt;&gt;0,BG46&lt;&gt;0),_xll.xSPRDOPT($BW46,$BV46,$CG46,0,$BY46,$BX46,$BZ46,$AJ46,1,12)*$CB46,0)</f>
        <v>-3.8619202412149327E-2</v>
      </c>
      <c r="BI46" s="137">
        <f>_xll.xSPRDOPT($BW46,$BV46,$CG46,2*LN(1+CA46/2),$BY46,$BX46,$BZ46,$AJ46,1,9)</f>
        <v>9.7697682576332982E-3</v>
      </c>
      <c r="BJ46" s="137">
        <f>_xll.xSPRDOPT($BW46,$BV46,$CG46,0,$BY46,$BX46,$BZ46,$AJ46,1,6)*$CB46</f>
        <v>4.5287004703942957E-3</v>
      </c>
      <c r="BK46" s="137">
        <f>_xll.xSPRDOPT($BW46,$BV46,$CG46,0,$BY46,$BX46,$BZ46,$AJ46,1,5)*$CB46</f>
        <v>-3.6696631224201024E-3</v>
      </c>
      <c r="BL46" s="137">
        <f>_xll.xSPRDOPT(BW46,BV46,CG46,0,BY46,BX46,BZ46,AJ46,1,2)*CB46</f>
        <v>-0.9170624674482164</v>
      </c>
      <c r="BM46" s="137">
        <f>_xll.xSPRDOPT(BW46,BV46,CG46,0,BY46,BX46,BZ46,AJ46,1,1)*CB46</f>
        <v>0.91716058956765567</v>
      </c>
      <c r="BN46" s="137">
        <f>IF(AH46&lt;&gt;0,_xll.xSPRDOPT($BW46,$BV46,$CG46,2*LN(1+CA46/2),$BY46,$BX46,$BZ46,$AJ46,1,8)+(AJ46/365.25)*CH46/AH46,0)</f>
        <v>0.33001615302646214</v>
      </c>
      <c r="BO46" s="137">
        <f>_xll.xSPRDOPT($BW46,$BV46,$CG46,0,$BY46,$BX46,$BZ46,$AJ46,1,0)</f>
        <v>0.28269453661745464</v>
      </c>
      <c r="BP46" s="137"/>
      <c r="BQ46" s="137"/>
      <c r="BR46" s="137"/>
      <c r="BS46" s="137"/>
      <c r="BV46" s="262">
        <v>3.2593360995850622</v>
      </c>
      <c r="BW46" s="136">
        <v>3.5420000000000003</v>
      </c>
      <c r="BX46" s="137">
        <v>0.37047525230210182</v>
      </c>
      <c r="BY46" s="137">
        <v>0.3663882864421511</v>
      </c>
      <c r="BZ46" s="137">
        <v>0.99883780787081189</v>
      </c>
      <c r="CA46" s="137">
        <v>3.8285632294587903E-2</v>
      </c>
      <c r="CB46" s="137">
        <v>0.91819269083412736</v>
      </c>
      <c r="CC46" s="258">
        <v>-0.39500000000000002</v>
      </c>
      <c r="CD46" s="258">
        <v>0.155</v>
      </c>
      <c r="CE46" s="258">
        <v>0.125</v>
      </c>
      <c r="CF46" s="258">
        <v>3.5000000000000003E-2</v>
      </c>
      <c r="CG46" s="258">
        <v>0</v>
      </c>
      <c r="CH46" s="258">
        <v>12.592461839175558</v>
      </c>
      <c r="CI46" s="258">
        <v>3.3820000000000001</v>
      </c>
    </row>
    <row r="47" spans="1:87" x14ac:dyDescent="0.25">
      <c r="A47" s="723"/>
      <c r="B47" s="723"/>
      <c r="D47" s="31">
        <f t="shared" si="53"/>
        <v>38092</v>
      </c>
      <c r="F47" s="28">
        <f t="shared" si="54"/>
        <v>9300</v>
      </c>
      <c r="G47" s="28">
        <f t="shared" si="13"/>
        <v>8498.8838683397917</v>
      </c>
      <c r="H47" s="52">
        <f t="shared" si="55"/>
        <v>3.0311203319502074</v>
      </c>
      <c r="I47" s="52">
        <f t="shared" si="56"/>
        <v>3.2770000000000001</v>
      </c>
      <c r="K47" s="52">
        <f t="shared" si="43"/>
        <v>6.7409765946487958</v>
      </c>
      <c r="L47" s="135">
        <f t="shared" si="44"/>
        <v>1.0439519778149275E-4</v>
      </c>
      <c r="N47" s="131">
        <f t="shared" si="45"/>
        <v>0.33249033630585456</v>
      </c>
      <c r="O47" s="131">
        <f t="shared" si="46"/>
        <v>0.33249033630585456</v>
      </c>
      <c r="P47" s="55">
        <f t="shared" si="47"/>
        <v>0.999289684399843</v>
      </c>
      <c r="Q47" s="135">
        <f>_xll.xSPRDOPT(I47,H47,AQ47,0,O47,N47,P47,D47-$G$5,1,0)*AH47*AU47</f>
        <v>6.7410809898465773</v>
      </c>
      <c r="R47" s="135"/>
      <c r="S47" s="181">
        <f t="shared" si="48"/>
        <v>-264203.5100776382</v>
      </c>
      <c r="T47" s="181">
        <f>_xll.xSPRDOPT(I47,H47,AQ47,AT47,O47,N47,P47,D47-$G$5,1,1)*AF47*F47*AH47</f>
        <v>254692.18371484321</v>
      </c>
      <c r="U47" s="135"/>
      <c r="V47" s="146">
        <f t="shared" si="57"/>
        <v>12.128729752753301</v>
      </c>
      <c r="W47" s="146"/>
      <c r="X47" s="338">
        <f t="shared" si="58"/>
        <v>0</v>
      </c>
      <c r="Y47" s="338">
        <f t="shared" si="18"/>
        <v>0</v>
      </c>
      <c r="Z47" s="338">
        <f t="shared" si="19"/>
        <v>19.922324552891084</v>
      </c>
      <c r="AA47" s="338">
        <f t="shared" si="20"/>
        <v>3.8859183061463424E-5</v>
      </c>
      <c r="AB47" s="338">
        <f t="shared" si="59"/>
        <v>0</v>
      </c>
      <c r="AC47" s="338">
        <f t="shared" si="60"/>
        <v>20.119284907879621</v>
      </c>
      <c r="AF47" s="138">
        <f t="shared" si="61"/>
        <v>1</v>
      </c>
      <c r="AG47" s="138">
        <f t="shared" si="62"/>
        <v>4</v>
      </c>
      <c r="AH47" s="138">
        <f t="shared" si="25"/>
        <v>30</v>
      </c>
      <c r="AI47" s="138">
        <f t="shared" si="63"/>
        <v>836</v>
      </c>
      <c r="AJ47" s="138">
        <f t="shared" si="64"/>
        <v>853</v>
      </c>
      <c r="AL47" s="136">
        <f t="shared" si="27"/>
        <v>3.1970000000000001</v>
      </c>
      <c r="AM47" s="258">
        <f t="shared" si="28"/>
        <v>-0.43</v>
      </c>
      <c r="AN47" s="258">
        <f t="shared" si="29"/>
        <v>0.155</v>
      </c>
      <c r="AO47" s="258">
        <f t="shared" si="30"/>
        <v>0.04</v>
      </c>
      <c r="AP47" s="258">
        <f t="shared" si="31"/>
        <v>0.04</v>
      </c>
      <c r="AQ47" s="136">
        <f t="shared" si="65"/>
        <v>0</v>
      </c>
      <c r="AR47" s="137">
        <f t="shared" si="33"/>
        <v>3.5999999999999997E-2</v>
      </c>
      <c r="AS47" s="136">
        <f t="shared" si="50"/>
        <v>2.9219999999999997</v>
      </c>
      <c r="AT47" s="137">
        <f t="shared" si="51"/>
        <v>3.9084714616572501E-2</v>
      </c>
      <c r="AU47" s="137">
        <f t="shared" si="34"/>
        <v>0.9138584804666442</v>
      </c>
      <c r="AV47" s="394">
        <f t="shared" si="52"/>
        <v>9513.2667816577668</v>
      </c>
      <c r="AW47" s="137">
        <f t="shared" si="35"/>
        <v>0.33</v>
      </c>
      <c r="AX47" s="137">
        <f t="shared" si="36"/>
        <v>0.45</v>
      </c>
      <c r="AY47" s="137">
        <f t="shared" si="37"/>
        <v>0.45</v>
      </c>
      <c r="AZ47" s="137"/>
      <c r="BA47" s="264"/>
      <c r="BB47" s="258">
        <f t="shared" si="38"/>
        <v>0</v>
      </c>
      <c r="BC47" s="258">
        <f t="shared" si="66"/>
        <v>0</v>
      </c>
      <c r="BD47" s="137">
        <f t="shared" si="67"/>
        <v>8.715606236775475E-6</v>
      </c>
      <c r="BE47" s="137">
        <f t="shared" si="68"/>
        <v>8.715606236775475E-6</v>
      </c>
      <c r="BF47" s="137">
        <f>_xll.xSPRDOPT($BW47,$BV47,$CG47,0,$BY47,$BX47,$BZ47,$AJ47,1,4)*$CB47</f>
        <v>1.0764603184250668E-2</v>
      </c>
      <c r="BG47" s="137">
        <f>_xll.xSPRDOPT($BW47,$BV47,$CG47,0,$BY47,$BX47,$BZ47,$AJ47,1,3)*$CB47</f>
        <v>9.2098162828492449E-3</v>
      </c>
      <c r="BH47" s="137">
        <f>IF(OR(BF47&lt;&gt;0,BG47&lt;&gt;0),_xll.xSPRDOPT($BW47,$BV47,$CG47,0,$BY47,$BX47,$BZ47,$AJ47,1,12)*$CB47,0)</f>
        <v>-9.9575954774358336E-3</v>
      </c>
      <c r="BI47" s="137">
        <f>_xll.xSPRDOPT($BW47,$BV47,$CG47,2*LN(1+CA47/2),$BY47,$BX47,$BZ47,$AJ47,1,9)</f>
        <v>8.6937025602669884E-3</v>
      </c>
      <c r="BJ47" s="137">
        <f>_xll.xSPRDOPT($BW47,$BV47,$CG47,0,$BY47,$BX47,$BZ47,$AJ47,1,6)*$CB47</f>
        <v>8.440841920519272E-6</v>
      </c>
      <c r="BK47" s="137">
        <f>_xll.xSPRDOPT($BW47,$BV47,$CG47,0,$BY47,$BX47,$BZ47,$AJ47,1,5)*$CB47</f>
        <v>7.5397132173503252E-6</v>
      </c>
      <c r="BL47" s="137">
        <f>_xll.xSPRDOPT(BW47,BV47,CG47,0,BY47,BX47,BZ47,AJ47,1,2)*CB47</f>
        <v>-0.91336642858571393</v>
      </c>
      <c r="BM47" s="137">
        <f>_xll.xSPRDOPT(BW47,BV47,CG47,0,BY47,BX47,BZ47,AJ47,1,1)*CB47</f>
        <v>0.9133826267315921</v>
      </c>
      <c r="BN47" s="137">
        <f>IF(AH47&lt;&gt;0,_xll.xSPRDOPT($BW47,$BV47,$CG47,2*LN(1+CA47/2),$BY47,$BX47,$BZ47,$AJ47,1,8)+(AJ47/365.25)*CH47/AH47,0)</f>
        <v>0.41928222003575433</v>
      </c>
      <c r="BO47" s="137">
        <f>_xll.xSPRDOPT($BW47,$BV47,$CG47,0,$BY47,$BX47,$BZ47,$AJ47,1,0)</f>
        <v>0.24588355865283876</v>
      </c>
      <c r="BP47" s="137"/>
      <c r="BQ47" s="137"/>
      <c r="BR47" s="137"/>
      <c r="BS47" s="137"/>
      <c r="BV47" s="262">
        <v>3.0311203319502074</v>
      </c>
      <c r="BW47" s="136">
        <v>3.2770000000000001</v>
      </c>
      <c r="BX47" s="137">
        <v>0.33248162069961779</v>
      </c>
      <c r="BY47" s="137">
        <v>0.33248162069961779</v>
      </c>
      <c r="BZ47" s="137">
        <v>0.99929214254390142</v>
      </c>
      <c r="CA47" s="137">
        <v>3.9084714616572501E-2</v>
      </c>
      <c r="CB47" s="137">
        <v>0.91356798559380814</v>
      </c>
      <c r="CC47" s="258">
        <v>-0.43</v>
      </c>
      <c r="CD47" s="258">
        <v>0.155</v>
      </c>
      <c r="CE47" s="258">
        <v>0.04</v>
      </c>
      <c r="CF47" s="258">
        <v>0.04</v>
      </c>
      <c r="CG47" s="258">
        <v>0</v>
      </c>
      <c r="CH47" s="258">
        <v>12.124874304801022</v>
      </c>
      <c r="CI47" s="258">
        <v>3.1970000000000001</v>
      </c>
    </row>
    <row r="48" spans="1:87" x14ac:dyDescent="0.25">
      <c r="A48" s="723"/>
      <c r="B48" s="723"/>
      <c r="D48" s="31">
        <f t="shared" si="53"/>
        <v>38122</v>
      </c>
      <c r="F48" s="28">
        <f t="shared" si="54"/>
        <v>9300</v>
      </c>
      <c r="G48" s="28">
        <f t="shared" si="13"/>
        <v>8457.6097980722843</v>
      </c>
      <c r="H48" s="52">
        <f t="shared" si="55"/>
        <v>3.0259336099585061</v>
      </c>
      <c r="I48" s="52">
        <f t="shared" si="56"/>
        <v>3.2720000000000002</v>
      </c>
      <c r="K48" s="52">
        <f t="shared" si="43"/>
        <v>6.93711170463739</v>
      </c>
      <c r="L48" s="135">
        <f t="shared" si="44"/>
        <v>1.6924948848995314E-4</v>
      </c>
      <c r="N48" s="131">
        <f t="shared" si="45"/>
        <v>0.32761016081651256</v>
      </c>
      <c r="O48" s="131">
        <f t="shared" si="46"/>
        <v>0.32888241290792086</v>
      </c>
      <c r="P48" s="55">
        <f t="shared" si="47"/>
        <v>0.99899569182541148</v>
      </c>
      <c r="Q48" s="135">
        <f>_xll.xSPRDOPT(I48,H48,AQ48,0,O48,N48,P48,D48-$G$5,1,0)*AH48*AU48</f>
        <v>6.93728095412588</v>
      </c>
      <c r="R48" s="135"/>
      <c r="S48" s="181">
        <f t="shared" si="48"/>
        <v>-271636.83342954115</v>
      </c>
      <c r="T48" s="181">
        <f>_xll.xSPRDOPT(I48,H48,AQ48,AT48,O48,N48,P48,D48-$G$5,1,1)*AF48*F48*AH48</f>
        <v>261857.90742607767</v>
      </c>
      <c r="U48" s="135"/>
      <c r="V48" s="146">
        <f t="shared" si="57"/>
        <v>12.472155248890596</v>
      </c>
      <c r="W48" s="146"/>
      <c r="X48" s="338">
        <f t="shared" si="58"/>
        <v>0</v>
      </c>
      <c r="Y48" s="338">
        <f t="shared" si="18"/>
        <v>0</v>
      </c>
      <c r="Z48" s="338">
        <f t="shared" si="19"/>
        <v>20.838311821825972</v>
      </c>
      <c r="AA48" s="338">
        <f t="shared" si="20"/>
        <v>1.3004573807669881E-3</v>
      </c>
      <c r="AB48" s="338">
        <f t="shared" si="59"/>
        <v>0</v>
      </c>
      <c r="AC48" s="338">
        <f t="shared" si="60"/>
        <v>21.083412383884383</v>
      </c>
      <c r="AF48" s="138">
        <f t="shared" si="61"/>
        <v>1</v>
      </c>
      <c r="AG48" s="138">
        <f t="shared" si="62"/>
        <v>5</v>
      </c>
      <c r="AH48" s="138">
        <f t="shared" si="25"/>
        <v>31</v>
      </c>
      <c r="AI48" s="138">
        <f t="shared" si="63"/>
        <v>866</v>
      </c>
      <c r="AJ48" s="138">
        <f t="shared" si="64"/>
        <v>883</v>
      </c>
      <c r="AL48" s="136">
        <f t="shared" si="27"/>
        <v>3.1920000000000002</v>
      </c>
      <c r="AM48" s="258">
        <f t="shared" si="28"/>
        <v>-0.43</v>
      </c>
      <c r="AN48" s="258">
        <f t="shared" si="29"/>
        <v>0.155</v>
      </c>
      <c r="AO48" s="258">
        <f t="shared" si="30"/>
        <v>0.04</v>
      </c>
      <c r="AP48" s="258">
        <f t="shared" si="31"/>
        <v>0.04</v>
      </c>
      <c r="AQ48" s="136">
        <f t="shared" si="65"/>
        <v>0</v>
      </c>
      <c r="AR48" s="137">
        <f t="shared" si="33"/>
        <v>3.5999999999999997E-2</v>
      </c>
      <c r="AS48" s="136">
        <f t="shared" si="50"/>
        <v>2.9169999999999998</v>
      </c>
      <c r="AT48" s="137">
        <f t="shared" si="51"/>
        <v>3.9799554968306797E-2</v>
      </c>
      <c r="AU48" s="137">
        <f t="shared" si="34"/>
        <v>0.90942040839486926</v>
      </c>
      <c r="AV48" s="394">
        <f t="shared" si="52"/>
        <v>9782.635333103608</v>
      </c>
      <c r="AW48" s="137">
        <f t="shared" si="35"/>
        <v>0.32500000000000001</v>
      </c>
      <c r="AX48" s="137">
        <f t="shared" si="36"/>
        <v>0.45</v>
      </c>
      <c r="AY48" s="137">
        <f t="shared" si="37"/>
        <v>0.5</v>
      </c>
      <c r="AZ48" s="137"/>
      <c r="BA48" s="264"/>
      <c r="BB48" s="258">
        <f t="shared" si="38"/>
        <v>0</v>
      </c>
      <c r="BC48" s="258">
        <f t="shared" si="66"/>
        <v>0</v>
      </c>
      <c r="BD48" s="137">
        <f t="shared" si="67"/>
        <v>8.8178559663476541E-6</v>
      </c>
      <c r="BE48" s="137">
        <f t="shared" si="68"/>
        <v>1.3090697697226705E-5</v>
      </c>
      <c r="BF48" s="137">
        <f>_xll.xSPRDOPT($BW48,$BV48,$CG48,0,$BY48,$BX48,$BZ48,$AJ48,1,4)*$CB48</f>
        <v>1.6173291845119307E-2</v>
      </c>
      <c r="BG48" s="137">
        <f>_xll.xSPRDOPT($BW48,$BV48,$CG48,0,$BY48,$BX48,$BZ48,$AJ48,1,3)*$CB48</f>
        <v>1.3832093448474716E-2</v>
      </c>
      <c r="BH48" s="137">
        <f>IF(OR(BF48&lt;&gt;0,BG48&lt;&gt;0),_xll.xSPRDOPT($BW48,$BV48,$CG48,0,$BY48,$BX48,$BZ48,$AJ48,1,12)*$CB48,0)</f>
        <v>-1.4957849795757658E-2</v>
      </c>
      <c r="BI48" s="137">
        <f>_xll.xSPRDOPT($BW48,$BV48,$CG48,2*LN(1+CA48/2),$BY48,$BX48,$BZ48,$AJ48,1,9)</f>
        <v>8.8000848571186674E-3</v>
      </c>
      <c r="BJ48" s="137">
        <f>_xll.xSPRDOPT($BW48,$BV48,$CG48,0,$BY48,$BX48,$BZ48,$AJ48,1,6)*$CB48</f>
        <v>-3.3557274825869596E-4</v>
      </c>
      <c r="BK48" s="137">
        <f>_xll.xSPRDOPT($BW48,$BV48,$CG48,0,$BY48,$BX48,$BZ48,$AJ48,1,5)*$CB48</f>
        <v>5.7061973489209907E-4</v>
      </c>
      <c r="BL48" s="137">
        <f>_xll.xSPRDOPT(BW48,BV48,CG48,0,BY48,BX48,BZ48,AJ48,1,2)*CB48</f>
        <v>-0.90881941997756077</v>
      </c>
      <c r="BM48" s="137">
        <f>_xll.xSPRDOPT(BW48,BV48,CG48,0,BY48,BX48,BZ48,AJ48,1,1)*CB48</f>
        <v>0.90884413738174596</v>
      </c>
      <c r="BN48" s="137">
        <f>IF(AH48&lt;&gt;0,_xll.xSPRDOPT($BW48,$BV48,$CG48,2*LN(1+CA48/2),$BY48,$BX48,$BZ48,$AJ48,1,8)+(AJ48/365.25)*CH48/AH48,0)</f>
        <v>0.43149520263463814</v>
      </c>
      <c r="BO48" s="137">
        <f>_xll.xSPRDOPT($BW48,$BV48,$CG48,0,$BY48,$BX48,$BZ48,$AJ48,1,0)</f>
        <v>0.24607239371824666</v>
      </c>
      <c r="BP48" s="137"/>
      <c r="BQ48" s="137"/>
      <c r="BR48" s="137"/>
      <c r="BS48" s="137"/>
      <c r="BV48" s="262">
        <v>3.0259336099585061</v>
      </c>
      <c r="BW48" s="136">
        <v>3.2720000000000002</v>
      </c>
      <c r="BX48" s="137">
        <v>0.32760134296054622</v>
      </c>
      <c r="BY48" s="137">
        <v>0.32886932221022364</v>
      </c>
      <c r="BZ48" s="137">
        <v>0.99899900650767037</v>
      </c>
      <c r="CA48" s="137">
        <v>3.9799554968306797E-2</v>
      </c>
      <c r="CB48" s="137">
        <v>0.90912608967752451</v>
      </c>
      <c r="CC48" s="258">
        <v>-0.43</v>
      </c>
      <c r="CD48" s="258">
        <v>0.155</v>
      </c>
      <c r="CE48" s="258">
        <v>0.04</v>
      </c>
      <c r="CF48" s="258">
        <v>0.04</v>
      </c>
      <c r="CG48" s="258">
        <v>0</v>
      </c>
      <c r="CH48" s="258">
        <v>12.468118844273443</v>
      </c>
      <c r="CI48" s="258">
        <v>3.1920000000000002</v>
      </c>
    </row>
    <row r="49" spans="1:87" x14ac:dyDescent="0.25">
      <c r="A49" s="723"/>
      <c r="B49" s="723"/>
      <c r="D49" s="31">
        <f t="shared" si="53"/>
        <v>38153</v>
      </c>
      <c r="F49" s="28">
        <f t="shared" si="54"/>
        <v>9300</v>
      </c>
      <c r="G49" s="28">
        <f t="shared" si="13"/>
        <v>8414.157911112814</v>
      </c>
      <c r="H49" s="52">
        <f t="shared" si="55"/>
        <v>3.0622406639004147</v>
      </c>
      <c r="I49" s="52">
        <f t="shared" si="56"/>
        <v>3.3069999999999999</v>
      </c>
      <c r="K49" s="52">
        <f t="shared" si="43"/>
        <v>6.6433667876162747</v>
      </c>
      <c r="L49" s="135">
        <f t="shared" si="44"/>
        <v>1.9658937356670236E-4</v>
      </c>
      <c r="N49" s="131">
        <f t="shared" si="45"/>
        <v>0.32256221350143816</v>
      </c>
      <c r="O49" s="131">
        <f t="shared" si="46"/>
        <v>0.32377095542828943</v>
      </c>
      <c r="P49" s="55">
        <f t="shared" si="47"/>
        <v>0.99903057482020141</v>
      </c>
      <c r="Q49" s="135">
        <f>_xll.xSPRDOPT(I49,H49,AQ49,0,O49,N49,P49,D49-$G$5,1,0)*AH49*AU49</f>
        <v>6.6435633769898415</v>
      </c>
      <c r="R49" s="135"/>
      <c r="S49" s="181">
        <f t="shared" si="48"/>
        <v>-261491.01027690544</v>
      </c>
      <c r="T49" s="181">
        <f>_xll.xSPRDOPT(I49,H49,AQ49,AT49,O49,N49,P49,D49-$G$5,1,1)*AF49*F49*AH49</f>
        <v>252077.33390693684</v>
      </c>
      <c r="U49" s="135"/>
      <c r="V49" s="146">
        <f t="shared" si="57"/>
        <v>12.007817612504223</v>
      </c>
      <c r="W49" s="146"/>
      <c r="X49" s="338">
        <f t="shared" si="58"/>
        <v>0</v>
      </c>
      <c r="Y49" s="338">
        <f t="shared" si="18"/>
        <v>0</v>
      </c>
      <c r="Z49" s="338">
        <f t="shared" si="19"/>
        <v>20.32418138808082</v>
      </c>
      <c r="AA49" s="338">
        <f t="shared" si="20"/>
        <v>1.1873329455979564E-3</v>
      </c>
      <c r="AB49" s="338">
        <f t="shared" si="59"/>
        <v>0</v>
      </c>
      <c r="AC49" s="338">
        <f t="shared" si="60"/>
        <v>20.565385769970504</v>
      </c>
      <c r="AF49" s="138">
        <f t="shared" si="61"/>
        <v>1</v>
      </c>
      <c r="AG49" s="138">
        <f t="shared" si="62"/>
        <v>6</v>
      </c>
      <c r="AH49" s="138">
        <f t="shared" si="25"/>
        <v>30</v>
      </c>
      <c r="AI49" s="138">
        <f t="shared" si="63"/>
        <v>897</v>
      </c>
      <c r="AJ49" s="138">
        <f t="shared" si="64"/>
        <v>914</v>
      </c>
      <c r="AL49" s="136">
        <f t="shared" si="27"/>
        <v>3.2269999999999999</v>
      </c>
      <c r="AM49" s="258">
        <f t="shared" si="28"/>
        <v>-0.43</v>
      </c>
      <c r="AN49" s="258">
        <f t="shared" si="29"/>
        <v>0.155</v>
      </c>
      <c r="AO49" s="258">
        <f t="shared" si="30"/>
        <v>0.04</v>
      </c>
      <c r="AP49" s="258">
        <f t="shared" si="31"/>
        <v>0.04</v>
      </c>
      <c r="AQ49" s="136">
        <f t="shared" si="65"/>
        <v>0</v>
      </c>
      <c r="AR49" s="137">
        <f t="shared" si="33"/>
        <v>3.5999999999999997E-2</v>
      </c>
      <c r="AS49" s="136">
        <f t="shared" si="50"/>
        <v>2.9519999999999995</v>
      </c>
      <c r="AT49" s="137">
        <f t="shared" si="51"/>
        <v>4.0538223511899799E-2</v>
      </c>
      <c r="AU49" s="137">
        <f t="shared" si="34"/>
        <v>0.90474816248524881</v>
      </c>
      <c r="AV49" s="394">
        <f t="shared" si="52"/>
        <v>9418.4283714714402</v>
      </c>
      <c r="AW49" s="137">
        <f t="shared" si="35"/>
        <v>0.32</v>
      </c>
      <c r="AX49" s="137">
        <f t="shared" si="36"/>
        <v>0.45</v>
      </c>
      <c r="AY49" s="137">
        <f t="shared" si="37"/>
        <v>0.5</v>
      </c>
      <c r="AZ49" s="137"/>
      <c r="BA49" s="264"/>
      <c r="BB49" s="258">
        <f t="shared" si="38"/>
        <v>0</v>
      </c>
      <c r="BC49" s="258">
        <f t="shared" si="66"/>
        <v>0</v>
      </c>
      <c r="BD49" s="137">
        <f t="shared" si="67"/>
        <v>8.3674438265957107E-6</v>
      </c>
      <c r="BE49" s="137">
        <f t="shared" si="68"/>
        <v>1.2292021196125269E-5</v>
      </c>
      <c r="BF49" s="137">
        <f>_xll.xSPRDOPT($BW49,$BV49,$CG49,0,$BY49,$BX49,$BZ49,$AJ49,1,4)*$CB49</f>
        <v>1.8740933418949494E-2</v>
      </c>
      <c r="BG49" s="137">
        <f>_xll.xSPRDOPT($BW49,$BV49,$CG49,0,$BY49,$BX49,$BZ49,$AJ49,1,3)*$CB49</f>
        <v>1.6069409138512711E-2</v>
      </c>
      <c r="BH49" s="137">
        <f>IF(OR(BF49&lt;&gt;0,BG49&lt;&gt;0),_xll.xSPRDOPT($BW49,$BV49,$CG49,0,$BY49,$BX49,$BZ49,$AJ49,1,12)*$CB49,0)</f>
        <v>-1.735466668269672E-2</v>
      </c>
      <c r="BI49" s="137">
        <f>_xll.xSPRDOPT($BW49,$BV49,$CG49,2*LN(1+CA49/2),$BY49,$BX49,$BZ49,$AJ49,1,9)</f>
        <v>8.8690648172001438E-3</v>
      </c>
      <c r="BJ49" s="137">
        <f>_xll.xSPRDOPT($BW49,$BV49,$CG49,0,$BY49,$BX49,$BZ49,$AJ49,1,6)*$CB49</f>
        <v>-3.3944018843709079E-4</v>
      </c>
      <c r="BK49" s="137">
        <f>_xll.xSPRDOPT($BW49,$BV49,$CG49,0,$BY49,$BX49,$BZ49,$AJ49,1,5)*$CB49</f>
        <v>5.7727856437550431E-4</v>
      </c>
      <c r="BL49" s="137">
        <f>_xll.xSPRDOPT(BW49,BV49,CG49,0,BY49,BX49,BZ49,AJ49,1,2)*CB49</f>
        <v>-0.90408444839641156</v>
      </c>
      <c r="BM49" s="137">
        <f>_xll.xSPRDOPT(BW49,BV49,CG49,0,BY49,BX49,BZ49,AJ49,1,1)*CB49</f>
        <v>0.90411350799555534</v>
      </c>
      <c r="BN49" s="137">
        <f>IF(AH49&lt;&gt;0,_xll.xSPRDOPT($BW49,$BV49,$CG49,2*LN(1+CA49/2),$BY49,$BX49,$BZ49,$AJ49,1,8)+(AJ49/365.25)*CH49/AH49,0)</f>
        <v>0.44730485198012437</v>
      </c>
      <c r="BO49" s="137">
        <f>_xll.xSPRDOPT($BW49,$BV49,$CG49,0,$BY49,$BX49,$BZ49,$AJ49,1,0)</f>
        <v>0.24476671679024456</v>
      </c>
      <c r="BP49" s="137"/>
      <c r="BQ49" s="137"/>
      <c r="BR49" s="137"/>
      <c r="BS49" s="137"/>
      <c r="BV49" s="262">
        <v>3.0622406639004147</v>
      </c>
      <c r="BW49" s="136">
        <v>3.3069999999999999</v>
      </c>
      <c r="BX49" s="137">
        <v>0.32255384605761156</v>
      </c>
      <c r="BY49" s="137">
        <v>0.32375866340709331</v>
      </c>
      <c r="BZ49" s="137">
        <v>0.99903366909541969</v>
      </c>
      <c r="CA49" s="137">
        <v>4.0538223511899799E-2</v>
      </c>
      <c r="CB49" s="137">
        <v>0.90444997650532444</v>
      </c>
      <c r="CC49" s="258">
        <v>-0.43</v>
      </c>
      <c r="CD49" s="258">
        <v>0.155</v>
      </c>
      <c r="CE49" s="258">
        <v>0.04</v>
      </c>
      <c r="CF49" s="258">
        <v>0.04</v>
      </c>
      <c r="CG49" s="258">
        <v>0</v>
      </c>
      <c r="CH49" s="258">
        <v>12.003860088178666</v>
      </c>
      <c r="CI49" s="258">
        <v>3.2269999999999999</v>
      </c>
    </row>
    <row r="50" spans="1:87" x14ac:dyDescent="0.25">
      <c r="A50" s="723"/>
      <c r="B50" s="723"/>
      <c r="D50" s="31">
        <f t="shared" si="53"/>
        <v>38183</v>
      </c>
      <c r="F50" s="28">
        <f t="shared" si="54"/>
        <v>9300</v>
      </c>
      <c r="G50" s="28">
        <f t="shared" si="13"/>
        <v>8372.1449779685499</v>
      </c>
      <c r="H50" s="52">
        <f t="shared" si="55"/>
        <v>3.1037344398340245</v>
      </c>
      <c r="I50" s="52">
        <f t="shared" si="56"/>
        <v>3.347</v>
      </c>
      <c r="K50" s="52">
        <f t="shared" si="43"/>
        <v>6.7888484595209242</v>
      </c>
      <c r="L50" s="135">
        <f t="shared" si="44"/>
        <v>7.5815424308167678E-4</v>
      </c>
      <c r="N50" s="131">
        <f t="shared" si="45"/>
        <v>0.32377055765666068</v>
      </c>
      <c r="O50" s="131">
        <f t="shared" si="46"/>
        <v>0.32510116768595165</v>
      </c>
      <c r="P50" s="55">
        <f t="shared" si="47"/>
        <v>0.99886785253482102</v>
      </c>
      <c r="Q50" s="135">
        <f>_xll.xSPRDOPT(I50,H50,AQ50,0,O50,N50,P50,D50-$G$5,1,0)*AH50*AU50</f>
        <v>6.7896066137640059</v>
      </c>
      <c r="R50" s="135"/>
      <c r="S50" s="181">
        <f t="shared" si="48"/>
        <v>-268626.85714021022</v>
      </c>
      <c r="T50" s="181">
        <f>_xll.xSPRDOPT(I50,H50,AQ50,AT50,O50,N50,P50,D50-$G$5,1,1)*AF50*F50*AH50</f>
        <v>258956.29028316264</v>
      </c>
      <c r="U50" s="135"/>
      <c r="V50" s="146">
        <f t="shared" si="57"/>
        <v>12.346123127510955</v>
      </c>
      <c r="W50" s="146"/>
      <c r="X50" s="338">
        <f t="shared" si="58"/>
        <v>0</v>
      </c>
      <c r="Y50" s="338">
        <f t="shared" si="18"/>
        <v>0</v>
      </c>
      <c r="Z50" s="338">
        <f t="shared" si="19"/>
        <v>21.018990127812508</v>
      </c>
      <c r="AA50" s="338">
        <f t="shared" si="20"/>
        <v>5.475712024636553E-3</v>
      </c>
      <c r="AB50" s="338">
        <f t="shared" si="59"/>
        <v>0</v>
      </c>
      <c r="AC50" s="338">
        <f t="shared" si="60"/>
        <v>21.368350496414209</v>
      </c>
      <c r="AF50" s="138">
        <f t="shared" si="61"/>
        <v>1</v>
      </c>
      <c r="AG50" s="138">
        <f t="shared" si="62"/>
        <v>7</v>
      </c>
      <c r="AH50" s="138">
        <f t="shared" si="25"/>
        <v>31</v>
      </c>
      <c r="AI50" s="138">
        <f t="shared" si="63"/>
        <v>927</v>
      </c>
      <c r="AJ50" s="138">
        <f t="shared" si="64"/>
        <v>944</v>
      </c>
      <c r="AL50" s="136">
        <f t="shared" si="27"/>
        <v>3.2669999999999999</v>
      </c>
      <c r="AM50" s="258">
        <f t="shared" si="28"/>
        <v>-0.43</v>
      </c>
      <c r="AN50" s="258">
        <f t="shared" si="29"/>
        <v>0.155</v>
      </c>
      <c r="AO50" s="258">
        <f t="shared" si="30"/>
        <v>0.04</v>
      </c>
      <c r="AP50" s="258">
        <f t="shared" si="31"/>
        <v>0.04</v>
      </c>
      <c r="AQ50" s="136">
        <f t="shared" si="65"/>
        <v>0</v>
      </c>
      <c r="AR50" s="137">
        <f t="shared" si="33"/>
        <v>3.5999999999999997E-2</v>
      </c>
      <c r="AS50" s="136">
        <f t="shared" si="50"/>
        <v>2.9919999999999995</v>
      </c>
      <c r="AT50" s="137">
        <f t="shared" si="51"/>
        <v>4.12152492802473E-2</v>
      </c>
      <c r="AU50" s="137">
        <f t="shared" si="34"/>
        <v>0.90023064279231713</v>
      </c>
      <c r="AV50" s="394">
        <f t="shared" si="52"/>
        <v>9683.7810245169549</v>
      </c>
      <c r="AW50" s="137">
        <f t="shared" si="35"/>
        <v>0.32</v>
      </c>
      <c r="AX50" s="137">
        <f t="shared" si="36"/>
        <v>0.5</v>
      </c>
      <c r="AY50" s="137">
        <f t="shared" si="37"/>
        <v>0.55000000000000004</v>
      </c>
      <c r="AZ50" s="137"/>
      <c r="BA50" s="264"/>
      <c r="BB50" s="258">
        <f t="shared" si="38"/>
        <v>0</v>
      </c>
      <c r="BC50" s="258">
        <f t="shared" si="66"/>
        <v>0</v>
      </c>
      <c r="BD50" s="137">
        <f t="shared" si="67"/>
        <v>1.1894249567379056E-5</v>
      </c>
      <c r="BE50" s="137">
        <f t="shared" si="68"/>
        <v>1.6059031537174473E-5</v>
      </c>
      <c r="BF50" s="137">
        <f>_xll.xSPRDOPT($BW50,$BV50,$CG50,0,$BY50,$BX50,$BZ50,$AJ50,1,4)*$CB50</f>
        <v>4.8429150475615142E-2</v>
      </c>
      <c r="BG50" s="137">
        <f>_xll.xSPRDOPT($BW50,$BV50,$CG50,0,$BY50,$BX50,$BZ50,$AJ50,1,3)*$CB50</f>
        <v>4.1645071331844939E-2</v>
      </c>
      <c r="BH50" s="137">
        <f>IF(OR(BF50&lt;&gt;0,BG50&lt;&gt;0),_xll.xSPRDOPT($BW50,$BV50,$CG50,0,$BY50,$BX50,$BZ50,$AJ50,1,12)*$CB50,0)</f>
        <v>-4.4909282716335597E-2</v>
      </c>
      <c r="BI50" s="137">
        <f>_xll.xSPRDOPT($BW50,$BV50,$CG50,2*LN(1+CA50/2),$BY50,$BX50,$BZ50,$AJ50,1,9)</f>
        <v>8.8763858760359804E-3</v>
      </c>
      <c r="BJ50" s="137">
        <f>_xll.xSPRDOPT($BW50,$BV50,$CG50,0,$BY50,$BX50,$BZ50,$AJ50,1,6)*$CB50</f>
        <v>-1.1565603786487676E-3</v>
      </c>
      <c r="BK50" s="137">
        <f>_xll.xSPRDOPT($BW50,$BV50,$CG50,0,$BY50,$BX50,$BZ50,$AJ50,1,5)*$CB50</f>
        <v>2.0393211258205881E-3</v>
      </c>
      <c r="BL50" s="137">
        <f>_xll.xSPRDOPT(BW50,BV50,CG50,0,BY50,BX50,BZ50,AJ50,1,2)*CB50</f>
        <v>-0.89879727648986818</v>
      </c>
      <c r="BM50" s="137">
        <f>_xll.xSPRDOPT(BW50,BV50,CG50,0,BY50,BX50,BZ50,AJ50,1,1)*CB50</f>
        <v>0.89888682722458091</v>
      </c>
      <c r="BN50" s="137">
        <f>IF(AH50&lt;&gt;0,_xll.xSPRDOPT($BW50,$BV50,$CG50,2*LN(1+CA50/2),$BY50,$BX50,$BZ50,$AJ50,1,8)+(AJ50/365.25)*CH50/AH50,0)</f>
        <v>0.46310253568781146</v>
      </c>
      <c r="BO50" s="137">
        <f>_xll.xSPRDOPT($BW50,$BV50,$CG50,0,$BY50,$BX50,$BZ50,$AJ50,1,0)</f>
        <v>0.24329272798094731</v>
      </c>
      <c r="BP50" s="137"/>
      <c r="BQ50" s="137"/>
      <c r="BR50" s="137"/>
      <c r="BS50" s="137"/>
      <c r="BV50" s="262">
        <v>3.1037344398340245</v>
      </c>
      <c r="BW50" s="136">
        <v>3.347</v>
      </c>
      <c r="BX50" s="137">
        <v>0.32375866340709331</v>
      </c>
      <c r="BY50" s="137">
        <v>0.32508510865441448</v>
      </c>
      <c r="BZ50" s="137">
        <v>0.99887132165718762</v>
      </c>
      <c r="CA50" s="137">
        <v>4.12152492802473E-2</v>
      </c>
      <c r="CB50" s="137">
        <v>0.89992904159661324</v>
      </c>
      <c r="CC50" s="258">
        <v>-0.43</v>
      </c>
      <c r="CD50" s="258">
        <v>0.155</v>
      </c>
      <c r="CE50" s="258">
        <v>0.04</v>
      </c>
      <c r="CF50" s="258">
        <v>0.04</v>
      </c>
      <c r="CG50" s="258">
        <v>0</v>
      </c>
      <c r="CH50" s="258">
        <v>12.341986848072594</v>
      </c>
      <c r="CI50" s="258">
        <v>3.2669999999999999</v>
      </c>
    </row>
    <row r="51" spans="1:87" x14ac:dyDescent="0.25">
      <c r="A51" s="723"/>
      <c r="B51" s="723"/>
      <c r="D51" s="31">
        <f t="shared" si="53"/>
        <v>38214</v>
      </c>
      <c r="F51" s="28">
        <f t="shared" si="54"/>
        <v>9300</v>
      </c>
      <c r="G51" s="28">
        <f t="shared" si="13"/>
        <v>8328.9039277719094</v>
      </c>
      <c r="H51" s="52">
        <f t="shared" si="55"/>
        <v>3.1452282157676343</v>
      </c>
      <c r="I51" s="52">
        <f t="shared" si="56"/>
        <v>3.387</v>
      </c>
      <c r="K51" s="52">
        <f t="shared" si="43"/>
        <v>6.7123132110579098</v>
      </c>
      <c r="L51" s="135">
        <f t="shared" si="44"/>
        <v>2.1324085809126814E-3</v>
      </c>
      <c r="N51" s="131">
        <f t="shared" si="45"/>
        <v>0.32493996126723368</v>
      </c>
      <c r="O51" s="131">
        <f t="shared" si="46"/>
        <v>0.32634565949462391</v>
      </c>
      <c r="P51" s="55">
        <f t="shared" si="47"/>
        <v>0.99873157150596714</v>
      </c>
      <c r="Q51" s="135">
        <f>_xll.xSPRDOPT(I51,H51,AQ51,0,O51,N51,P51,D51-$G$5,1,0)*AH51*AU51</f>
        <v>6.7144456196388225</v>
      </c>
      <c r="R51" s="135"/>
      <c r="S51" s="181">
        <f t="shared" si="48"/>
        <v>-266783.14048238669</v>
      </c>
      <c r="T51" s="181">
        <f>_xll.xSPRDOPT(I51,H51,AQ51,AT51,O51,N51,P51,D51-$G$5,1,1)*AF51*F51*AH51</f>
        <v>257178.94742502074</v>
      </c>
      <c r="U51" s="135"/>
      <c r="V51" s="146">
        <f t="shared" si="57"/>
        <v>12.282356992154309</v>
      </c>
      <c r="W51" s="146"/>
      <c r="X51" s="338">
        <f t="shared" si="58"/>
        <v>0</v>
      </c>
      <c r="Y51" s="338">
        <f t="shared" si="18"/>
        <v>0</v>
      </c>
      <c r="Z51" s="338">
        <f t="shared" si="19"/>
        <v>20.937702667867924</v>
      </c>
      <c r="AA51" s="338">
        <f t="shared" si="20"/>
        <v>1.4978755191028009E-2</v>
      </c>
      <c r="AB51" s="338">
        <f t="shared" si="59"/>
        <v>0</v>
      </c>
      <c r="AC51" s="338">
        <f t="shared" si="60"/>
        <v>21.469117244919051</v>
      </c>
      <c r="AF51" s="138">
        <f t="shared" si="61"/>
        <v>1</v>
      </c>
      <c r="AG51" s="138">
        <f t="shared" si="62"/>
        <v>8</v>
      </c>
      <c r="AH51" s="138">
        <f t="shared" si="25"/>
        <v>31</v>
      </c>
      <c r="AI51" s="138">
        <f t="shared" si="63"/>
        <v>958</v>
      </c>
      <c r="AJ51" s="138">
        <f t="shared" si="64"/>
        <v>975</v>
      </c>
      <c r="AL51" s="136">
        <f t="shared" si="27"/>
        <v>3.3069999999999999</v>
      </c>
      <c r="AM51" s="258">
        <f t="shared" si="28"/>
        <v>-0.43</v>
      </c>
      <c r="AN51" s="258">
        <f t="shared" si="29"/>
        <v>0.155</v>
      </c>
      <c r="AO51" s="258">
        <f t="shared" si="30"/>
        <v>0.04</v>
      </c>
      <c r="AP51" s="258">
        <f t="shared" si="31"/>
        <v>0.04</v>
      </c>
      <c r="AQ51" s="136">
        <f t="shared" si="65"/>
        <v>0</v>
      </c>
      <c r="AR51" s="137">
        <f t="shared" si="33"/>
        <v>3.5999999999999997E-2</v>
      </c>
      <c r="AS51" s="136">
        <f t="shared" si="50"/>
        <v>3.0319999999999996</v>
      </c>
      <c r="AT51" s="137">
        <f t="shared" si="51"/>
        <v>4.1873365630825901E-2</v>
      </c>
      <c r="AU51" s="137">
        <f t="shared" si="34"/>
        <v>0.89558106750235578</v>
      </c>
      <c r="AV51" s="394">
        <f t="shared" si="52"/>
        <v>9633.7655431228413</v>
      </c>
      <c r="AW51" s="137">
        <f t="shared" si="35"/>
        <v>0.32</v>
      </c>
      <c r="AX51" s="137">
        <f t="shared" si="36"/>
        <v>0.55000000000000004</v>
      </c>
      <c r="AY51" s="137">
        <f t="shared" si="37"/>
        <v>0.6</v>
      </c>
      <c r="AZ51" s="137"/>
      <c r="BA51" s="264"/>
      <c r="BB51" s="258">
        <f t="shared" si="38"/>
        <v>0</v>
      </c>
      <c r="BC51" s="258">
        <f t="shared" si="66"/>
        <v>0</v>
      </c>
      <c r="BD51" s="137">
        <f t="shared" si="67"/>
        <v>1.5061519321957206E-5</v>
      </c>
      <c r="BE51" s="137">
        <f t="shared" si="68"/>
        <v>1.9306147412745389E-5</v>
      </c>
      <c r="BF51" s="137">
        <f>_xll.xSPRDOPT($BW51,$BV51,$CG51,0,$BY51,$BX51,$BZ51,$AJ51,1,4)*$CB51</f>
        <v>9.7901165492386477E-2</v>
      </c>
      <c r="BG51" s="137">
        <f>_xll.xSPRDOPT($BW51,$BV51,$CG51,0,$BY51,$BX51,$BZ51,$AJ51,1,3)*$CB51</f>
        <v>8.4423102533158545E-2</v>
      </c>
      <c r="BH51" s="137">
        <f>IF(OR(BF51&lt;&gt;0,BG51&lt;&gt;0),_xll.xSPRDOPT($BW51,$BV51,$CG51,0,$BY51,$BX51,$BZ51,$AJ51,1,12)*$CB51,0)</f>
        <v>-9.0911620177080488E-2</v>
      </c>
      <c r="BI51" s="137">
        <f>_xll.xSPRDOPT($BW51,$BV51,$CG51,2*LN(1+CA51/2),$BY51,$BX51,$BZ51,$AJ51,1,9)</f>
        <v>8.8420579251228572E-3</v>
      </c>
      <c r="BJ51" s="137">
        <f>_xll.xSPRDOPT($BW51,$BV51,$CG51,0,$BY51,$BX51,$BZ51,$AJ51,1,6)*$CB51</f>
        <v>-2.5560450325687232E-3</v>
      </c>
      <c r="BK51" s="137">
        <f>_xll.xSPRDOPT($BW51,$BV51,$CG51,0,$BY51,$BX51,$BZ51,$AJ51,1,5)*$CB51</f>
        <v>4.6852106788007322E-3</v>
      </c>
      <c r="BL51" s="137">
        <f>_xll.xSPRDOPT(BW51,BV51,CG51,0,BY51,BX51,BZ51,AJ51,1,2)*CB51</f>
        <v>-0.89256210407147718</v>
      </c>
      <c r="BM51" s="137">
        <f>_xll.xSPRDOPT(BW51,BV51,CG51,0,BY51,BX51,BZ51,AJ51,1,1)*CB51</f>
        <v>0.89277613837926295</v>
      </c>
      <c r="BN51" s="137">
        <f>IF(AH51&lt;&gt;0,_xll.xSPRDOPT($BW51,$BV51,$CG51,2*LN(1+CA51/2),$BY51,$BX51,$BZ51,$AJ51,1,8)+(AJ51/365.25)*CH51/AH51,0)</f>
        <v>0.47928869201050195</v>
      </c>
      <c r="BO51" s="137">
        <f>_xll.xSPRDOPT($BW51,$BV51,$CG51,0,$BY51,$BX51,$BZ51,$AJ51,1,0)</f>
        <v>0.24184859359492153</v>
      </c>
      <c r="BP51" s="137"/>
      <c r="BQ51" s="137"/>
      <c r="BR51" s="137"/>
      <c r="BS51" s="137"/>
      <c r="BV51" s="262">
        <v>3.1452282157676343</v>
      </c>
      <c r="BW51" s="136">
        <v>3.387</v>
      </c>
      <c r="BX51" s="137">
        <v>0.32492489974791172</v>
      </c>
      <c r="BY51" s="137">
        <v>0.32632635334721116</v>
      </c>
      <c r="BZ51" s="137">
        <v>0.9987353073748948</v>
      </c>
      <c r="CA51" s="137">
        <v>4.1873365630825901E-2</v>
      </c>
      <c r="CB51" s="137">
        <v>0.89527628311247864</v>
      </c>
      <c r="CC51" s="258">
        <v>-0.43</v>
      </c>
      <c r="CD51" s="258">
        <v>0.155</v>
      </c>
      <c r="CE51" s="258">
        <v>0.04</v>
      </c>
      <c r="CF51" s="258">
        <v>0.04</v>
      </c>
      <c r="CG51" s="258">
        <v>0</v>
      </c>
      <c r="CH51" s="258">
        <v>12.278177057117778</v>
      </c>
      <c r="CI51" s="258">
        <v>3.3069999999999999</v>
      </c>
    </row>
    <row r="52" spans="1:87" x14ac:dyDescent="0.25">
      <c r="A52" s="723"/>
      <c r="B52" s="723"/>
      <c r="D52" s="31">
        <f t="shared" si="53"/>
        <v>38245</v>
      </c>
      <c r="F52" s="28">
        <f t="shared" si="54"/>
        <v>9300</v>
      </c>
      <c r="G52" s="28">
        <f t="shared" si="13"/>
        <v>8284.9841795293087</v>
      </c>
      <c r="H52" s="52">
        <f t="shared" si="55"/>
        <v>3.1400414937759336</v>
      </c>
      <c r="I52" s="52">
        <f t="shared" si="56"/>
        <v>3.3820000000000001</v>
      </c>
      <c r="K52" s="52">
        <f t="shared" si="43"/>
        <v>6.4665238586094675</v>
      </c>
      <c r="L52" s="135">
        <f t="shared" si="44"/>
        <v>1.6985571305729863E-3</v>
      </c>
      <c r="N52" s="131">
        <f t="shared" si="45"/>
        <v>0.32463755456303778</v>
      </c>
      <c r="O52" s="131">
        <f t="shared" si="46"/>
        <v>0.32595798130693049</v>
      </c>
      <c r="P52" s="55">
        <f t="shared" si="47"/>
        <v>0.9988067301413851</v>
      </c>
      <c r="Q52" s="135">
        <f>_xll.xSPRDOPT(I52,H52,AQ52,0,O52,N52,P52,D52-$G$5,1,0)*AH52*AU52</f>
        <v>6.4682224157400405</v>
      </c>
      <c r="R52" s="135"/>
      <c r="S52" s="181">
        <f t="shared" si="48"/>
        <v>-256902.10761093936</v>
      </c>
      <c r="T52" s="181">
        <f>_xll.xSPRDOPT(I52,H52,AQ52,AT52,O52,N52,P52,D52-$G$5,1,1)*AF52*F52*AH52</f>
        <v>247653.63173694554</v>
      </c>
      <c r="U52" s="135"/>
      <c r="V52" s="146">
        <f t="shared" si="57"/>
        <v>11.823474196850858</v>
      </c>
      <c r="W52" s="146"/>
      <c r="X52" s="338">
        <f t="shared" si="58"/>
        <v>0</v>
      </c>
      <c r="Y52" s="338">
        <f t="shared" si="18"/>
        <v>0</v>
      </c>
      <c r="Z52" s="338">
        <f t="shared" si="19"/>
        <v>20.54043814852972</v>
      </c>
      <c r="AA52" s="338">
        <f t="shared" si="20"/>
        <v>1.1203076145816709E-2</v>
      </c>
      <c r="AB52" s="338">
        <f t="shared" si="59"/>
        <v>0</v>
      </c>
      <c r="AC52" s="338">
        <f t="shared" si="60"/>
        <v>21.006771876949369</v>
      </c>
      <c r="AF52" s="138">
        <f t="shared" si="61"/>
        <v>1</v>
      </c>
      <c r="AG52" s="138">
        <f t="shared" si="62"/>
        <v>9</v>
      </c>
      <c r="AH52" s="138">
        <f t="shared" si="25"/>
        <v>30</v>
      </c>
      <c r="AI52" s="138">
        <f t="shared" si="63"/>
        <v>989</v>
      </c>
      <c r="AJ52" s="138">
        <f t="shared" si="64"/>
        <v>1006</v>
      </c>
      <c r="AL52" s="136">
        <f t="shared" si="27"/>
        <v>3.302</v>
      </c>
      <c r="AM52" s="258">
        <f t="shared" si="28"/>
        <v>-0.43</v>
      </c>
      <c r="AN52" s="258">
        <f t="shared" si="29"/>
        <v>0.155</v>
      </c>
      <c r="AO52" s="258">
        <f t="shared" si="30"/>
        <v>0.04</v>
      </c>
      <c r="AP52" s="258">
        <f t="shared" si="31"/>
        <v>0.04</v>
      </c>
      <c r="AQ52" s="136">
        <f t="shared" si="65"/>
        <v>0</v>
      </c>
      <c r="AR52" s="137">
        <f t="shared" si="33"/>
        <v>3.5999999999999997E-2</v>
      </c>
      <c r="AS52" s="136">
        <f t="shared" si="50"/>
        <v>3.0269999999999997</v>
      </c>
      <c r="AT52" s="137">
        <f t="shared" si="51"/>
        <v>4.2531482126591399E-2</v>
      </c>
      <c r="AU52" s="137">
        <f t="shared" si="34"/>
        <v>0.89085851392788262</v>
      </c>
      <c r="AV52" s="394">
        <f t="shared" si="52"/>
        <v>9273.8371299892588</v>
      </c>
      <c r="AW52" s="137">
        <f t="shared" si="35"/>
        <v>0.32</v>
      </c>
      <c r="AX52" s="137">
        <f t="shared" si="36"/>
        <v>0.55000000000000004</v>
      </c>
      <c r="AY52" s="137">
        <f t="shared" si="37"/>
        <v>0.6</v>
      </c>
      <c r="AZ52" s="137"/>
      <c r="BA52" s="264"/>
      <c r="BB52" s="258">
        <f t="shared" si="38"/>
        <v>0</v>
      </c>
      <c r="BC52" s="258">
        <f t="shared" si="66"/>
        <v>0</v>
      </c>
      <c r="BD52" s="137">
        <f t="shared" si="67"/>
        <v>1.3717559126436019E-5</v>
      </c>
      <c r="BE52" s="137">
        <f t="shared" si="68"/>
        <v>1.7587952775954818E-5</v>
      </c>
      <c r="BF52" s="137">
        <f>_xll.xSPRDOPT($BW52,$BV52,$CG52,0,$BY52,$BX52,$BZ52,$AJ52,1,4)*$CB52</f>
        <v>8.592971302399588E-2</v>
      </c>
      <c r="BG52" s="137">
        <f>_xll.xSPRDOPT($BW52,$BV52,$CG52,0,$BY52,$BX52,$BZ52,$AJ52,1,3)*$CB52</f>
        <v>7.407410009485009E-2</v>
      </c>
      <c r="BH52" s="137">
        <f>IF(OR(BF52&lt;&gt;0,BG52&lt;&gt;0),_xll.xSPRDOPT($BW52,$BV52,$CG52,0,$BY52,$BX52,$BZ52,$AJ52,1,12)*$CB52,0)</f>
        <v>-7.9781138415982736E-2</v>
      </c>
      <c r="BI52" s="137">
        <f>_xll.xSPRDOPT($BW52,$BV52,$CG52,2*LN(1+CA52/2),$BY52,$BX52,$BZ52,$AJ52,1,9)</f>
        <v>8.9634349268225572E-3</v>
      </c>
      <c r="BJ52" s="137">
        <f>_xll.xSPRDOPT($BW52,$BV52,$CG52,0,$BY52,$BX52,$BZ52,$AJ52,1,6)*$CB52</f>
        <v>-2.1670543853453961E-3</v>
      </c>
      <c r="BK52" s="137">
        <f>_xll.xSPRDOPT($BW52,$BV52,$CG52,0,$BY52,$BX52,$BZ52,$AJ52,1,5)*$CB52</f>
        <v>3.9732362452433142E-3</v>
      </c>
      <c r="BL52" s="137">
        <f>_xll.xSPRDOPT(BW52,BV52,CG52,0,BY52,BX52,BZ52,AJ52,1,2)*CB52</f>
        <v>-0.88824627159132552</v>
      </c>
      <c r="BM52" s="137">
        <f>_xll.xSPRDOPT(BW52,BV52,CG52,0,BY52,BX52,BZ52,AJ52,1,1)*CB52</f>
        <v>0.88842785483184028</v>
      </c>
      <c r="BN52" s="137">
        <f>IF(AH52&lt;&gt;0,_xll.xSPRDOPT($BW52,$BV52,$CG52,2*LN(1+CA52/2),$BY52,$BX52,$BZ52,$AJ52,1,8)+(AJ52/365.25)*CH52/AH52,0)</f>
        <v>0.49149179286593581</v>
      </c>
      <c r="BO52" s="137">
        <f>_xll.xSPRDOPT($BW52,$BV52,$CG52,0,$BY52,$BX52,$BZ52,$AJ52,1,0)</f>
        <v>0.24202206225502174</v>
      </c>
      <c r="BP52" s="137"/>
      <c r="BQ52" s="137"/>
      <c r="BR52" s="137"/>
      <c r="BS52" s="137"/>
      <c r="BV52" s="262">
        <v>3.1400414937759336</v>
      </c>
      <c r="BW52" s="136">
        <v>3.3820000000000001</v>
      </c>
      <c r="BX52" s="137">
        <v>0.32462383700391134</v>
      </c>
      <c r="BY52" s="137">
        <v>0.32594039335415453</v>
      </c>
      <c r="BZ52" s="137">
        <v>0.99881014690833547</v>
      </c>
      <c r="CA52" s="137">
        <v>4.2531482126591399E-2</v>
      </c>
      <c r="CB52" s="137">
        <v>0.89055062233660143</v>
      </c>
      <c r="CC52" s="258">
        <v>-0.43</v>
      </c>
      <c r="CD52" s="258">
        <v>0.155</v>
      </c>
      <c r="CE52" s="258">
        <v>0.04</v>
      </c>
      <c r="CF52" s="258">
        <v>0.04</v>
      </c>
      <c r="CG52" s="258">
        <v>0</v>
      </c>
      <c r="CH52" s="258">
        <v>11.819387859651375</v>
      </c>
      <c r="CI52" s="258">
        <v>3.302</v>
      </c>
    </row>
    <row r="53" spans="1:87" x14ac:dyDescent="0.25">
      <c r="A53" s="723"/>
      <c r="B53" s="723"/>
      <c r="D53" s="31">
        <f t="shared" si="53"/>
        <v>38275</v>
      </c>
      <c r="F53" s="28">
        <f t="shared" si="54"/>
        <v>9300</v>
      </c>
      <c r="G53" s="28">
        <f t="shared" si="13"/>
        <v>8242.6518704409955</v>
      </c>
      <c r="H53" s="52">
        <f t="shared" si="55"/>
        <v>3.1659751037344397</v>
      </c>
      <c r="I53" s="52">
        <f t="shared" si="56"/>
        <v>3.407</v>
      </c>
      <c r="K53" s="52">
        <f t="shared" si="43"/>
        <v>6.622281040087227</v>
      </c>
      <c r="L53" s="135">
        <f t="shared" si="44"/>
        <v>4.5789377649194662E-3</v>
      </c>
      <c r="N53" s="131">
        <f t="shared" si="45"/>
        <v>0.3259749105978777</v>
      </c>
      <c r="O53" s="131">
        <f t="shared" si="46"/>
        <v>0.32740813225277243</v>
      </c>
      <c r="P53" s="55">
        <f t="shared" si="47"/>
        <v>0.99862961693247498</v>
      </c>
      <c r="Q53" s="135">
        <f>_xll.xSPRDOPT(I53,H53,AQ53,0,O53,N53,P53,D53-$G$5,1,0)*AH53*AU53</f>
        <v>6.6268599778521464</v>
      </c>
      <c r="R53" s="135"/>
      <c r="S53" s="181">
        <f t="shared" si="48"/>
        <v>-263321.3338154598</v>
      </c>
      <c r="T53" s="181">
        <f>_xll.xSPRDOPT(I53,H53,AQ53,AT53,O53,N53,P53,D53-$G$5,1,1)*AF53*F53*AH53</f>
        <v>253841.76579810327</v>
      </c>
      <c r="U53" s="135"/>
      <c r="V53" s="146">
        <f t="shared" si="57"/>
        <v>12.15516395827699</v>
      </c>
      <c r="W53" s="146"/>
      <c r="X53" s="338">
        <f t="shared" si="58"/>
        <v>0</v>
      </c>
      <c r="Y53" s="338">
        <f t="shared" si="18"/>
        <v>0</v>
      </c>
      <c r="Z53" s="338">
        <f t="shared" si="19"/>
        <v>21.041571604220774</v>
      </c>
      <c r="AA53" s="338">
        <f t="shared" si="20"/>
        <v>2.975936332683117E-2</v>
      </c>
      <c r="AB53" s="338">
        <f t="shared" si="59"/>
        <v>0</v>
      </c>
      <c r="AC53" s="338">
        <f t="shared" si="60"/>
        <v>21.826320041922816</v>
      </c>
      <c r="AF53" s="138">
        <f t="shared" si="61"/>
        <v>1</v>
      </c>
      <c r="AG53" s="138">
        <f t="shared" si="62"/>
        <v>10</v>
      </c>
      <c r="AH53" s="138">
        <f t="shared" si="25"/>
        <v>31</v>
      </c>
      <c r="AI53" s="138">
        <f t="shared" si="63"/>
        <v>1019</v>
      </c>
      <c r="AJ53" s="138">
        <f t="shared" si="64"/>
        <v>1036</v>
      </c>
      <c r="AL53" s="136">
        <f t="shared" si="27"/>
        <v>3.327</v>
      </c>
      <c r="AM53" s="258">
        <f t="shared" si="28"/>
        <v>-0.43</v>
      </c>
      <c r="AN53" s="258">
        <f t="shared" si="29"/>
        <v>0.155</v>
      </c>
      <c r="AO53" s="258">
        <f t="shared" si="30"/>
        <v>0.04</v>
      </c>
      <c r="AP53" s="258">
        <f t="shared" si="31"/>
        <v>0.04</v>
      </c>
      <c r="AQ53" s="136">
        <f t="shared" si="65"/>
        <v>0</v>
      </c>
      <c r="AR53" s="137">
        <f t="shared" si="33"/>
        <v>3.5999999999999997E-2</v>
      </c>
      <c r="AS53" s="136">
        <f t="shared" si="50"/>
        <v>3.0519999999999996</v>
      </c>
      <c r="AT53" s="137">
        <f t="shared" si="51"/>
        <v>4.3133129078657198E-2</v>
      </c>
      <c r="AU53" s="137">
        <f t="shared" si="34"/>
        <v>0.88630665273559095</v>
      </c>
      <c r="AV53" s="394">
        <f t="shared" si="52"/>
        <v>9534.0006634767524</v>
      </c>
      <c r="AW53" s="137">
        <f t="shared" si="35"/>
        <v>0.32</v>
      </c>
      <c r="AX53" s="137">
        <f t="shared" si="36"/>
        <v>0.6</v>
      </c>
      <c r="AY53" s="137">
        <f t="shared" si="37"/>
        <v>0.65</v>
      </c>
      <c r="AZ53" s="137"/>
      <c r="BA53" s="264"/>
      <c r="BB53" s="258">
        <f t="shared" si="38"/>
        <v>0</v>
      </c>
      <c r="BC53" s="258">
        <f t="shared" si="66"/>
        <v>0</v>
      </c>
      <c r="BD53" s="137">
        <f t="shared" si="67"/>
        <v>1.711896265560453E-5</v>
      </c>
      <c r="BE53" s="137">
        <f t="shared" si="68"/>
        <v>2.1179446968222493E-5</v>
      </c>
      <c r="BF53" s="137">
        <f>_xll.xSPRDOPT($BW53,$BV53,$CG53,0,$BY53,$BX53,$BZ53,$AJ53,1,4)*$CB53</f>
        <v>0.15856743298815948</v>
      </c>
      <c r="BG53" s="137">
        <f>_xll.xSPRDOPT($BW53,$BV53,$CG53,0,$BY53,$BX53,$BZ53,$AJ53,1,3)*$CB53</f>
        <v>0.13692552315175266</v>
      </c>
      <c r="BH53" s="137">
        <f>IF(OR(BF53&lt;&gt;0,BG53&lt;&gt;0),_xll.xSPRDOPT($BW53,$BV53,$CG53,0,$BY53,$BX53,$BZ53,$AJ53,1,12)*$CB53,0)</f>
        <v>-0.14734782534298513</v>
      </c>
      <c r="BI53" s="137">
        <f>_xll.xSPRDOPT($BW53,$BV53,$CG53,2*LN(1+CA53/2),$BY53,$BX53,$BZ53,$AJ53,1,9)</f>
        <v>8.8859221048001348E-3</v>
      </c>
      <c r="BJ53" s="137">
        <f>_xll.xSPRDOPT($BW53,$BV53,$CG53,0,$BY53,$BX53,$BZ53,$AJ53,1,6)*$CB53</f>
        <v>-4.4259120953926492E-3</v>
      </c>
      <c r="BK53" s="137">
        <f>_xll.xSPRDOPT($BW53,$BV53,$CG53,0,$BY53,$BX53,$BZ53,$AJ53,1,5)*$CB53</f>
        <v>8.451147106335927E-3</v>
      </c>
      <c r="BL53" s="137">
        <f>_xll.xSPRDOPT(BW53,BV53,CG53,0,BY53,BX53,BZ53,AJ53,1,2)*CB53</f>
        <v>-0.88090812653803352</v>
      </c>
      <c r="BM53" s="137">
        <f>_xll.xSPRDOPT(BW53,BV53,CG53,0,BY53,BX53,BZ53,AJ53,1,1)*CB53</f>
        <v>0.88131139294224881</v>
      </c>
      <c r="BN53" s="137">
        <f>IF(AH53&lt;&gt;0,_xll.xSPRDOPT($BW53,$BV53,$CG53,2*LN(1+CA53/2),$BY53,$BX53,$BZ53,$AJ53,1,8)+(AJ53/365.25)*CH53/AH53,0)</f>
        <v>0.50564710011393077</v>
      </c>
      <c r="BO53" s="137">
        <f>_xll.xSPRDOPT($BW53,$BV53,$CG53,0,$BY53,$BX53,$BZ53,$AJ53,1,0)</f>
        <v>0.24119155464708586</v>
      </c>
      <c r="BP53" s="137"/>
      <c r="BQ53" s="137"/>
      <c r="BR53" s="137"/>
      <c r="BS53" s="137"/>
      <c r="BV53" s="262">
        <v>3.1659751037344397</v>
      </c>
      <c r="BW53" s="136">
        <v>3.407</v>
      </c>
      <c r="BX53" s="137">
        <v>0.32595779163522209</v>
      </c>
      <c r="BY53" s="137">
        <v>0.32738695280580421</v>
      </c>
      <c r="BZ53" s="137">
        <v>0.99863339269400642</v>
      </c>
      <c r="CA53" s="137">
        <v>4.3133129078657198E-2</v>
      </c>
      <c r="CB53" s="137">
        <v>0.88599604782278252</v>
      </c>
      <c r="CC53" s="258">
        <v>-0.43</v>
      </c>
      <c r="CD53" s="258">
        <v>0.155</v>
      </c>
      <c r="CE53" s="258">
        <v>0.04</v>
      </c>
      <c r="CF53" s="258">
        <v>0.04</v>
      </c>
      <c r="CG53" s="258">
        <v>0</v>
      </c>
      <c r="CH53" s="258">
        <v>12.15090419826077</v>
      </c>
      <c r="CI53" s="258">
        <v>3.327</v>
      </c>
    </row>
    <row r="54" spans="1:87" x14ac:dyDescent="0.25">
      <c r="A54" s="723"/>
      <c r="B54" s="723"/>
      <c r="D54" s="31">
        <f t="shared" si="53"/>
        <v>38306</v>
      </c>
      <c r="F54" s="28">
        <f t="shared" si="54"/>
        <v>9300</v>
      </c>
      <c r="G54" s="28">
        <f t="shared" si="13"/>
        <v>8199.0980635476662</v>
      </c>
      <c r="H54" s="52">
        <f t="shared" si="55"/>
        <v>3.3703319502074689</v>
      </c>
      <c r="I54" s="52">
        <f t="shared" si="56"/>
        <v>3.6390000000000002</v>
      </c>
      <c r="K54" s="52">
        <f t="shared" si="43"/>
        <v>7.1059215702937797</v>
      </c>
      <c r="L54" s="135">
        <f t="shared" si="44"/>
        <v>2.1310451886957793E-3</v>
      </c>
      <c r="N54" s="131">
        <f t="shared" si="45"/>
        <v>0.3352106758191013</v>
      </c>
      <c r="O54" s="131">
        <f t="shared" si="46"/>
        <v>0.33162000992991286</v>
      </c>
      <c r="P54" s="55">
        <f t="shared" si="47"/>
        <v>0.99887712952736085</v>
      </c>
      <c r="Q54" s="135">
        <f>_xll.xSPRDOPT(I54,H54,AQ54,0,O54,N54,P54,D54-$G$5,1,0)*AH54*AU54</f>
        <v>7.1080526154824755</v>
      </c>
      <c r="R54" s="135"/>
      <c r="S54" s="181">
        <f t="shared" si="48"/>
        <v>-254131.49796709485</v>
      </c>
      <c r="T54" s="181">
        <f>_xll.xSPRDOPT(I54,H54,AQ54,AT54,O54,N54,P54,D54-$G$5,1,1)*AF54*F54*AH54</f>
        <v>244982.76404027943</v>
      </c>
      <c r="U54" s="135"/>
      <c r="V54" s="146">
        <f t="shared" si="57"/>
        <v>11.700906397785444</v>
      </c>
      <c r="W54" s="146"/>
      <c r="X54" s="338">
        <f t="shared" si="58"/>
        <v>0</v>
      </c>
      <c r="Y54" s="338">
        <f t="shared" si="18"/>
        <v>0</v>
      </c>
      <c r="Z54" s="338">
        <f t="shared" si="19"/>
        <v>23.189138225234565</v>
      </c>
      <c r="AA54" s="338">
        <f t="shared" si="20"/>
        <v>4.8267506064582348E-2</v>
      </c>
      <c r="AB54" s="338">
        <f t="shared" si="59"/>
        <v>0</v>
      </c>
      <c r="AC54" s="338">
        <f t="shared" si="60"/>
        <v>23.730129951005186</v>
      </c>
      <c r="AF54" s="138">
        <f t="shared" si="61"/>
        <v>1</v>
      </c>
      <c r="AG54" s="138">
        <f t="shared" si="62"/>
        <v>11</v>
      </c>
      <c r="AH54" s="138">
        <f t="shared" ref="AH54:AH85" si="69">(EOMONTH(D54,0)-EOMONTH(D54-DAY(D54),0))*AF54</f>
        <v>30</v>
      </c>
      <c r="AI54" s="138">
        <f t="shared" si="63"/>
        <v>1050</v>
      </c>
      <c r="AJ54" s="138">
        <f t="shared" si="64"/>
        <v>1067</v>
      </c>
      <c r="AL54" s="136">
        <f t="shared" si="27"/>
        <v>3.4790000000000001</v>
      </c>
      <c r="AM54" s="258">
        <f t="shared" si="28"/>
        <v>-0.38500000000000001</v>
      </c>
      <c r="AN54" s="258">
        <f t="shared" si="29"/>
        <v>0.155</v>
      </c>
      <c r="AO54" s="258">
        <f t="shared" si="30"/>
        <v>0.125</v>
      </c>
      <c r="AP54" s="258">
        <f t="shared" si="31"/>
        <v>3.5000000000000003E-2</v>
      </c>
      <c r="AQ54" s="136">
        <f t="shared" si="65"/>
        <v>0</v>
      </c>
      <c r="AR54" s="137">
        <f t="shared" si="33"/>
        <v>3.5999999999999997E-2</v>
      </c>
      <c r="AS54" s="136">
        <f t="shared" si="50"/>
        <v>3.2490000000000001</v>
      </c>
      <c r="AT54" s="137">
        <f t="shared" si="51"/>
        <v>4.37209690349563E-2</v>
      </c>
      <c r="AU54" s="137">
        <f t="shared" si="34"/>
        <v>0.88162344769329748</v>
      </c>
      <c r="AV54" s="394">
        <f t="shared" si="52"/>
        <v>9177.7000904872275</v>
      </c>
      <c r="AW54" s="137">
        <f t="shared" si="35"/>
        <v>0.32</v>
      </c>
      <c r="AX54" s="137">
        <f t="shared" si="36"/>
        <v>0.9</v>
      </c>
      <c r="AY54" s="137">
        <f t="shared" si="37"/>
        <v>0.8</v>
      </c>
      <c r="AZ54" s="137"/>
      <c r="BA54" s="264"/>
      <c r="BB54" s="258">
        <f t="shared" si="38"/>
        <v>0</v>
      </c>
      <c r="BC54" s="258">
        <f t="shared" si="66"/>
        <v>0</v>
      </c>
      <c r="BD54" s="137">
        <f t="shared" si="67"/>
        <v>4.1759827192788812E-5</v>
      </c>
      <c r="BE54" s="137">
        <f t="shared" si="68"/>
        <v>3.2070164678321689E-5</v>
      </c>
      <c r="BF54" s="137">
        <f>_xll.xSPRDOPT($BW54,$BV54,$CG54,0,$BY54,$BX54,$BZ54,$AJ54,1,4)*$CB54</f>
        <v>8.3747280605613733E-2</v>
      </c>
      <c r="BG54" s="137">
        <f>_xll.xSPRDOPT($BW54,$BV54,$CG54,0,$BY54,$BX54,$BZ54,$AJ54,1,3)*$CB54</f>
        <v>7.1837555525128258E-2</v>
      </c>
      <c r="BH54" s="137">
        <f>IF(OR(BF54&lt;&gt;0,BG54&lt;&gt;0),_xll.xSPRDOPT($BW54,$BV54,$CG54,0,$BY54,$BX54,$BZ54,$AJ54,1,12)*$CB54,0)</f>
        <v>-7.7563531049934187E-2</v>
      </c>
      <c r="BI54" s="137">
        <f>_xll.xSPRDOPT($BW54,$BV54,$CG54,2*LN(1+CA54/2),$BY54,$BX54,$BZ54,$AJ54,1,9)</f>
        <v>1.0119274476424044E-2</v>
      </c>
      <c r="BJ54" s="137">
        <f>_xll.xSPRDOPT($BW54,$BV54,$CG54,0,$BY54,$BX54,$BZ54,$AJ54,1,6)*$CB54</f>
        <v>1.0985475472024908E-2</v>
      </c>
      <c r="BK54" s="137">
        <f>_xll.xSPRDOPT($BW54,$BV54,$CG54,0,$BY54,$BX54,$BZ54,$AJ54,1,5)*$CB54</f>
        <v>-8.9101426935917008E-3</v>
      </c>
      <c r="BL54" s="137">
        <f>_xll.xSPRDOPT(BW54,BV54,CG54,0,BY54,BX54,BZ54,AJ54,1,2)*CB54</f>
        <v>-0.87875997545010431</v>
      </c>
      <c r="BM54" s="137">
        <f>_xll.xSPRDOPT(BW54,BV54,CG54,0,BY54,BX54,BZ54,AJ54,1,1)*CB54</f>
        <v>0.87896776907251062</v>
      </c>
      <c r="BN54" s="137">
        <f>IF(AH54&lt;&gt;0,_xll.xSPRDOPT($BW54,$BV54,$CG54,2*LN(1+CA54/2),$BY54,$BX54,$BZ54,$AJ54,1,8)+(AJ54/365.25)*CH54/AH54,0)</f>
        <v>0.44707592116165951</v>
      </c>
      <c r="BO54" s="137">
        <f>_xll.xSPRDOPT($BW54,$BV54,$CG54,0,$BY54,$BX54,$BZ54,$AJ54,1,0)</f>
        <v>0.26874862361523444</v>
      </c>
      <c r="BP54" s="137"/>
      <c r="BQ54" s="137"/>
      <c r="BR54" s="137"/>
      <c r="BS54" s="137"/>
      <c r="BV54" s="262">
        <v>3.3703319502074689</v>
      </c>
      <c r="BW54" s="136">
        <v>3.6390000000000002</v>
      </c>
      <c r="BX54" s="137">
        <v>0.33516891599190851</v>
      </c>
      <c r="BY54" s="137">
        <v>0.33158793976523454</v>
      </c>
      <c r="BZ54" s="137">
        <v>0.99887988613909273</v>
      </c>
      <c r="CA54" s="137">
        <v>4.37209690349563E-2</v>
      </c>
      <c r="CB54" s="137">
        <v>0.88131031923448877</v>
      </c>
      <c r="CC54" s="258">
        <v>-0.38500000000000001</v>
      </c>
      <c r="CD54" s="258">
        <v>0.155</v>
      </c>
      <c r="CE54" s="258">
        <v>0.125</v>
      </c>
      <c r="CF54" s="258">
        <v>3.5000000000000003E-2</v>
      </c>
      <c r="CG54" s="258">
        <v>0</v>
      </c>
      <c r="CH54" s="258">
        <v>11.696750556880135</v>
      </c>
      <c r="CI54" s="258">
        <v>3.4790000000000001</v>
      </c>
    </row>
    <row r="55" spans="1:87" x14ac:dyDescent="0.25">
      <c r="A55" s="723"/>
      <c r="B55" s="723"/>
      <c r="D55" s="31">
        <f t="shared" si="53"/>
        <v>38336</v>
      </c>
      <c r="F55" s="28">
        <f t="shared" si="54"/>
        <v>9300</v>
      </c>
      <c r="G55" s="28">
        <f t="shared" si="13"/>
        <v>8156.4137099511327</v>
      </c>
      <c r="H55" s="52">
        <f t="shared" si="55"/>
        <v>3.5186721991701244</v>
      </c>
      <c r="I55" s="52">
        <f t="shared" si="56"/>
        <v>3.782</v>
      </c>
      <c r="K55" s="52">
        <f t="shared" si="43"/>
        <v>7.1593682830002621</v>
      </c>
      <c r="L55" s="135">
        <f t="shared" si="44"/>
        <v>3.5351990659338028E-3</v>
      </c>
      <c r="N55" s="131">
        <f t="shared" si="45"/>
        <v>0.34592331418556421</v>
      </c>
      <c r="O55" s="131">
        <f t="shared" si="46"/>
        <v>0.34361490125594102</v>
      </c>
      <c r="P55" s="55">
        <f t="shared" si="47"/>
        <v>0.9989701633344954</v>
      </c>
      <c r="Q55" s="135">
        <f>_xll.xSPRDOPT(I55,H55,AQ55,0,O55,N55,P55,D55-$G$5,1,0)*AH55*AU55</f>
        <v>7.1629034820661959</v>
      </c>
      <c r="R55" s="135"/>
      <c r="S55" s="181">
        <f t="shared" si="48"/>
        <v>-260858.61721194038</v>
      </c>
      <c r="T55" s="181">
        <f>_xll.xSPRDOPT(I55,H55,AQ55,AT55,O55,N55,P55,D55-$G$5,1,1)*AF55*F55*AH55</f>
        <v>251467.70699231053</v>
      </c>
      <c r="U55" s="135"/>
      <c r="V55" s="146">
        <f t="shared" si="57"/>
        <v>12.027991417607939</v>
      </c>
      <c r="W55" s="146"/>
      <c r="X55" s="338">
        <f t="shared" si="58"/>
        <v>0</v>
      </c>
      <c r="Y55" s="338">
        <f t="shared" si="18"/>
        <v>0</v>
      </c>
      <c r="Z55" s="338">
        <f t="shared" si="19"/>
        <v>23.534037518077575</v>
      </c>
      <c r="AA55" s="338">
        <f t="shared" si="20"/>
        <v>7.4548770133900016E-2</v>
      </c>
      <c r="AB55" s="338">
        <f t="shared" si="59"/>
        <v>0</v>
      </c>
      <c r="AC55" s="338">
        <f t="shared" si="60"/>
        <v>24.224286515925538</v>
      </c>
      <c r="AF55" s="138">
        <f t="shared" si="61"/>
        <v>1</v>
      </c>
      <c r="AG55" s="138">
        <f t="shared" si="62"/>
        <v>12</v>
      </c>
      <c r="AH55" s="138">
        <f t="shared" si="69"/>
        <v>31</v>
      </c>
      <c r="AI55" s="138">
        <f t="shared" si="63"/>
        <v>1080</v>
      </c>
      <c r="AJ55" s="138">
        <f t="shared" si="64"/>
        <v>1097</v>
      </c>
      <c r="AL55" s="136">
        <f t="shared" si="27"/>
        <v>3.6219999999999999</v>
      </c>
      <c r="AM55" s="258">
        <f t="shared" si="28"/>
        <v>-0.38500000000000001</v>
      </c>
      <c r="AN55" s="258">
        <f t="shared" si="29"/>
        <v>0.155</v>
      </c>
      <c r="AO55" s="258">
        <f t="shared" si="30"/>
        <v>0.125</v>
      </c>
      <c r="AP55" s="258">
        <f t="shared" si="31"/>
        <v>3.5000000000000003E-2</v>
      </c>
      <c r="AQ55" s="136">
        <f t="shared" si="65"/>
        <v>0</v>
      </c>
      <c r="AR55" s="137">
        <f t="shared" si="33"/>
        <v>3.5999999999999997E-2</v>
      </c>
      <c r="AS55" s="136">
        <f t="shared" si="50"/>
        <v>3.3919999999999999</v>
      </c>
      <c r="AT55" s="137">
        <f t="shared" si="51"/>
        <v>4.4289846522210997E-2</v>
      </c>
      <c r="AU55" s="137">
        <f t="shared" si="34"/>
        <v>0.87703373225281001</v>
      </c>
      <c r="AV55" s="394">
        <f t="shared" si="52"/>
        <v>9434.2518578434774</v>
      </c>
      <c r="AW55" s="137">
        <f t="shared" si="35"/>
        <v>0.32</v>
      </c>
      <c r="AX55" s="137">
        <f t="shared" si="36"/>
        <v>1.1499999999999999</v>
      </c>
      <c r="AY55" s="137">
        <f t="shared" si="37"/>
        <v>1.1000000000000001</v>
      </c>
      <c r="AZ55" s="137"/>
      <c r="BA55" s="264"/>
      <c r="BB55" s="258">
        <f t="shared" si="38"/>
        <v>0</v>
      </c>
      <c r="BC55" s="258">
        <f t="shared" si="66"/>
        <v>0</v>
      </c>
      <c r="BD55" s="137">
        <f t="shared" si="67"/>
        <v>6.8150475512451791E-5</v>
      </c>
      <c r="BE55" s="137">
        <f t="shared" si="68"/>
        <v>6.2281753682058572E-5</v>
      </c>
      <c r="BF55" s="137">
        <f>_xll.xSPRDOPT($BW55,$BV55,$CG55,0,$BY55,$BX55,$BZ55,$AJ55,1,4)*$CB55</f>
        <v>0.11647232714233698</v>
      </c>
      <c r="BG55" s="137">
        <f>_xll.xSPRDOPT($BW55,$BV55,$CG55,0,$BY55,$BX55,$BZ55,$AJ55,1,3)*$CB55</f>
        <v>0.10081776247403929</v>
      </c>
      <c r="BH55" s="137">
        <f>IF(OR(BF55&lt;&gt;0,BG55&lt;&gt;0),_xll.xSPRDOPT($BW55,$BV55,$CG55,0,$BY55,$BX55,$BZ55,$AJ55,1,12)*$CB55,0)</f>
        <v>-0.10836148804008744</v>
      </c>
      <c r="BI55" s="137">
        <f>_xll.xSPRDOPT($BW55,$BV55,$CG55,2*LN(1+CA55/2),$BY55,$BX55,$BZ55,$AJ55,1,9)</f>
        <v>9.9384983275266903E-3</v>
      </c>
      <c r="BJ55" s="137">
        <f>_xll.xSPRDOPT($BW55,$BV55,$CG55,0,$BY55,$BX55,$BZ55,$AJ55,1,6)*$CB55</f>
        <v>1.150334868540767E-2</v>
      </c>
      <c r="BK55" s="137">
        <f>_xll.xSPRDOPT($BW55,$BV55,$CG55,0,$BY55,$BX55,$BZ55,$AJ55,1,5)*$CB55</f>
        <v>-8.435506553180927E-3</v>
      </c>
      <c r="BL55" s="137">
        <f>_xll.xSPRDOPT(BW55,BV55,CG55,0,BY55,BX55,BZ55,AJ55,1,2)*CB55</f>
        <v>-0.87289613012249878</v>
      </c>
      <c r="BM55" s="137">
        <f>_xll.xSPRDOPT(BW55,BV55,CG55,0,BY55,BX55,BZ55,AJ55,1,1)*CB55</f>
        <v>0.87319238154576784</v>
      </c>
      <c r="BN55" s="137">
        <f>IF(AH55&lt;&gt;0,_xll.xSPRDOPT($BW55,$BV55,$CG55,2*LN(1+CA55/2),$BY55,$BX55,$BZ55,$AJ55,1,8)+(AJ55/365.25)*CH55/AH55,0)</f>
        <v>0.47118248210428249</v>
      </c>
      <c r="BO55" s="137">
        <f>_xll.xSPRDOPT($BW55,$BV55,$CG55,0,$BY55,$BX55,$BZ55,$AJ55,1,0)</f>
        <v>0.26345783081077395</v>
      </c>
      <c r="BP55" s="137"/>
      <c r="BQ55" s="137"/>
      <c r="BR55" s="137"/>
      <c r="BS55" s="137"/>
      <c r="BV55" s="262">
        <v>3.5186721991701244</v>
      </c>
      <c r="BW55" s="136">
        <v>3.782</v>
      </c>
      <c r="BX55" s="137">
        <v>0.34585516371005176</v>
      </c>
      <c r="BY55" s="137">
        <v>0.34355261950225896</v>
      </c>
      <c r="BZ55" s="137">
        <v>0.99897253458499424</v>
      </c>
      <c r="CA55" s="137">
        <v>4.4289846522210997E-2</v>
      </c>
      <c r="CB55" s="137">
        <v>0.8767182256484275</v>
      </c>
      <c r="CC55" s="258">
        <v>-0.38500000000000001</v>
      </c>
      <c r="CD55" s="258">
        <v>0.155</v>
      </c>
      <c r="CE55" s="258">
        <v>0.125</v>
      </c>
      <c r="CF55" s="258">
        <v>3.5000000000000003E-2</v>
      </c>
      <c r="CG55" s="258">
        <v>0</v>
      </c>
      <c r="CH55" s="258">
        <v>12.023664433832796</v>
      </c>
      <c r="CI55" s="258">
        <v>3.6219999999999999</v>
      </c>
    </row>
    <row r="56" spans="1:87" x14ac:dyDescent="0.25">
      <c r="A56" s="723"/>
      <c r="B56" s="723"/>
      <c r="D56" s="31">
        <f t="shared" si="53"/>
        <v>38367</v>
      </c>
      <c r="F56" s="28">
        <f t="shared" si="54"/>
        <v>9300</v>
      </c>
      <c r="G56" s="28">
        <f t="shared" si="13"/>
        <v>8112.3219376930883</v>
      </c>
      <c r="H56" s="52">
        <f t="shared" si="55"/>
        <v>3.5809128630705391</v>
      </c>
      <c r="I56" s="52">
        <f t="shared" si="56"/>
        <v>3.8420000000000001</v>
      </c>
      <c r="K56" s="52">
        <f t="shared" si="43"/>
        <v>7.0600763618744846</v>
      </c>
      <c r="L56" s="135">
        <f t="shared" si="44"/>
        <v>4.4063708361967713E-3</v>
      </c>
      <c r="N56" s="131">
        <f t="shared" si="45"/>
        <v>0.3452359813560904</v>
      </c>
      <c r="O56" s="131">
        <f t="shared" si="46"/>
        <v>0.34298680257071568</v>
      </c>
      <c r="P56" s="55">
        <f t="shared" si="47"/>
        <v>0.99899415098696442</v>
      </c>
      <c r="Q56" s="135">
        <f>_xll.xSPRDOPT(I56,H56,AQ56,0,O56,N56,P56,D56-$G$5,1,0)*AH56*AU56</f>
        <v>7.0644827327106814</v>
      </c>
      <c r="R56" s="135"/>
      <c r="S56" s="181">
        <f t="shared" si="48"/>
        <v>-259206.03820376424</v>
      </c>
      <c r="T56" s="181">
        <f>_xll.xSPRDOPT(I56,H56,AQ56,AT56,O56,N56,P56,D56-$G$5,1,1)*AF56*F56*AH56</f>
        <v>249874.62082842871</v>
      </c>
      <c r="U56" s="135"/>
      <c r="V56" s="146">
        <f t="shared" si="57"/>
        <v>11.962970750784741</v>
      </c>
      <c r="W56" s="146"/>
      <c r="X56" s="338">
        <f t="shared" si="58"/>
        <v>0</v>
      </c>
      <c r="Y56" s="338">
        <f t="shared" si="18"/>
        <v>0</v>
      </c>
      <c r="Z56" s="338">
        <f t="shared" si="19"/>
        <v>23.431878004917213</v>
      </c>
      <c r="AA56" s="338">
        <f t="shared" si="20"/>
        <v>8.4973808815128213E-2</v>
      </c>
      <c r="AB56" s="338">
        <f t="shared" si="59"/>
        <v>0</v>
      </c>
      <c r="AC56" s="338">
        <f t="shared" si="60"/>
        <v>24.196128852849352</v>
      </c>
      <c r="AF56" s="138">
        <f t="shared" si="61"/>
        <v>1</v>
      </c>
      <c r="AG56" s="138">
        <f t="shared" si="62"/>
        <v>1</v>
      </c>
      <c r="AH56" s="138">
        <f t="shared" si="69"/>
        <v>31</v>
      </c>
      <c r="AI56" s="138">
        <f t="shared" si="63"/>
        <v>1111</v>
      </c>
      <c r="AJ56" s="138">
        <f t="shared" si="64"/>
        <v>1128</v>
      </c>
      <c r="AL56" s="136">
        <f t="shared" si="27"/>
        <v>3.6819999999999999</v>
      </c>
      <c r="AM56" s="258">
        <f t="shared" si="28"/>
        <v>-0.38500000000000001</v>
      </c>
      <c r="AN56" s="258">
        <f t="shared" si="29"/>
        <v>0.155</v>
      </c>
      <c r="AO56" s="258">
        <f t="shared" si="30"/>
        <v>0.125</v>
      </c>
      <c r="AP56" s="258">
        <f t="shared" si="31"/>
        <v>3.5000000000000003E-2</v>
      </c>
      <c r="AQ56" s="136">
        <f t="shared" si="65"/>
        <v>0</v>
      </c>
      <c r="AR56" s="137">
        <f t="shared" si="33"/>
        <v>3.5999999999999997E-2</v>
      </c>
      <c r="AS56" s="136">
        <f t="shared" si="50"/>
        <v>3.4519999999999995</v>
      </c>
      <c r="AT56" s="137">
        <f t="shared" si="51"/>
        <v>4.4854887495736399E-2</v>
      </c>
      <c r="AU56" s="137">
        <f t="shared" si="34"/>
        <v>0.87229268147237504</v>
      </c>
      <c r="AV56" s="394">
        <f t="shared" si="52"/>
        <v>9383.2523745983381</v>
      </c>
      <c r="AW56" s="137">
        <f t="shared" si="35"/>
        <v>0.32</v>
      </c>
      <c r="AX56" s="137">
        <f t="shared" si="36"/>
        <v>1.1499999999999999</v>
      </c>
      <c r="AY56" s="137">
        <f t="shared" si="37"/>
        <v>1.1000000000000001</v>
      </c>
      <c r="AZ56" s="137"/>
      <c r="BA56" s="264"/>
      <c r="BB56" s="258">
        <f t="shared" si="38"/>
        <v>0</v>
      </c>
      <c r="BC56" s="258">
        <f t="shared" si="66"/>
        <v>0</v>
      </c>
      <c r="BD56" s="137">
        <f t="shared" si="67"/>
        <v>6.4584087000496559E-5</v>
      </c>
      <c r="BE56" s="137">
        <f t="shared" si="68"/>
        <v>5.9013099665883306E-5</v>
      </c>
      <c r="BF56" s="137">
        <f>_xll.xSPRDOPT($BW56,$BV56,$CG56,0,$BY56,$BX56,$BZ56,$AJ56,1,4)*$CB56</f>
        <v>0.13490242214216955</v>
      </c>
      <c r="BG56" s="137">
        <f>_xll.xSPRDOPT($BW56,$BV56,$CG56,0,$BY56,$BX56,$BZ56,$AJ56,1,3)*$CB56</f>
        <v>0.11719047473372846</v>
      </c>
      <c r="BH56" s="137">
        <f>IF(OR(BF56&lt;&gt;0,BG56&lt;&gt;0),_xll.xSPRDOPT($BW56,$BV56,$CG56,0,$BY56,$BX56,$BZ56,$AJ56,1,12)*$CB56,0)</f>
        <v>-0.12573354399606868</v>
      </c>
      <c r="BI56" s="137">
        <f>_xll.xSPRDOPT($BW56,$BV56,$CG56,2*LN(1+CA56/2),$BY56,$BX56,$BZ56,$AJ56,1,9)</f>
        <v>9.8953560426592799E-3</v>
      </c>
      <c r="BJ56" s="137">
        <f>_xll.xSPRDOPT($BW56,$BV56,$CG56,0,$BY56,$BX56,$BZ56,$AJ56,1,6)*$CB56</f>
        <v>1.3826788587997775E-2</v>
      </c>
      <c r="BK56" s="137">
        <f>_xll.xSPRDOPT($BW56,$BV56,$CG56,0,$BY56,$BX56,$BZ56,$AJ56,1,5)*$CB56</f>
        <v>-1.0137572759513991E-2</v>
      </c>
      <c r="BL56" s="137">
        <f>_xll.xSPRDOPT(BW56,BV56,CG56,0,BY56,BX56,BZ56,AJ56,1,2)*CB56</f>
        <v>-0.86737561778545735</v>
      </c>
      <c r="BM56" s="137">
        <f>_xll.xSPRDOPT(BW56,BV56,CG56,0,BY56,BX56,BZ56,AJ56,1,1)*CB56</f>
        <v>0.86772514223729513</v>
      </c>
      <c r="BN56" s="137">
        <f>IF(AH56&lt;&gt;0,_xll.xSPRDOPT($BW56,$BV56,$CG56,2*LN(1+CA56/2),$BY56,$BX56,$BZ56,$AJ56,1,8)+(AJ56/365.25)*CH56/AH56,0)</f>
        <v>0.48782156032835056</v>
      </c>
      <c r="BO56" s="137">
        <f>_xll.xSPRDOPT($BW56,$BV56,$CG56,0,$BY56,$BX56,$BZ56,$AJ56,1,0)</f>
        <v>0.26125009056944848</v>
      </c>
      <c r="BP56" s="137"/>
      <c r="BQ56" s="137"/>
      <c r="BR56" s="137"/>
      <c r="BS56" s="137"/>
      <c r="BV56" s="262">
        <v>3.5809128630705391</v>
      </c>
      <c r="BW56" s="136">
        <v>3.8420000000000001</v>
      </c>
      <c r="BX56" s="137">
        <v>0.34517139726908991</v>
      </c>
      <c r="BY56" s="137">
        <v>0.34292778947104979</v>
      </c>
      <c r="BZ56" s="137">
        <v>0.9989964132285023</v>
      </c>
      <c r="CA56" s="137">
        <v>4.4854887495736399E-2</v>
      </c>
      <c r="CB56" s="137">
        <v>0.87197492181025593</v>
      </c>
      <c r="CC56" s="258">
        <v>-0.38500000000000001</v>
      </c>
      <c r="CD56" s="258">
        <v>0.155</v>
      </c>
      <c r="CE56" s="258">
        <v>0.125</v>
      </c>
      <c r="CF56" s="258">
        <v>3.5000000000000003E-2</v>
      </c>
      <c r="CG56" s="258">
        <v>0</v>
      </c>
      <c r="CH56" s="258">
        <v>11.958612867674574</v>
      </c>
      <c r="CI56" s="258">
        <v>3.6819999999999999</v>
      </c>
    </row>
    <row r="57" spans="1:87" x14ac:dyDescent="0.25">
      <c r="A57" s="723"/>
      <c r="B57" s="723"/>
      <c r="D57" s="31">
        <f t="shared" si="53"/>
        <v>38398</v>
      </c>
      <c r="F57" s="28">
        <f t="shared" si="54"/>
        <v>9300</v>
      </c>
      <c r="G57" s="28">
        <f t="shared" si="13"/>
        <v>8068.1842317490991</v>
      </c>
      <c r="H57" s="52">
        <f t="shared" si="55"/>
        <v>3.4927385892116178</v>
      </c>
      <c r="I57" s="52">
        <f t="shared" si="56"/>
        <v>3.7570000000000001</v>
      </c>
      <c r="K57" s="52">
        <f t="shared" si="43"/>
        <v>6.4192551540121201</v>
      </c>
      <c r="L57" s="135">
        <f t="shared" si="44"/>
        <v>2.4699446725655605E-3</v>
      </c>
      <c r="N57" s="131">
        <f t="shared" si="45"/>
        <v>0.34000271917801322</v>
      </c>
      <c r="O57" s="131">
        <f t="shared" si="46"/>
        <v>0.33799318380854676</v>
      </c>
      <c r="P57" s="55">
        <f t="shared" si="47"/>
        <v>0.99908596427467533</v>
      </c>
      <c r="Q57" s="135">
        <f>_xll.xSPRDOPT(I57,H57,AQ57,0,O57,N57,P57,D57-$G$5,1,0)*AH57*AU57</f>
        <v>6.4217250986846857</v>
      </c>
      <c r="R57" s="135"/>
      <c r="S57" s="181">
        <f t="shared" si="48"/>
        <v>-233215.30051489285</v>
      </c>
      <c r="T57" s="181">
        <f>_xll.xSPRDOPT(I57,H57,AQ57,AT57,O57,N57,P57,D57-$G$5,1,1)*AF57*F57*AH57</f>
        <v>224819.5496963567</v>
      </c>
      <c r="U57" s="135"/>
      <c r="V57" s="146">
        <f t="shared" si="57"/>
        <v>10.746474378013167</v>
      </c>
      <c r="W57" s="146"/>
      <c r="X57" s="338">
        <f t="shared" si="58"/>
        <v>0</v>
      </c>
      <c r="Y57" s="338">
        <f t="shared" si="18"/>
        <v>0</v>
      </c>
      <c r="Z57" s="338">
        <f t="shared" si="19"/>
        <v>21.793900524146878</v>
      </c>
      <c r="AA57" s="338">
        <f t="shared" si="20"/>
        <v>3.3849143333210513E-2</v>
      </c>
      <c r="AB57" s="338">
        <f t="shared" si="59"/>
        <v>0</v>
      </c>
      <c r="AC57" s="338">
        <f t="shared" si="60"/>
        <v>22.26249546154996</v>
      </c>
      <c r="AF57" s="138">
        <f t="shared" si="61"/>
        <v>1</v>
      </c>
      <c r="AG57" s="138">
        <f t="shared" si="62"/>
        <v>2</v>
      </c>
      <c r="AH57" s="138">
        <f t="shared" si="69"/>
        <v>28</v>
      </c>
      <c r="AI57" s="138">
        <f t="shared" si="63"/>
        <v>1142</v>
      </c>
      <c r="AJ57" s="138">
        <f t="shared" si="64"/>
        <v>1159</v>
      </c>
      <c r="AL57" s="136">
        <f t="shared" si="27"/>
        <v>3.597</v>
      </c>
      <c r="AM57" s="258">
        <f t="shared" si="28"/>
        <v>-0.38500000000000001</v>
      </c>
      <c r="AN57" s="258">
        <f t="shared" si="29"/>
        <v>0.155</v>
      </c>
      <c r="AO57" s="258">
        <f t="shared" si="30"/>
        <v>0.125</v>
      </c>
      <c r="AP57" s="258">
        <f t="shared" si="31"/>
        <v>3.5000000000000003E-2</v>
      </c>
      <c r="AQ57" s="136">
        <f t="shared" si="65"/>
        <v>0</v>
      </c>
      <c r="AR57" s="137">
        <f t="shared" si="33"/>
        <v>3.5999999999999997E-2</v>
      </c>
      <c r="AS57" s="136">
        <f t="shared" si="50"/>
        <v>3.3669999999999995</v>
      </c>
      <c r="AT57" s="137">
        <f t="shared" si="51"/>
        <v>4.5401152752323697E-2</v>
      </c>
      <c r="AU57" s="137">
        <f t="shared" si="34"/>
        <v>0.86754669158592468</v>
      </c>
      <c r="AV57" s="394">
        <f t="shared" si="52"/>
        <v>8429.0836554488433</v>
      </c>
      <c r="AW57" s="137">
        <f t="shared" si="35"/>
        <v>0.3175</v>
      </c>
      <c r="AX57" s="137">
        <f t="shared" si="36"/>
        <v>1.1499999999999999</v>
      </c>
      <c r="AY57" s="137">
        <f t="shared" si="37"/>
        <v>1.1000000000000001</v>
      </c>
      <c r="AZ57" s="137"/>
      <c r="BA57" s="264"/>
      <c r="BB57" s="258">
        <f t="shared" si="38"/>
        <v>0</v>
      </c>
      <c r="BC57" s="258">
        <f t="shared" si="66"/>
        <v>0</v>
      </c>
      <c r="BD57" s="137">
        <f t="shared" si="67"/>
        <v>5.6324060984547231E-5</v>
      </c>
      <c r="BE57" s="137">
        <f t="shared" si="68"/>
        <v>5.1441135497654056E-5</v>
      </c>
      <c r="BF57" s="137">
        <f>_xll.xSPRDOPT($BW57,$BV57,$CG57,0,$BY57,$BX57,$BZ57,$AJ57,1,4)*$CB57</f>
        <v>9.5370985177877149E-2</v>
      </c>
      <c r="BG57" s="137">
        <f>_xll.xSPRDOPT($BW57,$BV57,$CG57,0,$BY57,$BX57,$BZ57,$AJ57,1,3)*$CB57</f>
        <v>8.2426369856918605E-2</v>
      </c>
      <c r="BH57" s="137">
        <f>IF(OR(BF57&lt;&gt;0,BG57&lt;&gt;0),_xll.xSPRDOPT($BW57,$BV57,$CG57,0,$BY57,$BX57,$BZ57,$AJ57,1,12)*$CB57,0)</f>
        <v>-8.8661772030916547E-2</v>
      </c>
      <c r="BI57" s="137">
        <f>_xll.xSPRDOPT($BW57,$BV57,$CG57,2*LN(1+CA57/2),$BY57,$BX57,$BZ57,$AJ57,1,9)</f>
        <v>1.0189736516186184E-2</v>
      </c>
      <c r="BJ57" s="137">
        <f>_xll.xSPRDOPT($BW57,$BV57,$CG57,0,$BY57,$BX57,$BZ57,$AJ57,1,6)*$CB57</f>
        <v>6.9777429615660103E-3</v>
      </c>
      <c r="BK57" s="137">
        <f>_xll.xSPRDOPT($BW57,$BV57,$CG57,0,$BY57,$BX57,$BZ57,$AJ57,1,5)*$CB57</f>
        <v>-5.1131412217038886E-3</v>
      </c>
      <c r="BL57" s="137">
        <f>_xll.xSPRDOPT(BW57,BV57,CG57,0,BY57,BX57,BZ57,AJ57,1,2)*CB57</f>
        <v>-0.86417511338306108</v>
      </c>
      <c r="BM57" s="137">
        <f>_xll.xSPRDOPT(BW57,BV57,CG57,0,BY57,BX57,BZ57,AJ57,1,1)*CB57</f>
        <v>0.86441342739532356</v>
      </c>
      <c r="BN57" s="137">
        <f>IF(AH57&lt;&gt;0,_xll.xSPRDOPT($BW57,$BV57,$CG57,2*LN(1+CA57/2),$BY57,$BX57,$BZ57,$AJ57,1,8)+(AJ57/365.25)*CH57/AH57,0)</f>
        <v>0.49001563238704837</v>
      </c>
      <c r="BO57" s="137">
        <f>_xll.xSPRDOPT($BW57,$BV57,$CG57,0,$BY57,$BX57,$BZ57,$AJ57,1,0)</f>
        <v>0.26436395211271646</v>
      </c>
      <c r="BP57" s="137"/>
      <c r="BQ57" s="137"/>
      <c r="BR57" s="137"/>
      <c r="BS57" s="137"/>
      <c r="BV57" s="262">
        <v>3.4927385892116178</v>
      </c>
      <c r="BW57" s="136">
        <v>3.7570000000000001</v>
      </c>
      <c r="BX57" s="137">
        <v>0.33994639511702868</v>
      </c>
      <c r="BY57" s="137">
        <v>0.33794174267304911</v>
      </c>
      <c r="BZ57" s="137">
        <v>0.99908800053733893</v>
      </c>
      <c r="CA57" s="137">
        <v>4.5401152752323697E-2</v>
      </c>
      <c r="CB57" s="137">
        <v>0.86722685559525425</v>
      </c>
      <c r="CC57" s="258">
        <v>-0.38500000000000001</v>
      </c>
      <c r="CD57" s="258">
        <v>0.155</v>
      </c>
      <c r="CE57" s="258">
        <v>0.125</v>
      </c>
      <c r="CF57" s="258">
        <v>3.5000000000000003E-2</v>
      </c>
      <c r="CG57" s="258">
        <v>0</v>
      </c>
      <c r="CH57" s="258">
        <v>10.742512505629534</v>
      </c>
      <c r="CI57" s="258">
        <v>3.597</v>
      </c>
    </row>
    <row r="58" spans="1:87" x14ac:dyDescent="0.25">
      <c r="A58" s="723"/>
      <c r="B58" s="723"/>
      <c r="D58" s="31">
        <f t="shared" si="53"/>
        <v>38426</v>
      </c>
      <c r="F58" s="28">
        <f t="shared" si="54"/>
        <v>9300</v>
      </c>
      <c r="G58" s="28">
        <f t="shared" si="13"/>
        <v>8027.9018174186931</v>
      </c>
      <c r="H58" s="52">
        <f t="shared" si="55"/>
        <v>3.3578838174273855</v>
      </c>
      <c r="I58" s="52">
        <f t="shared" si="56"/>
        <v>3.6270000000000002</v>
      </c>
      <c r="K58" s="52">
        <f t="shared" si="43"/>
        <v>7.2014609705715813</v>
      </c>
      <c r="L58" s="135">
        <f t="shared" si="44"/>
        <v>1.8251470658539048E-3</v>
      </c>
      <c r="N58" s="131">
        <f t="shared" si="45"/>
        <v>0.32057198261143799</v>
      </c>
      <c r="O58" s="131">
        <f t="shared" si="46"/>
        <v>0.31729237574852004</v>
      </c>
      <c r="P58" s="55">
        <f t="shared" si="47"/>
        <v>0.99891848946559669</v>
      </c>
      <c r="Q58" s="135">
        <f>_xll.xSPRDOPT(I58,H58,AQ58,0,O58,N58,P58,D58-$G$5,1,0)*AH58*AU58</f>
        <v>7.2032861176374352</v>
      </c>
      <c r="R58" s="135"/>
      <c r="S58" s="181">
        <f t="shared" si="48"/>
        <v>-257129.7179706223</v>
      </c>
      <c r="T58" s="181">
        <f>_xll.xSPRDOPT(I58,H58,AQ58,AT58,O58,N58,P58,D58-$G$5,1,1)*AF58*F58*AH58</f>
        <v>247873.04812367988</v>
      </c>
      <c r="U58" s="135"/>
      <c r="V58" s="146">
        <f t="shared" si="57"/>
        <v>11.838479213420101</v>
      </c>
      <c r="W58" s="146"/>
      <c r="X58" s="338">
        <f t="shared" si="58"/>
        <v>0</v>
      </c>
      <c r="Y58" s="338">
        <f t="shared" si="18"/>
        <v>0</v>
      </c>
      <c r="Z58" s="338">
        <f t="shared" si="19"/>
        <v>24.73261281053955</v>
      </c>
      <c r="AA58" s="338">
        <f t="shared" si="20"/>
        <v>3.5336355085546493E-2</v>
      </c>
      <c r="AB58" s="338">
        <f t="shared" si="59"/>
        <v>0</v>
      </c>
      <c r="AC58" s="338">
        <f t="shared" si="60"/>
        <v>25.243172591880423</v>
      </c>
      <c r="AF58" s="138">
        <f t="shared" si="61"/>
        <v>1</v>
      </c>
      <c r="AG58" s="138">
        <f t="shared" si="62"/>
        <v>3</v>
      </c>
      <c r="AH58" s="138">
        <f t="shared" si="69"/>
        <v>31</v>
      </c>
      <c r="AI58" s="138">
        <f t="shared" si="63"/>
        <v>1170</v>
      </c>
      <c r="AJ58" s="138">
        <f t="shared" si="64"/>
        <v>1187</v>
      </c>
      <c r="AL58" s="136">
        <f t="shared" si="27"/>
        <v>3.4670000000000001</v>
      </c>
      <c r="AM58" s="258">
        <f t="shared" si="28"/>
        <v>-0.38500000000000001</v>
      </c>
      <c r="AN58" s="258">
        <f t="shared" si="29"/>
        <v>0.155</v>
      </c>
      <c r="AO58" s="258">
        <f t="shared" si="30"/>
        <v>0.125</v>
      </c>
      <c r="AP58" s="258">
        <f t="shared" si="31"/>
        <v>3.5000000000000003E-2</v>
      </c>
      <c r="AQ58" s="136">
        <f t="shared" si="65"/>
        <v>0</v>
      </c>
      <c r="AR58" s="137">
        <f t="shared" si="33"/>
        <v>3.5999999999999997E-2</v>
      </c>
      <c r="AS58" s="136">
        <f t="shared" si="50"/>
        <v>3.2369999999999997</v>
      </c>
      <c r="AT58" s="137">
        <f t="shared" si="51"/>
        <v>4.5894553715070799E-2</v>
      </c>
      <c r="AU58" s="137">
        <f t="shared" si="34"/>
        <v>0.86321524918480574</v>
      </c>
      <c r="AV58" s="394">
        <f t="shared" si="52"/>
        <v>9285.606435480955</v>
      </c>
      <c r="AW58" s="137">
        <f t="shared" si="35"/>
        <v>0.3075</v>
      </c>
      <c r="AX58" s="137">
        <f t="shared" si="36"/>
        <v>0.85</v>
      </c>
      <c r="AY58" s="137">
        <f t="shared" si="37"/>
        <v>0.75</v>
      </c>
      <c r="AZ58" s="137"/>
      <c r="BA58" s="264"/>
      <c r="BB58" s="258">
        <f t="shared" si="38"/>
        <v>0</v>
      </c>
      <c r="BC58" s="258">
        <f t="shared" si="66"/>
        <v>0</v>
      </c>
      <c r="BD58" s="137">
        <f t="shared" si="67"/>
        <v>3.2325056200488422E-5</v>
      </c>
      <c r="BE58" s="137">
        <f t="shared" si="68"/>
        <v>2.4337327348467053E-5</v>
      </c>
      <c r="BF58" s="137">
        <f>_xll.xSPRDOPT($BW58,$BV58,$CG58,0,$BY58,$BX58,$BZ58,$AJ58,1,4)*$CB58</f>
        <v>7.3319676369832776E-2</v>
      </c>
      <c r="BG58" s="137">
        <f>_xll.xSPRDOPT($BW58,$BV58,$CG58,0,$BY58,$BX58,$BZ58,$AJ58,1,3)*$CB58</f>
        <v>6.2842908218574148E-2</v>
      </c>
      <c r="BH58" s="137">
        <f>IF(OR(BF58&lt;&gt;0,BG58&lt;&gt;0),_xll.xSPRDOPT($BW58,$BV58,$CG58,0,$BY58,$BX58,$BZ58,$AJ58,1,12)*$CB58,0)</f>
        <v>-6.7878967639415255E-2</v>
      </c>
      <c r="BI58" s="137">
        <f>_xll.xSPRDOPT($BW58,$BV58,$CG58,2*LN(1+CA58/2),$BY58,$BX58,$BZ58,$AJ58,1,9)</f>
        <v>1.0444660456757512E-2</v>
      </c>
      <c r="BJ58" s="137">
        <f>_xll.xSPRDOPT($BW58,$BV58,$CG58,0,$BY58,$BX58,$BZ58,$AJ58,1,6)*$CB58</f>
        <v>9.7111493249655029E-3</v>
      </c>
      <c r="BK58" s="137">
        <f>_xll.xSPRDOPT($BW58,$BV58,$CG58,0,$BY58,$BX58,$BZ58,$AJ58,1,5)*$CB58</f>
        <v>-7.8622209654834879E-3</v>
      </c>
      <c r="BL58" s="137">
        <f>_xll.xSPRDOPT(BW58,BV58,CG58,0,BY58,BX58,BZ58,AJ58,1,2)*CB58</f>
        <v>-0.86072326209778016</v>
      </c>
      <c r="BM58" s="137">
        <f>_xll.xSPRDOPT(BW58,BV58,CG58,0,BY58,BX58,BZ58,AJ58,1,1)*CB58</f>
        <v>0.86090051037493387</v>
      </c>
      <c r="BN58" s="137">
        <f>IF(AH58&lt;&gt;0,_xll.xSPRDOPT($BW58,$BV58,$CG58,2*LN(1+CA58/2),$BY58,$BX58,$BZ58,$AJ58,1,8)+(AJ58/365.25)*CH58/AH58,0)</f>
        <v>0.48574100641736961</v>
      </c>
      <c r="BO58" s="137">
        <f>_xll.xSPRDOPT($BW58,$BV58,$CG58,0,$BY58,$BX58,$BZ58,$AJ58,1,0)</f>
        <v>0.26918438882312251</v>
      </c>
      <c r="BP58" s="137"/>
      <c r="BQ58" s="137"/>
      <c r="BR58" s="137"/>
      <c r="BS58" s="137"/>
      <c r="BV58" s="262">
        <v>3.3578838174273855</v>
      </c>
      <c r="BW58" s="136">
        <v>3.6270000000000002</v>
      </c>
      <c r="BX58" s="137">
        <v>0.3205396575552375</v>
      </c>
      <c r="BY58" s="137">
        <v>0.31726803842117157</v>
      </c>
      <c r="BZ58" s="137">
        <v>0.99892090405528666</v>
      </c>
      <c r="CA58" s="137">
        <v>4.5894553715070799E-2</v>
      </c>
      <c r="CB58" s="137">
        <v>0.86289359114020647</v>
      </c>
      <c r="CC58" s="258">
        <v>-0.38500000000000001</v>
      </c>
      <c r="CD58" s="258">
        <v>0.155</v>
      </c>
      <c r="CE58" s="258">
        <v>0.125</v>
      </c>
      <c r="CF58" s="258">
        <v>3.5000000000000003E-2</v>
      </c>
      <c r="CG58" s="258">
        <v>0</v>
      </c>
      <c r="CH58" s="258">
        <v>11.834067866333248</v>
      </c>
      <c r="CI58" s="258">
        <v>3.4670000000000001</v>
      </c>
    </row>
    <row r="59" spans="1:87" x14ac:dyDescent="0.25">
      <c r="A59" s="723"/>
      <c r="B59" s="723"/>
      <c r="D59" s="31">
        <f t="shared" si="53"/>
        <v>38457</v>
      </c>
      <c r="F59" s="28">
        <f t="shared" si="54"/>
        <v>9300</v>
      </c>
      <c r="G59" s="28">
        <f t="shared" si="13"/>
        <v>7983.8848777281983</v>
      </c>
      <c r="H59" s="52">
        <f t="shared" si="55"/>
        <v>3.1296680497925311</v>
      </c>
      <c r="I59" s="52">
        <f t="shared" si="56"/>
        <v>3.3620000000000001</v>
      </c>
      <c r="K59" s="52">
        <f t="shared" si="43"/>
        <v>5.9835856254016528</v>
      </c>
      <c r="L59" s="135">
        <f t="shared" si="44"/>
        <v>6.1463340278766765E-4</v>
      </c>
      <c r="N59" s="131">
        <f t="shared" si="45"/>
        <v>0.29985400264622203</v>
      </c>
      <c r="O59" s="131">
        <f t="shared" si="46"/>
        <v>0.29985400264622203</v>
      </c>
      <c r="P59" s="55">
        <f t="shared" si="47"/>
        <v>0.99938879669835878</v>
      </c>
      <c r="Q59" s="135">
        <f>_xll.xSPRDOPT(I59,H59,AQ59,0,O59,N59,P59,D59-$G$5,1,0)*AH59*AU59</f>
        <v>5.9842002588044405</v>
      </c>
      <c r="R59" s="135"/>
      <c r="S59" s="181">
        <f t="shared" si="48"/>
        <v>-247774.73274237165</v>
      </c>
      <c r="T59" s="181">
        <f>_xll.xSPRDOPT(I59,H59,AQ59,AT59,O59,N59,P59,D59-$G$5,1,1)*AF59*F59*AH59</f>
        <v>238854.84236364625</v>
      </c>
      <c r="U59" s="135"/>
      <c r="V59" s="146">
        <f t="shared" si="57"/>
        <v>11.393776354538565</v>
      </c>
      <c r="W59" s="146"/>
      <c r="X59" s="338">
        <f t="shared" si="58"/>
        <v>0</v>
      </c>
      <c r="Y59" s="338">
        <f t="shared" si="18"/>
        <v>0</v>
      </c>
      <c r="Z59" s="338">
        <f t="shared" si="19"/>
        <v>20.951566172927695</v>
      </c>
      <c r="AA59" s="338">
        <f t="shared" si="20"/>
        <v>1.0245239934992558E-4</v>
      </c>
      <c r="AB59" s="338">
        <f t="shared" si="59"/>
        <v>0</v>
      </c>
      <c r="AC59" s="338">
        <f t="shared" si="60"/>
        <v>21.202390883955129</v>
      </c>
      <c r="AF59" s="138">
        <f t="shared" si="61"/>
        <v>1</v>
      </c>
      <c r="AG59" s="138">
        <f t="shared" si="62"/>
        <v>4</v>
      </c>
      <c r="AH59" s="138">
        <f t="shared" si="69"/>
        <v>30</v>
      </c>
      <c r="AI59" s="138">
        <f t="shared" si="63"/>
        <v>1201</v>
      </c>
      <c r="AJ59" s="138">
        <f t="shared" si="64"/>
        <v>1218</v>
      </c>
      <c r="AL59" s="136">
        <f t="shared" si="27"/>
        <v>3.282</v>
      </c>
      <c r="AM59" s="258">
        <f t="shared" si="28"/>
        <v>-0.42</v>
      </c>
      <c r="AN59" s="258">
        <f t="shared" si="29"/>
        <v>0.155</v>
      </c>
      <c r="AO59" s="258">
        <f t="shared" si="30"/>
        <v>0.04</v>
      </c>
      <c r="AP59" s="258">
        <f t="shared" si="31"/>
        <v>0.04</v>
      </c>
      <c r="AQ59" s="136">
        <f t="shared" si="65"/>
        <v>0</v>
      </c>
      <c r="AR59" s="137">
        <f t="shared" si="33"/>
        <v>3.5999999999999997E-2</v>
      </c>
      <c r="AS59" s="136">
        <f t="shared" si="50"/>
        <v>3.0169999999999999</v>
      </c>
      <c r="AT59" s="137">
        <f t="shared" si="51"/>
        <v>4.6401056415071598E-2</v>
      </c>
      <c r="AU59" s="137">
        <f t="shared" si="34"/>
        <v>0.85848224491701053</v>
      </c>
      <c r="AV59" s="394">
        <f t="shared" si="52"/>
        <v>8936.8001695860803</v>
      </c>
      <c r="AW59" s="137">
        <f t="shared" si="35"/>
        <v>0.29749999999999999</v>
      </c>
      <c r="AX59" s="137">
        <f t="shared" si="36"/>
        <v>0.45</v>
      </c>
      <c r="AY59" s="137">
        <f t="shared" si="37"/>
        <v>0.45</v>
      </c>
      <c r="AZ59" s="137"/>
      <c r="BA59" s="264"/>
      <c r="BB59" s="258">
        <f t="shared" si="38"/>
        <v>0</v>
      </c>
      <c r="BC59" s="258">
        <f t="shared" si="66"/>
        <v>0</v>
      </c>
      <c r="BD59" s="137">
        <f t="shared" si="67"/>
        <v>5.7705951543307599E-6</v>
      </c>
      <c r="BE59" s="137">
        <f t="shared" si="68"/>
        <v>5.7705951543307599E-6</v>
      </c>
      <c r="BF59" s="137">
        <f>_xll.xSPRDOPT($BW59,$BV59,$CG59,0,$BY59,$BX59,$BZ59,$AJ59,1,4)*$CB59</f>
        <v>3.9240421313353577E-2</v>
      </c>
      <c r="BG59" s="137">
        <f>_xll.xSPRDOPT($BW59,$BV59,$CG59,0,$BY59,$BX59,$BZ59,$AJ59,1,3)*$CB59</f>
        <v>3.4004330713683951E-2</v>
      </c>
      <c r="BH59" s="137">
        <f>IF(OR(BF59&lt;&gt;0,BG59&lt;&gt;0),_xll.xSPRDOPT($BW59,$BV59,$CG59,0,$BY59,$BX59,$BZ59,$AJ59,1,12)*$CB59,0)</f>
        <v>-3.6528591994637538E-2</v>
      </c>
      <c r="BI59" s="137">
        <f>_xll.xSPRDOPT($BW59,$BV59,$CG59,2*LN(1+CA59/2),$BY59,$BX59,$BZ59,$AJ59,1,9)</f>
        <v>9.142842944637802E-3</v>
      </c>
      <c r="BJ59" s="137">
        <f>_xll.xSPRDOPT($BW59,$BV59,$CG59,0,$BY59,$BX59,$BZ59,$AJ59,1,6)*$CB59</f>
        <v>3.238930922650467E-5</v>
      </c>
      <c r="BK59" s="137">
        <f>_xll.xSPRDOPT($BW59,$BV59,$CG59,0,$BY59,$BX59,$BZ59,$AJ59,1,5)*$CB59</f>
        <v>3.1245877625964411E-5</v>
      </c>
      <c r="BL59" s="137">
        <f>_xll.xSPRDOPT(BW59,BV59,CG59,0,BY59,BX59,BZ59,AJ59,1,2)*CB59</f>
        <v>-0.85721957923463432</v>
      </c>
      <c r="BM59" s="137">
        <f>_xll.xSPRDOPT(BW59,BV59,CG59,0,BY59,BX59,BZ59,AJ59,1,1)*CB59</f>
        <v>0.85729064093011254</v>
      </c>
      <c r="BN59" s="137">
        <f>IF(AH59&lt;&gt;0,_xll.xSPRDOPT($BW59,$BV59,$CG59,2*LN(1+CA59/2),$BY59,$BX59,$BZ59,$AJ59,1,8)+(AJ59/365.25)*CH59/AH59,0)</f>
        <v>0.60114876849553556</v>
      </c>
      <c r="BO59" s="137">
        <f>_xll.xSPRDOPT($BW59,$BV59,$CG59,0,$BY59,$BX59,$BZ59,$AJ59,1,0)</f>
        <v>0.23235608159660159</v>
      </c>
      <c r="BP59" s="137"/>
      <c r="BQ59" s="137"/>
      <c r="BR59" s="137"/>
      <c r="BS59" s="137"/>
      <c r="BV59" s="262">
        <v>3.1296680497925311</v>
      </c>
      <c r="BW59" s="136">
        <v>3.3620000000000001</v>
      </c>
      <c r="BX59" s="137">
        <v>0.2998482320510677</v>
      </c>
      <c r="BY59" s="137">
        <v>0.2998482320510677</v>
      </c>
      <c r="BZ59" s="137">
        <v>0.99939027742263209</v>
      </c>
      <c r="CA59" s="137">
        <v>4.6401056415071598E-2</v>
      </c>
      <c r="CB59" s="137">
        <v>0.85815886093193994</v>
      </c>
      <c r="CC59" s="258">
        <v>-0.42</v>
      </c>
      <c r="CD59" s="258">
        <v>0.155</v>
      </c>
      <c r="CE59" s="258">
        <v>0.04</v>
      </c>
      <c r="CF59" s="258">
        <v>0.04</v>
      </c>
      <c r="CG59" s="258">
        <v>0</v>
      </c>
      <c r="CH59" s="258">
        <v>11.389484402288707</v>
      </c>
      <c r="CI59" s="258">
        <v>3.282</v>
      </c>
    </row>
    <row r="60" spans="1:87" x14ac:dyDescent="0.25">
      <c r="A60" s="723"/>
      <c r="B60" s="723"/>
      <c r="D60" s="31">
        <f t="shared" si="53"/>
        <v>38487</v>
      </c>
      <c r="F60" s="28">
        <f t="shared" si="54"/>
        <v>9300</v>
      </c>
      <c r="G60" s="28">
        <f t="shared" si="13"/>
        <v>7941.7990244647735</v>
      </c>
      <c r="H60" s="52">
        <f t="shared" si="55"/>
        <v>3.1244813278008299</v>
      </c>
      <c r="I60" s="52">
        <f t="shared" si="56"/>
        <v>3.3570000000000002</v>
      </c>
      <c r="K60" s="52">
        <f t="shared" si="43"/>
        <v>6.1553885468040512</v>
      </c>
      <c r="L60" s="135">
        <f t="shared" si="44"/>
        <v>8.2200314149183384E-4</v>
      </c>
      <c r="N60" s="131">
        <f t="shared" si="45"/>
        <v>0.29252740451228487</v>
      </c>
      <c r="O60" s="131">
        <f t="shared" si="46"/>
        <v>0.29353523846621882</v>
      </c>
      <c r="P60" s="55">
        <f t="shared" si="47"/>
        <v>0.99910806347825187</v>
      </c>
      <c r="Q60" s="135">
        <f>_xll.xSPRDOPT(I60,H60,AQ60,0,O60,N60,P60,D60-$G$5,1,0)*AH60*AU60</f>
        <v>6.1562105499455431</v>
      </c>
      <c r="R60" s="135"/>
      <c r="S60" s="181">
        <f t="shared" si="48"/>
        <v>-254581.37322139012</v>
      </c>
      <c r="T60" s="181">
        <f>_xll.xSPRDOPT(I60,H60,AQ60,AT60,O60,N60,P60,D60-$G$5,1,1)*AF60*F60*AH60</f>
        <v>245416.44378542007</v>
      </c>
      <c r="U60" s="135"/>
      <c r="V60" s="146">
        <f t="shared" si="57"/>
        <v>11.711506294744053</v>
      </c>
      <c r="W60" s="146"/>
      <c r="X60" s="338">
        <f t="shared" si="58"/>
        <v>0</v>
      </c>
      <c r="Y60" s="338">
        <f t="shared" si="18"/>
        <v>0</v>
      </c>
      <c r="Z60" s="338">
        <f t="shared" si="19"/>
        <v>21.705486246106783</v>
      </c>
      <c r="AA60" s="338">
        <f t="shared" si="20"/>
        <v>2.1773536662596728E-3</v>
      </c>
      <c r="AB60" s="338">
        <f t="shared" si="59"/>
        <v>0</v>
      </c>
      <c r="AC60" s="338">
        <f t="shared" si="60"/>
        <v>22.025934735226972</v>
      </c>
      <c r="AF60" s="138">
        <f t="shared" si="61"/>
        <v>1</v>
      </c>
      <c r="AG60" s="138">
        <f t="shared" si="62"/>
        <v>5</v>
      </c>
      <c r="AH60" s="138">
        <f t="shared" si="69"/>
        <v>31</v>
      </c>
      <c r="AI60" s="138">
        <f t="shared" si="63"/>
        <v>1231</v>
      </c>
      <c r="AJ60" s="138">
        <f t="shared" si="64"/>
        <v>1248</v>
      </c>
      <c r="AL60" s="136">
        <f t="shared" si="27"/>
        <v>3.2770000000000001</v>
      </c>
      <c r="AM60" s="258">
        <f t="shared" si="28"/>
        <v>-0.42</v>
      </c>
      <c r="AN60" s="258">
        <f t="shared" si="29"/>
        <v>0.155</v>
      </c>
      <c r="AO60" s="258">
        <f t="shared" si="30"/>
        <v>0.04</v>
      </c>
      <c r="AP60" s="258">
        <f t="shared" si="31"/>
        <v>0.04</v>
      </c>
      <c r="AQ60" s="136">
        <f t="shared" si="65"/>
        <v>0</v>
      </c>
      <c r="AR60" s="137">
        <f t="shared" si="33"/>
        <v>3.5999999999999997E-2</v>
      </c>
      <c r="AS60" s="136">
        <f t="shared" si="50"/>
        <v>3.012</v>
      </c>
      <c r="AT60" s="137">
        <f t="shared" si="51"/>
        <v>4.6856677050253197E-2</v>
      </c>
      <c r="AU60" s="137">
        <f t="shared" si="34"/>
        <v>0.85395688435105088</v>
      </c>
      <c r="AV60" s="394">
        <f t="shared" si="52"/>
        <v>9186.0142049642545</v>
      </c>
      <c r="AW60" s="137">
        <f t="shared" si="35"/>
        <v>0.28999999999999998</v>
      </c>
      <c r="AX60" s="137">
        <f t="shared" si="36"/>
        <v>0.45</v>
      </c>
      <c r="AY60" s="137">
        <f t="shared" si="37"/>
        <v>0.5</v>
      </c>
      <c r="AZ60" s="137"/>
      <c r="BA60" s="264"/>
      <c r="BB60" s="258">
        <f t="shared" si="38"/>
        <v>0</v>
      </c>
      <c r="BC60" s="258">
        <f t="shared" si="66"/>
        <v>0</v>
      </c>
      <c r="BD60" s="137">
        <f t="shared" si="67"/>
        <v>6.0420462256738361E-6</v>
      </c>
      <c r="BE60" s="137">
        <f t="shared" si="68"/>
        <v>8.4369756610525037E-6</v>
      </c>
      <c r="BF60" s="137">
        <f>_xll.xSPRDOPT($BW60,$BV60,$CG60,0,$BY60,$BX60,$BZ60,$AJ60,1,4)*$CB60</f>
        <v>5.2623202526500469E-2</v>
      </c>
      <c r="BG60" s="137">
        <f>_xll.xSPRDOPT($BW60,$BV60,$CG60,0,$BY60,$BX60,$BZ60,$AJ60,1,3)*$CB60</f>
        <v>4.5585776702353371E-2</v>
      </c>
      <c r="BH60" s="137">
        <f>IF(OR(BF60&lt;&gt;0,BG60&lt;&gt;0),_xll.xSPRDOPT($BW60,$BV60,$CG60,0,$BY60,$BX60,$BZ60,$AJ60,1,12)*$CB60,0)</f>
        <v>-4.8978150066262022E-2</v>
      </c>
      <c r="BI60" s="137">
        <f>_xll.xSPRDOPT($BW60,$BV60,$CG60,2*LN(1+CA60/2),$BY60,$BX60,$BZ60,$AJ60,1,9)</f>
        <v>9.1662953536715275E-3</v>
      </c>
      <c r="BJ60" s="137">
        <f>_xll.xSPRDOPT($BW60,$BV60,$CG60,0,$BY60,$BX60,$BZ60,$AJ60,1,6)*$CB60</f>
        <v>-9.0907604720192995E-4</v>
      </c>
      <c r="BK60" s="137">
        <f>_xll.xSPRDOPT($BW60,$BV60,$CG60,0,$BY60,$BX60,$BZ60,$AJ60,1,5)*$CB60</f>
        <v>1.546178244191626E-3</v>
      </c>
      <c r="BL60" s="137">
        <f>_xll.xSPRDOPT(BW60,BV60,CG60,0,BY60,BX60,BZ60,AJ60,1,2)*CB60</f>
        <v>-0.85239531571145022</v>
      </c>
      <c r="BM60" s="137">
        <f>_xll.xSPRDOPT(BW60,BV60,CG60,0,BY60,BX60,BZ60,AJ60,1,1)*CB60</f>
        <v>0.85248895069000596</v>
      </c>
      <c r="BN60" s="137">
        <f>IF(AH60&lt;&gt;0,_xll.xSPRDOPT($BW60,$BV60,$CG60,2*LN(1+CA60/2),$BY60,$BX60,$BZ60,$AJ60,1,8)+(AJ60/365.25)*CH60/AH60,0)</f>
        <v>0.61211381915330676</v>
      </c>
      <c r="BO60" s="137">
        <f>_xll.xSPRDOPT($BW60,$BV60,$CG60,0,$BY60,$BX60,$BZ60,$AJ60,1,0)</f>
        <v>0.23255006205502962</v>
      </c>
      <c r="BP60" s="137"/>
      <c r="BQ60" s="137"/>
      <c r="BR60" s="137"/>
      <c r="BS60" s="137"/>
      <c r="BV60" s="262">
        <v>3.1244813278008299</v>
      </c>
      <c r="BW60" s="136">
        <v>3.3570000000000002</v>
      </c>
      <c r="BX60" s="137">
        <v>0.2925213624660592</v>
      </c>
      <c r="BY60" s="137">
        <v>0.29352680149055776</v>
      </c>
      <c r="BZ60" s="137">
        <v>0.99911014715110191</v>
      </c>
      <c r="CA60" s="137">
        <v>4.6856677050253197E-2</v>
      </c>
      <c r="CB60" s="137">
        <v>0.85363208329541629</v>
      </c>
      <c r="CC60" s="258">
        <v>-0.42</v>
      </c>
      <c r="CD60" s="258">
        <v>0.155</v>
      </c>
      <c r="CE60" s="258">
        <v>0.04</v>
      </c>
      <c r="CF60" s="258">
        <v>0.04</v>
      </c>
      <c r="CG60" s="258">
        <v>0</v>
      </c>
      <c r="CH60" s="258">
        <v>11.707051843146658</v>
      </c>
      <c r="CI60" s="258">
        <v>3.2770000000000001</v>
      </c>
    </row>
    <row r="61" spans="1:87" x14ac:dyDescent="0.25">
      <c r="A61" s="723"/>
      <c r="B61" s="723"/>
      <c r="D61" s="31">
        <f t="shared" si="53"/>
        <v>38518</v>
      </c>
      <c r="F61" s="28">
        <f t="shared" si="54"/>
        <v>9300</v>
      </c>
      <c r="G61" s="28">
        <f t="shared" si="13"/>
        <v>7897.9393486685021</v>
      </c>
      <c r="H61" s="52">
        <f t="shared" si="55"/>
        <v>3.1607883817427385</v>
      </c>
      <c r="I61" s="52">
        <f t="shared" si="56"/>
        <v>3.3919999999999999</v>
      </c>
      <c r="K61" s="52">
        <f t="shared" si="43"/>
        <v>5.8906301216236958</v>
      </c>
      <c r="L61" s="135">
        <f t="shared" si="44"/>
        <v>1.0152677290484746E-3</v>
      </c>
      <c r="N61" s="131">
        <f t="shared" si="45"/>
        <v>0.29238802915440232</v>
      </c>
      <c r="O61" s="131">
        <f t="shared" si="46"/>
        <v>0.29334060051271815</v>
      </c>
      <c r="P61" s="55">
        <f t="shared" si="47"/>
        <v>0.99915618690055896</v>
      </c>
      <c r="Q61" s="135">
        <f>_xll.xSPRDOPT(I61,H61,AQ61,0,O61,N61,P61,D61-$G$5,1,0)*AH61*AU61</f>
        <v>5.8916453893527443</v>
      </c>
      <c r="R61" s="135"/>
      <c r="S61" s="181">
        <f t="shared" si="48"/>
        <v>-244913.07816374931</v>
      </c>
      <c r="T61" s="181">
        <f>_xll.xSPRDOPT(I61,H61,AQ61,AT61,O61,N61,P61,D61-$G$5,1,1)*AF61*F61*AH61</f>
        <v>236096.20734985432</v>
      </c>
      <c r="U61" s="135"/>
      <c r="V61" s="146">
        <f t="shared" si="57"/>
        <v>11.271123767261114</v>
      </c>
      <c r="W61" s="146"/>
      <c r="X61" s="338">
        <f t="shared" si="58"/>
        <v>0</v>
      </c>
      <c r="Y61" s="338">
        <f t="shared" si="18"/>
        <v>0</v>
      </c>
      <c r="Z61" s="338">
        <f t="shared" si="19"/>
        <v>20.979959578150638</v>
      </c>
      <c r="AA61" s="338">
        <f t="shared" si="20"/>
        <v>1.9329790091003223E-3</v>
      </c>
      <c r="AB61" s="338">
        <f t="shared" si="59"/>
        <v>0</v>
      </c>
      <c r="AC61" s="338">
        <f t="shared" si="60"/>
        <v>21.291090537327541</v>
      </c>
      <c r="AF61" s="138">
        <f t="shared" si="61"/>
        <v>1</v>
      </c>
      <c r="AG61" s="138">
        <f t="shared" si="62"/>
        <v>6</v>
      </c>
      <c r="AH61" s="138">
        <f t="shared" si="69"/>
        <v>30</v>
      </c>
      <c r="AI61" s="138">
        <f t="shared" si="63"/>
        <v>1262</v>
      </c>
      <c r="AJ61" s="138">
        <f t="shared" si="64"/>
        <v>1279</v>
      </c>
      <c r="AL61" s="136">
        <f t="shared" si="27"/>
        <v>3.3119999999999998</v>
      </c>
      <c r="AM61" s="258">
        <f t="shared" si="28"/>
        <v>-0.42</v>
      </c>
      <c r="AN61" s="258">
        <f t="shared" si="29"/>
        <v>0.155</v>
      </c>
      <c r="AO61" s="258">
        <f t="shared" si="30"/>
        <v>0.04</v>
      </c>
      <c r="AP61" s="258">
        <f t="shared" si="31"/>
        <v>0.04</v>
      </c>
      <c r="AQ61" s="136">
        <f t="shared" si="65"/>
        <v>0</v>
      </c>
      <c r="AR61" s="137">
        <f t="shared" si="33"/>
        <v>3.5999999999999997E-2</v>
      </c>
      <c r="AS61" s="136">
        <f t="shared" si="50"/>
        <v>3.0469999999999997</v>
      </c>
      <c r="AT61" s="137">
        <f t="shared" si="51"/>
        <v>4.7327485112866399E-2</v>
      </c>
      <c r="AU61" s="137">
        <f t="shared" si="34"/>
        <v>0.84924079017940879</v>
      </c>
      <c r="AV61" s="394">
        <f t="shared" si="52"/>
        <v>8840.5966257676446</v>
      </c>
      <c r="AW61" s="137">
        <f t="shared" si="35"/>
        <v>0.28999999999999998</v>
      </c>
      <c r="AX61" s="137">
        <f t="shared" si="36"/>
        <v>0.45</v>
      </c>
      <c r="AY61" s="137">
        <f t="shared" si="37"/>
        <v>0.5</v>
      </c>
      <c r="AZ61" s="137"/>
      <c r="BA61" s="264"/>
      <c r="BB61" s="258">
        <f t="shared" si="38"/>
        <v>0</v>
      </c>
      <c r="BC61" s="258">
        <f t="shared" si="66"/>
        <v>0</v>
      </c>
      <c r="BD61" s="137">
        <f t="shared" si="67"/>
        <v>5.5741404257902971E-6</v>
      </c>
      <c r="BE61" s="137">
        <f t="shared" si="68"/>
        <v>7.7850538949819637E-6</v>
      </c>
      <c r="BF61" s="137">
        <f>_xll.xSPRDOPT($BW61,$BV61,$CG61,0,$BY61,$BX61,$BZ61,$AJ61,1,4)*$CB61</f>
        <v>6.1328503373616415E-2</v>
      </c>
      <c r="BG61" s="137">
        <f>_xll.xSPRDOPT($BW61,$BV61,$CG61,0,$BY61,$BX61,$BZ61,$AJ61,1,3)*$CB61</f>
        <v>5.3252478131564425E-2</v>
      </c>
      <c r="BH61" s="137">
        <f>IF(OR(BF61&lt;&gt;0,BG61&lt;&gt;0),_xll.xSPRDOPT($BW61,$BV61,$CG61,0,$BY61,$BX61,$BZ61,$AJ61,1,12)*$CB61,0)</f>
        <v>-5.7147609985176616E-2</v>
      </c>
      <c r="BI61" s="137">
        <f>_xll.xSPRDOPT($BW61,$BV61,$CG61,2*LN(1+CA61/2),$BY61,$BX61,$BZ61,$AJ61,1,9)</f>
        <v>9.1552332567736202E-3</v>
      </c>
      <c r="BJ61" s="137">
        <f>_xll.xSPRDOPT($BW61,$BV61,$CG61,0,$BY61,$BX61,$BZ61,$AJ61,1,6)*$CB61</f>
        <v>-9.0335641056225825E-4</v>
      </c>
      <c r="BK61" s="137">
        <f>_xll.xSPRDOPT($BW61,$BV61,$CG61,0,$BY61,$BX61,$BZ61,$AJ61,1,5)*$CB61</f>
        <v>1.5367492408382918E-3</v>
      </c>
      <c r="BL61" s="137">
        <f>_xll.xSPRDOPT(BW61,BV61,CG61,0,BY61,BX61,BZ61,AJ61,1,2)*CB61</f>
        <v>-0.84740438149479091</v>
      </c>
      <c r="BM61" s="137">
        <f>_xll.xSPRDOPT(BW61,BV61,CG61,0,BY61,BX61,BZ61,AJ61,1,1)*CB61</f>
        <v>0.84751738659311782</v>
      </c>
      <c r="BN61" s="137">
        <f>IF(AH61&lt;&gt;0,_xll.xSPRDOPT($BW61,$BV61,$CG61,2*LN(1+CA61/2),$BY61,$BX61,$BZ61,$AJ61,1,8)+(AJ61/365.25)*CH61/AH61,0)</f>
        <v>0.62773720880457429</v>
      </c>
      <c r="BO61" s="137">
        <f>_xll.xSPRDOPT($BW61,$BV61,$CG61,0,$BY61,$BX61,$BZ61,$AJ61,1,0)</f>
        <v>0.23125187112558571</v>
      </c>
      <c r="BP61" s="137"/>
      <c r="BQ61" s="137"/>
      <c r="BR61" s="137"/>
      <c r="BS61" s="137"/>
      <c r="BV61" s="262">
        <v>3.1607883817427385</v>
      </c>
      <c r="BW61" s="136">
        <v>3.3919999999999999</v>
      </c>
      <c r="BX61" s="137">
        <v>0.29238245501397653</v>
      </c>
      <c r="BY61" s="137">
        <v>0.29333281545882317</v>
      </c>
      <c r="BZ61" s="137">
        <v>0.9991581140664344</v>
      </c>
      <c r="CA61" s="137">
        <v>4.7327485112866399E-2</v>
      </c>
      <c r="CB61" s="137">
        <v>0.84891457563562278</v>
      </c>
      <c r="CC61" s="258">
        <v>-0.42</v>
      </c>
      <c r="CD61" s="258">
        <v>0.155</v>
      </c>
      <c r="CE61" s="258">
        <v>0.04</v>
      </c>
      <c r="CF61" s="258">
        <v>0.04</v>
      </c>
      <c r="CG61" s="258">
        <v>0</v>
      </c>
      <c r="CH61" s="258">
        <v>11.266794247835985</v>
      </c>
      <c r="CI61" s="258">
        <v>3.3119999999999998</v>
      </c>
    </row>
    <row r="62" spans="1:87" x14ac:dyDescent="0.25">
      <c r="A62" s="723"/>
      <c r="B62" s="723"/>
      <c r="D62" s="31">
        <f t="shared" si="53"/>
        <v>38548</v>
      </c>
      <c r="F62" s="28">
        <f t="shared" si="54"/>
        <v>9300</v>
      </c>
      <c r="G62" s="28">
        <f t="shared" si="13"/>
        <v>7855.7646436541927</v>
      </c>
      <c r="H62" s="52">
        <f t="shared" si="55"/>
        <v>3.2022821576763483</v>
      </c>
      <c r="I62" s="52">
        <f t="shared" si="56"/>
        <v>3.4319999999999999</v>
      </c>
      <c r="K62" s="52">
        <f t="shared" si="43"/>
        <v>6.015364345808905</v>
      </c>
      <c r="L62" s="135">
        <f t="shared" si="44"/>
        <v>1.7289651304750464E-3</v>
      </c>
      <c r="N62" s="131">
        <f t="shared" si="45"/>
        <v>0.28848877686763669</v>
      </c>
      <c r="O62" s="131">
        <f t="shared" si="46"/>
        <v>0.28956544219828367</v>
      </c>
      <c r="P62" s="55">
        <f t="shared" si="47"/>
        <v>0.99897099212853535</v>
      </c>
      <c r="Q62" s="135">
        <f>_xll.xSPRDOPT(I62,H62,AQ62,0,O62,N62,P62,D62-$G$5,1,0)*AH62*AU62</f>
        <v>6.01709331093938</v>
      </c>
      <c r="R62" s="135"/>
      <c r="S62" s="181">
        <f t="shared" si="48"/>
        <v>-251467.03675144617</v>
      </c>
      <c r="T62" s="181">
        <f>_xll.xSPRDOPT(I62,H62,AQ62,AT62,O62,N62,P62,D62-$G$5,1,1)*AF62*F62*AH62</f>
        <v>242414.22342839409</v>
      </c>
      <c r="U62" s="135"/>
      <c r="V62" s="146">
        <f t="shared" si="57"/>
        <v>11.584634261175385</v>
      </c>
      <c r="W62" s="146"/>
      <c r="X62" s="338">
        <f t="shared" si="58"/>
        <v>0</v>
      </c>
      <c r="Y62" s="338">
        <f t="shared" si="18"/>
        <v>0</v>
      </c>
      <c r="Z62" s="338">
        <f t="shared" si="19"/>
        <v>21.495425897981409</v>
      </c>
      <c r="AA62" s="338">
        <f t="shared" si="20"/>
        <v>7.719151313805077E-3</v>
      </c>
      <c r="AB62" s="338">
        <f t="shared" si="59"/>
        <v>0</v>
      </c>
      <c r="AC62" s="338">
        <f t="shared" si="60"/>
        <v>21.943255261432622</v>
      </c>
      <c r="AF62" s="138">
        <f t="shared" si="61"/>
        <v>1</v>
      </c>
      <c r="AG62" s="138">
        <f t="shared" si="62"/>
        <v>7</v>
      </c>
      <c r="AH62" s="138">
        <f t="shared" si="69"/>
        <v>31</v>
      </c>
      <c r="AI62" s="138">
        <f t="shared" si="63"/>
        <v>1292</v>
      </c>
      <c r="AJ62" s="138">
        <f t="shared" si="64"/>
        <v>1309</v>
      </c>
      <c r="AL62" s="136">
        <f t="shared" si="27"/>
        <v>3.3519999999999999</v>
      </c>
      <c r="AM62" s="258">
        <f t="shared" si="28"/>
        <v>-0.42</v>
      </c>
      <c r="AN62" s="258">
        <f t="shared" si="29"/>
        <v>0.155</v>
      </c>
      <c r="AO62" s="258">
        <f t="shared" si="30"/>
        <v>0.04</v>
      </c>
      <c r="AP62" s="258">
        <f t="shared" si="31"/>
        <v>0.04</v>
      </c>
      <c r="AQ62" s="136">
        <f t="shared" si="65"/>
        <v>0</v>
      </c>
      <c r="AR62" s="137">
        <f t="shared" si="33"/>
        <v>3.5999999999999997E-2</v>
      </c>
      <c r="AS62" s="136">
        <f t="shared" si="50"/>
        <v>3.0869999999999997</v>
      </c>
      <c r="AT62" s="137">
        <f t="shared" si="51"/>
        <v>4.7760481058800999E-2</v>
      </c>
      <c r="AU62" s="137">
        <f t="shared" si="34"/>
        <v>0.84470587566174116</v>
      </c>
      <c r="AV62" s="394">
        <f t="shared" si="52"/>
        <v>9086.501104493349</v>
      </c>
      <c r="AW62" s="137">
        <f t="shared" si="35"/>
        <v>0.28499999999999998</v>
      </c>
      <c r="AX62" s="137">
        <f t="shared" si="36"/>
        <v>0.5</v>
      </c>
      <c r="AY62" s="137">
        <f t="shared" si="37"/>
        <v>0.55000000000000004</v>
      </c>
      <c r="AZ62" s="137"/>
      <c r="BA62" s="264"/>
      <c r="BB62" s="258">
        <f t="shared" si="38"/>
        <v>0</v>
      </c>
      <c r="BC62" s="258">
        <f t="shared" si="66"/>
        <v>0</v>
      </c>
      <c r="BD62" s="137">
        <f t="shared" si="67"/>
        <v>7.9383346645589548E-6</v>
      </c>
      <c r="BE62" s="137">
        <f t="shared" si="68"/>
        <v>1.0369018023592691E-5</v>
      </c>
      <c r="BF62" s="137">
        <f>_xll.xSPRDOPT($BW62,$BV62,$CG62,0,$BY62,$BX62,$BZ62,$AJ62,1,4)*$CB62</f>
        <v>9.0595418989718915E-2</v>
      </c>
      <c r="BG62" s="137">
        <f>_xll.xSPRDOPT($BW62,$BV62,$CG62,0,$BY62,$BX62,$BZ62,$AJ62,1,3)*$CB62</f>
        <v>7.8873367382389897E-2</v>
      </c>
      <c r="BH62" s="137">
        <f>IF(OR(BF62&lt;&gt;0,BG62&lt;&gt;0),_xll.xSPRDOPT($BW62,$BV62,$CG62,0,$BY62,$BX62,$BZ62,$AJ62,1,12)*$CB62,0)</f>
        <v>-8.4530491176327202E-2</v>
      </c>
      <c r="BI62" s="137">
        <f>_xll.xSPRDOPT($BW62,$BV62,$CG62,2*LN(1+CA62/2),$BY62,$BX62,$BZ62,$AJ62,1,9)</f>
        <v>9.0775862056164981E-3</v>
      </c>
      <c r="BJ62" s="137">
        <f>_xll.xSPRDOPT($BW62,$BV62,$CG62,0,$BY62,$BX62,$BZ62,$AJ62,1,6)*$CB62</f>
        <v>-2.5865919559814954E-3</v>
      </c>
      <c r="BK62" s="137">
        <f>_xll.xSPRDOPT($BW62,$BV62,$CG62,0,$BY62,$BX62,$BZ62,$AJ62,1,5)*$CB62</f>
        <v>4.5624330940908456E-3</v>
      </c>
      <c r="BL62" s="137">
        <f>_xll.xSPRDOPT(BW62,BV62,CG62,0,BY62,BX62,BZ62,AJ62,1,2)*CB62</f>
        <v>-0.84202953828355065</v>
      </c>
      <c r="BM62" s="137">
        <f>_xll.xSPRDOPT(BW62,BV62,CG62,0,BY62,BX62,BZ62,AJ62,1,1)*CB62</f>
        <v>0.84220299549913091</v>
      </c>
      <c r="BN62" s="137">
        <f>IF(AH62&lt;&gt;0,_xll.xSPRDOPT($BW62,$BV62,$CG62,2*LN(1+CA62/2),$BY62,$BX62,$BZ62,$AJ62,1,8)+(AJ62/365.25)*CH62/AH62,0)</f>
        <v>0.6434025566354411</v>
      </c>
      <c r="BO62" s="137">
        <f>_xll.xSPRDOPT($BW62,$BV62,$CG62,0,$BY62,$BX62,$BZ62,$AJ62,1,0)</f>
        <v>0.22978386981691903</v>
      </c>
      <c r="BP62" s="137"/>
      <c r="BQ62" s="137"/>
      <c r="BR62" s="137"/>
      <c r="BS62" s="137"/>
      <c r="BV62" s="262">
        <v>3.2022821576763483</v>
      </c>
      <c r="BW62" s="136">
        <v>3.4319999999999999</v>
      </c>
      <c r="BX62" s="137">
        <v>0.28848083853297213</v>
      </c>
      <c r="BY62" s="137">
        <v>0.28955507318026008</v>
      </c>
      <c r="BZ62" s="137">
        <v>0.99897326730889091</v>
      </c>
      <c r="CA62" s="137">
        <v>4.7760481058800999E-2</v>
      </c>
      <c r="CB62" s="137">
        <v>0.84437846983859632</v>
      </c>
      <c r="CC62" s="258">
        <v>-0.42</v>
      </c>
      <c r="CD62" s="258">
        <v>0.155</v>
      </c>
      <c r="CE62" s="258">
        <v>0.04</v>
      </c>
      <c r="CF62" s="258">
        <v>0.04</v>
      </c>
      <c r="CG62" s="258">
        <v>0</v>
      </c>
      <c r="CH62" s="258">
        <v>11.580144086754446</v>
      </c>
      <c r="CI62" s="258">
        <v>3.3519999999999999</v>
      </c>
    </row>
    <row r="63" spans="1:87" x14ac:dyDescent="0.25">
      <c r="A63" s="723"/>
      <c r="B63" s="723"/>
      <c r="D63" s="31">
        <f t="shared" si="53"/>
        <v>38579</v>
      </c>
      <c r="F63" s="28">
        <f t="shared" si="54"/>
        <v>9300</v>
      </c>
      <c r="G63" s="28">
        <f t="shared" si="13"/>
        <v>7812.4609843919343</v>
      </c>
      <c r="H63" s="52">
        <f t="shared" si="55"/>
        <v>3.2437759336099585</v>
      </c>
      <c r="I63" s="52">
        <f t="shared" si="56"/>
        <v>3.472</v>
      </c>
      <c r="K63" s="52">
        <f t="shared" si="43"/>
        <v>5.943305381238245</v>
      </c>
      <c r="L63" s="135">
        <f t="shared" si="44"/>
        <v>4.2666754511451188E-3</v>
      </c>
      <c r="N63" s="131">
        <f t="shared" si="45"/>
        <v>0.28946051993952615</v>
      </c>
      <c r="O63" s="131">
        <f t="shared" si="46"/>
        <v>0.2906084133445071</v>
      </c>
      <c r="P63" s="55">
        <f t="shared" si="47"/>
        <v>0.99883632377520704</v>
      </c>
      <c r="Q63" s="135">
        <f>_xll.xSPRDOPT(I63,H63,AQ63,0,O63,N63,P63,D63-$G$5,1,0)*AH63*AU63</f>
        <v>5.9475720566893902</v>
      </c>
      <c r="R63" s="135"/>
      <c r="S63" s="181">
        <f t="shared" si="48"/>
        <v>-249335.14215405963</v>
      </c>
      <c r="T63" s="181">
        <f>_xll.xSPRDOPT(I63,H63,AQ63,AT63,O63,N63,P63,D63-$G$5,1,1)*AF63*F63*AH63</f>
        <v>240359.07703651348</v>
      </c>
      <c r="U63" s="135"/>
      <c r="V63" s="146">
        <f t="shared" si="57"/>
        <v>11.52077579831664</v>
      </c>
      <c r="W63" s="146"/>
      <c r="X63" s="338">
        <f t="shared" si="58"/>
        <v>0</v>
      </c>
      <c r="Y63" s="338">
        <f t="shared" si="18"/>
        <v>0</v>
      </c>
      <c r="Z63" s="338">
        <f t="shared" si="19"/>
        <v>21.227839983393306</v>
      </c>
      <c r="AA63" s="338">
        <f t="shared" si="20"/>
        <v>1.870124482442596E-2</v>
      </c>
      <c r="AB63" s="338">
        <f t="shared" si="59"/>
        <v>0</v>
      </c>
      <c r="AC63" s="338">
        <f t="shared" si="60"/>
        <v>21.882957503919783</v>
      </c>
      <c r="AF63" s="138">
        <f t="shared" si="61"/>
        <v>1</v>
      </c>
      <c r="AG63" s="138">
        <f t="shared" si="62"/>
        <v>8</v>
      </c>
      <c r="AH63" s="138">
        <f t="shared" si="69"/>
        <v>31</v>
      </c>
      <c r="AI63" s="138">
        <f t="shared" si="63"/>
        <v>1323</v>
      </c>
      <c r="AJ63" s="138">
        <f t="shared" si="64"/>
        <v>1340</v>
      </c>
      <c r="AL63" s="136">
        <f t="shared" si="27"/>
        <v>3.3919999999999999</v>
      </c>
      <c r="AM63" s="258">
        <f t="shared" si="28"/>
        <v>-0.42</v>
      </c>
      <c r="AN63" s="258">
        <f t="shared" si="29"/>
        <v>0.155</v>
      </c>
      <c r="AO63" s="258">
        <f t="shared" si="30"/>
        <v>0.04</v>
      </c>
      <c r="AP63" s="258">
        <f t="shared" si="31"/>
        <v>0.04</v>
      </c>
      <c r="AQ63" s="136">
        <f t="shared" si="65"/>
        <v>0</v>
      </c>
      <c r="AR63" s="137">
        <f t="shared" si="33"/>
        <v>3.5999999999999997E-2</v>
      </c>
      <c r="AS63" s="136">
        <f t="shared" si="50"/>
        <v>3.1269999999999998</v>
      </c>
      <c r="AT63" s="137">
        <f t="shared" si="51"/>
        <v>4.81861434694211E-2</v>
      </c>
      <c r="AU63" s="137">
        <f t="shared" si="34"/>
        <v>0.84004956821418653</v>
      </c>
      <c r="AV63" s="394">
        <f t="shared" si="52"/>
        <v>9036.4132052800051</v>
      </c>
      <c r="AW63" s="137">
        <f t="shared" si="35"/>
        <v>0.28499999999999998</v>
      </c>
      <c r="AX63" s="137">
        <f t="shared" si="36"/>
        <v>0.55000000000000004</v>
      </c>
      <c r="AY63" s="137">
        <f t="shared" si="37"/>
        <v>0.6</v>
      </c>
      <c r="AZ63" s="137"/>
      <c r="BA63" s="264"/>
      <c r="BB63" s="258">
        <f t="shared" si="38"/>
        <v>0</v>
      </c>
      <c r="BC63" s="258">
        <f t="shared" si="66"/>
        <v>0</v>
      </c>
      <c r="BD63" s="137">
        <f t="shared" si="67"/>
        <v>9.8983850019274122E-6</v>
      </c>
      <c r="BE63" s="137">
        <f t="shared" si="68"/>
        <v>1.2421350806646192E-5</v>
      </c>
      <c r="BF63" s="137">
        <f>_xll.xSPRDOPT($BW63,$BV63,$CG63,0,$BY63,$BX63,$BZ63,$AJ63,1,4)*$CB63</f>
        <v>0.16150028994249255</v>
      </c>
      <c r="BG63" s="137">
        <f>_xll.xSPRDOPT($BW63,$BV63,$CG63,0,$BY63,$BX63,$BZ63,$AJ63,1,3)*$CB63</f>
        <v>0.14096629449035358</v>
      </c>
      <c r="BH63" s="137">
        <f>IF(OR(BF63&lt;&gt;0,BG63&lt;&gt;0),_xll.xSPRDOPT($BW63,$BV63,$CG63,0,$BY63,$BX63,$BZ63,$AJ63,1,12)*$CB63,0)</f>
        <v>-0.15088250868259273</v>
      </c>
      <c r="BI63" s="137">
        <f>_xll.xSPRDOPT($BW63,$BV63,$CG63,2*LN(1+CA63/2),$BY63,$BX63,$BZ63,$AJ63,1,9)</f>
        <v>8.9645838292685912E-3</v>
      </c>
      <c r="BJ63" s="137">
        <f>_xll.xSPRDOPT($BW63,$BV63,$CG63,0,$BY63,$BX63,$BZ63,$AJ63,1,6)*$CB63</f>
        <v>-5.0369936285510576E-3</v>
      </c>
      <c r="BK63" s="137">
        <f>_xll.xSPRDOPT($BW63,$BV63,$CG63,0,$BY63,$BX63,$BZ63,$AJ63,1,5)*$CB63</f>
        <v>9.2361460298358792E-3</v>
      </c>
      <c r="BL63" s="137">
        <f>_xll.xSPRDOPT(BW63,BV63,CG63,0,BY63,BX63,BZ63,AJ63,1,2)*CB63</f>
        <v>-0.83476494489092268</v>
      </c>
      <c r="BM63" s="137">
        <f>_xll.xSPRDOPT(BW63,BV63,CG63,0,BY63,BX63,BZ63,AJ63,1,1)*CB63</f>
        <v>0.83513034094714633</v>
      </c>
      <c r="BN63" s="137">
        <f>IF(AH63&lt;&gt;0,_xll.xSPRDOPT($BW63,$BV63,$CG63,2*LN(1+CA63/2),$BY63,$BX63,$BZ63,$AJ63,1,8)+(AJ63/365.25)*CH63/AH63,0)</f>
        <v>0.65930739868579991</v>
      </c>
      <c r="BO63" s="137">
        <f>_xll.xSPRDOPT($BW63,$BV63,$CG63,0,$BY63,$BX63,$BZ63,$AJ63,1,0)</f>
        <v>0.22838790936158093</v>
      </c>
      <c r="BP63" s="137"/>
      <c r="BQ63" s="137"/>
      <c r="BR63" s="137"/>
      <c r="BS63" s="137"/>
      <c r="BV63" s="262">
        <v>3.2437759336099585</v>
      </c>
      <c r="BW63" s="136">
        <v>3.472</v>
      </c>
      <c r="BX63" s="137">
        <v>0.28945062155452422</v>
      </c>
      <c r="BY63" s="137">
        <v>0.29059599199370045</v>
      </c>
      <c r="BZ63" s="137">
        <v>0.99883881989400425</v>
      </c>
      <c r="CA63" s="137">
        <v>4.81861434694211E-2</v>
      </c>
      <c r="CB63" s="137">
        <v>0.83972110009682266</v>
      </c>
      <c r="CC63" s="258">
        <v>-0.42</v>
      </c>
      <c r="CD63" s="258">
        <v>0.155</v>
      </c>
      <c r="CE63" s="258">
        <v>0.04</v>
      </c>
      <c r="CF63" s="258">
        <v>0.04</v>
      </c>
      <c r="CG63" s="258">
        <v>0</v>
      </c>
      <c r="CH63" s="258">
        <v>11.516271055167866</v>
      </c>
      <c r="CI63" s="258">
        <v>3.3919999999999999</v>
      </c>
    </row>
    <row r="64" spans="1:87" x14ac:dyDescent="0.25">
      <c r="A64" s="723"/>
      <c r="B64" s="723"/>
      <c r="D64" s="31">
        <f t="shared" si="53"/>
        <v>38610</v>
      </c>
      <c r="F64" s="28">
        <f t="shared" si="54"/>
        <v>9300</v>
      </c>
      <c r="G64" s="28">
        <f t="shared" si="13"/>
        <v>7768.8503346661164</v>
      </c>
      <c r="H64" s="52">
        <f t="shared" si="55"/>
        <v>3.2385892116182573</v>
      </c>
      <c r="I64" s="52">
        <f t="shared" si="56"/>
        <v>3.4670000000000001</v>
      </c>
      <c r="K64" s="52">
        <f t="shared" si="43"/>
        <v>5.7241588056801742</v>
      </c>
      <c r="L64" s="135">
        <f t="shared" si="44"/>
        <v>3.4755248891720214E-3</v>
      </c>
      <c r="N64" s="131">
        <f t="shared" si="45"/>
        <v>0.28922221332025494</v>
      </c>
      <c r="O64" s="131">
        <f t="shared" si="46"/>
        <v>0.29030933603946113</v>
      </c>
      <c r="P64" s="55">
        <f t="shared" si="47"/>
        <v>0.99889652200861212</v>
      </c>
      <c r="Q64" s="135">
        <f>_xll.xSPRDOPT(I64,H64,AQ64,0,O64,N64,P64,D64-$G$5,1,0)*AH64*AU64</f>
        <v>5.7276343305693462</v>
      </c>
      <c r="R64" s="135"/>
      <c r="S64" s="181">
        <f t="shared" si="48"/>
        <v>-240092.19329526147</v>
      </c>
      <c r="T64" s="181">
        <f>_xll.xSPRDOPT(I64,H64,AQ64,AT64,O64,N64,P64,D64-$G$5,1,1)*AF64*F64*AH64</f>
        <v>231448.87433663206</v>
      </c>
      <c r="U64" s="135"/>
      <c r="V64" s="146">
        <f t="shared" si="57"/>
        <v>11.086901251794485</v>
      </c>
      <c r="W64" s="146"/>
      <c r="X64" s="338">
        <f t="shared" si="58"/>
        <v>0</v>
      </c>
      <c r="Y64" s="338">
        <f t="shared" si="18"/>
        <v>0</v>
      </c>
      <c r="Z64" s="338">
        <f t="shared" si="19"/>
        <v>20.681629073674745</v>
      </c>
      <c r="AA64" s="338">
        <f t="shared" si="20"/>
        <v>1.4527184524842385E-2</v>
      </c>
      <c r="AB64" s="338">
        <f t="shared" si="59"/>
        <v>0</v>
      </c>
      <c r="AC64" s="338">
        <f t="shared" si="60"/>
        <v>21.259825240939474</v>
      </c>
      <c r="AF64" s="138">
        <f t="shared" si="61"/>
        <v>1</v>
      </c>
      <c r="AG64" s="138">
        <f t="shared" si="62"/>
        <v>9</v>
      </c>
      <c r="AH64" s="138">
        <f t="shared" si="69"/>
        <v>30</v>
      </c>
      <c r="AI64" s="138">
        <f t="shared" si="63"/>
        <v>1354</v>
      </c>
      <c r="AJ64" s="138">
        <f t="shared" si="64"/>
        <v>1371</v>
      </c>
      <c r="AL64" s="136">
        <f t="shared" si="27"/>
        <v>3.387</v>
      </c>
      <c r="AM64" s="258">
        <f t="shared" si="28"/>
        <v>-0.42</v>
      </c>
      <c r="AN64" s="258">
        <f t="shared" si="29"/>
        <v>0.155</v>
      </c>
      <c r="AO64" s="258">
        <f t="shared" si="30"/>
        <v>0.04</v>
      </c>
      <c r="AP64" s="258">
        <f t="shared" si="31"/>
        <v>0.04</v>
      </c>
      <c r="AQ64" s="136">
        <f t="shared" si="65"/>
        <v>0</v>
      </c>
      <c r="AR64" s="137">
        <f t="shared" si="33"/>
        <v>3.5999999999999997E-2</v>
      </c>
      <c r="AS64" s="136">
        <f t="shared" si="50"/>
        <v>3.1219999999999999</v>
      </c>
      <c r="AT64" s="137">
        <f t="shared" si="51"/>
        <v>4.8611805940590898E-2</v>
      </c>
      <c r="AU64" s="137">
        <f t="shared" si="34"/>
        <v>0.8353602510393674</v>
      </c>
      <c r="AV64" s="394">
        <f t="shared" si="52"/>
        <v>8696.1002133198144</v>
      </c>
      <c r="AW64" s="137">
        <f t="shared" si="35"/>
        <v>0.28499999999999998</v>
      </c>
      <c r="AX64" s="137">
        <f t="shared" si="36"/>
        <v>0.55000000000000004</v>
      </c>
      <c r="AY64" s="137">
        <f t="shared" si="37"/>
        <v>0.6</v>
      </c>
      <c r="AZ64" s="137"/>
      <c r="BA64" s="264"/>
      <c r="BB64" s="258">
        <f t="shared" si="38"/>
        <v>0</v>
      </c>
      <c r="BC64" s="258">
        <f t="shared" si="66"/>
        <v>0</v>
      </c>
      <c r="BD64" s="137">
        <f t="shared" si="67"/>
        <v>9.1650015730526668E-6</v>
      </c>
      <c r="BE64" s="137">
        <f t="shared" si="68"/>
        <v>1.1503404332702249E-5</v>
      </c>
      <c r="BF64" s="137">
        <f>_xll.xSPRDOPT($BW64,$BV64,$CG64,0,$BY64,$BX64,$BZ64,$AJ64,1,4)*$CB64</f>
        <v>0.14486075332003706</v>
      </c>
      <c r="BG64" s="137">
        <f>_xll.xSPRDOPT($BW64,$BV64,$CG64,0,$BY64,$BX64,$BZ64,$AJ64,1,3)*$CB64</f>
        <v>0.12640215351188727</v>
      </c>
      <c r="BH64" s="137">
        <f>IF(OR(BF64&lt;&gt;0,BG64&lt;&gt;0),_xll.xSPRDOPT($BW64,$BV64,$CG64,0,$BY64,$BX64,$BZ64,$AJ64,1,12)*$CB64,0)</f>
        <v>-0.13531533215699326</v>
      </c>
      <c r="BI64" s="137">
        <f>_xll.xSPRDOPT($BW64,$BV64,$CG64,2*LN(1+CA64/2),$BY64,$BX64,$BZ64,$AJ64,1,9)</f>
        <v>9.0250478126161285E-3</v>
      </c>
      <c r="BJ64" s="137">
        <f>_xll.xSPRDOPT($BW64,$BV64,$CG64,0,$BY64,$BX64,$BZ64,$AJ64,1,6)*$CB64</f>
        <v>-4.3635398696328775E-3</v>
      </c>
      <c r="BK64" s="137">
        <f>_xll.xSPRDOPT($BW64,$BV64,$CG64,0,$BY64,$BX64,$BZ64,$AJ64,1,5)*$CB64</f>
        <v>8.0029014754646847E-3</v>
      </c>
      <c r="BL64" s="137">
        <f>_xll.xSPRDOPT(BW64,BV64,CG64,0,BY64,BX64,BZ64,AJ64,1,2)*CB64</f>
        <v>-0.83072947930221341</v>
      </c>
      <c r="BM64" s="137">
        <f>_xll.xSPRDOPT(BW64,BV64,CG64,0,BY64,BX64,BZ64,AJ64,1,1)*CB64</f>
        <v>0.83104624484680456</v>
      </c>
      <c r="BN64" s="137">
        <f>IF(AH64&lt;&gt;0,_xll.xSPRDOPT($BW64,$BV64,$CG64,2*LN(1+CA64/2),$BY64,$BX64,$BZ64,$AJ64,1,8)+(AJ64/365.25)*CH64/AH64,0)</f>
        <v>0.67028581998958792</v>
      </c>
      <c r="BO64" s="137">
        <f>_xll.xSPRDOPT($BW64,$BV64,$CG64,0,$BY64,$BX64,$BZ64,$AJ64,1,0)</f>
        <v>0.22854947305695453</v>
      </c>
      <c r="BP64" s="137"/>
      <c r="BQ64" s="137"/>
      <c r="BR64" s="137"/>
      <c r="BS64" s="137"/>
      <c r="BV64" s="262">
        <v>3.2385892116182573</v>
      </c>
      <c r="BW64" s="136">
        <v>3.4670000000000001</v>
      </c>
      <c r="BX64" s="137">
        <v>0.28921304831868189</v>
      </c>
      <c r="BY64" s="137">
        <v>0.29029783263512843</v>
      </c>
      <c r="BZ64" s="137">
        <v>0.99889884148051422</v>
      </c>
      <c r="CA64" s="137">
        <v>4.8611805940590898E-2</v>
      </c>
      <c r="CB64" s="137">
        <v>0.8350307660330849</v>
      </c>
      <c r="CC64" s="258">
        <v>-0.42</v>
      </c>
      <c r="CD64" s="258">
        <v>0.155</v>
      </c>
      <c r="CE64" s="258">
        <v>0.04</v>
      </c>
      <c r="CF64" s="258">
        <v>0.04</v>
      </c>
      <c r="CG64" s="258">
        <v>0</v>
      </c>
      <c r="CH64" s="258">
        <v>11.082528326791103</v>
      </c>
      <c r="CI64" s="258">
        <v>3.387</v>
      </c>
    </row>
    <row r="65" spans="1:87" x14ac:dyDescent="0.25">
      <c r="A65" s="723"/>
      <c r="B65" s="723"/>
      <c r="D65" s="31">
        <f t="shared" si="53"/>
        <v>38640</v>
      </c>
      <c r="F65" s="28">
        <f t="shared" si="54"/>
        <v>9300</v>
      </c>
      <c r="G65" s="28">
        <f t="shared" si="13"/>
        <v>7726.7827543689209</v>
      </c>
      <c r="H65" s="52">
        <f t="shared" si="55"/>
        <v>3.2645228215767634</v>
      </c>
      <c r="I65" s="52">
        <f t="shared" si="56"/>
        <v>3.492</v>
      </c>
      <c r="K65" s="52">
        <f t="shared" si="43"/>
        <v>5.8588891308438873</v>
      </c>
      <c r="L65" s="135">
        <f t="shared" si="44"/>
        <v>1.3419987053380211E-3</v>
      </c>
      <c r="N65" s="131">
        <f t="shared" si="45"/>
        <v>0.29036621737544821</v>
      </c>
      <c r="O65" s="131">
        <f t="shared" si="46"/>
        <v>0.29155574372156456</v>
      </c>
      <c r="P65" s="55">
        <f t="shared" si="47"/>
        <v>0.99953869485788305</v>
      </c>
      <c r="Q65" s="135">
        <f>_xll.xSPRDOPT(I65,H65,AQ65,0,O65,N65,P65,D65-$G$5,1,0)*AH65*AU65</f>
        <v>5.8602311295492253</v>
      </c>
      <c r="R65" s="135"/>
      <c r="S65" s="181">
        <f t="shared" si="48"/>
        <v>-247450.9318923236</v>
      </c>
      <c r="T65" s="181">
        <f>_xll.xSPRDOPT(I65,H65,AQ65,AT65,O65,N65,P65,D65-$G$5,1,1)*AF65*F65*AH65</f>
        <v>238542.69834419995</v>
      </c>
      <c r="U65" s="135"/>
      <c r="V65" s="146">
        <f t="shared" si="57"/>
        <v>11.394428968442703</v>
      </c>
      <c r="W65" s="146"/>
      <c r="X65" s="338">
        <f t="shared" si="58"/>
        <v>0</v>
      </c>
      <c r="Y65" s="338">
        <f t="shared" si="18"/>
        <v>0</v>
      </c>
      <c r="Z65" s="338">
        <f t="shared" si="19"/>
        <v>21.656981417775096</v>
      </c>
      <c r="AA65" s="338">
        <f t="shared" si="20"/>
        <v>2.5937751526037796E-4</v>
      </c>
      <c r="AB65" s="338">
        <f t="shared" si="59"/>
        <v>0</v>
      </c>
      <c r="AC65" s="338">
        <f t="shared" si="60"/>
        <v>21.929763445234673</v>
      </c>
      <c r="AF65" s="138">
        <f t="shared" si="61"/>
        <v>1</v>
      </c>
      <c r="AG65" s="138">
        <f t="shared" si="62"/>
        <v>10</v>
      </c>
      <c r="AH65" s="138">
        <f t="shared" si="69"/>
        <v>31</v>
      </c>
      <c r="AI65" s="138">
        <f t="shared" si="63"/>
        <v>1384</v>
      </c>
      <c r="AJ65" s="138">
        <f t="shared" si="64"/>
        <v>1401</v>
      </c>
      <c r="AL65" s="136">
        <f t="shared" si="27"/>
        <v>3.4119999999999999</v>
      </c>
      <c r="AM65" s="258">
        <f t="shared" si="28"/>
        <v>-0.42</v>
      </c>
      <c r="AN65" s="258">
        <f t="shared" si="29"/>
        <v>0.155</v>
      </c>
      <c r="AO65" s="258">
        <f t="shared" si="30"/>
        <v>0.04</v>
      </c>
      <c r="AP65" s="258">
        <f t="shared" si="31"/>
        <v>0.04</v>
      </c>
      <c r="AQ65" s="136">
        <f t="shared" si="65"/>
        <v>0</v>
      </c>
      <c r="AR65" s="137">
        <f t="shared" si="33"/>
        <v>3.5999999999999997E-2</v>
      </c>
      <c r="AS65" s="136">
        <f t="shared" si="50"/>
        <v>3.1469999999999998</v>
      </c>
      <c r="AT65" s="137">
        <f t="shared" si="51"/>
        <v>4.9009151354921801E-2</v>
      </c>
      <c r="AU65" s="137">
        <f t="shared" si="34"/>
        <v>0.83083685530848617</v>
      </c>
      <c r="AV65" s="394">
        <f t="shared" si="52"/>
        <v>8937.312052553385</v>
      </c>
      <c r="AW65" s="137">
        <f t="shared" si="35"/>
        <v>0.28499999999999998</v>
      </c>
      <c r="AX65" s="137">
        <f t="shared" si="36"/>
        <v>0.6</v>
      </c>
      <c r="AY65" s="137">
        <f t="shared" si="37"/>
        <v>0.65</v>
      </c>
      <c r="AZ65" s="137"/>
      <c r="BA65" s="264"/>
      <c r="BB65" s="258">
        <f t="shared" si="38"/>
        <v>0</v>
      </c>
      <c r="BC65" s="258">
        <f t="shared" si="66"/>
        <v>0</v>
      </c>
      <c r="BD65" s="137">
        <f t="shared" si="67"/>
        <v>1.1372695913058894E-5</v>
      </c>
      <c r="BE65" s="137">
        <f t="shared" si="68"/>
        <v>1.3865654850730991E-5</v>
      </c>
      <c r="BF65" s="137">
        <f>_xll.xSPRDOPT($BW65,$BV65,$CG65,0,$BY65,$BX65,$BZ65,$AJ65,1,4)*$CB65</f>
        <v>5.9065377131955379E-2</v>
      </c>
      <c r="BG65" s="137">
        <f>_xll.xSPRDOPT($BW65,$BV65,$CG65,0,$BY65,$BX65,$BZ65,$AJ65,1,3)*$CB65</f>
        <v>5.1621126903368814E-2</v>
      </c>
      <c r="BH65" s="137">
        <f>IF(OR(BF65&lt;&gt;0,BG65&lt;&gt;0),_xll.xSPRDOPT($BW65,$BV65,$CG65,0,$BY65,$BX65,$BZ65,$AJ65,1,12)*$CB65,0)</f>
        <v>-5.5217050086533638E-2</v>
      </c>
      <c r="BI65" s="137">
        <f>_xll.xSPRDOPT($BW65,$BV65,$CG65,2*LN(1+CA65/2),$BY65,$BX65,$BZ65,$AJ65,1,9)</f>
        <v>9.1458116115647522E-3</v>
      </c>
      <c r="BJ65" s="137">
        <f>_xll.xSPRDOPT($BW65,$BV65,$CG65,0,$BY65,$BX65,$BZ65,$AJ65,1,6)*$CB65</f>
        <v>-1.4922706864149113E-4</v>
      </c>
      <c r="BK65" s="137">
        <f>_xll.xSPRDOPT($BW65,$BV65,$CG65,0,$BY65,$BX65,$BZ65,$AJ65,1,5)*$CB65</f>
        <v>1.8728241170027477E-4</v>
      </c>
      <c r="BL65" s="137">
        <f>_xll.xSPRDOPT(BW65,BV65,CG65,0,BY65,BX65,BZ65,AJ65,1,2)*CB65</f>
        <v>-0.82882375512841866</v>
      </c>
      <c r="BM65" s="137">
        <f>_xll.xSPRDOPT(BW65,BV65,CG65,0,BY65,BX65,BZ65,AJ65,1,1)*CB65</f>
        <v>0.82894585449976432</v>
      </c>
      <c r="BN65" s="137">
        <f>IF(AH65&lt;&gt;0,_xll.xSPRDOPT($BW65,$BV65,$CG65,2*LN(1+CA65/2),$BY65,$BX65,$BZ65,$AJ65,1,8)+(AJ65/365.25)*CH65/AH65,0)</f>
        <v>0.68465515707456548</v>
      </c>
      <c r="BO65" s="137">
        <f>_xll.xSPRDOPT($BW65,$BV65,$CG65,0,$BY65,$BX65,$BZ65,$AJ65,1,0)</f>
        <v>0.22752967783441802</v>
      </c>
      <c r="BP65" s="137"/>
      <c r="BQ65" s="137"/>
      <c r="BR65" s="137"/>
      <c r="BS65" s="137"/>
      <c r="BV65" s="262">
        <v>3.2645228215767634</v>
      </c>
      <c r="BW65" s="136">
        <v>3.492</v>
      </c>
      <c r="BX65" s="137">
        <v>0.29035484467953515</v>
      </c>
      <c r="BY65" s="137">
        <v>0.29154187806671383</v>
      </c>
      <c r="BZ65" s="137">
        <v>0.99953962456615975</v>
      </c>
      <c r="CA65" s="137">
        <v>4.9009151354921801E-2</v>
      </c>
      <c r="CB65" s="137">
        <v>0.83050650854564589</v>
      </c>
      <c r="CC65" s="258">
        <v>-0.42</v>
      </c>
      <c r="CD65" s="258">
        <v>0.155</v>
      </c>
      <c r="CE65" s="258">
        <v>0.04</v>
      </c>
      <c r="CF65" s="258">
        <v>0.04</v>
      </c>
      <c r="CG65" s="258">
        <v>0</v>
      </c>
      <c r="CH65" s="258">
        <v>11.389898460798408</v>
      </c>
      <c r="CI65" s="258">
        <v>3.4119999999999999</v>
      </c>
    </row>
    <row r="66" spans="1:87" x14ac:dyDescent="0.25">
      <c r="A66" s="723"/>
      <c r="B66" s="723"/>
      <c r="D66" s="31">
        <f t="shared" si="53"/>
        <v>38671</v>
      </c>
      <c r="F66" s="28">
        <f t="shared" si="54"/>
        <v>9300</v>
      </c>
      <c r="G66" s="28">
        <f t="shared" si="13"/>
        <v>7683.8535801840371</v>
      </c>
      <c r="H66" s="52">
        <f t="shared" si="55"/>
        <v>3.4585062240663902</v>
      </c>
      <c r="I66" s="52">
        <f t="shared" si="56"/>
        <v>3.7240000000000002</v>
      </c>
      <c r="K66" s="52">
        <f t="shared" si="43"/>
        <v>6.5806945184646706</v>
      </c>
      <c r="L66" s="135">
        <f t="shared" si="44"/>
        <v>2.8374282898013803E-3</v>
      </c>
      <c r="N66" s="131">
        <f t="shared" si="45"/>
        <v>0.29810986734255041</v>
      </c>
      <c r="O66" s="131">
        <f t="shared" si="46"/>
        <v>0.29510383973065518</v>
      </c>
      <c r="P66" s="55">
        <f t="shared" si="47"/>
        <v>0.99894008675062751</v>
      </c>
      <c r="Q66" s="135">
        <f>_xll.xSPRDOPT(I66,H66,AQ66,0,O66,N66,P66,D66-$G$5,1,0)*AH66*AU66</f>
        <v>6.583531946754472</v>
      </c>
      <c r="R66" s="135"/>
      <c r="S66" s="181">
        <f t="shared" si="48"/>
        <v>-237705.90071419871</v>
      </c>
      <c r="T66" s="181">
        <f>_xll.xSPRDOPT(I66,H66,AQ66,AT66,O66,N66,P66,D66-$G$5,1,1)*AF66*F66*AH66</f>
        <v>229148.48828848754</v>
      </c>
      <c r="U66" s="135"/>
      <c r="V66" s="146">
        <f t="shared" si="57"/>
        <v>10.965602657656188</v>
      </c>
      <c r="W66" s="146"/>
      <c r="X66" s="338">
        <f t="shared" si="58"/>
        <v>0</v>
      </c>
      <c r="Y66" s="338">
        <f t="shared" si="18"/>
        <v>0</v>
      </c>
      <c r="Z66" s="338">
        <f t="shared" si="19"/>
        <v>24.259573836459655</v>
      </c>
      <c r="AA66" s="338">
        <f t="shared" si="20"/>
        <v>4.3333739453277419E-2</v>
      </c>
      <c r="AB66" s="338">
        <f t="shared" si="59"/>
        <v>0</v>
      </c>
      <c r="AC66" s="338">
        <f t="shared" si="60"/>
        <v>24.828795511169432</v>
      </c>
      <c r="AF66" s="138">
        <f t="shared" si="61"/>
        <v>1</v>
      </c>
      <c r="AG66" s="138">
        <f t="shared" si="62"/>
        <v>11</v>
      </c>
      <c r="AH66" s="138">
        <f t="shared" si="69"/>
        <v>30</v>
      </c>
      <c r="AI66" s="138">
        <f t="shared" si="63"/>
        <v>1415</v>
      </c>
      <c r="AJ66" s="138">
        <f t="shared" si="64"/>
        <v>1432</v>
      </c>
      <c r="AL66" s="136">
        <f t="shared" si="27"/>
        <v>3.5640000000000001</v>
      </c>
      <c r="AM66" s="258">
        <f t="shared" si="28"/>
        <v>-0.38500000000000001</v>
      </c>
      <c r="AN66" s="258">
        <f t="shared" si="29"/>
        <v>0.155</v>
      </c>
      <c r="AO66" s="258">
        <f t="shared" si="30"/>
        <v>0.125</v>
      </c>
      <c r="AP66" s="258">
        <f t="shared" si="31"/>
        <v>3.5000000000000003E-2</v>
      </c>
      <c r="AQ66" s="136">
        <f t="shared" si="65"/>
        <v>0</v>
      </c>
      <c r="AR66" s="137">
        <f t="shared" si="33"/>
        <v>3.5999999999999997E-2</v>
      </c>
      <c r="AS66" s="136">
        <f t="shared" si="50"/>
        <v>3.3340000000000001</v>
      </c>
      <c r="AT66" s="137">
        <f t="shared" si="51"/>
        <v>4.9392017987160801E-2</v>
      </c>
      <c r="AU66" s="137">
        <f t="shared" si="34"/>
        <v>0.82622081507355238</v>
      </c>
      <c r="AV66" s="394">
        <f t="shared" si="52"/>
        <v>8600.9586849156804</v>
      </c>
      <c r="AW66" s="137">
        <f t="shared" si="35"/>
        <v>0.28499999999999998</v>
      </c>
      <c r="AX66" s="137">
        <f t="shared" si="36"/>
        <v>0.9</v>
      </c>
      <c r="AY66" s="137">
        <f t="shared" si="37"/>
        <v>0.8</v>
      </c>
      <c r="AZ66" s="137"/>
      <c r="BA66" s="264"/>
      <c r="BB66" s="258">
        <f t="shared" si="38"/>
        <v>0</v>
      </c>
      <c r="BC66" s="258">
        <f t="shared" si="66"/>
        <v>0</v>
      </c>
      <c r="BD66" s="137">
        <f t="shared" si="67"/>
        <v>2.6843365117157347E-5</v>
      </c>
      <c r="BE66" s="137">
        <f t="shared" si="68"/>
        <v>2.0791110959539338E-5</v>
      </c>
      <c r="BF66" s="137">
        <f>_xll.xSPRDOPT($BW66,$BV66,$CG66,0,$BY66,$BX66,$BZ66,$AJ66,1,4)*$CB66</f>
        <v>0.10007236649110361</v>
      </c>
      <c r="BG66" s="137">
        <f>_xll.xSPRDOPT($BW66,$BV66,$CG66,0,$BY66,$BX66,$BZ66,$AJ66,1,3)*$CB66</f>
        <v>8.6312094889657714E-2</v>
      </c>
      <c r="BH66" s="137">
        <f>IF(OR(BF66&lt;&gt;0,BG66&lt;&gt;0),_xll.xSPRDOPT($BW66,$BV66,$CG66,0,$BY66,$BX66,$BZ66,$AJ66,1,12)*$CB66,0)</f>
        <v>-9.2937021824315985E-2</v>
      </c>
      <c r="BI66" s="137">
        <f>_xll.xSPRDOPT($BW66,$BV66,$CG66,2*LN(1+CA66/2),$BY66,$BX66,$BZ66,$AJ66,1,9)</f>
        <v>1.0586391091716713E-2</v>
      </c>
      <c r="BJ66" s="137">
        <f>_xll.xSPRDOPT($BW66,$BV66,$CG66,0,$BY66,$BX66,$BZ66,$AJ66,1,6)*$CB66</f>
        <v>1.5546136916078162E-2</v>
      </c>
      <c r="BK66" s="137">
        <f>_xll.xSPRDOPT($BW66,$BV66,$CG66,0,$BY66,$BX66,$BZ66,$AJ66,1,5)*$CB66</f>
        <v>-1.2601181695047795E-2</v>
      </c>
      <c r="BL66" s="137">
        <f>_xll.xSPRDOPT(BW66,BV66,CG66,0,BY66,BX66,BZ66,AJ66,1,2)*CB66</f>
        <v>-0.82266603695699991</v>
      </c>
      <c r="BM66" s="137">
        <f>_xll.xSPRDOPT(BW66,BV66,CG66,0,BY66,BX66,BZ66,AJ66,1,1)*CB66</f>
        <v>0.8229212425769451</v>
      </c>
      <c r="BN66" s="137">
        <f>IF(AH66&lt;&gt;0,_xll.xSPRDOPT($BW66,$BV66,$CG66,2*LN(1+CA66/2),$BY66,$BX66,$BZ66,$AJ66,1,8)+(AJ66/365.25)*CH66/AH66,0)</f>
        <v>0.57244909357729323</v>
      </c>
      <c r="BO66" s="137">
        <f>_xll.xSPRDOPT($BW66,$BV66,$CG66,0,$BY66,$BX66,$BZ66,$AJ66,1,0)</f>
        <v>0.26560825089170159</v>
      </c>
      <c r="BP66" s="137"/>
      <c r="BQ66" s="137"/>
      <c r="BR66" s="137"/>
      <c r="BS66" s="137"/>
      <c r="BV66" s="262">
        <v>3.4585062240663902</v>
      </c>
      <c r="BW66" s="136">
        <v>3.7240000000000002</v>
      </c>
      <c r="BX66" s="137">
        <v>0.29808302397743325</v>
      </c>
      <c r="BY66" s="137">
        <v>0.29508304861969564</v>
      </c>
      <c r="BZ66" s="137">
        <v>0.99894203681653604</v>
      </c>
      <c r="CA66" s="137">
        <v>4.9392017987160801E-2</v>
      </c>
      <c r="CB66" s="137">
        <v>0.82588976886354881</v>
      </c>
      <c r="CC66" s="258">
        <v>-0.38500000000000001</v>
      </c>
      <c r="CD66" s="258">
        <v>0.155</v>
      </c>
      <c r="CE66" s="258">
        <v>0.125</v>
      </c>
      <c r="CF66" s="258">
        <v>3.5000000000000003E-2</v>
      </c>
      <c r="CG66" s="258">
        <v>0</v>
      </c>
      <c r="CH66" s="258">
        <v>10.96120901235702</v>
      </c>
      <c r="CI66" s="258">
        <v>3.5640000000000001</v>
      </c>
    </row>
    <row r="67" spans="1:87" x14ac:dyDescent="0.25">
      <c r="A67" s="723"/>
      <c r="B67" s="723"/>
      <c r="D67" s="31">
        <f t="shared" si="53"/>
        <v>38701</v>
      </c>
      <c r="F67" s="28">
        <f t="shared" si="54"/>
        <v>9300</v>
      </c>
      <c r="G67" s="28">
        <f t="shared" si="13"/>
        <v>7642.0768045688164</v>
      </c>
      <c r="H67" s="52">
        <f t="shared" si="55"/>
        <v>3.6068464730290457</v>
      </c>
      <c r="I67" s="52">
        <f t="shared" si="56"/>
        <v>3.867</v>
      </c>
      <c r="K67" s="52">
        <f t="shared" si="43"/>
        <v>6.627044113638326</v>
      </c>
      <c r="L67" s="135">
        <f t="shared" si="44"/>
        <v>4.8731592408302049E-3</v>
      </c>
      <c r="N67" s="131">
        <f t="shared" si="45"/>
        <v>0.3072432392737468</v>
      </c>
      <c r="O67" s="131">
        <f t="shared" si="46"/>
        <v>0.3052940674956946</v>
      </c>
      <c r="P67" s="55">
        <f t="shared" si="47"/>
        <v>0.99902006393292453</v>
      </c>
      <c r="Q67" s="135">
        <f>_xll.xSPRDOPT(I67,H67,AQ67,0,O67,N67,P67,D67-$G$5,1,0)*AH67*AU67</f>
        <v>6.6319172728791562</v>
      </c>
      <c r="R67" s="135"/>
      <c r="S67" s="181">
        <f t="shared" si="48"/>
        <v>-243794.37615328724</v>
      </c>
      <c r="T67" s="181">
        <f>_xll.xSPRDOPT(I67,H67,AQ67,AT67,O67,N67,P67,D67-$G$5,1,1)*AF67*F67*AH67</f>
        <v>235017.77861176891</v>
      </c>
      <c r="U67" s="135"/>
      <c r="V67" s="146">
        <f t="shared" si="57"/>
        <v>11.269515927804148</v>
      </c>
      <c r="W67" s="146"/>
      <c r="X67" s="338">
        <f t="shared" si="58"/>
        <v>0</v>
      </c>
      <c r="Y67" s="338">
        <f t="shared" si="18"/>
        <v>0</v>
      </c>
      <c r="Z67" s="338">
        <f t="shared" si="19"/>
        <v>24.499478583779183</v>
      </c>
      <c r="AA67" s="338">
        <f t="shared" si="20"/>
        <v>6.5862289510024541E-2</v>
      </c>
      <c r="AB67" s="338">
        <f t="shared" si="59"/>
        <v>0</v>
      </c>
      <c r="AC67" s="338">
        <f t="shared" si="60"/>
        <v>25.198929513968594</v>
      </c>
      <c r="AF67" s="138">
        <f t="shared" si="61"/>
        <v>1</v>
      </c>
      <c r="AG67" s="138">
        <f t="shared" si="62"/>
        <v>12</v>
      </c>
      <c r="AH67" s="138">
        <f t="shared" si="69"/>
        <v>31</v>
      </c>
      <c r="AI67" s="138">
        <f t="shared" si="63"/>
        <v>1445</v>
      </c>
      <c r="AJ67" s="138">
        <f t="shared" si="64"/>
        <v>1462</v>
      </c>
      <c r="AL67" s="136">
        <f t="shared" si="27"/>
        <v>3.7069999999999999</v>
      </c>
      <c r="AM67" s="258">
        <f t="shared" si="28"/>
        <v>-0.38500000000000001</v>
      </c>
      <c r="AN67" s="258">
        <f t="shared" si="29"/>
        <v>0.155</v>
      </c>
      <c r="AO67" s="258">
        <f t="shared" si="30"/>
        <v>0.125</v>
      </c>
      <c r="AP67" s="258">
        <f t="shared" si="31"/>
        <v>3.5000000000000003E-2</v>
      </c>
      <c r="AQ67" s="136">
        <f t="shared" si="65"/>
        <v>0</v>
      </c>
      <c r="AR67" s="137">
        <f t="shared" si="33"/>
        <v>3.5999999999999997E-2</v>
      </c>
      <c r="AS67" s="136">
        <f t="shared" si="50"/>
        <v>3.4769999999999999</v>
      </c>
      <c r="AT67" s="137">
        <f t="shared" si="51"/>
        <v>4.97625341294907E-2</v>
      </c>
      <c r="AU67" s="137">
        <f t="shared" si="34"/>
        <v>0.82172868866331361</v>
      </c>
      <c r="AV67" s="394">
        <f t="shared" si="52"/>
        <v>8839.3355039512644</v>
      </c>
      <c r="AW67" s="137">
        <f t="shared" si="35"/>
        <v>0.28499999999999998</v>
      </c>
      <c r="AX67" s="137">
        <f t="shared" si="36"/>
        <v>1.1499999999999999</v>
      </c>
      <c r="AY67" s="137">
        <f t="shared" si="37"/>
        <v>1.1000000000000001</v>
      </c>
      <c r="AZ67" s="137"/>
      <c r="BA67" s="264"/>
      <c r="BB67" s="258">
        <f t="shared" si="38"/>
        <v>0</v>
      </c>
      <c r="BC67" s="258">
        <f t="shared" si="66"/>
        <v>0</v>
      </c>
      <c r="BD67" s="137">
        <f t="shared" si="67"/>
        <v>4.3948636398227769E-5</v>
      </c>
      <c r="BE67" s="137">
        <f t="shared" si="68"/>
        <v>4.0220391602729944E-5</v>
      </c>
      <c r="BF67" s="137">
        <f>_xll.xSPRDOPT($BW67,$BV67,$CG67,0,$BY67,$BX67,$BZ67,$AJ67,1,4)*$CB67</f>
        <v>0.14012222092030382</v>
      </c>
      <c r="BG67" s="137">
        <f>_xll.xSPRDOPT($BW67,$BV67,$CG67,0,$BY67,$BX67,$BZ67,$AJ67,1,3)*$CB67</f>
        <v>0.12190282718824152</v>
      </c>
      <c r="BH67" s="137">
        <f>IF(OR(BF67&lt;&gt;0,BG67&lt;&gt;0),_xll.xSPRDOPT($BW67,$BV67,$CG67,0,$BY67,$BX67,$BZ67,$AJ67,1,12)*$CB67,0)</f>
        <v>-0.13069399991845432</v>
      </c>
      <c r="BI67" s="137">
        <f>_xll.xSPRDOPT($BW67,$BV67,$CG67,2*LN(1+CA67/2),$BY67,$BX67,$BZ67,$AJ67,1,9)</f>
        <v>1.0346207136923745E-2</v>
      </c>
      <c r="BJ67" s="137">
        <f>_xll.xSPRDOPT($BW67,$BV67,$CG67,0,$BY67,$BX67,$BZ67,$AJ67,1,6)*$CB67</f>
        <v>1.579354940084338E-2</v>
      </c>
      <c r="BK67" s="137">
        <f>_xll.xSPRDOPT($BW67,$BV67,$CG67,0,$BY67,$BX67,$BZ67,$AJ67,1,5)*$CB67</f>
        <v>-1.1577570619392786E-2</v>
      </c>
      <c r="BL67" s="137">
        <f>_xll.xSPRDOPT(BW67,BV67,CG67,0,BY67,BX67,BZ67,AJ67,1,2)*CB67</f>
        <v>-0.81644661960532727</v>
      </c>
      <c r="BM67" s="137">
        <f>_xll.xSPRDOPT(BW67,BV67,CG67,0,BY67,BX67,BZ67,AJ67,1,1)*CB67</f>
        <v>0.8168205214221349</v>
      </c>
      <c r="BN67" s="137">
        <f>IF(AH67&lt;&gt;0,_xll.xSPRDOPT($BW67,$BV67,$CG67,2*LN(1+CA67/2),$BY67,$BX67,$BZ67,$AJ67,1,8)+(AJ67/365.25)*CH67/AH67,0)</f>
        <v>0.59860917906954514</v>
      </c>
      <c r="BO67" s="137">
        <f>_xll.xSPRDOPT($BW67,$BV67,$CG67,0,$BY67,$BX67,$BZ67,$AJ67,1,0)</f>
        <v>0.26034594444154008</v>
      </c>
      <c r="BP67" s="137"/>
      <c r="BQ67" s="137"/>
      <c r="BR67" s="137"/>
      <c r="BS67" s="137"/>
      <c r="BV67" s="262">
        <v>3.6068464730290457</v>
      </c>
      <c r="BW67" s="136">
        <v>3.867</v>
      </c>
      <c r="BX67" s="137">
        <v>0.30719929063734858</v>
      </c>
      <c r="BY67" s="137">
        <v>0.30525384710409187</v>
      </c>
      <c r="BZ67" s="137">
        <v>0.99902176801450127</v>
      </c>
      <c r="CA67" s="137">
        <v>4.97625341294907E-2</v>
      </c>
      <c r="CB67" s="137">
        <v>0.82139700307971564</v>
      </c>
      <c r="CC67" s="258">
        <v>-0.38500000000000001</v>
      </c>
      <c r="CD67" s="258">
        <v>0.155</v>
      </c>
      <c r="CE67" s="258">
        <v>0.125</v>
      </c>
      <c r="CF67" s="258">
        <v>3.5000000000000003E-2</v>
      </c>
      <c r="CG67" s="258">
        <v>0</v>
      </c>
      <c r="CH67" s="258">
        <v>11.264967059036453</v>
      </c>
      <c r="CI67" s="258">
        <v>3.7069999999999999</v>
      </c>
    </row>
    <row r="68" spans="1:87" x14ac:dyDescent="0.25">
      <c r="A68" s="723"/>
      <c r="B68" s="723"/>
      <c r="D68" s="31">
        <f t="shared" si="53"/>
        <v>38732</v>
      </c>
      <c r="F68" s="28">
        <f t="shared" si="54"/>
        <v>9300</v>
      </c>
      <c r="G68" s="28">
        <f t="shared" si="13"/>
        <v>7599.3252772618962</v>
      </c>
      <c r="H68" s="52">
        <f t="shared" si="55"/>
        <v>3.6639004149377592</v>
      </c>
      <c r="I68" s="52">
        <f t="shared" si="56"/>
        <v>3.9220000000000002</v>
      </c>
      <c r="K68" s="52">
        <f t="shared" si="43"/>
        <v>6.5379423360476485</v>
      </c>
      <c r="L68" s="135">
        <f t="shared" si="44"/>
        <v>6.2044933020226622E-3</v>
      </c>
      <c r="N68" s="131">
        <f t="shared" si="45"/>
        <v>0.3067973371808177</v>
      </c>
      <c r="O68" s="131">
        <f t="shared" si="46"/>
        <v>0.30488601322352626</v>
      </c>
      <c r="P68" s="55">
        <f t="shared" si="47"/>
        <v>0.99903739165669925</v>
      </c>
      <c r="Q68" s="135">
        <f>_xll.xSPRDOPT(I68,H68,AQ68,0,O68,N68,P68,D68-$G$5,1,0)*AH68*AU68</f>
        <v>6.5441468293496712</v>
      </c>
      <c r="R68" s="135"/>
      <c r="S68" s="181">
        <f t="shared" si="48"/>
        <v>-242105.88872298785</v>
      </c>
      <c r="T68" s="181">
        <f>_xll.xSPRDOPT(I68,H68,AQ68,AT68,O68,N68,P68,D68-$G$5,1,1)*AF68*F68*AH68</f>
        <v>233390.07672896027</v>
      </c>
      <c r="U68" s="135"/>
      <c r="V68" s="146">
        <f t="shared" si="57"/>
        <v>11.206471675535543</v>
      </c>
      <c r="W68" s="146"/>
      <c r="X68" s="338">
        <f t="shared" si="58"/>
        <v>0</v>
      </c>
      <c r="Y68" s="338">
        <f t="shared" si="18"/>
        <v>0</v>
      </c>
      <c r="Z68" s="338">
        <f t="shared" si="19"/>
        <v>24.289310052738582</v>
      </c>
      <c r="AA68" s="338">
        <f t="shared" si="20"/>
        <v>7.3902004035056479E-2</v>
      </c>
      <c r="AB68" s="338">
        <f t="shared" si="59"/>
        <v>0</v>
      </c>
      <c r="AC68" s="338">
        <f t="shared" si="60"/>
        <v>25.045932671066961</v>
      </c>
      <c r="AF68" s="138">
        <f t="shared" si="61"/>
        <v>1</v>
      </c>
      <c r="AG68" s="138">
        <f t="shared" si="62"/>
        <v>1</v>
      </c>
      <c r="AH68" s="138">
        <f t="shared" si="69"/>
        <v>31</v>
      </c>
      <c r="AI68" s="138">
        <f t="shared" si="63"/>
        <v>1476</v>
      </c>
      <c r="AJ68" s="138">
        <f t="shared" si="64"/>
        <v>1493</v>
      </c>
      <c r="AL68" s="136">
        <f t="shared" si="27"/>
        <v>3.762</v>
      </c>
      <c r="AM68" s="258">
        <f t="shared" si="28"/>
        <v>-0.38500000000000001</v>
      </c>
      <c r="AN68" s="258">
        <f t="shared" si="29"/>
        <v>0.155</v>
      </c>
      <c r="AO68" s="258">
        <f t="shared" si="30"/>
        <v>0.125</v>
      </c>
      <c r="AP68" s="258">
        <f t="shared" si="31"/>
        <v>3.5000000000000003E-2</v>
      </c>
      <c r="AQ68" s="136">
        <f t="shared" si="65"/>
        <v>0</v>
      </c>
      <c r="AR68" s="137">
        <f t="shared" si="33"/>
        <v>3.5999999999999997E-2</v>
      </c>
      <c r="AS68" s="136">
        <f t="shared" si="50"/>
        <v>3.5319999999999996</v>
      </c>
      <c r="AT68" s="137">
        <f t="shared" si="51"/>
        <v>5.0123867010087399E-2</v>
      </c>
      <c r="AU68" s="137">
        <f t="shared" si="34"/>
        <v>0.81713175024321461</v>
      </c>
      <c r="AV68" s="394">
        <f t="shared" si="52"/>
        <v>8789.8862373662596</v>
      </c>
      <c r="AW68" s="137">
        <f t="shared" si="35"/>
        <v>0.28499999999999998</v>
      </c>
      <c r="AX68" s="137">
        <f t="shared" si="36"/>
        <v>1.1499999999999999</v>
      </c>
      <c r="AY68" s="137">
        <f t="shared" si="37"/>
        <v>1.1000000000000001</v>
      </c>
      <c r="AZ68" s="137"/>
      <c r="BA68" s="264"/>
      <c r="BB68" s="258">
        <f t="shared" si="38"/>
        <v>0</v>
      </c>
      <c r="BC68" s="258">
        <f t="shared" si="66"/>
        <v>0</v>
      </c>
      <c r="BD68" s="137">
        <f t="shared" si="67"/>
        <v>4.220365605678289E-5</v>
      </c>
      <c r="BE68" s="137">
        <f t="shared" si="68"/>
        <v>3.8619012735274794E-5</v>
      </c>
      <c r="BF68" s="137">
        <f>_xll.xSPRDOPT($BW68,$BV68,$CG68,0,$BY68,$BX68,$BZ68,$AJ68,1,4)*$CB68</f>
        <v>0.16200877372301961</v>
      </c>
      <c r="BG68" s="137">
        <f>_xll.xSPRDOPT($BW68,$BV68,$CG68,0,$BY68,$BX68,$BZ68,$AJ68,1,3)*$CB68</f>
        <v>0.14138736083035794</v>
      </c>
      <c r="BH68" s="137">
        <f>IF(OR(BF68&lt;&gt;0,BG68&lt;&gt;0),_xll.xSPRDOPT($BW68,$BV68,$CG68,0,$BY68,$BX68,$BZ68,$AJ68,1,12)*$CB68,0)</f>
        <v>-0.15134578174606395</v>
      </c>
      <c r="BI68" s="137">
        <f>_xll.xSPRDOPT($BW68,$BV68,$CG68,2*LN(1+CA68/2),$BY68,$BX68,$BZ68,$AJ68,1,9)</f>
        <v>1.0257452302882143E-2</v>
      </c>
      <c r="BJ68" s="137">
        <f>_xll.xSPRDOPT($BW68,$BV68,$CG68,0,$BY68,$BX68,$BZ68,$AJ68,1,6)*$CB68</f>
        <v>1.8445189039333298E-2</v>
      </c>
      <c r="BK68" s="137">
        <f>_xll.xSPRDOPT($BW68,$BV68,$CG68,0,$BY68,$BX68,$BZ68,$AJ68,1,5)*$CB68</f>
        <v>-1.3519694428700305E-2</v>
      </c>
      <c r="BL68" s="137">
        <f>_xll.xSPRDOPT(BW68,BV68,CG68,0,BY68,BX68,BZ68,AJ68,1,2)*CB68</f>
        <v>-0.81078257998919823</v>
      </c>
      <c r="BM68" s="137">
        <f>_xll.xSPRDOPT(BW68,BV68,CG68,0,BY68,BX68,BZ68,AJ68,1,1)*CB68</f>
        <v>0.81122982435177038</v>
      </c>
      <c r="BN68" s="137">
        <f>IF(AH68&lt;&gt;0,_xll.xSPRDOPT($BW68,$BV68,$CG68,2*LN(1+CA68/2),$BY68,$BX68,$BZ68,$AJ68,1,8)+(AJ68/365.25)*CH68/AH68,0)</f>
        <v>0.61461062135028288</v>
      </c>
      <c r="BO68" s="137">
        <f>_xll.xSPRDOPT($BW68,$BV68,$CG68,0,$BY68,$BX68,$BZ68,$AJ68,1,0)</f>
        <v>0.25834584116831183</v>
      </c>
      <c r="BP68" s="137"/>
      <c r="BQ68" s="137"/>
      <c r="BR68" s="137"/>
      <c r="BS68" s="137"/>
      <c r="BV68" s="262">
        <v>3.6639004149377592</v>
      </c>
      <c r="BW68" s="136">
        <v>3.9220000000000002</v>
      </c>
      <c r="BX68" s="137">
        <v>0.30675513352476091</v>
      </c>
      <c r="BY68" s="137">
        <v>0.30484739421079099</v>
      </c>
      <c r="BZ68" s="137">
        <v>0.99903903608110012</v>
      </c>
      <c r="CA68" s="137">
        <v>5.0123867010087399E-2</v>
      </c>
      <c r="CB68" s="137">
        <v>0.81679955512122238</v>
      </c>
      <c r="CC68" s="258">
        <v>-0.38500000000000001</v>
      </c>
      <c r="CD68" s="258">
        <v>0.155</v>
      </c>
      <c r="CE68" s="258">
        <v>0.125</v>
      </c>
      <c r="CF68" s="258">
        <v>3.5000000000000003E-2</v>
      </c>
      <c r="CG68" s="258">
        <v>0</v>
      </c>
      <c r="CH68" s="258">
        <v>11.201915818754493</v>
      </c>
      <c r="CI68" s="258">
        <v>3.762</v>
      </c>
    </row>
    <row r="69" spans="1:87" x14ac:dyDescent="0.25">
      <c r="A69" s="723"/>
      <c r="B69" s="723"/>
      <c r="D69" s="31">
        <f t="shared" si="53"/>
        <v>38763</v>
      </c>
      <c r="F69" s="28">
        <f t="shared" si="54"/>
        <v>9300</v>
      </c>
      <c r="G69" s="28">
        <f t="shared" si="13"/>
        <v>7557.5644475337449</v>
      </c>
      <c r="H69" s="52">
        <f t="shared" si="55"/>
        <v>3.5757261410788379</v>
      </c>
      <c r="I69" s="52">
        <f t="shared" si="56"/>
        <v>3.8370000000000002</v>
      </c>
      <c r="K69" s="52">
        <f t="shared" si="43"/>
        <v>5.9450142755989956</v>
      </c>
      <c r="L69" s="135">
        <f t="shared" si="44"/>
        <v>3.4000497453137157E-3</v>
      </c>
      <c r="N69" s="131">
        <f t="shared" si="45"/>
        <v>0.29975203427380115</v>
      </c>
      <c r="O69" s="131">
        <f t="shared" si="46"/>
        <v>0.29801976292303534</v>
      </c>
      <c r="P69" s="55">
        <f t="shared" si="47"/>
        <v>0.9991059518161477</v>
      </c>
      <c r="Q69" s="135">
        <f>_xll.xSPRDOPT(I69,H69,AQ69,0,O69,N69,P69,D69-$G$5,1,0)*AH69*AU69</f>
        <v>5.9484143253443094</v>
      </c>
      <c r="R69" s="135"/>
      <c r="S69" s="181">
        <f t="shared" si="48"/>
        <v>-217969.8989695223</v>
      </c>
      <c r="T69" s="181">
        <f>_xll.xSPRDOPT(I69,H69,AQ69,AT69,O69,N69,P69,D69-$G$5,1,1)*AF69*F69*AH69</f>
        <v>210122.98260661948</v>
      </c>
      <c r="U69" s="135"/>
      <c r="V69" s="146">
        <f t="shared" si="57"/>
        <v>10.066350787579571</v>
      </c>
      <c r="W69" s="146"/>
      <c r="X69" s="338">
        <f t="shared" si="58"/>
        <v>0</v>
      </c>
      <c r="Y69" s="338">
        <f t="shared" si="18"/>
        <v>0</v>
      </c>
      <c r="Z69" s="338">
        <f t="shared" si="19"/>
        <v>22.419441923950838</v>
      </c>
      <c r="AA69" s="338">
        <f t="shared" si="20"/>
        <v>3.1590829268165851E-2</v>
      </c>
      <c r="AB69" s="338">
        <f t="shared" si="59"/>
        <v>0</v>
      </c>
      <c r="AC69" s="338">
        <f t="shared" si="60"/>
        <v>22.912162849689679</v>
      </c>
      <c r="AF69" s="138">
        <f t="shared" si="61"/>
        <v>1</v>
      </c>
      <c r="AG69" s="138">
        <f t="shared" si="62"/>
        <v>2</v>
      </c>
      <c r="AH69" s="138">
        <f t="shared" si="69"/>
        <v>28</v>
      </c>
      <c r="AI69" s="138">
        <f t="shared" si="63"/>
        <v>1507</v>
      </c>
      <c r="AJ69" s="138">
        <f t="shared" si="64"/>
        <v>1524</v>
      </c>
      <c r="AL69" s="136">
        <f t="shared" si="27"/>
        <v>3.677</v>
      </c>
      <c r="AM69" s="258">
        <f t="shared" si="28"/>
        <v>-0.38500000000000001</v>
      </c>
      <c r="AN69" s="258">
        <f t="shared" si="29"/>
        <v>0.155</v>
      </c>
      <c r="AO69" s="258">
        <f t="shared" si="30"/>
        <v>0.125</v>
      </c>
      <c r="AP69" s="258">
        <f t="shared" si="31"/>
        <v>3.5000000000000003E-2</v>
      </c>
      <c r="AQ69" s="136">
        <f t="shared" si="65"/>
        <v>0</v>
      </c>
      <c r="AR69" s="137">
        <f t="shared" si="33"/>
        <v>3.5999999999999997E-2</v>
      </c>
      <c r="AS69" s="136">
        <f t="shared" si="50"/>
        <v>3.4469999999999996</v>
      </c>
      <c r="AT69" s="137">
        <f t="shared" si="51"/>
        <v>5.0446047479093502E-2</v>
      </c>
      <c r="AU69" s="137">
        <f t="shared" si="34"/>
        <v>0.81264133844448871</v>
      </c>
      <c r="AV69" s="394">
        <f t="shared" si="52"/>
        <v>7895.6232443266526</v>
      </c>
      <c r="AW69" s="137">
        <f t="shared" si="35"/>
        <v>0.28000000000000003</v>
      </c>
      <c r="AX69" s="137">
        <f t="shared" si="36"/>
        <v>1.1499999999999999</v>
      </c>
      <c r="AY69" s="137">
        <f t="shared" si="37"/>
        <v>1.1000000000000001</v>
      </c>
      <c r="AZ69" s="137"/>
      <c r="BA69" s="264"/>
      <c r="BB69" s="258">
        <f t="shared" si="38"/>
        <v>0</v>
      </c>
      <c r="BC69" s="258">
        <f t="shared" si="66"/>
        <v>0</v>
      </c>
      <c r="BD69" s="137">
        <f t="shared" si="67"/>
        <v>3.7603260744478728E-5</v>
      </c>
      <c r="BE69" s="137">
        <f t="shared" si="68"/>
        <v>3.4401553468732526E-5</v>
      </c>
      <c r="BF69" s="137">
        <f>_xll.xSPRDOPT($BW69,$BV69,$CG69,0,$BY69,$BX69,$BZ69,$AJ69,1,4)*$CB69</f>
        <v>0.1143409848976011</v>
      </c>
      <c r="BG69" s="137">
        <f>_xll.xSPRDOPT($BW69,$BV69,$CG69,0,$BY69,$BX69,$BZ69,$AJ69,1,3)*$CB69</f>
        <v>9.9299345146167659E-2</v>
      </c>
      <c r="BH69" s="137">
        <f>IF(OR(BF69&lt;&gt;0,BG69&lt;&gt;0),_xll.xSPRDOPT($BW69,$BV69,$CG69,0,$BY69,$BX69,$BZ69,$AJ69,1,12)*$CB69,0)</f>
        <v>-0.10655383885584829</v>
      </c>
      <c r="BI69" s="137">
        <f>_xll.xSPRDOPT($BW69,$BV69,$CG69,2*LN(1+CA69/2),$BY69,$BX69,$BZ69,$AJ69,1,9)</f>
        <v>1.0482208349619873E-2</v>
      </c>
      <c r="BJ69" s="137">
        <f>_xll.xSPRDOPT($BW69,$BV69,$CG69,0,$BY69,$BX69,$BZ69,$AJ69,1,6)*$CB69</f>
        <v>9.7848914801554922E-3</v>
      </c>
      <c r="BK69" s="137">
        <f>_xll.xSPRDOPT($BW69,$BV69,$CG69,0,$BY69,$BX69,$BZ69,$AJ69,1,5)*$CB69</f>
        <v>-7.1690738402265426E-3</v>
      </c>
      <c r="BL69" s="137">
        <f>_xll.xSPRDOPT(BW69,BV69,CG69,0,BY69,BX69,BZ69,AJ69,1,2)*CB69</f>
        <v>-0.80838283787339971</v>
      </c>
      <c r="BM69" s="137">
        <f>_xll.xSPRDOPT(BW69,BV69,CG69,0,BY69,BX69,BZ69,AJ69,1,1)*CB69</f>
        <v>0.80868198743917186</v>
      </c>
      <c r="BN69" s="137">
        <f>IF(AH69&lt;&gt;0,_xll.xSPRDOPT($BW69,$BV69,$CG69,2*LN(1+CA69/2),$BY69,$BX69,$BZ69,$AJ69,1,8)+(AJ69/365.25)*CH69/AH69,0)</f>
        <v>0.61356288582696139</v>
      </c>
      <c r="BO69" s="137">
        <f>_xll.xSPRDOPT($BW69,$BV69,$CG69,0,$BY69,$BX69,$BZ69,$AJ69,1,0)</f>
        <v>0.26142416919105482</v>
      </c>
      <c r="BP69" s="137"/>
      <c r="BQ69" s="137"/>
      <c r="BR69" s="137"/>
      <c r="BS69" s="137"/>
      <c r="BV69" s="262">
        <v>3.5757261410788379</v>
      </c>
      <c r="BW69" s="136">
        <v>3.8370000000000002</v>
      </c>
      <c r="BX69" s="137">
        <v>0.29971443101305667</v>
      </c>
      <c r="BY69" s="137">
        <v>0.2979853613695666</v>
      </c>
      <c r="BZ69" s="137">
        <v>0.99910746780576898</v>
      </c>
      <c r="CA69" s="137">
        <v>5.0446047479093502E-2</v>
      </c>
      <c r="CB69" s="137">
        <v>0.81230887199365776</v>
      </c>
      <c r="CC69" s="258">
        <v>-0.38500000000000001</v>
      </c>
      <c r="CD69" s="258">
        <v>0.155</v>
      </c>
      <c r="CE69" s="258">
        <v>0.125</v>
      </c>
      <c r="CF69" s="258">
        <v>3.5000000000000003E-2</v>
      </c>
      <c r="CG69" s="258">
        <v>0</v>
      </c>
      <c r="CH69" s="258">
        <v>10.062232459159837</v>
      </c>
      <c r="CI69" s="258">
        <v>3.677</v>
      </c>
    </row>
    <row r="70" spans="1:87" x14ac:dyDescent="0.25">
      <c r="A70" s="723"/>
      <c r="B70" s="723"/>
      <c r="D70" s="31">
        <f t="shared" si="53"/>
        <v>38791</v>
      </c>
      <c r="F70" s="28">
        <f t="shared" si="54"/>
        <v>9300</v>
      </c>
      <c r="G70" s="28">
        <f t="shared" si="13"/>
        <v>7519.6988144598818</v>
      </c>
      <c r="H70" s="52">
        <f t="shared" si="55"/>
        <v>3.4408713692946056</v>
      </c>
      <c r="I70" s="52">
        <f t="shared" si="56"/>
        <v>3.7070000000000003</v>
      </c>
      <c r="K70" s="52">
        <f t="shared" si="43"/>
        <v>6.6706904960306286</v>
      </c>
      <c r="L70" s="135">
        <f t="shared" si="44"/>
        <v>2.404107291836155E-3</v>
      </c>
      <c r="N70" s="131">
        <f t="shared" si="45"/>
        <v>0.28176924103222056</v>
      </c>
      <c r="O70" s="131">
        <f t="shared" si="46"/>
        <v>0.27891651287520841</v>
      </c>
      <c r="P70" s="55">
        <f t="shared" si="47"/>
        <v>0.9989292223990095</v>
      </c>
      <c r="Q70" s="135">
        <f>_xll.xSPRDOPT(I70,H70,AQ70,0,O70,N70,P70,D70-$G$5,1,0)*AH70*AU70</f>
        <v>6.6730946033224647</v>
      </c>
      <c r="R70" s="135"/>
      <c r="S70" s="181">
        <f t="shared" si="48"/>
        <v>-240420.4338255543</v>
      </c>
      <c r="T70" s="181">
        <f>_xll.xSPRDOPT(I70,H70,AQ70,AT70,O70,N70,P70,D70-$G$5,1,1)*AF70*F70*AH70</f>
        <v>231765.29820783433</v>
      </c>
      <c r="U70" s="135"/>
      <c r="V70" s="146">
        <f t="shared" si="57"/>
        <v>11.08904918505684</v>
      </c>
      <c r="W70" s="146"/>
      <c r="X70" s="338">
        <f t="shared" si="58"/>
        <v>0</v>
      </c>
      <c r="Y70" s="338">
        <f t="shared" si="18"/>
        <v>0</v>
      </c>
      <c r="Z70" s="338">
        <f t="shared" si="19"/>
        <v>25.31400264230254</v>
      </c>
      <c r="AA70" s="338">
        <f t="shared" si="20"/>
        <v>3.3954490085586389E-2</v>
      </c>
      <c r="AB70" s="338">
        <f t="shared" si="59"/>
        <v>0</v>
      </c>
      <c r="AC70" s="338">
        <f t="shared" si="60"/>
        <v>25.851618668613899</v>
      </c>
      <c r="AF70" s="138">
        <f t="shared" si="61"/>
        <v>1</v>
      </c>
      <c r="AG70" s="138">
        <f t="shared" si="62"/>
        <v>3</v>
      </c>
      <c r="AH70" s="138">
        <f t="shared" si="69"/>
        <v>31</v>
      </c>
      <c r="AI70" s="138">
        <f t="shared" si="63"/>
        <v>1535</v>
      </c>
      <c r="AJ70" s="138">
        <f t="shared" si="64"/>
        <v>1552</v>
      </c>
      <c r="AL70" s="136">
        <f t="shared" si="27"/>
        <v>3.5470000000000002</v>
      </c>
      <c r="AM70" s="258">
        <f t="shared" si="28"/>
        <v>-0.38500000000000001</v>
      </c>
      <c r="AN70" s="258">
        <f t="shared" si="29"/>
        <v>0.155</v>
      </c>
      <c r="AO70" s="258">
        <f t="shared" si="30"/>
        <v>0.125</v>
      </c>
      <c r="AP70" s="258">
        <f t="shared" si="31"/>
        <v>3.5000000000000003E-2</v>
      </c>
      <c r="AQ70" s="136">
        <f t="shared" si="65"/>
        <v>0</v>
      </c>
      <c r="AR70" s="137">
        <f t="shared" si="33"/>
        <v>3.5999999999999997E-2</v>
      </c>
      <c r="AS70" s="136">
        <f t="shared" si="50"/>
        <v>3.3169999999999997</v>
      </c>
      <c r="AT70" s="137">
        <f t="shared" si="51"/>
        <v>5.0737049222817202E-2</v>
      </c>
      <c r="AU70" s="137">
        <f t="shared" si="34"/>
        <v>0.80856976499568622</v>
      </c>
      <c r="AV70" s="394">
        <f t="shared" si="52"/>
        <v>8697.7849620585966</v>
      </c>
      <c r="AW70" s="137">
        <f t="shared" si="35"/>
        <v>0.27</v>
      </c>
      <c r="AX70" s="137">
        <f t="shared" si="36"/>
        <v>0.85</v>
      </c>
      <c r="AY70" s="137">
        <f t="shared" si="37"/>
        <v>0.75</v>
      </c>
      <c r="AZ70" s="137"/>
      <c r="BA70" s="264"/>
      <c r="BB70" s="258">
        <f t="shared" si="38"/>
        <v>0</v>
      </c>
      <c r="BC70" s="258">
        <f t="shared" si="66"/>
        <v>0</v>
      </c>
      <c r="BD70" s="137">
        <f t="shared" si="67"/>
        <v>2.2254073275107533E-5</v>
      </c>
      <c r="BE70" s="137">
        <f t="shared" si="68"/>
        <v>1.6944170124932878E-5</v>
      </c>
      <c r="BF70" s="137">
        <f>_xll.xSPRDOPT($BW70,$BV70,$CG70,0,$BY70,$BX70,$BZ70,$AJ70,1,4)*$CB70</f>
        <v>8.7159779536757714E-2</v>
      </c>
      <c r="BG70" s="137">
        <f>_xll.xSPRDOPT($BW70,$BV70,$CG70,0,$BY70,$BX70,$BZ70,$AJ70,1,3)*$CB70</f>
        <v>7.5094388353244806E-2</v>
      </c>
      <c r="BH70" s="137">
        <f>IF(OR(BF70&lt;&gt;0,BG70&lt;&gt;0),_xll.xSPRDOPT($BW70,$BV70,$CG70,0,$BY70,$BX70,$BZ70,$AJ70,1,12)*$CB70,0)</f>
        <v>-8.0901733569598636E-2</v>
      </c>
      <c r="BI70" s="137">
        <f>_xll.xSPRDOPT($BW70,$BV70,$CG70,2*LN(1+CA70/2),$BY70,$BX70,$BZ70,$AJ70,1,9)</f>
        <v>1.0690183217829809E-2</v>
      </c>
      <c r="BJ70" s="137">
        <f>_xll.xSPRDOPT($BW70,$BV70,$CG70,0,$BY70,$BX70,$BZ70,$AJ70,1,6)*$CB70</f>
        <v>1.3794982327812292E-2</v>
      </c>
      <c r="BK70" s="137">
        <f>_xll.xSPRDOPT($BW70,$BV70,$CG70,0,$BY70,$BX70,$BZ70,$AJ70,1,5)*$CB70</f>
        <v>-1.1167244738208642E-2</v>
      </c>
      <c r="BL70" s="137">
        <f>_xll.xSPRDOPT(BW70,BV70,CG70,0,BY70,BX70,BZ70,AJ70,1,2)*CB70</f>
        <v>-0.80551586455417179</v>
      </c>
      <c r="BM70" s="137">
        <f>_xll.xSPRDOPT(BW70,BV70,CG70,0,BY70,BX70,BZ70,AJ70,1,1)*CB70</f>
        <v>0.80573212412608863</v>
      </c>
      <c r="BN70" s="137">
        <f>IF(AH70&lt;&gt;0,_xll.xSPRDOPT($BW70,$BV70,$CG70,2*LN(1+CA70/2),$BY70,$BX70,$BZ70,$AJ70,1,8)+(AJ70/365.25)*CH70/AH70,0)</f>
        <v>0.60504220168327227</v>
      </c>
      <c r="BO70" s="137">
        <f>_xll.xSPRDOPT($BW70,$BV70,$CG70,0,$BY70,$BX70,$BZ70,$AJ70,1,0)</f>
        <v>0.26622454395288797</v>
      </c>
      <c r="BP70" s="137"/>
      <c r="BQ70" s="137"/>
      <c r="BR70" s="137"/>
      <c r="BS70" s="137"/>
      <c r="BV70" s="262">
        <v>3.4408713692946056</v>
      </c>
      <c r="BW70" s="136">
        <v>3.7070000000000003</v>
      </c>
      <c r="BX70" s="137">
        <v>0.28174698695894546</v>
      </c>
      <c r="BY70" s="137">
        <v>0.27889956870508348</v>
      </c>
      <c r="BZ70" s="137">
        <v>0.9989310482640148</v>
      </c>
      <c r="CA70" s="137">
        <v>5.0737049222817202E-2</v>
      </c>
      <c r="CB70" s="137">
        <v>0.80823708014464768</v>
      </c>
      <c r="CC70" s="258">
        <v>-0.38500000000000001</v>
      </c>
      <c r="CD70" s="258">
        <v>0.155</v>
      </c>
      <c r="CE70" s="258">
        <v>0.125</v>
      </c>
      <c r="CF70" s="258">
        <v>3.5000000000000003E-2</v>
      </c>
      <c r="CG70" s="258">
        <v>0</v>
      </c>
      <c r="CH70" s="258">
        <v>11.084486611935757</v>
      </c>
      <c r="CI70" s="258">
        <v>3.5470000000000002</v>
      </c>
    </row>
    <row r="71" spans="1:87" x14ac:dyDescent="0.25">
      <c r="A71" s="723"/>
      <c r="B71" s="723"/>
      <c r="D71" s="31">
        <f t="shared" si="53"/>
        <v>38822</v>
      </c>
      <c r="F71" s="28">
        <f t="shared" si="54"/>
        <v>9300</v>
      </c>
      <c r="G71" s="28">
        <f t="shared" si="13"/>
        <v>7477.619360423404</v>
      </c>
      <c r="H71" s="52">
        <f t="shared" si="55"/>
        <v>3.2126556016597512</v>
      </c>
      <c r="I71" s="52">
        <f t="shared" si="56"/>
        <v>3.4420000000000002</v>
      </c>
      <c r="K71" s="52">
        <f t="shared" si="43"/>
        <v>5.5320971394635592</v>
      </c>
      <c r="L71" s="135">
        <f t="shared" si="44"/>
        <v>6.006520198109655E-4</v>
      </c>
      <c r="N71" s="131">
        <f t="shared" si="45"/>
        <v>0.25264258003112178</v>
      </c>
      <c r="O71" s="131">
        <f t="shared" si="46"/>
        <v>0.25264258003112178</v>
      </c>
      <c r="P71" s="55">
        <f t="shared" si="47"/>
        <v>0.99933779264214062</v>
      </c>
      <c r="Q71" s="135">
        <f>_xll.xSPRDOPT(I71,H71,AQ71,0,O71,N71,P71,D71-$G$5,1,0)*AH71*AU71</f>
        <v>5.5326977914833702</v>
      </c>
      <c r="R71" s="135"/>
      <c r="S71" s="181">
        <f t="shared" si="48"/>
        <v>-231814.49220084707</v>
      </c>
      <c r="T71" s="181">
        <f>_xll.xSPRDOPT(I71,H71,AQ71,AT71,O71,N71,P71,D71-$G$5,1,1)*AF71*F71*AH71</f>
        <v>223469.17048161657</v>
      </c>
      <c r="U71" s="135"/>
      <c r="V71" s="146">
        <f t="shared" si="57"/>
        <v>10.671286467907466</v>
      </c>
      <c r="W71" s="146"/>
      <c r="X71" s="338">
        <f t="shared" si="58"/>
        <v>0</v>
      </c>
      <c r="Y71" s="338">
        <f t="shared" si="18"/>
        <v>0</v>
      </c>
      <c r="Z71" s="338">
        <f t="shared" si="19"/>
        <v>21.288858368561989</v>
      </c>
      <c r="AA71" s="338">
        <f t="shared" si="20"/>
        <v>1.6810276753100305E-4</v>
      </c>
      <c r="AB71" s="338">
        <f t="shared" si="59"/>
        <v>0</v>
      </c>
      <c r="AC71" s="338">
        <f t="shared" si="60"/>
        <v>21.569781360283542</v>
      </c>
      <c r="AF71" s="138">
        <f t="shared" si="61"/>
        <v>1</v>
      </c>
      <c r="AG71" s="138">
        <f t="shared" si="62"/>
        <v>4</v>
      </c>
      <c r="AH71" s="138">
        <f t="shared" si="69"/>
        <v>30</v>
      </c>
      <c r="AI71" s="138">
        <f t="shared" si="63"/>
        <v>1566</v>
      </c>
      <c r="AJ71" s="138">
        <f t="shared" si="64"/>
        <v>1583</v>
      </c>
      <c r="AL71" s="136">
        <f t="shared" si="27"/>
        <v>3.3620000000000001</v>
      </c>
      <c r="AM71" s="258">
        <f t="shared" si="28"/>
        <v>-0.42</v>
      </c>
      <c r="AN71" s="258">
        <f t="shared" si="29"/>
        <v>0.155</v>
      </c>
      <c r="AO71" s="258">
        <f t="shared" si="30"/>
        <v>0.04</v>
      </c>
      <c r="AP71" s="258">
        <f t="shared" si="31"/>
        <v>0.04</v>
      </c>
      <c r="AQ71" s="136">
        <f t="shared" si="65"/>
        <v>0</v>
      </c>
      <c r="AR71" s="137">
        <f t="shared" si="33"/>
        <v>3.5999999999999997E-2</v>
      </c>
      <c r="AS71" s="136">
        <f t="shared" si="50"/>
        <v>3.097</v>
      </c>
      <c r="AT71" s="137">
        <f t="shared" si="51"/>
        <v>5.10592297577648E-2</v>
      </c>
      <c r="AU71" s="137">
        <f t="shared" si="34"/>
        <v>0.80404509251864564</v>
      </c>
      <c r="AV71" s="394">
        <f t="shared" si="52"/>
        <v>8370.1094131191003</v>
      </c>
      <c r="AW71" s="137">
        <f t="shared" si="35"/>
        <v>0.25</v>
      </c>
      <c r="AX71" s="137">
        <f t="shared" si="36"/>
        <v>0.45</v>
      </c>
      <c r="AY71" s="137">
        <f t="shared" si="37"/>
        <v>0.45</v>
      </c>
      <c r="AZ71" s="137"/>
      <c r="BA71" s="264"/>
      <c r="BB71" s="258">
        <f t="shared" si="38"/>
        <v>0</v>
      </c>
      <c r="BC71" s="258">
        <f t="shared" si="66"/>
        <v>0</v>
      </c>
      <c r="BD71" s="137">
        <f t="shared" si="67"/>
        <v>4.9787605318485362E-6</v>
      </c>
      <c r="BE71" s="137">
        <f t="shared" si="68"/>
        <v>4.9787605318485362E-6</v>
      </c>
      <c r="BF71" s="137">
        <f>_xll.xSPRDOPT($BW71,$BV71,$CG71,0,$BY71,$BX71,$BZ71,$AJ71,1,4)*$CB71</f>
        <v>3.9498770103906192E-2</v>
      </c>
      <c r="BG71" s="137">
        <f>_xll.xSPRDOPT($BW71,$BV71,$CG71,0,$BY71,$BX71,$BZ71,$AJ71,1,3)*$CB71</f>
        <v>3.4410279719998826E-2</v>
      </c>
      <c r="BH71" s="137">
        <f>IF(OR(BF71&lt;&gt;0,BG71&lt;&gt;0),_xll.xSPRDOPT($BW71,$BV71,$CG71,0,$BY71,$BX71,$BZ71,$AJ71,1,12)*$CB71,0)</f>
        <v>-3.6866470158525538E-2</v>
      </c>
      <c r="BI71" s="137">
        <f>_xll.xSPRDOPT($BW71,$BV71,$CG71,2*LN(1+CA71/2),$BY71,$BX71,$BZ71,$AJ71,1,9)</f>
        <v>9.2900304887900426E-3</v>
      </c>
      <c r="BJ71" s="137">
        <f>_xll.xSPRDOPT($BW71,$BV71,$CG71,0,$BY71,$BX71,$BZ71,$AJ71,1,6)*$CB71</f>
        <v>6.1124122626405103E-5</v>
      </c>
      <c r="BK71" s="137">
        <f>_xll.xSPRDOPT($BW71,$BV71,$CG71,0,$BY71,$BX71,$BZ71,$AJ71,1,5)*$CB71</f>
        <v>5.9893724322689193E-5</v>
      </c>
      <c r="BL71" s="137">
        <f>_xll.xSPRDOPT(BW71,BV71,CG71,0,BY71,BX71,BZ71,AJ71,1,2)*CB71</f>
        <v>-0.80278205354598597</v>
      </c>
      <c r="BM71" s="137">
        <f>_xll.xSPRDOPT(BW71,BV71,CG71,0,BY71,BX71,BZ71,AJ71,1,1)*CB71</f>
        <v>0.80284988714403027</v>
      </c>
      <c r="BN71" s="137">
        <f>IF(AH71&lt;&gt;0,_xll.xSPRDOPT($BW71,$BV71,$CG71,2*LN(1+CA71/2),$BY71,$BX71,$BZ71,$AJ71,1,8)+(AJ71/365.25)*CH71/AH71,0)</f>
        <v>0.74212868054792236</v>
      </c>
      <c r="BO71" s="137">
        <f>_xll.xSPRDOPT($BW71,$BV71,$CG71,0,$BY71,$BX71,$BZ71,$AJ71,1,0)</f>
        <v>0.22936951287817137</v>
      </c>
      <c r="BP71" s="137"/>
      <c r="BQ71" s="137"/>
      <c r="BR71" s="137"/>
      <c r="BS71" s="137"/>
      <c r="BV71" s="262">
        <v>3.2126556016597512</v>
      </c>
      <c r="BW71" s="136">
        <v>3.4420000000000002</v>
      </c>
      <c r="BX71" s="137">
        <v>0.25263760127058993</v>
      </c>
      <c r="BY71" s="137">
        <v>0.25263760127058993</v>
      </c>
      <c r="BZ71" s="137">
        <v>0.99933902077151326</v>
      </c>
      <c r="CA71" s="137">
        <v>5.10592297577648E-2</v>
      </c>
      <c r="CB71" s="137">
        <v>0.80371219529642934</v>
      </c>
      <c r="CC71" s="258">
        <v>-0.42</v>
      </c>
      <c r="CD71" s="258">
        <v>0.155</v>
      </c>
      <c r="CE71" s="258">
        <v>0.04</v>
      </c>
      <c r="CF71" s="258">
        <v>0.04</v>
      </c>
      <c r="CG71" s="258">
        <v>0</v>
      </c>
      <c r="CH71" s="258">
        <v>10.66686825597421</v>
      </c>
      <c r="CI71" s="258">
        <v>3.3620000000000001</v>
      </c>
    </row>
    <row r="72" spans="1:87" x14ac:dyDescent="0.25">
      <c r="A72" s="723"/>
      <c r="B72" s="723"/>
      <c r="D72" s="31">
        <f t="shared" si="53"/>
        <v>38852</v>
      </c>
      <c r="F72" s="28">
        <f t="shared" si="54"/>
        <v>9300</v>
      </c>
      <c r="G72" s="28">
        <f t="shared" si="13"/>
        <v>7436.7454215769394</v>
      </c>
      <c r="H72" s="52">
        <f t="shared" si="55"/>
        <v>3.2074688796680499</v>
      </c>
      <c r="I72" s="52">
        <f t="shared" si="56"/>
        <v>3.4370000000000003</v>
      </c>
      <c r="K72" s="52">
        <f t="shared" si="43"/>
        <v>5.689881694126858</v>
      </c>
      <c r="L72" s="135">
        <f t="shared" si="44"/>
        <v>8.2732088759840394E-4</v>
      </c>
      <c r="N72" s="131">
        <f t="shared" si="45"/>
        <v>0.24778090519241153</v>
      </c>
      <c r="O72" s="131">
        <f t="shared" si="46"/>
        <v>0.2487011247602785</v>
      </c>
      <c r="P72" s="55">
        <f t="shared" si="47"/>
        <v>0.99903915575518254</v>
      </c>
      <c r="Q72" s="135">
        <f>_xll.xSPRDOPT(I72,H72,AQ72,0,O72,N72,P72,D72-$G$5,1,0)*AH72*AU72</f>
        <v>5.6907090150144564</v>
      </c>
      <c r="R72" s="135"/>
      <c r="S72" s="181">
        <f t="shared" si="48"/>
        <v>-238121.04956004073</v>
      </c>
      <c r="T72" s="181">
        <f>_xll.xSPRDOPT(I72,H72,AQ72,AT72,O72,N72,P72,D72-$G$5,1,1)*AF72*F72*AH72</f>
        <v>229548.69177587927</v>
      </c>
      <c r="U72" s="135"/>
      <c r="V72" s="146">
        <f t="shared" si="57"/>
        <v>10.966720581685461</v>
      </c>
      <c r="W72" s="146"/>
      <c r="X72" s="338">
        <f t="shared" si="58"/>
        <v>0</v>
      </c>
      <c r="Y72" s="338">
        <f t="shared" si="18"/>
        <v>0</v>
      </c>
      <c r="Z72" s="338">
        <f t="shared" si="19"/>
        <v>21.969594090007107</v>
      </c>
      <c r="AA72" s="338">
        <f t="shared" si="20"/>
        <v>2.7496316937493568E-3</v>
      </c>
      <c r="AB72" s="338">
        <f t="shared" si="59"/>
        <v>0</v>
      </c>
      <c r="AC72" s="338">
        <f t="shared" si="60"/>
        <v>22.321229899467575</v>
      </c>
      <c r="AF72" s="138">
        <f t="shared" si="61"/>
        <v>1</v>
      </c>
      <c r="AG72" s="138">
        <f t="shared" si="62"/>
        <v>5</v>
      </c>
      <c r="AH72" s="138">
        <f t="shared" si="69"/>
        <v>31</v>
      </c>
      <c r="AI72" s="138">
        <f t="shared" si="63"/>
        <v>1596</v>
      </c>
      <c r="AJ72" s="138">
        <f t="shared" si="64"/>
        <v>1613</v>
      </c>
      <c r="AL72" s="136">
        <f t="shared" si="27"/>
        <v>3.3570000000000002</v>
      </c>
      <c r="AM72" s="258">
        <f t="shared" si="28"/>
        <v>-0.42</v>
      </c>
      <c r="AN72" s="258">
        <f t="shared" si="29"/>
        <v>0.155</v>
      </c>
      <c r="AO72" s="258">
        <f t="shared" si="30"/>
        <v>0.04</v>
      </c>
      <c r="AP72" s="258">
        <f t="shared" si="31"/>
        <v>0.04</v>
      </c>
      <c r="AQ72" s="136">
        <f t="shared" si="65"/>
        <v>0</v>
      </c>
      <c r="AR72" s="137">
        <f t="shared" si="33"/>
        <v>3.5999999999999997E-2</v>
      </c>
      <c r="AS72" s="136">
        <f t="shared" si="50"/>
        <v>3.0920000000000001</v>
      </c>
      <c r="AT72" s="137">
        <f t="shared" si="51"/>
        <v>5.1371017405212001E-2</v>
      </c>
      <c r="AU72" s="137">
        <f t="shared" si="34"/>
        <v>0.79965004533085371</v>
      </c>
      <c r="AV72" s="394">
        <f t="shared" si="52"/>
        <v>8601.8355376239942</v>
      </c>
      <c r="AW72" s="137">
        <f t="shared" si="35"/>
        <v>0.245</v>
      </c>
      <c r="AX72" s="137">
        <f t="shared" si="36"/>
        <v>0.45</v>
      </c>
      <c r="AY72" s="137">
        <f t="shared" si="37"/>
        <v>0.5</v>
      </c>
      <c r="AZ72" s="137"/>
      <c r="BA72" s="264"/>
      <c r="BB72" s="258">
        <f t="shared" si="38"/>
        <v>0</v>
      </c>
      <c r="BC72" s="258">
        <f t="shared" si="66"/>
        <v>0</v>
      </c>
      <c r="BD72" s="137">
        <f t="shared" si="67"/>
        <v>5.1384239313778668E-6</v>
      </c>
      <c r="BE72" s="137">
        <f t="shared" si="68"/>
        <v>6.8262039848443479E-6</v>
      </c>
      <c r="BF72" s="137">
        <f>_xll.xSPRDOPT($BW72,$BV72,$CG72,0,$BY72,$BX72,$BZ72,$AJ72,1,4)*$CB72</f>
        <v>5.3937690581431622E-2</v>
      </c>
      <c r="BG72" s="137">
        <f>_xll.xSPRDOPT($BW72,$BV72,$CG72,0,$BY72,$BX72,$BZ72,$AJ72,1,3)*$CB72</f>
        <v>4.6974017304758815E-2</v>
      </c>
      <c r="BH72" s="137">
        <f>IF(OR(BF72&lt;&gt;0,BG72&lt;&gt;0),_xll.xSPRDOPT($BW72,$BV72,$CG72,0,$BY72,$BX72,$BZ72,$AJ72,1,12)*$CB72,0)</f>
        <v>-5.03353951810427E-2</v>
      </c>
      <c r="BI72" s="137">
        <f>_xll.xSPRDOPT($BW72,$BV72,$CG72,2*LN(1+CA72/2),$BY72,$BX72,$BZ72,$AJ72,1,9)</f>
        <v>9.2778289297896829E-3</v>
      </c>
      <c r="BJ72" s="137">
        <f>_xll.xSPRDOPT($BW72,$BV72,$CG72,0,$BY72,$BX72,$BZ72,$AJ72,1,6)*$CB72</f>
        <v>-1.4745471959806465E-3</v>
      </c>
      <c r="BK72" s="137">
        <f>_xll.xSPRDOPT($BW72,$BV72,$CG72,0,$BY72,$BX72,$BZ72,$AJ72,1,5)*$CB72</f>
        <v>2.5071395637591316E-3</v>
      </c>
      <c r="BL72" s="137">
        <f>_xll.xSPRDOPT(BW72,BV72,CG72,0,BY72,BX72,BZ72,AJ72,1,2)*CB72</f>
        <v>-0.79806250561545877</v>
      </c>
      <c r="BM72" s="137">
        <f>_xll.xSPRDOPT(BW72,BV72,CG72,0,BY72,BX72,BZ72,AJ72,1,1)*CB72</f>
        <v>0.79815409839283358</v>
      </c>
      <c r="BN72" s="137">
        <f>IF(AH72&lt;&gt;0,_xll.xSPRDOPT($BW72,$BV72,$CG72,2*LN(1+CA72/2),$BY72,$BX72,$BZ72,$AJ72,1,8)+(AJ72/365.25)*CH72/AH72,0)</f>
        <v>0.75130959231661465</v>
      </c>
      <c r="BO72" s="137">
        <f>_xll.xSPRDOPT($BW72,$BV72,$CG72,0,$BY72,$BX72,$BZ72,$AJ72,1,0)</f>
        <v>0.22956477339262132</v>
      </c>
      <c r="BP72" s="137"/>
      <c r="BQ72" s="137"/>
      <c r="BR72" s="137"/>
      <c r="BS72" s="137"/>
      <c r="BV72" s="262">
        <v>3.2074688796680499</v>
      </c>
      <c r="BW72" s="136">
        <v>3.4370000000000003</v>
      </c>
      <c r="BX72" s="137">
        <v>0.24777576676848015</v>
      </c>
      <c r="BY72" s="137">
        <v>0.24869429855629366</v>
      </c>
      <c r="BZ72" s="137">
        <v>0.99904088252982848</v>
      </c>
      <c r="CA72" s="137">
        <v>5.1371017405212001E-2</v>
      </c>
      <c r="CB72" s="137">
        <v>0.79931697192961793</v>
      </c>
      <c r="CC72" s="258">
        <v>-0.42</v>
      </c>
      <c r="CD72" s="258">
        <v>0.155</v>
      </c>
      <c r="CE72" s="258">
        <v>0.04</v>
      </c>
      <c r="CF72" s="258">
        <v>0.04</v>
      </c>
      <c r="CG72" s="258">
        <v>0</v>
      </c>
      <c r="CH72" s="258">
        <v>10.962152679831553</v>
      </c>
      <c r="CI72" s="258">
        <v>3.3570000000000002</v>
      </c>
    </row>
    <row r="73" spans="1:87" x14ac:dyDescent="0.25">
      <c r="A73" s="723"/>
      <c r="B73" s="723"/>
      <c r="D73" s="31">
        <f t="shared" si="53"/>
        <v>38883</v>
      </c>
      <c r="F73" s="28">
        <f t="shared" si="54"/>
        <v>9300</v>
      </c>
      <c r="G73" s="28">
        <f t="shared" si="13"/>
        <v>7394.3573900377387</v>
      </c>
      <c r="H73" s="52">
        <f t="shared" si="55"/>
        <v>3.2437759336099585</v>
      </c>
      <c r="I73" s="52">
        <f t="shared" si="56"/>
        <v>3.472</v>
      </c>
      <c r="K73" s="52">
        <f t="shared" si="43"/>
        <v>5.44377519966344</v>
      </c>
      <c r="L73" s="135">
        <f t="shared" si="44"/>
        <v>1.0817056453387153E-3</v>
      </c>
      <c r="N73" s="131">
        <f t="shared" si="45"/>
        <v>0.2500930627639058</v>
      </c>
      <c r="O73" s="131">
        <f t="shared" si="46"/>
        <v>0.25095908449170745</v>
      </c>
      <c r="P73" s="55">
        <f t="shared" si="47"/>
        <v>0.99910356203158057</v>
      </c>
      <c r="Q73" s="135">
        <f>_xll.xSPRDOPT(I73,H73,AQ73,0,O73,N73,P73,D73-$G$5,1,0)*AH73*AU73</f>
        <v>5.4448569053087787</v>
      </c>
      <c r="R73" s="135"/>
      <c r="S73" s="181">
        <f t="shared" si="48"/>
        <v>-229010.04505381503</v>
      </c>
      <c r="T73" s="181">
        <f>_xll.xSPRDOPT(I73,H73,AQ73,AT73,O73,N73,P73,D73-$G$5,1,1)*AF73*F73*AH73</f>
        <v>220765.6834318777</v>
      </c>
      <c r="U73" s="135"/>
      <c r="V73" s="146">
        <f t="shared" si="57"/>
        <v>10.552463578557083</v>
      </c>
      <c r="W73" s="146"/>
      <c r="X73" s="338">
        <f t="shared" si="58"/>
        <v>0</v>
      </c>
      <c r="Y73" s="338">
        <f t="shared" si="18"/>
        <v>0</v>
      </c>
      <c r="Z73" s="338">
        <f t="shared" si="19"/>
        <v>21.150994241147618</v>
      </c>
      <c r="AA73" s="338">
        <f t="shared" si="20"/>
        <v>2.4017329752000134E-3</v>
      </c>
      <c r="AB73" s="338">
        <f t="shared" si="59"/>
        <v>0</v>
      </c>
      <c r="AC73" s="338">
        <f t="shared" si="60"/>
        <v>21.490794020187177</v>
      </c>
      <c r="AF73" s="138">
        <f t="shared" si="61"/>
        <v>1</v>
      </c>
      <c r="AG73" s="138">
        <f t="shared" si="62"/>
        <v>6</v>
      </c>
      <c r="AH73" s="138">
        <f t="shared" si="69"/>
        <v>30</v>
      </c>
      <c r="AI73" s="138">
        <f t="shared" si="63"/>
        <v>1627</v>
      </c>
      <c r="AJ73" s="138">
        <f t="shared" si="64"/>
        <v>1644</v>
      </c>
      <c r="AL73" s="136">
        <f t="shared" si="27"/>
        <v>3.3919999999999999</v>
      </c>
      <c r="AM73" s="258">
        <f t="shared" si="28"/>
        <v>-0.42</v>
      </c>
      <c r="AN73" s="258">
        <f t="shared" si="29"/>
        <v>0.155</v>
      </c>
      <c r="AO73" s="258">
        <f t="shared" si="30"/>
        <v>0.04</v>
      </c>
      <c r="AP73" s="258">
        <f t="shared" si="31"/>
        <v>0.04</v>
      </c>
      <c r="AQ73" s="136">
        <f t="shared" si="65"/>
        <v>0</v>
      </c>
      <c r="AR73" s="137">
        <f t="shared" si="33"/>
        <v>3.5999999999999997E-2</v>
      </c>
      <c r="AS73" s="136">
        <f t="shared" si="50"/>
        <v>3.1269999999999998</v>
      </c>
      <c r="AT73" s="137">
        <f t="shared" si="51"/>
        <v>5.1693198008315698E-2</v>
      </c>
      <c r="AU73" s="137">
        <f t="shared" si="34"/>
        <v>0.79509219247717622</v>
      </c>
      <c r="AV73" s="394">
        <f t="shared" si="52"/>
        <v>8276.909723687404</v>
      </c>
      <c r="AW73" s="137">
        <f t="shared" si="35"/>
        <v>0.2475</v>
      </c>
      <c r="AX73" s="137">
        <f t="shared" si="36"/>
        <v>0.45</v>
      </c>
      <c r="AY73" s="137">
        <f t="shared" si="37"/>
        <v>0.5</v>
      </c>
      <c r="AZ73" s="137"/>
      <c r="BA73" s="264"/>
      <c r="BB73" s="258">
        <f t="shared" si="38"/>
        <v>0</v>
      </c>
      <c r="BC73" s="258">
        <f t="shared" si="66"/>
        <v>0</v>
      </c>
      <c r="BD73" s="137">
        <f t="shared" si="67"/>
        <v>4.7045180826543742E-6</v>
      </c>
      <c r="BE73" s="137">
        <f t="shared" si="68"/>
        <v>6.2649634556266598E-6</v>
      </c>
      <c r="BF73" s="137">
        <f>_xll.xSPRDOPT($BW73,$BV73,$CG73,0,$BY73,$BX73,$BZ73,$AJ73,1,4)*$CB73</f>
        <v>6.5003704886310285E-2</v>
      </c>
      <c r="BG73" s="137">
        <f>_xll.xSPRDOPT($BW73,$BV73,$CG73,0,$BY73,$BX73,$BZ73,$AJ73,1,3)*$CB73</f>
        <v>5.67387516760492E-2</v>
      </c>
      <c r="BH73" s="137">
        <f>IF(OR(BF73&lt;&gt;0,BG73&lt;&gt;0),_xll.xSPRDOPT($BW73,$BV73,$CG73,0,$BY73,$BX73,$BZ73,$AJ73,1,12)*$CB73,0)</f>
        <v>-6.0730297245930022E-2</v>
      </c>
      <c r="BI73" s="137">
        <f>_xll.xSPRDOPT($BW73,$BV73,$CG73,2*LN(1+CA73/2),$BY73,$BX73,$BZ73,$AJ73,1,9)</f>
        <v>9.229869350751695E-3</v>
      </c>
      <c r="BJ73" s="137">
        <f>_xll.xSPRDOPT($BW73,$BV73,$CG73,0,$BY73,$BX73,$BZ73,$AJ73,1,6)*$CB73</f>
        <v>-1.4466859467512794E-3</v>
      </c>
      <c r="BK73" s="137">
        <f>_xll.xSPRDOPT($BW73,$BV73,$CG73,0,$BY73,$BX73,$BZ73,$AJ73,1,5)*$CB73</f>
        <v>2.4604009622512858E-3</v>
      </c>
      <c r="BL73" s="137">
        <f>_xll.xSPRDOPT(BW73,BV73,CG73,0,BY73,BX73,BZ73,AJ73,1,2)*CB73</f>
        <v>-0.79315554148914391</v>
      </c>
      <c r="BM73" s="137">
        <f>_xll.xSPRDOPT(BW73,BV73,CG73,0,BY73,BX73,BZ73,AJ73,1,1)*CB73</f>
        <v>0.79327139041267913</v>
      </c>
      <c r="BN73" s="137">
        <f>IF(AH73&lt;&gt;0,_xll.xSPRDOPT($BW73,$BV73,$CG73,2*LN(1+CA73/2),$BY73,$BX73,$BZ73,$AJ73,1,8)+(AJ73/365.25)*CH73/AH73,0)</f>
        <v>0.76605831844839756</v>
      </c>
      <c r="BO73" s="137">
        <f>_xll.xSPRDOPT($BW73,$BV73,$CG73,0,$BY73,$BX73,$BZ73,$AJ73,1,0)</f>
        <v>0.22826976453556469</v>
      </c>
      <c r="BP73" s="137"/>
      <c r="BQ73" s="137"/>
      <c r="BR73" s="137"/>
      <c r="BS73" s="137"/>
      <c r="BV73" s="262">
        <v>3.2437759336099585</v>
      </c>
      <c r="BW73" s="136">
        <v>3.472</v>
      </c>
      <c r="BX73" s="137">
        <v>0.25008835824582315</v>
      </c>
      <c r="BY73" s="137">
        <v>0.25095281952825182</v>
      </c>
      <c r="BZ73" s="137">
        <v>0.99910514708521259</v>
      </c>
      <c r="CA73" s="137">
        <v>5.1693198008315698E-2</v>
      </c>
      <c r="CB73" s="137">
        <v>0.79475896722761941</v>
      </c>
      <c r="CC73" s="258">
        <v>-0.42</v>
      </c>
      <c r="CD73" s="258">
        <v>0.155</v>
      </c>
      <c r="CE73" s="258">
        <v>0.04</v>
      </c>
      <c r="CF73" s="258">
        <v>0.04</v>
      </c>
      <c r="CG73" s="258">
        <v>0</v>
      </c>
      <c r="CH73" s="258">
        <v>10.548041013044966</v>
      </c>
      <c r="CI73" s="258">
        <v>3.3919999999999999</v>
      </c>
    </row>
    <row r="74" spans="1:87" x14ac:dyDescent="0.25">
      <c r="A74" s="723"/>
      <c r="B74" s="723"/>
      <c r="D74" s="31">
        <f t="shared" si="53"/>
        <v>38913</v>
      </c>
      <c r="F74" s="28">
        <f t="shared" si="54"/>
        <v>9300</v>
      </c>
      <c r="G74" s="28">
        <f t="shared" si="13"/>
        <v>7353.1950637841846</v>
      </c>
      <c r="H74" s="52">
        <f t="shared" si="55"/>
        <v>3.2852697095435683</v>
      </c>
      <c r="I74" s="52">
        <f t="shared" si="56"/>
        <v>3.512</v>
      </c>
      <c r="K74" s="52">
        <f t="shared" si="43"/>
        <v>5.5573068419819593</v>
      </c>
      <c r="L74" s="135">
        <f t="shared" si="44"/>
        <v>2.3260340402408985E-3</v>
      </c>
      <c r="N74" s="131">
        <f t="shared" si="45"/>
        <v>0.25100885381510452</v>
      </c>
      <c r="O74" s="131">
        <f t="shared" si="46"/>
        <v>0.25197617303779796</v>
      </c>
      <c r="P74" s="55">
        <f t="shared" si="47"/>
        <v>0.99893775147761688</v>
      </c>
      <c r="Q74" s="135">
        <f>_xll.xSPRDOPT(I74,H74,AQ74,0,O74,N74,P74,D74-$G$5,1,0)*AH74*AU74</f>
        <v>5.5596328760222002</v>
      </c>
      <c r="R74" s="135"/>
      <c r="S74" s="181">
        <f t="shared" si="48"/>
        <v>-234913.54037231015</v>
      </c>
      <c r="T74" s="181">
        <f>_xll.xSPRDOPT(I74,H74,AQ74,AT74,O74,N74,P74,D74-$G$5,1,1)*AF74*F74*AH74</f>
        <v>226456.65291890697</v>
      </c>
      <c r="U74" s="135"/>
      <c r="V74" s="146">
        <f t="shared" si="57"/>
        <v>10.843511654060411</v>
      </c>
      <c r="W74" s="146"/>
      <c r="X74" s="338">
        <f t="shared" si="58"/>
        <v>0</v>
      </c>
      <c r="Y74" s="338">
        <f t="shared" si="18"/>
        <v>0</v>
      </c>
      <c r="Z74" s="338">
        <f t="shared" si="19"/>
        <v>21.605403100176613</v>
      </c>
      <c r="AA74" s="338">
        <f t="shared" si="20"/>
        <v>8.4553511185942419E-3</v>
      </c>
      <c r="AB74" s="338">
        <f t="shared" si="59"/>
        <v>0</v>
      </c>
      <c r="AC74" s="338">
        <f t="shared" si="60"/>
        <v>22.07607901018336</v>
      </c>
      <c r="AF74" s="138">
        <f t="shared" si="61"/>
        <v>1</v>
      </c>
      <c r="AG74" s="138">
        <f t="shared" si="62"/>
        <v>7</v>
      </c>
      <c r="AH74" s="138">
        <f t="shared" si="69"/>
        <v>31</v>
      </c>
      <c r="AI74" s="138">
        <f t="shared" si="63"/>
        <v>1657</v>
      </c>
      <c r="AJ74" s="138">
        <f t="shared" si="64"/>
        <v>1674</v>
      </c>
      <c r="AL74" s="136">
        <f t="shared" si="27"/>
        <v>3.4319999999999999</v>
      </c>
      <c r="AM74" s="258">
        <f t="shared" si="28"/>
        <v>-0.42</v>
      </c>
      <c r="AN74" s="258">
        <f t="shared" si="29"/>
        <v>0.155</v>
      </c>
      <c r="AO74" s="258">
        <f t="shared" si="30"/>
        <v>0.04</v>
      </c>
      <c r="AP74" s="258">
        <f t="shared" si="31"/>
        <v>0.04</v>
      </c>
      <c r="AQ74" s="136">
        <f t="shared" si="65"/>
        <v>0</v>
      </c>
      <c r="AR74" s="137">
        <f t="shared" si="33"/>
        <v>3.5999999999999997E-2</v>
      </c>
      <c r="AS74" s="136">
        <f t="shared" si="50"/>
        <v>3.1669999999999998</v>
      </c>
      <c r="AT74" s="137">
        <f t="shared" si="51"/>
        <v>5.2004985721710598E-2</v>
      </c>
      <c r="AU74" s="137">
        <f t="shared" si="34"/>
        <v>0.7906661358907725</v>
      </c>
      <c r="AV74" s="394">
        <f t="shared" si="52"/>
        <v>8505.1956237770391</v>
      </c>
      <c r="AW74" s="137">
        <f t="shared" si="35"/>
        <v>0.2475</v>
      </c>
      <c r="AX74" s="137">
        <f t="shared" si="36"/>
        <v>0.5</v>
      </c>
      <c r="AY74" s="137">
        <f t="shared" si="37"/>
        <v>0.55000000000000004</v>
      </c>
      <c r="AZ74" s="137"/>
      <c r="BA74" s="264"/>
      <c r="BB74" s="258">
        <f t="shared" si="38"/>
        <v>0</v>
      </c>
      <c r="BC74" s="258">
        <f t="shared" si="66"/>
        <v>0</v>
      </c>
      <c r="BD74" s="137">
        <f t="shared" si="67"/>
        <v>6.2388038960525805E-6</v>
      </c>
      <c r="BE74" s="137">
        <f t="shared" si="68"/>
        <v>7.94357205469165E-6</v>
      </c>
      <c r="BF74" s="137">
        <f>_xll.xSPRDOPT($BW74,$BV74,$CG74,0,$BY74,$BX74,$BZ74,$AJ74,1,4)*$CB74</f>
        <v>0.10924312830023157</v>
      </c>
      <c r="BG74" s="137">
        <f>_xll.xSPRDOPT($BW74,$BV74,$CG74,0,$BY74,$BX74,$BZ74,$AJ74,1,3)*$CB74</f>
        <v>9.5593154410018269E-2</v>
      </c>
      <c r="BH74" s="137">
        <f>IF(OR(BF74&lt;&gt;0,BG74&lt;&gt;0),_xll.xSPRDOPT($BW74,$BV74,$CG74,0,$BY74,$BX74,$BZ74,$AJ74,1,12)*$CB74,0)</f>
        <v>-0.10218916779732988</v>
      </c>
      <c r="BI74" s="137">
        <f>_xll.xSPRDOPT($BW74,$BV74,$CG74,2*LN(1+CA74/2),$BY74,$BX74,$BZ74,$AJ74,1,9)</f>
        <v>9.1240299252393423E-3</v>
      </c>
      <c r="BJ74" s="137">
        <f>_xll.xSPRDOPT($BW74,$BV74,$CG74,0,$BY74,$BX74,$BZ74,$AJ74,1,6)*$CB74</f>
        <v>-3.7741083048871411E-3</v>
      </c>
      <c r="BK74" s="137">
        <f>_xll.xSPRDOPT($BW74,$BV74,$CG74,0,$BY74,$BX74,$BZ74,$AJ74,1,5)*$CB74</f>
        <v>6.6562283268454571E-3</v>
      </c>
      <c r="BL74" s="137">
        <f>_xll.xSPRDOPT(BW74,BV74,CG74,0,BY74,BX74,BZ74,AJ74,1,2)*CB74</f>
        <v>-0.78733455152038401</v>
      </c>
      <c r="BM74" s="137">
        <f>_xll.xSPRDOPT(BW74,BV74,CG74,0,BY74,BX74,BZ74,AJ74,1,1)*CB74</f>
        <v>0.78754945978429769</v>
      </c>
      <c r="BN74" s="137">
        <f>IF(AH74&lt;&gt;0,_xll.xSPRDOPT($BW74,$BV74,$CG74,2*LN(1+CA74/2),$BY74,$BX74,$BZ74,$AJ74,1,8)+(AJ74/365.25)*CH74/AH74,0)</f>
        <v>0.78086011987297999</v>
      </c>
      <c r="BO74" s="137">
        <f>_xll.xSPRDOPT($BW74,$BV74,$CG74,0,$BY74,$BX74,$BZ74,$AJ74,1,0)</f>
        <v>0.22682519009891675</v>
      </c>
      <c r="BP74" s="137"/>
      <c r="BQ74" s="137"/>
      <c r="BR74" s="137"/>
      <c r="BS74" s="137"/>
      <c r="BV74" s="262">
        <v>3.2852697095435683</v>
      </c>
      <c r="BW74" s="136">
        <v>3.512</v>
      </c>
      <c r="BX74" s="137">
        <v>0.25100261501120846</v>
      </c>
      <c r="BY74" s="137">
        <v>0.25196822946574327</v>
      </c>
      <c r="BZ74" s="137">
        <v>0.99893958085373424</v>
      </c>
      <c r="CA74" s="137">
        <v>5.2004985721710598E-2</v>
      </c>
      <c r="CB74" s="137">
        <v>0.79033279280378232</v>
      </c>
      <c r="CC74" s="258">
        <v>-0.42</v>
      </c>
      <c r="CD74" s="258">
        <v>0.155</v>
      </c>
      <c r="CE74" s="258">
        <v>0.04</v>
      </c>
      <c r="CF74" s="258">
        <v>0.04</v>
      </c>
      <c r="CG74" s="258">
        <v>0</v>
      </c>
      <c r="CH74" s="258">
        <v>10.838940053628193</v>
      </c>
      <c r="CI74" s="258">
        <v>3.4319999999999999</v>
      </c>
    </row>
    <row r="75" spans="1:87" x14ac:dyDescent="0.25">
      <c r="A75" s="723"/>
      <c r="B75" s="723"/>
      <c r="D75" s="31">
        <f t="shared" si="53"/>
        <v>38944</v>
      </c>
      <c r="F75" s="28">
        <f t="shared" si="54"/>
        <v>9300</v>
      </c>
      <c r="G75" s="28">
        <f t="shared" si="13"/>
        <v>7310.5195924294658</v>
      </c>
      <c r="H75" s="52">
        <f t="shared" si="55"/>
        <v>3.3267634854771786</v>
      </c>
      <c r="I75" s="52">
        <f t="shared" si="56"/>
        <v>3.552</v>
      </c>
      <c r="K75" s="52">
        <f t="shared" si="43"/>
        <v>5.4886531744987002</v>
      </c>
      <c r="L75" s="135">
        <f t="shared" si="44"/>
        <v>5.4444317508135498E-3</v>
      </c>
      <c r="N75" s="131">
        <f t="shared" si="45"/>
        <v>0.25189542698197026</v>
      </c>
      <c r="O75" s="131">
        <f t="shared" si="46"/>
        <v>0.2529317965172882</v>
      </c>
      <c r="P75" s="55">
        <f t="shared" si="47"/>
        <v>0.99879309566054386</v>
      </c>
      <c r="Q75" s="135">
        <f>_xll.xSPRDOPT(I75,H75,AQ75,0,O75,N75,P75,D75-$G$5,1,0)*AH75*AU75</f>
        <v>5.4940976062495137</v>
      </c>
      <c r="R75" s="135"/>
      <c r="S75" s="181">
        <f t="shared" si="48"/>
        <v>-232689.28015656103</v>
      </c>
      <c r="T75" s="181">
        <f>_xll.xSPRDOPT(I75,H75,AQ75,AT75,O75,N75,P75,D75-$G$5,1,1)*AF75*F75*AH75</f>
        <v>224312.46607092483</v>
      </c>
      <c r="U75" s="135"/>
      <c r="V75" s="146">
        <f t="shared" si="57"/>
        <v>10.78057955896932</v>
      </c>
      <c r="W75" s="146"/>
      <c r="X75" s="338">
        <f t="shared" si="58"/>
        <v>0</v>
      </c>
      <c r="Y75" s="338">
        <f t="shared" si="18"/>
        <v>0</v>
      </c>
      <c r="Z75" s="338">
        <f t="shared" si="19"/>
        <v>21.293404793380272</v>
      </c>
      <c r="AA75" s="338">
        <f t="shared" si="20"/>
        <v>1.945426442077617E-2</v>
      </c>
      <c r="AB75" s="338">
        <f t="shared" si="59"/>
        <v>0</v>
      </c>
      <c r="AC75" s="338">
        <f t="shared" si="60"/>
        <v>21.950949644189627</v>
      </c>
      <c r="AF75" s="138">
        <f t="shared" si="61"/>
        <v>1</v>
      </c>
      <c r="AG75" s="138">
        <f t="shared" si="62"/>
        <v>8</v>
      </c>
      <c r="AH75" s="138">
        <f t="shared" si="69"/>
        <v>31</v>
      </c>
      <c r="AI75" s="138">
        <f t="shared" si="63"/>
        <v>1688</v>
      </c>
      <c r="AJ75" s="138">
        <f t="shared" si="64"/>
        <v>1705</v>
      </c>
      <c r="AL75" s="136">
        <f t="shared" si="27"/>
        <v>3.472</v>
      </c>
      <c r="AM75" s="258">
        <f t="shared" si="28"/>
        <v>-0.42</v>
      </c>
      <c r="AN75" s="258">
        <f t="shared" si="29"/>
        <v>0.155</v>
      </c>
      <c r="AO75" s="258">
        <f t="shared" si="30"/>
        <v>0.04</v>
      </c>
      <c r="AP75" s="258">
        <f t="shared" si="31"/>
        <v>0.04</v>
      </c>
      <c r="AQ75" s="136">
        <f t="shared" si="65"/>
        <v>0</v>
      </c>
      <c r="AR75" s="137">
        <f t="shared" si="33"/>
        <v>3.5999999999999997E-2</v>
      </c>
      <c r="AS75" s="136">
        <f t="shared" si="50"/>
        <v>3.2069999999999999</v>
      </c>
      <c r="AT75" s="137">
        <f t="shared" si="51"/>
        <v>5.2327166392949202E-2</v>
      </c>
      <c r="AU75" s="137">
        <f t="shared" si="34"/>
        <v>0.78607737553005008</v>
      </c>
      <c r="AV75" s="394">
        <f t="shared" si="52"/>
        <v>8455.8343285767496</v>
      </c>
      <c r="AW75" s="137">
        <f t="shared" si="35"/>
        <v>0.2475</v>
      </c>
      <c r="AX75" s="137">
        <f t="shared" si="36"/>
        <v>0.55000000000000004</v>
      </c>
      <c r="AY75" s="137">
        <f t="shared" si="37"/>
        <v>0.6</v>
      </c>
      <c r="AZ75" s="137"/>
      <c r="BA75" s="264"/>
      <c r="BB75" s="258">
        <f t="shared" si="38"/>
        <v>0</v>
      </c>
      <c r="BC75" s="258">
        <f t="shared" si="66"/>
        <v>0</v>
      </c>
      <c r="BD75" s="137">
        <f t="shared" si="67"/>
        <v>7.659790955905077E-6</v>
      </c>
      <c r="BE75" s="137">
        <f t="shared" si="68"/>
        <v>9.4466545992322182E-6</v>
      </c>
      <c r="BF75" s="137">
        <f>_xll.xSPRDOPT($BW75,$BV75,$CG75,0,$BY75,$BX75,$BZ75,$AJ75,1,4)*$CB75</f>
        <v>0.18526392213128362</v>
      </c>
      <c r="BG75" s="137">
        <f>_xll.xSPRDOPT($BW75,$BV75,$CG75,0,$BY75,$BX75,$BZ75,$AJ75,1,3)*$CB75</f>
        <v>0.16251317041728822</v>
      </c>
      <c r="BH75" s="137">
        <f>IF(OR(BF75&lt;&gt;0,BG75&lt;&gt;0),_xll.xSPRDOPT($BW75,$BV75,$CG75,0,$BY75,$BX75,$BZ75,$AJ75,1,12)*$CB75,0)</f>
        <v>-0.1735141728713403</v>
      </c>
      <c r="BI75" s="137">
        <f>_xll.xSPRDOPT($BW75,$BV75,$CG75,2*LN(1+CA75/2),$BY75,$BX75,$BZ75,$AJ75,1,9)</f>
        <v>8.9922720554771012E-3</v>
      </c>
      <c r="BJ75" s="137">
        <f>_xll.xSPRDOPT($BW75,$BV75,$CG75,0,$BY75,$BX75,$BZ75,$AJ75,1,6)*$CB75</f>
        <v>-6.9856687628375635E-3</v>
      </c>
      <c r="BK75" s="137">
        <f>_xll.xSPRDOPT($BW75,$BV75,$CG75,0,$BY75,$BX75,$BZ75,$AJ75,1,5)*$CB75</f>
        <v>1.2807497035603894E-2</v>
      </c>
      <c r="BL75" s="137">
        <f>_xll.xSPRDOPT(BW75,BV75,CG75,0,BY75,BX75,BZ75,AJ75,1,2)*CB75</f>
        <v>-0.77973384601944096</v>
      </c>
      <c r="BM75" s="137">
        <f>_xll.xSPRDOPT(BW75,BV75,CG75,0,BY75,BX75,BZ75,AJ75,1,1)*CB75</f>
        <v>0.78016436584359672</v>
      </c>
      <c r="BN75" s="137">
        <f>IF(AH75&lt;&gt;0,_xll.xSPRDOPT($BW75,$BV75,$CG75,2*LN(1+CA75/2),$BY75,$BX75,$BZ75,$AJ75,1,8)+(AJ75/365.25)*CH75/AH75,0)</f>
        <v>0.79571026317512505</v>
      </c>
      <c r="BO75" s="137">
        <f>_xll.xSPRDOPT($BW75,$BV75,$CG75,0,$BY75,$BX75,$BZ75,$AJ75,1,0)</f>
        <v>0.22545993778089299</v>
      </c>
      <c r="BP75" s="137"/>
      <c r="BQ75" s="137"/>
      <c r="BR75" s="137"/>
      <c r="BS75" s="137"/>
      <c r="BV75" s="262">
        <v>3.3267634854771786</v>
      </c>
      <c r="BW75" s="136">
        <v>3.552</v>
      </c>
      <c r="BX75" s="137">
        <v>0.25188776719101436</v>
      </c>
      <c r="BY75" s="137">
        <v>0.25292234986268897</v>
      </c>
      <c r="BZ75" s="137">
        <v>0.9987951215186921</v>
      </c>
      <c r="CA75" s="137">
        <v>5.2327166392949202E-2</v>
      </c>
      <c r="CB75" s="137">
        <v>0.78574394063357444</v>
      </c>
      <c r="CC75" s="258">
        <v>-0.42</v>
      </c>
      <c r="CD75" s="258">
        <v>0.155</v>
      </c>
      <c r="CE75" s="258">
        <v>0.04</v>
      </c>
      <c r="CF75" s="258">
        <v>0.04</v>
      </c>
      <c r="CG75" s="258">
        <v>0</v>
      </c>
      <c r="CH75" s="258">
        <v>10.776006699425094</v>
      </c>
      <c r="CI75" s="258">
        <v>3.472</v>
      </c>
    </row>
    <row r="76" spans="1:87" x14ac:dyDescent="0.25">
      <c r="A76" s="723"/>
      <c r="B76" s="723"/>
      <c r="D76" s="31">
        <f t="shared" si="53"/>
        <v>38975</v>
      </c>
      <c r="F76" s="28">
        <f t="shared" si="54"/>
        <v>9300</v>
      </c>
      <c r="G76" s="28">
        <f t="shared" si="13"/>
        <v>7267.7061224284334</v>
      </c>
      <c r="H76" s="52">
        <f t="shared" si="55"/>
        <v>3.3215767634854774</v>
      </c>
      <c r="I76" s="52">
        <f t="shared" si="56"/>
        <v>3.5470000000000002</v>
      </c>
      <c r="K76" s="52">
        <f t="shared" si="43"/>
        <v>5.284870439207193</v>
      </c>
      <c r="L76" s="135">
        <f t="shared" si="44"/>
        <v>4.4735667586106587E-3</v>
      </c>
      <c r="N76" s="131">
        <f t="shared" si="45"/>
        <v>0.251680618344995</v>
      </c>
      <c r="O76" s="131">
        <f t="shared" si="46"/>
        <v>0.25266685278209666</v>
      </c>
      <c r="P76" s="55">
        <f t="shared" si="47"/>
        <v>0.99885000730339013</v>
      </c>
      <c r="Q76" s="135">
        <f>_xll.xSPRDOPT(I76,H76,AQ76,0,O76,N76,P76,D76-$G$5,1,0)*AH76*AU76</f>
        <v>5.2893440059658037</v>
      </c>
      <c r="R76" s="135"/>
      <c r="S76" s="181">
        <f t="shared" si="48"/>
        <v>-224034.18386677053</v>
      </c>
      <c r="T76" s="181">
        <f>_xll.xSPRDOPT(I76,H76,AQ76,AT76,O76,N76,P76,D76-$G$5,1,1)*AF76*F76*AH76</f>
        <v>215968.95324756679</v>
      </c>
      <c r="U76" s="135"/>
      <c r="V76" s="146">
        <f t="shared" si="57"/>
        <v>10.371719963104319</v>
      </c>
      <c r="W76" s="146"/>
      <c r="X76" s="338">
        <f t="shared" si="58"/>
        <v>0</v>
      </c>
      <c r="Y76" s="338">
        <f t="shared" si="18"/>
        <v>0</v>
      </c>
      <c r="Z76" s="338">
        <f t="shared" si="19"/>
        <v>20.676552562266981</v>
      </c>
      <c r="AA76" s="338">
        <f t="shared" si="20"/>
        <v>1.5385016748718961E-2</v>
      </c>
      <c r="AB76" s="338">
        <f t="shared" si="59"/>
        <v>0</v>
      </c>
      <c r="AC76" s="338">
        <f t="shared" si="60"/>
        <v>21.262944588857504</v>
      </c>
      <c r="AF76" s="138">
        <f t="shared" si="61"/>
        <v>1</v>
      </c>
      <c r="AG76" s="138">
        <f t="shared" si="62"/>
        <v>9</v>
      </c>
      <c r="AH76" s="138">
        <f t="shared" si="69"/>
        <v>30</v>
      </c>
      <c r="AI76" s="138">
        <f t="shared" si="63"/>
        <v>1719</v>
      </c>
      <c r="AJ76" s="138">
        <f t="shared" si="64"/>
        <v>1736</v>
      </c>
      <c r="AL76" s="136">
        <f t="shared" si="27"/>
        <v>3.4670000000000001</v>
      </c>
      <c r="AM76" s="258">
        <f t="shared" si="28"/>
        <v>-0.42</v>
      </c>
      <c r="AN76" s="258">
        <f t="shared" si="29"/>
        <v>0.155</v>
      </c>
      <c r="AO76" s="258">
        <f t="shared" si="30"/>
        <v>0.04</v>
      </c>
      <c r="AP76" s="258">
        <f t="shared" si="31"/>
        <v>0.04</v>
      </c>
      <c r="AQ76" s="136">
        <f t="shared" si="65"/>
        <v>0</v>
      </c>
      <c r="AR76" s="137">
        <f t="shared" si="33"/>
        <v>3.5999999999999997E-2</v>
      </c>
      <c r="AS76" s="136">
        <f t="shared" si="50"/>
        <v>3.202</v>
      </c>
      <c r="AT76" s="137">
        <f t="shared" si="51"/>
        <v>5.2649347098806303E-2</v>
      </c>
      <c r="AU76" s="137">
        <f t="shared" si="34"/>
        <v>0.78147377660520789</v>
      </c>
      <c r="AV76" s="394">
        <f t="shared" si="52"/>
        <v>8135.1420144602143</v>
      </c>
      <c r="AW76" s="137">
        <f t="shared" si="35"/>
        <v>0.2475</v>
      </c>
      <c r="AX76" s="137">
        <f t="shared" si="36"/>
        <v>0.55000000000000004</v>
      </c>
      <c r="AY76" s="137">
        <f t="shared" si="37"/>
        <v>0.6</v>
      </c>
      <c r="AZ76" s="137"/>
      <c r="BA76" s="264"/>
      <c r="BB76" s="258">
        <f t="shared" si="38"/>
        <v>0</v>
      </c>
      <c r="BC76" s="258">
        <f t="shared" si="66"/>
        <v>0</v>
      </c>
      <c r="BD76" s="137">
        <f t="shared" si="67"/>
        <v>7.1605450768785772E-6</v>
      </c>
      <c r="BE76" s="137">
        <f t="shared" si="68"/>
        <v>8.8326649159697901E-6</v>
      </c>
      <c r="BF76" s="137">
        <f>_xll.xSPRDOPT($BW76,$BV76,$CG76,0,$BY76,$BX76,$BZ76,$AJ76,1,4)*$CB76</f>
        <v>0.16756347511396397</v>
      </c>
      <c r="BG76" s="137">
        <f>_xll.xSPRDOPT($BW76,$BV76,$CG76,0,$BY76,$BX76,$BZ76,$AJ76,1,3)*$CB76</f>
        <v>0.14694178747067654</v>
      </c>
      <c r="BH76" s="137">
        <f>IF(OR(BF76&lt;&gt;0,BG76&lt;&gt;0),_xll.xSPRDOPT($BW76,$BV76,$CG76,0,$BY76,$BX76,$BZ76,$AJ76,1,12)*$CB76,0)</f>
        <v>-0.15691238796010537</v>
      </c>
      <c r="BI76" s="137">
        <f>_xll.xSPRDOPT($BW76,$BV76,$CG76,2*LN(1+CA76/2),$BY76,$BX76,$BZ76,$AJ76,1,9)</f>
        <v>9.0228325249319171E-3</v>
      </c>
      <c r="BJ76" s="137">
        <f>_xll.xSPRDOPT($BW76,$BV76,$CG76,0,$BY76,$BX76,$BZ76,$AJ76,1,6)*$CB76</f>
        <v>-6.1024011793148931E-3</v>
      </c>
      <c r="BK76" s="137">
        <f>_xll.xSPRDOPT($BW76,$BV76,$CG76,0,$BY76,$BX76,$BZ76,$AJ76,1,5)*$CB76</f>
        <v>1.1190274834252225E-2</v>
      </c>
      <c r="BL76" s="137">
        <f>_xll.xSPRDOPT(BW76,BV76,CG76,0,BY76,BX76,BZ76,AJ76,1,2)*CB76</f>
        <v>-0.77587995812733634</v>
      </c>
      <c r="BM76" s="137">
        <f>_xll.xSPRDOPT(BW76,BV76,CG76,0,BY76,BX76,BZ76,AJ76,1,1)*CB76</f>
        <v>0.77625628067330421</v>
      </c>
      <c r="BN76" s="137">
        <f>IF(AH76&lt;&gt;0,_xll.xSPRDOPT($BW76,$BV76,$CG76,2*LN(1+CA76/2),$BY76,$BX76,$BZ76,$AJ76,1,8)+(AJ76/365.25)*CH76/AH76,0)</f>
        <v>0.80485871627098104</v>
      </c>
      <c r="BO76" s="137">
        <f>_xll.xSPRDOPT($BW76,$BV76,$CG76,0,$BY76,$BX76,$BZ76,$AJ76,1,0)</f>
        <v>0.22561405485186739</v>
      </c>
      <c r="BP76" s="137"/>
      <c r="BQ76" s="137"/>
      <c r="BR76" s="137"/>
      <c r="BS76" s="137"/>
      <c r="BV76" s="262">
        <v>3.3215767634854774</v>
      </c>
      <c r="BW76" s="136">
        <v>3.5470000000000002</v>
      </c>
      <c r="BX76" s="137">
        <v>0.25167345779991812</v>
      </c>
      <c r="BY76" s="137">
        <v>0.25265802011718069</v>
      </c>
      <c r="BZ76" s="137">
        <v>0.99885190797368784</v>
      </c>
      <c r="CA76" s="137">
        <v>5.2649347098806303E-2</v>
      </c>
      <c r="CB76" s="137">
        <v>0.78114028021149551</v>
      </c>
      <c r="CC76" s="258">
        <v>-0.42</v>
      </c>
      <c r="CD76" s="258">
        <v>0.155</v>
      </c>
      <c r="CE76" s="258">
        <v>0.04</v>
      </c>
      <c r="CF76" s="258">
        <v>0.04</v>
      </c>
      <c r="CG76" s="258">
        <v>0</v>
      </c>
      <c r="CH76" s="258">
        <v>10.367293798966969</v>
      </c>
      <c r="CI76" s="258">
        <v>3.4670000000000001</v>
      </c>
    </row>
    <row r="77" spans="1:87" x14ac:dyDescent="0.25">
      <c r="A77" s="723"/>
      <c r="B77" s="723"/>
      <c r="D77" s="31">
        <f t="shared" si="53"/>
        <v>39005</v>
      </c>
      <c r="F77" s="28">
        <f t="shared" si="54"/>
        <v>9300</v>
      </c>
      <c r="G77" s="28">
        <f t="shared" si="13"/>
        <v>7226.147452309061</v>
      </c>
      <c r="H77" s="52">
        <f t="shared" si="55"/>
        <v>3.3475103734439835</v>
      </c>
      <c r="I77" s="52">
        <f t="shared" si="56"/>
        <v>3.5720000000000001</v>
      </c>
      <c r="K77" s="52">
        <f t="shared" si="43"/>
        <v>5.4073171433585721</v>
      </c>
      <c r="L77" s="135">
        <f t="shared" si="44"/>
        <v>1.4877749115491667E-3</v>
      </c>
      <c r="N77" s="131">
        <f t="shared" si="45"/>
        <v>0.25274596357326584</v>
      </c>
      <c r="O77" s="131">
        <f t="shared" si="46"/>
        <v>0.25382975493137849</v>
      </c>
      <c r="P77" s="55">
        <f t="shared" si="47"/>
        <v>0.9995175931532827</v>
      </c>
      <c r="Q77" s="135">
        <f>_xll.xSPRDOPT(I77,H77,AQ77,0,O77,N77,P77,D77-$G$5,1,0)*AH77*AU77</f>
        <v>5.4088049182701212</v>
      </c>
      <c r="R77" s="135"/>
      <c r="S77" s="181">
        <f t="shared" si="48"/>
        <v>-231097.0222294273</v>
      </c>
      <c r="T77" s="181">
        <f>_xll.xSPRDOPT(I77,H77,AQ77,AT77,O77,N77,P77,D77-$G$5,1,1)*AF77*F77*AH77</f>
        <v>222777.52942916792</v>
      </c>
      <c r="U77" s="135"/>
      <c r="V77" s="146">
        <f t="shared" si="57"/>
        <v>10.65615877633843</v>
      </c>
      <c r="W77" s="146"/>
      <c r="X77" s="338">
        <f t="shared" si="58"/>
        <v>0</v>
      </c>
      <c r="Y77" s="338">
        <f t="shared" si="18"/>
        <v>0</v>
      </c>
      <c r="Z77" s="338">
        <f t="shared" si="19"/>
        <v>21.576990375955972</v>
      </c>
      <c r="AA77" s="338">
        <f t="shared" si="20"/>
        <v>3.6412219013551783E-4</v>
      </c>
      <c r="AB77" s="338">
        <f t="shared" si="59"/>
        <v>0</v>
      </c>
      <c r="AC77" s="338">
        <f t="shared" si="60"/>
        <v>21.871915169208059</v>
      </c>
      <c r="AF77" s="138">
        <f t="shared" si="61"/>
        <v>1</v>
      </c>
      <c r="AG77" s="138">
        <f t="shared" si="62"/>
        <v>10</v>
      </c>
      <c r="AH77" s="138">
        <f t="shared" si="69"/>
        <v>31</v>
      </c>
      <c r="AI77" s="138">
        <f t="shared" si="63"/>
        <v>1749</v>
      </c>
      <c r="AJ77" s="138">
        <f t="shared" si="64"/>
        <v>1766</v>
      </c>
      <c r="AL77" s="136">
        <f t="shared" si="27"/>
        <v>3.492</v>
      </c>
      <c r="AM77" s="258">
        <f t="shared" si="28"/>
        <v>-0.42</v>
      </c>
      <c r="AN77" s="258">
        <f t="shared" si="29"/>
        <v>0.155</v>
      </c>
      <c r="AO77" s="258">
        <f t="shared" si="30"/>
        <v>0.04</v>
      </c>
      <c r="AP77" s="258">
        <f t="shared" si="31"/>
        <v>0.04</v>
      </c>
      <c r="AQ77" s="136">
        <f t="shared" si="65"/>
        <v>0</v>
      </c>
      <c r="AR77" s="137">
        <f t="shared" si="33"/>
        <v>3.5999999999999997E-2</v>
      </c>
      <c r="AS77" s="136">
        <f t="shared" si="50"/>
        <v>3.2269999999999999</v>
      </c>
      <c r="AT77" s="137">
        <f t="shared" si="51"/>
        <v>5.2961134911624401E-2</v>
      </c>
      <c r="AU77" s="137">
        <f t="shared" si="34"/>
        <v>0.77700510239882381</v>
      </c>
      <c r="AV77" s="394">
        <f t="shared" si="52"/>
        <v>8358.2438865041477</v>
      </c>
      <c r="AW77" s="137">
        <f t="shared" si="35"/>
        <v>0.2475</v>
      </c>
      <c r="AX77" s="137">
        <f t="shared" si="36"/>
        <v>0.6</v>
      </c>
      <c r="AY77" s="137">
        <f t="shared" si="37"/>
        <v>0.65</v>
      </c>
      <c r="AZ77" s="137"/>
      <c r="BA77" s="264"/>
      <c r="BB77" s="258">
        <f t="shared" si="38"/>
        <v>0</v>
      </c>
      <c r="BC77" s="258">
        <f t="shared" si="66"/>
        <v>0</v>
      </c>
      <c r="BD77" s="137">
        <f t="shared" si="67"/>
        <v>8.8117880494009704E-6</v>
      </c>
      <c r="BE77" s="137">
        <f t="shared" si="68"/>
        <v>1.0609838181130371E-5</v>
      </c>
      <c r="BF77" s="137">
        <f>_xll.xSPRDOPT($BW77,$BV77,$CG77,0,$BY77,$BX77,$BZ77,$AJ77,1,4)*$CB77</f>
        <v>6.3599042159306285E-2</v>
      </c>
      <c r="BG77" s="137">
        <f>_xll.xSPRDOPT($BW77,$BV77,$CG77,0,$BY77,$BX77,$BZ77,$AJ77,1,3)*$CB77</f>
        <v>5.5855763000775278E-2</v>
      </c>
      <c r="BH77" s="137">
        <f>IF(OR(BF77&lt;&gt;0,BG77&lt;&gt;0),_xll.xSPRDOPT($BW77,$BV77,$CG77,0,$BY77,$BX77,$BZ77,$AJ77,1,12)*$CB77,0)</f>
        <v>-5.9600713599569713E-2</v>
      </c>
      <c r="BI77" s="137">
        <f>_xll.xSPRDOPT($BW77,$BV77,$CG77,2*LN(1+CA77/2),$BY77,$BX77,$BZ77,$AJ77,1,9)</f>
        <v>9.1120311421180721E-3</v>
      </c>
      <c r="BJ77" s="137">
        <f>_xll.xSPRDOPT($BW77,$BV77,$CG77,0,$BY77,$BX77,$BZ77,$AJ77,1,6)*$CB77</f>
        <v>-2.8079207673460053E-4</v>
      </c>
      <c r="BK77" s="137">
        <f>_xll.xSPRDOPT($BW77,$BV77,$CG77,0,$BY77,$BX77,$BZ77,$AJ77,1,5)*$CB77</f>
        <v>3.5224644712685623E-4</v>
      </c>
      <c r="BL77" s="137">
        <f>_xll.xSPRDOPT(BW77,BV77,CG77,0,BY77,BX77,BZ77,AJ77,1,2)*CB77</f>
        <v>-0.77483322240310504</v>
      </c>
      <c r="BM77" s="137">
        <f>_xll.xSPRDOPT(BW77,BV77,CG77,0,BY77,BX77,BZ77,AJ77,1,1)*CB77</f>
        <v>0.77496226038211269</v>
      </c>
      <c r="BN77" s="137">
        <f>IF(AH77&lt;&gt;0,_xll.xSPRDOPT($BW77,$BV77,$CG77,2*LN(1+CA77/2),$BY77,$BX77,$BZ77,$AJ77,1,8)+(AJ77/365.25)*CH77/AH77,0)</f>
        <v>0.81830063175258372</v>
      </c>
      <c r="BO77" s="137">
        <f>_xll.xSPRDOPT($BW77,$BV77,$CG77,0,$BY77,$BX77,$BZ77,$AJ77,1,0)</f>
        <v>0.22455175111864042</v>
      </c>
      <c r="BP77" s="137"/>
      <c r="BQ77" s="137"/>
      <c r="BR77" s="137"/>
      <c r="BS77" s="137"/>
      <c r="BV77" s="262">
        <v>3.3475103734439835</v>
      </c>
      <c r="BW77" s="136">
        <v>3.5720000000000001</v>
      </c>
      <c r="BX77" s="137">
        <v>0.25273715178521644</v>
      </c>
      <c r="BY77" s="137">
        <v>0.25381914509319736</v>
      </c>
      <c r="BZ77" s="137">
        <v>0.99951836021306517</v>
      </c>
      <c r="CA77" s="137">
        <v>5.2961134911624401E-2</v>
      </c>
      <c r="CB77" s="137">
        <v>0.77667157521957753</v>
      </c>
      <c r="CC77" s="258">
        <v>-0.42</v>
      </c>
      <c r="CD77" s="258">
        <v>0.155</v>
      </c>
      <c r="CE77" s="258">
        <v>0.04</v>
      </c>
      <c r="CF77" s="258">
        <v>0.04</v>
      </c>
      <c r="CG77" s="258">
        <v>0</v>
      </c>
      <c r="CH77" s="258">
        <v>10.651584651191374</v>
      </c>
      <c r="CI77" s="258">
        <v>3.492</v>
      </c>
    </row>
    <row r="78" spans="1:87" x14ac:dyDescent="0.25">
      <c r="A78" s="723"/>
      <c r="B78" s="723"/>
      <c r="D78" s="31">
        <f t="shared" si="53"/>
        <v>39036</v>
      </c>
      <c r="F78" s="28">
        <f t="shared" si="54"/>
        <v>9300</v>
      </c>
      <c r="G78" s="28">
        <f t="shared" si="13"/>
        <v>7183.0782757149891</v>
      </c>
      <c r="H78" s="52">
        <f t="shared" si="55"/>
        <v>3.5259336099585066</v>
      </c>
      <c r="I78" s="52">
        <f t="shared" si="56"/>
        <v>3.8090000000000002</v>
      </c>
      <c r="K78" s="52">
        <f t="shared" si="43"/>
        <v>6.5589936673939304</v>
      </c>
      <c r="L78" s="135">
        <f t="shared" si="44"/>
        <v>1.8374887121019867E-3</v>
      </c>
      <c r="N78" s="131">
        <f t="shared" si="45"/>
        <v>0.2598329493345457</v>
      </c>
      <c r="O78" s="131">
        <f t="shared" si="46"/>
        <v>0.25708471122670462</v>
      </c>
      <c r="P78" s="55">
        <f t="shared" si="47"/>
        <v>0.99889060443050881</v>
      </c>
      <c r="Q78" s="135">
        <f>_xll.xSPRDOPT(I78,H78,AQ78,0,O78,N78,P78,D78-$G$5,1,0)*AH78*AU78</f>
        <v>6.5608311561060324</v>
      </c>
      <c r="R78" s="135"/>
      <c r="S78" s="181">
        <f t="shared" si="48"/>
        <v>-222216.00402165667</v>
      </c>
      <c r="T78" s="181">
        <f>_xll.xSPRDOPT(I78,H78,AQ78,AT78,O78,N78,P78,D78-$G$5,1,1)*AF78*F78*AH78</f>
        <v>214216.22787687703</v>
      </c>
      <c r="U78" s="135"/>
      <c r="V78" s="146">
        <f t="shared" si="57"/>
        <v>10.250947836052617</v>
      </c>
      <c r="W78" s="146"/>
      <c r="X78" s="338">
        <f t="shared" si="58"/>
        <v>0</v>
      </c>
      <c r="Y78" s="338">
        <f t="shared" si="18"/>
        <v>0</v>
      </c>
      <c r="Z78" s="338">
        <f t="shared" si="19"/>
        <v>26.19477116708812</v>
      </c>
      <c r="AA78" s="338">
        <f t="shared" si="20"/>
        <v>2.5356792832306813E-2</v>
      </c>
      <c r="AB78" s="338">
        <f t="shared" si="59"/>
        <v>0</v>
      </c>
      <c r="AC78" s="338">
        <f t="shared" si="60"/>
        <v>26.691716494991766</v>
      </c>
      <c r="AF78" s="138">
        <f t="shared" si="61"/>
        <v>1</v>
      </c>
      <c r="AG78" s="138">
        <f t="shared" si="62"/>
        <v>11</v>
      </c>
      <c r="AH78" s="138">
        <f t="shared" si="69"/>
        <v>30</v>
      </c>
      <c r="AI78" s="138">
        <f t="shared" si="63"/>
        <v>1780</v>
      </c>
      <c r="AJ78" s="138">
        <f t="shared" si="64"/>
        <v>1797</v>
      </c>
      <c r="AL78" s="136">
        <f t="shared" si="27"/>
        <v>3.6440000000000001</v>
      </c>
      <c r="AM78" s="258">
        <f t="shared" si="28"/>
        <v>-0.4</v>
      </c>
      <c r="AN78" s="258">
        <f t="shared" si="29"/>
        <v>0.155</v>
      </c>
      <c r="AO78" s="258">
        <f t="shared" si="30"/>
        <v>0.13</v>
      </c>
      <c r="AP78" s="258">
        <f t="shared" si="31"/>
        <v>3.5000000000000003E-2</v>
      </c>
      <c r="AQ78" s="136">
        <f t="shared" si="65"/>
        <v>0</v>
      </c>
      <c r="AR78" s="137">
        <f t="shared" si="33"/>
        <v>3.5999999999999997E-2</v>
      </c>
      <c r="AS78" s="136">
        <f t="shared" si="50"/>
        <v>3.399</v>
      </c>
      <c r="AT78" s="137">
        <f t="shared" si="51"/>
        <v>5.3283315685584802E-2</v>
      </c>
      <c r="AU78" s="137">
        <f t="shared" si="34"/>
        <v>0.77237400814139667</v>
      </c>
      <c r="AV78" s="394">
        <f t="shared" si="52"/>
        <v>8040.4134247519396</v>
      </c>
      <c r="AW78" s="137">
        <f t="shared" si="35"/>
        <v>0.2475</v>
      </c>
      <c r="AX78" s="137">
        <f t="shared" si="36"/>
        <v>0.9</v>
      </c>
      <c r="AY78" s="137">
        <f t="shared" si="37"/>
        <v>0.8</v>
      </c>
      <c r="AZ78" s="137"/>
      <c r="BA78" s="264"/>
      <c r="BB78" s="258">
        <f t="shared" si="38"/>
        <v>0</v>
      </c>
      <c r="BC78" s="258">
        <f t="shared" si="66"/>
        <v>0</v>
      </c>
      <c r="BD78" s="137">
        <f t="shared" si="67"/>
        <v>2.0090195138322553E-5</v>
      </c>
      <c r="BE78" s="137">
        <f t="shared" si="68"/>
        <v>1.5694652291009525E-5</v>
      </c>
      <c r="BF78" s="137">
        <f>_xll.xSPRDOPT($BW78,$BV78,$CG78,0,$BY78,$BX78,$BZ78,$AJ78,1,4)*$CB78</f>
        <v>6.662944590700258E-2</v>
      </c>
      <c r="BG78" s="137">
        <f>_xll.xSPRDOPT($BW78,$BV78,$CG78,0,$BY78,$BX78,$BZ78,$AJ78,1,3)*$CB78</f>
        <v>5.7094211003298458E-2</v>
      </c>
      <c r="BH78" s="137">
        <f>IF(OR(BF78&lt;&gt;0,BG78&lt;&gt;0),_xll.xSPRDOPT($BW78,$BV78,$CG78,0,$BY78,$BX78,$BZ78,$AJ78,1,12)*$CB78,0)</f>
        <v>-6.1677352424137626E-2</v>
      </c>
      <c r="BI78" s="137">
        <f>_xll.xSPRDOPT($BW78,$BV78,$CG78,2*LN(1+CA78/2),$BY78,$BX78,$BZ78,$AJ78,1,9)</f>
        <v>1.1430872364132542E-2</v>
      </c>
      <c r="BJ78" s="137">
        <f>_xll.xSPRDOPT($BW78,$BV78,$CG78,0,$BY78,$BX78,$BZ78,$AJ78,1,6)*$CB78</f>
        <v>1.2344981387285953E-2</v>
      </c>
      <c r="BK78" s="137">
        <f>_xll.xSPRDOPT($BW78,$BV78,$CG78,0,$BY78,$BX78,$BZ78,$AJ78,1,5)*$CB78</f>
        <v>-1.0011596307653161E-2</v>
      </c>
      <c r="BL78" s="137">
        <f>_xll.xSPRDOPT(BW78,BV78,CG78,0,BY78,BX78,BZ78,AJ78,1,2)*CB78</f>
        <v>-0.7699290443867709</v>
      </c>
      <c r="BM78" s="137">
        <f>_xll.xSPRDOPT(BW78,BV78,CG78,0,BY78,BX78,BZ78,AJ78,1,1)*CB78</f>
        <v>0.77010201815078472</v>
      </c>
      <c r="BN78" s="137">
        <f>IF(AH78&lt;&gt;0,_xll.xSPRDOPT($BW78,$BV78,$CG78,2*LN(1+CA78/2),$BY78,$BX78,$BZ78,$AJ78,1,8)+(AJ78/365.25)*CH78/AH78,0)</f>
        <v>0.60490770478284506</v>
      </c>
      <c r="BO78" s="137">
        <f>_xll.xSPRDOPT($BW78,$BV78,$CG78,0,$BY78,$BX78,$BZ78,$AJ78,1,0)</f>
        <v>0.28314569087520763</v>
      </c>
      <c r="BP78" s="137"/>
      <c r="BQ78" s="137"/>
      <c r="BR78" s="137"/>
      <c r="BS78" s="137"/>
      <c r="BV78" s="262">
        <v>3.5259336099585066</v>
      </c>
      <c r="BW78" s="136">
        <v>3.8090000000000002</v>
      </c>
      <c r="BX78" s="137">
        <v>0.25981285913940738</v>
      </c>
      <c r="BY78" s="137">
        <v>0.25706901657441361</v>
      </c>
      <c r="BZ78" s="137">
        <v>0.99889221583459853</v>
      </c>
      <c r="CA78" s="137">
        <v>5.3283315685584802E-2</v>
      </c>
      <c r="CB78" s="137">
        <v>0.77204047869284675</v>
      </c>
      <c r="CC78" s="258">
        <v>-0.4</v>
      </c>
      <c r="CD78" s="258">
        <v>0.155</v>
      </c>
      <c r="CE78" s="258">
        <v>0.13</v>
      </c>
      <c r="CF78" s="258">
        <v>3.5000000000000003E-2</v>
      </c>
      <c r="CG78" s="258">
        <v>0</v>
      </c>
      <c r="CH78" s="258">
        <v>10.246521233211462</v>
      </c>
      <c r="CI78" s="258">
        <v>3.6440000000000001</v>
      </c>
    </row>
    <row r="79" spans="1:87" x14ac:dyDescent="0.25">
      <c r="A79" s="723"/>
      <c r="B79" s="723"/>
      <c r="D79" s="31">
        <f t="shared" si="53"/>
        <v>39066</v>
      </c>
      <c r="F79" s="28">
        <f t="shared" si="54"/>
        <v>9300</v>
      </c>
      <c r="G79" s="28">
        <f t="shared" si="13"/>
        <v>7141.2822828922763</v>
      </c>
      <c r="H79" s="52">
        <f t="shared" si="55"/>
        <v>3.6742738589211617</v>
      </c>
      <c r="I79" s="52">
        <f t="shared" si="56"/>
        <v>3.952</v>
      </c>
      <c r="K79" s="52">
        <f t="shared" si="43"/>
        <v>6.6110692359411622</v>
      </c>
      <c r="L79" s="135">
        <f t="shared" si="44"/>
        <v>2.9860669811823115E-3</v>
      </c>
      <c r="N79" s="131">
        <f t="shared" si="45"/>
        <v>0.26826339527930698</v>
      </c>
      <c r="O79" s="131">
        <f t="shared" si="46"/>
        <v>0.26647707499561696</v>
      </c>
      <c r="P79" s="55">
        <f t="shared" si="47"/>
        <v>0.99897233903486737</v>
      </c>
      <c r="Q79" s="135">
        <f>_xll.xSPRDOPT(I79,H79,AQ79,0,O79,N79,P79,D79-$G$5,1,0)*AH79*AU79</f>
        <v>6.6140553029223446</v>
      </c>
      <c r="R79" s="135"/>
      <c r="S79" s="181">
        <f t="shared" si="48"/>
        <v>-227984.27408231862</v>
      </c>
      <c r="T79" s="181">
        <f>_xll.xSPRDOPT(I79,H79,AQ79,AT79,O79,N79,P79,D79-$G$5,1,1)*AF79*F79*AH79</f>
        <v>219776.84021535513</v>
      </c>
      <c r="U79" s="135"/>
      <c r="V79" s="146">
        <f t="shared" si="57"/>
        <v>10.531010939838477</v>
      </c>
      <c r="W79" s="146"/>
      <c r="X79" s="338">
        <f t="shared" si="58"/>
        <v>0</v>
      </c>
      <c r="Y79" s="338">
        <f t="shared" si="18"/>
        <v>0</v>
      </c>
      <c r="Z79" s="338">
        <f t="shared" si="19"/>
        <v>26.490241297846406</v>
      </c>
      <c r="AA79" s="338">
        <f t="shared" si="20"/>
        <v>3.9309904210947363E-2</v>
      </c>
      <c r="AB79" s="338">
        <f t="shared" si="59"/>
        <v>0</v>
      </c>
      <c r="AC79" s="338">
        <f t="shared" si="60"/>
        <v>27.065637065115986</v>
      </c>
      <c r="AF79" s="138">
        <f t="shared" si="61"/>
        <v>1</v>
      </c>
      <c r="AG79" s="138">
        <f t="shared" si="62"/>
        <v>12</v>
      </c>
      <c r="AH79" s="138">
        <f t="shared" si="69"/>
        <v>31</v>
      </c>
      <c r="AI79" s="138">
        <f t="shared" si="63"/>
        <v>1810</v>
      </c>
      <c r="AJ79" s="138">
        <f t="shared" si="64"/>
        <v>1827</v>
      </c>
      <c r="AL79" s="136">
        <f t="shared" si="27"/>
        <v>3.7869999999999999</v>
      </c>
      <c r="AM79" s="258">
        <f t="shared" si="28"/>
        <v>-0.4</v>
      </c>
      <c r="AN79" s="258">
        <f t="shared" si="29"/>
        <v>0.155</v>
      </c>
      <c r="AO79" s="258">
        <f t="shared" si="30"/>
        <v>0.13</v>
      </c>
      <c r="AP79" s="258">
        <f t="shared" si="31"/>
        <v>3.5000000000000003E-2</v>
      </c>
      <c r="AQ79" s="136">
        <f t="shared" si="65"/>
        <v>0</v>
      </c>
      <c r="AR79" s="137">
        <f t="shared" si="33"/>
        <v>3.5999999999999997E-2</v>
      </c>
      <c r="AS79" s="136">
        <f t="shared" si="50"/>
        <v>3.5419999999999998</v>
      </c>
      <c r="AT79" s="137">
        <f t="shared" si="51"/>
        <v>5.3595103564298502E-2</v>
      </c>
      <c r="AU79" s="137">
        <f t="shared" si="34"/>
        <v>0.76787981536476091</v>
      </c>
      <c r="AV79" s="394">
        <f t="shared" si="52"/>
        <v>8260.0831738787329</v>
      </c>
      <c r="AW79" s="137">
        <f t="shared" si="35"/>
        <v>0.2475</v>
      </c>
      <c r="AX79" s="137">
        <f t="shared" si="36"/>
        <v>1.1499999999999999</v>
      </c>
      <c r="AY79" s="137">
        <f t="shared" si="37"/>
        <v>1.1000000000000001</v>
      </c>
      <c r="AZ79" s="137"/>
      <c r="BA79" s="264"/>
      <c r="BB79" s="258">
        <f t="shared" si="38"/>
        <v>0</v>
      </c>
      <c r="BC79" s="258">
        <f t="shared" si="66"/>
        <v>0</v>
      </c>
      <c r="BD79" s="137">
        <f t="shared" si="67"/>
        <v>3.274992244450825E-5</v>
      </c>
      <c r="BE79" s="137">
        <f t="shared" si="68"/>
        <v>3.0028520459024488E-5</v>
      </c>
      <c r="BF79" s="137">
        <f>_xll.xSPRDOPT($BW79,$BV79,$CG79,0,$BY79,$BX79,$BZ79,$AJ79,1,4)*$CB79</f>
        <v>9.1463949443409159E-2</v>
      </c>
      <c r="BG79" s="137">
        <f>_xll.xSPRDOPT($BW79,$BV79,$CG79,0,$BY79,$BX79,$BZ79,$AJ79,1,3)*$CB79</f>
        <v>7.9060368188178659E-2</v>
      </c>
      <c r="BH79" s="137">
        <f>IF(OR(BF79&lt;&gt;0,BG79&lt;&gt;0),_xll.xSPRDOPT($BW79,$BV79,$CG79,0,$BY79,$BX79,$BZ79,$AJ79,1,12)*$CB79,0)</f>
        <v>-8.5035342646811896E-2</v>
      </c>
      <c r="BI79" s="137">
        <f>_xll.xSPRDOPT($BW79,$BV79,$CG79,2*LN(1+CA79/2),$BY79,$BX79,$BZ79,$AJ79,1,9)</f>
        <v>1.1186912514785987E-2</v>
      </c>
      <c r="BJ79" s="137">
        <f>_xll.xSPRDOPT($BW79,$BV79,$CG79,0,$BY79,$BX79,$BZ79,$AJ79,1,6)*$CB79</f>
        <v>1.2707653540959669E-2</v>
      </c>
      <c r="BK79" s="137">
        <f>_xll.xSPRDOPT($BW79,$BV79,$CG79,0,$BY79,$BX79,$BZ79,$AJ79,1,5)*$CB79</f>
        <v>-9.3186068662637588E-3</v>
      </c>
      <c r="BL79" s="137">
        <f>_xll.xSPRDOPT(BW79,BV79,CG79,0,BY79,BX79,BZ79,AJ79,1,2)*CB79</f>
        <v>-0.76443532557828342</v>
      </c>
      <c r="BM79" s="137">
        <f>_xll.xSPRDOPT(BW79,BV79,CG79,0,BY79,BX79,BZ79,AJ79,1,1)*CB79</f>
        <v>0.76467830313834939</v>
      </c>
      <c r="BN79" s="137">
        <f>IF(AH79&lt;&gt;0,_xll.xSPRDOPT($BW79,$BV79,$CG79,2*LN(1+CA79/2),$BY79,$BX79,$BZ79,$AJ79,1,8)+(AJ79/365.25)*CH79/AH79,0)</f>
        <v>0.63175198793693532</v>
      </c>
      <c r="BO79" s="137">
        <f>_xll.xSPRDOPT($BW79,$BV79,$CG79,0,$BY79,$BX79,$BZ79,$AJ79,1,0)</f>
        <v>0.27785158434622054</v>
      </c>
      <c r="BP79" s="137"/>
      <c r="BQ79" s="137"/>
      <c r="BR79" s="137"/>
      <c r="BS79" s="137"/>
      <c r="BV79" s="262">
        <v>3.6742738589211617</v>
      </c>
      <c r="BW79" s="136">
        <v>3.952</v>
      </c>
      <c r="BX79" s="137">
        <v>0.26823064535686247</v>
      </c>
      <c r="BY79" s="137">
        <v>0.26644704647515793</v>
      </c>
      <c r="BZ79" s="137">
        <v>0.99897375285713486</v>
      </c>
      <c r="CA79" s="137">
        <v>5.3595103564298502E-2</v>
      </c>
      <c r="CB79" s="137">
        <v>0.76754631216761238</v>
      </c>
      <c r="CC79" s="258">
        <v>-0.4</v>
      </c>
      <c r="CD79" s="258">
        <v>0.155</v>
      </c>
      <c r="CE79" s="258">
        <v>0.13</v>
      </c>
      <c r="CF79" s="258">
        <v>3.5000000000000003E-2</v>
      </c>
      <c r="CG79" s="258">
        <v>0</v>
      </c>
      <c r="CH79" s="258">
        <v>10.526437143591505</v>
      </c>
      <c r="CI79" s="258">
        <v>3.7869999999999999</v>
      </c>
    </row>
    <row r="80" spans="1:87" x14ac:dyDescent="0.25">
      <c r="A80" s="723"/>
      <c r="B80" s="723"/>
      <c r="D80" s="31">
        <f t="shared" si="53"/>
        <v>39097</v>
      </c>
      <c r="F80" s="28">
        <f t="shared" si="54"/>
        <v>9300</v>
      </c>
      <c r="G80" s="28">
        <f t="shared" si="13"/>
        <v>7100.1689680008503</v>
      </c>
      <c r="H80" s="52">
        <f t="shared" si="55"/>
        <v>3.728734439834025</v>
      </c>
      <c r="I80" s="52">
        <f t="shared" si="56"/>
        <v>4.0045000000000002</v>
      </c>
      <c r="K80" s="52">
        <f t="shared" si="43"/>
        <v>6.5266069091127621</v>
      </c>
      <c r="L80" s="135">
        <f t="shared" si="44"/>
        <v>3.5971720977148181E-3</v>
      </c>
      <c r="N80" s="131">
        <f t="shared" si="45"/>
        <v>0.26792989649741</v>
      </c>
      <c r="O80" s="131">
        <f t="shared" si="46"/>
        <v>0.26617130198123173</v>
      </c>
      <c r="P80" s="55">
        <f t="shared" si="47"/>
        <v>0.99898676340115433</v>
      </c>
      <c r="Q80" s="135">
        <f>_xll.xSPRDOPT(I80,H80,AQ80,0,O80,N80,P80,D80-$G$5,1,0)*AH80*AU80</f>
        <v>6.5302040812104769</v>
      </c>
      <c r="R80" s="135"/>
      <c r="S80" s="181">
        <f t="shared" si="48"/>
        <v>-226499.00324196956</v>
      </c>
      <c r="T80" s="181">
        <f>_xll.xSPRDOPT(I80,H80,AQ80,AT80,O80,N80,P80,D80-$G$5,1,1)*AF80*F80*AH80</f>
        <v>218345.03912525866</v>
      </c>
      <c r="U80" s="135"/>
      <c r="V80" s="146">
        <f t="shared" si="57"/>
        <v>10.470382504811923</v>
      </c>
      <c r="W80" s="146"/>
      <c r="X80" s="338">
        <f t="shared" si="58"/>
        <v>0</v>
      </c>
      <c r="Y80" s="338">
        <f t="shared" si="18"/>
        <v>0</v>
      </c>
      <c r="Z80" s="338">
        <f t="shared" si="19"/>
        <v>26.245470163164711</v>
      </c>
      <c r="AA80" s="338">
        <f t="shared" si="20"/>
        <v>4.4469504675030455E-2</v>
      </c>
      <c r="AB80" s="338">
        <f t="shared" si="59"/>
        <v>0</v>
      </c>
      <c r="AC80" s="338">
        <f t="shared" si="60"/>
        <v>26.851978538653679</v>
      </c>
      <c r="AF80" s="138">
        <f t="shared" si="61"/>
        <v>1</v>
      </c>
      <c r="AG80" s="138">
        <f t="shared" si="62"/>
        <v>1</v>
      </c>
      <c r="AH80" s="138">
        <f t="shared" si="69"/>
        <v>31</v>
      </c>
      <c r="AI80" s="138">
        <f t="shared" si="63"/>
        <v>1841</v>
      </c>
      <c r="AJ80" s="138">
        <f t="shared" si="64"/>
        <v>1858</v>
      </c>
      <c r="AL80" s="136">
        <f t="shared" si="27"/>
        <v>3.8395000000000001</v>
      </c>
      <c r="AM80" s="258">
        <f t="shared" si="28"/>
        <v>-0.4</v>
      </c>
      <c r="AN80" s="258">
        <f t="shared" si="29"/>
        <v>0.155</v>
      </c>
      <c r="AO80" s="258">
        <f t="shared" si="30"/>
        <v>0.13</v>
      </c>
      <c r="AP80" s="258">
        <f t="shared" si="31"/>
        <v>3.5000000000000003E-2</v>
      </c>
      <c r="AQ80" s="136">
        <f t="shared" si="65"/>
        <v>0</v>
      </c>
      <c r="AR80" s="137">
        <f t="shared" si="33"/>
        <v>3.5999999999999997E-2</v>
      </c>
      <c r="AS80" s="136">
        <f t="shared" si="50"/>
        <v>3.5945</v>
      </c>
      <c r="AT80" s="137">
        <f t="shared" si="51"/>
        <v>5.38548873933569E-2</v>
      </c>
      <c r="AU80" s="137">
        <f t="shared" si="34"/>
        <v>0.76345902881729577</v>
      </c>
      <c r="AV80" s="394">
        <f t="shared" si="52"/>
        <v>8212.5287729876509</v>
      </c>
      <c r="AW80" s="137">
        <f t="shared" si="35"/>
        <v>0.2475</v>
      </c>
      <c r="AX80" s="137">
        <f t="shared" si="36"/>
        <v>1.1499999999999999</v>
      </c>
      <c r="AY80" s="137">
        <f t="shared" si="37"/>
        <v>1.1000000000000001</v>
      </c>
      <c r="AZ80" s="137"/>
      <c r="BA80" s="264"/>
      <c r="BB80" s="258">
        <f t="shared" si="38"/>
        <v>0</v>
      </c>
      <c r="BC80" s="258">
        <f t="shared" si="66"/>
        <v>0</v>
      </c>
      <c r="BD80" s="137">
        <f t="shared" si="67"/>
        <v>3.1705555649019779E-5</v>
      </c>
      <c r="BE80" s="137">
        <f t="shared" si="68"/>
        <v>2.9068155078693092E-5</v>
      </c>
      <c r="BF80" s="137">
        <f>_xll.xSPRDOPT($BW80,$BV80,$CG80,0,$BY80,$BX80,$BZ80,$AJ80,1,4)*$CB80</f>
        <v>0.10360608550909936</v>
      </c>
      <c r="BG80" s="137">
        <f>_xll.xSPRDOPT($BW80,$BV80,$CG80,0,$BY80,$BX80,$BZ80,$AJ80,1,3)*$CB80</f>
        <v>8.9827917836910146E-2</v>
      </c>
      <c r="BH80" s="137">
        <f>IF(OR(BF80&lt;&gt;0,BG80&lt;&gt;0),_xll.xSPRDOPT($BW80,$BV80,$CG80,0,$BY80,$BX80,$BZ80,$AJ80,1,12)*$CB80,0)</f>
        <v>-9.6470239169009528E-2</v>
      </c>
      <c r="BI80" s="137">
        <f>_xll.xSPRDOPT($BW80,$BV80,$CG80,2*LN(1+CA80/2),$BY80,$BX80,$BZ80,$AJ80,1,9)</f>
        <v>1.1083544892005909E-2</v>
      </c>
      <c r="BJ80" s="137">
        <f>_xll.xSPRDOPT($BW80,$BV80,$CG80,0,$BY80,$BX80,$BZ80,$AJ80,1,6)*$CB80</f>
        <v>1.4842955435550731E-2</v>
      </c>
      <c r="BK80" s="137">
        <f>_xll.xSPRDOPT($BW80,$BV80,$CG80,0,$BY80,$BX80,$BZ80,$AJ80,1,5)*$CB80</f>
        <v>-1.0883278304299854E-2</v>
      </c>
      <c r="BL80" s="137">
        <f>_xll.xSPRDOPT(BW80,BV80,CG80,0,BY80,BX80,BZ80,AJ80,1,2)*CB80</f>
        <v>-0.75948718693778572</v>
      </c>
      <c r="BM80" s="137">
        <f>_xll.xSPRDOPT(BW80,BV80,CG80,0,BY80,BX80,BZ80,AJ80,1,1)*CB80</f>
        <v>0.75976671557473729</v>
      </c>
      <c r="BN80" s="137">
        <f>IF(AH80&lt;&gt;0,_xll.xSPRDOPT($BW80,$BV80,$CG80,2*LN(1+CA80/2),$BY80,$BX80,$BZ80,$AJ80,1,8)+(AJ80/365.25)*CH80/AH80,0)</f>
        <v>0.64627910144954348</v>
      </c>
      <c r="BO80" s="137">
        <f>_xll.xSPRDOPT($BW80,$BV80,$CG80,0,$BY80,$BX80,$BZ80,$AJ80,1,0)</f>
        <v>0.27591755064235818</v>
      </c>
      <c r="BP80" s="137"/>
      <c r="BQ80" s="137"/>
      <c r="BR80" s="137"/>
      <c r="BS80" s="137"/>
      <c r="BV80" s="262">
        <v>3.728734439834025</v>
      </c>
      <c r="BW80" s="136">
        <v>4.0045000000000002</v>
      </c>
      <c r="BX80" s="137">
        <v>0.26789819094176098</v>
      </c>
      <c r="BY80" s="137">
        <v>0.26614223382615304</v>
      </c>
      <c r="BZ80" s="137">
        <v>0.99898813785726115</v>
      </c>
      <c r="CA80" s="137">
        <v>5.38548873933569E-2</v>
      </c>
      <c r="CB80" s="137">
        <v>0.76312585991900983</v>
      </c>
      <c r="CC80" s="258">
        <v>-0.4</v>
      </c>
      <c r="CD80" s="258">
        <v>0.155</v>
      </c>
      <c r="CE80" s="258">
        <v>0.13</v>
      </c>
      <c r="CF80" s="258">
        <v>3.5000000000000003E-2</v>
      </c>
      <c r="CG80" s="258">
        <v>0</v>
      </c>
      <c r="CH80" s="258">
        <v>10.465813293273269</v>
      </c>
      <c r="CI80" s="258">
        <v>3.8395000000000001</v>
      </c>
    </row>
    <row r="81" spans="1:87" x14ac:dyDescent="0.25">
      <c r="A81" s="723"/>
      <c r="B81" s="723"/>
      <c r="D81" s="31">
        <f t="shared" si="53"/>
        <v>39128</v>
      </c>
      <c r="F81" s="28">
        <f t="shared" si="54"/>
        <v>9300</v>
      </c>
      <c r="G81" s="28">
        <f t="shared" si="13"/>
        <v>7061.6798867369398</v>
      </c>
      <c r="H81" s="52">
        <f t="shared" si="55"/>
        <v>3.6405601659751041</v>
      </c>
      <c r="I81" s="52">
        <f t="shared" si="56"/>
        <v>3.9195000000000002</v>
      </c>
      <c r="K81" s="52">
        <f t="shared" si="43"/>
        <v>5.9305319177649221</v>
      </c>
      <c r="L81" s="135">
        <f t="shared" si="44"/>
        <v>1.7444053631301415E-3</v>
      </c>
      <c r="N81" s="131">
        <f t="shared" si="45"/>
        <v>0.26112601834158744</v>
      </c>
      <c r="O81" s="131">
        <f t="shared" si="46"/>
        <v>0.25952205438578685</v>
      </c>
      <c r="P81" s="55">
        <f t="shared" si="47"/>
        <v>0.99905067218093535</v>
      </c>
      <c r="Q81" s="135">
        <f>_xll.xSPRDOPT(I81,H81,AQ81,0,O81,N81,P81,D81-$G$5,1,0)*AH81*AU81</f>
        <v>5.9322763231280522</v>
      </c>
      <c r="R81" s="135"/>
      <c r="S81" s="181">
        <f t="shared" si="48"/>
        <v>-203822.22406285466</v>
      </c>
      <c r="T81" s="181">
        <f>_xll.xSPRDOPT(I81,H81,AQ81,AT81,O81,N81,P81,D81-$G$5,1,1)*AF81*F81*AH81</f>
        <v>196484.62399659189</v>
      </c>
      <c r="U81" s="135"/>
      <c r="V81" s="146">
        <f t="shared" si="57"/>
        <v>9.4058538809664327</v>
      </c>
      <c r="W81" s="146"/>
      <c r="X81" s="338">
        <f t="shared" si="58"/>
        <v>0</v>
      </c>
      <c r="Y81" s="338">
        <f t="shared" si="18"/>
        <v>0</v>
      </c>
      <c r="Z81" s="338">
        <f t="shared" si="19"/>
        <v>24.040076810195977</v>
      </c>
      <c r="AA81" s="338">
        <f t="shared" si="20"/>
        <v>1.835193060368475E-2</v>
      </c>
      <c r="AB81" s="338">
        <f t="shared" si="59"/>
        <v>0</v>
      </c>
      <c r="AC81" s="338">
        <f t="shared" si="60"/>
        <v>24.476671981543525</v>
      </c>
      <c r="AF81" s="138">
        <f t="shared" si="61"/>
        <v>1</v>
      </c>
      <c r="AG81" s="138">
        <f t="shared" si="62"/>
        <v>2</v>
      </c>
      <c r="AH81" s="138">
        <f t="shared" si="69"/>
        <v>28</v>
      </c>
      <c r="AI81" s="138">
        <f t="shared" si="63"/>
        <v>1872</v>
      </c>
      <c r="AJ81" s="138">
        <f t="shared" si="64"/>
        <v>1889</v>
      </c>
      <c r="AL81" s="136">
        <f t="shared" si="27"/>
        <v>3.7545000000000002</v>
      </c>
      <c r="AM81" s="258">
        <f t="shared" si="28"/>
        <v>-0.4</v>
      </c>
      <c r="AN81" s="258">
        <f t="shared" si="29"/>
        <v>0.155</v>
      </c>
      <c r="AO81" s="258">
        <f t="shared" si="30"/>
        <v>0.13</v>
      </c>
      <c r="AP81" s="258">
        <f t="shared" si="31"/>
        <v>3.5000000000000003E-2</v>
      </c>
      <c r="AQ81" s="136">
        <f t="shared" si="65"/>
        <v>0</v>
      </c>
      <c r="AR81" s="137">
        <f t="shared" si="33"/>
        <v>3.5999999999999997E-2</v>
      </c>
      <c r="AS81" s="136">
        <f t="shared" si="50"/>
        <v>3.5095000000000001</v>
      </c>
      <c r="AT81" s="137">
        <f t="shared" si="51"/>
        <v>5.4038903438607302E-2</v>
      </c>
      <c r="AU81" s="137">
        <f t="shared" si="34"/>
        <v>0.7593204179287032</v>
      </c>
      <c r="AV81" s="394">
        <f t="shared" si="52"/>
        <v>7377.5571805952804</v>
      </c>
      <c r="AW81" s="137">
        <f t="shared" si="35"/>
        <v>0.24249999999999999</v>
      </c>
      <c r="AX81" s="137">
        <f t="shared" si="36"/>
        <v>1.1499999999999999</v>
      </c>
      <c r="AY81" s="137">
        <f t="shared" si="37"/>
        <v>1.1000000000000001</v>
      </c>
      <c r="AZ81" s="137"/>
      <c r="BA81" s="264"/>
      <c r="BB81" s="258">
        <f t="shared" si="38"/>
        <v>0</v>
      </c>
      <c r="BC81" s="258">
        <f t="shared" si="66"/>
        <v>0</v>
      </c>
      <c r="BD81" s="137">
        <f t="shared" si="67"/>
        <v>2.8527325842964135E-5</v>
      </c>
      <c r="BE81" s="137">
        <f t="shared" si="68"/>
        <v>2.614819290891468E-5</v>
      </c>
      <c r="BF81" s="137">
        <f>_xll.xSPRDOPT($BW81,$BV81,$CG81,0,$BY81,$BX81,$BZ81,$AJ81,1,4)*$CB81</f>
        <v>6.7377166485521417E-2</v>
      </c>
      <c r="BG81" s="137">
        <f>_xll.xSPRDOPT($BW81,$BV81,$CG81,0,$BY81,$BX81,$BZ81,$AJ81,1,3)*$CB81</f>
        <v>5.812830302270449E-2</v>
      </c>
      <c r="BH81" s="137">
        <f>IF(OR(BF81&lt;&gt;0,BG81&lt;&gt;0),_xll.xSPRDOPT($BW81,$BV81,$CG81,0,$BY81,$BX81,$BZ81,$AJ81,1,12)*$CB81,0)</f>
        <v>-6.2581460485882742E-2</v>
      </c>
      <c r="BI81" s="137">
        <f>_xll.xSPRDOPT($BW81,$BV81,$CG81,2*LN(1+CA81/2),$BY81,$BX81,$BZ81,$AJ81,1,9)</f>
        <v>1.123993606621106E-2</v>
      </c>
      <c r="BJ81" s="137">
        <f>_xll.xSPRDOPT($BW81,$BV81,$CG81,0,$BY81,$BX81,$BZ81,$AJ81,1,6)*$CB81</f>
        <v>7.5280518883068821E-3</v>
      </c>
      <c r="BK81" s="137">
        <f>_xll.xSPRDOPT($BW81,$BV81,$CG81,0,$BY81,$BX81,$BZ81,$AJ81,1,5)*$CB81</f>
        <v>-5.5177528216108149E-3</v>
      </c>
      <c r="BL81" s="137">
        <f>_xll.xSPRDOPT(BW81,BV81,CG81,0,BY81,BX81,BZ81,AJ81,1,2)*CB81</f>
        <v>-0.75683972583874404</v>
      </c>
      <c r="BM81" s="137">
        <f>_xll.xSPRDOPT(BW81,BV81,CG81,0,BY81,BX81,BZ81,AJ81,1,1)*CB81</f>
        <v>0.75700857237270824</v>
      </c>
      <c r="BN81" s="137">
        <f>IF(AH81&lt;&gt;0,_xll.xSPRDOPT($BW81,$BV81,$CG81,2*LN(1+CA81/2),$BY81,$BX81,$BZ81,$AJ81,1,8)+(AJ81/365.25)*CH81/AH81,0)</f>
        <v>0.6413755205884677</v>
      </c>
      <c r="BO81" s="137">
        <f>_xll.xSPRDOPT($BW81,$BV81,$CG81,0,$BY81,$BX81,$BZ81,$AJ81,1,0)</f>
        <v>0.27902232677553096</v>
      </c>
      <c r="BP81" s="137"/>
      <c r="BQ81" s="137"/>
      <c r="BR81" s="137"/>
      <c r="BS81" s="137"/>
      <c r="BV81" s="262">
        <v>3.6405601659751041</v>
      </c>
      <c r="BW81" s="136">
        <v>3.9195000000000002</v>
      </c>
      <c r="BX81" s="137">
        <v>0.26109749101574448</v>
      </c>
      <c r="BY81" s="137">
        <v>0.25949590619287793</v>
      </c>
      <c r="BZ81" s="137">
        <v>0.99905195464363838</v>
      </c>
      <c r="CA81" s="137">
        <v>5.4038903438607302E-2</v>
      </c>
      <c r="CB81" s="137">
        <v>0.75898793807064624</v>
      </c>
      <c r="CC81" s="258">
        <v>-0.4</v>
      </c>
      <c r="CD81" s="258">
        <v>0.155</v>
      </c>
      <c r="CE81" s="258">
        <v>0.13</v>
      </c>
      <c r="CF81" s="258">
        <v>3.5000000000000003E-2</v>
      </c>
      <c r="CG81" s="258">
        <v>0</v>
      </c>
      <c r="CH81" s="258">
        <v>9.4017353864687099</v>
      </c>
      <c r="CI81" s="258">
        <v>3.7545000000000002</v>
      </c>
    </row>
    <row r="82" spans="1:87" x14ac:dyDescent="0.25">
      <c r="A82" s="723"/>
      <c r="B82" s="723"/>
      <c r="D82" s="31">
        <f t="shared" si="53"/>
        <v>39156</v>
      </c>
      <c r="F82" s="28">
        <f t="shared" si="54"/>
        <v>9300</v>
      </c>
      <c r="G82" s="28">
        <f t="shared" si="13"/>
        <v>7026.9117219561704</v>
      </c>
      <c r="H82" s="52">
        <f t="shared" si="55"/>
        <v>3.5057053941908713</v>
      </c>
      <c r="I82" s="52">
        <f t="shared" si="56"/>
        <v>3.7894999999999999</v>
      </c>
      <c r="K82" s="52">
        <f t="shared" si="43"/>
        <v>6.6473321406269861</v>
      </c>
      <c r="L82" s="135">
        <f t="shared" si="44"/>
        <v>1.5250403156032988E-3</v>
      </c>
      <c r="N82" s="131">
        <f t="shared" si="45"/>
        <v>0.25095874631474063</v>
      </c>
      <c r="O82" s="131">
        <f t="shared" si="46"/>
        <v>0.24836584151095337</v>
      </c>
      <c r="P82" s="55">
        <f t="shared" si="47"/>
        <v>0.99890823456711375</v>
      </c>
      <c r="Q82" s="135">
        <f>_xll.xSPRDOPT(I82,H82,AQ82,0,O82,N82,P82,D82-$G$5,1,0)*AH82*AU82</f>
        <v>6.6488571809425894</v>
      </c>
      <c r="R82" s="135"/>
      <c r="S82" s="181">
        <f t="shared" si="48"/>
        <v>-224638.14021272093</v>
      </c>
      <c r="T82" s="181">
        <f>_xll.xSPRDOPT(I82,H82,AQ82,AT82,O82,N82,P82,D82-$G$5,1,1)*AF82*F82*AH82</f>
        <v>216551.16716506297</v>
      </c>
      <c r="U82" s="135"/>
      <c r="V82" s="146">
        <f t="shared" si="57"/>
        <v>10.362352485978034</v>
      </c>
      <c r="W82" s="146"/>
      <c r="X82" s="338">
        <f t="shared" si="58"/>
        <v>0</v>
      </c>
      <c r="Y82" s="338">
        <f t="shared" si="18"/>
        <v>0</v>
      </c>
      <c r="Z82" s="338">
        <f t="shared" si="19"/>
        <v>27.033022973645505</v>
      </c>
      <c r="AA82" s="338">
        <f t="shared" si="20"/>
        <v>1.9250591821294828E-2</v>
      </c>
      <c r="AB82" s="338">
        <f t="shared" si="59"/>
        <v>0</v>
      </c>
      <c r="AC82" s="338">
        <f t="shared" si="60"/>
        <v>27.517593089914872</v>
      </c>
      <c r="AF82" s="138">
        <f t="shared" si="61"/>
        <v>1</v>
      </c>
      <c r="AG82" s="138">
        <f t="shared" si="62"/>
        <v>3</v>
      </c>
      <c r="AH82" s="138">
        <f t="shared" si="69"/>
        <v>31</v>
      </c>
      <c r="AI82" s="138">
        <f t="shared" si="63"/>
        <v>1900</v>
      </c>
      <c r="AJ82" s="138">
        <f t="shared" si="64"/>
        <v>1917</v>
      </c>
      <c r="AL82" s="136">
        <f t="shared" si="27"/>
        <v>3.6244999999999998</v>
      </c>
      <c r="AM82" s="258">
        <f t="shared" si="28"/>
        <v>-0.4</v>
      </c>
      <c r="AN82" s="258">
        <f t="shared" si="29"/>
        <v>0.155</v>
      </c>
      <c r="AO82" s="258">
        <f t="shared" si="30"/>
        <v>0.13</v>
      </c>
      <c r="AP82" s="258">
        <f t="shared" si="31"/>
        <v>3.5000000000000003E-2</v>
      </c>
      <c r="AQ82" s="136">
        <f t="shared" si="65"/>
        <v>0</v>
      </c>
      <c r="AR82" s="137">
        <f t="shared" si="33"/>
        <v>3.5999999999999997E-2</v>
      </c>
      <c r="AS82" s="136">
        <f t="shared" si="50"/>
        <v>3.3794999999999997</v>
      </c>
      <c r="AT82" s="137">
        <f t="shared" si="51"/>
        <v>5.4205111489177997E-2</v>
      </c>
      <c r="AU82" s="137">
        <f t="shared" si="34"/>
        <v>0.75558190558668503</v>
      </c>
      <c r="AV82" s="394">
        <f t="shared" si="52"/>
        <v>8127.7945583959709</v>
      </c>
      <c r="AW82" s="137">
        <f t="shared" si="35"/>
        <v>0.24</v>
      </c>
      <c r="AX82" s="137">
        <f t="shared" si="36"/>
        <v>0.85</v>
      </c>
      <c r="AY82" s="137">
        <f t="shared" si="37"/>
        <v>0.75</v>
      </c>
      <c r="AZ82" s="137"/>
      <c r="BA82" s="264"/>
      <c r="BB82" s="258">
        <f t="shared" si="38"/>
        <v>0</v>
      </c>
      <c r="BC82" s="258">
        <f t="shared" si="66"/>
        <v>0</v>
      </c>
      <c r="BD82" s="137">
        <f t="shared" si="67"/>
        <v>1.676283610502205E-5</v>
      </c>
      <c r="BE82" s="137">
        <f t="shared" si="68"/>
        <v>1.2861859098489692E-5</v>
      </c>
      <c r="BF82" s="137">
        <f>_xll.xSPRDOPT($BW82,$BV82,$CG82,0,$BY82,$BX82,$BZ82,$AJ82,1,4)*$CB82</f>
        <v>5.7007485328776468E-2</v>
      </c>
      <c r="BG82" s="137">
        <f>_xll.xSPRDOPT($BW82,$BV82,$CG82,0,$BY82,$BX82,$BZ82,$AJ82,1,3)*$CB82</f>
        <v>4.8788600660338598E-2</v>
      </c>
      <c r="BH82" s="137">
        <f>IF(OR(BF82&lt;&gt;0,BG82&lt;&gt;0),_xll.xSPRDOPT($BW82,$BV82,$CG82,0,$BY82,$BX82,$BZ82,$AJ82,1,12)*$CB82,0)</f>
        <v>-5.2737833654392122E-2</v>
      </c>
      <c r="BI82" s="137">
        <f>_xll.xSPRDOPT($BW82,$BV82,$CG82,2*LN(1+CA82/2),$BY82,$BX82,$BZ82,$AJ82,1,9)</f>
        <v>1.1416130929730628E-2</v>
      </c>
      <c r="BJ82" s="137">
        <f>_xll.xSPRDOPT($BW82,$BV82,$CG82,0,$BY82,$BX82,$BZ82,$AJ82,1,6)*$CB82</f>
        <v>1.0517756711360366E-2</v>
      </c>
      <c r="BK82" s="137">
        <f>_xll.xSPRDOPT($BW82,$BV82,$CG82,0,$BY82,$BX82,$BZ82,$AJ82,1,5)*$CB82</f>
        <v>-8.5162380780450901E-3</v>
      </c>
      <c r="BL82" s="137">
        <f>_xll.xSPRDOPT(BW82,BV82,CG82,0,BY82,BX82,BZ82,AJ82,1,2)*CB82</f>
        <v>-0.753501740942214</v>
      </c>
      <c r="BM82" s="137">
        <f>_xll.xSPRDOPT(BW82,BV82,CG82,0,BY82,BX82,BZ82,AJ82,1,1)*CB82</f>
        <v>0.75364563691482156</v>
      </c>
      <c r="BN82" s="137">
        <f>IF(AH82&lt;&gt;0,_xll.xSPRDOPT($BW82,$BV82,$CG82,2*LN(1+CA82/2),$BY82,$BX82,$BZ82,$AJ82,1,8)+(AJ82/365.25)*CH82/AH82,0)</f>
        <v>0.62843778788717564</v>
      </c>
      <c r="BO82" s="137">
        <f>_xll.xSPRDOPT($BW82,$BV82,$CG82,0,$BY82,$BX82,$BZ82,$AJ82,1,0)</f>
        <v>0.28385971477441235</v>
      </c>
      <c r="BP82" s="137"/>
      <c r="BQ82" s="137"/>
      <c r="BR82" s="137"/>
      <c r="BS82" s="137"/>
      <c r="BV82" s="262">
        <v>3.5057053941908713</v>
      </c>
      <c r="BW82" s="136">
        <v>3.7894999999999999</v>
      </c>
      <c r="BX82" s="137">
        <v>0.25094198347863561</v>
      </c>
      <c r="BY82" s="137">
        <v>0.24835297965185488</v>
      </c>
      <c r="BZ82" s="137">
        <v>0.99890973468014166</v>
      </c>
      <c r="CA82" s="137">
        <v>5.4205111489177997E-2</v>
      </c>
      <c r="CB82" s="137">
        <v>0.75525005882146279</v>
      </c>
      <c r="CC82" s="258">
        <v>-0.4</v>
      </c>
      <c r="CD82" s="258">
        <v>0.155</v>
      </c>
      <c r="CE82" s="258">
        <v>0.13</v>
      </c>
      <c r="CF82" s="258">
        <v>3.5000000000000003E-2</v>
      </c>
      <c r="CG82" s="258">
        <v>0</v>
      </c>
      <c r="CH82" s="258">
        <v>10.35780140670107</v>
      </c>
      <c r="CI82" s="258">
        <v>3.6244999999999998</v>
      </c>
    </row>
    <row r="83" spans="1:87" x14ac:dyDescent="0.25">
      <c r="A83" s="723"/>
      <c r="B83" s="723"/>
      <c r="D83" s="31">
        <f t="shared" si="53"/>
        <v>39187</v>
      </c>
      <c r="F83" s="28">
        <f t="shared" si="54"/>
        <v>9300</v>
      </c>
      <c r="G83" s="28">
        <f t="shared" si="13"/>
        <v>6988.4163459637666</v>
      </c>
      <c r="H83" s="52">
        <f t="shared" si="55"/>
        <v>3.2774896265560161</v>
      </c>
      <c r="I83" s="52">
        <f t="shared" si="56"/>
        <v>3.5194999999999999</v>
      </c>
      <c r="K83" s="52">
        <f t="shared" si="43"/>
        <v>5.4557072569959093</v>
      </c>
      <c r="L83" s="135">
        <f t="shared" si="44"/>
        <v>7.227905018520886E-4</v>
      </c>
      <c r="N83" s="131">
        <f t="shared" si="45"/>
        <v>0.24231571652457903</v>
      </c>
      <c r="O83" s="131">
        <f t="shared" si="46"/>
        <v>0.24231571652457903</v>
      </c>
      <c r="P83" s="55">
        <f t="shared" si="47"/>
        <v>0.9994151655258785</v>
      </c>
      <c r="Q83" s="135">
        <f>_xll.xSPRDOPT(I83,H83,AQ83,0,O83,N83,P83,D83-$G$5,1,0)*AH83*AU83</f>
        <v>5.4564300474977614</v>
      </c>
      <c r="R83" s="135"/>
      <c r="S83" s="181">
        <f t="shared" si="48"/>
        <v>-216374.9816915525</v>
      </c>
      <c r="T83" s="181">
        <f>_xll.xSPRDOPT(I83,H83,AQ83,AT83,O83,N83,P83,D83-$G$5,1,1)*AF83*F83*AH83</f>
        <v>208585.48235065662</v>
      </c>
      <c r="U83" s="135"/>
      <c r="V83" s="146">
        <f t="shared" si="57"/>
        <v>9.973146424046357</v>
      </c>
      <c r="W83" s="146"/>
      <c r="X83" s="338">
        <f t="shared" si="58"/>
        <v>0</v>
      </c>
      <c r="Y83" s="338">
        <f t="shared" si="18"/>
        <v>0</v>
      </c>
      <c r="Z83" s="338">
        <f t="shared" si="19"/>
        <v>22.349636869808883</v>
      </c>
      <c r="AA83" s="338">
        <f t="shared" si="20"/>
        <v>7.6930369587242914E-5</v>
      </c>
      <c r="AB83" s="338">
        <f t="shared" si="59"/>
        <v>0</v>
      </c>
      <c r="AC83" s="338">
        <f t="shared" si="60"/>
        <v>22.659150354814461</v>
      </c>
      <c r="AF83" s="138">
        <f t="shared" si="61"/>
        <v>1</v>
      </c>
      <c r="AG83" s="138">
        <f t="shared" si="62"/>
        <v>4</v>
      </c>
      <c r="AH83" s="138">
        <f t="shared" si="69"/>
        <v>30</v>
      </c>
      <c r="AI83" s="138">
        <f t="shared" si="63"/>
        <v>1931</v>
      </c>
      <c r="AJ83" s="138">
        <f t="shared" si="64"/>
        <v>1948</v>
      </c>
      <c r="AL83" s="136">
        <f t="shared" si="27"/>
        <v>3.4394999999999998</v>
      </c>
      <c r="AM83" s="258">
        <f t="shared" si="28"/>
        <v>-0.435</v>
      </c>
      <c r="AN83" s="258">
        <f t="shared" si="29"/>
        <v>0.155</v>
      </c>
      <c r="AO83" s="258">
        <f t="shared" si="30"/>
        <v>0.04</v>
      </c>
      <c r="AP83" s="258">
        <f t="shared" si="31"/>
        <v>0.04</v>
      </c>
      <c r="AQ83" s="136">
        <f t="shared" si="65"/>
        <v>0</v>
      </c>
      <c r="AR83" s="137">
        <f t="shared" si="33"/>
        <v>3.5999999999999997E-2</v>
      </c>
      <c r="AS83" s="136">
        <f t="shared" si="50"/>
        <v>3.1594999999999995</v>
      </c>
      <c r="AT83" s="137">
        <f t="shared" si="51"/>
        <v>5.4389127555903201E-2</v>
      </c>
      <c r="AU83" s="137">
        <f t="shared" si="34"/>
        <v>0.75144261784556632</v>
      </c>
      <c r="AV83" s="394">
        <f t="shared" si="52"/>
        <v>7822.5176517723457</v>
      </c>
      <c r="AW83" s="137">
        <f t="shared" si="35"/>
        <v>0.24</v>
      </c>
      <c r="AX83" s="137">
        <f t="shared" si="36"/>
        <v>0.45</v>
      </c>
      <c r="AY83" s="137">
        <f t="shared" si="37"/>
        <v>0.45</v>
      </c>
      <c r="AZ83" s="137"/>
      <c r="BA83" s="264"/>
      <c r="BB83" s="258">
        <f t="shared" si="38"/>
        <v>0</v>
      </c>
      <c r="BC83" s="258">
        <f t="shared" si="66"/>
        <v>0</v>
      </c>
      <c r="BD83" s="137">
        <f t="shared" si="67"/>
        <v>3.5474625900977497E-6</v>
      </c>
      <c r="BE83" s="137">
        <f t="shared" si="68"/>
        <v>3.5474625900977497E-6</v>
      </c>
      <c r="BF83" s="137">
        <f>_xll.xSPRDOPT($BW83,$BV83,$CG83,0,$BY83,$BX83,$BZ83,$AJ83,1,4)*$CB83</f>
        <v>3.8441599028980852E-2</v>
      </c>
      <c r="BG83" s="137">
        <f>_xll.xSPRDOPT($BW83,$BV83,$CG83,0,$BY83,$BX83,$BZ83,$AJ83,1,3)*$CB83</f>
        <v>3.3336925575145678E-2</v>
      </c>
      <c r="BH83" s="137">
        <f>IF(OR(BF83&lt;&gt;0,BG83&lt;&gt;0),_xll.xSPRDOPT($BW83,$BV83,$CG83,0,$BY83,$BX83,$BZ83,$AJ83,1,12)*$CB83,0)</f>
        <v>-3.5797971216827894E-2</v>
      </c>
      <c r="BI83" s="137">
        <f>_xll.xSPRDOPT($BW83,$BV83,$CG83,2*LN(1+CA83/2),$BY83,$BX83,$BZ83,$AJ83,1,9)</f>
        <v>9.7529329351226934E-3</v>
      </c>
      <c r="BJ83" s="137">
        <f>_xll.xSPRDOPT($BW83,$BV83,$CG83,0,$BY83,$BX83,$BZ83,$AJ83,1,6)*$CB83</f>
        <v>3.9540930964201851E-5</v>
      </c>
      <c r="BK83" s="137">
        <f>_xll.xSPRDOPT($BW83,$BV83,$CG83,0,$BY83,$BX83,$BZ83,$AJ83,1,5)*$CB83</f>
        <v>3.8186764453990056E-5</v>
      </c>
      <c r="BL83" s="137">
        <f>_xll.xSPRDOPT(BW83,BV83,CG83,0,BY83,BX83,BZ83,AJ83,1,2)*CB83</f>
        <v>-0.75010398499120734</v>
      </c>
      <c r="BM83" s="137">
        <f>_xll.xSPRDOPT(BW83,BV83,CG83,0,BY83,BX83,BZ83,AJ83,1,1)*CB83</f>
        <v>0.75018014492813689</v>
      </c>
      <c r="BN83" s="137">
        <f>IF(AH83&lt;&gt;0,_xll.xSPRDOPT($BW83,$BV83,$CG83,2*LN(1+CA83/2),$BY83,$BX83,$BZ83,$AJ83,1,8)+(AJ83/365.25)*CH83/AH83,0)</f>
        <v>0.80274024250024678</v>
      </c>
      <c r="BO83" s="137">
        <f>_xll.xSPRDOPT($BW83,$BV83,$CG83,0,$BY83,$BX83,$BZ83,$AJ83,1,0)</f>
        <v>0.2420426467769311</v>
      </c>
      <c r="BP83" s="137"/>
      <c r="BQ83" s="137"/>
      <c r="BR83" s="137"/>
      <c r="BS83" s="137"/>
      <c r="BV83" s="262">
        <v>3.2774896265560161</v>
      </c>
      <c r="BW83" s="136">
        <v>3.5194999999999999</v>
      </c>
      <c r="BX83" s="137">
        <v>0.24231216906198894</v>
      </c>
      <c r="BY83" s="137">
        <v>0.24231216906198894</v>
      </c>
      <c r="BZ83" s="137">
        <v>0.99941604863508748</v>
      </c>
      <c r="CA83" s="137">
        <v>5.4389127555903201E-2</v>
      </c>
      <c r="CB83" s="137">
        <v>0.7511114837850088</v>
      </c>
      <c r="CC83" s="258">
        <v>-0.435</v>
      </c>
      <c r="CD83" s="258">
        <v>0.155</v>
      </c>
      <c r="CE83" s="258">
        <v>0.04</v>
      </c>
      <c r="CF83" s="258">
        <v>0.04</v>
      </c>
      <c r="CG83" s="258">
        <v>0</v>
      </c>
      <c r="CH83" s="258">
        <v>9.9687516127946374</v>
      </c>
      <c r="CI83" s="258">
        <v>3.4394999999999998</v>
      </c>
    </row>
    <row r="84" spans="1:87" x14ac:dyDescent="0.25">
      <c r="A84" s="723"/>
      <c r="B84" s="723"/>
      <c r="D84" s="31">
        <f t="shared" si="53"/>
        <v>39217</v>
      </c>
      <c r="F84" s="28">
        <f t="shared" si="54"/>
        <v>9300</v>
      </c>
      <c r="G84" s="28">
        <f t="shared" si="13"/>
        <v>6951.1628628949939</v>
      </c>
      <c r="H84" s="52">
        <f t="shared" si="55"/>
        <v>3.2723029045643153</v>
      </c>
      <c r="I84" s="52">
        <f t="shared" si="56"/>
        <v>3.5145</v>
      </c>
      <c r="K84" s="52">
        <f t="shared" si="43"/>
        <v>5.6118381843118863</v>
      </c>
      <c r="L84" s="135">
        <f t="shared" si="44"/>
        <v>1.1543269667955158E-3</v>
      </c>
      <c r="N84" s="131">
        <f t="shared" si="45"/>
        <v>0.24235578565483928</v>
      </c>
      <c r="O84" s="131">
        <f t="shared" si="46"/>
        <v>0.24312307323178436</v>
      </c>
      <c r="P84" s="55">
        <f t="shared" si="47"/>
        <v>0.99917981903692155</v>
      </c>
      <c r="Q84" s="135">
        <f>_xll.xSPRDOPT(I84,H84,AQ84,0,O84,N84,P84,D84-$G$5,1,0)*AH84*AU84</f>
        <v>5.6129925112786818</v>
      </c>
      <c r="R84" s="135"/>
      <c r="S84" s="181">
        <f t="shared" si="48"/>
        <v>-222231.86408488441</v>
      </c>
      <c r="T84" s="181">
        <f>_xll.xSPRDOPT(I84,H84,AQ84,AT84,O84,N84,P84,D84-$G$5,1,1)*AF84*F84*AH84</f>
        <v>214231.51697782855</v>
      </c>
      <c r="U84" s="135"/>
      <c r="V84" s="146">
        <f t="shared" si="57"/>
        <v>10.250648168482485</v>
      </c>
      <c r="W84" s="146"/>
      <c r="X84" s="338">
        <f t="shared" si="58"/>
        <v>0</v>
      </c>
      <c r="Y84" s="338">
        <f t="shared" si="18"/>
        <v>0</v>
      </c>
      <c r="Z84" s="338">
        <f t="shared" si="19"/>
        <v>23.0296573440591</v>
      </c>
      <c r="AA84" s="338">
        <f t="shared" si="20"/>
        <v>1.3605112042933221E-3</v>
      </c>
      <c r="AB84" s="338">
        <f t="shared" si="59"/>
        <v>0</v>
      </c>
      <c r="AC84" s="338">
        <f t="shared" si="60"/>
        <v>23.385609483174996</v>
      </c>
      <c r="AF84" s="138">
        <f t="shared" si="61"/>
        <v>1</v>
      </c>
      <c r="AG84" s="138">
        <f t="shared" si="62"/>
        <v>5</v>
      </c>
      <c r="AH84" s="138">
        <f t="shared" si="69"/>
        <v>31</v>
      </c>
      <c r="AI84" s="138">
        <f t="shared" si="63"/>
        <v>1961</v>
      </c>
      <c r="AJ84" s="138">
        <f t="shared" si="64"/>
        <v>1978</v>
      </c>
      <c r="AL84" s="136">
        <f t="shared" si="27"/>
        <v>3.4344999999999999</v>
      </c>
      <c r="AM84" s="258">
        <f t="shared" si="28"/>
        <v>-0.435</v>
      </c>
      <c r="AN84" s="258">
        <f t="shared" si="29"/>
        <v>0.155</v>
      </c>
      <c r="AO84" s="258">
        <f t="shared" si="30"/>
        <v>0.04</v>
      </c>
      <c r="AP84" s="258">
        <f t="shared" si="31"/>
        <v>0.04</v>
      </c>
      <c r="AQ84" s="136">
        <f t="shared" si="65"/>
        <v>0</v>
      </c>
      <c r="AR84" s="137">
        <f t="shared" si="33"/>
        <v>3.5999999999999997E-2</v>
      </c>
      <c r="AS84" s="136">
        <f t="shared" si="50"/>
        <v>3.1544999999999996</v>
      </c>
      <c r="AT84" s="137">
        <f t="shared" si="51"/>
        <v>5.4567207631218001E-2</v>
      </c>
      <c r="AU84" s="137">
        <f t="shared" si="34"/>
        <v>0.7474368669779563</v>
      </c>
      <c r="AV84" s="394">
        <f t="shared" si="52"/>
        <v>8040.178378081876</v>
      </c>
      <c r="AW84" s="137">
        <f t="shared" si="35"/>
        <v>0.24</v>
      </c>
      <c r="AX84" s="137">
        <f t="shared" si="36"/>
        <v>0.45</v>
      </c>
      <c r="AY84" s="137">
        <f t="shared" si="37"/>
        <v>0.5</v>
      </c>
      <c r="AZ84" s="137"/>
      <c r="BA84" s="264"/>
      <c r="BB84" s="258">
        <f t="shared" si="38"/>
        <v>0</v>
      </c>
      <c r="BC84" s="258">
        <f t="shared" si="66"/>
        <v>0</v>
      </c>
      <c r="BD84" s="137">
        <f t="shared" si="67"/>
        <v>3.5529476572759844E-6</v>
      </c>
      <c r="BE84" s="137">
        <f t="shared" si="68"/>
        <v>4.7027698327206657E-6</v>
      </c>
      <c r="BF84" s="137">
        <f>_xll.xSPRDOPT($BW84,$BV84,$CG84,0,$BY84,$BX84,$BZ84,$AJ84,1,4)*$CB84</f>
        <v>5.7331592014707097E-2</v>
      </c>
      <c r="BG84" s="137">
        <f>_xll.xSPRDOPT($BW84,$BV84,$CG84,0,$BY84,$BX84,$BZ84,$AJ84,1,3)*$CB84</f>
        <v>4.9701859798109031E-2</v>
      </c>
      <c r="BH84" s="137">
        <f>IF(OR(BF84&lt;&gt;0,BG84&lt;&gt;0),_xll.xSPRDOPT($BW84,$BV84,$CG84,0,$BY84,$BX84,$BZ84,$AJ84,1,12)*$CB84,0)</f>
        <v>-5.3379974172513646E-2</v>
      </c>
      <c r="BI84" s="137">
        <f>_xll.xSPRDOPT($BW84,$BV84,$CG84,2*LN(1+CA84/2),$BY84,$BX84,$BZ84,$AJ84,1,9)</f>
        <v>9.7254969879958224E-3</v>
      </c>
      <c r="BJ84" s="137">
        <f>_xll.xSPRDOPT($BW84,$BV84,$CG84,0,$BY84,$BX84,$BZ84,$AJ84,1,6)*$CB84</f>
        <v>-1.0609651159148147E-3</v>
      </c>
      <c r="BK84" s="137">
        <f>_xll.xSPRDOPT($BW84,$BV84,$CG84,0,$BY84,$BX84,$BZ84,$AJ84,1,5)*$CB84</f>
        <v>1.8050288132718632E-3</v>
      </c>
      <c r="BL84" s="137">
        <f>_xll.xSPRDOPT(BW84,BV84,CG84,0,BY84,BX84,BZ84,AJ84,1,2)*CB84</f>
        <v>-0.74557595041060931</v>
      </c>
      <c r="BM84" s="137">
        <f>_xll.xSPRDOPT(BW84,BV84,CG84,0,BY84,BX84,BZ84,AJ84,1,1)*CB84</f>
        <v>0.74569207015900285</v>
      </c>
      <c r="BN84" s="137">
        <f>IF(AH84&lt;&gt;0,_xll.xSPRDOPT($BW84,$BV84,$CG84,2*LN(1+CA84/2),$BY84,$BX84,$BZ84,$AJ84,1,8)+(AJ84/365.25)*CH84/AH84,0)</f>
        <v>0.80992727223099914</v>
      </c>
      <c r="BO84" s="137">
        <f>_xll.xSPRDOPT($BW84,$BV84,$CG84,0,$BY84,$BX84,$BZ84,$AJ84,1,0)</f>
        <v>0.24224722662297274</v>
      </c>
      <c r="BP84" s="137"/>
      <c r="BQ84" s="137"/>
      <c r="BR84" s="137"/>
      <c r="BS84" s="137"/>
      <c r="BV84" s="262">
        <v>3.2723029045643153</v>
      </c>
      <c r="BW84" s="136">
        <v>3.5145</v>
      </c>
      <c r="BX84" s="137">
        <v>0.24235223270718201</v>
      </c>
      <c r="BY84" s="137">
        <v>0.24311837046195164</v>
      </c>
      <c r="BZ84" s="137">
        <v>0.99918102681129317</v>
      </c>
      <c r="CA84" s="137">
        <v>5.4567207631218001E-2</v>
      </c>
      <c r="CB84" s="137">
        <v>0.7471064343152839</v>
      </c>
      <c r="CC84" s="258">
        <v>-0.435</v>
      </c>
      <c r="CD84" s="258">
        <v>0.155</v>
      </c>
      <c r="CE84" s="258">
        <v>0.04</v>
      </c>
      <c r="CF84" s="258">
        <v>0.04</v>
      </c>
      <c r="CG84" s="258">
        <v>0</v>
      </c>
      <c r="CH84" s="258">
        <v>10.24611648277353</v>
      </c>
      <c r="CI84" s="258">
        <v>3.4344999999999999</v>
      </c>
    </row>
    <row r="85" spans="1:87" x14ac:dyDescent="0.25">
      <c r="A85" s="723"/>
      <c r="B85" s="723"/>
      <c r="D85" s="31">
        <f t="shared" si="53"/>
        <v>39248</v>
      </c>
      <c r="F85" s="28">
        <f t="shared" si="54"/>
        <v>9300</v>
      </c>
      <c r="G85" s="28">
        <f t="shared" si="13"/>
        <v>6912.6700000439514</v>
      </c>
      <c r="H85" s="52">
        <f t="shared" si="55"/>
        <v>3.3086099585062239</v>
      </c>
      <c r="I85" s="52">
        <f t="shared" si="56"/>
        <v>3.5495000000000001</v>
      </c>
      <c r="K85" s="52">
        <f t="shared" si="43"/>
        <v>5.37159149401087</v>
      </c>
      <c r="L85" s="135">
        <f t="shared" si="44"/>
        <v>1.3362835236785386E-3</v>
      </c>
      <c r="N85" s="131">
        <f t="shared" si="45"/>
        <v>0.24224565969539186</v>
      </c>
      <c r="O85" s="131">
        <f t="shared" si="46"/>
        <v>0.24297729753023667</v>
      </c>
      <c r="P85" s="55">
        <f t="shared" si="47"/>
        <v>0.99921729497999023</v>
      </c>
      <c r="Q85" s="135">
        <f>_xll.xSPRDOPT(I85,H85,AQ85,0,O85,N85,P85,D85-$G$5,1,0)*AH85*AU85</f>
        <v>5.3729277775345485</v>
      </c>
      <c r="R85" s="135"/>
      <c r="S85" s="181">
        <f t="shared" si="48"/>
        <v>-213787.30630072352</v>
      </c>
      <c r="T85" s="181">
        <f>_xll.xSPRDOPT(I85,H85,AQ85,AT85,O85,N85,P85,D85-$G$5,1,1)*AF85*F85*AH85</f>
        <v>206090.96327389748</v>
      </c>
      <c r="U85" s="135"/>
      <c r="V85" s="146">
        <f t="shared" si="57"/>
        <v>9.865049058127239</v>
      </c>
      <c r="W85" s="146"/>
      <c r="X85" s="338">
        <f t="shared" si="58"/>
        <v>0</v>
      </c>
      <c r="Y85" s="338">
        <f t="shared" si="18"/>
        <v>0</v>
      </c>
      <c r="Z85" s="338">
        <f t="shared" si="19"/>
        <v>22.117911650840476</v>
      </c>
      <c r="AA85" s="338">
        <f t="shared" si="20"/>
        <v>1.2189498554322441E-3</v>
      </c>
      <c r="AB85" s="338">
        <f t="shared" si="59"/>
        <v>0</v>
      </c>
      <c r="AC85" s="338">
        <f t="shared" si="60"/>
        <v>22.460880307087717</v>
      </c>
      <c r="AF85" s="138">
        <f t="shared" si="61"/>
        <v>1</v>
      </c>
      <c r="AG85" s="138">
        <f t="shared" si="62"/>
        <v>6</v>
      </c>
      <c r="AH85" s="138">
        <f t="shared" si="69"/>
        <v>30</v>
      </c>
      <c r="AI85" s="138">
        <f t="shared" si="63"/>
        <v>1992</v>
      </c>
      <c r="AJ85" s="138">
        <f t="shared" si="64"/>
        <v>2009</v>
      </c>
      <c r="AL85" s="136">
        <f t="shared" si="27"/>
        <v>3.4695</v>
      </c>
      <c r="AM85" s="258">
        <f t="shared" si="28"/>
        <v>-0.435</v>
      </c>
      <c r="AN85" s="258">
        <f t="shared" si="29"/>
        <v>0.155</v>
      </c>
      <c r="AO85" s="258">
        <f t="shared" si="30"/>
        <v>0.04</v>
      </c>
      <c r="AP85" s="258">
        <f t="shared" si="31"/>
        <v>0.04</v>
      </c>
      <c r="AQ85" s="136">
        <f t="shared" si="65"/>
        <v>0</v>
      </c>
      <c r="AR85" s="137">
        <f t="shared" si="33"/>
        <v>3.5999999999999997E-2</v>
      </c>
      <c r="AS85" s="136">
        <f t="shared" si="50"/>
        <v>3.1894999999999998</v>
      </c>
      <c r="AT85" s="137">
        <f t="shared" si="51"/>
        <v>5.4751223720142399E-2</v>
      </c>
      <c r="AU85" s="137">
        <f t="shared" si="34"/>
        <v>0.74329784946709154</v>
      </c>
      <c r="AV85" s="394">
        <f t="shared" si="52"/>
        <v>7737.7306129524231</v>
      </c>
      <c r="AW85" s="137">
        <f t="shared" si="35"/>
        <v>0.24</v>
      </c>
      <c r="AX85" s="137">
        <f t="shared" si="36"/>
        <v>0.45</v>
      </c>
      <c r="AY85" s="137">
        <f t="shared" si="37"/>
        <v>0.5</v>
      </c>
      <c r="AZ85" s="137"/>
      <c r="BA85" s="264"/>
      <c r="BB85" s="258">
        <f t="shared" si="38"/>
        <v>0</v>
      </c>
      <c r="BC85" s="258">
        <f t="shared" si="66"/>
        <v>0</v>
      </c>
      <c r="BD85" s="137">
        <f t="shared" si="67"/>
        <v>3.3362182957075159E-6</v>
      </c>
      <c r="BE85" s="137">
        <f t="shared" si="68"/>
        <v>4.4165424145370391E-6</v>
      </c>
      <c r="BF85" s="137">
        <f>_xll.xSPRDOPT($BW85,$BV85,$CG85,0,$BY85,$BX85,$BZ85,$AJ85,1,4)*$CB85</f>
        <v>6.3808376394177718E-2</v>
      </c>
      <c r="BG85" s="137">
        <f>_xll.xSPRDOPT($BW85,$BV85,$CG85,0,$BY85,$BX85,$BZ85,$AJ85,1,3)*$CB85</f>
        <v>5.5441445570473112E-2</v>
      </c>
      <c r="BH85" s="137">
        <f>IF(OR(BF85&lt;&gt;0,BG85&lt;&gt;0),_xll.xSPRDOPT($BW85,$BV85,$CG85,0,$BY85,$BX85,$BZ85,$AJ85,1,12)*$CB85,0)</f>
        <v>-5.9477159565354758E-2</v>
      </c>
      <c r="BI85" s="137">
        <f>_xll.xSPRDOPT($BW85,$BV85,$CG85,2*LN(1+CA85/2),$BY85,$BX85,$BZ85,$AJ85,1,9)</f>
        <v>9.6518127006803879E-3</v>
      </c>
      <c r="BJ85" s="137">
        <f>_xll.xSPRDOPT($BW85,$BV85,$CG85,0,$BY85,$BX85,$BZ85,$AJ85,1,6)*$CB85</f>
        <v>-1.0455063650088418E-3</v>
      </c>
      <c r="BK85" s="137">
        <f>_xll.xSPRDOPT($BW85,$BV85,$CG85,0,$BY85,$BX85,$BZ85,$AJ85,1,5)*$CB85</f>
        <v>1.779000997469505E-3</v>
      </c>
      <c r="BL85" s="137">
        <f>_xll.xSPRDOPT(BW85,BV85,CG85,0,BY85,BX85,BZ85,AJ85,1,2)*CB85</f>
        <v>-0.7412001469399141</v>
      </c>
      <c r="BM85" s="137">
        <f>_xll.xSPRDOPT(BW85,BV85,CG85,0,BY85,BX85,BZ85,AJ85,1,1)*CB85</f>
        <v>0.74133274416950989</v>
      </c>
      <c r="BN85" s="137">
        <f>IF(AH85&lt;&gt;0,_xll.xSPRDOPT($BW85,$BV85,$CG85,2*LN(1+CA85/2),$BY85,$BX85,$BZ85,$AJ85,1,8)+(AJ85/365.25)*CH85/AH85,0)</f>
        <v>0.82340641103852574</v>
      </c>
      <c r="BO85" s="137">
        <f>_xll.xSPRDOPT($BW85,$BV85,$CG85,0,$BY85,$BX85,$BZ85,$AJ85,1,0)</f>
        <v>0.24095032207499653</v>
      </c>
      <c r="BP85" s="137"/>
      <c r="BQ85" s="137"/>
      <c r="BR85" s="137"/>
      <c r="BS85" s="137"/>
      <c r="BV85" s="262">
        <v>3.3086099585062239</v>
      </c>
      <c r="BW85" s="136">
        <v>3.5495000000000001</v>
      </c>
      <c r="BX85" s="137">
        <v>0.24224232347709615</v>
      </c>
      <c r="BY85" s="137">
        <v>0.24297288098782213</v>
      </c>
      <c r="BZ85" s="137">
        <v>0.99921843159464341</v>
      </c>
      <c r="CA85" s="137">
        <v>5.4751223720142399E-2</v>
      </c>
      <c r="CB85" s="137">
        <v>0.74296815354434165</v>
      </c>
      <c r="CC85" s="258">
        <v>-0.435</v>
      </c>
      <c r="CD85" s="258">
        <v>0.155</v>
      </c>
      <c r="CE85" s="258">
        <v>0.04</v>
      </c>
      <c r="CF85" s="258">
        <v>0.04</v>
      </c>
      <c r="CG85" s="258">
        <v>0</v>
      </c>
      <c r="CH85" s="258">
        <v>9.8606733338405022</v>
      </c>
      <c r="CI85" s="258">
        <v>3.4695</v>
      </c>
    </row>
    <row r="86" spans="1:87" x14ac:dyDescent="0.25">
      <c r="A86" s="723"/>
      <c r="B86" s="723"/>
      <c r="D86" s="31">
        <f t="shared" si="53"/>
        <v>39278</v>
      </c>
      <c r="F86" s="28">
        <f t="shared" si="54"/>
        <v>9300</v>
      </c>
      <c r="G86" s="28">
        <f t="shared" ref="G86:G105" si="70">F86*$AU86</f>
        <v>6875.4233501049393</v>
      </c>
      <c r="H86" s="52">
        <f t="shared" si="55"/>
        <v>3.3501037344398341</v>
      </c>
      <c r="I86" s="52">
        <f t="shared" si="56"/>
        <v>3.5895000000000001</v>
      </c>
      <c r="K86" s="52">
        <f t="shared" si="43"/>
        <v>5.4865022472009617</v>
      </c>
      <c r="L86" s="135">
        <f t="shared" si="44"/>
        <v>2.1754533959752465E-3</v>
      </c>
      <c r="N86" s="131">
        <f t="shared" si="45"/>
        <v>0.24303015541639639</v>
      </c>
      <c r="O86" s="131">
        <f t="shared" si="46"/>
        <v>0.2438504520085728</v>
      </c>
      <c r="P86" s="55">
        <f t="shared" si="47"/>
        <v>0.99906860458058599</v>
      </c>
      <c r="Q86" s="135">
        <f>_xll.xSPRDOPT(I86,H86,AQ86,0,O86,N86,P86,D86-$G$5,1,0)*AH86*AU86</f>
        <v>5.4886777005969369</v>
      </c>
      <c r="R86" s="135"/>
      <c r="S86" s="181">
        <f t="shared" si="48"/>
        <v>-219455.08826910527</v>
      </c>
      <c r="T86" s="181">
        <f>_xll.xSPRDOPT(I86,H86,AQ86,AT86,O86,N86,P86,D86-$G$5,1,1)*AF86*F86*AH86</f>
        <v>211554.70509141748</v>
      </c>
      <c r="U86" s="135"/>
      <c r="V86" s="146">
        <f t="shared" si="57"/>
        <v>10.138957633621418</v>
      </c>
      <c r="W86" s="146"/>
      <c r="X86" s="338">
        <f t="shared" si="58"/>
        <v>0</v>
      </c>
      <c r="Y86" s="338">
        <f t="shared" ref="Y86:Y105" si="71">($F86*$AH86)*((($BG86/2)*($BC86)^2)+(($BF86/2)*($BB86)^2)+($BH86*$BC86*$BB86))</f>
        <v>0</v>
      </c>
      <c r="Z86" s="338">
        <f t="shared" ref="Z86:Z105" si="72">($BI86*$F86*$AH86*($G$5-$BV$5))/365.25</f>
        <v>22.591592303753128</v>
      </c>
      <c r="AA86" s="338">
        <f t="shared" ref="AA86:AA105" si="73">(($BK86*$BE86)+($BJ86*$BD86))*$F86*$AH86*$AF86</f>
        <v>4.5810485738793224E-3</v>
      </c>
      <c r="AB86" s="338">
        <f t="shared" si="59"/>
        <v>0</v>
      </c>
      <c r="AC86" s="338">
        <f t="shared" si="60"/>
        <v>23.01937066382175</v>
      </c>
      <c r="AF86" s="138">
        <f t="shared" si="61"/>
        <v>1</v>
      </c>
      <c r="AG86" s="138">
        <f t="shared" si="62"/>
        <v>7</v>
      </c>
      <c r="AH86" s="138">
        <f t="shared" ref="AH86:AH105" si="74">(EOMONTH(D86,0)-EOMONTH(D86-DAY(D86),0))*AF86</f>
        <v>31</v>
      </c>
      <c r="AI86" s="138">
        <f t="shared" si="63"/>
        <v>2022</v>
      </c>
      <c r="AJ86" s="138">
        <f t="shared" si="64"/>
        <v>2039</v>
      </c>
      <c r="AL86" s="136">
        <f t="shared" ref="AL86:AL105" si="75">VLOOKUP($D86,CurveTbl,$AK$4)</f>
        <v>3.5095000000000001</v>
      </c>
      <c r="AM86" s="258">
        <f t="shared" ref="AM86:AM105" si="76">VLOOKUP($D86,CurveTbl,$AH$3)</f>
        <v>-0.435</v>
      </c>
      <c r="AN86" s="258">
        <f t="shared" ref="AN86:AN105" si="77">VLOOKUP($D86,CurveTbl,$AH$4)+VLOOKUP($AG86,$AL$3:$AS$15,6)</f>
        <v>0.155</v>
      </c>
      <c r="AO86" s="258">
        <f t="shared" ref="AO86:AO105" si="78">VLOOKUP($D86,CurveTbl,$AH$5)</f>
        <v>0.04</v>
      </c>
      <c r="AP86" s="258">
        <f t="shared" ref="AP86:AP105" si="79">VLOOKUP($D86,CurveTbl,$AH$6)+VLOOKUP($AG86,$AL$3:$AS$15,7)</f>
        <v>0.04</v>
      </c>
      <c r="AQ86" s="136">
        <f t="shared" si="65"/>
        <v>0</v>
      </c>
      <c r="AR86" s="137">
        <f t="shared" ref="AR86:AR105" si="80">VLOOKUP($AG86,$AL$4:$AS$15,4)</f>
        <v>3.5999999999999997E-2</v>
      </c>
      <c r="AS86" s="136">
        <f t="shared" si="50"/>
        <v>3.2294999999999998</v>
      </c>
      <c r="AT86" s="137">
        <f t="shared" si="51"/>
        <v>5.4929303816937801E-2</v>
      </c>
      <c r="AU86" s="137">
        <f t="shared" ref="AU86:AU105" si="81">(1+$AT86/2)^(-2*($D86-$G$5)/365.25)*$AF86</f>
        <v>0.73929283334461715</v>
      </c>
      <c r="AV86" s="394">
        <f t="shared" si="52"/>
        <v>7952.5730082880464</v>
      </c>
      <c r="AW86" s="137">
        <f t="shared" ref="AW86:AW105" si="82">VLOOKUP($D86,CurveTbl,$AK$8)</f>
        <v>0.24</v>
      </c>
      <c r="AX86" s="137">
        <f t="shared" ref="AX86:AX105" si="83">VLOOKUP($D86,CurveTbl,$AH$7)</f>
        <v>0.5</v>
      </c>
      <c r="AY86" s="137">
        <f t="shared" ref="AY86:AY105" si="84">VLOOKUP($D86,CurveTbl,$AH$8)</f>
        <v>0.55000000000000004</v>
      </c>
      <c r="AZ86" s="137"/>
      <c r="BA86" s="264"/>
      <c r="BB86" s="258">
        <f t="shared" ref="BB86:BB105" si="85">$H86-$BV86</f>
        <v>0</v>
      </c>
      <c r="BC86" s="258">
        <f t="shared" si="66"/>
        <v>0</v>
      </c>
      <c r="BD86" s="137">
        <f t="shared" si="67"/>
        <v>4.4272862194938423E-6</v>
      </c>
      <c r="BE86" s="137">
        <f t="shared" si="68"/>
        <v>5.6164120477986135E-6</v>
      </c>
      <c r="BF86" s="137">
        <f>_xll.xSPRDOPT($BW86,$BV86,$CG86,0,$BY86,$BX86,$BZ86,$AJ86,1,4)*$CB86</f>
        <v>9.1557645522840736E-2</v>
      </c>
      <c r="BG86" s="137">
        <f>_xll.xSPRDOPT($BW86,$BV86,$CG86,0,$BY86,$BX86,$BZ86,$AJ86,1,3)*$CB86</f>
        <v>7.9752212207579415E-2</v>
      </c>
      <c r="BH86" s="137">
        <f>IF(OR(BF86&lt;&gt;0,BG86&lt;&gt;0),_xll.xSPRDOPT($BW86,$BV86,$CG86,0,$BY86,$BX86,$BZ86,$AJ86,1,12)*$CB86,0)</f>
        <v>-8.5450169346275723E-2</v>
      </c>
      <c r="BI86" s="137">
        <f>_xll.xSPRDOPT($BW86,$BV86,$CG86,2*LN(1+CA86/2),$BY86,$BX86,$BZ86,$AJ86,1,9)</f>
        <v>9.5405007387511041E-3</v>
      </c>
      <c r="BJ86" s="137">
        <f>_xll.xSPRDOPT($BW86,$BV86,$CG86,0,$BY86,$BX86,$BZ86,$AJ86,1,6)*$CB86</f>
        <v>-2.8980517984977553E-3</v>
      </c>
      <c r="BK86" s="137">
        <f>_xll.xSPRDOPT($BW86,$BV86,$CG86,0,$BY86,$BX86,$BZ86,$AJ86,1,5)*$CB86</f>
        <v>5.1136510749659452E-3</v>
      </c>
      <c r="BL86" s="137">
        <f>_xll.xSPRDOPT(BW86,BV86,CG86,0,BY86,BX86,BZ86,AJ86,1,2)*CB86</f>
        <v>-0.7363014189278394</v>
      </c>
      <c r="BM86" s="137">
        <f>_xll.xSPRDOPT(BW86,BV86,CG86,0,BY86,BX86,BZ86,AJ86,1,1)*CB86</f>
        <v>0.73649862547451639</v>
      </c>
      <c r="BN86" s="137">
        <f>IF(AH86&lt;&gt;0,_xll.xSPRDOPT($BW86,$BV86,$CG86,2*LN(1+CA86/2),$BY86,$BX86,$BZ86,$AJ86,1,8)+(AJ86/365.25)*CH86/AH86,0)</f>
        <v>0.83714545033354504</v>
      </c>
      <c r="BO86" s="137">
        <f>_xll.xSPRDOPT($BW86,$BV86,$CG86,0,$BY86,$BX86,$BZ86,$AJ86,1,0)</f>
        <v>0.23949170651245036</v>
      </c>
      <c r="BP86" s="137"/>
      <c r="BQ86" s="137"/>
      <c r="BR86" s="137"/>
      <c r="BS86" s="137"/>
      <c r="BV86" s="262">
        <v>3.3501037344398341</v>
      </c>
      <c r="BW86" s="136">
        <v>3.5895000000000001</v>
      </c>
      <c r="BX86" s="137">
        <v>0.24302572813017689</v>
      </c>
      <c r="BY86" s="137">
        <v>0.24384483559652501</v>
      </c>
      <c r="BZ86" s="137">
        <v>0.99906992747887824</v>
      </c>
      <c r="CA86" s="137">
        <v>5.4929303816937801E-2</v>
      </c>
      <c r="CB86" s="137">
        <v>0.73896386186516361</v>
      </c>
      <c r="CC86" s="258">
        <v>-0.435</v>
      </c>
      <c r="CD86" s="258">
        <v>0.155</v>
      </c>
      <c r="CE86" s="258">
        <v>0.04</v>
      </c>
      <c r="CF86" s="258">
        <v>0.04</v>
      </c>
      <c r="CG86" s="258">
        <v>0</v>
      </c>
      <c r="CH86" s="258">
        <v>10.1344459871636</v>
      </c>
      <c r="CI86" s="258">
        <v>3.5095000000000001</v>
      </c>
    </row>
    <row r="87" spans="1:87" x14ac:dyDescent="0.25">
      <c r="A87" s="723"/>
      <c r="B87" s="723"/>
      <c r="D87" s="31">
        <f t="shared" si="53"/>
        <v>39309</v>
      </c>
      <c r="F87" s="28">
        <f t="shared" si="54"/>
        <v>9300</v>
      </c>
      <c r="G87" s="28">
        <f t="shared" si="70"/>
        <v>6836.9420694677819</v>
      </c>
      <c r="H87" s="52">
        <f t="shared" si="55"/>
        <v>3.3915975103734439</v>
      </c>
      <c r="I87" s="52">
        <f t="shared" si="56"/>
        <v>3.6295000000000002</v>
      </c>
      <c r="K87" s="52">
        <f t="shared" ref="K87:K105" si="86">MAX(((I87-H87)-AQ87)*AU87*AH87,0)</f>
        <v>5.4217517991964161</v>
      </c>
      <c r="L87" s="135">
        <f t="shared" ref="L87:L105" si="87">MAX(Q87-K87,0)</f>
        <v>4.0019795781827128E-3</v>
      </c>
      <c r="N87" s="131">
        <f t="shared" ref="N87:N105" si="88">SQRT(($AX87^2*($AH87/2)+$AW87^2*$AI87)/(($AH87/2)+$AI87))</f>
        <v>0.24379319528881896</v>
      </c>
      <c r="O87" s="131">
        <f t="shared" ref="O87:O105" si="89">SQRT(($AY87^2*($AH87/2)+$AW87^2*$AI87)/(($AH87/2)+$AI87))</f>
        <v>0.24467527428760702</v>
      </c>
      <c r="P87" s="55">
        <f t="shared" ref="P87:P105" si="90">(VLOOKUP(AI87,CorrelationTwo,2)*(AW87^2)*AI87+VLOOKUP(D87,CorrelationOne,$AK$9)*AX87*AY87*(AH87/2))/((AI87+(AH87/2))*O87*N87)*AF87</f>
        <v>0.99893748160624363</v>
      </c>
      <c r="Q87" s="135">
        <f>_xll.xSPRDOPT(I87,H87,AQ87,0,O87,N87,P87,D87-$G$5,1,0)*AH87*AU87</f>
        <v>5.4257537787745989</v>
      </c>
      <c r="R87" s="135"/>
      <c r="S87" s="181">
        <f t="shared" ref="S87:S105" si="91">-T87/(1-AR87)</f>
        <v>-217710.04919529395</v>
      </c>
      <c r="T87" s="181">
        <f>_xll.xSPRDOPT(I87,H87,AQ87,AT87,O87,N87,P87,D87-$G$5,1,1)*AF87*F87*AH87</f>
        <v>209872.48742426335</v>
      </c>
      <c r="U87" s="135"/>
      <c r="V87" s="146">
        <f t="shared" si="57"/>
        <v>10.082210571775157</v>
      </c>
      <c r="W87" s="146"/>
      <c r="X87" s="338">
        <f t="shared" si="58"/>
        <v>0</v>
      </c>
      <c r="Y87" s="338">
        <f t="shared" si="71"/>
        <v>0</v>
      </c>
      <c r="Z87" s="338">
        <f t="shared" si="72"/>
        <v>22.283599118026828</v>
      </c>
      <c r="AA87" s="338">
        <f t="shared" si="73"/>
        <v>1.1026130627473745E-2</v>
      </c>
      <c r="AB87" s="338">
        <f t="shared" si="59"/>
        <v>0</v>
      </c>
      <c r="AC87" s="338">
        <f t="shared" si="60"/>
        <v>22.831618541296706</v>
      </c>
      <c r="AF87" s="138">
        <f t="shared" si="61"/>
        <v>1</v>
      </c>
      <c r="AG87" s="138">
        <f t="shared" si="62"/>
        <v>8</v>
      </c>
      <c r="AH87" s="138">
        <f t="shared" si="74"/>
        <v>31</v>
      </c>
      <c r="AI87" s="138">
        <f t="shared" si="63"/>
        <v>2053</v>
      </c>
      <c r="AJ87" s="138">
        <f t="shared" si="64"/>
        <v>2070</v>
      </c>
      <c r="AL87" s="136">
        <f t="shared" si="75"/>
        <v>3.5495000000000001</v>
      </c>
      <c r="AM87" s="258">
        <f t="shared" si="76"/>
        <v>-0.435</v>
      </c>
      <c r="AN87" s="258">
        <f t="shared" si="77"/>
        <v>0.155</v>
      </c>
      <c r="AO87" s="258">
        <f t="shared" si="78"/>
        <v>0.04</v>
      </c>
      <c r="AP87" s="258">
        <f t="shared" si="79"/>
        <v>0.04</v>
      </c>
      <c r="AQ87" s="136">
        <f t="shared" si="65"/>
        <v>0</v>
      </c>
      <c r="AR87" s="137">
        <f t="shared" si="80"/>
        <v>3.5999999999999997E-2</v>
      </c>
      <c r="AS87" s="136">
        <f t="shared" ref="AS87:AS105" si="92">(AL87+AM87+AN87)</f>
        <v>3.2694999999999999</v>
      </c>
      <c r="AT87" s="137">
        <f t="shared" ref="AT87:AT105" si="93">VLOOKUP(D87,CurveTbl,$AK$6)</f>
        <v>5.5113319928056501E-2</v>
      </c>
      <c r="AU87" s="137">
        <f t="shared" si="81"/>
        <v>0.73515506123309482</v>
      </c>
      <c r="AV87" s="394">
        <f t="shared" ref="AV87:AV105" si="94">ROUND((F87/(1-AR87))-F87,0)*AF87*AH87*AU87</f>
        <v>7908.0629936844007</v>
      </c>
      <c r="AW87" s="137">
        <f t="shared" si="82"/>
        <v>0.24</v>
      </c>
      <c r="AX87" s="137">
        <f t="shared" si="83"/>
        <v>0.55000000000000004</v>
      </c>
      <c r="AY87" s="137">
        <f t="shared" si="84"/>
        <v>0.6</v>
      </c>
      <c r="AZ87" s="137"/>
      <c r="BA87" s="264"/>
      <c r="BB87" s="258">
        <f t="shared" si="85"/>
        <v>0</v>
      </c>
      <c r="BC87" s="258">
        <f t="shared" si="66"/>
        <v>0</v>
      </c>
      <c r="BD87" s="137">
        <f t="shared" si="67"/>
        <v>5.4507285572880093E-6</v>
      </c>
      <c r="BE87" s="137">
        <f t="shared" si="68"/>
        <v>6.7062563282871412E-6</v>
      </c>
      <c r="BF87" s="137">
        <f>_xll.xSPRDOPT($BW87,$BV87,$CG87,0,$BY87,$BX87,$BZ87,$AJ87,1,4)*$CB87</f>
        <v>0.13785255850384406</v>
      </c>
      <c r="BG87" s="137">
        <f>_xll.xSPRDOPT($BW87,$BV87,$CG87,0,$BY87,$BX87,$BZ87,$AJ87,1,3)*$CB87</f>
        <v>0.12037313362893709</v>
      </c>
      <c r="BH87" s="137">
        <f>IF(OR(BF87&lt;&gt;0,BG87&lt;&gt;0),_xll.xSPRDOPT($BW87,$BV87,$CG87,0,$BY87,$BX87,$BZ87,$AJ87,1,12)*$CB87,0)</f>
        <v>-0.12881511665762035</v>
      </c>
      <c r="BI87" s="137">
        <f>_xll.xSPRDOPT($BW87,$BV87,$CG87,2*LN(1+CA87/2),$BY87,$BX87,$BZ87,$AJ87,1,9)</f>
        <v>9.4104342442586416E-3</v>
      </c>
      <c r="BJ87" s="137">
        <f>_xll.xSPRDOPT($BW87,$BV87,$CG87,0,$BY87,$BX87,$BZ87,$AJ87,1,6)*$CB87</f>
        <v>-5.5828086723283127E-3</v>
      </c>
      <c r="BK87" s="137">
        <f>_xll.xSPRDOPT($BW87,$BV87,$CG87,0,$BY87,$BX87,$BZ87,$AJ87,1,5)*$CB87</f>
        <v>1.0240543784122518E-2</v>
      </c>
      <c r="BL87" s="137">
        <f>_xll.xSPRDOPT(BW87,BV87,CG87,0,BY87,BX87,BZ87,AJ87,1,2)*CB87</f>
        <v>-0.73039148327837478</v>
      </c>
      <c r="BM87" s="137">
        <f>_xll.xSPRDOPT(BW87,BV87,CG87,0,BY87,BX87,BZ87,AJ87,1,1)*CB87</f>
        <v>0.73071775039508313</v>
      </c>
      <c r="BN87" s="137">
        <f>IF(AH87&lt;&gt;0,_xll.xSPRDOPT($BW87,$BV87,$CG87,2*LN(1+CA87/2),$BY87,$BX87,$BZ87,$AJ87,1,8)+(AJ87/365.25)*CH87/AH87,0)</f>
        <v>0.85090302589953937</v>
      </c>
      <c r="BO87" s="137">
        <f>_xll.xSPRDOPT($BW87,$BV87,$CG87,0,$BY87,$BX87,$BZ87,$AJ87,1,0)</f>
        <v>0.23807809436019181</v>
      </c>
      <c r="BP87" s="137"/>
      <c r="BQ87" s="137"/>
      <c r="BR87" s="137"/>
      <c r="BS87" s="137"/>
      <c r="BV87" s="262">
        <v>3.3915975103734439</v>
      </c>
      <c r="BW87" s="136">
        <v>3.6295000000000002</v>
      </c>
      <c r="BX87" s="137">
        <v>0.24378774456026167</v>
      </c>
      <c r="BY87" s="137">
        <v>0.24466856803127873</v>
      </c>
      <c r="BZ87" s="137">
        <v>0.99893895846114678</v>
      </c>
      <c r="CA87" s="137">
        <v>5.5113319928056501E-2</v>
      </c>
      <c r="CB87" s="137">
        <v>0.73482685008391269</v>
      </c>
      <c r="CC87" s="258">
        <v>-0.435</v>
      </c>
      <c r="CD87" s="258">
        <v>0.155</v>
      </c>
      <c r="CE87" s="258">
        <v>0.04</v>
      </c>
      <c r="CF87" s="258">
        <v>0.04</v>
      </c>
      <c r="CG87" s="258">
        <v>0</v>
      </c>
      <c r="CH87" s="258">
        <v>10.077709352790814</v>
      </c>
      <c r="CI87" s="258">
        <v>3.5495000000000001</v>
      </c>
    </row>
    <row r="88" spans="1:87" x14ac:dyDescent="0.25">
      <c r="A88" s="723"/>
      <c r="B88" s="723"/>
      <c r="D88" s="31">
        <f t="shared" si="53"/>
        <v>39340</v>
      </c>
      <c r="F88" s="28">
        <f t="shared" si="54"/>
        <v>9300</v>
      </c>
      <c r="G88" s="28">
        <f t="shared" si="70"/>
        <v>6798.4701163353575</v>
      </c>
      <c r="H88" s="52">
        <f t="shared" si="55"/>
        <v>3.3864107883817427</v>
      </c>
      <c r="I88" s="52">
        <f t="shared" si="56"/>
        <v>3.6245000000000003</v>
      </c>
      <c r="K88" s="52">
        <f t="shared" si="86"/>
        <v>5.2214270651889318</v>
      </c>
      <c r="L88" s="135">
        <f t="shared" si="87"/>
        <v>3.2630730557121623E-3</v>
      </c>
      <c r="N88" s="131">
        <f t="shared" si="88"/>
        <v>0.24361879874988177</v>
      </c>
      <c r="O88" s="131">
        <f t="shared" si="89"/>
        <v>0.24446069021717548</v>
      </c>
      <c r="P88" s="55">
        <f t="shared" si="90"/>
        <v>0.99898480295522085</v>
      </c>
      <c r="Q88" s="135">
        <f>_xll.xSPRDOPT(I88,H88,AQ88,0,O88,N88,P88,D88-$G$5,1,0)*AH88*AU88</f>
        <v>5.224690138244644</v>
      </c>
      <c r="R88" s="135"/>
      <c r="S88" s="181">
        <f t="shared" si="91"/>
        <v>-209631.18823346586</v>
      </c>
      <c r="T88" s="181">
        <f>_xll.xSPRDOPT(I88,H88,AQ88,AT88,O88,N88,P88,D88-$G$5,1,1)*AF88*F88*AH88</f>
        <v>202084.46545706107</v>
      </c>
      <c r="U88" s="135"/>
      <c r="V88" s="146">
        <f t="shared" si="57"/>
        <v>9.7020747724734253</v>
      </c>
      <c r="W88" s="146"/>
      <c r="X88" s="338">
        <f t="shared" si="58"/>
        <v>0</v>
      </c>
      <c r="Y88" s="338">
        <f t="shared" si="71"/>
        <v>0</v>
      </c>
      <c r="Z88" s="338">
        <f t="shared" si="72"/>
        <v>21.561964853476812</v>
      </c>
      <c r="AA88" s="338">
        <f t="shared" si="73"/>
        <v>8.7058501713137507E-3</v>
      </c>
      <c r="AB88" s="338">
        <f t="shared" si="59"/>
        <v>0</v>
      </c>
      <c r="AC88" s="338">
        <f t="shared" si="60"/>
        <v>22.058915363789637</v>
      </c>
      <c r="AF88" s="138">
        <f t="shared" si="61"/>
        <v>1</v>
      </c>
      <c r="AG88" s="138">
        <f t="shared" si="62"/>
        <v>9</v>
      </c>
      <c r="AH88" s="138">
        <f t="shared" si="74"/>
        <v>30</v>
      </c>
      <c r="AI88" s="138">
        <f t="shared" si="63"/>
        <v>2084</v>
      </c>
      <c r="AJ88" s="138">
        <f t="shared" si="64"/>
        <v>2101</v>
      </c>
      <c r="AL88" s="136">
        <f t="shared" si="75"/>
        <v>3.5445000000000002</v>
      </c>
      <c r="AM88" s="258">
        <f t="shared" si="76"/>
        <v>-0.435</v>
      </c>
      <c r="AN88" s="258">
        <f t="shared" si="77"/>
        <v>0.155</v>
      </c>
      <c r="AO88" s="258">
        <f t="shared" si="78"/>
        <v>0.04</v>
      </c>
      <c r="AP88" s="258">
        <f t="shared" si="79"/>
        <v>0.04</v>
      </c>
      <c r="AQ88" s="136">
        <f t="shared" si="65"/>
        <v>0</v>
      </c>
      <c r="AR88" s="137">
        <f t="shared" si="80"/>
        <v>3.5999999999999997E-2</v>
      </c>
      <c r="AS88" s="136">
        <f t="shared" si="92"/>
        <v>3.2645</v>
      </c>
      <c r="AT88" s="137">
        <f t="shared" si="93"/>
        <v>5.5297336050453602E-2</v>
      </c>
      <c r="AU88" s="137">
        <f t="shared" si="81"/>
        <v>0.73101829207907065</v>
      </c>
      <c r="AV88" s="394">
        <f t="shared" si="94"/>
        <v>7609.9004205431256</v>
      </c>
      <c r="AW88" s="137">
        <f t="shared" si="82"/>
        <v>0.24</v>
      </c>
      <c r="AX88" s="137">
        <f t="shared" si="83"/>
        <v>0.55000000000000004</v>
      </c>
      <c r="AY88" s="137">
        <f t="shared" si="84"/>
        <v>0.6</v>
      </c>
      <c r="AZ88" s="137"/>
      <c r="BA88" s="264"/>
      <c r="BB88" s="258">
        <f t="shared" si="85"/>
        <v>0</v>
      </c>
      <c r="BC88" s="258">
        <f t="shared" si="66"/>
        <v>0</v>
      </c>
      <c r="BD88" s="137">
        <f t="shared" si="67"/>
        <v>5.1264877626300276E-6</v>
      </c>
      <c r="BE88" s="137">
        <f t="shared" si="68"/>
        <v>6.3083491827486959E-6</v>
      </c>
      <c r="BF88" s="137">
        <f>_xll.xSPRDOPT($BW88,$BV88,$CG88,0,$BY88,$BX88,$BZ88,$AJ88,1,4)*$CB88</f>
        <v>0.12376067635826347</v>
      </c>
      <c r="BG88" s="137">
        <f>_xll.xSPRDOPT($BW88,$BV88,$CG88,0,$BY88,$BX88,$BZ88,$AJ88,1,3)*$CB88</f>
        <v>0.10803523915877095</v>
      </c>
      <c r="BH88" s="137">
        <f>IF(OR(BF88&lt;&gt;0,BG88&lt;&gt;0),_xll.xSPRDOPT($BW88,$BV88,$CG88,0,$BY88,$BX88,$BZ88,$AJ88,1,12)*$CB88,0)</f>
        <v>-0.11562945353771385</v>
      </c>
      <c r="BI88" s="137">
        <f>_xll.xSPRDOPT($BW88,$BV88,$CG88,2*LN(1+CA88/2),$BY88,$BX88,$BZ88,$AJ88,1,9)</f>
        <v>9.4092086770996494E-3</v>
      </c>
      <c r="BJ88" s="137">
        <f>_xll.xSPRDOPT($BW88,$BV88,$CG88,0,$BY88,$BX88,$BZ88,$AJ88,1,6)*$CB88</f>
        <v>-4.840206648359123E-3</v>
      </c>
      <c r="BK88" s="137">
        <f>_xll.xSPRDOPT($BW88,$BV88,$CG88,0,$BY88,$BX88,$BZ88,$AJ88,1,5)*$CB88</f>
        <v>8.8798230065466367E-3</v>
      </c>
      <c r="BL88" s="137">
        <f>_xll.xSPRDOPT(BW88,BV88,CG88,0,BY88,BX88,BZ88,AJ88,1,2)*CB88</f>
        <v>-0.72683793871955804</v>
      </c>
      <c r="BM88" s="137">
        <f>_xll.xSPRDOPT(BW88,BV88,CG88,0,BY88,BX88,BZ88,AJ88,1,1)*CB88</f>
        <v>0.72712101819890862</v>
      </c>
      <c r="BN88" s="137">
        <f>IF(AH88&lt;&gt;0,_xll.xSPRDOPT($BW88,$BV88,$CG88,2*LN(1+CA88/2),$BY88,$BX88,$BZ88,$AJ88,1,8)+(AJ88/365.25)*CH88/AH88,0)</f>
        <v>0.85811284530382359</v>
      </c>
      <c r="BO88" s="137">
        <f>_xll.xSPRDOPT($BW88,$BV88,$CG88,0,$BY88,$BX88,$BZ88,$AJ88,1,0)</f>
        <v>0.23823800328612285</v>
      </c>
      <c r="BP88" s="137"/>
      <c r="BQ88" s="137"/>
      <c r="BR88" s="137"/>
      <c r="BS88" s="137"/>
      <c r="BV88" s="262">
        <v>3.3864107883817427</v>
      </c>
      <c r="BW88" s="136">
        <v>3.6245000000000003</v>
      </c>
      <c r="BX88" s="137">
        <v>0.24361367226211914</v>
      </c>
      <c r="BY88" s="137">
        <v>0.24445438186799273</v>
      </c>
      <c r="BZ88" s="137">
        <v>0.99898619615979256</v>
      </c>
      <c r="CA88" s="137">
        <v>5.5297336050453602E-2</v>
      </c>
      <c r="CB88" s="137">
        <v>0.73069085307622372</v>
      </c>
      <c r="CC88" s="258">
        <v>-0.435</v>
      </c>
      <c r="CD88" s="258">
        <v>0.155</v>
      </c>
      <c r="CE88" s="258">
        <v>0.04</v>
      </c>
      <c r="CF88" s="258">
        <v>0.04</v>
      </c>
      <c r="CG88" s="258">
        <v>0</v>
      </c>
      <c r="CH88" s="258">
        <v>9.697729002027641</v>
      </c>
      <c r="CI88" s="258">
        <v>3.5445000000000002</v>
      </c>
    </row>
    <row r="89" spans="1:87" x14ac:dyDescent="0.25">
      <c r="A89" s="723"/>
      <c r="B89" s="723"/>
      <c r="D89" s="31">
        <f t="shared" si="53"/>
        <v>39370</v>
      </c>
      <c r="F89" s="28">
        <f t="shared" si="54"/>
        <v>9300</v>
      </c>
      <c r="G89" s="28">
        <f t="shared" si="70"/>
        <v>6761.2502418065042</v>
      </c>
      <c r="H89" s="52">
        <f t="shared" si="55"/>
        <v>3.4123443983402488</v>
      </c>
      <c r="I89" s="52">
        <f t="shared" si="56"/>
        <v>3.6495000000000002</v>
      </c>
      <c r="K89" s="52">
        <f t="shared" si="86"/>
        <v>5.3448945635592029</v>
      </c>
      <c r="L89" s="135">
        <f t="shared" si="87"/>
        <v>1.6424716436427289E-3</v>
      </c>
      <c r="N89" s="131">
        <f t="shared" si="88"/>
        <v>0.24454259356141442</v>
      </c>
      <c r="O89" s="131">
        <f t="shared" si="89"/>
        <v>0.24547097396802822</v>
      </c>
      <c r="P89" s="55">
        <f t="shared" si="90"/>
        <v>0.9995718738674485</v>
      </c>
      <c r="Q89" s="135">
        <f>_xll.xSPRDOPT(I89,H89,AQ89,0,O89,N89,P89,D89-$G$5,1,0)*AH89*AU89</f>
        <v>5.3465370352028456</v>
      </c>
      <c r="R89" s="135"/>
      <c r="S89" s="181">
        <f t="shared" si="91"/>
        <v>-215964.49944270452</v>
      </c>
      <c r="T89" s="181">
        <f>_xll.xSPRDOPT(I89,H89,AQ89,AT89,O89,N89,P89,D89-$G$5,1,1)*AF89*F89*AH89</f>
        <v>208189.77746276715</v>
      </c>
      <c r="U89" s="135"/>
      <c r="V89" s="146">
        <f t="shared" si="57"/>
        <v>9.9705903565839922</v>
      </c>
      <c r="W89" s="146"/>
      <c r="X89" s="338">
        <f t="shared" si="58"/>
        <v>0</v>
      </c>
      <c r="Y89" s="338">
        <f t="shared" si="71"/>
        <v>0</v>
      </c>
      <c r="Z89" s="338">
        <f t="shared" si="72"/>
        <v>22.328678674876606</v>
      </c>
      <c r="AA89" s="338">
        <f t="shared" si="73"/>
        <v>1.5682345079173556E-4</v>
      </c>
      <c r="AB89" s="338">
        <f t="shared" si="59"/>
        <v>0</v>
      </c>
      <c r="AC89" s="338">
        <f t="shared" si="60"/>
        <v>22.646054674669085</v>
      </c>
      <c r="AF89" s="138">
        <f t="shared" si="61"/>
        <v>1</v>
      </c>
      <c r="AG89" s="138">
        <f t="shared" si="62"/>
        <v>10</v>
      </c>
      <c r="AH89" s="138">
        <f t="shared" si="74"/>
        <v>31</v>
      </c>
      <c r="AI89" s="138">
        <f t="shared" si="63"/>
        <v>2114</v>
      </c>
      <c r="AJ89" s="138">
        <f t="shared" si="64"/>
        <v>2131</v>
      </c>
      <c r="AL89" s="136">
        <f t="shared" si="75"/>
        <v>3.5695000000000001</v>
      </c>
      <c r="AM89" s="258">
        <f t="shared" si="76"/>
        <v>-0.435</v>
      </c>
      <c r="AN89" s="258">
        <f t="shared" si="77"/>
        <v>0.155</v>
      </c>
      <c r="AO89" s="258">
        <f t="shared" si="78"/>
        <v>0.04</v>
      </c>
      <c r="AP89" s="258">
        <f t="shared" si="79"/>
        <v>0.04</v>
      </c>
      <c r="AQ89" s="136">
        <f t="shared" si="65"/>
        <v>0</v>
      </c>
      <c r="AR89" s="137">
        <f t="shared" si="80"/>
        <v>3.5999999999999997E-2</v>
      </c>
      <c r="AS89" s="136">
        <f t="shared" si="92"/>
        <v>3.2894999999999999</v>
      </c>
      <c r="AT89" s="137">
        <f t="shared" si="93"/>
        <v>5.5475416179639102E-2</v>
      </c>
      <c r="AU89" s="137">
        <f t="shared" si="81"/>
        <v>0.72701615503295747</v>
      </c>
      <c r="AV89" s="394">
        <f t="shared" si="94"/>
        <v>7820.5127796895231</v>
      </c>
      <c r="AW89" s="137">
        <f t="shared" si="82"/>
        <v>0.24</v>
      </c>
      <c r="AX89" s="137">
        <f t="shared" si="83"/>
        <v>0.6</v>
      </c>
      <c r="AY89" s="137">
        <f t="shared" si="84"/>
        <v>0.65</v>
      </c>
      <c r="AZ89" s="137"/>
      <c r="BA89" s="264"/>
      <c r="BB89" s="258">
        <f t="shared" si="85"/>
        <v>0</v>
      </c>
      <c r="BC89" s="258">
        <f t="shared" si="66"/>
        <v>0</v>
      </c>
      <c r="BD89" s="137">
        <f t="shared" si="67"/>
        <v>6.3312457022346447E-6</v>
      </c>
      <c r="BE89" s="137">
        <f t="shared" si="68"/>
        <v>7.6109124000078854E-6</v>
      </c>
      <c r="BF89" s="137">
        <f>_xll.xSPRDOPT($BW89,$BV89,$CG89,0,$BY89,$BX89,$BZ89,$AJ89,1,4)*$CB89</f>
        <v>5.7654472995461406E-2</v>
      </c>
      <c r="BG89" s="137">
        <f>_xll.xSPRDOPT($BW89,$BV89,$CG89,0,$BY89,$BX89,$BZ89,$AJ89,1,3)*$CB89</f>
        <v>5.0404241405524429E-2</v>
      </c>
      <c r="BH89" s="137">
        <f>IF(OR(BF89&lt;&gt;0,BG89&lt;&gt;0),_xll.xSPRDOPT($BW89,$BV89,$CG89,0,$BY89,$BX89,$BZ89,$AJ89,1,12)*$CB89,0)</f>
        <v>-5.390718061138032E-2</v>
      </c>
      <c r="BI89" s="137">
        <f>_xll.xSPRDOPT($BW89,$BV89,$CG89,2*LN(1+CA89/2),$BY89,$BX89,$BZ89,$AJ89,1,9)</f>
        <v>9.4294714834069621E-3</v>
      </c>
      <c r="BJ89" s="137">
        <f>_xll.xSPRDOPT($BW89,$BV89,$CG89,0,$BY89,$BX89,$BZ89,$AJ89,1,6)*$CB89</f>
        <v>-1.6874134649639565E-4</v>
      </c>
      <c r="BK89" s="137">
        <f>_xll.xSPRDOPT($BW89,$BV89,$CG89,0,$BY89,$BX89,$BZ89,$AJ89,1,5)*$CB89</f>
        <v>2.1184085253462667E-4</v>
      </c>
      <c r="BL89" s="137">
        <f>_xll.xSPRDOPT(BW89,BV89,CG89,0,BY89,BX89,BZ89,AJ89,1,2)*CB89</f>
        <v>-0.7248482197526297</v>
      </c>
      <c r="BM89" s="137">
        <f>_xll.xSPRDOPT(BW89,BV89,CG89,0,BY89,BX89,BZ89,AJ89,1,1)*CB89</f>
        <v>0.72498244407785517</v>
      </c>
      <c r="BN89" s="137">
        <f>IF(AH89&lt;&gt;0,_xll.xSPRDOPT($BW89,$BV89,$CG89,2*LN(1+CA89/2),$BY89,$BX89,$BZ89,$AJ89,1,8)+(AJ89/365.25)*CH89/AH89,0)</f>
        <v>0.87018497115889515</v>
      </c>
      <c r="BO89" s="137">
        <f>_xll.xSPRDOPT($BW89,$BV89,$CG89,0,$BY89,$BX89,$BZ89,$AJ89,1,0)</f>
        <v>0.23722881539282828</v>
      </c>
      <c r="BP89" s="137"/>
      <c r="BQ89" s="137"/>
      <c r="BR89" s="137"/>
      <c r="BS89" s="137"/>
      <c r="BV89" s="262">
        <v>3.4123443983402488</v>
      </c>
      <c r="BW89" s="136">
        <v>3.6495000000000002</v>
      </c>
      <c r="BX89" s="137">
        <v>0.24453626231571218</v>
      </c>
      <c r="BY89" s="137">
        <v>0.24546336305562821</v>
      </c>
      <c r="BZ89" s="137">
        <v>0.99957244215142727</v>
      </c>
      <c r="CA89" s="137">
        <v>5.5475416179639102E-2</v>
      </c>
      <c r="CB89" s="137">
        <v>0.72668947440852616</v>
      </c>
      <c r="CC89" s="258">
        <v>-0.435</v>
      </c>
      <c r="CD89" s="258">
        <v>0.155</v>
      </c>
      <c r="CE89" s="258">
        <v>0.04</v>
      </c>
      <c r="CF89" s="258">
        <v>0.04</v>
      </c>
      <c r="CG89" s="258">
        <v>0</v>
      </c>
      <c r="CH89" s="258">
        <v>9.9661101278282924</v>
      </c>
      <c r="CI89" s="258">
        <v>3.5695000000000001</v>
      </c>
    </row>
    <row r="90" spans="1:87" x14ac:dyDescent="0.25">
      <c r="A90" s="723"/>
      <c r="B90" s="723"/>
      <c r="D90" s="31">
        <f t="shared" si="53"/>
        <v>39401</v>
      </c>
      <c r="F90" s="28">
        <f t="shared" si="54"/>
        <v>9300</v>
      </c>
      <c r="G90" s="28">
        <f t="shared" si="70"/>
        <v>6722.8033459673334</v>
      </c>
      <c r="H90" s="52">
        <f t="shared" si="55"/>
        <v>3.6063278008298751</v>
      </c>
      <c r="I90" s="52">
        <f t="shared" si="56"/>
        <v>3.8864999999999998</v>
      </c>
      <c r="K90" s="52">
        <f t="shared" si="86"/>
        <v>6.0759438646062591</v>
      </c>
      <c r="L90" s="135">
        <f t="shared" si="87"/>
        <v>2.3871079794268724E-3</v>
      </c>
      <c r="N90" s="131">
        <f t="shared" si="88"/>
        <v>0.25064915718988567</v>
      </c>
      <c r="O90" s="131">
        <f t="shared" si="89"/>
        <v>0.24828299266048096</v>
      </c>
      <c r="P90" s="55">
        <f t="shared" si="90"/>
        <v>0.99900496638877001</v>
      </c>
      <c r="Q90" s="135">
        <f>_xll.xSPRDOPT(I90,H90,AQ90,0,O90,N90,P90,D90-$G$5,1,0)*AH90*AU90</f>
        <v>6.078330972585686</v>
      </c>
      <c r="R90" s="135"/>
      <c r="S90" s="181">
        <f t="shared" si="91"/>
        <v>-207585.11923377152</v>
      </c>
      <c r="T90" s="181">
        <f>_xll.xSPRDOPT(I90,H90,AQ90,AT90,O90,N90,P90,D90-$G$5,1,1)*AF90*F90*AH90</f>
        <v>200112.05494135575</v>
      </c>
      <c r="U90" s="135"/>
      <c r="V90" s="146">
        <f t="shared" si="57"/>
        <v>9.5940909685675759</v>
      </c>
      <c r="W90" s="146"/>
      <c r="X90" s="338">
        <f t="shared" si="58"/>
        <v>0</v>
      </c>
      <c r="Y90" s="338">
        <f t="shared" si="71"/>
        <v>0</v>
      </c>
      <c r="Z90" s="338">
        <f t="shared" si="72"/>
        <v>25.32895353224233</v>
      </c>
      <c r="AA90" s="338">
        <f t="shared" si="73"/>
        <v>2.3003555057012473E-2</v>
      </c>
      <c r="AB90" s="338">
        <f t="shared" si="59"/>
        <v>0</v>
      </c>
      <c r="AC90" s="338">
        <f t="shared" si="60"/>
        <v>25.831048882558225</v>
      </c>
      <c r="AF90" s="138">
        <f t="shared" si="61"/>
        <v>1</v>
      </c>
      <c r="AG90" s="138">
        <f t="shared" si="62"/>
        <v>11</v>
      </c>
      <c r="AH90" s="138">
        <f t="shared" si="74"/>
        <v>30</v>
      </c>
      <c r="AI90" s="138">
        <f t="shared" si="63"/>
        <v>2145</v>
      </c>
      <c r="AJ90" s="138">
        <f t="shared" si="64"/>
        <v>2162</v>
      </c>
      <c r="AL90" s="136">
        <f t="shared" si="75"/>
        <v>3.7214999999999998</v>
      </c>
      <c r="AM90" s="258">
        <f t="shared" si="76"/>
        <v>-0.4</v>
      </c>
      <c r="AN90" s="258">
        <f t="shared" si="77"/>
        <v>0.155</v>
      </c>
      <c r="AO90" s="258">
        <f t="shared" si="78"/>
        <v>0.13</v>
      </c>
      <c r="AP90" s="258">
        <f t="shared" si="79"/>
        <v>3.5000000000000003E-2</v>
      </c>
      <c r="AQ90" s="136">
        <f t="shared" si="65"/>
        <v>0</v>
      </c>
      <c r="AR90" s="137">
        <f t="shared" si="80"/>
        <v>3.5999999999999997E-2</v>
      </c>
      <c r="AS90" s="136">
        <f t="shared" si="92"/>
        <v>3.4764999999999997</v>
      </c>
      <c r="AT90" s="137">
        <f t="shared" si="93"/>
        <v>5.5659432324225197E-2</v>
      </c>
      <c r="AU90" s="137">
        <f t="shared" si="81"/>
        <v>0.72288208021154121</v>
      </c>
      <c r="AV90" s="394">
        <f t="shared" si="94"/>
        <v>7525.2024550021442</v>
      </c>
      <c r="AW90" s="137">
        <f t="shared" si="82"/>
        <v>0.24</v>
      </c>
      <c r="AX90" s="137">
        <f t="shared" si="83"/>
        <v>0.9</v>
      </c>
      <c r="AY90" s="137">
        <f t="shared" si="84"/>
        <v>0.8</v>
      </c>
      <c r="AZ90" s="137"/>
      <c r="BA90" s="264"/>
      <c r="BB90" s="258">
        <f t="shared" si="85"/>
        <v>0</v>
      </c>
      <c r="BC90" s="258">
        <f t="shared" si="66"/>
        <v>0</v>
      </c>
      <c r="BD90" s="137">
        <f t="shared" si="67"/>
        <v>1.4456638134985322E-5</v>
      </c>
      <c r="BE90" s="137">
        <f t="shared" si="68"/>
        <v>1.1296828160367589E-5</v>
      </c>
      <c r="BF90" s="137">
        <f>_xll.xSPRDOPT($BW90,$BV90,$CG90,0,$BY90,$BX90,$BZ90,$AJ90,1,4)*$CB90</f>
        <v>7.8308154285943121E-2</v>
      </c>
      <c r="BG90" s="137">
        <f>_xll.xSPRDOPT($BW90,$BV90,$CG90,0,$BY90,$BX90,$BZ90,$AJ90,1,3)*$CB90</f>
        <v>6.7424803120595858E-2</v>
      </c>
      <c r="BH90" s="137">
        <f>IF(OR(BF90&lt;&gt;0,BG90&lt;&gt;0),_xll.xSPRDOPT($BW90,$BV90,$CG90,0,$BY90,$BX90,$BZ90,$AJ90,1,12)*$CB90,0)</f>
        <v>-7.2662295093593968E-2</v>
      </c>
      <c r="BI90" s="137">
        <f>_xll.xSPRDOPT($BW90,$BV90,$CG90,2*LN(1+CA90/2),$BY90,$BX90,$BZ90,$AJ90,1,9)</f>
        <v>1.1053046926704314E-2</v>
      </c>
      <c r="BJ90" s="137">
        <f>_xll.xSPRDOPT($BW90,$BV90,$CG90,0,$BY90,$BX90,$BZ90,$AJ90,1,6)*$CB90</f>
        <v>1.554007829046784E-2</v>
      </c>
      <c r="BK90" s="137">
        <f>_xll.xSPRDOPT($BW90,$BV90,$CG90,0,$BY90,$BX90,$BZ90,$AJ90,1,5)*$CB90</f>
        <v>-1.258824762936952E-2</v>
      </c>
      <c r="BL90" s="137">
        <f>_xll.xSPRDOPT(BW90,BV90,CG90,0,BY90,BX90,BZ90,AJ90,1,2)*CB90</f>
        <v>-0.71993594663725868</v>
      </c>
      <c r="BM90" s="137">
        <f>_xll.xSPRDOPT(BW90,BV90,CG90,0,BY90,BX90,BZ90,AJ90,1,1)*CB90</f>
        <v>0.72014538453814159</v>
      </c>
      <c r="BN90" s="137">
        <f>IF(AH90&lt;&gt;0,_xll.xSPRDOPT($BW90,$BV90,$CG90,2*LN(1+CA90/2),$BY90,$BX90,$BZ90,$AJ90,1,8)+(AJ90/365.25)*CH90/AH90,0)</f>
        <v>0.69338268401448477</v>
      </c>
      <c r="BO90" s="137">
        <f>_xll.xSPRDOPT($BW90,$BV90,$CG90,0,$BY90,$BX90,$BZ90,$AJ90,1,0)</f>
        <v>0.28028277365437243</v>
      </c>
      <c r="BP90" s="137"/>
      <c r="BQ90" s="137"/>
      <c r="BR90" s="137"/>
      <c r="BS90" s="137"/>
      <c r="BV90" s="262">
        <v>3.6063278008298751</v>
      </c>
      <c r="BW90" s="136">
        <v>3.8864999999999998</v>
      </c>
      <c r="BX90" s="137">
        <v>0.25063470055175069</v>
      </c>
      <c r="BY90" s="137">
        <v>0.24827169583232059</v>
      </c>
      <c r="BZ90" s="137">
        <v>0.99900618625572291</v>
      </c>
      <c r="CA90" s="137">
        <v>5.5659432324225197E-2</v>
      </c>
      <c r="CB90" s="137">
        <v>0.72255619464132093</v>
      </c>
      <c r="CC90" s="258">
        <v>-0.4</v>
      </c>
      <c r="CD90" s="258">
        <v>0.155</v>
      </c>
      <c r="CE90" s="258">
        <v>0.13</v>
      </c>
      <c r="CF90" s="258">
        <v>3.5000000000000003E-2</v>
      </c>
      <c r="CG90" s="258">
        <v>0</v>
      </c>
      <c r="CH90" s="258">
        <v>9.5897658152796108</v>
      </c>
      <c r="CI90" s="258">
        <v>3.7214999999999998</v>
      </c>
    </row>
    <row r="91" spans="1:87" x14ac:dyDescent="0.25">
      <c r="A91" s="723"/>
      <c r="B91" s="723"/>
      <c r="D91" s="31">
        <f t="shared" si="53"/>
        <v>39431</v>
      </c>
      <c r="F91" s="28">
        <f t="shared" si="54"/>
        <v>9300</v>
      </c>
      <c r="G91" s="28">
        <f t="shared" si="70"/>
        <v>6685.6119901135344</v>
      </c>
      <c r="H91" s="52">
        <f t="shared" si="55"/>
        <v>3.7546680497925311</v>
      </c>
      <c r="I91" s="52">
        <f t="shared" si="56"/>
        <v>4.0294999999999996</v>
      </c>
      <c r="K91" s="52">
        <f t="shared" si="86"/>
        <v>6.1247326052444588</v>
      </c>
      <c r="L91" s="135">
        <f t="shared" si="87"/>
        <v>4.7754062691174326E-3</v>
      </c>
      <c r="N91" s="131">
        <f t="shared" si="88"/>
        <v>0.25797372948394875</v>
      </c>
      <c r="O91" s="131">
        <f t="shared" si="89"/>
        <v>0.25642619595895139</v>
      </c>
      <c r="P91" s="55">
        <f t="shared" si="90"/>
        <v>0.99907251148471798</v>
      </c>
      <c r="Q91" s="135">
        <f>_xll.xSPRDOPT(I91,H91,AQ91,0,O91,N91,P91,D91-$G$5,1,0)*AH91*AU91</f>
        <v>6.1295080115135763</v>
      </c>
      <c r="R91" s="135"/>
      <c r="S91" s="181">
        <f t="shared" si="91"/>
        <v>-212779.29523692763</v>
      </c>
      <c r="T91" s="181">
        <f>_xll.xSPRDOPT(I91,H91,AQ91,AT91,O91,N91,P91,D91-$G$5,1,1)*AF91*F91*AH91</f>
        <v>205119.24060839822</v>
      </c>
      <c r="U91" s="135"/>
      <c r="V91" s="146">
        <f t="shared" si="57"/>
        <v>9.8590491480874274</v>
      </c>
      <c r="W91" s="146"/>
      <c r="X91" s="338">
        <f t="shared" si="58"/>
        <v>0</v>
      </c>
      <c r="Y91" s="338">
        <f t="shared" si="71"/>
        <v>0</v>
      </c>
      <c r="Z91" s="338">
        <f t="shared" si="72"/>
        <v>25.553131059942441</v>
      </c>
      <c r="AA91" s="338">
        <f t="shared" si="73"/>
        <v>3.5106393762500451E-2</v>
      </c>
      <c r="AB91" s="338">
        <f t="shared" si="59"/>
        <v>0</v>
      </c>
      <c r="AC91" s="338">
        <f t="shared" si="60"/>
        <v>26.131870935639387</v>
      </c>
      <c r="AF91" s="138">
        <f t="shared" si="61"/>
        <v>1</v>
      </c>
      <c r="AG91" s="138">
        <f t="shared" si="62"/>
        <v>12</v>
      </c>
      <c r="AH91" s="138">
        <f t="shared" si="74"/>
        <v>31</v>
      </c>
      <c r="AI91" s="138">
        <f t="shared" si="63"/>
        <v>2175</v>
      </c>
      <c r="AJ91" s="138">
        <f t="shared" si="64"/>
        <v>2192</v>
      </c>
      <c r="AL91" s="136">
        <f t="shared" si="75"/>
        <v>3.8645</v>
      </c>
      <c r="AM91" s="258">
        <f t="shared" si="76"/>
        <v>-0.4</v>
      </c>
      <c r="AN91" s="258">
        <f t="shared" si="77"/>
        <v>0.155</v>
      </c>
      <c r="AO91" s="258">
        <f t="shared" si="78"/>
        <v>0.13</v>
      </c>
      <c r="AP91" s="258">
        <f t="shared" si="79"/>
        <v>3.5000000000000003E-2</v>
      </c>
      <c r="AQ91" s="136">
        <f t="shared" si="65"/>
        <v>0</v>
      </c>
      <c r="AR91" s="137">
        <f t="shared" si="80"/>
        <v>3.5999999999999997E-2</v>
      </c>
      <c r="AS91" s="136">
        <f t="shared" si="92"/>
        <v>3.6194999999999999</v>
      </c>
      <c r="AT91" s="137">
        <f t="shared" si="93"/>
        <v>5.5837512474881598E-2</v>
      </c>
      <c r="AU91" s="137">
        <f t="shared" si="81"/>
        <v>0.71888300968962737</v>
      </c>
      <c r="AV91" s="394">
        <f t="shared" si="94"/>
        <v>7733.0245352313214</v>
      </c>
      <c r="AW91" s="137">
        <f t="shared" si="82"/>
        <v>0.24</v>
      </c>
      <c r="AX91" s="137">
        <f t="shared" si="83"/>
        <v>1.1499999999999999</v>
      </c>
      <c r="AY91" s="137">
        <f t="shared" si="84"/>
        <v>1.1000000000000001</v>
      </c>
      <c r="AZ91" s="137"/>
      <c r="BA91" s="264"/>
      <c r="BB91" s="258">
        <f t="shared" si="85"/>
        <v>0</v>
      </c>
      <c r="BC91" s="258">
        <f t="shared" si="66"/>
        <v>0</v>
      </c>
      <c r="BD91" s="137">
        <f t="shared" si="67"/>
        <v>2.372699527458666E-5</v>
      </c>
      <c r="BE91" s="137">
        <f t="shared" si="68"/>
        <v>2.1747099282098947E-5</v>
      </c>
      <c r="BF91" s="137">
        <f>_xll.xSPRDOPT($BW91,$BV91,$CG91,0,$BY91,$BX91,$BZ91,$AJ91,1,4)*$CB91</f>
        <v>0.11757577887358983</v>
      </c>
      <c r="BG91" s="137">
        <f>_xll.xSPRDOPT($BW91,$BV91,$CG91,0,$BY91,$BX91,$BZ91,$AJ91,1,3)*$CB91</f>
        <v>0.10208414067913162</v>
      </c>
      <c r="BH91" s="137">
        <f>IF(OR(BF91&lt;&gt;0,BG91&lt;&gt;0),_xll.xSPRDOPT($BW91,$BV91,$CG91,0,$BY91,$BX91,$BZ91,$AJ91,1,12)*$CB91,0)</f>
        <v>-0.10955530764513061</v>
      </c>
      <c r="BI91" s="137">
        <f>_xll.xSPRDOPT($BW91,$BV91,$CG91,2*LN(1+CA91/2),$BY91,$BX91,$BZ91,$AJ91,1,9)</f>
        <v>1.0791167903392272E-2</v>
      </c>
      <c r="BJ91" s="137">
        <f>_xll.xSPRDOPT($BW91,$BV91,$CG91,0,$BY91,$BX91,$BZ91,$AJ91,1,6)*$CB91</f>
        <v>1.5630675997523522E-2</v>
      </c>
      <c r="BK91" s="137">
        <f>_xll.xSPRDOPT($BW91,$BV91,$CG91,0,$BY91,$BX91,$BZ91,$AJ91,1,5)*$CB91</f>
        <v>-1.1454337696151392E-2</v>
      </c>
      <c r="BL91" s="137">
        <f>_xll.xSPRDOPT(BW91,BV91,CG91,0,BY91,BX91,BZ91,AJ91,1,2)*CB91</f>
        <v>-0.71406947901232709</v>
      </c>
      <c r="BM91" s="137">
        <f>_xll.xSPRDOPT(BW91,BV91,CG91,0,BY91,BX91,BZ91,AJ91,1,1)*CB91</f>
        <v>0.71441396339694219</v>
      </c>
      <c r="BN91" s="137">
        <f>IF(AH91&lt;&gt;0,_xll.xSPRDOPT($BW91,$BV91,$CG91,2*LN(1+CA91/2),$BY91,$BX91,$BZ91,$AJ91,1,8)+(AJ91/365.25)*CH91/AH91,0)</f>
        <v>0.72189229138767574</v>
      </c>
      <c r="BO91" s="137">
        <f>_xll.xSPRDOPT($BW91,$BV91,$CG91,0,$BY91,$BX91,$BZ91,$AJ91,1,0)</f>
        <v>0.27504705447410066</v>
      </c>
      <c r="BP91" s="137"/>
      <c r="BQ91" s="137"/>
      <c r="BR91" s="137"/>
      <c r="BS91" s="137"/>
      <c r="BV91" s="262">
        <v>3.7546680497925311</v>
      </c>
      <c r="BW91" s="136">
        <v>4.0294999999999996</v>
      </c>
      <c r="BX91" s="137">
        <v>0.25795000248867417</v>
      </c>
      <c r="BY91" s="137">
        <v>0.25640444885966929</v>
      </c>
      <c r="BZ91" s="137">
        <v>0.99907359469333412</v>
      </c>
      <c r="CA91" s="137">
        <v>5.5837512474881598E-2</v>
      </c>
      <c r="CB91" s="137">
        <v>0.71855790444499312</v>
      </c>
      <c r="CC91" s="258">
        <v>-0.4</v>
      </c>
      <c r="CD91" s="258">
        <v>0.155</v>
      </c>
      <c r="CE91" s="258">
        <v>0.13</v>
      </c>
      <c r="CF91" s="258">
        <v>3.5000000000000003E-2</v>
      </c>
      <c r="CG91" s="258">
        <v>0</v>
      </c>
      <c r="CH91" s="258">
        <v>9.8545905247204146</v>
      </c>
      <c r="CI91" s="258">
        <v>3.8645</v>
      </c>
    </row>
    <row r="92" spans="1:87" x14ac:dyDescent="0.25">
      <c r="A92" s="723"/>
      <c r="B92" s="723"/>
      <c r="D92" s="31">
        <f t="shared" si="53"/>
        <v>39462</v>
      </c>
      <c r="F92" s="28">
        <f t="shared" si="54"/>
        <v>9300</v>
      </c>
      <c r="G92" s="28">
        <f t="shared" si="70"/>
        <v>6647.1989472506657</v>
      </c>
      <c r="H92" s="52">
        <f t="shared" si="55"/>
        <v>3.8065352697095434</v>
      </c>
      <c r="I92" s="52">
        <f t="shared" si="56"/>
        <v>4.0795000000000003</v>
      </c>
      <c r="K92" s="52">
        <f t="shared" si="86"/>
        <v>6.048169559410959</v>
      </c>
      <c r="L92" s="135">
        <f t="shared" si="87"/>
        <v>5.8010239799104468E-3</v>
      </c>
      <c r="N92" s="131">
        <f t="shared" si="88"/>
        <v>0.2577315382377286</v>
      </c>
      <c r="O92" s="131">
        <f t="shared" si="89"/>
        <v>0.25620422165928242</v>
      </c>
      <c r="P92" s="55">
        <f t="shared" si="90"/>
        <v>0.99908358399115405</v>
      </c>
      <c r="Q92" s="135">
        <f>_xll.xSPRDOPT(I92,H92,AQ92,0,O92,N92,P92,D92-$G$5,1,0)*AH92*AU92</f>
        <v>6.0539705833908695</v>
      </c>
      <c r="R92" s="135"/>
      <c r="S92" s="181">
        <f t="shared" si="91"/>
        <v>-211317.98419399312</v>
      </c>
      <c r="T92" s="181">
        <f>_xll.xSPRDOPT(I92,H92,AQ92,AT92,O92,N92,P92,D92-$G$5,1,1)*AF92*F92*AH92</f>
        <v>203710.53676300935</v>
      </c>
      <c r="U92" s="135"/>
      <c r="V92" s="146">
        <f t="shared" si="57"/>
        <v>9.8024027142123167</v>
      </c>
      <c r="W92" s="146"/>
      <c r="X92" s="338">
        <f t="shared" si="58"/>
        <v>0</v>
      </c>
      <c r="Y92" s="338">
        <f t="shared" si="71"/>
        <v>0</v>
      </c>
      <c r="Z92" s="338">
        <f t="shared" si="72"/>
        <v>25.288504837785389</v>
      </c>
      <c r="AA92" s="338">
        <f t="shared" si="73"/>
        <v>3.9220882615335552E-2</v>
      </c>
      <c r="AB92" s="338">
        <f t="shared" si="59"/>
        <v>0</v>
      </c>
      <c r="AC92" s="338">
        <f t="shared" si="60"/>
        <v>25.894864964481673</v>
      </c>
      <c r="AF92" s="138">
        <f t="shared" si="61"/>
        <v>1</v>
      </c>
      <c r="AG92" s="138">
        <f t="shared" si="62"/>
        <v>1</v>
      </c>
      <c r="AH92" s="138">
        <f t="shared" si="74"/>
        <v>31</v>
      </c>
      <c r="AI92" s="138">
        <f t="shared" si="63"/>
        <v>2206</v>
      </c>
      <c r="AJ92" s="138">
        <f t="shared" si="64"/>
        <v>2223</v>
      </c>
      <c r="AL92" s="136">
        <f t="shared" si="75"/>
        <v>3.9144999999999999</v>
      </c>
      <c r="AM92" s="258">
        <f t="shared" si="76"/>
        <v>-0.4</v>
      </c>
      <c r="AN92" s="258">
        <f t="shared" si="77"/>
        <v>0.155</v>
      </c>
      <c r="AO92" s="258">
        <f t="shared" si="78"/>
        <v>0.13</v>
      </c>
      <c r="AP92" s="258">
        <f t="shared" si="79"/>
        <v>3.5000000000000003E-2</v>
      </c>
      <c r="AQ92" s="136">
        <f t="shared" si="65"/>
        <v>0</v>
      </c>
      <c r="AR92" s="137">
        <f t="shared" si="80"/>
        <v>3.5999999999999997E-2</v>
      </c>
      <c r="AS92" s="136">
        <f t="shared" si="92"/>
        <v>3.6694999999999998</v>
      </c>
      <c r="AT92" s="137">
        <f t="shared" si="93"/>
        <v>5.60215286416526E-2</v>
      </c>
      <c r="AU92" s="137">
        <f t="shared" si="81"/>
        <v>0.71475257497318989</v>
      </c>
      <c r="AV92" s="394">
        <f t="shared" si="94"/>
        <v>7688.593448986604</v>
      </c>
      <c r="AW92" s="137">
        <f t="shared" si="82"/>
        <v>0.24</v>
      </c>
      <c r="AX92" s="137">
        <f t="shared" si="83"/>
        <v>1.1499999999999999</v>
      </c>
      <c r="AY92" s="137">
        <f t="shared" si="84"/>
        <v>1.1000000000000001</v>
      </c>
      <c r="AZ92" s="137"/>
      <c r="BA92" s="264"/>
      <c r="BB92" s="258">
        <f t="shared" si="85"/>
        <v>0</v>
      </c>
      <c r="BC92" s="258">
        <f t="shared" si="66"/>
        <v>0</v>
      </c>
      <c r="BD92" s="137">
        <f t="shared" si="67"/>
        <v>2.3091508878247957E-5</v>
      </c>
      <c r="BE92" s="137">
        <f t="shared" si="68"/>
        <v>2.1163092725207111E-5</v>
      </c>
      <c r="BF92" s="137">
        <f>_xll.xSPRDOPT($BW92,$BV92,$CG92,0,$BY92,$BX92,$BZ92,$AJ92,1,4)*$CB92</f>
        <v>0.13214863713820102</v>
      </c>
      <c r="BG92" s="137">
        <f>_xll.xSPRDOPT($BW92,$BV92,$CG92,0,$BY92,$BX92,$BZ92,$AJ92,1,3)*$CB92</f>
        <v>0.11505575505194444</v>
      </c>
      <c r="BH92" s="137">
        <f>IF(OR(BF92&lt;&gt;0,BG92&lt;&gt;0),_xll.xSPRDOPT($BW92,$BV92,$CG92,0,$BY92,$BX92,$BZ92,$AJ92,1,12)*$CB92,0)</f>
        <v>-0.12330519703538073</v>
      </c>
      <c r="BI92" s="137">
        <f>_xll.xSPRDOPT($BW92,$BV92,$CG92,2*LN(1+CA92/2),$BY92,$BX92,$BZ92,$AJ92,1,9)</f>
        <v>1.0679415414500073E-2</v>
      </c>
      <c r="BJ92" s="137">
        <f>_xll.xSPRDOPT($BW92,$BV92,$CG92,0,$BY92,$BX92,$BZ92,$AJ92,1,6)*$CB92</f>
        <v>1.7937468793803247E-2</v>
      </c>
      <c r="BK92" s="137">
        <f>_xll.xSPRDOPT($BW92,$BV92,$CG92,0,$BY92,$BX92,$BZ92,$AJ92,1,5)*$CB92</f>
        <v>-1.3143698496615853E-2</v>
      </c>
      <c r="BL92" s="137">
        <f>_xll.xSPRDOPT(BW92,BV92,CG92,0,BY92,BX92,BZ92,AJ92,1,2)*CB92</f>
        <v>-0.70917564472205841</v>
      </c>
      <c r="BM92" s="137">
        <f>_xll.xSPRDOPT(BW92,BV92,CG92,0,BY92,BX92,BZ92,AJ92,1,1)*CB92</f>
        <v>0.70957311481258478</v>
      </c>
      <c r="BN92" s="137">
        <f>IF(AH92&lt;&gt;0,_xll.xSPRDOPT($BW92,$BV92,$CG92,2*LN(1+CA92/2),$BY92,$BX92,$BZ92,$AJ92,1,8)+(AJ92/365.25)*CH92/AH92,0)</f>
        <v>0.7358771193790079</v>
      </c>
      <c r="BO92" s="137">
        <f>_xll.xSPRDOPT($BW92,$BV92,$CG92,0,$BY92,$BX92,$BZ92,$AJ92,1,0)</f>
        <v>0.27322748291501542</v>
      </c>
      <c r="BP92" s="137"/>
      <c r="BQ92" s="137"/>
      <c r="BR92" s="137"/>
      <c r="BS92" s="137"/>
      <c r="BV92" s="262">
        <v>3.8065352697095434</v>
      </c>
      <c r="BW92" s="136">
        <v>4.0795000000000003</v>
      </c>
      <c r="BX92" s="137">
        <v>0.25770844672885035</v>
      </c>
      <c r="BY92" s="137">
        <v>0.25618305856655721</v>
      </c>
      <c r="BZ92" s="137">
        <v>0.99908464151528931</v>
      </c>
      <c r="CA92" s="137">
        <v>5.60215286416526E-2</v>
      </c>
      <c r="CB92" s="137">
        <v>0.71442828723099994</v>
      </c>
      <c r="CC92" s="258">
        <v>-0.4</v>
      </c>
      <c r="CD92" s="258">
        <v>0.155</v>
      </c>
      <c r="CE92" s="258">
        <v>0.13</v>
      </c>
      <c r="CF92" s="258">
        <v>3.5000000000000003E-2</v>
      </c>
      <c r="CG92" s="258">
        <v>0</v>
      </c>
      <c r="CH92" s="258">
        <v>9.7979553024008261</v>
      </c>
      <c r="CI92" s="258">
        <v>3.9144999999999999</v>
      </c>
    </row>
    <row r="93" spans="1:87" x14ac:dyDescent="0.25">
      <c r="A93" s="723"/>
      <c r="B93" s="723"/>
      <c r="D93" s="31">
        <f t="shared" si="53"/>
        <v>39493</v>
      </c>
      <c r="F93" s="28">
        <f t="shared" si="54"/>
        <v>9300</v>
      </c>
      <c r="G93" s="28">
        <f t="shared" si="70"/>
        <v>6608.8064426847586</v>
      </c>
      <c r="H93" s="52">
        <f t="shared" si="55"/>
        <v>3.7183609958506225</v>
      </c>
      <c r="I93" s="52">
        <f t="shared" si="56"/>
        <v>3.9944999999999999</v>
      </c>
      <c r="K93" s="52">
        <f t="shared" si="86"/>
        <v>5.6907018990612688</v>
      </c>
      <c r="L93" s="135">
        <f t="shared" si="87"/>
        <v>3.8433583930794768E-3</v>
      </c>
      <c r="N93" s="131">
        <f t="shared" si="88"/>
        <v>0.25641011488063875</v>
      </c>
      <c r="O93" s="131">
        <f t="shared" si="89"/>
        <v>0.25499339211914523</v>
      </c>
      <c r="P93" s="55">
        <f t="shared" si="90"/>
        <v>0.99914461738314309</v>
      </c>
      <c r="Q93" s="135">
        <f>_xll.xSPRDOPT(I93,H93,AQ93,0,O93,N93,P93,D93-$G$5,1,0)*AH93*AU93</f>
        <v>5.6945452574543483</v>
      </c>
      <c r="R93" s="135"/>
      <c r="S93" s="181">
        <f t="shared" si="91"/>
        <v>-196867.84695209633</v>
      </c>
      <c r="T93" s="181">
        <f>_xll.xSPRDOPT(I93,H93,AQ93,AT93,O93,N93,P93,D93-$G$5,1,1)*AF93*F93*AH93</f>
        <v>189780.60446182085</v>
      </c>
      <c r="U93" s="135"/>
      <c r="V93" s="146">
        <f t="shared" si="57"/>
        <v>9.1170261437707936</v>
      </c>
      <c r="W93" s="146"/>
      <c r="X93" s="338">
        <f t="shared" si="58"/>
        <v>0</v>
      </c>
      <c r="Y93" s="338">
        <f t="shared" si="71"/>
        <v>0</v>
      </c>
      <c r="Z93" s="338">
        <f t="shared" si="72"/>
        <v>23.959270043833957</v>
      </c>
      <c r="AA93" s="338">
        <f t="shared" si="73"/>
        <v>2.0120611507050096E-2</v>
      </c>
      <c r="AB93" s="338">
        <f t="shared" si="59"/>
        <v>0</v>
      </c>
      <c r="AC93" s="338">
        <f t="shared" si="60"/>
        <v>24.437433357671924</v>
      </c>
      <c r="AF93" s="138">
        <f t="shared" si="61"/>
        <v>1</v>
      </c>
      <c r="AG93" s="138">
        <f t="shared" si="62"/>
        <v>2</v>
      </c>
      <c r="AH93" s="138">
        <f t="shared" si="74"/>
        <v>29</v>
      </c>
      <c r="AI93" s="138">
        <f t="shared" si="63"/>
        <v>2237</v>
      </c>
      <c r="AJ93" s="138">
        <f t="shared" si="64"/>
        <v>2254</v>
      </c>
      <c r="AL93" s="136">
        <f t="shared" si="75"/>
        <v>3.8294999999999999</v>
      </c>
      <c r="AM93" s="258">
        <f t="shared" si="76"/>
        <v>-0.4</v>
      </c>
      <c r="AN93" s="258">
        <f t="shared" si="77"/>
        <v>0.155</v>
      </c>
      <c r="AO93" s="258">
        <f t="shared" si="78"/>
        <v>0.13</v>
      </c>
      <c r="AP93" s="258">
        <f t="shared" si="79"/>
        <v>3.5000000000000003E-2</v>
      </c>
      <c r="AQ93" s="136">
        <f t="shared" si="65"/>
        <v>0</v>
      </c>
      <c r="AR93" s="137">
        <f t="shared" si="80"/>
        <v>3.5999999999999997E-2</v>
      </c>
      <c r="AS93" s="136">
        <f t="shared" si="92"/>
        <v>3.5844999999999998</v>
      </c>
      <c r="AT93" s="137">
        <f t="shared" si="93"/>
        <v>5.62055448196963E-2</v>
      </c>
      <c r="AU93" s="137">
        <f t="shared" si="81"/>
        <v>0.7106243486757805</v>
      </c>
      <c r="AV93" s="394">
        <f t="shared" si="94"/>
        <v>7151.0128207243788</v>
      </c>
      <c r="AW93" s="137">
        <f t="shared" si="82"/>
        <v>0.24</v>
      </c>
      <c r="AX93" s="137">
        <f t="shared" si="83"/>
        <v>1.1499999999999999</v>
      </c>
      <c r="AY93" s="137">
        <f t="shared" si="84"/>
        <v>1.1000000000000001</v>
      </c>
      <c r="AZ93" s="137"/>
      <c r="BA93" s="264"/>
      <c r="BB93" s="258">
        <f t="shared" si="85"/>
        <v>0</v>
      </c>
      <c r="BC93" s="258">
        <f t="shared" si="66"/>
        <v>0</v>
      </c>
      <c r="BD93" s="137">
        <f t="shared" si="67"/>
        <v>2.1138589826164011E-5</v>
      </c>
      <c r="BE93" s="137">
        <f t="shared" si="68"/>
        <v>1.9365463018339302E-5</v>
      </c>
      <c r="BF93" s="137">
        <f>_xll.xSPRDOPT($BW93,$BV93,$CG93,0,$BY93,$BX93,$BZ93,$AJ93,1,4)*$CB93</f>
        <v>0.10285380427668545</v>
      </c>
      <c r="BG93" s="137">
        <f>_xll.xSPRDOPT($BW93,$BV93,$CG93,0,$BY93,$BX93,$BZ93,$AJ93,1,3)*$CB93</f>
        <v>8.9124763419797248E-2</v>
      </c>
      <c r="BH93" s="137">
        <f>IF(OR(BF93&lt;&gt;0,BG93&lt;&gt;0),_xll.xSPRDOPT($BW93,$BV93,$CG93,0,$BY93,$BX93,$BZ93,$AJ93,1,12)*$CB93,0)</f>
        <v>-9.5742435984232335E-2</v>
      </c>
      <c r="BI93" s="137">
        <f>_xll.xSPRDOPT($BW93,$BV93,$CG93,2*LN(1+CA93/2),$BY93,$BX93,$BZ93,$AJ93,1,9)</f>
        <v>1.0815873666432271E-2</v>
      </c>
      <c r="BJ93" s="137">
        <f>_xll.xSPRDOPT($BW93,$BV93,$CG93,0,$BY93,$BX93,$BZ93,$AJ93,1,6)*$CB93</f>
        <v>1.0728639534172425E-2</v>
      </c>
      <c r="BK93" s="137">
        <f>_xll.xSPRDOPT($BW93,$BV93,$CG93,0,$BY93,$BX93,$BZ93,$AJ93,1,5)*$CB93</f>
        <v>-7.858559024814922E-3</v>
      </c>
      <c r="BL93" s="137">
        <f>_xll.xSPRDOPT(BW93,BV93,CG93,0,BY93,BX93,BZ93,AJ93,1,2)*CB93</f>
        <v>-0.70640867300817134</v>
      </c>
      <c r="BM93" s="137">
        <f>_xll.xSPRDOPT(BW93,BV93,CG93,0,BY93,BX93,BZ93,AJ93,1,1)*CB93</f>
        <v>0.70671102490102822</v>
      </c>
      <c r="BN93" s="137">
        <f>IF(AH93&lt;&gt;0,_xll.xSPRDOPT($BW93,$BV93,$CG93,2*LN(1+CA93/2),$BY93,$BX93,$BZ93,$AJ93,1,8)+(AJ93/365.25)*CH93/AH93,0)</f>
        <v>0.72831213410314999</v>
      </c>
      <c r="BO93" s="137">
        <f>_xll.xSPRDOPT($BW93,$BV93,$CG93,0,$BY93,$BX93,$BZ93,$AJ93,1,0)</f>
        <v>0.27632621816610403</v>
      </c>
      <c r="BP93" s="137"/>
      <c r="BQ93" s="137"/>
      <c r="BR93" s="137"/>
      <c r="BS93" s="137"/>
      <c r="BV93" s="262">
        <v>3.7183609958506225</v>
      </c>
      <c r="BW93" s="136">
        <v>3.9944999999999999</v>
      </c>
      <c r="BX93" s="137">
        <v>0.25638897629081259</v>
      </c>
      <c r="BY93" s="137">
        <v>0.2549740266561269</v>
      </c>
      <c r="BZ93" s="137">
        <v>0.99914560232600691</v>
      </c>
      <c r="CA93" s="137">
        <v>5.62055448196963E-2</v>
      </c>
      <c r="CB93" s="137">
        <v>0.71030088966628813</v>
      </c>
      <c r="CC93" s="258">
        <v>-0.4</v>
      </c>
      <c r="CD93" s="258">
        <v>0.155</v>
      </c>
      <c r="CE93" s="258">
        <v>0.13</v>
      </c>
      <c r="CF93" s="258">
        <v>3.5000000000000003E-2</v>
      </c>
      <c r="CG93" s="258">
        <v>0</v>
      </c>
      <c r="CH93" s="258">
        <v>9.1128762940626107</v>
      </c>
      <c r="CI93" s="258">
        <v>3.8294999999999999</v>
      </c>
    </row>
    <row r="94" spans="1:87" x14ac:dyDescent="0.25">
      <c r="A94" s="723"/>
      <c r="B94" s="723"/>
      <c r="D94" s="31">
        <f t="shared" si="53"/>
        <v>39522</v>
      </c>
      <c r="F94" s="28">
        <f t="shared" si="54"/>
        <v>9300</v>
      </c>
      <c r="G94" s="28">
        <f t="shared" si="70"/>
        <v>6572.9114402842615</v>
      </c>
      <c r="H94" s="52">
        <f t="shared" si="55"/>
        <v>3.5835062240663902</v>
      </c>
      <c r="I94" s="52">
        <f t="shared" si="56"/>
        <v>3.8645</v>
      </c>
      <c r="K94" s="52">
        <f t="shared" si="86"/>
        <v>6.1564906816089886</v>
      </c>
      <c r="L94" s="135">
        <f t="shared" si="87"/>
        <v>2.1815854807254453E-3</v>
      </c>
      <c r="N94" s="131">
        <f t="shared" si="88"/>
        <v>0.24445514291333376</v>
      </c>
      <c r="O94" s="131">
        <f t="shared" si="89"/>
        <v>0.24222161904514466</v>
      </c>
      <c r="P94" s="55">
        <f t="shared" si="90"/>
        <v>0.99902958103151274</v>
      </c>
      <c r="Q94" s="135">
        <f>_xll.xSPRDOPT(I94,H94,AQ94,0,O94,N94,P94,D94-$G$5,1,0)*AH94*AU94</f>
        <v>6.158672267089714</v>
      </c>
      <c r="R94" s="135"/>
      <c r="S94" s="181">
        <f t="shared" si="91"/>
        <v>-209703.74468992744</v>
      </c>
      <c r="T94" s="181">
        <f>_xll.xSPRDOPT(I94,H94,AQ94,AT94,O94,N94,P94,D94-$G$5,1,1)*AF94*F94*AH94</f>
        <v>202154.40988109005</v>
      </c>
      <c r="U94" s="135"/>
      <c r="V94" s="146">
        <f t="shared" si="57"/>
        <v>9.6928534039391909</v>
      </c>
      <c r="W94" s="146"/>
      <c r="X94" s="338">
        <f t="shared" si="58"/>
        <v>0</v>
      </c>
      <c r="Y94" s="338">
        <f t="shared" si="71"/>
        <v>0</v>
      </c>
      <c r="Z94" s="338">
        <f t="shared" si="72"/>
        <v>26.021495475166837</v>
      </c>
      <c r="AA94" s="338">
        <f t="shared" si="73"/>
        <v>1.7490681679107025E-2</v>
      </c>
      <c r="AB94" s="338">
        <f t="shared" si="59"/>
        <v>0</v>
      </c>
      <c r="AC94" s="338">
        <f t="shared" si="60"/>
        <v>26.510059491328246</v>
      </c>
      <c r="AF94" s="138">
        <f t="shared" si="61"/>
        <v>1</v>
      </c>
      <c r="AG94" s="138">
        <f t="shared" si="62"/>
        <v>3</v>
      </c>
      <c r="AH94" s="138">
        <f t="shared" si="74"/>
        <v>31</v>
      </c>
      <c r="AI94" s="138">
        <f t="shared" si="63"/>
        <v>2266</v>
      </c>
      <c r="AJ94" s="138">
        <f t="shared" si="64"/>
        <v>2283</v>
      </c>
      <c r="AL94" s="136">
        <f t="shared" si="75"/>
        <v>3.6995</v>
      </c>
      <c r="AM94" s="258">
        <f t="shared" si="76"/>
        <v>-0.4</v>
      </c>
      <c r="AN94" s="258">
        <f t="shared" si="77"/>
        <v>0.155</v>
      </c>
      <c r="AO94" s="258">
        <f t="shared" si="78"/>
        <v>0.13</v>
      </c>
      <c r="AP94" s="258">
        <f t="shared" si="79"/>
        <v>3.5000000000000003E-2</v>
      </c>
      <c r="AQ94" s="136">
        <f t="shared" si="65"/>
        <v>0</v>
      </c>
      <c r="AR94" s="137">
        <f t="shared" si="80"/>
        <v>3.5999999999999997E-2</v>
      </c>
      <c r="AS94" s="136">
        <f t="shared" si="92"/>
        <v>3.4544999999999999</v>
      </c>
      <c r="AT94" s="137">
        <f t="shared" si="93"/>
        <v>5.6377688996458002E-2</v>
      </c>
      <c r="AU94" s="137">
        <f t="shared" si="81"/>
        <v>0.70676467099830764</v>
      </c>
      <c r="AV94" s="394">
        <f t="shared" si="94"/>
        <v>7602.6675659287957</v>
      </c>
      <c r="AW94" s="137">
        <f t="shared" si="82"/>
        <v>0.23499999999999999</v>
      </c>
      <c r="AX94" s="137">
        <f t="shared" si="83"/>
        <v>0.85</v>
      </c>
      <c r="AY94" s="137">
        <f t="shared" si="84"/>
        <v>0.75</v>
      </c>
      <c r="AZ94" s="137"/>
      <c r="BA94" s="264"/>
      <c r="BB94" s="258">
        <f t="shared" si="85"/>
        <v>0</v>
      </c>
      <c r="BC94" s="258">
        <f t="shared" si="66"/>
        <v>0</v>
      </c>
      <c r="BD94" s="137">
        <f t="shared" si="67"/>
        <v>1.2176649738376844E-5</v>
      </c>
      <c r="BE94" s="137">
        <f t="shared" si="68"/>
        <v>9.3422235172835322E-6</v>
      </c>
      <c r="BF94" s="137">
        <f>_xll.xSPRDOPT($BW94,$BV94,$CG94,0,$BY94,$BX94,$BZ94,$AJ94,1,4)*$CB94</f>
        <v>7.0854349920990392E-2</v>
      </c>
      <c r="BG94" s="137">
        <f>_xll.xSPRDOPT($BW94,$BV94,$CG94,0,$BY94,$BX94,$BZ94,$AJ94,1,3)*$CB94</f>
        <v>6.0925049540511179E-2</v>
      </c>
      <c r="BH94" s="137">
        <f>IF(OR(BF94&lt;&gt;0,BG94&lt;&gt;0),_xll.xSPRDOPT($BW94,$BV94,$CG94,0,$BY94,$BX94,$BZ94,$AJ94,1,12)*$CB94,0)</f>
        <v>-6.5701719661568847E-2</v>
      </c>
      <c r="BI94" s="137">
        <f>_xll.xSPRDOPT($BW94,$BV94,$CG94,2*LN(1+CA94/2),$BY94,$BX94,$BZ94,$AJ94,1,9)</f>
        <v>1.0988959674303026E-2</v>
      </c>
      <c r="BJ94" s="137">
        <f>_xll.xSPRDOPT($BW94,$BV94,$CG94,0,$BY94,$BX94,$BZ94,$AJ94,1,6)*$CB94</f>
        <v>1.3127672178367307E-2</v>
      </c>
      <c r="BK94" s="137">
        <f>_xll.xSPRDOPT($BW94,$BV94,$CG94,0,$BY94,$BX94,$BZ94,$AJ94,1,5)*$CB94</f>
        <v>-1.0616608389804211E-2</v>
      </c>
      <c r="BL94" s="137">
        <f>_xll.xSPRDOPT(BW94,BV94,CG94,0,BY94,BX94,BZ94,AJ94,1,2)*CB94</f>
        <v>-0.70409925624397085</v>
      </c>
      <c r="BM94" s="137">
        <f>_xll.xSPRDOPT(BW94,BV94,CG94,0,BY94,BX94,BZ94,AJ94,1,1)*CB94</f>
        <v>0.70428787413950833</v>
      </c>
      <c r="BN94" s="137">
        <f>IF(AH94&lt;&gt;0,_xll.xSPRDOPT($BW94,$BV94,$CG94,2*LN(1+CA94/2),$BY94,$BX94,$BZ94,$AJ94,1,8)+(AJ94/365.25)*CH94/AH94,0)</f>
        <v>0.71231735506398541</v>
      </c>
      <c r="BO94" s="137">
        <f>_xll.xSPRDOPT($BW94,$BV94,$CG94,0,$BY94,$BX94,$BZ94,$AJ94,1,0)</f>
        <v>0.28109378961028764</v>
      </c>
      <c r="BP94" s="137"/>
      <c r="BQ94" s="137"/>
      <c r="BR94" s="137"/>
      <c r="BS94" s="137"/>
      <c r="BV94" s="262">
        <v>3.5835062240663902</v>
      </c>
      <c r="BW94" s="136">
        <v>3.8645</v>
      </c>
      <c r="BX94" s="137">
        <v>0.24444296626359538</v>
      </c>
      <c r="BY94" s="137">
        <v>0.24221227682162738</v>
      </c>
      <c r="BZ94" s="137">
        <v>0.99903071818980771</v>
      </c>
      <c r="CA94" s="137">
        <v>5.6377688996458002E-2</v>
      </c>
      <c r="CB94" s="137">
        <v>0.70644199731475499</v>
      </c>
      <c r="CC94" s="258">
        <v>-0.4</v>
      </c>
      <c r="CD94" s="258">
        <v>0.155</v>
      </c>
      <c r="CE94" s="258">
        <v>0.13</v>
      </c>
      <c r="CF94" s="258">
        <v>3.5000000000000003E-2</v>
      </c>
      <c r="CG94" s="258">
        <v>0</v>
      </c>
      <c r="CH94" s="258">
        <v>9.6884281279734772</v>
      </c>
      <c r="CI94" s="258">
        <v>3.6995</v>
      </c>
    </row>
    <row r="95" spans="1:87" x14ac:dyDescent="0.25">
      <c r="A95" s="723"/>
      <c r="B95" s="723"/>
      <c r="D95" s="31">
        <f t="shared" si="53"/>
        <v>39553</v>
      </c>
      <c r="F95" s="28">
        <f t="shared" si="54"/>
        <v>9300</v>
      </c>
      <c r="G95" s="28">
        <f t="shared" si="70"/>
        <v>6534.564999851269</v>
      </c>
      <c r="H95" s="52">
        <f t="shared" si="55"/>
        <v>3.3449170124481329</v>
      </c>
      <c r="I95" s="52">
        <f t="shared" si="56"/>
        <v>3.5945</v>
      </c>
      <c r="K95" s="52">
        <f t="shared" si="86"/>
        <v>5.2610201774669223</v>
      </c>
      <c r="L95" s="135">
        <f t="shared" si="87"/>
        <v>9.0210035094440144E-4</v>
      </c>
      <c r="N95" s="131">
        <f t="shared" si="88"/>
        <v>0.23210038396197047</v>
      </c>
      <c r="O95" s="131">
        <f t="shared" si="89"/>
        <v>0.23210038396197047</v>
      </c>
      <c r="P95" s="55">
        <f t="shared" si="90"/>
        <v>0.99946346331718983</v>
      </c>
      <c r="Q95" s="135">
        <f>_xll.xSPRDOPT(I95,H95,AQ95,0,O95,N95,P95,D95-$G$5,1,0)*AH95*AU95</f>
        <v>5.2619222778178667</v>
      </c>
      <c r="R95" s="135"/>
      <c r="S95" s="181">
        <f t="shared" si="91"/>
        <v>-202045.27778168823</v>
      </c>
      <c r="T95" s="181">
        <f>_xll.xSPRDOPT(I95,H95,AQ95,AT95,O95,N95,P95,D95-$G$5,1,1)*AF95*F95*AH95</f>
        <v>194771.64778154745</v>
      </c>
      <c r="U95" s="135"/>
      <c r="V95" s="146">
        <f t="shared" si="57"/>
        <v>9.3254566320458121</v>
      </c>
      <c r="W95" s="146"/>
      <c r="X95" s="338">
        <f t="shared" si="58"/>
        <v>0</v>
      </c>
      <c r="Y95" s="338">
        <f t="shared" si="71"/>
        <v>0</v>
      </c>
      <c r="Z95" s="338">
        <f t="shared" si="72"/>
        <v>22.401913906041639</v>
      </c>
      <c r="AA95" s="338">
        <f t="shared" si="73"/>
        <v>5.0863966152555452E-5</v>
      </c>
      <c r="AB95" s="338">
        <f t="shared" si="59"/>
        <v>0</v>
      </c>
      <c r="AC95" s="338">
        <f t="shared" si="60"/>
        <v>22.72387165380918</v>
      </c>
      <c r="AF95" s="138">
        <f t="shared" si="61"/>
        <v>1</v>
      </c>
      <c r="AG95" s="138">
        <f t="shared" si="62"/>
        <v>4</v>
      </c>
      <c r="AH95" s="138">
        <f t="shared" si="74"/>
        <v>30</v>
      </c>
      <c r="AI95" s="138">
        <f t="shared" si="63"/>
        <v>2297</v>
      </c>
      <c r="AJ95" s="138">
        <f t="shared" si="64"/>
        <v>2314</v>
      </c>
      <c r="AL95" s="136">
        <f t="shared" si="75"/>
        <v>3.5145</v>
      </c>
      <c r="AM95" s="258">
        <f t="shared" si="76"/>
        <v>-0.44500000000000001</v>
      </c>
      <c r="AN95" s="258">
        <f t="shared" si="77"/>
        <v>0.155</v>
      </c>
      <c r="AO95" s="258">
        <f t="shared" si="78"/>
        <v>0.04</v>
      </c>
      <c r="AP95" s="258">
        <f t="shared" si="79"/>
        <v>0.04</v>
      </c>
      <c r="AQ95" s="136">
        <f t="shared" si="65"/>
        <v>0</v>
      </c>
      <c r="AR95" s="137">
        <f t="shared" si="80"/>
        <v>3.5999999999999997E-2</v>
      </c>
      <c r="AS95" s="136">
        <f t="shared" si="92"/>
        <v>3.2244999999999999</v>
      </c>
      <c r="AT95" s="137">
        <f t="shared" si="93"/>
        <v>5.6561705196317202E-2</v>
      </c>
      <c r="AU95" s="137">
        <f t="shared" si="81"/>
        <v>0.70264139783346979</v>
      </c>
      <c r="AV95" s="394">
        <f t="shared" si="94"/>
        <v>7314.496951446421</v>
      </c>
      <c r="AW95" s="137">
        <f t="shared" si="82"/>
        <v>0.23</v>
      </c>
      <c r="AX95" s="137">
        <f t="shared" si="83"/>
        <v>0.45</v>
      </c>
      <c r="AY95" s="137">
        <f t="shared" si="84"/>
        <v>0.45</v>
      </c>
      <c r="AZ95" s="137"/>
      <c r="BA95" s="264"/>
      <c r="BB95" s="258">
        <f t="shared" si="85"/>
        <v>0</v>
      </c>
      <c r="BC95" s="258">
        <f t="shared" si="66"/>
        <v>0</v>
      </c>
      <c r="BD95" s="137">
        <f t="shared" si="67"/>
        <v>2.7095799040866009E-6</v>
      </c>
      <c r="BE95" s="137">
        <f t="shared" si="68"/>
        <v>2.7095799040866009E-6</v>
      </c>
      <c r="BF95" s="137">
        <f>_xll.xSPRDOPT($BW95,$BV95,$CG95,0,$BY95,$BX95,$BZ95,$AJ95,1,4)*$CB95</f>
        <v>4.0096788422683327E-2</v>
      </c>
      <c r="BG95" s="137">
        <f>_xll.xSPRDOPT($BW95,$BV95,$CG95,0,$BY95,$BX95,$BZ95,$AJ95,1,3)*$CB95</f>
        <v>3.4722086676976731E-2</v>
      </c>
      <c r="BH95" s="137">
        <f>IF(OR(BF95&lt;&gt;0,BG95&lt;&gt;0),_xll.xSPRDOPT($BW95,$BV95,$CG95,0,$BY95,$BX95,$BZ95,$AJ95,1,12)*$CB95,0)</f>
        <v>-3.7312460281242861E-2</v>
      </c>
      <c r="BI95" s="137">
        <f>_xll.xSPRDOPT($BW95,$BV95,$CG95,2*LN(1+CA95/2),$BY95,$BX95,$BZ95,$AJ95,1,9)</f>
        <v>9.7757455844464849E-3</v>
      </c>
      <c r="BJ95" s="137">
        <f>_xll.xSPRDOPT($BW95,$BV95,$CG95,0,$BY95,$BX95,$BZ95,$AJ95,1,6)*$CB95</f>
        <v>3.4371061453377299E-5</v>
      </c>
      <c r="BK95" s="137">
        <f>_xll.xSPRDOPT($BW95,$BV95,$CG95,0,$BY95,$BX95,$BZ95,$AJ95,1,5)*$CB95</f>
        <v>3.2911738413729437E-5</v>
      </c>
      <c r="BL95" s="137">
        <f>_xll.xSPRDOPT(BW95,BV95,CG95,0,BY95,BX95,BZ95,AJ95,1,2)*CB95</f>
        <v>-0.70116844058808192</v>
      </c>
      <c r="BM95" s="137">
        <f>_xll.xSPRDOPT(BW95,BV95,CG95,0,BY95,BX95,BZ95,AJ95,1,1)*CB95</f>
        <v>0.70125676924496783</v>
      </c>
      <c r="BN95" s="137">
        <f>IF(AH95&lt;&gt;0,_xll.xSPRDOPT($BW95,$BV95,$CG95,2*LN(1+CA95/2),$BY95,$BX95,$BZ95,$AJ95,1,8)+(AJ95/365.25)*CH95/AH95,0)</f>
        <v>0.85792678603507322</v>
      </c>
      <c r="BO95" s="137">
        <f>_xll.xSPRDOPT($BW95,$BV95,$CG95,0,$BY95,$BX95,$BZ95,$AJ95,1,0)</f>
        <v>0.24962600573392513</v>
      </c>
      <c r="BP95" s="137"/>
      <c r="BQ95" s="137"/>
      <c r="BR95" s="137"/>
      <c r="BS95" s="137"/>
      <c r="BV95" s="262">
        <v>3.3449170124481329</v>
      </c>
      <c r="BW95" s="136">
        <v>3.5945</v>
      </c>
      <c r="BX95" s="137">
        <v>0.23209767438206638</v>
      </c>
      <c r="BY95" s="137">
        <v>0.23209767438206638</v>
      </c>
      <c r="BZ95" s="137">
        <v>0.99946414610187828</v>
      </c>
      <c r="CA95" s="137">
        <v>5.6561705196317202E-2</v>
      </c>
      <c r="CB95" s="137">
        <v>0.70231957427498137</v>
      </c>
      <c r="CC95" s="258">
        <v>-0.44500000000000001</v>
      </c>
      <c r="CD95" s="258">
        <v>0.155</v>
      </c>
      <c r="CE95" s="258">
        <v>0.04</v>
      </c>
      <c r="CF95" s="258">
        <v>0.04</v>
      </c>
      <c r="CG95" s="258">
        <v>0</v>
      </c>
      <c r="CH95" s="258">
        <v>9.3211853897775523</v>
      </c>
      <c r="CI95" s="258">
        <v>3.5145</v>
      </c>
    </row>
    <row r="96" spans="1:87" x14ac:dyDescent="0.25">
      <c r="A96" s="723"/>
      <c r="B96" s="723"/>
      <c r="D96" s="31">
        <f t="shared" si="53"/>
        <v>39583</v>
      </c>
      <c r="F96" s="28">
        <f t="shared" si="54"/>
        <v>9300</v>
      </c>
      <c r="G96" s="28">
        <f t="shared" si="70"/>
        <v>6497.4812565250013</v>
      </c>
      <c r="H96" s="52">
        <f t="shared" si="55"/>
        <v>3.3397302904564317</v>
      </c>
      <c r="I96" s="52">
        <f t="shared" si="56"/>
        <v>3.5895000000000001</v>
      </c>
      <c r="K96" s="52">
        <f t="shared" si="86"/>
        <v>5.4095800206900995</v>
      </c>
      <c r="L96" s="135">
        <f t="shared" si="87"/>
        <v>1.4139524846390472E-3</v>
      </c>
      <c r="N96" s="131">
        <f t="shared" si="88"/>
        <v>0.23214194494760204</v>
      </c>
      <c r="O96" s="131">
        <f t="shared" si="89"/>
        <v>0.23281791933733917</v>
      </c>
      <c r="P96" s="55">
        <f t="shared" si="90"/>
        <v>0.99924517136528956</v>
      </c>
      <c r="Q96" s="135">
        <f>_xll.xSPRDOPT(I96,H96,AQ96,0,O96,N96,P96,D96-$G$5,1,0)*AH96*AU96</f>
        <v>5.4109939731747385</v>
      </c>
      <c r="R96" s="135"/>
      <c r="S96" s="181">
        <f t="shared" si="91"/>
        <v>-207417.56590576452</v>
      </c>
      <c r="T96" s="181">
        <f>_xll.xSPRDOPT(I96,H96,AQ96,AT96,O96,N96,P96,D96-$G$5,1,1)*AF96*F96*AH96</f>
        <v>199950.53353315699</v>
      </c>
      <c r="U96" s="135"/>
      <c r="V96" s="146">
        <f t="shared" si="57"/>
        <v>9.5816190262888696</v>
      </c>
      <c r="W96" s="146"/>
      <c r="X96" s="338">
        <f t="shared" si="58"/>
        <v>0</v>
      </c>
      <c r="Y96" s="338">
        <f t="shared" si="71"/>
        <v>0</v>
      </c>
      <c r="Z96" s="338">
        <f t="shared" si="72"/>
        <v>23.08141945274032</v>
      </c>
      <c r="AA96" s="338">
        <f t="shared" si="73"/>
        <v>9.3130312200849551E-4</v>
      </c>
      <c r="AB96" s="338">
        <f t="shared" si="59"/>
        <v>0</v>
      </c>
      <c r="AC96" s="338">
        <f t="shared" si="60"/>
        <v>23.441192735061687</v>
      </c>
      <c r="AF96" s="138">
        <f t="shared" si="61"/>
        <v>1</v>
      </c>
      <c r="AG96" s="138">
        <f t="shared" si="62"/>
        <v>5</v>
      </c>
      <c r="AH96" s="138">
        <f t="shared" si="74"/>
        <v>31</v>
      </c>
      <c r="AI96" s="138">
        <f t="shared" si="63"/>
        <v>2327</v>
      </c>
      <c r="AJ96" s="138">
        <f t="shared" si="64"/>
        <v>2344</v>
      </c>
      <c r="AL96" s="136">
        <f t="shared" si="75"/>
        <v>3.5095000000000001</v>
      </c>
      <c r="AM96" s="258">
        <f t="shared" si="76"/>
        <v>-0.44500000000000001</v>
      </c>
      <c r="AN96" s="258">
        <f t="shared" si="77"/>
        <v>0.155</v>
      </c>
      <c r="AO96" s="258">
        <f t="shared" si="78"/>
        <v>0.04</v>
      </c>
      <c r="AP96" s="258">
        <f t="shared" si="79"/>
        <v>0.04</v>
      </c>
      <c r="AQ96" s="136">
        <f t="shared" si="65"/>
        <v>0</v>
      </c>
      <c r="AR96" s="137">
        <f t="shared" si="80"/>
        <v>3.5999999999999997E-2</v>
      </c>
      <c r="AS96" s="136">
        <f t="shared" si="92"/>
        <v>3.2195</v>
      </c>
      <c r="AT96" s="137">
        <f t="shared" si="93"/>
        <v>5.6739785400459201E-2</v>
      </c>
      <c r="AU96" s="137">
        <f t="shared" si="81"/>
        <v>0.6986538985510754</v>
      </c>
      <c r="AV96" s="394">
        <f t="shared" si="94"/>
        <v>7515.4199867139178</v>
      </c>
      <c r="AW96" s="137">
        <f t="shared" si="82"/>
        <v>0.23</v>
      </c>
      <c r="AX96" s="137">
        <f t="shared" si="83"/>
        <v>0.45</v>
      </c>
      <c r="AY96" s="137">
        <f t="shared" si="84"/>
        <v>0.5</v>
      </c>
      <c r="AZ96" s="137"/>
      <c r="BA96" s="264"/>
      <c r="BB96" s="258">
        <f t="shared" si="85"/>
        <v>0</v>
      </c>
      <c r="BC96" s="258">
        <f t="shared" si="66"/>
        <v>0</v>
      </c>
      <c r="BD96" s="137">
        <f t="shared" si="67"/>
        <v>2.7270207721141748E-6</v>
      </c>
      <c r="BE96" s="137">
        <f t="shared" si="68"/>
        <v>3.5824610916945776E-6</v>
      </c>
      <c r="BF96" s="137">
        <f>_xll.xSPRDOPT($BW96,$BV96,$CG96,0,$BY96,$BX96,$BZ96,$AJ96,1,4)*$CB96</f>
        <v>5.9047404062516469E-2</v>
      </c>
      <c r="BG96" s="137">
        <f>_xll.xSPRDOPT($BW96,$BV96,$CG96,0,$BY96,$BX96,$BZ96,$AJ96,1,3)*$CB96</f>
        <v>5.1115566469049419E-2</v>
      </c>
      <c r="BH96" s="137">
        <f>IF(OR(BF96&lt;&gt;0,BG96&lt;&gt;0),_xll.xSPRDOPT($BW96,$BV96,$CG96,0,$BY96,$BX96,$BZ96,$AJ96,1,12)*$CB96,0)</f>
        <v>-5.4937708818627293E-2</v>
      </c>
      <c r="BI96" s="137">
        <f>_xll.xSPRDOPT($BW96,$BV96,$CG96,2*LN(1+CA96/2),$BY96,$BX96,$BZ96,$AJ96,1,9)</f>
        <v>9.7473562898755944E-3</v>
      </c>
      <c r="BJ96" s="137">
        <f>_xll.xSPRDOPT($BW96,$BV96,$CG96,0,$BY96,$BX96,$BZ96,$AJ96,1,6)*$CB96</f>
        <v>-9.5866345082458687E-4</v>
      </c>
      <c r="BK96" s="137">
        <f>_xll.xSPRDOPT($BW96,$BV96,$CG96,0,$BY96,$BX96,$BZ96,$AJ96,1,5)*$CB96</f>
        <v>1.6314543177787042E-3</v>
      </c>
      <c r="BL96" s="137">
        <f>_xll.xSPRDOPT(BW96,BV96,CG96,0,BY96,BX96,BZ96,AJ96,1,2)*CB96</f>
        <v>-0.69661159551197693</v>
      </c>
      <c r="BM96" s="137">
        <f>_xll.xSPRDOPT(BW96,BV96,CG96,0,BY96,BX96,BZ96,AJ96,1,1)*CB96</f>
        <v>0.69674412748401848</v>
      </c>
      <c r="BN96" s="137">
        <f>IF(AH96&lt;&gt;0,_xll.xSPRDOPT($BW96,$BV96,$CG96,2*LN(1+CA96/2),$BY96,$BX96,$BZ96,$AJ96,1,8)+(AJ96/365.25)*CH96/AH96,0)</f>
        <v>0.86320480149576895</v>
      </c>
      <c r="BO96" s="137">
        <f>_xll.xSPRDOPT($BW96,$BV96,$CG96,0,$BY96,$BX96,$BZ96,$AJ96,1,0)</f>
        <v>0.24983532014522766</v>
      </c>
      <c r="BP96" s="137"/>
      <c r="BQ96" s="137"/>
      <c r="BR96" s="137"/>
      <c r="BS96" s="137"/>
      <c r="BV96" s="262">
        <v>3.3397302904564317</v>
      </c>
      <c r="BW96" s="136">
        <v>3.5895000000000001</v>
      </c>
      <c r="BX96" s="137">
        <v>0.23213921792682993</v>
      </c>
      <c r="BY96" s="137">
        <v>0.23281433687624747</v>
      </c>
      <c r="BZ96" s="137">
        <v>0.99924611108320027</v>
      </c>
      <c r="CA96" s="137">
        <v>5.6739785400459201E-2</v>
      </c>
      <c r="CB96" s="137">
        <v>0.69833290804898285</v>
      </c>
      <c r="CC96" s="258">
        <v>-0.44500000000000001</v>
      </c>
      <c r="CD96" s="258">
        <v>0.155</v>
      </c>
      <c r="CE96" s="258">
        <v>0.04</v>
      </c>
      <c r="CF96" s="258">
        <v>0.04</v>
      </c>
      <c r="CG96" s="258">
        <v>0</v>
      </c>
      <c r="CH96" s="258">
        <v>9.5772168341469719</v>
      </c>
      <c r="CI96" s="258">
        <v>3.5095000000000001</v>
      </c>
    </row>
    <row r="97" spans="1:87" x14ac:dyDescent="0.25">
      <c r="A97" s="723"/>
      <c r="B97" s="723"/>
      <c r="D97" s="31">
        <f t="shared" ref="D97:D105" si="95">D96+AH96</f>
        <v>39614</v>
      </c>
      <c r="F97" s="28">
        <f t="shared" ref="F97:F105" si="96">VLOOKUP(AG97,$AL$4:$AS$15,2)</f>
        <v>9300</v>
      </c>
      <c r="G97" s="28">
        <f t="shared" si="70"/>
        <v>6459.1900838862011</v>
      </c>
      <c r="H97" s="52">
        <f t="shared" ref="H97:H105" si="97">(AL97+AM97+AN97)/(1-(AR97))</f>
        <v>3.3760373443983407</v>
      </c>
      <c r="I97" s="52">
        <f t="shared" ref="I97:I105" si="98">(AL97+AO97+AP97)</f>
        <v>3.6245000000000003</v>
      </c>
      <c r="K97" s="52">
        <f t="shared" si="86"/>
        <v>5.1769920041234574</v>
      </c>
      <c r="L97" s="135">
        <f t="shared" si="87"/>
        <v>1.5985765711965527E-3</v>
      </c>
      <c r="N97" s="131">
        <f t="shared" si="88"/>
        <v>0.23204662986642166</v>
      </c>
      <c r="O97" s="131">
        <f t="shared" si="89"/>
        <v>0.2326926970853721</v>
      </c>
      <c r="P97" s="55">
        <f t="shared" si="90"/>
        <v>0.99927804806636911</v>
      </c>
      <c r="Q97" s="135">
        <f>_xll.xSPRDOPT(I97,H97,AQ97,0,O97,N97,P97,D97-$G$5,1,0)*AH97*AU97</f>
        <v>5.1785905806946539</v>
      </c>
      <c r="R97" s="135"/>
      <c r="S97" s="181">
        <f t="shared" si="91"/>
        <v>-199460.65574569727</v>
      </c>
      <c r="T97" s="181">
        <f>_xll.xSPRDOPT(I97,H97,AQ97,AT97,O97,N97,P97,D97-$G$5,1,1)*AF97*F97*AH97</f>
        <v>192280.07213885215</v>
      </c>
      <c r="U97" s="135"/>
      <c r="V97" s="146">
        <f t="shared" ref="V97:V105" si="99">VLOOKUP($AG97,$AL$4:$AS$15,8)*AH97*AU97</f>
        <v>9.2178893326169522</v>
      </c>
      <c r="W97" s="146"/>
      <c r="X97" s="338">
        <f t="shared" ref="X97:X105" si="100">((BM97*BC97)+(BL97*BB97))*AH97*F97</f>
        <v>0</v>
      </c>
      <c r="Y97" s="338">
        <f t="shared" si="71"/>
        <v>0</v>
      </c>
      <c r="Z97" s="338">
        <f t="shared" si="72"/>
        <v>22.160299884372172</v>
      </c>
      <c r="AA97" s="338">
        <f t="shared" si="73"/>
        <v>8.3438067036044913E-4</v>
      </c>
      <c r="AB97" s="338">
        <f t="shared" ref="AB97:AB105" si="101">BN97*(AT97-CA97)*F97*AH97</f>
        <v>0</v>
      </c>
      <c r="AC97" s="338">
        <f t="shared" ref="AC97:AC105" si="102">BO97*CB97*F97*AH97*CA97*($G$5-$BV$5)/365.25</f>
        <v>22.507117078771902</v>
      </c>
      <c r="AF97" s="138">
        <f t="shared" ref="AF97:AF105" si="103">IF(AND(D97&gt;=$G$7,D97&lt;=$G$8),1,0)</f>
        <v>1</v>
      </c>
      <c r="AG97" s="138">
        <f t="shared" ref="AG97:AG105" si="104">MONTH(D97)</f>
        <v>6</v>
      </c>
      <c r="AH97" s="138">
        <f t="shared" si="74"/>
        <v>30</v>
      </c>
      <c r="AI97" s="138">
        <f t="shared" ref="AI97:AI105" si="105">AI96+AH96</f>
        <v>2358</v>
      </c>
      <c r="AJ97" s="138">
        <f t="shared" ref="AJ97:AJ105" si="106">D97-$BV$5</f>
        <v>2375</v>
      </c>
      <c r="AL97" s="136">
        <f t="shared" si="75"/>
        <v>3.5445000000000002</v>
      </c>
      <c r="AM97" s="258">
        <f t="shared" si="76"/>
        <v>-0.44500000000000001</v>
      </c>
      <c r="AN97" s="258">
        <f t="shared" si="77"/>
        <v>0.155</v>
      </c>
      <c r="AO97" s="258">
        <f t="shared" si="78"/>
        <v>0.04</v>
      </c>
      <c r="AP97" s="258">
        <f t="shared" si="79"/>
        <v>0.04</v>
      </c>
      <c r="AQ97" s="136">
        <f t="shared" ref="AQ97:AQ105" si="107">VLOOKUP($AG97,$AL$4:$AS$15,3)+VLOOKUP($AG97,$AL$4:$AS$15,5)+($AH$10*VLOOKUP(D97,GRITable,2))</f>
        <v>0</v>
      </c>
      <c r="AR97" s="137">
        <f t="shared" si="80"/>
        <v>3.5999999999999997E-2</v>
      </c>
      <c r="AS97" s="136">
        <f t="shared" si="92"/>
        <v>3.2545000000000002</v>
      </c>
      <c r="AT97" s="137">
        <f t="shared" si="93"/>
        <v>5.6923801622493997E-2</v>
      </c>
      <c r="AU97" s="137">
        <f t="shared" si="81"/>
        <v>0.69453656815980658</v>
      </c>
      <c r="AV97" s="394">
        <f t="shared" si="94"/>
        <v>7230.1256745435867</v>
      </c>
      <c r="AW97" s="137">
        <f t="shared" si="82"/>
        <v>0.23</v>
      </c>
      <c r="AX97" s="137">
        <f t="shared" si="83"/>
        <v>0.45</v>
      </c>
      <c r="AY97" s="137">
        <f t="shared" si="84"/>
        <v>0.5</v>
      </c>
      <c r="AZ97" s="137"/>
      <c r="BA97" s="264"/>
      <c r="BB97" s="258">
        <f t="shared" si="85"/>
        <v>0</v>
      </c>
      <c r="BC97" s="258">
        <f t="shared" ref="BC97:BC105" si="108">I97-BW97</f>
        <v>0</v>
      </c>
      <c r="BD97" s="137">
        <f t="shared" ref="BD97:BD105" si="109">N97-BX97</f>
        <v>2.5727469935010738E-6</v>
      </c>
      <c r="BE97" s="137">
        <f t="shared" ref="BE97:BE105" si="110">O97-BY97</f>
        <v>3.3802231272361816E-6</v>
      </c>
      <c r="BF97" s="137">
        <f>_xll.xSPRDOPT($BW97,$BV97,$CG97,0,$BY97,$BX97,$BZ97,$AJ97,1,4)*$CB97</f>
        <v>6.4531538520746987E-2</v>
      </c>
      <c r="BG97" s="137">
        <f>_xll.xSPRDOPT($BW97,$BV97,$CG97,0,$BY97,$BX97,$BZ97,$AJ97,1,3)*$CB97</f>
        <v>5.5987316250596803E-2</v>
      </c>
      <c r="BH97" s="137">
        <f>IF(OR(BF97&lt;&gt;0,BG97&lt;&gt;0),_xll.xSPRDOPT($BW97,$BV97,$CG97,0,$BY97,$BX97,$BZ97,$AJ97,1,12)*$CB97,0)</f>
        <v>-6.0106996047774787E-2</v>
      </c>
      <c r="BI97" s="137">
        <f>_xll.xSPRDOPT($BW97,$BV97,$CG97,2*LN(1+CA97/2),$BY97,$BX97,$BZ97,$AJ97,1,9)</f>
        <v>9.670310074990366E-3</v>
      </c>
      <c r="BJ97" s="137">
        <f>_xll.xSPRDOPT($BW97,$BV97,$CG97,0,$BY97,$BX97,$BZ97,$AJ97,1,6)*$CB97</f>
        <v>-9.4029364581928805E-4</v>
      </c>
      <c r="BK97" s="137">
        <f>_xll.xSPRDOPT($BW97,$BV97,$CG97,0,$BY97,$BX97,$BZ97,$AJ97,1,5)*$CB97</f>
        <v>1.6004119161314137E-3</v>
      </c>
      <c r="BL97" s="137">
        <f>_xll.xSPRDOPT(BW97,BV97,CG97,0,BY97,BX97,BZ97,AJ97,1,2)*CB97</f>
        <v>-0.69226922731090268</v>
      </c>
      <c r="BM97" s="137">
        <f>_xll.xSPRDOPT(BW97,BV97,CG97,0,BY97,BX97,BZ97,AJ97,1,1)*CB97</f>
        <v>0.69241746854703778</v>
      </c>
      <c r="BN97" s="137">
        <f>IF(AH97&lt;&gt;0,_xll.xSPRDOPT($BW97,$BV97,$CG97,2*LN(1+CA97/2),$BY97,$BX97,$BZ97,$AJ97,1,8)+(AJ97/365.25)*CH97/AH97,0)</f>
        <v>0.87536663442353291</v>
      </c>
      <c r="BO97" s="137">
        <f>_xll.xSPRDOPT($BW97,$BV97,$CG97,0,$BY97,$BX97,$BZ97,$AJ97,1,0)</f>
        <v>0.24853974040831522</v>
      </c>
      <c r="BP97" s="137"/>
      <c r="BQ97" s="137"/>
      <c r="BR97" s="137"/>
      <c r="BS97" s="137"/>
      <c r="BV97" s="262">
        <v>3.3760373443983407</v>
      </c>
      <c r="BW97" s="136">
        <v>3.6245000000000003</v>
      </c>
      <c r="BX97" s="137">
        <v>0.23204405711942816</v>
      </c>
      <c r="BY97" s="137">
        <v>0.23268931686224487</v>
      </c>
      <c r="BZ97" s="137">
        <v>0.99927893637749354</v>
      </c>
      <c r="CA97" s="137">
        <v>5.6923801622493997E-2</v>
      </c>
      <c r="CB97" s="137">
        <v>0.69421644906323099</v>
      </c>
      <c r="CC97" s="258">
        <v>-0.44500000000000001</v>
      </c>
      <c r="CD97" s="258">
        <v>0.155</v>
      </c>
      <c r="CE97" s="258">
        <v>0.04</v>
      </c>
      <c r="CF97" s="258">
        <v>0.04</v>
      </c>
      <c r="CG97" s="258">
        <v>0</v>
      </c>
      <c r="CH97" s="258">
        <v>9.2136407119672015</v>
      </c>
      <c r="CI97" s="258">
        <v>3.5445000000000002</v>
      </c>
    </row>
    <row r="98" spans="1:87" x14ac:dyDescent="0.25">
      <c r="A98" s="723"/>
      <c r="B98" s="723"/>
      <c r="D98" s="31">
        <f t="shared" si="95"/>
        <v>39644</v>
      </c>
      <c r="F98" s="28">
        <f t="shared" si="96"/>
        <v>9300</v>
      </c>
      <c r="G98" s="28">
        <f t="shared" si="70"/>
        <v>6422.1638978778356</v>
      </c>
      <c r="H98" s="52">
        <f t="shared" si="97"/>
        <v>3.4175311203319501</v>
      </c>
      <c r="I98" s="52">
        <f t="shared" si="98"/>
        <v>3.6644999999999999</v>
      </c>
      <c r="K98" s="52">
        <f t="shared" si="86"/>
        <v>5.2869154096782829</v>
      </c>
      <c r="L98" s="135">
        <f t="shared" si="87"/>
        <v>2.53106132008174E-3</v>
      </c>
      <c r="N98" s="131">
        <f t="shared" si="88"/>
        <v>0.23274682347149744</v>
      </c>
      <c r="O98" s="131">
        <f t="shared" si="89"/>
        <v>0.23347302325958982</v>
      </c>
      <c r="P98" s="55">
        <f t="shared" si="90"/>
        <v>0.99913850927500758</v>
      </c>
      <c r="Q98" s="135">
        <f>_xll.xSPRDOPT(I98,H98,AQ98,0,O98,N98,P98,D98-$G$5,1,0)*AH98*AU98</f>
        <v>5.2894464709983646</v>
      </c>
      <c r="R98" s="135"/>
      <c r="S98" s="181">
        <f t="shared" si="91"/>
        <v>-204653.26002811475</v>
      </c>
      <c r="T98" s="181">
        <f>_xll.xSPRDOPT(I98,H98,AQ98,AT98,O98,N98,P98,D98-$G$5,1,1)*AF98*F98*AH98</f>
        <v>197285.7426671026</v>
      </c>
      <c r="U98" s="135"/>
      <c r="V98" s="146">
        <f t="shared" si="99"/>
        <v>9.4705510280705152</v>
      </c>
      <c r="W98" s="146"/>
      <c r="X98" s="338">
        <f t="shared" si="100"/>
        <v>0</v>
      </c>
      <c r="Y98" s="338">
        <f t="shared" si="71"/>
        <v>0</v>
      </c>
      <c r="Z98" s="338">
        <f t="shared" si="72"/>
        <v>22.647376424290275</v>
      </c>
      <c r="AA98" s="338">
        <f t="shared" si="73"/>
        <v>3.1971682236933605E-3</v>
      </c>
      <c r="AB98" s="338">
        <f t="shared" si="101"/>
        <v>0</v>
      </c>
      <c r="AC98" s="338">
        <f t="shared" si="102"/>
        <v>23.060817816777586</v>
      </c>
      <c r="AF98" s="138">
        <f t="shared" si="103"/>
        <v>1</v>
      </c>
      <c r="AG98" s="138">
        <f t="shared" si="104"/>
        <v>7</v>
      </c>
      <c r="AH98" s="138">
        <f t="shared" si="74"/>
        <v>31</v>
      </c>
      <c r="AI98" s="138">
        <f t="shared" si="105"/>
        <v>2388</v>
      </c>
      <c r="AJ98" s="138">
        <f t="shared" si="106"/>
        <v>2405</v>
      </c>
      <c r="AL98" s="136">
        <f t="shared" si="75"/>
        <v>3.5844999999999998</v>
      </c>
      <c r="AM98" s="258">
        <f t="shared" si="76"/>
        <v>-0.44500000000000001</v>
      </c>
      <c r="AN98" s="258">
        <f t="shared" si="77"/>
        <v>0.155</v>
      </c>
      <c r="AO98" s="258">
        <f t="shared" si="78"/>
        <v>0.04</v>
      </c>
      <c r="AP98" s="258">
        <f t="shared" si="79"/>
        <v>0.04</v>
      </c>
      <c r="AQ98" s="136">
        <f t="shared" si="107"/>
        <v>0</v>
      </c>
      <c r="AR98" s="137">
        <f t="shared" si="80"/>
        <v>3.5999999999999997E-2</v>
      </c>
      <c r="AS98" s="136">
        <f t="shared" si="92"/>
        <v>3.2944999999999998</v>
      </c>
      <c r="AT98" s="137">
        <f t="shared" si="93"/>
        <v>5.7101881848094803E-2</v>
      </c>
      <c r="AU98" s="137">
        <f t="shared" si="81"/>
        <v>0.69055525783632643</v>
      </c>
      <c r="AV98" s="394">
        <f t="shared" si="94"/>
        <v>7428.3029085453636</v>
      </c>
      <c r="AW98" s="137">
        <f t="shared" si="82"/>
        <v>0.23</v>
      </c>
      <c r="AX98" s="137">
        <f t="shared" si="83"/>
        <v>0.5</v>
      </c>
      <c r="AY98" s="137">
        <f t="shared" si="84"/>
        <v>0.55000000000000004</v>
      </c>
      <c r="AZ98" s="137"/>
      <c r="BA98" s="264"/>
      <c r="BB98" s="258">
        <f t="shared" si="85"/>
        <v>0</v>
      </c>
      <c r="BC98" s="258">
        <f t="shared" si="108"/>
        <v>0</v>
      </c>
      <c r="BD98" s="137">
        <f t="shared" si="109"/>
        <v>3.4040740785612478E-6</v>
      </c>
      <c r="BE98" s="137">
        <f t="shared" si="110"/>
        <v>4.2973906601850853E-6</v>
      </c>
      <c r="BF98" s="137">
        <f>_xll.xSPRDOPT($BW98,$BV98,$CG98,0,$BY98,$BX98,$BZ98,$AJ98,1,4)*$CB98</f>
        <v>9.0667558603501078E-2</v>
      </c>
      <c r="BG98" s="137">
        <f>_xll.xSPRDOPT($BW98,$BV98,$CG98,0,$BY98,$BX98,$BZ98,$AJ98,1,3)*$CB98</f>
        <v>7.8858370087816584E-2</v>
      </c>
      <c r="BH98" s="137">
        <f>IF(OR(BF98&lt;&gt;0,BG98&lt;&gt;0),_xll.xSPRDOPT($BW98,$BV98,$CG98,0,$BY98,$BX98,$BZ98,$AJ98,1,12)*$CB98,0)</f>
        <v>-8.4555903912799435E-2</v>
      </c>
      <c r="BI98" s="137">
        <f>_xll.xSPRDOPT($BW98,$BV98,$CG98,2*LN(1+CA98/2),$BY98,$BX98,$BZ98,$AJ98,1,9)</f>
        <v>9.5640585489328508E-3</v>
      </c>
      <c r="BJ98" s="137">
        <f>_xll.xSPRDOPT($BW98,$BV98,$CG98,0,$BY98,$BX98,$BZ98,$AJ98,1,6)*$CB98</f>
        <v>-2.6525846857536495E-3</v>
      </c>
      <c r="BK98" s="137">
        <f>_xll.xSPRDOPT($BW98,$BV98,$CG98,0,$BY98,$BX98,$BZ98,$AJ98,1,5)*$CB98</f>
        <v>4.6817529791166107E-3</v>
      </c>
      <c r="BL98" s="137">
        <f>_xll.xSPRDOPT(BW98,BV98,CG98,0,BY98,BX98,BZ98,AJ98,1,2)*CB98</f>
        <v>-0.68737450582577164</v>
      </c>
      <c r="BM98" s="137">
        <f>_xll.xSPRDOPT(BW98,BV98,CG98,0,BY98,BX98,BZ98,AJ98,1,1)*CB98</f>
        <v>0.6875897155058126</v>
      </c>
      <c r="BN98" s="137">
        <f>IF(AH98&lt;&gt;0,_xll.xSPRDOPT($BW98,$BV98,$CG98,2*LN(1+CA98/2),$BY98,$BX98,$BZ98,$AJ98,1,8)+(AJ98/365.25)*CH98/AH98,0)</f>
        <v>0.88791055126340157</v>
      </c>
      <c r="BO98" s="137">
        <f>_xll.xSPRDOPT($BW98,$BV98,$CG98,0,$BY98,$BX98,$BZ98,$AJ98,1,0)</f>
        <v>0.24708763327978955</v>
      </c>
      <c r="BP98" s="137"/>
      <c r="BQ98" s="137"/>
      <c r="BR98" s="137"/>
      <c r="BS98" s="137"/>
      <c r="BV98" s="262">
        <v>3.4175311203319501</v>
      </c>
      <c r="BW98" s="136">
        <v>3.6644999999999999</v>
      </c>
      <c r="BX98" s="137">
        <v>0.23274341939741888</v>
      </c>
      <c r="BY98" s="137">
        <v>0.23346872586892964</v>
      </c>
      <c r="BZ98" s="137">
        <v>0.99913954892585133</v>
      </c>
      <c r="CA98" s="137">
        <v>5.7101881848094803E-2</v>
      </c>
      <c r="CB98" s="137">
        <v>0.69023599215994369</v>
      </c>
      <c r="CC98" s="258">
        <v>-0.44500000000000001</v>
      </c>
      <c r="CD98" s="258">
        <v>0.155</v>
      </c>
      <c r="CE98" s="258">
        <v>0.04</v>
      </c>
      <c r="CF98" s="258">
        <v>0.04</v>
      </c>
      <c r="CG98" s="258">
        <v>0</v>
      </c>
      <c r="CH98" s="258">
        <v>9.466172490878332</v>
      </c>
      <c r="CI98" s="258">
        <v>3.5844999999999998</v>
      </c>
    </row>
    <row r="99" spans="1:87" x14ac:dyDescent="0.25">
      <c r="A99" s="723"/>
      <c r="B99" s="723"/>
      <c r="D99" s="31">
        <f t="shared" si="95"/>
        <v>39675</v>
      </c>
      <c r="F99" s="28">
        <f t="shared" si="96"/>
        <v>9300</v>
      </c>
      <c r="G99" s="28">
        <f t="shared" si="70"/>
        <v>6383.9363785595442</v>
      </c>
      <c r="H99" s="52">
        <f t="shared" si="97"/>
        <v>3.4590248962655599</v>
      </c>
      <c r="I99" s="52">
        <f t="shared" si="98"/>
        <v>3.7044999999999999</v>
      </c>
      <c r="K99" s="52">
        <f t="shared" si="86"/>
        <v>5.2236581492032315</v>
      </c>
      <c r="L99" s="135">
        <f t="shared" si="87"/>
        <v>3.6697526157407623E-3</v>
      </c>
      <c r="N99" s="131">
        <f t="shared" si="88"/>
        <v>0.23342912389880816</v>
      </c>
      <c r="O99" s="131">
        <f t="shared" si="89"/>
        <v>0.23421197126552473</v>
      </c>
      <c r="P99" s="55">
        <f t="shared" si="90"/>
        <v>0.99901457354765699</v>
      </c>
      <c r="Q99" s="135">
        <f>_xll.xSPRDOPT(I99,H99,AQ99,0,O99,N99,P99,D99-$G$5,1,0)*AH99*AU99</f>
        <v>5.2273279018189722</v>
      </c>
      <c r="R99" s="135"/>
      <c r="S99" s="181">
        <f t="shared" si="91"/>
        <v>-203101.0319757275</v>
      </c>
      <c r="T99" s="181">
        <f>_xll.xSPRDOPT(I99,H99,AQ99,AT99,O99,N99,P99,D99-$G$5,1,1)*AF99*F99*AH99</f>
        <v>195789.3948246013</v>
      </c>
      <c r="U99" s="135"/>
      <c r="V99" s="146">
        <f t="shared" si="99"/>
        <v>9.4141781795824748</v>
      </c>
      <c r="W99" s="146"/>
      <c r="X99" s="338">
        <f t="shared" si="100"/>
        <v>0</v>
      </c>
      <c r="Y99" s="338">
        <f t="shared" si="71"/>
        <v>0</v>
      </c>
      <c r="Z99" s="338">
        <f t="shared" si="72"/>
        <v>22.361167457298549</v>
      </c>
      <c r="AA99" s="338">
        <f t="shared" si="73"/>
        <v>7.8022491225212993E-3</v>
      </c>
      <c r="AB99" s="338">
        <f t="shared" si="101"/>
        <v>0</v>
      </c>
      <c r="AC99" s="338">
        <f t="shared" si="102"/>
        <v>22.863421339499613</v>
      </c>
      <c r="AF99" s="138">
        <f t="shared" si="103"/>
        <v>1</v>
      </c>
      <c r="AG99" s="138">
        <f t="shared" si="104"/>
        <v>8</v>
      </c>
      <c r="AH99" s="138">
        <f t="shared" si="74"/>
        <v>31</v>
      </c>
      <c r="AI99" s="138">
        <f t="shared" si="105"/>
        <v>2419</v>
      </c>
      <c r="AJ99" s="138">
        <f t="shared" si="106"/>
        <v>2436</v>
      </c>
      <c r="AL99" s="136">
        <f t="shared" si="75"/>
        <v>3.6244999999999998</v>
      </c>
      <c r="AM99" s="258">
        <f t="shared" si="76"/>
        <v>-0.44500000000000001</v>
      </c>
      <c r="AN99" s="258">
        <f t="shared" si="77"/>
        <v>0.155</v>
      </c>
      <c r="AO99" s="258">
        <f t="shared" si="78"/>
        <v>0.04</v>
      </c>
      <c r="AP99" s="258">
        <f t="shared" si="79"/>
        <v>0.04</v>
      </c>
      <c r="AQ99" s="136">
        <f t="shared" si="107"/>
        <v>0</v>
      </c>
      <c r="AR99" s="137">
        <f t="shared" si="80"/>
        <v>3.5999999999999997E-2</v>
      </c>
      <c r="AS99" s="136">
        <f t="shared" si="92"/>
        <v>3.3344999999999998</v>
      </c>
      <c r="AT99" s="137">
        <f t="shared" si="93"/>
        <v>5.7285898092300801E-2</v>
      </c>
      <c r="AU99" s="137">
        <f t="shared" si="81"/>
        <v>0.68644477188812303</v>
      </c>
      <c r="AV99" s="394">
        <f t="shared" si="94"/>
        <v>7384.0864112005393</v>
      </c>
      <c r="AW99" s="137">
        <f t="shared" si="82"/>
        <v>0.23</v>
      </c>
      <c r="AX99" s="137">
        <f t="shared" si="83"/>
        <v>0.55000000000000004</v>
      </c>
      <c r="AY99" s="137">
        <f t="shared" si="84"/>
        <v>0.6</v>
      </c>
      <c r="AZ99" s="137"/>
      <c r="BA99" s="264"/>
      <c r="BB99" s="258">
        <f t="shared" si="85"/>
        <v>0</v>
      </c>
      <c r="BC99" s="258">
        <f t="shared" si="108"/>
        <v>0</v>
      </c>
      <c r="BD99" s="137">
        <f t="shared" si="109"/>
        <v>4.1894980462309217E-6</v>
      </c>
      <c r="BE99" s="137">
        <f t="shared" si="110"/>
        <v>5.1374078402222079E-6</v>
      </c>
      <c r="BF99" s="137">
        <f>_xll.xSPRDOPT($BW99,$BV99,$CG99,0,$BY99,$BX99,$BZ99,$AJ99,1,4)*$CB99</f>
        <v>0.12069918888339276</v>
      </c>
      <c r="BG99" s="137">
        <f>_xll.xSPRDOPT($BW99,$BV99,$CG99,0,$BY99,$BX99,$BZ99,$AJ99,1,3)*$CB99</f>
        <v>0.10523307101512633</v>
      </c>
      <c r="BH99" s="137">
        <f>IF(OR(BF99&lt;&gt;0,BG99&lt;&gt;0),_xll.xSPRDOPT($BW99,$BV99,$CG99,0,$BY99,$BX99,$BZ99,$AJ99,1,12)*$CB99,0)</f>
        <v>-0.11269972942687646</v>
      </c>
      <c r="BI99" s="137">
        <f>_xll.xSPRDOPT($BW99,$BV99,$CG99,2*LN(1+CA99/2),$BY99,$BX99,$BZ99,$AJ99,1,9)</f>
        <v>9.4431915987724536E-3</v>
      </c>
      <c r="BJ99" s="137">
        <f>_xll.xSPRDOPT($BW99,$BV99,$CG99,0,$BY99,$BX99,$BZ99,$AJ99,1,6)*$CB99</f>
        <v>-5.1680888847492014E-3</v>
      </c>
      <c r="BK99" s="137">
        <f>_xll.xSPRDOPT($BW99,$BV99,$CG99,0,$BY99,$BX99,$BZ99,$AJ99,1,5)*$CB99</f>
        <v>9.4823405133063459E-3</v>
      </c>
      <c r="BL99" s="137">
        <f>_xll.xSPRDOPT(BW99,BV99,CG99,0,BY99,BX99,BZ99,AJ99,1,2)*CB99</f>
        <v>-0.6821447591483355</v>
      </c>
      <c r="BM99" s="137">
        <f>_xll.xSPRDOPT(BW99,BV99,CG99,0,BY99,BX99,BZ99,AJ99,1,1)*CB99</f>
        <v>0.68244066017342209</v>
      </c>
      <c r="BN99" s="137">
        <f>IF(AH99&lt;&gt;0,_xll.xSPRDOPT($BW99,$BV99,$CG99,2*LN(1+CA99/2),$BY99,$BX99,$BZ99,$AJ99,1,8)+(AJ99/365.25)*CH99/AH99,0)</f>
        <v>0.90038899209794243</v>
      </c>
      <c r="BO99" s="137">
        <f>_xll.xSPRDOPT($BW99,$BV99,$CG99,0,$BY99,$BX99,$BZ99,$AJ99,1,0)</f>
        <v>0.24564826003774659</v>
      </c>
      <c r="BP99" s="137"/>
      <c r="BQ99" s="137"/>
      <c r="BR99" s="137"/>
      <c r="BS99" s="137"/>
      <c r="BV99" s="262">
        <v>3.4590248962655599</v>
      </c>
      <c r="BW99" s="136">
        <v>3.7044999999999999</v>
      </c>
      <c r="BX99" s="137">
        <v>0.23342493440076192</v>
      </c>
      <c r="BY99" s="137">
        <v>0.23420683385768451</v>
      </c>
      <c r="BZ99" s="137">
        <v>0.99901574045918495</v>
      </c>
      <c r="CA99" s="137">
        <v>5.7285898092300801E-2</v>
      </c>
      <c r="CB99" s="137">
        <v>0.68612639842088818</v>
      </c>
      <c r="CC99" s="258">
        <v>-0.44500000000000001</v>
      </c>
      <c r="CD99" s="258">
        <v>0.155</v>
      </c>
      <c r="CE99" s="258">
        <v>0.04</v>
      </c>
      <c r="CF99" s="258">
        <v>0.04</v>
      </c>
      <c r="CG99" s="258">
        <v>0</v>
      </c>
      <c r="CH99" s="258">
        <v>9.4098118785034295</v>
      </c>
      <c r="CI99" s="258">
        <v>3.6244999999999998</v>
      </c>
    </row>
    <row r="100" spans="1:87" x14ac:dyDescent="0.25">
      <c r="A100" s="723"/>
      <c r="B100" s="723"/>
      <c r="D100" s="31">
        <f t="shared" si="95"/>
        <v>39706</v>
      </c>
      <c r="F100" s="28">
        <f t="shared" si="96"/>
        <v>9300</v>
      </c>
      <c r="G100" s="28">
        <f t="shared" si="70"/>
        <v>6345.7443818384163</v>
      </c>
      <c r="H100" s="52">
        <f t="shared" si="97"/>
        <v>3.4538381742738591</v>
      </c>
      <c r="I100" s="52">
        <f t="shared" si="98"/>
        <v>3.6995</v>
      </c>
      <c r="K100" s="52">
        <f t="shared" si="86"/>
        <v>5.0287327433349258</v>
      </c>
      <c r="L100" s="135">
        <f t="shared" si="87"/>
        <v>3.4797730823905582E-3</v>
      </c>
      <c r="N100" s="131">
        <f t="shared" si="88"/>
        <v>0.23327851186374429</v>
      </c>
      <c r="O100" s="131">
        <f t="shared" si="89"/>
        <v>0.23402726908949051</v>
      </c>
      <c r="P100" s="55">
        <f t="shared" si="90"/>
        <v>0.99905657926367208</v>
      </c>
      <c r="Q100" s="135">
        <f>_xll.xSPRDOPT(I100,H100,AQ100,0,O100,N100,P100,D100-$G$5,1,0)*AH100*AU100</f>
        <v>5.0322125164173164</v>
      </c>
      <c r="R100" s="135"/>
      <c r="S100" s="181">
        <f t="shared" si="91"/>
        <v>-195374.9098584296</v>
      </c>
      <c r="T100" s="181">
        <f>_xll.xSPRDOPT(I100,H100,AQ100,AT100,O100,N100,P100,D100-$G$5,1,1)*AF100*F100*AH100</f>
        <v>188341.41310352614</v>
      </c>
      <c r="U100" s="135"/>
      <c r="V100" s="146">
        <f t="shared" si="99"/>
        <v>9.0559913371784369</v>
      </c>
      <c r="W100" s="146"/>
      <c r="X100" s="338">
        <f t="shared" si="100"/>
        <v>0</v>
      </c>
      <c r="Y100" s="338">
        <f t="shared" si="71"/>
        <v>0</v>
      </c>
      <c r="Z100" s="338">
        <f t="shared" si="72"/>
        <v>21.617877690657259</v>
      </c>
      <c r="AA100" s="338">
        <f t="shared" si="73"/>
        <v>6.1685364547421732E-3</v>
      </c>
      <c r="AB100" s="338">
        <f t="shared" si="101"/>
        <v>0</v>
      </c>
      <c r="AC100" s="338">
        <f t="shared" si="102"/>
        <v>22.080687785952961</v>
      </c>
      <c r="AF100" s="138">
        <f t="shared" si="103"/>
        <v>1</v>
      </c>
      <c r="AG100" s="138">
        <f t="shared" si="104"/>
        <v>9</v>
      </c>
      <c r="AH100" s="138">
        <f t="shared" si="74"/>
        <v>30</v>
      </c>
      <c r="AI100" s="138">
        <f t="shared" si="105"/>
        <v>2450</v>
      </c>
      <c r="AJ100" s="138">
        <f t="shared" si="106"/>
        <v>2467</v>
      </c>
      <c r="AL100" s="136">
        <f t="shared" si="75"/>
        <v>3.6194999999999999</v>
      </c>
      <c r="AM100" s="258">
        <f t="shared" si="76"/>
        <v>-0.44500000000000001</v>
      </c>
      <c r="AN100" s="258">
        <f t="shared" si="77"/>
        <v>0.155</v>
      </c>
      <c r="AO100" s="258">
        <f t="shared" si="78"/>
        <v>0.04</v>
      </c>
      <c r="AP100" s="258">
        <f t="shared" si="79"/>
        <v>0.04</v>
      </c>
      <c r="AQ100" s="136">
        <f t="shared" si="107"/>
        <v>0</v>
      </c>
      <c r="AR100" s="137">
        <f t="shared" si="80"/>
        <v>3.5999999999999997E-2</v>
      </c>
      <c r="AS100" s="136">
        <f t="shared" si="92"/>
        <v>3.3294999999999999</v>
      </c>
      <c r="AT100" s="137">
        <f t="shared" si="93"/>
        <v>5.7469914347772398E-2</v>
      </c>
      <c r="AU100" s="137">
        <f t="shared" si="81"/>
        <v>0.6823381055740233</v>
      </c>
      <c r="AV100" s="394">
        <f t="shared" si="94"/>
        <v>7103.1396790255822</v>
      </c>
      <c r="AW100" s="137">
        <f t="shared" si="82"/>
        <v>0.23</v>
      </c>
      <c r="AX100" s="137">
        <f t="shared" si="83"/>
        <v>0.55000000000000004</v>
      </c>
      <c r="AY100" s="137">
        <f t="shared" si="84"/>
        <v>0.6</v>
      </c>
      <c r="AZ100" s="137"/>
      <c r="BA100" s="264"/>
      <c r="BB100" s="258">
        <f t="shared" si="85"/>
        <v>0</v>
      </c>
      <c r="BC100" s="258">
        <f t="shared" si="108"/>
        <v>0</v>
      </c>
      <c r="BD100" s="137">
        <f t="shared" si="109"/>
        <v>3.9572543721055897E-6</v>
      </c>
      <c r="BE100" s="137">
        <f t="shared" si="110"/>
        <v>4.8533129253791607E-6</v>
      </c>
      <c r="BF100" s="137">
        <f>_xll.xSPRDOPT($BW100,$BV100,$CG100,0,$BY100,$BX100,$BZ100,$AJ100,1,4)*$CB100</f>
        <v>0.11678373700379992</v>
      </c>
      <c r="BG100" s="137">
        <f>_xll.xSPRDOPT($BW100,$BV100,$CG100,0,$BY100,$BX100,$BZ100,$AJ100,1,3)*$CB100</f>
        <v>0.1017888526745878</v>
      </c>
      <c r="BH100" s="137">
        <f>IF(OR(BF100&lt;&gt;0,BG100&lt;&gt;0),_xll.xSPRDOPT($BW100,$BV100,$CG100,0,$BY100,$BX100,$BZ100,$AJ100,1,12)*$CB100,0)</f>
        <v>-0.10902744734925099</v>
      </c>
      <c r="BI100" s="137">
        <f>_xll.xSPRDOPT($BW100,$BV100,$CG100,2*LN(1+CA100/2),$BY100,$BX100,$BZ100,$AJ100,1,9)</f>
        <v>9.4336079169803633E-3</v>
      </c>
      <c r="BJ100" s="137">
        <f>_xll.xSPRDOPT($BW100,$BV100,$CG100,0,$BY100,$BX100,$BZ100,$AJ100,1,6)*$CB100</f>
        <v>-4.4676163337353343E-3</v>
      </c>
      <c r="BK100" s="137">
        <f>_xll.xSPRDOPT($BW100,$BV100,$CG100,0,$BY100,$BX100,$BZ100,$AJ100,1,5)*$CB100</f>
        <v>8.198305887113207E-3</v>
      </c>
      <c r="BL100" s="137">
        <f>_xll.xSPRDOPT(BW100,BV100,CG100,0,BY100,BX100,BZ100,AJ100,1,2)*CB100</f>
        <v>-0.67814308592783545</v>
      </c>
      <c r="BM100" s="137">
        <f>_xll.xSPRDOPT(BW100,BV100,CG100,0,BY100,BX100,BZ100,AJ100,1,1)*CB100</f>
        <v>0.67843202667680758</v>
      </c>
      <c r="BN100" s="137">
        <f>IF(AH100&lt;&gt;0,_xll.xSPRDOPT($BW100,$BV100,$CG100,2*LN(1+CA100/2),$BY100,$BX100,$BZ100,$AJ100,1,8)+(AJ100/365.25)*CH100/AH100,0)</f>
        <v>0.90564744785961349</v>
      </c>
      <c r="BO100" s="137">
        <f>_xll.xSPRDOPT($BW100,$BV100,$CG100,0,$BY100,$BX100,$BZ100,$AJ100,1,0)</f>
        <v>0.24583250082566441</v>
      </c>
      <c r="BP100" s="137"/>
      <c r="BQ100" s="137"/>
      <c r="BR100" s="137"/>
      <c r="BS100" s="137"/>
      <c r="BV100" s="262">
        <v>3.4538381742738591</v>
      </c>
      <c r="BW100" s="136">
        <v>3.6995</v>
      </c>
      <c r="BX100" s="137">
        <v>0.23327455460937219</v>
      </c>
      <c r="BY100" s="137">
        <v>0.23402241577656513</v>
      </c>
      <c r="BZ100" s="137">
        <v>0.99905768447991605</v>
      </c>
      <c r="CA100" s="137">
        <v>5.7469914347772398E-2</v>
      </c>
      <c r="CB100" s="137">
        <v>0.68202063470418084</v>
      </c>
      <c r="CC100" s="258">
        <v>-0.44500000000000001</v>
      </c>
      <c r="CD100" s="258">
        <v>0.155</v>
      </c>
      <c r="CE100" s="258">
        <v>0.04</v>
      </c>
      <c r="CF100" s="258">
        <v>0.04</v>
      </c>
      <c r="CG100" s="258">
        <v>0</v>
      </c>
      <c r="CH100" s="258">
        <v>9.0517778637938875</v>
      </c>
      <c r="CI100" s="258">
        <v>3.6194999999999999</v>
      </c>
    </row>
    <row r="101" spans="1:87" x14ac:dyDescent="0.25">
      <c r="A101" s="723"/>
      <c r="B101" s="723"/>
      <c r="D101" s="31">
        <f t="shared" si="95"/>
        <v>39736</v>
      </c>
      <c r="F101" s="28">
        <f t="shared" si="96"/>
        <v>9300</v>
      </c>
      <c r="G101" s="28">
        <f t="shared" si="70"/>
        <v>6308.8202018100674</v>
      </c>
      <c r="H101" s="52">
        <f t="shared" si="97"/>
        <v>3.4797717842323652</v>
      </c>
      <c r="I101" s="52">
        <f t="shared" si="98"/>
        <v>3.7244999999999999</v>
      </c>
      <c r="K101" s="52">
        <f t="shared" si="86"/>
        <v>5.146487705292623</v>
      </c>
      <c r="L101" s="135">
        <f t="shared" si="87"/>
        <v>1.8142444346258557E-3</v>
      </c>
      <c r="N101" s="131">
        <f t="shared" si="88"/>
        <v>0.23410991738102227</v>
      </c>
      <c r="O101" s="131">
        <f t="shared" si="89"/>
        <v>0.23493754951883075</v>
      </c>
      <c r="P101" s="55">
        <f t="shared" si="90"/>
        <v>0.99960081516305854</v>
      </c>
      <c r="Q101" s="135">
        <f>_xll.xSPRDOPT(I101,H101,AQ101,0,O101,N101,P101,D101-$G$5,1,0)*AH101*AU101</f>
        <v>5.1483019497272489</v>
      </c>
      <c r="R101" s="135"/>
      <c r="S101" s="181">
        <f t="shared" si="91"/>
        <v>-201230.62738850483</v>
      </c>
      <c r="T101" s="181">
        <f>_xll.xSPRDOPT(I101,H101,AQ101,AT101,O101,N101,P101,D101-$G$5,1,1)*AF101*F101*AH101</f>
        <v>193986.32480251865</v>
      </c>
      <c r="U101" s="135"/>
      <c r="V101" s="146">
        <f t="shared" si="99"/>
        <v>9.3034068576025799</v>
      </c>
      <c r="W101" s="146"/>
      <c r="X101" s="338">
        <f t="shared" si="100"/>
        <v>0</v>
      </c>
      <c r="Y101" s="338">
        <f t="shared" si="71"/>
        <v>0</v>
      </c>
      <c r="Z101" s="338">
        <f t="shared" si="72"/>
        <v>22.330248360490067</v>
      </c>
      <c r="AA101" s="338">
        <f t="shared" si="73"/>
        <v>1.0080560439984215E-4</v>
      </c>
      <c r="AB101" s="338">
        <f t="shared" si="101"/>
        <v>0</v>
      </c>
      <c r="AC101" s="338">
        <f t="shared" si="102"/>
        <v>22.660007187236385</v>
      </c>
      <c r="AF101" s="138">
        <f t="shared" si="103"/>
        <v>1</v>
      </c>
      <c r="AG101" s="138">
        <f t="shared" si="104"/>
        <v>10</v>
      </c>
      <c r="AH101" s="138">
        <f t="shared" si="74"/>
        <v>31</v>
      </c>
      <c r="AI101" s="138">
        <f t="shared" si="105"/>
        <v>2480</v>
      </c>
      <c r="AJ101" s="138">
        <f t="shared" si="106"/>
        <v>2497</v>
      </c>
      <c r="AL101" s="136">
        <f t="shared" si="75"/>
        <v>3.6444999999999999</v>
      </c>
      <c r="AM101" s="258">
        <f t="shared" si="76"/>
        <v>-0.44500000000000001</v>
      </c>
      <c r="AN101" s="258">
        <f t="shared" si="77"/>
        <v>0.155</v>
      </c>
      <c r="AO101" s="258">
        <f t="shared" si="78"/>
        <v>0.04</v>
      </c>
      <c r="AP101" s="258">
        <f t="shared" si="79"/>
        <v>0.04</v>
      </c>
      <c r="AQ101" s="136">
        <f t="shared" si="107"/>
        <v>0</v>
      </c>
      <c r="AR101" s="137">
        <f t="shared" si="80"/>
        <v>3.5999999999999997E-2</v>
      </c>
      <c r="AS101" s="136">
        <f t="shared" si="92"/>
        <v>3.3544999999999998</v>
      </c>
      <c r="AT101" s="137">
        <f t="shared" si="93"/>
        <v>5.76479946057291E-2</v>
      </c>
      <c r="AU101" s="137">
        <f t="shared" si="81"/>
        <v>0.67836776363549112</v>
      </c>
      <c r="AV101" s="394">
        <f t="shared" si="94"/>
        <v>7297.2020334269782</v>
      </c>
      <c r="AW101" s="137">
        <f t="shared" si="82"/>
        <v>0.23</v>
      </c>
      <c r="AX101" s="137">
        <f t="shared" si="83"/>
        <v>0.6</v>
      </c>
      <c r="AY101" s="137">
        <f t="shared" si="84"/>
        <v>0.65</v>
      </c>
      <c r="AZ101" s="137"/>
      <c r="BA101" s="264"/>
      <c r="BB101" s="258">
        <f t="shared" si="85"/>
        <v>0</v>
      </c>
      <c r="BC101" s="258">
        <f t="shared" si="108"/>
        <v>0</v>
      </c>
      <c r="BD101" s="137">
        <f t="shared" si="109"/>
        <v>4.8915958872630672E-6</v>
      </c>
      <c r="BE101" s="137">
        <f t="shared" si="110"/>
        <v>5.8663906445655112E-6</v>
      </c>
      <c r="BF101" s="137">
        <f>_xll.xSPRDOPT($BW101,$BV101,$CG101,0,$BY101,$BX101,$BZ101,$AJ101,1,4)*$CB101</f>
        <v>5.5067697140912523E-2</v>
      </c>
      <c r="BG101" s="137">
        <f>_xll.xSPRDOPT($BW101,$BV101,$CG101,0,$BY101,$BX101,$BZ101,$AJ101,1,3)*$CB101</f>
        <v>4.806879908775781E-2</v>
      </c>
      <c r="BH101" s="137">
        <f>IF(OR(BF101&lt;&gt;0,BG101&lt;&gt;0),_xll.xSPRDOPT($BW101,$BV101,$CG101,0,$BY101,$BX101,$BZ101,$AJ101,1,12)*$CB101,0)</f>
        <v>-5.1449272283012479E-2</v>
      </c>
      <c r="BI101" s="137">
        <f>_xll.xSPRDOPT($BW101,$BV101,$CG101,2*LN(1+CA101/2),$BY101,$BX101,$BZ101,$AJ101,1,9)</f>
        <v>9.4301343665961351E-3</v>
      </c>
      <c r="BJ101" s="137">
        <f>_xll.xSPRDOPT($BW101,$BV101,$CG101,0,$BY101,$BX101,$BZ101,$AJ101,1,6)*$CB101</f>
        <v>-1.4120271382093305E-4</v>
      </c>
      <c r="BK101" s="137">
        <f>_xll.xSPRDOPT($BW101,$BV101,$CG101,0,$BY101,$BX101,$BZ101,$AJ101,1,5)*$CB101</f>
        <v>1.7734275003977731E-4</v>
      </c>
      <c r="BL101" s="137">
        <f>_xll.xSPRDOPT(BW101,BV101,CG101,0,BY101,BX101,BZ101,AJ101,1,2)*CB101</f>
        <v>-0.6761576768211961</v>
      </c>
      <c r="BM101" s="137">
        <f>_xll.xSPRDOPT(BW101,BV101,CG101,0,BY101,BX101,BZ101,AJ101,1,1)*CB101</f>
        <v>0.67629785564853073</v>
      </c>
      <c r="BN101" s="137">
        <f>IF(AH101&lt;&gt;0,_xll.xSPRDOPT($BW101,$BV101,$CG101,2*LN(1+CA101/2),$BY101,$BX101,$BZ101,$AJ101,1,8)+(AJ101/365.25)*CH101/AH101,0)</f>
        <v>0.91629193693073052</v>
      </c>
      <c r="BO101" s="137">
        <f>_xll.xSPRDOPT($BW101,$BV101,$CG101,0,$BY101,$BX101,$BZ101,$AJ101,1,0)</f>
        <v>0.24481481355085191</v>
      </c>
      <c r="BP101" s="137"/>
      <c r="BQ101" s="137"/>
      <c r="BR101" s="137"/>
      <c r="BS101" s="137"/>
      <c r="BV101" s="262">
        <v>3.4797717842323652</v>
      </c>
      <c r="BW101" s="136">
        <v>3.7244999999999999</v>
      </c>
      <c r="BX101" s="137">
        <v>0.23410502578513501</v>
      </c>
      <c r="BY101" s="137">
        <v>0.23493168312818619</v>
      </c>
      <c r="BZ101" s="137">
        <v>0.99960126900224666</v>
      </c>
      <c r="CA101" s="137">
        <v>5.76479946057291E-2</v>
      </c>
      <c r="CB101" s="137">
        <v>0.67805117602048404</v>
      </c>
      <c r="CC101" s="258">
        <v>-0.44500000000000001</v>
      </c>
      <c r="CD101" s="258">
        <v>0.155</v>
      </c>
      <c r="CE101" s="258">
        <v>0.04</v>
      </c>
      <c r="CF101" s="258">
        <v>0.04</v>
      </c>
      <c r="CG101" s="258">
        <v>0</v>
      </c>
      <c r="CH101" s="258">
        <v>9.2990650484153274</v>
      </c>
      <c r="CI101" s="258">
        <v>3.6444999999999999</v>
      </c>
    </row>
    <row r="102" spans="1:87" x14ac:dyDescent="0.25">
      <c r="A102" s="723"/>
      <c r="B102" s="723"/>
      <c r="D102" s="31">
        <f t="shared" si="95"/>
        <v>39767</v>
      </c>
      <c r="F102" s="28">
        <f t="shared" si="96"/>
        <v>9300</v>
      </c>
      <c r="G102" s="28">
        <f t="shared" si="70"/>
        <v>6270.7042715127818</v>
      </c>
      <c r="H102" s="52">
        <f t="shared" si="97"/>
        <v>3.684128630705394</v>
      </c>
      <c r="I102" s="52">
        <f t="shared" si="98"/>
        <v>3.9615</v>
      </c>
      <c r="K102" s="52">
        <f t="shared" si="86"/>
        <v>5.6106897749388231</v>
      </c>
      <c r="L102" s="135">
        <f t="shared" si="87"/>
        <v>3.6633414378366425E-3</v>
      </c>
      <c r="N102" s="131">
        <f t="shared" si="88"/>
        <v>0.23957429584662002</v>
      </c>
      <c r="O102" s="131">
        <f t="shared" si="89"/>
        <v>0.23745808481236294</v>
      </c>
      <c r="P102" s="55">
        <f t="shared" si="90"/>
        <v>0.9990665088106061</v>
      </c>
      <c r="Q102" s="135">
        <f>_xll.xSPRDOPT(I102,H102,AQ102,0,O102,N102,P102,D102-$G$5,1,0)*AH102*AU102</f>
        <v>5.6143531163766598</v>
      </c>
      <c r="R102" s="135"/>
      <c r="S102" s="181">
        <f t="shared" si="91"/>
        <v>-193075.7191394415</v>
      </c>
      <c r="T102" s="181">
        <f>_xll.xSPRDOPT(I102,H102,AQ102,AT102,O102,N102,P102,D102-$G$5,1,1)*AF102*F102*AH102</f>
        <v>186124.9932504216</v>
      </c>
      <c r="U102" s="135"/>
      <c r="V102" s="146">
        <f t="shared" si="99"/>
        <v>8.948901837797596</v>
      </c>
      <c r="W102" s="146"/>
      <c r="X102" s="338">
        <f t="shared" si="100"/>
        <v>0</v>
      </c>
      <c r="Y102" s="338">
        <f t="shared" si="71"/>
        <v>0</v>
      </c>
      <c r="Z102" s="338">
        <f t="shared" si="72"/>
        <v>24.284772681791598</v>
      </c>
      <c r="AA102" s="338">
        <f t="shared" si="73"/>
        <v>2.1847115389980448E-2</v>
      </c>
      <c r="AB102" s="338">
        <f t="shared" si="101"/>
        <v>0</v>
      </c>
      <c r="AC102" s="338">
        <f t="shared" si="102"/>
        <v>24.790176918058879</v>
      </c>
      <c r="AF102" s="138">
        <f t="shared" si="103"/>
        <v>1</v>
      </c>
      <c r="AG102" s="138">
        <f t="shared" si="104"/>
        <v>11</v>
      </c>
      <c r="AH102" s="138">
        <f t="shared" si="74"/>
        <v>30</v>
      </c>
      <c r="AI102" s="138">
        <f t="shared" si="105"/>
        <v>2511</v>
      </c>
      <c r="AJ102" s="138">
        <f t="shared" si="106"/>
        <v>2528</v>
      </c>
      <c r="AL102" s="136">
        <f t="shared" si="75"/>
        <v>3.7965</v>
      </c>
      <c r="AM102" s="258">
        <f t="shared" si="76"/>
        <v>-0.4</v>
      </c>
      <c r="AN102" s="258">
        <f t="shared" si="77"/>
        <v>0.155</v>
      </c>
      <c r="AO102" s="258">
        <f t="shared" si="78"/>
        <v>0.13</v>
      </c>
      <c r="AP102" s="258">
        <f t="shared" si="79"/>
        <v>3.5000000000000003E-2</v>
      </c>
      <c r="AQ102" s="136">
        <f t="shared" si="107"/>
        <v>0</v>
      </c>
      <c r="AR102" s="137">
        <f t="shared" si="80"/>
        <v>3.5999999999999997E-2</v>
      </c>
      <c r="AS102" s="136">
        <f t="shared" si="92"/>
        <v>3.5514999999999999</v>
      </c>
      <c r="AT102" s="137">
        <f t="shared" si="93"/>
        <v>5.7832010883366501E-2</v>
      </c>
      <c r="AU102" s="137">
        <f t="shared" si="81"/>
        <v>0.67426927650675073</v>
      </c>
      <c r="AV102" s="394">
        <f t="shared" si="94"/>
        <v>7019.1431684352747</v>
      </c>
      <c r="AW102" s="137">
        <f t="shared" si="82"/>
        <v>0.23</v>
      </c>
      <c r="AX102" s="137">
        <f t="shared" si="83"/>
        <v>0.9</v>
      </c>
      <c r="AY102" s="137">
        <f t="shared" si="84"/>
        <v>0.8</v>
      </c>
      <c r="AZ102" s="137"/>
      <c r="BA102" s="264"/>
      <c r="BB102" s="258">
        <f t="shared" si="85"/>
        <v>0</v>
      </c>
      <c r="BC102" s="258">
        <f t="shared" si="108"/>
        <v>0</v>
      </c>
      <c r="BD102" s="137">
        <f t="shared" si="109"/>
        <v>1.1130725108110529E-5</v>
      </c>
      <c r="BE102" s="137">
        <f t="shared" si="110"/>
        <v>8.7083008758759295E-6</v>
      </c>
      <c r="BF102" s="137">
        <f>_xll.xSPRDOPT($BW102,$BV102,$CG102,0,$BY102,$BX102,$BZ102,$AJ102,1,4)*$CB102</f>
        <v>9.8617212883106334E-2</v>
      </c>
      <c r="BG102" s="137">
        <f>_xll.xSPRDOPT($BW102,$BV102,$CG102,0,$BY102,$BX102,$BZ102,$AJ102,1,3)*$CB102</f>
        <v>8.5290977919210156E-2</v>
      </c>
      <c r="BH102" s="137">
        <f>IF(OR(BF102&lt;&gt;0,BG102&lt;&gt;0),_xll.xSPRDOPT($BW102,$BV102,$CG102,0,$BY102,$BX102,$BZ102,$AJ102,1,12)*$CB102,0)</f>
        <v>-9.1711455891574742E-2</v>
      </c>
      <c r="BI102" s="137">
        <f>_xll.xSPRDOPT($BW102,$BV102,$CG102,2*LN(1+CA102/2),$BY102,$BX102,$BZ102,$AJ102,1,9)</f>
        <v>1.0597387362036298E-2</v>
      </c>
      <c r="BJ102" s="137">
        <f>_xll.xSPRDOPT($BW102,$BV102,$CG102,0,$BY102,$BX102,$BZ102,$AJ102,1,6)*$CB102</f>
        <v>1.9188063203701578E-2</v>
      </c>
      <c r="BK102" s="137">
        <f>_xll.xSPRDOPT($BW102,$BV102,$CG102,0,$BY102,$BX102,$BZ102,$AJ102,1,5)*$CB102</f>
        <v>-1.553368283011688E-2</v>
      </c>
      <c r="BL102" s="137">
        <f>_xll.xSPRDOPT(BW102,BV102,CG102,0,BY102,BX102,BZ102,AJ102,1,2)*CB102</f>
        <v>-0.67029899106565349</v>
      </c>
      <c r="BM102" s="137">
        <f>_xll.xSPRDOPT(BW102,BV102,CG102,0,BY102,BX102,BZ102,AJ102,1,1)*CB102</f>
        <v>0.67058578745946074</v>
      </c>
      <c r="BN102" s="137">
        <f>IF(AH102&lt;&gt;0,_xll.xSPRDOPT($BW102,$BV102,$CG102,2*LN(1+CA102/2),$BY102,$BX102,$BZ102,$AJ102,1,8)+(AJ102/365.25)*CH102/AH102,0)</f>
        <v>0.7691287799570572</v>
      </c>
      <c r="BO102" s="137">
        <f>_xll.xSPRDOPT($BW102,$BV102,$CG102,0,$BY102,$BX102,$BZ102,$AJ102,1,0)</f>
        <v>0.27755310768937086</v>
      </c>
      <c r="BP102" s="137"/>
      <c r="BQ102" s="137"/>
      <c r="BR102" s="137"/>
      <c r="BS102" s="137"/>
      <c r="BV102" s="262">
        <v>3.684128630705394</v>
      </c>
      <c r="BW102" s="136">
        <v>3.9615</v>
      </c>
      <c r="BX102" s="137">
        <v>0.23956316512151191</v>
      </c>
      <c r="BY102" s="137">
        <v>0.23744937651148706</v>
      </c>
      <c r="BZ102" s="137">
        <v>0.99906749526481797</v>
      </c>
      <c r="CA102" s="137">
        <v>5.7832010883366501E-2</v>
      </c>
      <c r="CB102" s="137">
        <v>0.6739536115657736</v>
      </c>
      <c r="CC102" s="258">
        <v>-0.4</v>
      </c>
      <c r="CD102" s="258">
        <v>0.155</v>
      </c>
      <c r="CE102" s="258">
        <v>0.13</v>
      </c>
      <c r="CF102" s="258">
        <v>3.5000000000000003E-2</v>
      </c>
      <c r="CG102" s="258">
        <v>0</v>
      </c>
      <c r="CH102" s="258">
        <v>8.9447123327009468</v>
      </c>
      <c r="CI102" s="258">
        <v>3.7965</v>
      </c>
    </row>
    <row r="103" spans="1:87" x14ac:dyDescent="0.25">
      <c r="A103" s="723"/>
      <c r="B103" s="723"/>
      <c r="D103" s="31">
        <f t="shared" si="95"/>
        <v>39797</v>
      </c>
      <c r="F103" s="28">
        <f t="shared" si="96"/>
        <v>9300</v>
      </c>
      <c r="G103" s="28">
        <f t="shared" si="70"/>
        <v>6233.8576254542731</v>
      </c>
      <c r="H103" s="52">
        <f t="shared" si="97"/>
        <v>3.8324688796680495</v>
      </c>
      <c r="I103" s="52">
        <f t="shared" si="98"/>
        <v>4.1044999999999998</v>
      </c>
      <c r="K103" s="52">
        <f t="shared" si="86"/>
        <v>5.6526775794739912</v>
      </c>
      <c r="L103" s="135">
        <f t="shared" si="87"/>
        <v>6.7926545968326479E-3</v>
      </c>
      <c r="N103" s="131">
        <f t="shared" si="88"/>
        <v>0.24616570689541664</v>
      </c>
      <c r="O103" s="131">
        <f t="shared" si="89"/>
        <v>0.24477636807838701</v>
      </c>
      <c r="P103" s="55">
        <f t="shared" si="90"/>
        <v>0.99912652718113781</v>
      </c>
      <c r="Q103" s="135">
        <f>_xll.xSPRDOPT(I103,H103,AQ103,0,O103,N103,P103,D103-$G$5,1,0)*AH103*AU103</f>
        <v>5.6594702340708238</v>
      </c>
      <c r="R103" s="135"/>
      <c r="S103" s="181">
        <f t="shared" si="91"/>
        <v>-197711.99044256558</v>
      </c>
      <c r="T103" s="181">
        <f>_xll.xSPRDOPT(I103,H103,AQ103,AT103,O103,N103,P103,D103-$G$5,1,1)*AF103*F103*AH103</f>
        <v>190594.35878663321</v>
      </c>
      <c r="U103" s="135"/>
      <c r="V103" s="146">
        <f t="shared" si="99"/>
        <v>9.1928620450032348</v>
      </c>
      <c r="W103" s="146"/>
      <c r="X103" s="338">
        <f t="shared" si="100"/>
        <v>0</v>
      </c>
      <c r="Y103" s="338">
        <f t="shared" si="71"/>
        <v>0</v>
      </c>
      <c r="Z103" s="338">
        <f t="shared" si="72"/>
        <v>24.486111742789483</v>
      </c>
      <c r="AA103" s="338">
        <f t="shared" si="73"/>
        <v>3.276938624196489E-2</v>
      </c>
      <c r="AB103" s="338">
        <f t="shared" si="101"/>
        <v>0</v>
      </c>
      <c r="AC103" s="338">
        <f t="shared" si="102"/>
        <v>25.06633646679191</v>
      </c>
      <c r="AF103" s="138">
        <f t="shared" si="103"/>
        <v>1</v>
      </c>
      <c r="AG103" s="138">
        <f t="shared" si="104"/>
        <v>12</v>
      </c>
      <c r="AH103" s="138">
        <f t="shared" si="74"/>
        <v>31</v>
      </c>
      <c r="AI103" s="138">
        <f t="shared" si="105"/>
        <v>2541</v>
      </c>
      <c r="AJ103" s="138">
        <f t="shared" si="106"/>
        <v>2558</v>
      </c>
      <c r="AL103" s="136">
        <f t="shared" si="75"/>
        <v>3.9394999999999998</v>
      </c>
      <c r="AM103" s="258">
        <f t="shared" si="76"/>
        <v>-0.4</v>
      </c>
      <c r="AN103" s="258">
        <f t="shared" si="77"/>
        <v>0.155</v>
      </c>
      <c r="AO103" s="258">
        <f t="shared" si="78"/>
        <v>0.13</v>
      </c>
      <c r="AP103" s="258">
        <f t="shared" si="79"/>
        <v>3.5000000000000003E-2</v>
      </c>
      <c r="AQ103" s="136">
        <f t="shared" si="107"/>
        <v>0</v>
      </c>
      <c r="AR103" s="137">
        <f t="shared" si="80"/>
        <v>3.5999999999999997E-2</v>
      </c>
      <c r="AS103" s="136">
        <f t="shared" si="92"/>
        <v>3.6944999999999997</v>
      </c>
      <c r="AT103" s="137">
        <f t="shared" si="93"/>
        <v>5.80100911627719E-2</v>
      </c>
      <c r="AU103" s="137">
        <f t="shared" si="81"/>
        <v>0.67030727155422287</v>
      </c>
      <c r="AV103" s="394">
        <f t="shared" si="94"/>
        <v>7210.4953201087756</v>
      </c>
      <c r="AW103" s="137">
        <f t="shared" si="82"/>
        <v>0.23</v>
      </c>
      <c r="AX103" s="137">
        <f t="shared" si="83"/>
        <v>1.1499999999999999</v>
      </c>
      <c r="AY103" s="137">
        <f t="shared" si="84"/>
        <v>1.1000000000000001</v>
      </c>
      <c r="AZ103" s="137"/>
      <c r="BA103" s="264"/>
      <c r="BB103" s="258">
        <f t="shared" si="85"/>
        <v>0</v>
      </c>
      <c r="BC103" s="258">
        <f t="shared" si="108"/>
        <v>0</v>
      </c>
      <c r="BD103" s="137">
        <f t="shared" si="109"/>
        <v>1.8326416596020634E-5</v>
      </c>
      <c r="BE103" s="137">
        <f t="shared" si="110"/>
        <v>1.6797255754708029E-5</v>
      </c>
      <c r="BF103" s="137">
        <f>_xll.xSPRDOPT($BW103,$BV103,$CG103,0,$BY103,$BX103,$BZ103,$AJ103,1,4)*$CB103</f>
        <v>0.13853254216971903</v>
      </c>
      <c r="BG103" s="137">
        <f>_xll.xSPRDOPT($BW103,$BV103,$CG103,0,$BY103,$BX103,$BZ103,$AJ103,1,3)*$CB103</f>
        <v>0.12077828994742816</v>
      </c>
      <c r="BH103" s="137">
        <f>IF(OR(BF103&lt;&gt;0,BG103&lt;&gt;0),_xll.xSPRDOPT($BW103,$BV103,$CG103,0,$BY103,$BX103,$BZ103,$AJ103,1,12)*$CB103,0)</f>
        <v>-0.12935011993948578</v>
      </c>
      <c r="BI103" s="137">
        <f>_xll.xSPRDOPT($BW103,$BV103,$CG103,2*LN(1+CA103/2),$BY103,$BX103,$BZ103,$AJ103,1,9)</f>
        <v>1.0340562277782239E-2</v>
      </c>
      <c r="BJ103" s="137">
        <f>_xll.xSPRDOPT($BW103,$BV103,$CG103,0,$BY103,$BX103,$BZ103,$AJ103,1,6)*$CB103</f>
        <v>1.8875674070216172E-2</v>
      </c>
      <c r="BK103" s="137">
        <f>_xll.xSPRDOPT($BW103,$BV103,$CG103,0,$BY103,$BX103,$BZ103,$AJ103,1,5)*$CB103</f>
        <v>-1.3827215529377613E-2</v>
      </c>
      <c r="BL103" s="137">
        <f>_xll.xSPRDOPT(BW103,BV103,CG103,0,BY103,BX103,BZ103,AJ103,1,2)*CB103</f>
        <v>-0.6641617085049315</v>
      </c>
      <c r="BM103" s="137">
        <f>_xll.xSPRDOPT(BW103,BV103,CG103,0,BY103,BX103,BZ103,AJ103,1,1)*CB103</f>
        <v>0.6646016651675597</v>
      </c>
      <c r="BN103" s="137">
        <f>IF(AH103&lt;&gt;0,_xll.xSPRDOPT($BW103,$BV103,$CG103,2*LN(1+CA103/2),$BY103,$BX103,$BZ103,$AJ103,1,8)+(AJ103/365.25)*CH103/AH103,0)</f>
        <v>0.79840390743889245</v>
      </c>
      <c r="BO103" s="137">
        <f>_xll.xSPRDOPT($BW103,$BV103,$CG103,0,$BY103,$BX103,$BZ103,$AJ103,1,0)</f>
        <v>0.27235897898029804</v>
      </c>
      <c r="BP103" s="137"/>
      <c r="BQ103" s="137"/>
      <c r="BR103" s="137"/>
      <c r="BS103" s="137"/>
      <c r="BV103" s="262">
        <v>3.8324688796680495</v>
      </c>
      <c r="BW103" s="136">
        <v>4.1044999999999998</v>
      </c>
      <c r="BX103" s="137">
        <v>0.24614738047882062</v>
      </c>
      <c r="BY103" s="137">
        <v>0.24475957082263231</v>
      </c>
      <c r="BZ103" s="137">
        <v>0.9991274096795234</v>
      </c>
      <c r="CA103" s="137">
        <v>5.80100911627719E-2</v>
      </c>
      <c r="CB103" s="137">
        <v>0.6699925090619856</v>
      </c>
      <c r="CC103" s="258">
        <v>-0.4</v>
      </c>
      <c r="CD103" s="258">
        <v>0.155</v>
      </c>
      <c r="CE103" s="258">
        <v>0.13</v>
      </c>
      <c r="CF103" s="258">
        <v>3.5000000000000003E-2</v>
      </c>
      <c r="CG103" s="258">
        <v>0</v>
      </c>
      <c r="CH103" s="258">
        <v>9.1885452662796965</v>
      </c>
      <c r="CI103" s="258">
        <v>3.9394999999999998</v>
      </c>
    </row>
    <row r="104" spans="1:87" x14ac:dyDescent="0.25">
      <c r="A104" s="723"/>
      <c r="B104" s="723"/>
      <c r="D104" s="31">
        <f t="shared" si="95"/>
        <v>39828</v>
      </c>
      <c r="F104" s="28">
        <f t="shared" si="96"/>
        <v>9300</v>
      </c>
      <c r="G104" s="28">
        <f t="shared" si="70"/>
        <v>6197.2679588508536</v>
      </c>
      <c r="H104" s="52">
        <f t="shared" si="97"/>
        <v>3.8869294605809128</v>
      </c>
      <c r="I104" s="52">
        <f t="shared" si="98"/>
        <v>4.157</v>
      </c>
      <c r="K104" s="52">
        <f t="shared" si="86"/>
        <v>5.5789983352382517</v>
      </c>
      <c r="L104" s="135">
        <f t="shared" si="87"/>
        <v>8.1120933512064397E-3</v>
      </c>
      <c r="N104" s="131">
        <f t="shared" si="88"/>
        <v>0.24597831882776444</v>
      </c>
      <c r="O104" s="131">
        <f t="shared" si="89"/>
        <v>0.24460462033627878</v>
      </c>
      <c r="P104" s="55">
        <f t="shared" si="90"/>
        <v>0.99913556117060165</v>
      </c>
      <c r="Q104" s="135">
        <f>_xll.xSPRDOPT(I104,H104,AQ104,0,O104,N104,P104,D104-$G$5,1,0)*AH104*AU104</f>
        <v>5.5871104285894582</v>
      </c>
      <c r="R104" s="135"/>
      <c r="S104" s="181">
        <f t="shared" si="91"/>
        <v>-196277.44003097355</v>
      </c>
      <c r="T104" s="181">
        <f>_xll.xSPRDOPT(I104,H104,AQ104,AT104,O104,N104,P104,D104-$G$5,1,1)*AF104*F104*AH104</f>
        <v>189211.45218985851</v>
      </c>
      <c r="U104" s="135"/>
      <c r="V104" s="146">
        <f t="shared" si="99"/>
        <v>9.1389044833187256</v>
      </c>
      <c r="W104" s="146"/>
      <c r="X104" s="338">
        <f t="shared" si="100"/>
        <v>0</v>
      </c>
      <c r="Y104" s="338">
        <f t="shared" si="71"/>
        <v>0</v>
      </c>
      <c r="Z104" s="338">
        <f t="shared" si="72"/>
        <v>24.202370976436917</v>
      </c>
      <c r="AA104" s="338">
        <f t="shared" si="73"/>
        <v>3.665292891164007E-2</v>
      </c>
      <c r="AB104" s="338">
        <f t="shared" si="101"/>
        <v>0</v>
      </c>
      <c r="AC104" s="338">
        <f t="shared" si="102"/>
        <v>24.809897801382974</v>
      </c>
      <c r="AF104" s="138">
        <f t="shared" si="103"/>
        <v>1</v>
      </c>
      <c r="AG104" s="138">
        <f t="shared" si="104"/>
        <v>1</v>
      </c>
      <c r="AH104" s="138">
        <f t="shared" si="74"/>
        <v>31</v>
      </c>
      <c r="AI104" s="138">
        <f t="shared" si="105"/>
        <v>2572</v>
      </c>
      <c r="AJ104" s="138">
        <f t="shared" si="106"/>
        <v>2589</v>
      </c>
      <c r="AL104" s="136">
        <f t="shared" si="75"/>
        <v>3.992</v>
      </c>
      <c r="AM104" s="258">
        <f t="shared" si="76"/>
        <v>-0.4</v>
      </c>
      <c r="AN104" s="258">
        <f t="shared" si="77"/>
        <v>0.155</v>
      </c>
      <c r="AO104" s="258">
        <f t="shared" si="78"/>
        <v>0.13</v>
      </c>
      <c r="AP104" s="258">
        <f t="shared" si="79"/>
        <v>3.5000000000000003E-2</v>
      </c>
      <c r="AQ104" s="136">
        <f t="shared" si="107"/>
        <v>0</v>
      </c>
      <c r="AR104" s="137">
        <f t="shared" si="80"/>
        <v>3.5999999999999997E-2</v>
      </c>
      <c r="AS104" s="136">
        <f t="shared" si="92"/>
        <v>3.7469999999999999</v>
      </c>
      <c r="AT104" s="137">
        <f t="shared" si="93"/>
        <v>5.8160280129314401E-2</v>
      </c>
      <c r="AU104" s="137">
        <f t="shared" si="81"/>
        <v>0.66637289880116701</v>
      </c>
      <c r="AV104" s="394">
        <f t="shared" si="94"/>
        <v>7168.173272404154</v>
      </c>
      <c r="AW104" s="137">
        <f t="shared" si="82"/>
        <v>0.23</v>
      </c>
      <c r="AX104" s="137">
        <f t="shared" si="83"/>
        <v>1.1499999999999999</v>
      </c>
      <c r="AY104" s="137">
        <f t="shared" si="84"/>
        <v>1.1000000000000001</v>
      </c>
      <c r="AZ104" s="137"/>
      <c r="BA104" s="264"/>
      <c r="BB104" s="258">
        <f t="shared" si="85"/>
        <v>0</v>
      </c>
      <c r="BC104" s="258">
        <f t="shared" si="108"/>
        <v>0</v>
      </c>
      <c r="BD104" s="137">
        <f t="shared" si="109"/>
        <v>1.7903786590778292E-5</v>
      </c>
      <c r="BE104" s="137">
        <f t="shared" si="110"/>
        <v>1.6408912788035135E-5</v>
      </c>
      <c r="BF104" s="137">
        <f>_xll.xSPRDOPT($BW104,$BV104,$CG104,0,$BY104,$BX104,$BZ104,$AJ104,1,4)*$CB104</f>
        <v>0.15333464914316719</v>
      </c>
      <c r="BG104" s="137">
        <f>_xll.xSPRDOPT($BW104,$BV104,$CG104,0,$BY104,$BX104,$BZ104,$AJ104,1,3)*$CB104</f>
        <v>0.13405825007716624</v>
      </c>
      <c r="BH104" s="137">
        <f>IF(OR(BF104&lt;&gt;0,BG104&lt;&gt;0),_xll.xSPRDOPT($BW104,$BV104,$CG104,0,$BY104,$BX104,$BZ104,$AJ104,1,12)*$CB104,0)</f>
        <v>-0.14337194400911474</v>
      </c>
      <c r="BI104" s="137">
        <f>_xll.xSPRDOPT($BW104,$BV104,$CG104,2*LN(1+CA104/2),$BY104,$BX104,$BZ104,$AJ104,1,9)</f>
        <v>1.0220737656542472E-2</v>
      </c>
      <c r="BJ104" s="137">
        <f>_xll.xSPRDOPT($BW104,$BV104,$CG104,0,$BY104,$BX104,$BZ104,$AJ104,1,6)*$CB104</f>
        <v>2.1605395344733273E-2</v>
      </c>
      <c r="BK104" s="137">
        <f>_xll.xSPRDOPT($BW104,$BV104,$CG104,0,$BY104,$BX104,$BZ104,$AJ104,1,5)*$CB104</f>
        <v>-1.5825771548683601E-2</v>
      </c>
      <c r="BL104" s="137">
        <f>_xll.xSPRDOPT(BW104,BV104,CG104,0,BY104,BX104,BZ104,AJ104,1,2)*CB104</f>
        <v>-0.65934455036219664</v>
      </c>
      <c r="BM104" s="137">
        <f>_xll.xSPRDOPT(BW104,BV104,CG104,0,BY104,BX104,BZ104,AJ104,1,1)*CB104</f>
        <v>0.65984387513938991</v>
      </c>
      <c r="BN104" s="137">
        <f>IF(AH104&lt;&gt;0,_xll.xSPRDOPT($BW104,$BV104,$CG104,2*LN(1+CA104/2),$BY104,$BX104,$BZ104,$AJ104,1,8)+(AJ104/365.25)*CH104/AH104,0)</f>
        <v>0.81240288969050867</v>
      </c>
      <c r="BO104" s="137">
        <f>_xll.xSPRDOPT($BW104,$BV104,$CG104,0,$BY104,$BX104,$BZ104,$AJ104,1,0)</f>
        <v>0.27046432670337162</v>
      </c>
      <c r="BP104" s="137"/>
      <c r="BQ104" s="137"/>
      <c r="BR104" s="137"/>
      <c r="BS104" s="137"/>
      <c r="BV104" s="262">
        <v>3.8869294605809128</v>
      </c>
      <c r="BW104" s="136">
        <v>4.157</v>
      </c>
      <c r="BX104" s="137">
        <v>0.24596041504117366</v>
      </c>
      <c r="BY104" s="137">
        <v>0.24458821142349074</v>
      </c>
      <c r="BZ104" s="137">
        <v>0.99913642552363435</v>
      </c>
      <c r="CA104" s="137">
        <v>5.8160280129314401E-2</v>
      </c>
      <c r="CB104" s="137">
        <v>0.66605918535740238</v>
      </c>
      <c r="CC104" s="258">
        <v>-0.4</v>
      </c>
      <c r="CD104" s="258">
        <v>0.155</v>
      </c>
      <c r="CE104" s="258">
        <v>0.13</v>
      </c>
      <c r="CF104" s="258">
        <v>3.5000000000000003E-2</v>
      </c>
      <c r="CG104" s="258">
        <v>0</v>
      </c>
      <c r="CH104" s="258">
        <v>9.1346020916655597</v>
      </c>
      <c r="CI104" s="258">
        <v>3.992</v>
      </c>
    </row>
    <row r="105" spans="1:87" x14ac:dyDescent="0.25">
      <c r="A105" s="723"/>
      <c r="B105" s="723"/>
      <c r="D105" s="31">
        <f t="shared" si="95"/>
        <v>39859</v>
      </c>
      <c r="F105" s="28">
        <f t="shared" si="96"/>
        <v>9300</v>
      </c>
      <c r="G105" s="28">
        <f t="shared" si="70"/>
        <v>6162.5029535511849</v>
      </c>
      <c r="H105" s="52">
        <f t="shared" si="97"/>
        <v>3.7987551867219915</v>
      </c>
      <c r="I105" s="52">
        <f t="shared" si="98"/>
        <v>4.0720000000000001</v>
      </c>
      <c r="K105" s="52">
        <f t="shared" si="86"/>
        <v>5.0697220568076933</v>
      </c>
      <c r="L105" s="135">
        <f t="shared" si="87"/>
        <v>4.7755837450704774E-3</v>
      </c>
      <c r="N105" s="131">
        <f t="shared" si="88"/>
        <v>0.24197989124808933</v>
      </c>
      <c r="O105" s="131">
        <f t="shared" si="89"/>
        <v>0.24073311697226829</v>
      </c>
      <c r="P105" s="55">
        <f t="shared" si="90"/>
        <v>0.99920151908889043</v>
      </c>
      <c r="Q105" s="135">
        <f>_xll.xSPRDOPT(I105,H105,AQ105,0,O105,N105,P105,D105-$G$5,1,0)*AH105*AU105</f>
        <v>5.0744976405527638</v>
      </c>
      <c r="R105" s="135"/>
      <c r="S105" s="181">
        <f t="shared" si="91"/>
        <v>-176773.3950526939</v>
      </c>
      <c r="T105" s="181">
        <f>_xll.xSPRDOPT(I105,H105,AQ105,AT105,O105,N105,P105,D105-$G$5,1,1)*AF105*F105*AH105</f>
        <v>170409.55283079692</v>
      </c>
      <c r="U105" s="135"/>
      <c r="V105" s="146">
        <f t="shared" si="99"/>
        <v>8.2081888802397032</v>
      </c>
      <c r="W105" s="146"/>
      <c r="X105" s="338">
        <f t="shared" si="100"/>
        <v>0</v>
      </c>
      <c r="Y105" s="338">
        <f t="shared" si="71"/>
        <v>0</v>
      </c>
      <c r="Z105" s="338">
        <f t="shared" si="72"/>
        <v>22.127302511290054</v>
      </c>
      <c r="AA105" s="338">
        <f t="shared" si="73"/>
        <v>1.6143374188319667E-2</v>
      </c>
      <c r="AB105" s="338">
        <f t="shared" si="101"/>
        <v>0</v>
      </c>
      <c r="AC105" s="338">
        <f t="shared" si="102"/>
        <v>22.575838686351354</v>
      </c>
      <c r="AF105" s="138">
        <f t="shared" si="103"/>
        <v>1</v>
      </c>
      <c r="AG105" s="138">
        <f t="shared" si="104"/>
        <v>2</v>
      </c>
      <c r="AH105" s="138">
        <f t="shared" si="74"/>
        <v>28</v>
      </c>
      <c r="AI105" s="138">
        <f t="shared" si="105"/>
        <v>2603</v>
      </c>
      <c r="AJ105" s="138">
        <f t="shared" si="106"/>
        <v>2620</v>
      </c>
      <c r="AL105" s="136">
        <f t="shared" si="75"/>
        <v>3.907</v>
      </c>
      <c r="AM105" s="258">
        <f t="shared" si="76"/>
        <v>-0.4</v>
      </c>
      <c r="AN105" s="258">
        <f t="shared" si="77"/>
        <v>0.155</v>
      </c>
      <c r="AO105" s="258">
        <f t="shared" si="78"/>
        <v>0.13</v>
      </c>
      <c r="AP105" s="258">
        <f t="shared" si="79"/>
        <v>3.5000000000000003E-2</v>
      </c>
      <c r="AQ105" s="136">
        <f t="shared" si="107"/>
        <v>0</v>
      </c>
      <c r="AR105" s="137">
        <f t="shared" si="80"/>
        <v>3.5999999999999997E-2</v>
      </c>
      <c r="AS105" s="136">
        <f t="shared" si="92"/>
        <v>3.6619999999999999</v>
      </c>
      <c r="AT105" s="137">
        <f t="shared" si="93"/>
        <v>5.82693930542924E-2</v>
      </c>
      <c r="AU105" s="137">
        <f t="shared" si="81"/>
        <v>0.66263472618829944</v>
      </c>
      <c r="AV105" s="394">
        <f t="shared" si="94"/>
        <v>6438.1589996455177</v>
      </c>
      <c r="AW105" s="137">
        <f t="shared" si="82"/>
        <v>0.22750000000000001</v>
      </c>
      <c r="AX105" s="137">
        <f t="shared" si="83"/>
        <v>1.1499999999999999</v>
      </c>
      <c r="AY105" s="137">
        <f t="shared" si="84"/>
        <v>1.1000000000000001</v>
      </c>
      <c r="AZ105" s="137"/>
      <c r="BA105" s="264"/>
      <c r="BB105" s="258">
        <f t="shared" si="85"/>
        <v>0</v>
      </c>
      <c r="BC105" s="258">
        <f t="shared" si="108"/>
        <v>0</v>
      </c>
      <c r="BD105" s="137">
        <f t="shared" si="109"/>
        <v>1.6084494628892942E-5</v>
      </c>
      <c r="BE105" s="137">
        <f t="shared" si="110"/>
        <v>1.4736410130888888E-5</v>
      </c>
      <c r="BF105" s="137">
        <f>_xll.xSPRDOPT($BW105,$BV105,$CG105,0,$BY105,$BX105,$BZ105,$AJ105,1,4)*$CB105</f>
        <v>0.11428585945229318</v>
      </c>
      <c r="BG105" s="137">
        <f>_xll.xSPRDOPT($BW105,$BV105,$CG105,0,$BY105,$BX105,$BZ105,$AJ105,1,3)*$CB105</f>
        <v>9.9462490063093878E-2</v>
      </c>
      <c r="BH105" s="137">
        <f>IF(OR(BF105&lt;&gt;0,BG105&lt;&gt;0),_xll.xSPRDOPT($BW105,$BV105,$CG105,0,$BY105,$BX105,$BZ105,$AJ105,1,12)*$CB105,0)</f>
        <v>-0.10661588462259565</v>
      </c>
      <c r="BI105" s="137">
        <f>_xll.xSPRDOPT($BW105,$BV105,$CG105,2*LN(1+CA105/2),$BY105,$BX105,$BZ105,$AJ105,1,9)</f>
        <v>1.0345618589668065E-2</v>
      </c>
      <c r="BJ105" s="137">
        <f>_xll.xSPRDOPT($BW105,$BV105,$CG105,0,$BY105,$BX105,$BZ105,$AJ105,1,6)*$CB105</f>
        <v>1.1709430638115869E-2</v>
      </c>
      <c r="BK105" s="137">
        <f>_xll.xSPRDOPT($BW105,$BV105,$CG105,0,$BY105,$BX105,$BZ105,$AJ105,1,5)*$CB105</f>
        <v>-8.5737129023451299E-3</v>
      </c>
      <c r="BL105" s="137">
        <f>_xll.xSPRDOPT(BW105,BV105,CG105,0,BY105,BX105,BZ105,AJ105,1,2)*CB105</f>
        <v>-0.65765544102157247</v>
      </c>
      <c r="BM105" s="137">
        <f>_xll.xSPRDOPT(BW105,BV105,CG105,0,BY105,BX105,BZ105,AJ105,1,1)*CB105</f>
        <v>0.65801058421434744</v>
      </c>
      <c r="BN105" s="137">
        <f>IF(AH105&lt;&gt;0,_xll.xSPRDOPT($BW105,$BV105,$CG105,2*LN(1+CA105/2),$BY105,$BX105,$BZ105,$AJ105,1,8)+(AJ105/365.25)*CH105/AH105,0)</f>
        <v>0.80307592267352801</v>
      </c>
      <c r="BO105" s="137">
        <f>_xll.xSPRDOPT($BW105,$BV105,$CG105,0,$BY105,$BX105,$BZ105,$AJ105,1,0)</f>
        <v>0.27350299054712163</v>
      </c>
      <c r="BP105" s="137"/>
      <c r="BQ105" s="137"/>
      <c r="BR105" s="137"/>
      <c r="BS105" s="137"/>
      <c r="BV105" s="262">
        <v>3.7987551867219915</v>
      </c>
      <c r="BW105" s="136">
        <v>4.0720000000000001</v>
      </c>
      <c r="BX105" s="137">
        <v>0.24196380675346044</v>
      </c>
      <c r="BY105" s="137">
        <v>0.2407183805621374</v>
      </c>
      <c r="BZ105" s="137">
        <v>0.99920231797126169</v>
      </c>
      <c r="CA105" s="137">
        <v>5.82693930542924E-2</v>
      </c>
      <c r="CB105" s="137">
        <v>0.66232219580478413</v>
      </c>
      <c r="CC105" s="258">
        <v>-0.4</v>
      </c>
      <c r="CD105" s="258">
        <v>0.155</v>
      </c>
      <c r="CE105" s="258">
        <v>0.13</v>
      </c>
      <c r="CF105" s="258">
        <v>3.5000000000000003E-2</v>
      </c>
      <c r="CG105" s="258">
        <v>0</v>
      </c>
      <c r="CH105" s="258">
        <v>8.2043175038730212</v>
      </c>
      <c r="CI105" s="258">
        <v>3.907</v>
      </c>
    </row>
    <row r="106" spans="1:87" x14ac:dyDescent="0.25">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row>
    <row r="107" spans="1:87" x14ac:dyDescent="0.25">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row>
    <row r="108" spans="1:87" x14ac:dyDescent="0.25">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row>
    <row r="109" spans="1:87" x14ac:dyDescent="0.25">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row>
    <row r="110" spans="1:87" x14ac:dyDescent="0.25">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row>
    <row r="111" spans="1:87" x14ac:dyDescent="0.25">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row>
    <row r="112" spans="1:87" x14ac:dyDescent="0.25">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row>
    <row r="113" spans="1:87" x14ac:dyDescent="0.25">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row>
    <row r="114" spans="1:87" x14ac:dyDescent="0.25">
      <c r="A114" s="723"/>
      <c r="B114" s="723"/>
      <c r="L114" s="135"/>
      <c r="P114" s="55"/>
      <c r="Q114" s="135"/>
      <c r="R114" s="55"/>
      <c r="U114" s="55"/>
      <c r="V114" s="55"/>
      <c r="W114" s="55"/>
      <c r="X114" s="55"/>
      <c r="AO114" s="136"/>
      <c r="AQ114" s="137"/>
      <c r="AU114" s="145"/>
      <c r="AV114" s="34"/>
      <c r="AW114" s="137"/>
    </row>
    <row r="115" spans="1:87" x14ac:dyDescent="0.25">
      <c r="A115" s="723"/>
      <c r="B115" s="723"/>
      <c r="L115" s="135"/>
      <c r="P115" s="55"/>
      <c r="Q115" s="135"/>
      <c r="R115" s="55"/>
      <c r="U115" s="55"/>
      <c r="V115" s="55"/>
      <c r="W115" s="55"/>
      <c r="X115" s="55"/>
      <c r="AO115" s="136"/>
      <c r="AQ115" s="137"/>
      <c r="AU115" s="145"/>
      <c r="AV115" s="34"/>
      <c r="AW115" s="137"/>
    </row>
    <row r="116" spans="1:87" x14ac:dyDescent="0.25">
      <c r="A116" s="723"/>
      <c r="B116" s="723"/>
      <c r="L116" s="135"/>
      <c r="P116" s="55"/>
      <c r="Q116" s="135"/>
      <c r="R116" s="55"/>
      <c r="U116" s="55"/>
      <c r="V116" s="55"/>
      <c r="W116" s="55"/>
      <c r="X116" s="55"/>
      <c r="AO116" s="136"/>
      <c r="AQ116" s="137"/>
      <c r="AU116" s="145"/>
      <c r="AV116" s="34"/>
      <c r="AW116" s="137"/>
    </row>
    <row r="117" spans="1:87" x14ac:dyDescent="0.25">
      <c r="A117" s="723"/>
      <c r="B117" s="723"/>
      <c r="L117" s="135"/>
      <c r="P117" s="55"/>
      <c r="Q117" s="135"/>
      <c r="R117" s="55"/>
      <c r="U117" s="55"/>
      <c r="V117" s="55"/>
      <c r="W117" s="55"/>
      <c r="X117" s="55"/>
      <c r="AO117" s="136"/>
      <c r="AQ117" s="137"/>
      <c r="AU117" s="145"/>
      <c r="AV117" s="34"/>
      <c r="AW117" s="137"/>
    </row>
    <row r="118" spans="1:87" x14ac:dyDescent="0.25">
      <c r="A118" s="723"/>
      <c r="B118" s="723"/>
      <c r="L118" s="135"/>
      <c r="P118" s="55"/>
      <c r="Q118" s="135"/>
      <c r="R118" s="55"/>
      <c r="U118" s="55"/>
      <c r="V118" s="55"/>
      <c r="W118" s="55"/>
      <c r="X118" s="55"/>
      <c r="AO118" s="136"/>
      <c r="AQ118" s="137"/>
      <c r="AU118" s="145"/>
      <c r="AV118" s="34"/>
      <c r="AW118" s="137"/>
    </row>
    <row r="119" spans="1:87" x14ac:dyDescent="0.25">
      <c r="A119" s="723"/>
      <c r="B119" s="723"/>
      <c r="L119" s="135"/>
      <c r="P119" s="55"/>
      <c r="Q119" s="135"/>
      <c r="R119" s="55"/>
      <c r="U119" s="55"/>
      <c r="V119" s="55"/>
      <c r="W119" s="55"/>
      <c r="X119" s="55"/>
      <c r="AO119" s="136"/>
      <c r="AQ119" s="137"/>
      <c r="AU119" s="145"/>
      <c r="AV119" s="34"/>
      <c r="AW119" s="137"/>
    </row>
    <row r="120" spans="1:87" x14ac:dyDescent="0.25">
      <c r="A120" s="723"/>
      <c r="B120" s="723"/>
      <c r="L120" s="135"/>
      <c r="P120" s="55"/>
      <c r="Q120" s="135"/>
      <c r="R120" s="55"/>
      <c r="U120" s="55"/>
      <c r="V120" s="55"/>
      <c r="W120" s="55"/>
      <c r="X120" s="55"/>
      <c r="AO120" s="136"/>
      <c r="AQ120" s="137"/>
      <c r="AU120" s="145"/>
      <c r="AV120" s="34"/>
      <c r="AW120" s="137"/>
    </row>
    <row r="121" spans="1:87" x14ac:dyDescent="0.25">
      <c r="A121" s="723"/>
      <c r="B121" s="723"/>
      <c r="L121" s="135"/>
      <c r="P121" s="55"/>
      <c r="Q121" s="135"/>
      <c r="R121" s="55"/>
      <c r="U121" s="55"/>
      <c r="V121" s="55"/>
      <c r="W121" s="55"/>
      <c r="X121" s="55"/>
      <c r="AO121" s="136"/>
      <c r="AQ121" s="137"/>
      <c r="AU121" s="145"/>
      <c r="AV121" s="34"/>
      <c r="AW121" s="137"/>
    </row>
    <row r="122" spans="1:87" x14ac:dyDescent="0.25">
      <c r="A122" s="723"/>
      <c r="B122" s="723"/>
      <c r="L122" s="135"/>
      <c r="P122" s="55"/>
      <c r="Q122" s="135"/>
      <c r="R122" s="55"/>
      <c r="U122" s="55"/>
      <c r="V122" s="55"/>
      <c r="W122" s="55"/>
      <c r="X122" s="55"/>
      <c r="AO122" s="136"/>
      <c r="AQ122" s="137"/>
      <c r="AU122" s="145"/>
      <c r="AV122" s="34"/>
      <c r="AW122" s="137"/>
    </row>
    <row r="123" spans="1:87" x14ac:dyDescent="0.25">
      <c r="A123" s="723"/>
      <c r="B123" s="723"/>
      <c r="L123" s="135"/>
      <c r="P123" s="55"/>
      <c r="Q123" s="135"/>
      <c r="R123" s="55"/>
      <c r="U123" s="55"/>
      <c r="V123" s="55"/>
      <c r="W123" s="55"/>
      <c r="X123" s="55"/>
      <c r="AO123" s="136"/>
      <c r="AQ123" s="137"/>
      <c r="AU123" s="145"/>
      <c r="AV123" s="34"/>
      <c r="AW123" s="137"/>
    </row>
    <row r="124" spans="1:87" x14ac:dyDescent="0.25">
      <c r="A124" s="723"/>
      <c r="B124" s="723"/>
      <c r="L124" s="135"/>
      <c r="P124" s="55"/>
      <c r="Q124" s="135"/>
      <c r="R124" s="55"/>
      <c r="U124" s="55"/>
      <c r="V124" s="55"/>
      <c r="W124" s="55"/>
      <c r="X124" s="55"/>
      <c r="AO124" s="136"/>
      <c r="AQ124" s="137"/>
      <c r="AU124" s="145"/>
      <c r="AV124" s="34"/>
      <c r="AW124" s="137"/>
    </row>
    <row r="125" spans="1:87" x14ac:dyDescent="0.25">
      <c r="A125" s="723"/>
      <c r="B125" s="723"/>
      <c r="L125" s="135"/>
      <c r="P125" s="55"/>
      <c r="Q125" s="135"/>
      <c r="R125" s="55"/>
      <c r="U125" s="55"/>
      <c r="V125" s="55"/>
      <c r="W125" s="55"/>
      <c r="X125" s="55"/>
      <c r="AO125" s="136"/>
      <c r="AQ125" s="137"/>
      <c r="AU125" s="145"/>
      <c r="AV125" s="34"/>
      <c r="AW125" s="137"/>
    </row>
    <row r="126" spans="1:87" x14ac:dyDescent="0.25">
      <c r="A126" s="723"/>
      <c r="B126" s="723"/>
      <c r="L126" s="135"/>
      <c r="P126" s="55"/>
      <c r="Q126" s="135"/>
      <c r="R126" s="55"/>
      <c r="U126" s="55"/>
      <c r="V126" s="55"/>
      <c r="W126" s="55"/>
      <c r="X126" s="55"/>
      <c r="AO126" s="136"/>
      <c r="AQ126" s="137"/>
      <c r="AU126" s="145"/>
      <c r="AV126" s="34"/>
      <c r="AW126" s="137"/>
    </row>
    <row r="127" spans="1:87" x14ac:dyDescent="0.25">
      <c r="A127" s="723"/>
      <c r="B127" s="723"/>
      <c r="L127" s="135"/>
      <c r="P127" s="55"/>
      <c r="Q127" s="135"/>
      <c r="R127" s="55"/>
      <c r="U127" s="55"/>
      <c r="V127" s="55"/>
      <c r="W127" s="55"/>
      <c r="X127" s="55"/>
      <c r="AO127" s="136"/>
      <c r="AQ127" s="137"/>
      <c r="AU127" s="145"/>
      <c r="AV127" s="34"/>
      <c r="AW127" s="137"/>
    </row>
    <row r="128" spans="1:87" x14ac:dyDescent="0.25">
      <c r="A128" s="723"/>
      <c r="B128" s="723"/>
      <c r="L128" s="135"/>
      <c r="P128" s="55"/>
      <c r="Q128" s="135"/>
      <c r="R128" s="55"/>
      <c r="U128" s="55"/>
      <c r="V128" s="55"/>
      <c r="W128" s="55"/>
      <c r="X128" s="55"/>
      <c r="AO128" s="136"/>
      <c r="AQ128" s="137"/>
      <c r="AU128" s="145"/>
      <c r="AV128" s="34"/>
      <c r="AW128" s="137"/>
    </row>
    <row r="129" spans="1:49" x14ac:dyDescent="0.25">
      <c r="A129" s="723"/>
      <c r="B129" s="723"/>
      <c r="L129" s="135"/>
      <c r="P129" s="55"/>
      <c r="Q129" s="135"/>
      <c r="R129" s="55"/>
      <c r="U129" s="55"/>
      <c r="V129" s="55"/>
      <c r="W129" s="55"/>
      <c r="X129" s="55"/>
      <c r="AO129" s="136"/>
      <c r="AQ129" s="137"/>
      <c r="AU129" s="145"/>
      <c r="AV129" s="34"/>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c r="AO166" s="136"/>
      <c r="AQ166" s="137"/>
      <c r="AS166" s="137"/>
      <c r="AU166" s="145"/>
      <c r="AV166" s="136"/>
      <c r="AW166" s="137"/>
    </row>
    <row r="167" spans="16:49" x14ac:dyDescent="0.25">
      <c r="P167" s="55"/>
      <c r="Q167" s="55"/>
      <c r="R167" s="55"/>
      <c r="U167" s="55"/>
      <c r="V167" s="55"/>
      <c r="W167" s="55"/>
      <c r="X167" s="55"/>
      <c r="AO167" s="136"/>
      <c r="AQ167" s="137"/>
      <c r="AS167" s="137"/>
      <c r="AU167" s="145"/>
      <c r="AV167" s="136"/>
      <c r="AW167" s="137"/>
    </row>
    <row r="168" spans="16:49" x14ac:dyDescent="0.25">
      <c r="P168" s="55"/>
      <c r="Q168" s="55"/>
      <c r="R168" s="55"/>
      <c r="U168" s="55"/>
      <c r="V168" s="55"/>
      <c r="W168" s="55"/>
      <c r="X168" s="55"/>
      <c r="AO168" s="136"/>
      <c r="AQ168" s="137"/>
      <c r="AS168" s="137"/>
      <c r="AU168" s="145"/>
      <c r="AV168" s="136"/>
      <c r="AW168" s="137"/>
    </row>
    <row r="169" spans="16:49" x14ac:dyDescent="0.25">
      <c r="P169" s="55"/>
      <c r="Q169" s="55"/>
      <c r="R169" s="55"/>
      <c r="U169" s="55"/>
      <c r="V169" s="55"/>
      <c r="W169" s="55"/>
      <c r="X169" s="55"/>
      <c r="AO169" s="136"/>
      <c r="AQ169" s="137"/>
      <c r="AS169" s="137"/>
      <c r="AU169" s="145"/>
      <c r="AV169" s="136"/>
      <c r="AW169" s="137"/>
    </row>
    <row r="170" spans="16:49" x14ac:dyDescent="0.25">
      <c r="P170" s="55"/>
      <c r="Q170" s="55"/>
      <c r="R170" s="55"/>
      <c r="U170" s="55"/>
      <c r="V170" s="55"/>
      <c r="W170" s="55"/>
      <c r="X170" s="55"/>
      <c r="AO170" s="136"/>
      <c r="AQ170" s="137"/>
      <c r="AS170" s="137"/>
      <c r="AU170" s="145"/>
      <c r="AV170" s="136"/>
      <c r="AW170" s="137"/>
    </row>
    <row r="171" spans="16:49" x14ac:dyDescent="0.25">
      <c r="P171" s="55"/>
      <c r="Q171" s="55"/>
      <c r="R171" s="55"/>
      <c r="U171" s="55"/>
      <c r="V171" s="55"/>
      <c r="W171" s="55"/>
      <c r="X171" s="55"/>
      <c r="AO171" s="136"/>
      <c r="AQ171" s="137"/>
      <c r="AS171" s="137"/>
      <c r="AU171" s="145"/>
      <c r="AV171" s="136"/>
      <c r="AW171" s="137"/>
    </row>
    <row r="172" spans="16:49" x14ac:dyDescent="0.25">
      <c r="P172" s="55"/>
      <c r="Q172" s="55"/>
      <c r="R172" s="55"/>
      <c r="U172" s="55"/>
      <c r="V172" s="55"/>
      <c r="W172" s="55"/>
      <c r="X172" s="55"/>
      <c r="AO172" s="136"/>
      <c r="AQ172" s="137"/>
      <c r="AS172" s="137"/>
      <c r="AU172" s="145"/>
      <c r="AV172" s="136"/>
      <c r="AW172" s="137"/>
    </row>
    <row r="173" spans="16:49" x14ac:dyDescent="0.25">
      <c r="P173" s="55"/>
      <c r="Q173" s="55"/>
      <c r="R173" s="55"/>
      <c r="U173" s="55"/>
      <c r="V173" s="55"/>
      <c r="W173" s="55"/>
      <c r="X173" s="55"/>
      <c r="AO173" s="136"/>
      <c r="AQ173" s="137"/>
      <c r="AS173" s="137"/>
      <c r="AU173" s="145"/>
      <c r="AV173" s="136"/>
      <c r="AW173" s="137"/>
    </row>
    <row r="174" spans="16:49" x14ac:dyDescent="0.25">
      <c r="P174" s="55"/>
      <c r="Q174" s="55"/>
      <c r="R174" s="55"/>
      <c r="U174" s="55"/>
      <c r="V174" s="55"/>
      <c r="W174" s="55"/>
      <c r="X174" s="55"/>
      <c r="AO174" s="136"/>
      <c r="AQ174" s="137"/>
      <c r="AS174" s="137"/>
      <c r="AU174" s="145"/>
      <c r="AV174" s="136"/>
      <c r="AW174" s="137"/>
    </row>
    <row r="175" spans="16:49" x14ac:dyDescent="0.25">
      <c r="P175" s="55"/>
      <c r="Q175" s="55"/>
      <c r="R175" s="55"/>
      <c r="U175" s="55"/>
      <c r="V175" s="55"/>
      <c r="W175" s="55"/>
      <c r="X175" s="55"/>
      <c r="AO175" s="136"/>
      <c r="AQ175" s="137"/>
      <c r="AS175" s="137"/>
      <c r="AU175" s="145"/>
      <c r="AV175" s="136"/>
      <c r="AW175" s="137"/>
    </row>
    <row r="176" spans="16:49" x14ac:dyDescent="0.25">
      <c r="P176" s="55"/>
      <c r="Q176" s="55"/>
      <c r="R176" s="55"/>
      <c r="U176" s="55"/>
      <c r="V176" s="55"/>
      <c r="W176" s="55"/>
      <c r="X176" s="55"/>
      <c r="AO176" s="136"/>
      <c r="AQ176" s="137"/>
      <c r="AS176" s="137"/>
      <c r="AU176" s="145"/>
      <c r="AV176" s="136"/>
      <c r="AW176" s="137"/>
    </row>
    <row r="177" spans="16:49" x14ac:dyDescent="0.25">
      <c r="P177" s="55"/>
      <c r="Q177" s="55"/>
      <c r="R177" s="55"/>
      <c r="U177" s="55"/>
      <c r="V177" s="55"/>
      <c r="W177" s="55"/>
      <c r="X177" s="55"/>
      <c r="AO177" s="136"/>
      <c r="AQ177" s="137"/>
      <c r="AS177" s="137"/>
      <c r="AU177" s="145"/>
      <c r="AV177" s="136"/>
      <c r="AW177" s="137"/>
    </row>
    <row r="178" spans="16:49" x14ac:dyDescent="0.25">
      <c r="P178" s="55"/>
      <c r="Q178" s="55"/>
      <c r="R178" s="55"/>
      <c r="U178" s="55"/>
      <c r="V178" s="55"/>
      <c r="W178" s="55"/>
      <c r="X178" s="55"/>
    </row>
    <row r="179" spans="16:49" x14ac:dyDescent="0.25">
      <c r="P179" s="55"/>
      <c r="Q179" s="55"/>
      <c r="R179" s="55"/>
      <c r="U179" s="55"/>
      <c r="V179" s="55"/>
      <c r="W179" s="55"/>
      <c r="X179" s="55"/>
    </row>
    <row r="180" spans="16:49" x14ac:dyDescent="0.25">
      <c r="P180" s="55"/>
      <c r="Q180" s="55"/>
      <c r="R180" s="55"/>
      <c r="U180" s="55"/>
      <c r="V180" s="55"/>
      <c r="W180" s="55"/>
      <c r="X180" s="55"/>
    </row>
    <row r="181" spans="16:49" x14ac:dyDescent="0.25">
      <c r="P181" s="55"/>
      <c r="Q181" s="55"/>
      <c r="R181" s="55"/>
      <c r="U181" s="55"/>
      <c r="V181" s="55"/>
      <c r="W181" s="55"/>
      <c r="X181" s="55"/>
    </row>
    <row r="182" spans="16:49" x14ac:dyDescent="0.25">
      <c r="P182" s="55"/>
      <c r="Q182" s="55"/>
      <c r="R182" s="55"/>
      <c r="U182" s="55"/>
      <c r="V182" s="55"/>
      <c r="W182" s="55"/>
      <c r="X182" s="55"/>
    </row>
    <row r="183" spans="16:49" x14ac:dyDescent="0.25">
      <c r="P183" s="55"/>
      <c r="Q183" s="55"/>
      <c r="R183" s="55"/>
      <c r="U183" s="55"/>
      <c r="V183" s="55"/>
      <c r="W183" s="55"/>
      <c r="X183" s="55"/>
    </row>
    <row r="184" spans="16:49" x14ac:dyDescent="0.25">
      <c r="P184" s="55"/>
      <c r="Q184" s="55"/>
      <c r="R184" s="55"/>
      <c r="U184" s="55"/>
      <c r="V184" s="55"/>
      <c r="W184" s="55"/>
      <c r="X184" s="55"/>
    </row>
    <row r="185" spans="16:49" x14ac:dyDescent="0.25">
      <c r="P185" s="55"/>
      <c r="Q185" s="55"/>
      <c r="R185" s="55"/>
      <c r="U185" s="55"/>
      <c r="V185" s="55"/>
      <c r="W185" s="55"/>
      <c r="X185" s="55"/>
    </row>
    <row r="186" spans="16:49" x14ac:dyDescent="0.25">
      <c r="P186" s="55"/>
      <c r="Q186" s="55"/>
      <c r="R186" s="55"/>
      <c r="U186" s="55"/>
      <c r="V186" s="55"/>
      <c r="W186" s="55"/>
      <c r="X186" s="55"/>
    </row>
    <row r="187" spans="16:49" x14ac:dyDescent="0.25">
      <c r="P187" s="55"/>
      <c r="Q187" s="55"/>
      <c r="R187" s="55"/>
      <c r="U187" s="55"/>
      <c r="V187" s="55"/>
      <c r="W187" s="55"/>
      <c r="X187" s="55"/>
    </row>
    <row r="188" spans="16:49" x14ac:dyDescent="0.25">
      <c r="P188" s="55"/>
      <c r="Q188" s="55"/>
      <c r="R188" s="55"/>
      <c r="U188" s="55"/>
      <c r="V188" s="55"/>
      <c r="W188" s="55"/>
      <c r="X188" s="55"/>
    </row>
    <row r="189" spans="16:49" x14ac:dyDescent="0.25">
      <c r="P189" s="55"/>
      <c r="Q189" s="55"/>
      <c r="R189" s="55"/>
      <c r="U189" s="55"/>
      <c r="V189" s="55"/>
      <c r="W189" s="55"/>
      <c r="X189" s="55"/>
    </row>
    <row r="190" spans="16:49" x14ac:dyDescent="0.25">
      <c r="P190" s="55"/>
      <c r="Q190" s="55"/>
      <c r="R190" s="55"/>
      <c r="U190" s="55"/>
      <c r="V190" s="55"/>
      <c r="W190" s="55"/>
      <c r="X190" s="55"/>
    </row>
    <row r="191" spans="16:49" x14ac:dyDescent="0.25">
      <c r="P191" s="55"/>
      <c r="Q191" s="55"/>
      <c r="R191" s="55"/>
      <c r="U191" s="55"/>
      <c r="V191" s="55"/>
      <c r="W191" s="55"/>
      <c r="X191" s="55"/>
    </row>
    <row r="192" spans="16:49"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row r="559" spans="16:24" x14ac:dyDescent="0.25">
      <c r="P559" s="55"/>
      <c r="Q559" s="55"/>
      <c r="R559" s="55"/>
      <c r="U559" s="55"/>
      <c r="V559" s="55"/>
      <c r="W559" s="55"/>
      <c r="X559" s="55"/>
    </row>
    <row r="560" spans="16:24" x14ac:dyDescent="0.25">
      <c r="P560" s="55"/>
      <c r="Q560" s="55"/>
      <c r="R560" s="55"/>
      <c r="U560" s="55"/>
      <c r="V560" s="55"/>
      <c r="W560" s="55"/>
      <c r="X560" s="55"/>
    </row>
    <row r="561" spans="16:24" x14ac:dyDescent="0.25">
      <c r="P561" s="55"/>
      <c r="Q561" s="55"/>
      <c r="R561" s="55"/>
      <c r="U561" s="55"/>
      <c r="V561" s="55"/>
      <c r="W561" s="55"/>
      <c r="X561" s="55"/>
    </row>
    <row r="562" spans="16:24" x14ac:dyDescent="0.25">
      <c r="P562" s="55"/>
      <c r="Q562" s="55"/>
      <c r="R562" s="55"/>
      <c r="U562" s="55"/>
      <c r="V562" s="55"/>
      <c r="W562" s="55"/>
      <c r="X562" s="55"/>
    </row>
    <row r="563" spans="16:24" x14ac:dyDescent="0.25">
      <c r="P563" s="55"/>
      <c r="Q563" s="55"/>
      <c r="R563" s="55"/>
      <c r="U563" s="55"/>
      <c r="V563" s="55"/>
      <c r="W563" s="55"/>
      <c r="X563" s="55"/>
    </row>
    <row r="564" spans="16:24" x14ac:dyDescent="0.25">
      <c r="P564" s="55"/>
      <c r="Q564" s="55"/>
      <c r="R564" s="55"/>
      <c r="U564" s="55"/>
      <c r="V564" s="55"/>
      <c r="W564" s="55"/>
      <c r="X564" s="55"/>
    </row>
    <row r="565" spans="16:24" x14ac:dyDescent="0.25">
      <c r="P565" s="55"/>
      <c r="Q565" s="55"/>
      <c r="R565" s="55"/>
      <c r="U565" s="55"/>
      <c r="V565" s="55"/>
      <c r="W565" s="55"/>
      <c r="X565" s="55"/>
    </row>
    <row r="566" spans="16:24" x14ac:dyDescent="0.25">
      <c r="P566" s="55"/>
      <c r="Q566" s="55"/>
      <c r="R566" s="55"/>
      <c r="U566" s="55"/>
      <c r="V566" s="55"/>
      <c r="W566" s="55"/>
      <c r="X566" s="55"/>
    </row>
    <row r="567" spans="16:24" x14ac:dyDescent="0.25">
      <c r="P567" s="55"/>
      <c r="Q567" s="55"/>
      <c r="R567" s="55"/>
      <c r="U567" s="55"/>
      <c r="V567" s="55"/>
      <c r="W567" s="55"/>
      <c r="X567" s="55"/>
    </row>
    <row r="568" spans="16:24" x14ac:dyDescent="0.25">
      <c r="P568" s="55"/>
      <c r="Q568" s="55"/>
      <c r="R568" s="55"/>
      <c r="U568" s="55"/>
      <c r="V568" s="55"/>
      <c r="W568" s="55"/>
      <c r="X568" s="55"/>
    </row>
    <row r="569" spans="16:24" x14ac:dyDescent="0.25">
      <c r="P569" s="55"/>
      <c r="Q569" s="55"/>
      <c r="R569" s="55"/>
      <c r="U569" s="55"/>
      <c r="V569" s="55"/>
      <c r="W569" s="55"/>
      <c r="X569" s="55"/>
    </row>
    <row r="570" spans="16:24" x14ac:dyDescent="0.25">
      <c r="P570" s="55"/>
      <c r="Q570" s="55"/>
      <c r="R570" s="55"/>
      <c r="U570" s="55"/>
      <c r="V570" s="55"/>
      <c r="W570" s="55"/>
      <c r="X570"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7:M7"/>
    <mergeCell ref="L8:M8"/>
    <mergeCell ref="A22:B22"/>
    <mergeCell ref="A23:B23"/>
    <mergeCell ref="A24:B24"/>
    <mergeCell ref="A25:B25"/>
    <mergeCell ref="L14:M14"/>
    <mergeCell ref="L10:M10"/>
    <mergeCell ref="L11:M11"/>
    <mergeCell ref="L12:M12"/>
    <mergeCell ref="L13:M13"/>
    <mergeCell ref="L9:M9"/>
    <mergeCell ref="F1:G1"/>
    <mergeCell ref="L1:P1"/>
    <mergeCell ref="BU1:CB1"/>
    <mergeCell ref="AE1:AK1"/>
    <mergeCell ref="BA1:BH1"/>
    <mergeCell ref="D10:H10"/>
    <mergeCell ref="L3:M3"/>
    <mergeCell ref="L4:M4"/>
    <mergeCell ref="L5:M5"/>
    <mergeCell ref="L6:M6"/>
    <mergeCell ref="AM20:AN20"/>
    <mergeCell ref="AO20:AP20"/>
    <mergeCell ref="L15:M15"/>
    <mergeCell ref="L16:M16"/>
    <mergeCell ref="L17:M17"/>
    <mergeCell ref="L18:M18"/>
    <mergeCell ref="L19:M19"/>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499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8499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21113">
    <pageSetUpPr autoPageBreaks="0"/>
  </sheetPr>
  <dimension ref="A1:CX570"/>
  <sheetViews>
    <sheetView zoomScale="80" workbookViewId="0">
      <selection activeCell="CI21" sqref="CI21:CI24"/>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88" width="15.6640625" style="29" customWidth="1"/>
    <col min="89"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LongTerm26</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26</v>
      </c>
      <c r="F2" s="178" t="str">
        <f>GetRcptPoint($AH$12,$AH$13)</f>
        <v>Monchy</v>
      </c>
      <c r="G2" s="179" t="str">
        <f>GetDelPoint($AH$12,$AH$13)</f>
        <v>Chicago</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$F$24</v>
      </c>
      <c r="AX2" s="339" t="str">
        <f>ADDRESS(ROW($G$22),COLUMN($G$22))</f>
        <v>$G$22</v>
      </c>
      <c r="AY2" s="138" t="str">
        <f ca="1">GetEnd($AV$1,AX2)</f>
        <v>$G$24</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Q3" s="305"/>
      <c r="AF3" s="28"/>
      <c r="AG3" s="103" t="s">
        <v>31</v>
      </c>
      <c r="AH3" s="106">
        <f>GetRcptBasisCol($AH$12,$AH$13)</f>
        <v>38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$AF$24</v>
      </c>
      <c r="AX3" s="339" t="str">
        <f>ADDRESS(ROW($AH$22),COLUMN($AH$22))</f>
        <v>$AH$22</v>
      </c>
      <c r="AY3" s="138" t="str">
        <f ca="1">GetEnd($AV$1,AX3)</f>
        <v>$AH$24</v>
      </c>
    </row>
    <row r="4" spans="1:102" x14ac:dyDescent="0.25">
      <c r="A4" s="269" t="str">
        <f>ADDRESS(ROW($S$22),COLUMN($S$22))</f>
        <v>$S$22</v>
      </c>
      <c r="L4" s="721" t="s">
        <v>201</v>
      </c>
      <c r="M4" s="722"/>
      <c r="N4" s="352">
        <f ca="1">SUMPRODUCT(INDIRECT(CONCATENATE(AV4,":",AW4)),INDIRECT(CONCATENATE($AV$2,":",$AW$2)),INDIRECT(CONCATENATE($AV$3,":",$AW$3)))</f>
        <v>267041.16691239475</v>
      </c>
      <c r="O4" s="352">
        <v>266914.94</v>
      </c>
      <c r="P4" s="354">
        <f ca="1">N4-O4</f>
        <v>126.22691239474807</v>
      </c>
      <c r="Q4" s="181"/>
      <c r="S4" s="427" t="s">
        <v>635</v>
      </c>
      <c r="T4" s="422">
        <f ca="1">SUMPRODUCT(INDIRECT(CONCATENATE(V4,":",W4)),INDIRECT(CONCATENATE(AV2,":",AW2)),INDIRECT(CONCATENATE(AV3,":",AW3)))</f>
        <v>266995.37183282874</v>
      </c>
      <c r="V4" s="30" t="str">
        <f>ADDRESS(ROW(K22),COLUMN(K22))</f>
        <v>$K$22</v>
      </c>
      <c r="W4" s="30" t="str">
        <f ca="1">GetEnd($AV$1,V4)</f>
        <v>$K$24</v>
      </c>
      <c r="AF4" s="28"/>
      <c r="AG4" s="103" t="s">
        <v>32</v>
      </c>
      <c r="AH4" s="104">
        <f>GetRcptIndexCol($AH$12,$AH$13)</f>
        <v>39</v>
      </c>
      <c r="AI4" s="29"/>
      <c r="AJ4" s="103" t="s">
        <v>72</v>
      </c>
      <c r="AK4" s="104">
        <f>GetNymexCol(AK3)</f>
        <v>3</v>
      </c>
      <c r="AL4" s="34">
        <v>1</v>
      </c>
      <c r="AM4" s="45">
        <f t="shared" ref="AM4:AM15" si="0">GetVolume($AH$12,$AH$13,AT4)</f>
        <v>15000</v>
      </c>
      <c r="AN4" s="46">
        <f t="shared" ref="AN4:AN15" si="1">GetCommodity($AH$12,$AH$13,AT4)</f>
        <v>0</v>
      </c>
      <c r="AO4" s="47">
        <f t="shared" ref="AO4:AO15" si="2">GetFuelRate($AH$12,$AH$13,AT4)</f>
        <v>3.5999999999999997E-2</v>
      </c>
      <c r="AP4" s="46">
        <f t="shared" ref="AP4:AP15" si="3">GetSurcharge($AH$12,$AH$13,$AT4)</f>
        <v>0</v>
      </c>
      <c r="AQ4" s="46">
        <f t="shared" ref="AQ4:AQ15" si="4">GetRcptIndexAdj($AH$12,$AH$13,$AT4)</f>
        <v>0</v>
      </c>
      <c r="AR4" s="132">
        <f t="shared" ref="AR4:AR15" si="5">GetDelIndexAdj($AH$12,$AH$13,$AT4)</f>
        <v>0</v>
      </c>
      <c r="AS4" s="48">
        <f t="shared" ref="AS4:AS15" si="6">GetDemandRate($AH$12,$AH$13,$AT4)</f>
        <v>0.44240000000000002</v>
      </c>
      <c r="AT4" s="35">
        <f t="shared" ref="AT4:AT15" si="7">gettier($AH$12,$AH$13,AL4)</f>
        <v>1</v>
      </c>
      <c r="AV4" s="339" t="str">
        <f>ADDRESS(ROW($Q$22),COLUMN($Q$22))</f>
        <v>$Q$22</v>
      </c>
      <c r="AW4" s="138" t="str">
        <f ca="1">GetEnd($AV$1,AV4)</f>
        <v>$Q$24</v>
      </c>
      <c r="AX4" s="339" t="str">
        <f>ADDRESS(ROW($K$22),COLUMN($K$22))</f>
        <v>$K$22</v>
      </c>
      <c r="AY4" s="138" t="str">
        <f ca="1">GetEnd($AV$1,AX4)</f>
        <v>$K$24</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400244.8778905262</v>
      </c>
      <c r="O5" s="352">
        <v>400055.45</v>
      </c>
      <c r="P5" s="355">
        <f ca="1">N5-O5</f>
        <v>189.427890526189</v>
      </c>
      <c r="Q5" s="181"/>
      <c r="S5" s="428" t="s">
        <v>636</v>
      </c>
      <c r="T5" s="423">
        <f ca="1">SUMPRODUCT(INDIRECT(CONCATENATE(V5,":",W5)),INDIRECT(CONCATENATE(AV2,":",AW2)),INDIRECT(CONCATENATE(AV3,":",AW3)))</f>
        <v>45.795079566040009</v>
      </c>
      <c r="V5" s="30" t="str">
        <f>ADDRESS(ROW(L22),COLUMN(L22))</f>
        <v>$L$22</v>
      </c>
      <c r="W5" s="30" t="str">
        <f ca="1">GetEnd($AV$1,V5)</f>
        <v>$L$24</v>
      </c>
      <c r="AF5" s="28"/>
      <c r="AG5" s="103" t="s">
        <v>33</v>
      </c>
      <c r="AH5" s="104">
        <f>GetDelBasisCol($AH$12,$AH$13)</f>
        <v>22</v>
      </c>
      <c r="AI5" s="29"/>
      <c r="AJ5" s="103" t="s">
        <v>77</v>
      </c>
      <c r="AK5" s="104" t="str">
        <f>LiborCurve</f>
        <v>Libor AA</v>
      </c>
      <c r="AL5" s="34">
        <v>2</v>
      </c>
      <c r="AM5" s="37">
        <f t="shared" si="0"/>
        <v>15000</v>
      </c>
      <c r="AN5" s="38">
        <f t="shared" si="1"/>
        <v>0</v>
      </c>
      <c r="AO5" s="39">
        <f t="shared" si="2"/>
        <v>3.5999999999999997E-2</v>
      </c>
      <c r="AP5" s="38">
        <f t="shared" si="3"/>
        <v>0</v>
      </c>
      <c r="AQ5" s="38">
        <f t="shared" si="4"/>
        <v>0</v>
      </c>
      <c r="AR5" s="133">
        <f t="shared" si="5"/>
        <v>0</v>
      </c>
      <c r="AS5" s="40">
        <f t="shared" si="6"/>
        <v>0.44240000000000002</v>
      </c>
      <c r="AT5" s="35">
        <f t="shared" si="7"/>
        <v>1</v>
      </c>
      <c r="AV5" s="339" t="str">
        <f>ADDRESS(ROW($V$22),COLUMN($V$22))</f>
        <v>$V$22</v>
      </c>
      <c r="AW5" s="138" t="str">
        <f ca="1">GetEnd($AV$1,AV5)</f>
        <v>$V$24</v>
      </c>
      <c r="AX5" s="339" t="str">
        <f>ADDRESS(ROW($L$22),COLUMN($L$22))</f>
        <v>$L$22</v>
      </c>
      <c r="AY5" s="138" t="str">
        <f ca="1">GetEnd($AV$1,AX5)</f>
        <v>$L$24</v>
      </c>
      <c r="BV5" s="266">
        <f>O2</f>
        <v>37239</v>
      </c>
    </row>
    <row r="6" spans="1:102" x14ac:dyDescent="0.25">
      <c r="A6" s="269" t="str">
        <f>ADDRESS(ROW($BW$2),COLUMN($BW$2))</f>
        <v>$BW$2</v>
      </c>
      <c r="F6" s="187"/>
      <c r="G6" s="187"/>
      <c r="L6" s="704" t="s">
        <v>149</v>
      </c>
      <c r="M6" s="705"/>
      <c r="N6" s="356">
        <f ca="1">N4-N5</f>
        <v>-133203.71097813145</v>
      </c>
      <c r="O6" s="357">
        <v>-133140.5</v>
      </c>
      <c r="P6" s="358">
        <f ca="1">N6-O6</f>
        <v>-63.210978131450247</v>
      </c>
      <c r="Q6" s="181"/>
      <c r="S6" s="428" t="s">
        <v>637</v>
      </c>
      <c r="T6" s="424">
        <f ca="1">SUMPRODUCT(INDIRECT(CONCATENATE(V6,":",W6)),INDIRECT(CONCATENATE(AV3,":",AW3)),INDIRECT(CONCATENATE(AX3,":",AY3)))</f>
        <v>904712.65345959808</v>
      </c>
      <c r="V6" s="30" t="str">
        <f>ADDRESS(ROW(G22),COLUMN(G22))</f>
        <v>$G$22</v>
      </c>
      <c r="W6" s="30" t="str">
        <f ca="1">GetEnd($AV$1,V6)</f>
        <v>$G$24</v>
      </c>
      <c r="AF6" s="28"/>
      <c r="AG6" s="103" t="s">
        <v>34</v>
      </c>
      <c r="AH6" s="104">
        <f>GetDelIndexCol($AH$12,$AH$13)</f>
        <v>35</v>
      </c>
      <c r="AI6" s="29"/>
      <c r="AJ6" s="103" t="s">
        <v>79</v>
      </c>
      <c r="AK6" s="104">
        <f>GetLiborCol(AK5)</f>
        <v>4</v>
      </c>
      <c r="AL6" s="34">
        <v>3</v>
      </c>
      <c r="AM6" s="37">
        <f t="shared" si="0"/>
        <v>15000</v>
      </c>
      <c r="AN6" s="38">
        <f t="shared" si="1"/>
        <v>0</v>
      </c>
      <c r="AO6" s="39">
        <f t="shared" si="2"/>
        <v>3.5999999999999997E-2</v>
      </c>
      <c r="AP6" s="38">
        <f t="shared" si="3"/>
        <v>0</v>
      </c>
      <c r="AQ6" s="38">
        <f t="shared" si="4"/>
        <v>0</v>
      </c>
      <c r="AR6" s="133">
        <f t="shared" si="5"/>
        <v>0</v>
      </c>
      <c r="AS6" s="40">
        <f t="shared" si="6"/>
        <v>0.44240000000000002</v>
      </c>
      <c r="AT6" s="35">
        <f t="shared" si="7"/>
        <v>1</v>
      </c>
      <c r="AX6" s="339"/>
      <c r="AY6" s="138"/>
    </row>
    <row r="7" spans="1:102" x14ac:dyDescent="0.25">
      <c r="A7" s="269" t="str">
        <f>ADDRESS(ROW($AH$12),COLUMN($AH$12))</f>
        <v>$AH$12</v>
      </c>
      <c r="F7" s="186" t="s">
        <v>25</v>
      </c>
      <c r="G7" s="189">
        <f>GetMonthStart($AH$12,$AH$13,G5)</f>
        <v>39873</v>
      </c>
      <c r="L7" s="706" t="s">
        <v>625</v>
      </c>
      <c r="M7" s="707"/>
      <c r="N7" s="352">
        <f t="array" aca="1" ref="N7" ca="1">SUM((INDIRECT(CONCATENATE(AV7,":",AW7))-INDIRECT(CONCATENATE(AX18,":",AY18)))*INDIRECT(CONCATENATE(AX7,":",AY7))*INDIRECT(CONCATENATE(AV3,":",AW3)))</f>
        <v>0</v>
      </c>
      <c r="O7" s="421">
        <v>1114.08</v>
      </c>
      <c r="P7" s="355">
        <f ca="1">N7</f>
        <v>0</v>
      </c>
      <c r="S7" s="428" t="s">
        <v>638</v>
      </c>
      <c r="T7" s="425">
        <f ca="1">T5/T6</f>
        <v>5.0618369701054576E-5</v>
      </c>
      <c r="AF7" s="28"/>
      <c r="AG7" s="103" t="s">
        <v>76</v>
      </c>
      <c r="AH7" s="104">
        <f>GetRcptOmicronCol($AH$12,$AH$13)</f>
        <v>10</v>
      </c>
      <c r="AI7" s="29"/>
      <c r="AJ7" s="103" t="s">
        <v>80</v>
      </c>
      <c r="AK7" s="104" t="str">
        <f>Configuration!$D$8</f>
        <v>Nymex Vol</v>
      </c>
      <c r="AL7" s="34">
        <v>4</v>
      </c>
      <c r="AM7" s="37">
        <f t="shared" si="0"/>
        <v>15000</v>
      </c>
      <c r="AN7" s="38">
        <f t="shared" si="1"/>
        <v>0</v>
      </c>
      <c r="AO7" s="39">
        <f t="shared" si="2"/>
        <v>3.5999999999999997E-2</v>
      </c>
      <c r="AP7" s="38">
        <f t="shared" si="3"/>
        <v>0</v>
      </c>
      <c r="AQ7" s="38">
        <f t="shared" si="4"/>
        <v>0</v>
      </c>
      <c r="AR7" s="133">
        <f t="shared" si="5"/>
        <v>0</v>
      </c>
      <c r="AS7" s="40">
        <f t="shared" si="6"/>
        <v>0.44240000000000002</v>
      </c>
      <c r="AT7" s="35">
        <f t="shared" si="7"/>
        <v>1</v>
      </c>
      <c r="AU7" s="361" t="s">
        <v>574</v>
      </c>
      <c r="AV7" s="339" t="str">
        <f>ADDRESS(ROW($AL$22),COLUMN($AL$22))</f>
        <v>$AL$22</v>
      </c>
      <c r="AW7" s="138" t="str">
        <f ca="1">GetEnd($AV$1,AV7)</f>
        <v>$AL$24</v>
      </c>
      <c r="AX7" s="339" t="str">
        <f>ADDRESS(ROW($AV$22),COLUMN($AV$22))</f>
        <v>$AV$22</v>
      </c>
      <c r="AY7" s="138" t="str">
        <f t="shared" ref="AY7:AY13" ca="1" si="8">GetEnd($AV$1,AX7)</f>
        <v>$AV$24</v>
      </c>
    </row>
    <row r="8" spans="1:102" x14ac:dyDescent="0.25">
      <c r="A8" s="270" t="s">
        <v>224</v>
      </c>
      <c r="F8" s="186" t="s">
        <v>26</v>
      </c>
      <c r="G8" s="190">
        <f>GetMonthEnd($AH$12,$AH$13)</f>
        <v>39964</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0.99920344234835257</v>
      </c>
      <c r="V8" s="30" t="str">
        <f>ADDRESS(ROW(P22),COLUMN(P22))</f>
        <v>$P$22</v>
      </c>
      <c r="W8" s="30" t="str">
        <f ca="1">GetEnd($AV$1,V8)</f>
        <v>$P$24</v>
      </c>
      <c r="Y8" s="334">
        <f ca="1">SUMIF(INDIRECT(CONCATENATE(V8,":",W8)),"&gt;0",INDIRECT(CONCATENATE(V8,":",W8)))</f>
        <v>2.9976103270450576</v>
      </c>
      <c r="Z8" s="334">
        <f ca="1">COUNTIF(INDIRECT(CONCATENATE(V8,":",W8)),"&gt;0")</f>
        <v>3</v>
      </c>
      <c r="AF8" s="28"/>
      <c r="AG8" s="103" t="s">
        <v>75</v>
      </c>
      <c r="AH8" s="105">
        <f>GetDelOmicronCol($AH$12,$AH$13)</f>
        <v>16</v>
      </c>
      <c r="AI8" s="29"/>
      <c r="AJ8" s="103" t="s">
        <v>81</v>
      </c>
      <c r="AK8" s="104">
        <f>GetNGOmicronCol(AK7)</f>
        <v>5</v>
      </c>
      <c r="AL8" s="34">
        <v>5</v>
      </c>
      <c r="AM8" s="37">
        <f t="shared" si="0"/>
        <v>15000</v>
      </c>
      <c r="AN8" s="38">
        <f t="shared" si="1"/>
        <v>0</v>
      </c>
      <c r="AO8" s="39">
        <f t="shared" si="2"/>
        <v>3.5999999999999997E-2</v>
      </c>
      <c r="AP8" s="38">
        <f t="shared" si="3"/>
        <v>0</v>
      </c>
      <c r="AQ8" s="38">
        <f t="shared" si="4"/>
        <v>0</v>
      </c>
      <c r="AR8" s="133">
        <f t="shared" si="5"/>
        <v>0</v>
      </c>
      <c r="AS8" s="40">
        <f t="shared" si="6"/>
        <v>0.44240000000000002</v>
      </c>
      <c r="AT8" s="35">
        <f t="shared" si="7"/>
        <v>1</v>
      </c>
      <c r="AU8" s="362" t="s">
        <v>575</v>
      </c>
      <c r="AV8" s="339" t="str">
        <f>ADDRESS(ROW($AM$22),COLUMN($AM$22))</f>
        <v>$AM$22</v>
      </c>
      <c r="AW8" s="138" t="str">
        <f ca="1">GetEnd($AV$1,AV8)</f>
        <v>$AM$24</v>
      </c>
      <c r="AX8" s="339" t="str">
        <f>ADDRESS(ROW($AO$22),COLUMN($AO$22))</f>
        <v>$AO$22</v>
      </c>
      <c r="AY8" s="138" t="str">
        <f t="shared" ca="1" si="8"/>
        <v>$AO$24</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v>
      </c>
      <c r="AL9" s="34">
        <v>6</v>
      </c>
      <c r="AM9" s="37">
        <f t="shared" si="0"/>
        <v>15000</v>
      </c>
      <c r="AN9" s="38">
        <f t="shared" si="1"/>
        <v>0</v>
      </c>
      <c r="AO9" s="39">
        <f t="shared" si="2"/>
        <v>3.5999999999999997E-2</v>
      </c>
      <c r="AP9" s="38">
        <f t="shared" si="3"/>
        <v>0</v>
      </c>
      <c r="AQ9" s="38">
        <f t="shared" si="4"/>
        <v>0</v>
      </c>
      <c r="AR9" s="133">
        <f t="shared" si="5"/>
        <v>0</v>
      </c>
      <c r="AS9" s="40">
        <f t="shared" si="6"/>
        <v>0.44240000000000002</v>
      </c>
      <c r="AT9" s="35">
        <f t="shared" si="7"/>
        <v>1</v>
      </c>
      <c r="AU9" s="361" t="s">
        <v>578</v>
      </c>
      <c r="AV9" s="339" t="str">
        <f>ADDRESS(ROW($AN$22),COLUMN($AN$22))</f>
        <v>$AN$22</v>
      </c>
      <c r="AW9" s="138" t="str">
        <f ca="1">GetEnd($AV$1,AV9)</f>
        <v>$AN$24</v>
      </c>
      <c r="AX9" s="339" t="str">
        <f>ADDRESS(ROW($AP$22),COLUMN($AP$22))</f>
        <v>$AP$22</v>
      </c>
      <c r="AY9" s="138" t="str">
        <f t="shared" ca="1" si="8"/>
        <v>$AP$24</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-112875.6698362663</v>
      </c>
      <c r="O10" s="352">
        <v>-112822.25</v>
      </c>
      <c r="P10" s="355">
        <f t="shared" ref="P10:P19" ca="1" si="9">N10-O10</f>
        <v>-53.41983626630099</v>
      </c>
      <c r="AF10" s="28"/>
      <c r="AG10" s="103" t="s">
        <v>142</v>
      </c>
      <c r="AH10" s="119" t="b">
        <f>GetGRIFactor($AH$12,$AH$13)</f>
        <v>0</v>
      </c>
      <c r="AI10" s="29"/>
      <c r="AJ10" s="29"/>
      <c r="AK10" s="29"/>
      <c r="AL10" s="34">
        <v>7</v>
      </c>
      <c r="AM10" s="37">
        <f t="shared" si="0"/>
        <v>15000</v>
      </c>
      <c r="AN10" s="38">
        <f t="shared" si="1"/>
        <v>0</v>
      </c>
      <c r="AO10" s="39">
        <f t="shared" si="2"/>
        <v>3.5999999999999997E-2</v>
      </c>
      <c r="AP10" s="38">
        <f t="shared" si="3"/>
        <v>0</v>
      </c>
      <c r="AQ10" s="38">
        <f t="shared" si="4"/>
        <v>0</v>
      </c>
      <c r="AR10" s="133">
        <f t="shared" si="5"/>
        <v>0</v>
      </c>
      <c r="AS10" s="40">
        <f t="shared" si="6"/>
        <v>0.44240000000000002</v>
      </c>
      <c r="AT10" s="35">
        <f t="shared" si="7"/>
        <v>1</v>
      </c>
      <c r="AU10" s="361" t="s">
        <v>577</v>
      </c>
      <c r="AV10" s="339" t="str">
        <f>ADDRESS(ROW($AS$22),COLUMN($AS$22))</f>
        <v>$AS$22</v>
      </c>
      <c r="AW10" s="138" t="str">
        <f ca="1">GetEnd($AV$1,AV10)</f>
        <v>$AS$24</v>
      </c>
      <c r="AX10" s="339" t="str">
        <f>ADDRESS(ROW($CC$22),COLUMN($CC$22))</f>
        <v>$CC$22</v>
      </c>
      <c r="AY10" s="138" t="str">
        <f t="shared" ca="1" si="8"/>
        <v>$CC$24</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9"/>
        <v>0</v>
      </c>
      <c r="AL11" s="34">
        <v>8</v>
      </c>
      <c r="AM11" s="37">
        <f t="shared" si="0"/>
        <v>15000</v>
      </c>
      <c r="AN11" s="38">
        <f t="shared" si="1"/>
        <v>0</v>
      </c>
      <c r="AO11" s="39">
        <f t="shared" si="2"/>
        <v>3.5999999999999997E-2</v>
      </c>
      <c r="AP11" s="38">
        <f t="shared" si="3"/>
        <v>0</v>
      </c>
      <c r="AQ11" s="38">
        <f t="shared" si="4"/>
        <v>0</v>
      </c>
      <c r="AR11" s="133">
        <f t="shared" si="5"/>
        <v>0</v>
      </c>
      <c r="AS11" s="40">
        <f t="shared" si="6"/>
        <v>0.44240000000000002</v>
      </c>
      <c r="AT11" s="35">
        <f t="shared" si="7"/>
        <v>1</v>
      </c>
      <c r="AU11" s="361" t="s">
        <v>579</v>
      </c>
      <c r="AV11" s="339" t="str">
        <f>ADDRESS(ROW($AQ$22),COLUMN($AQ$22))</f>
        <v>$AQ$22</v>
      </c>
      <c r="AW11" s="138" t="str">
        <f ca="1">GetEnd($AV$1,AV11)</f>
        <v>$AQ$24</v>
      </c>
      <c r="AX11" s="339" t="str">
        <f>ADDRESS(ROW($CD$22),COLUMN($CD$22))</f>
        <v>$CD$22</v>
      </c>
      <c r="AY11" s="138" t="str">
        <f t="shared" ca="1" si="8"/>
        <v>$CD$24</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-1121.58</v>
      </c>
      <c r="P12" s="355">
        <f t="shared" ca="1" si="9"/>
        <v>1121.58</v>
      </c>
      <c r="AG12" s="248" t="s">
        <v>185</v>
      </c>
      <c r="AH12" s="119" t="str">
        <f>GetDBPage($D$2)</f>
        <v>Contract DB (Central)</v>
      </c>
      <c r="AL12" s="34">
        <v>9</v>
      </c>
      <c r="AM12" s="37">
        <f t="shared" si="0"/>
        <v>15000</v>
      </c>
      <c r="AN12" s="38">
        <f t="shared" si="1"/>
        <v>0</v>
      </c>
      <c r="AO12" s="39">
        <f t="shared" si="2"/>
        <v>3.5999999999999997E-2</v>
      </c>
      <c r="AP12" s="38">
        <f t="shared" si="3"/>
        <v>0</v>
      </c>
      <c r="AQ12" s="38">
        <f t="shared" si="4"/>
        <v>0</v>
      </c>
      <c r="AR12" s="133">
        <f t="shared" si="5"/>
        <v>0</v>
      </c>
      <c r="AS12" s="40">
        <f t="shared" si="6"/>
        <v>0.44240000000000002</v>
      </c>
      <c r="AT12" s="35">
        <f t="shared" si="7"/>
        <v>1</v>
      </c>
      <c r="AU12" s="361" t="s">
        <v>271</v>
      </c>
      <c r="AV12" s="339" t="str">
        <f>ADDRESS(ROW($X$22),COLUMN($X$22))</f>
        <v>$X$22</v>
      </c>
      <c r="AW12" s="138" t="str">
        <f t="shared" ref="AW12:AW17" ca="1" si="11">GetEnd($AV$1,AV12)</f>
        <v>$X$24</v>
      </c>
      <c r="AX12" s="339" t="str">
        <f>ADDRESS(ROW($CE$22),COLUMN($CE$22))</f>
        <v>$CE$22</v>
      </c>
      <c r="AY12" s="138" t="str">
        <f t="shared" ca="1" si="8"/>
        <v>$CE$24</v>
      </c>
    </row>
    <row r="13" spans="1:102" x14ac:dyDescent="0.25">
      <c r="A13" s="270" t="s">
        <v>224</v>
      </c>
      <c r="D13" s="170"/>
      <c r="E13" s="171"/>
      <c r="F13" s="172"/>
      <c r="G13" s="172"/>
      <c r="H13" s="173"/>
      <c r="L13" s="706" t="s">
        <v>155</v>
      </c>
      <c r="M13" s="707"/>
      <c r="N13" s="352">
        <f t="shared" ca="1" si="10"/>
        <v>0</v>
      </c>
      <c r="O13" s="352">
        <v>0.27</v>
      </c>
      <c r="P13" s="355">
        <f t="shared" ca="1" si="9"/>
        <v>-0.27</v>
      </c>
      <c r="AG13" s="248" t="s">
        <v>186</v>
      </c>
      <c r="AH13" s="119">
        <f>GetRecNdx($AH$12,$D$2)</f>
        <v>4</v>
      </c>
      <c r="AL13" s="34">
        <v>10</v>
      </c>
      <c r="AM13" s="37">
        <f t="shared" si="0"/>
        <v>15000</v>
      </c>
      <c r="AN13" s="38">
        <f t="shared" si="1"/>
        <v>0</v>
      </c>
      <c r="AO13" s="39">
        <f t="shared" si="2"/>
        <v>3.5999999999999997E-2</v>
      </c>
      <c r="AP13" s="38">
        <f t="shared" si="3"/>
        <v>0</v>
      </c>
      <c r="AQ13" s="38">
        <f t="shared" si="4"/>
        <v>0</v>
      </c>
      <c r="AR13" s="133">
        <f t="shared" si="5"/>
        <v>0</v>
      </c>
      <c r="AS13" s="40">
        <f t="shared" si="6"/>
        <v>0.44240000000000002</v>
      </c>
      <c r="AT13" s="35">
        <f t="shared" si="7"/>
        <v>1</v>
      </c>
      <c r="AU13" s="361" t="s">
        <v>155</v>
      </c>
      <c r="AV13" s="339" t="str">
        <f>ADDRESS(ROW($Y$22),COLUMN($Y$22))</f>
        <v>$Y$22</v>
      </c>
      <c r="AW13" s="138" t="str">
        <f t="shared" ca="1" si="11"/>
        <v>$Y$24</v>
      </c>
      <c r="AX13" s="339" t="str">
        <f>ADDRESS(ROW($CF$22),COLUMN($CF$22))</f>
        <v>$CF$22</v>
      </c>
      <c r="AY13" s="138" t="str">
        <f t="shared" ca="1" si="8"/>
        <v>$CF$24</v>
      </c>
    </row>
    <row r="14" spans="1:102" x14ac:dyDescent="0.25">
      <c r="A14" s="270" t="s">
        <v>224</v>
      </c>
      <c r="D14" s="170"/>
      <c r="E14" s="171"/>
      <c r="F14" s="172"/>
      <c r="G14" s="172"/>
      <c r="H14" s="173"/>
      <c r="K14" s="185"/>
      <c r="L14" s="706" t="s">
        <v>156</v>
      </c>
      <c r="M14" s="707"/>
      <c r="N14" s="352">
        <f t="shared" ca="1" si="10"/>
        <v>126.15501705552265</v>
      </c>
      <c r="O14" s="352">
        <v>41.57</v>
      </c>
      <c r="P14" s="355">
        <f t="shared" ca="1" si="9"/>
        <v>84.585017055522655</v>
      </c>
      <c r="S14" s="181">
        <f>F22/(1-AR22)*AH22*AU22</f>
        <v>318007.01907737995</v>
      </c>
      <c r="T14" s="181">
        <f>F22*AH22*AU22</f>
        <v>306558.76639059425</v>
      </c>
      <c r="AL14" s="34">
        <v>11</v>
      </c>
      <c r="AM14" s="37">
        <f t="shared" si="0"/>
        <v>15000</v>
      </c>
      <c r="AN14" s="38">
        <f t="shared" si="1"/>
        <v>0</v>
      </c>
      <c r="AO14" s="39">
        <f t="shared" si="2"/>
        <v>3.5999999999999997E-2</v>
      </c>
      <c r="AP14" s="38">
        <f t="shared" si="3"/>
        <v>0</v>
      </c>
      <c r="AQ14" s="38">
        <f t="shared" si="4"/>
        <v>0</v>
      </c>
      <c r="AR14" s="133">
        <f t="shared" si="5"/>
        <v>0</v>
      </c>
      <c r="AS14" s="40">
        <f t="shared" si="6"/>
        <v>0.44240000000000002</v>
      </c>
      <c r="AT14" s="35">
        <f t="shared" si="7"/>
        <v>1</v>
      </c>
      <c r="AU14" s="361" t="s">
        <v>156</v>
      </c>
      <c r="AV14" s="339" t="str">
        <f>ADDRESS(ROW($Z$22),COLUMN($Z$22))</f>
        <v>$Z$22</v>
      </c>
      <c r="AW14" s="138" t="str">
        <f t="shared" ca="1" si="11"/>
        <v>$Z$24</v>
      </c>
      <c r="AX14" s="353" t="str">
        <f ca="1">CONCATENATE(AX8,":",AY8)</f>
        <v>$AO$22:$AO$24</v>
      </c>
      <c r="AY14" s="353" t="str">
        <f ca="1">CONCATENATE(AX10,":",AY10)</f>
        <v>$CC$22:$CC$24</v>
      </c>
    </row>
    <row r="15" spans="1:102" ht="13.8" thickBot="1" x14ac:dyDescent="0.3">
      <c r="A15" s="270" t="s">
        <v>224</v>
      </c>
      <c r="D15" s="170"/>
      <c r="E15" s="171"/>
      <c r="F15" s="172"/>
      <c r="G15" s="172"/>
      <c r="H15" s="173"/>
      <c r="L15" s="706" t="s">
        <v>157</v>
      </c>
      <c r="M15" s="707"/>
      <c r="N15" s="352">
        <f t="shared" ca="1" si="10"/>
        <v>2.907401998327842E-2</v>
      </c>
      <c r="O15" s="352">
        <v>0.01</v>
      </c>
      <c r="P15" s="355">
        <f t="shared" ca="1" si="9"/>
        <v>1.9074019983278422E-2</v>
      </c>
      <c r="AL15" s="34">
        <v>12</v>
      </c>
      <c r="AM15" s="41">
        <f t="shared" si="0"/>
        <v>15000</v>
      </c>
      <c r="AN15" s="42">
        <f t="shared" si="1"/>
        <v>0</v>
      </c>
      <c r="AO15" s="43">
        <f t="shared" si="2"/>
        <v>3.5999999999999997E-2</v>
      </c>
      <c r="AP15" s="42">
        <f t="shared" si="3"/>
        <v>0</v>
      </c>
      <c r="AQ15" s="42">
        <f t="shared" si="4"/>
        <v>0</v>
      </c>
      <c r="AR15" s="134">
        <f t="shared" si="5"/>
        <v>0</v>
      </c>
      <c r="AS15" s="44">
        <f t="shared" si="6"/>
        <v>0.44240000000000002</v>
      </c>
      <c r="AT15" s="35">
        <f t="shared" si="7"/>
        <v>1</v>
      </c>
      <c r="AU15" s="363" t="s">
        <v>157</v>
      </c>
      <c r="AV15" s="339" t="str">
        <f>ADDRESS(ROW($AA$22),COLUMN($AA$22))</f>
        <v>$AA$22</v>
      </c>
      <c r="AW15" s="138" t="str">
        <f t="shared" ca="1" si="11"/>
        <v>$AA$24</v>
      </c>
      <c r="AX15" s="353" t="str">
        <f ca="1">CONCATENATE(AV8,":",AW8)</f>
        <v>$AM$22:$AM$24</v>
      </c>
      <c r="AY15" s="353" t="str">
        <f ca="1">CONCATENATE(AX11,":",AY11)</f>
        <v>$CD$22:$CD$24</v>
      </c>
    </row>
    <row r="16" spans="1:102" x14ac:dyDescent="0.25">
      <c r="D16" s="174"/>
      <c r="E16" s="175"/>
      <c r="F16" s="176"/>
      <c r="G16" s="176"/>
      <c r="H16" s="177"/>
      <c r="L16" s="706" t="s">
        <v>158</v>
      </c>
      <c r="M16" s="707"/>
      <c r="N16" s="352">
        <f t="shared" ca="1" si="10"/>
        <v>0</v>
      </c>
      <c r="O16" s="352">
        <v>1538.86</v>
      </c>
      <c r="P16" s="355">
        <f t="shared" ca="1" si="9"/>
        <v>-1538.86</v>
      </c>
      <c r="AU16" s="361" t="s">
        <v>158</v>
      </c>
      <c r="AV16" s="339" t="str">
        <f>ADDRESS(ROW($AB$22),COLUMN($AB$22))</f>
        <v>$AB$22</v>
      </c>
      <c r="AW16" s="138" t="str">
        <f t="shared" ca="1" si="11"/>
        <v>$AB$24</v>
      </c>
      <c r="AX16" s="353" t="str">
        <f ca="1">CONCATENATE(AX9,":",AY9)</f>
        <v>$AP$22:$AP$24</v>
      </c>
      <c r="AY16" s="353" t="str">
        <f ca="1">CONCATENATE(AX12,":",AY12)</f>
        <v>$CE$22:$CE$24</v>
      </c>
      <c r="CM16" s="268"/>
    </row>
    <row r="17" spans="1:91" x14ac:dyDescent="0.25">
      <c r="D17" s="171"/>
      <c r="E17" s="171"/>
      <c r="F17" s="172"/>
      <c r="G17" s="172"/>
      <c r="H17" s="172"/>
      <c r="L17" s="704" t="s">
        <v>211</v>
      </c>
      <c r="M17" s="705"/>
      <c r="N17" s="356">
        <f t="shared" ca="1" si="10"/>
        <v>128.20388630311606</v>
      </c>
      <c r="O17" s="357">
        <v>42.22</v>
      </c>
      <c r="P17" s="358">
        <f t="shared" ca="1" si="9"/>
        <v>85.983886303116066</v>
      </c>
      <c r="AU17" s="361" t="s">
        <v>211</v>
      </c>
      <c r="AV17" s="339" t="str">
        <f>ADDRESS(ROW($AC$22),COLUMN($AC$22))</f>
        <v>$AC$22</v>
      </c>
      <c r="AW17" s="138" t="str">
        <f t="shared" ca="1" si="11"/>
        <v>$AC$24</v>
      </c>
      <c r="AX17" s="353" t="str">
        <f ca="1">CONCATENATE(AV9,":",AW9)</f>
        <v>$AN$22:$AN$24</v>
      </c>
      <c r="AY17" s="353" t="str">
        <f ca="1">CONCATENATE(AX13,":",AY13)</f>
        <v>$CF$22:$CF$24</v>
      </c>
      <c r="CM17" s="268"/>
    </row>
    <row r="18" spans="1:91" x14ac:dyDescent="0.25">
      <c r="D18" s="171"/>
      <c r="E18" s="171"/>
      <c r="F18" s="172"/>
      <c r="G18" s="172"/>
      <c r="H18" s="172"/>
      <c r="L18" s="706" t="s">
        <v>623</v>
      </c>
      <c r="M18" s="707"/>
      <c r="N18" s="352">
        <f ca="1">SUMPRODUCT(INDIRECT(CONCATENATE(AX4,":",AY4)),INDIRECT(CONCATENATE($AV$2,":",$AW$2)),INDIRECT(CONCATENATE($AV$3,":",$AW$3)))</f>
        <v>266995.37183282874</v>
      </c>
      <c r="O18" s="352">
        <v>266869</v>
      </c>
      <c r="P18" s="355">
        <f t="shared" ca="1" si="9"/>
        <v>126.37183282873593</v>
      </c>
      <c r="AU18" s="361"/>
      <c r="AV18" s="339"/>
      <c r="AW18" s="138"/>
      <c r="AX18" s="339" t="str">
        <f>ADDRESS(ROW($CI$22),COLUMN($CI$22))</f>
        <v>$CI$22</v>
      </c>
      <c r="AY18" s="138" t="str">
        <f ca="1">GetEnd($AV$1,AX18)</f>
        <v>$CI$24</v>
      </c>
      <c r="CM18" s="268"/>
    </row>
    <row r="19" spans="1:91" x14ac:dyDescent="0.25">
      <c r="D19" s="171"/>
      <c r="E19" s="171"/>
      <c r="F19" s="172"/>
      <c r="G19" s="172"/>
      <c r="H19" s="172"/>
      <c r="L19" s="724" t="s">
        <v>624</v>
      </c>
      <c r="M19" s="725"/>
      <c r="N19" s="359">
        <f ca="1">SUMPRODUCT(INDIRECT(CONCATENATE(AX5,":",AY5)),INDIRECT(CONCATENATE($AV$2,":",$AW$2)),INDIRECT(CONCATENATE($AV$3,":",$AW$3)))</f>
        <v>45.795079566040009</v>
      </c>
      <c r="O19" s="359">
        <v>45.94</v>
      </c>
      <c r="P19" s="360">
        <f t="shared" ca="1" si="9"/>
        <v>-0.14492043395998877</v>
      </c>
      <c r="AU19" s="361"/>
      <c r="AV19" s="339"/>
      <c r="AW19" s="138"/>
      <c r="CM19" s="26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IF-MONCHY Basis Mid</v>
      </c>
      <c r="T20" s="182" t="str">
        <f>GetDelBasis($AH$12,$AH$13)</f>
        <v>NGI/CHI. GATE Basis Mid</v>
      </c>
      <c r="U20" s="158"/>
      <c r="V20" s="158"/>
      <c r="W20" s="158"/>
      <c r="X20" s="158"/>
      <c r="Y20" s="335"/>
      <c r="Z20" s="335"/>
      <c r="AA20" s="335"/>
      <c r="AB20" s="335"/>
      <c r="AC20" s="335"/>
      <c r="AI20" s="138"/>
      <c r="AM20" s="702" t="str">
        <f>GetRcptPoint($AH$12,$AH$13)</f>
        <v>Monchy</v>
      </c>
      <c r="AN20" s="703"/>
      <c r="AO20" s="702" t="str">
        <f>GetDelPoint($AH$12,$AH$13)</f>
        <v>Chicago</v>
      </c>
      <c r="AP20" s="703"/>
      <c r="AQ20" s="137"/>
      <c r="AS20" s="137"/>
      <c r="AU20" s="136" t="s">
        <v>576</v>
      </c>
      <c r="AV20" s="353">
        <f ca="1">SUMPRODUCT(INDIRECT(CONCATENATE(AV8,":",AW8)),INDIRECT(CONCATENATE($AV$2,":",$AW$2)),INDIRECT(CONCATENATE($AV$3,":",$AW$3)),INDIRECT(CONCATENATE(AX3,":",AY3)))</f>
        <v>-643500</v>
      </c>
      <c r="AW20" s="353">
        <f ca="1">SUMPRODUCT(INDIRECT(CONCATENATE(AX8,":",AY8)),INDIRECT(CONCATENATE($AV$2,":",$AW$2)),INDIRECT(CONCATENATE($AV$3,":",$AW$3)),INDIRECT(CONCATENATE(AX3,":",AY3)))</f>
        <v>97050</v>
      </c>
      <c r="AX20" s="353">
        <f ca="1">SUMPRODUCT(INDIRECT(CONCATENATE(AV9,":",AW9)),INDIRECT(CONCATENATE($AV$2,":",$AW$2)),INDIRECT(CONCATENATE($AV$3,":",$AW$3)),INDIRECT(CONCATENATE(AX3,":",AY3)))</f>
        <v>213900</v>
      </c>
      <c r="AY20" s="353">
        <f ca="1">SUMPRODUCT(INDIRECT(CONCATENATE(AX9,":",AY9)),INDIRECT(CONCATENATE($AV$2,":",$AW$2)),INDIRECT(CONCATENATE($AV$3,":",$AW$3)),INDIRECT(CONCATENATE(AX3,":",AY3)))</f>
        <v>52875</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row>
    <row r="22" spans="1:91" x14ac:dyDescent="0.25">
      <c r="A22" s="723"/>
      <c r="B22" s="723"/>
      <c r="D22" s="31">
        <f>G7+OffsetDays</f>
        <v>39887</v>
      </c>
      <c r="F22" s="28">
        <f>VLOOKUP(AG22,$AL$4:$AS$15,2)</f>
        <v>15000</v>
      </c>
      <c r="G22" s="28">
        <f>F22*$AU22</f>
        <v>9888.9924642127171</v>
      </c>
      <c r="H22" s="52">
        <f>(AL22+AM22+AN22)/(1-(AR22))</f>
        <v>3.6639004149377596</v>
      </c>
      <c r="I22" s="52">
        <f>(AL22+AO22+AP22)</f>
        <v>3.9420000000000002</v>
      </c>
      <c r="K22" s="52">
        <f>MAX(((I22-H22)-AQ22)*AU22*AH22,0)</f>
        <v>5.6835910486944385</v>
      </c>
      <c r="L22" s="135">
        <f>MAX(Q22-K22,0)</f>
        <v>2.8849296610893305E-3</v>
      </c>
      <c r="N22" s="131">
        <f>SQRT(($AX22^2*($AH22/2)+$AW22^2*$AI22)/(($AH22/2)+$AI22))</f>
        <v>0.22879699185100316</v>
      </c>
      <c r="O22" s="131">
        <f>SQRT(($AY22^2*($AH22/2)+$AW22^2*$AI22)/(($AH22/2)+$AI22))</f>
        <v>0.22673988789306748</v>
      </c>
      <c r="P22" s="55">
        <f>(VLOOKUP(AI22,CorrelationTwo,2)*(AW22^2)*AI22+VLOOKUP(D22,CorrelationOne,$AK$9)*AX22*AY22*(AH22/2))/((AI22+(AH22/2))*O22*N22)*AF22</f>
        <v>0.99904447125592977</v>
      </c>
      <c r="Q22" s="135">
        <f>_xll.xSPRDOPT(I22,H22,AQ22,0,O22,N22,P22,D22-$G$5,1,0)*AH22*AU22</f>
        <v>5.6864759783555279</v>
      </c>
      <c r="R22" s="135"/>
      <c r="S22" s="181">
        <f>_xll.xSPRDOPT(I22,H22,AQ22,AT22,O22,N22,P22,D22-$G$5,1,2)*AF22*(F22/(1-AR22))*AH22</f>
        <v>-314690.06268849998</v>
      </c>
      <c r="T22" s="181">
        <f>_xll.xSPRDOPT(I22,H22,AQ22,AT22,O22,N22,P22,D22-$G$5,1,1)*AF22*F22*AH22</f>
        <v>303467.25361689506</v>
      </c>
      <c r="U22" s="135"/>
      <c r="V22" s="146">
        <f>VLOOKUP($AG22,$AL$4:$AS$15,8)*AH22*AU22</f>
        <v>9.0414398834132612</v>
      </c>
      <c r="W22" s="146"/>
      <c r="X22" s="338">
        <f>((BM22*BC22)+(BL22*BB22))*AH22*F22</f>
        <v>0</v>
      </c>
      <c r="Y22" s="338">
        <f>($F22*$AH22)*((($BG22/2)*($BC22)^2)+(($BF22/2)*($BB22)^2)+($BH22*$BC22*$BB22))</f>
        <v>0</v>
      </c>
      <c r="Z22" s="338">
        <f>($BI22*$F22*$AH22*($G$5-$BV$5))/365.25</f>
        <v>40.083014397275917</v>
      </c>
      <c r="AA22" s="338">
        <f>(($BK22*$BE22)+($BJ22*$BD22))*$F22*$AH22*$AF22</f>
        <v>2.8908087244755444E-2</v>
      </c>
      <c r="AB22" s="338">
        <f>BN22*(AT22-CA22)*F22*AH22</f>
        <v>0</v>
      </c>
      <c r="AC22" s="338">
        <f>BO22*CB22*F22*AH22*CA22*($G$5-$BV$5)/365.25</f>
        <v>40.872901958221277</v>
      </c>
      <c r="AF22" s="138">
        <f>IF(AND(D22&gt;=$G$7,D22&lt;=$G$8),1,0)</f>
        <v>1</v>
      </c>
      <c r="AG22" s="138">
        <f>MONTH(D22)</f>
        <v>3</v>
      </c>
      <c r="AH22" s="138">
        <f>(EOMONTH(D22,0)-EOMONTH(D22-DAY(D22),0))*AF22</f>
        <v>31</v>
      </c>
      <c r="AI22" s="138">
        <f>MAX(0,(D22-DAY(D22))-$G$5+1)</f>
        <v>2631</v>
      </c>
      <c r="AJ22" s="138">
        <f>D22-$BV$5</f>
        <v>2648</v>
      </c>
      <c r="AL22" s="136">
        <f>VLOOKUP($D22,CurveTbl,$AK$4)</f>
        <v>3.7770000000000001</v>
      </c>
      <c r="AM22" s="258">
        <f>VLOOKUP($D22,CurveTbl,$AH$3)</f>
        <v>-0.4</v>
      </c>
      <c r="AN22" s="258">
        <f>VLOOKUP($D22,CurveTbl,$AH$4)+VLOOKUP($AG22,$AL$3:$AS$15,6)</f>
        <v>0.155</v>
      </c>
      <c r="AO22" s="258">
        <f>VLOOKUP($D22,CurveTbl,$AH$5)</f>
        <v>0.13</v>
      </c>
      <c r="AP22" s="258">
        <f>VLOOKUP($D22,CurveTbl,$AH$6)+VLOOKUP($AG22,$AL$3:$AS$15,7)</f>
        <v>3.5000000000000003E-2</v>
      </c>
      <c r="AQ22" s="136">
        <f>VLOOKUP($AG22,$AL$4:$AS$15,3)+VLOOKUP($AG22,$AL$4:$AS$15,5)+($AH$10*VLOOKUP(D22,GRITable,2))</f>
        <v>0</v>
      </c>
      <c r="AR22" s="137">
        <f>VLOOKUP($AG22,$AL$4:$AS$15,4)</f>
        <v>3.5999999999999997E-2</v>
      </c>
      <c r="AS22" s="136">
        <f>(AL22+AM22+AN22)</f>
        <v>3.532</v>
      </c>
      <c r="AT22" s="137">
        <f>VLOOKUP(D22,CurveTbl,$AK$6)</f>
        <v>5.8367946667353003E-2</v>
      </c>
      <c r="AU22" s="137">
        <f>(1+$AT22/2)^(-2*($D22-$G$5)/365.25)*$AF22</f>
        <v>0.65926616428084783</v>
      </c>
      <c r="AV22" s="394">
        <f>ROUND((F22/(1-AR22))-F22,0)*AF22*AH22*AU22</f>
        <v>11444.860611915519</v>
      </c>
      <c r="AW22" s="137">
        <f>VLOOKUP($D22,CurveTbl,$AK$8)</f>
        <v>0.22</v>
      </c>
      <c r="AX22" s="137">
        <f>VLOOKUP($D22,CurveTbl,$AH$7)</f>
        <v>0.85</v>
      </c>
      <c r="AY22" s="137">
        <f>VLOOKUP($D22,CurveTbl,$AH$8)</f>
        <v>0.75</v>
      </c>
      <c r="AZ22" s="137"/>
      <c r="BA22" s="264"/>
      <c r="BB22" s="258">
        <f>$H22-$BV22</f>
        <v>0</v>
      </c>
      <c r="BC22" s="258">
        <f>I22-BW22</f>
        <v>0</v>
      </c>
      <c r="BD22" s="137">
        <f t="shared" ref="BD22:BE24" si="12">N22-BX22</f>
        <v>9.7694569643203E-6</v>
      </c>
      <c r="BE22" s="137">
        <f t="shared" si="12"/>
        <v>7.5182023690778532E-6</v>
      </c>
      <c r="BF22" s="137">
        <f>_xll.xSPRDOPT($BW22,$BV22,$CG22,0,$BY22,$BX22,$BZ22,$AJ22,1,4)*$CB22</f>
        <v>8.3145665669050781E-2</v>
      </c>
      <c r="BG22" s="137">
        <f>_xll.xSPRDOPT($BW22,$BV22,$CG22,0,$BY22,$BX22,$BZ22,$AJ22,1,3)*$CB22</f>
        <v>7.1827983588461639E-2</v>
      </c>
      <c r="BH22" s="137">
        <f>IF(OR(BF22&lt;&gt;0,BG22&lt;&gt;0),_xll.xSPRDOPT($BW22,$BV22,$CG22,0,$BY22,$BX22,$BZ22,$AJ22,1,12)*$CB22,0)</f>
        <v>-7.7279161608084304E-2</v>
      </c>
      <c r="BI22" s="137">
        <f>_xll.xSPRDOPT($BW22,$BV22,$CG22,2*LN(1+CA22/2),$BY22,$BX22,$BZ22,$AJ22,1,9)</f>
        <v>1.049485376960934E-2</v>
      </c>
      <c r="BJ22" s="137">
        <f>_xll.xSPRDOPT($BW22,$BV22,$CG22,0,$BY22,$BX22,$BZ22,$AJ22,1,6)*$CB22</f>
        <v>1.6846350730977989E-2</v>
      </c>
      <c r="BK22" s="137">
        <f>_xll.xSPRDOPT($BW22,$BV22,$CG22,0,$BY22,$BX22,$BZ22,$AJ22,1,5)*$CB22</f>
        <v>-1.3621842547726307E-2</v>
      </c>
      <c r="BL22" s="137">
        <f>_xll.xSPRDOPT(BW22,BV22,CG22,0,BY22,BX22,BZ22,AJ22,1,2)*CB22</f>
        <v>-0.65603078914050861</v>
      </c>
      <c r="BM22" s="137">
        <f>_xll.xSPRDOPT(BW22,BV22,CG22,0,BY22,BX22,BZ22,AJ22,1,1)*CB22</f>
        <v>0.65626073830642451</v>
      </c>
      <c r="BN22" s="137">
        <f>IF(AH22&lt;&gt;0,_xll.xSPRDOPT($BW22,$BV22,$CG22,2*LN(1+CA22/2),$BY22,$BX22,$BZ22,$AJ22,1,8)+(AJ22/365.25)*CH22/AH22,0)</f>
        <v>0.78434058266223561</v>
      </c>
      <c r="BO22" s="137">
        <f>_xll.xSPRDOPT($BW22,$BV22,$CG22,0,$BY22,$BX22,$BZ22,$AJ22,1,0)</f>
        <v>0.27824124774382802</v>
      </c>
      <c r="BP22" s="137"/>
      <c r="BQ22" s="137"/>
      <c r="BR22" s="137"/>
      <c r="BS22" s="137"/>
      <c r="BV22" s="262">
        <v>3.6639004149377596</v>
      </c>
      <c r="BW22" s="136">
        <v>3.9420000000000002</v>
      </c>
      <c r="BX22" s="137">
        <v>0.22878722239403884</v>
      </c>
      <c r="BY22" s="137">
        <v>0.2267323696906984</v>
      </c>
      <c r="BZ22" s="137">
        <v>0.99904543774204246</v>
      </c>
      <c r="CA22" s="137">
        <v>5.8367946667353003E-2</v>
      </c>
      <c r="CB22" s="137">
        <v>0.6589547043784082</v>
      </c>
      <c r="CC22" s="258">
        <v>-0.4</v>
      </c>
      <c r="CD22" s="258">
        <v>0.155</v>
      </c>
      <c r="CE22" s="258">
        <v>0.13</v>
      </c>
      <c r="CF22" s="258">
        <v>3.5000000000000003E-2</v>
      </c>
      <c r="CG22" s="258">
        <v>0</v>
      </c>
      <c r="CH22" s="258">
        <v>9.0371683977272426</v>
      </c>
      <c r="CI22" s="258">
        <v>3.7770000000000001</v>
      </c>
    </row>
    <row r="23" spans="1:91" x14ac:dyDescent="0.25">
      <c r="A23" s="723"/>
      <c r="B23" s="723"/>
      <c r="D23" s="31">
        <f>D22+AH22</f>
        <v>39918</v>
      </c>
      <c r="F23" s="28">
        <f>VLOOKUP(AG23,$AL$4:$AS$15,2)</f>
        <v>15000</v>
      </c>
      <c r="G23" s="28">
        <f>F23*$AU23</f>
        <v>9833.1818237216776</v>
      </c>
      <c r="H23" s="52">
        <f>(AL23+AM23+AN23)/(1-(AR23))</f>
        <v>3.3682572614107884</v>
      </c>
      <c r="I23" s="52">
        <f>(AL23+AO23+AP23)</f>
        <v>3.6720000000000002</v>
      </c>
      <c r="K23" s="52">
        <f>MAX(((I23-H23)-AQ23)*AU23*AH23,0)</f>
        <v>5.9735151523657644</v>
      </c>
      <c r="L23" s="135">
        <f>MAX(Q23-K23,0)</f>
        <v>6.4104718860313881E-5</v>
      </c>
      <c r="N23" s="131">
        <f>SQRT(($AX23^2*($AH23/2)+$AW23^2*$AI23)/(($AH23/2)+$AI23))</f>
        <v>0.20472211866880691</v>
      </c>
      <c r="O23" s="131">
        <f>SQRT(($AY23^2*($AH23/2)+$AW23^2*$AI23)/(($AH23/2)+$AI23))</f>
        <v>0.20472211866880691</v>
      </c>
      <c r="P23" s="55">
        <f>(VLOOKUP(AI23,CorrelationTwo,2)*(AW23^2)*AI23+VLOOKUP(D23,CorrelationOne,$AK$9)*AX23*AY23*(AH23/2))/((AI23+(AH23/2))*O23*N23)*AF23</f>
        <v>0.9994043912607955</v>
      </c>
      <c r="Q23" s="135">
        <f>_xll.xSPRDOPT(I23,H23,AQ23,0,O23,N23,P23,D23-$G$5,1,0)*AH23*AU23</f>
        <v>5.9735792570846247</v>
      </c>
      <c r="R23" s="135"/>
      <c r="S23" s="181">
        <f>_xll.xSPRDOPT(I23,H23,AQ23,AT23,O23,N23,P23,D23-$G$5,1,2)*AF23*(F23/(1-AR23))*AH23</f>
        <v>-304090.72815882514</v>
      </c>
      <c r="T23" s="181">
        <f>_xll.xSPRDOPT(I23,H23,AQ23,AT23,O23,N23,P23,D23-$G$5,1,1)*AF23*F23*AH23</f>
        <v>293147.45255988569</v>
      </c>
      <c r="U23" s="135"/>
      <c r="V23" s="146">
        <f>VLOOKUP($AG23,$AL$4:$AS$15,8)*AH23*AU23</f>
        <v>8.7003992776289412</v>
      </c>
      <c r="W23" s="146"/>
      <c r="X23" s="338">
        <f>((BM23*BC23)+(BL23*BB23))*AH23*F23</f>
        <v>0</v>
      </c>
      <c r="Y23" s="338">
        <f>($F23*$AH23)*((($BG23/2)*($BC23)^2)+(($BF23/2)*($BB23)^2)+($BH23*$BC23*$BB23))</f>
        <v>0</v>
      </c>
      <c r="Z23" s="338">
        <f>($BI23*$F23*$AH23*($G$5-$BV$5))/365.25</f>
        <v>42.399191647043665</v>
      </c>
      <c r="AA23" s="338">
        <f>(($BK23*$BE23)+($BJ23*$BD23))*$F23*$AH23*$AF23</f>
        <v>3.5104713951574734E-6</v>
      </c>
      <c r="AB23" s="338">
        <f>BN23*(AT23-CA23)*F23*AH23</f>
        <v>0</v>
      </c>
      <c r="AC23" s="338">
        <f>BO23*CB23*F23*AH23*CA23*($G$5-$BV$5)/365.25</f>
        <v>43.016678794331085</v>
      </c>
      <c r="AF23" s="138">
        <f>IF(AND(D23&gt;=$G$7,D23&lt;=$G$8),1,0)</f>
        <v>1</v>
      </c>
      <c r="AG23" s="138">
        <f>MONTH(D23)</f>
        <v>4</v>
      </c>
      <c r="AH23" s="138">
        <f>(EOMONTH(D23,0)-EOMONTH(D23-DAY(D23),0))*AF23</f>
        <v>30</v>
      </c>
      <c r="AI23" s="138">
        <f>AI22+AH22</f>
        <v>2662</v>
      </c>
      <c r="AJ23" s="138">
        <f>D23-$BV$5</f>
        <v>2679</v>
      </c>
      <c r="AL23" s="136">
        <f>VLOOKUP($D23,CurveTbl,$AK$4)</f>
        <v>3.5920000000000001</v>
      </c>
      <c r="AM23" s="258">
        <f>VLOOKUP($D23,CurveTbl,$AH$3)</f>
        <v>-0.5</v>
      </c>
      <c r="AN23" s="258">
        <f>VLOOKUP($D23,CurveTbl,$AH$4)+VLOOKUP($AG23,$AL$3:$AS$15,6)</f>
        <v>0.155</v>
      </c>
      <c r="AO23" s="258">
        <f>VLOOKUP($D23,CurveTbl,$AH$5)</f>
        <v>0.04</v>
      </c>
      <c r="AP23" s="258">
        <f>VLOOKUP($D23,CurveTbl,$AH$6)+VLOOKUP($AG23,$AL$3:$AS$15,7)</f>
        <v>0.04</v>
      </c>
      <c r="AQ23" s="136">
        <f>VLOOKUP($AG23,$AL$4:$AS$15,3)+VLOOKUP($AG23,$AL$4:$AS$15,5)+($AH$10*VLOOKUP(D23,GRITable,2))</f>
        <v>0</v>
      </c>
      <c r="AR23" s="137">
        <f>VLOOKUP($AG23,$AL$4:$AS$15,4)</f>
        <v>3.5999999999999997E-2</v>
      </c>
      <c r="AS23" s="136">
        <f>(AL23+AM23+AN23)</f>
        <v>3.2469999999999999</v>
      </c>
      <c r="AT23" s="137">
        <f>VLOOKUP(D23,CurveTbl,$AK$6)</f>
        <v>5.84770595998663E-2</v>
      </c>
      <c r="AU23" s="137">
        <f>(1+$AT23/2)^(-2*($D23-$G$5)/365.25)*$AF23</f>
        <v>0.65554545491477856</v>
      </c>
      <c r="AV23" s="394">
        <f>ROUND((F23/(1-AR23))-F23,0)*AF23*AH23*AU23</f>
        <v>11013.163642568279</v>
      </c>
      <c r="AW23" s="137">
        <f>VLOOKUP($D23,CurveTbl,$AK$8)</f>
        <v>0.20250000000000001</v>
      </c>
      <c r="AX23" s="137">
        <f>VLOOKUP($D23,CurveTbl,$AH$7)</f>
        <v>0.45</v>
      </c>
      <c r="AY23" s="137">
        <f>VLOOKUP($D23,CurveTbl,$AH$8)</f>
        <v>0.45</v>
      </c>
      <c r="AZ23" s="137"/>
      <c r="BA23" s="264"/>
      <c r="BB23" s="258">
        <f>$H23-$BV23</f>
        <v>0</v>
      </c>
      <c r="BC23" s="258">
        <f>I23-BW23</f>
        <v>0</v>
      </c>
      <c r="BD23" s="137">
        <f t="shared" si="12"/>
        <v>2.4739614547797384E-6</v>
      </c>
      <c r="BE23" s="137">
        <f t="shared" si="12"/>
        <v>2.4739614547797384E-6</v>
      </c>
      <c r="BF23" s="137">
        <f>_xll.xSPRDOPT($BW23,$BV23,$CG23,0,$BY23,$BX23,$BZ23,$AJ23,1,4)*$CB23</f>
        <v>4.5260822254854869E-3</v>
      </c>
      <c r="BG23" s="137">
        <f>_xll.xSPRDOPT($BW23,$BV23,$CG23,0,$BY23,$BX23,$BZ23,$AJ23,1,3)*$CB23</f>
        <v>3.8081686088484853E-3</v>
      </c>
      <c r="BH23" s="137">
        <f>IF(OR(BF23&lt;&gt;0,BG23&lt;&gt;0),_xll.xSPRDOPT($BW23,$BV23,$CG23,0,$BY23,$BX23,$BZ23,$AJ23,1,12)*$CB23,0)</f>
        <v>-4.1520249231290106E-3</v>
      </c>
      <c r="BI23" s="137">
        <f>_xll.xSPRDOPT($BW23,$BV23,$CG23,2*LN(1+CA23/2),$BY23,$BX23,$BZ23,$AJ23,1,9)</f>
        <v>1.1471336851172367E-2</v>
      </c>
      <c r="BJ23" s="137">
        <f>_xll.xSPRDOPT($BW23,$BV23,$CG23,0,$BY23,$BX23,$BZ23,$AJ23,1,6)*$CB23</f>
        <v>2.2642597945193054E-6</v>
      </c>
      <c r="BK23" s="137">
        <f>_xll.xSPRDOPT($BW23,$BV23,$CG23,0,$BY23,$BX23,$BZ23,$AJ23,1,5)*$CB23</f>
        <v>8.890017608386486E-7</v>
      </c>
      <c r="BL23" s="137">
        <f>_xll.xSPRDOPT(BW23,BV23,CG23,0,BY23,BX23,BZ23,AJ23,1,2)*CB23</f>
        <v>-0.65513370805982996</v>
      </c>
      <c r="BM23" s="137">
        <f>_xll.xSPRDOPT(BW23,BV23,CG23,0,BY23,BX23,BZ23,AJ23,1,1)*CB23</f>
        <v>0.65514268115756513</v>
      </c>
      <c r="BN23" s="137">
        <f>IF(AH23&lt;&gt;0,_xll.xSPRDOPT($BW23,$BV23,$CG23,2*LN(1+CA23/2),$BY23,$BX23,$BZ23,$AJ23,1,8)+(AJ23/365.25)*CH23/AH23,0)</f>
        <v>0.66638019967727513</v>
      </c>
      <c r="BO23" s="137">
        <f>_xll.xSPRDOPT($BW23,$BV23,$CG23,0,$BY23,$BX23,$BZ23,$AJ23,1,0)</f>
        <v>0.30374602094510239</v>
      </c>
      <c r="BP23" s="137"/>
      <c r="BQ23" s="137"/>
      <c r="BR23" s="137"/>
      <c r="BS23" s="137"/>
      <c r="BV23" s="262">
        <v>3.3682572614107884</v>
      </c>
      <c r="BW23" s="136">
        <v>3.6720000000000002</v>
      </c>
      <c r="BX23" s="137">
        <v>0.20471964470735213</v>
      </c>
      <c r="BY23" s="137">
        <v>0.20471964470735213</v>
      </c>
      <c r="BZ23" s="137">
        <v>0.99940504360759919</v>
      </c>
      <c r="CA23" s="137">
        <v>5.84770595998663E-2</v>
      </c>
      <c r="CB23" s="137">
        <v>0.65523518224436683</v>
      </c>
      <c r="CC23" s="258">
        <v>-0.5</v>
      </c>
      <c r="CD23" s="258">
        <v>0.155</v>
      </c>
      <c r="CE23" s="258">
        <v>0.04</v>
      </c>
      <c r="CF23" s="258">
        <v>0.04</v>
      </c>
      <c r="CG23" s="258">
        <v>0</v>
      </c>
      <c r="CH23" s="258">
        <v>8.6962813387472373</v>
      </c>
      <c r="CI23" s="258">
        <v>3.5920000000000001</v>
      </c>
    </row>
    <row r="24" spans="1:91" x14ac:dyDescent="0.25">
      <c r="A24" s="723"/>
      <c r="B24" s="723"/>
      <c r="D24" s="31">
        <f>D23+AH23</f>
        <v>39948</v>
      </c>
      <c r="F24" s="28">
        <f>VLOOKUP(AG24,$AL$4:$AS$15,2)</f>
        <v>15000</v>
      </c>
      <c r="G24" s="28">
        <f>F24*$AU24</f>
        <v>9779.3042695920467</v>
      </c>
      <c r="H24" s="52">
        <f>(AL24+AM24+AN24)/(1-(AR24))</f>
        <v>3.3630705394190872</v>
      </c>
      <c r="I24" s="52">
        <f>(AL24+AO24+AP24)</f>
        <v>3.6670000000000003</v>
      </c>
      <c r="K24" s="52">
        <f>MAX(((I24-H24)-AQ24)*AU24*AH24,0)</f>
        <v>6.1425852544617108</v>
      </c>
      <c r="L24" s="135">
        <f>MAX(Q24-K24,0)</f>
        <v>1.0397092445302292E-4</v>
      </c>
      <c r="N24" s="131">
        <f>SQRT(($AX24^2*($AH24/2)+$AW24^2*$AI24)/(($AH24/2)+$AI24))</f>
        <v>0.20477005548485039</v>
      </c>
      <c r="O24" s="131">
        <f>SQRT(($AY24^2*($AH24/2)+$AW24^2*$AI24)/(($AH24/2)+$AI24))</f>
        <v>0.20543297069319255</v>
      </c>
      <c r="P24" s="55">
        <f>(VLOOKUP(AI24,CorrelationTwo,2)*(AW24^2)*AI24+VLOOKUP(D24,CorrelationOne,$AK$9)*AX24*AY24*(AH24/2))/((AI24+(AH24/2))*O24*N24)*AF24</f>
        <v>0.99916146452833199</v>
      </c>
      <c r="Q24" s="135">
        <f>_xll.xSPRDOPT(I24,H24,AQ24,0,O24,N24,P24,D24-$G$5,1,0)*AH24*AU24</f>
        <v>6.1426892253861638</v>
      </c>
      <c r="R24" s="135"/>
      <c r="S24" s="181">
        <f>_xll.xSPRDOPT(I24,H24,AQ24,AT24,O24,N24,P24,D24-$G$5,1,2)*AF24*(F24/(1-AR24))*AH24</f>
        <v>-312449.92125363107</v>
      </c>
      <c r="T24" s="181">
        <f>_xll.xSPRDOPT(I24,H24,AQ24,AT24,O24,N24,P24,D24-$G$5,1,1)*AF24*F24*AH24</f>
        <v>301208.14288672578</v>
      </c>
      <c r="U24" s="135"/>
      <c r="V24" s="146">
        <f>VLOOKUP($AG24,$AL$4:$AS$15,8)*AH24*AU24</f>
        <v>8.9411526983262117</v>
      </c>
      <c r="W24" s="146"/>
      <c r="X24" s="338">
        <f>((BM24*BC24)+(BL24*BB24))*AH24*F24</f>
        <v>0</v>
      </c>
      <c r="Y24" s="338">
        <f>($F24*$AH24)*((($BG24/2)*($BC24)^2)+(($BF24/2)*($BB24)^2)+($BH24*$BC24*$BB24))</f>
        <v>0</v>
      </c>
      <c r="Z24" s="338">
        <f>($BI24*$F24*$AH24*($G$5-$BV$5))/365.25</f>
        <v>43.672811011203073</v>
      </c>
      <c r="AA24" s="338">
        <f>(($BK24*$BE24)+($BJ24*$BD24))*$F24*$AH24*$AF24</f>
        <v>1.624222671278183E-4</v>
      </c>
      <c r="AB24" s="338">
        <f>BN24*(AT24-CA24)*F24*AH24</f>
        <v>0</v>
      </c>
      <c r="AC24" s="338">
        <f>BO24*CB24*F24*AH24*CA24*($G$5-$BV$5)/365.25</f>
        <v>44.314305550563702</v>
      </c>
      <c r="AF24" s="138">
        <f>IF(AND(D24&gt;=$G$7,D24&lt;=$G$8),1,0)</f>
        <v>1</v>
      </c>
      <c r="AG24" s="138">
        <f>MONTH(D24)</f>
        <v>5</v>
      </c>
      <c r="AH24" s="138">
        <f>(EOMONTH(D24,0)-EOMONTH(D24-DAY(D24),0))*AF24</f>
        <v>31</v>
      </c>
      <c r="AI24" s="138">
        <f>AI23+AH23</f>
        <v>2692</v>
      </c>
      <c r="AJ24" s="138">
        <f>D24-$BV$5</f>
        <v>2709</v>
      </c>
      <c r="AL24" s="136">
        <f>VLOOKUP($D24,CurveTbl,$AK$4)</f>
        <v>3.5870000000000002</v>
      </c>
      <c r="AM24" s="258">
        <f>VLOOKUP($D24,CurveTbl,$AH$3)</f>
        <v>-0.5</v>
      </c>
      <c r="AN24" s="258">
        <f>VLOOKUP($D24,CurveTbl,$AH$4)+VLOOKUP($AG24,$AL$3:$AS$15,6)</f>
        <v>0.155</v>
      </c>
      <c r="AO24" s="258">
        <f>VLOOKUP($D24,CurveTbl,$AH$5)</f>
        <v>0.04</v>
      </c>
      <c r="AP24" s="258">
        <f>VLOOKUP($D24,CurveTbl,$AH$6)+VLOOKUP($AG24,$AL$3:$AS$15,7)</f>
        <v>0.04</v>
      </c>
      <c r="AQ24" s="136">
        <f>VLOOKUP($AG24,$AL$4:$AS$15,3)+VLOOKUP($AG24,$AL$4:$AS$15,5)+($AH$10*VLOOKUP(D24,GRITable,2))</f>
        <v>0</v>
      </c>
      <c r="AR24" s="137">
        <f>VLOOKUP($AG24,$AL$4:$AS$15,4)</f>
        <v>3.5999999999999997E-2</v>
      </c>
      <c r="AS24" s="136">
        <f>(AL24+AM24+AN24)</f>
        <v>3.242</v>
      </c>
      <c r="AT24" s="137">
        <f>VLOOKUP(D24,CurveTbl,$AK$6)</f>
        <v>5.8582652764132402E-2</v>
      </c>
      <c r="AU24" s="137">
        <f>(1+$AT24/2)^(-2*($D24-$G$5)/365.25)*$AF24</f>
        <v>0.65195361797280316</v>
      </c>
      <c r="AV24" s="394">
        <f>ROUND((F24/(1-AR24))-F24,0)*AF24*AH24*AU24</f>
        <v>11317.914808007863</v>
      </c>
      <c r="AW24" s="137">
        <f>VLOOKUP($D24,CurveTbl,$AK$8)</f>
        <v>0.20250000000000001</v>
      </c>
      <c r="AX24" s="137">
        <f>VLOOKUP($D24,CurveTbl,$AH$7)</f>
        <v>0.45</v>
      </c>
      <c r="AY24" s="137">
        <f>VLOOKUP($D24,CurveTbl,$AH$8)</f>
        <v>0.5</v>
      </c>
      <c r="AZ24" s="137"/>
      <c r="BA24" s="264"/>
      <c r="BB24" s="258">
        <f>$H24-$BV24</f>
        <v>0</v>
      </c>
      <c r="BC24" s="258">
        <f>I24-BW24</f>
        <v>0</v>
      </c>
      <c r="BD24" s="137">
        <f t="shared" si="12"/>
        <v>2.4986015282058016E-6</v>
      </c>
      <c r="BE24" s="137">
        <f t="shared" si="12"/>
        <v>3.2230841129909926E-6</v>
      </c>
      <c r="BF24" s="137">
        <f>_xll.xSPRDOPT($BW24,$BV24,$CG24,0,$BY24,$BX24,$BZ24,$AJ24,1,4)*$CB24</f>
        <v>6.9149152117055036E-3</v>
      </c>
      <c r="BG24" s="137">
        <f>_xll.xSPRDOPT($BW24,$BV24,$CG24,0,$BY24,$BX24,$BZ24,$AJ24,1,3)*$CB24</f>
        <v>5.8161965637301069E-3</v>
      </c>
      <c r="BH24" s="137">
        <f>IF(OR(BF24&lt;&gt;0,BG24&lt;&gt;0),_xll.xSPRDOPT($BW24,$BV24,$CG24,0,$BY24,$BX24,$BZ24,$AJ24,1,12)*$CB24,0)</f>
        <v>-6.342173045544422E-3</v>
      </c>
      <c r="BI24" s="137">
        <f>_xll.xSPRDOPT($BW24,$BV24,$CG24,2*LN(1+CA24/2),$BY24,$BX24,$BZ24,$AJ24,1,9)</f>
        <v>1.1434762883040806E-2</v>
      </c>
      <c r="BJ24" s="137">
        <f>_xll.xSPRDOPT($BW24,$BV24,$CG24,0,$BY24,$BX24,$BZ24,$AJ24,1,6)*$CB24</f>
        <v>-1.1667599627108502E-4</v>
      </c>
      <c r="BK24" s="137">
        <f>_xll.xSPRDOPT($BW24,$BV24,$CG24,0,$BY24,$BX24,$BZ24,$AJ24,1,5)*$CB24</f>
        <v>1.9882261779309598E-4</v>
      </c>
      <c r="BL24" s="137">
        <f>_xll.xSPRDOPT(BW24,BV24,CG24,0,BY24,BX24,BZ24,AJ24,1,2)*CB24</f>
        <v>-0.65148700043608687</v>
      </c>
      <c r="BM24" s="137">
        <f>_xll.xSPRDOPT(BW24,BV24,CG24,0,BY24,BX24,BZ24,AJ24,1,1)*CB24</f>
        <v>0.65150096548378977</v>
      </c>
      <c r="BN24" s="137">
        <f>IF(AH24&lt;&gt;0,_xll.xSPRDOPT($BW24,$BV24,$CG24,2*LN(1+CA24/2),$BY24,$BX24,$BZ24,$AJ24,1,8)+(AJ24/365.25)*CH24/AH24,0)</f>
        <v>0.66924014581665925</v>
      </c>
      <c r="BO24" s="137">
        <f>_xll.xSPRDOPT($BW24,$BV24,$CG24,0,$BY24,$BX24,$BZ24,$AJ24,1,0)</f>
        <v>0.3039346395347301</v>
      </c>
      <c r="BP24" s="137"/>
      <c r="BQ24" s="137"/>
      <c r="BR24" s="137"/>
      <c r="BS24" s="137"/>
      <c r="BV24" s="262">
        <v>3.3630705394190872</v>
      </c>
      <c r="BW24" s="136">
        <v>3.6670000000000003</v>
      </c>
      <c r="BX24" s="137">
        <v>0.20476755688332218</v>
      </c>
      <c r="BY24" s="137">
        <v>0.20542974760907956</v>
      </c>
      <c r="BZ24" s="137">
        <v>0.9991623636331648</v>
      </c>
      <c r="CA24" s="137">
        <v>5.8582652764132402E-2</v>
      </c>
      <c r="CB24" s="137">
        <v>0.65164449623638854</v>
      </c>
      <c r="CC24" s="258">
        <v>-0.5</v>
      </c>
      <c r="CD24" s="258">
        <v>0.155</v>
      </c>
      <c r="CE24" s="258">
        <v>0.04</v>
      </c>
      <c r="CF24" s="258">
        <v>0.04</v>
      </c>
      <c r="CG24" s="258">
        <v>0</v>
      </c>
      <c r="CH24" s="258">
        <v>8.9369132791843278</v>
      </c>
      <c r="CI24" s="258">
        <v>3.5870000000000002</v>
      </c>
    </row>
    <row r="25" spans="1:91" x14ac:dyDescent="0.25">
      <c r="A25" s="723"/>
      <c r="B25" s="723"/>
      <c r="K25" s="52"/>
      <c r="L25" s="135"/>
      <c r="N25" s="131"/>
      <c r="O25" s="131"/>
      <c r="P25" s="55"/>
      <c r="Q25" s="135"/>
      <c r="R25" s="135"/>
      <c r="U25" s="135"/>
      <c r="V25" s="146"/>
      <c r="W25" s="146"/>
      <c r="X25" s="338"/>
      <c r="Y25" s="338"/>
      <c r="Z25" s="338"/>
      <c r="AA25" s="338"/>
      <c r="AB25" s="338"/>
      <c r="AC25" s="338"/>
      <c r="AF25" s="138"/>
      <c r="AG25" s="138"/>
      <c r="AH25" s="138"/>
      <c r="AI25" s="138"/>
      <c r="AJ25" s="138"/>
      <c r="AM25" s="258"/>
      <c r="AN25" s="258"/>
      <c r="AO25" s="258"/>
      <c r="AP25" s="258"/>
      <c r="AR25" s="137"/>
      <c r="AT25" s="137"/>
      <c r="AV25" s="34"/>
      <c r="AW25" s="137"/>
      <c r="AX25" s="137"/>
      <c r="AY25" s="137"/>
      <c r="AZ25" s="137"/>
      <c r="BA25" s="264"/>
      <c r="BB25" s="258"/>
      <c r="BC25" s="258"/>
      <c r="BD25" s="137"/>
      <c r="BE25" s="137"/>
      <c r="BF25" s="137"/>
      <c r="BG25" s="137"/>
      <c r="BH25" s="137"/>
      <c r="BI25" s="137"/>
      <c r="BJ25" s="137"/>
      <c r="BK25" s="137"/>
      <c r="BL25" s="137"/>
      <c r="BM25" s="137"/>
      <c r="BN25" s="137"/>
      <c r="BO25" s="137"/>
      <c r="BP25" s="137"/>
      <c r="BQ25" s="137"/>
      <c r="BR25" s="137"/>
      <c r="BS25" s="137"/>
      <c r="BV25" s="262"/>
      <c r="BW25" s="136"/>
      <c r="BX25" s="137"/>
      <c r="BY25" s="137"/>
      <c r="BZ25" s="137"/>
      <c r="CA25" s="137"/>
      <c r="CB25" s="137"/>
      <c r="CC25" s="258"/>
      <c r="CD25" s="258"/>
      <c r="CE25" s="258"/>
      <c r="CF25" s="258"/>
      <c r="CG25" s="258"/>
      <c r="CH25" s="258"/>
      <c r="CI25" s="258"/>
    </row>
    <row r="26" spans="1:91" x14ac:dyDescent="0.25">
      <c r="A26" s="723"/>
      <c r="B26" s="723"/>
      <c r="K26" s="52"/>
      <c r="L26" s="135"/>
      <c r="N26" s="131"/>
      <c r="O26" s="131"/>
      <c r="P26" s="55"/>
      <c r="Q26" s="135"/>
      <c r="R26" s="135"/>
      <c r="U26" s="135"/>
      <c r="V26" s="146"/>
      <c r="W26" s="146"/>
      <c r="X26" s="338"/>
      <c r="Y26" s="338"/>
      <c r="Z26" s="338"/>
      <c r="AA26" s="338"/>
      <c r="AB26" s="338"/>
      <c r="AC26" s="338"/>
      <c r="AF26" s="138"/>
      <c r="AG26" s="138"/>
      <c r="AH26" s="138"/>
      <c r="AI26" s="138"/>
      <c r="AJ26" s="138"/>
      <c r="AM26" s="258"/>
      <c r="AN26" s="258"/>
      <c r="AO26" s="258"/>
      <c r="AP26" s="258"/>
      <c r="AR26" s="137"/>
      <c r="AT26" s="137"/>
      <c r="AV26" s="34"/>
      <c r="AW26" s="137"/>
      <c r="AX26" s="137"/>
      <c r="AY26" s="137"/>
      <c r="AZ26" s="137"/>
      <c r="BA26" s="264"/>
      <c r="BB26" s="258"/>
      <c r="BC26" s="258"/>
      <c r="BD26" s="137"/>
      <c r="BE26" s="137"/>
      <c r="BF26" s="137"/>
      <c r="BG26" s="137"/>
      <c r="BH26" s="137"/>
      <c r="BI26" s="137"/>
      <c r="BJ26" s="137"/>
      <c r="BK26" s="137"/>
      <c r="BL26" s="137"/>
      <c r="BM26" s="137"/>
      <c r="BN26" s="137"/>
      <c r="BO26" s="137"/>
      <c r="BP26" s="137"/>
      <c r="BQ26" s="137"/>
      <c r="BR26" s="137"/>
      <c r="BS26" s="137"/>
      <c r="BV26" s="262"/>
      <c r="BW26" s="136"/>
      <c r="BX26" s="137"/>
      <c r="BY26" s="137"/>
      <c r="BZ26" s="137"/>
      <c r="CA26" s="137"/>
      <c r="CB26" s="137"/>
      <c r="CC26" s="258"/>
      <c r="CD26" s="258"/>
      <c r="CE26" s="258"/>
      <c r="CF26" s="258"/>
      <c r="CG26" s="258"/>
      <c r="CH26" s="258"/>
      <c r="CI26" s="258"/>
    </row>
    <row r="27" spans="1:91" x14ac:dyDescent="0.25">
      <c r="A27" s="727"/>
      <c r="B27" s="727"/>
      <c r="C27" s="727"/>
      <c r="K27" s="52"/>
      <c r="L27" s="135"/>
      <c r="N27" s="131"/>
      <c r="O27" s="131"/>
      <c r="P27" s="55"/>
      <c r="Q27" s="135"/>
      <c r="R27" s="135"/>
      <c r="U27" s="135"/>
      <c r="V27" s="146"/>
      <c r="W27" s="146"/>
      <c r="X27" s="338"/>
      <c r="Y27" s="338"/>
      <c r="Z27" s="338"/>
      <c r="AA27" s="338"/>
      <c r="AB27" s="338"/>
      <c r="AC27" s="338"/>
      <c r="AF27" s="138"/>
      <c r="AG27" s="138"/>
      <c r="AH27" s="138"/>
      <c r="AI27" s="138"/>
      <c r="AJ27" s="138"/>
      <c r="AM27" s="258"/>
      <c r="AN27" s="258"/>
      <c r="AO27" s="258"/>
      <c r="AP27" s="258"/>
      <c r="AR27" s="137"/>
      <c r="AT27" s="137"/>
      <c r="AV27" s="34"/>
      <c r="AW27" s="137"/>
      <c r="AX27" s="137"/>
      <c r="AY27" s="137"/>
      <c r="AZ27" s="137"/>
      <c r="BA27" s="264"/>
      <c r="BB27" s="258"/>
      <c r="BC27" s="258"/>
      <c r="BD27" s="137"/>
      <c r="BE27" s="137"/>
      <c r="BF27" s="137"/>
      <c r="BG27" s="137"/>
      <c r="BH27" s="137"/>
      <c r="BI27" s="137"/>
      <c r="BJ27" s="137"/>
      <c r="BK27" s="137"/>
      <c r="BL27" s="137"/>
      <c r="BM27" s="137"/>
      <c r="BN27" s="137"/>
      <c r="BO27" s="137"/>
      <c r="BP27" s="137"/>
      <c r="BQ27" s="137"/>
      <c r="BR27" s="137"/>
      <c r="BS27" s="137"/>
      <c r="BV27" s="262"/>
      <c r="BW27" s="136"/>
      <c r="BX27" s="137"/>
      <c r="BY27" s="137"/>
      <c r="BZ27" s="137"/>
      <c r="CA27" s="137"/>
      <c r="CB27" s="137"/>
      <c r="CC27" s="258"/>
      <c r="CD27" s="258"/>
      <c r="CE27" s="258"/>
      <c r="CF27" s="258"/>
      <c r="CG27" s="258"/>
      <c r="CH27" s="258"/>
      <c r="CI27" s="258"/>
    </row>
    <row r="28" spans="1:91" x14ac:dyDescent="0.25">
      <c r="A28" s="723"/>
      <c r="B28" s="723"/>
      <c r="K28" s="52"/>
      <c r="L28" s="135"/>
      <c r="N28" s="131"/>
      <c r="O28" s="131"/>
      <c r="P28" s="55"/>
      <c r="Q28" s="135"/>
      <c r="R28" s="135"/>
      <c r="U28" s="135"/>
      <c r="V28" s="146"/>
      <c r="W28" s="146"/>
      <c r="X28" s="338"/>
      <c r="Y28" s="338"/>
      <c r="Z28" s="338"/>
      <c r="AA28" s="338"/>
      <c r="AB28" s="338"/>
      <c r="AC28" s="338"/>
      <c r="AF28" s="138"/>
      <c r="AG28" s="138"/>
      <c r="AH28" s="138"/>
      <c r="AI28" s="138"/>
      <c r="AJ28" s="138"/>
      <c r="AM28" s="258"/>
      <c r="AN28" s="258"/>
      <c r="AO28" s="258"/>
      <c r="AP28" s="258"/>
      <c r="AR28" s="137"/>
      <c r="AT28" s="137"/>
      <c r="AV28" s="34"/>
      <c r="AW28" s="137"/>
      <c r="AX28" s="137"/>
      <c r="AY28" s="137"/>
      <c r="AZ28" s="137"/>
      <c r="BA28" s="264"/>
      <c r="BB28" s="258"/>
      <c r="BC28" s="258"/>
      <c r="BD28" s="137"/>
      <c r="BE28" s="137"/>
      <c r="BF28" s="137"/>
      <c r="BG28" s="137"/>
      <c r="BH28" s="137"/>
      <c r="BI28" s="137"/>
      <c r="BJ28" s="137"/>
      <c r="BK28" s="137"/>
      <c r="BL28" s="137"/>
      <c r="BM28" s="137"/>
      <c r="BN28" s="137"/>
      <c r="BO28" s="137"/>
      <c r="BP28" s="137"/>
      <c r="BQ28" s="137"/>
      <c r="BR28" s="137"/>
      <c r="BS28" s="137"/>
      <c r="BV28" s="262"/>
      <c r="BW28" s="136"/>
      <c r="BX28" s="137"/>
      <c r="BY28" s="137"/>
      <c r="BZ28" s="137"/>
      <c r="CA28" s="137"/>
      <c r="CB28" s="137"/>
      <c r="CC28" s="258"/>
      <c r="CD28" s="258"/>
      <c r="CE28" s="258"/>
      <c r="CF28" s="258"/>
      <c r="CG28" s="258"/>
      <c r="CH28" s="258"/>
      <c r="CI28" s="258"/>
    </row>
    <row r="29" spans="1:91" x14ac:dyDescent="0.25">
      <c r="A29" s="723"/>
      <c r="B29" s="723"/>
      <c r="K29" s="52"/>
      <c r="L29" s="135"/>
      <c r="N29" s="131"/>
      <c r="O29" s="131"/>
      <c r="P29" s="55"/>
      <c r="Q29" s="135"/>
      <c r="R29" s="135"/>
      <c r="U29" s="135"/>
      <c r="V29" s="146"/>
      <c r="W29" s="146"/>
      <c r="X29" s="338"/>
      <c r="Y29" s="338"/>
      <c r="Z29" s="338"/>
      <c r="AA29" s="338"/>
      <c r="AB29" s="338"/>
      <c r="AC29" s="338"/>
      <c r="AF29" s="138"/>
      <c r="AG29" s="138"/>
      <c r="AH29" s="138"/>
      <c r="AI29" s="138"/>
      <c r="AJ29" s="138"/>
      <c r="AM29" s="258"/>
      <c r="AN29" s="258"/>
      <c r="AO29" s="258"/>
      <c r="AP29" s="258"/>
      <c r="AR29" s="137"/>
      <c r="AT29" s="137"/>
      <c r="AV29" s="34"/>
      <c r="AW29" s="137"/>
      <c r="AX29" s="137"/>
      <c r="AY29" s="137"/>
      <c r="AZ29" s="137"/>
      <c r="BA29" s="264"/>
      <c r="BB29" s="258"/>
      <c r="BC29" s="258"/>
      <c r="BD29" s="137"/>
      <c r="BE29" s="137"/>
      <c r="BF29" s="137"/>
      <c r="BG29" s="137"/>
      <c r="BH29" s="137"/>
      <c r="BI29" s="137"/>
      <c r="BJ29" s="137"/>
      <c r="BK29" s="137"/>
      <c r="BL29" s="137"/>
      <c r="BM29" s="137"/>
      <c r="BN29" s="137"/>
      <c r="BO29" s="137"/>
      <c r="BP29" s="137"/>
      <c r="BQ29" s="137"/>
      <c r="BR29" s="137"/>
      <c r="BS29" s="137"/>
      <c r="BV29" s="262"/>
      <c r="BW29" s="136"/>
      <c r="BX29" s="137"/>
      <c r="BY29" s="137"/>
      <c r="BZ29" s="137"/>
      <c r="CA29" s="137"/>
      <c r="CB29" s="137"/>
      <c r="CC29" s="258"/>
      <c r="CD29" s="258"/>
      <c r="CE29" s="258"/>
      <c r="CF29" s="258"/>
      <c r="CG29" s="258"/>
      <c r="CH29" s="258"/>
      <c r="CI29" s="258"/>
    </row>
    <row r="30" spans="1:91" x14ac:dyDescent="0.25">
      <c r="A30" s="723"/>
      <c r="B30" s="723"/>
      <c r="K30" s="52"/>
      <c r="L30" s="135"/>
      <c r="N30" s="131"/>
      <c r="O30" s="131"/>
      <c r="P30" s="55"/>
      <c r="Q30" s="135"/>
      <c r="R30" s="135"/>
      <c r="U30" s="135"/>
      <c r="V30" s="146"/>
      <c r="W30" s="146"/>
      <c r="X30" s="338"/>
      <c r="Y30" s="338"/>
      <c r="Z30" s="338"/>
      <c r="AA30" s="338"/>
      <c r="AB30" s="338"/>
      <c r="AC30" s="338"/>
      <c r="AF30" s="138"/>
      <c r="AG30" s="138"/>
      <c r="AH30" s="138"/>
      <c r="AI30" s="138"/>
      <c r="AJ30" s="138"/>
      <c r="AM30" s="258"/>
      <c r="AN30" s="258"/>
      <c r="AO30" s="258"/>
      <c r="AP30" s="258"/>
      <c r="AR30" s="137"/>
      <c r="AT30" s="137"/>
      <c r="AV30" s="34"/>
      <c r="AW30" s="137"/>
      <c r="AX30" s="137"/>
      <c r="AY30" s="137"/>
      <c r="AZ30" s="137"/>
      <c r="BA30" s="264"/>
      <c r="BB30" s="258"/>
      <c r="BC30" s="258"/>
      <c r="BD30" s="137"/>
      <c r="BE30" s="137"/>
      <c r="BF30" s="137"/>
      <c r="BG30" s="137"/>
      <c r="BH30" s="137"/>
      <c r="BI30" s="137"/>
      <c r="BJ30" s="137"/>
      <c r="BK30" s="137"/>
      <c r="BL30" s="137"/>
      <c r="BM30" s="137"/>
      <c r="BN30" s="137"/>
      <c r="BO30" s="137"/>
      <c r="BP30" s="137"/>
      <c r="BQ30" s="137"/>
      <c r="BR30" s="137"/>
      <c r="BS30" s="137"/>
      <c r="BV30" s="262"/>
      <c r="BW30" s="136"/>
      <c r="BX30" s="137"/>
      <c r="BY30" s="137"/>
      <c r="BZ30" s="137"/>
      <c r="CA30" s="137"/>
      <c r="CB30" s="137"/>
      <c r="CC30" s="258"/>
      <c r="CD30" s="258"/>
      <c r="CE30" s="258"/>
      <c r="CF30" s="258"/>
      <c r="CG30" s="258"/>
      <c r="CH30" s="258"/>
      <c r="CI30" s="258"/>
    </row>
    <row r="31" spans="1:91" x14ac:dyDescent="0.25">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row>
    <row r="32" spans="1:91" x14ac:dyDescent="0.25">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row>
    <row r="33" spans="1:87" x14ac:dyDescent="0.25">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row>
    <row r="34" spans="1:87" x14ac:dyDescent="0.25">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row>
    <row r="35" spans="1:87" x14ac:dyDescent="0.25">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row>
    <row r="36" spans="1:87" x14ac:dyDescent="0.25">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row>
    <row r="37" spans="1:87" x14ac:dyDescent="0.25">
      <c r="A37" s="727"/>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row>
    <row r="38" spans="1:87" x14ac:dyDescent="0.25">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row>
    <row r="39" spans="1:87" x14ac:dyDescent="0.25">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row>
    <row r="40" spans="1:87" x14ac:dyDescent="0.25">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row>
    <row r="41" spans="1:87" x14ac:dyDescent="0.25">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row>
    <row r="42" spans="1:87" x14ac:dyDescent="0.25">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row>
    <row r="43" spans="1:87" x14ac:dyDescent="0.25">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row>
    <row r="44" spans="1:87" x14ac:dyDescent="0.25">
      <c r="A44" s="723"/>
      <c r="B44" s="723"/>
      <c r="K44" s="52"/>
      <c r="L44" s="135"/>
      <c r="N44" s="131"/>
      <c r="O44" s="131"/>
      <c r="P44" s="55"/>
      <c r="Q44" s="135"/>
      <c r="R44" s="135"/>
      <c r="U44" s="135"/>
      <c r="V44" s="146"/>
      <c r="W44" s="146"/>
      <c r="X44" s="146"/>
      <c r="Y44" s="338"/>
      <c r="Z44" s="338"/>
      <c r="AA44" s="338"/>
      <c r="AB44" s="338"/>
      <c r="AC44" s="338"/>
      <c r="AF44" s="138"/>
      <c r="AG44" s="138"/>
      <c r="AH44" s="138"/>
      <c r="AI44" s="138"/>
      <c r="AL44" s="258"/>
      <c r="AM44" s="258"/>
      <c r="AN44" s="258"/>
      <c r="AO44" s="258"/>
      <c r="AQ44" s="137"/>
      <c r="AT44" s="137"/>
      <c r="AV44" s="34"/>
      <c r="AW44" s="137"/>
      <c r="AX44" s="137"/>
      <c r="AY44" s="137"/>
      <c r="AZ44" s="137"/>
      <c r="BA44" s="264"/>
      <c r="BB44" s="258"/>
      <c r="BC44" s="258"/>
      <c r="BD44" s="137"/>
      <c r="BE44" s="137"/>
      <c r="BF44" s="137"/>
      <c r="BG44" s="137"/>
      <c r="BH44" s="137"/>
      <c r="BI44" s="137"/>
      <c r="BJ44" s="137"/>
      <c r="BK44" s="137"/>
      <c r="BL44" s="137"/>
      <c r="BM44" s="137"/>
      <c r="BO44" s="137"/>
      <c r="BP44" s="137"/>
      <c r="BQ44" s="137"/>
      <c r="BR44" s="137"/>
      <c r="BS44" s="137"/>
      <c r="BV44" s="262"/>
      <c r="BW44" s="136"/>
      <c r="BX44" s="137"/>
      <c r="BY44" s="137"/>
      <c r="BZ44" s="137"/>
      <c r="CA44" s="137"/>
      <c r="CB44" s="137"/>
      <c r="CC44" s="258"/>
      <c r="CD44" s="258"/>
      <c r="CE44" s="258"/>
      <c r="CF44" s="258"/>
    </row>
    <row r="45" spans="1:87" x14ac:dyDescent="0.25">
      <c r="A45" s="723"/>
      <c r="B45" s="723"/>
      <c r="K45" s="52"/>
      <c r="L45" s="135"/>
      <c r="N45" s="131"/>
      <c r="O45" s="131"/>
      <c r="P45" s="55"/>
      <c r="Q45" s="135"/>
      <c r="R45" s="135"/>
      <c r="U45" s="135"/>
      <c r="V45" s="146"/>
      <c r="W45" s="146"/>
      <c r="X45" s="146"/>
      <c r="Y45" s="338"/>
      <c r="Z45" s="338"/>
      <c r="AA45" s="338"/>
      <c r="AB45" s="338"/>
      <c r="AC45" s="338"/>
      <c r="AF45" s="138"/>
      <c r="AG45" s="138"/>
      <c r="AH45" s="138"/>
      <c r="AI45" s="138"/>
      <c r="AL45" s="258"/>
      <c r="AM45" s="258"/>
      <c r="AN45" s="258"/>
      <c r="AO45" s="258"/>
      <c r="AQ45" s="137"/>
      <c r="AT45" s="137"/>
      <c r="AV45" s="34"/>
      <c r="AW45" s="137"/>
      <c r="AX45" s="137"/>
      <c r="AY45" s="137"/>
      <c r="AZ45" s="137"/>
      <c r="BA45" s="264"/>
      <c r="BB45" s="258"/>
      <c r="BC45" s="258"/>
      <c r="BD45" s="137"/>
      <c r="BE45" s="137"/>
      <c r="BF45" s="137"/>
      <c r="BG45" s="137"/>
      <c r="BH45" s="137"/>
      <c r="BI45" s="137"/>
      <c r="BJ45" s="137"/>
      <c r="BK45" s="137"/>
      <c r="BL45" s="137"/>
      <c r="BM45" s="137"/>
      <c r="BO45" s="137"/>
      <c r="BP45" s="137"/>
      <c r="BQ45" s="137"/>
      <c r="BR45" s="137"/>
      <c r="BS45" s="137"/>
      <c r="BV45" s="262"/>
      <c r="BW45" s="136"/>
      <c r="BX45" s="137"/>
      <c r="BY45" s="137"/>
      <c r="BZ45" s="137"/>
      <c r="CA45" s="137"/>
      <c r="CB45" s="137"/>
      <c r="CC45" s="258"/>
      <c r="CD45" s="258"/>
      <c r="CE45" s="258"/>
      <c r="CF45" s="258"/>
    </row>
    <row r="46" spans="1:87" x14ac:dyDescent="0.25">
      <c r="A46" s="723"/>
      <c r="B46" s="723"/>
      <c r="K46" s="52"/>
      <c r="L46" s="135"/>
      <c r="N46" s="131"/>
      <c r="O46" s="131"/>
      <c r="P46" s="55"/>
      <c r="Q46" s="135"/>
      <c r="R46" s="135"/>
      <c r="U46" s="135"/>
      <c r="V46" s="146"/>
      <c r="W46" s="146"/>
      <c r="X46" s="146"/>
      <c r="Y46" s="338"/>
      <c r="Z46" s="338"/>
      <c r="AA46" s="338"/>
      <c r="AB46" s="338"/>
      <c r="AC46" s="338"/>
      <c r="AF46" s="138"/>
      <c r="AG46" s="138"/>
      <c r="AH46" s="138"/>
      <c r="AI46" s="138"/>
      <c r="AL46" s="258"/>
      <c r="AM46" s="258"/>
      <c r="AN46" s="258"/>
      <c r="AO46" s="258"/>
      <c r="AQ46" s="137"/>
      <c r="AT46" s="137"/>
      <c r="AV46" s="34"/>
      <c r="AW46" s="137"/>
      <c r="AX46" s="137"/>
      <c r="AY46" s="137"/>
      <c r="AZ46" s="137"/>
      <c r="BA46" s="264"/>
      <c r="BB46" s="258"/>
      <c r="BC46" s="258"/>
      <c r="BD46" s="137"/>
      <c r="BE46" s="137"/>
      <c r="BF46" s="137"/>
      <c r="BG46" s="137"/>
      <c r="BH46" s="137"/>
      <c r="BI46" s="137"/>
      <c r="BJ46" s="137"/>
      <c r="BK46" s="137"/>
      <c r="BL46" s="137"/>
      <c r="BM46" s="137"/>
      <c r="BO46" s="137"/>
      <c r="BP46" s="137"/>
      <c r="BQ46" s="137"/>
      <c r="BR46" s="137"/>
      <c r="BS46" s="137"/>
      <c r="BV46" s="262"/>
      <c r="BW46" s="136"/>
      <c r="BX46" s="137"/>
      <c r="BY46" s="137"/>
      <c r="BZ46" s="137"/>
      <c r="CA46" s="137"/>
      <c r="CB46" s="137"/>
      <c r="CC46" s="258"/>
      <c r="CD46" s="258"/>
      <c r="CE46" s="258"/>
      <c r="CF46" s="258"/>
    </row>
    <row r="47" spans="1:87" x14ac:dyDescent="0.25">
      <c r="A47" s="723"/>
      <c r="B47" s="723"/>
      <c r="K47" s="52"/>
      <c r="L47" s="135"/>
      <c r="N47" s="131"/>
      <c r="O47" s="131"/>
      <c r="P47" s="55"/>
      <c r="Q47" s="135"/>
      <c r="R47" s="135"/>
      <c r="U47" s="135"/>
      <c r="V47" s="146"/>
      <c r="W47" s="146"/>
      <c r="X47" s="146"/>
      <c r="Y47" s="338"/>
      <c r="Z47" s="338"/>
      <c r="AA47" s="338"/>
      <c r="AB47" s="338"/>
      <c r="AC47" s="338"/>
      <c r="AF47" s="138"/>
      <c r="AG47" s="138"/>
      <c r="AH47" s="138"/>
      <c r="AI47" s="138"/>
      <c r="AL47" s="258"/>
      <c r="AM47" s="258"/>
      <c r="AN47" s="258"/>
      <c r="AO47" s="258"/>
      <c r="AQ47" s="137"/>
      <c r="AT47" s="137"/>
      <c r="AV47" s="34"/>
      <c r="AW47" s="137"/>
      <c r="AX47" s="137"/>
      <c r="AY47" s="137"/>
      <c r="AZ47" s="137"/>
      <c r="BA47" s="264"/>
      <c r="BB47" s="258"/>
      <c r="BC47" s="258"/>
      <c r="BD47" s="137"/>
      <c r="BE47" s="137"/>
      <c r="BF47" s="137"/>
      <c r="BG47" s="137"/>
      <c r="BH47" s="137"/>
      <c r="BI47" s="137"/>
      <c r="BJ47" s="137"/>
      <c r="BK47" s="137"/>
      <c r="BL47" s="137"/>
      <c r="BM47" s="137"/>
      <c r="BO47" s="137"/>
      <c r="BP47" s="137"/>
      <c r="BQ47" s="137"/>
      <c r="BR47" s="137"/>
      <c r="BS47" s="137"/>
      <c r="BV47" s="262"/>
      <c r="BW47" s="136"/>
      <c r="BX47" s="137"/>
      <c r="BY47" s="137"/>
      <c r="BZ47" s="137"/>
      <c r="CA47" s="137"/>
      <c r="CB47" s="137"/>
      <c r="CC47" s="258"/>
      <c r="CD47" s="258"/>
      <c r="CE47" s="258"/>
      <c r="CF47" s="258"/>
    </row>
    <row r="48" spans="1:87" x14ac:dyDescent="0.25">
      <c r="A48" s="723"/>
      <c r="B48" s="723"/>
      <c r="K48" s="52"/>
      <c r="L48" s="135"/>
      <c r="N48" s="131"/>
      <c r="O48" s="131"/>
      <c r="P48" s="55"/>
      <c r="Q48" s="135"/>
      <c r="R48" s="135"/>
      <c r="U48" s="135"/>
      <c r="V48" s="146"/>
      <c r="W48" s="146"/>
      <c r="X48" s="146"/>
      <c r="Y48" s="338"/>
      <c r="Z48" s="338"/>
      <c r="AA48" s="338"/>
      <c r="AB48" s="338"/>
      <c r="AC48" s="338"/>
      <c r="AF48" s="138"/>
      <c r="AG48" s="138"/>
      <c r="AH48" s="138"/>
      <c r="AI48" s="138"/>
      <c r="AL48" s="258"/>
      <c r="AM48" s="258"/>
      <c r="AN48" s="258"/>
      <c r="AO48" s="258"/>
      <c r="AQ48" s="137"/>
      <c r="AT48" s="137"/>
      <c r="AV48" s="34"/>
      <c r="AW48" s="137"/>
      <c r="AX48" s="137"/>
      <c r="AY48" s="137"/>
      <c r="AZ48" s="137"/>
      <c r="BA48" s="264"/>
      <c r="BB48" s="258"/>
      <c r="BC48" s="258"/>
      <c r="BD48" s="137"/>
      <c r="BE48" s="137"/>
      <c r="BF48" s="137"/>
      <c r="BG48" s="137"/>
      <c r="BH48" s="137"/>
      <c r="BI48" s="137"/>
      <c r="BJ48" s="137"/>
      <c r="BK48" s="137"/>
      <c r="BL48" s="137"/>
      <c r="BM48" s="137"/>
      <c r="BO48" s="137"/>
      <c r="BP48" s="137"/>
      <c r="BQ48" s="137"/>
      <c r="BR48" s="137"/>
      <c r="BS48" s="137"/>
      <c r="BV48" s="262"/>
      <c r="BW48" s="136"/>
      <c r="BX48" s="137"/>
      <c r="BY48" s="137"/>
      <c r="BZ48" s="137"/>
      <c r="CA48" s="137"/>
      <c r="CB48" s="137"/>
      <c r="CC48" s="258"/>
      <c r="CD48" s="258"/>
      <c r="CE48" s="258"/>
      <c r="CF48" s="258"/>
    </row>
    <row r="49" spans="1:84" x14ac:dyDescent="0.25">
      <c r="A49" s="723"/>
      <c r="B49" s="723"/>
      <c r="K49" s="52"/>
      <c r="L49" s="135"/>
      <c r="N49" s="131"/>
      <c r="O49" s="131"/>
      <c r="P49" s="55"/>
      <c r="Q49" s="135"/>
      <c r="R49" s="135"/>
      <c r="U49" s="135"/>
      <c r="V49" s="146"/>
      <c r="W49" s="146"/>
      <c r="X49" s="146"/>
      <c r="Y49" s="338"/>
      <c r="Z49" s="338"/>
      <c r="AA49" s="338"/>
      <c r="AB49" s="338"/>
      <c r="AC49" s="338"/>
      <c r="AF49" s="138"/>
      <c r="AG49" s="138"/>
      <c r="AH49" s="138"/>
      <c r="AI49" s="138"/>
      <c r="AL49" s="258"/>
      <c r="AM49" s="258"/>
      <c r="AN49" s="258"/>
      <c r="AO49" s="258"/>
      <c r="AQ49" s="137"/>
      <c r="AT49" s="137"/>
      <c r="AV49" s="34"/>
      <c r="AW49" s="137"/>
      <c r="AX49" s="137"/>
      <c r="AY49" s="137"/>
      <c r="AZ49" s="137"/>
      <c r="BA49" s="264"/>
      <c r="BB49" s="258"/>
      <c r="BC49" s="258"/>
      <c r="BD49" s="137"/>
      <c r="BE49" s="137"/>
      <c r="BF49" s="137"/>
      <c r="BG49" s="137"/>
      <c r="BH49" s="137"/>
      <c r="BI49" s="137"/>
      <c r="BJ49" s="137"/>
      <c r="BK49" s="137"/>
      <c r="BL49" s="137"/>
      <c r="BM49" s="137"/>
      <c r="BO49" s="137"/>
      <c r="BP49" s="137"/>
      <c r="BQ49" s="137"/>
      <c r="BR49" s="137"/>
      <c r="BS49" s="137"/>
      <c r="BV49" s="262"/>
      <c r="BW49" s="136"/>
      <c r="BX49" s="137"/>
      <c r="BY49" s="137"/>
      <c r="BZ49" s="137"/>
      <c r="CA49" s="137"/>
      <c r="CB49" s="137"/>
      <c r="CC49" s="258"/>
      <c r="CD49" s="258"/>
      <c r="CE49" s="258"/>
      <c r="CF49" s="258"/>
    </row>
    <row r="50" spans="1:84" x14ac:dyDescent="0.25">
      <c r="A50" s="723"/>
      <c r="B50" s="723"/>
      <c r="K50" s="52"/>
      <c r="L50" s="135"/>
      <c r="N50" s="131"/>
      <c r="O50" s="131"/>
      <c r="P50" s="55"/>
      <c r="Q50" s="135"/>
      <c r="R50" s="135"/>
      <c r="U50" s="135"/>
      <c r="V50" s="146"/>
      <c r="W50" s="146"/>
      <c r="X50" s="146"/>
      <c r="Y50" s="338"/>
      <c r="Z50" s="338"/>
      <c r="AA50" s="338"/>
      <c r="AB50" s="338"/>
      <c r="AC50" s="338"/>
      <c r="AF50" s="138"/>
      <c r="AG50" s="138"/>
      <c r="AH50" s="138"/>
      <c r="AI50" s="138"/>
      <c r="AL50" s="258"/>
      <c r="AM50" s="258"/>
      <c r="AN50" s="258"/>
      <c r="AO50" s="258"/>
      <c r="AQ50" s="137"/>
      <c r="AT50" s="137"/>
      <c r="AV50" s="34"/>
      <c r="AW50" s="137"/>
      <c r="AX50" s="137"/>
      <c r="AY50" s="137"/>
      <c r="AZ50" s="137"/>
      <c r="BA50" s="264"/>
      <c r="BB50" s="258"/>
      <c r="BC50" s="258"/>
      <c r="BD50" s="137"/>
      <c r="BE50" s="137"/>
      <c r="BF50" s="137"/>
      <c r="BG50" s="137"/>
      <c r="BH50" s="137"/>
      <c r="BI50" s="137"/>
      <c r="BJ50" s="137"/>
      <c r="BK50" s="137"/>
      <c r="BL50" s="137"/>
      <c r="BM50" s="137"/>
      <c r="BO50" s="137"/>
      <c r="BP50" s="137"/>
      <c r="BQ50" s="137"/>
      <c r="BR50" s="137"/>
      <c r="BS50" s="137"/>
      <c r="BV50" s="262"/>
      <c r="BW50" s="136"/>
      <c r="BX50" s="137"/>
      <c r="BY50" s="137"/>
      <c r="BZ50" s="137"/>
      <c r="CA50" s="137"/>
      <c r="CB50" s="137"/>
      <c r="CC50" s="258"/>
      <c r="CD50" s="258"/>
      <c r="CE50" s="258"/>
      <c r="CF50" s="258"/>
    </row>
    <row r="51" spans="1:84" x14ac:dyDescent="0.25">
      <c r="A51" s="723"/>
      <c r="B51" s="723"/>
      <c r="K51" s="52"/>
      <c r="L51" s="135"/>
      <c r="N51" s="131"/>
      <c r="O51" s="131"/>
      <c r="P51" s="55"/>
      <c r="Q51" s="135"/>
      <c r="R51" s="135"/>
      <c r="U51" s="135"/>
      <c r="V51" s="146"/>
      <c r="W51" s="146"/>
      <c r="X51" s="146"/>
      <c r="Y51" s="338"/>
      <c r="Z51" s="338"/>
      <c r="AA51" s="338"/>
      <c r="AB51" s="338"/>
      <c r="AC51" s="338"/>
      <c r="AF51" s="138"/>
      <c r="AG51" s="138"/>
      <c r="AH51" s="138"/>
      <c r="AI51" s="138"/>
      <c r="AL51" s="258"/>
      <c r="AM51" s="258"/>
      <c r="AN51" s="258"/>
      <c r="AO51" s="258"/>
      <c r="AQ51" s="137"/>
      <c r="AT51" s="137"/>
      <c r="AV51" s="34"/>
      <c r="AW51" s="137"/>
      <c r="AX51" s="137"/>
      <c r="AY51" s="137"/>
      <c r="AZ51" s="137"/>
      <c r="BA51" s="264"/>
      <c r="BB51" s="258"/>
      <c r="BC51" s="258"/>
      <c r="BD51" s="137"/>
      <c r="BE51" s="137"/>
      <c r="BF51" s="137"/>
      <c r="BG51" s="137"/>
      <c r="BH51" s="137"/>
      <c r="BI51" s="137"/>
      <c r="BJ51" s="137"/>
      <c r="BK51" s="137"/>
      <c r="BL51" s="137"/>
      <c r="BM51" s="137"/>
      <c r="BO51" s="137"/>
      <c r="BP51" s="137"/>
      <c r="BQ51" s="137"/>
      <c r="BR51" s="137"/>
      <c r="BS51" s="137"/>
      <c r="BV51" s="262"/>
      <c r="BW51" s="136"/>
      <c r="BX51" s="137"/>
      <c r="BY51" s="137"/>
      <c r="BZ51" s="137"/>
      <c r="CA51" s="137"/>
      <c r="CB51" s="137"/>
      <c r="CC51" s="258"/>
      <c r="CD51" s="258"/>
      <c r="CE51" s="258"/>
      <c r="CF51" s="258"/>
    </row>
    <row r="52" spans="1:84" x14ac:dyDescent="0.25">
      <c r="A52" s="723"/>
      <c r="B52" s="723"/>
      <c r="K52" s="52"/>
      <c r="L52" s="135"/>
      <c r="N52" s="131"/>
      <c r="O52" s="131"/>
      <c r="P52" s="55"/>
      <c r="Q52" s="135"/>
      <c r="R52" s="135"/>
      <c r="U52" s="135"/>
      <c r="V52" s="146"/>
      <c r="W52" s="146"/>
      <c r="X52" s="146"/>
      <c r="Y52" s="338"/>
      <c r="Z52" s="338"/>
      <c r="AA52" s="338"/>
      <c r="AB52" s="338"/>
      <c r="AC52" s="338"/>
      <c r="AF52" s="138"/>
      <c r="AG52" s="138"/>
      <c r="AH52" s="138"/>
      <c r="AI52" s="138"/>
      <c r="AL52" s="258"/>
      <c r="AM52" s="258"/>
      <c r="AN52" s="258"/>
      <c r="AO52" s="258"/>
      <c r="AQ52" s="137"/>
      <c r="AT52" s="137"/>
      <c r="AV52" s="34"/>
      <c r="AW52" s="137"/>
      <c r="AX52" s="137"/>
      <c r="AY52" s="137"/>
      <c r="AZ52" s="137"/>
      <c r="BA52" s="264"/>
      <c r="BB52" s="258"/>
      <c r="BC52" s="258"/>
      <c r="BD52" s="137"/>
      <c r="BE52" s="137"/>
      <c r="BF52" s="137"/>
      <c r="BG52" s="137"/>
      <c r="BH52" s="137"/>
      <c r="BI52" s="137"/>
      <c r="BJ52" s="137"/>
      <c r="BK52" s="137"/>
      <c r="BL52" s="137"/>
      <c r="BM52" s="137"/>
      <c r="BO52" s="137"/>
      <c r="BP52" s="137"/>
      <c r="BQ52" s="137"/>
      <c r="BR52" s="137"/>
      <c r="BS52" s="137"/>
      <c r="BV52" s="262"/>
      <c r="BW52" s="136"/>
      <c r="BX52" s="137"/>
      <c r="BY52" s="137"/>
      <c r="BZ52" s="137"/>
      <c r="CA52" s="137"/>
      <c r="CB52" s="137"/>
      <c r="CC52" s="258"/>
      <c r="CD52" s="258"/>
      <c r="CE52" s="258"/>
      <c r="CF52" s="258"/>
    </row>
    <row r="53" spans="1:84" x14ac:dyDescent="0.25">
      <c r="A53" s="723"/>
      <c r="B53" s="723"/>
      <c r="K53" s="52"/>
      <c r="L53" s="135"/>
      <c r="N53" s="131"/>
      <c r="O53" s="131"/>
      <c r="P53" s="55"/>
      <c r="Q53" s="135"/>
      <c r="R53" s="135"/>
      <c r="U53" s="135"/>
      <c r="V53" s="146"/>
      <c r="W53" s="146"/>
      <c r="X53" s="146"/>
      <c r="Y53" s="338"/>
      <c r="Z53" s="338"/>
      <c r="AA53" s="338"/>
      <c r="AB53" s="338"/>
      <c r="AC53" s="338"/>
      <c r="AF53" s="138"/>
      <c r="AG53" s="138"/>
      <c r="AH53" s="138"/>
      <c r="AI53" s="138"/>
      <c r="AL53" s="258"/>
      <c r="AM53" s="258"/>
      <c r="AN53" s="258"/>
      <c r="AO53" s="258"/>
      <c r="AQ53" s="137"/>
      <c r="AT53" s="137"/>
      <c r="AV53" s="34"/>
      <c r="AW53" s="137"/>
      <c r="AX53" s="137"/>
      <c r="AY53" s="137"/>
      <c r="AZ53" s="137"/>
      <c r="BA53" s="264"/>
      <c r="BB53" s="258"/>
      <c r="BC53" s="258"/>
      <c r="BD53" s="137"/>
      <c r="BE53" s="137"/>
      <c r="BF53" s="137"/>
      <c r="BG53" s="137"/>
      <c r="BH53" s="137"/>
      <c r="BI53" s="137"/>
      <c r="BJ53" s="137"/>
      <c r="BK53" s="137"/>
      <c r="BL53" s="137"/>
      <c r="BM53" s="137"/>
      <c r="BO53" s="137"/>
      <c r="BP53" s="137"/>
      <c r="BQ53" s="137"/>
      <c r="BR53" s="137"/>
      <c r="BS53" s="137"/>
      <c r="BV53" s="262"/>
      <c r="BW53" s="136"/>
      <c r="BX53" s="137"/>
      <c r="BY53" s="137"/>
      <c r="BZ53" s="137"/>
      <c r="CA53" s="137"/>
      <c r="CB53" s="137"/>
      <c r="CC53" s="258"/>
      <c r="CD53" s="258"/>
      <c r="CE53" s="258"/>
      <c r="CF53" s="258"/>
    </row>
    <row r="54" spans="1:84" x14ac:dyDescent="0.25">
      <c r="A54" s="723"/>
      <c r="B54" s="723"/>
      <c r="K54" s="52"/>
      <c r="L54" s="135"/>
      <c r="N54" s="131"/>
      <c r="O54" s="131"/>
      <c r="P54" s="55"/>
      <c r="Q54" s="135"/>
      <c r="R54" s="135"/>
      <c r="U54" s="135"/>
      <c r="V54" s="146"/>
      <c r="W54" s="146"/>
      <c r="X54" s="146"/>
      <c r="Y54" s="338"/>
      <c r="Z54" s="338"/>
      <c r="AA54" s="338"/>
      <c r="AB54" s="338"/>
      <c r="AC54" s="338"/>
      <c r="AF54" s="138"/>
      <c r="AG54" s="138"/>
      <c r="AH54" s="138"/>
      <c r="AI54" s="138"/>
      <c r="AL54" s="258"/>
      <c r="AM54" s="258"/>
      <c r="AN54" s="258"/>
      <c r="AO54" s="258"/>
      <c r="AQ54" s="137"/>
      <c r="AT54" s="137"/>
      <c r="AV54" s="34"/>
      <c r="AW54" s="137"/>
      <c r="AX54" s="137"/>
      <c r="AY54" s="137"/>
      <c r="AZ54" s="137"/>
      <c r="BA54" s="264"/>
      <c r="BB54" s="258"/>
      <c r="BC54" s="258"/>
      <c r="BD54" s="137"/>
      <c r="BE54" s="137"/>
      <c r="BF54" s="137"/>
      <c r="BG54" s="137"/>
      <c r="BH54" s="137"/>
      <c r="BI54" s="137"/>
      <c r="BJ54" s="137"/>
      <c r="BK54" s="137"/>
      <c r="BL54" s="137"/>
      <c r="BM54" s="137"/>
      <c r="BO54" s="137"/>
      <c r="BP54" s="137"/>
      <c r="BQ54" s="137"/>
      <c r="BR54" s="137"/>
      <c r="BS54" s="137"/>
      <c r="BV54" s="262"/>
      <c r="BW54" s="136"/>
      <c r="BX54" s="137"/>
      <c r="BY54" s="137"/>
      <c r="BZ54" s="137"/>
      <c r="CA54" s="137"/>
      <c r="CB54" s="137"/>
      <c r="CC54" s="258"/>
      <c r="CD54" s="258"/>
      <c r="CE54" s="258"/>
      <c r="CF54" s="258"/>
    </row>
    <row r="55" spans="1:84" x14ac:dyDescent="0.25">
      <c r="A55" s="723"/>
      <c r="B55" s="723"/>
      <c r="K55" s="52"/>
      <c r="L55" s="135"/>
      <c r="N55" s="131"/>
      <c r="O55" s="131"/>
      <c r="P55" s="55"/>
      <c r="Q55" s="135"/>
      <c r="R55" s="135"/>
      <c r="U55" s="135"/>
      <c r="V55" s="146"/>
      <c r="W55" s="146"/>
      <c r="X55" s="146"/>
      <c r="Y55" s="338"/>
      <c r="Z55" s="338"/>
      <c r="AA55" s="338"/>
      <c r="AB55" s="338"/>
      <c r="AC55" s="338"/>
      <c r="AF55" s="138"/>
      <c r="AG55" s="138"/>
      <c r="AH55" s="138"/>
      <c r="AI55" s="138"/>
      <c r="AL55" s="258"/>
      <c r="AM55" s="258"/>
      <c r="AN55" s="258"/>
      <c r="AO55" s="258"/>
      <c r="AQ55" s="137"/>
      <c r="AT55" s="137"/>
      <c r="AV55" s="34"/>
      <c r="AW55" s="137"/>
      <c r="AX55" s="137"/>
      <c r="AY55" s="137"/>
      <c r="AZ55" s="137"/>
      <c r="BA55" s="264"/>
      <c r="BB55" s="258"/>
      <c r="BC55" s="258"/>
      <c r="BD55" s="137"/>
      <c r="BE55" s="137"/>
      <c r="BF55" s="137"/>
      <c r="BG55" s="137"/>
      <c r="BH55" s="137"/>
      <c r="BI55" s="137"/>
      <c r="BJ55" s="137"/>
      <c r="BK55" s="137"/>
      <c r="BL55" s="137"/>
      <c r="BM55" s="137"/>
      <c r="BO55" s="137"/>
      <c r="BP55" s="137"/>
      <c r="BQ55" s="137"/>
      <c r="BR55" s="137"/>
      <c r="BS55" s="137"/>
      <c r="BV55" s="262"/>
      <c r="BW55" s="136"/>
      <c r="BX55" s="137"/>
      <c r="BY55" s="137"/>
      <c r="BZ55" s="137"/>
      <c r="CA55" s="137"/>
      <c r="CB55" s="137"/>
      <c r="CC55" s="258"/>
      <c r="CD55" s="258"/>
      <c r="CE55" s="258"/>
      <c r="CF55" s="258"/>
    </row>
    <row r="56" spans="1:84" x14ac:dyDescent="0.25">
      <c r="A56" s="723"/>
      <c r="B56" s="723"/>
      <c r="K56" s="52"/>
      <c r="L56" s="135"/>
      <c r="N56" s="131"/>
      <c r="O56" s="131"/>
      <c r="P56" s="55"/>
      <c r="Q56" s="135"/>
      <c r="R56" s="135"/>
      <c r="U56" s="135"/>
      <c r="V56" s="146"/>
      <c r="W56" s="146"/>
      <c r="X56" s="146"/>
      <c r="Y56" s="338"/>
      <c r="Z56" s="338"/>
      <c r="AA56" s="338"/>
      <c r="AB56" s="338"/>
      <c r="AC56" s="338"/>
      <c r="AF56" s="138"/>
      <c r="AG56" s="138"/>
      <c r="AH56" s="138"/>
      <c r="AI56" s="138"/>
      <c r="AL56" s="258"/>
      <c r="AM56" s="258"/>
      <c r="AN56" s="258"/>
      <c r="AO56" s="258"/>
      <c r="AQ56" s="137"/>
      <c r="AT56" s="137"/>
      <c r="AV56" s="34"/>
      <c r="AW56" s="137"/>
      <c r="AX56" s="137"/>
      <c r="AY56" s="137"/>
      <c r="AZ56" s="137"/>
      <c r="BA56" s="264"/>
      <c r="BB56" s="258"/>
      <c r="BC56" s="258"/>
      <c r="BD56" s="137"/>
      <c r="BE56" s="137"/>
      <c r="BF56" s="137"/>
      <c r="BG56" s="137"/>
      <c r="BH56" s="137"/>
      <c r="BI56" s="137"/>
      <c r="BJ56" s="137"/>
      <c r="BK56" s="137"/>
      <c r="BL56" s="137"/>
      <c r="BM56" s="137"/>
      <c r="BO56" s="137"/>
      <c r="BP56" s="137"/>
      <c r="BQ56" s="137"/>
      <c r="BR56" s="137"/>
      <c r="BS56" s="137"/>
      <c r="BV56" s="262"/>
      <c r="BW56" s="136"/>
      <c r="BX56" s="137"/>
      <c r="BY56" s="137"/>
      <c r="BZ56" s="137"/>
      <c r="CA56" s="137"/>
      <c r="CB56" s="137"/>
      <c r="CC56" s="258"/>
      <c r="CD56" s="258"/>
      <c r="CE56" s="258"/>
      <c r="CF56" s="258"/>
    </row>
    <row r="57" spans="1:84" x14ac:dyDescent="0.25">
      <c r="A57" s="723"/>
      <c r="B57" s="723"/>
      <c r="K57" s="52"/>
      <c r="L57" s="135"/>
      <c r="N57" s="131"/>
      <c r="O57" s="131"/>
      <c r="P57" s="55"/>
      <c r="Q57" s="135"/>
      <c r="R57" s="135"/>
      <c r="U57" s="135"/>
      <c r="V57" s="146"/>
      <c r="W57" s="146"/>
      <c r="X57" s="146"/>
      <c r="Y57" s="338"/>
      <c r="Z57" s="338"/>
      <c r="AA57" s="338"/>
      <c r="AB57" s="338"/>
      <c r="AC57" s="338"/>
      <c r="AF57" s="138"/>
      <c r="AG57" s="138"/>
      <c r="AH57" s="138"/>
      <c r="AI57" s="138"/>
      <c r="AL57" s="258"/>
      <c r="AM57" s="258"/>
      <c r="AN57" s="258"/>
      <c r="AO57" s="258"/>
      <c r="AQ57" s="137"/>
      <c r="AT57" s="137"/>
      <c r="AV57" s="34"/>
      <c r="AW57" s="137"/>
      <c r="AX57" s="137"/>
      <c r="AY57" s="137"/>
      <c r="AZ57" s="137"/>
      <c r="BA57" s="264"/>
      <c r="BB57" s="258"/>
      <c r="BC57" s="258"/>
      <c r="BD57" s="137"/>
      <c r="BE57" s="137"/>
      <c r="BF57" s="137"/>
      <c r="BG57" s="137"/>
      <c r="BH57" s="137"/>
      <c r="BI57" s="137"/>
      <c r="BJ57" s="137"/>
      <c r="BK57" s="137"/>
      <c r="BL57" s="137"/>
      <c r="BM57" s="137"/>
      <c r="BO57" s="137"/>
      <c r="BP57" s="137"/>
      <c r="BQ57" s="137"/>
      <c r="BR57" s="137"/>
      <c r="BS57" s="137"/>
      <c r="BV57" s="262"/>
      <c r="BW57" s="136"/>
      <c r="BX57" s="137"/>
      <c r="BY57" s="137"/>
      <c r="BZ57" s="137"/>
      <c r="CA57" s="137"/>
      <c r="CB57" s="137"/>
      <c r="CC57" s="258"/>
      <c r="CD57" s="258"/>
      <c r="CE57" s="258"/>
      <c r="CF57" s="258"/>
    </row>
    <row r="58" spans="1:84" x14ac:dyDescent="0.25">
      <c r="A58" s="723"/>
      <c r="B58" s="723"/>
      <c r="K58" s="52"/>
      <c r="L58" s="135"/>
      <c r="N58" s="131"/>
      <c r="O58" s="131"/>
      <c r="P58" s="55"/>
      <c r="Q58" s="135"/>
      <c r="R58" s="135"/>
      <c r="U58" s="135"/>
      <c r="V58" s="146"/>
      <c r="W58" s="146"/>
      <c r="X58" s="146"/>
      <c r="Y58" s="338"/>
      <c r="Z58" s="338"/>
      <c r="AA58" s="338"/>
      <c r="AB58" s="338"/>
      <c r="AC58" s="338"/>
      <c r="AF58" s="138"/>
      <c r="AG58" s="138"/>
      <c r="AH58" s="138"/>
      <c r="AI58" s="138"/>
      <c r="AL58" s="258"/>
      <c r="AM58" s="258"/>
      <c r="AN58" s="258"/>
      <c r="AO58" s="258"/>
      <c r="AQ58" s="137"/>
      <c r="AT58" s="137"/>
      <c r="AV58" s="34"/>
      <c r="AW58" s="137"/>
      <c r="AX58" s="137"/>
      <c r="AY58" s="137"/>
      <c r="AZ58" s="137"/>
      <c r="BA58" s="264"/>
      <c r="BB58" s="258"/>
      <c r="BC58" s="258"/>
      <c r="BD58" s="137"/>
      <c r="BE58" s="137"/>
      <c r="BF58" s="137"/>
      <c r="BG58" s="137"/>
      <c r="BH58" s="137"/>
      <c r="BI58" s="137"/>
      <c r="BJ58" s="137"/>
      <c r="BK58" s="137"/>
      <c r="BL58" s="137"/>
      <c r="BM58" s="137"/>
      <c r="BO58" s="137"/>
      <c r="BP58" s="137"/>
      <c r="BQ58" s="137"/>
      <c r="BR58" s="137"/>
      <c r="BS58" s="137"/>
      <c r="BV58" s="262"/>
      <c r="BW58" s="136"/>
      <c r="BX58" s="137"/>
      <c r="BY58" s="137"/>
      <c r="BZ58" s="137"/>
      <c r="CA58" s="137"/>
      <c r="CB58" s="137"/>
      <c r="CC58" s="258"/>
      <c r="CD58" s="258"/>
      <c r="CE58" s="258"/>
      <c r="CF58" s="258"/>
    </row>
    <row r="59" spans="1:84" x14ac:dyDescent="0.25">
      <c r="A59" s="723"/>
      <c r="B59" s="723"/>
      <c r="K59" s="52"/>
      <c r="L59" s="135"/>
      <c r="N59" s="131"/>
      <c r="O59" s="131"/>
      <c r="P59" s="55"/>
      <c r="Q59" s="135"/>
      <c r="R59" s="135"/>
      <c r="U59" s="135"/>
      <c r="V59" s="146"/>
      <c r="W59" s="146"/>
      <c r="X59" s="146"/>
      <c r="Y59" s="338"/>
      <c r="Z59" s="338"/>
      <c r="AA59" s="338"/>
      <c r="AB59" s="338"/>
      <c r="AC59" s="338"/>
      <c r="AF59" s="138"/>
      <c r="AG59" s="138"/>
      <c r="AH59" s="138"/>
      <c r="AI59" s="138"/>
      <c r="AL59" s="258"/>
      <c r="AM59" s="258"/>
      <c r="AN59" s="258"/>
      <c r="AO59" s="258"/>
      <c r="AQ59" s="137"/>
      <c r="AT59" s="137"/>
      <c r="AV59" s="34"/>
      <c r="AW59" s="137"/>
      <c r="AX59" s="137"/>
      <c r="AY59" s="137"/>
      <c r="AZ59" s="137"/>
      <c r="BA59" s="264"/>
      <c r="BB59" s="258"/>
      <c r="BC59" s="258"/>
      <c r="BD59" s="137"/>
      <c r="BE59" s="137"/>
      <c r="BF59" s="137"/>
      <c r="BG59" s="137"/>
      <c r="BH59" s="137"/>
      <c r="BI59" s="137"/>
      <c r="BJ59" s="137"/>
      <c r="BK59" s="137"/>
      <c r="BL59" s="137"/>
      <c r="BM59" s="137"/>
      <c r="BO59" s="137"/>
      <c r="BP59" s="137"/>
      <c r="BQ59" s="137"/>
      <c r="BR59" s="137"/>
      <c r="BS59" s="137"/>
      <c r="BV59" s="262"/>
      <c r="BW59" s="136"/>
      <c r="BX59" s="137"/>
      <c r="BY59" s="137"/>
      <c r="BZ59" s="137"/>
      <c r="CA59" s="137"/>
      <c r="CB59" s="137"/>
      <c r="CC59" s="258"/>
      <c r="CD59" s="258"/>
      <c r="CE59" s="258"/>
      <c r="CF59" s="258"/>
    </row>
    <row r="60" spans="1:84" x14ac:dyDescent="0.25">
      <c r="A60" s="723"/>
      <c r="B60" s="723"/>
      <c r="K60" s="52"/>
      <c r="L60" s="135"/>
      <c r="N60" s="131"/>
      <c r="O60" s="131"/>
      <c r="P60" s="55"/>
      <c r="Q60" s="135"/>
      <c r="R60" s="135"/>
      <c r="U60" s="135"/>
      <c r="V60" s="146"/>
      <c r="W60" s="146"/>
      <c r="X60" s="146"/>
      <c r="Y60" s="338"/>
      <c r="Z60" s="338"/>
      <c r="AA60" s="338"/>
      <c r="AB60" s="338"/>
      <c r="AC60" s="338"/>
      <c r="AF60" s="138"/>
      <c r="AG60" s="138"/>
      <c r="AH60" s="138"/>
      <c r="AI60" s="138"/>
      <c r="AL60" s="258"/>
      <c r="AM60" s="258"/>
      <c r="AN60" s="258"/>
      <c r="AO60" s="258"/>
      <c r="AQ60" s="137"/>
      <c r="AT60" s="137"/>
      <c r="AV60" s="34"/>
      <c r="AW60" s="137"/>
      <c r="AX60" s="137"/>
      <c r="AY60" s="137"/>
      <c r="AZ60" s="137"/>
      <c r="BA60" s="264"/>
      <c r="BB60" s="258"/>
      <c r="BC60" s="258"/>
      <c r="BD60" s="137"/>
      <c r="BE60" s="137"/>
      <c r="BF60" s="137"/>
      <c r="BG60" s="137"/>
      <c r="BH60" s="137"/>
      <c r="BI60" s="137"/>
      <c r="BJ60" s="137"/>
      <c r="BK60" s="137"/>
      <c r="BL60" s="137"/>
      <c r="BM60" s="137"/>
      <c r="BO60" s="137"/>
      <c r="BP60" s="137"/>
      <c r="BQ60" s="137"/>
      <c r="BR60" s="137"/>
      <c r="BS60" s="137"/>
      <c r="BV60" s="262"/>
      <c r="BW60" s="136"/>
      <c r="BX60" s="137"/>
      <c r="BY60" s="137"/>
      <c r="BZ60" s="137"/>
      <c r="CA60" s="137"/>
      <c r="CB60" s="137"/>
      <c r="CC60" s="258"/>
      <c r="CD60" s="258"/>
      <c r="CE60" s="258"/>
      <c r="CF60" s="258"/>
    </row>
    <row r="61" spans="1:84" x14ac:dyDescent="0.25">
      <c r="A61" s="723"/>
      <c r="B61" s="723"/>
      <c r="K61" s="52"/>
      <c r="L61" s="135"/>
      <c r="N61" s="131"/>
      <c r="O61" s="131"/>
      <c r="P61" s="55"/>
      <c r="Q61" s="135"/>
      <c r="R61" s="135"/>
      <c r="U61" s="135"/>
      <c r="V61" s="146"/>
      <c r="W61" s="146"/>
      <c r="X61" s="146"/>
      <c r="Y61" s="338"/>
      <c r="Z61" s="338"/>
      <c r="AA61" s="338"/>
      <c r="AB61" s="338"/>
      <c r="AC61" s="338"/>
      <c r="AF61" s="138"/>
      <c r="AG61" s="138"/>
      <c r="AH61" s="138"/>
      <c r="AI61" s="138"/>
      <c r="AL61" s="258"/>
      <c r="AM61" s="258"/>
      <c r="AN61" s="258"/>
      <c r="AO61" s="258"/>
      <c r="AQ61" s="137"/>
      <c r="AT61" s="137"/>
      <c r="AV61" s="34"/>
      <c r="AW61" s="137"/>
      <c r="AX61" s="137"/>
      <c r="AY61" s="137"/>
      <c r="AZ61" s="137"/>
      <c r="BA61" s="264"/>
      <c r="BB61" s="258"/>
      <c r="BC61" s="258"/>
      <c r="BD61" s="137"/>
      <c r="BE61" s="137"/>
      <c r="BF61" s="137"/>
      <c r="BG61" s="137"/>
      <c r="BH61" s="137"/>
      <c r="BI61" s="137"/>
      <c r="BJ61" s="137"/>
      <c r="BK61" s="137"/>
      <c r="BL61" s="137"/>
      <c r="BM61" s="137"/>
      <c r="BO61" s="137"/>
      <c r="BP61" s="137"/>
      <c r="BQ61" s="137"/>
      <c r="BR61" s="137"/>
      <c r="BS61" s="137"/>
      <c r="BV61" s="262"/>
      <c r="BW61" s="136"/>
      <c r="BX61" s="137"/>
      <c r="BY61" s="137"/>
      <c r="BZ61" s="137"/>
      <c r="CA61" s="137"/>
      <c r="CB61" s="137"/>
      <c r="CC61" s="258"/>
      <c r="CD61" s="258"/>
      <c r="CE61" s="258"/>
      <c r="CF61" s="258"/>
    </row>
    <row r="62" spans="1:84" x14ac:dyDescent="0.25">
      <c r="A62" s="723"/>
      <c r="B62" s="723"/>
      <c r="K62" s="52"/>
      <c r="L62" s="135"/>
      <c r="N62" s="131"/>
      <c r="O62" s="131"/>
      <c r="P62" s="55"/>
      <c r="Q62" s="135"/>
      <c r="R62" s="135"/>
      <c r="U62" s="135"/>
      <c r="V62" s="146"/>
      <c r="W62" s="146"/>
      <c r="X62" s="146"/>
      <c r="Y62" s="338"/>
      <c r="Z62" s="338"/>
      <c r="AA62" s="338"/>
      <c r="AB62" s="338"/>
      <c r="AC62" s="338"/>
      <c r="AF62" s="138"/>
      <c r="AG62" s="138"/>
      <c r="AH62" s="138"/>
      <c r="AI62" s="138"/>
      <c r="AL62" s="258"/>
      <c r="AM62" s="258"/>
      <c r="AN62" s="258"/>
      <c r="AO62" s="258"/>
      <c r="AQ62" s="137"/>
      <c r="AT62" s="137"/>
      <c r="AV62" s="34"/>
      <c r="AW62" s="137"/>
      <c r="AX62" s="137"/>
      <c r="AY62" s="137"/>
      <c r="AZ62" s="137"/>
      <c r="BA62" s="264"/>
      <c r="BB62" s="258"/>
      <c r="BC62" s="258"/>
      <c r="BD62" s="137"/>
      <c r="BE62" s="137"/>
      <c r="BF62" s="137"/>
      <c r="BG62" s="137"/>
      <c r="BH62" s="137"/>
      <c r="BI62" s="137"/>
      <c r="BJ62" s="137"/>
      <c r="BK62" s="137"/>
      <c r="BL62" s="137"/>
      <c r="BM62" s="137"/>
      <c r="BO62" s="137"/>
      <c r="BP62" s="137"/>
      <c r="BQ62" s="137"/>
      <c r="BR62" s="137"/>
      <c r="BS62" s="137"/>
      <c r="BV62" s="262"/>
      <c r="BW62" s="136"/>
      <c r="BX62" s="137"/>
      <c r="BY62" s="137"/>
      <c r="BZ62" s="137"/>
      <c r="CA62" s="137"/>
      <c r="CB62" s="137"/>
      <c r="CC62" s="258"/>
      <c r="CD62" s="258"/>
      <c r="CE62" s="258"/>
      <c r="CF62" s="258"/>
    </row>
    <row r="63" spans="1:84" x14ac:dyDescent="0.25">
      <c r="A63" s="723"/>
      <c r="B63" s="723"/>
      <c r="K63" s="52"/>
      <c r="L63" s="135"/>
      <c r="N63" s="131"/>
      <c r="O63" s="131"/>
      <c r="P63" s="55"/>
      <c r="Q63" s="135"/>
      <c r="R63" s="135"/>
      <c r="U63" s="135"/>
      <c r="V63" s="146"/>
      <c r="W63" s="146"/>
      <c r="X63" s="146"/>
      <c r="Y63" s="338"/>
      <c r="Z63" s="338"/>
      <c r="AA63" s="338"/>
      <c r="AB63" s="338"/>
      <c r="AC63" s="338"/>
      <c r="AF63" s="138"/>
      <c r="AG63" s="138"/>
      <c r="AH63" s="138"/>
      <c r="AI63" s="138"/>
      <c r="AL63" s="258"/>
      <c r="AM63" s="258"/>
      <c r="AN63" s="258"/>
      <c r="AO63" s="258"/>
      <c r="AQ63" s="137"/>
      <c r="AT63" s="137"/>
      <c r="AV63" s="34"/>
      <c r="AW63" s="137"/>
      <c r="AX63" s="137"/>
      <c r="AY63" s="137"/>
      <c r="AZ63" s="137"/>
      <c r="BA63" s="264"/>
      <c r="BB63" s="258"/>
      <c r="BC63" s="258"/>
      <c r="BD63" s="137"/>
      <c r="BE63" s="137"/>
      <c r="BF63" s="137"/>
      <c r="BG63" s="137"/>
      <c r="BH63" s="137"/>
      <c r="BI63" s="137"/>
      <c r="BJ63" s="137"/>
      <c r="BK63" s="137"/>
      <c r="BL63" s="137"/>
      <c r="BM63" s="137"/>
      <c r="BO63" s="137"/>
      <c r="BP63" s="137"/>
      <c r="BQ63" s="137"/>
      <c r="BR63" s="137"/>
      <c r="BS63" s="137"/>
      <c r="BV63" s="262"/>
      <c r="BW63" s="136"/>
      <c r="BX63" s="137"/>
      <c r="BY63" s="137"/>
      <c r="BZ63" s="137"/>
      <c r="CA63" s="137"/>
      <c r="CB63" s="137"/>
      <c r="CC63" s="258"/>
      <c r="CD63" s="258"/>
      <c r="CE63" s="258"/>
      <c r="CF63" s="258"/>
    </row>
    <row r="64" spans="1:84" x14ac:dyDescent="0.25">
      <c r="A64" s="723"/>
      <c r="B64" s="723"/>
      <c r="K64" s="52"/>
      <c r="L64" s="135"/>
      <c r="N64" s="131"/>
      <c r="O64" s="131"/>
      <c r="P64" s="55"/>
      <c r="Q64" s="135"/>
      <c r="R64" s="135"/>
      <c r="U64" s="135"/>
      <c r="V64" s="146"/>
      <c r="W64" s="146"/>
      <c r="X64" s="146"/>
      <c r="Y64" s="338"/>
      <c r="Z64" s="338"/>
      <c r="AA64" s="338"/>
      <c r="AB64" s="338"/>
      <c r="AC64" s="338"/>
      <c r="AF64" s="138"/>
      <c r="AG64" s="138"/>
      <c r="AH64" s="138"/>
      <c r="AI64" s="138"/>
      <c r="AL64" s="258"/>
      <c r="AM64" s="258"/>
      <c r="AN64" s="258"/>
      <c r="AO64" s="258"/>
      <c r="AQ64" s="137"/>
      <c r="AT64" s="137"/>
      <c r="AV64" s="34"/>
      <c r="AW64" s="137"/>
      <c r="AX64" s="137"/>
      <c r="AY64" s="137"/>
      <c r="AZ64" s="137"/>
      <c r="BA64" s="264"/>
      <c r="BB64" s="258"/>
      <c r="BC64" s="258"/>
      <c r="BD64" s="137"/>
      <c r="BE64" s="137"/>
      <c r="BF64" s="137"/>
      <c r="BG64" s="137"/>
      <c r="BH64" s="137"/>
      <c r="BI64" s="137"/>
      <c r="BJ64" s="137"/>
      <c r="BK64" s="137"/>
      <c r="BL64" s="137"/>
      <c r="BM64" s="137"/>
      <c r="BO64" s="137"/>
      <c r="BP64" s="137"/>
      <c r="BQ64" s="137"/>
      <c r="BR64" s="137"/>
      <c r="BS64" s="137"/>
      <c r="BV64" s="262"/>
      <c r="BW64" s="136"/>
      <c r="BX64" s="137"/>
      <c r="BY64" s="137"/>
      <c r="BZ64" s="137"/>
      <c r="CA64" s="137"/>
      <c r="CB64" s="137"/>
      <c r="CC64" s="258"/>
      <c r="CD64" s="258"/>
      <c r="CE64" s="258"/>
      <c r="CF64" s="258"/>
    </row>
    <row r="65" spans="1:84" x14ac:dyDescent="0.25">
      <c r="A65" s="723"/>
      <c r="B65" s="723"/>
      <c r="K65" s="52"/>
      <c r="L65" s="135"/>
      <c r="N65" s="131"/>
      <c r="O65" s="131"/>
      <c r="P65" s="55"/>
      <c r="Q65" s="135"/>
      <c r="R65" s="135"/>
      <c r="U65" s="135"/>
      <c r="V65" s="146"/>
      <c r="W65" s="146"/>
      <c r="X65" s="146"/>
      <c r="Y65" s="338"/>
      <c r="Z65" s="338"/>
      <c r="AA65" s="338"/>
      <c r="AB65" s="338"/>
      <c r="AC65" s="338"/>
      <c r="AF65" s="138"/>
      <c r="AG65" s="138"/>
      <c r="AH65" s="138"/>
      <c r="AI65" s="138"/>
      <c r="AL65" s="258"/>
      <c r="AM65" s="258"/>
      <c r="AN65" s="258"/>
      <c r="AO65" s="258"/>
      <c r="AQ65" s="137"/>
      <c r="AT65" s="137"/>
      <c r="AV65" s="34"/>
      <c r="AW65" s="137"/>
      <c r="AX65" s="137"/>
      <c r="AY65" s="137"/>
      <c r="AZ65" s="137"/>
      <c r="BA65" s="264"/>
      <c r="BB65" s="258"/>
      <c r="BC65" s="258"/>
      <c r="BD65" s="137"/>
      <c r="BE65" s="137"/>
      <c r="BF65" s="137"/>
      <c r="BG65" s="137"/>
      <c r="BH65" s="137"/>
      <c r="BI65" s="137"/>
      <c r="BJ65" s="137"/>
      <c r="BK65" s="137"/>
      <c r="BL65" s="137"/>
      <c r="BM65" s="137"/>
      <c r="BO65" s="137"/>
      <c r="BP65" s="137"/>
      <c r="BQ65" s="137"/>
      <c r="BR65" s="137"/>
      <c r="BS65" s="137"/>
      <c r="BV65" s="262"/>
      <c r="BW65" s="136"/>
      <c r="BX65" s="137"/>
      <c r="BY65" s="137"/>
      <c r="BZ65" s="137"/>
      <c r="CA65" s="137"/>
      <c r="CB65" s="137"/>
      <c r="CC65" s="258"/>
      <c r="CD65" s="258"/>
      <c r="CE65" s="258"/>
      <c r="CF65" s="258"/>
    </row>
    <row r="66" spans="1:84" x14ac:dyDescent="0.25">
      <c r="A66" s="723"/>
      <c r="B66" s="723"/>
      <c r="K66" s="52"/>
      <c r="L66" s="135"/>
      <c r="N66" s="131"/>
      <c r="O66" s="131"/>
      <c r="P66" s="55"/>
      <c r="Q66" s="135"/>
      <c r="R66" s="135"/>
      <c r="U66" s="135"/>
      <c r="V66" s="146"/>
      <c r="W66" s="146"/>
      <c r="X66" s="146"/>
      <c r="Y66" s="338"/>
      <c r="Z66" s="338"/>
      <c r="AA66" s="338"/>
      <c r="AB66" s="338"/>
      <c r="AC66" s="338"/>
      <c r="AF66" s="138"/>
      <c r="AG66" s="138"/>
      <c r="AH66" s="138"/>
      <c r="AI66" s="138"/>
      <c r="AL66" s="258"/>
      <c r="AM66" s="258"/>
      <c r="AN66" s="258"/>
      <c r="AO66" s="258"/>
      <c r="AQ66" s="137"/>
      <c r="AT66" s="137"/>
      <c r="AV66" s="34"/>
      <c r="AW66" s="137"/>
      <c r="AX66" s="137"/>
      <c r="AY66" s="137"/>
      <c r="AZ66" s="137"/>
      <c r="BA66" s="264"/>
      <c r="BB66" s="258"/>
      <c r="BC66" s="258"/>
      <c r="BD66" s="137"/>
      <c r="BE66" s="137"/>
      <c r="BF66" s="137"/>
      <c r="BG66" s="137"/>
      <c r="BH66" s="137"/>
      <c r="BI66" s="137"/>
      <c r="BJ66" s="137"/>
      <c r="BK66" s="137"/>
      <c r="BL66" s="137"/>
      <c r="BM66" s="137"/>
      <c r="BO66" s="137"/>
      <c r="BP66" s="137"/>
      <c r="BQ66" s="137"/>
      <c r="BR66" s="137"/>
      <c r="BS66" s="137"/>
      <c r="BV66" s="262"/>
      <c r="BW66" s="136"/>
      <c r="BX66" s="137"/>
      <c r="BY66" s="137"/>
      <c r="BZ66" s="137"/>
      <c r="CA66" s="137"/>
      <c r="CB66" s="137"/>
      <c r="CC66" s="258"/>
      <c r="CD66" s="258"/>
      <c r="CE66" s="258"/>
      <c r="CF66" s="258"/>
    </row>
    <row r="67" spans="1:84" x14ac:dyDescent="0.25">
      <c r="A67" s="723"/>
      <c r="B67" s="723"/>
      <c r="K67" s="52"/>
      <c r="L67" s="135"/>
      <c r="N67" s="131"/>
      <c r="O67" s="131"/>
      <c r="P67" s="55"/>
      <c r="Q67" s="135"/>
      <c r="R67" s="135"/>
      <c r="U67" s="135"/>
      <c r="V67" s="146"/>
      <c r="W67" s="146"/>
      <c r="X67" s="146"/>
      <c r="Y67" s="338"/>
      <c r="Z67" s="338"/>
      <c r="AA67" s="338"/>
      <c r="AB67" s="338"/>
      <c r="AC67" s="338"/>
      <c r="AF67" s="138"/>
      <c r="AG67" s="138"/>
      <c r="AH67" s="138"/>
      <c r="AI67" s="138"/>
      <c r="AL67" s="258"/>
      <c r="AM67" s="258"/>
      <c r="AN67" s="258"/>
      <c r="AO67" s="258"/>
      <c r="AQ67" s="137"/>
      <c r="AT67" s="137"/>
      <c r="AV67" s="34"/>
      <c r="AW67" s="137"/>
      <c r="AX67" s="137"/>
      <c r="AY67" s="137"/>
      <c r="AZ67" s="137"/>
      <c r="BA67" s="264"/>
      <c r="BB67" s="258"/>
      <c r="BC67" s="258"/>
      <c r="BD67" s="137"/>
      <c r="BE67" s="137"/>
      <c r="BF67" s="137"/>
      <c r="BG67" s="137"/>
      <c r="BH67" s="137"/>
      <c r="BI67" s="137"/>
      <c r="BJ67" s="137"/>
      <c r="BK67" s="137"/>
      <c r="BL67" s="137"/>
      <c r="BM67" s="137"/>
      <c r="BO67" s="137"/>
      <c r="BP67" s="137"/>
      <c r="BQ67" s="137"/>
      <c r="BR67" s="137"/>
      <c r="BS67" s="137"/>
      <c r="BV67" s="262"/>
      <c r="BW67" s="136"/>
      <c r="BX67" s="137"/>
      <c r="BY67" s="137"/>
      <c r="BZ67" s="137"/>
      <c r="CA67" s="137"/>
      <c r="CB67" s="137"/>
      <c r="CC67" s="258"/>
      <c r="CD67" s="258"/>
      <c r="CE67" s="258"/>
      <c r="CF67" s="258"/>
    </row>
    <row r="68" spans="1:84" x14ac:dyDescent="0.25">
      <c r="A68" s="723"/>
      <c r="B68" s="723"/>
      <c r="K68" s="52"/>
      <c r="L68" s="135"/>
      <c r="N68" s="131"/>
      <c r="O68" s="131"/>
      <c r="P68" s="55"/>
      <c r="Q68" s="135"/>
      <c r="R68" s="135"/>
      <c r="U68" s="135"/>
      <c r="V68" s="146"/>
      <c r="W68" s="146"/>
      <c r="X68" s="146"/>
      <c r="Y68" s="338"/>
      <c r="Z68" s="338"/>
      <c r="AA68" s="338"/>
      <c r="AB68" s="338"/>
      <c r="AC68" s="338"/>
      <c r="AF68" s="138"/>
      <c r="AG68" s="138"/>
      <c r="AH68" s="138"/>
      <c r="AI68" s="138"/>
      <c r="AL68" s="258"/>
      <c r="AM68" s="258"/>
      <c r="AN68" s="258"/>
      <c r="AO68" s="258"/>
      <c r="AQ68" s="137"/>
      <c r="AT68" s="137"/>
      <c r="AV68" s="34"/>
      <c r="AW68" s="137"/>
      <c r="AX68" s="137"/>
      <c r="AY68" s="137"/>
      <c r="AZ68" s="137"/>
      <c r="BA68" s="264"/>
      <c r="BB68" s="258"/>
      <c r="BC68" s="258"/>
      <c r="BD68" s="137"/>
      <c r="BE68" s="137"/>
      <c r="BF68" s="137"/>
      <c r="BG68" s="137"/>
      <c r="BH68" s="137"/>
      <c r="BI68" s="137"/>
      <c r="BJ68" s="137"/>
      <c r="BK68" s="137"/>
      <c r="BL68" s="137"/>
      <c r="BM68" s="137"/>
      <c r="BO68" s="137"/>
      <c r="BP68" s="137"/>
      <c r="BQ68" s="137"/>
      <c r="BR68" s="137"/>
      <c r="BS68" s="137"/>
      <c r="BV68" s="262"/>
      <c r="BW68" s="136"/>
      <c r="BX68" s="137"/>
      <c r="BY68" s="137"/>
      <c r="BZ68" s="137"/>
      <c r="CA68" s="137"/>
      <c r="CB68" s="137"/>
      <c r="CC68" s="258"/>
      <c r="CD68" s="258"/>
      <c r="CE68" s="258"/>
      <c r="CF68" s="258"/>
    </row>
    <row r="69" spans="1:84" x14ac:dyDescent="0.25">
      <c r="A69" s="723"/>
      <c r="B69" s="723"/>
      <c r="K69" s="52"/>
      <c r="L69" s="135"/>
      <c r="N69" s="131"/>
      <c r="O69" s="131"/>
      <c r="P69" s="55"/>
      <c r="Q69" s="135"/>
      <c r="R69" s="135"/>
      <c r="U69" s="135"/>
      <c r="V69" s="146"/>
      <c r="W69" s="146"/>
      <c r="X69" s="146"/>
      <c r="Y69" s="338"/>
      <c r="Z69" s="338"/>
      <c r="AA69" s="338"/>
      <c r="AB69" s="338"/>
      <c r="AC69" s="338"/>
      <c r="AF69" s="138"/>
      <c r="AG69" s="138"/>
      <c r="AH69" s="138"/>
      <c r="AI69" s="138"/>
      <c r="AL69" s="258"/>
      <c r="AM69" s="258"/>
      <c r="AN69" s="258"/>
      <c r="AO69" s="258"/>
      <c r="AQ69" s="137"/>
      <c r="AT69" s="137"/>
      <c r="AV69" s="34"/>
      <c r="AW69" s="137"/>
      <c r="AX69" s="137"/>
      <c r="AY69" s="137"/>
      <c r="AZ69" s="137"/>
      <c r="BA69" s="264"/>
      <c r="BB69" s="258"/>
      <c r="BC69" s="258"/>
      <c r="BD69" s="137"/>
      <c r="BE69" s="137"/>
      <c r="BF69" s="137"/>
      <c r="BG69" s="137"/>
      <c r="BH69" s="137"/>
      <c r="BI69" s="137"/>
      <c r="BJ69" s="137"/>
      <c r="BK69" s="137"/>
      <c r="BL69" s="137"/>
      <c r="BM69" s="137"/>
      <c r="BO69" s="137"/>
      <c r="BP69" s="137"/>
      <c r="BQ69" s="137"/>
      <c r="BR69" s="137"/>
      <c r="BS69" s="137"/>
      <c r="BV69" s="262"/>
      <c r="BW69" s="136"/>
      <c r="BX69" s="137"/>
      <c r="BY69" s="137"/>
      <c r="BZ69" s="137"/>
      <c r="CA69" s="137"/>
      <c r="CB69" s="137"/>
      <c r="CC69" s="258"/>
      <c r="CD69" s="258"/>
      <c r="CE69" s="258"/>
      <c r="CF69" s="258"/>
    </row>
    <row r="70" spans="1:84" x14ac:dyDescent="0.25">
      <c r="A70" s="723"/>
      <c r="B70" s="723"/>
      <c r="K70" s="52"/>
      <c r="L70" s="135"/>
      <c r="N70" s="131"/>
      <c r="O70" s="131"/>
      <c r="P70" s="55"/>
      <c r="Q70" s="135"/>
      <c r="R70" s="135"/>
      <c r="U70" s="135"/>
      <c r="V70" s="146"/>
      <c r="W70" s="146"/>
      <c r="X70" s="146"/>
      <c r="Y70" s="338"/>
      <c r="Z70" s="338"/>
      <c r="AA70" s="338"/>
      <c r="AB70" s="338"/>
      <c r="AC70" s="338"/>
      <c r="AF70" s="138"/>
      <c r="AG70" s="138"/>
      <c r="AH70" s="138"/>
      <c r="AI70" s="138"/>
      <c r="AL70" s="258"/>
      <c r="AM70" s="258"/>
      <c r="AN70" s="258"/>
      <c r="AO70" s="258"/>
      <c r="AQ70" s="137"/>
      <c r="AT70" s="137"/>
      <c r="AV70" s="34"/>
      <c r="AW70" s="137"/>
      <c r="AX70" s="137"/>
      <c r="AY70" s="137"/>
      <c r="AZ70" s="137"/>
      <c r="BA70" s="264"/>
      <c r="BB70" s="258"/>
      <c r="BC70" s="258"/>
      <c r="BD70" s="137"/>
      <c r="BE70" s="137"/>
      <c r="BF70" s="137"/>
      <c r="BG70" s="137"/>
      <c r="BH70" s="137"/>
      <c r="BI70" s="137"/>
      <c r="BJ70" s="137"/>
      <c r="BK70" s="137"/>
      <c r="BL70" s="137"/>
      <c r="BM70" s="137"/>
      <c r="BO70" s="137"/>
      <c r="BP70" s="137"/>
      <c r="BQ70" s="137"/>
      <c r="BR70" s="137"/>
      <c r="BS70" s="137"/>
      <c r="BV70" s="262"/>
      <c r="BW70" s="136"/>
      <c r="BX70" s="137"/>
      <c r="BY70" s="137"/>
      <c r="BZ70" s="137"/>
      <c r="CA70" s="137"/>
      <c r="CB70" s="137"/>
      <c r="CC70" s="258"/>
      <c r="CD70" s="258"/>
      <c r="CE70" s="258"/>
      <c r="CF70" s="258"/>
    </row>
    <row r="71" spans="1:84" x14ac:dyDescent="0.25">
      <c r="A71" s="723"/>
      <c r="B71" s="723"/>
      <c r="K71" s="52"/>
      <c r="L71" s="135"/>
      <c r="N71" s="131"/>
      <c r="O71" s="131"/>
      <c r="P71" s="55"/>
      <c r="Q71" s="135"/>
      <c r="R71" s="135"/>
      <c r="U71" s="135"/>
      <c r="V71" s="146"/>
      <c r="W71" s="146"/>
      <c r="X71" s="146"/>
      <c r="Y71" s="338"/>
      <c r="Z71" s="338"/>
      <c r="AA71" s="338"/>
      <c r="AB71" s="338"/>
      <c r="AC71" s="338"/>
      <c r="AF71" s="138"/>
      <c r="AG71" s="138"/>
      <c r="AH71" s="138"/>
      <c r="AI71" s="138"/>
      <c r="AL71" s="258"/>
      <c r="AM71" s="258"/>
      <c r="AN71" s="258"/>
      <c r="AO71" s="258"/>
      <c r="AQ71" s="137"/>
      <c r="AT71" s="137"/>
      <c r="AV71" s="34"/>
      <c r="AW71" s="137"/>
      <c r="AX71" s="137"/>
      <c r="AY71" s="137"/>
      <c r="AZ71" s="137"/>
      <c r="BA71" s="264"/>
      <c r="BB71" s="258"/>
      <c r="BC71" s="258"/>
      <c r="BD71" s="137"/>
      <c r="BE71" s="137"/>
      <c r="BF71" s="137"/>
      <c r="BG71" s="137"/>
      <c r="BH71" s="137"/>
      <c r="BI71" s="137"/>
      <c r="BJ71" s="137"/>
      <c r="BK71" s="137"/>
      <c r="BL71" s="137"/>
      <c r="BM71" s="137"/>
      <c r="BO71" s="137"/>
      <c r="BP71" s="137"/>
      <c r="BQ71" s="137"/>
      <c r="BR71" s="137"/>
      <c r="BS71" s="137"/>
      <c r="BV71" s="262"/>
      <c r="BW71" s="136"/>
      <c r="BX71" s="137"/>
      <c r="BY71" s="137"/>
      <c r="BZ71" s="137"/>
      <c r="CA71" s="137"/>
      <c r="CB71" s="137"/>
      <c r="CC71" s="258"/>
      <c r="CD71" s="258"/>
      <c r="CE71" s="258"/>
      <c r="CF71" s="258"/>
    </row>
    <row r="72" spans="1:84" x14ac:dyDescent="0.25">
      <c r="A72" s="723"/>
      <c r="B72" s="723"/>
      <c r="K72" s="52"/>
      <c r="L72" s="135"/>
      <c r="N72" s="131"/>
      <c r="O72" s="131"/>
      <c r="P72" s="55"/>
      <c r="Q72" s="135"/>
      <c r="R72" s="135"/>
      <c r="U72" s="135"/>
      <c r="V72" s="146"/>
      <c r="W72" s="146"/>
      <c r="X72" s="146"/>
      <c r="Y72" s="338"/>
      <c r="Z72" s="338"/>
      <c r="AA72" s="338"/>
      <c r="AB72" s="338"/>
      <c r="AC72" s="338"/>
      <c r="AF72" s="138"/>
      <c r="AG72" s="138"/>
      <c r="AH72" s="138"/>
      <c r="AI72" s="138"/>
      <c r="AL72" s="258"/>
      <c r="AM72" s="258"/>
      <c r="AN72" s="258"/>
      <c r="AO72" s="258"/>
      <c r="AQ72" s="137"/>
      <c r="AT72" s="137"/>
      <c r="AV72" s="34"/>
      <c r="AW72" s="137"/>
      <c r="AX72" s="137"/>
      <c r="AY72" s="137"/>
      <c r="AZ72" s="137"/>
      <c r="BA72" s="264"/>
      <c r="BB72" s="258"/>
      <c r="BC72" s="258"/>
      <c r="BD72" s="137"/>
      <c r="BE72" s="137"/>
      <c r="BF72" s="137"/>
      <c r="BG72" s="137"/>
      <c r="BH72" s="137"/>
      <c r="BI72" s="137"/>
      <c r="BJ72" s="137"/>
      <c r="BK72" s="137"/>
      <c r="BL72" s="137"/>
      <c r="BM72" s="137"/>
      <c r="BO72" s="137"/>
      <c r="BP72" s="137"/>
      <c r="BQ72" s="137"/>
      <c r="BR72" s="137"/>
      <c r="BS72" s="137"/>
      <c r="BV72" s="262"/>
      <c r="BW72" s="136"/>
      <c r="BX72" s="137"/>
      <c r="BY72" s="137"/>
      <c r="BZ72" s="137"/>
      <c r="CA72" s="137"/>
      <c r="CB72" s="137"/>
      <c r="CC72" s="258"/>
      <c r="CD72" s="258"/>
      <c r="CE72" s="258"/>
      <c r="CF72" s="258"/>
    </row>
    <row r="73" spans="1:84" x14ac:dyDescent="0.25">
      <c r="A73" s="723"/>
      <c r="B73" s="723"/>
      <c r="K73" s="52"/>
      <c r="L73" s="135"/>
      <c r="N73" s="131"/>
      <c r="O73" s="131"/>
      <c r="P73" s="55"/>
      <c r="Q73" s="135"/>
      <c r="R73" s="135"/>
      <c r="U73" s="135"/>
      <c r="V73" s="146"/>
      <c r="W73" s="146"/>
      <c r="X73" s="146"/>
      <c r="Y73" s="338"/>
      <c r="Z73" s="338"/>
      <c r="AA73" s="338"/>
      <c r="AB73" s="338"/>
      <c r="AC73" s="338"/>
      <c r="AF73" s="138"/>
      <c r="AG73" s="138"/>
      <c r="AH73" s="138"/>
      <c r="AI73" s="138"/>
      <c r="AL73" s="258"/>
      <c r="AM73" s="258"/>
      <c r="AN73" s="258"/>
      <c r="AO73" s="258"/>
      <c r="AQ73" s="137"/>
      <c r="AT73" s="137"/>
      <c r="AV73" s="34"/>
      <c r="AW73" s="137"/>
      <c r="AX73" s="137"/>
      <c r="AY73" s="137"/>
      <c r="AZ73" s="137"/>
      <c r="BA73" s="264"/>
      <c r="BB73" s="258"/>
      <c r="BC73" s="258"/>
      <c r="BD73" s="137"/>
      <c r="BE73" s="137"/>
      <c r="BF73" s="137"/>
      <c r="BG73" s="137"/>
      <c r="BH73" s="137"/>
      <c r="BI73" s="137"/>
      <c r="BJ73" s="137"/>
      <c r="BK73" s="137"/>
      <c r="BL73" s="137"/>
      <c r="BM73" s="137"/>
      <c r="BO73" s="137"/>
      <c r="BP73" s="137"/>
      <c r="BQ73" s="137"/>
      <c r="BR73" s="137"/>
      <c r="BS73" s="137"/>
      <c r="BV73" s="262"/>
      <c r="BW73" s="136"/>
      <c r="BX73" s="137"/>
      <c r="BY73" s="137"/>
      <c r="BZ73" s="137"/>
      <c r="CA73" s="137"/>
      <c r="CB73" s="137"/>
      <c r="CC73" s="258"/>
      <c r="CD73" s="258"/>
      <c r="CE73" s="258"/>
      <c r="CF73" s="258"/>
    </row>
    <row r="74" spans="1:84" x14ac:dyDescent="0.25">
      <c r="A74" s="723"/>
      <c r="B74" s="723"/>
      <c r="K74" s="52"/>
      <c r="L74" s="135"/>
      <c r="N74" s="131"/>
      <c r="O74" s="131"/>
      <c r="P74" s="55"/>
      <c r="Q74" s="135"/>
      <c r="R74" s="135"/>
      <c r="U74" s="135"/>
      <c r="V74" s="146"/>
      <c r="W74" s="146"/>
      <c r="X74" s="146"/>
      <c r="Y74" s="338"/>
      <c r="Z74" s="338"/>
      <c r="AA74" s="338"/>
      <c r="AB74" s="338"/>
      <c r="AC74" s="338"/>
      <c r="AF74" s="138"/>
      <c r="AG74" s="138"/>
      <c r="AH74" s="138"/>
      <c r="AI74" s="138"/>
      <c r="AL74" s="258"/>
      <c r="AM74" s="258"/>
      <c r="AN74" s="258"/>
      <c r="AO74" s="258"/>
      <c r="AQ74" s="137"/>
      <c r="AT74" s="137"/>
      <c r="AV74" s="34"/>
      <c r="AW74" s="137"/>
      <c r="AX74" s="137"/>
      <c r="AY74" s="137"/>
      <c r="AZ74" s="137"/>
      <c r="BA74" s="264"/>
      <c r="BB74" s="258"/>
      <c r="BC74" s="258"/>
      <c r="BD74" s="137"/>
      <c r="BE74" s="137"/>
      <c r="BF74" s="137"/>
      <c r="BG74" s="137"/>
      <c r="BH74" s="137"/>
      <c r="BI74" s="137"/>
      <c r="BJ74" s="137"/>
      <c r="BK74" s="137"/>
      <c r="BL74" s="137"/>
      <c r="BM74" s="137"/>
      <c r="BO74" s="137"/>
      <c r="BP74" s="137"/>
      <c r="BQ74" s="137"/>
      <c r="BR74" s="137"/>
      <c r="BS74" s="137"/>
      <c r="BV74" s="262"/>
      <c r="BW74" s="136"/>
      <c r="BX74" s="137"/>
      <c r="BY74" s="137"/>
      <c r="BZ74" s="137"/>
      <c r="CA74" s="137"/>
      <c r="CB74" s="137"/>
      <c r="CC74" s="258"/>
      <c r="CD74" s="258"/>
      <c r="CE74" s="258"/>
      <c r="CF74" s="258"/>
    </row>
    <row r="75" spans="1:84" x14ac:dyDescent="0.25">
      <c r="A75" s="723"/>
      <c r="B75" s="723"/>
      <c r="K75" s="52"/>
      <c r="L75" s="135"/>
      <c r="N75" s="131"/>
      <c r="O75" s="131"/>
      <c r="P75" s="55"/>
      <c r="Q75" s="135"/>
      <c r="R75" s="135"/>
      <c r="U75" s="135"/>
      <c r="V75" s="146"/>
      <c r="W75" s="146"/>
      <c r="X75" s="146"/>
      <c r="Y75" s="338"/>
      <c r="Z75" s="338"/>
      <c r="AA75" s="338"/>
      <c r="AB75" s="338"/>
      <c r="AC75" s="338"/>
      <c r="AF75" s="138"/>
      <c r="AG75" s="138"/>
      <c r="AH75" s="138"/>
      <c r="AI75" s="138"/>
      <c r="AL75" s="258"/>
      <c r="AM75" s="258"/>
      <c r="AN75" s="258"/>
      <c r="AO75" s="258"/>
      <c r="AQ75" s="137"/>
      <c r="AT75" s="137"/>
      <c r="AV75" s="34"/>
      <c r="AW75" s="137"/>
      <c r="AX75" s="137"/>
      <c r="AY75" s="137"/>
      <c r="AZ75" s="137"/>
      <c r="BA75" s="264"/>
      <c r="BB75" s="258"/>
      <c r="BC75" s="258"/>
      <c r="BD75" s="137"/>
      <c r="BE75" s="137"/>
      <c r="BF75" s="137"/>
      <c r="BG75" s="137"/>
      <c r="BH75" s="137"/>
      <c r="BI75" s="137"/>
      <c r="BJ75" s="137"/>
      <c r="BK75" s="137"/>
      <c r="BL75" s="137"/>
      <c r="BM75" s="137"/>
      <c r="BO75" s="137"/>
      <c r="BP75" s="137"/>
      <c r="BQ75" s="137"/>
      <c r="BR75" s="137"/>
      <c r="BS75" s="137"/>
      <c r="BV75" s="262"/>
      <c r="BW75" s="136"/>
      <c r="BX75" s="137"/>
      <c r="BY75" s="137"/>
      <c r="BZ75" s="137"/>
      <c r="CA75" s="137"/>
      <c r="CB75" s="137"/>
      <c r="CC75" s="258"/>
      <c r="CD75" s="258"/>
      <c r="CE75" s="258"/>
      <c r="CF75" s="258"/>
    </row>
    <row r="76" spans="1:84" x14ac:dyDescent="0.25">
      <c r="A76" s="723"/>
      <c r="B76" s="723"/>
      <c r="K76" s="52"/>
      <c r="L76" s="135"/>
      <c r="N76" s="131"/>
      <c r="O76" s="131"/>
      <c r="P76" s="55"/>
      <c r="Q76" s="135"/>
      <c r="R76" s="135"/>
      <c r="U76" s="135"/>
      <c r="V76" s="146"/>
      <c r="W76" s="146"/>
      <c r="X76" s="146"/>
      <c r="Y76" s="338"/>
      <c r="Z76" s="338"/>
      <c r="AA76" s="338"/>
      <c r="AB76" s="338"/>
      <c r="AC76" s="338"/>
      <c r="AF76" s="138"/>
      <c r="AG76" s="138"/>
      <c r="AH76" s="138"/>
      <c r="AI76" s="138"/>
      <c r="AL76" s="258"/>
      <c r="AM76" s="258"/>
      <c r="AN76" s="258"/>
      <c r="AO76" s="258"/>
      <c r="AQ76" s="137"/>
      <c r="AT76" s="137"/>
      <c r="AV76" s="34"/>
      <c r="AW76" s="137"/>
      <c r="AX76" s="137"/>
      <c r="AY76" s="137"/>
      <c r="AZ76" s="137"/>
      <c r="BA76" s="264"/>
      <c r="BB76" s="258"/>
      <c r="BC76" s="258"/>
      <c r="BD76" s="137"/>
      <c r="BE76" s="137"/>
      <c r="BF76" s="137"/>
      <c r="BG76" s="137"/>
      <c r="BH76" s="137"/>
      <c r="BI76" s="137"/>
      <c r="BJ76" s="137"/>
      <c r="BK76" s="137"/>
      <c r="BL76" s="137"/>
      <c r="BM76" s="137"/>
      <c r="BO76" s="137"/>
      <c r="BP76" s="137"/>
      <c r="BQ76" s="137"/>
      <c r="BR76" s="137"/>
      <c r="BS76" s="137"/>
      <c r="BV76" s="262"/>
      <c r="BW76" s="136"/>
      <c r="BX76" s="137"/>
      <c r="BY76" s="137"/>
      <c r="BZ76" s="137"/>
      <c r="CA76" s="137"/>
      <c r="CB76" s="137"/>
      <c r="CC76" s="258"/>
      <c r="CD76" s="258"/>
      <c r="CE76" s="258"/>
      <c r="CF76" s="258"/>
    </row>
    <row r="77" spans="1:84" x14ac:dyDescent="0.25">
      <c r="A77" s="723"/>
      <c r="B77" s="723"/>
      <c r="K77" s="52"/>
      <c r="L77" s="135"/>
      <c r="N77" s="131"/>
      <c r="O77" s="131"/>
      <c r="P77" s="55"/>
      <c r="Q77" s="135"/>
      <c r="R77" s="135"/>
      <c r="U77" s="135"/>
      <c r="V77" s="146"/>
      <c r="W77" s="146"/>
      <c r="X77" s="146"/>
      <c r="Y77" s="338"/>
      <c r="Z77" s="338"/>
      <c r="AA77" s="338"/>
      <c r="AB77" s="338"/>
      <c r="AC77" s="338"/>
      <c r="AF77" s="138"/>
      <c r="AG77" s="138"/>
      <c r="AH77" s="138"/>
      <c r="AI77" s="138"/>
      <c r="AL77" s="258"/>
      <c r="AM77" s="258"/>
      <c r="AN77" s="258"/>
      <c r="AO77" s="258"/>
      <c r="AQ77" s="137"/>
      <c r="AT77" s="137"/>
      <c r="AV77" s="34"/>
      <c r="AW77" s="137"/>
      <c r="AX77" s="137"/>
      <c r="AY77" s="137"/>
      <c r="AZ77" s="137"/>
      <c r="BA77" s="264"/>
      <c r="BB77" s="258"/>
      <c r="BC77" s="258"/>
      <c r="BD77" s="137"/>
      <c r="BE77" s="137"/>
      <c r="BF77" s="137"/>
      <c r="BG77" s="137"/>
      <c r="BH77" s="137"/>
      <c r="BI77" s="137"/>
      <c r="BJ77" s="137"/>
      <c r="BK77" s="137"/>
      <c r="BL77" s="137"/>
      <c r="BM77" s="137"/>
      <c r="BO77" s="137"/>
      <c r="BP77" s="137"/>
      <c r="BQ77" s="137"/>
      <c r="BR77" s="137"/>
      <c r="BS77" s="137"/>
      <c r="BV77" s="262"/>
      <c r="BW77" s="136"/>
      <c r="BX77" s="137"/>
      <c r="BY77" s="137"/>
      <c r="BZ77" s="137"/>
      <c r="CA77" s="137"/>
      <c r="CB77" s="137"/>
      <c r="CC77" s="258"/>
      <c r="CD77" s="258"/>
      <c r="CE77" s="258"/>
      <c r="CF77" s="258"/>
    </row>
    <row r="78" spans="1:84" x14ac:dyDescent="0.25">
      <c r="A78" s="723"/>
      <c r="B78" s="723"/>
      <c r="K78" s="52"/>
      <c r="L78" s="135"/>
      <c r="N78" s="131"/>
      <c r="O78" s="131"/>
      <c r="P78" s="55"/>
      <c r="Q78" s="135"/>
      <c r="R78" s="135"/>
      <c r="U78" s="135"/>
      <c r="V78" s="146"/>
      <c r="W78" s="146"/>
      <c r="X78" s="146"/>
      <c r="Y78" s="338"/>
      <c r="Z78" s="338"/>
      <c r="AA78" s="338"/>
      <c r="AB78" s="338"/>
      <c r="AC78" s="338"/>
      <c r="AF78" s="138"/>
      <c r="AG78" s="138"/>
      <c r="AH78" s="138"/>
      <c r="AI78" s="138"/>
      <c r="AL78" s="258"/>
      <c r="AM78" s="258"/>
      <c r="AN78" s="258"/>
      <c r="AO78" s="258"/>
      <c r="AQ78" s="137"/>
      <c r="AT78" s="137"/>
      <c r="AV78" s="34"/>
      <c r="AW78" s="137"/>
      <c r="AX78" s="137"/>
      <c r="AY78" s="137"/>
      <c r="AZ78" s="137"/>
      <c r="BA78" s="264"/>
      <c r="BB78" s="258"/>
      <c r="BC78" s="258"/>
      <c r="BD78" s="137"/>
      <c r="BE78" s="137"/>
      <c r="BF78" s="137"/>
      <c r="BG78" s="137"/>
      <c r="BH78" s="137"/>
      <c r="BI78" s="137"/>
      <c r="BJ78" s="137"/>
      <c r="BK78" s="137"/>
      <c r="BL78" s="137"/>
      <c r="BM78" s="137"/>
      <c r="BO78" s="137"/>
      <c r="BP78" s="137"/>
      <c r="BQ78" s="137"/>
      <c r="BR78" s="137"/>
      <c r="BS78" s="137"/>
      <c r="BV78" s="262"/>
      <c r="BW78" s="136"/>
      <c r="BX78" s="137"/>
      <c r="BY78" s="137"/>
      <c r="BZ78" s="137"/>
      <c r="CA78" s="137"/>
      <c r="CB78" s="137"/>
      <c r="CC78" s="258"/>
      <c r="CD78" s="258"/>
      <c r="CE78" s="258"/>
      <c r="CF78" s="258"/>
    </row>
    <row r="79" spans="1:84" x14ac:dyDescent="0.25">
      <c r="A79" s="723"/>
      <c r="B79" s="723"/>
      <c r="K79" s="52"/>
      <c r="L79" s="135"/>
      <c r="N79" s="131"/>
      <c r="O79" s="131"/>
      <c r="P79" s="55"/>
      <c r="Q79" s="135"/>
      <c r="R79" s="135"/>
      <c r="U79" s="135"/>
      <c r="V79" s="146"/>
      <c r="W79" s="146"/>
      <c r="X79" s="146"/>
      <c r="Y79" s="338"/>
      <c r="Z79" s="338"/>
      <c r="AA79" s="338"/>
      <c r="AB79" s="338"/>
      <c r="AC79" s="338"/>
      <c r="AF79" s="138"/>
      <c r="AG79" s="138"/>
      <c r="AH79" s="138"/>
      <c r="AI79" s="138"/>
      <c r="AL79" s="258"/>
      <c r="AM79" s="258"/>
      <c r="AN79" s="258"/>
      <c r="AO79" s="258"/>
      <c r="AQ79" s="137"/>
      <c r="AT79" s="137"/>
      <c r="AV79" s="34"/>
      <c r="AW79" s="137"/>
      <c r="AX79" s="137"/>
      <c r="AY79" s="137"/>
      <c r="AZ79" s="137"/>
      <c r="BA79" s="264"/>
      <c r="BB79" s="258"/>
      <c r="BC79" s="258"/>
      <c r="BD79" s="137"/>
      <c r="BE79" s="137"/>
      <c r="BF79" s="137"/>
      <c r="BG79" s="137"/>
      <c r="BH79" s="137"/>
      <c r="BI79" s="137"/>
      <c r="BJ79" s="137"/>
      <c r="BK79" s="137"/>
      <c r="BL79" s="137"/>
      <c r="BM79" s="137"/>
      <c r="BO79" s="137"/>
      <c r="BP79" s="137"/>
      <c r="BQ79" s="137"/>
      <c r="BR79" s="137"/>
      <c r="BS79" s="137"/>
      <c r="BV79" s="262"/>
      <c r="BW79" s="136"/>
      <c r="BX79" s="137"/>
      <c r="BY79" s="137"/>
      <c r="BZ79" s="137"/>
      <c r="CA79" s="137"/>
      <c r="CB79" s="137"/>
      <c r="CC79" s="258"/>
      <c r="CD79" s="258"/>
      <c r="CE79" s="258"/>
      <c r="CF79" s="258"/>
    </row>
    <row r="80" spans="1:84" x14ac:dyDescent="0.25">
      <c r="A80" s="723"/>
      <c r="B80" s="723"/>
      <c r="K80" s="52"/>
      <c r="L80" s="135"/>
      <c r="N80" s="131"/>
      <c r="O80" s="131"/>
      <c r="P80" s="55"/>
      <c r="Q80" s="135"/>
      <c r="R80" s="135"/>
      <c r="U80" s="135"/>
      <c r="V80" s="146"/>
      <c r="W80" s="146"/>
      <c r="X80" s="146"/>
      <c r="Y80" s="338"/>
      <c r="Z80" s="338"/>
      <c r="AA80" s="338"/>
      <c r="AB80" s="338"/>
      <c r="AC80" s="338"/>
      <c r="AF80" s="138"/>
      <c r="AG80" s="138"/>
      <c r="AH80" s="138"/>
      <c r="AI80" s="138"/>
      <c r="AL80" s="258"/>
      <c r="AM80" s="258"/>
      <c r="AN80" s="258"/>
      <c r="AO80" s="258"/>
      <c r="AQ80" s="137"/>
      <c r="AT80" s="137"/>
      <c r="AV80" s="34"/>
      <c r="AW80" s="137"/>
      <c r="AX80" s="137"/>
      <c r="AY80" s="137"/>
      <c r="AZ80" s="137"/>
      <c r="BA80" s="264"/>
      <c r="BB80" s="258"/>
      <c r="BC80" s="258"/>
      <c r="BD80" s="137"/>
      <c r="BE80" s="137"/>
      <c r="BF80" s="137"/>
      <c r="BG80" s="137"/>
      <c r="BH80" s="137"/>
      <c r="BI80" s="137"/>
      <c r="BJ80" s="137"/>
      <c r="BK80" s="137"/>
      <c r="BL80" s="137"/>
      <c r="BM80" s="137"/>
      <c r="BO80" s="137"/>
      <c r="BP80" s="137"/>
      <c r="BQ80" s="137"/>
      <c r="BR80" s="137"/>
      <c r="BS80" s="137"/>
      <c r="BV80" s="262"/>
      <c r="BW80" s="136"/>
      <c r="BX80" s="137"/>
      <c r="BY80" s="137"/>
      <c r="BZ80" s="137"/>
      <c r="CA80" s="137"/>
      <c r="CB80" s="137"/>
      <c r="CC80" s="258"/>
      <c r="CD80" s="258"/>
      <c r="CE80" s="258"/>
      <c r="CF80" s="258"/>
    </row>
    <row r="81" spans="1:84" x14ac:dyDescent="0.25">
      <c r="A81" s="723"/>
      <c r="B81" s="723"/>
      <c r="K81" s="52"/>
      <c r="L81" s="135"/>
      <c r="N81" s="131"/>
      <c r="O81" s="131"/>
      <c r="P81" s="55"/>
      <c r="Q81" s="135"/>
      <c r="R81" s="135"/>
      <c r="U81" s="135"/>
      <c r="V81" s="146"/>
      <c r="W81" s="146"/>
      <c r="X81" s="146"/>
      <c r="Y81" s="338"/>
      <c r="Z81" s="338"/>
      <c r="AA81" s="338"/>
      <c r="AB81" s="338"/>
      <c r="AC81" s="338"/>
      <c r="AF81" s="138"/>
      <c r="AG81" s="138"/>
      <c r="AH81" s="138"/>
      <c r="AI81" s="138"/>
      <c r="AL81" s="258"/>
      <c r="AM81" s="258"/>
      <c r="AN81" s="258"/>
      <c r="AO81" s="258"/>
      <c r="AQ81" s="137"/>
      <c r="AT81" s="137"/>
      <c r="AV81" s="34"/>
      <c r="AW81" s="137"/>
      <c r="AX81" s="137"/>
      <c r="AY81" s="137"/>
      <c r="AZ81" s="137"/>
      <c r="BA81" s="264"/>
      <c r="BB81" s="258"/>
      <c r="BC81" s="258"/>
      <c r="BD81" s="137"/>
      <c r="BE81" s="137"/>
      <c r="BF81" s="137"/>
      <c r="BG81" s="137"/>
      <c r="BH81" s="137"/>
      <c r="BI81" s="137"/>
      <c r="BJ81" s="137"/>
      <c r="BK81" s="137"/>
      <c r="BL81" s="137"/>
      <c r="BM81" s="137"/>
      <c r="BO81" s="137"/>
      <c r="BP81" s="137"/>
      <c r="BQ81" s="137"/>
      <c r="BR81" s="137"/>
      <c r="BS81" s="137"/>
      <c r="BV81" s="262"/>
      <c r="BW81" s="136"/>
      <c r="BX81" s="137"/>
      <c r="BY81" s="137"/>
      <c r="BZ81" s="137"/>
      <c r="CA81" s="137"/>
      <c r="CB81" s="137"/>
      <c r="CC81" s="258"/>
      <c r="CD81" s="258"/>
      <c r="CE81" s="258"/>
      <c r="CF81" s="258"/>
    </row>
    <row r="82" spans="1:84" x14ac:dyDescent="0.25">
      <c r="A82" s="723"/>
      <c r="B82" s="723"/>
      <c r="K82" s="52"/>
      <c r="L82" s="135"/>
      <c r="N82" s="131"/>
      <c r="O82" s="131"/>
      <c r="P82" s="55"/>
      <c r="Q82" s="135"/>
      <c r="R82" s="135"/>
      <c r="U82" s="135"/>
      <c r="V82" s="146"/>
      <c r="W82" s="146"/>
      <c r="X82" s="146"/>
      <c r="Y82" s="338"/>
      <c r="Z82" s="338"/>
      <c r="AA82" s="338"/>
      <c r="AB82" s="338"/>
      <c r="AC82" s="338"/>
      <c r="AF82" s="138"/>
      <c r="AG82" s="138"/>
      <c r="AH82" s="138"/>
      <c r="AI82" s="138"/>
      <c r="AL82" s="258"/>
      <c r="AM82" s="258"/>
      <c r="AN82" s="258"/>
      <c r="AO82" s="258"/>
      <c r="AQ82" s="137"/>
      <c r="AT82" s="137"/>
      <c r="AV82" s="34"/>
      <c r="AW82" s="137"/>
      <c r="AX82" s="137"/>
      <c r="AY82" s="137"/>
      <c r="AZ82" s="137"/>
      <c r="BA82" s="264"/>
      <c r="BB82" s="258"/>
      <c r="BC82" s="258"/>
      <c r="BD82" s="137"/>
      <c r="BE82" s="137"/>
      <c r="BF82" s="137"/>
      <c r="BG82" s="137"/>
      <c r="BH82" s="137"/>
      <c r="BI82" s="137"/>
      <c r="BJ82" s="137"/>
      <c r="BK82" s="137"/>
      <c r="BL82" s="137"/>
      <c r="BM82" s="137"/>
      <c r="BO82" s="137"/>
      <c r="BP82" s="137"/>
      <c r="BQ82" s="137"/>
      <c r="BR82" s="137"/>
      <c r="BS82" s="137"/>
      <c r="BV82" s="262"/>
      <c r="BW82" s="136"/>
      <c r="BX82" s="137"/>
      <c r="BY82" s="137"/>
      <c r="BZ82" s="137"/>
      <c r="CA82" s="137"/>
      <c r="CB82" s="137"/>
      <c r="CC82" s="258"/>
      <c r="CD82" s="258"/>
      <c r="CE82" s="258"/>
      <c r="CF82" s="258"/>
    </row>
    <row r="83" spans="1:84" x14ac:dyDescent="0.25">
      <c r="A83" s="723"/>
      <c r="B83" s="723"/>
      <c r="K83" s="52"/>
      <c r="L83" s="135"/>
      <c r="N83" s="131"/>
      <c r="O83" s="131"/>
      <c r="P83" s="55"/>
      <c r="Q83" s="135"/>
      <c r="R83" s="135"/>
      <c r="U83" s="135"/>
      <c r="V83" s="146"/>
      <c r="W83" s="146"/>
      <c r="X83" s="146"/>
      <c r="Y83" s="338"/>
      <c r="Z83" s="338"/>
      <c r="AA83" s="338"/>
      <c r="AB83" s="338"/>
      <c r="AC83" s="338"/>
      <c r="AF83" s="138"/>
      <c r="AG83" s="138"/>
      <c r="AH83" s="138"/>
      <c r="AI83" s="138"/>
      <c r="AL83" s="258"/>
      <c r="AM83" s="258"/>
      <c r="AN83" s="258"/>
      <c r="AO83" s="258"/>
      <c r="AQ83" s="137"/>
      <c r="AT83" s="137"/>
      <c r="AV83" s="34"/>
      <c r="AW83" s="137"/>
      <c r="AX83" s="137"/>
      <c r="AY83" s="137"/>
      <c r="AZ83" s="137"/>
      <c r="BA83" s="264"/>
      <c r="BB83" s="258"/>
      <c r="BC83" s="258"/>
      <c r="BD83" s="137"/>
      <c r="BE83" s="137"/>
      <c r="BF83" s="137"/>
      <c r="BG83" s="137"/>
      <c r="BH83" s="137"/>
      <c r="BI83" s="137"/>
      <c r="BJ83" s="137"/>
      <c r="BK83" s="137"/>
      <c r="BL83" s="137"/>
      <c r="BM83" s="137"/>
      <c r="BO83" s="137"/>
      <c r="BP83" s="137"/>
      <c r="BQ83" s="137"/>
      <c r="BR83" s="137"/>
      <c r="BS83" s="137"/>
      <c r="BV83" s="262"/>
      <c r="BW83" s="136"/>
      <c r="BX83" s="137"/>
      <c r="BY83" s="137"/>
      <c r="BZ83" s="137"/>
      <c r="CA83" s="137"/>
      <c r="CB83" s="137"/>
      <c r="CC83" s="258"/>
      <c r="CD83" s="258"/>
      <c r="CE83" s="258"/>
      <c r="CF83" s="258"/>
    </row>
    <row r="84" spans="1:84" x14ac:dyDescent="0.25">
      <c r="A84" s="723"/>
      <c r="B84" s="723"/>
      <c r="K84" s="52"/>
      <c r="L84" s="135"/>
      <c r="N84" s="131"/>
      <c r="O84" s="131"/>
      <c r="P84" s="55"/>
      <c r="Q84" s="135"/>
      <c r="R84" s="135"/>
      <c r="U84" s="135"/>
      <c r="V84" s="146"/>
      <c r="W84" s="146"/>
      <c r="X84" s="146"/>
      <c r="Y84" s="338"/>
      <c r="Z84" s="338"/>
      <c r="AA84" s="338"/>
      <c r="AB84" s="338"/>
      <c r="AC84" s="338"/>
      <c r="AF84" s="138"/>
      <c r="AG84" s="138"/>
      <c r="AH84" s="138"/>
      <c r="AI84" s="138"/>
      <c r="AL84" s="258"/>
      <c r="AM84" s="258"/>
      <c r="AN84" s="258"/>
      <c r="AO84" s="258"/>
      <c r="AQ84" s="137"/>
      <c r="AT84" s="137"/>
      <c r="AV84" s="34"/>
      <c r="AW84" s="137"/>
      <c r="AX84" s="137"/>
      <c r="AY84" s="137"/>
      <c r="AZ84" s="137"/>
      <c r="BA84" s="264"/>
      <c r="BB84" s="258"/>
      <c r="BC84" s="258"/>
      <c r="BD84" s="137"/>
      <c r="BE84" s="137"/>
      <c r="BF84" s="137"/>
      <c r="BG84" s="137"/>
      <c r="BH84" s="137"/>
      <c r="BI84" s="137"/>
      <c r="BJ84" s="137"/>
      <c r="BK84" s="137"/>
      <c r="BL84" s="137"/>
      <c r="BM84" s="137"/>
      <c r="BO84" s="137"/>
      <c r="BP84" s="137"/>
      <c r="BQ84" s="137"/>
      <c r="BR84" s="137"/>
      <c r="BS84" s="137"/>
      <c r="BV84" s="262"/>
      <c r="BW84" s="136"/>
      <c r="BX84" s="137"/>
      <c r="BY84" s="137"/>
      <c r="BZ84" s="137"/>
      <c r="CA84" s="137"/>
      <c r="CB84" s="137"/>
      <c r="CC84" s="258"/>
      <c r="CD84" s="258"/>
      <c r="CE84" s="258"/>
      <c r="CF84" s="258"/>
    </row>
    <row r="85" spans="1:84" x14ac:dyDescent="0.25">
      <c r="A85" s="723"/>
      <c r="B85" s="723"/>
      <c r="K85" s="52"/>
      <c r="L85" s="135"/>
      <c r="N85" s="131"/>
      <c r="O85" s="131"/>
      <c r="P85" s="55"/>
      <c r="Q85" s="135"/>
      <c r="R85" s="135"/>
      <c r="U85" s="135"/>
      <c r="V85" s="146"/>
      <c r="W85" s="146"/>
      <c r="X85" s="146"/>
      <c r="Y85" s="338"/>
      <c r="Z85" s="338"/>
      <c r="AA85" s="338"/>
      <c r="AB85" s="338"/>
      <c r="AC85" s="338"/>
      <c r="AF85" s="138"/>
      <c r="AG85" s="138"/>
      <c r="AH85" s="138"/>
      <c r="AI85" s="138"/>
      <c r="AL85" s="258"/>
      <c r="AM85" s="258"/>
      <c r="AN85" s="258"/>
      <c r="AO85" s="258"/>
      <c r="AQ85" s="137"/>
      <c r="AT85" s="137"/>
      <c r="AV85" s="34"/>
      <c r="AW85" s="137"/>
      <c r="AX85" s="137"/>
      <c r="AY85" s="137"/>
      <c r="AZ85" s="137"/>
      <c r="BA85" s="264"/>
      <c r="BB85" s="258"/>
      <c r="BC85" s="258"/>
      <c r="BD85" s="137"/>
      <c r="BE85" s="137"/>
      <c r="BF85" s="137"/>
      <c r="BG85" s="137"/>
      <c r="BH85" s="137"/>
      <c r="BI85" s="137"/>
      <c r="BJ85" s="137"/>
      <c r="BK85" s="137"/>
      <c r="BL85" s="137"/>
      <c r="BM85" s="137"/>
      <c r="BO85" s="137"/>
      <c r="BP85" s="137"/>
      <c r="BQ85" s="137"/>
      <c r="BR85" s="137"/>
      <c r="BS85" s="137"/>
      <c r="BV85" s="262"/>
      <c r="BW85" s="136"/>
      <c r="BX85" s="137"/>
      <c r="BY85" s="137"/>
      <c r="BZ85" s="137"/>
      <c r="CA85" s="137"/>
      <c r="CB85" s="137"/>
      <c r="CC85" s="258"/>
      <c r="CD85" s="258"/>
      <c r="CE85" s="258"/>
      <c r="CF85" s="258"/>
    </row>
    <row r="86" spans="1:84" x14ac:dyDescent="0.25">
      <c r="A86" s="723"/>
      <c r="B86" s="723"/>
      <c r="K86" s="52"/>
      <c r="L86" s="135"/>
      <c r="N86" s="131"/>
      <c r="O86" s="131"/>
      <c r="P86" s="55"/>
      <c r="Q86" s="135"/>
      <c r="R86" s="135"/>
      <c r="U86" s="135"/>
      <c r="V86" s="146"/>
      <c r="W86" s="146"/>
      <c r="X86" s="146"/>
      <c r="Y86" s="338"/>
      <c r="Z86" s="338"/>
      <c r="AA86" s="338"/>
      <c r="AB86" s="338"/>
      <c r="AC86" s="338"/>
      <c r="AF86" s="138"/>
      <c r="AG86" s="138"/>
      <c r="AH86" s="138"/>
      <c r="AI86" s="138"/>
      <c r="AL86" s="258"/>
      <c r="AM86" s="258"/>
      <c r="AN86" s="258"/>
      <c r="AO86" s="258"/>
      <c r="AQ86" s="137"/>
      <c r="AT86" s="137"/>
      <c r="AV86" s="34"/>
      <c r="AW86" s="137"/>
      <c r="AX86" s="137"/>
      <c r="AY86" s="137"/>
      <c r="AZ86" s="137"/>
      <c r="BA86" s="264"/>
      <c r="BB86" s="258"/>
      <c r="BC86" s="258"/>
      <c r="BD86" s="137"/>
      <c r="BE86" s="137"/>
      <c r="BF86" s="137"/>
      <c r="BG86" s="137"/>
      <c r="BH86" s="137"/>
      <c r="BI86" s="137"/>
      <c r="BJ86" s="137"/>
      <c r="BK86" s="137"/>
      <c r="BL86" s="137"/>
      <c r="BM86" s="137"/>
      <c r="BO86" s="137"/>
      <c r="BP86" s="137"/>
      <c r="BQ86" s="137"/>
      <c r="BR86" s="137"/>
      <c r="BS86" s="137"/>
      <c r="BV86" s="262"/>
      <c r="BW86" s="136"/>
      <c r="BX86" s="137"/>
      <c r="BY86" s="137"/>
      <c r="BZ86" s="137"/>
      <c r="CA86" s="137"/>
      <c r="CB86" s="137"/>
      <c r="CC86" s="258"/>
      <c r="CD86" s="258"/>
      <c r="CE86" s="258"/>
      <c r="CF86" s="258"/>
    </row>
    <row r="87" spans="1:84" x14ac:dyDescent="0.25">
      <c r="A87" s="723"/>
      <c r="B87" s="723"/>
      <c r="K87" s="52"/>
      <c r="L87" s="135"/>
      <c r="N87" s="131"/>
      <c r="O87" s="131"/>
      <c r="P87" s="55"/>
      <c r="Q87" s="135"/>
      <c r="R87" s="135"/>
      <c r="U87" s="135"/>
      <c r="V87" s="146"/>
      <c r="W87" s="146"/>
      <c r="X87" s="146"/>
      <c r="Y87" s="338"/>
      <c r="Z87" s="338"/>
      <c r="AA87" s="338"/>
      <c r="AB87" s="338"/>
      <c r="AC87" s="338"/>
      <c r="AF87" s="138"/>
      <c r="AG87" s="138"/>
      <c r="AH87" s="138"/>
      <c r="AI87" s="138"/>
      <c r="AL87" s="258"/>
      <c r="AM87" s="258"/>
      <c r="AN87" s="258"/>
      <c r="AO87" s="258"/>
      <c r="AQ87" s="137"/>
      <c r="AT87" s="137"/>
      <c r="AV87" s="34"/>
      <c r="AW87" s="137"/>
      <c r="AX87" s="137"/>
      <c r="AY87" s="137"/>
      <c r="AZ87" s="137"/>
      <c r="BA87" s="264"/>
      <c r="BB87" s="258"/>
      <c r="BC87" s="258"/>
      <c r="BD87" s="137"/>
      <c r="BE87" s="137"/>
      <c r="BF87" s="137"/>
      <c r="BG87" s="137"/>
      <c r="BH87" s="137"/>
      <c r="BI87" s="137"/>
      <c r="BJ87" s="137"/>
      <c r="BK87" s="137"/>
      <c r="BL87" s="137"/>
      <c r="BM87" s="137"/>
      <c r="BO87" s="137"/>
      <c r="BP87" s="137"/>
      <c r="BQ87" s="137"/>
      <c r="BR87" s="137"/>
      <c r="BS87" s="137"/>
      <c r="BV87" s="262"/>
      <c r="BW87" s="136"/>
      <c r="BX87" s="137"/>
      <c r="BY87" s="137"/>
      <c r="BZ87" s="137"/>
      <c r="CA87" s="137"/>
      <c r="CB87" s="137"/>
      <c r="CC87" s="258"/>
      <c r="CD87" s="258"/>
      <c r="CE87" s="258"/>
      <c r="CF87" s="258"/>
    </row>
    <row r="88" spans="1:84" x14ac:dyDescent="0.25">
      <c r="A88" s="723"/>
      <c r="B88" s="723"/>
      <c r="K88" s="52"/>
      <c r="L88" s="135"/>
      <c r="N88" s="131"/>
      <c r="O88" s="131"/>
      <c r="P88" s="55"/>
      <c r="Q88" s="135"/>
      <c r="R88" s="135"/>
      <c r="U88" s="135"/>
      <c r="V88" s="146"/>
      <c r="W88" s="146"/>
      <c r="X88" s="146"/>
      <c r="Y88" s="338"/>
      <c r="Z88" s="338"/>
      <c r="AA88" s="338"/>
      <c r="AB88" s="338"/>
      <c r="AC88" s="338"/>
      <c r="AF88" s="138"/>
      <c r="AG88" s="138"/>
      <c r="AH88" s="138"/>
      <c r="AI88" s="138"/>
      <c r="AL88" s="258"/>
      <c r="AM88" s="258"/>
      <c r="AN88" s="258"/>
      <c r="AO88" s="258"/>
      <c r="AQ88" s="137"/>
      <c r="AT88" s="137"/>
      <c r="AV88" s="34"/>
      <c r="AW88" s="137"/>
      <c r="AX88" s="137"/>
      <c r="AY88" s="137"/>
      <c r="AZ88" s="137"/>
      <c r="BA88" s="264"/>
      <c r="BB88" s="258"/>
      <c r="BC88" s="258"/>
      <c r="BD88" s="137"/>
      <c r="BE88" s="137"/>
      <c r="BF88" s="137"/>
      <c r="BG88" s="137"/>
      <c r="BH88" s="137"/>
      <c r="BI88" s="137"/>
      <c r="BJ88" s="137"/>
      <c r="BK88" s="137"/>
      <c r="BL88" s="137"/>
      <c r="BM88" s="137"/>
      <c r="BO88" s="137"/>
      <c r="BP88" s="137"/>
      <c r="BQ88" s="137"/>
      <c r="BR88" s="137"/>
      <c r="BS88" s="137"/>
      <c r="BV88" s="262"/>
      <c r="BW88" s="136"/>
      <c r="BX88" s="137"/>
      <c r="BY88" s="137"/>
      <c r="BZ88" s="137"/>
      <c r="CA88" s="137"/>
      <c r="CB88" s="137"/>
      <c r="CC88" s="258"/>
      <c r="CD88" s="258"/>
      <c r="CE88" s="258"/>
      <c r="CF88" s="258"/>
    </row>
    <row r="89" spans="1:84" x14ac:dyDescent="0.25">
      <c r="A89" s="723"/>
      <c r="B89" s="723"/>
      <c r="K89" s="52"/>
      <c r="L89" s="135"/>
      <c r="N89" s="131"/>
      <c r="O89" s="131"/>
      <c r="P89" s="55"/>
      <c r="Q89" s="135"/>
      <c r="R89" s="135"/>
      <c r="U89" s="135"/>
      <c r="V89" s="146"/>
      <c r="W89" s="146"/>
      <c r="X89" s="146"/>
      <c r="Y89" s="338"/>
      <c r="Z89" s="338"/>
      <c r="AA89" s="338"/>
      <c r="AB89" s="338"/>
      <c r="AC89" s="338"/>
      <c r="AF89" s="138"/>
      <c r="AG89" s="138"/>
      <c r="AH89" s="138"/>
      <c r="AI89" s="138"/>
      <c r="AL89" s="258"/>
      <c r="AM89" s="258"/>
      <c r="AN89" s="258"/>
      <c r="AO89" s="258"/>
      <c r="AQ89" s="137"/>
      <c r="AT89" s="137"/>
      <c r="AV89" s="34"/>
      <c r="AW89" s="137"/>
      <c r="AX89" s="137"/>
      <c r="AY89" s="137"/>
      <c r="AZ89" s="137"/>
      <c r="BA89" s="264"/>
      <c r="BB89" s="258"/>
      <c r="BC89" s="258"/>
      <c r="BD89" s="137"/>
      <c r="BE89" s="137"/>
      <c r="BF89" s="137"/>
      <c r="BG89" s="137"/>
      <c r="BH89" s="137"/>
      <c r="BI89" s="137"/>
      <c r="BJ89" s="137"/>
      <c r="BK89" s="137"/>
      <c r="BL89" s="137"/>
      <c r="BM89" s="137"/>
      <c r="BO89" s="137"/>
      <c r="BP89" s="137"/>
      <c r="BQ89" s="137"/>
      <c r="BR89" s="137"/>
      <c r="BS89" s="137"/>
      <c r="BV89" s="262"/>
      <c r="BW89" s="136"/>
      <c r="BX89" s="137"/>
      <c r="BY89" s="137"/>
      <c r="BZ89" s="137"/>
      <c r="CA89" s="137"/>
      <c r="CB89" s="137"/>
      <c r="CC89" s="258"/>
      <c r="CD89" s="258"/>
      <c r="CE89" s="258"/>
      <c r="CF89" s="258"/>
    </row>
    <row r="90" spans="1:84" x14ac:dyDescent="0.25">
      <c r="A90" s="723"/>
      <c r="B90" s="723"/>
      <c r="K90" s="52"/>
      <c r="L90" s="135"/>
      <c r="N90" s="131"/>
      <c r="O90" s="131"/>
      <c r="P90" s="55"/>
      <c r="Q90" s="135"/>
      <c r="R90" s="135"/>
      <c r="U90" s="135"/>
      <c r="V90" s="146"/>
      <c r="W90" s="146"/>
      <c r="X90" s="146"/>
      <c r="Y90" s="338"/>
      <c r="Z90" s="338"/>
      <c r="AA90" s="338"/>
      <c r="AB90" s="338"/>
      <c r="AC90" s="338"/>
      <c r="AF90" s="138"/>
      <c r="AG90" s="138"/>
      <c r="AH90" s="138"/>
      <c r="AI90" s="138"/>
      <c r="AL90" s="258"/>
      <c r="AM90" s="258"/>
      <c r="AN90" s="258"/>
      <c r="AO90" s="258"/>
      <c r="AQ90" s="137"/>
      <c r="AT90" s="137"/>
      <c r="AV90" s="34"/>
      <c r="AW90" s="137"/>
      <c r="AX90" s="137"/>
      <c r="AY90" s="137"/>
      <c r="AZ90" s="137"/>
      <c r="BA90" s="264"/>
      <c r="BB90" s="258"/>
      <c r="BC90" s="258"/>
      <c r="BD90" s="137"/>
      <c r="BE90" s="137"/>
      <c r="BF90" s="137"/>
      <c r="BG90" s="137"/>
      <c r="BH90" s="137"/>
      <c r="BI90" s="137"/>
      <c r="BJ90" s="137"/>
      <c r="BK90" s="137"/>
      <c r="BL90" s="137"/>
      <c r="BM90" s="137"/>
      <c r="BO90" s="137"/>
      <c r="BP90" s="137"/>
      <c r="BQ90" s="137"/>
      <c r="BR90" s="137"/>
      <c r="BS90" s="137"/>
      <c r="BV90" s="262"/>
      <c r="BW90" s="136"/>
      <c r="BX90" s="137"/>
      <c r="BY90" s="137"/>
      <c r="BZ90" s="137"/>
      <c r="CA90" s="137"/>
      <c r="CB90" s="137"/>
      <c r="CC90" s="258"/>
      <c r="CD90" s="258"/>
      <c r="CE90" s="258"/>
      <c r="CF90" s="258"/>
    </row>
    <row r="91" spans="1:84" x14ac:dyDescent="0.25">
      <c r="A91" s="723"/>
      <c r="B91" s="723"/>
      <c r="K91" s="52"/>
      <c r="L91" s="135"/>
      <c r="N91" s="131"/>
      <c r="O91" s="131"/>
      <c r="P91" s="55"/>
      <c r="Q91" s="135"/>
      <c r="R91" s="135"/>
      <c r="U91" s="135"/>
      <c r="V91" s="146"/>
      <c r="W91" s="146"/>
      <c r="X91" s="146"/>
      <c r="Y91" s="338"/>
      <c r="Z91" s="338"/>
      <c r="AA91" s="338"/>
      <c r="AB91" s="338"/>
      <c r="AC91" s="338"/>
      <c r="AF91" s="138"/>
      <c r="AG91" s="138"/>
      <c r="AH91" s="138"/>
      <c r="AI91" s="138"/>
      <c r="AL91" s="258"/>
      <c r="AM91" s="258"/>
      <c r="AN91" s="258"/>
      <c r="AO91" s="258"/>
      <c r="AQ91" s="137"/>
      <c r="AT91" s="137"/>
      <c r="AV91" s="34"/>
      <c r="AW91" s="137"/>
      <c r="AX91" s="137"/>
      <c r="AY91" s="137"/>
      <c r="AZ91" s="137"/>
      <c r="BA91" s="264"/>
      <c r="BB91" s="258"/>
      <c r="BC91" s="258"/>
      <c r="BD91" s="137"/>
      <c r="BE91" s="137"/>
      <c r="BF91" s="137"/>
      <c r="BG91" s="137"/>
      <c r="BH91" s="137"/>
      <c r="BI91" s="137"/>
      <c r="BJ91" s="137"/>
      <c r="BK91" s="137"/>
      <c r="BL91" s="137"/>
      <c r="BM91" s="137"/>
      <c r="BO91" s="137"/>
      <c r="BP91" s="137"/>
      <c r="BQ91" s="137"/>
      <c r="BR91" s="137"/>
      <c r="BS91" s="137"/>
      <c r="BV91" s="262"/>
      <c r="BW91" s="136"/>
      <c r="BX91" s="137"/>
      <c r="BY91" s="137"/>
      <c r="BZ91" s="137"/>
      <c r="CA91" s="137"/>
      <c r="CB91" s="137"/>
      <c r="CC91" s="258"/>
      <c r="CD91" s="258"/>
      <c r="CE91" s="258"/>
      <c r="CF91" s="258"/>
    </row>
    <row r="92" spans="1:84" x14ac:dyDescent="0.25">
      <c r="A92" s="723"/>
      <c r="B92" s="723"/>
      <c r="K92" s="52"/>
      <c r="L92" s="135"/>
      <c r="N92" s="131"/>
      <c r="O92" s="131"/>
      <c r="P92" s="55"/>
      <c r="Q92" s="135"/>
      <c r="R92" s="135"/>
      <c r="U92" s="135"/>
      <c r="V92" s="146"/>
      <c r="W92" s="146"/>
      <c r="X92" s="146"/>
      <c r="Y92" s="338"/>
      <c r="Z92" s="338"/>
      <c r="AA92" s="338"/>
      <c r="AB92" s="338"/>
      <c r="AC92" s="338"/>
      <c r="AF92" s="138"/>
      <c r="AG92" s="138"/>
      <c r="AH92" s="138"/>
      <c r="AI92" s="138"/>
      <c r="AL92" s="258"/>
      <c r="AM92" s="258"/>
      <c r="AN92" s="258"/>
      <c r="AO92" s="258"/>
      <c r="AQ92" s="137"/>
      <c r="AT92" s="137"/>
      <c r="AV92" s="34"/>
      <c r="AW92" s="137"/>
      <c r="AX92" s="137"/>
      <c r="AY92" s="137"/>
      <c r="AZ92" s="137"/>
      <c r="BA92" s="264"/>
      <c r="BB92" s="258"/>
      <c r="BC92" s="258"/>
      <c r="BD92" s="137"/>
      <c r="BE92" s="137"/>
      <c r="BF92" s="137"/>
      <c r="BG92" s="137"/>
      <c r="BH92" s="137"/>
      <c r="BI92" s="137"/>
      <c r="BJ92" s="137"/>
      <c r="BK92" s="137"/>
      <c r="BL92" s="137"/>
      <c r="BM92" s="137"/>
      <c r="BO92" s="137"/>
      <c r="BP92" s="137"/>
      <c r="BQ92" s="137"/>
      <c r="BR92" s="137"/>
      <c r="BS92" s="137"/>
      <c r="BV92" s="262"/>
      <c r="BW92" s="136"/>
      <c r="BX92" s="137"/>
      <c r="BY92" s="137"/>
      <c r="BZ92" s="137"/>
      <c r="CA92" s="137"/>
      <c r="CB92" s="137"/>
      <c r="CC92" s="258"/>
      <c r="CD92" s="258"/>
      <c r="CE92" s="258"/>
      <c r="CF92" s="258"/>
    </row>
    <row r="93" spans="1:84" x14ac:dyDescent="0.25">
      <c r="A93" s="723"/>
      <c r="B93" s="723"/>
      <c r="K93" s="52"/>
      <c r="L93" s="135"/>
      <c r="N93" s="131"/>
      <c r="O93" s="131"/>
      <c r="P93" s="55"/>
      <c r="Q93" s="135"/>
      <c r="R93" s="135"/>
      <c r="U93" s="135"/>
      <c r="V93" s="146"/>
      <c r="W93" s="146"/>
      <c r="X93" s="146"/>
      <c r="Y93" s="338"/>
      <c r="Z93" s="338"/>
      <c r="AA93" s="338"/>
      <c r="AB93" s="338"/>
      <c r="AC93" s="338"/>
      <c r="AF93" s="138"/>
      <c r="AG93" s="138"/>
      <c r="AH93" s="138"/>
      <c r="AI93" s="138"/>
      <c r="AL93" s="258"/>
      <c r="AM93" s="258"/>
      <c r="AN93" s="258"/>
      <c r="AO93" s="258"/>
      <c r="AQ93" s="137"/>
      <c r="AT93" s="137"/>
      <c r="AV93" s="34"/>
      <c r="AW93" s="137"/>
      <c r="AX93" s="137"/>
      <c r="AY93" s="137"/>
      <c r="AZ93" s="137"/>
      <c r="BA93" s="264"/>
      <c r="BB93" s="258"/>
      <c r="BC93" s="258"/>
      <c r="BD93" s="137"/>
      <c r="BE93" s="137"/>
      <c r="BF93" s="137"/>
      <c r="BG93" s="137"/>
      <c r="BH93" s="137"/>
      <c r="BI93" s="137"/>
      <c r="BJ93" s="137"/>
      <c r="BK93" s="137"/>
      <c r="BL93" s="137"/>
      <c r="BM93" s="137"/>
      <c r="BO93" s="137"/>
      <c r="BP93" s="137"/>
      <c r="BQ93" s="137"/>
      <c r="BR93" s="137"/>
      <c r="BS93" s="137"/>
      <c r="BV93" s="262"/>
      <c r="BW93" s="136"/>
      <c r="BX93" s="137"/>
      <c r="BY93" s="137"/>
      <c r="BZ93" s="137"/>
      <c r="CA93" s="137"/>
      <c r="CB93" s="137"/>
      <c r="CC93" s="258"/>
      <c r="CD93" s="258"/>
      <c r="CE93" s="258"/>
      <c r="CF93" s="258"/>
    </row>
    <row r="94" spans="1:84" x14ac:dyDescent="0.25">
      <c r="A94" s="723"/>
      <c r="B94" s="723"/>
      <c r="K94" s="52"/>
      <c r="L94" s="135"/>
      <c r="N94" s="131"/>
      <c r="O94" s="131"/>
      <c r="P94" s="55"/>
      <c r="Q94" s="135"/>
      <c r="R94" s="135"/>
      <c r="U94" s="135"/>
      <c r="V94" s="146"/>
      <c r="W94" s="146"/>
      <c r="X94" s="146"/>
      <c r="Y94" s="338"/>
      <c r="Z94" s="338"/>
      <c r="AA94" s="338"/>
      <c r="AB94" s="338"/>
      <c r="AC94" s="338"/>
      <c r="AF94" s="138"/>
      <c r="AG94" s="138"/>
      <c r="AH94" s="138"/>
      <c r="AI94" s="138"/>
      <c r="AL94" s="258"/>
      <c r="AM94" s="258"/>
      <c r="AN94" s="258"/>
      <c r="AO94" s="258"/>
      <c r="AQ94" s="137"/>
      <c r="AT94" s="137"/>
      <c r="AV94" s="34"/>
      <c r="AW94" s="137"/>
      <c r="AX94" s="137"/>
      <c r="AY94" s="137"/>
      <c r="AZ94" s="137"/>
      <c r="BA94" s="264"/>
      <c r="BB94" s="258"/>
      <c r="BC94" s="258"/>
      <c r="BD94" s="137"/>
      <c r="BE94" s="137"/>
      <c r="BF94" s="137"/>
      <c r="BG94" s="137"/>
      <c r="BH94" s="137"/>
      <c r="BI94" s="137"/>
      <c r="BJ94" s="137"/>
      <c r="BK94" s="137"/>
      <c r="BL94" s="137"/>
      <c r="BM94" s="137"/>
      <c r="BO94" s="137"/>
      <c r="BP94" s="137"/>
      <c r="BQ94" s="137"/>
      <c r="BR94" s="137"/>
      <c r="BS94" s="137"/>
      <c r="BV94" s="262"/>
      <c r="BW94" s="136"/>
      <c r="BX94" s="137"/>
      <c r="BY94" s="137"/>
      <c r="BZ94" s="137"/>
      <c r="CA94" s="137"/>
      <c r="CB94" s="137"/>
      <c r="CC94" s="258"/>
      <c r="CD94" s="258"/>
      <c r="CE94" s="258"/>
      <c r="CF94" s="258"/>
    </row>
    <row r="95" spans="1:84" x14ac:dyDescent="0.25">
      <c r="A95" s="723"/>
      <c r="B95" s="723"/>
      <c r="K95" s="52"/>
      <c r="L95" s="135"/>
      <c r="N95" s="131"/>
      <c r="O95" s="131"/>
      <c r="P95" s="55"/>
      <c r="Q95" s="135"/>
      <c r="R95" s="135"/>
      <c r="U95" s="135"/>
      <c r="V95" s="146"/>
      <c r="W95" s="146"/>
      <c r="X95" s="146"/>
      <c r="Y95" s="338"/>
      <c r="Z95" s="338"/>
      <c r="AA95" s="338"/>
      <c r="AB95" s="338"/>
      <c r="AC95" s="338"/>
      <c r="AF95" s="138"/>
      <c r="AG95" s="138"/>
      <c r="AH95" s="138"/>
      <c r="AI95" s="138"/>
      <c r="AL95" s="258"/>
      <c r="AM95" s="258"/>
      <c r="AN95" s="258"/>
      <c r="AO95" s="258"/>
      <c r="AQ95" s="137"/>
      <c r="AT95" s="137"/>
      <c r="AV95" s="34"/>
      <c r="AW95" s="137"/>
      <c r="AX95" s="137"/>
      <c r="AY95" s="137"/>
      <c r="AZ95" s="137"/>
      <c r="BA95" s="264"/>
      <c r="BB95" s="258"/>
      <c r="BC95" s="258"/>
      <c r="BD95" s="137"/>
      <c r="BE95" s="137"/>
      <c r="BF95" s="137"/>
      <c r="BG95" s="137"/>
      <c r="BH95" s="137"/>
      <c r="BI95" s="137"/>
      <c r="BJ95" s="137"/>
      <c r="BK95" s="137"/>
      <c r="BL95" s="137"/>
      <c r="BM95" s="137"/>
      <c r="BO95" s="137"/>
      <c r="BP95" s="137"/>
      <c r="BQ95" s="137"/>
      <c r="BR95" s="137"/>
      <c r="BS95" s="137"/>
      <c r="BV95" s="262"/>
      <c r="BW95" s="136"/>
      <c r="BX95" s="137"/>
      <c r="BY95" s="137"/>
      <c r="BZ95" s="137"/>
      <c r="CA95" s="137"/>
      <c r="CB95" s="137"/>
      <c r="CC95" s="258"/>
      <c r="CD95" s="258"/>
      <c r="CE95" s="258"/>
      <c r="CF95" s="258"/>
    </row>
    <row r="96" spans="1:84" x14ac:dyDescent="0.25">
      <c r="A96" s="723"/>
      <c r="B96" s="723"/>
      <c r="L96" s="135"/>
      <c r="P96" s="55"/>
      <c r="Q96" s="135"/>
      <c r="R96" s="55"/>
      <c r="U96" s="55"/>
      <c r="V96" s="55"/>
      <c r="W96" s="55"/>
      <c r="X96" s="55"/>
      <c r="AO96" s="136"/>
      <c r="AQ96" s="137"/>
      <c r="AU96" s="145"/>
      <c r="AV96" s="34"/>
      <c r="AW96" s="137"/>
    </row>
    <row r="97" spans="1:49" x14ac:dyDescent="0.25">
      <c r="A97" s="723"/>
      <c r="B97" s="723"/>
      <c r="L97" s="135"/>
      <c r="P97" s="55"/>
      <c r="Q97" s="135"/>
      <c r="R97" s="55"/>
      <c r="U97" s="55"/>
      <c r="V97" s="55"/>
      <c r="W97" s="55"/>
      <c r="X97" s="55"/>
      <c r="AO97" s="136"/>
      <c r="AQ97" s="137"/>
      <c r="AU97" s="145"/>
      <c r="AV97" s="34"/>
      <c r="AW97" s="137"/>
    </row>
    <row r="98" spans="1:49" x14ac:dyDescent="0.25">
      <c r="A98" s="723"/>
      <c r="B98" s="723"/>
      <c r="L98" s="135"/>
      <c r="P98" s="55"/>
      <c r="Q98" s="135"/>
      <c r="R98" s="55"/>
      <c r="U98" s="55"/>
      <c r="V98" s="55"/>
      <c r="W98" s="55"/>
      <c r="X98" s="55"/>
      <c r="AO98" s="136"/>
      <c r="AQ98" s="137"/>
      <c r="AU98" s="145"/>
      <c r="AV98" s="34"/>
      <c r="AW98" s="137"/>
    </row>
    <row r="99" spans="1:49" x14ac:dyDescent="0.25">
      <c r="A99" s="723"/>
      <c r="B99" s="723"/>
      <c r="L99" s="135"/>
      <c r="P99" s="55"/>
      <c r="Q99" s="135"/>
      <c r="R99" s="55"/>
      <c r="U99" s="55"/>
      <c r="V99" s="55"/>
      <c r="W99" s="55"/>
      <c r="X99" s="55"/>
      <c r="AO99" s="136"/>
      <c r="AQ99" s="137"/>
      <c r="AU99" s="145"/>
      <c r="AV99" s="34"/>
      <c r="AW99" s="137"/>
    </row>
    <row r="100" spans="1:49" x14ac:dyDescent="0.25">
      <c r="A100" s="723"/>
      <c r="B100" s="723"/>
      <c r="L100" s="135"/>
      <c r="P100" s="55"/>
      <c r="Q100" s="135"/>
      <c r="R100" s="55"/>
      <c r="U100" s="55"/>
      <c r="V100" s="55"/>
      <c r="W100" s="55"/>
      <c r="X100" s="55"/>
      <c r="AO100" s="136"/>
      <c r="AQ100" s="137"/>
      <c r="AU100" s="145"/>
      <c r="AV100" s="34"/>
      <c r="AW100" s="137"/>
    </row>
    <row r="101" spans="1:49" x14ac:dyDescent="0.25">
      <c r="A101" s="723"/>
      <c r="B101" s="723"/>
      <c r="L101" s="135"/>
      <c r="P101" s="55"/>
      <c r="Q101" s="135"/>
      <c r="R101" s="55"/>
      <c r="U101" s="55"/>
      <c r="V101" s="55"/>
      <c r="W101" s="55"/>
      <c r="X101" s="55"/>
      <c r="AO101" s="136"/>
      <c r="AQ101" s="137"/>
      <c r="AU101" s="145"/>
      <c r="AV101" s="34"/>
      <c r="AW101" s="137"/>
    </row>
    <row r="102" spans="1:49" x14ac:dyDescent="0.25">
      <c r="A102" s="723"/>
      <c r="B102" s="723"/>
      <c r="L102" s="135"/>
      <c r="P102" s="55"/>
      <c r="Q102" s="135"/>
      <c r="R102" s="55"/>
      <c r="U102" s="55"/>
      <c r="V102" s="55"/>
      <c r="W102" s="55"/>
      <c r="X102" s="55"/>
      <c r="AO102" s="136"/>
      <c r="AQ102" s="137"/>
      <c r="AU102" s="145"/>
      <c r="AV102" s="34"/>
      <c r="AW102" s="137"/>
    </row>
    <row r="103" spans="1:49" x14ac:dyDescent="0.25">
      <c r="A103" s="723"/>
      <c r="B103" s="723"/>
      <c r="L103" s="135"/>
      <c r="P103" s="55"/>
      <c r="Q103" s="135"/>
      <c r="R103" s="55"/>
      <c r="U103" s="55"/>
      <c r="V103" s="55"/>
      <c r="W103" s="55"/>
      <c r="X103" s="55"/>
      <c r="AO103" s="136"/>
      <c r="AQ103" s="137"/>
      <c r="AU103" s="145"/>
      <c r="AV103" s="34"/>
      <c r="AW103" s="137"/>
    </row>
    <row r="104" spans="1:49" x14ac:dyDescent="0.25">
      <c r="A104" s="723"/>
      <c r="B104" s="723"/>
      <c r="L104" s="135"/>
      <c r="P104" s="55"/>
      <c r="Q104" s="135"/>
      <c r="R104" s="55"/>
      <c r="U104" s="55"/>
      <c r="V104" s="55"/>
      <c r="W104" s="55"/>
      <c r="X104" s="55"/>
      <c r="AO104" s="136"/>
      <c r="AQ104" s="137"/>
      <c r="AU104" s="145"/>
      <c r="AV104" s="34"/>
      <c r="AW104" s="137"/>
    </row>
    <row r="105" spans="1:49" x14ac:dyDescent="0.25">
      <c r="A105" s="723"/>
      <c r="B105" s="723"/>
      <c r="L105" s="135"/>
      <c r="P105" s="55"/>
      <c r="Q105" s="135"/>
      <c r="R105" s="55"/>
      <c r="U105" s="55"/>
      <c r="V105" s="55"/>
      <c r="W105" s="55"/>
      <c r="X105" s="55"/>
      <c r="AO105" s="136"/>
      <c r="AQ105" s="137"/>
      <c r="AU105" s="145"/>
      <c r="AV105" s="34"/>
      <c r="AW105" s="137"/>
    </row>
    <row r="106" spans="1:49" x14ac:dyDescent="0.25">
      <c r="A106" s="723"/>
      <c r="B106" s="723"/>
      <c r="L106" s="135"/>
      <c r="P106" s="55"/>
      <c r="Q106" s="135"/>
      <c r="R106" s="55"/>
      <c r="U106" s="55"/>
      <c r="V106" s="55"/>
      <c r="W106" s="55"/>
      <c r="X106" s="55"/>
      <c r="AO106" s="136"/>
      <c r="AQ106" s="137"/>
      <c r="AU106" s="145"/>
      <c r="AV106" s="34"/>
      <c r="AW106" s="137"/>
    </row>
    <row r="107" spans="1:49" x14ac:dyDescent="0.25">
      <c r="A107" s="723"/>
      <c r="B107" s="723"/>
      <c r="L107" s="135"/>
      <c r="P107" s="55"/>
      <c r="Q107" s="135"/>
      <c r="R107" s="55"/>
      <c r="U107" s="55"/>
      <c r="V107" s="55"/>
      <c r="W107" s="55"/>
      <c r="X107" s="55"/>
      <c r="AO107" s="136"/>
      <c r="AQ107" s="137"/>
      <c r="AU107" s="145"/>
      <c r="AV107" s="34"/>
      <c r="AW107" s="137"/>
    </row>
    <row r="108" spans="1:49" x14ac:dyDescent="0.25">
      <c r="A108" s="723"/>
      <c r="B108" s="723"/>
      <c r="L108" s="135"/>
      <c r="P108" s="55"/>
      <c r="Q108" s="135"/>
      <c r="R108" s="55"/>
      <c r="U108" s="55"/>
      <c r="V108" s="55"/>
      <c r="W108" s="55"/>
      <c r="X108" s="55"/>
      <c r="AO108" s="136"/>
      <c r="AQ108" s="137"/>
      <c r="AU108" s="145"/>
      <c r="AV108" s="34"/>
      <c r="AW108" s="137"/>
    </row>
    <row r="109" spans="1:49" x14ac:dyDescent="0.25">
      <c r="A109" s="723"/>
      <c r="B109" s="723"/>
      <c r="L109" s="135"/>
      <c r="P109" s="55"/>
      <c r="Q109" s="135"/>
      <c r="R109" s="55"/>
      <c r="U109" s="55"/>
      <c r="V109" s="55"/>
      <c r="W109" s="55"/>
      <c r="X109" s="55"/>
      <c r="AO109" s="136"/>
      <c r="AQ109" s="137"/>
      <c r="AU109" s="145"/>
      <c r="AV109" s="34"/>
      <c r="AW109" s="137"/>
    </row>
    <row r="110" spans="1:49" x14ac:dyDescent="0.25">
      <c r="A110" s="723"/>
      <c r="B110" s="723"/>
      <c r="L110" s="135"/>
      <c r="P110" s="55"/>
      <c r="Q110" s="135"/>
      <c r="R110" s="55"/>
      <c r="U110" s="55"/>
      <c r="V110" s="55"/>
      <c r="W110" s="55"/>
      <c r="X110" s="55"/>
      <c r="AO110" s="136"/>
      <c r="AQ110" s="137"/>
      <c r="AU110" s="145"/>
      <c r="AV110" s="34"/>
      <c r="AW110" s="137"/>
    </row>
    <row r="111" spans="1:49" x14ac:dyDescent="0.25">
      <c r="A111" s="723"/>
      <c r="B111" s="723"/>
      <c r="L111" s="135"/>
      <c r="P111" s="55"/>
      <c r="Q111" s="135"/>
      <c r="R111" s="55"/>
      <c r="U111" s="55"/>
      <c r="V111" s="55"/>
      <c r="W111" s="55"/>
      <c r="X111" s="55"/>
      <c r="AO111" s="136"/>
      <c r="AQ111" s="137"/>
      <c r="AU111" s="145"/>
      <c r="AV111" s="34"/>
      <c r="AW111" s="137"/>
    </row>
    <row r="112" spans="1:49" x14ac:dyDescent="0.25">
      <c r="A112" s="723"/>
      <c r="B112" s="723"/>
      <c r="L112" s="135"/>
      <c r="P112" s="55"/>
      <c r="Q112" s="135"/>
      <c r="R112" s="55"/>
      <c r="U112" s="55"/>
      <c r="V112" s="55"/>
      <c r="W112" s="55"/>
      <c r="X112" s="55"/>
      <c r="AO112" s="136"/>
      <c r="AQ112" s="137"/>
      <c r="AU112" s="145"/>
      <c r="AV112" s="34"/>
      <c r="AW112" s="137"/>
    </row>
    <row r="113" spans="1:49" x14ac:dyDescent="0.25">
      <c r="A113" s="723"/>
      <c r="B113" s="723"/>
      <c r="L113" s="135"/>
      <c r="P113" s="55"/>
      <c r="Q113" s="135"/>
      <c r="R113" s="55"/>
      <c r="U113" s="55"/>
      <c r="V113" s="55"/>
      <c r="W113" s="55"/>
      <c r="X113" s="55"/>
      <c r="AO113" s="136"/>
      <c r="AQ113" s="137"/>
      <c r="AU113" s="145"/>
      <c r="AV113" s="34"/>
      <c r="AW113" s="137"/>
    </row>
    <row r="114" spans="1:49" x14ac:dyDescent="0.25">
      <c r="A114" s="723"/>
      <c r="B114" s="723"/>
      <c r="L114" s="135"/>
      <c r="P114" s="55"/>
      <c r="Q114" s="135"/>
      <c r="R114" s="55"/>
      <c r="U114" s="55"/>
      <c r="V114" s="55"/>
      <c r="W114" s="55"/>
      <c r="X114" s="55"/>
      <c r="AO114" s="136"/>
      <c r="AQ114" s="137"/>
      <c r="AU114" s="145"/>
      <c r="AV114" s="34"/>
      <c r="AW114" s="137"/>
    </row>
    <row r="115" spans="1:49" x14ac:dyDescent="0.25">
      <c r="A115" s="723"/>
      <c r="B115" s="723"/>
      <c r="L115" s="135"/>
      <c r="P115" s="55"/>
      <c r="Q115" s="135"/>
      <c r="R115" s="55"/>
      <c r="U115" s="55"/>
      <c r="V115" s="55"/>
      <c r="W115" s="55"/>
      <c r="X115" s="55"/>
      <c r="AO115" s="136"/>
      <c r="AQ115" s="137"/>
      <c r="AU115" s="145"/>
      <c r="AV115" s="34"/>
      <c r="AW115" s="137"/>
    </row>
    <row r="116" spans="1:49" x14ac:dyDescent="0.25">
      <c r="A116" s="723"/>
      <c r="B116" s="723"/>
      <c r="L116" s="135"/>
      <c r="P116" s="55"/>
      <c r="Q116" s="135"/>
      <c r="R116" s="55"/>
      <c r="U116" s="55"/>
      <c r="V116" s="55"/>
      <c r="W116" s="55"/>
      <c r="X116" s="55"/>
      <c r="AO116" s="136"/>
      <c r="AQ116" s="137"/>
      <c r="AU116" s="145"/>
      <c r="AV116" s="34"/>
      <c r="AW116" s="137"/>
    </row>
    <row r="117" spans="1:49" x14ac:dyDescent="0.25">
      <c r="A117" s="723"/>
      <c r="B117" s="723"/>
      <c r="L117" s="135"/>
      <c r="P117" s="55"/>
      <c r="Q117" s="135"/>
      <c r="R117" s="55"/>
      <c r="U117" s="55"/>
      <c r="V117" s="55"/>
      <c r="W117" s="55"/>
      <c r="X117" s="55"/>
      <c r="AO117" s="136"/>
      <c r="AQ117" s="137"/>
      <c r="AU117" s="145"/>
      <c r="AV117" s="34"/>
      <c r="AW117" s="137"/>
    </row>
    <row r="118" spans="1:49" x14ac:dyDescent="0.25">
      <c r="A118" s="723"/>
      <c r="B118" s="723"/>
      <c r="L118" s="135"/>
      <c r="P118" s="55"/>
      <c r="Q118" s="135"/>
      <c r="R118" s="55"/>
      <c r="U118" s="55"/>
      <c r="V118" s="55"/>
      <c r="W118" s="55"/>
      <c r="X118" s="55"/>
      <c r="AO118" s="136"/>
      <c r="AQ118" s="137"/>
      <c r="AU118" s="145"/>
      <c r="AV118" s="34"/>
      <c r="AW118" s="137"/>
    </row>
    <row r="119" spans="1:49" x14ac:dyDescent="0.25">
      <c r="A119" s="723"/>
      <c r="B119" s="723"/>
      <c r="L119" s="135"/>
      <c r="P119" s="55"/>
      <c r="Q119" s="135"/>
      <c r="R119" s="55"/>
      <c r="U119" s="55"/>
      <c r="V119" s="55"/>
      <c r="W119" s="55"/>
      <c r="X119" s="55"/>
      <c r="AO119" s="136"/>
      <c r="AQ119" s="137"/>
      <c r="AU119" s="145"/>
      <c r="AV119" s="34"/>
      <c r="AW119" s="137"/>
    </row>
    <row r="120" spans="1:49" x14ac:dyDescent="0.25">
      <c r="A120" s="723"/>
      <c r="B120" s="723"/>
      <c r="L120" s="135"/>
      <c r="P120" s="55"/>
      <c r="Q120" s="135"/>
      <c r="R120" s="55"/>
      <c r="U120" s="55"/>
      <c r="V120" s="55"/>
      <c r="W120" s="55"/>
      <c r="X120" s="55"/>
      <c r="AO120" s="136"/>
      <c r="AQ120" s="137"/>
      <c r="AU120" s="145"/>
      <c r="AV120" s="34"/>
      <c r="AW120" s="137"/>
    </row>
    <row r="121" spans="1:49" x14ac:dyDescent="0.25">
      <c r="A121" s="723"/>
      <c r="B121" s="723"/>
      <c r="L121" s="135"/>
      <c r="P121" s="55"/>
      <c r="Q121" s="135"/>
      <c r="R121" s="55"/>
      <c r="U121" s="55"/>
      <c r="V121" s="55"/>
      <c r="W121" s="55"/>
      <c r="X121" s="55"/>
      <c r="AO121" s="136"/>
      <c r="AQ121" s="137"/>
      <c r="AU121" s="145"/>
      <c r="AV121" s="34"/>
      <c r="AW121" s="137"/>
    </row>
    <row r="122" spans="1:49" x14ac:dyDescent="0.25">
      <c r="A122" s="723"/>
      <c r="B122" s="723"/>
      <c r="L122" s="135"/>
      <c r="P122" s="55"/>
      <c r="Q122" s="135"/>
      <c r="R122" s="55"/>
      <c r="U122" s="55"/>
      <c r="V122" s="55"/>
      <c r="W122" s="55"/>
      <c r="X122" s="55"/>
      <c r="AO122" s="136"/>
      <c r="AQ122" s="137"/>
      <c r="AU122" s="145"/>
      <c r="AV122" s="34"/>
      <c r="AW122" s="137"/>
    </row>
    <row r="123" spans="1:49" x14ac:dyDescent="0.25">
      <c r="A123" s="723"/>
      <c r="B123" s="723"/>
      <c r="L123" s="135"/>
      <c r="P123" s="55"/>
      <c r="Q123" s="135"/>
      <c r="R123" s="55"/>
      <c r="U123" s="55"/>
      <c r="V123" s="55"/>
      <c r="W123" s="55"/>
      <c r="X123" s="55"/>
      <c r="AO123" s="136"/>
      <c r="AQ123" s="137"/>
      <c r="AU123" s="145"/>
      <c r="AV123" s="34"/>
      <c r="AW123" s="137"/>
    </row>
    <row r="124" spans="1:49" x14ac:dyDescent="0.25">
      <c r="A124" s="723"/>
      <c r="B124" s="723"/>
      <c r="L124" s="135"/>
      <c r="P124" s="55"/>
      <c r="Q124" s="135"/>
      <c r="R124" s="55"/>
      <c r="U124" s="55"/>
      <c r="V124" s="55"/>
      <c r="W124" s="55"/>
      <c r="X124" s="55"/>
      <c r="AO124" s="136"/>
      <c r="AQ124" s="137"/>
      <c r="AU124" s="145"/>
      <c r="AV124" s="34"/>
      <c r="AW124" s="137"/>
    </row>
    <row r="125" spans="1:49" x14ac:dyDescent="0.25">
      <c r="A125" s="723"/>
      <c r="B125" s="723"/>
      <c r="L125" s="135"/>
      <c r="P125" s="55"/>
      <c r="Q125" s="135"/>
      <c r="R125" s="55"/>
      <c r="U125" s="55"/>
      <c r="V125" s="55"/>
      <c r="W125" s="55"/>
      <c r="X125" s="55"/>
      <c r="AO125" s="136"/>
      <c r="AQ125" s="137"/>
      <c r="AU125" s="145"/>
      <c r="AV125" s="34"/>
      <c r="AW125" s="137"/>
    </row>
    <row r="126" spans="1:49" x14ac:dyDescent="0.25">
      <c r="A126" s="723"/>
      <c r="B126" s="723"/>
      <c r="L126" s="135"/>
      <c r="P126" s="55"/>
      <c r="Q126" s="135"/>
      <c r="R126" s="55"/>
      <c r="U126" s="55"/>
      <c r="V126" s="55"/>
      <c r="W126" s="55"/>
      <c r="X126" s="55"/>
      <c r="AO126" s="136"/>
      <c r="AQ126" s="137"/>
      <c r="AU126" s="145"/>
      <c r="AV126" s="34"/>
      <c r="AW126" s="137"/>
    </row>
    <row r="127" spans="1:49" x14ac:dyDescent="0.25">
      <c r="A127" s="723"/>
      <c r="B127" s="723"/>
      <c r="L127" s="135"/>
      <c r="P127" s="55"/>
      <c r="Q127" s="135"/>
      <c r="R127" s="55"/>
      <c r="U127" s="55"/>
      <c r="V127" s="55"/>
      <c r="W127" s="55"/>
      <c r="X127" s="55"/>
      <c r="AO127" s="136"/>
      <c r="AQ127" s="137"/>
      <c r="AU127" s="145"/>
      <c r="AV127" s="34"/>
      <c r="AW127" s="137"/>
    </row>
    <row r="128" spans="1:49" x14ac:dyDescent="0.25">
      <c r="A128" s="723"/>
      <c r="B128" s="723"/>
      <c r="L128" s="135"/>
      <c r="P128" s="55"/>
      <c r="Q128" s="135"/>
      <c r="R128" s="55"/>
      <c r="U128" s="55"/>
      <c r="V128" s="55"/>
      <c r="W128" s="55"/>
      <c r="X128" s="55"/>
      <c r="AO128" s="136"/>
      <c r="AQ128" s="137"/>
      <c r="AU128" s="145"/>
      <c r="AV128" s="34"/>
      <c r="AW128" s="137"/>
    </row>
    <row r="129" spans="1:49" x14ac:dyDescent="0.25">
      <c r="A129" s="723"/>
      <c r="B129" s="723"/>
      <c r="L129" s="135"/>
      <c r="P129" s="55"/>
      <c r="Q129" s="135"/>
      <c r="R129" s="55"/>
      <c r="U129" s="55"/>
      <c r="V129" s="55"/>
      <c r="W129" s="55"/>
      <c r="X129" s="55"/>
      <c r="AO129" s="136"/>
      <c r="AQ129" s="137"/>
      <c r="AU129" s="145"/>
      <c r="AV129" s="34"/>
      <c r="AW129" s="137"/>
    </row>
    <row r="130" spans="1:49" x14ac:dyDescent="0.25">
      <c r="P130" s="55"/>
      <c r="Q130" s="55"/>
      <c r="R130" s="55"/>
      <c r="U130" s="55"/>
      <c r="V130" s="55"/>
      <c r="W130" s="55"/>
      <c r="X130" s="55"/>
      <c r="AO130" s="136"/>
      <c r="AQ130" s="137"/>
      <c r="AS130" s="137"/>
      <c r="AU130" s="145"/>
      <c r="AV130" s="136"/>
      <c r="AW130" s="137"/>
    </row>
    <row r="131" spans="1:49" x14ac:dyDescent="0.25">
      <c r="P131" s="55"/>
      <c r="Q131" s="55"/>
      <c r="R131" s="55"/>
      <c r="U131" s="55"/>
      <c r="V131" s="55"/>
      <c r="W131" s="55"/>
      <c r="X131" s="55"/>
      <c r="AO131" s="136"/>
      <c r="AQ131" s="137"/>
      <c r="AS131" s="137"/>
      <c r="AU131" s="145"/>
      <c r="AV131" s="136"/>
      <c r="AW131" s="137"/>
    </row>
    <row r="132" spans="1:49" x14ac:dyDescent="0.25">
      <c r="P132" s="55"/>
      <c r="Q132" s="55"/>
      <c r="R132" s="55"/>
      <c r="U132" s="55"/>
      <c r="V132" s="55"/>
      <c r="W132" s="55"/>
      <c r="X132" s="55"/>
      <c r="AO132" s="136"/>
      <c r="AQ132" s="137"/>
      <c r="AS132" s="137"/>
      <c r="AU132" s="145"/>
      <c r="AV132" s="136"/>
      <c r="AW132" s="137"/>
    </row>
    <row r="133" spans="1:49" x14ac:dyDescent="0.25">
      <c r="P133" s="55"/>
      <c r="Q133" s="55"/>
      <c r="R133" s="55"/>
      <c r="U133" s="55"/>
      <c r="V133" s="55"/>
      <c r="W133" s="55"/>
      <c r="X133" s="55"/>
      <c r="AO133" s="136"/>
      <c r="AQ133" s="137"/>
      <c r="AS133" s="137"/>
      <c r="AU133" s="145"/>
      <c r="AV133" s="136"/>
      <c r="AW133" s="137"/>
    </row>
    <row r="134" spans="1:49" x14ac:dyDescent="0.25">
      <c r="P134" s="55"/>
      <c r="Q134" s="55"/>
      <c r="R134" s="55"/>
      <c r="U134" s="55"/>
      <c r="V134" s="55"/>
      <c r="W134" s="55"/>
      <c r="X134" s="55"/>
      <c r="AO134" s="136"/>
      <c r="AQ134" s="137"/>
      <c r="AS134" s="137"/>
      <c r="AU134" s="145"/>
      <c r="AV134" s="136"/>
      <c r="AW134" s="137"/>
    </row>
    <row r="135" spans="1:49" x14ac:dyDescent="0.25">
      <c r="P135" s="55"/>
      <c r="Q135" s="55"/>
      <c r="R135" s="55"/>
      <c r="U135" s="55"/>
      <c r="V135" s="55"/>
      <c r="W135" s="55"/>
      <c r="X135" s="55"/>
      <c r="AO135" s="136"/>
      <c r="AQ135" s="137"/>
      <c r="AS135" s="137"/>
      <c r="AU135" s="145"/>
      <c r="AV135" s="136"/>
      <c r="AW135" s="137"/>
    </row>
    <row r="136" spans="1:49" x14ac:dyDescent="0.25">
      <c r="P136" s="55"/>
      <c r="Q136" s="55"/>
      <c r="R136" s="55"/>
      <c r="U136" s="55"/>
      <c r="V136" s="55"/>
      <c r="W136" s="55"/>
      <c r="X136" s="55"/>
      <c r="AO136" s="136"/>
      <c r="AQ136" s="137"/>
      <c r="AS136" s="137"/>
      <c r="AU136" s="145"/>
      <c r="AV136" s="136"/>
      <c r="AW136" s="137"/>
    </row>
    <row r="137" spans="1:49" x14ac:dyDescent="0.25">
      <c r="P137" s="55"/>
      <c r="Q137" s="55"/>
      <c r="R137" s="55"/>
      <c r="U137" s="55"/>
      <c r="V137" s="55"/>
      <c r="W137" s="55"/>
      <c r="X137" s="55"/>
      <c r="AO137" s="136"/>
      <c r="AQ137" s="137"/>
      <c r="AS137" s="137"/>
      <c r="AU137" s="145"/>
      <c r="AV137" s="136"/>
      <c r="AW137" s="137"/>
    </row>
    <row r="138" spans="1:49" x14ac:dyDescent="0.25">
      <c r="P138" s="55"/>
      <c r="Q138" s="55"/>
      <c r="R138" s="55"/>
      <c r="U138" s="55"/>
      <c r="V138" s="55"/>
      <c r="W138" s="55"/>
      <c r="X138" s="55"/>
      <c r="AO138" s="136"/>
      <c r="AQ138" s="137"/>
      <c r="AS138" s="137"/>
      <c r="AU138" s="145"/>
      <c r="AV138" s="136"/>
      <c r="AW138" s="137"/>
    </row>
    <row r="139" spans="1:49" x14ac:dyDescent="0.25">
      <c r="P139" s="55"/>
      <c r="Q139" s="55"/>
      <c r="R139" s="55"/>
      <c r="U139" s="55"/>
      <c r="V139" s="55"/>
      <c r="W139" s="55"/>
      <c r="X139" s="55"/>
      <c r="AO139" s="136"/>
      <c r="AQ139" s="137"/>
      <c r="AS139" s="137"/>
      <c r="AU139" s="145"/>
      <c r="AV139" s="136"/>
      <c r="AW139" s="137"/>
    </row>
    <row r="140" spans="1:49" x14ac:dyDescent="0.25">
      <c r="P140" s="55"/>
      <c r="Q140" s="55"/>
      <c r="R140" s="55"/>
      <c r="U140" s="55"/>
      <c r="V140" s="55"/>
      <c r="W140" s="55"/>
      <c r="X140" s="55"/>
      <c r="AO140" s="136"/>
      <c r="AQ140" s="137"/>
      <c r="AS140" s="137"/>
      <c r="AU140" s="145"/>
      <c r="AV140" s="136"/>
      <c r="AW140" s="137"/>
    </row>
    <row r="141" spans="1:49" x14ac:dyDescent="0.25">
      <c r="P141" s="55"/>
      <c r="Q141" s="55"/>
      <c r="R141" s="55"/>
      <c r="U141" s="55"/>
      <c r="V141" s="55"/>
      <c r="W141" s="55"/>
      <c r="X141" s="55"/>
      <c r="AO141" s="136"/>
      <c r="AQ141" s="137"/>
      <c r="AS141" s="137"/>
      <c r="AU141" s="145"/>
      <c r="AV141" s="136"/>
      <c r="AW141" s="137"/>
    </row>
    <row r="142" spans="1:49" x14ac:dyDescent="0.25">
      <c r="P142" s="55"/>
      <c r="Q142" s="55"/>
      <c r="R142" s="55"/>
      <c r="U142" s="55"/>
      <c r="V142" s="55"/>
      <c r="W142" s="55"/>
      <c r="X142" s="55"/>
      <c r="AO142" s="136"/>
      <c r="AQ142" s="137"/>
      <c r="AS142" s="137"/>
      <c r="AU142" s="145"/>
      <c r="AV142" s="136"/>
      <c r="AW142" s="137"/>
    </row>
    <row r="143" spans="1:49" x14ac:dyDescent="0.25">
      <c r="P143" s="55"/>
      <c r="Q143" s="55"/>
      <c r="R143" s="55"/>
      <c r="U143" s="55"/>
      <c r="V143" s="55"/>
      <c r="W143" s="55"/>
      <c r="X143" s="55"/>
      <c r="AO143" s="136"/>
      <c r="AQ143" s="137"/>
      <c r="AS143" s="137"/>
      <c r="AU143" s="145"/>
      <c r="AV143" s="136"/>
      <c r="AW143" s="137"/>
    </row>
    <row r="144" spans="1:49" x14ac:dyDescent="0.25">
      <c r="P144" s="55"/>
      <c r="Q144" s="55"/>
      <c r="R144" s="55"/>
      <c r="U144" s="55"/>
      <c r="V144" s="55"/>
      <c r="W144" s="55"/>
      <c r="X144" s="55"/>
      <c r="AO144" s="136"/>
      <c r="AQ144" s="137"/>
      <c r="AS144" s="137"/>
      <c r="AU144" s="145"/>
      <c r="AV144" s="136"/>
      <c r="AW144" s="137"/>
    </row>
    <row r="145" spans="16:49" x14ac:dyDescent="0.25">
      <c r="P145" s="55"/>
      <c r="Q145" s="55"/>
      <c r="R145" s="55"/>
      <c r="U145" s="55"/>
      <c r="V145" s="55"/>
      <c r="W145" s="55"/>
      <c r="X145" s="55"/>
      <c r="AO145" s="136"/>
      <c r="AQ145" s="137"/>
      <c r="AS145" s="137"/>
      <c r="AU145" s="145"/>
      <c r="AV145" s="136"/>
      <c r="AW145" s="137"/>
    </row>
    <row r="146" spans="16:49" x14ac:dyDescent="0.25">
      <c r="P146" s="55"/>
      <c r="Q146" s="55"/>
      <c r="R146" s="55"/>
      <c r="U146" s="55"/>
      <c r="V146" s="55"/>
      <c r="W146" s="55"/>
      <c r="X146" s="55"/>
      <c r="AO146" s="136"/>
      <c r="AQ146" s="137"/>
      <c r="AS146" s="137"/>
      <c r="AU146" s="145"/>
      <c r="AV146" s="136"/>
      <c r="AW146" s="137"/>
    </row>
    <row r="147" spans="16:49" x14ac:dyDescent="0.25">
      <c r="P147" s="55"/>
      <c r="Q147" s="55"/>
      <c r="R147" s="55"/>
      <c r="U147" s="55"/>
      <c r="V147" s="55"/>
      <c r="W147" s="55"/>
      <c r="X147" s="55"/>
      <c r="AO147" s="136"/>
      <c r="AQ147" s="137"/>
      <c r="AS147" s="137"/>
      <c r="AU147" s="145"/>
      <c r="AV147" s="136"/>
      <c r="AW147" s="137"/>
    </row>
    <row r="148" spans="16:49" x14ac:dyDescent="0.25">
      <c r="P148" s="55"/>
      <c r="Q148" s="55"/>
      <c r="R148" s="55"/>
      <c r="U148" s="55"/>
      <c r="V148" s="55"/>
      <c r="W148" s="55"/>
      <c r="X148" s="55"/>
      <c r="AO148" s="136"/>
      <c r="AQ148" s="137"/>
      <c r="AS148" s="137"/>
      <c r="AU148" s="145"/>
      <c r="AV148" s="136"/>
      <c r="AW148" s="137"/>
    </row>
    <row r="149" spans="16:49" x14ac:dyDescent="0.25">
      <c r="P149" s="55"/>
      <c r="Q149" s="55"/>
      <c r="R149" s="55"/>
      <c r="U149" s="55"/>
      <c r="V149" s="55"/>
      <c r="W149" s="55"/>
      <c r="X149" s="55"/>
      <c r="AO149" s="136"/>
      <c r="AQ149" s="137"/>
      <c r="AS149" s="137"/>
      <c r="AU149" s="145"/>
      <c r="AV149" s="136"/>
      <c r="AW149" s="137"/>
    </row>
    <row r="150" spans="16:49" x14ac:dyDescent="0.25">
      <c r="P150" s="55"/>
      <c r="Q150" s="55"/>
      <c r="R150" s="55"/>
      <c r="U150" s="55"/>
      <c r="V150" s="55"/>
      <c r="W150" s="55"/>
      <c r="X150" s="55"/>
      <c r="AO150" s="136"/>
      <c r="AQ150" s="137"/>
      <c r="AS150" s="137"/>
      <c r="AU150" s="145"/>
      <c r="AV150" s="136"/>
      <c r="AW150" s="137"/>
    </row>
    <row r="151" spans="16:49" x14ac:dyDescent="0.25">
      <c r="P151" s="55"/>
      <c r="Q151" s="55"/>
      <c r="R151" s="55"/>
      <c r="U151" s="55"/>
      <c r="V151" s="55"/>
      <c r="W151" s="55"/>
      <c r="X151" s="55"/>
      <c r="AO151" s="136"/>
      <c r="AQ151" s="137"/>
      <c r="AS151" s="137"/>
      <c r="AU151" s="145"/>
      <c r="AV151" s="136"/>
      <c r="AW151" s="137"/>
    </row>
    <row r="152" spans="16:49" x14ac:dyDescent="0.25">
      <c r="P152" s="55"/>
      <c r="Q152" s="55"/>
      <c r="R152" s="55"/>
      <c r="U152" s="55"/>
      <c r="V152" s="55"/>
      <c r="W152" s="55"/>
      <c r="X152" s="55"/>
      <c r="AO152" s="136"/>
      <c r="AQ152" s="137"/>
      <c r="AS152" s="137"/>
      <c r="AU152" s="145"/>
      <c r="AV152" s="136"/>
      <c r="AW152" s="137"/>
    </row>
    <row r="153" spans="16:49" x14ac:dyDescent="0.25">
      <c r="P153" s="55"/>
      <c r="Q153" s="55"/>
      <c r="R153" s="55"/>
      <c r="U153" s="55"/>
      <c r="V153" s="55"/>
      <c r="W153" s="55"/>
      <c r="X153" s="55"/>
      <c r="AO153" s="136"/>
      <c r="AQ153" s="137"/>
      <c r="AS153" s="137"/>
      <c r="AU153" s="145"/>
      <c r="AV153" s="136"/>
      <c r="AW153" s="137"/>
    </row>
    <row r="154" spans="16:49" x14ac:dyDescent="0.25">
      <c r="P154" s="55"/>
      <c r="Q154" s="55"/>
      <c r="R154" s="55"/>
      <c r="U154" s="55"/>
      <c r="V154" s="55"/>
      <c r="W154" s="55"/>
      <c r="X154" s="55"/>
      <c r="AO154" s="136"/>
      <c r="AQ154" s="137"/>
      <c r="AS154" s="137"/>
      <c r="AU154" s="145"/>
      <c r="AV154" s="136"/>
      <c r="AW154" s="137"/>
    </row>
    <row r="155" spans="16:49" x14ac:dyDescent="0.25">
      <c r="P155" s="55"/>
      <c r="Q155" s="55"/>
      <c r="R155" s="55"/>
      <c r="U155" s="55"/>
      <c r="V155" s="55"/>
      <c r="W155" s="55"/>
      <c r="X155" s="55"/>
      <c r="AO155" s="136"/>
      <c r="AQ155" s="137"/>
      <c r="AS155" s="137"/>
      <c r="AU155" s="145"/>
      <c r="AV155" s="136"/>
      <c r="AW155" s="137"/>
    </row>
    <row r="156" spans="16:49" x14ac:dyDescent="0.25">
      <c r="P156" s="55"/>
      <c r="Q156" s="55"/>
      <c r="R156" s="55"/>
      <c r="U156" s="55"/>
      <c r="V156" s="55"/>
      <c r="W156" s="55"/>
      <c r="X156" s="55"/>
      <c r="AO156" s="136"/>
      <c r="AQ156" s="137"/>
      <c r="AS156" s="137"/>
      <c r="AU156" s="145"/>
      <c r="AV156" s="136"/>
      <c r="AW156" s="137"/>
    </row>
    <row r="157" spans="16:49" x14ac:dyDescent="0.25">
      <c r="P157" s="55"/>
      <c r="Q157" s="55"/>
      <c r="R157" s="55"/>
      <c r="U157" s="55"/>
      <c r="V157" s="55"/>
      <c r="W157" s="55"/>
      <c r="X157" s="55"/>
      <c r="AO157" s="136"/>
      <c r="AQ157" s="137"/>
      <c r="AS157" s="137"/>
      <c r="AU157" s="145"/>
      <c r="AV157" s="136"/>
      <c r="AW157" s="137"/>
    </row>
    <row r="158" spans="16:49" x14ac:dyDescent="0.25">
      <c r="P158" s="55"/>
      <c r="Q158" s="55"/>
      <c r="R158" s="55"/>
      <c r="U158" s="55"/>
      <c r="V158" s="55"/>
      <c r="W158" s="55"/>
      <c r="X158" s="55"/>
      <c r="AO158" s="136"/>
      <c r="AQ158" s="137"/>
      <c r="AS158" s="137"/>
      <c r="AU158" s="145"/>
      <c r="AV158" s="136"/>
      <c r="AW158" s="137"/>
    </row>
    <row r="159" spans="16:49" x14ac:dyDescent="0.25">
      <c r="P159" s="55"/>
      <c r="Q159" s="55"/>
      <c r="R159" s="55"/>
      <c r="U159" s="55"/>
      <c r="V159" s="55"/>
      <c r="W159" s="55"/>
      <c r="X159" s="55"/>
      <c r="AO159" s="136"/>
      <c r="AQ159" s="137"/>
      <c r="AS159" s="137"/>
      <c r="AU159" s="145"/>
      <c r="AV159" s="136"/>
      <c r="AW159" s="137"/>
    </row>
    <row r="160" spans="16:49" x14ac:dyDescent="0.25">
      <c r="P160" s="55"/>
      <c r="Q160" s="55"/>
      <c r="R160" s="55"/>
      <c r="U160" s="55"/>
      <c r="V160" s="55"/>
      <c r="W160" s="55"/>
      <c r="X160" s="55"/>
      <c r="AO160" s="136"/>
      <c r="AQ160" s="137"/>
      <c r="AS160" s="137"/>
      <c r="AU160" s="145"/>
      <c r="AV160" s="136"/>
      <c r="AW160" s="137"/>
    </row>
    <row r="161" spans="16:49" x14ac:dyDescent="0.25">
      <c r="P161" s="55"/>
      <c r="Q161" s="55"/>
      <c r="R161" s="55"/>
      <c r="U161" s="55"/>
      <c r="V161" s="55"/>
      <c r="W161" s="55"/>
      <c r="X161" s="55"/>
      <c r="AO161" s="136"/>
      <c r="AQ161" s="137"/>
      <c r="AS161" s="137"/>
      <c r="AU161" s="145"/>
      <c r="AV161" s="136"/>
      <c r="AW161" s="137"/>
    </row>
    <row r="162" spans="16:49" x14ac:dyDescent="0.25">
      <c r="P162" s="55"/>
      <c r="Q162" s="55"/>
      <c r="R162" s="55"/>
      <c r="U162" s="55"/>
      <c r="V162" s="55"/>
      <c r="W162" s="55"/>
      <c r="X162" s="55"/>
      <c r="AO162" s="136"/>
      <c r="AQ162" s="137"/>
      <c r="AS162" s="137"/>
      <c r="AU162" s="145"/>
      <c r="AV162" s="136"/>
      <c r="AW162" s="137"/>
    </row>
    <row r="163" spans="16:49" x14ac:dyDescent="0.25">
      <c r="P163" s="55"/>
      <c r="Q163" s="55"/>
      <c r="R163" s="55"/>
      <c r="U163" s="55"/>
      <c r="V163" s="55"/>
      <c r="W163" s="55"/>
      <c r="X163" s="55"/>
      <c r="AO163" s="136"/>
      <c r="AQ163" s="137"/>
      <c r="AS163" s="137"/>
      <c r="AU163" s="145"/>
      <c r="AV163" s="136"/>
      <c r="AW163" s="137"/>
    </row>
    <row r="164" spans="16:49" x14ac:dyDescent="0.25">
      <c r="P164" s="55"/>
      <c r="Q164" s="55"/>
      <c r="R164" s="55"/>
      <c r="U164" s="55"/>
      <c r="V164" s="55"/>
      <c r="W164" s="55"/>
      <c r="X164" s="55"/>
      <c r="AO164" s="136"/>
      <c r="AQ164" s="137"/>
      <c r="AS164" s="137"/>
      <c r="AU164" s="145"/>
      <c r="AV164" s="136"/>
      <c r="AW164" s="137"/>
    </row>
    <row r="165" spans="16:49" x14ac:dyDescent="0.25">
      <c r="P165" s="55"/>
      <c r="Q165" s="55"/>
      <c r="R165" s="55"/>
      <c r="U165" s="55"/>
      <c r="V165" s="55"/>
      <c r="W165" s="55"/>
      <c r="X165" s="55"/>
      <c r="AO165" s="136"/>
      <c r="AQ165" s="137"/>
      <c r="AS165" s="137"/>
      <c r="AU165" s="145"/>
      <c r="AV165" s="136"/>
      <c r="AW165" s="137"/>
    </row>
    <row r="166" spans="16:49" x14ac:dyDescent="0.25">
      <c r="P166" s="55"/>
      <c r="Q166" s="55"/>
      <c r="R166" s="55"/>
      <c r="U166" s="55"/>
      <c r="V166" s="55"/>
      <c r="W166" s="55"/>
      <c r="X166" s="55"/>
      <c r="AO166" s="136"/>
      <c r="AQ166" s="137"/>
      <c r="AS166" s="137"/>
      <c r="AU166" s="145"/>
      <c r="AV166" s="136"/>
      <c r="AW166" s="137"/>
    </row>
    <row r="167" spans="16:49" x14ac:dyDescent="0.25">
      <c r="P167" s="55"/>
      <c r="Q167" s="55"/>
      <c r="R167" s="55"/>
      <c r="U167" s="55"/>
      <c r="V167" s="55"/>
      <c r="W167" s="55"/>
      <c r="X167" s="55"/>
      <c r="AO167" s="136"/>
      <c r="AQ167" s="137"/>
      <c r="AS167" s="137"/>
      <c r="AU167" s="145"/>
      <c r="AV167" s="136"/>
      <c r="AW167" s="137"/>
    </row>
    <row r="168" spans="16:49" x14ac:dyDescent="0.25">
      <c r="P168" s="55"/>
      <c r="Q168" s="55"/>
      <c r="R168" s="55"/>
      <c r="U168" s="55"/>
      <c r="V168" s="55"/>
      <c r="W168" s="55"/>
      <c r="X168" s="55"/>
      <c r="AO168" s="136"/>
      <c r="AQ168" s="137"/>
      <c r="AS168" s="137"/>
      <c r="AU168" s="145"/>
      <c r="AV168" s="136"/>
      <c r="AW168" s="137"/>
    </row>
    <row r="169" spans="16:49" x14ac:dyDescent="0.25">
      <c r="P169" s="55"/>
      <c r="Q169" s="55"/>
      <c r="R169" s="55"/>
      <c r="U169" s="55"/>
      <c r="V169" s="55"/>
      <c r="W169" s="55"/>
      <c r="X169" s="55"/>
      <c r="AO169" s="136"/>
      <c r="AQ169" s="137"/>
      <c r="AS169" s="137"/>
      <c r="AU169" s="145"/>
      <c r="AV169" s="136"/>
      <c r="AW169" s="137"/>
    </row>
    <row r="170" spans="16:49" x14ac:dyDescent="0.25">
      <c r="P170" s="55"/>
      <c r="Q170" s="55"/>
      <c r="R170" s="55"/>
      <c r="U170" s="55"/>
      <c r="V170" s="55"/>
      <c r="W170" s="55"/>
      <c r="X170" s="55"/>
      <c r="AO170" s="136"/>
      <c r="AQ170" s="137"/>
      <c r="AS170" s="137"/>
      <c r="AU170" s="145"/>
      <c r="AV170" s="136"/>
      <c r="AW170" s="137"/>
    </row>
    <row r="171" spans="16:49" x14ac:dyDescent="0.25">
      <c r="P171" s="55"/>
      <c r="Q171" s="55"/>
      <c r="R171" s="55"/>
      <c r="U171" s="55"/>
      <c r="V171" s="55"/>
      <c r="W171" s="55"/>
      <c r="X171" s="55"/>
      <c r="AO171" s="136"/>
      <c r="AQ171" s="137"/>
      <c r="AS171" s="137"/>
      <c r="AU171" s="145"/>
      <c r="AV171" s="136"/>
      <c r="AW171" s="137"/>
    </row>
    <row r="172" spans="16:49" x14ac:dyDescent="0.25">
      <c r="P172" s="55"/>
      <c r="Q172" s="55"/>
      <c r="R172" s="55"/>
      <c r="U172" s="55"/>
      <c r="V172" s="55"/>
      <c r="W172" s="55"/>
      <c r="X172" s="55"/>
      <c r="AO172" s="136"/>
      <c r="AQ172" s="137"/>
      <c r="AS172" s="137"/>
      <c r="AU172" s="145"/>
      <c r="AV172" s="136"/>
      <c r="AW172" s="137"/>
    </row>
    <row r="173" spans="16:49" x14ac:dyDescent="0.25">
      <c r="P173" s="55"/>
      <c r="Q173" s="55"/>
      <c r="R173" s="55"/>
      <c r="U173" s="55"/>
      <c r="V173" s="55"/>
      <c r="W173" s="55"/>
      <c r="X173" s="55"/>
      <c r="AO173" s="136"/>
      <c r="AQ173" s="137"/>
      <c r="AS173" s="137"/>
      <c r="AU173" s="145"/>
      <c r="AV173" s="136"/>
      <c r="AW173" s="137"/>
    </row>
    <row r="174" spans="16:49" x14ac:dyDescent="0.25">
      <c r="P174" s="55"/>
      <c r="Q174" s="55"/>
      <c r="R174" s="55"/>
      <c r="U174" s="55"/>
      <c r="V174" s="55"/>
      <c r="W174" s="55"/>
      <c r="X174" s="55"/>
      <c r="AO174" s="136"/>
      <c r="AQ174" s="137"/>
      <c r="AS174" s="137"/>
      <c r="AU174" s="145"/>
      <c r="AV174" s="136"/>
      <c r="AW174" s="137"/>
    </row>
    <row r="175" spans="16:49" x14ac:dyDescent="0.25">
      <c r="P175" s="55"/>
      <c r="Q175" s="55"/>
      <c r="R175" s="55"/>
      <c r="U175" s="55"/>
      <c r="V175" s="55"/>
      <c r="W175" s="55"/>
      <c r="X175" s="55"/>
      <c r="AO175" s="136"/>
      <c r="AQ175" s="137"/>
      <c r="AS175" s="137"/>
      <c r="AU175" s="145"/>
      <c r="AV175" s="136"/>
      <c r="AW175" s="137"/>
    </row>
    <row r="176" spans="16:49" x14ac:dyDescent="0.25">
      <c r="P176" s="55"/>
      <c r="Q176" s="55"/>
      <c r="R176" s="55"/>
      <c r="U176" s="55"/>
      <c r="V176" s="55"/>
      <c r="W176" s="55"/>
      <c r="X176" s="55"/>
      <c r="AO176" s="136"/>
      <c r="AQ176" s="137"/>
      <c r="AS176" s="137"/>
      <c r="AU176" s="145"/>
      <c r="AV176" s="136"/>
      <c r="AW176" s="137"/>
    </row>
    <row r="177" spans="16:49" x14ac:dyDescent="0.25">
      <c r="P177" s="55"/>
      <c r="Q177" s="55"/>
      <c r="R177" s="55"/>
      <c r="U177" s="55"/>
      <c r="V177" s="55"/>
      <c r="W177" s="55"/>
      <c r="X177" s="55"/>
      <c r="AO177" s="136"/>
      <c r="AQ177" s="137"/>
      <c r="AS177" s="137"/>
      <c r="AU177" s="145"/>
      <c r="AV177" s="136"/>
      <c r="AW177" s="137"/>
    </row>
    <row r="178" spans="16:49" x14ac:dyDescent="0.25">
      <c r="P178" s="55"/>
      <c r="Q178" s="55"/>
      <c r="R178" s="55"/>
      <c r="U178" s="55"/>
      <c r="V178" s="55"/>
      <c r="W178" s="55"/>
      <c r="X178" s="55"/>
    </row>
    <row r="179" spans="16:49" x14ac:dyDescent="0.25">
      <c r="P179" s="55"/>
      <c r="Q179" s="55"/>
      <c r="R179" s="55"/>
      <c r="U179" s="55"/>
      <c r="V179" s="55"/>
      <c r="W179" s="55"/>
      <c r="X179" s="55"/>
    </row>
    <row r="180" spans="16:49" x14ac:dyDescent="0.25">
      <c r="P180" s="55"/>
      <c r="Q180" s="55"/>
      <c r="R180" s="55"/>
      <c r="U180" s="55"/>
      <c r="V180" s="55"/>
      <c r="W180" s="55"/>
      <c r="X180" s="55"/>
    </row>
    <row r="181" spans="16:49" x14ac:dyDescent="0.25">
      <c r="P181" s="55"/>
      <c r="Q181" s="55"/>
      <c r="R181" s="55"/>
      <c r="U181" s="55"/>
      <c r="V181" s="55"/>
      <c r="W181" s="55"/>
      <c r="X181" s="55"/>
    </row>
    <row r="182" spans="16:49" x14ac:dyDescent="0.25">
      <c r="P182" s="55"/>
      <c r="Q182" s="55"/>
      <c r="R182" s="55"/>
      <c r="U182" s="55"/>
      <c r="V182" s="55"/>
      <c r="W182" s="55"/>
      <c r="X182" s="55"/>
    </row>
    <row r="183" spans="16:49" x14ac:dyDescent="0.25">
      <c r="P183" s="55"/>
      <c r="Q183" s="55"/>
      <c r="R183" s="55"/>
      <c r="U183" s="55"/>
      <c r="V183" s="55"/>
      <c r="W183" s="55"/>
      <c r="X183" s="55"/>
    </row>
    <row r="184" spans="16:49" x14ac:dyDescent="0.25">
      <c r="P184" s="55"/>
      <c r="Q184" s="55"/>
      <c r="R184" s="55"/>
      <c r="U184" s="55"/>
      <c r="V184" s="55"/>
      <c r="W184" s="55"/>
      <c r="X184" s="55"/>
    </row>
    <row r="185" spans="16:49" x14ac:dyDescent="0.25">
      <c r="P185" s="55"/>
      <c r="Q185" s="55"/>
      <c r="R185" s="55"/>
      <c r="U185" s="55"/>
      <c r="V185" s="55"/>
      <c r="W185" s="55"/>
      <c r="X185" s="55"/>
    </row>
    <row r="186" spans="16:49" x14ac:dyDescent="0.25">
      <c r="P186" s="55"/>
      <c r="Q186" s="55"/>
      <c r="R186" s="55"/>
      <c r="U186" s="55"/>
      <c r="V186" s="55"/>
      <c r="W186" s="55"/>
      <c r="X186" s="55"/>
    </row>
    <row r="187" spans="16:49" x14ac:dyDescent="0.25">
      <c r="P187" s="55"/>
      <c r="Q187" s="55"/>
      <c r="R187" s="55"/>
      <c r="U187" s="55"/>
      <c r="V187" s="55"/>
      <c r="W187" s="55"/>
      <c r="X187" s="55"/>
    </row>
    <row r="188" spans="16:49" x14ac:dyDescent="0.25">
      <c r="P188" s="55"/>
      <c r="Q188" s="55"/>
      <c r="R188" s="55"/>
      <c r="U188" s="55"/>
      <c r="V188" s="55"/>
      <c r="W188" s="55"/>
      <c r="X188" s="55"/>
    </row>
    <row r="189" spans="16:49" x14ac:dyDescent="0.25">
      <c r="P189" s="55"/>
      <c r="Q189" s="55"/>
      <c r="R189" s="55"/>
      <c r="U189" s="55"/>
      <c r="V189" s="55"/>
      <c r="W189" s="55"/>
      <c r="X189" s="55"/>
    </row>
    <row r="190" spans="16:49" x14ac:dyDescent="0.25">
      <c r="P190" s="55"/>
      <c r="Q190" s="55"/>
      <c r="R190" s="55"/>
      <c r="U190" s="55"/>
      <c r="V190" s="55"/>
      <c r="W190" s="55"/>
      <c r="X190" s="55"/>
    </row>
    <row r="191" spans="16:49" x14ac:dyDescent="0.25">
      <c r="P191" s="55"/>
      <c r="Q191" s="55"/>
      <c r="R191" s="55"/>
      <c r="U191" s="55"/>
      <c r="V191" s="55"/>
      <c r="W191" s="55"/>
      <c r="X191" s="55"/>
    </row>
    <row r="192" spans="16:49" x14ac:dyDescent="0.25">
      <c r="P192" s="55"/>
      <c r="Q192" s="55"/>
      <c r="R192" s="55"/>
      <c r="U192" s="55"/>
      <c r="V192" s="55"/>
      <c r="W192" s="55"/>
      <c r="X192" s="55"/>
    </row>
    <row r="193" spans="16:24" x14ac:dyDescent="0.25">
      <c r="P193" s="55"/>
      <c r="Q193" s="55"/>
      <c r="R193" s="55"/>
      <c r="U193" s="55"/>
      <c r="V193" s="55"/>
      <c r="W193" s="55"/>
      <c r="X193" s="55"/>
    </row>
    <row r="194" spans="16:24" x14ac:dyDescent="0.25">
      <c r="P194" s="55"/>
      <c r="Q194" s="55"/>
      <c r="R194" s="55"/>
      <c r="U194" s="55"/>
      <c r="V194" s="55"/>
      <c r="W194" s="55"/>
      <c r="X194" s="55"/>
    </row>
    <row r="195" spans="16:24" x14ac:dyDescent="0.25">
      <c r="P195" s="55"/>
      <c r="Q195" s="55"/>
      <c r="R195" s="55"/>
      <c r="U195" s="55"/>
      <c r="V195" s="55"/>
      <c r="W195" s="55"/>
      <c r="X195" s="55"/>
    </row>
    <row r="196" spans="16:24" x14ac:dyDescent="0.25">
      <c r="P196" s="55"/>
      <c r="Q196" s="55"/>
      <c r="R196" s="55"/>
      <c r="U196" s="55"/>
      <c r="V196" s="55"/>
      <c r="W196" s="55"/>
      <c r="X196" s="55"/>
    </row>
    <row r="197" spans="16:24" x14ac:dyDescent="0.25">
      <c r="P197" s="55"/>
      <c r="Q197" s="55"/>
      <c r="R197" s="55"/>
      <c r="U197" s="55"/>
      <c r="V197" s="55"/>
      <c r="W197" s="55"/>
      <c r="X197" s="55"/>
    </row>
    <row r="198" spans="16:24" x14ac:dyDescent="0.25">
      <c r="P198" s="55"/>
      <c r="Q198" s="55"/>
      <c r="R198" s="55"/>
      <c r="U198" s="55"/>
      <c r="V198" s="55"/>
      <c r="W198" s="55"/>
      <c r="X198" s="55"/>
    </row>
    <row r="199" spans="16:24" x14ac:dyDescent="0.25">
      <c r="P199" s="55"/>
      <c r="Q199" s="55"/>
      <c r="R199" s="55"/>
      <c r="U199" s="55"/>
      <c r="V199" s="55"/>
      <c r="W199" s="55"/>
      <c r="X199" s="55"/>
    </row>
    <row r="200" spans="16:24" x14ac:dyDescent="0.25">
      <c r="P200" s="55"/>
      <c r="Q200" s="55"/>
      <c r="R200" s="55"/>
      <c r="U200" s="55"/>
      <c r="V200" s="55"/>
      <c r="W200" s="55"/>
      <c r="X200" s="55"/>
    </row>
    <row r="201" spans="16:24" x14ac:dyDescent="0.25">
      <c r="P201" s="55"/>
      <c r="Q201" s="55"/>
      <c r="R201" s="55"/>
      <c r="U201" s="55"/>
      <c r="V201" s="55"/>
      <c r="W201" s="55"/>
      <c r="X201" s="55"/>
    </row>
    <row r="202" spans="16:24" x14ac:dyDescent="0.25">
      <c r="P202" s="55"/>
      <c r="Q202" s="55"/>
      <c r="R202" s="55"/>
      <c r="U202" s="55"/>
      <c r="V202" s="55"/>
      <c r="W202" s="55"/>
      <c r="X202" s="55"/>
    </row>
    <row r="203" spans="16:24" x14ac:dyDescent="0.25">
      <c r="P203" s="55"/>
      <c r="Q203" s="55"/>
      <c r="R203" s="55"/>
      <c r="U203" s="55"/>
      <c r="V203" s="55"/>
      <c r="W203" s="55"/>
      <c r="X203" s="55"/>
    </row>
    <row r="204" spans="16:24" x14ac:dyDescent="0.25">
      <c r="P204" s="55"/>
      <c r="Q204" s="55"/>
      <c r="R204" s="55"/>
      <c r="U204" s="55"/>
      <c r="V204" s="55"/>
      <c r="W204" s="55"/>
      <c r="X204" s="55"/>
    </row>
    <row r="205" spans="16:24" x14ac:dyDescent="0.25">
      <c r="P205" s="55"/>
      <c r="Q205" s="55"/>
      <c r="R205" s="55"/>
      <c r="U205" s="55"/>
      <c r="V205" s="55"/>
      <c r="W205" s="55"/>
      <c r="X205" s="55"/>
    </row>
    <row r="206" spans="16:24" x14ac:dyDescent="0.25">
      <c r="P206" s="55"/>
      <c r="Q206" s="55"/>
      <c r="R206" s="55"/>
      <c r="U206" s="55"/>
      <c r="V206" s="55"/>
      <c r="W206" s="55"/>
      <c r="X206" s="55"/>
    </row>
    <row r="207" spans="16:24" x14ac:dyDescent="0.25">
      <c r="P207" s="55"/>
      <c r="Q207" s="55"/>
      <c r="R207" s="55"/>
      <c r="U207" s="55"/>
      <c r="V207" s="55"/>
      <c r="W207" s="55"/>
      <c r="X207" s="55"/>
    </row>
    <row r="208" spans="16:24" x14ac:dyDescent="0.25">
      <c r="P208" s="55"/>
      <c r="Q208" s="55"/>
      <c r="R208" s="55"/>
      <c r="U208" s="55"/>
      <c r="V208" s="55"/>
      <c r="W208" s="55"/>
      <c r="X208" s="55"/>
    </row>
    <row r="209" spans="16:24" x14ac:dyDescent="0.25">
      <c r="P209" s="55"/>
      <c r="Q209" s="55"/>
      <c r="R209" s="55"/>
      <c r="U209" s="55"/>
      <c r="V209" s="55"/>
      <c r="W209" s="55"/>
      <c r="X209" s="55"/>
    </row>
    <row r="210" spans="16:24" x14ac:dyDescent="0.25">
      <c r="P210" s="55"/>
      <c r="Q210" s="55"/>
      <c r="R210" s="55"/>
      <c r="U210" s="55"/>
      <c r="V210" s="55"/>
      <c r="W210" s="55"/>
      <c r="X210" s="55"/>
    </row>
    <row r="211" spans="16:24" x14ac:dyDescent="0.25">
      <c r="P211" s="55"/>
      <c r="Q211" s="55"/>
      <c r="R211" s="55"/>
      <c r="U211" s="55"/>
      <c r="V211" s="55"/>
      <c r="W211" s="55"/>
      <c r="X211" s="55"/>
    </row>
    <row r="212" spans="16:24" x14ac:dyDescent="0.25">
      <c r="P212" s="55"/>
      <c r="Q212" s="55"/>
      <c r="R212" s="55"/>
      <c r="U212" s="55"/>
      <c r="V212" s="55"/>
      <c r="W212" s="55"/>
      <c r="X212" s="55"/>
    </row>
    <row r="213" spans="16:24" x14ac:dyDescent="0.25">
      <c r="P213" s="55"/>
      <c r="Q213" s="55"/>
      <c r="R213" s="55"/>
      <c r="U213" s="55"/>
      <c r="V213" s="55"/>
      <c r="W213" s="55"/>
      <c r="X213" s="55"/>
    </row>
    <row r="214" spans="16:24" x14ac:dyDescent="0.25">
      <c r="P214" s="55"/>
      <c r="Q214" s="55"/>
      <c r="R214" s="55"/>
      <c r="U214" s="55"/>
      <c r="V214" s="55"/>
      <c r="W214" s="55"/>
      <c r="X214" s="55"/>
    </row>
    <row r="215" spans="16:24" x14ac:dyDescent="0.25">
      <c r="P215" s="55"/>
      <c r="Q215" s="55"/>
      <c r="R215" s="55"/>
      <c r="U215" s="55"/>
      <c r="V215" s="55"/>
      <c r="W215" s="55"/>
      <c r="X215" s="55"/>
    </row>
    <row r="216" spans="16:24" x14ac:dyDescent="0.25">
      <c r="P216" s="55"/>
      <c r="Q216" s="55"/>
      <c r="R216" s="55"/>
      <c r="U216" s="55"/>
      <c r="V216" s="55"/>
      <c r="W216" s="55"/>
      <c r="X216" s="55"/>
    </row>
    <row r="217" spans="16:24" x14ac:dyDescent="0.25">
      <c r="P217" s="55"/>
      <c r="Q217" s="55"/>
      <c r="R217" s="55"/>
      <c r="U217" s="55"/>
      <c r="V217" s="55"/>
      <c r="W217" s="55"/>
      <c r="X217" s="55"/>
    </row>
    <row r="218" spans="16:24" x14ac:dyDescent="0.25">
      <c r="P218" s="55"/>
      <c r="Q218" s="55"/>
      <c r="R218" s="55"/>
      <c r="U218" s="55"/>
      <c r="V218" s="55"/>
      <c r="W218" s="55"/>
      <c r="X218" s="55"/>
    </row>
    <row r="219" spans="16:24" x14ac:dyDescent="0.25">
      <c r="P219" s="55"/>
      <c r="Q219" s="55"/>
      <c r="R219" s="55"/>
      <c r="U219" s="55"/>
      <c r="V219" s="55"/>
      <c r="W219" s="55"/>
      <c r="X219" s="55"/>
    </row>
    <row r="220" spans="16:24" x14ac:dyDescent="0.25">
      <c r="P220" s="55"/>
      <c r="Q220" s="55"/>
      <c r="R220" s="55"/>
      <c r="U220" s="55"/>
      <c r="V220" s="55"/>
      <c r="W220" s="55"/>
      <c r="X220" s="55"/>
    </row>
    <row r="221" spans="16:24" x14ac:dyDescent="0.25">
      <c r="P221" s="55"/>
      <c r="Q221" s="55"/>
      <c r="R221" s="55"/>
      <c r="U221" s="55"/>
      <c r="V221" s="55"/>
      <c r="W221" s="55"/>
      <c r="X221" s="55"/>
    </row>
    <row r="222" spans="16:24" x14ac:dyDescent="0.25">
      <c r="P222" s="55"/>
      <c r="Q222" s="55"/>
      <c r="R222" s="55"/>
      <c r="U222" s="55"/>
      <c r="V222" s="55"/>
      <c r="W222" s="55"/>
      <c r="X222" s="55"/>
    </row>
    <row r="223" spans="16:24" x14ac:dyDescent="0.25">
      <c r="P223" s="55"/>
      <c r="Q223" s="55"/>
      <c r="R223" s="55"/>
      <c r="U223" s="55"/>
      <c r="V223" s="55"/>
      <c r="W223" s="55"/>
      <c r="X223" s="55"/>
    </row>
    <row r="224" spans="16:24" x14ac:dyDescent="0.25">
      <c r="P224" s="55"/>
      <c r="Q224" s="55"/>
      <c r="R224" s="55"/>
      <c r="U224" s="55"/>
      <c r="V224" s="55"/>
      <c r="W224" s="55"/>
      <c r="X224" s="55"/>
    </row>
    <row r="225" spans="16:24" x14ac:dyDescent="0.25">
      <c r="P225" s="55"/>
      <c r="Q225" s="55"/>
      <c r="R225" s="55"/>
      <c r="U225" s="55"/>
      <c r="V225" s="55"/>
      <c r="W225" s="55"/>
      <c r="X225" s="55"/>
    </row>
    <row r="226" spans="16:24" x14ac:dyDescent="0.25">
      <c r="P226" s="55"/>
      <c r="Q226" s="55"/>
      <c r="R226" s="55"/>
      <c r="U226" s="55"/>
      <c r="V226" s="55"/>
      <c r="W226" s="55"/>
      <c r="X226" s="55"/>
    </row>
    <row r="227" spans="16:24" x14ac:dyDescent="0.25">
      <c r="P227" s="55"/>
      <c r="Q227" s="55"/>
      <c r="R227" s="55"/>
      <c r="U227" s="55"/>
      <c r="V227" s="55"/>
      <c r="W227" s="55"/>
      <c r="X227" s="55"/>
    </row>
    <row r="228" spans="16:24" x14ac:dyDescent="0.25">
      <c r="P228" s="55"/>
      <c r="Q228" s="55"/>
      <c r="R228" s="55"/>
      <c r="U228" s="55"/>
      <c r="V228" s="55"/>
      <c r="W228" s="55"/>
      <c r="X228" s="55"/>
    </row>
    <row r="229" spans="16:24" x14ac:dyDescent="0.25">
      <c r="P229" s="55"/>
      <c r="Q229" s="55"/>
      <c r="R229" s="55"/>
      <c r="U229" s="55"/>
      <c r="V229" s="55"/>
      <c r="W229" s="55"/>
      <c r="X229" s="55"/>
    </row>
    <row r="230" spans="16:24" x14ac:dyDescent="0.25">
      <c r="P230" s="55"/>
      <c r="Q230" s="55"/>
      <c r="R230" s="55"/>
      <c r="U230" s="55"/>
      <c r="V230" s="55"/>
      <c r="W230" s="55"/>
      <c r="X230" s="55"/>
    </row>
    <row r="231" spans="16:24" x14ac:dyDescent="0.25">
      <c r="P231" s="55"/>
      <c r="Q231" s="55"/>
      <c r="R231" s="55"/>
      <c r="U231" s="55"/>
      <c r="V231" s="55"/>
      <c r="W231" s="55"/>
      <c r="X231" s="55"/>
    </row>
    <row r="232" spans="16:24" x14ac:dyDescent="0.25">
      <c r="P232" s="55"/>
      <c r="Q232" s="55"/>
      <c r="R232" s="55"/>
      <c r="U232" s="55"/>
      <c r="V232" s="55"/>
      <c r="W232" s="55"/>
      <c r="X232" s="55"/>
    </row>
    <row r="233" spans="16:24" x14ac:dyDescent="0.25">
      <c r="P233" s="55"/>
      <c r="Q233" s="55"/>
      <c r="R233" s="55"/>
      <c r="U233" s="55"/>
      <c r="V233" s="55"/>
      <c r="W233" s="55"/>
      <c r="X233" s="55"/>
    </row>
    <row r="234" spans="16:24" x14ac:dyDescent="0.25">
      <c r="P234" s="55"/>
      <c r="Q234" s="55"/>
      <c r="R234" s="55"/>
      <c r="U234" s="55"/>
      <c r="V234" s="55"/>
      <c r="W234" s="55"/>
      <c r="X234" s="55"/>
    </row>
    <row r="235" spans="16:24" x14ac:dyDescent="0.25">
      <c r="P235" s="55"/>
      <c r="Q235" s="55"/>
      <c r="R235" s="55"/>
      <c r="U235" s="55"/>
      <c r="V235" s="55"/>
      <c r="W235" s="55"/>
      <c r="X235" s="55"/>
    </row>
    <row r="236" spans="16:24" x14ac:dyDescent="0.25">
      <c r="P236" s="55"/>
      <c r="Q236" s="55"/>
      <c r="R236" s="55"/>
      <c r="U236" s="55"/>
      <c r="V236" s="55"/>
      <c r="W236" s="55"/>
      <c r="X236" s="55"/>
    </row>
    <row r="237" spans="16:24" x14ac:dyDescent="0.25">
      <c r="P237" s="55"/>
      <c r="Q237" s="55"/>
      <c r="R237" s="55"/>
      <c r="U237" s="55"/>
      <c r="V237" s="55"/>
      <c r="W237" s="55"/>
      <c r="X237" s="55"/>
    </row>
    <row r="238" spans="16:24" x14ac:dyDescent="0.25">
      <c r="P238" s="55"/>
      <c r="Q238" s="55"/>
      <c r="R238" s="55"/>
      <c r="U238" s="55"/>
      <c r="V238" s="55"/>
      <c r="W238" s="55"/>
      <c r="X238" s="55"/>
    </row>
    <row r="239" spans="16:24" x14ac:dyDescent="0.25">
      <c r="P239" s="55"/>
      <c r="Q239" s="55"/>
      <c r="R239" s="55"/>
      <c r="U239" s="55"/>
      <c r="V239" s="55"/>
      <c r="W239" s="55"/>
      <c r="X239" s="55"/>
    </row>
    <row r="240" spans="16:24" x14ac:dyDescent="0.25">
      <c r="P240" s="55"/>
      <c r="Q240" s="55"/>
      <c r="R240" s="55"/>
      <c r="U240" s="55"/>
      <c r="V240" s="55"/>
      <c r="W240" s="55"/>
      <c r="X240" s="55"/>
    </row>
    <row r="241" spans="16:24" x14ac:dyDescent="0.25">
      <c r="P241" s="55"/>
      <c r="Q241" s="55"/>
      <c r="R241" s="55"/>
      <c r="U241" s="55"/>
      <c r="V241" s="55"/>
      <c r="W241" s="55"/>
      <c r="X241" s="55"/>
    </row>
    <row r="242" spans="16:24" x14ac:dyDescent="0.25">
      <c r="P242" s="55"/>
      <c r="Q242" s="55"/>
      <c r="R242" s="55"/>
      <c r="U242" s="55"/>
      <c r="V242" s="55"/>
      <c r="W242" s="55"/>
      <c r="X242" s="55"/>
    </row>
    <row r="243" spans="16:24" x14ac:dyDescent="0.25">
      <c r="P243" s="55"/>
      <c r="Q243" s="55"/>
      <c r="R243" s="55"/>
      <c r="U243" s="55"/>
      <c r="V243" s="55"/>
      <c r="W243" s="55"/>
      <c r="X243" s="55"/>
    </row>
    <row r="244" spans="16:24" x14ac:dyDescent="0.25">
      <c r="P244" s="55"/>
      <c r="Q244" s="55"/>
      <c r="R244" s="55"/>
      <c r="U244" s="55"/>
      <c r="V244" s="55"/>
      <c r="W244" s="55"/>
      <c r="X244" s="55"/>
    </row>
    <row r="245" spans="16:24" x14ac:dyDescent="0.25">
      <c r="P245" s="55"/>
      <c r="Q245" s="55"/>
      <c r="R245" s="55"/>
      <c r="U245" s="55"/>
      <c r="V245" s="55"/>
      <c r="W245" s="55"/>
      <c r="X245" s="55"/>
    </row>
    <row r="246" spans="16:24" x14ac:dyDescent="0.25">
      <c r="P246" s="55"/>
      <c r="Q246" s="55"/>
      <c r="R246" s="55"/>
      <c r="U246" s="55"/>
      <c r="V246" s="55"/>
      <c r="W246" s="55"/>
      <c r="X246" s="55"/>
    </row>
    <row r="247" spans="16:24" x14ac:dyDescent="0.25">
      <c r="P247" s="55"/>
      <c r="Q247" s="55"/>
      <c r="R247" s="55"/>
      <c r="U247" s="55"/>
      <c r="V247" s="55"/>
      <c r="W247" s="55"/>
      <c r="X247" s="55"/>
    </row>
    <row r="248" spans="16:24" x14ac:dyDescent="0.25">
      <c r="P248" s="55"/>
      <c r="Q248" s="55"/>
      <c r="R248" s="55"/>
      <c r="U248" s="55"/>
      <c r="V248" s="55"/>
      <c r="W248" s="55"/>
      <c r="X248" s="55"/>
    </row>
    <row r="249" spans="16:24" x14ac:dyDescent="0.25">
      <c r="P249" s="55"/>
      <c r="Q249" s="55"/>
      <c r="R249" s="55"/>
      <c r="U249" s="55"/>
      <c r="V249" s="55"/>
      <c r="W249" s="55"/>
      <c r="X249" s="55"/>
    </row>
    <row r="250" spans="16:24" x14ac:dyDescent="0.25">
      <c r="P250" s="55"/>
      <c r="Q250" s="55"/>
      <c r="R250" s="55"/>
      <c r="U250" s="55"/>
      <c r="V250" s="55"/>
      <c r="W250" s="55"/>
      <c r="X250" s="55"/>
    </row>
    <row r="251" spans="16:24" x14ac:dyDescent="0.25">
      <c r="P251" s="55"/>
      <c r="Q251" s="55"/>
      <c r="R251" s="55"/>
      <c r="U251" s="55"/>
      <c r="V251" s="55"/>
      <c r="W251" s="55"/>
      <c r="X251" s="55"/>
    </row>
    <row r="252" spans="16:24" x14ac:dyDescent="0.25">
      <c r="P252" s="55"/>
      <c r="Q252" s="55"/>
      <c r="R252" s="55"/>
      <c r="U252" s="55"/>
      <c r="V252" s="55"/>
      <c r="W252" s="55"/>
      <c r="X252" s="55"/>
    </row>
    <row r="253" spans="16:24" x14ac:dyDescent="0.25">
      <c r="P253" s="55"/>
      <c r="Q253" s="55"/>
      <c r="R253" s="55"/>
      <c r="U253" s="55"/>
      <c r="V253" s="55"/>
      <c r="W253" s="55"/>
      <c r="X253" s="55"/>
    </row>
    <row r="254" spans="16:24" x14ac:dyDescent="0.25">
      <c r="P254" s="55"/>
      <c r="Q254" s="55"/>
      <c r="R254" s="55"/>
      <c r="U254" s="55"/>
      <c r="V254" s="55"/>
      <c r="W254" s="55"/>
      <c r="X254" s="55"/>
    </row>
    <row r="255" spans="16:24" x14ac:dyDescent="0.25">
      <c r="P255" s="55"/>
      <c r="Q255" s="55"/>
      <c r="R255" s="55"/>
      <c r="U255" s="55"/>
      <c r="V255" s="55"/>
      <c r="W255" s="55"/>
      <c r="X255" s="55"/>
    </row>
    <row r="256" spans="16:24" x14ac:dyDescent="0.25">
      <c r="P256" s="55"/>
      <c r="Q256" s="55"/>
      <c r="R256" s="55"/>
      <c r="U256" s="55"/>
      <c r="V256" s="55"/>
      <c r="W256" s="55"/>
      <c r="X256" s="55"/>
    </row>
    <row r="257" spans="16:24" x14ac:dyDescent="0.25">
      <c r="P257" s="55"/>
      <c r="Q257" s="55"/>
      <c r="R257" s="55"/>
      <c r="U257" s="55"/>
      <c r="V257" s="55"/>
      <c r="W257" s="55"/>
      <c r="X257" s="55"/>
    </row>
    <row r="258" spans="16:24" x14ac:dyDescent="0.25">
      <c r="P258" s="55"/>
      <c r="Q258" s="55"/>
      <c r="R258" s="55"/>
      <c r="U258" s="55"/>
      <c r="V258" s="55"/>
      <c r="W258" s="55"/>
      <c r="X258" s="55"/>
    </row>
    <row r="259" spans="16:24" x14ac:dyDescent="0.25">
      <c r="P259" s="55"/>
      <c r="Q259" s="55"/>
      <c r="R259" s="55"/>
      <c r="U259" s="55"/>
      <c r="V259" s="55"/>
      <c r="W259" s="55"/>
      <c r="X259" s="55"/>
    </row>
    <row r="260" spans="16:24" x14ac:dyDescent="0.25">
      <c r="P260" s="55"/>
      <c r="Q260" s="55"/>
      <c r="R260" s="55"/>
      <c r="U260" s="55"/>
      <c r="V260" s="55"/>
      <c r="W260" s="55"/>
      <c r="X260" s="55"/>
    </row>
    <row r="261" spans="16:24" x14ac:dyDescent="0.25">
      <c r="P261" s="55"/>
      <c r="Q261" s="55"/>
      <c r="R261" s="55"/>
      <c r="U261" s="55"/>
      <c r="V261" s="55"/>
      <c r="W261" s="55"/>
      <c r="X261" s="55"/>
    </row>
    <row r="262" spans="16:24" x14ac:dyDescent="0.25">
      <c r="P262" s="55"/>
      <c r="Q262" s="55"/>
      <c r="R262" s="55"/>
      <c r="U262" s="55"/>
      <c r="V262" s="55"/>
      <c r="W262" s="55"/>
      <c r="X262" s="55"/>
    </row>
    <row r="263" spans="16:24" x14ac:dyDescent="0.25">
      <c r="P263" s="55"/>
      <c r="Q263" s="55"/>
      <c r="R263" s="55"/>
      <c r="U263" s="55"/>
      <c r="V263" s="55"/>
      <c r="W263" s="55"/>
      <c r="X263" s="55"/>
    </row>
    <row r="264" spans="16:24" x14ac:dyDescent="0.25">
      <c r="P264" s="55"/>
      <c r="Q264" s="55"/>
      <c r="R264" s="55"/>
      <c r="U264" s="55"/>
      <c r="V264" s="55"/>
      <c r="W264" s="55"/>
      <c r="X264" s="55"/>
    </row>
    <row r="265" spans="16:24" x14ac:dyDescent="0.25">
      <c r="P265" s="55"/>
      <c r="Q265" s="55"/>
      <c r="R265" s="55"/>
      <c r="U265" s="55"/>
      <c r="V265" s="55"/>
      <c r="W265" s="55"/>
      <c r="X265" s="55"/>
    </row>
    <row r="266" spans="16:24" x14ac:dyDescent="0.25">
      <c r="P266" s="55"/>
      <c r="Q266" s="55"/>
      <c r="R266" s="55"/>
      <c r="U266" s="55"/>
      <c r="V266" s="55"/>
      <c r="W266" s="55"/>
      <c r="X266" s="55"/>
    </row>
    <row r="267" spans="16:24" x14ac:dyDescent="0.25">
      <c r="P267" s="55"/>
      <c r="Q267" s="55"/>
      <c r="R267" s="55"/>
      <c r="U267" s="55"/>
      <c r="V267" s="55"/>
      <c r="W267" s="55"/>
      <c r="X267" s="55"/>
    </row>
    <row r="268" spans="16:24" x14ac:dyDescent="0.25">
      <c r="P268" s="55"/>
      <c r="Q268" s="55"/>
      <c r="R268" s="55"/>
      <c r="U268" s="55"/>
      <c r="V268" s="55"/>
      <c r="W268" s="55"/>
      <c r="X268" s="55"/>
    </row>
    <row r="269" spans="16:24" x14ac:dyDescent="0.25">
      <c r="P269" s="55"/>
      <c r="Q269" s="55"/>
      <c r="R269" s="55"/>
      <c r="U269" s="55"/>
      <c r="V269" s="55"/>
      <c r="W269" s="55"/>
      <c r="X269" s="55"/>
    </row>
    <row r="270" spans="16:24" x14ac:dyDescent="0.25">
      <c r="P270" s="55"/>
      <c r="Q270" s="55"/>
      <c r="R270" s="55"/>
      <c r="U270" s="55"/>
      <c r="V270" s="55"/>
      <c r="W270" s="55"/>
      <c r="X270" s="55"/>
    </row>
    <row r="271" spans="16:24" x14ac:dyDescent="0.25">
      <c r="P271" s="55"/>
      <c r="Q271" s="55"/>
      <c r="R271" s="55"/>
      <c r="U271" s="55"/>
      <c r="V271" s="55"/>
      <c r="W271" s="55"/>
      <c r="X271" s="55"/>
    </row>
    <row r="272" spans="16:24" x14ac:dyDescent="0.25">
      <c r="P272" s="55"/>
      <c r="Q272" s="55"/>
      <c r="R272" s="55"/>
      <c r="U272" s="55"/>
      <c r="V272" s="55"/>
      <c r="W272" s="55"/>
      <c r="X272" s="55"/>
    </row>
    <row r="273" spans="16:24" x14ac:dyDescent="0.25">
      <c r="P273" s="55"/>
      <c r="Q273" s="55"/>
      <c r="R273" s="55"/>
      <c r="U273" s="55"/>
      <c r="V273" s="55"/>
      <c r="W273" s="55"/>
      <c r="X273" s="55"/>
    </row>
    <row r="274" spans="16:24" x14ac:dyDescent="0.25">
      <c r="P274" s="55"/>
      <c r="Q274" s="55"/>
      <c r="R274" s="55"/>
      <c r="U274" s="55"/>
      <c r="V274" s="55"/>
      <c r="W274" s="55"/>
      <c r="X274" s="55"/>
    </row>
    <row r="275" spans="16:24" x14ac:dyDescent="0.25">
      <c r="P275" s="55"/>
      <c r="Q275" s="55"/>
      <c r="R275" s="55"/>
      <c r="U275" s="55"/>
      <c r="V275" s="55"/>
      <c r="W275" s="55"/>
      <c r="X275" s="55"/>
    </row>
    <row r="276" spans="16:24" x14ac:dyDescent="0.25">
      <c r="P276" s="55"/>
      <c r="Q276" s="55"/>
      <c r="R276" s="55"/>
      <c r="U276" s="55"/>
      <c r="V276" s="55"/>
      <c r="W276" s="55"/>
      <c r="X276" s="55"/>
    </row>
    <row r="277" spans="16:24" x14ac:dyDescent="0.25">
      <c r="P277" s="55"/>
      <c r="Q277" s="55"/>
      <c r="R277" s="55"/>
      <c r="U277" s="55"/>
      <c r="V277" s="55"/>
      <c r="W277" s="55"/>
      <c r="X277" s="55"/>
    </row>
    <row r="278" spans="16:24" x14ac:dyDescent="0.25">
      <c r="P278" s="55"/>
      <c r="Q278" s="55"/>
      <c r="R278" s="55"/>
      <c r="U278" s="55"/>
      <c r="V278" s="55"/>
      <c r="W278" s="55"/>
      <c r="X278" s="55"/>
    </row>
    <row r="279" spans="16:24" x14ac:dyDescent="0.25">
      <c r="P279" s="55"/>
      <c r="Q279" s="55"/>
      <c r="R279" s="55"/>
      <c r="U279" s="55"/>
      <c r="V279" s="55"/>
      <c r="W279" s="55"/>
      <c r="X279" s="55"/>
    </row>
    <row r="280" spans="16:24" x14ac:dyDescent="0.25">
      <c r="P280" s="55"/>
      <c r="Q280" s="55"/>
      <c r="R280" s="55"/>
      <c r="U280" s="55"/>
      <c r="V280" s="55"/>
      <c r="W280" s="55"/>
      <c r="X280" s="55"/>
    </row>
    <row r="281" spans="16:24" x14ac:dyDescent="0.25">
      <c r="P281" s="55"/>
      <c r="Q281" s="55"/>
      <c r="R281" s="55"/>
      <c r="U281" s="55"/>
      <c r="V281" s="55"/>
      <c r="W281" s="55"/>
      <c r="X281" s="55"/>
    </row>
    <row r="282" spans="16:24" x14ac:dyDescent="0.25">
      <c r="P282" s="55"/>
      <c r="Q282" s="55"/>
      <c r="R282" s="55"/>
      <c r="U282" s="55"/>
      <c r="V282" s="55"/>
      <c r="W282" s="55"/>
      <c r="X282" s="55"/>
    </row>
    <row r="283" spans="16:24" x14ac:dyDescent="0.25">
      <c r="P283" s="55"/>
      <c r="Q283" s="55"/>
      <c r="R283" s="55"/>
      <c r="U283" s="55"/>
      <c r="V283" s="55"/>
      <c r="W283" s="55"/>
      <c r="X283" s="55"/>
    </row>
    <row r="284" spans="16:24" x14ac:dyDescent="0.25">
      <c r="P284" s="55"/>
      <c r="Q284" s="55"/>
      <c r="R284" s="55"/>
      <c r="U284" s="55"/>
      <c r="V284" s="55"/>
      <c r="W284" s="55"/>
      <c r="X284" s="55"/>
    </row>
    <row r="285" spans="16:24" x14ac:dyDescent="0.25">
      <c r="P285" s="55"/>
      <c r="Q285" s="55"/>
      <c r="R285" s="55"/>
      <c r="U285" s="55"/>
      <c r="V285" s="55"/>
      <c r="W285" s="55"/>
      <c r="X285" s="55"/>
    </row>
    <row r="286" spans="16:24" x14ac:dyDescent="0.25">
      <c r="P286" s="55"/>
      <c r="Q286" s="55"/>
      <c r="R286" s="55"/>
      <c r="U286" s="55"/>
      <c r="V286" s="55"/>
      <c r="W286" s="55"/>
      <c r="X286" s="55"/>
    </row>
    <row r="287" spans="16:24" x14ac:dyDescent="0.25">
      <c r="P287" s="55"/>
      <c r="Q287" s="55"/>
      <c r="R287" s="55"/>
      <c r="U287" s="55"/>
      <c r="V287" s="55"/>
      <c r="W287" s="55"/>
      <c r="X287" s="55"/>
    </row>
    <row r="288" spans="16:24" x14ac:dyDescent="0.25">
      <c r="P288" s="55"/>
      <c r="Q288" s="55"/>
      <c r="R288" s="55"/>
      <c r="U288" s="55"/>
      <c r="V288" s="55"/>
      <c r="W288" s="55"/>
      <c r="X288" s="55"/>
    </row>
    <row r="289" spans="16:24" x14ac:dyDescent="0.25">
      <c r="P289" s="55"/>
      <c r="Q289" s="55"/>
      <c r="R289" s="55"/>
      <c r="U289" s="55"/>
      <c r="V289" s="55"/>
      <c r="W289" s="55"/>
      <c r="X289" s="55"/>
    </row>
    <row r="290" spans="16:24" x14ac:dyDescent="0.25">
      <c r="P290" s="55"/>
      <c r="Q290" s="55"/>
      <c r="R290" s="55"/>
      <c r="U290" s="55"/>
      <c r="V290" s="55"/>
      <c r="W290" s="55"/>
      <c r="X290" s="55"/>
    </row>
    <row r="291" spans="16:24" x14ac:dyDescent="0.25">
      <c r="P291" s="55"/>
      <c r="Q291" s="55"/>
      <c r="R291" s="55"/>
      <c r="U291" s="55"/>
      <c r="V291" s="55"/>
      <c r="W291" s="55"/>
      <c r="X291" s="55"/>
    </row>
    <row r="292" spans="16:24" x14ac:dyDescent="0.25">
      <c r="P292" s="55"/>
      <c r="Q292" s="55"/>
      <c r="R292" s="55"/>
      <c r="U292" s="55"/>
      <c r="V292" s="55"/>
      <c r="W292" s="55"/>
      <c r="X292" s="55"/>
    </row>
    <row r="293" spans="16:24" x14ac:dyDescent="0.25">
      <c r="P293" s="55"/>
      <c r="Q293" s="55"/>
      <c r="R293" s="55"/>
      <c r="U293" s="55"/>
      <c r="V293" s="55"/>
      <c r="W293" s="55"/>
      <c r="X293" s="55"/>
    </row>
    <row r="294" spans="16:24" x14ac:dyDescent="0.25">
      <c r="P294" s="55"/>
      <c r="Q294" s="55"/>
      <c r="R294" s="55"/>
      <c r="U294" s="55"/>
      <c r="V294" s="55"/>
      <c r="W294" s="55"/>
      <c r="X294" s="55"/>
    </row>
    <row r="295" spans="16:24" x14ac:dyDescent="0.25">
      <c r="P295" s="55"/>
      <c r="Q295" s="55"/>
      <c r="R295" s="55"/>
      <c r="U295" s="55"/>
      <c r="V295" s="55"/>
      <c r="W295" s="55"/>
      <c r="X295" s="55"/>
    </row>
    <row r="296" spans="16:24" x14ac:dyDescent="0.25">
      <c r="P296" s="55"/>
      <c r="Q296" s="55"/>
      <c r="R296" s="55"/>
      <c r="U296" s="55"/>
      <c r="V296" s="55"/>
      <c r="W296" s="55"/>
      <c r="X296" s="55"/>
    </row>
    <row r="297" spans="16:24" x14ac:dyDescent="0.25">
      <c r="P297" s="55"/>
      <c r="Q297" s="55"/>
      <c r="R297" s="55"/>
      <c r="U297" s="55"/>
      <c r="V297" s="55"/>
      <c r="W297" s="55"/>
      <c r="X297" s="55"/>
    </row>
    <row r="298" spans="16:24" x14ac:dyDescent="0.25">
      <c r="P298" s="55"/>
      <c r="Q298" s="55"/>
      <c r="R298" s="55"/>
      <c r="U298" s="55"/>
      <c r="V298" s="55"/>
      <c r="W298" s="55"/>
      <c r="X298" s="55"/>
    </row>
    <row r="299" spans="16:24" x14ac:dyDescent="0.25">
      <c r="P299" s="55"/>
      <c r="Q299" s="55"/>
      <c r="R299" s="55"/>
      <c r="U299" s="55"/>
      <c r="V299" s="55"/>
      <c r="W299" s="55"/>
      <c r="X299" s="55"/>
    </row>
    <row r="300" spans="16:24" x14ac:dyDescent="0.25">
      <c r="P300" s="55"/>
      <c r="Q300" s="55"/>
      <c r="R300" s="55"/>
      <c r="U300" s="55"/>
      <c r="V300" s="55"/>
      <c r="W300" s="55"/>
      <c r="X300" s="55"/>
    </row>
    <row r="301" spans="16:24" x14ac:dyDescent="0.25">
      <c r="P301" s="55"/>
      <c r="Q301" s="55"/>
      <c r="R301" s="55"/>
      <c r="U301" s="55"/>
      <c r="V301" s="55"/>
      <c r="W301" s="55"/>
      <c r="X301" s="55"/>
    </row>
    <row r="302" spans="16:24" x14ac:dyDescent="0.25">
      <c r="P302" s="55"/>
      <c r="Q302" s="55"/>
      <c r="R302" s="55"/>
      <c r="U302" s="55"/>
      <c r="V302" s="55"/>
      <c r="W302" s="55"/>
      <c r="X302" s="55"/>
    </row>
    <row r="303" spans="16:24" x14ac:dyDescent="0.25">
      <c r="P303" s="55"/>
      <c r="Q303" s="55"/>
      <c r="R303" s="55"/>
      <c r="U303" s="55"/>
      <c r="V303" s="55"/>
      <c r="W303" s="55"/>
      <c r="X303" s="55"/>
    </row>
    <row r="304" spans="16:24" x14ac:dyDescent="0.25">
      <c r="P304" s="55"/>
      <c r="Q304" s="55"/>
      <c r="R304" s="55"/>
      <c r="U304" s="55"/>
      <c r="V304" s="55"/>
      <c r="W304" s="55"/>
      <c r="X304" s="55"/>
    </row>
    <row r="305" spans="16:24" x14ac:dyDescent="0.25">
      <c r="P305" s="55"/>
      <c r="Q305" s="55"/>
      <c r="R305" s="55"/>
      <c r="U305" s="55"/>
      <c r="V305" s="55"/>
      <c r="W305" s="55"/>
      <c r="X305" s="55"/>
    </row>
    <row r="306" spans="16:24" x14ac:dyDescent="0.25">
      <c r="P306" s="55"/>
      <c r="Q306" s="55"/>
      <c r="R306" s="55"/>
      <c r="U306" s="55"/>
      <c r="V306" s="55"/>
      <c r="W306" s="55"/>
      <c r="X306" s="55"/>
    </row>
    <row r="307" spans="16:24" x14ac:dyDescent="0.25">
      <c r="P307" s="55"/>
      <c r="Q307" s="55"/>
      <c r="R307" s="55"/>
      <c r="U307" s="55"/>
      <c r="V307" s="55"/>
      <c r="W307" s="55"/>
      <c r="X307" s="55"/>
    </row>
    <row r="308" spans="16:24" x14ac:dyDescent="0.25">
      <c r="P308" s="55"/>
      <c r="Q308" s="55"/>
      <c r="R308" s="55"/>
      <c r="U308" s="55"/>
      <c r="V308" s="55"/>
      <c r="W308" s="55"/>
      <c r="X308" s="55"/>
    </row>
    <row r="309" spans="16:24" x14ac:dyDescent="0.25">
      <c r="P309" s="55"/>
      <c r="Q309" s="55"/>
      <c r="R309" s="55"/>
      <c r="U309" s="55"/>
      <c r="V309" s="55"/>
      <c r="W309" s="55"/>
      <c r="X309" s="55"/>
    </row>
    <row r="310" spans="16:24" x14ac:dyDescent="0.25">
      <c r="P310" s="55"/>
      <c r="Q310" s="55"/>
      <c r="R310" s="55"/>
      <c r="U310" s="55"/>
      <c r="V310" s="55"/>
      <c r="W310" s="55"/>
      <c r="X310" s="55"/>
    </row>
    <row r="311" spans="16:24" x14ac:dyDescent="0.25">
      <c r="P311" s="55"/>
      <c r="Q311" s="55"/>
      <c r="R311" s="55"/>
      <c r="U311" s="55"/>
      <c r="V311" s="55"/>
      <c r="W311" s="55"/>
      <c r="X311" s="55"/>
    </row>
    <row r="312" spans="16:24" x14ac:dyDescent="0.25">
      <c r="P312" s="55"/>
      <c r="Q312" s="55"/>
      <c r="R312" s="55"/>
      <c r="U312" s="55"/>
      <c r="V312" s="55"/>
      <c r="W312" s="55"/>
      <c r="X312" s="55"/>
    </row>
    <row r="313" spans="16:24" x14ac:dyDescent="0.25">
      <c r="P313" s="55"/>
      <c r="Q313" s="55"/>
      <c r="R313" s="55"/>
      <c r="U313" s="55"/>
      <c r="V313" s="55"/>
      <c r="W313" s="55"/>
      <c r="X313" s="55"/>
    </row>
    <row r="314" spans="16:24" x14ac:dyDescent="0.25">
      <c r="P314" s="55"/>
      <c r="Q314" s="55"/>
      <c r="R314" s="55"/>
      <c r="U314" s="55"/>
      <c r="V314" s="55"/>
      <c r="W314" s="55"/>
      <c r="X314" s="55"/>
    </row>
    <row r="315" spans="16:24" x14ac:dyDescent="0.25">
      <c r="P315" s="55"/>
      <c r="Q315" s="55"/>
      <c r="R315" s="55"/>
      <c r="U315" s="55"/>
      <c r="V315" s="55"/>
      <c r="W315" s="55"/>
      <c r="X315" s="55"/>
    </row>
    <row r="316" spans="16:24" x14ac:dyDescent="0.25">
      <c r="P316" s="55"/>
      <c r="Q316" s="55"/>
      <c r="R316" s="55"/>
      <c r="U316" s="55"/>
      <c r="V316" s="55"/>
      <c r="W316" s="55"/>
      <c r="X316" s="55"/>
    </row>
    <row r="317" spans="16:24" x14ac:dyDescent="0.25">
      <c r="P317" s="55"/>
      <c r="Q317" s="55"/>
      <c r="R317" s="55"/>
      <c r="U317" s="55"/>
      <c r="V317" s="55"/>
      <c r="W317" s="55"/>
      <c r="X317" s="55"/>
    </row>
    <row r="318" spans="16:24" x14ac:dyDescent="0.25">
      <c r="P318" s="55"/>
      <c r="Q318" s="55"/>
      <c r="R318" s="55"/>
      <c r="U318" s="55"/>
      <c r="V318" s="55"/>
      <c r="W318" s="55"/>
      <c r="X318" s="55"/>
    </row>
    <row r="319" spans="16:24" x14ac:dyDescent="0.25">
      <c r="P319" s="55"/>
      <c r="Q319" s="55"/>
      <c r="R319" s="55"/>
      <c r="U319" s="55"/>
      <c r="V319" s="55"/>
      <c r="W319" s="55"/>
      <c r="X319" s="55"/>
    </row>
    <row r="320" spans="16:24" x14ac:dyDescent="0.25">
      <c r="P320" s="55"/>
      <c r="Q320" s="55"/>
      <c r="R320" s="55"/>
      <c r="U320" s="55"/>
      <c r="V320" s="55"/>
      <c r="W320" s="55"/>
      <c r="X320" s="55"/>
    </row>
    <row r="321" spans="16:24" x14ac:dyDescent="0.25">
      <c r="P321" s="55"/>
      <c r="Q321" s="55"/>
      <c r="R321" s="55"/>
      <c r="U321" s="55"/>
      <c r="V321" s="55"/>
      <c r="W321" s="55"/>
      <c r="X321" s="55"/>
    </row>
    <row r="322" spans="16:24" x14ac:dyDescent="0.25">
      <c r="P322" s="55"/>
      <c r="Q322" s="55"/>
      <c r="R322" s="55"/>
      <c r="U322" s="55"/>
      <c r="V322" s="55"/>
      <c r="W322" s="55"/>
      <c r="X322" s="55"/>
    </row>
    <row r="323" spans="16:24" x14ac:dyDescent="0.25">
      <c r="P323" s="55"/>
      <c r="Q323" s="55"/>
      <c r="R323" s="55"/>
      <c r="U323" s="55"/>
      <c r="V323" s="55"/>
      <c r="W323" s="55"/>
      <c r="X323" s="55"/>
    </row>
    <row r="324" spans="16:24" x14ac:dyDescent="0.25">
      <c r="P324" s="55"/>
      <c r="Q324" s="55"/>
      <c r="R324" s="55"/>
      <c r="U324" s="55"/>
      <c r="V324" s="55"/>
      <c r="W324" s="55"/>
      <c r="X324" s="55"/>
    </row>
    <row r="325" spans="16:24" x14ac:dyDescent="0.25">
      <c r="P325" s="55"/>
      <c r="Q325" s="55"/>
      <c r="R325" s="55"/>
      <c r="U325" s="55"/>
      <c r="V325" s="55"/>
      <c r="W325" s="55"/>
      <c r="X325" s="55"/>
    </row>
    <row r="326" spans="16:24" x14ac:dyDescent="0.25">
      <c r="P326" s="55"/>
      <c r="Q326" s="55"/>
      <c r="R326" s="55"/>
      <c r="U326" s="55"/>
      <c r="V326" s="55"/>
      <c r="W326" s="55"/>
      <c r="X326" s="55"/>
    </row>
    <row r="327" spans="16:24" x14ac:dyDescent="0.25">
      <c r="P327" s="55"/>
      <c r="Q327" s="55"/>
      <c r="R327" s="55"/>
      <c r="U327" s="55"/>
      <c r="V327" s="55"/>
      <c r="W327" s="55"/>
      <c r="X327" s="55"/>
    </row>
    <row r="328" spans="16:24" x14ac:dyDescent="0.25">
      <c r="P328" s="55"/>
      <c r="Q328" s="55"/>
      <c r="R328" s="55"/>
      <c r="U328" s="55"/>
      <c r="V328" s="55"/>
      <c r="W328" s="55"/>
      <c r="X328" s="55"/>
    </row>
    <row r="329" spans="16:24" x14ac:dyDescent="0.25">
      <c r="P329" s="55"/>
      <c r="Q329" s="55"/>
      <c r="R329" s="55"/>
      <c r="U329" s="55"/>
      <c r="V329" s="55"/>
      <c r="W329" s="55"/>
      <c r="X329" s="55"/>
    </row>
    <row r="330" spans="16:24" x14ac:dyDescent="0.25">
      <c r="P330" s="55"/>
      <c r="Q330" s="55"/>
      <c r="R330" s="55"/>
      <c r="U330" s="55"/>
      <c r="V330" s="55"/>
      <c r="W330" s="55"/>
      <c r="X330" s="55"/>
    </row>
    <row r="331" spans="16:24" x14ac:dyDescent="0.25">
      <c r="P331" s="55"/>
      <c r="Q331" s="55"/>
      <c r="R331" s="55"/>
      <c r="U331" s="55"/>
      <c r="V331" s="55"/>
      <c r="W331" s="55"/>
      <c r="X331" s="55"/>
    </row>
    <row r="332" spans="16:24" x14ac:dyDescent="0.25">
      <c r="P332" s="55"/>
      <c r="Q332" s="55"/>
      <c r="R332" s="55"/>
      <c r="U332" s="55"/>
      <c r="V332" s="55"/>
      <c r="W332" s="55"/>
      <c r="X332" s="55"/>
    </row>
    <row r="333" spans="16:24" x14ac:dyDescent="0.25">
      <c r="P333" s="55"/>
      <c r="Q333" s="55"/>
      <c r="R333" s="55"/>
      <c r="U333" s="55"/>
      <c r="V333" s="55"/>
      <c r="W333" s="55"/>
      <c r="X333" s="55"/>
    </row>
    <row r="334" spans="16:24" x14ac:dyDescent="0.25">
      <c r="P334" s="55"/>
      <c r="Q334" s="55"/>
      <c r="R334" s="55"/>
      <c r="U334" s="55"/>
      <c r="V334" s="55"/>
      <c r="W334" s="55"/>
      <c r="X334" s="55"/>
    </row>
    <row r="335" spans="16:24" x14ac:dyDescent="0.25">
      <c r="P335" s="55"/>
      <c r="Q335" s="55"/>
      <c r="R335" s="55"/>
      <c r="U335" s="55"/>
      <c r="V335" s="55"/>
      <c r="W335" s="55"/>
      <c r="X335" s="55"/>
    </row>
    <row r="336" spans="16:24" x14ac:dyDescent="0.25">
      <c r="P336" s="55"/>
      <c r="Q336" s="55"/>
      <c r="R336" s="55"/>
      <c r="U336" s="55"/>
      <c r="V336" s="55"/>
      <c r="W336" s="55"/>
      <c r="X336" s="55"/>
    </row>
    <row r="337" spans="16:24" x14ac:dyDescent="0.25">
      <c r="P337" s="55"/>
      <c r="Q337" s="55"/>
      <c r="R337" s="55"/>
      <c r="U337" s="55"/>
      <c r="V337" s="55"/>
      <c r="W337" s="55"/>
      <c r="X337" s="55"/>
    </row>
    <row r="338" spans="16:24" x14ac:dyDescent="0.25">
      <c r="P338" s="55"/>
      <c r="Q338" s="55"/>
      <c r="R338" s="55"/>
      <c r="U338" s="55"/>
      <c r="V338" s="55"/>
      <c r="W338" s="55"/>
      <c r="X338" s="55"/>
    </row>
    <row r="339" spans="16:24" x14ac:dyDescent="0.25">
      <c r="P339" s="55"/>
      <c r="Q339" s="55"/>
      <c r="R339" s="55"/>
      <c r="U339" s="55"/>
      <c r="V339" s="55"/>
      <c r="W339" s="55"/>
      <c r="X339" s="55"/>
    </row>
    <row r="340" spans="16:24" x14ac:dyDescent="0.25">
      <c r="P340" s="55"/>
      <c r="Q340" s="55"/>
      <c r="R340" s="55"/>
      <c r="U340" s="55"/>
      <c r="V340" s="55"/>
      <c r="W340" s="55"/>
      <c r="X340" s="55"/>
    </row>
    <row r="341" spans="16:24" x14ac:dyDescent="0.25">
      <c r="P341" s="55"/>
      <c r="Q341" s="55"/>
      <c r="R341" s="55"/>
      <c r="U341" s="55"/>
      <c r="V341" s="55"/>
      <c r="W341" s="55"/>
      <c r="X341" s="55"/>
    </row>
    <row r="342" spans="16:24" x14ac:dyDescent="0.25">
      <c r="P342" s="55"/>
      <c r="Q342" s="55"/>
      <c r="R342" s="55"/>
      <c r="U342" s="55"/>
      <c r="V342" s="55"/>
      <c r="W342" s="55"/>
      <c r="X342" s="55"/>
    </row>
    <row r="343" spans="16:24" x14ac:dyDescent="0.25">
      <c r="P343" s="55"/>
      <c r="Q343" s="55"/>
      <c r="R343" s="55"/>
      <c r="U343" s="55"/>
      <c r="V343" s="55"/>
      <c r="W343" s="55"/>
      <c r="X343" s="55"/>
    </row>
    <row r="344" spans="16:24" x14ac:dyDescent="0.25">
      <c r="P344" s="55"/>
      <c r="Q344" s="55"/>
      <c r="R344" s="55"/>
      <c r="U344" s="55"/>
      <c r="V344" s="55"/>
      <c r="W344" s="55"/>
      <c r="X344" s="55"/>
    </row>
    <row r="345" spans="16:24" x14ac:dyDescent="0.25">
      <c r="P345" s="55"/>
      <c r="Q345" s="55"/>
      <c r="R345" s="55"/>
      <c r="U345" s="55"/>
      <c r="V345" s="55"/>
      <c r="W345" s="55"/>
      <c r="X345" s="55"/>
    </row>
    <row r="346" spans="16:24" x14ac:dyDescent="0.25">
      <c r="P346" s="55"/>
      <c r="Q346" s="55"/>
      <c r="R346" s="55"/>
      <c r="U346" s="55"/>
      <c r="V346" s="55"/>
      <c r="W346" s="55"/>
      <c r="X346" s="55"/>
    </row>
    <row r="347" spans="16:24" x14ac:dyDescent="0.25">
      <c r="P347" s="55"/>
      <c r="Q347" s="55"/>
      <c r="R347" s="55"/>
      <c r="U347" s="55"/>
      <c r="V347" s="55"/>
      <c r="W347" s="55"/>
      <c r="X347" s="55"/>
    </row>
    <row r="348" spans="16:24" x14ac:dyDescent="0.25">
      <c r="P348" s="55"/>
      <c r="Q348" s="55"/>
      <c r="R348" s="55"/>
      <c r="U348" s="55"/>
      <c r="V348" s="55"/>
      <c r="W348" s="55"/>
      <c r="X348" s="55"/>
    </row>
    <row r="349" spans="16:24" x14ac:dyDescent="0.25">
      <c r="P349" s="55"/>
      <c r="Q349" s="55"/>
      <c r="R349" s="55"/>
      <c r="U349" s="55"/>
      <c r="V349" s="55"/>
      <c r="W349" s="55"/>
      <c r="X349" s="55"/>
    </row>
    <row r="350" spans="16:24" x14ac:dyDescent="0.25">
      <c r="P350" s="55"/>
      <c r="Q350" s="55"/>
      <c r="R350" s="55"/>
      <c r="U350" s="55"/>
      <c r="V350" s="55"/>
      <c r="W350" s="55"/>
      <c r="X350" s="55"/>
    </row>
    <row r="351" spans="16:24" x14ac:dyDescent="0.25">
      <c r="P351" s="55"/>
      <c r="Q351" s="55"/>
      <c r="R351" s="55"/>
      <c r="U351" s="55"/>
      <c r="V351" s="55"/>
      <c r="W351" s="55"/>
      <c r="X351" s="55"/>
    </row>
    <row r="352" spans="16:24" x14ac:dyDescent="0.25">
      <c r="P352" s="55"/>
      <c r="Q352" s="55"/>
      <c r="R352" s="55"/>
      <c r="U352" s="55"/>
      <c r="V352" s="55"/>
      <c r="W352" s="55"/>
      <c r="X352" s="55"/>
    </row>
    <row r="353" spans="16:24" x14ac:dyDescent="0.25">
      <c r="P353" s="55"/>
      <c r="Q353" s="55"/>
      <c r="R353" s="55"/>
      <c r="U353" s="55"/>
      <c r="V353" s="55"/>
      <c r="W353" s="55"/>
      <c r="X353" s="55"/>
    </row>
    <row r="354" spans="16:24" x14ac:dyDescent="0.25">
      <c r="P354" s="55"/>
      <c r="Q354" s="55"/>
      <c r="R354" s="55"/>
      <c r="U354" s="55"/>
      <c r="V354" s="55"/>
      <c r="W354" s="55"/>
      <c r="X354" s="55"/>
    </row>
    <row r="355" spans="16:24" x14ac:dyDescent="0.25">
      <c r="P355" s="55"/>
      <c r="Q355" s="55"/>
      <c r="R355" s="55"/>
      <c r="U355" s="55"/>
      <c r="V355" s="55"/>
      <c r="W355" s="55"/>
      <c r="X355" s="55"/>
    </row>
    <row r="356" spans="16:24" x14ac:dyDescent="0.25">
      <c r="P356" s="55"/>
      <c r="Q356" s="55"/>
      <c r="R356" s="55"/>
      <c r="U356" s="55"/>
      <c r="V356" s="55"/>
      <c r="W356" s="55"/>
      <c r="X356" s="55"/>
    </row>
    <row r="357" spans="16:24" x14ac:dyDescent="0.25">
      <c r="P357" s="55"/>
      <c r="Q357" s="55"/>
      <c r="R357" s="55"/>
      <c r="U357" s="55"/>
      <c r="V357" s="55"/>
      <c r="W357" s="55"/>
      <c r="X357" s="55"/>
    </row>
    <row r="358" spans="16:24" x14ac:dyDescent="0.25">
      <c r="P358" s="55"/>
      <c r="Q358" s="55"/>
      <c r="R358" s="55"/>
      <c r="U358" s="55"/>
      <c r="V358" s="55"/>
      <c r="W358" s="55"/>
      <c r="X358" s="55"/>
    </row>
    <row r="359" spans="16:24" x14ac:dyDescent="0.25">
      <c r="P359" s="55"/>
      <c r="Q359" s="55"/>
      <c r="R359" s="55"/>
      <c r="U359" s="55"/>
      <c r="V359" s="55"/>
      <c r="W359" s="55"/>
      <c r="X359" s="55"/>
    </row>
    <row r="360" spans="16:24" x14ac:dyDescent="0.25">
      <c r="P360" s="55"/>
      <c r="Q360" s="55"/>
      <c r="R360" s="55"/>
      <c r="U360" s="55"/>
      <c r="V360" s="55"/>
      <c r="W360" s="55"/>
      <c r="X360" s="55"/>
    </row>
    <row r="361" spans="16:24" x14ac:dyDescent="0.25">
      <c r="P361" s="55"/>
      <c r="Q361" s="55"/>
      <c r="R361" s="55"/>
      <c r="U361" s="55"/>
      <c r="V361" s="55"/>
      <c r="W361" s="55"/>
      <c r="X361" s="55"/>
    </row>
    <row r="362" spans="16:24" x14ac:dyDescent="0.25">
      <c r="P362" s="55"/>
      <c r="Q362" s="55"/>
      <c r="R362" s="55"/>
      <c r="U362" s="55"/>
      <c r="V362" s="55"/>
      <c r="W362" s="55"/>
      <c r="X362" s="55"/>
    </row>
    <row r="363" spans="16:24" x14ac:dyDescent="0.25">
      <c r="P363" s="55"/>
      <c r="Q363" s="55"/>
      <c r="R363" s="55"/>
      <c r="U363" s="55"/>
      <c r="V363" s="55"/>
      <c r="W363" s="55"/>
      <c r="X363" s="55"/>
    </row>
    <row r="364" spans="16:24" x14ac:dyDescent="0.25">
      <c r="P364" s="55"/>
      <c r="Q364" s="55"/>
      <c r="R364" s="55"/>
      <c r="U364" s="55"/>
      <c r="V364" s="55"/>
      <c r="W364" s="55"/>
      <c r="X364" s="55"/>
    </row>
    <row r="365" spans="16:24" x14ac:dyDescent="0.25">
      <c r="P365" s="55"/>
      <c r="Q365" s="55"/>
      <c r="R365" s="55"/>
      <c r="U365" s="55"/>
      <c r="V365" s="55"/>
      <c r="W365" s="55"/>
      <c r="X365" s="55"/>
    </row>
    <row r="366" spans="16:24" x14ac:dyDescent="0.25">
      <c r="P366" s="55"/>
      <c r="Q366" s="55"/>
      <c r="R366" s="55"/>
      <c r="U366" s="55"/>
      <c r="V366" s="55"/>
      <c r="W366" s="55"/>
      <c r="X366" s="55"/>
    </row>
    <row r="367" spans="16:24" x14ac:dyDescent="0.25">
      <c r="P367" s="55"/>
      <c r="Q367" s="55"/>
      <c r="R367" s="55"/>
      <c r="U367" s="55"/>
      <c r="V367" s="55"/>
      <c r="W367" s="55"/>
      <c r="X367" s="55"/>
    </row>
    <row r="368" spans="16:24" x14ac:dyDescent="0.25">
      <c r="P368" s="55"/>
      <c r="Q368" s="55"/>
      <c r="R368" s="55"/>
      <c r="U368" s="55"/>
      <c r="V368" s="55"/>
      <c r="W368" s="55"/>
      <c r="X368" s="55"/>
    </row>
    <row r="369" spans="16:24" x14ac:dyDescent="0.25">
      <c r="P369" s="55"/>
      <c r="Q369" s="55"/>
      <c r="R369" s="55"/>
      <c r="U369" s="55"/>
      <c r="V369" s="55"/>
      <c r="W369" s="55"/>
      <c r="X369" s="55"/>
    </row>
    <row r="370" spans="16:24" x14ac:dyDescent="0.25">
      <c r="P370" s="55"/>
      <c r="Q370" s="55"/>
      <c r="R370" s="55"/>
      <c r="U370" s="55"/>
      <c r="V370" s="55"/>
      <c r="W370" s="55"/>
      <c r="X370" s="55"/>
    </row>
    <row r="371" spans="16:24" x14ac:dyDescent="0.25">
      <c r="P371" s="55"/>
      <c r="Q371" s="55"/>
      <c r="R371" s="55"/>
      <c r="U371" s="55"/>
      <c r="V371" s="55"/>
      <c r="W371" s="55"/>
      <c r="X371" s="55"/>
    </row>
    <row r="372" spans="16:24" x14ac:dyDescent="0.25">
      <c r="P372" s="55"/>
      <c r="Q372" s="55"/>
      <c r="R372" s="55"/>
      <c r="U372" s="55"/>
      <c r="V372" s="55"/>
      <c r="W372" s="55"/>
      <c r="X372" s="55"/>
    </row>
    <row r="373" spans="16:24" x14ac:dyDescent="0.25">
      <c r="P373" s="55"/>
      <c r="Q373" s="55"/>
      <c r="R373" s="55"/>
      <c r="U373" s="55"/>
      <c r="V373" s="55"/>
      <c r="W373" s="55"/>
      <c r="X373" s="55"/>
    </row>
    <row r="374" spans="16:24" x14ac:dyDescent="0.25">
      <c r="P374" s="55"/>
      <c r="Q374" s="55"/>
      <c r="R374" s="55"/>
      <c r="U374" s="55"/>
      <c r="V374" s="55"/>
      <c r="W374" s="55"/>
      <c r="X374" s="55"/>
    </row>
    <row r="375" spans="16:24" x14ac:dyDescent="0.25">
      <c r="P375" s="55"/>
      <c r="Q375" s="55"/>
      <c r="R375" s="55"/>
      <c r="U375" s="55"/>
      <c r="V375" s="55"/>
      <c r="W375" s="55"/>
      <c r="X375" s="55"/>
    </row>
    <row r="376" spans="16:24" x14ac:dyDescent="0.25">
      <c r="P376" s="55"/>
      <c r="Q376" s="55"/>
      <c r="R376" s="55"/>
      <c r="U376" s="55"/>
      <c r="V376" s="55"/>
      <c r="W376" s="55"/>
      <c r="X376" s="55"/>
    </row>
    <row r="377" spans="16:24" x14ac:dyDescent="0.25">
      <c r="P377" s="55"/>
      <c r="Q377" s="55"/>
      <c r="R377" s="55"/>
      <c r="U377" s="55"/>
      <c r="V377" s="55"/>
      <c r="W377" s="55"/>
      <c r="X377" s="55"/>
    </row>
    <row r="378" spans="16:24" x14ac:dyDescent="0.25">
      <c r="P378" s="55"/>
      <c r="Q378" s="55"/>
      <c r="R378" s="55"/>
      <c r="U378" s="55"/>
      <c r="V378" s="55"/>
      <c r="W378" s="55"/>
      <c r="X378" s="55"/>
    </row>
    <row r="379" spans="16:24" x14ac:dyDescent="0.25">
      <c r="P379" s="55"/>
      <c r="Q379" s="55"/>
      <c r="R379" s="55"/>
      <c r="U379" s="55"/>
      <c r="V379" s="55"/>
      <c r="W379" s="55"/>
      <c r="X379" s="55"/>
    </row>
    <row r="380" spans="16:24" x14ac:dyDescent="0.25">
      <c r="P380" s="55"/>
      <c r="Q380" s="55"/>
      <c r="R380" s="55"/>
      <c r="U380" s="55"/>
      <c r="V380" s="55"/>
      <c r="W380" s="55"/>
      <c r="X380" s="55"/>
    </row>
    <row r="381" spans="16:24" x14ac:dyDescent="0.25">
      <c r="P381" s="55"/>
      <c r="Q381" s="55"/>
      <c r="R381" s="55"/>
      <c r="U381" s="55"/>
      <c r="V381" s="55"/>
      <c r="W381" s="55"/>
      <c r="X381" s="55"/>
    </row>
    <row r="382" spans="16:24" x14ac:dyDescent="0.25">
      <c r="P382" s="55"/>
      <c r="Q382" s="55"/>
      <c r="R382" s="55"/>
      <c r="U382" s="55"/>
      <c r="V382" s="55"/>
      <c r="W382" s="55"/>
      <c r="X382" s="55"/>
    </row>
    <row r="383" spans="16:24" x14ac:dyDescent="0.25">
      <c r="P383" s="55"/>
      <c r="Q383" s="55"/>
      <c r="R383" s="55"/>
      <c r="U383" s="55"/>
      <c r="V383" s="55"/>
      <c r="W383" s="55"/>
      <c r="X383" s="55"/>
    </row>
    <row r="384" spans="16:24" x14ac:dyDescent="0.25">
      <c r="P384" s="55"/>
      <c r="Q384" s="55"/>
      <c r="R384" s="55"/>
      <c r="U384" s="55"/>
      <c r="V384" s="55"/>
      <c r="W384" s="55"/>
      <c r="X384" s="55"/>
    </row>
    <row r="385" spans="16:24" x14ac:dyDescent="0.25">
      <c r="P385" s="55"/>
      <c r="Q385" s="55"/>
      <c r="R385" s="55"/>
      <c r="U385" s="55"/>
      <c r="V385" s="55"/>
      <c r="W385" s="55"/>
      <c r="X385" s="55"/>
    </row>
    <row r="386" spans="16:24" x14ac:dyDescent="0.25">
      <c r="P386" s="55"/>
      <c r="Q386" s="55"/>
      <c r="R386" s="55"/>
      <c r="U386" s="55"/>
      <c r="V386" s="55"/>
      <c r="W386" s="55"/>
      <c r="X386" s="55"/>
    </row>
    <row r="387" spans="16:24" x14ac:dyDescent="0.25">
      <c r="P387" s="55"/>
      <c r="Q387" s="55"/>
      <c r="R387" s="55"/>
      <c r="U387" s="55"/>
      <c r="V387" s="55"/>
      <c r="W387" s="55"/>
      <c r="X387" s="55"/>
    </row>
    <row r="388" spans="16:24" x14ac:dyDescent="0.25">
      <c r="P388" s="55"/>
      <c r="Q388" s="55"/>
      <c r="R388" s="55"/>
      <c r="U388" s="55"/>
      <c r="V388" s="55"/>
      <c r="W388" s="55"/>
      <c r="X388" s="55"/>
    </row>
    <row r="389" spans="16:24" x14ac:dyDescent="0.25">
      <c r="P389" s="55"/>
      <c r="Q389" s="55"/>
      <c r="R389" s="55"/>
      <c r="U389" s="55"/>
      <c r="V389" s="55"/>
      <c r="W389" s="55"/>
      <c r="X389" s="55"/>
    </row>
    <row r="390" spans="16:24" x14ac:dyDescent="0.25">
      <c r="P390" s="55"/>
      <c r="Q390" s="55"/>
      <c r="R390" s="55"/>
      <c r="U390" s="55"/>
      <c r="V390" s="55"/>
      <c r="W390" s="55"/>
      <c r="X390" s="55"/>
    </row>
    <row r="391" spans="16:24" x14ac:dyDescent="0.25">
      <c r="P391" s="55"/>
      <c r="Q391" s="55"/>
      <c r="R391" s="55"/>
      <c r="U391" s="55"/>
      <c r="V391" s="55"/>
      <c r="W391" s="55"/>
      <c r="X391" s="55"/>
    </row>
    <row r="392" spans="16:24" x14ac:dyDescent="0.25">
      <c r="P392" s="55"/>
      <c r="Q392" s="55"/>
      <c r="R392" s="55"/>
      <c r="U392" s="55"/>
      <c r="V392" s="55"/>
      <c r="W392" s="55"/>
      <c r="X392" s="55"/>
    </row>
    <row r="393" spans="16:24" x14ac:dyDescent="0.25">
      <c r="P393" s="55"/>
      <c r="Q393" s="55"/>
      <c r="R393" s="55"/>
      <c r="U393" s="55"/>
      <c r="V393" s="55"/>
      <c r="W393" s="55"/>
      <c r="X393" s="55"/>
    </row>
    <row r="394" spans="16:24" x14ac:dyDescent="0.25">
      <c r="P394" s="55"/>
      <c r="Q394" s="55"/>
      <c r="R394" s="55"/>
      <c r="U394" s="55"/>
      <c r="V394" s="55"/>
      <c r="W394" s="55"/>
      <c r="X394" s="55"/>
    </row>
    <row r="395" spans="16:24" x14ac:dyDescent="0.25">
      <c r="P395" s="55"/>
      <c r="Q395" s="55"/>
      <c r="R395" s="55"/>
      <c r="U395" s="55"/>
      <c r="V395" s="55"/>
      <c r="W395" s="55"/>
      <c r="X395" s="55"/>
    </row>
    <row r="396" spans="16:24" x14ac:dyDescent="0.25">
      <c r="P396" s="55"/>
      <c r="Q396" s="55"/>
      <c r="R396" s="55"/>
      <c r="U396" s="55"/>
      <c r="V396" s="55"/>
      <c r="W396" s="55"/>
      <c r="X396" s="55"/>
    </row>
    <row r="397" spans="16:24" x14ac:dyDescent="0.25">
      <c r="P397" s="55"/>
      <c r="Q397" s="55"/>
      <c r="R397" s="55"/>
      <c r="U397" s="55"/>
      <c r="V397" s="55"/>
      <c r="W397" s="55"/>
      <c r="X397" s="55"/>
    </row>
    <row r="398" spans="16:24" x14ac:dyDescent="0.25">
      <c r="P398" s="55"/>
      <c r="Q398" s="55"/>
      <c r="R398" s="55"/>
      <c r="U398" s="55"/>
      <c r="V398" s="55"/>
      <c r="W398" s="55"/>
      <c r="X398" s="55"/>
    </row>
    <row r="399" spans="16:24" x14ac:dyDescent="0.25">
      <c r="P399" s="55"/>
      <c r="Q399" s="55"/>
      <c r="R399" s="55"/>
      <c r="U399" s="55"/>
      <c r="V399" s="55"/>
      <c r="W399" s="55"/>
      <c r="X399" s="55"/>
    </row>
    <row r="400" spans="16:24" x14ac:dyDescent="0.25">
      <c r="P400" s="55"/>
      <c r="Q400" s="55"/>
      <c r="R400" s="55"/>
      <c r="U400" s="55"/>
      <c r="V400" s="55"/>
      <c r="W400" s="55"/>
      <c r="X400" s="55"/>
    </row>
    <row r="401" spans="16:24" x14ac:dyDescent="0.25">
      <c r="P401" s="55"/>
      <c r="Q401" s="55"/>
      <c r="R401" s="55"/>
      <c r="U401" s="55"/>
      <c r="V401" s="55"/>
      <c r="W401" s="55"/>
      <c r="X401" s="55"/>
    </row>
    <row r="402" spans="16:24" x14ac:dyDescent="0.25">
      <c r="P402" s="55"/>
      <c r="Q402" s="55"/>
      <c r="R402" s="55"/>
      <c r="U402" s="55"/>
      <c r="V402" s="55"/>
      <c r="W402" s="55"/>
      <c r="X402" s="55"/>
    </row>
    <row r="403" spans="16:24" x14ac:dyDescent="0.25">
      <c r="P403" s="55"/>
      <c r="Q403" s="55"/>
      <c r="R403" s="55"/>
      <c r="U403" s="55"/>
      <c r="V403" s="55"/>
      <c r="W403" s="55"/>
      <c r="X403" s="55"/>
    </row>
    <row r="404" spans="16:24" x14ac:dyDescent="0.25">
      <c r="P404" s="55"/>
      <c r="Q404" s="55"/>
      <c r="R404" s="55"/>
      <c r="U404" s="55"/>
      <c r="V404" s="55"/>
      <c r="W404" s="55"/>
      <c r="X404" s="55"/>
    </row>
    <row r="405" spans="16:24" x14ac:dyDescent="0.25">
      <c r="P405" s="55"/>
      <c r="Q405" s="55"/>
      <c r="R405" s="55"/>
      <c r="U405" s="55"/>
      <c r="V405" s="55"/>
      <c r="W405" s="55"/>
      <c r="X405" s="55"/>
    </row>
    <row r="406" spans="16:24" x14ac:dyDescent="0.25">
      <c r="P406" s="55"/>
      <c r="Q406" s="55"/>
      <c r="R406" s="55"/>
      <c r="U406" s="55"/>
      <c r="V406" s="55"/>
      <c r="W406" s="55"/>
      <c r="X406" s="55"/>
    </row>
    <row r="407" spans="16:24" x14ac:dyDescent="0.25">
      <c r="P407" s="55"/>
      <c r="Q407" s="55"/>
      <c r="R407" s="55"/>
      <c r="U407" s="55"/>
      <c r="V407" s="55"/>
      <c r="W407" s="55"/>
      <c r="X407" s="55"/>
    </row>
    <row r="408" spans="16:24" x14ac:dyDescent="0.25">
      <c r="P408" s="55"/>
      <c r="Q408" s="55"/>
      <c r="R408" s="55"/>
      <c r="U408" s="55"/>
      <c r="V408" s="55"/>
      <c r="W408" s="55"/>
      <c r="X408" s="55"/>
    </row>
    <row r="409" spans="16:24" x14ac:dyDescent="0.25">
      <c r="P409" s="55"/>
      <c r="Q409" s="55"/>
      <c r="R409" s="55"/>
      <c r="U409" s="55"/>
      <c r="V409" s="55"/>
      <c r="W409" s="55"/>
      <c r="X409" s="55"/>
    </row>
    <row r="410" spans="16:24" x14ac:dyDescent="0.25">
      <c r="P410" s="55"/>
      <c r="Q410" s="55"/>
      <c r="R410" s="55"/>
      <c r="U410" s="55"/>
      <c r="V410" s="55"/>
      <c r="W410" s="55"/>
      <c r="X410" s="55"/>
    </row>
    <row r="411" spans="16:24" x14ac:dyDescent="0.25">
      <c r="P411" s="55"/>
      <c r="Q411" s="55"/>
      <c r="R411" s="55"/>
      <c r="U411" s="55"/>
      <c r="V411" s="55"/>
      <c r="W411" s="55"/>
      <c r="X411" s="55"/>
    </row>
    <row r="412" spans="16:24" x14ac:dyDescent="0.25">
      <c r="P412" s="55"/>
      <c r="Q412" s="55"/>
      <c r="R412" s="55"/>
      <c r="U412" s="55"/>
      <c r="V412" s="55"/>
      <c r="W412" s="55"/>
      <c r="X412" s="55"/>
    </row>
    <row r="413" spans="16:24" x14ac:dyDescent="0.25">
      <c r="P413" s="55"/>
      <c r="Q413" s="55"/>
      <c r="R413" s="55"/>
      <c r="U413" s="55"/>
      <c r="V413" s="55"/>
      <c r="W413" s="55"/>
      <c r="X413" s="55"/>
    </row>
    <row r="414" spans="16:24" x14ac:dyDescent="0.25">
      <c r="P414" s="55"/>
      <c r="Q414" s="55"/>
      <c r="R414" s="55"/>
      <c r="U414" s="55"/>
      <c r="V414" s="55"/>
      <c r="W414" s="55"/>
      <c r="X414" s="55"/>
    </row>
    <row r="415" spans="16:24" x14ac:dyDescent="0.25">
      <c r="P415" s="55"/>
      <c r="Q415" s="55"/>
      <c r="R415" s="55"/>
      <c r="U415" s="55"/>
      <c r="V415" s="55"/>
      <c r="W415" s="55"/>
      <c r="X415" s="55"/>
    </row>
    <row r="416" spans="16:24" x14ac:dyDescent="0.25">
      <c r="P416" s="55"/>
      <c r="Q416" s="55"/>
      <c r="R416" s="55"/>
      <c r="U416" s="55"/>
      <c r="V416" s="55"/>
      <c r="W416" s="55"/>
      <c r="X416" s="55"/>
    </row>
    <row r="417" spans="16:24" x14ac:dyDescent="0.25">
      <c r="P417" s="55"/>
      <c r="Q417" s="55"/>
      <c r="R417" s="55"/>
      <c r="U417" s="55"/>
      <c r="V417" s="55"/>
      <c r="W417" s="55"/>
      <c r="X417" s="55"/>
    </row>
    <row r="418" spans="16:24" x14ac:dyDescent="0.25">
      <c r="P418" s="55"/>
      <c r="Q418" s="55"/>
      <c r="R418" s="55"/>
      <c r="U418" s="55"/>
      <c r="V418" s="55"/>
      <c r="W418" s="55"/>
      <c r="X418" s="55"/>
    </row>
    <row r="419" spans="16:24" x14ac:dyDescent="0.25">
      <c r="P419" s="55"/>
      <c r="Q419" s="55"/>
      <c r="R419" s="55"/>
      <c r="U419" s="55"/>
      <c r="V419" s="55"/>
      <c r="W419" s="55"/>
      <c r="X419" s="55"/>
    </row>
    <row r="420" spans="16:24" x14ac:dyDescent="0.25">
      <c r="P420" s="55"/>
      <c r="Q420" s="55"/>
      <c r="R420" s="55"/>
      <c r="U420" s="55"/>
      <c r="V420" s="55"/>
      <c r="W420" s="55"/>
      <c r="X420" s="55"/>
    </row>
    <row r="421" spans="16:24" x14ac:dyDescent="0.25">
      <c r="P421" s="55"/>
      <c r="Q421" s="55"/>
      <c r="R421" s="55"/>
      <c r="U421" s="55"/>
      <c r="V421" s="55"/>
      <c r="W421" s="55"/>
      <c r="X421" s="55"/>
    </row>
    <row r="422" spans="16:24" x14ac:dyDescent="0.25">
      <c r="P422" s="55"/>
      <c r="Q422" s="55"/>
      <c r="R422" s="55"/>
      <c r="U422" s="55"/>
      <c r="V422" s="55"/>
      <c r="W422" s="55"/>
      <c r="X422" s="55"/>
    </row>
    <row r="423" spans="16:24" x14ac:dyDescent="0.25">
      <c r="P423" s="55"/>
      <c r="Q423" s="55"/>
      <c r="R423" s="55"/>
      <c r="U423" s="55"/>
      <c r="V423" s="55"/>
      <c r="W423" s="55"/>
      <c r="X423" s="55"/>
    </row>
    <row r="424" spans="16:24" x14ac:dyDescent="0.25">
      <c r="P424" s="55"/>
      <c r="Q424" s="55"/>
      <c r="R424" s="55"/>
      <c r="U424" s="55"/>
      <c r="V424" s="55"/>
      <c r="W424" s="55"/>
      <c r="X424" s="55"/>
    </row>
    <row r="425" spans="16:24" x14ac:dyDescent="0.25">
      <c r="P425" s="55"/>
      <c r="Q425" s="55"/>
      <c r="R425" s="55"/>
      <c r="U425" s="55"/>
      <c r="V425" s="55"/>
      <c r="W425" s="55"/>
      <c r="X425" s="55"/>
    </row>
    <row r="426" spans="16:24" x14ac:dyDescent="0.25">
      <c r="P426" s="55"/>
      <c r="Q426" s="55"/>
      <c r="R426" s="55"/>
      <c r="U426" s="55"/>
      <c r="V426" s="55"/>
      <c r="W426" s="55"/>
      <c r="X426" s="55"/>
    </row>
    <row r="427" spans="16:24" x14ac:dyDescent="0.25">
      <c r="P427" s="55"/>
      <c r="Q427" s="55"/>
      <c r="R427" s="55"/>
      <c r="U427" s="55"/>
      <c r="V427" s="55"/>
      <c r="W427" s="55"/>
      <c r="X427" s="55"/>
    </row>
    <row r="428" spans="16:24" x14ac:dyDescent="0.25">
      <c r="P428" s="55"/>
      <c r="Q428" s="55"/>
      <c r="R428" s="55"/>
      <c r="U428" s="55"/>
      <c r="V428" s="55"/>
      <c r="W428" s="55"/>
      <c r="X428" s="55"/>
    </row>
    <row r="429" spans="16:24" x14ac:dyDescent="0.25">
      <c r="P429" s="55"/>
      <c r="Q429" s="55"/>
      <c r="R429" s="55"/>
      <c r="U429" s="55"/>
      <c r="V429" s="55"/>
      <c r="W429" s="55"/>
      <c r="X429" s="55"/>
    </row>
    <row r="430" spans="16:24" x14ac:dyDescent="0.25">
      <c r="P430" s="55"/>
      <c r="Q430" s="55"/>
      <c r="R430" s="55"/>
      <c r="U430" s="55"/>
      <c r="V430" s="55"/>
      <c r="W430" s="55"/>
      <c r="X430" s="55"/>
    </row>
    <row r="431" spans="16:24" x14ac:dyDescent="0.25">
      <c r="P431" s="55"/>
      <c r="Q431" s="55"/>
      <c r="R431" s="55"/>
      <c r="U431" s="55"/>
      <c r="V431" s="55"/>
      <c r="W431" s="55"/>
      <c r="X431" s="55"/>
    </row>
    <row r="432" spans="16:24" x14ac:dyDescent="0.25">
      <c r="P432" s="55"/>
      <c r="Q432" s="55"/>
      <c r="R432" s="55"/>
      <c r="U432" s="55"/>
      <c r="V432" s="55"/>
      <c r="W432" s="55"/>
      <c r="X432" s="55"/>
    </row>
    <row r="433" spans="16:24" x14ac:dyDescent="0.25">
      <c r="P433" s="55"/>
      <c r="Q433" s="55"/>
      <c r="R433" s="55"/>
      <c r="U433" s="55"/>
      <c r="V433" s="55"/>
      <c r="W433" s="55"/>
      <c r="X433" s="55"/>
    </row>
    <row r="434" spans="16:24" x14ac:dyDescent="0.25">
      <c r="P434" s="55"/>
      <c r="Q434" s="55"/>
      <c r="R434" s="55"/>
      <c r="U434" s="55"/>
      <c r="V434" s="55"/>
      <c r="W434" s="55"/>
      <c r="X434" s="55"/>
    </row>
    <row r="435" spans="16:24" x14ac:dyDescent="0.25">
      <c r="P435" s="55"/>
      <c r="Q435" s="55"/>
      <c r="R435" s="55"/>
      <c r="U435" s="55"/>
      <c r="V435" s="55"/>
      <c r="W435" s="55"/>
      <c r="X435" s="55"/>
    </row>
    <row r="436" spans="16:24" x14ac:dyDescent="0.25">
      <c r="P436" s="55"/>
      <c r="Q436" s="55"/>
      <c r="R436" s="55"/>
      <c r="U436" s="55"/>
      <c r="V436" s="55"/>
      <c r="W436" s="55"/>
      <c r="X436" s="55"/>
    </row>
    <row r="437" spans="16:24" x14ac:dyDescent="0.25">
      <c r="P437" s="55"/>
      <c r="Q437" s="55"/>
      <c r="R437" s="55"/>
      <c r="U437" s="55"/>
      <c r="V437" s="55"/>
      <c r="W437" s="55"/>
      <c r="X437" s="55"/>
    </row>
    <row r="438" spans="16:24" x14ac:dyDescent="0.25">
      <c r="P438" s="55"/>
      <c r="Q438" s="55"/>
      <c r="R438" s="55"/>
      <c r="U438" s="55"/>
      <c r="V438" s="55"/>
      <c r="W438" s="55"/>
      <c r="X438" s="55"/>
    </row>
    <row r="439" spans="16:24" x14ac:dyDescent="0.25">
      <c r="P439" s="55"/>
      <c r="Q439" s="55"/>
      <c r="R439" s="55"/>
      <c r="U439" s="55"/>
      <c r="V439" s="55"/>
      <c r="W439" s="55"/>
      <c r="X439" s="55"/>
    </row>
    <row r="440" spans="16:24" x14ac:dyDescent="0.25">
      <c r="P440" s="55"/>
      <c r="Q440" s="55"/>
      <c r="R440" s="55"/>
      <c r="U440" s="55"/>
      <c r="V440" s="55"/>
      <c r="W440" s="55"/>
      <c r="X440" s="55"/>
    </row>
    <row r="441" spans="16:24" x14ac:dyDescent="0.25">
      <c r="P441" s="55"/>
      <c r="Q441" s="55"/>
      <c r="R441" s="55"/>
      <c r="U441" s="55"/>
      <c r="V441" s="55"/>
      <c r="W441" s="55"/>
      <c r="X441" s="55"/>
    </row>
    <row r="442" spans="16:24" x14ac:dyDescent="0.25">
      <c r="P442" s="55"/>
      <c r="Q442" s="55"/>
      <c r="R442" s="55"/>
      <c r="U442" s="55"/>
      <c r="V442" s="55"/>
      <c r="W442" s="55"/>
      <c r="X442" s="55"/>
    </row>
    <row r="443" spans="16:24" x14ac:dyDescent="0.25">
      <c r="P443" s="55"/>
      <c r="Q443" s="55"/>
      <c r="R443" s="55"/>
      <c r="U443" s="55"/>
      <c r="V443" s="55"/>
      <c r="W443" s="55"/>
      <c r="X443" s="55"/>
    </row>
    <row r="444" spans="16:24" x14ac:dyDescent="0.25">
      <c r="P444" s="55"/>
      <c r="Q444" s="55"/>
      <c r="R444" s="55"/>
      <c r="U444" s="55"/>
      <c r="V444" s="55"/>
      <c r="W444" s="55"/>
      <c r="X444" s="55"/>
    </row>
    <row r="445" spans="16:24" x14ac:dyDescent="0.25">
      <c r="P445" s="55"/>
      <c r="Q445" s="55"/>
      <c r="R445" s="55"/>
      <c r="U445" s="55"/>
      <c r="V445" s="55"/>
      <c r="W445" s="55"/>
      <c r="X445" s="55"/>
    </row>
    <row r="446" spans="16:24" x14ac:dyDescent="0.25">
      <c r="P446" s="55"/>
      <c r="Q446" s="55"/>
      <c r="R446" s="55"/>
      <c r="U446" s="55"/>
      <c r="V446" s="55"/>
      <c r="W446" s="55"/>
      <c r="X446" s="55"/>
    </row>
    <row r="447" spans="16:24" x14ac:dyDescent="0.25">
      <c r="P447" s="55"/>
      <c r="Q447" s="55"/>
      <c r="R447" s="55"/>
      <c r="U447" s="55"/>
      <c r="V447" s="55"/>
      <c r="W447" s="55"/>
      <c r="X447" s="55"/>
    </row>
    <row r="448" spans="16:24" x14ac:dyDescent="0.25">
      <c r="P448" s="55"/>
      <c r="Q448" s="55"/>
      <c r="R448" s="55"/>
      <c r="U448" s="55"/>
      <c r="V448" s="55"/>
      <c r="W448" s="55"/>
      <c r="X448" s="55"/>
    </row>
    <row r="449" spans="16:24" x14ac:dyDescent="0.25">
      <c r="P449" s="55"/>
      <c r="Q449" s="55"/>
      <c r="R449" s="55"/>
      <c r="U449" s="55"/>
      <c r="V449" s="55"/>
      <c r="W449" s="55"/>
      <c r="X449" s="55"/>
    </row>
    <row r="450" spans="16:24" x14ac:dyDescent="0.25">
      <c r="P450" s="55"/>
      <c r="Q450" s="55"/>
      <c r="R450" s="55"/>
      <c r="U450" s="55"/>
      <c r="V450" s="55"/>
      <c r="W450" s="55"/>
      <c r="X450" s="55"/>
    </row>
    <row r="451" spans="16:24" x14ac:dyDescent="0.25">
      <c r="P451" s="55"/>
      <c r="Q451" s="55"/>
      <c r="R451" s="55"/>
      <c r="U451" s="55"/>
      <c r="V451" s="55"/>
      <c r="W451" s="55"/>
      <c r="X451" s="55"/>
    </row>
    <row r="452" spans="16:24" x14ac:dyDescent="0.25">
      <c r="P452" s="55"/>
      <c r="Q452" s="55"/>
      <c r="R452" s="55"/>
      <c r="U452" s="55"/>
      <c r="V452" s="55"/>
      <c r="W452" s="55"/>
      <c r="X452" s="55"/>
    </row>
    <row r="453" spans="16:24" x14ac:dyDescent="0.25">
      <c r="P453" s="55"/>
      <c r="Q453" s="55"/>
      <c r="R453" s="55"/>
      <c r="U453" s="55"/>
      <c r="V453" s="55"/>
      <c r="W453" s="55"/>
      <c r="X453" s="55"/>
    </row>
    <row r="454" spans="16:24" x14ac:dyDescent="0.25">
      <c r="P454" s="55"/>
      <c r="Q454" s="55"/>
      <c r="R454" s="55"/>
      <c r="U454" s="55"/>
      <c r="V454" s="55"/>
      <c r="W454" s="55"/>
      <c r="X454" s="55"/>
    </row>
    <row r="455" spans="16:24" x14ac:dyDescent="0.25">
      <c r="P455" s="55"/>
      <c r="Q455" s="55"/>
      <c r="R455" s="55"/>
      <c r="U455" s="55"/>
      <c r="V455" s="55"/>
      <c r="W455" s="55"/>
      <c r="X455" s="55"/>
    </row>
    <row r="456" spans="16:24" x14ac:dyDescent="0.25">
      <c r="P456" s="55"/>
      <c r="Q456" s="55"/>
      <c r="R456" s="55"/>
      <c r="U456" s="55"/>
      <c r="V456" s="55"/>
      <c r="W456" s="55"/>
      <c r="X456" s="55"/>
    </row>
    <row r="457" spans="16:24" x14ac:dyDescent="0.25">
      <c r="P457" s="55"/>
      <c r="Q457" s="55"/>
      <c r="R457" s="55"/>
      <c r="U457" s="55"/>
      <c r="V457" s="55"/>
      <c r="W457" s="55"/>
      <c r="X457" s="55"/>
    </row>
    <row r="458" spans="16:24" x14ac:dyDescent="0.25">
      <c r="P458" s="55"/>
      <c r="Q458" s="55"/>
      <c r="R458" s="55"/>
      <c r="U458" s="55"/>
      <c r="V458" s="55"/>
      <c r="W458" s="55"/>
      <c r="X458" s="55"/>
    </row>
    <row r="459" spans="16:24" x14ac:dyDescent="0.25">
      <c r="P459" s="55"/>
      <c r="Q459" s="55"/>
      <c r="R459" s="55"/>
      <c r="U459" s="55"/>
      <c r="V459" s="55"/>
      <c r="W459" s="55"/>
      <c r="X459" s="55"/>
    </row>
    <row r="460" spans="16:24" x14ac:dyDescent="0.25">
      <c r="P460" s="55"/>
      <c r="Q460" s="55"/>
      <c r="R460" s="55"/>
      <c r="U460" s="55"/>
      <c r="V460" s="55"/>
      <c r="W460" s="55"/>
      <c r="X460" s="55"/>
    </row>
    <row r="461" spans="16:24" x14ac:dyDescent="0.25">
      <c r="P461" s="55"/>
      <c r="Q461" s="55"/>
      <c r="R461" s="55"/>
      <c r="U461" s="55"/>
      <c r="V461" s="55"/>
      <c r="W461" s="55"/>
      <c r="X461" s="55"/>
    </row>
    <row r="462" spans="16:24" x14ac:dyDescent="0.25">
      <c r="P462" s="55"/>
      <c r="Q462" s="55"/>
      <c r="R462" s="55"/>
      <c r="U462" s="55"/>
      <c r="V462" s="55"/>
      <c r="W462" s="55"/>
      <c r="X462" s="55"/>
    </row>
    <row r="463" spans="16:24" x14ac:dyDescent="0.25">
      <c r="P463" s="55"/>
      <c r="Q463" s="55"/>
      <c r="R463" s="55"/>
      <c r="U463" s="55"/>
      <c r="V463" s="55"/>
      <c r="W463" s="55"/>
      <c r="X463" s="55"/>
    </row>
    <row r="464" spans="16:24" x14ac:dyDescent="0.25">
      <c r="P464" s="55"/>
      <c r="Q464" s="55"/>
      <c r="R464" s="55"/>
      <c r="U464" s="55"/>
      <c r="V464" s="55"/>
      <c r="W464" s="55"/>
      <c r="X464" s="55"/>
    </row>
    <row r="465" spans="16:24" x14ac:dyDescent="0.25">
      <c r="P465" s="55"/>
      <c r="Q465" s="55"/>
      <c r="R465" s="55"/>
      <c r="U465" s="55"/>
      <c r="V465" s="55"/>
      <c r="W465" s="55"/>
      <c r="X465" s="55"/>
    </row>
    <row r="466" spans="16:24" x14ac:dyDescent="0.25">
      <c r="P466" s="55"/>
      <c r="Q466" s="55"/>
      <c r="R466" s="55"/>
      <c r="U466" s="55"/>
      <c r="V466" s="55"/>
      <c r="W466" s="55"/>
      <c r="X466" s="55"/>
    </row>
    <row r="467" spans="16:24" x14ac:dyDescent="0.25">
      <c r="P467" s="55"/>
      <c r="Q467" s="55"/>
      <c r="R467" s="55"/>
      <c r="U467" s="55"/>
      <c r="V467" s="55"/>
      <c r="W467" s="55"/>
      <c r="X467" s="55"/>
    </row>
    <row r="468" spans="16:24" x14ac:dyDescent="0.25">
      <c r="P468" s="55"/>
      <c r="Q468" s="55"/>
      <c r="R468" s="55"/>
      <c r="U468" s="55"/>
      <c r="V468" s="55"/>
      <c r="W468" s="55"/>
      <c r="X468" s="55"/>
    </row>
    <row r="469" spans="16:24" x14ac:dyDescent="0.25">
      <c r="P469" s="55"/>
      <c r="Q469" s="55"/>
      <c r="R469" s="55"/>
      <c r="U469" s="55"/>
      <c r="V469" s="55"/>
      <c r="W469" s="55"/>
      <c r="X469" s="55"/>
    </row>
    <row r="470" spans="16:24" x14ac:dyDescent="0.25">
      <c r="P470" s="55"/>
      <c r="Q470" s="55"/>
      <c r="R470" s="55"/>
      <c r="U470" s="55"/>
      <c r="V470" s="55"/>
      <c r="W470" s="55"/>
      <c r="X470" s="55"/>
    </row>
    <row r="471" spans="16:24" x14ac:dyDescent="0.25">
      <c r="P471" s="55"/>
      <c r="Q471" s="55"/>
      <c r="R471" s="55"/>
      <c r="U471" s="55"/>
      <c r="V471" s="55"/>
      <c r="W471" s="55"/>
      <c r="X471" s="55"/>
    </row>
    <row r="472" spans="16:24" x14ac:dyDescent="0.25">
      <c r="P472" s="55"/>
      <c r="Q472" s="55"/>
      <c r="R472" s="55"/>
      <c r="U472" s="55"/>
      <c r="V472" s="55"/>
      <c r="W472" s="55"/>
      <c r="X472" s="55"/>
    </row>
    <row r="473" spans="16:24" x14ac:dyDescent="0.25">
      <c r="P473" s="55"/>
      <c r="Q473" s="55"/>
      <c r="R473" s="55"/>
      <c r="U473" s="55"/>
      <c r="V473" s="55"/>
      <c r="W473" s="55"/>
      <c r="X473" s="55"/>
    </row>
    <row r="474" spans="16:24" x14ac:dyDescent="0.25">
      <c r="P474" s="55"/>
      <c r="Q474" s="55"/>
      <c r="R474" s="55"/>
      <c r="U474" s="55"/>
      <c r="V474" s="55"/>
      <c r="W474" s="55"/>
      <c r="X474" s="55"/>
    </row>
    <row r="475" spans="16:24" x14ac:dyDescent="0.25">
      <c r="P475" s="55"/>
      <c r="Q475" s="55"/>
      <c r="R475" s="55"/>
      <c r="U475" s="55"/>
      <c r="V475" s="55"/>
      <c r="W475" s="55"/>
      <c r="X475" s="55"/>
    </row>
    <row r="476" spans="16:24" x14ac:dyDescent="0.25">
      <c r="P476" s="55"/>
      <c r="Q476" s="55"/>
      <c r="R476" s="55"/>
      <c r="U476" s="55"/>
      <c r="V476" s="55"/>
      <c r="W476" s="55"/>
      <c r="X476" s="55"/>
    </row>
    <row r="477" spans="16:24" x14ac:dyDescent="0.25">
      <c r="P477" s="55"/>
      <c r="Q477" s="55"/>
      <c r="R477" s="55"/>
      <c r="U477" s="55"/>
      <c r="V477" s="55"/>
      <c r="W477" s="55"/>
      <c r="X477" s="55"/>
    </row>
    <row r="478" spans="16:24" x14ac:dyDescent="0.25">
      <c r="P478" s="55"/>
      <c r="Q478" s="55"/>
      <c r="R478" s="55"/>
      <c r="U478" s="55"/>
      <c r="V478" s="55"/>
      <c r="W478" s="55"/>
      <c r="X478" s="55"/>
    </row>
    <row r="479" spans="16:24" x14ac:dyDescent="0.25">
      <c r="P479" s="55"/>
      <c r="Q479" s="55"/>
      <c r="R479" s="55"/>
      <c r="U479" s="55"/>
      <c r="V479" s="55"/>
      <c r="W479" s="55"/>
      <c r="X479" s="55"/>
    </row>
    <row r="480" spans="16:24" x14ac:dyDescent="0.25">
      <c r="P480" s="55"/>
      <c r="Q480" s="55"/>
      <c r="R480" s="55"/>
      <c r="U480" s="55"/>
      <c r="V480" s="55"/>
      <c r="W480" s="55"/>
      <c r="X480" s="55"/>
    </row>
    <row r="481" spans="16:24" x14ac:dyDescent="0.25">
      <c r="P481" s="55"/>
      <c r="Q481" s="55"/>
      <c r="R481" s="55"/>
      <c r="U481" s="55"/>
      <c r="V481" s="55"/>
      <c r="W481" s="55"/>
      <c r="X481" s="55"/>
    </row>
    <row r="482" spans="16:24" x14ac:dyDescent="0.25">
      <c r="P482" s="55"/>
      <c r="Q482" s="55"/>
      <c r="R482" s="55"/>
      <c r="U482" s="55"/>
      <c r="V482" s="55"/>
      <c r="W482" s="55"/>
      <c r="X482" s="55"/>
    </row>
    <row r="483" spans="16:24" x14ac:dyDescent="0.25">
      <c r="P483" s="55"/>
      <c r="Q483" s="55"/>
      <c r="R483" s="55"/>
      <c r="U483" s="55"/>
      <c r="V483" s="55"/>
      <c r="W483" s="55"/>
      <c r="X483" s="55"/>
    </row>
    <row r="484" spans="16:24" x14ac:dyDescent="0.25">
      <c r="P484" s="55"/>
      <c r="Q484" s="55"/>
      <c r="R484" s="55"/>
      <c r="U484" s="55"/>
      <c r="V484" s="55"/>
      <c r="W484" s="55"/>
      <c r="X484" s="55"/>
    </row>
    <row r="485" spans="16:24" x14ac:dyDescent="0.25">
      <c r="P485" s="55"/>
      <c r="Q485" s="55"/>
      <c r="R485" s="55"/>
      <c r="U485" s="55"/>
      <c r="V485" s="55"/>
      <c r="W485" s="55"/>
      <c r="X485" s="55"/>
    </row>
    <row r="486" spans="16:24" x14ac:dyDescent="0.25">
      <c r="P486" s="55"/>
      <c r="Q486" s="55"/>
      <c r="R486" s="55"/>
      <c r="U486" s="55"/>
      <c r="V486" s="55"/>
      <c r="W486" s="55"/>
      <c r="X486" s="55"/>
    </row>
    <row r="487" spans="16:24" x14ac:dyDescent="0.25">
      <c r="P487" s="55"/>
      <c r="Q487" s="55"/>
      <c r="R487" s="55"/>
      <c r="U487" s="55"/>
      <c r="V487" s="55"/>
      <c r="W487" s="55"/>
      <c r="X487" s="55"/>
    </row>
    <row r="488" spans="16:24" x14ac:dyDescent="0.25">
      <c r="P488" s="55"/>
      <c r="Q488" s="55"/>
      <c r="R488" s="55"/>
      <c r="U488" s="55"/>
      <c r="V488" s="55"/>
      <c r="W488" s="55"/>
      <c r="X488" s="55"/>
    </row>
    <row r="489" spans="16:24" x14ac:dyDescent="0.25">
      <c r="P489" s="55"/>
      <c r="Q489" s="55"/>
      <c r="R489" s="55"/>
      <c r="U489" s="55"/>
      <c r="V489" s="55"/>
      <c r="W489" s="55"/>
      <c r="X489" s="55"/>
    </row>
    <row r="490" spans="16:24" x14ac:dyDescent="0.25">
      <c r="P490" s="55"/>
      <c r="Q490" s="55"/>
      <c r="R490" s="55"/>
      <c r="U490" s="55"/>
      <c r="V490" s="55"/>
      <c r="W490" s="55"/>
      <c r="X490" s="55"/>
    </row>
    <row r="491" spans="16:24" x14ac:dyDescent="0.25">
      <c r="P491" s="55"/>
      <c r="Q491" s="55"/>
      <c r="R491" s="55"/>
      <c r="U491" s="55"/>
      <c r="V491" s="55"/>
      <c r="W491" s="55"/>
      <c r="X491" s="55"/>
    </row>
    <row r="492" spans="16:24" x14ac:dyDescent="0.25">
      <c r="P492" s="55"/>
      <c r="Q492" s="55"/>
      <c r="R492" s="55"/>
      <c r="U492" s="55"/>
      <c r="V492" s="55"/>
      <c r="W492" s="55"/>
      <c r="X492" s="55"/>
    </row>
    <row r="493" spans="16:24" x14ac:dyDescent="0.25">
      <c r="P493" s="55"/>
      <c r="Q493" s="55"/>
      <c r="R493" s="55"/>
      <c r="U493" s="55"/>
      <c r="V493" s="55"/>
      <c r="W493" s="55"/>
      <c r="X493" s="55"/>
    </row>
    <row r="494" spans="16:24" x14ac:dyDescent="0.25">
      <c r="P494" s="55"/>
      <c r="Q494" s="55"/>
      <c r="R494" s="55"/>
      <c r="U494" s="55"/>
      <c r="V494" s="55"/>
      <c r="W494" s="55"/>
      <c r="X494" s="55"/>
    </row>
    <row r="495" spans="16:24" x14ac:dyDescent="0.25">
      <c r="P495" s="55"/>
      <c r="Q495" s="55"/>
      <c r="R495" s="55"/>
      <c r="U495" s="55"/>
      <c r="V495" s="55"/>
      <c r="W495" s="55"/>
      <c r="X495" s="55"/>
    </row>
    <row r="496" spans="16:24" x14ac:dyDescent="0.25">
      <c r="P496" s="55"/>
      <c r="Q496" s="55"/>
      <c r="R496" s="55"/>
      <c r="U496" s="55"/>
      <c r="V496" s="55"/>
      <c r="W496" s="55"/>
      <c r="X496" s="55"/>
    </row>
    <row r="497" spans="16:24" x14ac:dyDescent="0.25">
      <c r="P497" s="55"/>
      <c r="Q497" s="55"/>
      <c r="R497" s="55"/>
      <c r="U497" s="55"/>
      <c r="V497" s="55"/>
      <c r="W497" s="55"/>
      <c r="X497" s="55"/>
    </row>
    <row r="498" spans="16:24" x14ac:dyDescent="0.25">
      <c r="P498" s="55"/>
      <c r="Q498" s="55"/>
      <c r="R498" s="55"/>
      <c r="U498" s="55"/>
      <c r="V498" s="55"/>
      <c r="W498" s="55"/>
      <c r="X498" s="55"/>
    </row>
    <row r="499" spans="16:24" x14ac:dyDescent="0.25">
      <c r="P499" s="55"/>
      <c r="Q499" s="55"/>
      <c r="R499" s="55"/>
      <c r="U499" s="55"/>
      <c r="V499" s="55"/>
      <c r="W499" s="55"/>
      <c r="X499" s="55"/>
    </row>
    <row r="500" spans="16:24" x14ac:dyDescent="0.25">
      <c r="P500" s="55"/>
      <c r="Q500" s="55"/>
      <c r="R500" s="55"/>
      <c r="U500" s="55"/>
      <c r="V500" s="55"/>
      <c r="W500" s="55"/>
      <c r="X500" s="55"/>
    </row>
    <row r="501" spans="16:24" x14ac:dyDescent="0.25">
      <c r="P501" s="55"/>
      <c r="Q501" s="55"/>
      <c r="R501" s="55"/>
      <c r="U501" s="55"/>
      <c r="V501" s="55"/>
      <c r="W501" s="55"/>
      <c r="X501" s="55"/>
    </row>
    <row r="502" spans="16:24" x14ac:dyDescent="0.25">
      <c r="P502" s="55"/>
      <c r="Q502" s="55"/>
      <c r="R502" s="55"/>
      <c r="U502" s="55"/>
      <c r="V502" s="55"/>
      <c r="W502" s="55"/>
      <c r="X502" s="55"/>
    </row>
    <row r="503" spans="16:24" x14ac:dyDescent="0.25">
      <c r="P503" s="55"/>
      <c r="Q503" s="55"/>
      <c r="R503" s="55"/>
      <c r="U503" s="55"/>
      <c r="V503" s="55"/>
      <c r="W503" s="55"/>
      <c r="X503" s="55"/>
    </row>
    <row r="504" spans="16:24" x14ac:dyDescent="0.25">
      <c r="P504" s="55"/>
      <c r="Q504" s="55"/>
      <c r="R504" s="55"/>
      <c r="U504" s="55"/>
      <c r="V504" s="55"/>
      <c r="W504" s="55"/>
      <c r="X504" s="55"/>
    </row>
    <row r="505" spans="16:24" x14ac:dyDescent="0.25">
      <c r="P505" s="55"/>
      <c r="Q505" s="55"/>
      <c r="R505" s="55"/>
      <c r="U505" s="55"/>
      <c r="V505" s="55"/>
      <c r="W505" s="55"/>
      <c r="X505" s="55"/>
    </row>
    <row r="506" spans="16:24" x14ac:dyDescent="0.25">
      <c r="P506" s="55"/>
      <c r="Q506" s="55"/>
      <c r="R506" s="55"/>
      <c r="U506" s="55"/>
      <c r="V506" s="55"/>
      <c r="W506" s="55"/>
      <c r="X506" s="55"/>
    </row>
    <row r="507" spans="16:24" x14ac:dyDescent="0.25">
      <c r="P507" s="55"/>
      <c r="Q507" s="55"/>
      <c r="R507" s="55"/>
      <c r="U507" s="55"/>
      <c r="V507" s="55"/>
      <c r="W507" s="55"/>
      <c r="X507" s="55"/>
    </row>
    <row r="508" spans="16:24" x14ac:dyDescent="0.25">
      <c r="P508" s="55"/>
      <c r="Q508" s="55"/>
      <c r="R508" s="55"/>
      <c r="U508" s="55"/>
      <c r="V508" s="55"/>
      <c r="W508" s="55"/>
      <c r="X508" s="55"/>
    </row>
    <row r="509" spans="16:24" x14ac:dyDescent="0.25">
      <c r="P509" s="55"/>
      <c r="Q509" s="55"/>
      <c r="R509" s="55"/>
      <c r="U509" s="55"/>
      <c r="V509" s="55"/>
      <c r="W509" s="55"/>
      <c r="X509" s="55"/>
    </row>
    <row r="510" spans="16:24" x14ac:dyDescent="0.25">
      <c r="P510" s="55"/>
      <c r="Q510" s="55"/>
      <c r="R510" s="55"/>
      <c r="U510" s="55"/>
      <c r="V510" s="55"/>
      <c r="W510" s="55"/>
      <c r="X510" s="55"/>
    </row>
    <row r="511" spans="16:24" x14ac:dyDescent="0.25">
      <c r="P511" s="55"/>
      <c r="Q511" s="55"/>
      <c r="R511" s="55"/>
      <c r="U511" s="55"/>
      <c r="V511" s="55"/>
      <c r="W511" s="55"/>
      <c r="X511" s="55"/>
    </row>
    <row r="512" spans="16:24" x14ac:dyDescent="0.25">
      <c r="P512" s="55"/>
      <c r="Q512" s="55"/>
      <c r="R512" s="55"/>
      <c r="U512" s="55"/>
      <c r="V512" s="55"/>
      <c r="W512" s="55"/>
      <c r="X512" s="55"/>
    </row>
    <row r="513" spans="16:24" x14ac:dyDescent="0.25">
      <c r="P513" s="55"/>
      <c r="Q513" s="55"/>
      <c r="R513" s="55"/>
      <c r="U513" s="55"/>
      <c r="V513" s="55"/>
      <c r="W513" s="55"/>
      <c r="X513" s="55"/>
    </row>
    <row r="514" spans="16:24" x14ac:dyDescent="0.25">
      <c r="P514" s="55"/>
      <c r="Q514" s="55"/>
      <c r="R514" s="55"/>
      <c r="U514" s="55"/>
      <c r="V514" s="55"/>
      <c r="W514" s="55"/>
      <c r="X514" s="55"/>
    </row>
    <row r="515" spans="16:24" x14ac:dyDescent="0.25">
      <c r="P515" s="55"/>
      <c r="Q515" s="55"/>
      <c r="R515" s="55"/>
      <c r="U515" s="55"/>
      <c r="V515" s="55"/>
      <c r="W515" s="55"/>
      <c r="X515" s="55"/>
    </row>
    <row r="516" spans="16:24" x14ac:dyDescent="0.25">
      <c r="P516" s="55"/>
      <c r="Q516" s="55"/>
      <c r="R516" s="55"/>
      <c r="U516" s="55"/>
      <c r="V516" s="55"/>
      <c r="W516" s="55"/>
      <c r="X516" s="55"/>
    </row>
    <row r="517" spans="16:24" x14ac:dyDescent="0.25">
      <c r="P517" s="55"/>
      <c r="Q517" s="55"/>
      <c r="R517" s="55"/>
      <c r="U517" s="55"/>
      <c r="V517" s="55"/>
      <c r="W517" s="55"/>
      <c r="X517" s="55"/>
    </row>
    <row r="518" spans="16:24" x14ac:dyDescent="0.25">
      <c r="P518" s="55"/>
      <c r="Q518" s="55"/>
      <c r="R518" s="55"/>
      <c r="U518" s="55"/>
      <c r="V518" s="55"/>
      <c r="W518" s="55"/>
      <c r="X518" s="55"/>
    </row>
    <row r="519" spans="16:24" x14ac:dyDescent="0.25">
      <c r="P519" s="55"/>
      <c r="Q519" s="55"/>
      <c r="R519" s="55"/>
      <c r="U519" s="55"/>
      <c r="V519" s="55"/>
      <c r="W519" s="55"/>
      <c r="X519" s="55"/>
    </row>
    <row r="520" spans="16:24" x14ac:dyDescent="0.25">
      <c r="P520" s="55"/>
      <c r="Q520" s="55"/>
      <c r="R520" s="55"/>
      <c r="U520" s="55"/>
      <c r="V520" s="55"/>
      <c r="W520" s="55"/>
      <c r="X520" s="55"/>
    </row>
    <row r="521" spans="16:24" x14ac:dyDescent="0.25">
      <c r="P521" s="55"/>
      <c r="Q521" s="55"/>
      <c r="R521" s="55"/>
      <c r="U521" s="55"/>
      <c r="V521" s="55"/>
      <c r="W521" s="55"/>
      <c r="X521" s="55"/>
    </row>
    <row r="522" spans="16:24" x14ac:dyDescent="0.25">
      <c r="P522" s="55"/>
      <c r="Q522" s="55"/>
      <c r="R522" s="55"/>
      <c r="U522" s="55"/>
      <c r="V522" s="55"/>
      <c r="W522" s="55"/>
      <c r="X522" s="55"/>
    </row>
    <row r="523" spans="16:24" x14ac:dyDescent="0.25">
      <c r="P523" s="55"/>
      <c r="Q523" s="55"/>
      <c r="R523" s="55"/>
      <c r="U523" s="55"/>
      <c r="V523" s="55"/>
      <c r="W523" s="55"/>
      <c r="X523" s="55"/>
    </row>
    <row r="524" spans="16:24" x14ac:dyDescent="0.25">
      <c r="P524" s="55"/>
      <c r="Q524" s="55"/>
      <c r="R524" s="55"/>
      <c r="U524" s="55"/>
      <c r="V524" s="55"/>
      <c r="W524" s="55"/>
      <c r="X524" s="55"/>
    </row>
    <row r="525" spans="16:24" x14ac:dyDescent="0.25">
      <c r="P525" s="55"/>
      <c r="Q525" s="55"/>
      <c r="R525" s="55"/>
      <c r="U525" s="55"/>
      <c r="V525" s="55"/>
      <c r="W525" s="55"/>
      <c r="X525" s="55"/>
    </row>
    <row r="526" spans="16:24" x14ac:dyDescent="0.25">
      <c r="P526" s="55"/>
      <c r="Q526" s="55"/>
      <c r="R526" s="55"/>
      <c r="U526" s="55"/>
      <c r="V526" s="55"/>
      <c r="W526" s="55"/>
      <c r="X526" s="55"/>
    </row>
    <row r="527" spans="16:24" x14ac:dyDescent="0.25">
      <c r="P527" s="55"/>
      <c r="Q527" s="55"/>
      <c r="R527" s="55"/>
      <c r="U527" s="55"/>
      <c r="V527" s="55"/>
      <c r="W527" s="55"/>
      <c r="X527" s="55"/>
    </row>
    <row r="528" spans="16:24" x14ac:dyDescent="0.25">
      <c r="P528" s="55"/>
      <c r="Q528" s="55"/>
      <c r="R528" s="55"/>
      <c r="U528" s="55"/>
      <c r="V528" s="55"/>
      <c r="W528" s="55"/>
      <c r="X528" s="55"/>
    </row>
    <row r="529" spans="16:24" x14ac:dyDescent="0.25">
      <c r="P529" s="55"/>
      <c r="Q529" s="55"/>
      <c r="R529" s="55"/>
      <c r="U529" s="55"/>
      <c r="V529" s="55"/>
      <c r="W529" s="55"/>
      <c r="X529" s="55"/>
    </row>
    <row r="530" spans="16:24" x14ac:dyDescent="0.25">
      <c r="P530" s="55"/>
      <c r="Q530" s="55"/>
      <c r="R530" s="55"/>
      <c r="U530" s="55"/>
      <c r="V530" s="55"/>
      <c r="W530" s="55"/>
      <c r="X530" s="55"/>
    </row>
    <row r="531" spans="16:24" x14ac:dyDescent="0.25">
      <c r="P531" s="55"/>
      <c r="Q531" s="55"/>
      <c r="R531" s="55"/>
      <c r="U531" s="55"/>
      <c r="V531" s="55"/>
      <c r="W531" s="55"/>
      <c r="X531" s="55"/>
    </row>
    <row r="532" spans="16:24" x14ac:dyDescent="0.25">
      <c r="P532" s="55"/>
      <c r="Q532" s="55"/>
      <c r="R532" s="55"/>
      <c r="U532" s="55"/>
      <c r="V532" s="55"/>
      <c r="W532" s="55"/>
      <c r="X532" s="55"/>
    </row>
    <row r="533" spans="16:24" x14ac:dyDescent="0.25">
      <c r="P533" s="55"/>
      <c r="Q533" s="55"/>
      <c r="R533" s="55"/>
      <c r="U533" s="55"/>
      <c r="V533" s="55"/>
      <c r="W533" s="55"/>
      <c r="X533" s="55"/>
    </row>
    <row r="534" spans="16:24" x14ac:dyDescent="0.25">
      <c r="P534" s="55"/>
      <c r="Q534" s="55"/>
      <c r="R534" s="55"/>
      <c r="U534" s="55"/>
      <c r="V534" s="55"/>
      <c r="W534" s="55"/>
      <c r="X534" s="55"/>
    </row>
    <row r="535" spans="16:24" x14ac:dyDescent="0.25">
      <c r="P535" s="55"/>
      <c r="Q535" s="55"/>
      <c r="R535" s="55"/>
      <c r="U535" s="55"/>
      <c r="V535" s="55"/>
      <c r="W535" s="55"/>
      <c r="X535" s="55"/>
    </row>
    <row r="536" spans="16:24" x14ac:dyDescent="0.25">
      <c r="P536" s="55"/>
      <c r="Q536" s="55"/>
      <c r="R536" s="55"/>
      <c r="U536" s="55"/>
      <c r="V536" s="55"/>
      <c r="W536" s="55"/>
      <c r="X536" s="55"/>
    </row>
    <row r="537" spans="16:24" x14ac:dyDescent="0.25">
      <c r="P537" s="55"/>
      <c r="Q537" s="55"/>
      <c r="R537" s="55"/>
      <c r="U537" s="55"/>
      <c r="V537" s="55"/>
      <c r="W537" s="55"/>
      <c r="X537" s="55"/>
    </row>
    <row r="538" spans="16:24" x14ac:dyDescent="0.25">
      <c r="P538" s="55"/>
      <c r="Q538" s="55"/>
      <c r="R538" s="55"/>
      <c r="U538" s="55"/>
      <c r="V538" s="55"/>
      <c r="W538" s="55"/>
      <c r="X538" s="55"/>
    </row>
    <row r="539" spans="16:24" x14ac:dyDescent="0.25">
      <c r="P539" s="55"/>
      <c r="Q539" s="55"/>
      <c r="R539" s="55"/>
      <c r="U539" s="55"/>
      <c r="V539" s="55"/>
      <c r="W539" s="55"/>
      <c r="X539" s="55"/>
    </row>
    <row r="540" spans="16:24" x14ac:dyDescent="0.25">
      <c r="P540" s="55"/>
      <c r="Q540" s="55"/>
      <c r="R540" s="55"/>
      <c r="U540" s="55"/>
      <c r="V540" s="55"/>
      <c r="W540" s="55"/>
      <c r="X540" s="55"/>
    </row>
    <row r="541" spans="16:24" x14ac:dyDescent="0.25">
      <c r="P541" s="55"/>
      <c r="Q541" s="55"/>
      <c r="R541" s="55"/>
      <c r="U541" s="55"/>
      <c r="V541" s="55"/>
      <c r="W541" s="55"/>
      <c r="X541" s="55"/>
    </row>
    <row r="542" spans="16:24" x14ac:dyDescent="0.25">
      <c r="P542" s="55"/>
      <c r="Q542" s="55"/>
      <c r="R542" s="55"/>
      <c r="U542" s="55"/>
      <c r="V542" s="55"/>
      <c r="W542" s="55"/>
      <c r="X542" s="55"/>
    </row>
    <row r="543" spans="16:24" x14ac:dyDescent="0.25">
      <c r="P543" s="55"/>
      <c r="Q543" s="55"/>
      <c r="R543" s="55"/>
      <c r="U543" s="55"/>
      <c r="V543" s="55"/>
      <c r="W543" s="55"/>
      <c r="X543" s="55"/>
    </row>
    <row r="544" spans="16:24" x14ac:dyDescent="0.25">
      <c r="P544" s="55"/>
      <c r="Q544" s="55"/>
      <c r="R544" s="55"/>
      <c r="U544" s="55"/>
      <c r="V544" s="55"/>
      <c r="W544" s="55"/>
      <c r="X544" s="55"/>
    </row>
    <row r="545" spans="16:24" x14ac:dyDescent="0.25">
      <c r="P545" s="55"/>
      <c r="Q545" s="55"/>
      <c r="R545" s="55"/>
      <c r="U545" s="55"/>
      <c r="V545" s="55"/>
      <c r="W545" s="55"/>
      <c r="X545" s="55"/>
    </row>
    <row r="546" spans="16:24" x14ac:dyDescent="0.25">
      <c r="P546" s="55"/>
      <c r="Q546" s="55"/>
      <c r="R546" s="55"/>
      <c r="U546" s="55"/>
      <c r="V546" s="55"/>
      <c r="W546" s="55"/>
      <c r="X546" s="55"/>
    </row>
    <row r="547" spans="16:24" x14ac:dyDescent="0.25">
      <c r="P547" s="55"/>
      <c r="Q547" s="55"/>
      <c r="R547" s="55"/>
      <c r="U547" s="55"/>
      <c r="V547" s="55"/>
      <c r="W547" s="55"/>
      <c r="X547" s="55"/>
    </row>
    <row r="548" spans="16:24" x14ac:dyDescent="0.25">
      <c r="P548" s="55"/>
      <c r="Q548" s="55"/>
      <c r="R548" s="55"/>
      <c r="U548" s="55"/>
      <c r="V548" s="55"/>
      <c r="W548" s="55"/>
      <c r="X548" s="55"/>
    </row>
    <row r="549" spans="16:24" x14ac:dyDescent="0.25">
      <c r="P549" s="55"/>
      <c r="Q549" s="55"/>
      <c r="R549" s="55"/>
      <c r="U549" s="55"/>
      <c r="V549" s="55"/>
      <c r="W549" s="55"/>
      <c r="X549" s="55"/>
    </row>
    <row r="550" spans="16:24" x14ac:dyDescent="0.25">
      <c r="P550" s="55"/>
      <c r="Q550" s="55"/>
      <c r="R550" s="55"/>
      <c r="U550" s="55"/>
      <c r="V550" s="55"/>
      <c r="W550" s="55"/>
      <c r="X550" s="55"/>
    </row>
    <row r="551" spans="16:24" x14ac:dyDescent="0.25">
      <c r="P551" s="55"/>
      <c r="Q551" s="55"/>
      <c r="R551" s="55"/>
      <c r="U551" s="55"/>
      <c r="V551" s="55"/>
      <c r="W551" s="55"/>
      <c r="X551" s="55"/>
    </row>
    <row r="552" spans="16:24" x14ac:dyDescent="0.25">
      <c r="P552" s="55"/>
      <c r="Q552" s="55"/>
      <c r="R552" s="55"/>
      <c r="U552" s="55"/>
      <c r="V552" s="55"/>
      <c r="W552" s="55"/>
      <c r="X552" s="55"/>
    </row>
    <row r="553" spans="16:24" x14ac:dyDescent="0.25">
      <c r="P553" s="55"/>
      <c r="Q553" s="55"/>
      <c r="R553" s="55"/>
      <c r="U553" s="55"/>
      <c r="V553" s="55"/>
      <c r="W553" s="55"/>
      <c r="X553" s="55"/>
    </row>
    <row r="554" spans="16:24" x14ac:dyDescent="0.25">
      <c r="P554" s="55"/>
      <c r="Q554" s="55"/>
      <c r="R554" s="55"/>
      <c r="U554" s="55"/>
      <c r="V554" s="55"/>
      <c r="W554" s="55"/>
      <c r="X554" s="55"/>
    </row>
    <row r="555" spans="16:24" x14ac:dyDescent="0.25">
      <c r="P555" s="55"/>
      <c r="Q555" s="55"/>
      <c r="R555" s="55"/>
      <c r="U555" s="55"/>
      <c r="V555" s="55"/>
      <c r="W555" s="55"/>
      <c r="X555" s="55"/>
    </row>
    <row r="556" spans="16:24" x14ac:dyDescent="0.25">
      <c r="P556" s="55"/>
      <c r="Q556" s="55"/>
      <c r="R556" s="55"/>
      <c r="U556" s="55"/>
      <c r="V556" s="55"/>
      <c r="W556" s="55"/>
      <c r="X556" s="55"/>
    </row>
    <row r="557" spans="16:24" x14ac:dyDescent="0.25">
      <c r="P557" s="55"/>
      <c r="Q557" s="55"/>
      <c r="R557" s="55"/>
      <c r="U557" s="55"/>
      <c r="V557" s="55"/>
      <c r="W557" s="55"/>
      <c r="X557" s="55"/>
    </row>
    <row r="558" spans="16:24" x14ac:dyDescent="0.25">
      <c r="P558" s="55"/>
      <c r="Q558" s="55"/>
      <c r="R558" s="55"/>
      <c r="U558" s="55"/>
      <c r="V558" s="55"/>
      <c r="W558" s="55"/>
      <c r="X558" s="55"/>
    </row>
    <row r="559" spans="16:24" x14ac:dyDescent="0.25">
      <c r="P559" s="55"/>
      <c r="Q559" s="55"/>
      <c r="R559" s="55"/>
      <c r="U559" s="55"/>
      <c r="V559" s="55"/>
      <c r="W559" s="55"/>
      <c r="X559" s="55"/>
    </row>
    <row r="560" spans="16:24" x14ac:dyDescent="0.25">
      <c r="P560" s="55"/>
      <c r="Q560" s="55"/>
      <c r="R560" s="55"/>
      <c r="U560" s="55"/>
      <c r="V560" s="55"/>
      <c r="W560" s="55"/>
      <c r="X560" s="55"/>
    </row>
    <row r="561" spans="16:24" x14ac:dyDescent="0.25">
      <c r="P561" s="55"/>
      <c r="Q561" s="55"/>
      <c r="R561" s="55"/>
      <c r="U561" s="55"/>
      <c r="V561" s="55"/>
      <c r="W561" s="55"/>
      <c r="X561" s="55"/>
    </row>
    <row r="562" spans="16:24" x14ac:dyDescent="0.25">
      <c r="P562" s="55"/>
      <c r="Q562" s="55"/>
      <c r="R562" s="55"/>
      <c r="U562" s="55"/>
      <c r="V562" s="55"/>
      <c r="W562" s="55"/>
      <c r="X562" s="55"/>
    </row>
    <row r="563" spans="16:24" x14ac:dyDescent="0.25">
      <c r="P563" s="55"/>
      <c r="Q563" s="55"/>
      <c r="R563" s="55"/>
      <c r="U563" s="55"/>
      <c r="V563" s="55"/>
      <c r="W563" s="55"/>
      <c r="X563" s="55"/>
    </row>
    <row r="564" spans="16:24" x14ac:dyDescent="0.25">
      <c r="P564" s="55"/>
      <c r="Q564" s="55"/>
      <c r="R564" s="55"/>
      <c r="U564" s="55"/>
      <c r="V564" s="55"/>
      <c r="W564" s="55"/>
      <c r="X564" s="55"/>
    </row>
    <row r="565" spans="16:24" x14ac:dyDescent="0.25">
      <c r="P565" s="55"/>
      <c r="Q565" s="55"/>
      <c r="R565" s="55"/>
      <c r="U565" s="55"/>
      <c r="V565" s="55"/>
      <c r="W565" s="55"/>
      <c r="X565" s="55"/>
    </row>
    <row r="566" spans="16:24" x14ac:dyDescent="0.25">
      <c r="P566" s="55"/>
      <c r="Q566" s="55"/>
      <c r="R566" s="55"/>
      <c r="U566" s="55"/>
      <c r="V566" s="55"/>
      <c r="W566" s="55"/>
      <c r="X566" s="55"/>
    </row>
    <row r="567" spans="16:24" x14ac:dyDescent="0.25">
      <c r="P567" s="55"/>
      <c r="Q567" s="55"/>
      <c r="R567" s="55"/>
      <c r="U567" s="55"/>
      <c r="V567" s="55"/>
      <c r="W567" s="55"/>
      <c r="X567" s="55"/>
    </row>
    <row r="568" spans="16:24" x14ac:dyDescent="0.25">
      <c r="P568" s="55"/>
      <c r="Q568" s="55"/>
      <c r="R568" s="55"/>
      <c r="U568" s="55"/>
      <c r="V568" s="55"/>
      <c r="W568" s="55"/>
      <c r="X568" s="55"/>
    </row>
    <row r="569" spans="16:24" x14ac:dyDescent="0.25">
      <c r="P569" s="55"/>
      <c r="Q569" s="55"/>
      <c r="R569" s="55"/>
      <c r="U569" s="55"/>
      <c r="V569" s="55"/>
      <c r="W569" s="55"/>
      <c r="X569" s="55"/>
    </row>
    <row r="570" spans="16:24" x14ac:dyDescent="0.25">
      <c r="P570" s="55"/>
      <c r="Q570" s="55"/>
      <c r="R570" s="55"/>
      <c r="U570" s="55"/>
      <c r="V570" s="55"/>
      <c r="W570" s="55"/>
      <c r="X570" s="55"/>
    </row>
  </sheetData>
  <sheetCalcPr fullCalcOnLoad="1"/>
  <mergeCells count="133">
    <mergeCell ref="A128:B128"/>
    <mergeCell ref="A129:B129"/>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A106:B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A74:B74"/>
    <mergeCell ref="A75:B75"/>
    <mergeCell ref="A76:B76"/>
    <mergeCell ref="A77:B77"/>
    <mergeCell ref="A78:B78"/>
    <mergeCell ref="A79:B79"/>
    <mergeCell ref="A68:B68"/>
    <mergeCell ref="A69:B69"/>
    <mergeCell ref="A70:B70"/>
    <mergeCell ref="A71:B71"/>
    <mergeCell ref="A72:B72"/>
    <mergeCell ref="A73:B73"/>
    <mergeCell ref="A62:B62"/>
    <mergeCell ref="A63:B63"/>
    <mergeCell ref="A64:B64"/>
    <mergeCell ref="A65:B65"/>
    <mergeCell ref="A66:B66"/>
    <mergeCell ref="A67:B67"/>
    <mergeCell ref="A56:B56"/>
    <mergeCell ref="A57:B57"/>
    <mergeCell ref="A58:B58"/>
    <mergeCell ref="A59:B59"/>
    <mergeCell ref="A60:B60"/>
    <mergeCell ref="A61:B61"/>
    <mergeCell ref="A50:B50"/>
    <mergeCell ref="A51:B51"/>
    <mergeCell ref="A52:B52"/>
    <mergeCell ref="A53:B53"/>
    <mergeCell ref="A54:B54"/>
    <mergeCell ref="A55:B55"/>
    <mergeCell ref="A44:B44"/>
    <mergeCell ref="A45:B45"/>
    <mergeCell ref="A46:B46"/>
    <mergeCell ref="A47:B47"/>
    <mergeCell ref="A48:B48"/>
    <mergeCell ref="A49:B49"/>
    <mergeCell ref="A38:B38"/>
    <mergeCell ref="A39:B39"/>
    <mergeCell ref="A40:B40"/>
    <mergeCell ref="A41:B41"/>
    <mergeCell ref="A42:B42"/>
    <mergeCell ref="A43:B43"/>
    <mergeCell ref="A32:B32"/>
    <mergeCell ref="A33:B33"/>
    <mergeCell ref="A34:B34"/>
    <mergeCell ref="A35:B35"/>
    <mergeCell ref="A36:B36"/>
    <mergeCell ref="A37:B37"/>
    <mergeCell ref="A26:B26"/>
    <mergeCell ref="A28:B28"/>
    <mergeCell ref="A29:B29"/>
    <mergeCell ref="A27:C27"/>
    <mergeCell ref="A30:B30"/>
    <mergeCell ref="A31:B31"/>
    <mergeCell ref="L19:M19"/>
    <mergeCell ref="L14:M14"/>
    <mergeCell ref="A22:B22"/>
    <mergeCell ref="A23:B23"/>
    <mergeCell ref="A24:B24"/>
    <mergeCell ref="A25:B25"/>
    <mergeCell ref="BU1:CB1"/>
    <mergeCell ref="AE1:AK1"/>
    <mergeCell ref="BA1:BH1"/>
    <mergeCell ref="AM20:AN20"/>
    <mergeCell ref="AO20:AP20"/>
    <mergeCell ref="L15:M15"/>
    <mergeCell ref="L13:M13"/>
    <mergeCell ref="L16:M16"/>
    <mergeCell ref="L17:M17"/>
    <mergeCell ref="L18:M18"/>
    <mergeCell ref="D10:H10"/>
    <mergeCell ref="L10:M10"/>
    <mergeCell ref="L11:M11"/>
    <mergeCell ref="L12:M12"/>
    <mergeCell ref="F1:G1"/>
    <mergeCell ref="L1:P1"/>
    <mergeCell ref="L9:M9"/>
    <mergeCell ref="L3:M3"/>
    <mergeCell ref="L4:M4"/>
    <mergeCell ref="L5:M5"/>
    <mergeCell ref="L6:M6"/>
    <mergeCell ref="L7:M7"/>
    <mergeCell ref="L8:M8"/>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6020"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86021"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4">
    <pageSetUpPr autoPageBreaks="0"/>
  </sheetPr>
  <dimension ref="A1:CX270"/>
  <sheetViews>
    <sheetView topLeftCell="O6"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LongTerm50</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50</v>
      </c>
      <c r="F2" s="178" t="str">
        <f>GetRcptPoint($AH$12,$AH$13)</f>
        <v>FGT/Zone 1</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106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543552.46008431935</v>
      </c>
      <c r="O4" s="352">
        <v>543387.32999999996</v>
      </c>
      <c r="P4" s="354">
        <f ca="1">N4-O4</f>
        <v>165.13008431938943</v>
      </c>
      <c r="S4" s="427" t="s">
        <v>635</v>
      </c>
      <c r="T4" s="422">
        <f ca="1">SUMPRODUCT(INDIRECT(CONCATENATE(V4,":",W4)),INDIRECT(CONCATENATE(AV2,":",AW2)),INDIRECT(CONCATENATE(AV3,":",AW3)))</f>
        <v>543551.3099225841</v>
      </c>
      <c r="V4" s="30" t="str">
        <f>ADDRESS(ROW(K22),COLUMN(K22))</f>
        <v>$K$22</v>
      </c>
      <c r="W4" s="30" t="str">
        <f ca="1">GetEnd($AV$1,V4)</f>
        <v>$K$89</v>
      </c>
      <c r="AF4" s="28"/>
      <c r="AG4" s="103" t="s">
        <v>32</v>
      </c>
      <c r="AH4" s="104">
        <f>GetRcptIndexCol($AH$12,$AH$13)</f>
        <v>107</v>
      </c>
      <c r="AI4" s="29"/>
      <c r="AJ4" s="103" t="s">
        <v>72</v>
      </c>
      <c r="AK4" s="104">
        <f>GetNymexCol(AK3)</f>
        <v>3</v>
      </c>
      <c r="AL4" s="34">
        <v>1</v>
      </c>
      <c r="AM4" s="45">
        <f t="shared" ref="AM4:AM15" si="0">GetVolume($AH$12,$AH$13,AT4)</f>
        <v>612</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381560.70286476216</v>
      </c>
      <c r="O5" s="352">
        <v>381444.08</v>
      </c>
      <c r="P5" s="355">
        <f ca="1">N5-O5</f>
        <v>116.62286476214649</v>
      </c>
      <c r="S5" s="428" t="s">
        <v>636</v>
      </c>
      <c r="T5" s="423">
        <f ca="1">SUMPRODUCT(INDIRECT(CONCATENATE(V5,":",W5)),INDIRECT(CONCATENATE(AV2,":",AW2)),INDIRECT(CONCATENATE(AV3,":",AW3)))</f>
        <v>1.1501617353742333</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612</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161991.75721955718</v>
      </c>
      <c r="O6" s="357">
        <v>161943.25</v>
      </c>
      <c r="P6" s="358">
        <f ca="1">N6-O6</f>
        <v>48.507219557184726</v>
      </c>
      <c r="S6" s="428" t="s">
        <v>637</v>
      </c>
      <c r="T6" s="424">
        <f ca="1">SUMPRODUCT(INDIRECT(CONCATENATE(V6,":",W6)),INDIRECT(CONCATENATE(AV3,":",AW3)),INDIRECT(CONCATENATE(AX3,":",AY3)))</f>
        <v>1016681.8621496458</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612</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1095.74</v>
      </c>
      <c r="P7" s="355">
        <f ca="1">N7</f>
        <v>0</v>
      </c>
      <c r="S7" s="428" t="s">
        <v>638</v>
      </c>
      <c r="T7" s="425">
        <f ca="1">T5/T6</f>
        <v>1.1312897162760051E-6</v>
      </c>
      <c r="AF7" s="28"/>
      <c r="AG7" s="103" t="s">
        <v>76</v>
      </c>
      <c r="AH7" s="104">
        <f>GetRcptOmicronCol($AH$12,$AH$13)</f>
        <v>17</v>
      </c>
      <c r="AI7" s="29"/>
      <c r="AJ7" s="103" t="s">
        <v>80</v>
      </c>
      <c r="AK7" s="104" t="str">
        <f>Configuration!$D$8</f>
        <v>Nymex Vol</v>
      </c>
      <c r="AL7" s="34">
        <v>4</v>
      </c>
      <c r="AM7" s="37">
        <f t="shared" si="0"/>
        <v>612</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5219.71</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612</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612</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0.68513447129694072</v>
      </c>
      <c r="L10" s="706" t="s">
        <v>628</v>
      </c>
      <c r="M10" s="707"/>
      <c r="N10" s="352">
        <f ca="1">-SUMPRODUCT(INDIRECT(CONCATENATE(AV10,":",AW10)),INDIRECT(CONCATENATE($AX$7,":",$AY$7)),INDIRECT(CONCATENATE($AV$3,":",$AW$3)))</f>
        <v>-92525.871720538969</v>
      </c>
      <c r="O10" s="352">
        <v>-92497.08</v>
      </c>
      <c r="P10" s="355">
        <f t="shared" ref="P10:P19" ca="1" si="10">N10-O10</f>
        <v>-28.791720538967638</v>
      </c>
      <c r="AF10" s="28"/>
      <c r="AG10" s="103" t="s">
        <v>142</v>
      </c>
      <c r="AH10" s="119" t="b">
        <f>GetGRIFactor($AH$12,$AH$13)</f>
        <v>1</v>
      </c>
      <c r="AI10" s="29"/>
      <c r="AJ10" s="29"/>
      <c r="AK10" s="29"/>
      <c r="AL10" s="34">
        <v>7</v>
      </c>
      <c r="AM10" s="37">
        <f t="shared" si="0"/>
        <v>612</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122116.23098856847</v>
      </c>
      <c r="L11" s="704" t="s">
        <v>629</v>
      </c>
      <c r="M11" s="705"/>
      <c r="N11" s="356">
        <f ca="1">-SUMPRODUCT(INDIRECT(CONCATENATE(AV11,":",AW11)),INDIRECT(CONCATENATE($AV$2,":",$AW$2)),INDIRECT(CONCATENATE($AV$3,":",$AW$3)),INDIRECT(CONCATENATE(AX3,":",AY3)))</f>
        <v>-39968.985599999964</v>
      </c>
      <c r="O11" s="357">
        <v>-39968.99</v>
      </c>
      <c r="P11" s="358">
        <f t="shared" ca="1" si="10"/>
        <v>4.400000034365803E-3</v>
      </c>
      <c r="AL11" s="34">
        <v>8</v>
      </c>
      <c r="AM11" s="37">
        <f t="shared" si="0"/>
        <v>612</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4264.0600000000004</v>
      </c>
      <c r="P12" s="355">
        <f t="shared" ca="1" si="10"/>
        <v>-4264.0600000000004</v>
      </c>
      <c r="AG12" s="248" t="s">
        <v>185</v>
      </c>
      <c r="AH12" s="119" t="str">
        <f>GetDBPage($D$2)</f>
        <v>Contract DB (East)</v>
      </c>
      <c r="AL12" s="34">
        <v>9</v>
      </c>
      <c r="AM12" s="37">
        <f t="shared" si="0"/>
        <v>612</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0.06</v>
      </c>
      <c r="P13" s="355">
        <f t="shared" ca="1" si="10"/>
        <v>-0.06</v>
      </c>
      <c r="AG13" s="248" t="s">
        <v>186</v>
      </c>
      <c r="AH13" s="119">
        <f>GetRecNdx($AH$12,$D$2)</f>
        <v>6</v>
      </c>
      <c r="AL13" s="34">
        <v>10</v>
      </c>
      <c r="AM13" s="37">
        <f t="shared" si="0"/>
        <v>612</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165.13771454292734</v>
      </c>
      <c r="O14" s="352">
        <v>53.63</v>
      </c>
      <c r="P14" s="355">
        <f t="shared" ca="1" si="10"/>
        <v>111.50771454292735</v>
      </c>
      <c r="S14" s="181">
        <f>F22/(1-AR22)*AH22*AU22</f>
        <v>19479.573209399437</v>
      </c>
      <c r="T14" s="181">
        <f>F22*AH22*AU22</f>
        <v>18943.884946140952</v>
      </c>
      <c r="AL14" s="34">
        <v>11</v>
      </c>
      <c r="AM14" s="37">
        <f t="shared" si="0"/>
        <v>612</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3.3090075859342372E-2</v>
      </c>
      <c r="O15" s="352">
        <v>0.05</v>
      </c>
      <c r="P15" s="355">
        <f t="shared" ca="1" si="10"/>
        <v>-1.6909924140657631E-2</v>
      </c>
      <c r="AL15" s="34">
        <v>12</v>
      </c>
      <c r="AM15" s="41">
        <f t="shared" si="0"/>
        <v>612</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-377.12</v>
      </c>
      <c r="P16" s="355">
        <f t="shared" ca="1" si="10"/>
        <v>377.12</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167.13551823142856</v>
      </c>
      <c r="O17" s="357">
        <v>54.24</v>
      </c>
      <c r="P17" s="358">
        <f t="shared" ca="1" si="10"/>
        <v>112.89551823142855</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543551.3099225841</v>
      </c>
      <c r="O18" s="352">
        <v>543385.84</v>
      </c>
      <c r="P18" s="355">
        <f t="shared" ca="1" si="10"/>
        <v>165.46992258413229</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1.1501617353742333</v>
      </c>
      <c r="O19" s="359">
        <v>1.49</v>
      </c>
      <c r="P19" s="360">
        <f t="shared" ca="1" si="10"/>
        <v>-0.33983826462576672</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IF-FGT/Z1 Basis Mid</v>
      </c>
      <c r="T20" s="182" t="str">
        <f>GetDelBasis($AH$12,$AH$13)</f>
        <v>IF-FGT/MKT Basis Mid</v>
      </c>
      <c r="U20" s="158"/>
      <c r="V20" s="158"/>
      <c r="W20" s="158"/>
      <c r="X20" s="158"/>
      <c r="Y20" s="335"/>
      <c r="Z20" s="335"/>
      <c r="AA20" s="335"/>
      <c r="AB20" s="335"/>
      <c r="AC20" s="335"/>
      <c r="AI20" s="138"/>
      <c r="AM20" s="702" t="str">
        <f>GetRcptPoint($AH$12,$AH$13)</f>
        <v>FGT/Zone 1</v>
      </c>
      <c r="AN20" s="703"/>
      <c r="AO20" s="702" t="str">
        <f>GetDelPoint($AH$12,$AH$13)</f>
        <v>FGT/MKT</v>
      </c>
      <c r="AP20" s="703"/>
      <c r="AQ20" s="137"/>
      <c r="AS20" s="137"/>
      <c r="AU20" s="136" t="s">
        <v>576</v>
      </c>
      <c r="AV20" s="353">
        <f ca="1">SUMPRODUCT(INDIRECT(CONCATENATE(AV8,":",AW8)),INDIRECT(CONCATENATE($AV$2,":",$AW$2)),INDIRECT(CONCATENATE($AV$3,":",$AW$3)),INDIRECT(CONCATENATE(AX3,":",AY3)))</f>
        <v>-59244.659999999974</v>
      </c>
      <c r="AW20" s="353">
        <f ca="1">SUMPRODUCT(INDIRECT(CONCATENATE(AX8,":",AY8)),INDIRECT(CONCATENATE($AV$2,":",$AW$2)),INDIRECT(CONCATENATE($AV$3,":",$AW$3)),INDIRECT(CONCATENATE(AX3,":",AY3)))</f>
        <v>702239.39999999991</v>
      </c>
      <c r="AX20" s="353">
        <f ca="1">SUMPRODUCT(INDIRECT(CONCATENATE(AV9,":",AW9)),INDIRECT(CONCATENATE($AV$2,":",$AW$2)),INDIRECT(CONCATENATE($AV$3,":",$AW$3)),INDIRECT(CONCATENATE(AX3,":",AY3)))</f>
        <v>8991.8099999999977</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3" si="12">VLOOKUP(AG22,$AL$4:$AS$15,2)</f>
        <v>612</v>
      </c>
      <c r="G22" s="28">
        <f t="shared" ref="G22:G85" si="13">F22*$AU22</f>
        <v>611.09306277874043</v>
      </c>
      <c r="H22" s="52">
        <f t="shared" ref="H22:H33" si="14">(AL22+AM22+AN22)/(1-(AR22))</f>
        <v>2.8673521850899744</v>
      </c>
      <c r="I22" s="52">
        <f t="shared" ref="I22:I33" si="15">(AL22+AO22+AP22)</f>
        <v>3.1960000000000002</v>
      </c>
      <c r="K22" s="52">
        <f t="shared" ref="K22:K33" si="16">MAX(((I22-H22)-AQ22)*AU22*AH22,0)</f>
        <v>8.9843483848436989</v>
      </c>
      <c r="L22" s="135">
        <f t="shared" ref="L22:L33" si="17">MAX(Q22-K22,0)</f>
        <v>2.7311681360941975E-5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8.9843756965250599</v>
      </c>
      <c r="R22" s="135"/>
      <c r="S22" s="181">
        <f>_xll.xSPRDOPT(I22,H22,AQ22,AT22,O22,N22,P22,D22-$G$5,1,2)*AF22*(F22/(1-AR22))*AH22</f>
        <v>-19478.432646745645</v>
      </c>
      <c r="T22" s="181">
        <f>_xll.xSPRDOPT(I22,H22,AQ22,AT22,O22,N22,P22,D22-$G$5,1,1)*AF22*F22*AH22</f>
        <v>18942.867590954334</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0.79056339818027743</v>
      </c>
      <c r="AA22" s="338">
        <f t="shared" ref="AA22:AA85" si="22">(($BK22*$BE22)+($BJ22*$BD22))*$F22*$AH22*$AF22</f>
        <v>9.1486998819622131E-3</v>
      </c>
      <c r="AB22" s="338">
        <f t="shared" ref="AB22:AB33" si="23">BN22*(AT22-CA22)*F22*AH22</f>
        <v>0</v>
      </c>
      <c r="AC22" s="338">
        <f t="shared" ref="AC22:AC33" si="24">BO22*CB22*F22*AH22*CA22*($G$5-$BV$5)/365.25</f>
        <v>0.84737933157723599</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-0.06</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2.7885</v>
      </c>
      <c r="AT22" s="137">
        <f t="shared" ref="AT22:AT33" si="37">VLOOKUP(D22,CurveTbl,$AK$6)</f>
        <v>1.8765908157160699E-2</v>
      </c>
      <c r="AU22" s="137">
        <f t="shared" ref="AU22:AU85" si="38">(1+$AT22/2)^(-2*($D22-$G$5)/365.25)*$AF22</f>
        <v>0.99851807643585033</v>
      </c>
      <c r="AV22" s="394">
        <f t="shared" ref="AV22:AV33" si="39">ROUND((F22/(1-AR22))-F22,0)*AF22*AH22*AU22</f>
        <v>526.21902628169312</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9.7439034297126335E-3</v>
      </c>
      <c r="BG22" s="137">
        <f>_xll.xSPRDOPT($BW22,$BV22,$CG22,0,$BY22,$BX22,$BZ22,$AJ22,1,3)*$CB22</f>
        <v>8.0795815082602227E-3</v>
      </c>
      <c r="BH22" s="137">
        <f>IF(OR(BF22&lt;&gt;0,BG22&lt;&gt;0),_xll.xSPRDOPT($BW22,$BV22,$CG22,0,$BY22,$BX22,$BZ22,$AJ22,1,12)*$CB22,0)</f>
        <v>-8.8735816532427136E-3</v>
      </c>
      <c r="BI22" s="137">
        <f>_xll.xSPRDOPT($BW22,$BV22,$CG22,2*LN(1+CA22/2),$BY22,$BX22,$BZ22,$AJ22,1,9)</f>
        <v>5.0733235150985023E-3</v>
      </c>
      <c r="BJ22" s="137">
        <f>_xll.xSPRDOPT($BW22,$BV22,$CG22,0,$BY22,$BX22,$BZ22,$AJ22,1,6)*$CB22</f>
        <v>-6.9529826622274012E-5</v>
      </c>
      <c r="BK22" s="137">
        <f>_xll.xSPRDOPT($BW22,$BV22,$CG22,0,$BY22,$BX22,$BZ22,$AJ22,1,5)*$CB22</f>
        <v>1.3194345272469802E-4</v>
      </c>
      <c r="BL22" s="137">
        <f>_xll.xSPRDOPT(BW22,BV22,CG22,0,BY22,BX22,BZ22,AJ22,1,2)*CB22</f>
        <v>-0.99816408253027766</v>
      </c>
      <c r="BM22" s="137">
        <f>_xll.xSPRDOPT(BW22,BV22,CG22,0,BY22,BX22,BZ22,AJ22,1,1)*CB22</f>
        <v>0.9981832137987523</v>
      </c>
      <c r="BN22" s="137">
        <f>IF(AH22&lt;&gt;0,_xll.xSPRDOPT($BW22,$BV22,$CG22,2*LN(1+CA22/2),$BY22,$BX22,$BZ22,$AJ22,1,8)+(AJ22/365.25)*CH22/AH22,0)</f>
        <v>7.4389988985796435E-3</v>
      </c>
      <c r="BO22" s="137">
        <f>_xll.xSPRDOPT($BW22,$BV22,$CG22,0,$BY22,$BX22,$BZ22,$AJ22,1,0)</f>
        <v>0.29025173917151376</v>
      </c>
      <c r="BP22" s="137"/>
      <c r="BQ22" s="137"/>
      <c r="BR22" s="137"/>
      <c r="BS22" s="137"/>
      <c r="BV22" s="262">
        <v>2.8673521850899744</v>
      </c>
      <c r="BW22" s="136">
        <v>3.1960000000000002</v>
      </c>
      <c r="BX22" s="137">
        <v>0.95243599698783388</v>
      </c>
      <c r="BY22" s="137">
        <v>0.95243599698783388</v>
      </c>
      <c r="BZ22" s="137">
        <v>0.99551673302839838</v>
      </c>
      <c r="CA22" s="137">
        <v>1.8765908157160699E-2</v>
      </c>
      <c r="CB22" s="137">
        <v>0.99836489939579565</v>
      </c>
      <c r="CC22" s="258">
        <v>-0.06</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33" si="47">D22+AH22</f>
        <v>37302</v>
      </c>
      <c r="F23" s="28">
        <f t="shared" si="12"/>
        <v>612</v>
      </c>
      <c r="G23" s="28">
        <f t="shared" si="13"/>
        <v>610.0694421367167</v>
      </c>
      <c r="H23" s="52">
        <f t="shared" si="14"/>
        <v>2.9311053984575834</v>
      </c>
      <c r="I23" s="52">
        <f t="shared" si="15"/>
        <v>3.258</v>
      </c>
      <c r="K23" s="52">
        <f t="shared" si="16"/>
        <v>8.0523672180199686</v>
      </c>
      <c r="L23" s="135">
        <f t="shared" si="17"/>
        <v>1.0416471659908666E-3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8.0534088651859594</v>
      </c>
      <c r="R23" s="135"/>
      <c r="S23" s="181">
        <f>_xll.xSPRDOPT(I23,H23,AQ23,AT23,O23,N23,P23,D23-$G$5,1,2)*AF23*(F23/(1-AR23))*AH23</f>
        <v>-17539.575134280552</v>
      </c>
      <c r="T23" s="181">
        <f>_xll.xSPRDOPT(I23,H23,AQ23,AT23,O23,N23,P23,D23-$G$5,1,1)*AF23*F23*AH23</f>
        <v>17059.539126180196</v>
      </c>
      <c r="U23" s="135"/>
      <c r="V23" s="146">
        <f t="shared" si="18"/>
        <v>10.475251185865154</v>
      </c>
      <c r="W23" s="146"/>
      <c r="X23" s="338">
        <f t="shared" si="19"/>
        <v>0</v>
      </c>
      <c r="Y23" s="338">
        <f t="shared" si="20"/>
        <v>0</v>
      </c>
      <c r="Z23" s="338">
        <f t="shared" si="21"/>
        <v>0.54008975887114785</v>
      </c>
      <c r="AA23" s="338">
        <f t="shared" si="22"/>
        <v>2.2530002416650537E-2</v>
      </c>
      <c r="AB23" s="338">
        <f t="shared" si="23"/>
        <v>0</v>
      </c>
      <c r="AC23" s="338">
        <f t="shared" si="24"/>
        <v>0.78228244092938282</v>
      </c>
      <c r="AF23" s="138">
        <f t="shared" si="25"/>
        <v>1</v>
      </c>
      <c r="AG23" s="138">
        <f t="shared" si="26"/>
        <v>2</v>
      </c>
      <c r="AH23" s="138">
        <f t="shared" si="27"/>
        <v>28</v>
      </c>
      <c r="AI23" s="138">
        <f t="shared" ref="AI23:AI33" si="51">AI22+AH22</f>
        <v>46</v>
      </c>
      <c r="AJ23" s="138">
        <f t="shared" si="28"/>
        <v>63</v>
      </c>
      <c r="AL23" s="136">
        <f t="shared" si="29"/>
        <v>2.9079999999999999</v>
      </c>
      <c r="AM23" s="258">
        <f t="shared" si="30"/>
        <v>-0.06</v>
      </c>
      <c r="AN23" s="258">
        <f t="shared" si="31"/>
        <v>2.5000000000000001E-3</v>
      </c>
      <c r="AO23" s="258">
        <f t="shared" si="32"/>
        <v>0.35</v>
      </c>
      <c r="AP23" s="258">
        <f t="shared" si="33"/>
        <v>0</v>
      </c>
      <c r="AQ23" s="136">
        <f t="shared" si="34"/>
        <v>3.8399999999999997E-2</v>
      </c>
      <c r="AR23" s="137">
        <f t="shared" si="35"/>
        <v>2.75E-2</v>
      </c>
      <c r="AS23" s="136">
        <f t="shared" si="36"/>
        <v>2.8504999999999998</v>
      </c>
      <c r="AT23" s="137">
        <f t="shared" si="37"/>
        <v>1.9326187282006298E-2</v>
      </c>
      <c r="AU23" s="137">
        <f t="shared" si="38"/>
        <v>0.99684549368744568</v>
      </c>
      <c r="AV23" s="394">
        <f t="shared" si="39"/>
        <v>474.49845499522417</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6.4275211632458765E-2</v>
      </c>
      <c r="BG23" s="137">
        <f>_xll.xSPRDOPT($BW23,$BV23,$CG23,0,$BY23,$BX23,$BZ23,$AJ23,1,3)*$CB23</f>
        <v>5.3629018281738154E-2</v>
      </c>
      <c r="BH23" s="137">
        <f>IF(OR(BF23&lt;&gt;0,BG23&lt;&gt;0),_xll.xSPRDOPT($BW23,$BV23,$CG23,0,$BY23,$BX23,$BZ23,$AJ23,1,12)*$CB23,0)</f>
        <v>-5.8709717383872269E-2</v>
      </c>
      <c r="BI23" s="137">
        <f>_xll.xSPRDOPT($BW23,$BV23,$CG23,2*LN(1+CA23/2),$BY23,$BX23,$BZ23,$AJ23,1,9)</f>
        <v>3.837297393940375E-3</v>
      </c>
      <c r="BJ23" s="137">
        <f>_xll.xSPRDOPT($BW23,$BV23,$CG23,0,$BY23,$BX23,$BZ23,$AJ23,1,6)*$CB23</f>
        <v>-1.0101066955961063E-3</v>
      </c>
      <c r="BK23" s="137">
        <f>_xll.xSPRDOPT($BW23,$BV23,$CG23,0,$BY23,$BX23,$BZ23,$AJ23,1,5)*$CB23</f>
        <v>1.6545680254242904E-3</v>
      </c>
      <c r="BL23" s="137">
        <f>_xll.xSPRDOPT(BW23,BV23,CG23,0,BY23,BX23,BZ23,AJ23,1,2)*CB23</f>
        <v>-0.99476375525961169</v>
      </c>
      <c r="BM23" s="137">
        <f>_xll.xSPRDOPT(BW23,BV23,CG23,0,BY23,BX23,BZ23,AJ23,1,1)*CB23</f>
        <v>0.99494593225415062</v>
      </c>
      <c r="BN23" s="137">
        <f>IF(AH23&lt;&gt;0,_xll.xSPRDOPT($BW23,$BV23,$CG23,2*LN(1+CA23/2),$BY23,$BX23,$BZ23,$AJ23,1,8)+(AJ23/365.25)*CH23/AH23,0)</f>
        <v>1.4913870942863547E-2</v>
      </c>
      <c r="BO23" s="137">
        <f>_xll.xSPRDOPT($BW23,$BV23,$CG23,0,$BY23,$BX23,$BZ23,$AJ23,1,0)</f>
        <v>0.28854773684142238</v>
      </c>
      <c r="BP23" s="137"/>
      <c r="BQ23" s="137"/>
      <c r="BR23" s="137"/>
      <c r="BS23" s="137"/>
      <c r="BV23" s="262">
        <v>2.9311053984575834</v>
      </c>
      <c r="BW23" s="136">
        <v>3.258</v>
      </c>
      <c r="BX23" s="137">
        <v>0.90681218195022806</v>
      </c>
      <c r="BY23" s="137">
        <v>0.90681218195022806</v>
      </c>
      <c r="BZ23" s="137">
        <v>0.99646146856241391</v>
      </c>
      <c r="CA23" s="137">
        <v>1.9326187282006298E-2</v>
      </c>
      <c r="CB23" s="137">
        <v>0.99668802984454063</v>
      </c>
      <c r="CC23" s="258">
        <v>-0.06</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612</v>
      </c>
      <c r="G24" s="28">
        <f t="shared" si="13"/>
        <v>609.17830656216097</v>
      </c>
      <c r="H24" s="52">
        <f t="shared" si="14"/>
        <v>2.9249357326478149</v>
      </c>
      <c r="I24" s="52">
        <f t="shared" si="15"/>
        <v>3.302</v>
      </c>
      <c r="K24" s="52">
        <f t="shared" si="16"/>
        <v>10.450187371307667</v>
      </c>
      <c r="L24" s="135">
        <f t="shared" si="17"/>
        <v>7.4022822680319678E-6</v>
      </c>
      <c r="N24" s="131">
        <f t="shared" si="48"/>
        <v>0.79</v>
      </c>
      <c r="O24" s="131">
        <f t="shared" si="49"/>
        <v>0.79</v>
      </c>
      <c r="P24" s="55">
        <f t="shared" si="50"/>
        <v>0.99793296089385497</v>
      </c>
      <c r="Q24" s="135">
        <f>_xll.xSPRDOPT(I24,H24,AQ24,0,O24,N24,P24,D24-$G$5,1,0)*AH24*AU24</f>
        <v>10.450194773589935</v>
      </c>
      <c r="R24" s="135"/>
      <c r="S24" s="181">
        <f>_xll.xSPRDOPT(I24,H24,AQ24,AT24,O24,N24,P24,D24-$G$5,1,2)*AF24*(F24/(1-AR24))*AH24</f>
        <v>-19417.875601396016</v>
      </c>
      <c r="T24" s="181">
        <f>_xll.xSPRDOPT(I24,H24,AQ24,AT24,O24,N24,P24,D24-$G$5,1,1)*AF24*F24*AH24</f>
        <v>18883.906106210743</v>
      </c>
      <c r="U24" s="135"/>
      <c r="V24" s="146">
        <f t="shared" si="18"/>
        <v>11.580658777836847</v>
      </c>
      <c r="W24" s="146"/>
      <c r="X24" s="338">
        <f t="shared" si="19"/>
        <v>0</v>
      </c>
      <c r="Y24" s="338">
        <f t="shared" si="20"/>
        <v>0</v>
      </c>
      <c r="Z24" s="338">
        <f t="shared" si="21"/>
        <v>1.0055314169600689</v>
      </c>
      <c r="AA24" s="338">
        <f t="shared" si="22"/>
        <v>0</v>
      </c>
      <c r="AB24" s="338">
        <f t="shared" si="23"/>
        <v>0</v>
      </c>
      <c r="AC24" s="338">
        <f t="shared" si="24"/>
        <v>1.0122593997328939</v>
      </c>
      <c r="AF24" s="138">
        <f t="shared" si="25"/>
        <v>1</v>
      </c>
      <c r="AG24" s="138">
        <f t="shared" si="26"/>
        <v>3</v>
      </c>
      <c r="AH24" s="138">
        <f t="shared" si="27"/>
        <v>31</v>
      </c>
      <c r="AI24" s="138">
        <f t="shared" si="51"/>
        <v>74</v>
      </c>
      <c r="AJ24" s="138">
        <f t="shared" si="28"/>
        <v>91</v>
      </c>
      <c r="AL24" s="136">
        <f t="shared" si="29"/>
        <v>2.9020000000000001</v>
      </c>
      <c r="AM24" s="258">
        <f t="shared" si="30"/>
        <v>-0.06</v>
      </c>
      <c r="AN24" s="258">
        <f t="shared" si="31"/>
        <v>2.5000000000000001E-3</v>
      </c>
      <c r="AO24" s="258">
        <f t="shared" si="32"/>
        <v>0.4</v>
      </c>
      <c r="AP24" s="258">
        <f t="shared" si="33"/>
        <v>0</v>
      </c>
      <c r="AQ24" s="136">
        <f t="shared" si="34"/>
        <v>3.8399999999999997E-2</v>
      </c>
      <c r="AR24" s="137">
        <f t="shared" si="35"/>
        <v>2.75E-2</v>
      </c>
      <c r="AS24" s="136">
        <f t="shared" si="36"/>
        <v>2.8445</v>
      </c>
      <c r="AT24" s="137">
        <f t="shared" si="37"/>
        <v>1.9273175363903501E-2</v>
      </c>
      <c r="AU24" s="137">
        <f t="shared" si="38"/>
        <v>0.99538938980745262</v>
      </c>
      <c r="AV24" s="394">
        <f t="shared" si="39"/>
        <v>524.57020842852751</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9.4602034166160558E-4</v>
      </c>
      <c r="BG24" s="137">
        <f>_xll.xSPRDOPT($BW24,$BV24,$CG24,0,$BY24,$BX24,$BZ24,$AJ24,1,3)*$CB24</f>
        <v>7.7348907709017271E-4</v>
      </c>
      <c r="BH24" s="137">
        <f>IF(OR(BF24&lt;&gt;0,BG24&lt;&gt;0),_xll.xSPRDOPT($BW24,$BV24,$CG24,0,$BY24,$BX24,$BZ24,$AJ24,1,12)*$CB24,0)</f>
        <v>-8.5562341769406989E-4</v>
      </c>
      <c r="BI24" s="137">
        <f>_xll.xSPRDOPT($BW24,$BV24,$CG24,2*LN(1+CA24/2),$BY24,$BX24,$BZ24,$AJ24,1,9)</f>
        <v>6.4528489360577901E-3</v>
      </c>
      <c r="BJ24" s="137">
        <f>_xll.xSPRDOPT($BW24,$BV24,$CG24,0,$BY24,$BX24,$BZ24,$AJ24,1,6)*$CB24</f>
        <v>-2.956949340215067E-5</v>
      </c>
      <c r="BK24" s="137">
        <f>_xll.xSPRDOPT($BW24,$BV24,$CG24,0,$BY24,$BX24,$BZ24,$AJ24,1,5)*$CB24</f>
        <v>3.7186245493687722E-5</v>
      </c>
      <c r="BL24" s="137">
        <f>_xll.xSPRDOPT(BW24,BV24,CG24,0,BY24,BX24,BZ24,AJ24,1,2)*CB24</f>
        <v>-0.9952154915110093</v>
      </c>
      <c r="BM24" s="137">
        <f>_xll.xSPRDOPT(BW24,BV24,CG24,0,BY24,BX24,BZ24,AJ24,1,1)*CB24</f>
        <v>0.9952171887793011</v>
      </c>
      <c r="BN24" s="137">
        <f>IF(AH24&lt;&gt;0,_xll.xSPRDOPT($BW24,$BV24,$CG24,2*LN(1+CA24/2),$BY24,$BX24,$BZ24,$AJ24,1,8)+(AJ24/365.25)*CH24/AH24,0)</f>
        <v>9.0839891513130461E-3</v>
      </c>
      <c r="BO24" s="137">
        <f>_xll.xSPRDOPT($BW24,$BV24,$CG24,0,$BY24,$BX24,$BZ24,$AJ24,1,0)</f>
        <v>0.33866460720918179</v>
      </c>
      <c r="BP24" s="137"/>
      <c r="BQ24" s="137"/>
      <c r="BR24" s="137"/>
      <c r="BS24" s="137"/>
      <c r="BV24" s="262">
        <v>2.9249357326478149</v>
      </c>
      <c r="BW24" s="136">
        <v>3.302</v>
      </c>
      <c r="BX24" s="137">
        <v>0.79</v>
      </c>
      <c r="BY24" s="137">
        <v>0.79</v>
      </c>
      <c r="BZ24" s="137">
        <v>0.99791891891891904</v>
      </c>
      <c r="CA24" s="137">
        <v>1.9273175363903501E-2</v>
      </c>
      <c r="CB24" s="137">
        <v>0.99523258517239033</v>
      </c>
      <c r="CC24" s="258">
        <v>-0.06</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612</v>
      </c>
      <c r="G25" s="28">
        <f t="shared" si="13"/>
        <v>608.15807074775682</v>
      </c>
      <c r="H25" s="52">
        <f t="shared" si="14"/>
        <v>2.8745501285347039</v>
      </c>
      <c r="I25" s="52">
        <f t="shared" si="15"/>
        <v>3.448</v>
      </c>
      <c r="K25" s="52">
        <f t="shared" si="16"/>
        <v>15.950730273733809</v>
      </c>
      <c r="L25" s="135">
        <f t="shared" si="17"/>
        <v>1.8883942836112055E-6</v>
      </c>
      <c r="N25" s="131">
        <f t="shared" si="48"/>
        <v>0.60058305004387191</v>
      </c>
      <c r="O25" s="131">
        <f t="shared" si="49"/>
        <v>0.60058305004387191</v>
      </c>
      <c r="P25" s="55">
        <f t="shared" si="50"/>
        <v>1</v>
      </c>
      <c r="Q25" s="135">
        <f>_xll.xSPRDOPT(I25,H25,AQ25,0,O25,N25,P25,D25-$G$5,1,0)*AH25*AU25</f>
        <v>15.950732162128093</v>
      </c>
      <c r="R25" s="135"/>
      <c r="S25" s="181">
        <f>_xll.xSPRDOPT(I25,H25,AQ25,AT25,O25,N25,P25,D25-$G$5,1,2)*AF25*(F25/(1-AR25))*AH25</f>
        <v>-18760.089781274626</v>
      </c>
      <c r="T25" s="181">
        <f>_xll.xSPRDOPT(I25,H25,AQ25,AT25,O25,N25,P25,D25-$G$5,1,1)*AF25*F25*AH25</f>
        <v>18244.187312489958</v>
      </c>
      <c r="U25" s="135"/>
      <c r="V25" s="146">
        <f t="shared" si="18"/>
        <v>11.188319801550644</v>
      </c>
      <c r="W25" s="146"/>
      <c r="X25" s="338">
        <f t="shared" si="19"/>
        <v>0</v>
      </c>
      <c r="Y25" s="338">
        <f t="shared" si="20"/>
        <v>0</v>
      </c>
      <c r="Z25" s="338">
        <f t="shared" si="21"/>
        <v>1.5495406039019055</v>
      </c>
      <c r="AA25" s="338">
        <f t="shared" si="22"/>
        <v>9.7680643155792522E-8</v>
      </c>
      <c r="AB25" s="338">
        <f t="shared" si="23"/>
        <v>0</v>
      </c>
      <c r="AC25" s="338">
        <f t="shared" si="24"/>
        <v>1.5570493935305727</v>
      </c>
      <c r="AF25" s="138">
        <f t="shared" si="25"/>
        <v>1</v>
      </c>
      <c r="AG25" s="138">
        <f t="shared" si="26"/>
        <v>4</v>
      </c>
      <c r="AH25" s="138">
        <f t="shared" si="27"/>
        <v>30</v>
      </c>
      <c r="AI25" s="138">
        <f t="shared" si="51"/>
        <v>105</v>
      </c>
      <c r="AJ25" s="138">
        <f t="shared" si="28"/>
        <v>122</v>
      </c>
      <c r="AL25" s="136">
        <f t="shared" si="29"/>
        <v>2.8479999999999999</v>
      </c>
      <c r="AM25" s="258">
        <f t="shared" si="30"/>
        <v>-5.7500000000000002E-2</v>
      </c>
      <c r="AN25" s="258">
        <f t="shared" si="31"/>
        <v>5.0000000000000001E-3</v>
      </c>
      <c r="AO25" s="258">
        <f t="shared" si="32"/>
        <v>0.6</v>
      </c>
      <c r="AP25" s="258">
        <f t="shared" si="33"/>
        <v>0</v>
      </c>
      <c r="AQ25" s="136">
        <f t="shared" si="34"/>
        <v>3.8399999999999997E-2</v>
      </c>
      <c r="AR25" s="137">
        <f t="shared" si="35"/>
        <v>2.75E-2</v>
      </c>
      <c r="AS25" s="136">
        <f t="shared" si="36"/>
        <v>2.7954999999999997</v>
      </c>
      <c r="AT25" s="137">
        <f t="shared" si="37"/>
        <v>1.9422640119623601E-2</v>
      </c>
      <c r="AU25" s="137">
        <f t="shared" si="38"/>
        <v>0.99372233782313213</v>
      </c>
      <c r="AV25" s="394">
        <f t="shared" si="39"/>
        <v>506.79839228979739</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-9.4753702902792223E-7</v>
      </c>
      <c r="BG25" s="137">
        <f>_xll.xSPRDOPT($BW25,$BV25,$CG25,0,$BY25,$BX25,$BZ25,$AJ25,1,3)*$CB25</f>
        <v>-2.3688425725698056E-7</v>
      </c>
      <c r="BH25" s="137">
        <f>IF(OR(BF25&lt;&gt;0,BG25&lt;&gt;0),_xll.xSPRDOPT($BW25,$BV25,$CG25,0,$BY25,$BX25,$BZ25,$AJ25,1,12)*$CB25,0)</f>
        <v>2.3688425725698056E-7</v>
      </c>
      <c r="BI25" s="137">
        <f>_xll.xSPRDOPT($BW25,$BV25,$CG25,2*LN(1+CA25/2),$BY25,$BX25,$BZ25,$AJ25,1,9)</f>
        <v>1.0275412229033607E-2</v>
      </c>
      <c r="BJ25" s="137">
        <f>_xll.xSPRDOPT($BW25,$BV25,$CG25,0,$BY25,$BX25,$BZ25,$AJ25,1,6)*$CB25</f>
        <v>1.1526129261907069E-7</v>
      </c>
      <c r="BK25" s="137">
        <f>_xll.xSPRDOPT($BW25,$BV25,$CG25,0,$BY25,$BX25,$BZ25,$AJ25,1,5)*$CB25</f>
        <v>-1.3824931316132961E-7</v>
      </c>
      <c r="BL25" s="137">
        <f>_xll.xSPRDOPT(BW25,BV25,CG25,0,BY25,BX25,BZ25,AJ25,1,2)*CB25</f>
        <v>-0.99356470591740409</v>
      </c>
      <c r="BM25" s="137">
        <f>_xll.xSPRDOPT(BW25,BV25,CG25,0,BY25,BX25,BZ25,AJ25,1,1)*CB25</f>
        <v>0.99356470592282597</v>
      </c>
      <c r="BN25" s="137">
        <f>IF(AH25&lt;&gt;0,_xll.xSPRDOPT($BW25,$BV25,$CG25,2*LN(1+CA25/2),$BY25,$BX25,$BZ25,$AJ25,1,8)+(AJ25/365.25)*CH25/AH25,0)</f>
        <v>-5.3015931853598139E-2</v>
      </c>
      <c r="BO25" s="137">
        <f>_xll.xSPRDOPT($BW25,$BV25,$CG25,0,$BY25,$BX25,$BZ25,$AJ25,1,0)</f>
        <v>0.53504993463321859</v>
      </c>
      <c r="BP25" s="137"/>
      <c r="BQ25" s="137"/>
      <c r="BR25" s="137"/>
      <c r="BS25" s="137"/>
      <c r="BV25" s="262">
        <v>2.8745501285347039</v>
      </c>
      <c r="BW25" s="136">
        <v>3.448</v>
      </c>
      <c r="BX25" s="137">
        <v>0.60081448782505886</v>
      </c>
      <c r="BY25" s="137">
        <v>0.60081448782505886</v>
      </c>
      <c r="BZ25" s="137">
        <v>1</v>
      </c>
      <c r="CA25" s="137">
        <v>1.9422640119623601E-2</v>
      </c>
      <c r="CB25" s="137">
        <v>0.99356458774998258</v>
      </c>
      <c r="CC25" s="258">
        <v>-5.7500000000000002E-2</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612</v>
      </c>
      <c r="G26" s="28">
        <f t="shared" si="13"/>
        <v>607.12231517177258</v>
      </c>
      <c r="H26" s="52">
        <f t="shared" si="14"/>
        <v>2.923907455012853</v>
      </c>
      <c r="I26" s="52">
        <f t="shared" si="15"/>
        <v>3.6459999999999999</v>
      </c>
      <c r="K26" s="52">
        <f t="shared" si="16"/>
        <v>21.025547425043492</v>
      </c>
      <c r="L26" s="135">
        <f t="shared" si="17"/>
        <v>2.4514652032792128E-6</v>
      </c>
      <c r="N26" s="131">
        <f t="shared" si="48"/>
        <v>0.57775797476853397</v>
      </c>
      <c r="O26" s="131">
        <f t="shared" si="49"/>
        <v>0.57775797476853397</v>
      </c>
      <c r="P26" s="55">
        <f t="shared" si="50"/>
        <v>0.99999999999999989</v>
      </c>
      <c r="Q26" s="135">
        <f>_xll.xSPRDOPT(I26,H26,AQ26,0,O26,N26,P26,D26-$G$5,1,0)*AH26*AU26</f>
        <v>21.025549876508695</v>
      </c>
      <c r="R26" s="135"/>
      <c r="S26" s="181">
        <f>_xll.xSPRDOPT(I26,H26,AQ26,AT26,O26,N26,P26,D26-$G$5,1,2)*AF26*(F26/(1-AR26))*AH26</f>
        <v>-19352.239613411439</v>
      </c>
      <c r="T26" s="181">
        <f>_xll.xSPRDOPT(I26,H26,AQ26,AT26,O26,N26,P26,D26-$G$5,1,1)*AF26*F26*AH26</f>
        <v>18820.053024215173</v>
      </c>
      <c r="U26" s="135"/>
      <c r="V26" s="146">
        <f t="shared" si="18"/>
        <v>11.541573776802213</v>
      </c>
      <c r="W26" s="146"/>
      <c r="X26" s="338">
        <f t="shared" si="19"/>
        <v>0</v>
      </c>
      <c r="Y26" s="338">
        <f t="shared" si="20"/>
        <v>0</v>
      </c>
      <c r="Z26" s="338">
        <f t="shared" si="21"/>
        <v>2.0728284019033731</v>
      </c>
      <c r="AA26" s="338">
        <f t="shared" si="22"/>
        <v>-3.3076229391333303E-9</v>
      </c>
      <c r="AB26" s="338">
        <f t="shared" si="23"/>
        <v>0</v>
      </c>
      <c r="AC26" s="338">
        <f t="shared" si="24"/>
        <v>2.0830229268872098</v>
      </c>
      <c r="AF26" s="138">
        <f t="shared" si="25"/>
        <v>1</v>
      </c>
      <c r="AG26" s="138">
        <f t="shared" si="26"/>
        <v>5</v>
      </c>
      <c r="AH26" s="138">
        <f t="shared" si="27"/>
        <v>31</v>
      </c>
      <c r="AI26" s="138">
        <f t="shared" si="51"/>
        <v>135</v>
      </c>
      <c r="AJ26" s="138">
        <f t="shared" si="28"/>
        <v>152</v>
      </c>
      <c r="AL26" s="136">
        <f t="shared" si="29"/>
        <v>2.8959999999999999</v>
      </c>
      <c r="AM26" s="258">
        <f t="shared" si="30"/>
        <v>-5.7500000000000002E-2</v>
      </c>
      <c r="AN26" s="258">
        <f t="shared" si="31"/>
        <v>5.0000000000000001E-3</v>
      </c>
      <c r="AO26" s="258">
        <f t="shared" si="32"/>
        <v>0.75</v>
      </c>
      <c r="AP26" s="258">
        <f t="shared" si="33"/>
        <v>0</v>
      </c>
      <c r="AQ26" s="136">
        <f t="shared" si="34"/>
        <v>3.8399999999999997E-2</v>
      </c>
      <c r="AR26" s="137">
        <f t="shared" si="35"/>
        <v>2.75E-2</v>
      </c>
      <c r="AS26" s="136">
        <f t="shared" si="36"/>
        <v>2.8434999999999997</v>
      </c>
      <c r="AT26" s="137">
        <f t="shared" si="37"/>
        <v>1.9712159578257001E-2</v>
      </c>
      <c r="AU26" s="137">
        <f t="shared" si="38"/>
        <v>0.99202992675126245</v>
      </c>
      <c r="AV26" s="394">
        <f t="shared" si="39"/>
        <v>522.79977139791526</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9.4592104868141993E-7</v>
      </c>
      <c r="BG26" s="137">
        <f>_xll.xSPRDOPT($BW26,$BV26,$CG26,0,$BY26,$BX26,$BZ26,$AJ26,1,3)*$CB26</f>
        <v>1.1824013108517748E-6</v>
      </c>
      <c r="BH26" s="137">
        <f>IF(OR(BF26&lt;&gt;0,BG26&lt;&gt;0),_xll.xSPRDOPT($BW26,$BV26,$CG26,0,$BY26,$BX26,$BZ26,$AJ26,1,12)*$CB26,0)</f>
        <v>-1.4188815730221298E-6</v>
      </c>
      <c r="BI26" s="137">
        <f>_xll.xSPRDOPT($BW26,$BV26,$CG26,2*LN(1+CA26/2),$BY26,$BX26,$BZ26,$AJ26,1,9)</f>
        <v>1.3302069256363888E-2</v>
      </c>
      <c r="BJ26" s="137">
        <f>_xll.xSPRDOPT($BW26,$BV26,$CG26,0,$BY26,$BX26,$BZ26,$AJ26,1,6)*$CB26</f>
        <v>1.3999744496620837E-7</v>
      </c>
      <c r="BK26" s="137">
        <f>_xll.xSPRDOPT($BW26,$BV26,$CG26,0,$BY26,$BX26,$BZ26,$AJ26,1,5)*$CB26</f>
        <v>-1.7458404308057882E-7</v>
      </c>
      <c r="BL26" s="137">
        <f>_xll.xSPRDOPT(BW26,BV26,CG26,0,BY26,BX26,BZ26,AJ26,1,2)*CB26</f>
        <v>-0.99187022568040528</v>
      </c>
      <c r="BM26" s="137">
        <f>_xll.xSPRDOPT(BW26,BV26,CG26,0,BY26,BX26,BZ26,AJ26,1,1)*CB26</f>
        <v>0.99187022569303462</v>
      </c>
      <c r="BN26" s="137">
        <f>IF(AH26&lt;&gt;0,_xll.xSPRDOPT($BW26,$BV26,$CG26,2*LN(1+CA26/2),$BY26,$BX26,$BZ26,$AJ26,1,8)+(AJ26/365.25)*CH26/AH26,0)</f>
        <v>-0.12729523556392686</v>
      </c>
      <c r="BO26" s="137">
        <f>_xll.xSPRDOPT($BW26,$BV26,$CG26,0,$BY26,$BX26,$BZ26,$AJ26,1,0)</f>
        <v>0.68369262450340162</v>
      </c>
      <c r="BP26" s="137"/>
      <c r="BQ26" s="137"/>
      <c r="BR26" s="137"/>
      <c r="BS26" s="137"/>
      <c r="BV26" s="262">
        <v>2.923907455012853</v>
      </c>
      <c r="BW26" s="136">
        <v>3.6459999999999999</v>
      </c>
      <c r="BX26" s="137">
        <v>0.5777529340200096</v>
      </c>
      <c r="BY26" s="137">
        <v>0.5777529340200096</v>
      </c>
      <c r="BZ26" s="137">
        <v>1</v>
      </c>
      <c r="CA26" s="137">
        <v>1.9712159578257001E-2</v>
      </c>
      <c r="CB26" s="137">
        <v>0.99187010954216859</v>
      </c>
      <c r="CC26" s="258">
        <v>-5.7500000000000002E-2</v>
      </c>
      <c r="CD26" s="258">
        <v>5.0000000000000001E-3</v>
      </c>
      <c r="CE26" s="258">
        <v>0.75</v>
      </c>
      <c r="CF26" s="258">
        <v>0</v>
      </c>
      <c r="CG26" s="258">
        <v>3.8399999999999997E-2</v>
      </c>
      <c r="CH26" s="258">
        <v>11.539714415446454</v>
      </c>
      <c r="CI26" s="258">
        <v>2.8959999999999999</v>
      </c>
      <c r="CJ26" s="258"/>
      <c r="CK26" s="258"/>
      <c r="CL26" s="258"/>
      <c r="CM26" s="258"/>
    </row>
    <row r="27" spans="1:91" x14ac:dyDescent="0.25">
      <c r="A27" s="726"/>
      <c r="B27" s="726"/>
      <c r="C27" s="726"/>
      <c r="D27" s="31">
        <f t="shared" si="47"/>
        <v>37422</v>
      </c>
      <c r="F27" s="28">
        <f t="shared" si="12"/>
        <v>612</v>
      </c>
      <c r="G27" s="28">
        <f t="shared" si="13"/>
        <v>606.02391365015649</v>
      </c>
      <c r="H27" s="52">
        <f t="shared" si="14"/>
        <v>2.977892030848329</v>
      </c>
      <c r="I27" s="52">
        <f t="shared" si="15"/>
        <v>3.7960000000000003</v>
      </c>
      <c r="K27" s="52">
        <f t="shared" si="16"/>
        <v>23.16282720438781</v>
      </c>
      <c r="L27" s="135">
        <f t="shared" si="17"/>
        <v>2.6710380609529238E-6</v>
      </c>
      <c r="N27" s="131">
        <f t="shared" si="48"/>
        <v>0.5502663217587267</v>
      </c>
      <c r="O27" s="131">
        <f t="shared" si="49"/>
        <v>0.5502663217587267</v>
      </c>
      <c r="P27" s="55">
        <f t="shared" si="50"/>
        <v>0.99999999999999978</v>
      </c>
      <c r="Q27" s="135">
        <f>_xll.xSPRDOPT(I27,H27,AQ27,0,O27,N27,P27,D27-$G$5,1,0)*AH27*AU27</f>
        <v>23.162829875425871</v>
      </c>
      <c r="R27" s="135"/>
      <c r="S27" s="181">
        <f>_xll.xSPRDOPT(I27,H27,AQ27,AT27,O27,N27,P27,D27-$G$5,1,2)*AF27*(F27/(1-AR27))*AH27</f>
        <v>-18693.91104874948</v>
      </c>
      <c r="T27" s="181">
        <f>_xll.xSPRDOPT(I27,H27,AQ27,AT27,O27,N27,P27,D27-$G$5,1,1)*AF27*F27*AH27</f>
        <v>18179.82849500906</v>
      </c>
      <c r="U27" s="135"/>
      <c r="V27" s="146">
        <f t="shared" si="18"/>
        <v>11.149057587887439</v>
      </c>
      <c r="W27" s="146"/>
      <c r="X27" s="338">
        <f t="shared" si="19"/>
        <v>0</v>
      </c>
      <c r="Y27" s="338">
        <f t="shared" si="20"/>
        <v>0</v>
      </c>
      <c r="Z27" s="338">
        <f t="shared" si="21"/>
        <v>2.3180136329192491</v>
      </c>
      <c r="AA27" s="338">
        <f t="shared" si="22"/>
        <v>-3.6976954468325297E-8</v>
      </c>
      <c r="AB27" s="338">
        <f t="shared" si="23"/>
        <v>0</v>
      </c>
      <c r="AC27" s="338">
        <f t="shared" si="24"/>
        <v>2.3295872973161154</v>
      </c>
      <c r="AF27" s="138">
        <f t="shared" si="25"/>
        <v>1</v>
      </c>
      <c r="AG27" s="138">
        <f t="shared" si="26"/>
        <v>6</v>
      </c>
      <c r="AH27" s="138">
        <f t="shared" si="27"/>
        <v>30</v>
      </c>
      <c r="AI27" s="138">
        <f t="shared" si="51"/>
        <v>166</v>
      </c>
      <c r="AJ27" s="138">
        <f t="shared" si="28"/>
        <v>183</v>
      </c>
      <c r="AL27" s="136">
        <f t="shared" si="29"/>
        <v>2.9460000000000002</v>
      </c>
      <c r="AM27" s="258">
        <f t="shared" si="30"/>
        <v>-5.5E-2</v>
      </c>
      <c r="AN27" s="258">
        <f t="shared" si="31"/>
        <v>5.0000000000000001E-3</v>
      </c>
      <c r="AO27" s="258">
        <f t="shared" si="32"/>
        <v>0.85</v>
      </c>
      <c r="AP27" s="258">
        <f t="shared" si="33"/>
        <v>0</v>
      </c>
      <c r="AQ27" s="136">
        <f t="shared" si="34"/>
        <v>3.8399999999999997E-2</v>
      </c>
      <c r="AR27" s="137">
        <f t="shared" si="35"/>
        <v>2.75E-2</v>
      </c>
      <c r="AS27" s="136">
        <f t="shared" si="36"/>
        <v>2.8959999999999999</v>
      </c>
      <c r="AT27" s="137">
        <f t="shared" si="37"/>
        <v>2.0011329715354399E-2</v>
      </c>
      <c r="AU27" s="137">
        <f t="shared" si="38"/>
        <v>0.99023515302313159</v>
      </c>
      <c r="AV27" s="394">
        <f t="shared" si="39"/>
        <v>505.01992804179713</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-4.7210369873863075E-7</v>
      </c>
      <c r="BG27" s="137">
        <f>_xll.xSPRDOPT($BW27,$BV27,$CG27,0,$BY27,$BX27,$BZ27,$AJ27,1,3)*$CB27</f>
        <v>0</v>
      </c>
      <c r="BH27" s="137">
        <f>IF(OR(BF27&lt;&gt;0,BG27&lt;&gt;0),_xll.xSPRDOPT($BW27,$BV27,$CG27,0,$BY27,$BX27,$BZ27,$AJ27,1,12)*$CB27,0)</f>
        <v>3.5407777405397308E-7</v>
      </c>
      <c r="BI27" s="137">
        <f>_xll.xSPRDOPT($BW27,$BV27,$CG27,2*LN(1+CA27/2),$BY27,$BX27,$BZ27,$AJ27,1,9)</f>
        <v>1.5371359466662231E-2</v>
      </c>
      <c r="BJ27" s="137">
        <f>_xll.xSPRDOPT($BW27,$BV27,$CG27,0,$BY27,$BX27,$BZ27,$AJ27,1,6)*$CB27</f>
        <v>1.6303412094235347E-7</v>
      </c>
      <c r="BK27" s="137">
        <f>_xll.xSPRDOPT($BW27,$BV27,$CG27,0,$BY27,$BX27,$BZ27,$AJ27,1,5)*$CB27</f>
        <v>-2.0779798911952557E-7</v>
      </c>
      <c r="BL27" s="137">
        <f>_xll.xSPRDOPT(BW27,BV27,CG27,0,BY27,BX27,BZ27,AJ27,1,2)*CB27</f>
        <v>-0.99007333067889935</v>
      </c>
      <c r="BM27" s="137">
        <f>_xll.xSPRDOPT(BW27,BV27,CG27,0,BY27,BX27,BZ27,AJ27,1,1)*CB27</f>
        <v>0.99007333068610315</v>
      </c>
      <c r="BN27" s="137">
        <f>IF(AH27&lt;&gt;0,_xll.xSPRDOPT($BW27,$BV27,$CG27,2*LN(1+CA27/2),$BY27,$BX27,$BZ27,$AJ27,1,8)+(AJ27/365.25)*CH27/AH27,0)</f>
        <v>-0.20060787542241543</v>
      </c>
      <c r="BO27" s="137">
        <f>_xll.xSPRDOPT($BW27,$BV27,$CG27,0,$BY27,$BX27,$BZ27,$AJ27,1,0)</f>
        <v>0.7797080588622306</v>
      </c>
      <c r="BP27" s="137"/>
      <c r="BQ27" s="137"/>
      <c r="BR27" s="137"/>
      <c r="BS27" s="137"/>
      <c r="BV27" s="262">
        <v>2.977892030848329</v>
      </c>
      <c r="BW27" s="136">
        <v>3.7960000000000003</v>
      </c>
      <c r="BX27" s="137">
        <v>0.55022133021926811</v>
      </c>
      <c r="BY27" s="137">
        <v>0.55022133021926811</v>
      </c>
      <c r="BZ27" s="137">
        <v>1</v>
      </c>
      <c r="CA27" s="137">
        <v>2.0011329715354399E-2</v>
      </c>
      <c r="CB27" s="137">
        <v>0.99007321601711695</v>
      </c>
      <c r="CC27" s="258">
        <v>-5.5E-2</v>
      </c>
      <c r="CD27" s="258">
        <v>5.0000000000000001E-3</v>
      </c>
      <c r="CE27" s="258">
        <v>0.85</v>
      </c>
      <c r="CF27" s="258">
        <v>0</v>
      </c>
      <c r="CG27" s="258">
        <v>3.8399999999999997E-2</v>
      </c>
      <c r="CH27" s="258">
        <v>11.14723433913672</v>
      </c>
      <c r="CI27" s="258">
        <v>2.9460000000000002</v>
      </c>
      <c r="CJ27" s="258"/>
      <c r="CK27" s="258"/>
      <c r="CL27" s="258"/>
      <c r="CM27" s="258"/>
    </row>
    <row r="28" spans="1:91" x14ac:dyDescent="0.25">
      <c r="A28" s="723"/>
      <c r="B28" s="723"/>
      <c r="D28" s="31">
        <f t="shared" si="47"/>
        <v>37452</v>
      </c>
      <c r="F28" s="28">
        <f t="shared" si="12"/>
        <v>612</v>
      </c>
      <c r="G28" s="28">
        <f t="shared" si="13"/>
        <v>604.88989478303154</v>
      </c>
      <c r="H28" s="52">
        <f t="shared" si="14"/>
        <v>3.0169665809768635</v>
      </c>
      <c r="I28" s="52">
        <f t="shared" si="15"/>
        <v>4.0339999999999998</v>
      </c>
      <c r="K28" s="52">
        <f t="shared" si="16"/>
        <v>29.985178826447655</v>
      </c>
      <c r="L28" s="135">
        <f t="shared" si="17"/>
        <v>3.3863670942935187E-6</v>
      </c>
      <c r="N28" s="131">
        <f t="shared" si="48"/>
        <v>0.54938596714727361</v>
      </c>
      <c r="O28" s="131">
        <f t="shared" si="49"/>
        <v>0.54938596714727361</v>
      </c>
      <c r="P28" s="55">
        <f t="shared" si="50"/>
        <v>0.99999999999999978</v>
      </c>
      <c r="Q28" s="135">
        <f>_xll.xSPRDOPT(I28,H28,AQ28,0,O28,N28,P28,D28-$G$5,1,0)*AH28*AU28</f>
        <v>29.985182212814749</v>
      </c>
      <c r="R28" s="135"/>
      <c r="S28" s="181">
        <f>_xll.xSPRDOPT(I28,H28,AQ28,AT28,O28,N28,P28,D28-$G$5,1,2)*AF28*(F28/(1-AR28))*AH28</f>
        <v>-19280.690670140928</v>
      </c>
      <c r="T28" s="181">
        <f>_xll.xSPRDOPT(I28,H28,AQ28,AT28,O28,N28,P28,D28-$G$5,1,1)*AF28*F28*AH28</f>
        <v>18750.471676850095</v>
      </c>
      <c r="U28" s="135"/>
      <c r="V28" s="146">
        <f t="shared" si="18"/>
        <v>11.499134808618015</v>
      </c>
      <c r="W28" s="146"/>
      <c r="X28" s="338">
        <f t="shared" si="19"/>
        <v>0</v>
      </c>
      <c r="Y28" s="338">
        <f t="shared" si="20"/>
        <v>0</v>
      </c>
      <c r="Z28" s="338">
        <f t="shared" si="21"/>
        <v>3.0630065409719416</v>
      </c>
      <c r="AA28" s="338">
        <f t="shared" si="22"/>
        <v>-1.1708674738206978E-7</v>
      </c>
      <c r="AB28" s="338">
        <f t="shared" si="23"/>
        <v>0</v>
      </c>
      <c r="AC28" s="338">
        <f t="shared" si="24"/>
        <v>3.0786185487964786</v>
      </c>
      <c r="AF28" s="138">
        <f t="shared" si="25"/>
        <v>1</v>
      </c>
      <c r="AG28" s="138">
        <f t="shared" si="26"/>
        <v>7</v>
      </c>
      <c r="AH28" s="138">
        <f t="shared" si="27"/>
        <v>31</v>
      </c>
      <c r="AI28" s="138">
        <f t="shared" si="51"/>
        <v>196</v>
      </c>
      <c r="AJ28" s="138">
        <f t="shared" si="28"/>
        <v>213</v>
      </c>
      <c r="AL28" s="136">
        <f t="shared" si="29"/>
        <v>2.984</v>
      </c>
      <c r="AM28" s="258">
        <f t="shared" si="30"/>
        <v>-5.5E-2</v>
      </c>
      <c r="AN28" s="258">
        <f t="shared" si="31"/>
        <v>5.0000000000000001E-3</v>
      </c>
      <c r="AO28" s="258">
        <f t="shared" si="32"/>
        <v>1.05</v>
      </c>
      <c r="AP28" s="258">
        <f t="shared" si="33"/>
        <v>0</v>
      </c>
      <c r="AQ28" s="136">
        <f t="shared" si="34"/>
        <v>3.8399999999999997E-2</v>
      </c>
      <c r="AR28" s="137">
        <f t="shared" si="35"/>
        <v>2.75E-2</v>
      </c>
      <c r="AS28" s="136">
        <f t="shared" si="36"/>
        <v>2.9339999999999997</v>
      </c>
      <c r="AT28" s="137">
        <f t="shared" si="37"/>
        <v>2.0428629809483099E-2</v>
      </c>
      <c r="AU28" s="137">
        <f t="shared" si="38"/>
        <v>0.98838218101802544</v>
      </c>
      <c r="AV28" s="394">
        <f t="shared" si="39"/>
        <v>520.87740939649939</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-7.068280175691092E-7</v>
      </c>
      <c r="BI28" s="137">
        <f>_xll.xSPRDOPT($BW28,$BV28,$CG28,2*LN(1+CA28/2),$BY28,$BX28,$BZ28,$AJ28,1,9)</f>
        <v>1.9656390805573156E-2</v>
      </c>
      <c r="BJ28" s="137">
        <f>_xll.xSPRDOPT($BW28,$BV28,$CG28,0,$BY28,$BX28,$BZ28,$AJ28,1,6)*$CB28</f>
        <v>1.9113316131148411E-7</v>
      </c>
      <c r="BK28" s="137">
        <f>_xll.xSPRDOPT($BW28,$BV28,$CG28,0,$BY28,$BX28,$BZ28,$AJ28,1,5)*$CB28</f>
        <v>-2.5561362652597683E-7</v>
      </c>
      <c r="BL28" s="137">
        <f>_xll.xSPRDOPT(BW28,BV28,CG28,0,BY28,BX28,BZ28,AJ28,1,2)*CB28</f>
        <v>-0.98821730584063394</v>
      </c>
      <c r="BM28" s="137">
        <f>_xll.xSPRDOPT(BW28,BV28,CG28,0,BY28,BX28,BZ28,AJ28,1,1)*CB28</f>
        <v>0.98821730584782419</v>
      </c>
      <c r="BN28" s="137">
        <f>IF(AH28&lt;&gt;0,_xll.xSPRDOPT($BW28,$BV28,$CG28,2*LN(1+CA28/2),$BY28,$BX28,$BZ28,$AJ28,1,8)+(AJ28/365.25)*CH28/AH28,0)</f>
        <v>-0.34769564086004473</v>
      </c>
      <c r="BO28" s="137">
        <f>_xll.xSPRDOPT($BW28,$BV28,$CG28,0,$BY28,$BX28,$BZ28,$AJ28,1,0)</f>
        <v>0.97863352929869207</v>
      </c>
      <c r="BP28" s="137"/>
      <c r="BQ28" s="137"/>
      <c r="BR28" s="137"/>
      <c r="BS28" s="137"/>
      <c r="BV28" s="262">
        <v>3.0169665809768635</v>
      </c>
      <c r="BW28" s="136">
        <v>4.0339999999999998</v>
      </c>
      <c r="BX28" s="137">
        <v>0.54929025513136898</v>
      </c>
      <c r="BY28" s="137">
        <v>0.54929025513136898</v>
      </c>
      <c r="BZ28" s="137">
        <v>1</v>
      </c>
      <c r="CA28" s="137">
        <v>2.0428629809483099E-2</v>
      </c>
      <c r="CB28" s="137">
        <v>0.98821719380072837</v>
      </c>
      <c r="CC28" s="258">
        <v>-5.5E-2</v>
      </c>
      <c r="CD28" s="258">
        <v>5.0000000000000001E-3</v>
      </c>
      <c r="CE28" s="258">
        <v>1.05</v>
      </c>
      <c r="CF28" s="258">
        <v>0</v>
      </c>
      <c r="CG28" s="258">
        <v>3.8399999999999997E-2</v>
      </c>
      <c r="CH28" s="258">
        <v>11.497215297835815</v>
      </c>
      <c r="CI28" s="258">
        <v>2.984</v>
      </c>
      <c r="CJ28" s="258"/>
      <c r="CK28" s="258"/>
      <c r="CL28" s="258"/>
      <c r="CM28" s="258"/>
    </row>
    <row r="29" spans="1:91" x14ac:dyDescent="0.25">
      <c r="A29" s="723"/>
      <c r="B29" s="723"/>
      <c r="D29" s="31">
        <f t="shared" si="47"/>
        <v>37483</v>
      </c>
      <c r="F29" s="28">
        <f t="shared" si="12"/>
        <v>612</v>
      </c>
      <c r="G29" s="28">
        <f t="shared" si="13"/>
        <v>603.59642998605455</v>
      </c>
      <c r="H29" s="52">
        <f t="shared" si="14"/>
        <v>3.0601542416452436</v>
      </c>
      <c r="I29" s="52">
        <f t="shared" si="15"/>
        <v>4.0759999999999996</v>
      </c>
      <c r="K29" s="52">
        <f t="shared" si="16"/>
        <v>29.884748166153951</v>
      </c>
      <c r="L29" s="135">
        <f t="shared" si="17"/>
        <v>3.2940233296585575E-6</v>
      </c>
      <c r="N29" s="131">
        <f t="shared" si="48"/>
        <v>0.55001555741820785</v>
      </c>
      <c r="O29" s="131">
        <f t="shared" si="49"/>
        <v>0.55001555741820785</v>
      </c>
      <c r="P29" s="55">
        <f t="shared" si="50"/>
        <v>1</v>
      </c>
      <c r="Q29" s="135">
        <f>_xll.xSPRDOPT(I29,H29,AQ29,0,O29,N29,P29,D29-$G$5,1,0)*AH29*AU29</f>
        <v>29.884751460177281</v>
      </c>
      <c r="R29" s="135"/>
      <c r="S29" s="181">
        <f>_xll.xSPRDOPT(I29,H29,AQ29,AT29,O29,N29,P29,D29-$G$5,1,2)*AF29*(F29/(1-AR29))*AH29</f>
        <v>-19239.209648093271</v>
      </c>
      <c r="T29" s="181">
        <f>_xll.xSPRDOPT(I29,H29,AQ29,AT29,O29,N29,P29,D29-$G$5,1,1)*AF29*F29*AH29</f>
        <v>18710.131382977765</v>
      </c>
      <c r="U29" s="135"/>
      <c r="V29" s="146">
        <f t="shared" si="18"/>
        <v>11.474545662396659</v>
      </c>
      <c r="W29" s="146"/>
      <c r="X29" s="338">
        <f t="shared" si="19"/>
        <v>0</v>
      </c>
      <c r="Y29" s="338">
        <f t="shared" si="20"/>
        <v>0</v>
      </c>
      <c r="Z29" s="338">
        <f t="shared" si="21"/>
        <v>3.1473316275254519</v>
      </c>
      <c r="AA29" s="338">
        <f t="shared" si="22"/>
        <v>-1.691737599031843E-7</v>
      </c>
      <c r="AB29" s="338">
        <f t="shared" si="23"/>
        <v>0</v>
      </c>
      <c r="AC29" s="338">
        <f t="shared" si="24"/>
        <v>3.1638725873626132</v>
      </c>
      <c r="AF29" s="138">
        <f t="shared" si="25"/>
        <v>1</v>
      </c>
      <c r="AG29" s="138">
        <f t="shared" si="26"/>
        <v>8</v>
      </c>
      <c r="AH29" s="138">
        <f t="shared" si="27"/>
        <v>31</v>
      </c>
      <c r="AI29" s="138">
        <f t="shared" si="51"/>
        <v>227</v>
      </c>
      <c r="AJ29" s="138">
        <f t="shared" si="28"/>
        <v>244</v>
      </c>
      <c r="AL29" s="136">
        <f t="shared" si="29"/>
        <v>3.0259999999999998</v>
      </c>
      <c r="AM29" s="258">
        <f t="shared" si="30"/>
        <v>-5.5E-2</v>
      </c>
      <c r="AN29" s="258">
        <f t="shared" si="31"/>
        <v>5.0000000000000001E-3</v>
      </c>
      <c r="AO29" s="258">
        <f t="shared" si="32"/>
        <v>1.05</v>
      </c>
      <c r="AP29" s="258">
        <f t="shared" si="33"/>
        <v>0</v>
      </c>
      <c r="AQ29" s="136">
        <f t="shared" si="34"/>
        <v>3.8399999999999997E-2</v>
      </c>
      <c r="AR29" s="137">
        <f t="shared" si="35"/>
        <v>2.75E-2</v>
      </c>
      <c r="AS29" s="136">
        <f t="shared" si="36"/>
        <v>2.9759999999999995</v>
      </c>
      <c r="AT29" s="137">
        <f t="shared" si="37"/>
        <v>2.1065008234303999E-2</v>
      </c>
      <c r="AU29" s="137">
        <f t="shared" si="38"/>
        <v>0.98626867644780158</v>
      </c>
      <c r="AV29" s="394">
        <f t="shared" si="39"/>
        <v>519.76359248799145</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-1.1755215414380697E-6</v>
      </c>
      <c r="BG29" s="137">
        <f>_xll.xSPRDOPT($BW29,$BV29,$CG29,0,$BY29,$BX29,$BZ29,$AJ29,1,3)*$CB29</f>
        <v>-7.0531292486284189E-7</v>
      </c>
      <c r="BH29" s="137">
        <f>IF(OR(BF29&lt;&gt;0,BG29&lt;&gt;0),_xll.xSPRDOPT($BW29,$BV29,$CG29,0,$BY29,$BX29,$BZ29,$AJ29,1,12)*$CB29,0)</f>
        <v>3.5265646243142095E-7</v>
      </c>
      <c r="BI29" s="137">
        <f>_xll.xSPRDOPT($BW29,$BV29,$CG29,2*LN(1+CA29/2),$BY29,$BX29,$BZ29,$AJ29,1,9)</f>
        <v>2.0197534558888033E-2</v>
      </c>
      <c r="BJ29" s="137">
        <f>_xll.xSPRDOPT($BW29,$BV29,$CG29,0,$BY29,$BX29,$BZ29,$AJ29,1,6)*$CB29</f>
        <v>2.2140291932761372E-7</v>
      </c>
      <c r="BK29" s="137">
        <f>_xll.xSPRDOPT($BW29,$BV29,$CG29,0,$BY29,$BX29,$BZ29,$AJ29,1,5)*$CB29</f>
        <v>-2.9492188487890945E-7</v>
      </c>
      <c r="BL29" s="137">
        <f>_xll.xSPRDOPT(BW29,BV29,CG29,0,BY29,BX29,BZ29,AJ29,1,2)*CB29</f>
        <v>-0.98609904989734209</v>
      </c>
      <c r="BM29" s="137">
        <f>_xll.xSPRDOPT(BW29,BV29,CG29,0,BY29,BX29,BZ29,AJ29,1,1)*CB29</f>
        <v>0.98609904990810437</v>
      </c>
      <c r="BN29" s="137">
        <f>IF(AH29&lt;&gt;0,_xll.xSPRDOPT($BW29,$BV29,$CG29,2*LN(1+CA29/2),$BY29,$BX29,$BZ29,$AJ29,1,8)+(AJ29/365.25)*CH29/AH29,0)</f>
        <v>-0.39666310118519393</v>
      </c>
      <c r="BO29" s="137">
        <f>_xll.xSPRDOPT($BW29,$BV29,$CG29,0,$BY29,$BX29,$BZ29,$AJ29,1,0)</f>
        <v>0.97744586584989579</v>
      </c>
      <c r="BP29" s="137"/>
      <c r="BQ29" s="137"/>
      <c r="BR29" s="137"/>
      <c r="BS29" s="137"/>
      <c r="BV29" s="262">
        <v>3.0601542416452436</v>
      </c>
      <c r="BW29" s="136">
        <v>4.0759999999999996</v>
      </c>
      <c r="BX29" s="137">
        <v>0.54989426867442226</v>
      </c>
      <c r="BY29" s="137">
        <v>0.54989426867442226</v>
      </c>
      <c r="BZ29" s="137">
        <v>1</v>
      </c>
      <c r="CA29" s="137">
        <v>2.1065008234303999E-2</v>
      </c>
      <c r="CB29" s="137">
        <v>0.98609894066797232</v>
      </c>
      <c r="CC29" s="258">
        <v>-5.5E-2</v>
      </c>
      <c r="CD29" s="258">
        <v>5.0000000000000001E-3</v>
      </c>
      <c r="CE29" s="258">
        <v>1.05</v>
      </c>
      <c r="CF29" s="258">
        <v>0</v>
      </c>
      <c r="CG29" s="258">
        <v>3.8399999999999997E-2</v>
      </c>
      <c r="CH29" s="258">
        <v>11.472570905413392</v>
      </c>
      <c r="CI29" s="258">
        <v>3.0259999999999998</v>
      </c>
      <c r="CJ29" s="258"/>
      <c r="CK29" s="258"/>
      <c r="CL29" s="258"/>
      <c r="CM29" s="258"/>
    </row>
    <row r="30" spans="1:91" x14ac:dyDescent="0.25">
      <c r="A30" s="723"/>
      <c r="B30" s="723"/>
      <c r="D30" s="31">
        <f t="shared" si="47"/>
        <v>37514</v>
      </c>
      <c r="F30" s="28">
        <f t="shared" si="12"/>
        <v>612</v>
      </c>
      <c r="G30" s="28">
        <f t="shared" si="13"/>
        <v>602.2414283993603</v>
      </c>
      <c r="H30" s="52">
        <f t="shared" si="14"/>
        <v>3.0467866323907451</v>
      </c>
      <c r="I30" s="52">
        <f t="shared" si="15"/>
        <v>3.7679999999999998</v>
      </c>
      <c r="K30" s="52">
        <f t="shared" si="16"/>
        <v>20.157769501920349</v>
      </c>
      <c r="L30" s="135">
        <f t="shared" si="17"/>
        <v>2.1629630708730474E-6</v>
      </c>
      <c r="N30" s="131">
        <f t="shared" si="48"/>
        <v>0.54862064797509713</v>
      </c>
      <c r="O30" s="131">
        <f t="shared" si="49"/>
        <v>0.54862064797509713</v>
      </c>
      <c r="P30" s="55">
        <f t="shared" si="50"/>
        <v>1</v>
      </c>
      <c r="Q30" s="135">
        <f>_xll.xSPRDOPT(I30,H30,AQ30,0,O30,N30,P30,D30-$G$5,1,0)*AH30*AU30</f>
        <v>20.15777166488342</v>
      </c>
      <c r="R30" s="135"/>
      <c r="S30" s="181">
        <f>_xll.xSPRDOPT(I30,H30,AQ30,AT30,O30,N30,P30,D30-$G$5,1,2)*AF30*(F30/(1-AR30))*AH30</f>
        <v>-18576.526617519092</v>
      </c>
      <c r="T30" s="181">
        <f>_xll.xSPRDOPT(I30,H30,AQ30,AT30,O30,N30,P30,D30-$G$5,1,1)*AF30*F30*AH30</f>
        <v>18065.672135437126</v>
      </c>
      <c r="U30" s="135"/>
      <c r="V30" s="146">
        <f t="shared" si="18"/>
        <v>11.07947098422941</v>
      </c>
      <c r="W30" s="146"/>
      <c r="X30" s="338">
        <f t="shared" si="19"/>
        <v>0</v>
      </c>
      <c r="Y30" s="338">
        <f t="shared" si="20"/>
        <v>0</v>
      </c>
      <c r="Z30" s="338">
        <f t="shared" si="21"/>
        <v>2.1867064487759476</v>
      </c>
      <c r="AA30" s="338">
        <f t="shared" si="22"/>
        <v>-9.9016675919840238E-8</v>
      </c>
      <c r="AB30" s="338">
        <f t="shared" si="23"/>
        <v>0</v>
      </c>
      <c r="AC30" s="338">
        <f t="shared" si="24"/>
        <v>2.1985455469529631</v>
      </c>
      <c r="AF30" s="138">
        <f t="shared" si="25"/>
        <v>1</v>
      </c>
      <c r="AG30" s="138">
        <f t="shared" si="26"/>
        <v>9</v>
      </c>
      <c r="AH30" s="138">
        <f t="shared" si="27"/>
        <v>30</v>
      </c>
      <c r="AI30" s="138">
        <f t="shared" si="51"/>
        <v>258</v>
      </c>
      <c r="AJ30" s="138">
        <f t="shared" si="28"/>
        <v>275</v>
      </c>
      <c r="AL30" s="136">
        <f t="shared" si="29"/>
        <v>3.0179999999999998</v>
      </c>
      <c r="AM30" s="258">
        <f t="shared" si="30"/>
        <v>-0.06</v>
      </c>
      <c r="AN30" s="258">
        <f t="shared" si="31"/>
        <v>5.0000000000000001E-3</v>
      </c>
      <c r="AO30" s="258">
        <f t="shared" si="32"/>
        <v>0.75</v>
      </c>
      <c r="AP30" s="258">
        <f t="shared" si="33"/>
        <v>0</v>
      </c>
      <c r="AQ30" s="136">
        <f t="shared" si="34"/>
        <v>3.8399999999999997E-2</v>
      </c>
      <c r="AR30" s="137">
        <f t="shared" si="35"/>
        <v>2.75E-2</v>
      </c>
      <c r="AS30" s="136">
        <f t="shared" si="36"/>
        <v>2.9629999999999996</v>
      </c>
      <c r="AT30" s="137">
        <f t="shared" si="37"/>
        <v>2.1701386796276499E-2</v>
      </c>
      <c r="AU30" s="137">
        <f t="shared" si="38"/>
        <v>0.98405462156758228</v>
      </c>
      <c r="AV30" s="394">
        <f t="shared" si="39"/>
        <v>501.86785699946694</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1.4500626913860108E-2</v>
      </c>
      <c r="BJ30" s="137">
        <f>_xll.xSPRDOPT($BW30,$BV30,$CG30,0,$BY30,$BX30,$BZ30,$AJ30,1,6)*$CB30</f>
        <v>2.4499849754513932E-7</v>
      </c>
      <c r="BK30" s="137">
        <f>_xll.xSPRDOPT($BW30,$BV30,$CG30,0,$BY30,$BX30,$BZ30,$AJ30,1,5)*$CB30</f>
        <v>-3.0300442268164976E-7</v>
      </c>
      <c r="BL30" s="137">
        <f>_xll.xSPRDOPT(BW30,BV30,CG30,0,BY30,BX30,BZ30,AJ30,1,2)*CB30</f>
        <v>-0.983880285005022</v>
      </c>
      <c r="BM30" s="137">
        <f>_xll.xSPRDOPT(BW30,BV30,CG30,0,BY30,BX30,BZ30,AJ30,1,1)*CB30</f>
        <v>0.98388028500144264</v>
      </c>
      <c r="BN30" s="137">
        <f>IF(AH30&lt;&gt;0,_xll.xSPRDOPT($BW30,$BV30,$CG30,2*LN(1+CA30/2),$BY30,$BX30,$BZ30,$AJ30,1,8)+(AJ30/365.25)*CH30/AH30,0)</f>
        <v>-0.22779741056778169</v>
      </c>
      <c r="BO30" s="137">
        <f>_xll.xSPRDOPT($BW30,$BV30,$CG30,0,$BY30,$BX30,$BZ30,$AJ30,1,0)</f>
        <v>0.68281344070535499</v>
      </c>
      <c r="BP30" s="137"/>
      <c r="BQ30" s="137"/>
      <c r="BR30" s="137"/>
      <c r="BS30" s="137"/>
      <c r="BV30" s="262">
        <v>3.0467866323907451</v>
      </c>
      <c r="BW30" s="136">
        <v>3.7679999999999998</v>
      </c>
      <c r="BX30" s="137">
        <v>0.54852767359145349</v>
      </c>
      <c r="BY30" s="137">
        <v>0.54852767359145349</v>
      </c>
      <c r="BZ30" s="137">
        <v>1</v>
      </c>
      <c r="CA30" s="137">
        <v>2.1701386796276499E-2</v>
      </c>
      <c r="CB30" s="137">
        <v>0.98388017854127463</v>
      </c>
      <c r="CC30" s="258">
        <v>-0.06</v>
      </c>
      <c r="CD30" s="258">
        <v>5.0000000000000001E-3</v>
      </c>
      <c r="CE30" s="258">
        <v>0.75</v>
      </c>
      <c r="CF30" s="258">
        <v>0</v>
      </c>
      <c r="CG30" s="258">
        <v>3.8399999999999997E-2</v>
      </c>
      <c r="CH30" s="258">
        <v>11.077506930196211</v>
      </c>
      <c r="CI30" s="258">
        <v>3.0179999999999998</v>
      </c>
      <c r="CJ30" s="258"/>
      <c r="CK30" s="258"/>
      <c r="CL30" s="258"/>
      <c r="CM30" s="258"/>
    </row>
    <row r="31" spans="1:91" x14ac:dyDescent="0.25">
      <c r="A31" s="723"/>
      <c r="B31" s="723"/>
      <c r="D31" s="31">
        <f t="shared" si="47"/>
        <v>37544</v>
      </c>
      <c r="F31" s="28">
        <f t="shared" si="12"/>
        <v>612</v>
      </c>
      <c r="G31" s="28">
        <f t="shared" si="13"/>
        <v>600.82632036763084</v>
      </c>
      <c r="H31" s="52">
        <f t="shared" si="14"/>
        <v>3.0601542416452441</v>
      </c>
      <c r="I31" s="52">
        <f t="shared" si="15"/>
        <v>3.4810000000000003</v>
      </c>
      <c r="K31" s="52">
        <f t="shared" si="16"/>
        <v>11.639359166188539</v>
      </c>
      <c r="L31" s="135">
        <f t="shared" si="17"/>
        <v>1.4947707498436102E-6</v>
      </c>
      <c r="N31" s="131">
        <f t="shared" si="48"/>
        <v>0.55129247567847639</v>
      </c>
      <c r="O31" s="131">
        <f t="shared" si="49"/>
        <v>0.55129247567847639</v>
      </c>
      <c r="P31" s="55">
        <f t="shared" si="50"/>
        <v>1</v>
      </c>
      <c r="Q31" s="135">
        <f>_xll.xSPRDOPT(I31,H31,AQ31,0,O31,N31,P31,D31-$G$5,1,0)*AH31*AU31</f>
        <v>11.639360660959289</v>
      </c>
      <c r="R31" s="135"/>
      <c r="S31" s="181">
        <f>_xll.xSPRDOPT(I31,H31,AQ31,AT31,O31,N31,P31,D31-$G$5,1,2)*AF31*(F31/(1-AR31))*AH31</f>
        <v>-19150.32465984621</v>
      </c>
      <c r="T31" s="181">
        <f>_xll.xSPRDOPT(I31,H31,AQ31,AT31,O31,N31,P31,D31-$G$5,1,1)*AF31*F31*AH31</f>
        <v>18623.690731821229</v>
      </c>
      <c r="U31" s="135"/>
      <c r="V31" s="146">
        <f t="shared" si="18"/>
        <v>11.421885063812303</v>
      </c>
      <c r="W31" s="146"/>
      <c r="X31" s="338">
        <f t="shared" si="19"/>
        <v>0</v>
      </c>
      <c r="Y31" s="338">
        <f t="shared" si="20"/>
        <v>0</v>
      </c>
      <c r="Z31" s="338">
        <f t="shared" si="21"/>
        <v>1.3035922724061126</v>
      </c>
      <c r="AA31" s="338">
        <f t="shared" si="22"/>
        <v>1.6324962026295515E-6</v>
      </c>
      <c r="AB31" s="338">
        <f t="shared" si="23"/>
        <v>0</v>
      </c>
      <c r="AC31" s="338">
        <f t="shared" si="24"/>
        <v>1.3109228126458952</v>
      </c>
      <c r="AF31" s="138">
        <f t="shared" si="25"/>
        <v>1</v>
      </c>
      <c r="AG31" s="138">
        <f t="shared" si="26"/>
        <v>10</v>
      </c>
      <c r="AH31" s="138">
        <f t="shared" si="27"/>
        <v>31</v>
      </c>
      <c r="AI31" s="138">
        <f t="shared" si="51"/>
        <v>288</v>
      </c>
      <c r="AJ31" s="138">
        <f t="shared" si="28"/>
        <v>305</v>
      </c>
      <c r="AL31" s="136">
        <f t="shared" si="29"/>
        <v>3.0310000000000001</v>
      </c>
      <c r="AM31" s="258">
        <f t="shared" si="30"/>
        <v>-0.06</v>
      </c>
      <c r="AN31" s="258">
        <f t="shared" si="31"/>
        <v>5.0000000000000001E-3</v>
      </c>
      <c r="AO31" s="258">
        <f t="shared" si="32"/>
        <v>0.45</v>
      </c>
      <c r="AP31" s="258">
        <f t="shared" si="33"/>
        <v>0</v>
      </c>
      <c r="AQ31" s="136">
        <f t="shared" si="34"/>
        <v>3.8399999999999997E-2</v>
      </c>
      <c r="AR31" s="137">
        <f t="shared" si="35"/>
        <v>2.75E-2</v>
      </c>
      <c r="AS31" s="136">
        <f t="shared" si="36"/>
        <v>2.976</v>
      </c>
      <c r="AT31" s="137">
        <f t="shared" si="37"/>
        <v>2.2410164045373999E-2</v>
      </c>
      <c r="AU31" s="137">
        <f t="shared" si="38"/>
        <v>0.98174235354188055</v>
      </c>
      <c r="AV31" s="394">
        <f t="shared" si="39"/>
        <v>517.37822031657106</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1.170113883588594E-7</v>
      </c>
      <c r="BG31" s="137">
        <f>_xll.xSPRDOPT($BW31,$BV31,$CG31,0,$BY31,$BX31,$BZ31,$AJ31,1,3)*$CB31</f>
        <v>2.3402277671771879E-7</v>
      </c>
      <c r="BH31" s="137">
        <f>IF(OR(BF31&lt;&gt;0,BG31&lt;&gt;0),_xll.xSPRDOPT($BW31,$BV31,$CG31,0,$BY31,$BX31,$BZ31,$AJ31,1,12)*$CB31,0)</f>
        <v>-4.0953985925600789E-7</v>
      </c>
      <c r="BI31" s="137">
        <f>_xll.xSPRDOPT($BW31,$BV31,$CG31,2*LN(1+CA31/2),$BY31,$BX31,$BZ31,$AJ31,1,9)</f>
        <v>8.3656103291927172E-3</v>
      </c>
      <c r="BJ31" s="137">
        <f>_xll.xSPRDOPT($BW31,$BV31,$CG31,0,$BY31,$BX31,$BZ31,$AJ31,1,6)*$CB31</f>
        <v>-5.7189464127070648E-6</v>
      </c>
      <c r="BK31" s="137">
        <f>_xll.xSPRDOPT($BW31,$BV31,$CG31,0,$BY31,$BX31,$BZ31,$AJ31,1,5)*$CB31</f>
        <v>6.505425043538042E-6</v>
      </c>
      <c r="BL31" s="137">
        <f>_xll.xSPRDOPT(BW31,BV31,CG31,0,BY31,BX31,BZ31,AJ31,1,2)*CB31</f>
        <v>-0.98156235383515433</v>
      </c>
      <c r="BM31" s="137">
        <f>_xll.xSPRDOPT(BW31,BV31,CG31,0,BY31,BX31,BZ31,AJ31,1,1)*CB31</f>
        <v>0.98156235383604706</v>
      </c>
      <c r="BN31" s="137">
        <f>IF(AH31&lt;&gt;0,_xll.xSPRDOPT($BW31,$BV31,$CG31,2*LN(1+CA31/2),$BY31,$BX31,$BZ31,$AJ31,1,8)+(AJ31/365.25)*CH31/AH31,0)</f>
        <v>-5.8570520835092288E-3</v>
      </c>
      <c r="BO31" s="137">
        <f>_xll.xSPRDOPT($BW31,$BV31,$CG31,0,$BY31,$BX31,$BZ31,$AJ31,1,0)</f>
        <v>0.38244580957321339</v>
      </c>
      <c r="BP31" s="137"/>
      <c r="BQ31" s="137"/>
      <c r="BR31" s="137"/>
      <c r="BS31" s="137"/>
      <c r="BV31" s="262">
        <v>3.0601542416452441</v>
      </c>
      <c r="BW31" s="136">
        <v>3.4810000000000003</v>
      </c>
      <c r="BX31" s="137">
        <v>0.55118306690820029</v>
      </c>
      <c r="BY31" s="137">
        <v>0.55118306690820029</v>
      </c>
      <c r="BZ31" s="137">
        <v>1</v>
      </c>
      <c r="CA31" s="137">
        <v>2.2410164045373999E-2</v>
      </c>
      <c r="CB31" s="137">
        <v>0.98156266847823481</v>
      </c>
      <c r="CC31" s="258">
        <v>-0.06</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612</v>
      </c>
      <c r="G32" s="28">
        <f t="shared" si="13"/>
        <v>599.22414755431907</v>
      </c>
      <c r="H32" s="52">
        <f t="shared" si="14"/>
        <v>3.2555269922879173</v>
      </c>
      <c r="I32" s="52">
        <f t="shared" si="15"/>
        <v>3.661</v>
      </c>
      <c r="K32" s="52">
        <f t="shared" si="16"/>
        <v>10.782304418454547</v>
      </c>
      <c r="L32" s="135">
        <f t="shared" si="17"/>
        <v>3.0315010945969334E-6</v>
      </c>
      <c r="N32" s="131">
        <f t="shared" si="48"/>
        <v>0.55763051961597798</v>
      </c>
      <c r="O32" s="131">
        <f t="shared" si="49"/>
        <v>0.55763051961597798</v>
      </c>
      <c r="P32" s="55">
        <f t="shared" si="50"/>
        <v>1.0000000000000002</v>
      </c>
      <c r="Q32" s="135">
        <f>_xll.xSPRDOPT(I32,H32,AQ32,0,O32,N32,P32,D32-$G$5,1,0)*AH32*AU32</f>
        <v>10.782307449955642</v>
      </c>
      <c r="R32" s="135"/>
      <c r="S32" s="181">
        <f>_xll.xSPRDOPT(I32,H32,AQ32,AT32,O32,N32,P32,D32-$G$5,1,2)*AF32*(F32/(1-AR32))*AH32</f>
        <v>-18482.778245411318</v>
      </c>
      <c r="T32" s="181">
        <f>_xll.xSPRDOPT(I32,H32,AQ32,AT32,O32,N32,P32,D32-$G$5,1,1)*AF32*F32*AH32</f>
        <v>17974.501843779399</v>
      </c>
      <c r="U32" s="135"/>
      <c r="V32" s="146">
        <f t="shared" si="18"/>
        <v>11.023961891036077</v>
      </c>
      <c r="W32" s="146"/>
      <c r="X32" s="338">
        <f t="shared" si="19"/>
        <v>0</v>
      </c>
      <c r="Y32" s="338">
        <f t="shared" si="20"/>
        <v>0</v>
      </c>
      <c r="Z32" s="338">
        <f t="shared" si="21"/>
        <v>1.2538153114507387</v>
      </c>
      <c r="AA32" s="338">
        <f t="shared" si="22"/>
        <v>6.3658054635101257E-6</v>
      </c>
      <c r="AB32" s="338">
        <f t="shared" si="23"/>
        <v>0</v>
      </c>
      <c r="AC32" s="338">
        <f t="shared" si="24"/>
        <v>1.2611997343955288</v>
      </c>
      <c r="AF32" s="138">
        <f t="shared" si="25"/>
        <v>1</v>
      </c>
      <c r="AG32" s="138">
        <f t="shared" si="26"/>
        <v>11</v>
      </c>
      <c r="AH32" s="138">
        <f t="shared" si="27"/>
        <v>30</v>
      </c>
      <c r="AI32" s="138">
        <f t="shared" si="51"/>
        <v>319</v>
      </c>
      <c r="AJ32" s="138">
        <f t="shared" si="28"/>
        <v>336</v>
      </c>
      <c r="AL32" s="136">
        <f t="shared" si="29"/>
        <v>3.2109999999999999</v>
      </c>
      <c r="AM32" s="258">
        <f t="shared" si="30"/>
        <v>-5.2499999999999998E-2</v>
      </c>
      <c r="AN32" s="258">
        <f t="shared" si="31"/>
        <v>7.4999999999999997E-3</v>
      </c>
      <c r="AO32" s="258">
        <f t="shared" si="32"/>
        <v>0.45</v>
      </c>
      <c r="AP32" s="258">
        <f t="shared" si="33"/>
        <v>0</v>
      </c>
      <c r="AQ32" s="136">
        <f t="shared" si="34"/>
        <v>3.8399999999999997E-2</v>
      </c>
      <c r="AR32" s="137">
        <f t="shared" si="35"/>
        <v>2.75E-2</v>
      </c>
      <c r="AS32" s="136">
        <f t="shared" si="36"/>
        <v>3.1659999999999995</v>
      </c>
      <c r="AT32" s="137">
        <f t="shared" si="37"/>
        <v>2.3274064967752799E-2</v>
      </c>
      <c r="AU32" s="137">
        <f t="shared" si="38"/>
        <v>0.97912442410836453</v>
      </c>
      <c r="AV32" s="394">
        <f t="shared" si="39"/>
        <v>499.35345629526591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-7.0019127156312019E-7</v>
      </c>
      <c r="BG32" s="137">
        <f>_xll.xSPRDOPT($BW32,$BV32,$CG32,0,$BY32,$BX32,$BZ32,$AJ32,1,3)*$CB32</f>
        <v>-4.6679418104208011E-7</v>
      </c>
      <c r="BH32" s="137">
        <f>IF(OR(BF32&lt;&gt;0,BG32&lt;&gt;0),_xll.xSPRDOPT($BW32,$BV32,$CG32,0,$BY32,$BX32,$BZ32,$AJ32,1,12)*$CB32,0)</f>
        <v>-1.7504781789078005E-7</v>
      </c>
      <c r="BI32" s="137">
        <f>_xll.xSPRDOPT($BW32,$BV32,$CG32,2*LN(1+CA32/2),$BY32,$BX32,$BZ32,$AJ32,1,9)</f>
        <v>8.314379856706286E-3</v>
      </c>
      <c r="BJ32" s="137">
        <f>_xll.xSPRDOPT($BW32,$BV32,$CG32,0,$BY32,$BX32,$BZ32,$AJ32,1,6)*$CB32</f>
        <v>-1.8019616381953346E-5</v>
      </c>
      <c r="BK32" s="137">
        <f>_xll.xSPRDOPT($BW32,$BV32,$CG32,0,$BY32,$BX32,$BZ32,$AJ32,1,5)*$CB32</f>
        <v>2.0263934485465354E-5</v>
      </c>
      <c r="BL32" s="137">
        <f>_xll.xSPRDOPT(BW32,BV32,CG32,0,BY32,BX32,BZ32,AJ32,1,2)*CB32</f>
        <v>-0.97893725677576526</v>
      </c>
      <c r="BM32" s="137">
        <f>_xll.xSPRDOPT(BW32,BV32,CG32,0,BY32,BX32,BZ32,AJ32,1,1)*CB32</f>
        <v>0.97893725678110732</v>
      </c>
      <c r="BN32" s="137">
        <f>IF(AH32&lt;&gt;0,_xll.xSPRDOPT($BW32,$BV32,$CG32,2*LN(1+CA32/2),$BY32,$BX32,$BZ32,$AJ32,1,8)+(AJ32/365.25)*CH32/AH32,0)</f>
        <v>7.4086615030617975E-3</v>
      </c>
      <c r="BO32" s="137">
        <f>_xll.xSPRDOPT($BW32,$BV32,$CG32,0,$BY32,$BX32,$BZ32,$AJ32,1,0)</f>
        <v>0.36707311631172657</v>
      </c>
      <c r="BP32" s="137"/>
      <c r="BQ32" s="137"/>
      <c r="BR32" s="137"/>
      <c r="BS32" s="137"/>
      <c r="BV32" s="262">
        <v>3.2555269922879173</v>
      </c>
      <c r="BW32" s="136">
        <v>3.661</v>
      </c>
      <c r="BX32" s="137">
        <v>0.55747603107447763</v>
      </c>
      <c r="BY32" s="137">
        <v>0.55747603107447763</v>
      </c>
      <c r="BZ32" s="137">
        <v>1</v>
      </c>
      <c r="CA32" s="137">
        <v>2.3274064967752799E-2</v>
      </c>
      <c r="CB32" s="137">
        <v>0.97893835036076038</v>
      </c>
      <c r="CC32" s="258">
        <v>-5.2499999999999998E-2</v>
      </c>
      <c r="CD32" s="258">
        <v>7.4999999999999997E-3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612</v>
      </c>
      <c r="G33" s="28">
        <f t="shared" si="13"/>
        <v>597.59542906651416</v>
      </c>
      <c r="H33" s="52">
        <f t="shared" si="14"/>
        <v>3.4200514138817475</v>
      </c>
      <c r="I33" s="52">
        <f t="shared" si="15"/>
        <v>3.7709999999999999</v>
      </c>
      <c r="K33" s="52">
        <f t="shared" si="16"/>
        <v>9.460957188218222</v>
      </c>
      <c r="L33" s="135">
        <f t="shared" si="17"/>
        <v>2.2759117586090838E-5</v>
      </c>
      <c r="N33" s="131">
        <f t="shared" si="48"/>
        <v>0.57103652777154523</v>
      </c>
      <c r="O33" s="131">
        <f t="shared" si="49"/>
        <v>0.57103652777154523</v>
      </c>
      <c r="P33" s="55">
        <f t="shared" si="50"/>
        <v>1.0000000000000002</v>
      </c>
      <c r="Q33" s="135">
        <f>_xll.xSPRDOPT(I33,H33,AQ33,0,O33,N33,P33,D33-$G$5,1,0)*AH33*AU33</f>
        <v>9.460979947335808</v>
      </c>
      <c r="R33" s="135"/>
      <c r="S33" s="181">
        <f>_xll.xSPRDOPT(I33,H33,AQ33,AT33,O33,N33,P33,D33-$G$5,1,2)*AF33*(F33/(1-AR33))*AH33</f>
        <v>-19046.398535171011</v>
      </c>
      <c r="T33" s="181">
        <f>_xll.xSPRDOPT(I33,H33,AQ33,AT33,O33,N33,P33,D33-$G$5,1,1)*AF33*F33*AH33</f>
        <v>18522.622575540085</v>
      </c>
      <c r="U33" s="135"/>
      <c r="V33" s="146">
        <f t="shared" si="18"/>
        <v>11.360464869915926</v>
      </c>
      <c r="W33" s="146"/>
      <c r="X33" s="338">
        <f t="shared" si="19"/>
        <v>0</v>
      </c>
      <c r="Y33" s="338">
        <f t="shared" si="20"/>
        <v>0</v>
      </c>
      <c r="Z33" s="338">
        <f t="shared" si="21"/>
        <v>1.1388651512398209</v>
      </c>
      <c r="AA33" s="338">
        <f t="shared" si="22"/>
        <v>7.0530573792987561E-5</v>
      </c>
      <c r="AB33" s="338">
        <f t="shared" si="23"/>
        <v>0</v>
      </c>
      <c r="AC33" s="338">
        <f t="shared" si="24"/>
        <v>1.1463892706275489</v>
      </c>
      <c r="AF33" s="138">
        <f t="shared" si="25"/>
        <v>1</v>
      </c>
      <c r="AG33" s="138">
        <f t="shared" si="26"/>
        <v>12</v>
      </c>
      <c r="AH33" s="138">
        <f t="shared" si="27"/>
        <v>31</v>
      </c>
      <c r="AI33" s="138">
        <f t="shared" si="51"/>
        <v>349</v>
      </c>
      <c r="AJ33" s="138">
        <f t="shared" si="28"/>
        <v>366</v>
      </c>
      <c r="AL33" s="136">
        <f t="shared" si="29"/>
        <v>3.371</v>
      </c>
      <c r="AM33" s="258">
        <f t="shared" si="30"/>
        <v>-5.2499999999999998E-2</v>
      </c>
      <c r="AN33" s="258">
        <f t="shared" si="31"/>
        <v>7.4999999999999997E-3</v>
      </c>
      <c r="AO33" s="258">
        <f t="shared" si="32"/>
        <v>0.4</v>
      </c>
      <c r="AP33" s="258">
        <f t="shared" si="33"/>
        <v>0</v>
      </c>
      <c r="AQ33" s="136">
        <f t="shared" si="34"/>
        <v>3.8399999999999997E-2</v>
      </c>
      <c r="AR33" s="137">
        <f t="shared" si="35"/>
        <v>2.75E-2</v>
      </c>
      <c r="AS33" s="136">
        <f t="shared" si="36"/>
        <v>3.3259999999999996</v>
      </c>
      <c r="AT33" s="137">
        <f t="shared" si="37"/>
        <v>2.4110098358835999E-2</v>
      </c>
      <c r="AU33" s="137">
        <f t="shared" si="38"/>
        <v>0.97646311938972907</v>
      </c>
      <c r="AV33" s="394">
        <f t="shared" si="39"/>
        <v>514.59606391838724</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1.0474250714776844E-6</v>
      </c>
      <c r="BG33" s="137">
        <f>_xll.xSPRDOPT($BW33,$BV33,$CG33,0,$BY33,$BX33,$BZ33,$AJ33,1,3)*$CB33</f>
        <v>3.4914169049256147E-7</v>
      </c>
      <c r="BH33" s="137">
        <f>IF(OR(BF33&lt;&gt;0,BG33&lt;&gt;0),_xll.xSPRDOPT($BW33,$BV33,$CG33,0,$BY33,$BX33,$BZ33,$AJ33,1,12)*$CB33,0)</f>
        <v>-2.909514087438012E-7</v>
      </c>
      <c r="BI33" s="137">
        <f>_xll.xSPRDOPT($BW33,$BV33,$CG33,2*LN(1+CA33/2),$BY33,$BX33,$BZ33,$AJ33,1,9)</f>
        <v>7.3084984273375612E-3</v>
      </c>
      <c r="BJ33" s="137">
        <f>_xll.xSPRDOPT($BW33,$BV33,$CG33,0,$BY33,$BX33,$BZ33,$AJ33,1,6)*$CB33</f>
        <v>-1.4695609343470163E-4</v>
      </c>
      <c r="BK33" s="137">
        <f>_xll.xSPRDOPT($BW33,$BV33,$CG33,0,$BY33,$BX33,$BZ33,$AJ33,1,5)*$CB33</f>
        <v>1.6203601395521755E-4</v>
      </c>
      <c r="BL33" s="137">
        <f>_xll.xSPRDOPT(BW33,BV33,CG33,0,BY33,BX33,BZ33,AJ33,1,2)*CB33</f>
        <v>-0.97626144440856466</v>
      </c>
      <c r="BM33" s="137">
        <f>_xll.xSPRDOPT(BW33,BV33,CG33,0,BY33,BX33,BZ33,AJ33,1,1)*CB33</f>
        <v>0.97626144440945262</v>
      </c>
      <c r="BN33" s="137">
        <f>IF(AH33&lt;&gt;0,_xll.xSPRDOPT($BW33,$BV33,$CG33,2*LN(1+CA33/2),$BY33,$BX33,$BZ33,$AJ33,1,8)+(AJ33/365.25)*CH33/AH33,0)</f>
        <v>6.1387408998582138E-2</v>
      </c>
      <c r="BO33" s="137">
        <f>_xll.xSPRDOPT($BW33,$BV33,$CG33,0,$BY33,$BX33,$BZ33,$AJ33,1,0)</f>
        <v>0.31254937054235749</v>
      </c>
      <c r="BP33" s="137"/>
      <c r="BQ33" s="137"/>
      <c r="BR33" s="137"/>
      <c r="BS33" s="137"/>
      <c r="BV33" s="262">
        <v>3.4200514138817475</v>
      </c>
      <c r="BW33" s="136">
        <v>3.7709999999999999</v>
      </c>
      <c r="BX33" s="137">
        <v>0.570790000341453</v>
      </c>
      <c r="BY33" s="137">
        <v>0.570790000341453</v>
      </c>
      <c r="BZ33" s="137">
        <v>1</v>
      </c>
      <c r="CA33" s="137">
        <v>2.4110098358835999E-2</v>
      </c>
      <c r="CB33" s="137">
        <v>0.97627092599980836</v>
      </c>
      <c r="CC33" s="258">
        <v>-5.2499999999999998E-2</v>
      </c>
      <c r="CD33" s="258">
        <v>7.4999999999999997E-3</v>
      </c>
      <c r="CE33" s="258">
        <v>0.4</v>
      </c>
      <c r="CF33" s="258">
        <v>0</v>
      </c>
      <c r="CG33" s="258">
        <v>3.8399999999999997E-2</v>
      </c>
      <c r="CH33" s="258">
        <v>11.358228834359572</v>
      </c>
      <c r="CI33" s="258">
        <v>3.371</v>
      </c>
      <c r="CJ33" s="258"/>
      <c r="CK33" s="258"/>
      <c r="CL33" s="258"/>
      <c r="CM33" s="258"/>
    </row>
    <row r="34" spans="1:91" x14ac:dyDescent="0.25">
      <c r="A34" s="723"/>
      <c r="B34" s="723"/>
      <c r="D34" s="31">
        <f t="shared" ref="D34:D89" si="52">D33+AH33</f>
        <v>37636</v>
      </c>
      <c r="F34" s="28">
        <f t="shared" ref="F34:F89" si="53">VLOOKUP(AG34,$AL$4:$AS$15,2)</f>
        <v>612</v>
      </c>
      <c r="G34" s="28">
        <f t="shared" si="13"/>
        <v>595.79143881317555</v>
      </c>
      <c r="H34" s="52">
        <f t="shared" ref="H34:H89" si="54">(AL34+AM34+AN34)/(1-(AR34))</f>
        <v>3.4971722365038556</v>
      </c>
      <c r="I34" s="52">
        <f t="shared" ref="I34:I89" si="55">(AL34+AO34+AP34)</f>
        <v>3.7960000000000003</v>
      </c>
      <c r="K34" s="52">
        <f t="shared" ref="K34:K89" si="56">MAX(((I34-H34)-AQ34)*AU34*AH34,0)</f>
        <v>7.8896227518487541</v>
      </c>
      <c r="L34" s="135">
        <f t="shared" ref="L34:L89" si="57">MAX(Q34-K34,0)</f>
        <v>1.0243168570234218E-4</v>
      </c>
      <c r="N34" s="131">
        <f t="shared" si="48"/>
        <v>0.5685912571426992</v>
      </c>
      <c r="O34" s="131">
        <f t="shared" si="49"/>
        <v>0.5685912571426992</v>
      </c>
      <c r="P34" s="55">
        <f t="shared" si="50"/>
        <v>0.99999999999999989</v>
      </c>
      <c r="Q34" s="135">
        <f>_xll.xSPRDOPT(I34,H34,AQ34,0,O34,N34,P34,D34-$G$5,1,0)*AH34*AU34</f>
        <v>7.8897251835344564</v>
      </c>
      <c r="R34" s="135"/>
      <c r="S34" s="181">
        <f>_xll.xSPRDOPT(I34,H34,AQ34,AT34,O34,N34,P34,D34-$G$5,1,2)*AF34*(F34/(1-AR34))*AH34</f>
        <v>-18987.301564861329</v>
      </c>
      <c r="T34" s="181">
        <f>_xll.xSPRDOPT(I34,H34,AQ34,AT34,O34,N34,P34,D34-$G$5,1,1)*AF34*F34*AH34</f>
        <v>18465.150771672354</v>
      </c>
      <c r="U34" s="135"/>
      <c r="V34" s="146">
        <f t="shared" ref="V34:V89" si="58">VLOOKUP($AG34,$AL$4:$AS$15,8)*AH34*AU34</f>
        <v>11.32617048461459</v>
      </c>
      <c r="W34" s="146"/>
      <c r="X34" s="338">
        <f t="shared" ref="X34:X89" si="59">((BM34*BC34)+(BL34*BB34))*AH34*F34</f>
        <v>0</v>
      </c>
      <c r="Y34" s="338">
        <f t="shared" si="20"/>
        <v>0</v>
      </c>
      <c r="Z34" s="338">
        <f t="shared" si="21"/>
        <v>0.98317197709831738</v>
      </c>
      <c r="AA34" s="338">
        <f t="shared" si="22"/>
        <v>3.6766673958306173E-4</v>
      </c>
      <c r="AB34" s="338">
        <f t="shared" ref="AB34:AB89" si="60">BN34*(AT34-CA34)*F34*AH34</f>
        <v>0</v>
      </c>
      <c r="AC34" s="338">
        <f t="shared" ref="AC34:AC89" si="61">BO34*CB34*F34*AH34*CA34*($G$5-$BV$5)/365.25</f>
        <v>0.99280253255961848</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-5.2499999999999998E-2</v>
      </c>
      <c r="AN34" s="258">
        <f t="shared" si="31"/>
        <v>7.4999999999999997E-3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3.4009999999999998</v>
      </c>
      <c r="AT34" s="137">
        <f t="shared" ref="AT34:AT89" si="68">VLOOKUP(D34,CurveTbl,$AK$6)</f>
        <v>2.50384261928196E-2</v>
      </c>
      <c r="AU34" s="137">
        <f t="shared" si="38"/>
        <v>0.97351542289734561</v>
      </c>
      <c r="AV34" s="394">
        <f t="shared" ref="AV34:AV89" si="69">ROUND((F34/(1-AR34))-F34,0)*AF34*AH34*AU34</f>
        <v>513.04262786690117</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-1.5083687565723224E-6</v>
      </c>
      <c r="BG34" s="137">
        <f>_xll.xSPRDOPT($BW34,$BV34,$CG34,0,$BY34,$BX34,$BZ34,$AJ34,1,3)*$CB34</f>
        <v>-1.0442552930116078E-6</v>
      </c>
      <c r="BH34" s="137">
        <f>IF(OR(BF34&lt;&gt;0,BG34&lt;&gt;0),_xll.xSPRDOPT($BW34,$BV34,$CG34,0,$BY34,$BX34,$BZ34,$AJ34,1,12)*$CB34,0)</f>
        <v>1.0442552930116078E-6</v>
      </c>
      <c r="BI34" s="137">
        <f>_xll.xSPRDOPT($BW34,$BV34,$CG34,2*LN(1+CA34/2),$BY34,$BX34,$BZ34,$AJ34,1,9)</f>
        <v>6.3093605424689092E-3</v>
      </c>
      <c r="BJ34" s="137">
        <f>_xll.xSPRDOPT($BW34,$BV34,$CG34,0,$BY34,$BX34,$BZ34,$AJ34,1,6)*$CB34</f>
        <v>-9.9599773586368529E-4</v>
      </c>
      <c r="BK34" s="137">
        <f>_xll.xSPRDOPT($BW34,$BV34,$CG34,0,$BY34,$BX34,$BZ34,$AJ34,1,5)*$CB34</f>
        <v>1.0811041433523476E-3</v>
      </c>
      <c r="BL34" s="137">
        <f>_xll.xSPRDOPT(BW34,BV34,CG34,0,BY34,BX34,BZ34,AJ34,1,2)*CB34</f>
        <v>-0.97324917778866282</v>
      </c>
      <c r="BM34" s="137">
        <f>_xll.xSPRDOPT(BW34,BV34,CG34,0,BY34,BX34,BZ34,AJ34,1,1)*CB34</f>
        <v>0.97324917777892528</v>
      </c>
      <c r="BN34" s="137">
        <f>IF(AH34&lt;&gt;0,_xll.xSPRDOPT($BW34,$BV34,$CG34,2*LN(1+CA34/2),$BY34,$BX34,$BZ34,$AJ34,1,8)+(AJ34/365.25)*CH34/AH34,0)</f>
        <v>0.12046437156587003</v>
      </c>
      <c r="BO34" s="137">
        <f>_xll.xSPRDOPT($BW34,$BV34,$CG34,0,$BY34,$BX34,$BZ34,$AJ34,1,0)</f>
        <v>0.26143132657793972</v>
      </c>
      <c r="BP34" s="137"/>
      <c r="BQ34" s="137"/>
      <c r="BR34" s="137"/>
      <c r="BS34" s="137"/>
      <c r="BV34" s="262">
        <v>3.4971722365038556</v>
      </c>
      <c r="BW34" s="136">
        <v>3.7960000000000003</v>
      </c>
      <c r="BX34" s="137">
        <v>0.56836354878586004</v>
      </c>
      <c r="BY34" s="137">
        <v>0.56836354878586004</v>
      </c>
      <c r="BZ34" s="137">
        <v>1</v>
      </c>
      <c r="CA34" s="137">
        <v>2.50384261928196E-2</v>
      </c>
      <c r="CB34" s="137">
        <v>0.97331647833327972</v>
      </c>
      <c r="CC34" s="258">
        <v>-5.2499999999999998E-2</v>
      </c>
      <c r="CD34" s="258">
        <v>7.4999999999999997E-3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52"/>
        <v>37667</v>
      </c>
      <c r="F35" s="28">
        <f t="shared" si="53"/>
        <v>612</v>
      </c>
      <c r="G35" s="28">
        <f t="shared" si="13"/>
        <v>593.84735983502014</v>
      </c>
      <c r="H35" s="52">
        <f t="shared" si="54"/>
        <v>3.4200514138817475</v>
      </c>
      <c r="I35" s="52">
        <f t="shared" si="55"/>
        <v>3.7210000000000001</v>
      </c>
      <c r="K35" s="52">
        <f t="shared" si="56"/>
        <v>7.1604798979218121</v>
      </c>
      <c r="L35" s="135">
        <f t="shared" si="57"/>
        <v>1.055977708297462E-4</v>
      </c>
      <c r="N35" s="131">
        <f t="shared" si="48"/>
        <v>0.5545383214891465</v>
      </c>
      <c r="O35" s="131">
        <f t="shared" si="49"/>
        <v>0.5545383214891465</v>
      </c>
      <c r="P35" s="55">
        <f t="shared" si="50"/>
        <v>1</v>
      </c>
      <c r="Q35" s="135">
        <f>_xll.xSPRDOPT(I35,H35,AQ35,0,O35,N35,P35,D35-$G$5,1,0)*AH35*AU35</f>
        <v>7.1605854956926418</v>
      </c>
      <c r="R35" s="135"/>
      <c r="S35" s="181">
        <f>_xll.xSPRDOPT(I35,H35,AQ35,AT35,O35,N35,P35,D35-$G$5,1,2)*AF35*(F35/(1-AR35))*AH35</f>
        <v>-17093.418987120014</v>
      </c>
      <c r="T35" s="181">
        <f>_xll.xSPRDOPT(I35,H35,AQ35,AT35,O35,N35,P35,D35-$G$5,1,1)*AF35*F35*AH35</f>
        <v>16623.349965348258</v>
      </c>
      <c r="U35" s="135"/>
      <c r="V35" s="146">
        <f t="shared" si="58"/>
        <v>10.196708490343671</v>
      </c>
      <c r="W35" s="146"/>
      <c r="X35" s="338">
        <f t="shared" si="59"/>
        <v>0</v>
      </c>
      <c r="Y35" s="338">
        <f t="shared" si="20"/>
        <v>0</v>
      </c>
      <c r="Z35" s="338">
        <f t="shared" si="21"/>
        <v>0.92834694519893879</v>
      </c>
      <c r="AA35" s="338">
        <f t="shared" si="22"/>
        <v>2.7311085479174945E-4</v>
      </c>
      <c r="AB35" s="338">
        <f t="shared" si="60"/>
        <v>0</v>
      </c>
      <c r="AC35" s="338">
        <f t="shared" si="61"/>
        <v>0.9372664588429257</v>
      </c>
      <c r="AF35" s="138">
        <f t="shared" si="62"/>
        <v>1</v>
      </c>
      <c r="AG35" s="138">
        <f t="shared" si="63"/>
        <v>2</v>
      </c>
      <c r="AH35" s="138">
        <f t="shared" si="27"/>
        <v>28</v>
      </c>
      <c r="AI35" s="138">
        <f t="shared" si="64"/>
        <v>411</v>
      </c>
      <c r="AJ35" s="138">
        <f t="shared" si="65"/>
        <v>428</v>
      </c>
      <c r="AL35" s="136">
        <f t="shared" si="29"/>
        <v>3.371</v>
      </c>
      <c r="AM35" s="258">
        <f t="shared" si="30"/>
        <v>-5.2499999999999998E-2</v>
      </c>
      <c r="AN35" s="258">
        <f t="shared" si="31"/>
        <v>7.4999999999999997E-3</v>
      </c>
      <c r="AO35" s="258">
        <f t="shared" si="32"/>
        <v>0.35</v>
      </c>
      <c r="AP35" s="258">
        <f t="shared" si="33"/>
        <v>0</v>
      </c>
      <c r="AQ35" s="136">
        <f t="shared" si="66"/>
        <v>3.7400000000000003E-2</v>
      </c>
      <c r="AR35" s="137">
        <f t="shared" si="35"/>
        <v>2.75E-2</v>
      </c>
      <c r="AS35" s="136">
        <f t="shared" si="67"/>
        <v>3.3259999999999996</v>
      </c>
      <c r="AT35" s="137">
        <f t="shared" si="68"/>
        <v>2.6044986419747399E-2</v>
      </c>
      <c r="AU35" s="137">
        <f t="shared" si="38"/>
        <v>0.97033882325983689</v>
      </c>
      <c r="AV35" s="394">
        <f t="shared" si="69"/>
        <v>461.88127987168235</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6.93892914141628E-7</v>
      </c>
      <c r="BG35" s="137">
        <f>_xll.xSPRDOPT($BW35,$BV35,$CG35,0,$BY35,$BX35,$BZ35,$AJ35,1,3)*$CB35</f>
        <v>6.93892914141628E-7</v>
      </c>
      <c r="BH35" s="137">
        <f>IF(OR(BF35&lt;&gt;0,BG35&lt;&gt;0),_xll.xSPRDOPT($BW35,$BV35,$CG35,0,$BY35,$BX35,$BZ35,$AJ35,1,12)*$CB35,0)</f>
        <v>-8.0954173316523264E-7</v>
      </c>
      <c r="BI35" s="137">
        <f>_xll.xSPRDOPT($BW35,$BV35,$CG35,2*LN(1+CA35/2),$BY35,$BX35,$BZ35,$AJ35,1,9)</f>
        <v>6.5958357013288296E-3</v>
      </c>
      <c r="BJ35" s="137">
        <f>_xll.xSPRDOPT($BW35,$BV35,$CG35,0,$BY35,$BX35,$BZ35,$AJ35,1,6)*$CB35</f>
        <v>-9.7939776024797169E-4</v>
      </c>
      <c r="BK35" s="137">
        <f>_xll.xSPRDOPT($BW35,$BV35,$CG35,0,$BY35,$BX35,$BZ35,$AJ35,1,5)*$CB35</f>
        <v>1.0655802011201641E-3</v>
      </c>
      <c r="BL35" s="137">
        <f>_xll.xSPRDOPT(BW35,BV35,CG35,0,BY35,BX35,BZ35,AJ35,1,2)*CB35</f>
        <v>-0.97006755016435109</v>
      </c>
      <c r="BM35" s="137">
        <f>_xll.xSPRDOPT(BW35,BV35,CG35,0,BY35,BX35,BZ35,AJ35,1,1)*CB35</f>
        <v>0.97006755018552704</v>
      </c>
      <c r="BN35" s="137">
        <f>IF(AH35&lt;&gt;0,_xll.xSPRDOPT($BW35,$BV35,$CG35,2*LN(1+CA35/2),$BY35,$BX35,$BZ35,$AJ35,1,8)+(AJ35/365.25)*CH35/AH35,0)</f>
        <v>0.1270345806240965</v>
      </c>
      <c r="BO35" s="137">
        <f>_xll.xSPRDOPT($BW35,$BV35,$CG35,0,$BY35,$BX35,$BZ35,$AJ35,1,0)</f>
        <v>0.26355262984737621</v>
      </c>
      <c r="BP35" s="137"/>
      <c r="BQ35" s="137"/>
      <c r="BR35" s="137"/>
      <c r="BS35" s="137"/>
      <c r="BV35" s="262">
        <v>3.4200514138817475</v>
      </c>
      <c r="BW35" s="136">
        <v>3.7210000000000001</v>
      </c>
      <c r="BX35" s="137">
        <v>0.55435339006338402</v>
      </c>
      <c r="BY35" s="137">
        <v>0.55435339006338402</v>
      </c>
      <c r="BZ35" s="137">
        <v>1</v>
      </c>
      <c r="CA35" s="137">
        <v>2.6044986419747399E-2</v>
      </c>
      <c r="CB35" s="137">
        <v>0.97013260845196225</v>
      </c>
      <c r="CC35" s="258">
        <v>-5.2499999999999998E-2</v>
      </c>
      <c r="CD35" s="258">
        <v>7.4999999999999997E-3</v>
      </c>
      <c r="CE35" s="258">
        <v>0.35</v>
      </c>
      <c r="CF35" s="258">
        <v>0</v>
      </c>
      <c r="CG35" s="258">
        <v>3.7400000000000003E-2</v>
      </c>
      <c r="CH35" s="258">
        <v>10.1945415026566</v>
      </c>
      <c r="CI35" s="258">
        <v>3.371</v>
      </c>
      <c r="CJ35" s="258"/>
      <c r="CK35" s="258"/>
      <c r="CL35" s="258"/>
      <c r="CM35" s="258"/>
    </row>
    <row r="36" spans="1:91" x14ac:dyDescent="0.25">
      <c r="A36" s="723"/>
      <c r="B36" s="723"/>
      <c r="D36" s="31">
        <f t="shared" si="52"/>
        <v>37695</v>
      </c>
      <c r="F36" s="28">
        <f t="shared" si="53"/>
        <v>612</v>
      </c>
      <c r="G36" s="28">
        <f t="shared" si="13"/>
        <v>592.01133035024498</v>
      </c>
      <c r="H36" s="52">
        <f t="shared" si="54"/>
        <v>3.3275064267352183</v>
      </c>
      <c r="I36" s="52">
        <f t="shared" si="55"/>
        <v>3.681</v>
      </c>
      <c r="K36" s="52">
        <f t="shared" si="56"/>
        <v>9.4788566691716145</v>
      </c>
      <c r="L36" s="135">
        <f t="shared" si="57"/>
        <v>1.4177995053543668E-5</v>
      </c>
      <c r="N36" s="131">
        <f t="shared" si="48"/>
        <v>0.50303598357381651</v>
      </c>
      <c r="O36" s="131">
        <f t="shared" si="49"/>
        <v>0.50303598357381651</v>
      </c>
      <c r="P36" s="55">
        <f t="shared" si="50"/>
        <v>1</v>
      </c>
      <c r="Q36" s="135">
        <f>_xll.xSPRDOPT(I36,H36,AQ36,0,O36,N36,P36,D36-$G$5,1,0)*AH36*AU36</f>
        <v>9.4788708471666681</v>
      </c>
      <c r="R36" s="135"/>
      <c r="S36" s="181">
        <f>_xll.xSPRDOPT(I36,H36,AQ36,AT36,O36,N36,P36,D36-$G$5,1,2)*AF36*(F36/(1-AR36))*AH36</f>
        <v>-18866.906792962098</v>
      </c>
      <c r="T36" s="181">
        <f>_xll.xSPRDOPT(I36,H36,AQ36,AT36,O36,N36,P36,D36-$G$5,1,1)*AF36*F36*AH36</f>
        <v>18348.066856000347</v>
      </c>
      <c r="U36" s="135"/>
      <c r="V36" s="146">
        <f t="shared" si="58"/>
        <v>11.254309510937674</v>
      </c>
      <c r="W36" s="146"/>
      <c r="X36" s="338">
        <f t="shared" si="59"/>
        <v>0</v>
      </c>
      <c r="Y36" s="338">
        <f t="shared" si="20"/>
        <v>0</v>
      </c>
      <c r="Z36" s="338">
        <f t="shared" si="21"/>
        <v>1.2748875624511842</v>
      </c>
      <c r="AA36" s="338">
        <f t="shared" si="22"/>
        <v>3.3282169553612819E-5</v>
      </c>
      <c r="AB36" s="338">
        <f t="shared" si="60"/>
        <v>0</v>
      </c>
      <c r="AC36" s="338">
        <f t="shared" si="61"/>
        <v>1.2840118645285943</v>
      </c>
      <c r="AF36" s="138">
        <f t="shared" si="62"/>
        <v>1</v>
      </c>
      <c r="AG36" s="138">
        <f t="shared" si="63"/>
        <v>3</v>
      </c>
      <c r="AH36" s="138">
        <f t="shared" si="27"/>
        <v>31</v>
      </c>
      <c r="AI36" s="138">
        <f t="shared" si="64"/>
        <v>439</v>
      </c>
      <c r="AJ36" s="138">
        <f t="shared" si="65"/>
        <v>456</v>
      </c>
      <c r="AL36" s="136">
        <f t="shared" si="29"/>
        <v>3.2810000000000001</v>
      </c>
      <c r="AM36" s="258">
        <f t="shared" si="30"/>
        <v>-5.2499999999999998E-2</v>
      </c>
      <c r="AN36" s="258">
        <f t="shared" si="31"/>
        <v>7.4999999999999997E-3</v>
      </c>
      <c r="AO36" s="258">
        <f t="shared" si="32"/>
        <v>0.4</v>
      </c>
      <c r="AP36" s="258">
        <f t="shared" si="33"/>
        <v>0</v>
      </c>
      <c r="AQ36" s="136">
        <f t="shared" si="66"/>
        <v>3.7400000000000003E-2</v>
      </c>
      <c r="AR36" s="137">
        <f t="shared" si="35"/>
        <v>2.75E-2</v>
      </c>
      <c r="AS36" s="136">
        <f t="shared" si="67"/>
        <v>3.2359999999999998</v>
      </c>
      <c r="AT36" s="137">
        <f t="shared" si="68"/>
        <v>2.6954137886657601E-2</v>
      </c>
      <c r="AU36" s="137">
        <f t="shared" si="38"/>
        <v>0.96733877508209964</v>
      </c>
      <c r="AV36" s="394">
        <f t="shared" si="69"/>
        <v>509.78753446826653</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8.0703288228276672E-7</v>
      </c>
      <c r="BG36" s="137">
        <f>_xll.xSPRDOPT($BW36,$BV36,$CG36,0,$BY36,$BX36,$BZ36,$AJ36,1,3)*$CB36</f>
        <v>2.3058082350936192E-7</v>
      </c>
      <c r="BH36" s="137">
        <f>IF(OR(BF36&lt;&gt;0,BG36&lt;&gt;0),_xll.xSPRDOPT($BW36,$BV36,$CG36,0,$BY36,$BX36,$BZ36,$AJ36,1,12)*$CB36,0)</f>
        <v>-1.1529041175468096E-7</v>
      </c>
      <c r="BI36" s="137">
        <f>_xll.xSPRDOPT($BW36,$BV36,$CG36,2*LN(1+CA36/2),$BY36,$BX36,$BZ36,$AJ36,1,9)</f>
        <v>8.1814021045979162E-3</v>
      </c>
      <c r="BJ36" s="137">
        <f>_xll.xSPRDOPT($BW36,$BV36,$CG36,0,$BY36,$BX36,$BZ36,$AJ36,1,6)*$CB36</f>
        <v>-1.6461991371508232E-4</v>
      </c>
      <c r="BK36" s="137">
        <f>_xll.xSPRDOPT($BW36,$BV36,$CG36,0,$BY36,$BX36,$BZ36,$AJ36,1,5)*$CB36</f>
        <v>1.8210811285657101E-4</v>
      </c>
      <c r="BL36" s="137">
        <f>_xll.xSPRDOPT(BW36,BV36,CG36,0,BY36,BX36,BZ36,AJ36,1,2)*CB36</f>
        <v>-0.96711626869572453</v>
      </c>
      <c r="BM36" s="137">
        <f>_xll.xSPRDOPT(BW36,BV36,CG36,0,BY36,BX36,BZ36,AJ36,1,1)*CB36</f>
        <v>0.96711626868692857</v>
      </c>
      <c r="BN36" s="137">
        <f>IF(AH36&lt;&gt;0,_xll.xSPRDOPT($BW36,$BV36,$CG36,2*LN(1+CA36/2),$BY36,$BX36,$BZ36,$AJ36,1,8)+(AJ36/365.25)*CH36/AH36,0)</f>
        <v>7.1486310675281883E-2</v>
      </c>
      <c r="BO36" s="137">
        <f>_xll.xSPRDOPT($BW36,$BV36,$CG36,0,$BY36,$BX36,$BZ36,$AJ36,1,0)</f>
        <v>0.31609407432401637</v>
      </c>
      <c r="BP36" s="137"/>
      <c r="BQ36" s="137"/>
      <c r="BR36" s="137"/>
      <c r="BS36" s="137"/>
      <c r="BV36" s="262">
        <v>3.3275064267352183</v>
      </c>
      <c r="BW36" s="136">
        <v>3.681</v>
      </c>
      <c r="BX36" s="137">
        <v>0.50293567145062035</v>
      </c>
      <c r="BY36" s="137">
        <v>0.50293567145062035</v>
      </c>
      <c r="BZ36" s="137">
        <v>1</v>
      </c>
      <c r="CA36" s="137">
        <v>2.6954137886657601E-2</v>
      </c>
      <c r="CB36" s="137">
        <v>0.96712607036861076</v>
      </c>
      <c r="CC36" s="258">
        <v>-5.2499999999999998E-2</v>
      </c>
      <c r="CD36" s="258">
        <v>7.4999999999999997E-3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52"/>
        <v>37726</v>
      </c>
      <c r="F37" s="28">
        <f t="shared" si="53"/>
        <v>612</v>
      </c>
      <c r="G37" s="28">
        <f t="shared" si="13"/>
        <v>589.88019172937925</v>
      </c>
      <c r="H37" s="52">
        <f t="shared" si="54"/>
        <v>3.1655526992287912</v>
      </c>
      <c r="I37" s="52">
        <f t="shared" si="55"/>
        <v>3.726</v>
      </c>
      <c r="K37" s="52">
        <f t="shared" si="56"/>
        <v>15.124276571688966</v>
      </c>
      <c r="L37" s="135">
        <f t="shared" si="57"/>
        <v>1.6561929658820418E-6</v>
      </c>
      <c r="N37" s="131">
        <f t="shared" si="48"/>
        <v>0.38888404308877494</v>
      </c>
      <c r="O37" s="131">
        <f t="shared" si="49"/>
        <v>0.38888404308877494</v>
      </c>
      <c r="P37" s="55">
        <f t="shared" si="50"/>
        <v>1.0000000000000002</v>
      </c>
      <c r="Q37" s="135">
        <f>_xll.xSPRDOPT(I37,H37,AQ37,0,O37,N37,P37,D37-$G$5,1,0)*AH37*AU37</f>
        <v>15.124278227881932</v>
      </c>
      <c r="R37" s="135"/>
      <c r="S37" s="181">
        <f>_xll.xSPRDOPT(I37,H37,AQ37,AT37,O37,N37,P37,D37-$G$5,1,2)*AF37*(F37/(1-AR37))*AH37</f>
        <v>-18192.14683539926</v>
      </c>
      <c r="T37" s="181">
        <f>_xll.xSPRDOPT(I37,H37,AQ37,AT37,O37,N37,P37,D37-$G$5,1,1)*AF37*F37*AH37</f>
        <v>17691.86279715861</v>
      </c>
      <c r="U37" s="135"/>
      <c r="V37" s="146">
        <f t="shared" si="58"/>
        <v>10.852060586080198</v>
      </c>
      <c r="W37" s="146"/>
      <c r="X37" s="338">
        <f t="shared" si="59"/>
        <v>0</v>
      </c>
      <c r="Y37" s="338">
        <f t="shared" si="20"/>
        <v>0</v>
      </c>
      <c r="Z37" s="338">
        <f t="shared" si="21"/>
        <v>2.1115547442031772</v>
      </c>
      <c r="AA37" s="338">
        <f t="shared" si="22"/>
        <v>-8.6402954195912482E-9</v>
      </c>
      <c r="AB37" s="338">
        <f t="shared" si="60"/>
        <v>0</v>
      </c>
      <c r="AC37" s="338">
        <f t="shared" si="61"/>
        <v>2.126286802270251</v>
      </c>
      <c r="AF37" s="138">
        <f t="shared" si="62"/>
        <v>1</v>
      </c>
      <c r="AG37" s="138">
        <f t="shared" si="63"/>
        <v>4</v>
      </c>
      <c r="AH37" s="138">
        <f t="shared" si="27"/>
        <v>30</v>
      </c>
      <c r="AI37" s="138">
        <f t="shared" si="64"/>
        <v>470</v>
      </c>
      <c r="AJ37" s="138">
        <f t="shared" si="65"/>
        <v>487</v>
      </c>
      <c r="AL37" s="136">
        <f t="shared" si="29"/>
        <v>3.1259999999999999</v>
      </c>
      <c r="AM37" s="258">
        <f t="shared" si="30"/>
        <v>-5.5E-2</v>
      </c>
      <c r="AN37" s="258">
        <f t="shared" si="31"/>
        <v>7.4999999999999997E-3</v>
      </c>
      <c r="AO37" s="258">
        <f t="shared" si="32"/>
        <v>0.6</v>
      </c>
      <c r="AP37" s="258">
        <f t="shared" si="33"/>
        <v>0</v>
      </c>
      <c r="AQ37" s="136">
        <f t="shared" si="66"/>
        <v>3.7400000000000003E-2</v>
      </c>
      <c r="AR37" s="137">
        <f t="shared" si="35"/>
        <v>2.75E-2</v>
      </c>
      <c r="AS37" s="136">
        <f t="shared" si="67"/>
        <v>3.0784999999999996</v>
      </c>
      <c r="AT37" s="137">
        <f t="shared" si="68"/>
        <v>2.79745964320606E-2</v>
      </c>
      <c r="AU37" s="137">
        <f t="shared" si="38"/>
        <v>0.96385652243362618</v>
      </c>
      <c r="AV37" s="394">
        <f t="shared" si="69"/>
        <v>491.56682644114937</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0</v>
      </c>
      <c r="BG37" s="137">
        <f>_xll.xSPRDOPT($BW37,$BV37,$CG37,0,$BY37,$BX37,$BZ37,$AJ37,1,3)*$CB37</f>
        <v>-4.5949774550929977E-7</v>
      </c>
      <c r="BH37" s="137">
        <f>IF(OR(BF37&lt;&gt;0,BG37&lt;&gt;0),_xll.xSPRDOPT($BW37,$BV37,$CG37,0,$BY37,$BX37,$BZ37,$AJ37,1,12)*$CB37,0)</f>
        <v>6.8924661826394968E-7</v>
      </c>
      <c r="BI37" s="137">
        <f>_xll.xSPRDOPT($BW37,$BV37,$CG37,2*LN(1+CA37/2),$BY37,$BX37,$BZ37,$AJ37,1,9)</f>
        <v>1.4002276149604403E-2</v>
      </c>
      <c r="BJ37" s="137">
        <f>_xll.xSPRDOPT($BW37,$BV37,$CG37,0,$BY37,$BX37,$BZ37,$AJ37,1,6)*$CB37</f>
        <v>3.1301233408178423E-7</v>
      </c>
      <c r="BK37" s="137">
        <f>_xll.xSPRDOPT($BW37,$BV37,$CG37,0,$BY37,$BX37,$BZ37,$AJ37,1,5)*$CB37</f>
        <v>-3.6842048365473896E-7</v>
      </c>
      <c r="BL37" s="137">
        <f>_xll.xSPRDOPT(BW37,BV37,CG37,0,BY37,BX37,BZ37,AJ37,1,2)*CB37</f>
        <v>-0.96363672266494749</v>
      </c>
      <c r="BM37" s="137">
        <f>_xll.xSPRDOPT(BW37,BV37,CG37,0,BY37,BX37,BZ37,AJ37,1,1)*CB37</f>
        <v>0.96363672264216049</v>
      </c>
      <c r="BN37" s="137">
        <f>IF(AH37&lt;&gt;0,_xll.xSPRDOPT($BW37,$BV37,$CG37,2*LN(1+CA37/2),$BY37,$BX37,$BZ37,$AJ37,1,8)+(AJ37/365.25)*CH37/AH37,0)</f>
        <v>-0.18983301875306613</v>
      </c>
      <c r="BO37" s="137">
        <f>_xll.xSPRDOPT($BW37,$BV37,$CG37,0,$BY37,$BX37,$BZ37,$AJ37,1,0)</f>
        <v>0.52304735797942103</v>
      </c>
      <c r="BP37" s="137"/>
      <c r="BQ37" s="137"/>
      <c r="BR37" s="137"/>
      <c r="BS37" s="137"/>
      <c r="BV37" s="262">
        <v>3.1655526992287912</v>
      </c>
      <c r="BW37" s="136">
        <v>3.726</v>
      </c>
      <c r="BX37" s="137">
        <v>0.38887554967527327</v>
      </c>
      <c r="BY37" s="137">
        <v>0.38887554967527327</v>
      </c>
      <c r="BZ37" s="137">
        <v>1</v>
      </c>
      <c r="CA37" s="137">
        <v>2.79745964320606E-2</v>
      </c>
      <c r="CB37" s="137">
        <v>0.96363661599031902</v>
      </c>
      <c r="CC37" s="258">
        <v>-5.5E-2</v>
      </c>
      <c r="CD37" s="258">
        <v>7.4999999999999997E-3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52"/>
        <v>37756</v>
      </c>
      <c r="F38" s="28">
        <f t="shared" si="53"/>
        <v>612</v>
      </c>
      <c r="G38" s="28">
        <f t="shared" si="13"/>
        <v>587.72902488269983</v>
      </c>
      <c r="H38" s="52">
        <f t="shared" si="54"/>
        <v>3.1665809768637527</v>
      </c>
      <c r="I38" s="52">
        <f t="shared" si="55"/>
        <v>3.8769999999999998</v>
      </c>
      <c r="K38" s="52">
        <f t="shared" si="56"/>
        <v>20.036171960876771</v>
      </c>
      <c r="L38" s="135">
        <f t="shared" si="57"/>
        <v>2.2028949295815892E-6</v>
      </c>
      <c r="N38" s="131">
        <f t="shared" si="48"/>
        <v>0.3761805213924197</v>
      </c>
      <c r="O38" s="131">
        <f t="shared" si="49"/>
        <v>0.3761805213924197</v>
      </c>
      <c r="P38" s="55">
        <f t="shared" si="50"/>
        <v>1.0000000000000002</v>
      </c>
      <c r="Q38" s="135">
        <f>_xll.xSPRDOPT(I38,H38,AQ38,0,O38,N38,P38,D38-$G$5,1,0)*AH38*AU38</f>
        <v>20.036174163771701</v>
      </c>
      <c r="R38" s="135"/>
      <c r="S38" s="181">
        <f>_xll.xSPRDOPT(I38,H38,AQ38,AT38,O38,N38,P38,D38-$G$5,1,2)*AF38*(F38/(1-AR38))*AH38</f>
        <v>-18729.333547925948</v>
      </c>
      <c r="T38" s="181">
        <f>_xll.xSPRDOPT(I38,H38,AQ38,AT38,O38,N38,P38,D38-$G$5,1,1)*AF38*F38*AH38</f>
        <v>18214.276875496027</v>
      </c>
      <c r="U38" s="135"/>
      <c r="V38" s="146">
        <f t="shared" si="58"/>
        <v>11.172901624498031</v>
      </c>
      <c r="W38" s="146"/>
      <c r="X38" s="338">
        <f t="shared" si="59"/>
        <v>0</v>
      </c>
      <c r="Y38" s="338">
        <f t="shared" si="20"/>
        <v>0</v>
      </c>
      <c r="Z38" s="338">
        <f t="shared" si="21"/>
        <v>2.8954450044326432</v>
      </c>
      <c r="AA38" s="338">
        <f t="shared" si="22"/>
        <v>-2.9155588504285314E-8</v>
      </c>
      <c r="AB38" s="338">
        <f t="shared" si="60"/>
        <v>0</v>
      </c>
      <c r="AC38" s="338">
        <f t="shared" si="61"/>
        <v>2.9163585778560512</v>
      </c>
      <c r="AF38" s="138">
        <f t="shared" si="62"/>
        <v>1</v>
      </c>
      <c r="AG38" s="138">
        <f t="shared" si="63"/>
        <v>5</v>
      </c>
      <c r="AH38" s="138">
        <f t="shared" si="27"/>
        <v>31</v>
      </c>
      <c r="AI38" s="138">
        <f t="shared" si="64"/>
        <v>500</v>
      </c>
      <c r="AJ38" s="138">
        <f t="shared" si="65"/>
        <v>517</v>
      </c>
      <c r="AL38" s="136">
        <f t="shared" si="29"/>
        <v>3.1269999999999998</v>
      </c>
      <c r="AM38" s="258">
        <f t="shared" si="30"/>
        <v>-5.5E-2</v>
      </c>
      <c r="AN38" s="258">
        <f t="shared" si="31"/>
        <v>7.4999999999999997E-3</v>
      </c>
      <c r="AO38" s="258">
        <f t="shared" si="32"/>
        <v>0.75</v>
      </c>
      <c r="AP38" s="258">
        <f t="shared" si="33"/>
        <v>0</v>
      </c>
      <c r="AQ38" s="136">
        <f t="shared" si="66"/>
        <v>3.7400000000000003E-2</v>
      </c>
      <c r="AR38" s="137">
        <f t="shared" si="35"/>
        <v>2.75E-2</v>
      </c>
      <c r="AS38" s="136">
        <f t="shared" si="67"/>
        <v>3.0794999999999995</v>
      </c>
      <c r="AT38" s="137">
        <f t="shared" si="68"/>
        <v>2.8963180076380102E-2</v>
      </c>
      <c r="AU38" s="137">
        <f t="shared" si="38"/>
        <v>0.96034154392598015</v>
      </c>
      <c r="AV38" s="394">
        <f t="shared" si="69"/>
        <v>506.09999364899153</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-2.0601827564322421E-6</v>
      </c>
      <c r="BG38" s="137">
        <f>_xll.xSPRDOPT($BW38,$BV38,$CG38,0,$BY38,$BX38,$BZ38,$AJ38,1,3)*$CB38</f>
        <v>-1.1445459757956901E-6</v>
      </c>
      <c r="BH38" s="137">
        <f>IF(OR(BF38&lt;&gt;0,BG38&lt;&gt;0),_xll.xSPRDOPT($BW38,$BV38,$CG38,0,$BY38,$BX38,$BZ38,$AJ38,1,12)*$CB38,0)</f>
        <v>5.7227298789784504E-7</v>
      </c>
      <c r="BI38" s="137">
        <f>_xll.xSPRDOPT($BW38,$BV38,$CG38,2*LN(1+CA38/2),$BY38,$BX38,$BZ38,$AJ38,1,9)</f>
        <v>1.8581089462875514E-2</v>
      </c>
      <c r="BJ38" s="137">
        <f>_xll.xSPRDOPT($BW38,$BV38,$CG38,0,$BY38,$BX38,$BZ38,$AJ38,1,6)*$CB38</f>
        <v>3.23288235434412E-7</v>
      </c>
      <c r="BK38" s="137">
        <f>_xll.xSPRDOPT($BW38,$BV38,$CG38,0,$BY38,$BX38,$BZ38,$AJ38,1,5)*$CB38</f>
        <v>-3.9580599672809282E-7</v>
      </c>
      <c r="BL38" s="137">
        <f>_xll.xSPRDOPT(BW38,BV38,CG38,0,BY38,BX38,BZ38,AJ38,1,2)*CB38</f>
        <v>-0.9601148594080412</v>
      </c>
      <c r="BM38" s="137">
        <f>_xll.xSPRDOPT(BW38,BV38,CG38,0,BY38,BX38,BZ38,AJ38,1,1)*CB38</f>
        <v>0.96011485941153407</v>
      </c>
      <c r="BN38" s="137">
        <f>IF(AH38&lt;&gt;0,_xll.xSPRDOPT($BW38,$BV38,$CG38,2*LN(1+CA38/2),$BY38,$BX38,$BZ38,$AJ38,1,8)+(AJ38/365.25)*CH38/AH38,0)</f>
        <v>-0.40460398385315754</v>
      </c>
      <c r="BO38" s="137">
        <f>_xll.xSPRDOPT($BW38,$BV38,$CG38,0,$BY38,$BX38,$BZ38,$AJ38,1,0)</f>
        <v>0.67301909705107443</v>
      </c>
      <c r="BP38" s="137"/>
      <c r="BQ38" s="137"/>
      <c r="BR38" s="137"/>
      <c r="BS38" s="137"/>
      <c r="BV38" s="262">
        <v>3.1665809768637527</v>
      </c>
      <c r="BW38" s="136">
        <v>3.8769999999999998</v>
      </c>
      <c r="BX38" s="137">
        <v>0.37615932976510713</v>
      </c>
      <c r="BY38" s="137">
        <v>0.37615932976510713</v>
      </c>
      <c r="BZ38" s="137">
        <v>1</v>
      </c>
      <c r="CA38" s="137">
        <v>2.8963180076380102E-2</v>
      </c>
      <c r="CB38" s="137">
        <v>0.96011475289275328</v>
      </c>
      <c r="CC38" s="258">
        <v>-5.5E-2</v>
      </c>
      <c r="CD38" s="258">
        <v>7.4999999999999997E-3</v>
      </c>
      <c r="CE38" s="258">
        <v>0.75</v>
      </c>
      <c r="CF38" s="258">
        <v>0</v>
      </c>
      <c r="CG38" s="258">
        <v>3.7400000000000003E-2</v>
      </c>
      <c r="CH38" s="258">
        <v>11.170263069580161</v>
      </c>
      <c r="CI38" s="258">
        <v>3.1269999999999998</v>
      </c>
      <c r="CJ38" s="258"/>
      <c r="CK38" s="258"/>
      <c r="CL38" s="258"/>
      <c r="CM38" s="258"/>
    </row>
    <row r="39" spans="1:91" x14ac:dyDescent="0.25">
      <c r="A39" s="723"/>
      <c r="B39" s="723"/>
      <c r="D39" s="31">
        <f t="shared" si="52"/>
        <v>37787</v>
      </c>
      <c r="F39" s="28">
        <f t="shared" si="53"/>
        <v>612</v>
      </c>
      <c r="G39" s="28">
        <f t="shared" si="13"/>
        <v>585.4163471498548</v>
      </c>
      <c r="H39" s="52">
        <f t="shared" si="54"/>
        <v>3.2051413881748068</v>
      </c>
      <c r="I39" s="52">
        <f t="shared" si="55"/>
        <v>4.0119999999999996</v>
      </c>
      <c r="K39" s="52">
        <f t="shared" si="56"/>
        <v>22.081061265573648</v>
      </c>
      <c r="L39" s="135">
        <f t="shared" si="57"/>
        <v>2.403857148891575E-6</v>
      </c>
      <c r="N39" s="131">
        <f t="shared" si="48"/>
        <v>0.37586425134556289</v>
      </c>
      <c r="O39" s="131">
        <f t="shared" si="49"/>
        <v>0.37586425134556289</v>
      </c>
      <c r="P39" s="55">
        <f t="shared" si="50"/>
        <v>0.99999999999999978</v>
      </c>
      <c r="Q39" s="135">
        <f>_xll.xSPRDOPT(I39,H39,AQ39,0,O39,N39,P39,D39-$G$5,1,0)*AH39*AU39</f>
        <v>22.081063669430797</v>
      </c>
      <c r="R39" s="135"/>
      <c r="S39" s="181">
        <f>_xll.xSPRDOPT(I39,H39,AQ39,AT39,O39,N39,P39,D39-$G$5,1,2)*AF39*(F39/(1-AR39))*AH39</f>
        <v>-18053.12215924482</v>
      </c>
      <c r="T39" s="181">
        <f>_xll.xSPRDOPT(I39,H39,AQ39,AT39,O39,N39,P39,D39-$G$5,1,1)*AF39*F39*AH39</f>
        <v>17556.661299698608</v>
      </c>
      <c r="U39" s="135"/>
      <c r="V39" s="146">
        <f t="shared" si="58"/>
        <v>10.769938974771593</v>
      </c>
      <c r="W39" s="146"/>
      <c r="X39" s="338">
        <f t="shared" si="59"/>
        <v>0</v>
      </c>
      <c r="Y39" s="338">
        <f t="shared" si="20"/>
        <v>0</v>
      </c>
      <c r="Z39" s="338">
        <f t="shared" si="21"/>
        <v>3.3026385952611812</v>
      </c>
      <c r="AA39" s="338">
        <f t="shared" si="22"/>
        <v>-2.9170425258699207E-8</v>
      </c>
      <c r="AB39" s="338">
        <f t="shared" si="60"/>
        <v>0</v>
      </c>
      <c r="AC39" s="338">
        <f t="shared" si="61"/>
        <v>3.3273327121997887</v>
      </c>
      <c r="AF39" s="138">
        <f t="shared" si="62"/>
        <v>1</v>
      </c>
      <c r="AG39" s="138">
        <f t="shared" si="63"/>
        <v>6</v>
      </c>
      <c r="AH39" s="138">
        <f t="shared" si="27"/>
        <v>30</v>
      </c>
      <c r="AI39" s="138">
        <f t="shared" si="64"/>
        <v>531</v>
      </c>
      <c r="AJ39" s="138">
        <f t="shared" si="65"/>
        <v>548</v>
      </c>
      <c r="AL39" s="136">
        <f t="shared" si="29"/>
        <v>3.1619999999999999</v>
      </c>
      <c r="AM39" s="258">
        <f t="shared" si="30"/>
        <v>-5.2499999999999998E-2</v>
      </c>
      <c r="AN39" s="258">
        <f t="shared" si="31"/>
        <v>7.4999999999999997E-3</v>
      </c>
      <c r="AO39" s="258">
        <f t="shared" si="32"/>
        <v>0.85</v>
      </c>
      <c r="AP39" s="258">
        <f t="shared" si="33"/>
        <v>0</v>
      </c>
      <c r="AQ39" s="136">
        <f t="shared" si="66"/>
        <v>3.7400000000000003E-2</v>
      </c>
      <c r="AR39" s="137">
        <f t="shared" si="35"/>
        <v>2.75E-2</v>
      </c>
      <c r="AS39" s="136">
        <f t="shared" si="67"/>
        <v>3.1169999999999995</v>
      </c>
      <c r="AT39" s="137">
        <f t="shared" si="68"/>
        <v>2.99847168551968E-2</v>
      </c>
      <c r="AU39" s="137">
        <f t="shared" si="38"/>
        <v>0.95656265874159274</v>
      </c>
      <c r="AV39" s="394">
        <f t="shared" si="69"/>
        <v>487.84695595821228</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-4.5601313237735386E-7</v>
      </c>
      <c r="BG39" s="137">
        <f>_xll.xSPRDOPT($BW39,$BV39,$CG39,0,$BY39,$BX39,$BZ39,$AJ39,1,3)*$CB39</f>
        <v>0</v>
      </c>
      <c r="BH39" s="137">
        <f>IF(OR(BF39&lt;&gt;0,BG39&lt;&gt;0),_xll.xSPRDOPT($BW39,$BV39,$CG39,0,$BY39,$BX39,$BZ39,$AJ39,1,12)*$CB39,0)</f>
        <v>1.1400328309433847E-7</v>
      </c>
      <c r="BI39" s="137">
        <f>_xll.xSPRDOPT($BW39,$BV39,$CG39,2*LN(1+CA39/2),$BY39,$BX39,$BZ39,$AJ39,1,9)</f>
        <v>2.1900667155394814E-2</v>
      </c>
      <c r="BJ39" s="137">
        <f>_xll.xSPRDOPT($BW39,$BV39,$CG39,0,$BY39,$BX39,$BZ39,$AJ39,1,6)*$CB39</f>
        <v>3.4488093891644059E-7</v>
      </c>
      <c r="BK39" s="137">
        <f>_xll.xSPRDOPT($BW39,$BV39,$CG39,0,$BY39,$BX39,$BZ39,$AJ39,1,5)*$CB39</f>
        <v>-4.3169101737040529E-7</v>
      </c>
      <c r="BL39" s="137">
        <f>_xll.xSPRDOPT(BW39,BV39,CG39,0,BY39,BX39,BZ39,AJ39,1,2)*CB39</f>
        <v>-0.95632895758557546</v>
      </c>
      <c r="BM39" s="137">
        <f>_xll.xSPRDOPT(BW39,BV39,CG39,0,BY39,BX39,BZ39,AJ39,1,1)*CB39</f>
        <v>0.95632895757165903</v>
      </c>
      <c r="BN39" s="137">
        <f>IF(AH39&lt;&gt;0,_xll.xSPRDOPT($BW39,$BV39,$CG39,2*LN(1+CA39/2),$BY39,$BX39,$BZ39,$AJ39,1,8)+(AJ39/365.25)*CH39/AH39,0)</f>
        <v>-0.56554700202018204</v>
      </c>
      <c r="BO39" s="137">
        <f>_xll.xSPRDOPT($BW39,$BV39,$CG39,0,$BY39,$BX39,$BZ39,$AJ39,1,0)</f>
        <v>0.76945869550064172</v>
      </c>
      <c r="BP39" s="137"/>
      <c r="BQ39" s="137"/>
      <c r="BR39" s="137"/>
      <c r="BS39" s="137"/>
      <c r="BV39" s="262">
        <v>3.2051413881748068</v>
      </c>
      <c r="BW39" s="136">
        <v>4.0119999999999996</v>
      </c>
      <c r="BX39" s="137">
        <v>0.37584594928724246</v>
      </c>
      <c r="BY39" s="137">
        <v>0.37584594928724246</v>
      </c>
      <c r="BZ39" s="137">
        <v>1</v>
      </c>
      <c r="CA39" s="137">
        <v>2.99847168551968E-2</v>
      </c>
      <c r="CB39" s="137">
        <v>0.95632885259143241</v>
      </c>
      <c r="CC39" s="258">
        <v>-5.2499999999999998E-2</v>
      </c>
      <c r="CD39" s="258">
        <v>7.4999999999999997E-3</v>
      </c>
      <c r="CE39" s="258">
        <v>0.85</v>
      </c>
      <c r="CF39" s="258">
        <v>0</v>
      </c>
      <c r="CG39" s="258">
        <v>3.7400000000000003E-2</v>
      </c>
      <c r="CH39" s="258">
        <v>10.767306551326937</v>
      </c>
      <c r="CI39" s="258">
        <v>3.1619999999999999</v>
      </c>
      <c r="CJ39" s="258"/>
      <c r="CK39" s="258"/>
      <c r="CL39" s="258"/>
      <c r="CM39" s="258"/>
    </row>
    <row r="40" spans="1:91" x14ac:dyDescent="0.25">
      <c r="A40" s="723"/>
      <c r="B40" s="723"/>
      <c r="D40" s="31">
        <f t="shared" si="52"/>
        <v>37817</v>
      </c>
      <c r="F40" s="28">
        <f t="shared" si="53"/>
        <v>612</v>
      </c>
      <c r="G40" s="28">
        <f t="shared" si="13"/>
        <v>583.09975121237346</v>
      </c>
      <c r="H40" s="52">
        <f t="shared" si="54"/>
        <v>3.2483290488431873</v>
      </c>
      <c r="I40" s="52">
        <f t="shared" si="55"/>
        <v>4.2540000000000004</v>
      </c>
      <c r="K40" s="52">
        <f t="shared" si="56"/>
        <v>28.598946196890338</v>
      </c>
      <c r="L40" s="135">
        <f t="shared" si="57"/>
        <v>3.0790223952692486E-6</v>
      </c>
      <c r="N40" s="131">
        <f t="shared" si="48"/>
        <v>0.37759499646180722</v>
      </c>
      <c r="O40" s="131">
        <f t="shared" si="49"/>
        <v>0.37759499646180722</v>
      </c>
      <c r="P40" s="55">
        <f t="shared" si="50"/>
        <v>1</v>
      </c>
      <c r="Q40" s="135">
        <f>_xll.xSPRDOPT(I40,H40,AQ40,0,O40,N40,P40,D40-$G$5,1,0)*AH40*AU40</f>
        <v>28.598949275912734</v>
      </c>
      <c r="R40" s="135"/>
      <c r="S40" s="181">
        <f>_xll.xSPRDOPT(I40,H40,AQ40,AT40,O40,N40,P40,D40-$G$5,1,2)*AF40*(F40/(1-AR40))*AH40</f>
        <v>-18580.302037662503</v>
      </c>
      <c r="T40" s="181">
        <f>_xll.xSPRDOPT(I40,H40,AQ40,AT40,O40,N40,P40,D40-$G$5,1,1)*AF40*F40*AH40</f>
        <v>18069.343731557768</v>
      </c>
      <c r="U40" s="135"/>
      <c r="V40" s="146">
        <f t="shared" si="58"/>
        <v>11.084897770474049</v>
      </c>
      <c r="W40" s="146"/>
      <c r="X40" s="338">
        <f t="shared" si="59"/>
        <v>0</v>
      </c>
      <c r="Y40" s="338">
        <f t="shared" si="20"/>
        <v>0</v>
      </c>
      <c r="Z40" s="338">
        <f t="shared" si="21"/>
        <v>4.4162902323403994</v>
      </c>
      <c r="AA40" s="338">
        <f t="shared" si="22"/>
        <v>-5.6721699063850273E-8</v>
      </c>
      <c r="AB40" s="338">
        <f t="shared" si="60"/>
        <v>0</v>
      </c>
      <c r="AC40" s="338">
        <f t="shared" si="61"/>
        <v>4.4503884659083868</v>
      </c>
      <c r="AF40" s="138">
        <f t="shared" si="62"/>
        <v>1</v>
      </c>
      <c r="AG40" s="138">
        <f t="shared" si="63"/>
        <v>7</v>
      </c>
      <c r="AH40" s="138">
        <f t="shared" si="27"/>
        <v>31</v>
      </c>
      <c r="AI40" s="138">
        <f t="shared" si="64"/>
        <v>561</v>
      </c>
      <c r="AJ40" s="138">
        <f t="shared" si="65"/>
        <v>578</v>
      </c>
      <c r="AL40" s="136">
        <f t="shared" si="29"/>
        <v>3.2040000000000002</v>
      </c>
      <c r="AM40" s="258">
        <f t="shared" si="30"/>
        <v>-5.2499999999999998E-2</v>
      </c>
      <c r="AN40" s="258">
        <f t="shared" si="31"/>
        <v>7.4999999999999997E-3</v>
      </c>
      <c r="AO40" s="258">
        <f t="shared" si="32"/>
        <v>1.05</v>
      </c>
      <c r="AP40" s="258">
        <f t="shared" si="33"/>
        <v>0</v>
      </c>
      <c r="AQ40" s="136">
        <f t="shared" si="66"/>
        <v>3.7400000000000003E-2</v>
      </c>
      <c r="AR40" s="137">
        <f t="shared" si="35"/>
        <v>2.75E-2</v>
      </c>
      <c r="AS40" s="136">
        <f t="shared" si="67"/>
        <v>3.1589999999999998</v>
      </c>
      <c r="AT40" s="137">
        <f t="shared" si="68"/>
        <v>3.0965279300479799E-2</v>
      </c>
      <c r="AU40" s="137">
        <f t="shared" si="38"/>
        <v>0.9527773712620482</v>
      </c>
      <c r="AV40" s="394">
        <f t="shared" si="69"/>
        <v>502.11367465509937</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4.5420500459574238E-7</v>
      </c>
      <c r="BG40" s="137">
        <f>_xll.xSPRDOPT($BW40,$BV40,$CG40,0,$BY40,$BX40,$BZ40,$AJ40,1,3)*$CB40</f>
        <v>-4.5420500459574238E-7</v>
      </c>
      <c r="BH40" s="137">
        <f>IF(OR(BF40&lt;&gt;0,BG40&lt;&gt;0),_xll.xSPRDOPT($BW40,$BV40,$CG40,0,$BY40,$BX40,$BZ40,$AJ40,1,12)*$CB40,0)</f>
        <v>3.4065375344680679E-7</v>
      </c>
      <c r="BI40" s="137">
        <f>_xll.xSPRDOPT($BW40,$BV40,$CG40,2*LN(1+CA40/2),$BY40,$BX40,$BZ40,$AJ40,1,9)</f>
        <v>2.8340888456011154E-2</v>
      </c>
      <c r="BJ40" s="137">
        <f>_xll.xSPRDOPT($BW40,$BV40,$CG40,0,$BY40,$BX40,$BZ40,$AJ40,1,6)*$CB40</f>
        <v>3.6859532581245244E-7</v>
      </c>
      <c r="BK40" s="137">
        <f>_xll.xSPRDOPT($BW40,$BV40,$CG40,0,$BY40,$BX40,$BZ40,$AJ40,1,5)*$CB40</f>
        <v>-4.8271205235793859E-7</v>
      </c>
      <c r="BL40" s="137">
        <f>_xll.xSPRDOPT(BW40,BV40,CG40,0,BY40,BX40,BZ40,AJ40,1,2)*CB40</f>
        <v>-0.95253703707804505</v>
      </c>
      <c r="BM40" s="137">
        <f>_xll.xSPRDOPT(BW40,BV40,CG40,0,BY40,BX40,BZ40,AJ40,1,1)*CB40</f>
        <v>0.95253703707457982</v>
      </c>
      <c r="BN40" s="137">
        <f>IF(AH40&lt;&gt;0,_xll.xSPRDOPT($BW40,$BV40,$CG40,2*LN(1+CA40/2),$BY40,$BX40,$BZ40,$AJ40,1,8)+(AJ40/365.25)*CH40/AH40,0)</f>
        <v>-0.89382589520317235</v>
      </c>
      <c r="BO40" s="137">
        <f>_xll.xSPRDOPT($BW40,$BV40,$CG40,0,$BY40,$BX40,$BZ40,$AJ40,1,0)</f>
        <v>0.96827105528861945</v>
      </c>
      <c r="BP40" s="137"/>
      <c r="BQ40" s="137"/>
      <c r="BR40" s="137"/>
      <c r="BS40" s="137"/>
      <c r="BV40" s="262">
        <v>3.2483290488431873</v>
      </c>
      <c r="BW40" s="136">
        <v>4.2540000000000004</v>
      </c>
      <c r="BX40" s="137">
        <v>0.37756879733541471</v>
      </c>
      <c r="BY40" s="137">
        <v>0.37756879733541471</v>
      </c>
      <c r="BZ40" s="137">
        <v>1</v>
      </c>
      <c r="CA40" s="137">
        <v>3.0965279300479799E-2</v>
      </c>
      <c r="CB40" s="137">
        <v>0.95253693379797033</v>
      </c>
      <c r="CC40" s="258">
        <v>-5.2499999999999998E-2</v>
      </c>
      <c r="CD40" s="258">
        <v>7.4999999999999997E-3</v>
      </c>
      <c r="CE40" s="258">
        <v>1.05</v>
      </c>
      <c r="CF40" s="258">
        <v>0</v>
      </c>
      <c r="CG40" s="258">
        <v>3.7400000000000003E-2</v>
      </c>
      <c r="CH40" s="258">
        <v>11.082100448885727</v>
      </c>
      <c r="CI40" s="258">
        <v>3.2040000000000002</v>
      </c>
      <c r="CJ40" s="258"/>
      <c r="CK40" s="258"/>
      <c r="CL40" s="258"/>
      <c r="CM40" s="258"/>
    </row>
    <row r="41" spans="1:91" x14ac:dyDescent="0.25">
      <c r="A41" s="723"/>
      <c r="B41" s="723"/>
      <c r="D41" s="31">
        <f t="shared" si="52"/>
        <v>37848</v>
      </c>
      <c r="F41" s="28">
        <f t="shared" si="53"/>
        <v>612</v>
      </c>
      <c r="G41" s="28">
        <f t="shared" si="13"/>
        <v>580.6301016794082</v>
      </c>
      <c r="H41" s="52">
        <f t="shared" si="54"/>
        <v>3.2915167095115678</v>
      </c>
      <c r="I41" s="52">
        <f t="shared" si="55"/>
        <v>4.2960000000000003</v>
      </c>
      <c r="K41" s="52">
        <f t="shared" si="56"/>
        <v>28.442888477044789</v>
      </c>
      <c r="L41" s="135">
        <f t="shared" si="57"/>
        <v>3.0206037777702477E-6</v>
      </c>
      <c r="N41" s="131">
        <f t="shared" si="48"/>
        <v>0.37920840226144648</v>
      </c>
      <c r="O41" s="131">
        <f t="shared" si="49"/>
        <v>0.37920840226144648</v>
      </c>
      <c r="P41" s="55">
        <f t="shared" si="50"/>
        <v>1</v>
      </c>
      <c r="Q41" s="135">
        <f>_xll.xSPRDOPT(I41,H41,AQ41,0,O41,N41,P41,D41-$G$5,1,0)*AH41*AU41</f>
        <v>28.442891497648567</v>
      </c>
      <c r="R41" s="135"/>
      <c r="S41" s="181">
        <f>_xll.xSPRDOPT(I41,H41,AQ41,AT41,O41,N41,P41,D41-$G$5,1,2)*AF41*(F41/(1-AR41))*AH41</f>
        <v>-18500.758467071882</v>
      </c>
      <c r="T41" s="181">
        <f>_xll.xSPRDOPT(I41,H41,AQ41,AT41,O41,N41,P41,D41-$G$5,1,1)*AF41*F41*AH41</f>
        <v>17991.987609123877</v>
      </c>
      <c r="U41" s="135"/>
      <c r="V41" s="146">
        <f t="shared" si="58"/>
        <v>11.037949006484869</v>
      </c>
      <c r="W41" s="146"/>
      <c r="X41" s="338">
        <f t="shared" si="59"/>
        <v>0</v>
      </c>
      <c r="Y41" s="338">
        <f t="shared" si="20"/>
        <v>0</v>
      </c>
      <c r="Z41" s="338">
        <f t="shared" si="21"/>
        <v>4.5331323508580441</v>
      </c>
      <c r="AA41" s="338">
        <f t="shared" si="22"/>
        <v>-7.4354361893917642E-8</v>
      </c>
      <c r="AB41" s="338">
        <f t="shared" si="60"/>
        <v>0</v>
      </c>
      <c r="AC41" s="338">
        <f t="shared" si="61"/>
        <v>4.5692622187239529</v>
      </c>
      <c r="AF41" s="138">
        <f t="shared" si="62"/>
        <v>1</v>
      </c>
      <c r="AG41" s="138">
        <f t="shared" si="63"/>
        <v>8</v>
      </c>
      <c r="AH41" s="138">
        <f t="shared" si="27"/>
        <v>31</v>
      </c>
      <c r="AI41" s="138">
        <f t="shared" si="64"/>
        <v>592</v>
      </c>
      <c r="AJ41" s="138">
        <f t="shared" si="65"/>
        <v>609</v>
      </c>
      <c r="AL41" s="136">
        <f t="shared" si="29"/>
        <v>3.246</v>
      </c>
      <c r="AM41" s="258">
        <f t="shared" si="30"/>
        <v>-5.2499999999999998E-2</v>
      </c>
      <c r="AN41" s="258">
        <f t="shared" si="31"/>
        <v>7.4999999999999997E-3</v>
      </c>
      <c r="AO41" s="258">
        <f t="shared" si="32"/>
        <v>1.05</v>
      </c>
      <c r="AP41" s="258">
        <f t="shared" si="33"/>
        <v>0</v>
      </c>
      <c r="AQ41" s="136">
        <f t="shared" si="66"/>
        <v>3.7400000000000003E-2</v>
      </c>
      <c r="AR41" s="137">
        <f t="shared" si="35"/>
        <v>2.75E-2</v>
      </c>
      <c r="AS41" s="136">
        <f t="shared" si="67"/>
        <v>3.2009999999999996</v>
      </c>
      <c r="AT41" s="137">
        <f t="shared" si="68"/>
        <v>3.1967083332272501E-2</v>
      </c>
      <c r="AU41" s="137">
        <f t="shared" si="38"/>
        <v>0.94874199620818334</v>
      </c>
      <c r="AV41" s="394">
        <f t="shared" si="69"/>
        <v>499.98703200171263</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0</v>
      </c>
      <c r="BG41" s="137">
        <f>_xll.xSPRDOPT($BW41,$BV41,$CG41,0,$BY41,$BX41,$BZ41,$AJ41,1,3)*$CB41</f>
        <v>4.5227760952867273E-7</v>
      </c>
      <c r="BH41" s="137">
        <f>IF(OR(BF41&lt;&gt;0,BG41&lt;&gt;0),_xll.xSPRDOPT($BW41,$BV41,$CG41,0,$BY41,$BX41,$BZ41,$AJ41,1,12)*$CB41,0)</f>
        <v>-2.2613880476433637E-7</v>
      </c>
      <c r="BI41" s="137">
        <f>_xll.xSPRDOPT($BW41,$BV41,$CG41,2*LN(1+CA41/2),$BY41,$BX41,$BZ41,$AJ41,1,9)</f>
        <v>2.9090705445760437E-2</v>
      </c>
      <c r="BJ41" s="137">
        <f>_xll.xSPRDOPT($BW41,$BV41,$CG41,0,$BY41,$BX41,$BZ41,$AJ41,1,6)*$CB41</f>
        <v>3.9312994488543433E-7</v>
      </c>
      <c r="BK41" s="137">
        <f>_xll.xSPRDOPT($BW41,$BV41,$CG41,0,$BY41,$BX41,$BZ41,$AJ41,1,5)*$CB41</f>
        <v>-5.1307393253671417E-7</v>
      </c>
      <c r="BL41" s="137">
        <f>_xll.xSPRDOPT(BW41,BV41,CG41,0,BY41,BX41,BZ41,AJ41,1,2)*CB41</f>
        <v>-0.94849499489677946</v>
      </c>
      <c r="BM41" s="137">
        <f>_xll.xSPRDOPT(BW41,BV41,CG41,0,BY41,BX41,BZ41,AJ41,1,1)*CB41</f>
        <v>0.94849499488987832</v>
      </c>
      <c r="BN41" s="137">
        <f>IF(AH41&lt;&gt;0,_xll.xSPRDOPT($BW41,$BV41,$CG41,2*LN(1+CA41/2),$BY41,$BX41,$BZ41,$AJ41,1,8)+(AJ41/365.25)*CH41/AH41,0)</f>
        <v>-0.93589006852563761</v>
      </c>
      <c r="BO41" s="137">
        <f>_xll.xSPRDOPT($BW41,$BV41,$CG41,0,$BY41,$BX41,$BZ41,$AJ41,1,0)</f>
        <v>0.96708339307760705</v>
      </c>
      <c r="BP41" s="137"/>
      <c r="BQ41" s="137"/>
      <c r="BR41" s="137"/>
      <c r="BS41" s="137"/>
      <c r="BV41" s="262">
        <v>3.2915167095115678</v>
      </c>
      <c r="BW41" s="136">
        <v>4.2960000000000003</v>
      </c>
      <c r="BX41" s="137">
        <v>0.37917572731746979</v>
      </c>
      <c r="BY41" s="137">
        <v>0.37917572731746979</v>
      </c>
      <c r="BZ41" s="137">
        <v>1</v>
      </c>
      <c r="CA41" s="137">
        <v>3.1967083332272501E-2</v>
      </c>
      <c r="CB41" s="137">
        <v>0.94849489337827508</v>
      </c>
      <c r="CC41" s="258">
        <v>-5.2499999999999998E-2</v>
      </c>
      <c r="CD41" s="258">
        <v>7.4999999999999997E-3</v>
      </c>
      <c r="CE41" s="258">
        <v>1.05</v>
      </c>
      <c r="CF41" s="258">
        <v>0</v>
      </c>
      <c r="CG41" s="258">
        <v>3.7400000000000003E-2</v>
      </c>
      <c r="CH41" s="258">
        <v>11.035074138030867</v>
      </c>
      <c r="CI41" s="258">
        <v>3.246</v>
      </c>
      <c r="CJ41" s="258"/>
      <c r="CK41" s="258"/>
      <c r="CL41" s="258"/>
      <c r="CM41" s="258"/>
    </row>
    <row r="42" spans="1:91" x14ac:dyDescent="0.25">
      <c r="A42" s="723"/>
      <c r="B42" s="723"/>
      <c r="D42" s="31">
        <f t="shared" si="52"/>
        <v>37879</v>
      </c>
      <c r="F42" s="28">
        <f t="shared" si="53"/>
        <v>612</v>
      </c>
      <c r="G42" s="28">
        <f t="shared" si="13"/>
        <v>578.07461315715614</v>
      </c>
      <c r="H42" s="52">
        <f t="shared" si="54"/>
        <v>3.2812339331619533</v>
      </c>
      <c r="I42" s="52">
        <f t="shared" si="55"/>
        <v>3.9910000000000001</v>
      </c>
      <c r="K42" s="52">
        <f t="shared" si="56"/>
        <v>19.052831077813849</v>
      </c>
      <c r="L42" s="135">
        <f t="shared" si="57"/>
        <v>1.9995089282076606E-6</v>
      </c>
      <c r="N42" s="131">
        <f t="shared" si="48"/>
        <v>0.3762850500238793</v>
      </c>
      <c r="O42" s="131">
        <f t="shared" si="49"/>
        <v>0.3762850500238793</v>
      </c>
      <c r="P42" s="55">
        <f t="shared" si="50"/>
        <v>1.0000000000000002</v>
      </c>
      <c r="Q42" s="135">
        <f>_xll.xSPRDOPT(I42,H42,AQ42,0,O42,N42,P42,D42-$G$5,1,0)*AH42*AU42</f>
        <v>19.052833077322777</v>
      </c>
      <c r="R42" s="135"/>
      <c r="S42" s="181">
        <f>_xll.xSPRDOPT(I42,H42,AQ42,AT42,O42,N42,P42,D42-$G$5,1,2)*AF42*(F42/(1-AR42))*AH42</f>
        <v>-17824.280366074538</v>
      </c>
      <c r="T42" s="181">
        <f>_xll.xSPRDOPT(I42,H42,AQ42,AT42,O42,N42,P42,D42-$G$5,1,1)*AF42*F42*AH42</f>
        <v>17334.112655974095</v>
      </c>
      <c r="U42" s="135"/>
      <c r="V42" s="146">
        <f t="shared" si="58"/>
        <v>10.634872662641211</v>
      </c>
      <c r="W42" s="146"/>
      <c r="X42" s="338">
        <f t="shared" si="59"/>
        <v>0</v>
      </c>
      <c r="Y42" s="338">
        <f t="shared" si="20"/>
        <v>0</v>
      </c>
      <c r="Z42" s="338">
        <f t="shared" si="21"/>
        <v>3.1309393275538762</v>
      </c>
      <c r="AA42" s="338">
        <f t="shared" si="22"/>
        <v>-4.5770953984163619E-8</v>
      </c>
      <c r="AB42" s="338">
        <f t="shared" si="60"/>
        <v>0</v>
      </c>
      <c r="AC42" s="338">
        <f t="shared" si="61"/>
        <v>3.1566735080153672</v>
      </c>
      <c r="AF42" s="138">
        <f t="shared" si="62"/>
        <v>1</v>
      </c>
      <c r="AG42" s="138">
        <f t="shared" si="63"/>
        <v>9</v>
      </c>
      <c r="AH42" s="138">
        <f t="shared" si="27"/>
        <v>30</v>
      </c>
      <c r="AI42" s="138">
        <f t="shared" si="64"/>
        <v>623</v>
      </c>
      <c r="AJ42" s="138">
        <f t="shared" si="65"/>
        <v>640</v>
      </c>
      <c r="AL42" s="136">
        <f t="shared" si="29"/>
        <v>3.2410000000000001</v>
      </c>
      <c r="AM42" s="258">
        <f t="shared" si="30"/>
        <v>-5.7500000000000002E-2</v>
      </c>
      <c r="AN42" s="258">
        <f t="shared" si="31"/>
        <v>7.4999999999999997E-3</v>
      </c>
      <c r="AO42" s="258">
        <f t="shared" si="32"/>
        <v>0.75</v>
      </c>
      <c r="AP42" s="258">
        <f t="shared" si="33"/>
        <v>0</v>
      </c>
      <c r="AQ42" s="136">
        <f t="shared" si="66"/>
        <v>3.7400000000000003E-2</v>
      </c>
      <c r="AR42" s="137">
        <f t="shared" si="35"/>
        <v>2.75E-2</v>
      </c>
      <c r="AS42" s="136">
        <f t="shared" si="67"/>
        <v>3.1909999999999998</v>
      </c>
      <c r="AT42" s="137">
        <f t="shared" si="68"/>
        <v>3.2968887702129003E-2</v>
      </c>
      <c r="AU42" s="137">
        <f t="shared" si="38"/>
        <v>0.94456636136790217</v>
      </c>
      <c r="AV42" s="394">
        <f t="shared" si="69"/>
        <v>481.72884429763013</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1.3508501530164299E-6</v>
      </c>
      <c r="BG42" s="137">
        <f>_xll.xSPRDOPT($BW42,$BV42,$CG42,0,$BY42,$BX42,$BZ42,$AJ42,1,3)*$CB42</f>
        <v>6.7542507650821494E-7</v>
      </c>
      <c r="BH42" s="137">
        <f>IF(OR(BF42&lt;&gt;0,BG42&lt;&gt;0),_xll.xSPRDOPT($BW42,$BV42,$CG42,0,$BY42,$BX42,$BZ42,$AJ42,1,12)*$CB42,0)</f>
        <v>-5.6285423042351238E-7</v>
      </c>
      <c r="BI42" s="137">
        <f>_xll.xSPRDOPT($BW42,$BV42,$CG42,2*LN(1+CA42/2),$BY42,$BX42,$BZ42,$AJ42,1,9)</f>
        <v>2.0762084048457755E-2</v>
      </c>
      <c r="BJ42" s="137">
        <f>_xll.xSPRDOPT($BW42,$BV42,$CG42,0,$BY42,$BX42,$BZ42,$AJ42,1,6)*$CB42</f>
        <v>3.9513726644241437E-7</v>
      </c>
      <c r="BK42" s="137">
        <f>_xll.xSPRDOPT($BW42,$BV42,$CG42,0,$BY42,$BX42,$BZ42,$AJ42,1,5)*$CB42</f>
        <v>-4.8059880503985958E-7</v>
      </c>
      <c r="BL42" s="137">
        <f>_xll.xSPRDOPT(BW42,BV42,CG42,0,BY42,BX42,BZ42,AJ42,1,2)*CB42</f>
        <v>-0.94431279988593775</v>
      </c>
      <c r="BM42" s="137">
        <f>_xll.xSPRDOPT(BW42,BV42,CG42,0,BY42,BX42,BZ42,AJ42,1,1)*CB42</f>
        <v>0.94431279988078465</v>
      </c>
      <c r="BN42" s="137">
        <f>IF(AH42&lt;&gt;0,_xll.xSPRDOPT($BW42,$BV42,$CG42,2*LN(1+CA42/2),$BY42,$BX42,$BZ42,$AJ42,1,8)+(AJ42/365.25)*CH42/AH42,0)</f>
        <v>-0.49153984608635948</v>
      </c>
      <c r="BO42" s="137">
        <f>_xll.xSPRDOPT($BW42,$BV42,$CG42,0,$BY42,$BX42,$BZ42,$AJ42,1,0)</f>
        <v>0.67236613732265738</v>
      </c>
      <c r="BP42" s="137"/>
      <c r="BQ42" s="137"/>
      <c r="BR42" s="137"/>
      <c r="BS42" s="137"/>
      <c r="BV42" s="262">
        <v>3.2812339331619533</v>
      </c>
      <c r="BW42" s="136">
        <v>3.9910000000000001</v>
      </c>
      <c r="BX42" s="137">
        <v>0.37625587934206367</v>
      </c>
      <c r="BY42" s="137">
        <v>0.37625587934206367</v>
      </c>
      <c r="BZ42" s="137">
        <v>1</v>
      </c>
      <c r="CA42" s="137">
        <v>3.2968887702129003E-2</v>
      </c>
      <c r="CB42" s="137">
        <v>0.94431270003290391</v>
      </c>
      <c r="CC42" s="258">
        <v>-5.7500000000000002E-2</v>
      </c>
      <c r="CD42" s="258">
        <v>7.4999999999999997E-3</v>
      </c>
      <c r="CE42" s="258">
        <v>0.75</v>
      </c>
      <c r="CF42" s="258">
        <v>0</v>
      </c>
      <c r="CG42" s="258">
        <v>3.7400000000000003E-2</v>
      </c>
      <c r="CH42" s="258">
        <v>10.632016689670465</v>
      </c>
      <c r="CI42" s="258">
        <v>3.2410000000000001</v>
      </c>
      <c r="CJ42" s="258"/>
      <c r="CK42" s="258"/>
      <c r="CL42" s="258"/>
      <c r="CM42" s="258"/>
    </row>
    <row r="43" spans="1:91" x14ac:dyDescent="0.25">
      <c r="A43" s="723"/>
      <c r="B43" s="723"/>
      <c r="D43" s="31">
        <f t="shared" si="52"/>
        <v>37909</v>
      </c>
      <c r="F43" s="28">
        <f t="shared" si="53"/>
        <v>612</v>
      </c>
      <c r="G43" s="28">
        <f t="shared" si="13"/>
        <v>575.55378674814369</v>
      </c>
      <c r="H43" s="52">
        <f t="shared" si="54"/>
        <v>3.3079691516709508</v>
      </c>
      <c r="I43" s="52">
        <f t="shared" si="55"/>
        <v>3.7170000000000001</v>
      </c>
      <c r="K43" s="52">
        <f t="shared" si="56"/>
        <v>10.8344768020825</v>
      </c>
      <c r="L43" s="135">
        <f t="shared" si="57"/>
        <v>1.7148112352316502E-6</v>
      </c>
      <c r="N43" s="131">
        <f t="shared" si="48"/>
        <v>0.3804492507364664</v>
      </c>
      <c r="O43" s="131">
        <f t="shared" si="49"/>
        <v>0.3804492507364664</v>
      </c>
      <c r="P43" s="55">
        <f t="shared" si="50"/>
        <v>1</v>
      </c>
      <c r="Q43" s="135">
        <f>_xll.xSPRDOPT(I43,H43,AQ43,0,O43,N43,P43,D43-$G$5,1,0)*AH43*AU43</f>
        <v>10.834478516893736</v>
      </c>
      <c r="R43" s="135"/>
      <c r="S43" s="181">
        <f>_xll.xSPRDOPT(I43,H43,AQ43,AT43,O43,N43,P43,D43-$G$5,1,2)*AF43*(F43/(1-AR43))*AH43</f>
        <v>-18337.176614243446</v>
      </c>
      <c r="T43" s="181">
        <f>_xll.xSPRDOPT(I43,H43,AQ43,AT43,O43,N43,P43,D43-$G$5,1,1)*AF43*F43*AH43</f>
        <v>17832.904257524304</v>
      </c>
      <c r="U43" s="135"/>
      <c r="V43" s="146">
        <f t="shared" si="58"/>
        <v>10.941446766607728</v>
      </c>
      <c r="W43" s="146"/>
      <c r="X43" s="338">
        <f t="shared" si="59"/>
        <v>0</v>
      </c>
      <c r="Y43" s="338">
        <f t="shared" si="20"/>
        <v>0</v>
      </c>
      <c r="Z43" s="338">
        <f t="shared" si="21"/>
        <v>1.8306129680598249</v>
      </c>
      <c r="AA43" s="338">
        <f t="shared" si="22"/>
        <v>6.8072891180028261E-7</v>
      </c>
      <c r="AB43" s="338">
        <f t="shared" si="60"/>
        <v>0</v>
      </c>
      <c r="AC43" s="338">
        <f t="shared" si="61"/>
        <v>1.8461036388612002</v>
      </c>
      <c r="AF43" s="138">
        <f t="shared" si="62"/>
        <v>1</v>
      </c>
      <c r="AG43" s="138">
        <f t="shared" si="63"/>
        <v>10</v>
      </c>
      <c r="AH43" s="138">
        <f t="shared" si="27"/>
        <v>31</v>
      </c>
      <c r="AI43" s="138">
        <f t="shared" si="64"/>
        <v>653</v>
      </c>
      <c r="AJ43" s="138">
        <f t="shared" si="65"/>
        <v>670</v>
      </c>
      <c r="AL43" s="136">
        <f t="shared" si="29"/>
        <v>3.2669999999999999</v>
      </c>
      <c r="AM43" s="258">
        <f t="shared" si="30"/>
        <v>-5.7500000000000002E-2</v>
      </c>
      <c r="AN43" s="258">
        <f t="shared" si="31"/>
        <v>7.4999999999999997E-3</v>
      </c>
      <c r="AO43" s="258">
        <f t="shared" si="32"/>
        <v>0.45</v>
      </c>
      <c r="AP43" s="258">
        <f t="shared" si="33"/>
        <v>0</v>
      </c>
      <c r="AQ43" s="136">
        <f t="shared" si="66"/>
        <v>3.7400000000000003E-2</v>
      </c>
      <c r="AR43" s="137">
        <f t="shared" si="35"/>
        <v>2.75E-2</v>
      </c>
      <c r="AS43" s="136">
        <f t="shared" si="67"/>
        <v>3.2169999999999996</v>
      </c>
      <c r="AT43" s="137">
        <f t="shared" si="68"/>
        <v>3.3906701822071103E-2</v>
      </c>
      <c r="AU43" s="137">
        <f t="shared" si="38"/>
        <v>0.94044736396755513</v>
      </c>
      <c r="AV43" s="394">
        <f t="shared" si="69"/>
        <v>495.61576081090158</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-6.7247463639592143E-7</v>
      </c>
      <c r="BG43" s="137">
        <f>_xll.xSPRDOPT($BW43,$BV43,$CG43,0,$BY43,$BX43,$BZ43,$AJ43,1,3)*$CB43</f>
        <v>-1.1207910606598691E-7</v>
      </c>
      <c r="BH43" s="137">
        <f>IF(OR(BF43&lt;&gt;0,BG43&lt;&gt;0),_xll.xSPRDOPT($BW43,$BV43,$CG43,0,$BY43,$BX43,$BZ43,$AJ43,1,12)*$CB43,0)</f>
        <v>5.6039553032993453E-8</v>
      </c>
      <c r="BI43" s="137">
        <f>_xll.xSPRDOPT($BW43,$BV43,$CG43,2*LN(1+CA43/2),$BY43,$BX43,$BZ43,$AJ43,1,9)</f>
        <v>1.1747687584929565E-2</v>
      </c>
      <c r="BJ43" s="137">
        <f>_xll.xSPRDOPT($BW43,$BV43,$CG43,0,$BY43,$BX43,$BZ43,$AJ43,1,6)*$CB43</f>
        <v>-8.2568368818108635E-6</v>
      </c>
      <c r="BK43" s="137">
        <f>_xll.xSPRDOPT($BW43,$BV43,$CG43,0,$BY43,$BX43,$BZ43,$AJ43,1,5)*$CB43</f>
        <v>9.2777778001312929E-6</v>
      </c>
      <c r="BL43" s="137">
        <f>_xll.xSPRDOPT(BW43,BV43,CG43,0,BY43,BX43,BZ43,AJ43,1,2)*CB43</f>
        <v>-0.9401874063412563</v>
      </c>
      <c r="BM43" s="137">
        <f>_xll.xSPRDOPT(BW43,BV43,CG43,0,BY43,BX43,BZ43,AJ43,1,1)*CB43</f>
        <v>0.94018740634809705</v>
      </c>
      <c r="BN43" s="137">
        <f>IF(AH43&lt;&gt;0,_xll.xSPRDOPT($BW43,$BV43,$CG43,2*LN(1+CA43/2),$BY43,$BX43,$BZ43,$AJ43,1,8)+(AJ43/365.25)*CH43/AH43,0)</f>
        <v>6.3278726996301993E-3</v>
      </c>
      <c r="BO43" s="137">
        <f>_xll.xSPRDOPT($BW43,$BV43,$CG43,0,$BY43,$BX43,$BZ43,$AJ43,1,0)</f>
        <v>0.37163090803879656</v>
      </c>
      <c r="BP43" s="137"/>
      <c r="BQ43" s="137"/>
      <c r="BR43" s="137"/>
      <c r="BS43" s="137"/>
      <c r="BV43" s="262">
        <v>3.3079691516709508</v>
      </c>
      <c r="BW43" s="136">
        <v>3.7170000000000001</v>
      </c>
      <c r="BX43" s="137">
        <v>0.38041410598552006</v>
      </c>
      <c r="BY43" s="137">
        <v>0.38041410598552006</v>
      </c>
      <c r="BZ43" s="137">
        <v>1</v>
      </c>
      <c r="CA43" s="137">
        <v>3.3906701822071103E-2</v>
      </c>
      <c r="CB43" s="137">
        <v>0.94018768577798628</v>
      </c>
      <c r="CC43" s="258">
        <v>-5.7500000000000002E-2</v>
      </c>
      <c r="CD43" s="258">
        <v>7.4999999999999997E-3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52"/>
        <v>37940</v>
      </c>
      <c r="F44" s="28">
        <f t="shared" si="53"/>
        <v>612</v>
      </c>
      <c r="G44" s="28">
        <f t="shared" si="13"/>
        <v>572.91240733560369</v>
      </c>
      <c r="H44" s="52">
        <f t="shared" si="54"/>
        <v>3.4544987146529564</v>
      </c>
      <c r="I44" s="52">
        <f t="shared" si="55"/>
        <v>3.8520000000000003</v>
      </c>
      <c r="K44" s="52">
        <f t="shared" si="56"/>
        <v>10.113063444746082</v>
      </c>
      <c r="L44" s="135">
        <f t="shared" si="57"/>
        <v>2.7881031599008566E-6</v>
      </c>
      <c r="N44" s="131">
        <f t="shared" si="48"/>
        <v>0.38567537328980672</v>
      </c>
      <c r="O44" s="131">
        <f t="shared" si="49"/>
        <v>0.38567537328980672</v>
      </c>
      <c r="P44" s="55">
        <f t="shared" si="50"/>
        <v>0.99999999999999989</v>
      </c>
      <c r="Q44" s="135">
        <f>_xll.xSPRDOPT(I44,H44,AQ44,0,O44,N44,P44,D44-$G$5,1,0)*AH44*AU44</f>
        <v>10.113066232849242</v>
      </c>
      <c r="R44" s="135"/>
      <c r="S44" s="181">
        <f>_xll.xSPRDOPT(I44,H44,AQ44,AT44,O44,N44,P44,D44-$G$5,1,2)*AF44*(F44/(1-AR44))*AH44</f>
        <v>-17663.244186284737</v>
      </c>
      <c r="T44" s="181">
        <f>_xll.xSPRDOPT(I44,H44,AQ44,AT44,O44,N44,P44,D44-$G$5,1,1)*AF44*F44*AH44</f>
        <v>17177.50497092813</v>
      </c>
      <c r="U44" s="135"/>
      <c r="V44" s="146">
        <f t="shared" si="58"/>
        <v>10.539903258482946</v>
      </c>
      <c r="W44" s="146"/>
      <c r="X44" s="338">
        <f t="shared" si="59"/>
        <v>0</v>
      </c>
      <c r="Y44" s="338">
        <f t="shared" si="20"/>
        <v>0</v>
      </c>
      <c r="Z44" s="338">
        <f t="shared" si="21"/>
        <v>1.7551158081214893</v>
      </c>
      <c r="AA44" s="338">
        <f t="shared" si="22"/>
        <v>3.6695458319951812E-6</v>
      </c>
      <c r="AB44" s="338">
        <f t="shared" si="60"/>
        <v>0</v>
      </c>
      <c r="AC44" s="338">
        <f t="shared" si="61"/>
        <v>1.7704037218047994</v>
      </c>
      <c r="AF44" s="138">
        <f t="shared" si="62"/>
        <v>1</v>
      </c>
      <c r="AG44" s="138">
        <f t="shared" si="63"/>
        <v>11</v>
      </c>
      <c r="AH44" s="138">
        <f t="shared" si="27"/>
        <v>30</v>
      </c>
      <c r="AI44" s="138">
        <f t="shared" si="64"/>
        <v>684</v>
      </c>
      <c r="AJ44" s="138">
        <f t="shared" si="65"/>
        <v>701</v>
      </c>
      <c r="AL44" s="136">
        <f t="shared" si="29"/>
        <v>3.4020000000000001</v>
      </c>
      <c r="AM44" s="258">
        <f t="shared" si="30"/>
        <v>-0.05</v>
      </c>
      <c r="AN44" s="258">
        <f t="shared" si="31"/>
        <v>7.4999999999999997E-3</v>
      </c>
      <c r="AO44" s="258">
        <f t="shared" si="32"/>
        <v>0.45</v>
      </c>
      <c r="AP44" s="258">
        <f t="shared" si="33"/>
        <v>0</v>
      </c>
      <c r="AQ44" s="136">
        <f t="shared" si="66"/>
        <v>3.7400000000000003E-2</v>
      </c>
      <c r="AR44" s="137">
        <f t="shared" si="35"/>
        <v>2.75E-2</v>
      </c>
      <c r="AS44" s="136">
        <f t="shared" si="67"/>
        <v>3.3595000000000002</v>
      </c>
      <c r="AT44" s="137">
        <f t="shared" si="68"/>
        <v>3.4836153967131397E-2</v>
      </c>
      <c r="AU44" s="137">
        <f t="shared" si="38"/>
        <v>0.9361313845353002</v>
      </c>
      <c r="AV44" s="394">
        <f t="shared" si="69"/>
        <v>477.42700611300313</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6.6938343591755399E-7</v>
      </c>
      <c r="BG44" s="137">
        <f>_xll.xSPRDOPT($BW44,$BV44,$CG44,0,$BY44,$BX44,$BZ44,$AJ44,1,3)*$CB44</f>
        <v>4.4625562394503596E-7</v>
      </c>
      <c r="BH44" s="137">
        <f>IF(OR(BF44&lt;&gt;0,BG44&lt;&gt;0),_xll.xSPRDOPT($BW44,$BV44,$CG44,0,$BY44,$BX44,$BZ44,$AJ44,1,12)*$CB44,0)</f>
        <v>-2.7890976496564746E-7</v>
      </c>
      <c r="BI44" s="137">
        <f>_xll.xSPRDOPT($BW44,$BV44,$CG44,2*LN(1+CA44/2),$BY44,$BX44,$BZ44,$AJ44,1,9)</f>
        <v>1.1638635601241357E-2</v>
      </c>
      <c r="BJ44" s="137">
        <f>_xll.xSPRDOPT($BW44,$BV44,$CG44,0,$BY44,$BX44,$BZ44,$AJ44,1,6)*$CB44</f>
        <v>-2.6464450214161856E-5</v>
      </c>
      <c r="BK44" s="137">
        <f>_xll.xSPRDOPT($BW44,$BV44,$CG44,0,$BY44,$BX44,$BZ44,$AJ44,1,5)*$CB44</f>
        <v>2.9509660478946459E-5</v>
      </c>
      <c r="BL44" s="137">
        <f>_xll.xSPRDOPT(BW44,BV44,CG44,0,BY44,BX44,BZ44,AJ44,1,2)*CB44</f>
        <v>-0.93586482617102074</v>
      </c>
      <c r="BM44" s="137">
        <f>_xll.xSPRDOPT(BW44,BV44,CG44,0,BY44,BX44,BZ44,AJ44,1,1)*CB44</f>
        <v>0.9358648261608068</v>
      </c>
      <c r="BN44" s="137">
        <f>IF(AH44&lt;&gt;0,_xll.xSPRDOPT($BW44,$BV44,$CG44,2*LN(1+CA44/2),$BY44,$BX44,$BZ44,$AJ44,1,8)+(AJ44/365.25)*CH44/AH44,0)</f>
        <v>2.7298913248623657E-2</v>
      </c>
      <c r="BO44" s="137">
        <f>_xll.xSPRDOPT($BW44,$BV44,$CG44,0,$BY44,$BX44,$BZ44,$AJ44,1,0)</f>
        <v>0.36010138710550044</v>
      </c>
      <c r="BP44" s="137"/>
      <c r="BQ44" s="137"/>
      <c r="BR44" s="137"/>
      <c r="BS44" s="137"/>
      <c r="BV44" s="262">
        <v>3.4544987146529564</v>
      </c>
      <c r="BW44" s="136">
        <v>3.8520000000000003</v>
      </c>
      <c r="BX44" s="137">
        <v>0.38560974027489475</v>
      </c>
      <c r="BY44" s="137">
        <v>0.38560974027489475</v>
      </c>
      <c r="BZ44" s="137">
        <v>1</v>
      </c>
      <c r="CA44" s="137">
        <v>3.4836153967131397E-2</v>
      </c>
      <c r="CB44" s="137">
        <v>0.93586587426758006</v>
      </c>
      <c r="CC44" s="258">
        <v>-0.05</v>
      </c>
      <c r="CD44" s="258">
        <v>7.4999999999999997E-3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52"/>
        <v>37970</v>
      </c>
      <c r="F45" s="28">
        <f t="shared" si="53"/>
        <v>612</v>
      </c>
      <c r="G45" s="28">
        <f t="shared" si="13"/>
        <v>570.28400084953353</v>
      </c>
      <c r="H45" s="52">
        <f t="shared" si="54"/>
        <v>3.5933161953727506</v>
      </c>
      <c r="I45" s="52">
        <f t="shared" si="55"/>
        <v>3.9369999999999998</v>
      </c>
      <c r="K45" s="52">
        <f t="shared" si="56"/>
        <v>8.8476002588980087</v>
      </c>
      <c r="L45" s="135">
        <f t="shared" si="57"/>
        <v>1.5794604038887883E-5</v>
      </c>
      <c r="N45" s="131">
        <f t="shared" si="48"/>
        <v>0.39564204160538236</v>
      </c>
      <c r="O45" s="131">
        <f t="shared" si="49"/>
        <v>0.39564204160538236</v>
      </c>
      <c r="P45" s="55">
        <f t="shared" si="50"/>
        <v>1.0000000000000002</v>
      </c>
      <c r="Q45" s="135">
        <f>_xll.xSPRDOPT(I45,H45,AQ45,0,O45,N45,P45,D45-$G$5,1,0)*AH45*AU45</f>
        <v>8.8476160535020476</v>
      </c>
      <c r="R45" s="135"/>
      <c r="S45" s="181">
        <f>_xll.xSPRDOPT(I45,H45,AQ45,AT45,O45,N45,P45,D45-$G$5,1,2)*AF45*(F45/(1-AR45))*AH45</f>
        <v>-18167.103693211175</v>
      </c>
      <c r="T45" s="181">
        <f>_xll.xSPRDOPT(I45,H45,AQ45,AT45,O45,N45,P45,D45-$G$5,1,1)*AF45*F45*AH45</f>
        <v>17667.508341630612</v>
      </c>
      <c r="U45" s="135"/>
      <c r="V45" s="146">
        <f t="shared" si="58"/>
        <v>10.841266586738119</v>
      </c>
      <c r="W45" s="146"/>
      <c r="X45" s="338">
        <f t="shared" si="59"/>
        <v>0</v>
      </c>
      <c r="Y45" s="338">
        <f t="shared" si="20"/>
        <v>0</v>
      </c>
      <c r="Z45" s="338">
        <f t="shared" si="21"/>
        <v>1.57450278141762</v>
      </c>
      <c r="AA45" s="338">
        <f t="shared" si="22"/>
        <v>4.0391455504864269E-5</v>
      </c>
      <c r="AB45" s="338">
        <f t="shared" si="60"/>
        <v>0</v>
      </c>
      <c r="AC45" s="338">
        <f t="shared" si="61"/>
        <v>1.5888531763516069</v>
      </c>
      <c r="AF45" s="138">
        <f t="shared" si="62"/>
        <v>1</v>
      </c>
      <c r="AG45" s="138">
        <f t="shared" si="63"/>
        <v>12</v>
      </c>
      <c r="AH45" s="138">
        <f t="shared" si="27"/>
        <v>31</v>
      </c>
      <c r="AI45" s="138">
        <f t="shared" si="64"/>
        <v>714</v>
      </c>
      <c r="AJ45" s="138">
        <f t="shared" si="65"/>
        <v>731</v>
      </c>
      <c r="AL45" s="136">
        <f t="shared" si="29"/>
        <v>3.5369999999999999</v>
      </c>
      <c r="AM45" s="258">
        <f t="shared" si="30"/>
        <v>-0.05</v>
      </c>
      <c r="AN45" s="258">
        <f t="shared" si="31"/>
        <v>7.4999999999999997E-3</v>
      </c>
      <c r="AO45" s="258">
        <f t="shared" si="32"/>
        <v>0.4</v>
      </c>
      <c r="AP45" s="258">
        <f t="shared" si="33"/>
        <v>0</v>
      </c>
      <c r="AQ45" s="136">
        <f t="shared" si="66"/>
        <v>3.7400000000000003E-2</v>
      </c>
      <c r="AR45" s="137">
        <f t="shared" si="35"/>
        <v>2.75E-2</v>
      </c>
      <c r="AS45" s="136">
        <f t="shared" si="67"/>
        <v>3.4944999999999999</v>
      </c>
      <c r="AT45" s="137">
        <f t="shared" si="68"/>
        <v>3.5735624061610197E-2</v>
      </c>
      <c r="AU45" s="137">
        <f t="shared" si="38"/>
        <v>0.93183660269531621</v>
      </c>
      <c r="AV45" s="394">
        <f t="shared" si="69"/>
        <v>491.07788962043162</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7.7735886966819141E-7</v>
      </c>
      <c r="BG45" s="137">
        <f>_xll.xSPRDOPT($BW45,$BV45,$CG45,0,$BY45,$BX45,$BZ45,$AJ45,1,3)*$CB45</f>
        <v>2.2210253419091182E-7</v>
      </c>
      <c r="BH45" s="137">
        <f>IF(OR(BF45&lt;&gt;0,BG45&lt;&gt;0),_xll.xSPRDOPT($BW45,$BV45,$CG45,0,$BY45,$BX45,$BZ45,$AJ45,1,12)*$CB45,0)</f>
        <v>-2.2210253419091182E-7</v>
      </c>
      <c r="BI45" s="137">
        <f>_xll.xSPRDOPT($BW45,$BV45,$CG45,2*LN(1+CA45/2),$BY45,$BX45,$BZ45,$AJ45,1,9)</f>
        <v>1.0104138395403502E-2</v>
      </c>
      <c r="BJ45" s="137">
        <f>_xll.xSPRDOPT($BW45,$BV45,$CG45,0,$BY45,$BX45,$BZ45,$AJ45,1,6)*$CB45</f>
        <v>-2.1902688731410014E-4</v>
      </c>
      <c r="BK45" s="137">
        <f>_xll.xSPRDOPT($BW45,$BV45,$CG45,0,$BY45,$BX45,$BZ45,$AJ45,1,5)*$CB45</f>
        <v>2.3997577827175153E-4</v>
      </c>
      <c r="BL45" s="137">
        <f>_xll.xSPRDOPT(BW45,BV45,CG45,0,BY45,BX45,BZ45,AJ45,1,2)*CB45</f>
        <v>-0.93155600414541118</v>
      </c>
      <c r="BM45" s="137">
        <f>_xll.xSPRDOPT(BW45,BV45,CG45,0,BY45,BX45,BZ45,AJ45,1,1)*CB45</f>
        <v>0.93155600414286943</v>
      </c>
      <c r="BN45" s="137">
        <f>IF(AH45&lt;&gt;0,_xll.xSPRDOPT($BW45,$BV45,$CG45,2*LN(1+CA45/2),$BY45,$BX45,$BZ45,$AJ45,1,8)+(AJ45/365.25)*CH45/AH45,0)</f>
        <v>0.12867318285353768</v>
      </c>
      <c r="BO45" s="137">
        <f>_xll.xSPRDOPT($BW45,$BV45,$CG45,0,$BY45,$BX45,$BZ45,$AJ45,1,0)</f>
        <v>0.30628436742514814</v>
      </c>
      <c r="BP45" s="137"/>
      <c r="BQ45" s="137"/>
      <c r="BR45" s="137"/>
      <c r="BS45" s="137"/>
      <c r="BV45" s="262">
        <v>3.5933161953727506</v>
      </c>
      <c r="BW45" s="136">
        <v>3.9369999999999998</v>
      </c>
      <c r="BX45" s="137">
        <v>0.39554041314388361</v>
      </c>
      <c r="BY45" s="137">
        <v>0.39554041314388361</v>
      </c>
      <c r="BZ45" s="137">
        <v>1</v>
      </c>
      <c r="CA45" s="137">
        <v>3.5735624061610197E-2</v>
      </c>
      <c r="CB45" s="137">
        <v>0.93156554756707821</v>
      </c>
      <c r="CC45" s="258">
        <v>-0.05</v>
      </c>
      <c r="CD45" s="258">
        <v>7.4999999999999997E-3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52"/>
        <v>38001</v>
      </c>
      <c r="F46" s="28">
        <f t="shared" si="53"/>
        <v>612</v>
      </c>
      <c r="G46" s="28">
        <f t="shared" si="13"/>
        <v>567.53587958242531</v>
      </c>
      <c r="H46" s="52">
        <f t="shared" si="54"/>
        <v>3.6550128534704367</v>
      </c>
      <c r="I46" s="52">
        <f t="shared" si="55"/>
        <v>3.9470000000000001</v>
      </c>
      <c r="K46" s="52">
        <f t="shared" si="56"/>
        <v>7.4337941066753652</v>
      </c>
      <c r="L46" s="135">
        <f t="shared" si="57"/>
        <v>2.3726228898901525E-5</v>
      </c>
      <c r="N46" s="131">
        <f t="shared" si="48"/>
        <v>0.39305358955281788</v>
      </c>
      <c r="O46" s="131">
        <f t="shared" si="49"/>
        <v>0.39305358955281788</v>
      </c>
      <c r="P46" s="55">
        <f t="shared" si="50"/>
        <v>1</v>
      </c>
      <c r="Q46" s="135">
        <f>_xll.xSPRDOPT(I46,H46,AQ46,0,O46,N46,P46,D46-$G$5,1,0)*AH46*AU46</f>
        <v>7.4338178329042641</v>
      </c>
      <c r="R46" s="135"/>
      <c r="S46" s="181">
        <f>_xll.xSPRDOPT(I46,H46,AQ46,AT46,O46,N46,P46,D46-$G$5,1,2)*AF46*(F46/(1-AR46))*AH46</f>
        <v>-18078.149745289771</v>
      </c>
      <c r="T46" s="181">
        <f>_xll.xSPRDOPT(I46,H46,AQ46,AT46,O46,N46,P46,D46-$G$5,1,1)*AF46*F46*AH46</f>
        <v>17581.000627389207</v>
      </c>
      <c r="U46" s="135"/>
      <c r="V46" s="146">
        <f t="shared" si="58"/>
        <v>10.789023993179432</v>
      </c>
      <c r="W46" s="146"/>
      <c r="X46" s="338">
        <f t="shared" si="59"/>
        <v>0</v>
      </c>
      <c r="Y46" s="338">
        <f t="shared" si="20"/>
        <v>0</v>
      </c>
      <c r="Z46" s="338">
        <f t="shared" si="21"/>
        <v>1.3552685026186291</v>
      </c>
      <c r="AA46" s="338">
        <f t="shared" si="22"/>
        <v>7.8929037355268173E-5</v>
      </c>
      <c r="AB46" s="338">
        <f t="shared" si="60"/>
        <v>0</v>
      </c>
      <c r="AC46" s="338">
        <f t="shared" si="61"/>
        <v>1.3683422821005295</v>
      </c>
      <c r="AF46" s="138">
        <f t="shared" si="62"/>
        <v>1</v>
      </c>
      <c r="AG46" s="138">
        <f t="shared" si="63"/>
        <v>1</v>
      </c>
      <c r="AH46" s="138">
        <f t="shared" si="27"/>
        <v>31</v>
      </c>
      <c r="AI46" s="138">
        <f t="shared" si="64"/>
        <v>745</v>
      </c>
      <c r="AJ46" s="138">
        <f t="shared" si="65"/>
        <v>762</v>
      </c>
      <c r="AL46" s="136">
        <f t="shared" si="29"/>
        <v>3.597</v>
      </c>
      <c r="AM46" s="258">
        <f t="shared" si="30"/>
        <v>-0.05</v>
      </c>
      <c r="AN46" s="258">
        <f t="shared" si="31"/>
        <v>7.4999999999999997E-3</v>
      </c>
      <c r="AO46" s="258">
        <f t="shared" si="32"/>
        <v>0.35</v>
      </c>
      <c r="AP46" s="258">
        <f t="shared" si="33"/>
        <v>0</v>
      </c>
      <c r="AQ46" s="136">
        <f t="shared" si="66"/>
        <v>3.3399999999999999E-2</v>
      </c>
      <c r="AR46" s="137">
        <f t="shared" si="35"/>
        <v>2.75E-2</v>
      </c>
      <c r="AS46" s="136">
        <f t="shared" si="67"/>
        <v>3.5545</v>
      </c>
      <c r="AT46" s="137">
        <f t="shared" si="68"/>
        <v>3.6629399588957501E-2</v>
      </c>
      <c r="AU46" s="137">
        <f t="shared" si="38"/>
        <v>0.9273462084680153</v>
      </c>
      <c r="AV46" s="394">
        <f t="shared" si="69"/>
        <v>488.71145186264408</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1.3261839505333279E-6</v>
      </c>
      <c r="BG46" s="137">
        <f>_xll.xSPRDOPT($BW46,$BV46,$CG46,0,$BY46,$BX46,$BZ46,$AJ46,1,3)*$CB46</f>
        <v>1.1051532921111066E-6</v>
      </c>
      <c r="BH46" s="137">
        <f>IF(OR(BF46&lt;&gt;0,BG46&lt;&gt;0),_xll.xSPRDOPT($BW46,$BV46,$CG46,0,$BY46,$BX46,$BZ46,$AJ46,1,12)*$CB46,0)</f>
        <v>-5.5257664605555325E-8</v>
      </c>
      <c r="BI46" s="137">
        <f>_xll.xSPRDOPT($BW46,$BV46,$CG46,2*LN(1+CA46/2),$BY46,$BX46,$BZ46,$AJ46,1,9)</f>
        <v>8.6972348826596067E-3</v>
      </c>
      <c r="BJ46" s="137">
        <f>_xll.xSPRDOPT($BW46,$BV46,$CG46,0,$BY46,$BX46,$BZ46,$AJ46,1,6)*$CB46</f>
        <v>-5.9221069329709641E-4</v>
      </c>
      <c r="BK46" s="137">
        <f>_xll.xSPRDOPT($BW46,$BV46,$CG46,0,$BY46,$BX46,$BZ46,$AJ46,1,5)*$CB46</f>
        <v>6.395204874180253E-4</v>
      </c>
      <c r="BL46" s="137">
        <f>_xll.xSPRDOPT(BW46,BV46,CG46,0,BY46,BX46,BZ46,AJ46,1,2)*CB46</f>
        <v>-0.92704350817869563</v>
      </c>
      <c r="BM46" s="137">
        <f>_xll.xSPRDOPT(BW46,BV46,CG46,0,BY46,BX46,BZ46,AJ46,1,1)*CB46</f>
        <v>0.92704350818122516</v>
      </c>
      <c r="BN46" s="137">
        <f>IF(AH46&lt;&gt;0,_xll.xSPRDOPT($BW46,$BV46,$CG46,2*LN(1+CA46/2),$BY46,$BX46,$BZ46,$AJ46,1,8)+(AJ46/365.25)*CH46/AH46,0)</f>
        <v>0.22573175292416092</v>
      </c>
      <c r="BO46" s="137">
        <f>_xll.xSPRDOPT($BW46,$BV46,$CG46,0,$BY46,$BX46,$BZ46,$AJ46,1,0)</f>
        <v>0.25858800696094042</v>
      </c>
      <c r="BP46" s="137"/>
      <c r="BQ46" s="137"/>
      <c r="BR46" s="137"/>
      <c r="BS46" s="137"/>
      <c r="BV46" s="262">
        <v>3.6550128534704367</v>
      </c>
      <c r="BW46" s="136">
        <v>3.9470000000000001</v>
      </c>
      <c r="BX46" s="137">
        <v>0.39296565235306902</v>
      </c>
      <c r="BY46" s="137">
        <v>0.39296565235306902</v>
      </c>
      <c r="BZ46" s="137">
        <v>1</v>
      </c>
      <c r="CA46" s="137">
        <v>3.6629399588957501E-2</v>
      </c>
      <c r="CB46" s="137">
        <v>0.92706977474295649</v>
      </c>
      <c r="CC46" s="258">
        <v>-0.05</v>
      </c>
      <c r="CD46" s="258">
        <v>7.4999999999999997E-3</v>
      </c>
      <c r="CE46" s="258">
        <v>0.35</v>
      </c>
      <c r="CF46" s="258">
        <v>0</v>
      </c>
      <c r="CG46" s="258">
        <v>3.3399999999999999E-2</v>
      </c>
      <c r="CH46" s="258">
        <v>10.78580788029198</v>
      </c>
      <c r="CI46" s="258">
        <v>3.597</v>
      </c>
      <c r="CJ46" s="258"/>
      <c r="CK46" s="258"/>
      <c r="CL46" s="258"/>
      <c r="CM46" s="258"/>
    </row>
    <row r="47" spans="1:91" x14ac:dyDescent="0.25">
      <c r="A47" s="723"/>
      <c r="B47" s="723"/>
      <c r="D47" s="31">
        <f t="shared" si="52"/>
        <v>38032</v>
      </c>
      <c r="F47" s="28">
        <f t="shared" si="53"/>
        <v>612</v>
      </c>
      <c r="G47" s="28">
        <f t="shared" si="13"/>
        <v>564.7629397016384</v>
      </c>
      <c r="H47" s="52">
        <f t="shared" si="54"/>
        <v>3.5676092544987146</v>
      </c>
      <c r="I47" s="52">
        <f t="shared" si="55"/>
        <v>3.8620000000000001</v>
      </c>
      <c r="K47" s="52">
        <f t="shared" si="56"/>
        <v>6.9845410445467593</v>
      </c>
      <c r="L47" s="135">
        <f t="shared" si="57"/>
        <v>2.7934091717085607E-5</v>
      </c>
      <c r="N47" s="131">
        <f t="shared" si="48"/>
        <v>0.39080901832551673</v>
      </c>
      <c r="O47" s="131">
        <f t="shared" si="49"/>
        <v>0.39080901832551673</v>
      </c>
      <c r="P47" s="55">
        <f t="shared" si="50"/>
        <v>1</v>
      </c>
      <c r="Q47" s="135">
        <f>_xll.xSPRDOPT(I47,H47,AQ47,0,O47,N47,P47,D47-$G$5,1,0)*AH47*AU47</f>
        <v>6.9845689786384764</v>
      </c>
      <c r="R47" s="135"/>
      <c r="S47" s="181">
        <f>_xll.xSPRDOPT(I47,H47,AQ47,AT47,O47,N47,P47,D47-$G$5,1,2)*AF47*(F47/(1-AR47))*AH47</f>
        <v>-16828.164028612733</v>
      </c>
      <c r="T47" s="181">
        <f>_xll.xSPRDOPT(I47,H47,AQ47,AT47,O47,N47,P47,D47-$G$5,1,1)*AF47*F47*AH47</f>
        <v>16365.389517664466</v>
      </c>
      <c r="U47" s="135"/>
      <c r="V47" s="146">
        <f t="shared" si="58"/>
        <v>10.043644455605754</v>
      </c>
      <c r="W47" s="146"/>
      <c r="X47" s="338">
        <f t="shared" si="59"/>
        <v>0</v>
      </c>
      <c r="Y47" s="338">
        <f t="shared" si="20"/>
        <v>0</v>
      </c>
      <c r="Z47" s="338">
        <f t="shared" si="21"/>
        <v>1.3028825393104857</v>
      </c>
      <c r="AA47" s="338">
        <f t="shared" si="22"/>
        <v>6.3685701497608399E-5</v>
      </c>
      <c r="AB47" s="338">
        <f t="shared" si="60"/>
        <v>0</v>
      </c>
      <c r="AC47" s="338">
        <f t="shared" si="61"/>
        <v>1.3156747673777052</v>
      </c>
      <c r="AF47" s="138">
        <f t="shared" si="62"/>
        <v>1</v>
      </c>
      <c r="AG47" s="138">
        <f t="shared" si="63"/>
        <v>2</v>
      </c>
      <c r="AH47" s="138">
        <f t="shared" si="27"/>
        <v>29</v>
      </c>
      <c r="AI47" s="138">
        <f t="shared" si="64"/>
        <v>776</v>
      </c>
      <c r="AJ47" s="138">
        <f t="shared" si="65"/>
        <v>793</v>
      </c>
      <c r="AL47" s="136">
        <f t="shared" si="29"/>
        <v>3.512</v>
      </c>
      <c r="AM47" s="258">
        <f t="shared" si="30"/>
        <v>-0.05</v>
      </c>
      <c r="AN47" s="258">
        <f t="shared" si="31"/>
        <v>7.4999999999999997E-3</v>
      </c>
      <c r="AO47" s="258">
        <f t="shared" si="32"/>
        <v>0.35</v>
      </c>
      <c r="AP47" s="258">
        <f t="shared" si="33"/>
        <v>0</v>
      </c>
      <c r="AQ47" s="136">
        <f t="shared" si="66"/>
        <v>3.3399999999999999E-2</v>
      </c>
      <c r="AR47" s="137">
        <f t="shared" si="35"/>
        <v>2.75E-2</v>
      </c>
      <c r="AS47" s="136">
        <f t="shared" si="67"/>
        <v>3.4695</v>
      </c>
      <c r="AT47" s="137">
        <f t="shared" si="68"/>
        <v>3.74851197051385E-2</v>
      </c>
      <c r="AU47" s="137">
        <f t="shared" si="38"/>
        <v>0.92281526095038946</v>
      </c>
      <c r="AV47" s="394">
        <f t="shared" si="69"/>
        <v>454.94792364854203</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1.3196952034416742E-6</v>
      </c>
      <c r="BG47" s="137">
        <f>_xll.xSPRDOPT($BW47,$BV47,$CG47,0,$BY47,$BX47,$BZ47,$AJ47,1,3)*$CB47</f>
        <v>6.5984760172083711E-7</v>
      </c>
      <c r="BH47" s="137">
        <f>IF(OR(BF47&lt;&gt;0,BG47&lt;&gt;0),_xll.xSPRDOPT($BW47,$BV47,$CG47,0,$BY47,$BX47,$BZ47,$AJ47,1,12)*$CB47,0)</f>
        <v>-6.5984760172083711E-7</v>
      </c>
      <c r="BI47" s="137">
        <f>_xll.xSPRDOPT($BW47,$BV47,$CG47,2*LN(1+CA47/2),$BY47,$BX47,$BZ47,$AJ47,1,9)</f>
        <v>8.9376802547358365E-3</v>
      </c>
      <c r="BJ47" s="137">
        <f>_xll.xSPRDOPT($BW47,$BV47,$CG47,0,$BY47,$BX47,$BZ47,$AJ47,1,6)*$CB47</f>
        <v>-5.6780094209361723E-4</v>
      </c>
      <c r="BK47" s="137">
        <f>_xll.xSPRDOPT($BW47,$BV47,$CG47,0,$BY47,$BX47,$BZ47,$AJ47,1,5)*$CB47</f>
        <v>6.1465454206819823E-4</v>
      </c>
      <c r="BL47" s="137">
        <f>_xll.xSPRDOPT(BW47,BV47,CG47,0,BY47,BX47,BZ47,AJ47,1,2)*CB47</f>
        <v>-0.92250856756776967</v>
      </c>
      <c r="BM47" s="137">
        <f>_xll.xSPRDOPT(BW47,BV47,CG47,0,BY47,BX47,BZ47,AJ47,1,1)*CB47</f>
        <v>0.92250856756357447</v>
      </c>
      <c r="BN47" s="137">
        <f>IF(AH47&lt;&gt;0,_xll.xSPRDOPT($BW47,$BV47,$CG47,2*LN(1+CA47/2),$BY47,$BX47,$BZ47,$AJ47,1,8)+(AJ47/365.25)*CH47/AH47,0)</f>
        <v>0.22895100461760021</v>
      </c>
      <c r="BO47" s="137">
        <f>_xll.xSPRDOPT($BW47,$BV47,$CG47,0,$BY47,$BX47,$BZ47,$AJ47,1,0)</f>
        <v>0.2609918230690047</v>
      </c>
      <c r="BP47" s="137"/>
      <c r="BQ47" s="137"/>
      <c r="BR47" s="137"/>
      <c r="BS47" s="137"/>
      <c r="BV47" s="262">
        <v>3.5676092544987146</v>
      </c>
      <c r="BW47" s="136">
        <v>3.8620000000000001</v>
      </c>
      <c r="BX47" s="137">
        <v>0.3907324322965694</v>
      </c>
      <c r="BY47" s="137">
        <v>0.3907324322965694</v>
      </c>
      <c r="BZ47" s="137">
        <v>1</v>
      </c>
      <c r="CA47" s="137">
        <v>3.74851197051385E-2</v>
      </c>
      <c r="CB47" s="137">
        <v>0.92253381176270466</v>
      </c>
      <c r="CC47" s="258">
        <v>-0.05</v>
      </c>
      <c r="CD47" s="258">
        <v>7.4999999999999997E-3</v>
      </c>
      <c r="CE47" s="258">
        <v>0.35</v>
      </c>
      <c r="CF47" s="258">
        <v>0</v>
      </c>
      <c r="CG47" s="258">
        <v>3.3399999999999999E-2</v>
      </c>
      <c r="CH47" s="258">
        <v>10.04058124708175</v>
      </c>
      <c r="CI47" s="258">
        <v>3.512</v>
      </c>
      <c r="CJ47" s="258"/>
      <c r="CK47" s="258"/>
      <c r="CL47" s="258"/>
      <c r="CM47" s="258"/>
    </row>
    <row r="48" spans="1:91" x14ac:dyDescent="0.25">
      <c r="A48" s="723"/>
      <c r="B48" s="723"/>
      <c r="D48" s="31">
        <f t="shared" si="52"/>
        <v>38061</v>
      </c>
      <c r="F48" s="28">
        <f t="shared" si="53"/>
        <v>612</v>
      </c>
      <c r="G48" s="28">
        <f t="shared" si="13"/>
        <v>562.10899033531541</v>
      </c>
      <c r="H48" s="52">
        <f t="shared" si="54"/>
        <v>3.4339331619537274</v>
      </c>
      <c r="I48" s="52">
        <f t="shared" si="55"/>
        <v>3.782</v>
      </c>
      <c r="K48" s="52">
        <f t="shared" si="56"/>
        <v>8.9594588519805427</v>
      </c>
      <c r="L48" s="135">
        <f t="shared" si="57"/>
        <v>4.3108388130264075E-6</v>
      </c>
      <c r="N48" s="131">
        <f t="shared" si="48"/>
        <v>0.36642927609768672</v>
      </c>
      <c r="O48" s="131">
        <f t="shared" si="49"/>
        <v>0.36642927609768672</v>
      </c>
      <c r="P48" s="55">
        <f t="shared" si="50"/>
        <v>0.99999999999999989</v>
      </c>
      <c r="Q48" s="135">
        <f>_xll.xSPRDOPT(I48,H48,AQ48,0,O48,N48,P48,D48-$G$5,1,0)*AH48*AU48</f>
        <v>8.9594631628193557</v>
      </c>
      <c r="R48" s="135"/>
      <c r="S48" s="181">
        <f>_xll.xSPRDOPT(I48,H48,AQ48,AT48,O48,N48,P48,D48-$G$5,1,2)*AF48*(F48/(1-AR48))*AH48</f>
        <v>-17903.53231599008</v>
      </c>
      <c r="T48" s="181">
        <f>_xll.xSPRDOPT(I48,H48,AQ48,AT48,O48,N48,P48,D48-$G$5,1,1)*AF48*F48*AH48</f>
        <v>17411.18517721408</v>
      </c>
      <c r="U48" s="135"/>
      <c r="V48" s="146">
        <f t="shared" si="58"/>
        <v>10.685857232447976</v>
      </c>
      <c r="W48" s="146"/>
      <c r="X48" s="338">
        <f t="shared" si="59"/>
        <v>0</v>
      </c>
      <c r="Y48" s="338">
        <f t="shared" si="20"/>
        <v>0</v>
      </c>
      <c r="Z48" s="338">
        <f t="shared" si="21"/>
        <v>1.7073200045113486</v>
      </c>
      <c r="AA48" s="338">
        <f t="shared" si="22"/>
        <v>6.2750384391547549E-6</v>
      </c>
      <c r="AB48" s="338">
        <f t="shared" si="60"/>
        <v>0</v>
      </c>
      <c r="AC48" s="338">
        <f t="shared" si="61"/>
        <v>1.723713146912172</v>
      </c>
      <c r="AF48" s="138">
        <f t="shared" si="62"/>
        <v>1</v>
      </c>
      <c r="AG48" s="138">
        <f t="shared" si="63"/>
        <v>3</v>
      </c>
      <c r="AH48" s="138">
        <f t="shared" si="27"/>
        <v>31</v>
      </c>
      <c r="AI48" s="138">
        <f t="shared" si="64"/>
        <v>805</v>
      </c>
      <c r="AJ48" s="138">
        <f t="shared" si="65"/>
        <v>822</v>
      </c>
      <c r="AL48" s="136">
        <f t="shared" si="29"/>
        <v>3.3820000000000001</v>
      </c>
      <c r="AM48" s="258">
        <f t="shared" si="30"/>
        <v>-0.05</v>
      </c>
      <c r="AN48" s="258">
        <f t="shared" si="31"/>
        <v>7.4999999999999997E-3</v>
      </c>
      <c r="AO48" s="258">
        <f t="shared" si="32"/>
        <v>0.4</v>
      </c>
      <c r="AP48" s="258">
        <f t="shared" si="33"/>
        <v>0</v>
      </c>
      <c r="AQ48" s="136">
        <f t="shared" si="66"/>
        <v>3.3399999999999999E-2</v>
      </c>
      <c r="AR48" s="137">
        <f t="shared" si="35"/>
        <v>2.75E-2</v>
      </c>
      <c r="AS48" s="136">
        <f t="shared" si="67"/>
        <v>3.3395000000000001</v>
      </c>
      <c r="AT48" s="137">
        <f t="shared" si="68"/>
        <v>3.8285632294587903E-2</v>
      </c>
      <c r="AU48" s="137">
        <f t="shared" si="38"/>
        <v>0.91847874237796645</v>
      </c>
      <c r="AV48" s="394">
        <f t="shared" si="69"/>
        <v>484.0382972331883</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-1.0945709834505646E-7</v>
      </c>
      <c r="BG48" s="137">
        <f>_xll.xSPRDOPT($BW48,$BV48,$CG48,0,$BY48,$BX48,$BZ48,$AJ48,1,3)*$CB48</f>
        <v>1.0945709834505645E-6</v>
      </c>
      <c r="BH48" s="137">
        <f>IF(OR(BF48&lt;&gt;0,BG48&lt;&gt;0),_xll.xSPRDOPT($BW48,$BV48,$CG48,0,$BY48,$BX48,$BZ48,$AJ48,1,12)*$CB48,0)</f>
        <v>-6.0201404089781047E-7</v>
      </c>
      <c r="BI48" s="137">
        <f>_xll.xSPRDOPT($BW48,$BV48,$CG48,2*LN(1+CA48/2),$BY48,$BX48,$BZ48,$AJ48,1,9)</f>
        <v>1.0956473252648993E-2</v>
      </c>
      <c r="BJ48" s="137">
        <f>_xll.xSPRDOPT($BW48,$BV48,$CG48,0,$BY48,$BX48,$BZ48,$AJ48,1,6)*$CB48</f>
        <v>-7.9608285935061233E-5</v>
      </c>
      <c r="BK48" s="137">
        <f>_xll.xSPRDOPT($BW48,$BV48,$CG48,0,$BY48,$BX48,$BZ48,$AJ48,1,5)*$CB48</f>
        <v>8.7677458548957724E-5</v>
      </c>
      <c r="BL48" s="137">
        <f>_xll.xSPRDOPT(BW48,BV48,CG48,0,BY48,BX48,BZ48,AJ48,1,2)*CB48</f>
        <v>-0.91818947651643623</v>
      </c>
      <c r="BM48" s="137">
        <f>_xll.xSPRDOPT(BW48,BV48,CG48,0,BY48,BX48,BZ48,AJ48,1,1)*CB48</f>
        <v>0.91818947651226079</v>
      </c>
      <c r="BN48" s="137">
        <f>IF(AH48&lt;&gt;0,_xll.xSPRDOPT($BW48,$BV48,$CG48,2*LN(1+CA48/2),$BY48,$BX48,$BZ48,$AJ48,1,8)+(AJ48/365.25)*CH48/AH48,0)</f>
        <v>0.12529233902763981</v>
      </c>
      <c r="BO48" s="137">
        <f>_xll.xSPRDOPT($BW48,$BV48,$CG48,0,$BY48,$BX48,$BZ48,$AJ48,1,0)</f>
        <v>0.31466699498134049</v>
      </c>
      <c r="BP48" s="137"/>
      <c r="BQ48" s="137"/>
      <c r="BR48" s="137"/>
      <c r="BS48" s="137"/>
      <c r="BV48" s="262">
        <v>3.4339331619537274</v>
      </c>
      <c r="BW48" s="136">
        <v>3.782</v>
      </c>
      <c r="BX48" s="137">
        <v>0.3663882864421511</v>
      </c>
      <c r="BY48" s="137">
        <v>0.3663882864421511</v>
      </c>
      <c r="BZ48" s="137">
        <v>1</v>
      </c>
      <c r="CA48" s="137">
        <v>3.8285632294587903E-2</v>
      </c>
      <c r="CB48" s="137">
        <v>0.91819269083412736</v>
      </c>
      <c r="CC48" s="258">
        <v>-0.05</v>
      </c>
      <c r="CD48" s="258">
        <v>7.4999999999999997E-3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52"/>
        <v>38092</v>
      </c>
      <c r="F49" s="28">
        <f t="shared" si="53"/>
        <v>612</v>
      </c>
      <c r="G49" s="28">
        <f t="shared" si="13"/>
        <v>559.28139004558625</v>
      </c>
      <c r="H49" s="52">
        <f t="shared" si="54"/>
        <v>3.2411311053984573</v>
      </c>
      <c r="I49" s="52">
        <f t="shared" si="55"/>
        <v>3.7970000000000002</v>
      </c>
      <c r="K49" s="52">
        <f t="shared" si="56"/>
        <v>14.323878903349597</v>
      </c>
      <c r="L49" s="135">
        <f t="shared" si="57"/>
        <v>1.4908240242306192E-6</v>
      </c>
      <c r="N49" s="131">
        <f t="shared" si="48"/>
        <v>0.3313618943887166</v>
      </c>
      <c r="O49" s="131">
        <f t="shared" si="49"/>
        <v>0.3313618943887166</v>
      </c>
      <c r="P49" s="55">
        <f t="shared" si="50"/>
        <v>1</v>
      </c>
      <c r="Q49" s="135">
        <f>_xll.xSPRDOPT(I49,H49,AQ49,0,O49,N49,P49,D49-$G$5,1,0)*AH49*AU49</f>
        <v>14.323880394173621</v>
      </c>
      <c r="R49" s="135"/>
      <c r="S49" s="181">
        <f>_xll.xSPRDOPT(I49,H49,AQ49,AT49,O49,N49,P49,D49-$G$5,1,2)*AF49*(F49/(1-AR49))*AH49</f>
        <v>-17237.768043905711</v>
      </c>
      <c r="T49" s="181">
        <f>_xll.xSPRDOPT(I49,H49,AQ49,AT49,O49,N49,P49,D49-$G$5,1,1)*AF49*F49*AH49</f>
        <v>16763.729422831893</v>
      </c>
      <c r="U49" s="135"/>
      <c r="V49" s="146">
        <f t="shared" si="58"/>
        <v>10.289132631573947</v>
      </c>
      <c r="W49" s="146"/>
      <c r="X49" s="338">
        <f t="shared" si="59"/>
        <v>0</v>
      </c>
      <c r="Y49" s="338">
        <f t="shared" si="20"/>
        <v>0</v>
      </c>
      <c r="Z49" s="338">
        <f t="shared" si="21"/>
        <v>2.7861385528573148</v>
      </c>
      <c r="AA49" s="338">
        <f t="shared" si="22"/>
        <v>-6.0710693059575392E-9</v>
      </c>
      <c r="AB49" s="338">
        <f t="shared" si="60"/>
        <v>0</v>
      </c>
      <c r="AC49" s="338">
        <f t="shared" si="61"/>
        <v>2.8132738483084827</v>
      </c>
      <c r="AF49" s="138">
        <f t="shared" si="62"/>
        <v>1</v>
      </c>
      <c r="AG49" s="138">
        <f t="shared" si="63"/>
        <v>4</v>
      </c>
      <c r="AH49" s="138">
        <f t="shared" si="27"/>
        <v>30</v>
      </c>
      <c r="AI49" s="138">
        <f t="shared" si="64"/>
        <v>836</v>
      </c>
      <c r="AJ49" s="138">
        <f t="shared" si="65"/>
        <v>853</v>
      </c>
      <c r="AL49" s="136">
        <f t="shared" si="29"/>
        <v>3.1970000000000001</v>
      </c>
      <c r="AM49" s="258">
        <f t="shared" si="30"/>
        <v>-5.2499999999999998E-2</v>
      </c>
      <c r="AN49" s="258">
        <f t="shared" si="31"/>
        <v>7.4999999999999997E-3</v>
      </c>
      <c r="AO49" s="258">
        <f t="shared" si="32"/>
        <v>0.6</v>
      </c>
      <c r="AP49" s="258">
        <f t="shared" si="33"/>
        <v>0</v>
      </c>
      <c r="AQ49" s="136">
        <f t="shared" si="66"/>
        <v>3.3399999999999999E-2</v>
      </c>
      <c r="AR49" s="137">
        <f t="shared" si="35"/>
        <v>2.75E-2</v>
      </c>
      <c r="AS49" s="136">
        <f t="shared" si="67"/>
        <v>3.1519999999999997</v>
      </c>
      <c r="AT49" s="137">
        <f t="shared" si="68"/>
        <v>3.9084714616572501E-2</v>
      </c>
      <c r="AU49" s="137">
        <f t="shared" si="38"/>
        <v>0.9138584804666442</v>
      </c>
      <c r="AV49" s="394">
        <f t="shared" si="69"/>
        <v>466.06782503798854</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0</v>
      </c>
      <c r="BG49" s="137">
        <f>_xll.xSPRDOPT($BW49,$BV49,$CG49,0,$BY49,$BX49,$BZ49,$AJ49,1,3)*$CB49</f>
        <v>-2.1781158103795246E-7</v>
      </c>
      <c r="BH49" s="137">
        <f>IF(OR(BF49&lt;&gt;0,BG49&lt;&gt;0),_xll.xSPRDOPT($BW49,$BV49,$CG49,0,$BY49,$BX49,$BZ49,$AJ49,1,12)*$CB49,0)</f>
        <v>5.4452895259488112E-7</v>
      </c>
      <c r="BI49" s="137">
        <f>_xll.xSPRDOPT($BW49,$BV49,$CG49,2*LN(1+CA49/2),$BY49,$BX49,$BZ49,$AJ49,1,9)</f>
        <v>1.8475619216251529E-2</v>
      </c>
      <c r="BJ49" s="137">
        <f>_xll.xSPRDOPT($BW49,$BV49,$CG49,0,$BY49,$BX49,$BZ49,$AJ49,1,6)*$CB49</f>
        <v>4.0387090096622886E-7</v>
      </c>
      <c r="BK49" s="137">
        <f>_xll.xSPRDOPT($BW49,$BV49,$CG49,0,$BY49,$BX49,$BZ49,$AJ49,1,5)*$CB49</f>
        <v>-4.7312986035805716E-7</v>
      </c>
      <c r="BL49" s="137">
        <f>_xll.xSPRDOPT(BW49,BV49,CG49,0,BY49,BX49,BZ49,AJ49,1,2)*CB49</f>
        <v>-0.91356808011198976</v>
      </c>
      <c r="BM49" s="137">
        <f>_xll.xSPRDOPT(BW49,BV49,CG49,0,BY49,BX49,BZ49,AJ49,1,1)*CB49</f>
        <v>0.91356808011531332</v>
      </c>
      <c r="BN49" s="137">
        <f>IF(AH49&lt;&gt;0,_xll.xSPRDOPT($BW49,$BV49,$CG49,2*LN(1+CA49/2),$BY49,$BX49,$BZ49,$AJ49,1,8)+(AJ49/365.25)*CH49/AH49,0)</f>
        <v>-0.31399003616415655</v>
      </c>
      <c r="BO49" s="137">
        <f>_xll.xSPRDOPT($BW49,$BV49,$CG49,0,$BY49,$BX49,$BZ49,$AJ49,1,0)</f>
        <v>0.52246894893611218</v>
      </c>
      <c r="BP49" s="137"/>
      <c r="BQ49" s="137"/>
      <c r="BR49" s="137"/>
      <c r="BS49" s="137"/>
      <c r="BV49" s="262">
        <v>3.2411311053984573</v>
      </c>
      <c r="BW49" s="136">
        <v>3.7970000000000002</v>
      </c>
      <c r="BX49" s="137">
        <v>0.33135712001344797</v>
      </c>
      <c r="BY49" s="137">
        <v>0.33135712001344797</v>
      </c>
      <c r="BZ49" s="137">
        <v>1</v>
      </c>
      <c r="CA49" s="137">
        <v>3.9084714616572501E-2</v>
      </c>
      <c r="CB49" s="137">
        <v>0.91356798559380814</v>
      </c>
      <c r="CC49" s="258">
        <v>-5.2499999999999998E-2</v>
      </c>
      <c r="CD49" s="258">
        <v>7.4999999999999997E-3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52"/>
        <v>38122</v>
      </c>
      <c r="F50" s="28">
        <f t="shared" si="53"/>
        <v>612</v>
      </c>
      <c r="G50" s="28">
        <f t="shared" si="13"/>
        <v>556.56528993765994</v>
      </c>
      <c r="H50" s="52">
        <f t="shared" si="54"/>
        <v>3.2359897172236503</v>
      </c>
      <c r="I50" s="52">
        <f t="shared" si="55"/>
        <v>3.9420000000000002</v>
      </c>
      <c r="K50" s="52">
        <f t="shared" si="56"/>
        <v>18.962251059644757</v>
      </c>
      <c r="L50" s="135">
        <f t="shared" si="57"/>
        <v>1.9694222430644004E-6</v>
      </c>
      <c r="N50" s="131">
        <f t="shared" si="48"/>
        <v>0.32761016081651256</v>
      </c>
      <c r="O50" s="131">
        <f t="shared" si="49"/>
        <v>0.32761016081651256</v>
      </c>
      <c r="P50" s="55">
        <f t="shared" si="50"/>
        <v>1.0000000000000002</v>
      </c>
      <c r="Q50" s="135">
        <f>_xll.xSPRDOPT(I50,H50,AQ50,0,O50,N50,P50,D50-$G$5,1,0)*AH50*AU50</f>
        <v>18.962253029067</v>
      </c>
      <c r="R50" s="135"/>
      <c r="S50" s="181">
        <f>_xll.xSPRDOPT(I50,H50,AQ50,AT50,O50,N50,P50,D50-$G$5,1,2)*AF50*(F50/(1-AR50))*AH50</f>
        <v>-17724.716940931972</v>
      </c>
      <c r="T50" s="181">
        <f>_xll.xSPRDOPT(I50,H50,AQ50,AT50,O50,N50,P50,D50-$G$5,1,1)*AF50*F50*AH50</f>
        <v>17237.287225021835</v>
      </c>
      <c r="U50" s="135"/>
      <c r="V50" s="146">
        <f t="shared" si="58"/>
        <v>10.580469857388429</v>
      </c>
      <c r="W50" s="146"/>
      <c r="X50" s="338">
        <f t="shared" si="59"/>
        <v>0</v>
      </c>
      <c r="Y50" s="338">
        <f t="shared" si="20"/>
        <v>0</v>
      </c>
      <c r="Z50" s="338">
        <f t="shared" si="21"/>
        <v>3.7551248126782251</v>
      </c>
      <c r="AA50" s="338">
        <f t="shared" si="22"/>
        <v>-1.664936849837177E-8</v>
      </c>
      <c r="AB50" s="338">
        <f t="shared" si="60"/>
        <v>0</v>
      </c>
      <c r="AC50" s="338">
        <f t="shared" si="61"/>
        <v>3.7923641342599961</v>
      </c>
      <c r="AF50" s="138">
        <f t="shared" si="62"/>
        <v>1</v>
      </c>
      <c r="AG50" s="138">
        <f t="shared" si="63"/>
        <v>5</v>
      </c>
      <c r="AH50" s="138">
        <f t="shared" si="27"/>
        <v>31</v>
      </c>
      <c r="AI50" s="138">
        <f t="shared" si="64"/>
        <v>866</v>
      </c>
      <c r="AJ50" s="138">
        <f t="shared" si="65"/>
        <v>883</v>
      </c>
      <c r="AL50" s="136">
        <f t="shared" si="29"/>
        <v>3.1920000000000002</v>
      </c>
      <c r="AM50" s="258">
        <f t="shared" si="30"/>
        <v>-5.2499999999999998E-2</v>
      </c>
      <c r="AN50" s="258">
        <f t="shared" si="31"/>
        <v>7.4999999999999997E-3</v>
      </c>
      <c r="AO50" s="258">
        <f t="shared" si="32"/>
        <v>0.75</v>
      </c>
      <c r="AP50" s="258">
        <f t="shared" si="33"/>
        <v>0</v>
      </c>
      <c r="AQ50" s="136">
        <f t="shared" si="66"/>
        <v>3.3399999999999999E-2</v>
      </c>
      <c r="AR50" s="137">
        <f t="shared" si="35"/>
        <v>2.75E-2</v>
      </c>
      <c r="AS50" s="136">
        <f t="shared" si="67"/>
        <v>3.1469999999999998</v>
      </c>
      <c r="AT50" s="137">
        <f t="shared" si="68"/>
        <v>3.9799554968306797E-2</v>
      </c>
      <c r="AU50" s="137">
        <f t="shared" si="38"/>
        <v>0.90942040839486926</v>
      </c>
      <c r="AV50" s="394">
        <f t="shared" si="69"/>
        <v>479.26455522409611</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-6.5025765157522521E-7</v>
      </c>
      <c r="BG50" s="137">
        <f>_xll.xSPRDOPT($BW50,$BV50,$CG50,0,$BY50,$BX50,$BZ50,$AJ50,1,3)*$CB50</f>
        <v>-1.5172678536755255E-6</v>
      </c>
      <c r="BH50" s="137">
        <f>IF(OR(BF50&lt;&gt;0,BG50&lt;&gt;0),_xll.xSPRDOPT($BW50,$BV50,$CG50,0,$BY50,$BX50,$BZ50,$AJ50,1,12)*$CB50,0)</f>
        <v>3.2512882578761261E-7</v>
      </c>
      <c r="BI50" s="137">
        <f>_xll.xSPRDOPT($BW50,$BV50,$CG50,2*LN(1+CA50/2),$BY50,$BX50,$BZ50,$AJ50,1,9)</f>
        <v>2.4097957302528665E-2</v>
      </c>
      <c r="BJ50" s="137">
        <f>_xll.xSPRDOPT($BW50,$BV50,$CG50,0,$BY50,$BX50,$BZ50,$AJ50,1,6)*$CB50</f>
        <v>4.5380507525798642E-7</v>
      </c>
      <c r="BK50" s="137">
        <f>_xll.xSPRDOPT($BW50,$BV50,$CG50,0,$BY50,$BX50,$BZ50,$AJ50,1,5)*$CB50</f>
        <v>-5.5332766051314773E-7</v>
      </c>
      <c r="BL50" s="137">
        <f>_xll.xSPRDOPT(BW50,BV50,CG50,0,BY50,BX50,BZ50,AJ50,1,2)*CB50</f>
        <v>-0.90912618479450757</v>
      </c>
      <c r="BM50" s="137">
        <f>_xll.xSPRDOPT(BW50,BV50,CG50,0,BY50,BX50,BZ50,AJ50,1,1)*CB50</f>
        <v>0.90912618479781493</v>
      </c>
      <c r="BN50" s="137">
        <f>IF(AH50&lt;&gt;0,_xll.xSPRDOPT($BW50,$BV50,$CG50,2*LN(1+CA50/2),$BY50,$BX50,$BZ50,$AJ50,1,8)+(AJ50/365.25)*CH50/AH50,0)</f>
        <v>-0.65343836895204532</v>
      </c>
      <c r="BO50" s="137">
        <f>_xll.xSPRDOPT($BW50,$BV50,$CG50,0,$BY50,$BX50,$BZ50,$AJ50,1,0)</f>
        <v>0.67261035257333868</v>
      </c>
      <c r="BP50" s="137"/>
      <c r="BQ50" s="137"/>
      <c r="BR50" s="137"/>
      <c r="BS50" s="137"/>
      <c r="BV50" s="262">
        <v>3.2359897172236503</v>
      </c>
      <c r="BW50" s="136">
        <v>3.9420000000000002</v>
      </c>
      <c r="BX50" s="137">
        <v>0.32760134296054622</v>
      </c>
      <c r="BY50" s="137">
        <v>0.32760134296054622</v>
      </c>
      <c r="BZ50" s="137">
        <v>1</v>
      </c>
      <c r="CA50" s="137">
        <v>3.9799554968306797E-2</v>
      </c>
      <c r="CB50" s="137">
        <v>0.90912608967752451</v>
      </c>
      <c r="CC50" s="258">
        <v>-5.2499999999999998E-2</v>
      </c>
      <c r="CD50" s="258">
        <v>7.4999999999999997E-3</v>
      </c>
      <c r="CE50" s="258">
        <v>0.75</v>
      </c>
      <c r="CF50" s="258">
        <v>0</v>
      </c>
      <c r="CG50" s="258">
        <v>3.3399999999999999E-2</v>
      </c>
      <c r="CH50" s="258">
        <v>10.577045665135225</v>
      </c>
      <c r="CI50" s="258">
        <v>3.1920000000000002</v>
      </c>
      <c r="CJ50" s="258"/>
      <c r="CK50" s="258"/>
      <c r="CL50" s="258"/>
      <c r="CM50" s="258"/>
    </row>
    <row r="51" spans="1:91" x14ac:dyDescent="0.25">
      <c r="A51" s="723"/>
      <c r="B51" s="723"/>
      <c r="D51" s="31">
        <f t="shared" si="52"/>
        <v>38153</v>
      </c>
      <c r="F51" s="28">
        <f t="shared" si="53"/>
        <v>612</v>
      </c>
      <c r="G51" s="28">
        <f t="shared" si="13"/>
        <v>553.70587544097225</v>
      </c>
      <c r="H51" s="52">
        <f t="shared" si="54"/>
        <v>3.2745501285347043</v>
      </c>
      <c r="I51" s="52">
        <f t="shared" si="55"/>
        <v>4.077</v>
      </c>
      <c r="K51" s="52">
        <f t="shared" si="56"/>
        <v>20.873893742032291</v>
      </c>
      <c r="L51" s="135">
        <f t="shared" si="57"/>
        <v>2.1690942411112246E-6</v>
      </c>
      <c r="N51" s="131">
        <f t="shared" si="48"/>
        <v>0.32256221350143816</v>
      </c>
      <c r="O51" s="131">
        <f t="shared" si="49"/>
        <v>0.32256221350143816</v>
      </c>
      <c r="P51" s="55">
        <f t="shared" si="50"/>
        <v>1</v>
      </c>
      <c r="Q51" s="135">
        <f>_xll.xSPRDOPT(I51,H51,AQ51,0,O51,N51,P51,D51-$G$5,1,0)*AH51*AU51</f>
        <v>20.873895911126532</v>
      </c>
      <c r="R51" s="135"/>
      <c r="S51" s="181">
        <f>_xll.xSPRDOPT(I51,H51,AQ51,AT51,O51,N51,P51,D51-$G$5,1,2)*AF51*(F51/(1-AR51))*AH51</f>
        <v>-17063.641701229266</v>
      </c>
      <c r="T51" s="181">
        <f>_xll.xSPRDOPT(I51,H51,AQ51,AT51,O51,N51,P51,D51-$G$5,1,1)*AF51*F51*AH51</f>
        <v>16594.391554211688</v>
      </c>
      <c r="U51" s="135"/>
      <c r="V51" s="146">
        <f t="shared" si="58"/>
        <v>10.186559561421417</v>
      </c>
      <c r="W51" s="146"/>
      <c r="X51" s="338">
        <f t="shared" si="59"/>
        <v>0</v>
      </c>
      <c r="Y51" s="338">
        <f t="shared" si="20"/>
        <v>0</v>
      </c>
      <c r="Z51" s="338">
        <f t="shared" si="21"/>
        <v>4.2096208424060242</v>
      </c>
      <c r="AA51" s="338">
        <f t="shared" si="22"/>
        <v>-1.779846243776596E-8</v>
      </c>
      <c r="AB51" s="338">
        <f t="shared" si="60"/>
        <v>0</v>
      </c>
      <c r="AC51" s="338">
        <f t="shared" si="61"/>
        <v>4.252139663429503</v>
      </c>
      <c r="AF51" s="138">
        <f t="shared" si="62"/>
        <v>1</v>
      </c>
      <c r="AG51" s="138">
        <f t="shared" si="63"/>
        <v>6</v>
      </c>
      <c r="AH51" s="138">
        <f t="shared" si="27"/>
        <v>30</v>
      </c>
      <c r="AI51" s="138">
        <f t="shared" si="64"/>
        <v>897</v>
      </c>
      <c r="AJ51" s="138">
        <f t="shared" si="65"/>
        <v>914</v>
      </c>
      <c r="AL51" s="136">
        <f t="shared" si="29"/>
        <v>3.2269999999999999</v>
      </c>
      <c r="AM51" s="258">
        <f t="shared" si="30"/>
        <v>-0.05</v>
      </c>
      <c r="AN51" s="258">
        <f t="shared" si="31"/>
        <v>7.4999999999999997E-3</v>
      </c>
      <c r="AO51" s="258">
        <f t="shared" si="32"/>
        <v>0.85</v>
      </c>
      <c r="AP51" s="258">
        <f t="shared" si="33"/>
        <v>0</v>
      </c>
      <c r="AQ51" s="136">
        <f t="shared" si="66"/>
        <v>3.3399999999999999E-2</v>
      </c>
      <c r="AR51" s="137">
        <f t="shared" si="35"/>
        <v>2.75E-2</v>
      </c>
      <c r="AS51" s="136">
        <f t="shared" si="67"/>
        <v>3.1844999999999999</v>
      </c>
      <c r="AT51" s="137">
        <f t="shared" si="68"/>
        <v>4.0538223511899799E-2</v>
      </c>
      <c r="AU51" s="137">
        <f t="shared" si="38"/>
        <v>0.90474816248524881</v>
      </c>
      <c r="AV51" s="394">
        <f t="shared" si="69"/>
        <v>461.42156286747689</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6.4691303480052317E-7</v>
      </c>
      <c r="BG51" s="137">
        <f>_xll.xSPRDOPT($BW51,$BV51,$CG51,0,$BY51,$BX51,$BZ51,$AJ51,1,3)*$CB51</f>
        <v>-8.6255071306736416E-7</v>
      </c>
      <c r="BH51" s="137">
        <f>IF(OR(BF51&lt;&gt;0,BG51&lt;&gt;0),_xll.xSPRDOPT($BW51,$BV51,$CG51,0,$BY51,$BX51,$BZ51,$AJ51,1,12)*$CB51,0)</f>
        <v>9.7036955220078465E-7</v>
      </c>
      <c r="BI51" s="137">
        <f>_xll.xSPRDOPT($BW51,$BV51,$CG51,2*LN(1+CA51/2),$BY51,$BX51,$BZ51,$AJ51,1,9)</f>
        <v>2.7915105531750192E-2</v>
      </c>
      <c r="BJ51" s="137">
        <f>_xll.xSPRDOPT($BW51,$BV51,$CG51,0,$BY51,$BX51,$BZ51,$AJ51,1,6)*$CB51</f>
        <v>4.727897275543468E-7</v>
      </c>
      <c r="BK51" s="137">
        <f>_xll.xSPRDOPT($BW51,$BV51,$CG51,0,$BY51,$BX51,$BZ51,$AJ51,1,5)*$CB51</f>
        <v>-5.8864532043856797E-7</v>
      </c>
      <c r="BL51" s="137">
        <f>_xll.xSPRDOPT(BW51,BV51,CG51,0,BY51,BX51,BZ51,AJ51,1,2)*CB51</f>
        <v>-0.90445007137326783</v>
      </c>
      <c r="BM51" s="137">
        <f>_xll.xSPRDOPT(BW51,BV51,CG51,0,BY51,BX51,BZ51,AJ51,1,1)*CB51</f>
        <v>0.90445007136668709</v>
      </c>
      <c r="BN51" s="137">
        <f>IF(AH51&lt;&gt;0,_xll.xSPRDOPT($BW51,$BV51,$CG51,2*LN(1+CA51/2),$BY51,$BX51,$BZ51,$AJ51,1,8)+(AJ51/365.25)*CH51/AH51,0)</f>
        <v>-0.89117098062176048</v>
      </c>
      <c r="BO51" s="137">
        <f>_xll.xSPRDOPT($BW51,$BV51,$CG51,0,$BY51,$BX51,$BZ51,$AJ51,1,0)</f>
        <v>0.76904995131359</v>
      </c>
      <c r="BP51" s="137"/>
      <c r="BQ51" s="137"/>
      <c r="BR51" s="137"/>
      <c r="BS51" s="137"/>
      <c r="BV51" s="262">
        <v>3.2745501285347043</v>
      </c>
      <c r="BW51" s="136">
        <v>4.077</v>
      </c>
      <c r="BX51" s="137">
        <v>0.32255384605761156</v>
      </c>
      <c r="BY51" s="137">
        <v>0.32255384605761156</v>
      </c>
      <c r="BZ51" s="137">
        <v>1</v>
      </c>
      <c r="CA51" s="137">
        <v>4.0538223511899799E-2</v>
      </c>
      <c r="CB51" s="137">
        <v>0.90444997650532444</v>
      </c>
      <c r="CC51" s="258">
        <v>-0.05</v>
      </c>
      <c r="CD51" s="258">
        <v>7.4999999999999997E-3</v>
      </c>
      <c r="CE51" s="258">
        <v>0.85</v>
      </c>
      <c r="CF51" s="258">
        <v>0</v>
      </c>
      <c r="CG51" s="258">
        <v>3.3399999999999999E-2</v>
      </c>
      <c r="CH51" s="258">
        <v>10.183202285473449</v>
      </c>
      <c r="CI51" s="258">
        <v>3.2269999999999999</v>
      </c>
      <c r="CJ51" s="258"/>
      <c r="CK51" s="258"/>
      <c r="CL51" s="258"/>
      <c r="CM51" s="258"/>
    </row>
    <row r="52" spans="1:91" x14ac:dyDescent="0.25">
      <c r="A52" s="723"/>
      <c r="B52" s="723"/>
      <c r="D52" s="31">
        <f t="shared" si="52"/>
        <v>38183</v>
      </c>
      <c r="F52" s="28">
        <f t="shared" si="53"/>
        <v>612</v>
      </c>
      <c r="G52" s="28">
        <f t="shared" si="13"/>
        <v>550.9411533888981</v>
      </c>
      <c r="H52" s="52">
        <f t="shared" si="54"/>
        <v>3.3156812339331618</v>
      </c>
      <c r="I52" s="52">
        <f t="shared" si="55"/>
        <v>4.3170000000000002</v>
      </c>
      <c r="K52" s="52">
        <f t="shared" si="56"/>
        <v>27.011854121359985</v>
      </c>
      <c r="L52" s="135">
        <f t="shared" si="57"/>
        <v>2.7838089415865852E-6</v>
      </c>
      <c r="N52" s="131">
        <f t="shared" si="48"/>
        <v>0.32377055765666068</v>
      </c>
      <c r="O52" s="131">
        <f t="shared" si="49"/>
        <v>0.32377055765666068</v>
      </c>
      <c r="P52" s="55">
        <f t="shared" si="50"/>
        <v>1.0000000000000002</v>
      </c>
      <c r="Q52" s="135">
        <f>_xll.xSPRDOPT(I52,H52,AQ52,0,O52,N52,P52,D52-$G$5,1,0)*AH52*AU52</f>
        <v>27.011856905168926</v>
      </c>
      <c r="R52" s="135"/>
      <c r="S52" s="181">
        <f>_xll.xSPRDOPT(I52,H52,AQ52,AT52,O52,N52,P52,D52-$G$5,1,2)*AF52*(F52/(1-AR52))*AH52</f>
        <v>-17543.191813096892</v>
      </c>
      <c r="T52" s="181">
        <f>_xll.xSPRDOPT(I52,H52,AQ52,AT52,O52,N52,P52,D52-$G$5,1,1)*AF52*F52*AH52</f>
        <v>17060.75403809869</v>
      </c>
      <c r="U52" s="135"/>
      <c r="V52" s="146">
        <f t="shared" si="58"/>
        <v>10.473553367438656</v>
      </c>
      <c r="W52" s="146"/>
      <c r="X52" s="338">
        <f t="shared" si="59"/>
        <v>0</v>
      </c>
      <c r="Y52" s="338">
        <f t="shared" si="20"/>
        <v>0</v>
      </c>
      <c r="Z52" s="338">
        <f t="shared" si="21"/>
        <v>5.5374839459012177</v>
      </c>
      <c r="AA52" s="338">
        <f t="shared" si="22"/>
        <v>-3.380913990150687E-8</v>
      </c>
      <c r="AB52" s="338">
        <f t="shared" si="60"/>
        <v>0</v>
      </c>
      <c r="AC52" s="338">
        <f t="shared" si="61"/>
        <v>5.5943456878022282</v>
      </c>
      <c r="AF52" s="138">
        <f t="shared" si="62"/>
        <v>1</v>
      </c>
      <c r="AG52" s="138">
        <f t="shared" si="63"/>
        <v>7</v>
      </c>
      <c r="AH52" s="138">
        <f t="shared" si="27"/>
        <v>31</v>
      </c>
      <c r="AI52" s="138">
        <f t="shared" si="64"/>
        <v>927</v>
      </c>
      <c r="AJ52" s="138">
        <f t="shared" si="65"/>
        <v>944</v>
      </c>
      <c r="AL52" s="136">
        <f t="shared" si="29"/>
        <v>3.2669999999999999</v>
      </c>
      <c r="AM52" s="258">
        <f t="shared" si="30"/>
        <v>-0.05</v>
      </c>
      <c r="AN52" s="258">
        <f t="shared" si="31"/>
        <v>7.4999999999999997E-3</v>
      </c>
      <c r="AO52" s="258">
        <f t="shared" si="32"/>
        <v>1.05</v>
      </c>
      <c r="AP52" s="258">
        <f t="shared" si="33"/>
        <v>0</v>
      </c>
      <c r="AQ52" s="136">
        <f t="shared" si="66"/>
        <v>3.3399999999999999E-2</v>
      </c>
      <c r="AR52" s="137">
        <f t="shared" si="35"/>
        <v>2.75E-2</v>
      </c>
      <c r="AS52" s="136">
        <f t="shared" si="67"/>
        <v>3.2244999999999999</v>
      </c>
      <c r="AT52" s="137">
        <f t="shared" si="68"/>
        <v>4.12152492802473E-2</v>
      </c>
      <c r="AU52" s="137">
        <f t="shared" si="38"/>
        <v>0.90023064279231713</v>
      </c>
      <c r="AV52" s="394">
        <f t="shared" si="69"/>
        <v>474.42154875155114</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-8.5823921355878186E-7</v>
      </c>
      <c r="BG52" s="137">
        <f>_xll.xSPRDOPT($BW52,$BV52,$CG52,0,$BY52,$BX52,$BZ52,$AJ52,1,3)*$CB52</f>
        <v>-2.1455980338969546E-7</v>
      </c>
      <c r="BH52" s="137">
        <f>IF(OR(BF52&lt;&gt;0,BG52&lt;&gt;0),_xll.xSPRDOPT($BW52,$BV52,$CG52,0,$BY52,$BX52,$BZ52,$AJ52,1,12)*$CB52,0)</f>
        <v>1.0727990169484774E-6</v>
      </c>
      <c r="BI52" s="137">
        <f>_xll.xSPRDOPT($BW52,$BV52,$CG52,2*LN(1+CA52/2),$BY52,$BX52,$BZ52,$AJ52,1,9)</f>
        <v>3.5535983049413515E-2</v>
      </c>
      <c r="BJ52" s="137">
        <f>_xll.xSPRDOPT($BW52,$BV52,$CG52,0,$BY52,$BX52,$BZ52,$AJ52,1,6)*$CB52</f>
        <v>4.9611796283456805E-7</v>
      </c>
      <c r="BK52" s="137">
        <f>_xll.xSPRDOPT($BW52,$BV52,$CG52,0,$BY52,$BX52,$BZ52,$AJ52,1,5)*$CB52</f>
        <v>-6.4594285018894832E-7</v>
      </c>
      <c r="BL52" s="137">
        <f>_xll.xSPRDOPT(BW52,BV52,CG52,0,BY52,BX52,BZ52,AJ52,1,2)*CB52</f>
        <v>-0.89992913510966965</v>
      </c>
      <c r="BM52" s="137">
        <f>_xll.xSPRDOPT(BW52,BV52,CG52,0,BY52,BX52,BZ52,AJ52,1,1)*CB52</f>
        <v>0.89992913510148487</v>
      </c>
      <c r="BN52" s="137">
        <f>IF(AH52&lt;&gt;0,_xll.xSPRDOPT($BW52,$BV52,$CG52,2*LN(1+CA52/2),$BY52,$BX52,$BZ52,$AJ52,1,8)+(AJ52/365.25)*CH52/AH52,0)</f>
        <v>-1.3783690401442215</v>
      </c>
      <c r="BO52" s="137">
        <f>_xll.xSPRDOPT($BW52,$BV52,$CG52,0,$BY52,$BX52,$BZ52,$AJ52,1,0)</f>
        <v>0.96791886573569796</v>
      </c>
      <c r="BP52" s="137"/>
      <c r="BQ52" s="137"/>
      <c r="BR52" s="137"/>
      <c r="BS52" s="137"/>
      <c r="BV52" s="262">
        <v>3.3156812339331618</v>
      </c>
      <c r="BW52" s="136">
        <v>4.3170000000000002</v>
      </c>
      <c r="BX52" s="137">
        <v>0.32375866340709331</v>
      </c>
      <c r="BY52" s="137">
        <v>0.32375866340709331</v>
      </c>
      <c r="BZ52" s="137">
        <v>1</v>
      </c>
      <c r="CA52" s="137">
        <v>4.12152492802473E-2</v>
      </c>
      <c r="CB52" s="137">
        <v>0.89992904159661324</v>
      </c>
      <c r="CC52" s="258">
        <v>-0.05</v>
      </c>
      <c r="CD52" s="258">
        <v>7.4999999999999997E-3</v>
      </c>
      <c r="CE52" s="258">
        <v>1.05</v>
      </c>
      <c r="CF52" s="258">
        <v>0</v>
      </c>
      <c r="CG52" s="258">
        <v>3.3399999999999999E-2</v>
      </c>
      <c r="CH52" s="258">
        <v>10.470044448647478</v>
      </c>
      <c r="CI52" s="258">
        <v>3.2669999999999999</v>
      </c>
      <c r="CJ52" s="258"/>
      <c r="CK52" s="258"/>
      <c r="CL52" s="258"/>
      <c r="CM52" s="258"/>
    </row>
    <row r="53" spans="1:91" x14ac:dyDescent="0.25">
      <c r="A53" s="723"/>
      <c r="B53" s="723"/>
      <c r="D53" s="31">
        <f t="shared" si="52"/>
        <v>38214</v>
      </c>
      <c r="F53" s="28">
        <f t="shared" si="53"/>
        <v>612</v>
      </c>
      <c r="G53" s="28">
        <f t="shared" si="13"/>
        <v>548.09561331144175</v>
      </c>
      <c r="H53" s="52">
        <f t="shared" si="54"/>
        <v>3.3568123393316194</v>
      </c>
      <c r="I53" s="52">
        <f t="shared" si="55"/>
        <v>4.3570000000000002</v>
      </c>
      <c r="K53" s="52">
        <f t="shared" si="56"/>
        <v>26.840938480874311</v>
      </c>
      <c r="L53" s="135">
        <f t="shared" si="57"/>
        <v>2.7360740055826227E-6</v>
      </c>
      <c r="N53" s="131">
        <f t="shared" si="48"/>
        <v>0.32493996126723368</v>
      </c>
      <c r="O53" s="131">
        <f t="shared" si="49"/>
        <v>0.32493996126723368</v>
      </c>
      <c r="P53" s="55">
        <f t="shared" si="50"/>
        <v>0.99999999999999989</v>
      </c>
      <c r="Q53" s="135">
        <f>_xll.xSPRDOPT(I53,H53,AQ53,0,O53,N53,P53,D53-$G$5,1,0)*AH53*AU53</f>
        <v>26.840941216948316</v>
      </c>
      <c r="R53" s="135"/>
      <c r="S53" s="181">
        <f>_xll.xSPRDOPT(I53,H53,AQ53,AT53,O53,N53,P53,D53-$G$5,1,2)*AF53*(F53/(1-AR53))*AH53</f>
        <v>-17451.340969843437</v>
      </c>
      <c r="T53" s="181">
        <f>_xll.xSPRDOPT(I53,H53,AQ53,AT53,O53,N53,P53,D53-$G$5,1,1)*AF53*F53*AH53</f>
        <v>16971.429093172745</v>
      </c>
      <c r="U53" s="135"/>
      <c r="V53" s="146">
        <f t="shared" si="58"/>
        <v>10.41945881364266</v>
      </c>
      <c r="W53" s="146"/>
      <c r="X53" s="338">
        <f t="shared" si="59"/>
        <v>0</v>
      </c>
      <c r="Y53" s="338">
        <f t="shared" si="20"/>
        <v>0</v>
      </c>
      <c r="Z53" s="338">
        <f t="shared" si="21"/>
        <v>5.5893741001212041</v>
      </c>
      <c r="AA53" s="338">
        <f t="shared" si="22"/>
        <v>-4.4034655350848018E-8</v>
      </c>
      <c r="AB53" s="338">
        <f t="shared" si="60"/>
        <v>0</v>
      </c>
      <c r="AC53" s="338">
        <f t="shared" si="61"/>
        <v>5.6476820375931274</v>
      </c>
      <c r="AF53" s="138">
        <f t="shared" si="62"/>
        <v>1</v>
      </c>
      <c r="AG53" s="138">
        <f t="shared" si="63"/>
        <v>8</v>
      </c>
      <c r="AH53" s="138">
        <f t="shared" si="27"/>
        <v>31</v>
      </c>
      <c r="AI53" s="138">
        <f t="shared" si="64"/>
        <v>958</v>
      </c>
      <c r="AJ53" s="138">
        <f t="shared" si="65"/>
        <v>975</v>
      </c>
      <c r="AL53" s="136">
        <f t="shared" si="29"/>
        <v>3.3069999999999999</v>
      </c>
      <c r="AM53" s="258">
        <f t="shared" si="30"/>
        <v>-0.05</v>
      </c>
      <c r="AN53" s="258">
        <f t="shared" si="31"/>
        <v>7.4999999999999997E-3</v>
      </c>
      <c r="AO53" s="258">
        <f t="shared" si="32"/>
        <v>1.05</v>
      </c>
      <c r="AP53" s="258">
        <f t="shared" si="33"/>
        <v>0</v>
      </c>
      <c r="AQ53" s="136">
        <f t="shared" si="66"/>
        <v>3.3399999999999999E-2</v>
      </c>
      <c r="AR53" s="137">
        <f t="shared" si="35"/>
        <v>2.75E-2</v>
      </c>
      <c r="AS53" s="136">
        <f t="shared" si="67"/>
        <v>3.2645</v>
      </c>
      <c r="AT53" s="137">
        <f t="shared" si="68"/>
        <v>4.1873365630825901E-2</v>
      </c>
      <c r="AU53" s="137">
        <f t="shared" si="38"/>
        <v>0.89558106750235578</v>
      </c>
      <c r="AV53" s="394">
        <f t="shared" si="69"/>
        <v>471.9712225737415</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-1.9210544939070483E-6</v>
      </c>
      <c r="BG53" s="137">
        <f>_xll.xSPRDOPT($BW53,$BV53,$CG53,0,$BY53,$BX53,$BZ53,$AJ53,1,3)*$CB53</f>
        <v>-1.2807029959380321E-6</v>
      </c>
      <c r="BH53" s="137">
        <f>IF(OR(BF53&lt;&gt;0,BG53&lt;&gt;0),_xll.xSPRDOPT($BW53,$BV53,$CG53,0,$BY53,$BX53,$BZ53,$AJ53,1,12)*$CB53,0)</f>
        <v>8.5380199729202141E-7</v>
      </c>
      <c r="BI53" s="137">
        <f>_xll.xSPRDOPT($BW53,$BV53,$CG53,2*LN(1+CA53/2),$BY53,$BX53,$BZ53,$AJ53,1,9)</f>
        <v>3.5868980428513421E-2</v>
      </c>
      <c r="BJ53" s="137">
        <f>_xll.xSPRDOPT($BW53,$BV53,$CG53,0,$BY53,$BX53,$BZ53,$AJ53,1,6)*$CB53</f>
        <v>5.1715646443647676E-7</v>
      </c>
      <c r="BK53" s="137">
        <f>_xll.xSPRDOPT($BW53,$BV53,$CG53,0,$BY53,$BX53,$BZ53,$AJ53,1,5)*$CB53</f>
        <v>-6.7126003532661253E-7</v>
      </c>
      <c r="BL53" s="137">
        <f>_xll.xSPRDOPT(BW53,BV53,CG53,0,BY53,BX53,BZ53,AJ53,1,2)*CB53</f>
        <v>-0.89527637516170366</v>
      </c>
      <c r="BM53" s="137">
        <f>_xll.xSPRDOPT(BW53,BV53,CG53,0,BY53,BX53,BZ53,AJ53,1,1)*CB53</f>
        <v>0.89527637515356118</v>
      </c>
      <c r="BN53" s="137">
        <f>IF(AH53&lt;&gt;0,_xll.xSPRDOPT($BW53,$BV53,$CG53,2*LN(1+CA53/2),$BY53,$BX53,$BZ53,$AJ53,1,8)+(AJ53/365.25)*CH53/AH53,0)</f>
        <v>-1.413569715107835</v>
      </c>
      <c r="BO53" s="137">
        <f>_xll.xSPRDOPT($BW53,$BV53,$CG53,0,$BY53,$BX53,$BZ53,$AJ53,1,0)</f>
        <v>0.96678775913597104</v>
      </c>
      <c r="BP53" s="137"/>
      <c r="BQ53" s="137"/>
      <c r="BR53" s="137"/>
      <c r="BS53" s="137"/>
      <c r="BV53" s="262">
        <v>3.3568123393316194</v>
      </c>
      <c r="BW53" s="136">
        <v>4.3570000000000002</v>
      </c>
      <c r="BX53" s="137">
        <v>0.32492489974791172</v>
      </c>
      <c r="BY53" s="137">
        <v>0.32492489974791172</v>
      </c>
      <c r="BZ53" s="137">
        <v>1</v>
      </c>
      <c r="CA53" s="137">
        <v>4.1873365630825901E-2</v>
      </c>
      <c r="CB53" s="137">
        <v>0.89527628311247864</v>
      </c>
      <c r="CC53" s="258">
        <v>-0.05</v>
      </c>
      <c r="CD53" s="258">
        <v>7.4999999999999997E-3</v>
      </c>
      <c r="CE53" s="258">
        <v>1.05</v>
      </c>
      <c r="CF53" s="258">
        <v>0</v>
      </c>
      <c r="CG53" s="258">
        <v>3.3399999999999999E-2</v>
      </c>
      <c r="CH53" s="258">
        <v>10.415912860615512</v>
      </c>
      <c r="CI53" s="258">
        <v>3.3069999999999999</v>
      </c>
      <c r="CJ53" s="258"/>
      <c r="CK53" s="258"/>
      <c r="CL53" s="258"/>
      <c r="CM53" s="258"/>
    </row>
    <row r="54" spans="1:91" x14ac:dyDescent="0.25">
      <c r="A54" s="723"/>
      <c r="B54" s="723"/>
      <c r="D54" s="31">
        <f t="shared" si="52"/>
        <v>38245</v>
      </c>
      <c r="F54" s="28">
        <f t="shared" si="53"/>
        <v>612</v>
      </c>
      <c r="G54" s="28">
        <f t="shared" si="13"/>
        <v>545.2054105238642</v>
      </c>
      <c r="H54" s="52">
        <f t="shared" si="54"/>
        <v>3.3465295629820049</v>
      </c>
      <c r="I54" s="52">
        <f t="shared" si="55"/>
        <v>4.0519999999999996</v>
      </c>
      <c r="K54" s="52">
        <f t="shared" si="56"/>
        <v>17.961590123301402</v>
      </c>
      <c r="L54" s="135">
        <f t="shared" si="57"/>
        <v>1.8102309482515011E-6</v>
      </c>
      <c r="N54" s="131">
        <f t="shared" si="48"/>
        <v>0.32463755456303778</v>
      </c>
      <c r="O54" s="131">
        <f t="shared" si="49"/>
        <v>0.32463755456303778</v>
      </c>
      <c r="P54" s="55">
        <f t="shared" si="50"/>
        <v>0.99999999999999989</v>
      </c>
      <c r="Q54" s="135">
        <f>_xll.xSPRDOPT(I54,H54,AQ54,0,O54,N54,P54,D54-$G$5,1,0)*AH54*AU54</f>
        <v>17.96159193353235</v>
      </c>
      <c r="R54" s="135"/>
      <c r="S54" s="181">
        <f>_xll.xSPRDOPT(I54,H54,AQ54,AT54,O54,N54,P54,D54-$G$5,1,2)*AF54*(F54/(1-AR54))*AH54</f>
        <v>-16798.09526371679</v>
      </c>
      <c r="T54" s="181">
        <f>_xll.xSPRDOPT(I54,H54,AQ54,AT54,O54,N54,P54,D54-$G$5,1,1)*AF54*F54*AH54</f>
        <v>16336.147644098164</v>
      </c>
      <c r="U54" s="135"/>
      <c r="V54" s="146">
        <f t="shared" si="58"/>
        <v>10.030176008314031</v>
      </c>
      <c r="W54" s="146"/>
      <c r="X54" s="338">
        <f t="shared" si="59"/>
        <v>0</v>
      </c>
      <c r="Y54" s="338">
        <f t="shared" si="20"/>
        <v>0</v>
      </c>
      <c r="Z54" s="338">
        <f t="shared" si="21"/>
        <v>3.7984846904125193</v>
      </c>
      <c r="AA54" s="338">
        <f t="shared" si="22"/>
        <v>-2.5592084217281357E-8</v>
      </c>
      <c r="AB54" s="338">
        <f t="shared" si="60"/>
        <v>0</v>
      </c>
      <c r="AC54" s="338">
        <f t="shared" si="61"/>
        <v>3.8387309254928805</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-5.5E-2</v>
      </c>
      <c r="AN54" s="258">
        <f t="shared" si="31"/>
        <v>7.4999999999999997E-3</v>
      </c>
      <c r="AO54" s="258">
        <f t="shared" si="32"/>
        <v>0.75</v>
      </c>
      <c r="AP54" s="258">
        <f t="shared" si="33"/>
        <v>0</v>
      </c>
      <c r="AQ54" s="136">
        <f t="shared" si="66"/>
        <v>3.3399999999999999E-2</v>
      </c>
      <c r="AR54" s="137">
        <f t="shared" si="35"/>
        <v>2.75E-2</v>
      </c>
      <c r="AS54" s="136">
        <f t="shared" si="67"/>
        <v>3.2544999999999997</v>
      </c>
      <c r="AT54" s="137">
        <f t="shared" si="68"/>
        <v>4.2531482126591399E-2</v>
      </c>
      <c r="AU54" s="137">
        <f t="shared" si="38"/>
        <v>0.89085851392788262</v>
      </c>
      <c r="AV54" s="394">
        <f t="shared" si="69"/>
        <v>454.33784210322011</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-2.1232381399550472E-7</v>
      </c>
      <c r="BG54" s="137">
        <f>_xll.xSPRDOPT($BW54,$BV54,$CG54,0,$BY54,$BX54,$BZ54,$AJ54,1,3)*$CB54</f>
        <v>0</v>
      </c>
      <c r="BH54" s="137">
        <f>IF(OR(BF54&lt;&gt;0,BG54&lt;&gt;0),_xll.xSPRDOPT($BW54,$BV54,$CG54,0,$BY54,$BX54,$BZ54,$AJ54,1,12)*$CB54,0)</f>
        <v>0</v>
      </c>
      <c r="BI54" s="137">
        <f>_xll.xSPRDOPT($BW54,$BV54,$CG54,2*LN(1+CA54/2),$BY54,$BX54,$BZ54,$AJ54,1,9)</f>
        <v>2.5188753325584106E-2</v>
      </c>
      <c r="BJ54" s="137">
        <f>_xll.xSPRDOPT($BW54,$BV54,$CG54,0,$BY54,$BX54,$BZ54,$AJ54,1,6)*$CB54</f>
        <v>4.8199489785988637E-7</v>
      </c>
      <c r="BK54" s="137">
        <f>_xll.xSPRDOPT($BW54,$BV54,$CG54,0,$BY54,$BX54,$BZ54,$AJ54,1,5)*$CB54</f>
        <v>-5.8360950409451064E-7</v>
      </c>
      <c r="BL54" s="137">
        <f>_xll.xSPRDOPT(BW54,BV54,CG54,0,BY54,BX54,BZ54,AJ54,1,2)*CB54</f>
        <v>-0.89055071177787848</v>
      </c>
      <c r="BM54" s="137">
        <f>_xll.xSPRDOPT(BW54,BV54,CG54,0,BY54,BX54,BZ54,AJ54,1,1)*CB54</f>
        <v>0.890550711785978</v>
      </c>
      <c r="BN54" s="137">
        <f>IF(AH54&lt;&gt;0,_xll.xSPRDOPT($BW54,$BV54,$CG54,2*LN(1+CA54/2),$BY54,$BX54,$BZ54,$AJ54,1,8)+(AJ54/365.25)*CH54/AH54,0)</f>
        <v>-0.72792578397201113</v>
      </c>
      <c r="BO54" s="137">
        <f>_xll.xSPRDOPT($BW54,$BV54,$CG54,0,$BY54,$BX54,$BZ54,$AJ54,1,0)</f>
        <v>0.67207050469791718</v>
      </c>
      <c r="BP54" s="137"/>
      <c r="BQ54" s="137"/>
      <c r="BR54" s="137"/>
      <c r="BS54" s="137"/>
      <c r="BV54" s="262">
        <v>3.3465295629820049</v>
      </c>
      <c r="BW54" s="136">
        <v>4.0519999999999996</v>
      </c>
      <c r="BX54" s="137">
        <v>0.32462383700391134</v>
      </c>
      <c r="BY54" s="137">
        <v>0.32462383700391134</v>
      </c>
      <c r="BZ54" s="137">
        <v>1</v>
      </c>
      <c r="CA54" s="137">
        <v>4.2531482126591399E-2</v>
      </c>
      <c r="CB54" s="137">
        <v>0.89055062233660143</v>
      </c>
      <c r="CC54" s="258">
        <v>-5.5E-2</v>
      </c>
      <c r="CD54" s="258">
        <v>7.4999999999999997E-3</v>
      </c>
      <c r="CE54" s="258">
        <v>0.75</v>
      </c>
      <c r="CF54" s="258">
        <v>0</v>
      </c>
      <c r="CG54" s="258">
        <v>3.3399999999999999E-2</v>
      </c>
      <c r="CH54" s="258">
        <v>10.026709456887795</v>
      </c>
      <c r="CI54" s="258">
        <v>3.302</v>
      </c>
      <c r="CJ54" s="258"/>
      <c r="CK54" s="258"/>
      <c r="CL54" s="258"/>
      <c r="CM54" s="258"/>
    </row>
    <row r="55" spans="1:91" x14ac:dyDescent="0.25">
      <c r="A55" s="723"/>
      <c r="B55" s="723"/>
      <c r="D55" s="31">
        <f t="shared" si="52"/>
        <v>38275</v>
      </c>
      <c r="F55" s="28">
        <f t="shared" si="53"/>
        <v>612</v>
      </c>
      <c r="G55" s="28">
        <f t="shared" si="13"/>
        <v>542.41967147418165</v>
      </c>
      <c r="H55" s="52">
        <f t="shared" si="54"/>
        <v>3.3722365038560405</v>
      </c>
      <c r="I55" s="52">
        <f t="shared" si="55"/>
        <v>3.7770000000000001</v>
      </c>
      <c r="K55" s="52">
        <f t="shared" si="56"/>
        <v>10.203400053681724</v>
      </c>
      <c r="L55" s="135">
        <f t="shared" si="57"/>
        <v>1.8540626314234032E-6</v>
      </c>
      <c r="N55" s="131">
        <f t="shared" si="48"/>
        <v>0.3259749105978777</v>
      </c>
      <c r="O55" s="131">
        <f t="shared" si="49"/>
        <v>0.3259749105978777</v>
      </c>
      <c r="P55" s="55">
        <f t="shared" si="50"/>
        <v>1</v>
      </c>
      <c r="Q55" s="135">
        <f>_xll.xSPRDOPT(I55,H55,AQ55,0,O55,N55,P55,D55-$G$5,1,0)*AH55*AU55</f>
        <v>10.203401907744356</v>
      </c>
      <c r="R55" s="135"/>
      <c r="S55" s="181">
        <f>_xll.xSPRDOPT(I55,H55,AQ55,AT55,O55,N55,P55,D55-$G$5,1,2)*AF55*(F55/(1-AR55))*AH55</f>
        <v>-17268.072250213259</v>
      </c>
      <c r="T55" s="181">
        <f>_xll.xSPRDOPT(I55,H55,AQ55,AT55,O55,N55,P55,D55-$G$5,1,1)*AF55*F55*AH55</f>
        <v>16793.200263366907</v>
      </c>
      <c r="U55" s="135"/>
      <c r="V55" s="146">
        <f t="shared" si="58"/>
        <v>10.311557489921688</v>
      </c>
      <c r="W55" s="146"/>
      <c r="X55" s="338">
        <f t="shared" si="59"/>
        <v>0</v>
      </c>
      <c r="Y55" s="338">
        <f t="shared" si="20"/>
        <v>0</v>
      </c>
      <c r="Z55" s="338">
        <f t="shared" si="21"/>
        <v>2.1879566372592438</v>
      </c>
      <c r="AA55" s="338">
        <f t="shared" si="22"/>
        <v>1.0789482059997037E-6</v>
      </c>
      <c r="AB55" s="338">
        <f t="shared" si="60"/>
        <v>0</v>
      </c>
      <c r="AC55" s="338">
        <f t="shared" si="61"/>
        <v>2.211496153879255</v>
      </c>
      <c r="AF55" s="138">
        <f t="shared" si="62"/>
        <v>1</v>
      </c>
      <c r="AG55" s="138">
        <f t="shared" si="63"/>
        <v>10</v>
      </c>
      <c r="AH55" s="138">
        <f t="shared" si="73"/>
        <v>31</v>
      </c>
      <c r="AI55" s="138">
        <f t="shared" si="64"/>
        <v>1019</v>
      </c>
      <c r="AJ55" s="138">
        <f t="shared" si="65"/>
        <v>1036</v>
      </c>
      <c r="AL55" s="136">
        <f t="shared" si="29"/>
        <v>3.327</v>
      </c>
      <c r="AM55" s="258">
        <f t="shared" si="30"/>
        <v>-5.5E-2</v>
      </c>
      <c r="AN55" s="258">
        <f t="shared" si="31"/>
        <v>7.4999999999999997E-3</v>
      </c>
      <c r="AO55" s="258">
        <f t="shared" si="32"/>
        <v>0.45</v>
      </c>
      <c r="AP55" s="258">
        <f t="shared" si="33"/>
        <v>0</v>
      </c>
      <c r="AQ55" s="136">
        <f t="shared" si="66"/>
        <v>3.3399999999999999E-2</v>
      </c>
      <c r="AR55" s="137">
        <f t="shared" si="35"/>
        <v>2.75E-2</v>
      </c>
      <c r="AS55" s="136">
        <f t="shared" si="67"/>
        <v>3.2794999999999996</v>
      </c>
      <c r="AT55" s="137">
        <f t="shared" si="68"/>
        <v>4.3133129078657198E-2</v>
      </c>
      <c r="AU55" s="137">
        <f t="shared" si="38"/>
        <v>0.88630665273559095</v>
      </c>
      <c r="AV55" s="394">
        <f t="shared" si="69"/>
        <v>467.08360599165644</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-3.1685687821726172E-7</v>
      </c>
      <c r="BG55" s="137">
        <f>_xll.xSPRDOPT($BW55,$BV55,$CG55,0,$BY55,$BX55,$BZ55,$AJ55,1,3)*$CB55</f>
        <v>1.161808553463293E-6</v>
      </c>
      <c r="BH55" s="137">
        <f>IF(OR(BF55&lt;&gt;0,BG55&lt;&gt;0),_xll.xSPRDOPT($BW55,$BV55,$CG55,0,$BY55,$BX55,$BZ55,$AJ55,1,12)*$CB55,0)</f>
        <v>-4.2247583762301565E-7</v>
      </c>
      <c r="BI55" s="137">
        <f>_xll.xSPRDOPT($BW55,$BV55,$CG55,2*LN(1+CA55/2),$BY55,$BX55,$BZ55,$AJ55,1,9)</f>
        <v>1.4040887654770868E-2</v>
      </c>
      <c r="BJ55" s="137">
        <f>_xll.xSPRDOPT($BW55,$BV55,$CG55,0,$BY55,$BX55,$BZ55,$AJ55,1,6)*$CB55</f>
        <v>-2.7677505325575413E-5</v>
      </c>
      <c r="BK55" s="137">
        <f>_xll.xSPRDOPT($BW55,$BV55,$CG55,0,$BY55,$BX55,$BZ55,$AJ55,1,5)*$CB55</f>
        <v>3.0999584943954736E-5</v>
      </c>
      <c r="BL55" s="137">
        <f>_xll.xSPRDOPT(BW55,BV55,CG55,0,BY55,BX55,BZ55,AJ55,1,2)*CB55</f>
        <v>-0.88599513012027942</v>
      </c>
      <c r="BM55" s="137">
        <f>_xll.xSPRDOPT(BW55,BV55,CG55,0,BY55,BX55,BZ55,AJ55,1,1)*CB55</f>
        <v>0.88599513012189102</v>
      </c>
      <c r="BN55" s="137">
        <f>IF(AH55&lt;&gt;0,_xll.xSPRDOPT($BW55,$BV55,$CG55,2*LN(1+CA55/2),$BY55,$BX55,$BZ55,$AJ55,1,8)+(AJ55/365.25)*CH55/AH55,0)</f>
        <v>9.8924613721637078E-3</v>
      </c>
      <c r="BO55" s="137">
        <f>_xll.xSPRDOPT($BW55,$BV55,$CG55,0,$BY55,$BX55,$BZ55,$AJ55,1,0)</f>
        <v>0.37136356533448228</v>
      </c>
      <c r="BP55" s="137"/>
      <c r="BQ55" s="137"/>
      <c r="BR55" s="137"/>
      <c r="BS55" s="137"/>
      <c r="BV55" s="262">
        <v>3.3722365038560405</v>
      </c>
      <c r="BW55" s="136">
        <v>3.7770000000000001</v>
      </c>
      <c r="BX55" s="137">
        <v>0.32595779163522209</v>
      </c>
      <c r="BY55" s="137">
        <v>0.32595779163522209</v>
      </c>
      <c r="BZ55" s="137">
        <v>1</v>
      </c>
      <c r="CA55" s="137">
        <v>4.3133129078657198E-2</v>
      </c>
      <c r="CB55" s="137">
        <v>0.88599604782278252</v>
      </c>
      <c r="CC55" s="258">
        <v>-5.5E-2</v>
      </c>
      <c r="CD55" s="258">
        <v>7.4999999999999997E-3</v>
      </c>
      <c r="CE55" s="258">
        <v>0.45</v>
      </c>
      <c r="CF55" s="258">
        <v>0</v>
      </c>
      <c r="CG55" s="258">
        <v>3.3399999999999999E-2</v>
      </c>
      <c r="CH55" s="258">
        <v>10.307943819184599</v>
      </c>
      <c r="CI55" s="258">
        <v>3.327</v>
      </c>
      <c r="CJ55" s="258"/>
      <c r="CK55" s="258"/>
      <c r="CL55" s="258"/>
      <c r="CM55" s="258"/>
    </row>
    <row r="56" spans="1:91" x14ac:dyDescent="0.25">
      <c r="A56" s="723"/>
      <c r="B56" s="723"/>
      <c r="D56" s="31">
        <f t="shared" si="52"/>
        <v>38306</v>
      </c>
      <c r="F56" s="28">
        <f t="shared" si="53"/>
        <v>612</v>
      </c>
      <c r="G56" s="28">
        <f t="shared" si="13"/>
        <v>539.55354998829807</v>
      </c>
      <c r="H56" s="52">
        <f t="shared" si="54"/>
        <v>3.5362467866323906</v>
      </c>
      <c r="I56" s="52">
        <f t="shared" si="55"/>
        <v>3.9290000000000003</v>
      </c>
      <c r="K56" s="52">
        <f t="shared" si="56"/>
        <v>9.5044265672645167</v>
      </c>
      <c r="L56" s="135">
        <f t="shared" si="57"/>
        <v>3.0929116707767434E-6</v>
      </c>
      <c r="N56" s="131">
        <f t="shared" si="48"/>
        <v>0.33162000992991286</v>
      </c>
      <c r="O56" s="131">
        <f t="shared" si="49"/>
        <v>0.33162000992991286</v>
      </c>
      <c r="P56" s="55">
        <f t="shared" si="50"/>
        <v>1</v>
      </c>
      <c r="Q56" s="135">
        <f>_xll.xSPRDOPT(I56,H56,AQ56,0,O56,N56,P56,D56-$G$5,1,0)*AH56*AU56</f>
        <v>9.5044296601761875</v>
      </c>
      <c r="R56" s="135"/>
      <c r="S56" s="181">
        <f>_xll.xSPRDOPT(I56,H56,AQ56,AT56,O56,N56,P56,D56-$G$5,1,2)*AF56*(F56/(1-AR56))*AH56</f>
        <v>-16621.487033983354</v>
      </c>
      <c r="T56" s="181">
        <f>_xll.xSPRDOPT(I56,H56,AQ56,AT56,O56,N56,P56,D56-$G$5,1,1)*AF56*F56*AH56</f>
        <v>16164.396140749195</v>
      </c>
      <c r="U56" s="135"/>
      <c r="V56" s="146">
        <f t="shared" si="58"/>
        <v>9.9261983975788368</v>
      </c>
      <c r="W56" s="146"/>
      <c r="X56" s="338">
        <f t="shared" si="59"/>
        <v>0</v>
      </c>
      <c r="Y56" s="338">
        <f t="shared" si="20"/>
        <v>0</v>
      </c>
      <c r="Z56" s="338">
        <f t="shared" si="21"/>
        <v>2.0655436814749124</v>
      </c>
      <c r="AA56" s="338">
        <f t="shared" si="22"/>
        <v>1.756713371646998E-6</v>
      </c>
      <c r="AB56" s="338">
        <f t="shared" si="60"/>
        <v>0</v>
      </c>
      <c r="AC56" s="338">
        <f t="shared" si="61"/>
        <v>2.0880650162759871</v>
      </c>
      <c r="AF56" s="138">
        <f t="shared" si="62"/>
        <v>1</v>
      </c>
      <c r="AG56" s="138">
        <f t="shared" si="63"/>
        <v>11</v>
      </c>
      <c r="AH56" s="138">
        <f t="shared" si="73"/>
        <v>30</v>
      </c>
      <c r="AI56" s="138">
        <f t="shared" si="64"/>
        <v>1050</v>
      </c>
      <c r="AJ56" s="138">
        <f t="shared" si="65"/>
        <v>1067</v>
      </c>
      <c r="AL56" s="136">
        <f t="shared" si="29"/>
        <v>3.4790000000000001</v>
      </c>
      <c r="AM56" s="258">
        <f t="shared" si="30"/>
        <v>-4.7500000000000001E-2</v>
      </c>
      <c r="AN56" s="258">
        <f t="shared" si="31"/>
        <v>7.4999999999999997E-3</v>
      </c>
      <c r="AO56" s="258">
        <f t="shared" si="32"/>
        <v>0.45</v>
      </c>
      <c r="AP56" s="258">
        <f t="shared" si="33"/>
        <v>0</v>
      </c>
      <c r="AQ56" s="136">
        <f t="shared" si="66"/>
        <v>3.3399999999999999E-2</v>
      </c>
      <c r="AR56" s="137">
        <f t="shared" si="35"/>
        <v>2.75E-2</v>
      </c>
      <c r="AS56" s="136">
        <f t="shared" si="67"/>
        <v>3.4390000000000001</v>
      </c>
      <c r="AT56" s="137">
        <f t="shared" si="68"/>
        <v>4.37209690349563E-2</v>
      </c>
      <c r="AU56" s="137">
        <f t="shared" si="38"/>
        <v>0.88162344769329748</v>
      </c>
      <c r="AV56" s="394">
        <f t="shared" si="69"/>
        <v>449.62795832358171</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-5.2530188514857819E-7</v>
      </c>
      <c r="BG56" s="137">
        <f>_xll.xSPRDOPT($BW56,$BV56,$CG56,0,$BY56,$BX56,$BZ56,$AJ56,1,3)*$CB56</f>
        <v>0</v>
      </c>
      <c r="BH56" s="137">
        <f>IF(OR(BF56&lt;&gt;0,BG56&lt;&gt;0),_xll.xSPRDOPT($BW56,$BV56,$CG56,0,$BY56,$BX56,$BZ56,$AJ56,1,12)*$CB56,0)</f>
        <v>-4.7277169663372033E-7</v>
      </c>
      <c r="BI56" s="137">
        <f>_xll.xSPRDOPT($BW56,$BV56,$CG56,2*LN(1+CA56/2),$BY56,$BX56,$BZ56,$AJ56,1,9)</f>
        <v>1.36971646633753E-2</v>
      </c>
      <c r="BJ56" s="137">
        <f>_xll.xSPRDOPT($BW56,$BV56,$CG56,0,$BY56,$BX56,$BZ56,$AJ56,1,6)*$CB56</f>
        <v>-2.6862772349235299E-5</v>
      </c>
      <c r="BK56" s="137">
        <f>_xll.xSPRDOPT($BW56,$BV56,$CG56,0,$BY56,$BX56,$BZ56,$AJ56,1,5)*$CB56</f>
        <v>2.9846279205207293E-5</v>
      </c>
      <c r="BL56" s="137">
        <f>_xll.xSPRDOPT(BW56,BV56,CG56,0,BY56,BX56,BZ56,AJ56,1,2)*CB56</f>
        <v>-0.88130948892470784</v>
      </c>
      <c r="BM56" s="137">
        <f>_xll.xSPRDOPT(BW56,BV56,CG56,0,BY56,BX56,BZ56,AJ56,1,1)*CB56</f>
        <v>0.88130948893753269</v>
      </c>
      <c r="BN56" s="137">
        <f>IF(AH56&lt;&gt;0,_xll.xSPRDOPT($BW56,$BV56,$CG56,2*LN(1+CA56/2),$BY56,$BX56,$BZ56,$AJ56,1,8)+(AJ56/365.25)*CH56/AH56,0)</f>
        <v>4.1055657213136643E-2</v>
      </c>
      <c r="BO56" s="137">
        <f>_xll.xSPRDOPT($BW56,$BV56,$CG56,0,$BY56,$BX56,$BZ56,$AJ56,1,0)</f>
        <v>0.35935333178105955</v>
      </c>
      <c r="BP56" s="137"/>
      <c r="BQ56" s="137"/>
      <c r="BR56" s="137"/>
      <c r="BS56" s="137"/>
      <c r="BV56" s="262">
        <v>3.5362467866323906</v>
      </c>
      <c r="BW56" s="136">
        <v>3.9290000000000003</v>
      </c>
      <c r="BX56" s="137">
        <v>0.33158793976523454</v>
      </c>
      <c r="BY56" s="137">
        <v>0.33158793976523454</v>
      </c>
      <c r="BZ56" s="137">
        <v>1</v>
      </c>
      <c r="CA56" s="137">
        <v>4.37209690349563E-2</v>
      </c>
      <c r="CB56" s="137">
        <v>0.88131031923448877</v>
      </c>
      <c r="CC56" s="258">
        <v>-4.7500000000000001E-2</v>
      </c>
      <c r="CD56" s="258">
        <v>7.4999999999999997E-3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52"/>
        <v>38336</v>
      </c>
      <c r="F57" s="28">
        <f t="shared" si="53"/>
        <v>612</v>
      </c>
      <c r="G57" s="28">
        <f t="shared" si="13"/>
        <v>536.74464413871976</v>
      </c>
      <c r="H57" s="52">
        <f t="shared" si="54"/>
        <v>3.6832904884318762</v>
      </c>
      <c r="I57" s="52">
        <f t="shared" si="55"/>
        <v>4.0220000000000002</v>
      </c>
      <c r="K57" s="52">
        <f t="shared" si="56"/>
        <v>8.3007689531091025</v>
      </c>
      <c r="L57" s="135">
        <f t="shared" si="57"/>
        <v>1.5891745730911566E-5</v>
      </c>
      <c r="N57" s="131">
        <f t="shared" si="48"/>
        <v>0.33926384180861408</v>
      </c>
      <c r="O57" s="131">
        <f t="shared" si="49"/>
        <v>0.33926384180861408</v>
      </c>
      <c r="P57" s="55">
        <f t="shared" si="50"/>
        <v>0.99999999999999978</v>
      </c>
      <c r="Q57" s="135">
        <f>_xll.xSPRDOPT(I57,H57,AQ57,0,O57,N57,P57,D57-$G$5,1,0)*AH57*AU57</f>
        <v>8.3007848448548334</v>
      </c>
      <c r="R57" s="135"/>
      <c r="S57" s="181">
        <f>_xll.xSPRDOPT(I57,H57,AQ57,AT57,O57,N57,P57,D57-$G$5,1,2)*AF57*(F57/(1-AR57))*AH57</f>
        <v>-17084.695004698649</v>
      </c>
      <c r="T57" s="181">
        <f>_xll.xSPRDOPT(I57,H57,AQ57,AT57,O57,N57,P57,D57-$G$5,1,1)*AF57*F57*AH57</f>
        <v>16614.865892138456</v>
      </c>
      <c r="U57" s="135"/>
      <c r="V57" s="146">
        <f t="shared" si="58"/>
        <v>10.203673551148869</v>
      </c>
      <c r="W57" s="146"/>
      <c r="X57" s="338">
        <f t="shared" si="59"/>
        <v>0</v>
      </c>
      <c r="Y57" s="338">
        <f t="shared" si="20"/>
        <v>0</v>
      </c>
      <c r="Z57" s="338">
        <f t="shared" si="21"/>
        <v>1.8270083449433434</v>
      </c>
      <c r="AA57" s="338">
        <f t="shared" si="22"/>
        <v>2.0441418096851339E-5</v>
      </c>
      <c r="AB57" s="338">
        <f t="shared" si="60"/>
        <v>0</v>
      </c>
      <c r="AC57" s="338">
        <f t="shared" si="61"/>
        <v>1.8473514952986749</v>
      </c>
      <c r="AF57" s="138">
        <f t="shared" si="62"/>
        <v>1</v>
      </c>
      <c r="AG57" s="138">
        <f t="shared" si="63"/>
        <v>12</v>
      </c>
      <c r="AH57" s="138">
        <f t="shared" si="73"/>
        <v>31</v>
      </c>
      <c r="AI57" s="138">
        <f t="shared" si="64"/>
        <v>1080</v>
      </c>
      <c r="AJ57" s="138">
        <f t="shared" si="65"/>
        <v>1097</v>
      </c>
      <c r="AL57" s="136">
        <f t="shared" si="29"/>
        <v>3.6219999999999999</v>
      </c>
      <c r="AM57" s="258">
        <f t="shared" si="30"/>
        <v>-4.7500000000000001E-2</v>
      </c>
      <c r="AN57" s="258">
        <f t="shared" si="31"/>
        <v>7.4999999999999997E-3</v>
      </c>
      <c r="AO57" s="258">
        <f t="shared" si="32"/>
        <v>0.4</v>
      </c>
      <c r="AP57" s="258">
        <f t="shared" si="33"/>
        <v>0</v>
      </c>
      <c r="AQ57" s="136">
        <f t="shared" si="66"/>
        <v>3.3399999999999999E-2</v>
      </c>
      <c r="AR57" s="137">
        <f t="shared" si="35"/>
        <v>2.75E-2</v>
      </c>
      <c r="AS57" s="136">
        <f t="shared" si="67"/>
        <v>3.5819999999999999</v>
      </c>
      <c r="AT57" s="137">
        <f t="shared" si="68"/>
        <v>4.4289846522210997E-2</v>
      </c>
      <c r="AU57" s="137">
        <f t="shared" si="38"/>
        <v>0.87703373225281001</v>
      </c>
      <c r="AV57" s="394">
        <f t="shared" si="69"/>
        <v>462.19677689723085</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1.0451295681577057E-6</v>
      </c>
      <c r="BG57" s="137">
        <f>_xll.xSPRDOPT($BW57,$BV57,$CG57,0,$BY57,$BX57,$BZ57,$AJ57,1,3)*$CB57</f>
        <v>1.1496425249734762E-6</v>
      </c>
      <c r="BH57" s="137">
        <f>IF(OR(BF57&lt;&gt;0,BG57&lt;&gt;0),_xll.xSPRDOPT($BW57,$BV57,$CG57,0,$BY57,$BX57,$BZ57,$AJ57,1,12)*$CB57,0)</f>
        <v>-1.0451295681577057E-6</v>
      </c>
      <c r="BI57" s="137">
        <f>_xll.xSPRDOPT($BW57,$BV57,$CG57,2*LN(1+CA57/2),$BY57,$BX57,$BZ57,$AJ57,1,9)</f>
        <v>1.1724555449971117E-2</v>
      </c>
      <c r="BJ57" s="137">
        <f>_xll.xSPRDOPT($BW57,$BV57,$CG57,0,$BY57,$BX57,$BZ57,$AJ57,1,6)*$CB57</f>
        <v>-2.2920170763215185E-4</v>
      </c>
      <c r="BK57" s="137">
        <f>_xll.xSPRDOPT($BW57,$BV57,$CG57,0,$BY57,$BX57,$BZ57,$AJ57,1,5)*$CB57</f>
        <v>2.5027873707697811E-4</v>
      </c>
      <c r="BL57" s="137">
        <f>_xll.xSPRDOPT(BW57,BV57,CG57,0,BY57,BX57,BZ57,AJ57,1,2)*CB57</f>
        <v>-0.87671032466839438</v>
      </c>
      <c r="BM57" s="137">
        <f>_xll.xSPRDOPT(BW57,BV57,CG57,0,BY57,BX57,BZ57,AJ57,1,1)*CB57</f>
        <v>0.87671032467078647</v>
      </c>
      <c r="BN57" s="137">
        <f>IF(AH57&lt;&gt;0,_xll.xSPRDOPT($BW57,$BV57,$CG57,2*LN(1+CA57/2),$BY57,$BX57,$BZ57,$AJ57,1,8)+(AJ57/365.25)*CH57/AH57,0)</f>
        <v>0.18429424497251801</v>
      </c>
      <c r="BO57" s="137">
        <f>_xll.xSPRDOPT($BW57,$BV57,$CG57,0,$BY57,$BX57,$BZ57,$AJ57,1,0)</f>
        <v>0.30531010602687358</v>
      </c>
      <c r="BP57" s="137"/>
      <c r="BQ57" s="137"/>
      <c r="BR57" s="137"/>
      <c r="BS57" s="137"/>
      <c r="BV57" s="262">
        <v>3.6832904884318762</v>
      </c>
      <c r="BW57" s="136">
        <v>4.0220000000000002</v>
      </c>
      <c r="BX57" s="137">
        <v>0.33921272208431497</v>
      </c>
      <c r="BY57" s="137">
        <v>0.33921272208431497</v>
      </c>
      <c r="BZ57" s="137">
        <v>1</v>
      </c>
      <c r="CA57" s="137">
        <v>4.4289846522210997E-2</v>
      </c>
      <c r="CB57" s="137">
        <v>0.8767182256484275</v>
      </c>
      <c r="CC57" s="258">
        <v>-4.7500000000000001E-2</v>
      </c>
      <c r="CD57" s="258">
        <v>7.4999999999999997E-3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52"/>
        <v>38367</v>
      </c>
      <c r="F58" s="28">
        <f t="shared" si="53"/>
        <v>612</v>
      </c>
      <c r="G58" s="28">
        <f t="shared" si="13"/>
        <v>533.84312106109348</v>
      </c>
      <c r="H58" s="52">
        <f t="shared" si="54"/>
        <v>3.7449871465295628</v>
      </c>
      <c r="I58" s="52">
        <f t="shared" si="55"/>
        <v>4.032</v>
      </c>
      <c r="K58" s="52">
        <f t="shared" si="56"/>
        <v>6.8579637162972364</v>
      </c>
      <c r="L58" s="135">
        <f t="shared" si="57"/>
        <v>5.2624860602534795E-5</v>
      </c>
      <c r="N58" s="131">
        <f t="shared" si="48"/>
        <v>0.33874838161277315</v>
      </c>
      <c r="O58" s="131">
        <f t="shared" si="49"/>
        <v>0.33874838161277315</v>
      </c>
      <c r="P58" s="55">
        <f t="shared" si="50"/>
        <v>1</v>
      </c>
      <c r="Q58" s="135">
        <f>_xll.xSPRDOPT(I58,H58,AQ58,0,O58,N58,P58,D58-$G$5,1,0)*AH58*AU58</f>
        <v>6.858016341157839</v>
      </c>
      <c r="R58" s="135"/>
      <c r="S58" s="181">
        <f>_xll.xSPRDOPT(I58,H58,AQ58,AT58,O58,N58,P58,D58-$G$5,1,2)*AF58*(F58/(1-AR58))*AH58</f>
        <v>-16989.985345036675</v>
      </c>
      <c r="T58" s="181">
        <f>_xll.xSPRDOPT(I58,H58,AQ58,AT58,O58,N58,P58,D58-$G$5,1,1)*AF58*F58*AH58</f>
        <v>16522.760748005032</v>
      </c>
      <c r="U58" s="135"/>
      <c r="V58" s="146">
        <f t="shared" si="58"/>
        <v>10.148514744054054</v>
      </c>
      <c r="W58" s="146"/>
      <c r="X58" s="338">
        <f t="shared" si="59"/>
        <v>0</v>
      </c>
      <c r="Y58" s="338">
        <f t="shared" si="20"/>
        <v>0</v>
      </c>
      <c r="Z58" s="338">
        <f t="shared" si="21"/>
        <v>1.527603763135563</v>
      </c>
      <c r="AA58" s="338">
        <f t="shared" si="22"/>
        <v>1.1224924408011315E-4</v>
      </c>
      <c r="AB58" s="338">
        <f t="shared" si="60"/>
        <v>0</v>
      </c>
      <c r="AC58" s="338">
        <f t="shared" si="61"/>
        <v>1.545726320823428</v>
      </c>
      <c r="AF58" s="138">
        <f t="shared" si="62"/>
        <v>1</v>
      </c>
      <c r="AG58" s="138">
        <f t="shared" si="63"/>
        <v>1</v>
      </c>
      <c r="AH58" s="138">
        <f t="shared" si="73"/>
        <v>31</v>
      </c>
      <c r="AI58" s="138">
        <f t="shared" si="64"/>
        <v>1111</v>
      </c>
      <c r="AJ58" s="138">
        <f t="shared" si="65"/>
        <v>1128</v>
      </c>
      <c r="AL58" s="136">
        <f t="shared" si="29"/>
        <v>3.6819999999999999</v>
      </c>
      <c r="AM58" s="258">
        <f t="shared" si="30"/>
        <v>-4.7500000000000001E-2</v>
      </c>
      <c r="AN58" s="258">
        <f t="shared" si="31"/>
        <v>7.4999999999999997E-3</v>
      </c>
      <c r="AO58" s="258">
        <f t="shared" si="32"/>
        <v>0.35</v>
      </c>
      <c r="AP58" s="258">
        <f t="shared" si="33"/>
        <v>0</v>
      </c>
      <c r="AQ58" s="136">
        <f t="shared" si="66"/>
        <v>3.3399999999999999E-2</v>
      </c>
      <c r="AR58" s="137">
        <f t="shared" si="35"/>
        <v>2.75E-2</v>
      </c>
      <c r="AS58" s="136">
        <f t="shared" si="67"/>
        <v>3.6419999999999999</v>
      </c>
      <c r="AT58" s="137">
        <f t="shared" si="68"/>
        <v>4.4854887495736399E-2</v>
      </c>
      <c r="AU58" s="137">
        <f t="shared" si="38"/>
        <v>0.87229268147237504</v>
      </c>
      <c r="AV58" s="394">
        <f t="shared" si="69"/>
        <v>459.69824313594165</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0</v>
      </c>
      <c r="BG58" s="137">
        <f>_xll.xSPRDOPT($BW58,$BV58,$CG58,0,$BY58,$BX58,$BZ58,$AJ58,1,3)*$CB58</f>
        <v>-3.1184253280529592E-7</v>
      </c>
      <c r="BH58" s="137">
        <f>IF(OR(BF58&lt;&gt;0,BG58&lt;&gt;0),_xll.xSPRDOPT($BW58,$BV58,$CG58,0,$BY58,$BX58,$BZ58,$AJ58,1,12)*$CB58,0)</f>
        <v>-4.6776379920794391E-7</v>
      </c>
      <c r="BI58" s="137">
        <f>_xll.xSPRDOPT($BW58,$BV58,$CG58,2*LN(1+CA58/2),$BY58,$BX58,$BZ58,$AJ58,1,9)</f>
        <v>9.803170891933102E-3</v>
      </c>
      <c r="BJ58" s="137">
        <f>_xll.xSPRDOPT($BW58,$BV58,$CG58,0,$BY58,$BX58,$BZ58,$AJ58,1,6)*$CB58</f>
        <v>-1.5943258627819812E-3</v>
      </c>
      <c r="BK58" s="137">
        <f>_xll.xSPRDOPT($BW58,$BV58,$CG58,0,$BY58,$BX58,$BZ58,$AJ58,1,5)*$CB58</f>
        <v>1.7165137421027072E-3</v>
      </c>
      <c r="BL58" s="137">
        <f>_xll.xSPRDOPT(BW58,BV58,CG58,0,BY58,BX58,BZ58,AJ58,1,2)*CB58</f>
        <v>-0.87191527727378704</v>
      </c>
      <c r="BM58" s="137">
        <f>_xll.xSPRDOPT(BW58,BV58,CG58,0,BY58,BX58,BZ58,AJ58,1,1)*CB58</f>
        <v>0.8719152772706148</v>
      </c>
      <c r="BN58" s="137">
        <f>IF(AH58&lt;&gt;0,_xll.xSPRDOPT($BW58,$BV58,$CG58,2*LN(1+CA58/2),$BY58,$BX58,$BZ58,$AJ58,1,8)+(AJ58/365.25)*CH58/AH58,0)</f>
        <v>0.32768791872272263</v>
      </c>
      <c r="BO58" s="137">
        <f>_xll.xSPRDOPT($BW58,$BV58,$CG58,0,$BY58,$BX58,$BZ58,$AJ58,1,0)</f>
        <v>0.25361485603434247</v>
      </c>
      <c r="BP58" s="137"/>
      <c r="BQ58" s="137"/>
      <c r="BR58" s="137"/>
      <c r="BS58" s="137"/>
      <c r="BV58" s="262">
        <v>3.7449871465295628</v>
      </c>
      <c r="BW58" s="136">
        <v>4.032</v>
      </c>
      <c r="BX58" s="137">
        <v>0.33869995967316402</v>
      </c>
      <c r="BY58" s="137">
        <v>0.33869995967316402</v>
      </c>
      <c r="BZ58" s="137">
        <v>1</v>
      </c>
      <c r="CA58" s="137">
        <v>4.4854887495736399E-2</v>
      </c>
      <c r="CB58" s="137">
        <v>0.87197492181025593</v>
      </c>
      <c r="CC58" s="258">
        <v>-4.7500000000000001E-2</v>
      </c>
      <c r="CD58" s="258">
        <v>7.4999999999999997E-3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52"/>
        <v>38398</v>
      </c>
      <c r="F59" s="28">
        <f t="shared" si="53"/>
        <v>612</v>
      </c>
      <c r="G59" s="28">
        <f t="shared" si="13"/>
        <v>530.93857525058593</v>
      </c>
      <c r="H59" s="52">
        <f t="shared" si="54"/>
        <v>3.6575835475578407</v>
      </c>
      <c r="I59" s="52">
        <f t="shared" si="55"/>
        <v>3.9470000000000001</v>
      </c>
      <c r="K59" s="52">
        <f t="shared" si="56"/>
        <v>6.2189743366172978</v>
      </c>
      <c r="L59" s="135">
        <f t="shared" si="57"/>
        <v>4.4409970829661916E-5</v>
      </c>
      <c r="N59" s="131">
        <f t="shared" si="48"/>
        <v>0.33420972413423633</v>
      </c>
      <c r="O59" s="131">
        <f t="shared" si="49"/>
        <v>0.33420972413423633</v>
      </c>
      <c r="P59" s="55">
        <f t="shared" si="50"/>
        <v>1.0000000000000002</v>
      </c>
      <c r="Q59" s="135">
        <f>_xll.xSPRDOPT(I59,H59,AQ59,0,O59,N59,P59,D59-$G$5,1,0)*AH59*AU59</f>
        <v>6.2190187465881275</v>
      </c>
      <c r="R59" s="135"/>
      <c r="S59" s="181">
        <f>_xll.xSPRDOPT(I59,H59,AQ59,AT59,O59,N59,P59,D59-$G$5,1,2)*AF59*(F59/(1-AR59))*AH59</f>
        <v>-15261.73702049408</v>
      </c>
      <c r="T59" s="181">
        <f>_xll.xSPRDOPT(I59,H59,AQ59,AT59,O59,N59,P59,D59-$G$5,1,1)*AF59*F59*AH59</f>
        <v>14842.039252383736</v>
      </c>
      <c r="U59" s="135"/>
      <c r="V59" s="146">
        <f t="shared" si="58"/>
        <v>9.1165276538615316</v>
      </c>
      <c r="W59" s="146"/>
      <c r="X59" s="338">
        <f t="shared" si="59"/>
        <v>0</v>
      </c>
      <c r="Y59" s="338">
        <f t="shared" si="20"/>
        <v>0</v>
      </c>
      <c r="Z59" s="338">
        <f t="shared" si="21"/>
        <v>1.4025448862589576</v>
      </c>
      <c r="AA59" s="338">
        <f t="shared" si="22"/>
        <v>6.2276709284041763E-5</v>
      </c>
      <c r="AB59" s="338">
        <f t="shared" si="60"/>
        <v>0</v>
      </c>
      <c r="AC59" s="338">
        <f t="shared" si="61"/>
        <v>1.4187670558042489</v>
      </c>
      <c r="AF59" s="138">
        <f t="shared" si="62"/>
        <v>1</v>
      </c>
      <c r="AG59" s="138">
        <f t="shared" si="63"/>
        <v>2</v>
      </c>
      <c r="AH59" s="138">
        <f t="shared" si="73"/>
        <v>28</v>
      </c>
      <c r="AI59" s="138">
        <f t="shared" si="64"/>
        <v>1142</v>
      </c>
      <c r="AJ59" s="138">
        <f t="shared" si="65"/>
        <v>1159</v>
      </c>
      <c r="AL59" s="136">
        <f t="shared" si="29"/>
        <v>3.597</v>
      </c>
      <c r="AM59" s="258">
        <f t="shared" si="30"/>
        <v>-4.7500000000000001E-2</v>
      </c>
      <c r="AN59" s="258">
        <f t="shared" si="31"/>
        <v>7.4999999999999997E-3</v>
      </c>
      <c r="AO59" s="258">
        <f t="shared" si="32"/>
        <v>0.35</v>
      </c>
      <c r="AP59" s="258">
        <f t="shared" si="33"/>
        <v>0</v>
      </c>
      <c r="AQ59" s="136">
        <f t="shared" si="66"/>
        <v>3.3399999999999999E-2</v>
      </c>
      <c r="AR59" s="137">
        <f t="shared" si="35"/>
        <v>2.75E-2</v>
      </c>
      <c r="AS59" s="136">
        <f t="shared" si="67"/>
        <v>3.5569999999999999</v>
      </c>
      <c r="AT59" s="137">
        <f t="shared" si="68"/>
        <v>4.5401152752323697E-2</v>
      </c>
      <c r="AU59" s="137">
        <f t="shared" si="38"/>
        <v>0.86754669158592468</v>
      </c>
      <c r="AV59" s="394">
        <f t="shared" si="69"/>
        <v>412.95222519490017</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1.0338149733486821E-6</v>
      </c>
      <c r="BG59" s="137">
        <f>_xll.xSPRDOPT($BW59,$BV59,$CG59,0,$BY59,$BX59,$BZ59,$AJ59,1,3)*$CB59</f>
        <v>1.0338149733486822E-7</v>
      </c>
      <c r="BH59" s="137">
        <f>IF(OR(BF59&lt;&gt;0,BG59&lt;&gt;0),_xll.xSPRDOPT($BW59,$BV59,$CG59,0,$BY59,$BX59,$BZ59,$AJ59,1,12)*$CB59,0)</f>
        <v>-2.5845374333717053E-7</v>
      </c>
      <c r="BI59" s="137">
        <f>_xll.xSPRDOPT($BW59,$BV59,$CG59,2*LN(1+CA59/2),$BY59,$BX59,$BZ59,$AJ59,1,9)</f>
        <v>9.9649766516122819E-3</v>
      </c>
      <c r="BJ59" s="137">
        <f>_xll.xSPRDOPT($BW59,$BV59,$CG59,0,$BY59,$BX59,$BZ59,$AJ59,1,6)*$CB59</f>
        <v>-9.7831534981044949E-4</v>
      </c>
      <c r="BK59" s="137">
        <f>_xll.xSPRDOPT($BW59,$BV59,$CG59,0,$BY59,$BX59,$BZ59,$AJ59,1,5)*$CB59</f>
        <v>1.0644894144316015E-3</v>
      </c>
      <c r="BL59" s="137">
        <f>_xll.xSPRDOPT(BW59,BV59,CG59,0,BY59,BX59,BZ59,AJ59,1,2)*CB59</f>
        <v>-0.86720503163828144</v>
      </c>
      <c r="BM59" s="137">
        <f>_xll.xSPRDOPT(BW59,BV59,CG59,0,BY59,BX59,BZ59,AJ59,1,1)*CB59</f>
        <v>0.8672050316327603</v>
      </c>
      <c r="BN59" s="137">
        <f>IF(AH59&lt;&gt;0,_xll.xSPRDOPT($BW59,$BV59,$CG59,2*LN(1+CA59/2),$BY59,$BX59,$BZ59,$AJ59,1,8)+(AJ59/365.25)*CH59/AH59,0)</f>
        <v>0.32824622536128933</v>
      </c>
      <c r="BO59" s="137">
        <f>_xll.xSPRDOPT($BW59,$BV59,$CG59,0,$BY59,$BX59,$BZ59,$AJ59,1,0)</f>
        <v>0.25601830248090096</v>
      </c>
      <c r="BP59" s="137"/>
      <c r="BQ59" s="137"/>
      <c r="BR59" s="137"/>
      <c r="BS59" s="137"/>
      <c r="BV59" s="262">
        <v>3.6575835475578407</v>
      </c>
      <c r="BW59" s="136">
        <v>3.9470000000000001</v>
      </c>
      <c r="BX59" s="137">
        <v>0.33416755063618625</v>
      </c>
      <c r="BY59" s="137">
        <v>0.33416755063618625</v>
      </c>
      <c r="BZ59" s="137">
        <v>1</v>
      </c>
      <c r="CA59" s="137">
        <v>4.5401152752323697E-2</v>
      </c>
      <c r="CB59" s="137">
        <v>0.86722685559525425</v>
      </c>
      <c r="CC59" s="258">
        <v>-4.7500000000000001E-2</v>
      </c>
      <c r="CD59" s="258">
        <v>7.4999999999999997E-3</v>
      </c>
      <c r="CE59" s="258">
        <v>0.35</v>
      </c>
      <c r="CF59" s="258">
        <v>0</v>
      </c>
      <c r="CG59" s="258">
        <v>3.3399999999999999E-2</v>
      </c>
      <c r="CH59" s="258">
        <v>9.1131666893371701</v>
      </c>
      <c r="CI59" s="258">
        <v>3.597</v>
      </c>
      <c r="CJ59" s="258"/>
      <c r="CK59" s="258"/>
      <c r="CL59" s="258"/>
      <c r="CM59" s="258"/>
    </row>
    <row r="60" spans="1:91" x14ac:dyDescent="0.25">
      <c r="A60" s="723"/>
      <c r="B60" s="723"/>
      <c r="D60" s="31">
        <f t="shared" si="52"/>
        <v>38426</v>
      </c>
      <c r="F60" s="28">
        <f t="shared" si="53"/>
        <v>612</v>
      </c>
      <c r="G60" s="28">
        <f t="shared" si="13"/>
        <v>528.28773250110112</v>
      </c>
      <c r="H60" s="52">
        <f t="shared" si="54"/>
        <v>3.5239074550128535</v>
      </c>
      <c r="I60" s="52">
        <f t="shared" si="55"/>
        <v>3.867</v>
      </c>
      <c r="K60" s="52">
        <f t="shared" si="56"/>
        <v>8.2872711491444448</v>
      </c>
      <c r="L60" s="135">
        <f t="shared" si="57"/>
        <v>8.3801122787718896E-6</v>
      </c>
      <c r="N60" s="131">
        <f t="shared" si="48"/>
        <v>0.31729237574852004</v>
      </c>
      <c r="O60" s="131">
        <f t="shared" si="49"/>
        <v>0.31729237574852004</v>
      </c>
      <c r="P60" s="55">
        <f t="shared" si="50"/>
        <v>0.99999999999999989</v>
      </c>
      <c r="Q60" s="135">
        <f>_xll.xSPRDOPT(I60,H60,AQ60,0,O60,N60,P60,D60-$G$5,1,0)*AH60*AU60</f>
        <v>8.2872795292567236</v>
      </c>
      <c r="R60" s="135"/>
      <c r="S60" s="181">
        <f>_xll.xSPRDOPT(I60,H60,AQ60,AT60,O60,N60,P60,D60-$G$5,1,2)*AF60*(F60/(1-AR60))*AH60</f>
        <v>-16811.567745139011</v>
      </c>
      <c r="T60" s="181">
        <f>_xll.xSPRDOPT(I60,H60,AQ60,AT60,O60,N60,P60,D60-$G$5,1,1)*AF60*F60*AH60</f>
        <v>16349.249632130435</v>
      </c>
      <c r="U60" s="135"/>
      <c r="V60" s="146">
        <f t="shared" si="58"/>
        <v>10.042905173590787</v>
      </c>
      <c r="W60" s="146"/>
      <c r="X60" s="338">
        <f t="shared" si="59"/>
        <v>0</v>
      </c>
      <c r="Y60" s="338">
        <f t="shared" si="20"/>
        <v>0</v>
      </c>
      <c r="Z60" s="338">
        <f t="shared" si="21"/>
        <v>1.8893694089518356</v>
      </c>
      <c r="AA60" s="338">
        <f t="shared" si="22"/>
        <v>1.0808274521032934E-5</v>
      </c>
      <c r="AB60" s="338">
        <f t="shared" si="60"/>
        <v>0</v>
      </c>
      <c r="AC60" s="338">
        <f t="shared" si="61"/>
        <v>1.91114546896342</v>
      </c>
      <c r="AF60" s="138">
        <f t="shared" si="62"/>
        <v>1</v>
      </c>
      <c r="AG60" s="138">
        <f t="shared" si="63"/>
        <v>3</v>
      </c>
      <c r="AH60" s="138">
        <f t="shared" si="73"/>
        <v>31</v>
      </c>
      <c r="AI60" s="138">
        <f t="shared" si="64"/>
        <v>1170</v>
      </c>
      <c r="AJ60" s="138">
        <f t="shared" si="65"/>
        <v>1187</v>
      </c>
      <c r="AL60" s="136">
        <f t="shared" si="29"/>
        <v>3.4670000000000001</v>
      </c>
      <c r="AM60" s="258">
        <f t="shared" si="30"/>
        <v>-4.7500000000000001E-2</v>
      </c>
      <c r="AN60" s="258">
        <f t="shared" si="31"/>
        <v>7.4999999999999997E-3</v>
      </c>
      <c r="AO60" s="258">
        <f t="shared" si="32"/>
        <v>0.4</v>
      </c>
      <c r="AP60" s="258">
        <f t="shared" si="33"/>
        <v>0</v>
      </c>
      <c r="AQ60" s="136">
        <f t="shared" si="66"/>
        <v>3.3399999999999999E-2</v>
      </c>
      <c r="AR60" s="137">
        <f t="shared" si="35"/>
        <v>2.75E-2</v>
      </c>
      <c r="AS60" s="136">
        <f t="shared" si="67"/>
        <v>3.427</v>
      </c>
      <c r="AT60" s="137">
        <f t="shared" si="68"/>
        <v>4.5894553715070799E-2</v>
      </c>
      <c r="AU60" s="137">
        <f t="shared" si="38"/>
        <v>0.86321524918480574</v>
      </c>
      <c r="AV60" s="394">
        <f t="shared" si="69"/>
        <v>454.91443632039261</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6.1718959174647789E-7</v>
      </c>
      <c r="BG60" s="137">
        <f>_xll.xSPRDOPT($BW60,$BV60,$CG60,0,$BY60,$BX60,$BZ60,$AJ60,1,3)*$CB60</f>
        <v>9.2578438761971694E-7</v>
      </c>
      <c r="BH60" s="137">
        <f>IF(OR(BF60&lt;&gt;0,BG60&lt;&gt;0),_xll.xSPRDOPT($BW60,$BV60,$CG60,0,$BY60,$BX60,$BZ60,$AJ60,1,12)*$CB60,0)</f>
        <v>-6.6862205772535106E-7</v>
      </c>
      <c r="BI60" s="137">
        <f>_xll.xSPRDOPT($BW60,$BV60,$CG60,2*LN(1+CA60/2),$BY60,$BX60,$BZ60,$AJ60,1,9)</f>
        <v>1.2124748341760803E-2</v>
      </c>
      <c r="BJ60" s="137">
        <f>_xll.xSPRDOPT($BW60,$BV60,$CG60,0,$BY60,$BX60,$BZ60,$AJ60,1,6)*$CB60</f>
        <v>-2.4042727211312929E-4</v>
      </c>
      <c r="BK60" s="137">
        <f>_xll.xSPRDOPT($BW60,$BV60,$CG60,0,$BY60,$BX60,$BZ60,$AJ60,1,5)*$CB60</f>
        <v>2.6383559866179258E-4</v>
      </c>
      <c r="BL60" s="137">
        <f>_xll.xSPRDOPT(BW60,BV60,CG60,0,BY60,BX60,BZ60,AJ60,1,2)*CB60</f>
        <v>-0.86288523235994452</v>
      </c>
      <c r="BM60" s="137">
        <f>_xll.xSPRDOPT(BW60,BV60,CG60,0,BY60,BX60,BZ60,AJ60,1,1)*CB60</f>
        <v>0.86288523236229897</v>
      </c>
      <c r="BN60" s="137">
        <f>IF(AH60&lt;&gt;0,_xll.xSPRDOPT($BW60,$BV60,$CG60,2*LN(1+CA60/2),$BY60,$BX60,$BZ60,$AJ60,1,8)+(AJ60/365.25)*CH60/AH60,0)</f>
        <v>0.18397922635799047</v>
      </c>
      <c r="BO60" s="137">
        <f>_xll.xSPRDOPT($BW60,$BV60,$CG60,0,$BY60,$BX60,$BZ60,$AJ60,1,0)</f>
        <v>0.30969286838783777</v>
      </c>
      <c r="BP60" s="137"/>
      <c r="BQ60" s="137"/>
      <c r="BR60" s="137"/>
      <c r="BS60" s="137"/>
      <c r="BV60" s="262">
        <v>3.5239074550128535</v>
      </c>
      <c r="BW60" s="136">
        <v>3.867</v>
      </c>
      <c r="BX60" s="137">
        <v>0.31726803842117157</v>
      </c>
      <c r="BY60" s="137">
        <v>0.31726803842117157</v>
      </c>
      <c r="BZ60" s="137">
        <v>1</v>
      </c>
      <c r="CA60" s="137">
        <v>4.5894553715070799E-2</v>
      </c>
      <c r="CB60" s="137">
        <v>0.86289359114020647</v>
      </c>
      <c r="CC60" s="258">
        <v>-4.7500000000000001E-2</v>
      </c>
      <c r="CD60" s="258">
        <v>7.4999999999999997E-3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52"/>
        <v>38457</v>
      </c>
      <c r="F61" s="28">
        <f t="shared" si="53"/>
        <v>612</v>
      </c>
      <c r="G61" s="28">
        <f t="shared" si="13"/>
        <v>525.39113388921044</v>
      </c>
      <c r="H61" s="52">
        <f t="shared" si="54"/>
        <v>3.3285347043701794</v>
      </c>
      <c r="I61" s="52">
        <f t="shared" si="55"/>
        <v>3.8820000000000001</v>
      </c>
      <c r="K61" s="52">
        <f t="shared" si="56"/>
        <v>13.394004674871518</v>
      </c>
      <c r="L61" s="135">
        <f t="shared" si="57"/>
        <v>1.3771326923261995E-6</v>
      </c>
      <c r="N61" s="131">
        <f t="shared" si="48"/>
        <v>0.29897853273193292</v>
      </c>
      <c r="O61" s="131">
        <f t="shared" si="49"/>
        <v>0.29897853273193292</v>
      </c>
      <c r="P61" s="55">
        <f t="shared" si="50"/>
        <v>0.99999999999999989</v>
      </c>
      <c r="Q61" s="135">
        <f>_xll.xSPRDOPT(I61,H61,AQ61,0,O61,N61,P61,D61-$G$5,1,0)*AH61*AU61</f>
        <v>13.39400605200421</v>
      </c>
      <c r="R61" s="135"/>
      <c r="S61" s="181">
        <f>_xll.xSPRDOPT(I61,H61,AQ61,AT61,O61,N61,P61,D61-$G$5,1,2)*AF61*(F61/(1-AR61))*AH61</f>
        <v>-16178.886250587193</v>
      </c>
      <c r="T61" s="181">
        <f>_xll.xSPRDOPT(I61,H61,AQ61,AT61,O61,N61,P61,D61-$G$5,1,1)*AF61*F61*AH61</f>
        <v>15733.966878913125</v>
      </c>
      <c r="U61" s="135"/>
      <c r="V61" s="146">
        <f t="shared" si="58"/>
        <v>9.6656515955206217</v>
      </c>
      <c r="W61" s="146"/>
      <c r="X61" s="338">
        <f t="shared" si="59"/>
        <v>0</v>
      </c>
      <c r="Y61" s="338">
        <f t="shared" si="20"/>
        <v>0</v>
      </c>
      <c r="Z61" s="338">
        <f t="shared" si="21"/>
        <v>3.0872177283263396</v>
      </c>
      <c r="AA61" s="338">
        <f t="shared" si="22"/>
        <v>2.0190879516362783E-9</v>
      </c>
      <c r="AB61" s="338">
        <f t="shared" si="60"/>
        <v>0</v>
      </c>
      <c r="AC61" s="338">
        <f t="shared" si="61"/>
        <v>3.1228935809277374</v>
      </c>
      <c r="AF61" s="138">
        <f t="shared" si="62"/>
        <v>1</v>
      </c>
      <c r="AG61" s="138">
        <f t="shared" si="63"/>
        <v>4</v>
      </c>
      <c r="AH61" s="138">
        <f t="shared" si="73"/>
        <v>30</v>
      </c>
      <c r="AI61" s="138">
        <f t="shared" si="64"/>
        <v>1201</v>
      </c>
      <c r="AJ61" s="138">
        <f t="shared" si="65"/>
        <v>1218</v>
      </c>
      <c r="AL61" s="136">
        <f t="shared" si="29"/>
        <v>3.282</v>
      </c>
      <c r="AM61" s="258">
        <f t="shared" si="30"/>
        <v>-5.2499999999999998E-2</v>
      </c>
      <c r="AN61" s="258">
        <f t="shared" si="31"/>
        <v>7.4999999999999997E-3</v>
      </c>
      <c r="AO61" s="258">
        <f t="shared" si="32"/>
        <v>0.6</v>
      </c>
      <c r="AP61" s="258">
        <f t="shared" si="33"/>
        <v>0</v>
      </c>
      <c r="AQ61" s="136">
        <f t="shared" si="66"/>
        <v>3.3399999999999999E-2</v>
      </c>
      <c r="AR61" s="137">
        <f t="shared" si="35"/>
        <v>2.75E-2</v>
      </c>
      <c r="AS61" s="136">
        <f t="shared" si="67"/>
        <v>3.2369999999999997</v>
      </c>
      <c r="AT61" s="137">
        <f t="shared" si="68"/>
        <v>4.6401056415071598E-2</v>
      </c>
      <c r="AU61" s="137">
        <f t="shared" si="38"/>
        <v>0.85848224491701053</v>
      </c>
      <c r="AV61" s="394">
        <f t="shared" si="69"/>
        <v>437.82594490767536</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-6.1380304880042548E-7</v>
      </c>
      <c r="BG61" s="137">
        <f>_xll.xSPRDOPT($BW61,$BV61,$CG61,0,$BY61,$BX61,$BZ61,$AJ61,1,3)*$CB61</f>
        <v>-2.0460101626680849E-7</v>
      </c>
      <c r="BH61" s="137">
        <f>IF(OR(BF61&lt;&gt;0,BG61&lt;&gt;0),_xll.xSPRDOPT($BW61,$BV61,$CG61,0,$BY61,$BX61,$BZ61,$AJ61,1,12)*$CB61,0)</f>
        <v>3.0690152440021274E-7</v>
      </c>
      <c r="BI61" s="137">
        <f>_xll.xSPRDOPT($BW61,$BV61,$CG61,2*LN(1+CA61/2),$BY61,$BX61,$BZ61,$AJ61,1,9)</f>
        <v>2.0472154598242476E-2</v>
      </c>
      <c r="BJ61" s="137">
        <f>_xll.xSPRDOPT($BW61,$BV61,$CG61,0,$BY61,$BX61,$BZ61,$AJ61,1,6)*$CB61</f>
        <v>-1.8214336590871134E-7</v>
      </c>
      <c r="BK61" s="137">
        <f>_xll.xSPRDOPT($BW61,$BV61,$CG61,0,$BY61,$BX61,$BZ61,$AJ61,1,5)*$CB61</f>
        <v>2.1244085344124698E-7</v>
      </c>
      <c r="BL61" s="137">
        <f>_xll.xSPRDOPT(BW61,BV61,CG61,0,BY61,BX61,BZ61,AJ61,1,2)*CB61</f>
        <v>-0.85815892597493271</v>
      </c>
      <c r="BM61" s="137">
        <f>_xll.xSPRDOPT(BW61,BV61,CG61,0,BY61,BX61,BZ61,AJ61,1,1)*CB61</f>
        <v>0.85815892597961563</v>
      </c>
      <c r="BN61" s="137">
        <f>IF(AH61&lt;&gt;0,_xll.xSPRDOPT($BW61,$BV61,$CG61,2*LN(1+CA61/2),$BY61,$BX61,$BZ61,$AJ61,1,8)+(AJ61/365.25)*CH61/AH61,0)</f>
        <v>-0.4142756208785916</v>
      </c>
      <c r="BO61" s="137">
        <f>_xll.xSPRDOPT($BW61,$BV61,$CG61,0,$BY61,$BX61,$BZ61,$AJ61,1,0)</f>
        <v>0.52006534911441971</v>
      </c>
      <c r="BP61" s="137"/>
      <c r="BQ61" s="137"/>
      <c r="BR61" s="137"/>
      <c r="BS61" s="137"/>
      <c r="BV61" s="262">
        <v>3.3285347043701794</v>
      </c>
      <c r="BW61" s="136">
        <v>3.8820000000000001</v>
      </c>
      <c r="BX61" s="137">
        <v>0.29897490298835971</v>
      </c>
      <c r="BY61" s="137">
        <v>0.29897490298835971</v>
      </c>
      <c r="BZ61" s="137">
        <v>1</v>
      </c>
      <c r="CA61" s="137">
        <v>4.6401056415071598E-2</v>
      </c>
      <c r="CB61" s="137">
        <v>0.85815886093193994</v>
      </c>
      <c r="CC61" s="258">
        <v>-5.2499999999999998E-2</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52"/>
        <v>38487</v>
      </c>
      <c r="F62" s="28">
        <f t="shared" si="53"/>
        <v>612</v>
      </c>
      <c r="G62" s="28">
        <f t="shared" si="13"/>
        <v>522.62161322284317</v>
      </c>
      <c r="H62" s="52">
        <f t="shared" si="54"/>
        <v>3.3233933161953724</v>
      </c>
      <c r="I62" s="52">
        <f t="shared" si="55"/>
        <v>4.0270000000000001</v>
      </c>
      <c r="K62" s="52">
        <f t="shared" si="56"/>
        <v>17.742155958764545</v>
      </c>
      <c r="L62" s="135">
        <f t="shared" si="57"/>
        <v>1.7842918111909967E-6</v>
      </c>
      <c r="N62" s="131">
        <f t="shared" si="48"/>
        <v>0.29252740451228487</v>
      </c>
      <c r="O62" s="131">
        <f t="shared" si="49"/>
        <v>0.29252740451228487</v>
      </c>
      <c r="P62" s="55">
        <f t="shared" si="50"/>
        <v>0.99999999999999989</v>
      </c>
      <c r="Q62" s="135">
        <f>_xll.xSPRDOPT(I62,H62,AQ62,0,O62,N62,P62,D62-$G$5,1,0)*AH62*AU62</f>
        <v>17.742157743056357</v>
      </c>
      <c r="R62" s="135"/>
      <c r="S62" s="181">
        <f>_xll.xSPRDOPT(I62,H62,AQ62,AT62,O62,N62,P62,D62-$G$5,1,2)*AF62*(F62/(1-AR62))*AH62</f>
        <v>-16628.743050269575</v>
      </c>
      <c r="T62" s="181">
        <f>_xll.xSPRDOPT(I62,H62,AQ62,AT62,O62,N62,P62,D62-$G$5,1,1)*AF62*F62*AH62</f>
        <v>16171.452616249124</v>
      </c>
      <c r="U62" s="135"/>
      <c r="V62" s="146">
        <f t="shared" si="58"/>
        <v>9.9351905796054325</v>
      </c>
      <c r="W62" s="146"/>
      <c r="X62" s="338">
        <f t="shared" si="59"/>
        <v>0</v>
      </c>
      <c r="Y62" s="338">
        <f t="shared" si="20"/>
        <v>0</v>
      </c>
      <c r="Z62" s="338">
        <f t="shared" si="21"/>
        <v>4.1291134229938935</v>
      </c>
      <c r="AA62" s="338">
        <f t="shared" si="22"/>
        <v>-1.2463008717302203E-8</v>
      </c>
      <c r="AB62" s="338">
        <f t="shared" si="60"/>
        <v>0</v>
      </c>
      <c r="AC62" s="338">
        <f t="shared" si="61"/>
        <v>4.1772951347157186</v>
      </c>
      <c r="AF62" s="138">
        <f t="shared" si="62"/>
        <v>1</v>
      </c>
      <c r="AG62" s="138">
        <f t="shared" si="63"/>
        <v>5</v>
      </c>
      <c r="AH62" s="138">
        <f t="shared" si="73"/>
        <v>31</v>
      </c>
      <c r="AI62" s="138">
        <f t="shared" si="64"/>
        <v>1231</v>
      </c>
      <c r="AJ62" s="138">
        <f t="shared" si="65"/>
        <v>1248</v>
      </c>
      <c r="AL62" s="136">
        <f t="shared" si="29"/>
        <v>3.2770000000000001</v>
      </c>
      <c r="AM62" s="258">
        <f t="shared" si="30"/>
        <v>-5.2499999999999998E-2</v>
      </c>
      <c r="AN62" s="258">
        <f t="shared" si="31"/>
        <v>7.4999999999999997E-3</v>
      </c>
      <c r="AO62" s="258">
        <f t="shared" si="32"/>
        <v>0.75</v>
      </c>
      <c r="AP62" s="258">
        <f t="shared" si="33"/>
        <v>0</v>
      </c>
      <c r="AQ62" s="136">
        <f t="shared" si="66"/>
        <v>3.3399999999999999E-2</v>
      </c>
      <c r="AR62" s="137">
        <f t="shared" si="35"/>
        <v>2.75E-2</v>
      </c>
      <c r="AS62" s="136">
        <f t="shared" si="67"/>
        <v>3.2319999999999998</v>
      </c>
      <c r="AT62" s="137">
        <f t="shared" si="68"/>
        <v>4.6856677050253197E-2</v>
      </c>
      <c r="AU62" s="137">
        <f t="shared" si="38"/>
        <v>0.85395688435105088</v>
      </c>
      <c r="AV62" s="394">
        <f t="shared" si="69"/>
        <v>450.03527805300382</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2.035217483747998E-7</v>
      </c>
      <c r="BG62" s="137">
        <f>_xll.xSPRDOPT($BW62,$BV62,$CG62,0,$BY62,$BX62,$BZ62,$AJ62,1,3)*$CB62</f>
        <v>0</v>
      </c>
      <c r="BH62" s="137">
        <f>IF(OR(BF62&lt;&gt;0,BG62&lt;&gt;0),_xll.xSPRDOPT($BW62,$BV62,$CG62,0,$BY62,$BX62,$BZ62,$AJ62,1,12)*$CB62,0)</f>
        <v>2.035217483747998E-7</v>
      </c>
      <c r="BI62" s="137">
        <f>_xll.xSPRDOPT($BW62,$BV62,$CG62,2*LN(1+CA62/2),$BY62,$BX62,$BZ62,$AJ62,1,9)</f>
        <v>2.6497973816651196E-2</v>
      </c>
      <c r="BJ62" s="137">
        <f>_xll.xSPRDOPT($BW62,$BV62,$CG62,0,$BY62,$BX62,$BZ62,$AJ62,1,6)*$CB62</f>
        <v>5.1360887891024602E-7</v>
      </c>
      <c r="BK62" s="137">
        <f>_xll.xSPRDOPT($BW62,$BV62,$CG62,0,$BY62,$BX62,$BZ62,$AJ62,1,5)*$CB62</f>
        <v>-6.2233295835289105E-7</v>
      </c>
      <c r="BL62" s="137">
        <f>_xll.xSPRDOPT(BW62,BV62,CG62,0,BY62,BX62,BZ62,AJ62,1,2)*CB62</f>
        <v>-0.85363216887200111</v>
      </c>
      <c r="BM62" s="137">
        <f>_xll.xSPRDOPT(BW62,BV62,CG62,0,BY62,BX62,BZ62,AJ62,1,1)*CB62</f>
        <v>0.8536321688611318</v>
      </c>
      <c r="BN62" s="137">
        <f>IF(AH62&lt;&gt;0,_xll.xSPRDOPT($BW62,$BV62,$CG62,2*LN(1+CA62/2),$BY62,$BX62,$BZ62,$AJ62,1,8)+(AJ62/365.25)*CH62/AH62,0)</f>
        <v>-0.8601611135839593</v>
      </c>
      <c r="BO62" s="137">
        <f>_xll.xSPRDOPT($BW62,$BV62,$CG62,0,$BY62,$BX62,$BZ62,$AJ62,1,0)</f>
        <v>0.67020675116191508</v>
      </c>
      <c r="BP62" s="137"/>
      <c r="BQ62" s="137"/>
      <c r="BR62" s="137"/>
      <c r="BS62" s="137"/>
      <c r="BV62" s="262">
        <v>3.3233933161953724</v>
      </c>
      <c r="BW62" s="136">
        <v>4.0270000000000001</v>
      </c>
      <c r="BX62" s="137">
        <v>0.2925213624660592</v>
      </c>
      <c r="BY62" s="137">
        <v>0.2925213624660592</v>
      </c>
      <c r="BZ62" s="137">
        <v>1</v>
      </c>
      <c r="CA62" s="137">
        <v>4.6856677050253197E-2</v>
      </c>
      <c r="CB62" s="137">
        <v>0.85363208329541629</v>
      </c>
      <c r="CC62" s="258">
        <v>-5.2499999999999998E-2</v>
      </c>
      <c r="CD62" s="258">
        <v>7.4999999999999997E-3</v>
      </c>
      <c r="CE62" s="258">
        <v>0.75</v>
      </c>
      <c r="CF62" s="258">
        <v>0</v>
      </c>
      <c r="CG62" s="258">
        <v>3.3399999999999999E-2</v>
      </c>
      <c r="CH62" s="258">
        <v>9.9314117466838621</v>
      </c>
      <c r="CI62" s="258">
        <v>3.2770000000000001</v>
      </c>
      <c r="CJ62" s="258"/>
      <c r="CK62" s="258"/>
      <c r="CL62" s="258"/>
      <c r="CM62" s="258"/>
    </row>
    <row r="63" spans="1:91" x14ac:dyDescent="0.25">
      <c r="A63" s="723"/>
      <c r="B63" s="723"/>
      <c r="D63" s="31">
        <f t="shared" si="52"/>
        <v>38518</v>
      </c>
      <c r="F63" s="28">
        <f t="shared" si="53"/>
        <v>612</v>
      </c>
      <c r="G63" s="28">
        <f t="shared" si="13"/>
        <v>519.73536358979823</v>
      </c>
      <c r="H63" s="52">
        <f t="shared" si="54"/>
        <v>3.3619537275064264</v>
      </c>
      <c r="I63" s="52">
        <f t="shared" si="55"/>
        <v>4.1619999999999999</v>
      </c>
      <c r="K63" s="52">
        <f t="shared" si="56"/>
        <v>19.532018587216225</v>
      </c>
      <c r="L63" s="135">
        <f t="shared" si="57"/>
        <v>1.9513172091478737E-6</v>
      </c>
      <c r="N63" s="131">
        <f t="shared" si="48"/>
        <v>0.29238802915440232</v>
      </c>
      <c r="O63" s="131">
        <f t="shared" si="49"/>
        <v>0.29238802915440232</v>
      </c>
      <c r="P63" s="55">
        <f t="shared" si="50"/>
        <v>0.99999999999999978</v>
      </c>
      <c r="Q63" s="135">
        <f>_xll.xSPRDOPT(I63,H63,AQ63,0,O63,N63,P63,D63-$G$5,1,0)*AH63*AU63</f>
        <v>19.532020538533434</v>
      </c>
      <c r="R63" s="135"/>
      <c r="S63" s="181">
        <f>_xll.xSPRDOPT(I63,H63,AQ63,AT63,O63,N63,P63,D63-$G$5,1,2)*AF63*(F63/(1-AR63))*AH63</f>
        <v>-16002.120322958523</v>
      </c>
      <c r="T63" s="181">
        <f>_xll.xSPRDOPT(I63,H63,AQ63,AT63,O63,N63,P63,D63-$G$5,1,1)*AF63*F63*AH63</f>
        <v>15562.062014143958</v>
      </c>
      <c r="U63" s="135"/>
      <c r="V63" s="146">
        <f t="shared" si="58"/>
        <v>9.5616020566299635</v>
      </c>
      <c r="W63" s="146"/>
      <c r="X63" s="338">
        <f t="shared" si="59"/>
        <v>0</v>
      </c>
      <c r="Y63" s="338">
        <f t="shared" si="20"/>
        <v>0</v>
      </c>
      <c r="Z63" s="338">
        <f t="shared" si="21"/>
        <v>4.5907930806193677</v>
      </c>
      <c r="AA63" s="338">
        <f t="shared" si="22"/>
        <v>-1.3848501407904004E-8</v>
      </c>
      <c r="AB63" s="338">
        <f t="shared" si="60"/>
        <v>0</v>
      </c>
      <c r="AC63" s="338">
        <f t="shared" si="61"/>
        <v>4.6448981622890111</v>
      </c>
      <c r="AF63" s="138">
        <f t="shared" si="62"/>
        <v>1</v>
      </c>
      <c r="AG63" s="138">
        <f t="shared" si="63"/>
        <v>6</v>
      </c>
      <c r="AH63" s="138">
        <f t="shared" si="73"/>
        <v>30</v>
      </c>
      <c r="AI63" s="138">
        <f t="shared" si="64"/>
        <v>1262</v>
      </c>
      <c r="AJ63" s="138">
        <f t="shared" si="65"/>
        <v>1279</v>
      </c>
      <c r="AL63" s="136">
        <f t="shared" si="29"/>
        <v>3.3119999999999998</v>
      </c>
      <c r="AM63" s="258">
        <f t="shared" si="30"/>
        <v>-0.05</v>
      </c>
      <c r="AN63" s="258">
        <f t="shared" si="31"/>
        <v>7.4999999999999997E-3</v>
      </c>
      <c r="AO63" s="258">
        <f t="shared" si="32"/>
        <v>0.85</v>
      </c>
      <c r="AP63" s="258">
        <f t="shared" si="33"/>
        <v>0</v>
      </c>
      <c r="AQ63" s="136">
        <f t="shared" si="66"/>
        <v>3.3399999999999999E-2</v>
      </c>
      <c r="AR63" s="137">
        <f t="shared" si="35"/>
        <v>2.75E-2</v>
      </c>
      <c r="AS63" s="136">
        <f t="shared" si="67"/>
        <v>3.2694999999999999</v>
      </c>
      <c r="AT63" s="137">
        <f t="shared" si="68"/>
        <v>4.7327485112866399E-2</v>
      </c>
      <c r="AU63" s="137">
        <f t="shared" si="38"/>
        <v>0.84924079017940879</v>
      </c>
      <c r="AV63" s="394">
        <f t="shared" si="69"/>
        <v>433.11280299149848</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-2.0239700690165109E-7</v>
      </c>
      <c r="BG63" s="137">
        <f>_xll.xSPRDOPT($BW63,$BV63,$CG63,0,$BY63,$BX63,$BZ63,$AJ63,1,3)*$CB63</f>
        <v>-2.0239700690165109E-7</v>
      </c>
      <c r="BH63" s="137">
        <f>IF(OR(BF63&lt;&gt;0,BG63&lt;&gt;0),_xll.xSPRDOPT($BW63,$BV63,$CG63,0,$BY63,$BX63,$BZ63,$AJ63,1,12)*$CB63,0)</f>
        <v>5.0599251725412774E-7</v>
      </c>
      <c r="BI63" s="137">
        <f>_xll.xSPRDOPT($BW63,$BV63,$CG63,2*LN(1+CA63/2),$BY63,$BX63,$BZ63,$AJ63,1,9)</f>
        <v>3.044275912665621E-2</v>
      </c>
      <c r="BJ63" s="137">
        <f>_xll.xSPRDOPT($BW63,$BV63,$CG63,0,$BY63,$BX63,$BZ63,$AJ63,1,6)*$CB63</f>
        <v>5.6860265264036573E-7</v>
      </c>
      <c r="BK63" s="137">
        <f>_xll.xSPRDOPT($BW63,$BV63,$CG63,0,$BY63,$BX63,$BZ63,$AJ63,1,5)*$CB63</f>
        <v>-7.039196016576349E-7</v>
      </c>
      <c r="BL63" s="137">
        <f>_xll.xSPRDOPT(BW63,BV63,CG63,0,BY63,BX63,BZ63,AJ63,1,2)*CB63</f>
        <v>-0.84891466117782088</v>
      </c>
      <c r="BM63" s="137">
        <f>_xll.xSPRDOPT(BW63,BV63,CG63,0,BY63,BX63,BZ63,AJ63,1,1)*CB63</f>
        <v>0.84891466117627667</v>
      </c>
      <c r="BN63" s="137">
        <f>IF(AH63&lt;&gt;0,_xll.xSPRDOPT($BW63,$BV63,$CG63,2*LN(1+CA63/2),$BY63,$BX63,$BZ63,$AJ63,1,8)+(AJ63/365.25)*CH63/AH63,0)</f>
        <v>-1.1633371491903506</v>
      </c>
      <c r="BO63" s="137">
        <f>_xll.xSPRDOPT($BW63,$BV63,$CG63,0,$BY63,$BX63,$BZ63,$AJ63,1,0)</f>
        <v>0.76664634903045858</v>
      </c>
      <c r="BP63" s="137"/>
      <c r="BQ63" s="137"/>
      <c r="BR63" s="137"/>
      <c r="BS63" s="137"/>
      <c r="BV63" s="262">
        <v>3.3619537275064264</v>
      </c>
      <c r="BW63" s="136">
        <v>4.1619999999999999</v>
      </c>
      <c r="BX63" s="137">
        <v>0.29238245501397653</v>
      </c>
      <c r="BY63" s="137">
        <v>0.29238245501397653</v>
      </c>
      <c r="BZ63" s="137">
        <v>1</v>
      </c>
      <c r="CA63" s="137">
        <v>4.7327485112866399E-2</v>
      </c>
      <c r="CB63" s="137">
        <v>0.84891457563562278</v>
      </c>
      <c r="CC63" s="258">
        <v>-0.05</v>
      </c>
      <c r="CD63" s="258">
        <v>7.4999999999999997E-3</v>
      </c>
      <c r="CE63" s="258">
        <v>0.85</v>
      </c>
      <c r="CF63" s="258">
        <v>0</v>
      </c>
      <c r="CG63" s="258">
        <v>3.3399999999999999E-2</v>
      </c>
      <c r="CH63" s="258">
        <v>9.557929207081477</v>
      </c>
      <c r="CI63" s="258">
        <v>3.3119999999999998</v>
      </c>
      <c r="CJ63" s="258"/>
      <c r="CK63" s="258"/>
      <c r="CL63" s="258"/>
      <c r="CM63" s="258"/>
    </row>
    <row r="64" spans="1:91" x14ac:dyDescent="0.25">
      <c r="A64" s="723"/>
      <c r="B64" s="723"/>
      <c r="D64" s="31">
        <f t="shared" si="52"/>
        <v>38548</v>
      </c>
      <c r="F64" s="28">
        <f t="shared" si="53"/>
        <v>612</v>
      </c>
      <c r="G64" s="28">
        <f t="shared" si="13"/>
        <v>516.95999590498559</v>
      </c>
      <c r="H64" s="52">
        <f t="shared" si="54"/>
        <v>3.4030848329048839</v>
      </c>
      <c r="I64" s="52">
        <f t="shared" si="55"/>
        <v>4.4020000000000001</v>
      </c>
      <c r="K64" s="52">
        <f t="shared" si="56"/>
        <v>25.282866375258948</v>
      </c>
      <c r="L64" s="135">
        <f t="shared" si="57"/>
        <v>2.5341783498333825E-6</v>
      </c>
      <c r="N64" s="131">
        <f t="shared" si="48"/>
        <v>0.28848877686763669</v>
      </c>
      <c r="O64" s="131">
        <f t="shared" si="49"/>
        <v>0.28848877686763669</v>
      </c>
      <c r="P64" s="55">
        <f t="shared" si="50"/>
        <v>1.0000000000000002</v>
      </c>
      <c r="Q64" s="135">
        <f>_xll.xSPRDOPT(I64,H64,AQ64,0,O64,N64,P64,D64-$G$5,1,0)*AH64*AU64</f>
        <v>25.282868909437298</v>
      </c>
      <c r="R64" s="135"/>
      <c r="S64" s="181">
        <f>_xll.xSPRDOPT(I64,H64,AQ64,AT64,O64,N64,P64,D64-$G$5,1,2)*AF64*(F64/(1-AR64))*AH64</f>
        <v>-16445.889284004319</v>
      </c>
      <c r="T64" s="181">
        <f>_xll.xSPRDOPT(I64,H64,AQ64,AT64,O64,N64,P64,D64-$G$5,1,1)*AF64*F64*AH64</f>
        <v>15993.627328487142</v>
      </c>
      <c r="U64" s="135"/>
      <c r="V64" s="146">
        <f t="shared" si="58"/>
        <v>9.8275615692113956</v>
      </c>
      <c r="W64" s="146"/>
      <c r="X64" s="338">
        <f t="shared" si="59"/>
        <v>0</v>
      </c>
      <c r="Y64" s="338">
        <f t="shared" si="20"/>
        <v>0</v>
      </c>
      <c r="Z64" s="338">
        <f t="shared" si="21"/>
        <v>5.9961784987667359</v>
      </c>
      <c r="AA64" s="338">
        <f t="shared" si="22"/>
        <v>-2.5945901204927278E-8</v>
      </c>
      <c r="AB64" s="338">
        <f t="shared" si="60"/>
        <v>0</v>
      </c>
      <c r="AC64" s="338">
        <f t="shared" si="61"/>
        <v>6.0674908984825757</v>
      </c>
      <c r="AF64" s="138">
        <f t="shared" si="62"/>
        <v>1</v>
      </c>
      <c r="AG64" s="138">
        <f t="shared" si="63"/>
        <v>7</v>
      </c>
      <c r="AH64" s="138">
        <f t="shared" si="73"/>
        <v>31</v>
      </c>
      <c r="AI64" s="138">
        <f t="shared" si="64"/>
        <v>1292</v>
      </c>
      <c r="AJ64" s="138">
        <f t="shared" si="65"/>
        <v>1309</v>
      </c>
      <c r="AL64" s="136">
        <f t="shared" si="29"/>
        <v>3.3519999999999999</v>
      </c>
      <c r="AM64" s="258">
        <f t="shared" si="30"/>
        <v>-0.05</v>
      </c>
      <c r="AN64" s="258">
        <f t="shared" si="31"/>
        <v>7.4999999999999997E-3</v>
      </c>
      <c r="AO64" s="258">
        <f t="shared" si="32"/>
        <v>1.05</v>
      </c>
      <c r="AP64" s="258">
        <f t="shared" si="33"/>
        <v>0</v>
      </c>
      <c r="AQ64" s="136">
        <f t="shared" si="66"/>
        <v>3.3399999999999999E-2</v>
      </c>
      <c r="AR64" s="137">
        <f t="shared" si="35"/>
        <v>2.75E-2</v>
      </c>
      <c r="AS64" s="136">
        <f t="shared" si="67"/>
        <v>3.3094999999999999</v>
      </c>
      <c r="AT64" s="137">
        <f t="shared" si="68"/>
        <v>4.7760481058800999E-2</v>
      </c>
      <c r="AU64" s="137">
        <f t="shared" si="38"/>
        <v>0.84470587566174116</v>
      </c>
      <c r="AV64" s="394">
        <f t="shared" si="69"/>
        <v>445.15999647373758</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2.0131551500286968E-7</v>
      </c>
      <c r="BG64" s="137">
        <f>_xll.xSPRDOPT($BW64,$BV64,$CG64,0,$BY64,$BX64,$BZ64,$AJ64,1,3)*$CB64</f>
        <v>-2.0131551500286968E-7</v>
      </c>
      <c r="BH64" s="137">
        <f>IF(OR(BF64&lt;&gt;0,BG64&lt;&gt;0),_xll.xSPRDOPT($BW64,$BV64,$CG64,0,$BY64,$BX64,$BZ64,$AJ64,1,12)*$CB64,0)</f>
        <v>1.0065775750143484E-7</v>
      </c>
      <c r="BI64" s="137">
        <f>_xll.xSPRDOPT($BW64,$BV64,$CG64,2*LN(1+CA64/2),$BY64,$BX64,$BZ64,$AJ64,1,9)</f>
        <v>3.8479587403797706E-2</v>
      </c>
      <c r="BJ64" s="137">
        <f>_xll.xSPRDOPT($BW64,$BV64,$CG64,0,$BY64,$BX64,$BZ64,$AJ64,1,6)*$CB64</f>
        <v>5.8692996640020773E-7</v>
      </c>
      <c r="BK64" s="137">
        <f>_xll.xSPRDOPT($BW64,$BV64,$CG64,0,$BY64,$BX64,$BZ64,$AJ64,1,5)*$CB64</f>
        <v>-7.592065458015136E-7</v>
      </c>
      <c r="BL64" s="137">
        <f>_xll.xSPRDOPT(BW64,BV64,CG64,0,BY64,BX64,BZ64,AJ64,1,2)*CB64</f>
        <v>-0.8443785552401053</v>
      </c>
      <c r="BM64" s="137">
        <f>_xll.xSPRDOPT(BW64,BV64,CG64,0,BY64,BX64,BZ64,AJ64,1,1)*CB64</f>
        <v>0.84437855523088978</v>
      </c>
      <c r="BN64" s="137">
        <f>IF(AH64&lt;&gt;0,_xll.xSPRDOPT($BW64,$BV64,$CG64,2*LN(1+CA64/2),$BY64,$BX64,$BZ64,$AJ64,1,8)+(AJ64/365.25)*CH64/AH64,0)</f>
        <v>-1.7860639706447308</v>
      </c>
      <c r="BO64" s="137">
        <f>_xll.xSPRDOPT($BW64,$BV64,$CG64,0,$BY64,$BX64,$BZ64,$AJ64,1,0)</f>
        <v>0.96551526380579655</v>
      </c>
      <c r="BP64" s="137"/>
      <c r="BQ64" s="137"/>
      <c r="BR64" s="137"/>
      <c r="BS64" s="137"/>
      <c r="BV64" s="262">
        <v>3.4030848329048839</v>
      </c>
      <c r="BW64" s="136">
        <v>4.4020000000000001</v>
      </c>
      <c r="BX64" s="137">
        <v>0.28848083853297213</v>
      </c>
      <c r="BY64" s="137">
        <v>0.28848083853297213</v>
      </c>
      <c r="BZ64" s="137">
        <v>1</v>
      </c>
      <c r="CA64" s="137">
        <v>4.7760481058800999E-2</v>
      </c>
      <c r="CB64" s="137">
        <v>0.84437846983859632</v>
      </c>
      <c r="CC64" s="258">
        <v>-0.05</v>
      </c>
      <c r="CD64" s="258">
        <v>7.4999999999999997E-3</v>
      </c>
      <c r="CE64" s="258">
        <v>1.05</v>
      </c>
      <c r="CF64" s="258">
        <v>0</v>
      </c>
      <c r="CG64" s="258">
        <v>3.3399999999999999E-2</v>
      </c>
      <c r="CH64" s="258">
        <v>9.8237524316431823</v>
      </c>
      <c r="CI64" s="258">
        <v>3.3519999999999999</v>
      </c>
      <c r="CJ64" s="258"/>
      <c r="CK64" s="258"/>
      <c r="CL64" s="258"/>
      <c r="CM64" s="258"/>
    </row>
    <row r="65" spans="1:91" x14ac:dyDescent="0.25">
      <c r="A65" s="723"/>
      <c r="B65" s="723"/>
      <c r="D65" s="31">
        <f t="shared" si="52"/>
        <v>38579</v>
      </c>
      <c r="F65" s="28">
        <f t="shared" si="53"/>
        <v>612</v>
      </c>
      <c r="G65" s="28">
        <f t="shared" si="13"/>
        <v>514.1103357470821</v>
      </c>
      <c r="H65" s="52">
        <f t="shared" si="54"/>
        <v>3.4442159383033415</v>
      </c>
      <c r="I65" s="52">
        <f t="shared" si="55"/>
        <v>4.4420000000000002</v>
      </c>
      <c r="K65" s="52">
        <f t="shared" si="56"/>
        <v>25.114042853248566</v>
      </c>
      <c r="L65" s="135">
        <f t="shared" si="57"/>
        <v>2.4938240166250125E-6</v>
      </c>
      <c r="N65" s="131">
        <f t="shared" si="48"/>
        <v>0.28946051993952615</v>
      </c>
      <c r="O65" s="131">
        <f t="shared" si="49"/>
        <v>0.28946051993952615</v>
      </c>
      <c r="P65" s="55">
        <f t="shared" si="50"/>
        <v>0.99999999999999989</v>
      </c>
      <c r="Q65" s="135">
        <f>_xll.xSPRDOPT(I65,H65,AQ65,0,O65,N65,P65,D65-$G$5,1,0)*AH65*AU65</f>
        <v>25.114045347072583</v>
      </c>
      <c r="R65" s="135"/>
      <c r="S65" s="181">
        <f>_xll.xSPRDOPT(I65,H65,AQ65,AT65,O65,N65,P65,D65-$G$5,1,2)*AF65*(F65/(1-AR65))*AH65</f>
        <v>-16353.857795525455</v>
      </c>
      <c r="T65" s="181">
        <f>_xll.xSPRDOPT(I65,H65,AQ65,AT65,O65,N65,P65,D65-$G$5,1,1)*AF65*F65*AH65</f>
        <v>15904.126706321054</v>
      </c>
      <c r="U65" s="135"/>
      <c r="V65" s="146">
        <f t="shared" si="58"/>
        <v>9.7733886914743113</v>
      </c>
      <c r="W65" s="146"/>
      <c r="X65" s="338">
        <f t="shared" si="59"/>
        <v>0</v>
      </c>
      <c r="Y65" s="338">
        <f t="shared" si="20"/>
        <v>0</v>
      </c>
      <c r="Z65" s="338">
        <f t="shared" si="21"/>
        <v>6.008575968142706</v>
      </c>
      <c r="AA65" s="338">
        <f t="shared" si="22"/>
        <v>-3.2997152401236327E-8</v>
      </c>
      <c r="AB65" s="338">
        <f t="shared" si="60"/>
        <v>0</v>
      </c>
      <c r="AC65" s="338">
        <f t="shared" si="61"/>
        <v>6.0806701970930126</v>
      </c>
      <c r="AF65" s="138">
        <f t="shared" si="62"/>
        <v>1</v>
      </c>
      <c r="AG65" s="138">
        <f t="shared" si="63"/>
        <v>8</v>
      </c>
      <c r="AH65" s="138">
        <f t="shared" si="73"/>
        <v>31</v>
      </c>
      <c r="AI65" s="138">
        <f t="shared" si="64"/>
        <v>1323</v>
      </c>
      <c r="AJ65" s="138">
        <f t="shared" si="65"/>
        <v>1340</v>
      </c>
      <c r="AL65" s="136">
        <f t="shared" si="29"/>
        <v>3.3919999999999999</v>
      </c>
      <c r="AM65" s="258">
        <f t="shared" si="30"/>
        <v>-0.05</v>
      </c>
      <c r="AN65" s="258">
        <f t="shared" si="31"/>
        <v>7.4999999999999997E-3</v>
      </c>
      <c r="AO65" s="258">
        <f t="shared" si="32"/>
        <v>1.05</v>
      </c>
      <c r="AP65" s="258">
        <f t="shared" si="33"/>
        <v>0</v>
      </c>
      <c r="AQ65" s="136">
        <f t="shared" si="66"/>
        <v>3.3399999999999999E-2</v>
      </c>
      <c r="AR65" s="137">
        <f t="shared" si="35"/>
        <v>2.75E-2</v>
      </c>
      <c r="AS65" s="136">
        <f t="shared" si="67"/>
        <v>3.3494999999999999</v>
      </c>
      <c r="AT65" s="137">
        <f t="shared" si="68"/>
        <v>4.81861434694211E-2</v>
      </c>
      <c r="AU65" s="137">
        <f t="shared" si="38"/>
        <v>0.84004956821418653</v>
      </c>
      <c r="AV65" s="394">
        <f t="shared" si="69"/>
        <v>442.70612244887627</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2.002051115266854E-7</v>
      </c>
      <c r="BG65" s="137">
        <f>_xll.xSPRDOPT($BW65,$BV65,$CG65,0,$BY65,$BX65,$BZ65,$AJ65,1,3)*$CB65</f>
        <v>-6.0061533458005616E-7</v>
      </c>
      <c r="BH65" s="137">
        <f>IF(OR(BF65&lt;&gt;0,BG65&lt;&gt;0),_xll.xSPRDOPT($BW65,$BV65,$CG65,0,$BY65,$BX65,$BZ65,$AJ65,1,12)*$CB65,0)</f>
        <v>4.0041022305337079E-7</v>
      </c>
      <c r="BI65" s="137">
        <f>_xll.xSPRDOPT($BW65,$BV65,$CG65,2*LN(1+CA65/2),$BY65,$BX65,$BZ65,$AJ65,1,9)</f>
        <v>3.8559146327291509E-2</v>
      </c>
      <c r="BJ65" s="137">
        <f>_xll.xSPRDOPT($BW65,$BV65,$CG65,0,$BY65,$BX65,$BZ65,$AJ65,1,6)*$CB65</f>
        <v>6.065984049806206E-7</v>
      </c>
      <c r="BK65" s="137">
        <f>_xll.xSPRDOPT($BW65,$BV65,$CG65,0,$BY65,$BX65,$BZ65,$AJ65,1,5)*$CB65</f>
        <v>-7.8230942697512074E-7</v>
      </c>
      <c r="BL65" s="137">
        <f>_xll.xSPRDOPT(BW65,BV65,CG65,0,BY65,BX65,BZ65,AJ65,1,2)*CB65</f>
        <v>-0.83972118426050257</v>
      </c>
      <c r="BM65" s="137">
        <f>_xll.xSPRDOPT(BW65,BV65,CG65,0,BY65,BX65,BZ65,AJ65,1,1)*CB65</f>
        <v>0.83972118426966724</v>
      </c>
      <c r="BN65" s="137">
        <f>IF(AH65&lt;&gt;0,_xll.xSPRDOPT($BW65,$BV65,$CG65,2*LN(1+CA65/2),$BY65,$BX65,$BZ65,$AJ65,1,8)+(AJ65/365.25)*CH65/AH65,0)</f>
        <v>-1.8147925299755729</v>
      </c>
      <c r="BO65" s="137">
        <f>_xll.xSPRDOPT($BW65,$BV65,$CG65,0,$BY65,$BX65,$BZ65,$AJ65,1,0)</f>
        <v>0.96438415739423899</v>
      </c>
      <c r="BP65" s="137"/>
      <c r="BQ65" s="137"/>
      <c r="BR65" s="137"/>
      <c r="BS65" s="137"/>
      <c r="BV65" s="262">
        <v>3.4442159383033415</v>
      </c>
      <c r="BW65" s="136">
        <v>4.4420000000000002</v>
      </c>
      <c r="BX65" s="137">
        <v>0.28945062155452422</v>
      </c>
      <c r="BY65" s="137">
        <v>0.28945062155452422</v>
      </c>
      <c r="BZ65" s="137">
        <v>1</v>
      </c>
      <c r="CA65" s="137">
        <v>4.81861434694211E-2</v>
      </c>
      <c r="CB65" s="137">
        <v>0.83972110009682266</v>
      </c>
      <c r="CC65" s="258">
        <v>-0.05</v>
      </c>
      <c r="CD65" s="258">
        <v>7.4999999999999997E-3</v>
      </c>
      <c r="CE65" s="258">
        <v>1.05</v>
      </c>
      <c r="CF65" s="258">
        <v>0</v>
      </c>
      <c r="CG65" s="258">
        <v>3.3399999999999999E-2</v>
      </c>
      <c r="CH65" s="258">
        <v>9.7695671948564655</v>
      </c>
      <c r="CI65" s="258">
        <v>3.3919999999999999</v>
      </c>
      <c r="CJ65" s="258"/>
      <c r="CK65" s="258"/>
      <c r="CL65" s="258"/>
      <c r="CM65" s="258"/>
    </row>
    <row r="66" spans="1:91" x14ac:dyDescent="0.25">
      <c r="A66" s="723"/>
      <c r="B66" s="723"/>
      <c r="D66" s="31">
        <f t="shared" si="52"/>
        <v>38610</v>
      </c>
      <c r="F66" s="28">
        <f t="shared" si="53"/>
        <v>612</v>
      </c>
      <c r="G66" s="28">
        <f t="shared" si="13"/>
        <v>511.24047363609287</v>
      </c>
      <c r="H66" s="52">
        <f t="shared" si="54"/>
        <v>3.433933161953727</v>
      </c>
      <c r="I66" s="52">
        <f t="shared" si="55"/>
        <v>4.1370000000000005</v>
      </c>
      <c r="K66" s="52">
        <f t="shared" si="56"/>
        <v>16.782391738292233</v>
      </c>
      <c r="L66" s="135">
        <f t="shared" si="57"/>
        <v>1.6570664556070369E-6</v>
      </c>
      <c r="N66" s="131">
        <f t="shared" si="48"/>
        <v>0.28922221332025494</v>
      </c>
      <c r="O66" s="131">
        <f t="shared" si="49"/>
        <v>0.28922221332025494</v>
      </c>
      <c r="P66" s="55">
        <f t="shared" si="50"/>
        <v>0.99999999999999989</v>
      </c>
      <c r="Q66" s="135">
        <f>_xll.xSPRDOPT(I66,H66,AQ66,0,O66,N66,P66,D66-$G$5,1,0)*AH66*AU66</f>
        <v>16.782393395358689</v>
      </c>
      <c r="R66" s="135"/>
      <c r="S66" s="181">
        <f>_xll.xSPRDOPT(I66,H66,AQ66,AT66,O66,N66,P66,D66-$G$5,1,2)*AF66*(F66/(1-AR66))*AH66</f>
        <v>-15736.612484001063</v>
      </c>
      <c r="T66" s="181">
        <f>_xll.xSPRDOPT(I66,H66,AQ66,AT66,O66,N66,P66,D66-$G$5,1,1)*AF66*F66*AH66</f>
        <v>15303.855640691036</v>
      </c>
      <c r="U66" s="135"/>
      <c r="V66" s="146">
        <f t="shared" si="58"/>
        <v>9.4053210664522382</v>
      </c>
      <c r="W66" s="146"/>
      <c r="X66" s="338">
        <f t="shared" si="59"/>
        <v>0</v>
      </c>
      <c r="Y66" s="338">
        <f t="shared" si="20"/>
        <v>0</v>
      </c>
      <c r="Z66" s="338">
        <f t="shared" si="21"/>
        <v>4.050247438247748</v>
      </c>
      <c r="AA66" s="338">
        <f t="shared" si="22"/>
        <v>-1.4699380740181945E-8</v>
      </c>
      <c r="AB66" s="338">
        <f t="shared" si="60"/>
        <v>0</v>
      </c>
      <c r="AC66" s="338">
        <f t="shared" si="61"/>
        <v>4.0992723720767374</v>
      </c>
      <c r="AF66" s="138">
        <f t="shared" si="62"/>
        <v>1</v>
      </c>
      <c r="AG66" s="138">
        <f t="shared" si="63"/>
        <v>9</v>
      </c>
      <c r="AH66" s="138">
        <f t="shared" si="73"/>
        <v>30</v>
      </c>
      <c r="AI66" s="138">
        <f t="shared" si="64"/>
        <v>1354</v>
      </c>
      <c r="AJ66" s="138">
        <f t="shared" si="65"/>
        <v>1371</v>
      </c>
      <c r="AL66" s="136">
        <f t="shared" si="29"/>
        <v>3.387</v>
      </c>
      <c r="AM66" s="258">
        <f t="shared" si="30"/>
        <v>-5.5E-2</v>
      </c>
      <c r="AN66" s="258">
        <f t="shared" si="31"/>
        <v>7.4999999999999997E-3</v>
      </c>
      <c r="AO66" s="258">
        <f t="shared" si="32"/>
        <v>0.75</v>
      </c>
      <c r="AP66" s="258">
        <f t="shared" si="33"/>
        <v>0</v>
      </c>
      <c r="AQ66" s="136">
        <f t="shared" si="66"/>
        <v>3.3399999999999999E-2</v>
      </c>
      <c r="AR66" s="137">
        <f t="shared" si="35"/>
        <v>2.75E-2</v>
      </c>
      <c r="AS66" s="136">
        <f t="shared" si="67"/>
        <v>3.3394999999999997</v>
      </c>
      <c r="AT66" s="137">
        <f t="shared" si="68"/>
        <v>4.8611805940590898E-2</v>
      </c>
      <c r="AU66" s="137">
        <f t="shared" si="38"/>
        <v>0.8353602510393674</v>
      </c>
      <c r="AV66" s="394">
        <f t="shared" si="69"/>
        <v>426.03372803007738</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3.9817369748739476E-7</v>
      </c>
      <c r="BG66" s="137">
        <f>_xll.xSPRDOPT($BW66,$BV66,$CG66,0,$BY66,$BX66,$BZ66,$AJ66,1,3)*$CB66</f>
        <v>-5.972605462310922E-7</v>
      </c>
      <c r="BH66" s="137">
        <f>IF(OR(BF66&lt;&gt;0,BG66&lt;&gt;0),_xll.xSPRDOPT($BW66,$BV66,$CG66,0,$BY66,$BX66,$BZ66,$AJ66,1,12)*$CB66,0)</f>
        <v>0</v>
      </c>
      <c r="BI66" s="137">
        <f>_xll.xSPRDOPT($BW66,$BV66,$CG66,2*LN(1+CA66/2),$BY66,$BX66,$BZ66,$AJ66,1,9)</f>
        <v>2.6858258475308459E-2</v>
      </c>
      <c r="BJ66" s="137">
        <f>_xll.xSPRDOPT($BW66,$BV66,$CG66,0,$BY66,$BX66,$BZ66,$AJ66,1,6)*$CB66</f>
        <v>4.266296031450043E-7</v>
      </c>
      <c r="BK66" s="137">
        <f>_xll.xSPRDOPT($BW66,$BV66,$CG66,0,$BY66,$BX66,$BZ66,$AJ66,1,5)*$CB66</f>
        <v>-5.1398582012340602E-7</v>
      </c>
      <c r="BL66" s="137">
        <f>_xll.xSPRDOPT(BW66,BV66,CG66,0,BY66,BX66,BZ66,AJ66,1,2)*CB66</f>
        <v>-0.83503084436945829</v>
      </c>
      <c r="BM66" s="137">
        <f>_xll.xSPRDOPT(BW66,BV66,CG66,0,BY66,BX66,BZ66,AJ66,1,1)*CB66</f>
        <v>0.83503084437553399</v>
      </c>
      <c r="BN66" s="137">
        <f>IF(AH66&lt;&gt;0,_xll.xSPRDOPT($BW66,$BV66,$CG66,2*LN(1+CA66/2),$BY66,$BX66,$BZ66,$AJ66,1,8)+(AJ66/365.25)*CH66/AH66,0)</f>
        <v>-0.92265361482667307</v>
      </c>
      <c r="BO66" s="137">
        <f>_xll.xSPRDOPT($BW66,$BV66,$CG66,0,$BY66,$BX66,$BZ66,$AJ66,1,0)</f>
        <v>0.6696669041359915</v>
      </c>
      <c r="BP66" s="137"/>
      <c r="BQ66" s="137"/>
      <c r="BR66" s="137"/>
      <c r="BS66" s="137"/>
      <c r="BV66" s="262">
        <v>3.433933161953727</v>
      </c>
      <c r="BW66" s="136">
        <v>4.1370000000000005</v>
      </c>
      <c r="BX66" s="137">
        <v>0.28921304831868189</v>
      </c>
      <c r="BY66" s="137">
        <v>0.28921304831868189</v>
      </c>
      <c r="BZ66" s="137">
        <v>1</v>
      </c>
      <c r="CA66" s="137">
        <v>4.8611805940590898E-2</v>
      </c>
      <c r="CB66" s="137">
        <v>0.8350307660330849</v>
      </c>
      <c r="CC66" s="258">
        <v>-5.5E-2</v>
      </c>
      <c r="CD66" s="258">
        <v>7.4999999999999997E-3</v>
      </c>
      <c r="CE66" s="258">
        <v>0.75</v>
      </c>
      <c r="CF66" s="258">
        <v>0</v>
      </c>
      <c r="CG66" s="258">
        <v>3.3399999999999999E-2</v>
      </c>
      <c r="CH66" s="258">
        <v>9.401611394766503</v>
      </c>
      <c r="CI66" s="258">
        <v>3.387</v>
      </c>
      <c r="CJ66" s="258"/>
      <c r="CK66" s="258"/>
      <c r="CL66" s="258"/>
      <c r="CM66" s="258"/>
    </row>
    <row r="67" spans="1:91" x14ac:dyDescent="0.25">
      <c r="A67" s="723"/>
      <c r="B67" s="723"/>
      <c r="D67" s="31">
        <f t="shared" si="52"/>
        <v>38640</v>
      </c>
      <c r="F67" s="28">
        <f t="shared" si="53"/>
        <v>612</v>
      </c>
      <c r="G67" s="28">
        <f t="shared" si="13"/>
        <v>508.47215544879356</v>
      </c>
      <c r="H67" s="52">
        <f t="shared" si="54"/>
        <v>3.459640102827763</v>
      </c>
      <c r="I67" s="52">
        <f t="shared" si="55"/>
        <v>3.8620000000000001</v>
      </c>
      <c r="K67" s="52">
        <f t="shared" si="56"/>
        <v>9.5029099017472394</v>
      </c>
      <c r="L67" s="135">
        <f t="shared" si="57"/>
        <v>2.8860735952207506E-6</v>
      </c>
      <c r="N67" s="131">
        <f t="shared" si="48"/>
        <v>0.29036621737544821</v>
      </c>
      <c r="O67" s="131">
        <f t="shared" si="49"/>
        <v>0.29036621737544821</v>
      </c>
      <c r="P67" s="55">
        <f t="shared" si="50"/>
        <v>0.99999999999999989</v>
      </c>
      <c r="Q67" s="135">
        <f>_xll.xSPRDOPT(I67,H67,AQ67,0,O67,N67,P67,D67-$G$5,1,0)*AH67*AU67</f>
        <v>9.5029127878208346</v>
      </c>
      <c r="R67" s="135"/>
      <c r="S67" s="181">
        <f>_xll.xSPRDOPT(I67,H67,AQ67,AT67,O67,N67,P67,D67-$G$5,1,2)*AF67*(F67/(1-AR67))*AH67</f>
        <v>-16171.738706304908</v>
      </c>
      <c r="T67" s="181">
        <f>_xll.xSPRDOPT(I67,H67,AQ67,AT67,O67,N67,P67,D67-$G$5,1,1)*AF67*F67*AH67</f>
        <v>15727.015892019564</v>
      </c>
      <c r="U67" s="135"/>
      <c r="V67" s="146">
        <f t="shared" si="58"/>
        <v>9.6662052257155224</v>
      </c>
      <c r="W67" s="146"/>
      <c r="X67" s="338">
        <f t="shared" si="59"/>
        <v>0</v>
      </c>
      <c r="Y67" s="338">
        <f t="shared" si="20"/>
        <v>0</v>
      </c>
      <c r="Z67" s="338">
        <f t="shared" si="21"/>
        <v>2.3119183259364036</v>
      </c>
      <c r="AA67" s="338">
        <f t="shared" si="22"/>
        <v>7.0545013497047711E-7</v>
      </c>
      <c r="AB67" s="338">
        <f t="shared" si="60"/>
        <v>0</v>
      </c>
      <c r="AC67" s="338">
        <f t="shared" si="61"/>
        <v>2.3401498419014275</v>
      </c>
      <c r="AF67" s="138">
        <f t="shared" si="62"/>
        <v>1</v>
      </c>
      <c r="AG67" s="138">
        <f t="shared" si="63"/>
        <v>10</v>
      </c>
      <c r="AH67" s="138">
        <f t="shared" si="73"/>
        <v>31</v>
      </c>
      <c r="AI67" s="138">
        <f t="shared" si="64"/>
        <v>1384</v>
      </c>
      <c r="AJ67" s="138">
        <f t="shared" si="65"/>
        <v>1401</v>
      </c>
      <c r="AL67" s="136">
        <f t="shared" si="29"/>
        <v>3.4119999999999999</v>
      </c>
      <c r="AM67" s="258">
        <f t="shared" si="30"/>
        <v>-5.5E-2</v>
      </c>
      <c r="AN67" s="258">
        <f t="shared" si="31"/>
        <v>7.4999999999999997E-3</v>
      </c>
      <c r="AO67" s="258">
        <f t="shared" si="32"/>
        <v>0.45</v>
      </c>
      <c r="AP67" s="258">
        <f t="shared" si="33"/>
        <v>0</v>
      </c>
      <c r="AQ67" s="136">
        <f t="shared" si="66"/>
        <v>3.3399999999999999E-2</v>
      </c>
      <c r="AR67" s="137">
        <f t="shared" si="35"/>
        <v>2.75E-2</v>
      </c>
      <c r="AS67" s="136">
        <f t="shared" si="67"/>
        <v>3.3644999999999996</v>
      </c>
      <c r="AT67" s="137">
        <f t="shared" si="68"/>
        <v>4.9009151354921801E-2</v>
      </c>
      <c r="AU67" s="137">
        <f t="shared" si="38"/>
        <v>0.83083685530848617</v>
      </c>
      <c r="AV67" s="394">
        <f t="shared" si="69"/>
        <v>437.85102274757219</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-1.9800818170205257E-7</v>
      </c>
      <c r="BG67" s="137">
        <f>_xll.xSPRDOPT($BW67,$BV67,$CG67,0,$BY67,$BX67,$BZ67,$AJ67,1,3)*$CB67</f>
        <v>0</v>
      </c>
      <c r="BH67" s="137">
        <f>IF(OR(BF67&lt;&gt;0,BG67&lt;&gt;0),_xll.xSPRDOPT($BW67,$BV67,$CG67,0,$BY67,$BX67,$BZ67,$AJ67,1,12)*$CB67,0)</f>
        <v>-4.9502045425513141E-7</v>
      </c>
      <c r="BI67" s="137">
        <f>_xll.xSPRDOPT($BW67,$BV67,$CG67,2*LN(1+CA67/2),$BY67,$BX67,$BZ67,$AJ67,1,9)</f>
        <v>1.4836393431517873E-2</v>
      </c>
      <c r="BJ67" s="137">
        <f>_xll.xSPRDOPT($BW67,$BV67,$CG67,0,$BY67,$BX67,$BZ67,$AJ67,1,6)*$CB67</f>
        <v>-2.8112999025508764E-5</v>
      </c>
      <c r="BK67" s="137">
        <f>_xll.xSPRDOPT($BW67,$BV67,$CG67,0,$BY67,$BX67,$BZ67,$AJ67,1,5)*$CB67</f>
        <v>3.1382562536569029E-5</v>
      </c>
      <c r="BL67" s="137">
        <f>_xll.xSPRDOPT(BW67,BV67,CG67,0,BY67,BX67,BZ67,AJ67,1,2)*CB67</f>
        <v>-0.8305057340904658</v>
      </c>
      <c r="BM67" s="137">
        <f>_xll.xSPRDOPT(BW67,BV67,CG67,0,BY67,BX67,BZ67,AJ67,1,1)*CB67</f>
        <v>0.8305057340980192</v>
      </c>
      <c r="BN67" s="137">
        <f>IF(AH67&lt;&gt;0,_xll.xSPRDOPT($BW67,$BV67,$CG67,2*LN(1+CA67/2),$BY67,$BX67,$BZ67,$AJ67,1,8)+(AJ67/365.25)*CH67/AH67,0)</f>
        <v>2.019665727731712E-2</v>
      </c>
      <c r="BO67" s="137">
        <f>_xll.xSPRDOPT($BW67,$BV67,$CG67,0,$BY67,$BX67,$BZ67,$AJ67,1,0)</f>
        <v>0.36896001040839133</v>
      </c>
      <c r="BP67" s="137"/>
      <c r="BQ67" s="137"/>
      <c r="BR67" s="137"/>
      <c r="BS67" s="137"/>
      <c r="BV67" s="262">
        <v>3.459640102827763</v>
      </c>
      <c r="BW67" s="136">
        <v>3.8620000000000001</v>
      </c>
      <c r="BX67" s="137">
        <v>0.29035484467953515</v>
      </c>
      <c r="BY67" s="137">
        <v>0.29035484467953515</v>
      </c>
      <c r="BZ67" s="137">
        <v>1</v>
      </c>
      <c r="CA67" s="137">
        <v>4.9009151354921801E-2</v>
      </c>
      <c r="CB67" s="137">
        <v>0.83050650854564589</v>
      </c>
      <c r="CC67" s="258">
        <v>-5.5E-2</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52"/>
        <v>38671</v>
      </c>
      <c r="F68" s="28">
        <f t="shared" si="53"/>
        <v>612</v>
      </c>
      <c r="G68" s="28">
        <f t="shared" si="13"/>
        <v>505.64713882501405</v>
      </c>
      <c r="H68" s="52">
        <f t="shared" si="54"/>
        <v>3.6287917737789206</v>
      </c>
      <c r="I68" s="52">
        <f t="shared" si="55"/>
        <v>4.0140000000000002</v>
      </c>
      <c r="K68" s="52">
        <f t="shared" si="56"/>
        <v>8.720138382538833</v>
      </c>
      <c r="L68" s="135">
        <f t="shared" si="57"/>
        <v>5.7375970410333821E-6</v>
      </c>
      <c r="N68" s="131">
        <f t="shared" si="48"/>
        <v>0.29510383973065518</v>
      </c>
      <c r="O68" s="131">
        <f t="shared" si="49"/>
        <v>0.29510383973065518</v>
      </c>
      <c r="P68" s="55">
        <f t="shared" si="50"/>
        <v>0.99999999999999989</v>
      </c>
      <c r="Q68" s="135">
        <f>_xll.xSPRDOPT(I68,H68,AQ68,0,O68,N68,P68,D68-$G$5,1,0)*AH68*AU68</f>
        <v>8.720144120135874</v>
      </c>
      <c r="R68" s="135"/>
      <c r="S68" s="181">
        <f>_xll.xSPRDOPT(I68,H68,AQ68,AT68,O68,N68,P68,D68-$G$5,1,2)*AF68*(F68/(1-AR68))*AH68</f>
        <v>-15561.747852380906</v>
      </c>
      <c r="T68" s="181">
        <f>_xll.xSPRDOPT(I68,H68,AQ68,AT68,O68,N68,P68,D68-$G$5,1,1)*AF68*F68*AH68</f>
        <v>15133.799786373638</v>
      </c>
      <c r="U68" s="135"/>
      <c r="V68" s="146">
        <f t="shared" si="58"/>
        <v>9.3024201569131257</v>
      </c>
      <c r="W68" s="146"/>
      <c r="X68" s="338">
        <f t="shared" si="59"/>
        <v>0</v>
      </c>
      <c r="Y68" s="338">
        <f t="shared" si="20"/>
        <v>0</v>
      </c>
      <c r="Z68" s="338">
        <f t="shared" si="21"/>
        <v>2.1378149724830662</v>
      </c>
      <c r="AA68" s="338">
        <f t="shared" si="22"/>
        <v>3.4557274678677531E-6</v>
      </c>
      <c r="AB68" s="338">
        <f t="shared" si="60"/>
        <v>0</v>
      </c>
      <c r="AC68" s="338">
        <f t="shared" si="61"/>
        <v>2.1641573963047365</v>
      </c>
      <c r="AF68" s="138">
        <f t="shared" si="62"/>
        <v>1</v>
      </c>
      <c r="AG68" s="138">
        <f t="shared" si="63"/>
        <v>11</v>
      </c>
      <c r="AH68" s="138">
        <f t="shared" si="73"/>
        <v>30</v>
      </c>
      <c r="AI68" s="138">
        <f t="shared" si="64"/>
        <v>1415</v>
      </c>
      <c r="AJ68" s="138">
        <f t="shared" si="65"/>
        <v>1432</v>
      </c>
      <c r="AL68" s="136">
        <f t="shared" si="29"/>
        <v>3.5640000000000001</v>
      </c>
      <c r="AM68" s="258">
        <f t="shared" si="30"/>
        <v>-4.7500000000000001E-2</v>
      </c>
      <c r="AN68" s="258">
        <f t="shared" si="31"/>
        <v>1.2500000000000001E-2</v>
      </c>
      <c r="AO68" s="258">
        <f t="shared" si="32"/>
        <v>0.45</v>
      </c>
      <c r="AP68" s="258">
        <f t="shared" si="33"/>
        <v>0</v>
      </c>
      <c r="AQ68" s="136">
        <f t="shared" si="66"/>
        <v>3.3399999999999999E-2</v>
      </c>
      <c r="AR68" s="137">
        <f t="shared" si="35"/>
        <v>2.75E-2</v>
      </c>
      <c r="AS68" s="136">
        <f t="shared" si="67"/>
        <v>3.5290000000000004</v>
      </c>
      <c r="AT68" s="137">
        <f t="shared" si="68"/>
        <v>4.9392017987160801E-2</v>
      </c>
      <c r="AU68" s="137">
        <f t="shared" si="38"/>
        <v>0.82622081507355238</v>
      </c>
      <c r="AV68" s="394">
        <f t="shared" si="69"/>
        <v>421.37261568751171</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2.9536119778044776E-7</v>
      </c>
      <c r="BG68" s="137">
        <f>_xll.xSPRDOPT($BW68,$BV68,$CG68,0,$BY68,$BX68,$BZ68,$AJ68,1,3)*$CB68</f>
        <v>-1.9690746518696518E-7</v>
      </c>
      <c r="BH68" s="137">
        <f>IF(OR(BF68&lt;&gt;0,BG68&lt;&gt;0),_xll.xSPRDOPT($BW68,$BV68,$CG68,0,$BY68,$BX68,$BZ68,$AJ68,1,12)*$CB68,0)</f>
        <v>6.8917612815437812E-7</v>
      </c>
      <c r="BI68" s="137">
        <f>_xll.xSPRDOPT($BW68,$BV68,$CG68,2*LN(1+CA68/2),$BY68,$BX68,$BZ68,$AJ68,1,9)</f>
        <v>1.4176414645959329E-2</v>
      </c>
      <c r="BJ68" s="137">
        <f>_xll.xSPRDOPT($BW68,$BV68,$CG68,0,$BY68,$BX68,$BZ68,$AJ68,1,6)*$CB68</f>
        <v>-8.5281656607487795E-5</v>
      </c>
      <c r="BK68" s="137">
        <f>_xll.xSPRDOPT($BW68,$BV68,$CG68,0,$BY68,$BX68,$BZ68,$AJ68,1,5)*$CB68</f>
        <v>9.4334585558032192E-5</v>
      </c>
      <c r="BL68" s="137">
        <f>_xll.xSPRDOPT(BW68,BV68,CG68,0,BY68,BX68,BZ68,AJ68,1,2)*CB68</f>
        <v>-0.82588732304709789</v>
      </c>
      <c r="BM68" s="137">
        <f>_xll.xSPRDOPT(BW68,BV68,CG68,0,BY68,BX68,BZ68,AJ68,1,1)*CB68</f>
        <v>0.82588732304484447</v>
      </c>
      <c r="BN68" s="137">
        <f>IF(AH68&lt;&gt;0,_xll.xSPRDOPT($BW68,$BV68,$CG68,2*LN(1+CA68/2),$BY68,$BX68,$BZ68,$AJ68,1,8)+(AJ68/365.25)*CH68/AH68,0)</f>
        <v>7.606525955669885E-2</v>
      </c>
      <c r="BO68" s="137">
        <f>_xll.xSPRDOPT($BW68,$BV68,$CG68,0,$BY68,$BX68,$BZ68,$AJ68,1,0)</f>
        <v>0.35180846086702783</v>
      </c>
      <c r="BP68" s="137"/>
      <c r="BQ68" s="137"/>
      <c r="BR68" s="137"/>
      <c r="BS68" s="137"/>
      <c r="BV68" s="262">
        <v>3.6287917737789206</v>
      </c>
      <c r="BW68" s="136">
        <v>4.0140000000000002</v>
      </c>
      <c r="BX68" s="137">
        <v>0.29508304861969564</v>
      </c>
      <c r="BY68" s="137">
        <v>0.29508304861969564</v>
      </c>
      <c r="BZ68" s="137">
        <v>1</v>
      </c>
      <c r="CA68" s="137">
        <v>4.9392017987160801E-2</v>
      </c>
      <c r="CB68" s="137">
        <v>0.82588976886354881</v>
      </c>
      <c r="CC68" s="258">
        <v>-4.7500000000000001E-2</v>
      </c>
      <c r="CD68" s="258">
        <v>1.2500000000000001E-2</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52"/>
        <v>38701</v>
      </c>
      <c r="F69" s="28">
        <f t="shared" si="53"/>
        <v>612</v>
      </c>
      <c r="G69" s="28">
        <f t="shared" si="13"/>
        <v>502.89795746194795</v>
      </c>
      <c r="H69" s="52">
        <f t="shared" si="54"/>
        <v>3.7758354755784063</v>
      </c>
      <c r="I69" s="52">
        <f t="shared" si="55"/>
        <v>4.1070000000000002</v>
      </c>
      <c r="K69" s="52">
        <f t="shared" si="56"/>
        <v>7.5851312176857606</v>
      </c>
      <c r="L69" s="135">
        <f t="shared" si="57"/>
        <v>2.7161927819818743E-5</v>
      </c>
      <c r="N69" s="131">
        <f t="shared" si="48"/>
        <v>0.30162191373118435</v>
      </c>
      <c r="O69" s="131">
        <f t="shared" si="49"/>
        <v>0.30162191373118435</v>
      </c>
      <c r="P69" s="55">
        <f t="shared" si="50"/>
        <v>1</v>
      </c>
      <c r="Q69" s="135">
        <f>_xll.xSPRDOPT(I69,H69,AQ69,0,O69,N69,P69,D69-$G$5,1,0)*AH69*AU69</f>
        <v>7.5851583796135804</v>
      </c>
      <c r="R69" s="135"/>
      <c r="S69" s="181">
        <f>_xll.xSPRDOPT(I69,H69,AQ69,AT69,O69,N69,P69,D69-$G$5,1,2)*AF69*(F69/(1-AR69))*AH69</f>
        <v>-15991.341188257551</v>
      </c>
      <c r="T69" s="181">
        <f>_xll.xSPRDOPT(I69,H69,AQ69,AT69,O69,N69,P69,D69-$G$5,1,1)*AF69*F69*AH69</f>
        <v>15551.579305287136</v>
      </c>
      <c r="U69" s="135"/>
      <c r="V69" s="146">
        <f t="shared" si="58"/>
        <v>9.5602380825155908</v>
      </c>
      <c r="W69" s="146"/>
      <c r="X69" s="338">
        <f t="shared" si="59"/>
        <v>0</v>
      </c>
      <c r="Y69" s="338">
        <f t="shared" si="20"/>
        <v>0</v>
      </c>
      <c r="Z69" s="338">
        <f t="shared" si="21"/>
        <v>1.8730487059589385</v>
      </c>
      <c r="AA69" s="338">
        <f t="shared" si="22"/>
        <v>3.5800658971887673E-5</v>
      </c>
      <c r="AB69" s="338">
        <f t="shared" si="60"/>
        <v>0</v>
      </c>
      <c r="AC69" s="338">
        <f t="shared" si="61"/>
        <v>1.8965936251272026</v>
      </c>
      <c r="AF69" s="138">
        <f t="shared" si="62"/>
        <v>1</v>
      </c>
      <c r="AG69" s="138">
        <f t="shared" si="63"/>
        <v>12</v>
      </c>
      <c r="AH69" s="138">
        <f t="shared" si="73"/>
        <v>31</v>
      </c>
      <c r="AI69" s="138">
        <f t="shared" si="64"/>
        <v>1445</v>
      </c>
      <c r="AJ69" s="138">
        <f t="shared" si="65"/>
        <v>1462</v>
      </c>
      <c r="AL69" s="136">
        <f t="shared" si="29"/>
        <v>3.7069999999999999</v>
      </c>
      <c r="AM69" s="258">
        <f t="shared" si="30"/>
        <v>-4.7500000000000001E-2</v>
      </c>
      <c r="AN69" s="258">
        <f t="shared" si="31"/>
        <v>1.2500000000000001E-2</v>
      </c>
      <c r="AO69" s="258">
        <f t="shared" si="32"/>
        <v>0.4</v>
      </c>
      <c r="AP69" s="258">
        <f t="shared" si="33"/>
        <v>0</v>
      </c>
      <c r="AQ69" s="136">
        <f t="shared" si="66"/>
        <v>3.3399999999999999E-2</v>
      </c>
      <c r="AR69" s="137">
        <f t="shared" si="35"/>
        <v>2.75E-2</v>
      </c>
      <c r="AS69" s="136">
        <f t="shared" si="67"/>
        <v>3.6720000000000002</v>
      </c>
      <c r="AT69" s="137">
        <f t="shared" si="68"/>
        <v>4.97625341294907E-2</v>
      </c>
      <c r="AU69" s="137">
        <f t="shared" si="38"/>
        <v>0.82172868866331361</v>
      </c>
      <c r="AV69" s="394">
        <f t="shared" si="69"/>
        <v>433.05101892556627</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-3.9167261270509512E-7</v>
      </c>
      <c r="BG69" s="137">
        <f>_xll.xSPRDOPT($BW69,$BV69,$CG69,0,$BY69,$BX69,$BZ69,$AJ69,1,3)*$CB69</f>
        <v>-8.8126337858646398E-7</v>
      </c>
      <c r="BH69" s="137">
        <f>IF(OR(BF69&lt;&gt;0,BG69&lt;&gt;0),_xll.xSPRDOPT($BW69,$BV69,$CG69,0,$BY69,$BX69,$BZ69,$AJ69,1,12)*$CB69,0)</f>
        <v>1.4198132210559698E-6</v>
      </c>
      <c r="BI69" s="137">
        <f>_xll.xSPRDOPT($BW69,$BV69,$CG69,2*LN(1+CA69/2),$BY69,$BX69,$BZ69,$AJ69,1,9)</f>
        <v>1.2020012647612311E-2</v>
      </c>
      <c r="BJ69" s="137">
        <f>_xll.xSPRDOPT($BW69,$BV69,$CG69,0,$BY69,$BX69,$BZ69,$AJ69,1,6)*$CB69</f>
        <v>-6.4930446421027944E-4</v>
      </c>
      <c r="BK69" s="137">
        <f>_xll.xSPRDOPT($BW69,$BV69,$CG69,0,$BY69,$BX69,$BZ69,$AJ69,1,5)*$CB69</f>
        <v>7.0625254610841119E-4</v>
      </c>
      <c r="BL69" s="137">
        <f>_xll.xSPRDOPT(BW69,BV69,CG69,0,BY69,BX69,BZ69,AJ69,1,2)*CB69</f>
        <v>-0.82137704189134797</v>
      </c>
      <c r="BM69" s="137">
        <f>_xll.xSPRDOPT(BW69,BV69,CG69,0,BY69,BX69,BZ69,AJ69,1,1)*CB69</f>
        <v>0.82137704187640681</v>
      </c>
      <c r="BN69" s="137">
        <f>IF(AH69&lt;&gt;0,_xll.xSPRDOPT($BW69,$BV69,$CG69,2*LN(1+CA69/2),$BY69,$BX69,$BZ69,$AJ69,1,8)+(AJ69/365.25)*CH69/AH69,0)</f>
        <v>0.25492042686455763</v>
      </c>
      <c r="BO69" s="137">
        <f>_xll.xSPRDOPT($BW69,$BV69,$CG69,0,$BY69,$BX69,$BZ69,$AJ69,1,0)</f>
        <v>0.29776560989011436</v>
      </c>
      <c r="BP69" s="137"/>
      <c r="BQ69" s="137"/>
      <c r="BR69" s="137"/>
      <c r="BS69" s="137"/>
      <c r="BV69" s="262">
        <v>3.7758354755784063</v>
      </c>
      <c r="BW69" s="136">
        <v>4.1070000000000002</v>
      </c>
      <c r="BX69" s="137">
        <v>0.30158877782867977</v>
      </c>
      <c r="BY69" s="137">
        <v>0.30158877782867977</v>
      </c>
      <c r="BZ69" s="137">
        <v>1</v>
      </c>
      <c r="CA69" s="137">
        <v>4.97625341294907E-2</v>
      </c>
      <c r="CB69" s="137">
        <v>0.82139700307971564</v>
      </c>
      <c r="CC69" s="258">
        <v>-4.7500000000000001E-2</v>
      </c>
      <c r="CD69" s="258">
        <v>1.2500000000000001E-2</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52"/>
        <v>38732</v>
      </c>
      <c r="F70" s="28">
        <f t="shared" si="53"/>
        <v>612</v>
      </c>
      <c r="G70" s="28">
        <f t="shared" si="13"/>
        <v>500.08463114884734</v>
      </c>
      <c r="H70" s="52">
        <f t="shared" si="54"/>
        <v>3.8323907455012853</v>
      </c>
      <c r="I70" s="52">
        <f t="shared" si="55"/>
        <v>4.1120000000000001</v>
      </c>
      <c r="K70" s="52">
        <f t="shared" si="56"/>
        <v>6.2367473706929673</v>
      </c>
      <c r="L70" s="135">
        <f t="shared" si="57"/>
        <v>8.9083167259751406E-5</v>
      </c>
      <c r="N70" s="131">
        <f t="shared" si="48"/>
        <v>0.30128576852292338</v>
      </c>
      <c r="O70" s="131">
        <f t="shared" si="49"/>
        <v>0.30128576852292338</v>
      </c>
      <c r="P70" s="55">
        <f t="shared" si="50"/>
        <v>0.99999999999999978</v>
      </c>
      <c r="Q70" s="135">
        <f>_xll.xSPRDOPT(I70,H70,AQ70,0,O70,N70,P70,D70-$G$5,1,0)*AH70*AU70</f>
        <v>6.236836453860227</v>
      </c>
      <c r="R70" s="135"/>
      <c r="S70" s="181">
        <f>_xll.xSPRDOPT(I70,H70,AQ70,AT70,O70,N70,P70,D70-$G$5,1,2)*AF70*(F70/(1-AR70))*AH70</f>
        <v>-15899.846029482231</v>
      </c>
      <c r="T70" s="181">
        <f>_xll.xSPRDOPT(I70,H70,AQ70,AT70,O70,N70,P70,D70-$G$5,1,1)*AF70*F70*AH70</f>
        <v>15462.600263844022</v>
      </c>
      <c r="U70" s="135"/>
      <c r="V70" s="146">
        <f t="shared" si="58"/>
        <v>9.5067559218546336</v>
      </c>
      <c r="W70" s="146"/>
      <c r="X70" s="338">
        <f t="shared" si="59"/>
        <v>0</v>
      </c>
      <c r="Y70" s="338">
        <f t="shared" si="20"/>
        <v>0</v>
      </c>
      <c r="Z70" s="338">
        <f t="shared" si="21"/>
        <v>1.5507190714842396</v>
      </c>
      <c r="AA70" s="338">
        <f t="shared" si="22"/>
        <v>7.3414119073365113E-5</v>
      </c>
      <c r="AB70" s="338">
        <f t="shared" si="60"/>
        <v>0</v>
      </c>
      <c r="AC70" s="338">
        <f t="shared" si="61"/>
        <v>1.5707781639137293</v>
      </c>
      <c r="AF70" s="138">
        <f t="shared" si="62"/>
        <v>1</v>
      </c>
      <c r="AG70" s="138">
        <f t="shared" si="63"/>
        <v>1</v>
      </c>
      <c r="AH70" s="138">
        <f t="shared" si="73"/>
        <v>31</v>
      </c>
      <c r="AI70" s="138">
        <f t="shared" si="64"/>
        <v>1476</v>
      </c>
      <c r="AJ70" s="138">
        <f t="shared" si="65"/>
        <v>1493</v>
      </c>
      <c r="AL70" s="136">
        <f t="shared" si="29"/>
        <v>3.762</v>
      </c>
      <c r="AM70" s="258">
        <f t="shared" si="30"/>
        <v>-4.7500000000000001E-2</v>
      </c>
      <c r="AN70" s="258">
        <f t="shared" si="31"/>
        <v>1.2500000000000001E-2</v>
      </c>
      <c r="AO70" s="258">
        <f t="shared" si="32"/>
        <v>0.35</v>
      </c>
      <c r="AP70" s="258">
        <f t="shared" si="33"/>
        <v>0</v>
      </c>
      <c r="AQ70" s="136">
        <f t="shared" si="66"/>
        <v>3.3399999999999999E-2</v>
      </c>
      <c r="AR70" s="137">
        <f t="shared" si="35"/>
        <v>2.75E-2</v>
      </c>
      <c r="AS70" s="136">
        <f t="shared" si="67"/>
        <v>3.7270000000000003</v>
      </c>
      <c r="AT70" s="137">
        <f t="shared" si="68"/>
        <v>5.0123867010087399E-2</v>
      </c>
      <c r="AU70" s="137">
        <f t="shared" si="38"/>
        <v>0.81713175024321461</v>
      </c>
      <c r="AV70" s="394">
        <f t="shared" si="69"/>
        <v>430.62843237817413</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4.8685047335697554E-7</v>
      </c>
      <c r="BG70" s="137">
        <f>_xll.xSPRDOPT($BW70,$BV70,$CG70,0,$BY70,$BX70,$BZ70,$AJ70,1,3)*$CB70</f>
        <v>4.8685047335697554E-8</v>
      </c>
      <c r="BH70" s="137">
        <f>IF(OR(BF70&lt;&gt;0,BG70&lt;&gt;0),_xll.xSPRDOPT($BW70,$BV70,$CG70,0,$BY70,$BX70,$BZ70,$AJ70,1,12)*$CB70,0)</f>
        <v>-9.7370094671395108E-8</v>
      </c>
      <c r="BI70" s="137">
        <f>_xll.xSPRDOPT($BW70,$BV70,$CG70,2*LN(1+CA70/2),$BY70,$BX70,$BZ70,$AJ70,1,9)</f>
        <v>9.9515099595828688E-3</v>
      </c>
      <c r="BJ70" s="137">
        <f>_xll.xSPRDOPT($BW70,$BV70,$CG70,0,$BY70,$BX70,$BZ70,$AJ70,1,6)*$CB70</f>
        <v>-1.6673526913931014E-3</v>
      </c>
      <c r="BK70" s="137">
        <f>_xll.xSPRDOPT($BW70,$BV70,$CG70,0,$BY70,$BX70,$BZ70,$AJ70,1,5)*$CB70</f>
        <v>1.7890018802166777E-3</v>
      </c>
      <c r="BL70" s="137">
        <f>_xll.xSPRDOPT(BW70,BV70,CG70,0,BY70,BX70,BZ70,AJ70,1,2)*CB70</f>
        <v>-0.81674674661990143</v>
      </c>
      <c r="BM70" s="137">
        <f>_xll.xSPRDOPT(BW70,BV70,CG70,0,BY70,BX70,BZ70,AJ70,1,1)*CB70</f>
        <v>0.81674674662844449</v>
      </c>
      <c r="BN70" s="137">
        <f>IF(AH70&lt;&gt;0,_xll.xSPRDOPT($BW70,$BV70,$CG70,2*LN(1+CA70/2),$BY70,$BX70,$BZ70,$AJ70,1,8)+(AJ70/365.25)*CH70/AH70,0)</f>
        <v>0.43099101575393128</v>
      </c>
      <c r="BO70" s="137">
        <f>_xll.xSPRDOPT($BW70,$BV70,$CG70,0,$BY70,$BX70,$BZ70,$AJ70,1,0)</f>
        <v>0.2462128116614454</v>
      </c>
      <c r="BP70" s="137"/>
      <c r="BQ70" s="137"/>
      <c r="BR70" s="137"/>
      <c r="BS70" s="137"/>
      <c r="BV70" s="262">
        <v>3.8323907455012853</v>
      </c>
      <c r="BW70" s="136">
        <v>4.1120000000000001</v>
      </c>
      <c r="BX70" s="137">
        <v>0.30125395899246143</v>
      </c>
      <c r="BY70" s="137">
        <v>0.30125395899246143</v>
      </c>
      <c r="BZ70" s="137">
        <v>1</v>
      </c>
      <c r="CA70" s="137">
        <v>5.0123867010087399E-2</v>
      </c>
      <c r="CB70" s="137">
        <v>0.81679955512122238</v>
      </c>
      <c r="CC70" s="258">
        <v>-4.7500000000000001E-2</v>
      </c>
      <c r="CD70" s="258">
        <v>1.2500000000000001E-2</v>
      </c>
      <c r="CE70" s="258">
        <v>0.35</v>
      </c>
      <c r="CF70" s="258">
        <v>0</v>
      </c>
      <c r="CG70" s="258">
        <v>3.3399999999999999E-2</v>
      </c>
      <c r="CH70" s="258">
        <v>9.5028910641468389</v>
      </c>
      <c r="CI70" s="258">
        <v>3.762</v>
      </c>
      <c r="CJ70" s="258"/>
      <c r="CK70" s="258"/>
      <c r="CL70" s="258"/>
      <c r="CM70" s="258"/>
    </row>
    <row r="71" spans="1:91" x14ac:dyDescent="0.25">
      <c r="A71" s="723"/>
      <c r="B71" s="723"/>
      <c r="D71" s="31">
        <f t="shared" si="52"/>
        <v>38763</v>
      </c>
      <c r="F71" s="28">
        <f t="shared" si="53"/>
        <v>612</v>
      </c>
      <c r="G71" s="28">
        <f t="shared" si="13"/>
        <v>497.33649912802707</v>
      </c>
      <c r="H71" s="52">
        <f t="shared" si="54"/>
        <v>3.7449871465295632</v>
      </c>
      <c r="I71" s="52">
        <f t="shared" si="55"/>
        <v>4.0270000000000001</v>
      </c>
      <c r="K71" s="52">
        <f t="shared" si="56"/>
        <v>5.6569262959641433</v>
      </c>
      <c r="L71" s="135">
        <f t="shared" si="57"/>
        <v>6.4419561685902238E-5</v>
      </c>
      <c r="N71" s="131">
        <f t="shared" si="48"/>
        <v>0.29475895276765796</v>
      </c>
      <c r="O71" s="131">
        <f t="shared" si="49"/>
        <v>0.29475895276765796</v>
      </c>
      <c r="P71" s="55">
        <f t="shared" si="50"/>
        <v>1</v>
      </c>
      <c r="Q71" s="135">
        <f>_xll.xSPRDOPT(I71,H71,AQ71,0,O71,N71,P71,D71-$G$5,1,0)*AH71*AU71</f>
        <v>5.6569907155258292</v>
      </c>
      <c r="R71" s="135"/>
      <c r="S71" s="181">
        <f>_xll.xSPRDOPT(I71,H71,AQ71,AT71,O71,N71,P71,D71-$G$5,1,2)*AF71*(F71/(1-AR71))*AH71</f>
        <v>-14280.986307249215</v>
      </c>
      <c r="T71" s="181">
        <f>_xll.xSPRDOPT(I71,H71,AQ71,AT71,O71,N71,P71,D71-$G$5,1,1)*AF71*F71*AH71</f>
        <v>13888.259183675182</v>
      </c>
      <c r="U71" s="135"/>
      <c r="V71" s="146">
        <f t="shared" si="58"/>
        <v>8.539560240910065</v>
      </c>
      <c r="W71" s="146"/>
      <c r="X71" s="338">
        <f t="shared" si="59"/>
        <v>0</v>
      </c>
      <c r="Y71" s="338">
        <f t="shared" si="20"/>
        <v>0</v>
      </c>
      <c r="Z71" s="338">
        <f t="shared" si="21"/>
        <v>1.4154805033200228</v>
      </c>
      <c r="AA71" s="338">
        <f t="shared" si="22"/>
        <v>6.1478377514089471E-5</v>
      </c>
      <c r="AB71" s="338">
        <f t="shared" si="60"/>
        <v>0</v>
      </c>
      <c r="AC71" s="338">
        <f t="shared" si="61"/>
        <v>1.4338952291166778</v>
      </c>
      <c r="AF71" s="138">
        <f t="shared" si="62"/>
        <v>1</v>
      </c>
      <c r="AG71" s="138">
        <f t="shared" si="63"/>
        <v>2</v>
      </c>
      <c r="AH71" s="138">
        <f t="shared" si="73"/>
        <v>28</v>
      </c>
      <c r="AI71" s="138">
        <f t="shared" si="64"/>
        <v>1507</v>
      </c>
      <c r="AJ71" s="138">
        <f t="shared" si="65"/>
        <v>1524</v>
      </c>
      <c r="AL71" s="136">
        <f t="shared" si="29"/>
        <v>3.677</v>
      </c>
      <c r="AM71" s="258">
        <f t="shared" si="30"/>
        <v>-4.7500000000000001E-2</v>
      </c>
      <c r="AN71" s="258">
        <f t="shared" si="31"/>
        <v>1.2500000000000001E-2</v>
      </c>
      <c r="AO71" s="258">
        <f t="shared" si="32"/>
        <v>0.35</v>
      </c>
      <c r="AP71" s="258">
        <f t="shared" si="33"/>
        <v>0</v>
      </c>
      <c r="AQ71" s="136">
        <f t="shared" si="66"/>
        <v>3.3399999999999999E-2</v>
      </c>
      <c r="AR71" s="137">
        <f t="shared" si="35"/>
        <v>2.75E-2</v>
      </c>
      <c r="AS71" s="136">
        <f t="shared" si="67"/>
        <v>3.6420000000000003</v>
      </c>
      <c r="AT71" s="137">
        <f t="shared" si="68"/>
        <v>5.0446047479093502E-2</v>
      </c>
      <c r="AU71" s="137">
        <f t="shared" si="38"/>
        <v>0.81264133844448871</v>
      </c>
      <c r="AV71" s="394">
        <f t="shared" si="69"/>
        <v>386.81727709957664</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0</v>
      </c>
      <c r="BG71" s="137">
        <f>_xll.xSPRDOPT($BW71,$BV71,$CG71,0,$BY71,$BX71,$BZ71,$AJ71,1,3)*$CB71</f>
        <v>8.7151287173544402E-7</v>
      </c>
      <c r="BH71" s="137">
        <f>IF(OR(BF71&lt;&gt;0,BG71&lt;&gt;0),_xll.xSPRDOPT($BW71,$BV71,$CG71,0,$BY71,$BX71,$BZ71,$AJ71,1,12)*$CB71,0)</f>
        <v>0</v>
      </c>
      <c r="BI71" s="137">
        <f>_xll.xSPRDOPT($BW71,$BV71,$CG71,2*LN(1+CA71/2),$BY71,$BX71,$BZ71,$AJ71,1,9)</f>
        <v>1.0056883244585245E-2</v>
      </c>
      <c r="BJ71" s="137">
        <f>_xll.xSPRDOPT($BW71,$BV71,$CG71,0,$BY71,$BX71,$BZ71,$AJ71,1,6)*$CB71</f>
        <v>-1.6818718663169166E-3</v>
      </c>
      <c r="BK71" s="137">
        <f>_xll.xSPRDOPT($BW71,$BV71,$CG71,0,$BY71,$BX71,$BZ71,$AJ71,1,5)*$CB71</f>
        <v>1.8085237053191976E-3</v>
      </c>
      <c r="BL71" s="137">
        <f>_xll.xSPRDOPT(BW71,BV71,CG71,0,BY71,BX71,BZ71,AJ71,1,2)*CB71</f>
        <v>-0.81225482796446835</v>
      </c>
      <c r="BM71" s="137">
        <f>_xll.xSPRDOPT(BW71,BV71,CG71,0,BY71,BX71,BZ71,AJ71,1,1)*CB71</f>
        <v>0.8122548279511701</v>
      </c>
      <c r="BN71" s="137">
        <f>IF(AH71&lt;&gt;0,_xll.xSPRDOPT($BW71,$BV71,$CG71,2*LN(1+CA71/2),$BY71,$BX71,$BZ71,$AJ71,1,8)+(AJ71/365.25)*CH71/AH71,0)</f>
        <v>0.42937687182703288</v>
      </c>
      <c r="BO71" s="137">
        <f>_xll.xSPRDOPT($BW71,$BV71,$CG71,0,$BY71,$BX71,$BZ71,$AJ71,1,0)</f>
        <v>0.24861572548841915</v>
      </c>
      <c r="BP71" s="137"/>
      <c r="BQ71" s="137"/>
      <c r="BR71" s="137"/>
      <c r="BS71" s="137"/>
      <c r="BV71" s="262">
        <v>3.7449871465295632</v>
      </c>
      <c r="BW71" s="136">
        <v>4.0270000000000001</v>
      </c>
      <c r="BX71" s="137">
        <v>0.29473062571148501</v>
      </c>
      <c r="BY71" s="137">
        <v>0.29473062571148501</v>
      </c>
      <c r="BZ71" s="137">
        <v>1</v>
      </c>
      <c r="CA71" s="137">
        <v>5.0446047479093502E-2</v>
      </c>
      <c r="CB71" s="137">
        <v>0.81230887199365776</v>
      </c>
      <c r="CC71" s="258">
        <v>-4.7500000000000001E-2</v>
      </c>
      <c r="CD71" s="258">
        <v>1.2500000000000001E-2</v>
      </c>
      <c r="CE71" s="258">
        <v>0.35</v>
      </c>
      <c r="CF71" s="258">
        <v>0</v>
      </c>
      <c r="CG71" s="258">
        <v>3.3399999999999999E-2</v>
      </c>
      <c r="CH71" s="258">
        <v>8.5360665504581537</v>
      </c>
      <c r="CI71" s="258">
        <v>3.677</v>
      </c>
      <c r="CJ71" s="258"/>
      <c r="CK71" s="258"/>
      <c r="CL71" s="258"/>
      <c r="CM71" s="258"/>
    </row>
    <row r="72" spans="1:91" x14ac:dyDescent="0.25">
      <c r="A72" s="723"/>
      <c r="B72" s="723"/>
      <c r="D72" s="31">
        <f t="shared" si="52"/>
        <v>38791</v>
      </c>
      <c r="F72" s="28">
        <f t="shared" si="53"/>
        <v>612</v>
      </c>
      <c r="G72" s="28">
        <f t="shared" si="13"/>
        <v>494.84469617735999</v>
      </c>
      <c r="H72" s="52">
        <f t="shared" si="54"/>
        <v>3.6113110539845761</v>
      </c>
      <c r="I72" s="52">
        <f t="shared" si="55"/>
        <v>3.9470000000000001</v>
      </c>
      <c r="K72" s="52">
        <f t="shared" si="56"/>
        <v>7.5770727632550363</v>
      </c>
      <c r="L72" s="135">
        <f t="shared" si="57"/>
        <v>1.0799426738650197E-5</v>
      </c>
      <c r="N72" s="131">
        <f t="shared" si="48"/>
        <v>0.27891651287520841</v>
      </c>
      <c r="O72" s="131">
        <f t="shared" si="49"/>
        <v>0.27891651287520841</v>
      </c>
      <c r="P72" s="55">
        <f t="shared" si="50"/>
        <v>1.0000000000000002</v>
      </c>
      <c r="Q72" s="135">
        <f>_xll.xSPRDOPT(I72,H72,AQ72,0,O72,N72,P72,D72-$G$5,1,0)*AH72*AU72</f>
        <v>7.577083562681775</v>
      </c>
      <c r="R72" s="135"/>
      <c r="S72" s="181">
        <f>_xll.xSPRDOPT(I72,H72,AQ72,AT72,O72,N72,P72,D72-$G$5,1,2)*AF72*(F72/(1-AR72))*AH72</f>
        <v>-15731.538400732548</v>
      </c>
      <c r="T72" s="181">
        <f>_xll.xSPRDOPT(I72,H72,AQ72,AT72,O72,N72,P72,D72-$G$5,1,1)*AF72*F72*AH72</f>
        <v>15298.921094703775</v>
      </c>
      <c r="U72" s="135"/>
      <c r="V72" s="146">
        <f t="shared" si="58"/>
        <v>9.4071432168893132</v>
      </c>
      <c r="W72" s="146"/>
      <c r="X72" s="338">
        <f t="shared" si="59"/>
        <v>0</v>
      </c>
      <c r="Y72" s="338">
        <f t="shared" si="20"/>
        <v>0</v>
      </c>
      <c r="Z72" s="338">
        <f t="shared" si="21"/>
        <v>1.9074425704843074</v>
      </c>
      <c r="AA72" s="338">
        <f t="shared" si="22"/>
        <v>7.7858764539438186E-6</v>
      </c>
      <c r="AB72" s="338">
        <f t="shared" si="60"/>
        <v>0</v>
      </c>
      <c r="AC72" s="338">
        <f t="shared" si="61"/>
        <v>1.9316614787962714</v>
      </c>
      <c r="AF72" s="138">
        <f t="shared" si="62"/>
        <v>1</v>
      </c>
      <c r="AG72" s="138">
        <f t="shared" si="63"/>
        <v>3</v>
      </c>
      <c r="AH72" s="138">
        <f t="shared" si="73"/>
        <v>31</v>
      </c>
      <c r="AI72" s="138">
        <f t="shared" si="64"/>
        <v>1535</v>
      </c>
      <c r="AJ72" s="138">
        <f t="shared" si="65"/>
        <v>1552</v>
      </c>
      <c r="AL72" s="136">
        <f t="shared" si="29"/>
        <v>3.5470000000000002</v>
      </c>
      <c r="AM72" s="258">
        <f t="shared" si="30"/>
        <v>-4.7500000000000001E-2</v>
      </c>
      <c r="AN72" s="258">
        <f t="shared" si="31"/>
        <v>1.2500000000000001E-2</v>
      </c>
      <c r="AO72" s="258">
        <f t="shared" si="32"/>
        <v>0.4</v>
      </c>
      <c r="AP72" s="258">
        <f t="shared" si="33"/>
        <v>0</v>
      </c>
      <c r="AQ72" s="136">
        <f t="shared" si="66"/>
        <v>3.3399999999999999E-2</v>
      </c>
      <c r="AR72" s="137">
        <f t="shared" si="35"/>
        <v>2.75E-2</v>
      </c>
      <c r="AS72" s="136">
        <f t="shared" si="67"/>
        <v>3.5120000000000005</v>
      </c>
      <c r="AT72" s="137">
        <f t="shared" si="68"/>
        <v>5.0737049222817202E-2</v>
      </c>
      <c r="AU72" s="137">
        <f t="shared" si="38"/>
        <v>0.80856976499568622</v>
      </c>
      <c r="AV72" s="394">
        <f t="shared" si="69"/>
        <v>426.11626615272667</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-9.6349368112641296E-8</v>
      </c>
      <c r="BG72" s="137">
        <f>_xll.xSPRDOPT($BW72,$BV72,$CG72,0,$BY72,$BX72,$BZ72,$AJ72,1,3)*$CB72</f>
        <v>-3.8539747245056519E-7</v>
      </c>
      <c r="BH72" s="137">
        <f>IF(OR(BF72&lt;&gt;0,BG72&lt;&gt;0),_xll.xSPRDOPT($BW72,$BV72,$CG72,0,$BY72,$BX72,$BZ72,$AJ72,1,12)*$CB72,0)</f>
        <v>2.4087342028160323E-7</v>
      </c>
      <c r="BI72" s="137">
        <f>_xll.xSPRDOPT($BW72,$BV72,$CG72,2*LN(1+CA72/2),$BY72,$BX72,$BZ72,$AJ72,1,9)</f>
        <v>1.2240730179025112E-2</v>
      </c>
      <c r="BJ72" s="137">
        <f>_xll.xSPRDOPT($BW72,$BV72,$CG72,0,$BY72,$BX72,$BZ72,$AJ72,1,6)*$CB72</f>
        <v>-2.6055661406831611E-4</v>
      </c>
      <c r="BK72" s="137">
        <f>_xll.xSPRDOPT($BW72,$BV72,$CG72,0,$BY72,$BX72,$BZ72,$AJ72,1,5)*$CB72</f>
        <v>2.8477661128189634E-4</v>
      </c>
      <c r="BL72" s="137">
        <f>_xll.xSPRDOPT(BW72,BV72,CG72,0,BY72,BX72,BZ72,AJ72,1,2)*CB72</f>
        <v>-0.8082293551029478</v>
      </c>
      <c r="BM72" s="137">
        <f>_xll.xSPRDOPT(BW72,BV72,CG72,0,BY72,BX72,BZ72,AJ72,1,1)*CB72</f>
        <v>0.80822935509927241</v>
      </c>
      <c r="BN72" s="137">
        <f>IF(AH72&lt;&gt;0,_xll.xSPRDOPT($BW72,$BV72,$CG72,2*LN(1+CA72/2),$BY72,$BX72,$BZ72,$AJ72,1,8)+(AJ72/365.25)*CH72/AH72,0)</f>
        <v>0.25074153104888142</v>
      </c>
      <c r="BO72" s="137">
        <f>_xll.xSPRDOPT($BW72,$BV72,$CG72,0,$BY72,$BX72,$BZ72,$AJ72,1,0)</f>
        <v>0.30228938444361264</v>
      </c>
      <c r="BP72" s="137"/>
      <c r="BQ72" s="137"/>
      <c r="BR72" s="137"/>
      <c r="BS72" s="137"/>
      <c r="BV72" s="262">
        <v>3.6113110539845761</v>
      </c>
      <c r="BW72" s="136">
        <v>3.9470000000000001</v>
      </c>
      <c r="BX72" s="137">
        <v>0.27889956870508348</v>
      </c>
      <c r="BY72" s="137">
        <v>0.27889956870508348</v>
      </c>
      <c r="BZ72" s="137">
        <v>1</v>
      </c>
      <c r="CA72" s="137">
        <v>5.0737049222817202E-2</v>
      </c>
      <c r="CB72" s="137">
        <v>0.80823708014464768</v>
      </c>
      <c r="CC72" s="258">
        <v>-4.7500000000000001E-2</v>
      </c>
      <c r="CD72" s="258">
        <v>1.2500000000000001E-2</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52"/>
        <v>38822</v>
      </c>
      <c r="F73" s="28">
        <f t="shared" si="53"/>
        <v>612</v>
      </c>
      <c r="G73" s="28">
        <f t="shared" si="13"/>
        <v>492.07559662141114</v>
      </c>
      <c r="H73" s="52">
        <f t="shared" si="54"/>
        <v>3.4133676092544984</v>
      </c>
      <c r="I73" s="52">
        <f t="shared" si="55"/>
        <v>3.9620000000000002</v>
      </c>
      <c r="K73" s="52">
        <f t="shared" si="56"/>
        <v>12.428102258567097</v>
      </c>
      <c r="L73" s="135">
        <f t="shared" si="57"/>
        <v>1.2782749099216062E-6</v>
      </c>
      <c r="N73" s="131">
        <f t="shared" si="48"/>
        <v>0.25184329937151428</v>
      </c>
      <c r="O73" s="131">
        <f t="shared" si="49"/>
        <v>0.25184329937151428</v>
      </c>
      <c r="P73" s="55">
        <f t="shared" si="50"/>
        <v>1</v>
      </c>
      <c r="Q73" s="135">
        <f>_xll.xSPRDOPT(I73,H73,AQ73,0,O73,N73,P73,D73-$G$5,1,0)*AH73*AU73</f>
        <v>12.428103536842007</v>
      </c>
      <c r="R73" s="135"/>
      <c r="S73" s="181">
        <f>_xll.xSPRDOPT(I73,H73,AQ73,AT73,O73,N73,P73,D73-$G$5,1,2)*AF73*(F73/(1-AR73))*AH73</f>
        <v>-15137.6868492912</v>
      </c>
      <c r="T73" s="181">
        <f>_xll.xSPRDOPT(I73,H73,AQ73,AT73,O73,N73,P73,D73-$G$5,1,1)*AF73*F73*AH73</f>
        <v>14721.400460952391</v>
      </c>
      <c r="U73" s="135"/>
      <c r="V73" s="146">
        <f t="shared" si="58"/>
        <v>9.0527436966674308</v>
      </c>
      <c r="W73" s="146"/>
      <c r="X73" s="338">
        <f t="shared" si="59"/>
        <v>0</v>
      </c>
      <c r="Y73" s="338">
        <f t="shared" si="20"/>
        <v>0</v>
      </c>
      <c r="Z73" s="338">
        <f t="shared" si="21"/>
        <v>3.1484453418548553</v>
      </c>
      <c r="AA73" s="338">
        <f t="shared" si="22"/>
        <v>-3.6402881511772946E-9</v>
      </c>
      <c r="AB73" s="338">
        <f t="shared" si="60"/>
        <v>0</v>
      </c>
      <c r="AC73" s="338">
        <f t="shared" si="61"/>
        <v>3.1884655327101776</v>
      </c>
      <c r="AF73" s="138">
        <f t="shared" si="62"/>
        <v>1</v>
      </c>
      <c r="AG73" s="138">
        <f t="shared" si="63"/>
        <v>4</v>
      </c>
      <c r="AH73" s="138">
        <f t="shared" si="73"/>
        <v>30</v>
      </c>
      <c r="AI73" s="138">
        <f t="shared" si="64"/>
        <v>1566</v>
      </c>
      <c r="AJ73" s="138">
        <f t="shared" si="65"/>
        <v>1583</v>
      </c>
      <c r="AL73" s="136">
        <f t="shared" si="29"/>
        <v>3.3620000000000001</v>
      </c>
      <c r="AM73" s="258">
        <f t="shared" si="30"/>
        <v>-5.2499999999999998E-2</v>
      </c>
      <c r="AN73" s="258">
        <f t="shared" si="31"/>
        <v>0.01</v>
      </c>
      <c r="AO73" s="258">
        <f t="shared" si="32"/>
        <v>0.6</v>
      </c>
      <c r="AP73" s="258">
        <f t="shared" si="33"/>
        <v>0</v>
      </c>
      <c r="AQ73" s="136">
        <f t="shared" si="66"/>
        <v>3.3399999999999999E-2</v>
      </c>
      <c r="AR73" s="137">
        <f t="shared" si="35"/>
        <v>2.75E-2</v>
      </c>
      <c r="AS73" s="136">
        <f t="shared" si="67"/>
        <v>3.3194999999999997</v>
      </c>
      <c r="AT73" s="137">
        <f t="shared" si="68"/>
        <v>5.10592297577648E-2</v>
      </c>
      <c r="AU73" s="137">
        <f t="shared" si="38"/>
        <v>0.80404509251864564</v>
      </c>
      <c r="AV73" s="394">
        <f t="shared" si="69"/>
        <v>410.0629971845093</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-9.5809959804586134E-7</v>
      </c>
      <c r="BG73" s="137">
        <f>_xll.xSPRDOPT($BW73,$BV73,$CG73,0,$BY73,$BX73,$BZ73,$AJ73,1,3)*$CB73</f>
        <v>0</v>
      </c>
      <c r="BH73" s="137">
        <f>IF(OR(BF73&lt;&gt;0,BG73&lt;&gt;0),_xll.xSPRDOPT($BW73,$BV73,$CG73,0,$BY73,$BX73,$BZ73,$AJ73,1,12)*$CB73,0)</f>
        <v>2.8742987941375829E-7</v>
      </c>
      <c r="BI73" s="137">
        <f>_xll.xSPRDOPT($BW73,$BV73,$CG73,2*LN(1+CA73/2),$BY73,$BX73,$BZ73,$AJ73,1,9)</f>
        <v>2.0878171044162779E-2</v>
      </c>
      <c r="BJ73" s="137">
        <f>_xll.xSPRDOPT($BW73,$BV73,$CG73,0,$BY73,$BX73,$BZ73,$AJ73,1,6)*$CB73</f>
        <v>3.5462611472173589E-7</v>
      </c>
      <c r="BK73" s="137">
        <f>_xll.xSPRDOPT($BW73,$BV73,$CG73,0,$BY73,$BX73,$BZ73,$AJ73,1,5)*$CB73</f>
        <v>-4.1162815488553389E-7</v>
      </c>
      <c r="BL73" s="137">
        <f>_xll.xSPRDOPT(BW73,BV73,CG73,0,BY73,BX73,BZ73,AJ73,1,2)*CB73</f>
        <v>-0.80371227271513401</v>
      </c>
      <c r="BM73" s="137">
        <f>_xll.xSPRDOPT(BW73,BV73,CG73,0,BY73,BX73,BZ73,AJ73,1,1)*CB73</f>
        <v>0.8037122727180579</v>
      </c>
      <c r="BN73" s="137">
        <f>IF(AH73&lt;&gt;0,_xll.xSPRDOPT($BW73,$BV73,$CG73,2*LN(1+CA73/2),$BY73,$BX73,$BZ73,$AJ73,1,8)+(AJ73/365.25)*CH73/AH73,0)</f>
        <v>-0.4874270950404187</v>
      </c>
      <c r="BO73" s="137">
        <f>_xll.xSPRDOPT($BW73,$BV73,$CG73,0,$BY73,$BX73,$BZ73,$AJ73,1,0)</f>
        <v>0.51523244372234456</v>
      </c>
      <c r="BP73" s="137"/>
      <c r="BQ73" s="137"/>
      <c r="BR73" s="137"/>
      <c r="BS73" s="137"/>
      <c r="BV73" s="262">
        <v>3.4133676092544984</v>
      </c>
      <c r="BW73" s="136">
        <v>3.9620000000000002</v>
      </c>
      <c r="BX73" s="137">
        <v>0.2518398210262735</v>
      </c>
      <c r="BY73" s="137">
        <v>0.2518398210262735</v>
      </c>
      <c r="BZ73" s="137">
        <v>1</v>
      </c>
      <c r="CA73" s="137">
        <v>5.10592297577648E-2</v>
      </c>
      <c r="CB73" s="137">
        <v>0.80371219529642934</v>
      </c>
      <c r="CC73" s="258">
        <v>-5.2499999999999998E-2</v>
      </c>
      <c r="CD73" s="258">
        <v>0.01</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52"/>
        <v>38852</v>
      </c>
      <c r="F74" s="28">
        <f t="shared" si="53"/>
        <v>612</v>
      </c>
      <c r="G74" s="28">
        <f t="shared" si="13"/>
        <v>489.38582774248249</v>
      </c>
      <c r="H74" s="52">
        <f t="shared" si="54"/>
        <v>3.408226221079691</v>
      </c>
      <c r="I74" s="52">
        <f t="shared" si="55"/>
        <v>4.1070000000000002</v>
      </c>
      <c r="K74" s="52">
        <f t="shared" si="56"/>
        <v>16.494051346743188</v>
      </c>
      <c r="L74" s="135">
        <f t="shared" si="57"/>
        <v>1.6926747754553162E-6</v>
      </c>
      <c r="N74" s="131">
        <f t="shared" si="48"/>
        <v>0.24778090519241153</v>
      </c>
      <c r="O74" s="131">
        <f t="shared" si="49"/>
        <v>0.24778090519241153</v>
      </c>
      <c r="P74" s="55">
        <f t="shared" si="50"/>
        <v>1</v>
      </c>
      <c r="Q74" s="135">
        <f>_xll.xSPRDOPT(I74,H74,AQ74,0,O74,N74,P74,D74-$G$5,1,0)*AH74*AU74</f>
        <v>16.494053039417963</v>
      </c>
      <c r="R74" s="135"/>
      <c r="S74" s="181">
        <f>_xll.xSPRDOPT(I74,H74,AQ74,AT74,O74,N74,P74,D74-$G$5,1,2)*AF74*(F74/(1-AR74))*AH74</f>
        <v>-15555.420522844362</v>
      </c>
      <c r="T74" s="181">
        <f>_xll.xSPRDOPT(I74,H74,AQ74,AT74,O74,N74,P74,D74-$G$5,1,1)*AF74*F74*AH74</f>
        <v>15127.646458328105</v>
      </c>
      <c r="U74" s="135"/>
      <c r="V74" s="146">
        <f t="shared" si="58"/>
        <v>9.303368522392752</v>
      </c>
      <c r="W74" s="146"/>
      <c r="X74" s="338">
        <f t="shared" si="59"/>
        <v>0</v>
      </c>
      <c r="Y74" s="338">
        <f t="shared" si="20"/>
        <v>0</v>
      </c>
      <c r="Z74" s="338">
        <f t="shared" si="21"/>
        <v>4.2036677147172554</v>
      </c>
      <c r="AA74" s="338">
        <f t="shared" si="22"/>
        <v>-1.1562761821285712E-8</v>
      </c>
      <c r="AB74" s="338">
        <f t="shared" si="60"/>
        <v>0</v>
      </c>
      <c r="AC74" s="338">
        <f t="shared" si="61"/>
        <v>4.2574256691226235</v>
      </c>
      <c r="AF74" s="138">
        <f t="shared" si="62"/>
        <v>1</v>
      </c>
      <c r="AG74" s="138">
        <f t="shared" si="63"/>
        <v>5</v>
      </c>
      <c r="AH74" s="138">
        <f t="shared" si="73"/>
        <v>31</v>
      </c>
      <c r="AI74" s="138">
        <f t="shared" si="64"/>
        <v>1596</v>
      </c>
      <c r="AJ74" s="138">
        <f t="shared" si="65"/>
        <v>1613</v>
      </c>
      <c r="AL74" s="136">
        <f t="shared" si="29"/>
        <v>3.3570000000000002</v>
      </c>
      <c r="AM74" s="258">
        <f t="shared" si="30"/>
        <v>-5.2499999999999998E-2</v>
      </c>
      <c r="AN74" s="258">
        <f t="shared" si="31"/>
        <v>0.01</v>
      </c>
      <c r="AO74" s="258">
        <f t="shared" si="32"/>
        <v>0.75</v>
      </c>
      <c r="AP74" s="258">
        <f t="shared" si="33"/>
        <v>0</v>
      </c>
      <c r="AQ74" s="136">
        <f t="shared" si="66"/>
        <v>3.3399999999999999E-2</v>
      </c>
      <c r="AR74" s="137">
        <f t="shared" si="35"/>
        <v>2.75E-2</v>
      </c>
      <c r="AS74" s="136">
        <f t="shared" si="67"/>
        <v>3.3144999999999998</v>
      </c>
      <c r="AT74" s="137">
        <f t="shared" si="68"/>
        <v>5.1371017405212001E-2</v>
      </c>
      <c r="AU74" s="137">
        <f t="shared" si="38"/>
        <v>0.79965004533085371</v>
      </c>
      <c r="AV74" s="394">
        <f t="shared" si="69"/>
        <v>421.41557388935991</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1.9057201669922302E-7</v>
      </c>
      <c r="BG74" s="137">
        <f>_xll.xSPRDOPT($BW74,$BV74,$CG74,0,$BY74,$BX74,$BZ74,$AJ74,1,3)*$CB74</f>
        <v>-1.90572016699223E-7</v>
      </c>
      <c r="BH74" s="137">
        <f>IF(OR(BF74&lt;&gt;0,BG74&lt;&gt;0),_xll.xSPRDOPT($BW74,$BV74,$CG74,0,$BY74,$BX74,$BZ74,$AJ74,1,12)*$CB74,0)</f>
        <v>4.7643004174805755E-7</v>
      </c>
      <c r="BI74" s="137">
        <f>_xll.xSPRDOPT($BW74,$BV74,$CG74,2*LN(1+CA74/2),$BY74,$BX74,$BZ74,$AJ74,1,9)</f>
        <v>2.6976414941325421E-2</v>
      </c>
      <c r="BJ74" s="137">
        <f>_xll.xSPRDOPT($BW74,$BV74,$CG74,0,$BY74,$BX74,$BZ74,$AJ74,1,6)*$CB74</f>
        <v>5.7845466365296427E-7</v>
      </c>
      <c r="BK74" s="137">
        <f>_xll.xSPRDOPT($BW74,$BV74,$CG74,0,$BY74,$BX74,$BZ74,$AJ74,1,5)*$CB74</f>
        <v>-6.9706390611708579E-7</v>
      </c>
      <c r="BL74" s="137">
        <f>_xll.xSPRDOPT(BW74,BV74,CG74,0,BY74,BX74,BZ74,AJ74,1,2)*CB74</f>
        <v>-0.79931705466368363</v>
      </c>
      <c r="BM74" s="137">
        <f>_xll.xSPRDOPT(BW74,BV74,CG74,0,BY74,BX74,BZ74,AJ74,1,1)*CB74</f>
        <v>0.79931705465205205</v>
      </c>
      <c r="BN74" s="137">
        <f>IF(AH74&lt;&gt;0,_xll.xSPRDOPT($BW74,$BV74,$CG74,2*LN(1+CA74/2),$BY74,$BX74,$BZ74,$AJ74,1,8)+(AJ74/365.25)*CH74/AH74,0)</f>
        <v>-1.0239335003098322</v>
      </c>
      <c r="BO74" s="137">
        <f>_xll.xSPRDOPT($BW74,$BV74,$CG74,0,$BY74,$BX74,$BZ74,$AJ74,1,0)</f>
        <v>0.66537384716976822</v>
      </c>
      <c r="BP74" s="137"/>
      <c r="BQ74" s="137"/>
      <c r="BR74" s="137"/>
      <c r="BS74" s="137"/>
      <c r="BV74" s="262">
        <v>3.408226221079691</v>
      </c>
      <c r="BW74" s="136">
        <v>4.1070000000000002</v>
      </c>
      <c r="BX74" s="137">
        <v>0.24777576676848015</v>
      </c>
      <c r="BY74" s="137">
        <v>0.24777576676848015</v>
      </c>
      <c r="BZ74" s="137">
        <v>1</v>
      </c>
      <c r="CA74" s="137">
        <v>5.1371017405212001E-2</v>
      </c>
      <c r="CB74" s="137">
        <v>0.79931697192961793</v>
      </c>
      <c r="CC74" s="258">
        <v>-5.2499999999999998E-2</v>
      </c>
      <c r="CD74" s="258">
        <v>0.01</v>
      </c>
      <c r="CE74" s="258">
        <v>0.75</v>
      </c>
      <c r="CF74" s="258">
        <v>0</v>
      </c>
      <c r="CG74" s="258">
        <v>3.3399999999999999E-2</v>
      </c>
      <c r="CH74" s="258">
        <v>9.2994934465207546</v>
      </c>
      <c r="CI74" s="258">
        <v>3.3570000000000002</v>
      </c>
      <c r="CJ74" s="258"/>
      <c r="CK74" s="258"/>
      <c r="CL74" s="258"/>
      <c r="CM74" s="258"/>
    </row>
    <row r="75" spans="1:91" x14ac:dyDescent="0.25">
      <c r="A75" s="723"/>
      <c r="B75" s="723"/>
      <c r="D75" s="31">
        <f t="shared" si="52"/>
        <v>38883</v>
      </c>
      <c r="F75" s="28">
        <f t="shared" si="53"/>
        <v>612</v>
      </c>
      <c r="G75" s="28">
        <f t="shared" si="13"/>
        <v>486.59642179603185</v>
      </c>
      <c r="H75" s="52">
        <f t="shared" si="54"/>
        <v>3.4467866323907455</v>
      </c>
      <c r="I75" s="52">
        <f t="shared" si="55"/>
        <v>4.242</v>
      </c>
      <c r="K75" s="52">
        <f t="shared" si="56"/>
        <v>18.171355821325896</v>
      </c>
      <c r="L75" s="135">
        <f t="shared" si="57"/>
        <v>1.8478248229314431E-6</v>
      </c>
      <c r="N75" s="131">
        <f t="shared" si="48"/>
        <v>0.2500930627639058</v>
      </c>
      <c r="O75" s="131">
        <f t="shared" si="49"/>
        <v>0.2500930627639058</v>
      </c>
      <c r="P75" s="55">
        <f t="shared" si="50"/>
        <v>1</v>
      </c>
      <c r="Q75" s="135">
        <f>_xll.xSPRDOPT(I75,H75,AQ75,0,O75,N75,P75,D75-$G$5,1,0)*AH75*AU75</f>
        <v>18.171357669150719</v>
      </c>
      <c r="R75" s="135"/>
      <c r="S75" s="181">
        <f>_xll.xSPRDOPT(I75,H75,AQ75,AT75,O75,N75,P75,D75-$G$5,1,2)*AF75*(F75/(1-AR75))*AH75</f>
        <v>-14966.461711426478</v>
      </c>
      <c r="T75" s="181">
        <f>_xll.xSPRDOPT(I75,H75,AQ75,AT75,O75,N75,P75,D75-$G$5,1,1)*AF75*F75*AH75</f>
        <v>14554.884014395648</v>
      </c>
      <c r="U75" s="135"/>
      <c r="V75" s="146">
        <f t="shared" si="58"/>
        <v>8.9519429951005272</v>
      </c>
      <c r="W75" s="146"/>
      <c r="X75" s="338">
        <f t="shared" si="59"/>
        <v>0</v>
      </c>
      <c r="Y75" s="338">
        <f t="shared" si="20"/>
        <v>0</v>
      </c>
      <c r="Z75" s="338">
        <f t="shared" si="21"/>
        <v>4.6598102958102254</v>
      </c>
      <c r="AA75" s="338">
        <f t="shared" si="22"/>
        <v>-1.193866982997647E-8</v>
      </c>
      <c r="AB75" s="338">
        <f t="shared" si="60"/>
        <v>0</v>
      </c>
      <c r="AC75" s="338">
        <f t="shared" si="61"/>
        <v>4.7197737177289794</v>
      </c>
      <c r="AF75" s="138">
        <f t="shared" si="62"/>
        <v>1</v>
      </c>
      <c r="AG75" s="138">
        <f t="shared" si="63"/>
        <v>6</v>
      </c>
      <c r="AH75" s="138">
        <f t="shared" si="73"/>
        <v>30</v>
      </c>
      <c r="AI75" s="138">
        <f t="shared" si="64"/>
        <v>1627</v>
      </c>
      <c r="AJ75" s="138">
        <f t="shared" si="65"/>
        <v>1644</v>
      </c>
      <c r="AL75" s="136">
        <f t="shared" si="29"/>
        <v>3.3919999999999999</v>
      </c>
      <c r="AM75" s="258">
        <f t="shared" si="30"/>
        <v>-0.05</v>
      </c>
      <c r="AN75" s="258">
        <f t="shared" si="31"/>
        <v>0.01</v>
      </c>
      <c r="AO75" s="258">
        <f t="shared" si="32"/>
        <v>0.85</v>
      </c>
      <c r="AP75" s="258">
        <f t="shared" si="33"/>
        <v>0</v>
      </c>
      <c r="AQ75" s="136">
        <f t="shared" si="66"/>
        <v>3.3399999999999999E-2</v>
      </c>
      <c r="AR75" s="137">
        <f t="shared" si="35"/>
        <v>2.75E-2</v>
      </c>
      <c r="AS75" s="136">
        <f t="shared" si="67"/>
        <v>3.3519999999999999</v>
      </c>
      <c r="AT75" s="137">
        <f t="shared" si="68"/>
        <v>5.1693198008315698E-2</v>
      </c>
      <c r="AU75" s="137">
        <f t="shared" si="38"/>
        <v>0.79509219247717622</v>
      </c>
      <c r="AV75" s="394">
        <f t="shared" si="69"/>
        <v>405.49701816335988</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1.894853036946343E-7</v>
      </c>
      <c r="BG75" s="137">
        <f>_xll.xSPRDOPT($BW75,$BV75,$CG75,0,$BY75,$BX75,$BZ75,$AJ75,1,3)*$CB75</f>
        <v>5.6845591108390283E-7</v>
      </c>
      <c r="BH75" s="137">
        <f>IF(OR(BF75&lt;&gt;0,BG75&lt;&gt;0),_xll.xSPRDOPT($BW75,$BV75,$CG75,0,$BY75,$BX75,$BZ75,$AJ75,1,12)*$CB75,0)</f>
        <v>-5.6845591108390283E-7</v>
      </c>
      <c r="BI75" s="137">
        <f>_xll.xSPRDOPT($BW75,$BV75,$CG75,2*LN(1+CA75/2),$BY75,$BX75,$BZ75,$AJ75,1,9)</f>
        <v>3.0900430474667475E-2</v>
      </c>
      <c r="BJ75" s="137">
        <f>_xll.xSPRDOPT($BW75,$BV75,$CG75,0,$BY75,$BX75,$BZ75,$AJ75,1,6)*$CB75</f>
        <v>5.9905555002179926E-7</v>
      </c>
      <c r="BK75" s="137">
        <f>_xll.xSPRDOPT($BW75,$BV75,$CG75,0,$BY75,$BX75,$BZ75,$AJ75,1,5)*$CB75</f>
        <v>-7.3727466973045361E-7</v>
      </c>
      <c r="BL75" s="137">
        <f>_xll.xSPRDOPT(BW75,BV75,CG75,0,BY75,BX75,BZ75,AJ75,1,2)*CB75</f>
        <v>-0.79475904868467295</v>
      </c>
      <c r="BM75" s="137">
        <f>_xll.xSPRDOPT(BW75,BV75,CG75,0,BY75,BX75,BZ75,AJ75,1,1)*CB75</f>
        <v>0.79475904868611857</v>
      </c>
      <c r="BN75" s="137">
        <f>IF(AH75&lt;&gt;0,_xll.xSPRDOPT($BW75,$BV75,$CG75,2*LN(1+CA75/2),$BY75,$BX75,$BZ75,$AJ75,1,8)+(AJ75/365.25)*CH75/AH75,0)</f>
        <v>-1.3826480038295366</v>
      </c>
      <c r="BO75" s="137">
        <f>_xll.xSPRDOPT($BW75,$BV75,$CG75,0,$BY75,$BX75,$BZ75,$AJ75,1,0)</f>
        <v>0.76181344503833859</v>
      </c>
      <c r="BP75" s="137"/>
      <c r="BQ75" s="137"/>
      <c r="BR75" s="137"/>
      <c r="BS75" s="137"/>
      <c r="BV75" s="262">
        <v>3.4467866323907455</v>
      </c>
      <c r="BW75" s="136">
        <v>4.242</v>
      </c>
      <c r="BX75" s="137">
        <v>0.25008835824582315</v>
      </c>
      <c r="BY75" s="137">
        <v>0.25008835824582315</v>
      </c>
      <c r="BZ75" s="137">
        <v>1</v>
      </c>
      <c r="CA75" s="137">
        <v>5.1693198008315698E-2</v>
      </c>
      <c r="CB75" s="137">
        <v>0.79475896722761941</v>
      </c>
      <c r="CC75" s="258">
        <v>-0.05</v>
      </c>
      <c r="CD75" s="258">
        <v>0.01</v>
      </c>
      <c r="CE75" s="258">
        <v>0.85</v>
      </c>
      <c r="CF75" s="258">
        <v>0</v>
      </c>
      <c r="CG75" s="258">
        <v>3.3399999999999999E-2</v>
      </c>
      <c r="CH75" s="258">
        <v>8.9481912120157663</v>
      </c>
      <c r="CI75" s="258">
        <v>3.3919999999999999</v>
      </c>
      <c r="CJ75" s="258"/>
      <c r="CK75" s="258"/>
      <c r="CL75" s="258"/>
      <c r="CM75" s="258"/>
    </row>
    <row r="76" spans="1:91" x14ac:dyDescent="0.25">
      <c r="A76" s="723"/>
      <c r="B76" s="723"/>
      <c r="D76" s="31">
        <f t="shared" si="52"/>
        <v>38913</v>
      </c>
      <c r="F76" s="28">
        <f t="shared" si="53"/>
        <v>612</v>
      </c>
      <c r="G76" s="28">
        <f t="shared" si="13"/>
        <v>483.88767516515276</v>
      </c>
      <c r="H76" s="52">
        <f t="shared" si="54"/>
        <v>3.487917737789203</v>
      </c>
      <c r="I76" s="52">
        <f t="shared" si="55"/>
        <v>4.4820000000000002</v>
      </c>
      <c r="K76" s="52">
        <f t="shared" si="56"/>
        <v>23.546946894511525</v>
      </c>
      <c r="L76" s="135">
        <f t="shared" si="57"/>
        <v>2.3826013517691536E-6</v>
      </c>
      <c r="N76" s="131">
        <f t="shared" si="48"/>
        <v>0.25100885381510452</v>
      </c>
      <c r="O76" s="131">
        <f t="shared" si="49"/>
        <v>0.25100885381510452</v>
      </c>
      <c r="P76" s="55">
        <f t="shared" si="50"/>
        <v>0.99999999999999978</v>
      </c>
      <c r="Q76" s="135">
        <f>_xll.xSPRDOPT(I76,H76,AQ76,0,O76,N76,P76,D76-$G$5,1,0)*AH76*AU76</f>
        <v>23.546949277112876</v>
      </c>
      <c r="R76" s="135"/>
      <c r="S76" s="181">
        <f>_xll.xSPRDOPT(I76,H76,AQ76,AT76,O76,N76,P76,D76-$G$5,1,2)*AF76*(F76/(1-AR76))*AH76</f>
        <v>-15377.868627489002</v>
      </c>
      <c r="T76" s="181">
        <f>_xll.xSPRDOPT(I76,H76,AQ76,AT76,O76,N76,P76,D76-$G$5,1,1)*AF76*F76*AH76</f>
        <v>14954.977239818938</v>
      </c>
      <c r="U76" s="135"/>
      <c r="V76" s="146">
        <f t="shared" si="58"/>
        <v>9.1988470247940164</v>
      </c>
      <c r="W76" s="146"/>
      <c r="X76" s="338">
        <f t="shared" si="59"/>
        <v>0</v>
      </c>
      <c r="Y76" s="338">
        <f t="shared" si="20"/>
        <v>0</v>
      </c>
      <c r="Z76" s="338">
        <f t="shared" si="21"/>
        <v>6.0742528814665473</v>
      </c>
      <c r="AA76" s="338">
        <f t="shared" si="22"/>
        <v>-2.1216604932333701E-8</v>
      </c>
      <c r="AB76" s="338">
        <f t="shared" si="60"/>
        <v>0</v>
      </c>
      <c r="AC76" s="338">
        <f t="shared" si="61"/>
        <v>6.1528870936575695</v>
      </c>
      <c r="AF76" s="138">
        <f t="shared" si="62"/>
        <v>1</v>
      </c>
      <c r="AG76" s="138">
        <f t="shared" si="63"/>
        <v>7</v>
      </c>
      <c r="AH76" s="138">
        <f t="shared" si="73"/>
        <v>31</v>
      </c>
      <c r="AI76" s="138">
        <f t="shared" si="64"/>
        <v>1657</v>
      </c>
      <c r="AJ76" s="138">
        <f t="shared" si="65"/>
        <v>1674</v>
      </c>
      <c r="AL76" s="136">
        <f t="shared" si="29"/>
        <v>3.4319999999999999</v>
      </c>
      <c r="AM76" s="258">
        <f t="shared" si="30"/>
        <v>-0.05</v>
      </c>
      <c r="AN76" s="258">
        <f t="shared" si="31"/>
        <v>0.01</v>
      </c>
      <c r="AO76" s="258">
        <f t="shared" si="32"/>
        <v>1.05</v>
      </c>
      <c r="AP76" s="258">
        <f t="shared" si="33"/>
        <v>0</v>
      </c>
      <c r="AQ76" s="136">
        <f t="shared" si="66"/>
        <v>3.3399999999999999E-2</v>
      </c>
      <c r="AR76" s="137">
        <f t="shared" si="35"/>
        <v>2.75E-2</v>
      </c>
      <c r="AS76" s="136">
        <f t="shared" si="67"/>
        <v>3.3919999999999999</v>
      </c>
      <c r="AT76" s="137">
        <f t="shared" si="68"/>
        <v>5.2004985721710598E-2</v>
      </c>
      <c r="AU76" s="137">
        <f t="shared" si="38"/>
        <v>0.7906661358907725</v>
      </c>
      <c r="AV76" s="394">
        <f t="shared" si="69"/>
        <v>416.68105361443713</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-1.1305801288658842E-6</v>
      </c>
      <c r="BG76" s="137">
        <f>_xll.xSPRDOPT($BW76,$BV76,$CG76,0,$BY76,$BX76,$BZ76,$AJ76,1,3)*$CB76</f>
        <v>-7.5372008591058953E-7</v>
      </c>
      <c r="BH76" s="137">
        <f>IF(OR(BF76&lt;&gt;0,BG76&lt;&gt;0),_xll.xSPRDOPT($BW76,$BV76,$CG76,0,$BY76,$BX76,$BZ76,$AJ76,1,12)*$CB76,0)</f>
        <v>1.0363651181270607E-6</v>
      </c>
      <c r="BI76" s="137">
        <f>_xll.xSPRDOPT($BW76,$BV76,$CG76,2*LN(1+CA76/2),$BY76,$BX76,$BZ76,$AJ76,1,9)</f>
        <v>3.8980618190942028E-2</v>
      </c>
      <c r="BJ76" s="137">
        <f>_xll.xSPRDOPT($BW76,$BV76,$CG76,0,$BY76,$BX76,$BZ76,$AJ76,1,6)*$CB76</f>
        <v>6.289136657319858E-7</v>
      </c>
      <c r="BK76" s="137">
        <f>_xll.xSPRDOPT($BW76,$BV76,$CG76,0,$BY76,$BX76,$BZ76,$AJ76,1,5)*$CB76</f>
        <v>-8.0816460454305143E-7</v>
      </c>
      <c r="BL76" s="137">
        <f>_xll.xSPRDOPT(BW76,BV76,CG76,0,BY76,BX76,BZ76,AJ76,1,2)*CB76</f>
        <v>-0.79033287353403958</v>
      </c>
      <c r="BM76" s="137">
        <f>_xll.xSPRDOPT(BW76,BV76,CG76,0,BY76,BX76,BZ76,AJ76,1,1)*CB76</f>
        <v>0.79033287351103787</v>
      </c>
      <c r="BN76" s="137">
        <f>IF(AH76&lt;&gt;0,_xll.xSPRDOPT($BW76,$BV76,$CG76,2*LN(1+CA76/2),$BY76,$BX76,$BZ76,$AJ76,1,8)+(AJ76/365.25)*CH76/AH76,0)</f>
        <v>-2.1203856773309813</v>
      </c>
      <c r="BO76" s="137">
        <f>_xll.xSPRDOPT($BW76,$BV76,$CG76,0,$BY76,$BX76,$BZ76,$AJ76,1,0)</f>
        <v>0.9606823593679773</v>
      </c>
      <c r="BP76" s="137"/>
      <c r="BQ76" s="137"/>
      <c r="BR76" s="137"/>
      <c r="BS76" s="137"/>
      <c r="BV76" s="262">
        <v>3.487917737789203</v>
      </c>
      <c r="BW76" s="136">
        <v>4.4820000000000002</v>
      </c>
      <c r="BX76" s="137">
        <v>0.25100261501120846</v>
      </c>
      <c r="BY76" s="137">
        <v>0.25100261501120846</v>
      </c>
      <c r="BZ76" s="137">
        <v>1</v>
      </c>
      <c r="CA76" s="137">
        <v>5.2004985721710598E-2</v>
      </c>
      <c r="CB76" s="137">
        <v>0.79033279280378232</v>
      </c>
      <c r="CC76" s="258">
        <v>-0.05</v>
      </c>
      <c r="CD76" s="258">
        <v>0.01</v>
      </c>
      <c r="CE76" s="258">
        <v>1.05</v>
      </c>
      <c r="CF76" s="258">
        <v>0</v>
      </c>
      <c r="CG76" s="258">
        <v>3.3399999999999999E-2</v>
      </c>
      <c r="CH76" s="258">
        <v>9.1949688113170467</v>
      </c>
      <c r="CI76" s="258">
        <v>3.4319999999999999</v>
      </c>
      <c r="CJ76" s="258"/>
      <c r="CK76" s="258"/>
      <c r="CL76" s="258"/>
      <c r="CM76" s="258"/>
    </row>
    <row r="77" spans="1:91" x14ac:dyDescent="0.25">
      <c r="A77" s="723"/>
      <c r="B77" s="723"/>
      <c r="D77" s="31">
        <f t="shared" si="52"/>
        <v>38944</v>
      </c>
      <c r="F77" s="28">
        <f t="shared" si="53"/>
        <v>612</v>
      </c>
      <c r="G77" s="28">
        <f t="shared" si="13"/>
        <v>481.07935382439064</v>
      </c>
      <c r="H77" s="52">
        <f t="shared" si="54"/>
        <v>3.5290488431876605</v>
      </c>
      <c r="I77" s="52">
        <f t="shared" si="55"/>
        <v>4.5220000000000002</v>
      </c>
      <c r="K77" s="52">
        <f t="shared" si="56"/>
        <v>23.382725106049893</v>
      </c>
      <c r="L77" s="135">
        <f t="shared" si="57"/>
        <v>2.3481544282333289E-6</v>
      </c>
      <c r="N77" s="131">
        <f t="shared" si="48"/>
        <v>0.25189542698197026</v>
      </c>
      <c r="O77" s="131">
        <f t="shared" si="49"/>
        <v>0.25189542698197026</v>
      </c>
      <c r="P77" s="55">
        <f t="shared" si="50"/>
        <v>1</v>
      </c>
      <c r="Q77" s="135">
        <f>_xll.xSPRDOPT(I77,H77,AQ77,0,O77,N77,P77,D77-$G$5,1,0)*AH77*AU77</f>
        <v>23.382727454204321</v>
      </c>
      <c r="R77" s="135"/>
      <c r="S77" s="181">
        <f>_xll.xSPRDOPT(I77,H77,AQ77,AT77,O77,N77,P77,D77-$G$5,1,2)*AF77*(F77/(1-AR77))*AH77</f>
        <v>-15287.174817499572</v>
      </c>
      <c r="T77" s="181">
        <f>_xll.xSPRDOPT(I77,H77,AQ77,AT77,O77,N77,P77,D77-$G$5,1,1)*AF77*F77*AH77</f>
        <v>14866.777510087355</v>
      </c>
      <c r="U77" s="135"/>
      <c r="V77" s="146">
        <f t="shared" si="58"/>
        <v>9.1454600101292627</v>
      </c>
      <c r="W77" s="146"/>
      <c r="X77" s="338">
        <f t="shared" si="59"/>
        <v>0</v>
      </c>
      <c r="Y77" s="338">
        <f t="shared" si="20"/>
        <v>0</v>
      </c>
      <c r="Z77" s="338">
        <f t="shared" si="21"/>
        <v>6.0687642377093738</v>
      </c>
      <c r="AA77" s="338">
        <f t="shared" si="22"/>
        <v>-2.6338622581888782E-8</v>
      </c>
      <c r="AB77" s="338">
        <f t="shared" si="60"/>
        <v>0</v>
      </c>
      <c r="AC77" s="338">
        <f t="shared" si="61"/>
        <v>6.1478120407678984</v>
      </c>
      <c r="AF77" s="138">
        <f t="shared" si="62"/>
        <v>1</v>
      </c>
      <c r="AG77" s="138">
        <f t="shared" si="63"/>
        <v>8</v>
      </c>
      <c r="AH77" s="138">
        <f t="shared" si="73"/>
        <v>31</v>
      </c>
      <c r="AI77" s="138">
        <f t="shared" si="64"/>
        <v>1688</v>
      </c>
      <c r="AJ77" s="138">
        <f t="shared" si="65"/>
        <v>1705</v>
      </c>
      <c r="AL77" s="136">
        <f t="shared" si="29"/>
        <v>3.472</v>
      </c>
      <c r="AM77" s="258">
        <f t="shared" si="30"/>
        <v>-0.05</v>
      </c>
      <c r="AN77" s="258">
        <f t="shared" si="31"/>
        <v>0.01</v>
      </c>
      <c r="AO77" s="258">
        <f t="shared" si="32"/>
        <v>1.05</v>
      </c>
      <c r="AP77" s="258">
        <f t="shared" si="33"/>
        <v>0</v>
      </c>
      <c r="AQ77" s="136">
        <f t="shared" si="66"/>
        <v>3.3399999999999999E-2</v>
      </c>
      <c r="AR77" s="137">
        <f t="shared" si="35"/>
        <v>2.75E-2</v>
      </c>
      <c r="AS77" s="136">
        <f t="shared" si="67"/>
        <v>3.4319999999999999</v>
      </c>
      <c r="AT77" s="137">
        <f t="shared" si="68"/>
        <v>5.2327166392949202E-2</v>
      </c>
      <c r="AU77" s="137">
        <f t="shared" si="38"/>
        <v>0.78607737553005008</v>
      </c>
      <c r="AV77" s="394">
        <f t="shared" si="69"/>
        <v>414.26277690433642</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-1.873359538635193E-7</v>
      </c>
      <c r="BG77" s="137">
        <f>_xll.xSPRDOPT($BW77,$BV77,$CG77,0,$BY77,$BX77,$BZ77,$AJ77,1,3)*$CB77</f>
        <v>-9.3667976931759654E-7</v>
      </c>
      <c r="BH77" s="137">
        <f>IF(OR(BF77&lt;&gt;0,BG77&lt;&gt;0),_xll.xSPRDOPT($BW77,$BV77,$CG77,0,$BY77,$BX77,$BZ77,$AJ77,1,12)*$CB77,0)</f>
        <v>6.5567583852231752E-7</v>
      </c>
      <c r="BI77" s="137">
        <f>_xll.xSPRDOPT($BW77,$BV77,$CG77,2*LN(1+CA77/2),$BY77,$BX77,$BZ77,$AJ77,1,9)</f>
        <v>3.89453956325699E-2</v>
      </c>
      <c r="BJ77" s="137">
        <f>_xll.xSPRDOPT($BW77,$BV77,$CG77,0,$BY77,$BX77,$BZ77,$AJ77,1,6)*$CB77</f>
        <v>6.441908624575599E-7</v>
      </c>
      <c r="BK77" s="137">
        <f>_xll.xSPRDOPT($BW77,$BV77,$CG77,0,$BY77,$BX77,$BZ77,$AJ77,1,5)*$CB77</f>
        <v>-8.2543460678947084E-7</v>
      </c>
      <c r="BL77" s="137">
        <f>_xll.xSPRDOPT(BW77,BV77,CG77,0,BY77,BX77,BZ77,AJ77,1,2)*CB77</f>
        <v>-0.78574402025335577</v>
      </c>
      <c r="BM77" s="137">
        <f>_xll.xSPRDOPT(BW77,BV77,CG77,0,BY77,BX77,BZ77,AJ77,1,1)*CB77</f>
        <v>0.78574402025764356</v>
      </c>
      <c r="BN77" s="137">
        <f>IF(AH77&lt;&gt;0,_xll.xSPRDOPT($BW77,$BV77,$CG77,2*LN(1+CA77/2),$BY77,$BX77,$BZ77,$AJ77,1,8)+(AJ77/365.25)*CH77/AH77,0)</f>
        <v>-2.142963884254149</v>
      </c>
      <c r="BO77" s="137">
        <f>_xll.xSPRDOPT($BW77,$BV77,$CG77,0,$BY77,$BX77,$BZ77,$AJ77,1,0)</f>
        <v>0.95955125312362222</v>
      </c>
      <c r="BP77" s="137"/>
      <c r="BQ77" s="137"/>
      <c r="BR77" s="137"/>
      <c r="BS77" s="137"/>
      <c r="BV77" s="262">
        <v>3.5290488431876605</v>
      </c>
      <c r="BW77" s="136">
        <v>4.5220000000000002</v>
      </c>
      <c r="BX77" s="137">
        <v>0.25188776719101436</v>
      </c>
      <c r="BY77" s="137">
        <v>0.25188776719101436</v>
      </c>
      <c r="BZ77" s="137">
        <v>1</v>
      </c>
      <c r="CA77" s="137">
        <v>5.2327166392949202E-2</v>
      </c>
      <c r="CB77" s="137">
        <v>0.78574394063357444</v>
      </c>
      <c r="CC77" s="258">
        <v>-0.05</v>
      </c>
      <c r="CD77" s="258">
        <v>0.01</v>
      </c>
      <c r="CE77" s="258">
        <v>1.05</v>
      </c>
      <c r="CF77" s="258">
        <v>0</v>
      </c>
      <c r="CG77" s="258">
        <v>3.3399999999999999E-2</v>
      </c>
      <c r="CH77" s="258">
        <v>9.1415807285131958</v>
      </c>
      <c r="CI77" s="258">
        <v>3.472</v>
      </c>
      <c r="CJ77" s="258"/>
      <c r="CK77" s="258"/>
      <c r="CL77" s="258"/>
      <c r="CM77" s="258"/>
    </row>
    <row r="78" spans="1:91" x14ac:dyDescent="0.25">
      <c r="A78" s="723"/>
      <c r="B78" s="723"/>
      <c r="D78" s="31">
        <f t="shared" si="52"/>
        <v>38975</v>
      </c>
      <c r="F78" s="28">
        <f t="shared" si="53"/>
        <v>612</v>
      </c>
      <c r="G78" s="28">
        <f t="shared" si="13"/>
        <v>478.26195128238726</v>
      </c>
      <c r="H78" s="52">
        <f t="shared" si="54"/>
        <v>3.518766066838046</v>
      </c>
      <c r="I78" s="52">
        <f t="shared" si="55"/>
        <v>4.2170000000000005</v>
      </c>
      <c r="K78" s="52">
        <f t="shared" si="56"/>
        <v>15.586508536901007</v>
      </c>
      <c r="L78" s="135">
        <f t="shared" si="57"/>
        <v>1.5543708435927783E-6</v>
      </c>
      <c r="N78" s="131">
        <f t="shared" si="48"/>
        <v>0.251680618344995</v>
      </c>
      <c r="O78" s="131">
        <f t="shared" si="49"/>
        <v>0.251680618344995</v>
      </c>
      <c r="P78" s="55">
        <f t="shared" si="50"/>
        <v>1</v>
      </c>
      <c r="Q78" s="135">
        <f>_xll.xSPRDOPT(I78,H78,AQ78,0,O78,N78,P78,D78-$G$5,1,0)*AH78*AU78</f>
        <v>15.586510091271851</v>
      </c>
      <c r="R78" s="135"/>
      <c r="S78" s="181">
        <f>_xll.xSPRDOPT(I78,H78,AQ78,AT78,O78,N78,P78,D78-$G$5,1,2)*AF78*(F78/(1-AR78))*AH78</f>
        <v>-14705.985274601153</v>
      </c>
      <c r="T78" s="181">
        <f>_xll.xSPRDOPT(I78,H78,AQ78,AT78,O78,N78,P78,D78-$G$5,1,1)*AF78*F78*AH78</f>
        <v>14301.570679549623</v>
      </c>
      <c r="U78" s="135"/>
      <c r="V78" s="146">
        <f t="shared" si="58"/>
        <v>8.7986132507980361</v>
      </c>
      <c r="W78" s="146"/>
      <c r="X78" s="338">
        <f t="shared" si="59"/>
        <v>0</v>
      </c>
      <c r="Y78" s="338">
        <f t="shared" si="20"/>
        <v>0</v>
      </c>
      <c r="Z78" s="338">
        <f t="shared" si="21"/>
        <v>4.0699061903640947</v>
      </c>
      <c r="AA78" s="338">
        <f t="shared" si="22"/>
        <v>-1.5617452764334128E-8</v>
      </c>
      <c r="AB78" s="338">
        <f t="shared" si="60"/>
        <v>0</v>
      </c>
      <c r="AC78" s="338">
        <f t="shared" si="61"/>
        <v>4.1232431969595602</v>
      </c>
      <c r="AF78" s="138">
        <f t="shared" si="62"/>
        <v>1</v>
      </c>
      <c r="AG78" s="138">
        <f t="shared" si="63"/>
        <v>9</v>
      </c>
      <c r="AH78" s="138">
        <f t="shared" si="73"/>
        <v>30</v>
      </c>
      <c r="AI78" s="138">
        <f t="shared" si="64"/>
        <v>1719</v>
      </c>
      <c r="AJ78" s="138">
        <f t="shared" si="65"/>
        <v>1736</v>
      </c>
      <c r="AL78" s="136">
        <f t="shared" si="29"/>
        <v>3.4670000000000001</v>
      </c>
      <c r="AM78" s="258">
        <f t="shared" si="30"/>
        <v>-5.5E-2</v>
      </c>
      <c r="AN78" s="258">
        <f t="shared" si="31"/>
        <v>0.01</v>
      </c>
      <c r="AO78" s="258">
        <f t="shared" si="32"/>
        <v>0.75</v>
      </c>
      <c r="AP78" s="258">
        <f t="shared" si="33"/>
        <v>0</v>
      </c>
      <c r="AQ78" s="136">
        <f t="shared" si="66"/>
        <v>3.3399999999999999E-2</v>
      </c>
      <c r="AR78" s="137">
        <f t="shared" si="35"/>
        <v>2.75E-2</v>
      </c>
      <c r="AS78" s="136">
        <f t="shared" si="67"/>
        <v>3.4219999999999997</v>
      </c>
      <c r="AT78" s="137">
        <f t="shared" si="68"/>
        <v>5.2649347098806303E-2</v>
      </c>
      <c r="AU78" s="137">
        <f t="shared" si="38"/>
        <v>0.78147377660520789</v>
      </c>
      <c r="AV78" s="394">
        <f t="shared" si="69"/>
        <v>398.55162606865605</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1.8623835568702114E-7</v>
      </c>
      <c r="BH78" s="137">
        <f>IF(OR(BF78&lt;&gt;0,BG78&lt;&gt;0),_xll.xSPRDOPT($BW78,$BV78,$CG78,0,$BY78,$BX78,$BZ78,$AJ78,1,12)*$CB78,0)</f>
        <v>-1.8623835568702114E-7</v>
      </c>
      <c r="BI78" s="137">
        <f>_xll.xSPRDOPT($BW78,$BV78,$CG78,2*LN(1+CA78/2),$BY78,$BX78,$BZ78,$AJ78,1,9)</f>
        <v>2.6988620842964512E-2</v>
      </c>
      <c r="BJ78" s="137">
        <f>_xll.xSPRDOPT($BW78,$BV78,$CG78,0,$BY78,$BX78,$BZ78,$AJ78,1,6)*$CB78</f>
        <v>5.9860094294402045E-7</v>
      </c>
      <c r="BK78" s="137">
        <f>_xll.xSPRDOPT($BW78,$BV78,$CG78,0,$BY78,$BX78,$BZ78,$AJ78,1,5)*$CB78</f>
        <v>-7.1739410460621767E-7</v>
      </c>
      <c r="BL78" s="137">
        <f>_xll.xSPRDOPT(BW78,BV78,CG78,0,BY78,BX78,BZ78,AJ78,1,2)*CB78</f>
        <v>-0.78114035790553615</v>
      </c>
      <c r="BM78" s="137">
        <f>_xll.xSPRDOPT(BW78,BV78,CG78,0,BY78,BX78,BZ78,AJ78,1,1)*CB78</f>
        <v>0.78114035790127345</v>
      </c>
      <c r="BN78" s="137">
        <f>IF(AH78&lt;&gt;0,_xll.xSPRDOPT($BW78,$BV78,$CG78,2*LN(1+CA78/2),$BY78,$BX78,$BZ78,$AJ78,1,8)+(AJ78/365.25)*CH78/AH78,0)</f>
        <v>-1.0749495911252456</v>
      </c>
      <c r="BO78" s="137">
        <f>_xll.xSPRDOPT($BW78,$BV78,$CG78,0,$BY78,$BX78,$BZ78,$AJ78,1,0)</f>
        <v>0.66483399943081045</v>
      </c>
      <c r="BP78" s="137"/>
      <c r="BQ78" s="137"/>
      <c r="BR78" s="137"/>
      <c r="BS78" s="137"/>
      <c r="BV78" s="262">
        <v>3.518766066838046</v>
      </c>
      <c r="BW78" s="136">
        <v>4.2170000000000005</v>
      </c>
      <c r="BX78" s="137">
        <v>0.25167345779991812</v>
      </c>
      <c r="BY78" s="137">
        <v>0.25167345779991812</v>
      </c>
      <c r="BZ78" s="137">
        <v>1</v>
      </c>
      <c r="CA78" s="137">
        <v>5.2649347098806303E-2</v>
      </c>
      <c r="CB78" s="137">
        <v>0.78114028021149551</v>
      </c>
      <c r="CC78" s="258">
        <v>-5.5E-2</v>
      </c>
      <c r="CD78" s="258">
        <v>0.01</v>
      </c>
      <c r="CE78" s="258">
        <v>0.75</v>
      </c>
      <c r="CF78" s="258">
        <v>0</v>
      </c>
      <c r="CG78" s="258">
        <v>3.3399999999999999E-2</v>
      </c>
      <c r="CH78" s="258">
        <v>8.7948584149012277</v>
      </c>
      <c r="CI78" s="258">
        <v>3.4670000000000001</v>
      </c>
      <c r="CJ78" s="258"/>
      <c r="CK78" s="258"/>
      <c r="CL78" s="258"/>
      <c r="CM78" s="258"/>
    </row>
    <row r="79" spans="1:91" x14ac:dyDescent="0.25">
      <c r="A79" s="723"/>
      <c r="B79" s="723"/>
      <c r="D79" s="31">
        <f t="shared" si="52"/>
        <v>39005</v>
      </c>
      <c r="F79" s="28">
        <f t="shared" si="53"/>
        <v>612</v>
      </c>
      <c r="G79" s="28">
        <f t="shared" si="13"/>
        <v>475.52712266808015</v>
      </c>
      <c r="H79" s="52">
        <f t="shared" si="54"/>
        <v>3.5444730077120816</v>
      </c>
      <c r="I79" s="52">
        <f t="shared" si="55"/>
        <v>3.9420000000000002</v>
      </c>
      <c r="K79" s="52">
        <f t="shared" si="56"/>
        <v>8.7707844587943473</v>
      </c>
      <c r="L79" s="135">
        <f t="shared" si="57"/>
        <v>2.1747963803164794E-6</v>
      </c>
      <c r="N79" s="131">
        <f t="shared" si="48"/>
        <v>0.25274596357326584</v>
      </c>
      <c r="O79" s="131">
        <f t="shared" si="49"/>
        <v>0.25274596357326584</v>
      </c>
      <c r="P79" s="55">
        <f t="shared" si="50"/>
        <v>1.0000000000000002</v>
      </c>
      <c r="Q79" s="135">
        <f>_xll.xSPRDOPT(I79,H79,AQ79,0,O79,N79,P79,D79-$G$5,1,0)*AH79*AU79</f>
        <v>8.7707866335907276</v>
      </c>
      <c r="R79" s="135"/>
      <c r="S79" s="181">
        <f>_xll.xSPRDOPT(I79,H79,AQ79,AT79,O79,N79,P79,D79-$G$5,1,2)*AF79*(F79/(1-AR79))*AH79</f>
        <v>-15107.842282330228</v>
      </c>
      <c r="T79" s="181">
        <f>_xll.xSPRDOPT(I79,H79,AQ79,AT79,O79,N79,P79,D79-$G$5,1,1)*AF79*F79*AH79</f>
        <v>14692.376619635168</v>
      </c>
      <c r="U79" s="135"/>
      <c r="V79" s="146">
        <f t="shared" si="58"/>
        <v>9.0399104628386375</v>
      </c>
      <c r="W79" s="146"/>
      <c r="X79" s="338">
        <f t="shared" si="59"/>
        <v>0</v>
      </c>
      <c r="Y79" s="338">
        <f t="shared" si="20"/>
        <v>0</v>
      </c>
      <c r="Z79" s="338">
        <f t="shared" si="21"/>
        <v>2.303569511358428</v>
      </c>
      <c r="AA79" s="338">
        <f t="shared" si="22"/>
        <v>6.0401012107719576E-7</v>
      </c>
      <c r="AB79" s="338">
        <f t="shared" si="60"/>
        <v>0</v>
      </c>
      <c r="AC79" s="338">
        <f t="shared" si="61"/>
        <v>2.33395147761897</v>
      </c>
      <c r="AF79" s="138">
        <f t="shared" si="62"/>
        <v>1</v>
      </c>
      <c r="AG79" s="138">
        <f t="shared" si="63"/>
        <v>10</v>
      </c>
      <c r="AH79" s="138">
        <f t="shared" si="73"/>
        <v>31</v>
      </c>
      <c r="AI79" s="138">
        <f t="shared" si="64"/>
        <v>1749</v>
      </c>
      <c r="AJ79" s="138">
        <f t="shared" si="65"/>
        <v>1766</v>
      </c>
      <c r="AL79" s="136">
        <f t="shared" si="29"/>
        <v>3.492</v>
      </c>
      <c r="AM79" s="258">
        <f t="shared" si="30"/>
        <v>-5.5E-2</v>
      </c>
      <c r="AN79" s="258">
        <f t="shared" si="31"/>
        <v>0.01</v>
      </c>
      <c r="AO79" s="258">
        <f t="shared" si="32"/>
        <v>0.45</v>
      </c>
      <c r="AP79" s="258">
        <f t="shared" si="33"/>
        <v>0</v>
      </c>
      <c r="AQ79" s="136">
        <f t="shared" si="66"/>
        <v>3.3399999999999999E-2</v>
      </c>
      <c r="AR79" s="137">
        <f t="shared" si="35"/>
        <v>2.75E-2</v>
      </c>
      <c r="AS79" s="136">
        <f t="shared" si="67"/>
        <v>3.4469999999999996</v>
      </c>
      <c r="AT79" s="137">
        <f t="shared" si="68"/>
        <v>5.2961134911624401E-2</v>
      </c>
      <c r="AU79" s="137">
        <f t="shared" si="38"/>
        <v>0.77700510239882381</v>
      </c>
      <c r="AV79" s="394">
        <f t="shared" si="69"/>
        <v>409.48168896418014</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-9.2586466696211999E-7</v>
      </c>
      <c r="BG79" s="137">
        <f>_xll.xSPRDOPT($BW79,$BV79,$CG79,0,$BY79,$BX79,$BZ79,$AJ79,1,3)*$CB79</f>
        <v>1.8517293339242399E-7</v>
      </c>
      <c r="BH79" s="137">
        <f>IF(OR(BF79&lt;&gt;0,BG79&lt;&gt;0),_xll.xSPRDOPT($BW79,$BV79,$CG79,0,$BY79,$BX79,$BZ79,$AJ79,1,12)*$CB79,0)</f>
        <v>-1.3887970004431799E-7</v>
      </c>
      <c r="BI79" s="137">
        <f>_xll.xSPRDOPT($BW79,$BV79,$CG79,2*LN(1+CA79/2),$BY79,$BX79,$BZ79,$AJ79,1,9)</f>
        <v>1.4782816150531763E-2</v>
      </c>
      <c r="BJ79" s="137">
        <f>_xll.xSPRDOPT($BW79,$BV79,$CG79,0,$BY79,$BX79,$BZ79,$AJ79,1,6)*$CB79</f>
        <v>-3.2214621458726074E-5</v>
      </c>
      <c r="BK79" s="137">
        <f>_xll.xSPRDOPT($BW79,$BV79,$CG79,0,$BY79,$BX79,$BZ79,$AJ79,1,5)*$CB79</f>
        <v>3.5827613937225054E-5</v>
      </c>
      <c r="BL79" s="137">
        <f>_xll.xSPRDOPT(BW79,BV79,CG79,0,BY79,BX79,BZ79,AJ79,1,2)*CB79</f>
        <v>-0.77667079920820348</v>
      </c>
      <c r="BM79" s="137">
        <f>_xll.xSPRDOPT(BW79,BV79,CG79,0,BY79,BX79,BZ79,AJ79,1,1)*CB79</f>
        <v>0.77667079921032256</v>
      </c>
      <c r="BN79" s="137">
        <f>IF(AH79&lt;&gt;0,_xll.xSPRDOPT($BW79,$BV79,$CG79,2*LN(1+CA79/2),$BY79,$BX79,$BZ79,$AJ79,1,8)+(AJ79/365.25)*CH79/AH79,0)</f>
        <v>4.1957000927624666E-2</v>
      </c>
      <c r="BO79" s="137">
        <f>_xll.xSPRDOPT($BW79,$BV79,$CG79,0,$BY79,$BX79,$BZ79,$AJ79,1,0)</f>
        <v>0.36412708353568946</v>
      </c>
      <c r="BP79" s="137"/>
      <c r="BQ79" s="137"/>
      <c r="BR79" s="137"/>
      <c r="BS79" s="137"/>
      <c r="BV79" s="262">
        <v>3.5444730077120816</v>
      </c>
      <c r="BW79" s="136">
        <v>3.9420000000000002</v>
      </c>
      <c r="BX79" s="137">
        <v>0.25273715178521644</v>
      </c>
      <c r="BY79" s="137">
        <v>0.25273715178521644</v>
      </c>
      <c r="BZ79" s="137">
        <v>1</v>
      </c>
      <c r="CA79" s="137">
        <v>5.2961134911624401E-2</v>
      </c>
      <c r="CB79" s="137">
        <v>0.77667157521957753</v>
      </c>
      <c r="CC79" s="258">
        <v>-5.5E-2</v>
      </c>
      <c r="CD79" s="258">
        <v>0.01</v>
      </c>
      <c r="CE79" s="258">
        <v>0.45</v>
      </c>
      <c r="CF79" s="258">
        <v>0</v>
      </c>
      <c r="CG79" s="258">
        <v>3.3399999999999999E-2</v>
      </c>
      <c r="CH79" s="258">
        <v>9.0360301075771314</v>
      </c>
      <c r="CI79" s="258">
        <v>3.492</v>
      </c>
      <c r="CJ79" s="258"/>
      <c r="CK79" s="258"/>
      <c r="CL79" s="258"/>
      <c r="CM79" s="258"/>
    </row>
    <row r="80" spans="1:91" x14ac:dyDescent="0.25">
      <c r="A80" s="723"/>
      <c r="B80" s="723"/>
      <c r="D80" s="31">
        <f t="shared" si="52"/>
        <v>39036</v>
      </c>
      <c r="F80" s="28">
        <f t="shared" si="53"/>
        <v>612</v>
      </c>
      <c r="G80" s="28">
        <f t="shared" si="13"/>
        <v>472.69289298253477</v>
      </c>
      <c r="H80" s="52">
        <f t="shared" si="54"/>
        <v>3.7136246786632392</v>
      </c>
      <c r="I80" s="52">
        <f t="shared" si="55"/>
        <v>4.0940000000000003</v>
      </c>
      <c r="K80" s="52">
        <f t="shared" si="56"/>
        <v>8.0398415900106972</v>
      </c>
      <c r="L80" s="135">
        <f t="shared" si="57"/>
        <v>3.8671474325013833E-6</v>
      </c>
      <c r="N80" s="131">
        <f t="shared" si="48"/>
        <v>0.25708471122670462</v>
      </c>
      <c r="O80" s="131">
        <f t="shared" si="49"/>
        <v>0.25708471122670462</v>
      </c>
      <c r="P80" s="55">
        <f t="shared" si="50"/>
        <v>1</v>
      </c>
      <c r="Q80" s="135">
        <f>_xll.xSPRDOPT(I80,H80,AQ80,0,O80,N80,P80,D80-$G$5,1,0)*AH80*AU80</f>
        <v>8.0398454571581297</v>
      </c>
      <c r="R80" s="135"/>
      <c r="S80" s="181">
        <f>_xll.xSPRDOPT(I80,H80,AQ80,AT80,O80,N80,P80,D80-$G$5,1,2)*AF80*(F80/(1-AR80))*AH80</f>
        <v>-14531.875108538603</v>
      </c>
      <c r="T80" s="181">
        <f>_xll.xSPRDOPT(I80,H80,AQ80,AT80,O80,N80,P80,D80-$G$5,1,1)*AF80*F80*AH80</f>
        <v>14132.248543103888</v>
      </c>
      <c r="U80" s="135"/>
      <c r="V80" s="146">
        <f t="shared" si="58"/>
        <v>8.6961589576639859</v>
      </c>
      <c r="W80" s="146"/>
      <c r="X80" s="338">
        <f t="shared" si="59"/>
        <v>0</v>
      </c>
      <c r="Y80" s="338">
        <f t="shared" si="20"/>
        <v>0</v>
      </c>
      <c r="Z80" s="338">
        <f t="shared" si="21"/>
        <v>2.1242411947670559</v>
      </c>
      <c r="AA80" s="338">
        <f t="shared" si="22"/>
        <v>2.8768179962075339E-6</v>
      </c>
      <c r="AB80" s="338">
        <f t="shared" si="60"/>
        <v>0</v>
      </c>
      <c r="AC80" s="338">
        <f t="shared" si="61"/>
        <v>2.1524537035375371</v>
      </c>
      <c r="AF80" s="138">
        <f t="shared" si="62"/>
        <v>1</v>
      </c>
      <c r="AG80" s="138">
        <f t="shared" si="63"/>
        <v>11</v>
      </c>
      <c r="AH80" s="138">
        <f t="shared" si="73"/>
        <v>30</v>
      </c>
      <c r="AI80" s="138">
        <f t="shared" si="64"/>
        <v>1780</v>
      </c>
      <c r="AJ80" s="138">
        <f t="shared" si="65"/>
        <v>1797</v>
      </c>
      <c r="AL80" s="136">
        <f t="shared" si="29"/>
        <v>3.6440000000000001</v>
      </c>
      <c r="AM80" s="258">
        <f t="shared" si="30"/>
        <v>-4.4999999999999998E-2</v>
      </c>
      <c r="AN80" s="258">
        <f t="shared" si="31"/>
        <v>1.2500000000000001E-2</v>
      </c>
      <c r="AO80" s="258">
        <f t="shared" si="32"/>
        <v>0.45</v>
      </c>
      <c r="AP80" s="258">
        <f t="shared" si="33"/>
        <v>0</v>
      </c>
      <c r="AQ80" s="136">
        <f t="shared" si="66"/>
        <v>3.3399999999999999E-2</v>
      </c>
      <c r="AR80" s="137">
        <f t="shared" si="35"/>
        <v>2.75E-2</v>
      </c>
      <c r="AS80" s="136">
        <f t="shared" si="67"/>
        <v>3.6115000000000004</v>
      </c>
      <c r="AT80" s="137">
        <f t="shared" si="68"/>
        <v>5.3283315685584802E-2</v>
      </c>
      <c r="AU80" s="137">
        <f t="shared" si="38"/>
        <v>0.77237400814139667</v>
      </c>
      <c r="AV80" s="394">
        <f t="shared" si="69"/>
        <v>393.91074415211233</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-3.6813758787767732E-7</v>
      </c>
      <c r="BG80" s="137">
        <f>_xll.xSPRDOPT($BW80,$BV80,$CG80,0,$BY80,$BX80,$BZ80,$AJ80,1,3)*$CB80</f>
        <v>-2.7610319090825799E-7</v>
      </c>
      <c r="BH80" s="137">
        <f>IF(OR(BF80&lt;&gt;0,BG80&lt;&gt;0),_xll.xSPRDOPT($BW80,$BV80,$CG80,0,$BY80,$BX80,$BZ80,$AJ80,1,12)*$CB80,0)</f>
        <v>4.6017198484709665E-8</v>
      </c>
      <c r="BI80" s="137">
        <f>_xll.xSPRDOPT($BW80,$BV80,$CG80,2*LN(1+CA80/2),$BY80,$BX80,$BZ80,$AJ80,1,9)</f>
        <v>1.408640334765191E-2</v>
      </c>
      <c r="BJ80" s="137">
        <f>_xll.xSPRDOPT($BW80,$BV80,$CG80,0,$BY80,$BX80,$BZ80,$AJ80,1,6)*$CB80</f>
        <v>-9.7470730667656858E-5</v>
      </c>
      <c r="BK80" s="137">
        <f>_xll.xSPRDOPT($BW80,$BV80,$CG80,0,$BY80,$BX80,$BZ80,$AJ80,1,5)*$CB80</f>
        <v>1.0745434995652726E-4</v>
      </c>
      <c r="BL80" s="137">
        <f>_xll.xSPRDOPT(BW80,BV80,CG80,0,BY80,BX80,BZ80,AJ80,1,2)*CB80</f>
        <v>-0.77203803100845603</v>
      </c>
      <c r="BM80" s="137">
        <f>_xll.xSPRDOPT(BW80,BV80,CG80,0,BY80,BX80,BZ80,AJ80,1,1)*CB80</f>
        <v>0.77203803101126467</v>
      </c>
      <c r="BN80" s="137">
        <f>IF(AH80&lt;&gt;0,_xll.xSPRDOPT($BW80,$BV80,$CG80,2*LN(1+CA80/2),$BY80,$BX80,$BZ80,$AJ80,1,8)+(AJ80/365.25)*CH80/AH80,0)</f>
        <v>0.10758712865724962</v>
      </c>
      <c r="BO80" s="137">
        <f>_xll.xSPRDOPT($BW80,$BV80,$CG80,0,$BY80,$BX80,$BZ80,$AJ80,1,0)</f>
        <v>0.34697549080701312</v>
      </c>
      <c r="BP80" s="137"/>
      <c r="BQ80" s="137"/>
      <c r="BR80" s="137"/>
      <c r="BS80" s="137"/>
      <c r="BV80" s="262">
        <v>3.7136246786632392</v>
      </c>
      <c r="BW80" s="136">
        <v>4.0940000000000003</v>
      </c>
      <c r="BX80" s="137">
        <v>0.25706901657441361</v>
      </c>
      <c r="BY80" s="137">
        <v>0.25706901657441361</v>
      </c>
      <c r="BZ80" s="137">
        <v>1</v>
      </c>
      <c r="CA80" s="137">
        <v>5.3283315685584802E-2</v>
      </c>
      <c r="CB80" s="137">
        <v>0.77204047869284675</v>
      </c>
      <c r="CC80" s="258">
        <v>-4.4999999999999998E-2</v>
      </c>
      <c r="CD80" s="258">
        <v>1.2500000000000001E-2</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52"/>
        <v>39066</v>
      </c>
      <c r="F81" s="28">
        <f t="shared" si="53"/>
        <v>612</v>
      </c>
      <c r="G81" s="28">
        <f t="shared" si="13"/>
        <v>469.94244700323367</v>
      </c>
      <c r="H81" s="52">
        <f t="shared" si="54"/>
        <v>3.8606683804627249</v>
      </c>
      <c r="I81" s="52">
        <f t="shared" si="55"/>
        <v>4.1870000000000003</v>
      </c>
      <c r="K81" s="52">
        <f t="shared" si="56"/>
        <v>6.9730246156682867</v>
      </c>
      <c r="L81" s="135">
        <f t="shared" si="57"/>
        <v>1.6838135900698603E-5</v>
      </c>
      <c r="N81" s="131">
        <f t="shared" si="48"/>
        <v>0.26311016393816972</v>
      </c>
      <c r="O81" s="131">
        <f t="shared" si="49"/>
        <v>0.26311016393816972</v>
      </c>
      <c r="P81" s="55">
        <f t="shared" si="50"/>
        <v>0.99999999999999978</v>
      </c>
      <c r="Q81" s="135">
        <f>_xll.xSPRDOPT(I81,H81,AQ81,0,O81,N81,P81,D81-$G$5,1,0)*AH81*AU81</f>
        <v>6.9730414538041874</v>
      </c>
      <c r="R81" s="135"/>
      <c r="S81" s="181">
        <f>_xll.xSPRDOPT(I81,H81,AQ81,AT81,O81,N81,P81,D81-$G$5,1,2)*AF81*(F81/(1-AR81))*AH81</f>
        <v>-14927.349098407203</v>
      </c>
      <c r="T81" s="181">
        <f>_xll.xSPRDOPT(I81,H81,AQ81,AT81,O81,N81,P81,D81-$G$5,1,1)*AF81*F81*AH81</f>
        <v>14516.846998123361</v>
      </c>
      <c r="U81" s="135"/>
      <c r="V81" s="146">
        <f t="shared" si="58"/>
        <v>8.9337441358982392</v>
      </c>
      <c r="W81" s="146"/>
      <c r="X81" s="338">
        <f t="shared" si="59"/>
        <v>0</v>
      </c>
      <c r="Y81" s="338">
        <f t="shared" si="20"/>
        <v>0</v>
      </c>
      <c r="Z81" s="338">
        <f t="shared" si="21"/>
        <v>1.8529517368129726</v>
      </c>
      <c r="AA81" s="338">
        <f t="shared" si="22"/>
        <v>1.0793204782078656E-5</v>
      </c>
      <c r="AB81" s="338">
        <f t="shared" si="60"/>
        <v>0</v>
      </c>
      <c r="AC81" s="338">
        <f t="shared" si="61"/>
        <v>1.8777646536881274</v>
      </c>
      <c r="AF81" s="138">
        <f t="shared" si="62"/>
        <v>1</v>
      </c>
      <c r="AG81" s="138">
        <f t="shared" si="63"/>
        <v>12</v>
      </c>
      <c r="AH81" s="138">
        <f t="shared" si="73"/>
        <v>31</v>
      </c>
      <c r="AI81" s="138">
        <f t="shared" si="64"/>
        <v>1810</v>
      </c>
      <c r="AJ81" s="138">
        <f t="shared" si="65"/>
        <v>1827</v>
      </c>
      <c r="AL81" s="136">
        <f t="shared" si="29"/>
        <v>3.7869999999999999</v>
      </c>
      <c r="AM81" s="258">
        <f t="shared" si="30"/>
        <v>-4.4999999999999998E-2</v>
      </c>
      <c r="AN81" s="258">
        <f t="shared" si="31"/>
        <v>1.2500000000000001E-2</v>
      </c>
      <c r="AO81" s="258">
        <f t="shared" si="32"/>
        <v>0.4</v>
      </c>
      <c r="AP81" s="258">
        <f t="shared" si="33"/>
        <v>0</v>
      </c>
      <c r="AQ81" s="136">
        <f t="shared" si="66"/>
        <v>3.3399999999999999E-2</v>
      </c>
      <c r="AR81" s="137">
        <f t="shared" si="35"/>
        <v>2.75E-2</v>
      </c>
      <c r="AS81" s="136">
        <f t="shared" si="67"/>
        <v>3.7545000000000002</v>
      </c>
      <c r="AT81" s="137">
        <f t="shared" si="68"/>
        <v>5.3595103564298502E-2</v>
      </c>
      <c r="AU81" s="137">
        <f t="shared" si="38"/>
        <v>0.76787981536476091</v>
      </c>
      <c r="AV81" s="394">
        <f t="shared" si="69"/>
        <v>404.67266269722899</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-7.319892045665859E-7</v>
      </c>
      <c r="BG81" s="137">
        <f>_xll.xSPRDOPT($BW81,$BV81,$CG81,0,$BY81,$BX81,$BZ81,$AJ81,1,3)*$CB81</f>
        <v>-1.8299730114164648E-7</v>
      </c>
      <c r="BH81" s="137">
        <f>IF(OR(BF81&lt;&gt;0,BG81&lt;&gt;0),_xll.xSPRDOPT($BW81,$BV81,$CG81,0,$BY81,$BX81,$BZ81,$AJ81,1,12)*$CB81,0)</f>
        <v>4.574932528541162E-7</v>
      </c>
      <c r="BI81" s="137">
        <f>_xll.xSPRDOPT($BW81,$BV81,$CG81,2*LN(1+CA81/2),$BY81,$BX81,$BZ81,$AJ81,1,9)</f>
        <v>1.1891043324740639E-2</v>
      </c>
      <c r="BJ81" s="137">
        <f>_xll.xSPRDOPT($BW81,$BV81,$CG81,0,$BY81,$BX81,$BZ81,$AJ81,1,6)*$CB81</f>
        <v>-2.708099090171163E-4</v>
      </c>
      <c r="BK81" s="137">
        <f>_xll.xSPRDOPT($BW81,$BV81,$CG81,0,$BY81,$BX81,$BZ81,$AJ81,1,5)*$CB81</f>
        <v>2.9370072113127349E-4</v>
      </c>
      <c r="BL81" s="137">
        <f>_xll.xSPRDOPT(BW81,BV81,CG81,0,BY81,BX81,BZ81,AJ81,1,2)*CB81</f>
        <v>-0.76753941164461448</v>
      </c>
      <c r="BM81" s="137">
        <f>_xll.xSPRDOPT(BW81,BV81,CG81,0,BY81,BX81,BZ81,AJ81,1,1)*CB81</f>
        <v>0.76753941164321837</v>
      </c>
      <c r="BN81" s="137">
        <f>IF(AH81&lt;&gt;0,_xll.xSPRDOPT($BW81,$BV81,$CG81,2*LN(1+CA81/2),$BY81,$BX81,$BZ81,$AJ81,1,8)+(AJ81/365.25)*CH81/AH81,0)</f>
        <v>0.31623481400519138</v>
      </c>
      <c r="BO81" s="137">
        <f>_xll.xSPRDOPT($BW81,$BV81,$CG81,0,$BY81,$BX81,$BZ81,$AJ81,1,0)</f>
        <v>0.29293233260404716</v>
      </c>
      <c r="BP81" s="137"/>
      <c r="BQ81" s="137"/>
      <c r="BR81" s="137"/>
      <c r="BS81" s="137"/>
      <c r="BV81" s="262">
        <v>3.8606683804627249</v>
      </c>
      <c r="BW81" s="136">
        <v>4.1870000000000003</v>
      </c>
      <c r="BX81" s="137">
        <v>0.26308531109379124</v>
      </c>
      <c r="BY81" s="137">
        <v>0.26308531109379124</v>
      </c>
      <c r="BZ81" s="137">
        <v>1</v>
      </c>
      <c r="CA81" s="137">
        <v>5.3595103564298502E-2</v>
      </c>
      <c r="CB81" s="137">
        <v>0.76754631216761238</v>
      </c>
      <c r="CC81" s="258">
        <v>-4.4999999999999998E-2</v>
      </c>
      <c r="CD81" s="258">
        <v>1.2500000000000001E-2</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52"/>
        <v>39097</v>
      </c>
      <c r="F82" s="28">
        <f t="shared" si="53"/>
        <v>612</v>
      </c>
      <c r="G82" s="28">
        <f t="shared" si="13"/>
        <v>467.23692563618499</v>
      </c>
      <c r="H82" s="52">
        <f t="shared" si="54"/>
        <v>3.9146529562982009</v>
      </c>
      <c r="I82" s="52">
        <f t="shared" si="55"/>
        <v>4.1894999999999998</v>
      </c>
      <c r="K82" s="52">
        <f t="shared" si="56"/>
        <v>5.7143826903568602</v>
      </c>
      <c r="L82" s="135">
        <f t="shared" si="57"/>
        <v>6.192759745182741E-5</v>
      </c>
      <c r="N82" s="131">
        <f t="shared" si="48"/>
        <v>0.26285711475899531</v>
      </c>
      <c r="O82" s="131">
        <f t="shared" si="49"/>
        <v>0.26285711475899531</v>
      </c>
      <c r="P82" s="55">
        <f t="shared" si="50"/>
        <v>1.0000000000000002</v>
      </c>
      <c r="Q82" s="135">
        <f>_xll.xSPRDOPT(I82,H82,AQ82,0,O82,N82,P82,D82-$G$5,1,0)*AH82*AU82</f>
        <v>5.714444617954312</v>
      </c>
      <c r="R82" s="135"/>
      <c r="S82" s="181">
        <f>_xll.xSPRDOPT(I82,H82,AQ82,AT82,O82,N82,P82,D82-$G$5,1,2)*AF82*(F82/(1-AR82))*AH82</f>
        <v>-14839.116275275166</v>
      </c>
      <c r="T82" s="181">
        <f>_xll.xSPRDOPT(I82,H82,AQ82,AT82,O82,N82,P82,D82-$G$5,1,1)*AF82*F82*AH82</f>
        <v>14431.040577472157</v>
      </c>
      <c r="U82" s="135"/>
      <c r="V82" s="146">
        <f t="shared" si="58"/>
        <v>8.8823113789690655</v>
      </c>
      <c r="W82" s="146"/>
      <c r="X82" s="338">
        <f t="shared" si="59"/>
        <v>0</v>
      </c>
      <c r="Y82" s="338">
        <f t="shared" si="20"/>
        <v>0</v>
      </c>
      <c r="Z82" s="338">
        <f t="shared" si="21"/>
        <v>1.525307576359227</v>
      </c>
      <c r="AA82" s="338">
        <f t="shared" si="22"/>
        <v>6.0531762204121894E-5</v>
      </c>
      <c r="AB82" s="338">
        <f t="shared" si="60"/>
        <v>0</v>
      </c>
      <c r="AC82" s="338">
        <f t="shared" si="61"/>
        <v>1.5462940918936887</v>
      </c>
      <c r="AF82" s="138">
        <f t="shared" si="62"/>
        <v>1</v>
      </c>
      <c r="AG82" s="138">
        <f t="shared" si="63"/>
        <v>1</v>
      </c>
      <c r="AH82" s="138">
        <f t="shared" si="73"/>
        <v>31</v>
      </c>
      <c r="AI82" s="138">
        <f t="shared" si="64"/>
        <v>1841</v>
      </c>
      <c r="AJ82" s="138">
        <f t="shared" si="65"/>
        <v>1858</v>
      </c>
      <c r="AL82" s="136">
        <f t="shared" si="29"/>
        <v>3.8395000000000001</v>
      </c>
      <c r="AM82" s="258">
        <f t="shared" si="30"/>
        <v>-4.4999999999999998E-2</v>
      </c>
      <c r="AN82" s="258">
        <f t="shared" si="31"/>
        <v>1.2500000000000001E-2</v>
      </c>
      <c r="AO82" s="258">
        <f t="shared" si="32"/>
        <v>0.35</v>
      </c>
      <c r="AP82" s="258">
        <f t="shared" si="33"/>
        <v>0</v>
      </c>
      <c r="AQ82" s="136">
        <f t="shared" si="66"/>
        <v>3.3399999999999999E-2</v>
      </c>
      <c r="AR82" s="137">
        <f t="shared" si="35"/>
        <v>2.75E-2</v>
      </c>
      <c r="AS82" s="136">
        <f t="shared" si="67"/>
        <v>3.8070000000000004</v>
      </c>
      <c r="AT82" s="137">
        <f t="shared" si="68"/>
        <v>5.38548873933569E-2</v>
      </c>
      <c r="AU82" s="137">
        <f t="shared" si="38"/>
        <v>0.76345902881729577</v>
      </c>
      <c r="AV82" s="394">
        <f t="shared" si="69"/>
        <v>402.34290818671485</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1.0461744533859029E-6</v>
      </c>
      <c r="BG82" s="137">
        <f>_xll.xSPRDOPT($BW82,$BV82,$CG82,0,$BY82,$BX82,$BZ82,$AJ82,1,3)*$CB82</f>
        <v>9.5520276178712881E-7</v>
      </c>
      <c r="BH82" s="137">
        <f>IF(OR(BF82&lt;&gt;0,BG82&lt;&gt;0),_xll.xSPRDOPT($BW82,$BV82,$CG82,0,$BY82,$BX82,$BZ82,$AJ82,1,12)*$CB82,0)</f>
        <v>-6.8228768699080631E-8</v>
      </c>
      <c r="BI82" s="137">
        <f>_xll.xSPRDOPT($BW82,$BV82,$CG82,2*LN(1+CA82/2),$BY82,$BX82,$BZ82,$AJ82,1,9)</f>
        <v>9.7884354533910971E-3</v>
      </c>
      <c r="BJ82" s="137">
        <f>_xll.xSPRDOPT($BW82,$BV82,$CG82,0,$BY82,$BX82,$BZ82,$AJ82,1,6)*$CB82</f>
        <v>-1.8892673386943849E-3</v>
      </c>
      <c r="BK82" s="137">
        <f>_xll.xSPRDOPT($BW82,$BV82,$CG82,0,$BY82,$BX82,$BZ82,$AJ82,1,5)*$CB82</f>
        <v>2.0219124312750351E-3</v>
      </c>
      <c r="BL82" s="137">
        <f>_xll.xSPRDOPT(BW82,BV82,CG82,0,BY82,BX82,BZ82,AJ82,1,2)*CB82</f>
        <v>-0.76307314612272936</v>
      </c>
      <c r="BM82" s="137">
        <f>_xll.xSPRDOPT(BW82,BV82,CG82,0,BY82,BX82,BZ82,AJ82,1,1)*CB82</f>
        <v>0.76307314611127741</v>
      </c>
      <c r="BN82" s="137">
        <f>IF(AH82&lt;&gt;0,_xll.xSPRDOPT($BW82,$BV82,$CG82,2*LN(1+CA82/2),$BY82,$BX82,$BZ82,$AJ82,1,8)+(AJ82/365.25)*CH82/AH82,0)</f>
        <v>0.51960225502085855</v>
      </c>
      <c r="BO82" s="137">
        <f>_xll.xSPRDOPT($BW82,$BV82,$CG82,0,$BY82,$BX82,$BZ82,$AJ82,1,0)</f>
        <v>0.24144969304499389</v>
      </c>
      <c r="BP82" s="137"/>
      <c r="BQ82" s="137"/>
      <c r="BR82" s="137"/>
      <c r="BS82" s="137"/>
      <c r="BV82" s="262">
        <v>3.9146529562982009</v>
      </c>
      <c r="BW82" s="136">
        <v>4.1894999999999998</v>
      </c>
      <c r="BX82" s="137">
        <v>0.26283306121828259</v>
      </c>
      <c r="BY82" s="137">
        <v>0.26283306121828259</v>
      </c>
      <c r="BZ82" s="137">
        <v>1</v>
      </c>
      <c r="CA82" s="137">
        <v>5.38548873933569E-2</v>
      </c>
      <c r="CB82" s="137">
        <v>0.76312585991900983</v>
      </c>
      <c r="CC82" s="258">
        <v>-4.4999999999999998E-2</v>
      </c>
      <c r="CD82" s="258">
        <v>1.2500000000000001E-2</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52"/>
        <v>39128</v>
      </c>
      <c r="F83" s="28">
        <f t="shared" si="53"/>
        <v>612</v>
      </c>
      <c r="G83" s="28">
        <f t="shared" si="13"/>
        <v>0</v>
      </c>
      <c r="H83" s="52">
        <f t="shared" si="54"/>
        <v>3.8272493573264783</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-4.4999999999999998E-2</v>
      </c>
      <c r="AN83" s="258">
        <f t="shared" si="31"/>
        <v>1.2500000000000001E-2</v>
      </c>
      <c r="AO83" s="258">
        <f t="shared" si="32"/>
        <v>0.35</v>
      </c>
      <c r="AP83" s="258">
        <f t="shared" si="33"/>
        <v>0</v>
      </c>
      <c r="AQ83" s="136">
        <f t="shared" si="66"/>
        <v>3.3399999999999999E-2</v>
      </c>
      <c r="AR83" s="137">
        <f t="shared" si="35"/>
        <v>2.75E-2</v>
      </c>
      <c r="AS83" s="136">
        <f t="shared" si="67"/>
        <v>3.7220000000000004</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-2.9834014907667412E-2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1.3287891955131295</v>
      </c>
      <c r="BP83" s="137"/>
      <c r="BQ83" s="137"/>
      <c r="BR83" s="137"/>
      <c r="BS83" s="137"/>
      <c r="BV83" s="262">
        <v>3.8272493573264783</v>
      </c>
      <c r="BW83" s="136">
        <v>4.1044999999999998</v>
      </c>
      <c r="BX83" s="137">
        <v>0.24249999999999999</v>
      </c>
      <c r="BY83" s="137">
        <v>0.24249999999999999</v>
      </c>
      <c r="BZ83" s="137">
        <v>0</v>
      </c>
      <c r="CA83" s="137">
        <v>5.4038903438607302E-2</v>
      </c>
      <c r="CB83" s="137">
        <v>0</v>
      </c>
      <c r="CC83" s="258">
        <v>-4.4999999999999998E-2</v>
      </c>
      <c r="CD83" s="258">
        <v>1.2500000000000001E-2</v>
      </c>
      <c r="CE83" s="258">
        <v>0.35</v>
      </c>
      <c r="CF83" s="258">
        <v>0</v>
      </c>
      <c r="CG83" s="258">
        <v>3.3399999999999999E-2</v>
      </c>
      <c r="CH83" s="258">
        <v>0</v>
      </c>
      <c r="CI83" s="258">
        <v>3.7545000000000002</v>
      </c>
      <c r="CJ83" s="258"/>
      <c r="CK83" s="258"/>
      <c r="CL83" s="258"/>
      <c r="CM83" s="258"/>
    </row>
    <row r="84" spans="1:91" x14ac:dyDescent="0.25">
      <c r="A84" s="723"/>
      <c r="B84" s="723"/>
      <c r="D84" s="31">
        <f t="shared" si="52"/>
        <v>39128</v>
      </c>
      <c r="F84" s="28">
        <f t="shared" si="53"/>
        <v>612</v>
      </c>
      <c r="G84" s="28">
        <f t="shared" si="13"/>
        <v>0</v>
      </c>
      <c r="H84" s="52">
        <f t="shared" si="54"/>
        <v>3.8272493573264783</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-4.4999999999999998E-2</v>
      </c>
      <c r="AN84" s="258">
        <f t="shared" si="31"/>
        <v>1.2500000000000001E-2</v>
      </c>
      <c r="AO84" s="258">
        <f t="shared" si="32"/>
        <v>0.35</v>
      </c>
      <c r="AP84" s="258">
        <f t="shared" si="33"/>
        <v>0</v>
      </c>
      <c r="AQ84" s="136">
        <f t="shared" si="66"/>
        <v>3.3399999999999999E-2</v>
      </c>
      <c r="AR84" s="137">
        <f t="shared" si="35"/>
        <v>2.75E-2</v>
      </c>
      <c r="AS84" s="136">
        <f t="shared" si="67"/>
        <v>3.7220000000000004</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-2.9834014907667412E-2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1.3287891955131295</v>
      </c>
      <c r="BP84" s="137"/>
      <c r="BQ84" s="137"/>
      <c r="BR84" s="137"/>
      <c r="BS84" s="137"/>
      <c r="BV84" s="262">
        <v>3.8272493573264783</v>
      </c>
      <c r="BW84" s="136">
        <v>4.1044999999999998</v>
      </c>
      <c r="BX84" s="137">
        <v>0.24249999999999999</v>
      </c>
      <c r="BY84" s="137">
        <v>0.24249999999999999</v>
      </c>
      <c r="BZ84" s="137">
        <v>0</v>
      </c>
      <c r="CA84" s="137">
        <v>5.4038903438607302E-2</v>
      </c>
      <c r="CB84" s="137">
        <v>0</v>
      </c>
      <c r="CC84" s="258">
        <v>-4.4999999999999998E-2</v>
      </c>
      <c r="CD84" s="258">
        <v>1.2500000000000001E-2</v>
      </c>
      <c r="CE84" s="258">
        <v>0.35</v>
      </c>
      <c r="CF84" s="258">
        <v>0</v>
      </c>
      <c r="CG84" s="258">
        <v>3.3399999999999999E-2</v>
      </c>
      <c r="CH84" s="258">
        <v>0</v>
      </c>
      <c r="CI84" s="258">
        <v>3.7545000000000002</v>
      </c>
      <c r="CJ84" s="258"/>
      <c r="CK84" s="258"/>
      <c r="CL84" s="258"/>
      <c r="CM84" s="258"/>
    </row>
    <row r="85" spans="1:91" x14ac:dyDescent="0.25">
      <c r="A85" s="723"/>
      <c r="B85" s="723"/>
      <c r="D85" s="31">
        <f t="shared" si="52"/>
        <v>39128</v>
      </c>
      <c r="F85" s="28">
        <f t="shared" si="53"/>
        <v>612</v>
      </c>
      <c r="G85" s="28">
        <f t="shared" si="13"/>
        <v>0</v>
      </c>
      <c r="H85" s="52">
        <f t="shared" si="54"/>
        <v>3.8272493573264783</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-4.4999999999999998E-2</v>
      </c>
      <c r="AN85" s="258">
        <f t="shared" si="31"/>
        <v>1.2500000000000001E-2</v>
      </c>
      <c r="AO85" s="258">
        <f t="shared" si="32"/>
        <v>0.35</v>
      </c>
      <c r="AP85" s="258">
        <f t="shared" si="33"/>
        <v>0</v>
      </c>
      <c r="AQ85" s="136">
        <f t="shared" si="66"/>
        <v>3.3399999999999999E-2</v>
      </c>
      <c r="AR85" s="137">
        <f t="shared" si="35"/>
        <v>2.75E-2</v>
      </c>
      <c r="AS85" s="136">
        <f t="shared" si="67"/>
        <v>3.7220000000000004</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-2.9834014907667412E-2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1.3287891955131295</v>
      </c>
      <c r="BP85" s="137"/>
      <c r="BQ85" s="137"/>
      <c r="BR85" s="137"/>
      <c r="BS85" s="137"/>
      <c r="BV85" s="262">
        <v>3.8272493573264783</v>
      </c>
      <c r="BW85" s="136">
        <v>4.1044999999999998</v>
      </c>
      <c r="BX85" s="137">
        <v>0.24249999999999999</v>
      </c>
      <c r="BY85" s="137">
        <v>0.24249999999999999</v>
      </c>
      <c r="BZ85" s="137">
        <v>0</v>
      </c>
      <c r="CA85" s="137">
        <v>5.4038903438607302E-2</v>
      </c>
      <c r="CB85" s="137">
        <v>0</v>
      </c>
      <c r="CC85" s="258">
        <v>-4.4999999999999998E-2</v>
      </c>
      <c r="CD85" s="258">
        <v>1.2500000000000001E-2</v>
      </c>
      <c r="CE85" s="258">
        <v>0.35</v>
      </c>
      <c r="CF85" s="258">
        <v>0</v>
      </c>
      <c r="CG85" s="258">
        <v>3.3399999999999999E-2</v>
      </c>
      <c r="CH85" s="258">
        <v>0</v>
      </c>
      <c r="CI85" s="258">
        <v>3.7545000000000002</v>
      </c>
      <c r="CJ85" s="258"/>
      <c r="CK85" s="258"/>
      <c r="CL85" s="258"/>
      <c r="CM85" s="258"/>
    </row>
    <row r="86" spans="1:91" x14ac:dyDescent="0.25">
      <c r="A86" s="723"/>
      <c r="B86" s="723"/>
      <c r="D86" s="31">
        <f t="shared" si="52"/>
        <v>39128</v>
      </c>
      <c r="F86" s="28">
        <f t="shared" si="53"/>
        <v>612</v>
      </c>
      <c r="G86" s="28">
        <f>F86*$AU86</f>
        <v>0</v>
      </c>
      <c r="H86" s="52">
        <f t="shared" si="54"/>
        <v>3.8272493573264783</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-4.4999999999999998E-2</v>
      </c>
      <c r="AN86" s="258">
        <f>VLOOKUP($D86,CurveTbl,$AH$4)+VLOOKUP($AG86,$AL$3:$AS$15,6)</f>
        <v>1.2500000000000001E-2</v>
      </c>
      <c r="AO86" s="258">
        <f>VLOOKUP($D86,CurveTbl,$AH$5)</f>
        <v>0.35</v>
      </c>
      <c r="AP86" s="258">
        <f>VLOOKUP($D86,CurveTbl,$AH$6)+VLOOKUP($AG86,$AL$3:$AS$15,7)</f>
        <v>0</v>
      </c>
      <c r="AQ86" s="136">
        <f t="shared" si="66"/>
        <v>3.3399999999999999E-2</v>
      </c>
      <c r="AR86" s="137">
        <f>VLOOKUP($AG86,$AL$4:$AS$15,4)</f>
        <v>2.75E-2</v>
      </c>
      <c r="AS86" s="136">
        <f t="shared" si="67"/>
        <v>3.7220000000000004</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-2.9834014907667412E-2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1.3287891955131295</v>
      </c>
      <c r="BP86" s="137"/>
      <c r="BQ86" s="137"/>
      <c r="BR86" s="137"/>
      <c r="BS86" s="137"/>
      <c r="BV86" s="262">
        <v>3.8272493573264783</v>
      </c>
      <c r="BW86" s="136">
        <v>4.1044999999999998</v>
      </c>
      <c r="BX86" s="137">
        <v>0.24249999999999999</v>
      </c>
      <c r="BY86" s="137">
        <v>0.24249999999999999</v>
      </c>
      <c r="BZ86" s="137">
        <v>0</v>
      </c>
      <c r="CA86" s="137">
        <v>5.4038903438607302E-2</v>
      </c>
      <c r="CB86" s="137">
        <v>0</v>
      </c>
      <c r="CC86" s="258">
        <v>-4.4999999999999998E-2</v>
      </c>
      <c r="CD86" s="258">
        <v>1.2500000000000001E-2</v>
      </c>
      <c r="CE86" s="258">
        <v>0.35</v>
      </c>
      <c r="CF86" s="258">
        <v>0</v>
      </c>
      <c r="CG86" s="258">
        <v>3.3399999999999999E-2</v>
      </c>
      <c r="CH86" s="258">
        <v>0</v>
      </c>
      <c r="CI86" s="258">
        <v>3.7545000000000002</v>
      </c>
      <c r="CJ86" s="258"/>
      <c r="CK86" s="258"/>
      <c r="CL86" s="258"/>
      <c r="CM86" s="258"/>
    </row>
    <row r="87" spans="1:91" x14ac:dyDescent="0.25">
      <c r="A87" s="723"/>
      <c r="B87" s="723"/>
      <c r="D87" s="31">
        <f t="shared" si="52"/>
        <v>39128</v>
      </c>
      <c r="F87" s="28">
        <f t="shared" si="53"/>
        <v>612</v>
      </c>
      <c r="G87" s="28">
        <f>F87*$AU87</f>
        <v>0</v>
      </c>
      <c r="H87" s="52">
        <f t="shared" si="54"/>
        <v>3.8272493573264783</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-4.4999999999999998E-2</v>
      </c>
      <c r="AN87" s="258">
        <f>VLOOKUP($D87,CurveTbl,$AH$4)+VLOOKUP($AG87,$AL$3:$AS$15,6)</f>
        <v>1.2500000000000001E-2</v>
      </c>
      <c r="AO87" s="258">
        <f>VLOOKUP($D87,CurveTbl,$AH$5)</f>
        <v>0.35</v>
      </c>
      <c r="AP87" s="258">
        <f>VLOOKUP($D87,CurveTbl,$AH$6)+VLOOKUP($AG87,$AL$3:$AS$15,7)</f>
        <v>0</v>
      </c>
      <c r="AQ87" s="136">
        <f t="shared" si="66"/>
        <v>3.3399999999999999E-2</v>
      </c>
      <c r="AR87" s="137">
        <f>VLOOKUP($AG87,$AL$4:$AS$15,4)</f>
        <v>2.75E-2</v>
      </c>
      <c r="AS87" s="136">
        <f t="shared" si="67"/>
        <v>3.7220000000000004</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-2.9834014907667412E-2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1.3287891955131295</v>
      </c>
      <c r="BP87" s="137"/>
      <c r="BQ87" s="137"/>
      <c r="BR87" s="137"/>
      <c r="BS87" s="137"/>
      <c r="BV87" s="262">
        <v>3.8272493573264783</v>
      </c>
      <c r="BW87" s="136">
        <v>4.1044999999999998</v>
      </c>
      <c r="BX87" s="137">
        <v>0.24249999999999999</v>
      </c>
      <c r="BY87" s="137">
        <v>0.24249999999999999</v>
      </c>
      <c r="BZ87" s="137">
        <v>0</v>
      </c>
      <c r="CA87" s="137">
        <v>5.4038903438607302E-2</v>
      </c>
      <c r="CB87" s="137">
        <v>0</v>
      </c>
      <c r="CC87" s="258">
        <v>-4.4999999999999998E-2</v>
      </c>
      <c r="CD87" s="258">
        <v>1.2500000000000001E-2</v>
      </c>
      <c r="CE87" s="258">
        <v>0.35</v>
      </c>
      <c r="CF87" s="258">
        <v>0</v>
      </c>
      <c r="CG87" s="258">
        <v>3.3399999999999999E-2</v>
      </c>
      <c r="CH87" s="258">
        <v>0</v>
      </c>
      <c r="CI87" s="258">
        <v>3.7545000000000002</v>
      </c>
      <c r="CJ87" s="258"/>
      <c r="CK87" s="258"/>
      <c r="CL87" s="258"/>
      <c r="CM87" s="258"/>
    </row>
    <row r="88" spans="1:91" x14ac:dyDescent="0.25">
      <c r="A88" s="723"/>
      <c r="B88" s="723"/>
      <c r="D88" s="31">
        <f t="shared" si="52"/>
        <v>39128</v>
      </c>
      <c r="F88" s="28">
        <f t="shared" si="53"/>
        <v>612</v>
      </c>
      <c r="G88" s="28">
        <f>F88*$AU88</f>
        <v>0</v>
      </c>
      <c r="H88" s="52">
        <f t="shared" si="54"/>
        <v>3.8272493573264783</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-4.4999999999999998E-2</v>
      </c>
      <c r="AN88" s="258">
        <f>VLOOKUP($D88,CurveTbl,$AH$4)+VLOOKUP($AG88,$AL$3:$AS$15,6)</f>
        <v>1.2500000000000001E-2</v>
      </c>
      <c r="AO88" s="258">
        <f>VLOOKUP($D88,CurveTbl,$AH$5)</f>
        <v>0.35</v>
      </c>
      <c r="AP88" s="258">
        <f>VLOOKUP($D88,CurveTbl,$AH$6)+VLOOKUP($AG88,$AL$3:$AS$15,7)</f>
        <v>0</v>
      </c>
      <c r="AQ88" s="136">
        <f t="shared" si="66"/>
        <v>3.3399999999999999E-2</v>
      </c>
      <c r="AR88" s="137">
        <f>VLOOKUP($AG88,$AL$4:$AS$15,4)</f>
        <v>2.75E-2</v>
      </c>
      <c r="AS88" s="136">
        <f t="shared" si="67"/>
        <v>3.7220000000000004</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-2.9834014907667412E-2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1.3287891955131295</v>
      </c>
      <c r="BP88" s="137"/>
      <c r="BQ88" s="137"/>
      <c r="BR88" s="137"/>
      <c r="BS88" s="137"/>
      <c r="BV88" s="262">
        <v>3.8272493573264783</v>
      </c>
      <c r="BW88" s="136">
        <v>4.1044999999999998</v>
      </c>
      <c r="BX88" s="137">
        <v>0.24249999999999999</v>
      </c>
      <c r="BY88" s="137">
        <v>0.24249999999999999</v>
      </c>
      <c r="BZ88" s="137">
        <v>0</v>
      </c>
      <c r="CA88" s="137">
        <v>5.4038903438607302E-2</v>
      </c>
      <c r="CB88" s="137">
        <v>0</v>
      </c>
      <c r="CC88" s="258">
        <v>-4.4999999999999998E-2</v>
      </c>
      <c r="CD88" s="258">
        <v>1.2500000000000001E-2</v>
      </c>
      <c r="CE88" s="258">
        <v>0.35</v>
      </c>
      <c r="CF88" s="258">
        <v>0</v>
      </c>
      <c r="CG88" s="258">
        <v>3.3399999999999999E-2</v>
      </c>
      <c r="CH88" s="258">
        <v>0</v>
      </c>
      <c r="CI88" s="258">
        <v>3.7545000000000002</v>
      </c>
      <c r="CJ88" s="258"/>
      <c r="CK88" s="258"/>
      <c r="CL88" s="258"/>
      <c r="CM88" s="258"/>
    </row>
    <row r="89" spans="1:91" x14ac:dyDescent="0.25">
      <c r="A89" s="723"/>
      <c r="B89" s="723"/>
      <c r="D89" s="31">
        <f t="shared" si="52"/>
        <v>39128</v>
      </c>
      <c r="F89" s="28">
        <f t="shared" si="53"/>
        <v>612</v>
      </c>
      <c r="G89" s="28">
        <f>F89*$AU89</f>
        <v>0</v>
      </c>
      <c r="H89" s="52">
        <f t="shared" si="54"/>
        <v>3.8272493573264783</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-4.4999999999999998E-2</v>
      </c>
      <c r="AN89" s="258">
        <f>VLOOKUP($D89,CurveTbl,$AH$4)+VLOOKUP($AG89,$AL$3:$AS$15,6)</f>
        <v>1.2500000000000001E-2</v>
      </c>
      <c r="AO89" s="258">
        <f>VLOOKUP($D89,CurveTbl,$AH$5)</f>
        <v>0.35</v>
      </c>
      <c r="AP89" s="258">
        <f>VLOOKUP($D89,CurveTbl,$AH$6)+VLOOKUP($AG89,$AL$3:$AS$15,7)</f>
        <v>0</v>
      </c>
      <c r="AQ89" s="136">
        <f t="shared" si="66"/>
        <v>3.3399999999999999E-2</v>
      </c>
      <c r="AR89" s="137">
        <f>VLOOKUP($AG89,$AL$4:$AS$15,4)</f>
        <v>2.75E-2</v>
      </c>
      <c r="AS89" s="136">
        <f t="shared" si="67"/>
        <v>3.7220000000000004</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-2.9834014907667412E-2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1.3287891955131295</v>
      </c>
      <c r="BP89" s="137"/>
      <c r="BQ89" s="137"/>
      <c r="BR89" s="137"/>
      <c r="BS89" s="137"/>
      <c r="BV89" s="262">
        <v>3.8272493573264783</v>
      </c>
      <c r="BW89" s="136">
        <v>4.1044999999999998</v>
      </c>
      <c r="BX89" s="137">
        <v>0.24249999999999999</v>
      </c>
      <c r="BY89" s="137">
        <v>0.24249999999999999</v>
      </c>
      <c r="BZ89" s="137">
        <v>0</v>
      </c>
      <c r="CA89" s="137">
        <v>5.4038903438607302E-2</v>
      </c>
      <c r="CB89" s="137">
        <v>0</v>
      </c>
      <c r="CC89" s="258">
        <v>-4.4999999999999998E-2</v>
      </c>
      <c r="CD89" s="258">
        <v>1.2500000000000001E-2</v>
      </c>
      <c r="CE89" s="258">
        <v>0.35</v>
      </c>
      <c r="CF89" s="258">
        <v>0</v>
      </c>
      <c r="CG89" s="258">
        <v>3.3399999999999999E-2</v>
      </c>
      <c r="CH89" s="258">
        <v>0</v>
      </c>
      <c r="CI89" s="258">
        <v>3.7545000000000002</v>
      </c>
      <c r="CJ89" s="258"/>
      <c r="CK89" s="258"/>
      <c r="CL89" s="258"/>
      <c r="CM89" s="258"/>
    </row>
    <row r="90" spans="1:91" x14ac:dyDescent="0.25">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5">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5">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5">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c r="CJ93" s="258"/>
      <c r="CK93" s="258"/>
      <c r="CL93" s="258"/>
      <c r="CM93" s="258"/>
    </row>
    <row r="94" spans="1:91" x14ac:dyDescent="0.25">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c r="CJ94" s="258"/>
      <c r="CK94" s="258"/>
      <c r="CL94" s="258"/>
      <c r="CM94" s="258"/>
    </row>
    <row r="95" spans="1:91" x14ac:dyDescent="0.25">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c r="CJ95" s="258"/>
      <c r="CK95" s="258"/>
      <c r="CL95" s="258"/>
      <c r="CM95" s="258"/>
    </row>
    <row r="96" spans="1:91" x14ac:dyDescent="0.25">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c r="CJ96" s="258"/>
      <c r="CK96" s="258"/>
      <c r="CL96" s="258"/>
      <c r="CM96" s="258"/>
    </row>
    <row r="97" spans="1:91" x14ac:dyDescent="0.25">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c r="CJ97" s="258"/>
      <c r="CK97" s="258"/>
      <c r="CL97" s="258"/>
      <c r="CM97" s="258"/>
    </row>
    <row r="98" spans="1:91" x14ac:dyDescent="0.25">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c r="CJ98" s="258"/>
      <c r="CK98" s="258"/>
      <c r="CL98" s="258"/>
      <c r="CM98" s="258"/>
    </row>
    <row r="99" spans="1:91" x14ac:dyDescent="0.25">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c r="CJ99" s="258"/>
      <c r="CK99" s="258"/>
      <c r="CL99" s="258"/>
      <c r="CM99" s="258"/>
    </row>
    <row r="100" spans="1:91" x14ac:dyDescent="0.25">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c r="CJ100" s="258"/>
      <c r="CK100" s="258"/>
      <c r="CL100" s="258"/>
      <c r="CM100" s="258"/>
    </row>
    <row r="101" spans="1:91" x14ac:dyDescent="0.25">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c r="CJ101" s="258"/>
      <c r="CK101" s="258"/>
      <c r="CL101" s="258"/>
      <c r="CM101" s="258"/>
    </row>
    <row r="102" spans="1:91" x14ac:dyDescent="0.25">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c r="CJ102" s="258"/>
      <c r="CK102" s="258"/>
      <c r="CL102" s="258"/>
      <c r="CM102" s="258"/>
    </row>
    <row r="103" spans="1:91" x14ac:dyDescent="0.25">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c r="CJ103" s="258"/>
      <c r="CK103" s="258"/>
      <c r="CL103" s="258"/>
      <c r="CM103" s="258"/>
    </row>
    <row r="104" spans="1:91" x14ac:dyDescent="0.25">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c r="CJ104" s="258"/>
      <c r="CK104" s="258"/>
      <c r="CL104" s="258"/>
      <c r="CM104" s="258"/>
    </row>
    <row r="105" spans="1:91" x14ac:dyDescent="0.25">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c r="CJ105" s="258"/>
      <c r="CK105" s="258"/>
      <c r="CL105" s="258"/>
      <c r="CM105" s="258"/>
    </row>
    <row r="106" spans="1:91" x14ac:dyDescent="0.25">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c r="CJ106" s="258"/>
      <c r="CK106" s="258"/>
      <c r="CL106" s="258"/>
      <c r="CM106" s="258"/>
    </row>
    <row r="107" spans="1:91" x14ac:dyDescent="0.25">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c r="CJ107" s="258"/>
      <c r="CK107" s="258"/>
      <c r="CL107" s="258"/>
      <c r="CM107" s="258"/>
    </row>
    <row r="108" spans="1:91" x14ac:dyDescent="0.25">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c r="CJ108" s="258"/>
      <c r="CK108" s="258"/>
      <c r="CL108" s="258"/>
      <c r="CM108" s="258"/>
    </row>
    <row r="109" spans="1:91" x14ac:dyDescent="0.25">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c r="CJ109" s="258"/>
      <c r="CK109" s="258"/>
      <c r="CL109" s="258"/>
      <c r="CM109" s="258"/>
    </row>
    <row r="110" spans="1:91" x14ac:dyDescent="0.25">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c r="CJ110" s="258"/>
      <c r="CK110" s="258"/>
      <c r="CL110" s="258"/>
      <c r="CM110" s="258"/>
    </row>
    <row r="111" spans="1:91" x14ac:dyDescent="0.25">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c r="CJ111" s="258"/>
      <c r="CK111" s="258"/>
      <c r="CL111" s="258"/>
      <c r="CM111" s="258"/>
    </row>
    <row r="112" spans="1:91" x14ac:dyDescent="0.25">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c r="CJ112" s="258"/>
      <c r="CK112" s="258"/>
      <c r="CL112" s="258"/>
      <c r="CM112" s="258"/>
    </row>
    <row r="113" spans="1:91" x14ac:dyDescent="0.25">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c r="CJ113" s="258"/>
      <c r="CK113" s="258"/>
      <c r="CL113" s="258"/>
      <c r="CM113" s="258"/>
    </row>
    <row r="114" spans="1:91" x14ac:dyDescent="0.25">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c r="CJ114" s="258"/>
      <c r="CK114" s="258"/>
      <c r="CL114" s="258"/>
      <c r="CM114" s="258"/>
    </row>
    <row r="115" spans="1:91" x14ac:dyDescent="0.25">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c r="CJ115" s="258"/>
      <c r="CK115" s="258"/>
      <c r="CL115" s="258"/>
      <c r="CM115" s="258"/>
    </row>
    <row r="116" spans="1:91" x14ac:dyDescent="0.25">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c r="CJ116" s="258"/>
      <c r="CK116" s="258"/>
      <c r="CL116" s="258"/>
      <c r="CM116" s="258"/>
    </row>
    <row r="117" spans="1:91" x14ac:dyDescent="0.25">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c r="CJ117" s="258"/>
      <c r="CK117" s="258"/>
      <c r="CL117" s="258"/>
      <c r="CM117" s="258"/>
    </row>
    <row r="118" spans="1:91" x14ac:dyDescent="0.25">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c r="CJ118" s="258"/>
      <c r="CK118" s="258"/>
      <c r="CL118" s="258"/>
      <c r="CM118" s="258"/>
    </row>
    <row r="119" spans="1:91" x14ac:dyDescent="0.25">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c r="CJ119" s="258"/>
      <c r="CK119" s="258"/>
      <c r="CL119" s="258"/>
      <c r="CM119" s="258"/>
    </row>
    <row r="120" spans="1:91" x14ac:dyDescent="0.25">
      <c r="A120" s="723"/>
      <c r="B120" s="723"/>
      <c r="K120" s="52"/>
      <c r="L120" s="135"/>
      <c r="N120" s="131"/>
      <c r="O120" s="131"/>
      <c r="P120" s="55"/>
      <c r="Q120" s="135"/>
      <c r="R120" s="135"/>
      <c r="U120" s="135"/>
      <c r="V120" s="146"/>
      <c r="W120" s="146"/>
      <c r="X120" s="338"/>
      <c r="Y120" s="338"/>
      <c r="Z120" s="338"/>
      <c r="AA120" s="338"/>
      <c r="AB120" s="338"/>
      <c r="AC120" s="338"/>
      <c r="AF120" s="138"/>
      <c r="AG120" s="138"/>
      <c r="AH120" s="138"/>
      <c r="AI120" s="138"/>
      <c r="AJ120" s="138"/>
      <c r="AM120" s="258"/>
      <c r="AN120" s="258"/>
      <c r="AO120" s="258"/>
      <c r="AP120" s="258"/>
      <c r="AR120" s="137"/>
      <c r="AT120" s="137"/>
      <c r="AV120" s="394"/>
      <c r="AW120" s="137"/>
      <c r="AX120" s="137"/>
      <c r="AY120" s="137"/>
      <c r="AZ120" s="137"/>
      <c r="BA120" s="264"/>
      <c r="BB120" s="258"/>
      <c r="BC120" s="258"/>
      <c r="BD120" s="137"/>
      <c r="BE120" s="137"/>
      <c r="BF120" s="137"/>
      <c r="BG120" s="137"/>
      <c r="BH120" s="137"/>
      <c r="BI120" s="137"/>
      <c r="BJ120" s="137"/>
      <c r="BK120" s="137"/>
      <c r="BL120" s="137"/>
      <c r="BM120" s="137"/>
      <c r="BN120" s="137"/>
      <c r="BO120" s="137"/>
      <c r="BP120" s="137"/>
      <c r="BQ120" s="137"/>
      <c r="BR120" s="137"/>
      <c r="BS120" s="137"/>
      <c r="BV120" s="262"/>
      <c r="BW120" s="136"/>
      <c r="BX120" s="137"/>
      <c r="BY120" s="137"/>
      <c r="BZ120" s="137"/>
      <c r="CA120" s="137"/>
      <c r="CB120" s="137"/>
      <c r="CC120" s="258"/>
      <c r="CD120" s="258"/>
      <c r="CE120" s="258"/>
      <c r="CF120" s="258"/>
      <c r="CG120" s="258"/>
      <c r="CH120" s="258"/>
      <c r="CI120" s="258"/>
      <c r="CJ120" s="258"/>
      <c r="CK120" s="258"/>
      <c r="CL120" s="258"/>
      <c r="CM120" s="258"/>
    </row>
    <row r="121" spans="1:91" x14ac:dyDescent="0.25">
      <c r="A121" s="723"/>
      <c r="B121" s="723"/>
      <c r="K121" s="52"/>
      <c r="L121" s="135"/>
      <c r="N121" s="131"/>
      <c r="O121" s="131"/>
      <c r="P121" s="55"/>
      <c r="Q121" s="135"/>
      <c r="R121" s="135"/>
      <c r="U121" s="135"/>
      <c r="V121" s="146"/>
      <c r="W121" s="146"/>
      <c r="X121" s="338"/>
      <c r="Y121" s="338"/>
      <c r="Z121" s="338"/>
      <c r="AA121" s="338"/>
      <c r="AB121" s="338"/>
      <c r="AC121" s="338"/>
      <c r="AF121" s="138"/>
      <c r="AG121" s="138"/>
      <c r="AH121" s="138"/>
      <c r="AI121" s="138"/>
      <c r="AJ121" s="138"/>
      <c r="AM121" s="258"/>
      <c r="AN121" s="258"/>
      <c r="AO121" s="258"/>
      <c r="AP121" s="258"/>
      <c r="AR121" s="137"/>
      <c r="AT121" s="137"/>
      <c r="AV121" s="394"/>
      <c r="AW121" s="137"/>
      <c r="AX121" s="137"/>
      <c r="AY121" s="137"/>
      <c r="AZ121" s="137"/>
      <c r="BA121" s="264"/>
      <c r="BB121" s="258"/>
      <c r="BC121" s="258"/>
      <c r="BD121" s="137"/>
      <c r="BE121" s="137"/>
      <c r="BF121" s="137"/>
      <c r="BG121" s="137"/>
      <c r="BH121" s="137"/>
      <c r="BI121" s="137"/>
      <c r="BJ121" s="137"/>
      <c r="BK121" s="137"/>
      <c r="BL121" s="137"/>
      <c r="BM121" s="137"/>
      <c r="BN121" s="137"/>
      <c r="BO121" s="137"/>
      <c r="BP121" s="137"/>
      <c r="BQ121" s="137"/>
      <c r="BR121" s="137"/>
      <c r="BS121" s="137"/>
      <c r="BV121" s="262"/>
      <c r="BW121" s="136"/>
      <c r="BX121" s="137"/>
      <c r="BY121" s="137"/>
      <c r="BZ121" s="137"/>
      <c r="CA121" s="137"/>
      <c r="CB121" s="137"/>
      <c r="CC121" s="258"/>
      <c r="CD121" s="258"/>
      <c r="CE121" s="258"/>
      <c r="CF121" s="258"/>
      <c r="CG121" s="258"/>
      <c r="CH121" s="258"/>
      <c r="CI121" s="258"/>
      <c r="CJ121" s="258"/>
      <c r="CK121" s="258"/>
      <c r="CL121" s="258"/>
      <c r="CM121" s="258"/>
    </row>
    <row r="122" spans="1:91" x14ac:dyDescent="0.25">
      <c r="A122" s="723"/>
      <c r="B122" s="723"/>
      <c r="K122" s="52"/>
      <c r="L122" s="135"/>
      <c r="N122" s="131"/>
      <c r="O122" s="131"/>
      <c r="P122" s="55"/>
      <c r="Q122" s="135"/>
      <c r="R122" s="135"/>
      <c r="U122" s="135"/>
      <c r="V122" s="146"/>
      <c r="W122" s="146"/>
      <c r="X122" s="338"/>
      <c r="Y122" s="338"/>
      <c r="Z122" s="338"/>
      <c r="AA122" s="338"/>
      <c r="AB122" s="338"/>
      <c r="AC122" s="338"/>
      <c r="AF122" s="138"/>
      <c r="AG122" s="138"/>
      <c r="AH122" s="138"/>
      <c r="AI122" s="138"/>
      <c r="AJ122" s="138"/>
      <c r="AM122" s="258"/>
      <c r="AN122" s="258"/>
      <c r="AO122" s="258"/>
      <c r="AP122" s="258"/>
      <c r="AR122" s="137"/>
      <c r="AT122" s="137"/>
      <c r="AV122" s="394"/>
      <c r="AW122" s="137"/>
      <c r="AX122" s="137"/>
      <c r="AY122" s="137"/>
      <c r="AZ122" s="137"/>
      <c r="BA122" s="264"/>
      <c r="BB122" s="258"/>
      <c r="BC122" s="258"/>
      <c r="BD122" s="137"/>
      <c r="BE122" s="137"/>
      <c r="BF122" s="137"/>
      <c r="BG122" s="137"/>
      <c r="BH122" s="137"/>
      <c r="BI122" s="137"/>
      <c r="BJ122" s="137"/>
      <c r="BK122" s="137"/>
      <c r="BL122" s="137"/>
      <c r="BM122" s="137"/>
      <c r="BN122" s="137"/>
      <c r="BO122" s="137"/>
      <c r="BP122" s="137"/>
      <c r="BQ122" s="137"/>
      <c r="BR122" s="137"/>
      <c r="BS122" s="137"/>
      <c r="BV122" s="262"/>
      <c r="BW122" s="136"/>
      <c r="BX122" s="137"/>
      <c r="BY122" s="137"/>
      <c r="BZ122" s="137"/>
      <c r="CA122" s="137"/>
      <c r="CB122" s="137"/>
      <c r="CC122" s="258"/>
      <c r="CD122" s="258"/>
      <c r="CE122" s="258"/>
      <c r="CF122" s="258"/>
      <c r="CG122" s="258"/>
      <c r="CH122" s="258"/>
      <c r="CI122" s="258"/>
      <c r="CJ122" s="258"/>
      <c r="CK122" s="258"/>
      <c r="CL122" s="258"/>
      <c r="CM122" s="258"/>
    </row>
    <row r="123" spans="1:91" x14ac:dyDescent="0.25">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9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c r="CJ123" s="258"/>
      <c r="CK123" s="258"/>
      <c r="CL123" s="258"/>
      <c r="CM123" s="258"/>
    </row>
    <row r="124" spans="1:91" x14ac:dyDescent="0.25">
      <c r="A124" s="723"/>
      <c r="B124" s="723"/>
      <c r="K124" s="52"/>
      <c r="L124" s="135"/>
      <c r="N124" s="131"/>
      <c r="O124" s="131"/>
      <c r="P124" s="55"/>
      <c r="Q124" s="135"/>
      <c r="R124" s="135"/>
      <c r="U124" s="135"/>
      <c r="V124" s="146"/>
      <c r="W124" s="146"/>
      <c r="X124" s="338"/>
      <c r="Y124" s="338"/>
      <c r="Z124" s="338"/>
      <c r="AA124" s="338"/>
      <c r="AB124" s="338"/>
      <c r="AC124" s="338"/>
      <c r="AF124" s="138"/>
      <c r="AG124" s="138"/>
      <c r="AH124" s="138"/>
      <c r="AI124" s="138"/>
      <c r="AJ124" s="138"/>
      <c r="AM124" s="258"/>
      <c r="AN124" s="258"/>
      <c r="AO124" s="258"/>
      <c r="AP124" s="258"/>
      <c r="AR124" s="137"/>
      <c r="AT124" s="137"/>
      <c r="AV124" s="394"/>
      <c r="AW124" s="137"/>
      <c r="AX124" s="137"/>
      <c r="AY124" s="137"/>
      <c r="AZ124" s="137"/>
      <c r="BA124" s="264"/>
      <c r="BB124" s="258"/>
      <c r="BC124" s="258"/>
      <c r="BD124" s="137"/>
      <c r="BE124" s="137"/>
      <c r="BF124" s="137"/>
      <c r="BG124" s="137"/>
      <c r="BH124" s="137"/>
      <c r="BI124" s="137"/>
      <c r="BJ124" s="137"/>
      <c r="BK124" s="137"/>
      <c r="BL124" s="137"/>
      <c r="BM124" s="137"/>
      <c r="BN124" s="137"/>
      <c r="BO124" s="137"/>
      <c r="BP124" s="137"/>
      <c r="BQ124" s="137"/>
      <c r="BR124" s="137"/>
      <c r="BS124" s="137"/>
      <c r="BV124" s="262"/>
      <c r="BW124" s="136"/>
      <c r="BX124" s="137"/>
      <c r="BY124" s="137"/>
      <c r="BZ124" s="137"/>
      <c r="CA124" s="137"/>
      <c r="CB124" s="137"/>
      <c r="CC124" s="258"/>
      <c r="CD124" s="258"/>
      <c r="CE124" s="258"/>
      <c r="CF124" s="258"/>
      <c r="CG124" s="258"/>
      <c r="CH124" s="258"/>
      <c r="CI124" s="258"/>
      <c r="CJ124" s="258"/>
      <c r="CK124" s="258"/>
      <c r="CL124" s="258"/>
      <c r="CM124" s="258"/>
    </row>
    <row r="125" spans="1:91" x14ac:dyDescent="0.25">
      <c r="A125" s="723"/>
      <c r="B125" s="723"/>
      <c r="K125" s="52"/>
      <c r="L125" s="135"/>
      <c r="N125" s="131"/>
      <c r="O125" s="131"/>
      <c r="P125" s="55"/>
      <c r="Q125" s="135"/>
      <c r="R125" s="135"/>
      <c r="U125" s="135"/>
      <c r="V125" s="146"/>
      <c r="W125" s="146"/>
      <c r="X125" s="338"/>
      <c r="Y125" s="338"/>
      <c r="Z125" s="338"/>
      <c r="AA125" s="338"/>
      <c r="AB125" s="338"/>
      <c r="AC125" s="338"/>
      <c r="AF125" s="138"/>
      <c r="AG125" s="138"/>
      <c r="AH125" s="138"/>
      <c r="AI125" s="138"/>
      <c r="AJ125" s="138"/>
      <c r="AM125" s="258"/>
      <c r="AN125" s="258"/>
      <c r="AO125" s="258"/>
      <c r="AP125" s="258"/>
      <c r="AR125" s="137"/>
      <c r="AT125" s="137"/>
      <c r="AV125" s="394"/>
      <c r="AW125" s="137"/>
      <c r="AX125" s="137"/>
      <c r="AY125" s="137"/>
      <c r="AZ125" s="137"/>
      <c r="BA125" s="264"/>
      <c r="BB125" s="258"/>
      <c r="BC125" s="258"/>
      <c r="BD125" s="137"/>
      <c r="BE125" s="137"/>
      <c r="BF125" s="137"/>
      <c r="BG125" s="137"/>
      <c r="BH125" s="137"/>
      <c r="BI125" s="137"/>
      <c r="BJ125" s="137"/>
      <c r="BK125" s="137"/>
      <c r="BL125" s="137"/>
      <c r="BM125" s="137"/>
      <c r="BN125" s="137"/>
      <c r="BO125" s="137"/>
      <c r="BP125" s="137"/>
      <c r="BQ125" s="137"/>
      <c r="BR125" s="137"/>
      <c r="BS125" s="137"/>
      <c r="BV125" s="262"/>
      <c r="BW125" s="136"/>
      <c r="BX125" s="137"/>
      <c r="BY125" s="137"/>
      <c r="BZ125" s="137"/>
      <c r="CA125" s="137"/>
      <c r="CB125" s="137"/>
      <c r="CC125" s="258"/>
      <c r="CD125" s="258"/>
      <c r="CE125" s="258"/>
      <c r="CF125" s="258"/>
      <c r="CG125" s="258"/>
      <c r="CH125" s="258"/>
      <c r="CI125" s="258"/>
      <c r="CJ125" s="258"/>
      <c r="CK125" s="258"/>
      <c r="CL125" s="258"/>
      <c r="CM125" s="258"/>
    </row>
    <row r="126" spans="1:91" x14ac:dyDescent="0.25">
      <c r="A126" s="723"/>
      <c r="B126" s="723"/>
      <c r="K126" s="52"/>
      <c r="L126" s="135"/>
      <c r="N126" s="131"/>
      <c r="O126" s="131"/>
      <c r="P126" s="55"/>
      <c r="Q126" s="135"/>
      <c r="R126" s="135"/>
      <c r="U126" s="135"/>
      <c r="V126" s="146"/>
      <c r="W126" s="146"/>
      <c r="X126" s="338"/>
      <c r="Y126" s="338"/>
      <c r="Z126" s="338"/>
      <c r="AA126" s="338"/>
      <c r="AB126" s="338"/>
      <c r="AC126" s="338"/>
      <c r="AF126" s="138"/>
      <c r="AG126" s="138"/>
      <c r="AH126" s="138"/>
      <c r="AI126" s="138"/>
      <c r="AJ126" s="138"/>
      <c r="AM126" s="258"/>
      <c r="AN126" s="258"/>
      <c r="AO126" s="258"/>
      <c r="AP126" s="258"/>
      <c r="AR126" s="137"/>
      <c r="AT126" s="137"/>
      <c r="AV126" s="394"/>
      <c r="AW126" s="137"/>
      <c r="AX126" s="137"/>
      <c r="AY126" s="137"/>
      <c r="AZ126" s="137"/>
      <c r="BA126" s="264"/>
      <c r="BB126" s="258"/>
      <c r="BC126" s="258"/>
      <c r="BD126" s="137"/>
      <c r="BE126" s="137"/>
      <c r="BF126" s="137"/>
      <c r="BG126" s="137"/>
      <c r="BH126" s="137"/>
      <c r="BI126" s="137"/>
      <c r="BJ126" s="137"/>
      <c r="BK126" s="137"/>
      <c r="BL126" s="137"/>
      <c r="BM126" s="137"/>
      <c r="BN126" s="137"/>
      <c r="BO126" s="137"/>
      <c r="BP126" s="137"/>
      <c r="BQ126" s="137"/>
      <c r="BR126" s="137"/>
      <c r="BS126" s="137"/>
      <c r="BV126" s="262"/>
      <c r="BW126" s="136"/>
      <c r="BX126" s="137"/>
      <c r="BY126" s="137"/>
      <c r="BZ126" s="137"/>
      <c r="CA126" s="137"/>
      <c r="CB126" s="137"/>
      <c r="CC126" s="258"/>
      <c r="CD126" s="258"/>
      <c r="CE126" s="258"/>
      <c r="CF126" s="258"/>
      <c r="CG126" s="258"/>
      <c r="CH126" s="258"/>
      <c r="CI126" s="258"/>
      <c r="CJ126" s="258"/>
      <c r="CK126" s="258"/>
      <c r="CL126" s="258"/>
      <c r="CM126" s="258"/>
    </row>
    <row r="127" spans="1:91" x14ac:dyDescent="0.25">
      <c r="A127" s="723"/>
      <c r="B127" s="723"/>
      <c r="K127" s="52"/>
      <c r="L127" s="135"/>
      <c r="N127" s="131"/>
      <c r="O127" s="131"/>
      <c r="P127" s="55"/>
      <c r="Q127" s="135"/>
      <c r="R127" s="135"/>
      <c r="U127" s="135"/>
      <c r="V127" s="146"/>
      <c r="W127" s="146"/>
      <c r="X127" s="338"/>
      <c r="Y127" s="338"/>
      <c r="Z127" s="338"/>
      <c r="AA127" s="338"/>
      <c r="AB127" s="338"/>
      <c r="AC127" s="338"/>
      <c r="AF127" s="138"/>
      <c r="AG127" s="138"/>
      <c r="AH127" s="138"/>
      <c r="AI127" s="138"/>
      <c r="AJ127" s="138"/>
      <c r="AM127" s="258"/>
      <c r="AN127" s="258"/>
      <c r="AO127" s="258"/>
      <c r="AP127" s="258"/>
      <c r="AR127" s="137"/>
      <c r="AT127" s="137"/>
      <c r="AV127" s="394"/>
      <c r="AW127" s="137"/>
      <c r="AX127" s="137"/>
      <c r="AY127" s="137"/>
      <c r="AZ127" s="137"/>
      <c r="BA127" s="264"/>
      <c r="BB127" s="258"/>
      <c r="BC127" s="258"/>
      <c r="BD127" s="137"/>
      <c r="BE127" s="137"/>
      <c r="BF127" s="137"/>
      <c r="BG127" s="137"/>
      <c r="BH127" s="137"/>
      <c r="BI127" s="137"/>
      <c r="BJ127" s="137"/>
      <c r="BK127" s="137"/>
      <c r="BL127" s="137"/>
      <c r="BM127" s="137"/>
      <c r="BN127" s="137"/>
      <c r="BO127" s="137"/>
      <c r="BP127" s="137"/>
      <c r="BQ127" s="137"/>
      <c r="BR127" s="137"/>
      <c r="BS127" s="137"/>
      <c r="BV127" s="262"/>
      <c r="BW127" s="136"/>
      <c r="BX127" s="137"/>
      <c r="BY127" s="137"/>
      <c r="BZ127" s="137"/>
      <c r="CA127" s="137"/>
      <c r="CB127" s="137"/>
      <c r="CC127" s="258"/>
      <c r="CD127" s="258"/>
      <c r="CE127" s="258"/>
      <c r="CF127" s="258"/>
      <c r="CG127" s="258"/>
      <c r="CH127" s="258"/>
      <c r="CI127" s="258"/>
      <c r="CJ127" s="258"/>
      <c r="CK127" s="258"/>
      <c r="CL127" s="258"/>
      <c r="CM127" s="258"/>
    </row>
    <row r="128" spans="1:91" x14ac:dyDescent="0.25">
      <c r="A128" s="723"/>
      <c r="B128" s="723"/>
      <c r="K128" s="52"/>
      <c r="L128" s="135"/>
      <c r="N128" s="131"/>
      <c r="O128" s="131"/>
      <c r="P128" s="55"/>
      <c r="Q128" s="135"/>
      <c r="R128" s="135"/>
      <c r="U128" s="135"/>
      <c r="V128" s="146"/>
      <c r="W128" s="146"/>
      <c r="X128" s="338"/>
      <c r="Y128" s="338"/>
      <c r="Z128" s="338"/>
      <c r="AA128" s="338"/>
      <c r="AB128" s="338"/>
      <c r="AC128" s="338"/>
      <c r="AF128" s="138"/>
      <c r="AG128" s="138"/>
      <c r="AH128" s="138"/>
      <c r="AI128" s="138"/>
      <c r="AJ128" s="138"/>
      <c r="AM128" s="258"/>
      <c r="AN128" s="258"/>
      <c r="AO128" s="258"/>
      <c r="AP128" s="258"/>
      <c r="AR128" s="137"/>
      <c r="AT128" s="137"/>
      <c r="AV128" s="394"/>
      <c r="AW128" s="137"/>
      <c r="AX128" s="137"/>
      <c r="AY128" s="137"/>
      <c r="AZ128" s="137"/>
      <c r="BA128" s="264"/>
      <c r="BB128" s="258"/>
      <c r="BC128" s="258"/>
      <c r="BD128" s="137"/>
      <c r="BE128" s="137"/>
      <c r="BF128" s="137"/>
      <c r="BG128" s="137"/>
      <c r="BH128" s="137"/>
      <c r="BI128" s="137"/>
      <c r="BJ128" s="137"/>
      <c r="BK128" s="137"/>
      <c r="BL128" s="137"/>
      <c r="BM128" s="137"/>
      <c r="BN128" s="137"/>
      <c r="BO128" s="137"/>
      <c r="BP128" s="137"/>
      <c r="BQ128" s="137"/>
      <c r="BR128" s="137"/>
      <c r="BS128" s="137"/>
      <c r="BV128" s="262"/>
      <c r="BW128" s="136"/>
      <c r="BX128" s="137"/>
      <c r="BY128" s="137"/>
      <c r="BZ128" s="137"/>
      <c r="CA128" s="137"/>
      <c r="CB128" s="137"/>
      <c r="CC128" s="258"/>
      <c r="CD128" s="258"/>
      <c r="CE128" s="258"/>
      <c r="CF128" s="258"/>
      <c r="CG128" s="258"/>
      <c r="CH128" s="258"/>
      <c r="CI128" s="258"/>
      <c r="CJ128" s="258"/>
      <c r="CK128" s="258"/>
      <c r="CL128" s="258"/>
      <c r="CM128" s="258"/>
    </row>
    <row r="129" spans="1:91" x14ac:dyDescent="0.25">
      <c r="A129" s="723"/>
      <c r="B129" s="723"/>
      <c r="K129" s="52"/>
      <c r="L129" s="135"/>
      <c r="N129" s="131"/>
      <c r="O129" s="131"/>
      <c r="P129" s="55"/>
      <c r="Q129" s="135"/>
      <c r="R129" s="135"/>
      <c r="U129" s="135"/>
      <c r="V129" s="146"/>
      <c r="W129" s="146"/>
      <c r="X129" s="338"/>
      <c r="Y129" s="338"/>
      <c r="Z129" s="338"/>
      <c r="AA129" s="338"/>
      <c r="AB129" s="338"/>
      <c r="AC129" s="338"/>
      <c r="AF129" s="138"/>
      <c r="AG129" s="138"/>
      <c r="AH129" s="138"/>
      <c r="AI129" s="138"/>
      <c r="AJ129" s="138"/>
      <c r="AM129" s="258"/>
      <c r="AN129" s="258"/>
      <c r="AO129" s="258"/>
      <c r="AP129" s="258"/>
      <c r="AR129" s="137"/>
      <c r="AT129" s="137"/>
      <c r="AV129" s="394"/>
      <c r="AW129" s="137"/>
      <c r="AX129" s="137"/>
      <c r="AY129" s="137"/>
      <c r="AZ129" s="137"/>
      <c r="BA129" s="264"/>
      <c r="BB129" s="258"/>
      <c r="BC129" s="258"/>
      <c r="BD129" s="137"/>
      <c r="BE129" s="137"/>
      <c r="BF129" s="137"/>
      <c r="BG129" s="137"/>
      <c r="BH129" s="137"/>
      <c r="BI129" s="137"/>
      <c r="BJ129" s="137"/>
      <c r="BK129" s="137"/>
      <c r="BL129" s="137"/>
      <c r="BM129" s="137"/>
      <c r="BN129" s="137"/>
      <c r="BO129" s="137"/>
      <c r="BP129" s="137"/>
      <c r="BQ129" s="137"/>
      <c r="BR129" s="137"/>
      <c r="BS129" s="137"/>
      <c r="BV129" s="262"/>
      <c r="BW129" s="136"/>
      <c r="BX129" s="137"/>
      <c r="BY129" s="137"/>
      <c r="BZ129" s="137"/>
      <c r="CA129" s="137"/>
      <c r="CB129" s="137"/>
      <c r="CC129" s="258"/>
      <c r="CD129" s="258"/>
      <c r="CE129" s="258"/>
      <c r="CF129" s="258"/>
      <c r="CG129" s="258"/>
      <c r="CH129" s="258"/>
      <c r="CI129" s="258"/>
      <c r="CJ129" s="258"/>
      <c r="CK129" s="258"/>
      <c r="CL129" s="258"/>
      <c r="CM129" s="258"/>
    </row>
    <row r="130" spans="1:91" x14ac:dyDescent="0.25">
      <c r="A130" s="723"/>
      <c r="B130" s="723"/>
      <c r="K130" s="52"/>
      <c r="L130" s="135"/>
      <c r="N130" s="131"/>
      <c r="O130" s="131"/>
      <c r="P130" s="55"/>
      <c r="Q130" s="135"/>
      <c r="R130" s="135"/>
      <c r="U130" s="135"/>
      <c r="V130" s="146"/>
      <c r="W130" s="146"/>
      <c r="X130" s="338"/>
      <c r="Y130" s="338"/>
      <c r="Z130" s="338"/>
      <c r="AA130" s="338"/>
      <c r="AB130" s="338"/>
      <c r="AC130" s="338"/>
      <c r="AF130" s="138"/>
      <c r="AG130" s="138"/>
      <c r="AH130" s="138"/>
      <c r="AI130" s="138"/>
      <c r="AJ130" s="138"/>
      <c r="AM130" s="258"/>
      <c r="AN130" s="258"/>
      <c r="AO130" s="258"/>
      <c r="AP130" s="258"/>
      <c r="AR130" s="137"/>
      <c r="AT130" s="137"/>
      <c r="AV130" s="394"/>
      <c r="AW130" s="137"/>
      <c r="AX130" s="137"/>
      <c r="AY130" s="137"/>
      <c r="AZ130" s="137"/>
      <c r="BA130" s="264"/>
      <c r="BB130" s="258"/>
      <c r="BC130" s="258"/>
      <c r="BD130" s="137"/>
      <c r="BE130" s="137"/>
      <c r="BF130" s="137"/>
      <c r="BG130" s="137"/>
      <c r="BH130" s="137"/>
      <c r="BI130" s="137"/>
      <c r="BJ130" s="137"/>
      <c r="BK130" s="137"/>
      <c r="BL130" s="137"/>
      <c r="BM130" s="137"/>
      <c r="BN130" s="137"/>
      <c r="BO130" s="137"/>
      <c r="BP130" s="137"/>
      <c r="BQ130" s="137"/>
      <c r="BR130" s="137"/>
      <c r="BS130" s="137"/>
      <c r="BV130" s="262"/>
      <c r="BW130" s="136"/>
      <c r="BX130" s="137"/>
      <c r="BY130" s="137"/>
      <c r="BZ130" s="137"/>
      <c r="CA130" s="137"/>
      <c r="CB130" s="137"/>
      <c r="CC130" s="258"/>
      <c r="CD130" s="258"/>
      <c r="CE130" s="258"/>
      <c r="CF130" s="258"/>
      <c r="CG130" s="258"/>
      <c r="CH130" s="258"/>
      <c r="CI130" s="258"/>
      <c r="CJ130" s="258"/>
      <c r="CK130" s="258"/>
      <c r="CL130" s="258"/>
      <c r="CM130" s="258"/>
    </row>
    <row r="131" spans="1:91" x14ac:dyDescent="0.25">
      <c r="A131" s="723"/>
      <c r="B131" s="723"/>
      <c r="K131" s="52"/>
      <c r="L131" s="135"/>
      <c r="N131" s="131"/>
      <c r="O131" s="131"/>
      <c r="P131" s="55"/>
      <c r="Q131" s="135"/>
      <c r="R131" s="135"/>
      <c r="U131" s="135"/>
      <c r="V131" s="146"/>
      <c r="W131" s="146"/>
      <c r="X131" s="338"/>
      <c r="Y131" s="338"/>
      <c r="Z131" s="338"/>
      <c r="AA131" s="338"/>
      <c r="AB131" s="338"/>
      <c r="AC131" s="338"/>
      <c r="AF131" s="138"/>
      <c r="AG131" s="138"/>
      <c r="AH131" s="138"/>
      <c r="AI131" s="138"/>
      <c r="AJ131" s="138"/>
      <c r="AM131" s="258"/>
      <c r="AN131" s="258"/>
      <c r="AO131" s="258"/>
      <c r="AP131" s="258"/>
      <c r="AR131" s="137"/>
      <c r="AT131" s="137"/>
      <c r="AV131" s="394"/>
      <c r="AW131" s="137"/>
      <c r="AX131" s="137"/>
      <c r="AY131" s="137"/>
      <c r="AZ131" s="137"/>
      <c r="BA131" s="264"/>
      <c r="BB131" s="258"/>
      <c r="BC131" s="258"/>
      <c r="BD131" s="137"/>
      <c r="BE131" s="137"/>
      <c r="BF131" s="137"/>
      <c r="BG131" s="137"/>
      <c r="BH131" s="137"/>
      <c r="BI131" s="137"/>
      <c r="BJ131" s="137"/>
      <c r="BK131" s="137"/>
      <c r="BL131" s="137"/>
      <c r="BM131" s="137"/>
      <c r="BN131" s="137"/>
      <c r="BO131" s="137"/>
      <c r="BP131" s="137"/>
      <c r="BQ131" s="137"/>
      <c r="BR131" s="137"/>
      <c r="BS131" s="137"/>
      <c r="BV131" s="262"/>
      <c r="BW131" s="136"/>
      <c r="BX131" s="137"/>
      <c r="BY131" s="137"/>
      <c r="BZ131" s="137"/>
      <c r="CA131" s="137"/>
      <c r="CB131" s="137"/>
      <c r="CC131" s="258"/>
      <c r="CD131" s="258"/>
      <c r="CE131" s="258"/>
      <c r="CF131" s="258"/>
      <c r="CG131" s="258"/>
      <c r="CH131" s="258"/>
      <c r="CI131" s="258"/>
      <c r="CJ131" s="258"/>
      <c r="CK131" s="258"/>
      <c r="CL131" s="258"/>
      <c r="CM131" s="258"/>
    </row>
    <row r="132" spans="1:91" x14ac:dyDescent="0.25">
      <c r="A132" s="723"/>
      <c r="B132" s="723"/>
      <c r="K132" s="52"/>
      <c r="L132" s="135"/>
      <c r="N132" s="131"/>
      <c r="O132" s="131"/>
      <c r="P132" s="55"/>
      <c r="Q132" s="135"/>
      <c r="R132" s="135"/>
      <c r="U132" s="135"/>
      <c r="V132" s="146"/>
      <c r="W132" s="146"/>
      <c r="X132" s="338"/>
      <c r="Y132" s="338"/>
      <c r="Z132" s="338"/>
      <c r="AA132" s="338"/>
      <c r="AB132" s="338"/>
      <c r="AC132" s="338"/>
      <c r="AF132" s="138"/>
      <c r="AG132" s="138"/>
      <c r="AH132" s="138"/>
      <c r="AI132" s="138"/>
      <c r="AJ132" s="138"/>
      <c r="AM132" s="258"/>
      <c r="AN132" s="258"/>
      <c r="AO132" s="258"/>
      <c r="AP132" s="258"/>
      <c r="AR132" s="137"/>
      <c r="AT132" s="137"/>
      <c r="AV132" s="394"/>
      <c r="AW132" s="137"/>
      <c r="AX132" s="137"/>
      <c r="AY132" s="137"/>
      <c r="AZ132" s="137"/>
      <c r="BA132" s="264"/>
      <c r="BB132" s="258"/>
      <c r="BC132" s="258"/>
      <c r="BD132" s="137"/>
      <c r="BE132" s="137"/>
      <c r="BF132" s="137"/>
      <c r="BG132" s="137"/>
      <c r="BH132" s="137"/>
      <c r="BI132" s="137"/>
      <c r="BJ132" s="137"/>
      <c r="BK132" s="137"/>
      <c r="BL132" s="137"/>
      <c r="BM132" s="137"/>
      <c r="BN132" s="137"/>
      <c r="BO132" s="137"/>
      <c r="BP132" s="137"/>
      <c r="BQ132" s="137"/>
      <c r="BR132" s="137"/>
      <c r="BS132" s="137"/>
      <c r="BV132" s="262"/>
      <c r="BW132" s="136"/>
      <c r="BX132" s="137"/>
      <c r="BY132" s="137"/>
      <c r="BZ132" s="137"/>
      <c r="CA132" s="137"/>
      <c r="CB132" s="137"/>
      <c r="CC132" s="258"/>
      <c r="CD132" s="258"/>
      <c r="CE132" s="258"/>
      <c r="CF132" s="258"/>
      <c r="CG132" s="258"/>
      <c r="CH132" s="258"/>
      <c r="CI132" s="258"/>
      <c r="CJ132" s="258"/>
      <c r="CK132" s="258"/>
      <c r="CL132" s="258"/>
      <c r="CM132" s="258"/>
    </row>
    <row r="133" spans="1:91" x14ac:dyDescent="0.25">
      <c r="A133" s="723"/>
      <c r="B133" s="723"/>
      <c r="K133" s="52"/>
      <c r="L133" s="135"/>
      <c r="N133" s="131"/>
      <c r="O133" s="131"/>
      <c r="P133" s="55"/>
      <c r="Q133" s="135"/>
      <c r="R133" s="135"/>
      <c r="U133" s="135"/>
      <c r="V133" s="146"/>
      <c r="W133" s="146"/>
      <c r="X133" s="338"/>
      <c r="Y133" s="338"/>
      <c r="Z133" s="338"/>
      <c r="AA133" s="338"/>
      <c r="AB133" s="338"/>
      <c r="AC133" s="338"/>
      <c r="AF133" s="138"/>
      <c r="AG133" s="138"/>
      <c r="AH133" s="138"/>
      <c r="AI133" s="138"/>
      <c r="AJ133" s="138"/>
      <c r="AM133" s="258"/>
      <c r="AN133" s="258"/>
      <c r="AO133" s="258"/>
      <c r="AP133" s="258"/>
      <c r="AR133" s="137"/>
      <c r="AT133" s="137"/>
      <c r="AV133" s="394"/>
      <c r="AW133" s="137"/>
      <c r="AX133" s="137"/>
      <c r="AY133" s="137"/>
      <c r="AZ133" s="137"/>
      <c r="BA133" s="264"/>
      <c r="BB133" s="258"/>
      <c r="BC133" s="258"/>
      <c r="BD133" s="137"/>
      <c r="BE133" s="137"/>
      <c r="BF133" s="137"/>
      <c r="BG133" s="137"/>
      <c r="BH133" s="137"/>
      <c r="BI133" s="137"/>
      <c r="BJ133" s="137"/>
      <c r="BK133" s="137"/>
      <c r="BL133" s="137"/>
      <c r="BM133" s="137"/>
      <c r="BN133" s="137"/>
      <c r="BO133" s="137"/>
      <c r="BP133" s="137"/>
      <c r="BQ133" s="137"/>
      <c r="BR133" s="137"/>
      <c r="BS133" s="137"/>
      <c r="BV133" s="262"/>
      <c r="BW133" s="136"/>
      <c r="BX133" s="137"/>
      <c r="BY133" s="137"/>
      <c r="BZ133" s="137"/>
      <c r="CA133" s="137"/>
      <c r="CB133" s="137"/>
      <c r="CC133" s="258"/>
      <c r="CD133" s="258"/>
      <c r="CE133" s="258"/>
      <c r="CF133" s="258"/>
      <c r="CG133" s="258"/>
      <c r="CH133" s="258"/>
      <c r="CI133" s="258"/>
      <c r="CJ133" s="258"/>
      <c r="CK133" s="258"/>
      <c r="CL133" s="258"/>
      <c r="CM133" s="258"/>
    </row>
    <row r="134" spans="1:91" x14ac:dyDescent="0.25">
      <c r="A134" s="723"/>
      <c r="B134" s="723"/>
      <c r="K134" s="52"/>
      <c r="L134" s="135"/>
      <c r="N134" s="131"/>
      <c r="O134" s="131"/>
      <c r="P134" s="55"/>
      <c r="Q134" s="135"/>
      <c r="R134" s="135"/>
      <c r="U134" s="135"/>
      <c r="V134" s="146"/>
      <c r="W134" s="146"/>
      <c r="X134" s="338"/>
      <c r="Y134" s="338"/>
      <c r="Z134" s="338"/>
      <c r="AA134" s="338"/>
      <c r="AB134" s="338"/>
      <c r="AC134" s="338"/>
      <c r="AF134" s="138"/>
      <c r="AG134" s="138"/>
      <c r="AH134" s="138"/>
      <c r="AI134" s="138"/>
      <c r="AJ134" s="138"/>
      <c r="AM134" s="258"/>
      <c r="AN134" s="258"/>
      <c r="AO134" s="258"/>
      <c r="AP134" s="258"/>
      <c r="AR134" s="137"/>
      <c r="AT134" s="137"/>
      <c r="AV134" s="394"/>
      <c r="AW134" s="137"/>
      <c r="AX134" s="137"/>
      <c r="AY134" s="137"/>
      <c r="AZ134" s="137"/>
      <c r="BA134" s="264"/>
      <c r="BB134" s="258"/>
      <c r="BC134" s="258"/>
      <c r="BD134" s="137"/>
      <c r="BE134" s="137"/>
      <c r="BF134" s="137"/>
      <c r="BG134" s="137"/>
      <c r="BH134" s="137"/>
      <c r="BI134" s="137"/>
      <c r="BJ134" s="137"/>
      <c r="BK134" s="137"/>
      <c r="BL134" s="137"/>
      <c r="BM134" s="137"/>
      <c r="BN134" s="137"/>
      <c r="BO134" s="137"/>
      <c r="BP134" s="137"/>
      <c r="BQ134" s="137"/>
      <c r="BR134" s="137"/>
      <c r="BS134" s="137"/>
      <c r="BV134" s="262"/>
      <c r="BW134" s="136"/>
      <c r="BX134" s="137"/>
      <c r="BY134" s="137"/>
      <c r="BZ134" s="137"/>
      <c r="CA134" s="137"/>
      <c r="CB134" s="137"/>
      <c r="CC134" s="258"/>
      <c r="CD134" s="258"/>
      <c r="CE134" s="258"/>
      <c r="CF134" s="258"/>
      <c r="CG134" s="258"/>
      <c r="CH134" s="258"/>
      <c r="CI134" s="258"/>
      <c r="CJ134" s="258"/>
      <c r="CK134" s="258"/>
      <c r="CL134" s="258"/>
      <c r="CM134" s="258"/>
    </row>
    <row r="135" spans="1:91" x14ac:dyDescent="0.25">
      <c r="A135" s="723"/>
      <c r="B135" s="723"/>
      <c r="K135" s="52"/>
      <c r="L135" s="135"/>
      <c r="N135" s="131"/>
      <c r="O135" s="131"/>
      <c r="P135" s="55"/>
      <c r="Q135" s="135"/>
      <c r="R135" s="135"/>
      <c r="U135" s="135"/>
      <c r="V135" s="146"/>
      <c r="W135" s="146"/>
      <c r="X135" s="338"/>
      <c r="Y135" s="338"/>
      <c r="Z135" s="338"/>
      <c r="AA135" s="338"/>
      <c r="AB135" s="338"/>
      <c r="AC135" s="338"/>
      <c r="AF135" s="138"/>
      <c r="AG135" s="138"/>
      <c r="AH135" s="138"/>
      <c r="AI135" s="138"/>
      <c r="AJ135" s="138"/>
      <c r="AM135" s="258"/>
      <c r="AN135" s="258"/>
      <c r="AO135" s="258"/>
      <c r="AP135" s="258"/>
      <c r="AR135" s="137"/>
      <c r="AT135" s="137"/>
      <c r="AV135" s="394"/>
      <c r="AW135" s="137"/>
      <c r="AX135" s="137"/>
      <c r="AY135" s="137"/>
      <c r="AZ135" s="137"/>
      <c r="BA135" s="264"/>
      <c r="BB135" s="258"/>
      <c r="BC135" s="258"/>
      <c r="BD135" s="137"/>
      <c r="BE135" s="137"/>
      <c r="BF135" s="137"/>
      <c r="BG135" s="137"/>
      <c r="BH135" s="137"/>
      <c r="BI135" s="137"/>
      <c r="BJ135" s="137"/>
      <c r="BK135" s="137"/>
      <c r="BL135" s="137"/>
      <c r="BM135" s="137"/>
      <c r="BN135" s="137"/>
      <c r="BO135" s="137"/>
      <c r="BP135" s="137"/>
      <c r="BQ135" s="137"/>
      <c r="BR135" s="137"/>
      <c r="BS135" s="137"/>
      <c r="BV135" s="262"/>
      <c r="BW135" s="136"/>
      <c r="BX135" s="137"/>
      <c r="BY135" s="137"/>
      <c r="BZ135" s="137"/>
      <c r="CA135" s="137"/>
      <c r="CB135" s="137"/>
      <c r="CC135" s="258"/>
      <c r="CD135" s="258"/>
      <c r="CE135" s="258"/>
      <c r="CF135" s="258"/>
      <c r="CG135" s="258"/>
      <c r="CH135" s="258"/>
      <c r="CI135" s="258"/>
      <c r="CJ135" s="258"/>
      <c r="CK135" s="258"/>
      <c r="CL135" s="258"/>
      <c r="CM135" s="258"/>
    </row>
    <row r="136" spans="1:91" x14ac:dyDescent="0.25">
      <c r="A136" s="723"/>
      <c r="B136" s="723"/>
      <c r="K136" s="52"/>
      <c r="L136" s="135"/>
      <c r="N136" s="131"/>
      <c r="O136" s="131"/>
      <c r="P136" s="55"/>
      <c r="Q136" s="135"/>
      <c r="R136" s="135"/>
      <c r="U136" s="135"/>
      <c r="V136" s="146"/>
      <c r="W136" s="146"/>
      <c r="X136" s="338"/>
      <c r="Y136" s="338"/>
      <c r="Z136" s="338"/>
      <c r="AA136" s="338"/>
      <c r="AB136" s="338"/>
      <c r="AC136" s="338"/>
      <c r="AF136" s="138"/>
      <c r="AG136" s="138"/>
      <c r="AH136" s="138"/>
      <c r="AI136" s="138"/>
      <c r="AJ136" s="138"/>
      <c r="AM136" s="258"/>
      <c r="AN136" s="258"/>
      <c r="AO136" s="258"/>
      <c r="AP136" s="258"/>
      <c r="AR136" s="137"/>
      <c r="AT136" s="137"/>
      <c r="AV136" s="394"/>
      <c r="AW136" s="137"/>
      <c r="AX136" s="137"/>
      <c r="AY136" s="137"/>
      <c r="AZ136" s="137"/>
      <c r="BA136" s="264"/>
      <c r="BB136" s="258"/>
      <c r="BC136" s="258"/>
      <c r="BD136" s="137"/>
      <c r="BE136" s="137"/>
      <c r="BF136" s="137"/>
      <c r="BG136" s="137"/>
      <c r="BH136" s="137"/>
      <c r="BI136" s="137"/>
      <c r="BJ136" s="137"/>
      <c r="BK136" s="137"/>
      <c r="BL136" s="137"/>
      <c r="BM136" s="137"/>
      <c r="BN136" s="137"/>
      <c r="BO136" s="137"/>
      <c r="BP136" s="137"/>
      <c r="BQ136" s="137"/>
      <c r="BR136" s="137"/>
      <c r="BS136" s="137"/>
      <c r="BV136" s="262"/>
      <c r="BW136" s="136"/>
      <c r="BX136" s="137"/>
      <c r="BY136" s="137"/>
      <c r="BZ136" s="137"/>
      <c r="CA136" s="137"/>
      <c r="CB136" s="137"/>
      <c r="CC136" s="258"/>
      <c r="CD136" s="258"/>
      <c r="CE136" s="258"/>
      <c r="CF136" s="258"/>
      <c r="CG136" s="258"/>
      <c r="CH136" s="258"/>
      <c r="CI136" s="258"/>
      <c r="CJ136" s="258"/>
      <c r="CK136" s="258"/>
      <c r="CL136" s="258"/>
      <c r="CM136" s="258"/>
    </row>
    <row r="137" spans="1:91" x14ac:dyDescent="0.25">
      <c r="A137" s="723"/>
      <c r="B137" s="723"/>
      <c r="K137" s="52"/>
      <c r="L137" s="135"/>
      <c r="N137" s="131"/>
      <c r="O137" s="131"/>
      <c r="P137" s="55"/>
      <c r="Q137" s="135"/>
      <c r="R137" s="135"/>
      <c r="U137" s="135"/>
      <c r="V137" s="146"/>
      <c r="W137" s="146"/>
      <c r="X137" s="338"/>
      <c r="Y137" s="338"/>
      <c r="Z137" s="338"/>
      <c r="AA137" s="338"/>
      <c r="AB137" s="338"/>
      <c r="AC137" s="338"/>
      <c r="AF137" s="138"/>
      <c r="AG137" s="138"/>
      <c r="AH137" s="138"/>
      <c r="AI137" s="138"/>
      <c r="AJ137" s="138"/>
      <c r="AM137" s="258"/>
      <c r="AN137" s="258"/>
      <c r="AO137" s="258"/>
      <c r="AP137" s="258"/>
      <c r="AR137" s="137"/>
      <c r="AT137" s="137"/>
      <c r="AV137" s="394"/>
      <c r="AW137" s="137"/>
      <c r="AX137" s="137"/>
      <c r="AY137" s="137"/>
      <c r="AZ137" s="137"/>
      <c r="BA137" s="264"/>
      <c r="BB137" s="258"/>
      <c r="BC137" s="258"/>
      <c r="BD137" s="137"/>
      <c r="BE137" s="137"/>
      <c r="BF137" s="137"/>
      <c r="BG137" s="137"/>
      <c r="BH137" s="137"/>
      <c r="BI137" s="137"/>
      <c r="BJ137" s="137"/>
      <c r="BK137" s="137"/>
      <c r="BL137" s="137"/>
      <c r="BM137" s="137"/>
      <c r="BN137" s="137"/>
      <c r="BO137" s="137"/>
      <c r="BP137" s="137"/>
      <c r="BQ137" s="137"/>
      <c r="BR137" s="137"/>
      <c r="BS137" s="137"/>
      <c r="BV137" s="262"/>
      <c r="BW137" s="136"/>
      <c r="BX137" s="137"/>
      <c r="BY137" s="137"/>
      <c r="BZ137" s="137"/>
      <c r="CA137" s="137"/>
      <c r="CB137" s="137"/>
      <c r="CC137" s="258"/>
      <c r="CD137" s="258"/>
      <c r="CE137" s="258"/>
      <c r="CF137" s="258"/>
      <c r="CG137" s="258"/>
      <c r="CH137" s="258"/>
      <c r="CI137" s="258"/>
      <c r="CJ137" s="258"/>
      <c r="CK137" s="258"/>
      <c r="CL137" s="258"/>
      <c r="CM137" s="258"/>
    </row>
    <row r="138" spans="1:91" x14ac:dyDescent="0.25">
      <c r="A138" s="723"/>
      <c r="B138" s="723"/>
      <c r="K138" s="52"/>
      <c r="L138" s="135"/>
      <c r="N138" s="131"/>
      <c r="O138" s="131"/>
      <c r="P138" s="55"/>
      <c r="Q138" s="135"/>
      <c r="R138" s="135"/>
      <c r="U138" s="135"/>
      <c r="V138" s="146"/>
      <c r="W138" s="146"/>
      <c r="X138" s="338"/>
      <c r="Y138" s="338"/>
      <c r="Z138" s="338"/>
      <c r="AA138" s="338"/>
      <c r="AB138" s="338"/>
      <c r="AC138" s="338"/>
      <c r="AF138" s="138"/>
      <c r="AG138" s="138"/>
      <c r="AH138" s="138"/>
      <c r="AI138" s="138"/>
      <c r="AJ138" s="138"/>
      <c r="AM138" s="258"/>
      <c r="AN138" s="258"/>
      <c r="AO138" s="258"/>
      <c r="AP138" s="258"/>
      <c r="AR138" s="137"/>
      <c r="AT138" s="137"/>
      <c r="AV138" s="394"/>
      <c r="AW138" s="137"/>
      <c r="AX138" s="137"/>
      <c r="AY138" s="137"/>
      <c r="AZ138" s="137"/>
      <c r="BA138" s="264"/>
      <c r="BB138" s="258"/>
      <c r="BC138" s="258"/>
      <c r="BD138" s="137"/>
      <c r="BE138" s="137"/>
      <c r="BF138" s="137"/>
      <c r="BG138" s="137"/>
      <c r="BH138" s="137"/>
      <c r="BI138" s="137"/>
      <c r="BJ138" s="137"/>
      <c r="BK138" s="137"/>
      <c r="BL138" s="137"/>
      <c r="BM138" s="137"/>
      <c r="BN138" s="137"/>
      <c r="BO138" s="137"/>
      <c r="BP138" s="137"/>
      <c r="BQ138" s="137"/>
      <c r="BR138" s="137"/>
      <c r="BS138" s="137"/>
      <c r="BV138" s="262"/>
      <c r="BW138" s="136"/>
      <c r="BX138" s="137"/>
      <c r="BY138" s="137"/>
      <c r="BZ138" s="137"/>
      <c r="CA138" s="137"/>
      <c r="CB138" s="137"/>
      <c r="CC138" s="258"/>
      <c r="CD138" s="258"/>
      <c r="CE138" s="258"/>
      <c r="CF138" s="258"/>
      <c r="CG138" s="258"/>
      <c r="CH138" s="258"/>
      <c r="CI138" s="258"/>
      <c r="CJ138" s="258"/>
      <c r="CK138" s="258"/>
      <c r="CL138" s="258"/>
      <c r="CM138" s="258"/>
    </row>
    <row r="139" spans="1:91" x14ac:dyDescent="0.25">
      <c r="A139" s="723"/>
      <c r="B139" s="723"/>
      <c r="K139" s="52"/>
      <c r="L139" s="135"/>
      <c r="N139" s="131"/>
      <c r="O139" s="131"/>
      <c r="P139" s="55"/>
      <c r="Q139" s="135"/>
      <c r="R139" s="135"/>
      <c r="U139" s="135"/>
      <c r="V139" s="146"/>
      <c r="W139" s="146"/>
      <c r="X139" s="338"/>
      <c r="Y139" s="338"/>
      <c r="Z139" s="338"/>
      <c r="AA139" s="338"/>
      <c r="AB139" s="338"/>
      <c r="AC139" s="338"/>
      <c r="AF139" s="138"/>
      <c r="AG139" s="138"/>
      <c r="AH139" s="138"/>
      <c r="AI139" s="138"/>
      <c r="AJ139" s="138"/>
      <c r="AM139" s="258"/>
      <c r="AN139" s="258"/>
      <c r="AO139" s="258"/>
      <c r="AP139" s="258"/>
      <c r="AR139" s="137"/>
      <c r="AT139" s="137"/>
      <c r="AV139" s="394"/>
      <c r="AW139" s="137"/>
      <c r="AX139" s="137"/>
      <c r="AY139" s="137"/>
      <c r="AZ139" s="137"/>
      <c r="BA139" s="264"/>
      <c r="BB139" s="258"/>
      <c r="BC139" s="258"/>
      <c r="BD139" s="137"/>
      <c r="BE139" s="137"/>
      <c r="BF139" s="137"/>
      <c r="BG139" s="137"/>
      <c r="BH139" s="137"/>
      <c r="BI139" s="137"/>
      <c r="BJ139" s="137"/>
      <c r="BK139" s="137"/>
      <c r="BL139" s="137"/>
      <c r="BM139" s="137"/>
      <c r="BN139" s="137"/>
      <c r="BO139" s="137"/>
      <c r="BP139" s="137"/>
      <c r="BQ139" s="137"/>
      <c r="BR139" s="137"/>
      <c r="BS139" s="137"/>
      <c r="BV139" s="262"/>
      <c r="BW139" s="136"/>
      <c r="BX139" s="137"/>
      <c r="BY139" s="137"/>
      <c r="BZ139" s="137"/>
      <c r="CA139" s="137"/>
      <c r="CB139" s="137"/>
      <c r="CC139" s="258"/>
      <c r="CD139" s="258"/>
      <c r="CE139" s="258"/>
      <c r="CF139" s="258"/>
      <c r="CG139" s="258"/>
      <c r="CH139" s="258"/>
      <c r="CI139" s="258"/>
      <c r="CJ139" s="258"/>
      <c r="CK139" s="258"/>
      <c r="CL139" s="258"/>
      <c r="CM139" s="258"/>
    </row>
    <row r="140" spans="1:91" x14ac:dyDescent="0.25">
      <c r="A140" s="723"/>
      <c r="B140" s="723"/>
      <c r="K140" s="52"/>
      <c r="L140" s="135"/>
      <c r="N140" s="131"/>
      <c r="O140" s="131"/>
      <c r="P140" s="55"/>
      <c r="Q140" s="135"/>
      <c r="R140" s="135"/>
      <c r="U140" s="135"/>
      <c r="V140" s="146"/>
      <c r="W140" s="146"/>
      <c r="X140" s="338"/>
      <c r="Y140" s="338"/>
      <c r="Z140" s="338"/>
      <c r="AA140" s="338"/>
      <c r="AB140" s="338"/>
      <c r="AC140" s="338"/>
      <c r="AF140" s="138"/>
      <c r="AG140" s="138"/>
      <c r="AH140" s="138"/>
      <c r="AI140" s="138"/>
      <c r="AJ140" s="138"/>
      <c r="AM140" s="258"/>
      <c r="AN140" s="258"/>
      <c r="AO140" s="258"/>
      <c r="AP140" s="258"/>
      <c r="AR140" s="137"/>
      <c r="AT140" s="137"/>
      <c r="AV140" s="394"/>
      <c r="AW140" s="137"/>
      <c r="AX140" s="137"/>
      <c r="AY140" s="137"/>
      <c r="AZ140" s="137"/>
      <c r="BA140" s="264"/>
      <c r="BB140" s="258"/>
      <c r="BC140" s="258"/>
      <c r="BD140" s="137"/>
      <c r="BE140" s="137"/>
      <c r="BF140" s="137"/>
      <c r="BG140" s="137"/>
      <c r="BH140" s="137"/>
      <c r="BI140" s="137"/>
      <c r="BJ140" s="137"/>
      <c r="BK140" s="137"/>
      <c r="BL140" s="137"/>
      <c r="BM140" s="137"/>
      <c r="BN140" s="137"/>
      <c r="BO140" s="137"/>
      <c r="BP140" s="137"/>
      <c r="BQ140" s="137"/>
      <c r="BR140" s="137"/>
      <c r="BS140" s="137"/>
      <c r="BV140" s="262"/>
      <c r="BW140" s="136"/>
      <c r="BX140" s="137"/>
      <c r="BY140" s="137"/>
      <c r="BZ140" s="137"/>
      <c r="CA140" s="137"/>
      <c r="CB140" s="137"/>
      <c r="CC140" s="258"/>
      <c r="CD140" s="258"/>
      <c r="CE140" s="258"/>
      <c r="CF140" s="258"/>
      <c r="CG140" s="258"/>
      <c r="CH140" s="258"/>
      <c r="CI140" s="258"/>
      <c r="CJ140" s="258"/>
      <c r="CK140" s="258"/>
      <c r="CL140" s="258"/>
      <c r="CM140" s="258"/>
    </row>
    <row r="141" spans="1:91" x14ac:dyDescent="0.25">
      <c r="A141" s="723"/>
      <c r="B141" s="723"/>
      <c r="K141" s="52"/>
      <c r="L141" s="135"/>
      <c r="N141" s="131"/>
      <c r="O141" s="131"/>
      <c r="P141" s="55"/>
      <c r="Q141" s="135"/>
      <c r="R141" s="135"/>
      <c r="U141" s="135"/>
      <c r="V141" s="146"/>
      <c r="W141" s="146"/>
      <c r="X141" s="338"/>
      <c r="Y141" s="338"/>
      <c r="Z141" s="338"/>
      <c r="AA141" s="338"/>
      <c r="AB141" s="338"/>
      <c r="AC141" s="338"/>
      <c r="AF141" s="138"/>
      <c r="AG141" s="138"/>
      <c r="AH141" s="138"/>
      <c r="AI141" s="138"/>
      <c r="AJ141" s="138"/>
      <c r="AM141" s="258"/>
      <c r="AN141" s="258"/>
      <c r="AO141" s="258"/>
      <c r="AP141" s="258"/>
      <c r="AR141" s="137"/>
      <c r="AT141" s="137"/>
      <c r="AV141" s="394"/>
      <c r="AW141" s="137"/>
      <c r="AX141" s="137"/>
      <c r="AY141" s="137"/>
      <c r="AZ141" s="137"/>
      <c r="BA141" s="264"/>
      <c r="BB141" s="258"/>
      <c r="BC141" s="258"/>
      <c r="BD141" s="137"/>
      <c r="BE141" s="137"/>
      <c r="BF141" s="137"/>
      <c r="BG141" s="137"/>
      <c r="BH141" s="137"/>
      <c r="BI141" s="137"/>
      <c r="BJ141" s="137"/>
      <c r="BK141" s="137"/>
      <c r="BL141" s="137"/>
      <c r="BM141" s="137"/>
      <c r="BN141" s="137"/>
      <c r="BO141" s="137"/>
      <c r="BP141" s="137"/>
      <c r="BQ141" s="137"/>
      <c r="BR141" s="137"/>
      <c r="BS141" s="137"/>
      <c r="BV141" s="262"/>
      <c r="BW141" s="136"/>
      <c r="BX141" s="137"/>
      <c r="BY141" s="137"/>
      <c r="BZ141" s="137"/>
      <c r="CA141" s="137"/>
      <c r="CB141" s="137"/>
      <c r="CC141" s="258"/>
      <c r="CD141" s="258"/>
      <c r="CE141" s="258"/>
      <c r="CF141" s="258"/>
      <c r="CG141" s="258"/>
      <c r="CH141" s="258"/>
      <c r="CI141" s="258"/>
      <c r="CJ141" s="258"/>
      <c r="CK141" s="258"/>
      <c r="CL141" s="258"/>
      <c r="CM141" s="258"/>
    </row>
    <row r="142" spans="1:91" x14ac:dyDescent="0.25">
      <c r="A142" s="723"/>
      <c r="B142" s="723"/>
      <c r="K142" s="52"/>
      <c r="L142" s="135"/>
      <c r="N142" s="131"/>
      <c r="O142" s="131"/>
      <c r="P142" s="55"/>
      <c r="Q142" s="135"/>
      <c r="R142" s="135"/>
      <c r="U142" s="135"/>
      <c r="V142" s="146"/>
      <c r="W142" s="146"/>
      <c r="X142" s="338"/>
      <c r="Y142" s="338"/>
      <c r="Z142" s="338"/>
      <c r="AA142" s="338"/>
      <c r="AB142" s="338"/>
      <c r="AC142" s="338"/>
      <c r="AF142" s="138"/>
      <c r="AG142" s="138"/>
      <c r="AH142" s="138"/>
      <c r="AI142" s="138"/>
      <c r="AJ142" s="138"/>
      <c r="AM142" s="258"/>
      <c r="AN142" s="258"/>
      <c r="AO142" s="258"/>
      <c r="AP142" s="258"/>
      <c r="AR142" s="137"/>
      <c r="AT142" s="137"/>
      <c r="AV142" s="394"/>
      <c r="AW142" s="137"/>
      <c r="AX142" s="137"/>
      <c r="AY142" s="137"/>
      <c r="AZ142" s="137"/>
      <c r="BA142" s="264"/>
      <c r="BB142" s="258"/>
      <c r="BC142" s="258"/>
      <c r="BD142" s="137"/>
      <c r="BE142" s="137"/>
      <c r="BF142" s="137"/>
      <c r="BG142" s="137"/>
      <c r="BH142" s="137"/>
      <c r="BI142" s="137"/>
      <c r="BJ142" s="137"/>
      <c r="BK142" s="137"/>
      <c r="BL142" s="137"/>
      <c r="BM142" s="137"/>
      <c r="BN142" s="137"/>
      <c r="BO142" s="137"/>
      <c r="BP142" s="137"/>
      <c r="BQ142" s="137"/>
      <c r="BR142" s="137"/>
      <c r="BS142" s="137"/>
      <c r="BV142" s="262"/>
      <c r="BW142" s="136"/>
      <c r="BX142" s="137"/>
      <c r="BY142" s="137"/>
      <c r="BZ142" s="137"/>
      <c r="CA142" s="137"/>
      <c r="CB142" s="137"/>
      <c r="CC142" s="258"/>
      <c r="CD142" s="258"/>
      <c r="CE142" s="258"/>
      <c r="CF142" s="258"/>
      <c r="CG142" s="258"/>
      <c r="CH142" s="258"/>
      <c r="CI142" s="258"/>
      <c r="CJ142" s="258"/>
      <c r="CK142" s="258"/>
      <c r="CL142" s="258"/>
      <c r="CM142" s="258"/>
    </row>
    <row r="143" spans="1:91" x14ac:dyDescent="0.25">
      <c r="A143" s="723"/>
      <c r="B143" s="723"/>
      <c r="K143" s="52"/>
      <c r="L143" s="135"/>
      <c r="N143" s="131"/>
      <c r="O143" s="131"/>
      <c r="P143" s="55"/>
      <c r="Q143" s="135"/>
      <c r="R143" s="135"/>
      <c r="U143" s="135"/>
      <c r="V143" s="146"/>
      <c r="W143" s="146"/>
      <c r="X143" s="338"/>
      <c r="Y143" s="338"/>
      <c r="Z143" s="338"/>
      <c r="AA143" s="338"/>
      <c r="AB143" s="338"/>
      <c r="AC143" s="338"/>
      <c r="AF143" s="138"/>
      <c r="AG143" s="138"/>
      <c r="AH143" s="138"/>
      <c r="AI143" s="138"/>
      <c r="AJ143" s="138"/>
      <c r="AM143" s="258"/>
      <c r="AN143" s="258"/>
      <c r="AO143" s="258"/>
      <c r="AP143" s="258"/>
      <c r="AR143" s="137"/>
      <c r="AT143" s="137"/>
      <c r="AV143" s="394"/>
      <c r="AW143" s="137"/>
      <c r="AX143" s="137"/>
      <c r="AY143" s="137"/>
      <c r="AZ143" s="137"/>
      <c r="BA143" s="264"/>
      <c r="BB143" s="258"/>
      <c r="BC143" s="258"/>
      <c r="BD143" s="137"/>
      <c r="BE143" s="137"/>
      <c r="BF143" s="137"/>
      <c r="BG143" s="137"/>
      <c r="BH143" s="137"/>
      <c r="BI143" s="137"/>
      <c r="BJ143" s="137"/>
      <c r="BK143" s="137"/>
      <c r="BL143" s="137"/>
      <c r="BM143" s="137"/>
      <c r="BN143" s="137"/>
      <c r="BO143" s="137"/>
      <c r="BP143" s="137"/>
      <c r="BQ143" s="137"/>
      <c r="BR143" s="137"/>
      <c r="BS143" s="137"/>
      <c r="BV143" s="262"/>
      <c r="BW143" s="136"/>
      <c r="BX143" s="137"/>
      <c r="BY143" s="137"/>
      <c r="BZ143" s="137"/>
      <c r="CA143" s="137"/>
      <c r="CB143" s="137"/>
      <c r="CC143" s="258"/>
      <c r="CD143" s="258"/>
      <c r="CE143" s="258"/>
      <c r="CF143" s="258"/>
      <c r="CG143" s="258"/>
      <c r="CH143" s="258"/>
      <c r="CI143" s="258"/>
      <c r="CJ143" s="258"/>
      <c r="CK143" s="258"/>
      <c r="CL143" s="258"/>
      <c r="CM143" s="258"/>
    </row>
    <row r="144" spans="1:91" x14ac:dyDescent="0.25">
      <c r="A144" s="723"/>
      <c r="B144" s="723"/>
      <c r="K144" s="52"/>
      <c r="L144" s="135"/>
      <c r="N144" s="131"/>
      <c r="O144" s="131"/>
      <c r="P144" s="55"/>
      <c r="Q144" s="135"/>
      <c r="R144" s="135"/>
      <c r="U144" s="135"/>
      <c r="V144" s="146"/>
      <c r="W144" s="146"/>
      <c r="X144" s="338"/>
      <c r="Y144" s="338"/>
      <c r="Z144" s="338"/>
      <c r="AA144" s="338"/>
      <c r="AB144" s="338"/>
      <c r="AC144" s="338"/>
      <c r="AF144" s="138"/>
      <c r="AG144" s="138"/>
      <c r="AH144" s="138"/>
      <c r="AI144" s="138"/>
      <c r="AJ144" s="138"/>
      <c r="AM144" s="258"/>
      <c r="AN144" s="258"/>
      <c r="AO144" s="258"/>
      <c r="AP144" s="258"/>
      <c r="AR144" s="137"/>
      <c r="AT144" s="137"/>
      <c r="AV144" s="394"/>
      <c r="AW144" s="137"/>
      <c r="AX144" s="137"/>
      <c r="AY144" s="137"/>
      <c r="AZ144" s="137"/>
      <c r="BA144" s="264"/>
      <c r="BB144" s="258"/>
      <c r="BC144" s="258"/>
      <c r="BD144" s="137"/>
      <c r="BE144" s="137"/>
      <c r="BF144" s="137"/>
      <c r="BG144" s="137"/>
      <c r="BH144" s="137"/>
      <c r="BI144" s="137"/>
      <c r="BJ144" s="137"/>
      <c r="BK144" s="137"/>
      <c r="BL144" s="137"/>
      <c r="BM144" s="137"/>
      <c r="BN144" s="137"/>
      <c r="BO144" s="137"/>
      <c r="BP144" s="137"/>
      <c r="BQ144" s="137"/>
      <c r="BR144" s="137"/>
      <c r="BS144" s="137"/>
      <c r="BV144" s="262"/>
      <c r="BW144" s="136"/>
      <c r="BX144" s="137"/>
      <c r="BY144" s="137"/>
      <c r="BZ144" s="137"/>
      <c r="CA144" s="137"/>
      <c r="CB144" s="137"/>
      <c r="CC144" s="258"/>
      <c r="CD144" s="258"/>
      <c r="CE144" s="258"/>
      <c r="CF144" s="258"/>
      <c r="CG144" s="258"/>
      <c r="CH144" s="258"/>
      <c r="CI144" s="258"/>
      <c r="CJ144" s="258"/>
      <c r="CK144" s="258"/>
      <c r="CL144" s="258"/>
      <c r="CM144" s="258"/>
    </row>
    <row r="145" spans="1:91" x14ac:dyDescent="0.25">
      <c r="A145" s="723"/>
      <c r="B145" s="723"/>
      <c r="K145" s="52"/>
      <c r="L145" s="135"/>
      <c r="N145" s="131"/>
      <c r="O145" s="131"/>
      <c r="P145" s="55"/>
      <c r="Q145" s="135"/>
      <c r="R145" s="135"/>
      <c r="U145" s="135"/>
      <c r="V145" s="146"/>
      <c r="W145" s="146"/>
      <c r="X145" s="338"/>
      <c r="Y145" s="338"/>
      <c r="Z145" s="338"/>
      <c r="AA145" s="338"/>
      <c r="AB145" s="338"/>
      <c r="AC145" s="338"/>
      <c r="AF145" s="138"/>
      <c r="AG145" s="138"/>
      <c r="AH145" s="138"/>
      <c r="AI145" s="138"/>
      <c r="AJ145" s="138"/>
      <c r="AM145" s="258"/>
      <c r="AN145" s="258"/>
      <c r="AO145" s="258"/>
      <c r="AP145" s="258"/>
      <c r="AR145" s="137"/>
      <c r="AT145" s="137"/>
      <c r="AV145" s="394"/>
      <c r="AW145" s="137"/>
      <c r="AX145" s="137"/>
      <c r="AY145" s="137"/>
      <c r="AZ145" s="137"/>
      <c r="BA145" s="264"/>
      <c r="BB145" s="258"/>
      <c r="BC145" s="258"/>
      <c r="BD145" s="137"/>
      <c r="BE145" s="137"/>
      <c r="BF145" s="137"/>
      <c r="BG145" s="137"/>
      <c r="BH145" s="137"/>
      <c r="BI145" s="137"/>
      <c r="BJ145" s="137"/>
      <c r="BK145" s="137"/>
      <c r="BL145" s="137"/>
      <c r="BM145" s="137"/>
      <c r="BN145" s="137"/>
      <c r="BO145" s="137"/>
      <c r="BP145" s="137"/>
      <c r="BQ145" s="137"/>
      <c r="BR145" s="137"/>
      <c r="BS145" s="137"/>
      <c r="BV145" s="262"/>
      <c r="BW145" s="136"/>
      <c r="BX145" s="137"/>
      <c r="BY145" s="137"/>
      <c r="BZ145" s="137"/>
      <c r="CA145" s="137"/>
      <c r="CB145" s="137"/>
      <c r="CC145" s="258"/>
      <c r="CD145" s="258"/>
      <c r="CE145" s="258"/>
      <c r="CF145" s="258"/>
      <c r="CG145" s="258"/>
      <c r="CH145" s="258"/>
      <c r="CI145" s="258"/>
      <c r="CJ145" s="258"/>
      <c r="CK145" s="258"/>
      <c r="CL145" s="258"/>
      <c r="CM145" s="258"/>
    </row>
    <row r="146" spans="1:91" x14ac:dyDescent="0.25">
      <c r="A146" s="723"/>
      <c r="B146" s="723"/>
      <c r="K146" s="52"/>
      <c r="L146" s="135"/>
      <c r="N146" s="131"/>
      <c r="O146" s="131"/>
      <c r="P146" s="55"/>
      <c r="Q146" s="135"/>
      <c r="R146" s="135"/>
      <c r="U146" s="135"/>
      <c r="V146" s="146"/>
      <c r="W146" s="146"/>
      <c r="X146" s="338"/>
      <c r="Y146" s="338"/>
      <c r="Z146" s="338"/>
      <c r="AA146" s="338"/>
      <c r="AB146" s="338"/>
      <c r="AC146" s="338"/>
      <c r="AF146" s="138"/>
      <c r="AG146" s="138"/>
      <c r="AH146" s="138"/>
      <c r="AI146" s="138"/>
      <c r="AJ146" s="138"/>
      <c r="AM146" s="258"/>
      <c r="AN146" s="258"/>
      <c r="AO146" s="258"/>
      <c r="AP146" s="258"/>
      <c r="AR146" s="137"/>
      <c r="AT146" s="137"/>
      <c r="AV146" s="394"/>
      <c r="AW146" s="137"/>
      <c r="AX146" s="137"/>
      <c r="AY146" s="137"/>
      <c r="AZ146" s="137"/>
      <c r="BA146" s="264"/>
      <c r="BB146" s="258"/>
      <c r="BC146" s="258"/>
      <c r="BD146" s="137"/>
      <c r="BE146" s="137"/>
      <c r="BF146" s="137"/>
      <c r="BG146" s="137"/>
      <c r="BH146" s="137"/>
      <c r="BI146" s="137"/>
      <c r="BJ146" s="137"/>
      <c r="BK146" s="137"/>
      <c r="BL146" s="137"/>
      <c r="BM146" s="137"/>
      <c r="BN146" s="137"/>
      <c r="BO146" s="137"/>
      <c r="BP146" s="137"/>
      <c r="BQ146" s="137"/>
      <c r="BR146" s="137"/>
      <c r="BS146" s="137"/>
      <c r="BV146" s="262"/>
      <c r="BW146" s="136"/>
      <c r="BX146" s="137"/>
      <c r="BY146" s="137"/>
      <c r="BZ146" s="137"/>
      <c r="CA146" s="137"/>
      <c r="CB146" s="137"/>
      <c r="CC146" s="258"/>
      <c r="CD146" s="258"/>
      <c r="CE146" s="258"/>
      <c r="CF146" s="258"/>
      <c r="CG146" s="258"/>
      <c r="CH146" s="258"/>
      <c r="CI146" s="258"/>
      <c r="CJ146" s="258"/>
      <c r="CK146" s="258"/>
      <c r="CL146" s="258"/>
      <c r="CM146" s="258"/>
    </row>
    <row r="147" spans="1:91" x14ac:dyDescent="0.25">
      <c r="A147" s="723"/>
      <c r="B147" s="723"/>
      <c r="K147" s="52"/>
      <c r="L147" s="135"/>
      <c r="N147" s="131"/>
      <c r="O147" s="131"/>
      <c r="P147" s="55"/>
      <c r="Q147" s="135"/>
      <c r="R147" s="135"/>
      <c r="U147" s="135"/>
      <c r="V147" s="146"/>
      <c r="W147" s="146"/>
      <c r="X147" s="338"/>
      <c r="Y147" s="338"/>
      <c r="Z147" s="338"/>
      <c r="AA147" s="338"/>
      <c r="AB147" s="338"/>
      <c r="AC147" s="338"/>
      <c r="AF147" s="138"/>
      <c r="AG147" s="138"/>
      <c r="AH147" s="138"/>
      <c r="AI147" s="138"/>
      <c r="AJ147" s="138"/>
      <c r="AM147" s="258"/>
      <c r="AN147" s="258"/>
      <c r="AO147" s="258"/>
      <c r="AP147" s="258"/>
      <c r="AR147" s="137"/>
      <c r="AT147" s="137"/>
      <c r="AV147" s="394"/>
      <c r="AW147" s="137"/>
      <c r="AX147" s="137"/>
      <c r="AY147" s="137"/>
      <c r="AZ147" s="137"/>
      <c r="BA147" s="264"/>
      <c r="BB147" s="258"/>
      <c r="BC147" s="258"/>
      <c r="BD147" s="137"/>
      <c r="BE147" s="137"/>
      <c r="BF147" s="137"/>
      <c r="BG147" s="137"/>
      <c r="BH147" s="137"/>
      <c r="BI147" s="137"/>
      <c r="BJ147" s="137"/>
      <c r="BK147" s="137"/>
      <c r="BL147" s="137"/>
      <c r="BM147" s="137"/>
      <c r="BN147" s="137"/>
      <c r="BO147" s="137"/>
      <c r="BP147" s="137"/>
      <c r="BQ147" s="137"/>
      <c r="BR147" s="137"/>
      <c r="BS147" s="137"/>
      <c r="BV147" s="262"/>
      <c r="BW147" s="136"/>
      <c r="BX147" s="137"/>
      <c r="BY147" s="137"/>
      <c r="BZ147" s="137"/>
      <c r="CA147" s="137"/>
      <c r="CB147" s="137"/>
      <c r="CC147" s="258"/>
      <c r="CD147" s="258"/>
      <c r="CE147" s="258"/>
      <c r="CF147" s="258"/>
      <c r="CG147" s="258"/>
      <c r="CH147" s="258"/>
      <c r="CI147" s="258"/>
      <c r="CJ147" s="258"/>
      <c r="CK147" s="258"/>
      <c r="CL147" s="258"/>
      <c r="CM147" s="258"/>
    </row>
    <row r="148" spans="1:91" x14ac:dyDescent="0.25">
      <c r="A148" s="723"/>
      <c r="B148" s="723"/>
      <c r="K148" s="52"/>
      <c r="L148" s="135"/>
      <c r="N148" s="131"/>
      <c r="O148" s="131"/>
      <c r="P148" s="55"/>
      <c r="Q148" s="135"/>
      <c r="R148" s="135"/>
      <c r="U148" s="135"/>
      <c r="V148" s="146"/>
      <c r="W148" s="146"/>
      <c r="X148" s="338"/>
      <c r="Y148" s="338"/>
      <c r="Z148" s="338"/>
      <c r="AA148" s="338"/>
      <c r="AB148" s="338"/>
      <c r="AC148" s="338"/>
      <c r="AF148" s="138"/>
      <c r="AG148" s="138"/>
      <c r="AH148" s="138"/>
      <c r="AI148" s="138"/>
      <c r="AJ148" s="138"/>
      <c r="AM148" s="258"/>
      <c r="AN148" s="258"/>
      <c r="AO148" s="258"/>
      <c r="AP148" s="258"/>
      <c r="AR148" s="137"/>
      <c r="AT148" s="137"/>
      <c r="AV148" s="394"/>
      <c r="AW148" s="137"/>
      <c r="AX148" s="137"/>
      <c r="AY148" s="137"/>
      <c r="AZ148" s="137"/>
      <c r="BA148" s="264"/>
      <c r="BB148" s="258"/>
      <c r="BC148" s="258"/>
      <c r="BD148" s="137"/>
      <c r="BE148" s="137"/>
      <c r="BF148" s="137"/>
      <c r="BG148" s="137"/>
      <c r="BH148" s="137"/>
      <c r="BI148" s="137"/>
      <c r="BJ148" s="137"/>
      <c r="BK148" s="137"/>
      <c r="BL148" s="137"/>
      <c r="BM148" s="137"/>
      <c r="BN148" s="137"/>
      <c r="BO148" s="137"/>
      <c r="BP148" s="137"/>
      <c r="BQ148" s="137"/>
      <c r="BR148" s="137"/>
      <c r="BS148" s="137"/>
      <c r="BV148" s="262"/>
      <c r="BW148" s="136"/>
      <c r="BX148" s="137"/>
      <c r="BY148" s="137"/>
      <c r="BZ148" s="137"/>
      <c r="CA148" s="137"/>
      <c r="CB148" s="137"/>
      <c r="CC148" s="258"/>
      <c r="CD148" s="258"/>
      <c r="CE148" s="258"/>
      <c r="CF148" s="258"/>
      <c r="CG148" s="258"/>
      <c r="CH148" s="258"/>
      <c r="CI148" s="258"/>
      <c r="CJ148" s="258"/>
      <c r="CK148" s="258"/>
      <c r="CL148" s="258"/>
      <c r="CM148" s="258"/>
    </row>
    <row r="149" spans="1:91" x14ac:dyDescent="0.25">
      <c r="A149" s="723"/>
      <c r="B149" s="723"/>
      <c r="K149" s="52"/>
      <c r="L149" s="135"/>
      <c r="N149" s="131"/>
      <c r="O149" s="131"/>
      <c r="P149" s="55"/>
      <c r="Q149" s="135"/>
      <c r="R149" s="135"/>
      <c r="U149" s="135"/>
      <c r="V149" s="146"/>
      <c r="W149" s="146"/>
      <c r="X149" s="338"/>
      <c r="Y149" s="338"/>
      <c r="Z149" s="338"/>
      <c r="AA149" s="338"/>
      <c r="AB149" s="338"/>
      <c r="AC149" s="338"/>
      <c r="AF149" s="138"/>
      <c r="AG149" s="138"/>
      <c r="AH149" s="138"/>
      <c r="AI149" s="138"/>
      <c r="AJ149" s="138"/>
      <c r="AM149" s="258"/>
      <c r="AN149" s="258"/>
      <c r="AO149" s="258"/>
      <c r="AP149" s="258"/>
      <c r="AR149" s="137"/>
      <c r="AT149" s="137"/>
      <c r="AV149" s="394"/>
      <c r="AW149" s="137"/>
      <c r="AX149" s="137"/>
      <c r="AY149" s="137"/>
      <c r="AZ149" s="137"/>
      <c r="BA149" s="264"/>
      <c r="BB149" s="258"/>
      <c r="BC149" s="258"/>
      <c r="BD149" s="137"/>
      <c r="BE149" s="137"/>
      <c r="BF149" s="137"/>
      <c r="BG149" s="137"/>
      <c r="BH149" s="137"/>
      <c r="BI149" s="137"/>
      <c r="BJ149" s="137"/>
      <c r="BK149" s="137"/>
      <c r="BL149" s="137"/>
      <c r="BM149" s="137"/>
      <c r="BN149" s="137"/>
      <c r="BO149" s="137"/>
      <c r="BP149" s="137"/>
      <c r="BQ149" s="137"/>
      <c r="BR149" s="137"/>
      <c r="BS149" s="137"/>
      <c r="BV149" s="262"/>
      <c r="BW149" s="136"/>
      <c r="BX149" s="137"/>
      <c r="BY149" s="137"/>
      <c r="BZ149" s="137"/>
      <c r="CA149" s="137"/>
      <c r="CB149" s="137"/>
      <c r="CC149" s="258"/>
      <c r="CD149" s="258"/>
      <c r="CE149" s="258"/>
      <c r="CF149" s="258"/>
      <c r="CG149" s="258"/>
      <c r="CH149" s="258"/>
      <c r="CI149" s="258"/>
      <c r="CJ149" s="258"/>
      <c r="CK149" s="258"/>
      <c r="CL149" s="258"/>
      <c r="CM149" s="258"/>
    </row>
    <row r="150" spans="1:91" x14ac:dyDescent="0.25">
      <c r="A150" s="723"/>
      <c r="B150" s="723"/>
      <c r="K150" s="52"/>
      <c r="L150" s="135"/>
      <c r="N150" s="131"/>
      <c r="O150" s="131"/>
      <c r="P150" s="55"/>
      <c r="Q150" s="135"/>
      <c r="R150" s="135"/>
      <c r="U150" s="135"/>
      <c r="V150" s="146"/>
      <c r="W150" s="146"/>
      <c r="X150" s="338"/>
      <c r="Y150" s="338"/>
      <c r="Z150" s="338"/>
      <c r="AA150" s="338"/>
      <c r="AB150" s="338"/>
      <c r="AC150" s="338"/>
      <c r="AF150" s="138"/>
      <c r="AG150" s="138"/>
      <c r="AH150" s="138"/>
      <c r="AI150" s="138"/>
      <c r="AJ150" s="138"/>
      <c r="AM150" s="258"/>
      <c r="AN150" s="258"/>
      <c r="AO150" s="258"/>
      <c r="AP150" s="258"/>
      <c r="AR150" s="137"/>
      <c r="AT150" s="137"/>
      <c r="AV150" s="394"/>
      <c r="AW150" s="137"/>
      <c r="AX150" s="137"/>
      <c r="AY150" s="137"/>
      <c r="AZ150" s="137"/>
      <c r="BA150" s="264"/>
      <c r="BB150" s="258"/>
      <c r="BC150" s="258"/>
      <c r="BD150" s="137"/>
      <c r="BE150" s="137"/>
      <c r="BF150" s="137"/>
      <c r="BG150" s="137"/>
      <c r="BH150" s="137"/>
      <c r="BI150" s="137"/>
      <c r="BJ150" s="137"/>
      <c r="BK150" s="137"/>
      <c r="BL150" s="137"/>
      <c r="BM150" s="137"/>
      <c r="BN150" s="137"/>
      <c r="BO150" s="137"/>
      <c r="BP150" s="137"/>
      <c r="BQ150" s="137"/>
      <c r="BR150" s="137"/>
      <c r="BS150" s="137"/>
      <c r="BV150" s="262"/>
      <c r="BW150" s="136"/>
      <c r="BX150" s="137"/>
      <c r="BY150" s="137"/>
      <c r="BZ150" s="137"/>
      <c r="CA150" s="137"/>
      <c r="CB150" s="137"/>
      <c r="CC150" s="258"/>
      <c r="CD150" s="258"/>
      <c r="CE150" s="258"/>
      <c r="CF150" s="258"/>
      <c r="CG150" s="258"/>
      <c r="CH150" s="258"/>
      <c r="CI150" s="258"/>
      <c r="CJ150" s="258"/>
      <c r="CK150" s="258"/>
      <c r="CL150" s="258"/>
      <c r="CM150" s="258"/>
    </row>
    <row r="151" spans="1:91" x14ac:dyDescent="0.25">
      <c r="A151" s="723"/>
      <c r="B151" s="723"/>
      <c r="K151" s="52"/>
      <c r="L151" s="135"/>
      <c r="N151" s="131"/>
      <c r="O151" s="131"/>
      <c r="P151" s="55"/>
      <c r="Q151" s="135"/>
      <c r="R151" s="135"/>
      <c r="U151" s="135"/>
      <c r="V151" s="146"/>
      <c r="W151" s="146"/>
      <c r="X151" s="338"/>
      <c r="Y151" s="338"/>
      <c r="Z151" s="338"/>
      <c r="AA151" s="338"/>
      <c r="AB151" s="338"/>
      <c r="AC151" s="338"/>
      <c r="AF151" s="138"/>
      <c r="AG151" s="138"/>
      <c r="AH151" s="138"/>
      <c r="AI151" s="138"/>
      <c r="AJ151" s="138"/>
      <c r="AM151" s="258"/>
      <c r="AN151" s="258"/>
      <c r="AO151" s="258"/>
      <c r="AP151" s="258"/>
      <c r="AR151" s="137"/>
      <c r="AT151" s="137"/>
      <c r="AV151" s="394"/>
      <c r="AW151" s="137"/>
      <c r="AX151" s="137"/>
      <c r="AY151" s="137"/>
      <c r="AZ151" s="137"/>
      <c r="BA151" s="264"/>
      <c r="BB151" s="258"/>
      <c r="BC151" s="258"/>
      <c r="BD151" s="137"/>
      <c r="BE151" s="137"/>
      <c r="BF151" s="137"/>
      <c r="BG151" s="137"/>
      <c r="BH151" s="137"/>
      <c r="BI151" s="137"/>
      <c r="BJ151" s="137"/>
      <c r="BK151" s="137"/>
      <c r="BL151" s="137"/>
      <c r="BM151" s="137"/>
      <c r="BN151" s="137"/>
      <c r="BO151" s="137"/>
      <c r="BP151" s="137"/>
      <c r="BQ151" s="137"/>
      <c r="BR151" s="137"/>
      <c r="BS151" s="137"/>
      <c r="BV151" s="262"/>
      <c r="BW151" s="136"/>
      <c r="BX151" s="137"/>
      <c r="BY151" s="137"/>
      <c r="BZ151" s="137"/>
      <c r="CA151" s="137"/>
      <c r="CB151" s="137"/>
      <c r="CC151" s="258"/>
      <c r="CD151" s="258"/>
      <c r="CE151" s="258"/>
      <c r="CF151" s="258"/>
      <c r="CG151" s="258"/>
      <c r="CH151" s="258"/>
      <c r="CI151" s="258"/>
      <c r="CJ151" s="258"/>
      <c r="CK151" s="258"/>
      <c r="CL151" s="258"/>
      <c r="CM151" s="258"/>
    </row>
    <row r="152" spans="1:91" x14ac:dyDescent="0.25">
      <c r="A152" s="723"/>
      <c r="B152" s="723"/>
      <c r="K152" s="52"/>
      <c r="L152" s="135"/>
      <c r="N152" s="131"/>
      <c r="O152" s="131"/>
      <c r="P152" s="55"/>
      <c r="Q152" s="135"/>
      <c r="R152" s="135"/>
      <c r="U152" s="135"/>
      <c r="V152" s="146"/>
      <c r="W152" s="146"/>
      <c r="X152" s="338"/>
      <c r="Y152" s="338"/>
      <c r="Z152" s="338"/>
      <c r="AA152" s="338"/>
      <c r="AB152" s="338"/>
      <c r="AC152" s="338"/>
      <c r="AF152" s="138"/>
      <c r="AG152" s="138"/>
      <c r="AH152" s="138"/>
      <c r="AI152" s="138"/>
      <c r="AJ152" s="138"/>
      <c r="AM152" s="258"/>
      <c r="AN152" s="258"/>
      <c r="AO152" s="258"/>
      <c r="AP152" s="258"/>
      <c r="AR152" s="137"/>
      <c r="AT152" s="137"/>
      <c r="AV152" s="394"/>
      <c r="AW152" s="137"/>
      <c r="AX152" s="137"/>
      <c r="AY152" s="137"/>
      <c r="AZ152" s="137"/>
      <c r="BA152" s="264"/>
      <c r="BB152" s="258"/>
      <c r="BC152" s="258"/>
      <c r="BD152" s="137"/>
      <c r="BE152" s="137"/>
      <c r="BF152" s="137"/>
      <c r="BG152" s="137"/>
      <c r="BH152" s="137"/>
      <c r="BI152" s="137"/>
      <c r="BJ152" s="137"/>
      <c r="BK152" s="137"/>
      <c r="BL152" s="137"/>
      <c r="BM152" s="137"/>
      <c r="BN152" s="137"/>
      <c r="BO152" s="137"/>
      <c r="BP152" s="137"/>
      <c r="BQ152" s="137"/>
      <c r="BR152" s="137"/>
      <c r="BS152" s="137"/>
      <c r="BV152" s="262"/>
      <c r="BW152" s="136"/>
      <c r="BX152" s="137"/>
      <c r="BY152" s="137"/>
      <c r="BZ152" s="137"/>
      <c r="CA152" s="137"/>
      <c r="CB152" s="137"/>
      <c r="CC152" s="258"/>
      <c r="CD152" s="258"/>
      <c r="CE152" s="258"/>
      <c r="CF152" s="258"/>
      <c r="CG152" s="258"/>
      <c r="CH152" s="258"/>
      <c r="CI152" s="258"/>
      <c r="CJ152" s="258"/>
      <c r="CK152" s="258"/>
      <c r="CL152" s="258"/>
      <c r="CM152" s="258"/>
    </row>
    <row r="153" spans="1:91" x14ac:dyDescent="0.25">
      <c r="A153" s="723"/>
      <c r="B153" s="723"/>
      <c r="K153" s="52"/>
      <c r="L153" s="135"/>
      <c r="N153" s="131"/>
      <c r="O153" s="131"/>
      <c r="P153" s="55"/>
      <c r="Q153" s="135"/>
      <c r="R153" s="135"/>
      <c r="U153" s="135"/>
      <c r="V153" s="146"/>
      <c r="W153" s="146"/>
      <c r="X153" s="338"/>
      <c r="Y153" s="338"/>
      <c r="Z153" s="338"/>
      <c r="AA153" s="338"/>
      <c r="AB153" s="338"/>
      <c r="AC153" s="338"/>
      <c r="AF153" s="138"/>
      <c r="AG153" s="138"/>
      <c r="AH153" s="138"/>
      <c r="AI153" s="138"/>
      <c r="AJ153" s="138"/>
      <c r="AM153" s="258"/>
      <c r="AN153" s="258"/>
      <c r="AO153" s="258"/>
      <c r="AP153" s="258"/>
      <c r="AR153" s="137"/>
      <c r="AT153" s="137"/>
      <c r="AV153" s="394"/>
      <c r="AW153" s="137"/>
      <c r="AX153" s="137"/>
      <c r="AY153" s="137"/>
      <c r="AZ153" s="137"/>
      <c r="BA153" s="264"/>
      <c r="BB153" s="258"/>
      <c r="BC153" s="258"/>
      <c r="BD153" s="137"/>
      <c r="BE153" s="137"/>
      <c r="BF153" s="137"/>
      <c r="BG153" s="137"/>
      <c r="BH153" s="137"/>
      <c r="BI153" s="137"/>
      <c r="BJ153" s="137"/>
      <c r="BK153" s="137"/>
      <c r="BL153" s="137"/>
      <c r="BM153" s="137"/>
      <c r="BN153" s="137"/>
      <c r="BO153" s="137"/>
      <c r="BP153" s="137"/>
      <c r="BQ153" s="137"/>
      <c r="BR153" s="137"/>
      <c r="BS153" s="137"/>
      <c r="BV153" s="262"/>
      <c r="BW153" s="136"/>
      <c r="BX153" s="137"/>
      <c r="BY153" s="137"/>
      <c r="BZ153" s="137"/>
      <c r="CA153" s="137"/>
      <c r="CB153" s="137"/>
      <c r="CC153" s="258"/>
      <c r="CD153" s="258"/>
      <c r="CE153" s="258"/>
      <c r="CF153" s="258"/>
      <c r="CG153" s="258"/>
      <c r="CH153" s="258"/>
      <c r="CI153" s="258"/>
      <c r="CJ153" s="258"/>
      <c r="CK153" s="258"/>
      <c r="CL153" s="258"/>
      <c r="CM153" s="258"/>
    </row>
    <row r="154" spans="1:91" x14ac:dyDescent="0.25">
      <c r="A154" s="723"/>
      <c r="B154" s="723"/>
      <c r="K154" s="52"/>
      <c r="L154" s="135"/>
      <c r="N154" s="131"/>
      <c r="O154" s="131"/>
      <c r="P154" s="55"/>
      <c r="Q154" s="135"/>
      <c r="R154" s="135"/>
      <c r="U154" s="135"/>
      <c r="V154" s="146"/>
      <c r="W154" s="146"/>
      <c r="X154" s="338"/>
      <c r="Y154" s="338"/>
      <c r="Z154" s="338"/>
      <c r="AA154" s="338"/>
      <c r="AB154" s="338"/>
      <c r="AC154" s="338"/>
      <c r="AF154" s="138"/>
      <c r="AG154" s="138"/>
      <c r="AH154" s="138"/>
      <c r="AI154" s="138"/>
      <c r="AJ154" s="138"/>
      <c r="AM154" s="258"/>
      <c r="AN154" s="258"/>
      <c r="AO154" s="258"/>
      <c r="AP154" s="258"/>
      <c r="AR154" s="137"/>
      <c r="AT154" s="137"/>
      <c r="AV154" s="394"/>
      <c r="AW154" s="137"/>
      <c r="AX154" s="137"/>
      <c r="AY154" s="137"/>
      <c r="AZ154" s="137"/>
      <c r="BA154" s="264"/>
      <c r="BB154" s="258"/>
      <c r="BC154" s="258"/>
      <c r="BD154" s="137"/>
      <c r="BE154" s="137"/>
      <c r="BF154" s="137"/>
      <c r="BG154" s="137"/>
      <c r="BH154" s="137"/>
      <c r="BI154" s="137"/>
      <c r="BJ154" s="137"/>
      <c r="BK154" s="137"/>
      <c r="BL154" s="137"/>
      <c r="BM154" s="137"/>
      <c r="BN154" s="137"/>
      <c r="BO154" s="137"/>
      <c r="BP154" s="137"/>
      <c r="BQ154" s="137"/>
      <c r="BR154" s="137"/>
      <c r="BS154" s="137"/>
      <c r="BV154" s="262"/>
      <c r="BW154" s="136"/>
      <c r="BX154" s="137"/>
      <c r="BY154" s="137"/>
      <c r="BZ154" s="137"/>
      <c r="CA154" s="137"/>
      <c r="CB154" s="137"/>
      <c r="CC154" s="258"/>
      <c r="CD154" s="258"/>
      <c r="CE154" s="258"/>
      <c r="CF154" s="258"/>
      <c r="CG154" s="258"/>
      <c r="CH154" s="258"/>
      <c r="CI154" s="258"/>
      <c r="CJ154" s="258"/>
      <c r="CK154" s="258"/>
      <c r="CL154" s="258"/>
      <c r="CM154" s="258"/>
    </row>
    <row r="155" spans="1:91" x14ac:dyDescent="0.25">
      <c r="A155" s="723"/>
      <c r="B155" s="723"/>
      <c r="K155" s="52"/>
      <c r="L155" s="135"/>
      <c r="N155" s="131"/>
      <c r="O155" s="131"/>
      <c r="P155" s="55"/>
      <c r="Q155" s="135"/>
      <c r="R155" s="135"/>
      <c r="U155" s="135"/>
      <c r="V155" s="146"/>
      <c r="W155" s="146"/>
      <c r="X155" s="338"/>
      <c r="Y155" s="338"/>
      <c r="Z155" s="338"/>
      <c r="AA155" s="338"/>
      <c r="AB155" s="338"/>
      <c r="AC155" s="338"/>
      <c r="AF155" s="138"/>
      <c r="AG155" s="138"/>
      <c r="AH155" s="138"/>
      <c r="AI155" s="138"/>
      <c r="AJ155" s="138"/>
      <c r="AM155" s="258"/>
      <c r="AN155" s="258"/>
      <c r="AO155" s="258"/>
      <c r="AP155" s="258"/>
      <c r="AR155" s="137"/>
      <c r="AT155" s="137"/>
      <c r="AV155" s="394"/>
      <c r="AW155" s="137"/>
      <c r="AX155" s="137"/>
      <c r="AY155" s="137"/>
      <c r="AZ155" s="137"/>
      <c r="BA155" s="264"/>
      <c r="BB155" s="258"/>
      <c r="BC155" s="258"/>
      <c r="BD155" s="137"/>
      <c r="BE155" s="137"/>
      <c r="BF155" s="137"/>
      <c r="BG155" s="137"/>
      <c r="BH155" s="137"/>
      <c r="BI155" s="137"/>
      <c r="BJ155" s="137"/>
      <c r="BK155" s="137"/>
      <c r="BL155" s="137"/>
      <c r="BM155" s="137"/>
      <c r="BN155" s="137"/>
      <c r="BO155" s="137"/>
      <c r="BP155" s="137"/>
      <c r="BQ155" s="137"/>
      <c r="BR155" s="137"/>
      <c r="BS155" s="137"/>
      <c r="BV155" s="262"/>
      <c r="BW155" s="136"/>
      <c r="BX155" s="137"/>
      <c r="BY155" s="137"/>
      <c r="BZ155" s="137"/>
      <c r="CA155" s="137"/>
      <c r="CB155" s="137"/>
      <c r="CC155" s="258"/>
      <c r="CD155" s="258"/>
      <c r="CE155" s="258"/>
      <c r="CF155" s="258"/>
      <c r="CG155" s="258"/>
      <c r="CH155" s="258"/>
      <c r="CI155" s="258"/>
      <c r="CJ155" s="258"/>
      <c r="CK155" s="258"/>
      <c r="CL155" s="258"/>
      <c r="CM155" s="258"/>
    </row>
    <row r="156" spans="1:91" x14ac:dyDescent="0.25">
      <c r="A156" s="723"/>
      <c r="B156" s="723"/>
      <c r="K156" s="52"/>
      <c r="L156" s="135"/>
      <c r="N156" s="131"/>
      <c r="O156" s="131"/>
      <c r="P156" s="55"/>
      <c r="Q156" s="135"/>
      <c r="R156" s="135"/>
      <c r="U156" s="135"/>
      <c r="V156" s="146"/>
      <c r="W156" s="146"/>
      <c r="X156" s="338"/>
      <c r="Y156" s="338"/>
      <c r="Z156" s="338"/>
      <c r="AA156" s="338"/>
      <c r="AB156" s="338"/>
      <c r="AC156" s="338"/>
      <c r="AF156" s="138"/>
      <c r="AG156" s="138"/>
      <c r="AH156" s="138"/>
      <c r="AI156" s="138"/>
      <c r="AJ156" s="138"/>
      <c r="AM156" s="258"/>
      <c r="AN156" s="258"/>
      <c r="AO156" s="258"/>
      <c r="AP156" s="258"/>
      <c r="AR156" s="137"/>
      <c r="AT156" s="137"/>
      <c r="AV156" s="394"/>
      <c r="AW156" s="137"/>
      <c r="AX156" s="137"/>
      <c r="AY156" s="137"/>
      <c r="AZ156" s="137"/>
      <c r="BA156" s="264"/>
      <c r="BB156" s="258"/>
      <c r="BC156" s="258"/>
      <c r="BD156" s="137"/>
      <c r="BE156" s="137"/>
      <c r="BF156" s="137"/>
      <c r="BG156" s="137"/>
      <c r="BH156" s="137"/>
      <c r="BI156" s="137"/>
      <c r="BJ156" s="137"/>
      <c r="BK156" s="137"/>
      <c r="BL156" s="137"/>
      <c r="BM156" s="137"/>
      <c r="BN156" s="137"/>
      <c r="BO156" s="137"/>
      <c r="BP156" s="137"/>
      <c r="BQ156" s="137"/>
      <c r="BR156" s="137"/>
      <c r="BS156" s="137"/>
      <c r="BV156" s="262"/>
      <c r="BW156" s="136"/>
      <c r="BX156" s="137"/>
      <c r="BY156" s="137"/>
      <c r="BZ156" s="137"/>
      <c r="CA156" s="137"/>
      <c r="CB156" s="137"/>
      <c r="CC156" s="258"/>
      <c r="CD156" s="258"/>
      <c r="CE156" s="258"/>
      <c r="CF156" s="258"/>
      <c r="CG156" s="258"/>
      <c r="CH156" s="258"/>
      <c r="CI156" s="258"/>
      <c r="CJ156" s="258"/>
      <c r="CK156" s="258"/>
      <c r="CL156" s="258"/>
      <c r="CM156" s="258"/>
    </row>
    <row r="157" spans="1:91" x14ac:dyDescent="0.25">
      <c r="A157" s="723"/>
      <c r="B157" s="723"/>
      <c r="K157" s="52"/>
      <c r="L157" s="135"/>
      <c r="N157" s="131"/>
      <c r="O157" s="131"/>
      <c r="P157" s="55"/>
      <c r="Q157" s="135"/>
      <c r="R157" s="135"/>
      <c r="U157" s="135"/>
      <c r="V157" s="146"/>
      <c r="W157" s="146"/>
      <c r="X157" s="338"/>
      <c r="Y157" s="338"/>
      <c r="Z157" s="338"/>
      <c r="AA157" s="338"/>
      <c r="AB157" s="338"/>
      <c r="AC157" s="338"/>
      <c r="AF157" s="138"/>
      <c r="AG157" s="138"/>
      <c r="AH157" s="138"/>
      <c r="AI157" s="138"/>
      <c r="AJ157" s="138"/>
      <c r="AM157" s="258"/>
      <c r="AN157" s="258"/>
      <c r="AO157" s="258"/>
      <c r="AP157" s="258"/>
      <c r="AR157" s="137"/>
      <c r="AT157" s="137"/>
      <c r="AV157" s="394"/>
      <c r="AW157" s="137"/>
      <c r="AX157" s="137"/>
      <c r="AY157" s="137"/>
      <c r="AZ157" s="137"/>
      <c r="BA157" s="264"/>
      <c r="BB157" s="258"/>
      <c r="BC157" s="258"/>
      <c r="BD157" s="137"/>
      <c r="BE157" s="137"/>
      <c r="BF157" s="137"/>
      <c r="BG157" s="137"/>
      <c r="BH157" s="137"/>
      <c r="BI157" s="137"/>
      <c r="BJ157" s="137"/>
      <c r="BK157" s="137"/>
      <c r="BL157" s="137"/>
      <c r="BM157" s="137"/>
      <c r="BN157" s="137"/>
      <c r="BO157" s="137"/>
      <c r="BP157" s="137"/>
      <c r="BQ157" s="137"/>
      <c r="BR157" s="137"/>
      <c r="BS157" s="137"/>
      <c r="BV157" s="262"/>
      <c r="BW157" s="136"/>
      <c r="BX157" s="137"/>
      <c r="BY157" s="137"/>
      <c r="BZ157" s="137"/>
      <c r="CA157" s="137"/>
      <c r="CB157" s="137"/>
      <c r="CC157" s="258"/>
      <c r="CD157" s="258"/>
      <c r="CE157" s="258"/>
      <c r="CF157" s="258"/>
      <c r="CG157" s="258"/>
      <c r="CH157" s="258"/>
      <c r="CI157" s="258"/>
      <c r="CJ157" s="258"/>
      <c r="CK157" s="258"/>
      <c r="CL157" s="258"/>
      <c r="CM157" s="258"/>
    </row>
    <row r="158" spans="1:91" x14ac:dyDescent="0.25">
      <c r="A158" s="723"/>
      <c r="B158" s="723"/>
      <c r="K158" s="52"/>
      <c r="L158" s="135"/>
      <c r="N158" s="131"/>
      <c r="O158" s="131"/>
      <c r="P158" s="55"/>
      <c r="Q158" s="135"/>
      <c r="R158" s="135"/>
      <c r="U158" s="135"/>
      <c r="V158" s="146"/>
      <c r="W158" s="146"/>
      <c r="X158" s="338"/>
      <c r="Y158" s="338"/>
      <c r="Z158" s="338"/>
      <c r="AA158" s="338"/>
      <c r="AB158" s="338"/>
      <c r="AC158" s="338"/>
      <c r="AF158" s="138"/>
      <c r="AG158" s="138"/>
      <c r="AH158" s="138"/>
      <c r="AI158" s="138"/>
      <c r="AJ158" s="138"/>
      <c r="AM158" s="258"/>
      <c r="AN158" s="258"/>
      <c r="AO158" s="258"/>
      <c r="AP158" s="258"/>
      <c r="AR158" s="137"/>
      <c r="AT158" s="137"/>
      <c r="AV158" s="394"/>
      <c r="AW158" s="137"/>
      <c r="AX158" s="137"/>
      <c r="AY158" s="137"/>
      <c r="AZ158" s="137"/>
      <c r="BA158" s="264"/>
      <c r="BB158" s="258"/>
      <c r="BC158" s="258"/>
      <c r="BD158" s="137"/>
      <c r="BE158" s="137"/>
      <c r="BF158" s="137"/>
      <c r="BG158" s="137"/>
      <c r="BH158" s="137"/>
      <c r="BI158" s="137"/>
      <c r="BJ158" s="137"/>
      <c r="BK158" s="137"/>
      <c r="BL158" s="137"/>
      <c r="BM158" s="137"/>
      <c r="BN158" s="137"/>
      <c r="BO158" s="137"/>
      <c r="BP158" s="137"/>
      <c r="BQ158" s="137"/>
      <c r="BR158" s="137"/>
      <c r="BS158" s="137"/>
      <c r="BV158" s="262"/>
      <c r="BW158" s="136"/>
      <c r="BX158" s="137"/>
      <c r="BY158" s="137"/>
      <c r="BZ158" s="137"/>
      <c r="CA158" s="137"/>
      <c r="CB158" s="137"/>
      <c r="CC158" s="258"/>
      <c r="CD158" s="258"/>
      <c r="CE158" s="258"/>
      <c r="CF158" s="258"/>
      <c r="CG158" s="258"/>
      <c r="CH158" s="258"/>
      <c r="CI158" s="258"/>
      <c r="CJ158" s="258"/>
      <c r="CK158" s="258"/>
      <c r="CL158" s="258"/>
      <c r="CM158" s="258"/>
    </row>
    <row r="159" spans="1:91" x14ac:dyDescent="0.25">
      <c r="A159" s="723"/>
      <c r="B159" s="723"/>
      <c r="K159" s="52"/>
      <c r="L159" s="135"/>
      <c r="N159" s="131"/>
      <c r="O159" s="131"/>
      <c r="P159" s="55"/>
      <c r="Q159" s="135"/>
      <c r="R159" s="135"/>
      <c r="U159" s="135"/>
      <c r="V159" s="146"/>
      <c r="W159" s="146"/>
      <c r="X159" s="338"/>
      <c r="Y159" s="338"/>
      <c r="Z159" s="338"/>
      <c r="AA159" s="338"/>
      <c r="AB159" s="338"/>
      <c r="AC159" s="338"/>
      <c r="AF159" s="138"/>
      <c r="AG159" s="138"/>
      <c r="AH159" s="138"/>
      <c r="AI159" s="138"/>
      <c r="AJ159" s="138"/>
      <c r="AM159" s="258"/>
      <c r="AN159" s="258"/>
      <c r="AO159" s="258"/>
      <c r="AP159" s="258"/>
      <c r="AR159" s="137"/>
      <c r="AT159" s="137"/>
      <c r="AV159" s="394"/>
      <c r="AW159" s="137"/>
      <c r="AX159" s="137"/>
      <c r="AY159" s="137"/>
      <c r="AZ159" s="137"/>
      <c r="BA159" s="264"/>
      <c r="BB159" s="258"/>
      <c r="BC159" s="258"/>
      <c r="BD159" s="137"/>
      <c r="BE159" s="137"/>
      <c r="BF159" s="137"/>
      <c r="BG159" s="137"/>
      <c r="BH159" s="137"/>
      <c r="BI159" s="137"/>
      <c r="BJ159" s="137"/>
      <c r="BK159" s="137"/>
      <c r="BL159" s="137"/>
      <c r="BM159" s="137"/>
      <c r="BN159" s="137"/>
      <c r="BO159" s="137"/>
      <c r="BP159" s="137"/>
      <c r="BQ159" s="137"/>
      <c r="BR159" s="137"/>
      <c r="BS159" s="137"/>
      <c r="BV159" s="262"/>
      <c r="BW159" s="136"/>
      <c r="BX159" s="137"/>
      <c r="BY159" s="137"/>
      <c r="BZ159" s="137"/>
      <c r="CA159" s="137"/>
      <c r="CB159" s="137"/>
      <c r="CC159" s="258"/>
      <c r="CD159" s="258"/>
      <c r="CE159" s="258"/>
      <c r="CF159" s="258"/>
      <c r="CG159" s="258"/>
      <c r="CH159" s="258"/>
      <c r="CI159" s="258"/>
      <c r="CJ159" s="258"/>
      <c r="CK159" s="258"/>
      <c r="CL159" s="258"/>
      <c r="CM159" s="258"/>
    </row>
    <row r="160" spans="1:91" x14ac:dyDescent="0.25">
      <c r="A160" s="723"/>
      <c r="B160" s="723"/>
      <c r="K160" s="52"/>
      <c r="L160" s="135"/>
      <c r="N160" s="131"/>
      <c r="O160" s="131"/>
      <c r="P160" s="55"/>
      <c r="Q160" s="135"/>
      <c r="R160" s="135"/>
      <c r="U160" s="135"/>
      <c r="V160" s="146"/>
      <c r="W160" s="146"/>
      <c r="X160" s="338"/>
      <c r="Y160" s="338"/>
      <c r="Z160" s="338"/>
      <c r="AA160" s="338"/>
      <c r="AB160" s="338"/>
      <c r="AC160" s="338"/>
      <c r="AF160" s="138"/>
      <c r="AG160" s="138"/>
      <c r="AH160" s="138"/>
      <c r="AI160" s="138"/>
      <c r="AJ160" s="138"/>
      <c r="AM160" s="258"/>
      <c r="AN160" s="258"/>
      <c r="AO160" s="258"/>
      <c r="AP160" s="258"/>
      <c r="AR160" s="137"/>
      <c r="AT160" s="137"/>
      <c r="AV160" s="394"/>
      <c r="AW160" s="137"/>
      <c r="AX160" s="137"/>
      <c r="AY160" s="137"/>
      <c r="AZ160" s="137"/>
      <c r="BA160" s="264"/>
      <c r="BB160" s="258"/>
      <c r="BC160" s="258"/>
      <c r="BD160" s="137"/>
      <c r="BE160" s="137"/>
      <c r="BF160" s="137"/>
      <c r="BG160" s="137"/>
      <c r="BH160" s="137"/>
      <c r="BI160" s="137"/>
      <c r="BJ160" s="137"/>
      <c r="BK160" s="137"/>
      <c r="BL160" s="137"/>
      <c r="BM160" s="137"/>
      <c r="BN160" s="137"/>
      <c r="BO160" s="137"/>
      <c r="BP160" s="137"/>
      <c r="BQ160" s="137"/>
      <c r="BR160" s="137"/>
      <c r="BS160" s="137"/>
      <c r="BV160" s="262"/>
      <c r="BW160" s="136"/>
      <c r="BX160" s="137"/>
      <c r="BY160" s="137"/>
      <c r="BZ160" s="137"/>
      <c r="CA160" s="137"/>
      <c r="CB160" s="137"/>
      <c r="CC160" s="258"/>
      <c r="CD160" s="258"/>
      <c r="CE160" s="258"/>
      <c r="CF160" s="258"/>
      <c r="CG160" s="258"/>
      <c r="CH160" s="258"/>
      <c r="CI160" s="258"/>
      <c r="CJ160" s="258"/>
      <c r="CK160" s="258"/>
      <c r="CL160" s="258"/>
      <c r="CM160" s="258"/>
    </row>
    <row r="161" spans="1:91" x14ac:dyDescent="0.25">
      <c r="A161" s="723"/>
      <c r="B161" s="723"/>
      <c r="K161" s="52"/>
      <c r="L161" s="135"/>
      <c r="N161" s="131"/>
      <c r="O161" s="131"/>
      <c r="P161" s="55"/>
      <c r="Q161" s="135"/>
      <c r="R161" s="135"/>
      <c r="U161" s="135"/>
      <c r="V161" s="146"/>
      <c r="W161" s="146"/>
      <c r="X161" s="338"/>
      <c r="Y161" s="338"/>
      <c r="Z161" s="338"/>
      <c r="AA161" s="338"/>
      <c r="AB161" s="338"/>
      <c r="AC161" s="338"/>
      <c r="AF161" s="138"/>
      <c r="AG161" s="138"/>
      <c r="AH161" s="138"/>
      <c r="AI161" s="138"/>
      <c r="AJ161" s="138"/>
      <c r="AM161" s="258"/>
      <c r="AN161" s="258"/>
      <c r="AO161" s="258"/>
      <c r="AP161" s="258"/>
      <c r="AR161" s="137"/>
      <c r="AT161" s="137"/>
      <c r="AV161" s="394"/>
      <c r="AW161" s="137"/>
      <c r="AX161" s="137"/>
      <c r="AY161" s="137"/>
      <c r="AZ161" s="137"/>
      <c r="BA161" s="264"/>
      <c r="BB161" s="258"/>
      <c r="BC161" s="258"/>
      <c r="BD161" s="137"/>
      <c r="BE161" s="137"/>
      <c r="BF161" s="137"/>
      <c r="BG161" s="137"/>
      <c r="BH161" s="137"/>
      <c r="BI161" s="137"/>
      <c r="BJ161" s="137"/>
      <c r="BK161" s="137"/>
      <c r="BL161" s="137"/>
      <c r="BM161" s="137"/>
      <c r="BN161" s="137"/>
      <c r="BO161" s="137"/>
      <c r="BP161" s="137"/>
      <c r="BQ161" s="137"/>
      <c r="BR161" s="137"/>
      <c r="BS161" s="137"/>
      <c r="BV161" s="262"/>
      <c r="BW161" s="136"/>
      <c r="BX161" s="137"/>
      <c r="BY161" s="137"/>
      <c r="BZ161" s="137"/>
      <c r="CA161" s="137"/>
      <c r="CB161" s="137"/>
      <c r="CC161" s="258"/>
      <c r="CD161" s="258"/>
      <c r="CE161" s="258"/>
      <c r="CF161" s="258"/>
      <c r="CG161" s="258"/>
      <c r="CH161" s="258"/>
      <c r="CI161" s="258"/>
      <c r="CJ161" s="258"/>
      <c r="CK161" s="258"/>
      <c r="CL161" s="258"/>
      <c r="CM161" s="258"/>
    </row>
    <row r="162" spans="1:91" x14ac:dyDescent="0.25">
      <c r="A162" s="723"/>
      <c r="B162" s="723"/>
      <c r="K162" s="52"/>
      <c r="L162" s="135"/>
      <c r="N162" s="131"/>
      <c r="O162" s="131"/>
      <c r="P162" s="55"/>
      <c r="Q162" s="135"/>
      <c r="R162" s="135"/>
      <c r="U162" s="135"/>
      <c r="V162" s="146"/>
      <c r="W162" s="146"/>
      <c r="X162" s="338"/>
      <c r="Y162" s="338"/>
      <c r="Z162" s="338"/>
      <c r="AA162" s="338"/>
      <c r="AB162" s="338"/>
      <c r="AC162" s="338"/>
      <c r="AF162" s="138"/>
      <c r="AG162" s="138"/>
      <c r="AH162" s="138"/>
      <c r="AI162" s="138"/>
      <c r="AJ162" s="138"/>
      <c r="AM162" s="258"/>
      <c r="AN162" s="258"/>
      <c r="AO162" s="258"/>
      <c r="AP162" s="258"/>
      <c r="AR162" s="137"/>
      <c r="AT162" s="137"/>
      <c r="AV162" s="394"/>
      <c r="AW162" s="137"/>
      <c r="AX162" s="137"/>
      <c r="AY162" s="137"/>
      <c r="AZ162" s="137"/>
      <c r="BA162" s="264"/>
      <c r="BB162" s="258"/>
      <c r="BC162" s="258"/>
      <c r="BD162" s="137"/>
      <c r="BE162" s="137"/>
      <c r="BF162" s="137"/>
      <c r="BG162" s="137"/>
      <c r="BH162" s="137"/>
      <c r="BI162" s="137"/>
      <c r="BJ162" s="137"/>
      <c r="BK162" s="137"/>
      <c r="BL162" s="137"/>
      <c r="BM162" s="137"/>
      <c r="BN162" s="137"/>
      <c r="BO162" s="137"/>
      <c r="BP162" s="137"/>
      <c r="BQ162" s="137"/>
      <c r="BR162" s="137"/>
      <c r="BS162" s="137"/>
      <c r="BV162" s="262"/>
      <c r="BW162" s="136"/>
      <c r="BX162" s="137"/>
      <c r="BY162" s="137"/>
      <c r="BZ162" s="137"/>
      <c r="CA162" s="137"/>
      <c r="CB162" s="137"/>
      <c r="CC162" s="258"/>
      <c r="CD162" s="258"/>
      <c r="CE162" s="258"/>
      <c r="CF162" s="258"/>
      <c r="CG162" s="258"/>
      <c r="CH162" s="258"/>
      <c r="CI162" s="258"/>
      <c r="CJ162" s="258"/>
      <c r="CK162" s="258"/>
      <c r="CL162" s="258"/>
      <c r="CM162" s="258"/>
    </row>
    <row r="163" spans="1:91" x14ac:dyDescent="0.25">
      <c r="A163" s="723"/>
      <c r="B163" s="723"/>
      <c r="K163" s="52"/>
      <c r="L163" s="135"/>
      <c r="N163" s="131"/>
      <c r="O163" s="131"/>
      <c r="P163" s="55"/>
      <c r="Q163" s="135"/>
      <c r="R163" s="135"/>
      <c r="U163" s="135"/>
      <c r="V163" s="146"/>
      <c r="W163" s="146"/>
      <c r="X163" s="338"/>
      <c r="Y163" s="338"/>
      <c r="Z163" s="338"/>
      <c r="AA163" s="338"/>
      <c r="AB163" s="338"/>
      <c r="AC163" s="338"/>
      <c r="AF163" s="138"/>
      <c r="AG163" s="138"/>
      <c r="AH163" s="138"/>
      <c r="AI163" s="138"/>
      <c r="AJ163" s="138"/>
      <c r="AM163" s="258"/>
      <c r="AN163" s="258"/>
      <c r="AO163" s="258"/>
      <c r="AP163" s="258"/>
      <c r="AR163" s="137"/>
      <c r="AT163" s="137"/>
      <c r="AV163" s="394"/>
      <c r="AW163" s="137"/>
      <c r="AX163" s="137"/>
      <c r="AY163" s="137"/>
      <c r="AZ163" s="137"/>
      <c r="BA163" s="264"/>
      <c r="BB163" s="258"/>
      <c r="BC163" s="258"/>
      <c r="BD163" s="137"/>
      <c r="BE163" s="137"/>
      <c r="BF163" s="137"/>
      <c r="BG163" s="137"/>
      <c r="BH163" s="137"/>
      <c r="BI163" s="137"/>
      <c r="BJ163" s="137"/>
      <c r="BK163" s="137"/>
      <c r="BL163" s="137"/>
      <c r="BM163" s="137"/>
      <c r="BN163" s="137"/>
      <c r="BO163" s="137"/>
      <c r="BP163" s="137"/>
      <c r="BQ163" s="137"/>
      <c r="BR163" s="137"/>
      <c r="BS163" s="137"/>
      <c r="BV163" s="262"/>
      <c r="BW163" s="136"/>
      <c r="BX163" s="137"/>
      <c r="BY163" s="137"/>
      <c r="BZ163" s="137"/>
      <c r="CA163" s="137"/>
      <c r="CB163" s="137"/>
      <c r="CC163" s="258"/>
      <c r="CD163" s="258"/>
      <c r="CE163" s="258"/>
      <c r="CF163" s="258"/>
      <c r="CG163" s="258"/>
      <c r="CH163" s="258"/>
      <c r="CI163" s="258"/>
      <c r="CJ163" s="258"/>
      <c r="CK163" s="258"/>
      <c r="CL163" s="258"/>
      <c r="CM163" s="258"/>
    </row>
    <row r="164" spans="1:91" x14ac:dyDescent="0.25">
      <c r="A164" s="723"/>
      <c r="B164" s="723"/>
      <c r="K164" s="52"/>
      <c r="L164" s="135"/>
      <c r="N164" s="131"/>
      <c r="O164" s="131"/>
      <c r="P164" s="55"/>
      <c r="Q164" s="135"/>
      <c r="R164" s="135"/>
      <c r="U164" s="135"/>
      <c r="V164" s="146"/>
      <c r="W164" s="146"/>
      <c r="X164" s="338"/>
      <c r="Y164" s="338"/>
      <c r="Z164" s="338"/>
      <c r="AA164" s="338"/>
      <c r="AB164" s="338"/>
      <c r="AC164" s="338"/>
      <c r="AF164" s="138"/>
      <c r="AG164" s="138"/>
      <c r="AH164" s="138"/>
      <c r="AI164" s="138"/>
      <c r="AJ164" s="138"/>
      <c r="AM164" s="258"/>
      <c r="AN164" s="258"/>
      <c r="AO164" s="258"/>
      <c r="AP164" s="258"/>
      <c r="AR164" s="137"/>
      <c r="AT164" s="137"/>
      <c r="AV164" s="394"/>
      <c r="AW164" s="137"/>
      <c r="AX164" s="137"/>
      <c r="AY164" s="137"/>
      <c r="AZ164" s="137"/>
      <c r="BA164" s="264"/>
      <c r="BB164" s="258"/>
      <c r="BC164" s="258"/>
      <c r="BD164" s="137"/>
      <c r="BE164" s="137"/>
      <c r="BF164" s="137"/>
      <c r="BG164" s="137"/>
      <c r="BH164" s="137"/>
      <c r="BI164" s="137"/>
      <c r="BJ164" s="137"/>
      <c r="BK164" s="137"/>
      <c r="BL164" s="137"/>
      <c r="BM164" s="137"/>
      <c r="BN164" s="137"/>
      <c r="BO164" s="137"/>
      <c r="BP164" s="137"/>
      <c r="BQ164" s="137"/>
      <c r="BR164" s="137"/>
      <c r="BS164" s="137"/>
      <c r="BV164" s="262"/>
      <c r="BW164" s="136"/>
      <c r="BX164" s="137"/>
      <c r="BY164" s="137"/>
      <c r="BZ164" s="137"/>
      <c r="CA164" s="137"/>
      <c r="CB164" s="137"/>
      <c r="CC164" s="258"/>
      <c r="CD164" s="258"/>
      <c r="CE164" s="258"/>
      <c r="CF164" s="258"/>
      <c r="CG164" s="258"/>
      <c r="CH164" s="258"/>
      <c r="CI164" s="258"/>
      <c r="CJ164" s="258"/>
      <c r="CK164" s="258"/>
      <c r="CL164" s="258"/>
      <c r="CM164" s="258"/>
    </row>
    <row r="165" spans="1:91" x14ac:dyDescent="0.25">
      <c r="A165" s="723"/>
      <c r="B165" s="723"/>
      <c r="K165" s="52"/>
      <c r="L165" s="135"/>
      <c r="N165" s="131"/>
      <c r="O165" s="131"/>
      <c r="P165" s="55"/>
      <c r="Q165" s="135"/>
      <c r="R165" s="135"/>
      <c r="U165" s="135"/>
      <c r="V165" s="146"/>
      <c r="W165" s="146"/>
      <c r="X165" s="338"/>
      <c r="Y165" s="338"/>
      <c r="Z165" s="338"/>
      <c r="AA165" s="338"/>
      <c r="AB165" s="338"/>
      <c r="AC165" s="338"/>
      <c r="AF165" s="138"/>
      <c r="AG165" s="138"/>
      <c r="AH165" s="138"/>
      <c r="AI165" s="138"/>
      <c r="AJ165" s="138"/>
      <c r="AM165" s="258"/>
      <c r="AN165" s="258"/>
      <c r="AO165" s="258"/>
      <c r="AP165" s="258"/>
      <c r="AR165" s="137"/>
      <c r="AT165" s="137"/>
      <c r="AV165" s="394"/>
      <c r="AW165" s="137"/>
      <c r="AX165" s="137"/>
      <c r="AY165" s="137"/>
      <c r="AZ165" s="137"/>
      <c r="BA165" s="264"/>
      <c r="BB165" s="258"/>
      <c r="BC165" s="258"/>
      <c r="BD165" s="137"/>
      <c r="BE165" s="137"/>
      <c r="BF165" s="137"/>
      <c r="BG165" s="137"/>
      <c r="BH165" s="137"/>
      <c r="BI165" s="137"/>
      <c r="BJ165" s="137"/>
      <c r="BK165" s="137"/>
      <c r="BL165" s="137"/>
      <c r="BM165" s="137"/>
      <c r="BN165" s="137"/>
      <c r="BO165" s="137"/>
      <c r="BP165" s="137"/>
      <c r="BQ165" s="137"/>
      <c r="BR165" s="137"/>
      <c r="BS165" s="137"/>
      <c r="BV165" s="262"/>
      <c r="BW165" s="136"/>
      <c r="BX165" s="137"/>
      <c r="BY165" s="137"/>
      <c r="BZ165" s="137"/>
      <c r="CA165" s="137"/>
      <c r="CB165" s="137"/>
      <c r="CC165" s="258"/>
      <c r="CD165" s="258"/>
      <c r="CE165" s="258"/>
      <c r="CF165" s="258"/>
      <c r="CG165" s="258"/>
      <c r="CH165" s="258"/>
      <c r="CI165" s="258"/>
      <c r="CJ165" s="258"/>
      <c r="CK165" s="258"/>
      <c r="CL165" s="258"/>
      <c r="CM165" s="258"/>
    </row>
    <row r="166" spans="1:91" x14ac:dyDescent="0.25">
      <c r="A166" s="723"/>
      <c r="B166" s="723"/>
      <c r="K166" s="52"/>
      <c r="L166" s="135"/>
      <c r="N166" s="131"/>
      <c r="O166" s="131"/>
      <c r="P166" s="55"/>
      <c r="Q166" s="135"/>
      <c r="R166" s="135"/>
      <c r="U166" s="135"/>
      <c r="V166" s="146"/>
      <c r="W166" s="146"/>
      <c r="X166" s="338"/>
      <c r="Y166" s="338"/>
      <c r="Z166" s="338"/>
      <c r="AA166" s="338"/>
      <c r="AB166" s="338"/>
      <c r="AC166" s="338"/>
      <c r="AF166" s="138"/>
      <c r="AG166" s="138"/>
      <c r="AH166" s="138"/>
      <c r="AI166" s="138"/>
      <c r="AJ166" s="138"/>
      <c r="AM166" s="258"/>
      <c r="AN166" s="258"/>
      <c r="AO166" s="258"/>
      <c r="AP166" s="258"/>
      <c r="AR166" s="137"/>
      <c r="AT166" s="137"/>
      <c r="AV166" s="394"/>
      <c r="AW166" s="137"/>
      <c r="AX166" s="137"/>
      <c r="AY166" s="137"/>
      <c r="AZ166" s="137"/>
      <c r="BA166" s="264"/>
      <c r="BB166" s="258"/>
      <c r="BC166" s="258"/>
      <c r="BD166" s="137"/>
      <c r="BE166" s="137"/>
      <c r="BF166" s="137"/>
      <c r="BG166" s="137"/>
      <c r="BH166" s="137"/>
      <c r="BI166" s="137"/>
      <c r="BJ166" s="137"/>
      <c r="BK166" s="137"/>
      <c r="BL166" s="137"/>
      <c r="BM166" s="137"/>
      <c r="BN166" s="137"/>
      <c r="BO166" s="137"/>
      <c r="BP166" s="137"/>
      <c r="BQ166" s="137"/>
      <c r="BR166" s="137"/>
      <c r="BS166" s="137"/>
      <c r="BV166" s="262"/>
      <c r="BW166" s="136"/>
      <c r="BX166" s="137"/>
      <c r="BY166" s="137"/>
      <c r="BZ166" s="137"/>
      <c r="CA166" s="137"/>
      <c r="CB166" s="137"/>
      <c r="CC166" s="258"/>
      <c r="CD166" s="258"/>
      <c r="CE166" s="258"/>
      <c r="CF166" s="258"/>
      <c r="CG166" s="258"/>
      <c r="CH166" s="258"/>
      <c r="CI166" s="258"/>
      <c r="CJ166" s="258"/>
      <c r="CK166" s="258"/>
      <c r="CL166" s="258"/>
      <c r="CM166" s="258"/>
    </row>
    <row r="167" spans="1:91" x14ac:dyDescent="0.25">
      <c r="A167" s="723"/>
      <c r="B167" s="723"/>
      <c r="K167" s="52"/>
      <c r="L167" s="135"/>
      <c r="N167" s="131"/>
      <c r="O167" s="131"/>
      <c r="P167" s="55"/>
      <c r="Q167" s="135"/>
      <c r="R167" s="135"/>
      <c r="U167" s="135"/>
      <c r="V167" s="146"/>
      <c r="W167" s="146"/>
      <c r="X167" s="338"/>
      <c r="Y167" s="338"/>
      <c r="Z167" s="338"/>
      <c r="AA167" s="338"/>
      <c r="AB167" s="338"/>
      <c r="AC167" s="338"/>
      <c r="AF167" s="138"/>
      <c r="AG167" s="138"/>
      <c r="AH167" s="138"/>
      <c r="AI167" s="138"/>
      <c r="AJ167" s="138"/>
      <c r="AM167" s="258"/>
      <c r="AN167" s="258"/>
      <c r="AO167" s="258"/>
      <c r="AP167" s="258"/>
      <c r="AR167" s="137"/>
      <c r="AT167" s="137"/>
      <c r="AV167" s="394"/>
      <c r="AW167" s="137"/>
      <c r="AX167" s="137"/>
      <c r="AY167" s="137"/>
      <c r="AZ167" s="137"/>
      <c r="BA167" s="264"/>
      <c r="BB167" s="258"/>
      <c r="BC167" s="258"/>
      <c r="BD167" s="137"/>
      <c r="BE167" s="137"/>
      <c r="BF167" s="137"/>
      <c r="BG167" s="137"/>
      <c r="BH167" s="137"/>
      <c r="BI167" s="137"/>
      <c r="BJ167" s="137"/>
      <c r="BK167" s="137"/>
      <c r="BL167" s="137"/>
      <c r="BM167" s="137"/>
      <c r="BN167" s="137"/>
      <c r="BO167" s="137"/>
      <c r="BP167" s="137"/>
      <c r="BQ167" s="137"/>
      <c r="BR167" s="137"/>
      <c r="BS167" s="137"/>
      <c r="BV167" s="262"/>
      <c r="BW167" s="136"/>
      <c r="BX167" s="137"/>
      <c r="BY167" s="137"/>
      <c r="BZ167" s="137"/>
      <c r="CA167" s="137"/>
      <c r="CB167" s="137"/>
      <c r="CC167" s="258"/>
      <c r="CD167" s="258"/>
      <c r="CE167" s="258"/>
      <c r="CF167" s="258"/>
      <c r="CG167" s="258"/>
      <c r="CH167" s="258"/>
      <c r="CI167" s="258"/>
      <c r="CJ167" s="258"/>
      <c r="CK167" s="258"/>
      <c r="CL167" s="258"/>
      <c r="CM167" s="258"/>
    </row>
    <row r="168" spans="1:91" x14ac:dyDescent="0.25">
      <c r="A168" s="723"/>
      <c r="B168" s="723"/>
      <c r="K168" s="52"/>
      <c r="L168" s="135"/>
      <c r="N168" s="131"/>
      <c r="O168" s="131"/>
      <c r="P168" s="55"/>
      <c r="Q168" s="135"/>
      <c r="R168" s="135"/>
      <c r="U168" s="135"/>
      <c r="V168" s="146"/>
      <c r="W168" s="146"/>
      <c r="X168" s="338"/>
      <c r="Y168" s="338"/>
      <c r="Z168" s="338"/>
      <c r="AA168" s="338"/>
      <c r="AB168" s="338"/>
      <c r="AC168" s="338"/>
      <c r="AF168" s="138"/>
      <c r="AG168" s="138"/>
      <c r="AH168" s="138"/>
      <c r="AI168" s="138"/>
      <c r="AJ168" s="138"/>
      <c r="AM168" s="258"/>
      <c r="AN168" s="258"/>
      <c r="AO168" s="258"/>
      <c r="AP168" s="258"/>
      <c r="AR168" s="137"/>
      <c r="AT168" s="137"/>
      <c r="AV168" s="394"/>
      <c r="AW168" s="137"/>
      <c r="AX168" s="137"/>
      <c r="AY168" s="137"/>
      <c r="AZ168" s="137"/>
      <c r="BA168" s="264"/>
      <c r="BB168" s="258"/>
      <c r="BC168" s="258"/>
      <c r="BD168" s="137"/>
      <c r="BE168" s="137"/>
      <c r="BF168" s="137"/>
      <c r="BG168" s="137"/>
      <c r="BH168" s="137"/>
      <c r="BI168" s="137"/>
      <c r="BJ168" s="137"/>
      <c r="BK168" s="137"/>
      <c r="BL168" s="137"/>
      <c r="BM168" s="137"/>
      <c r="BN168" s="137"/>
      <c r="BO168" s="137"/>
      <c r="BP168" s="137"/>
      <c r="BQ168" s="137"/>
      <c r="BR168" s="137"/>
      <c r="BS168" s="137"/>
      <c r="BV168" s="262"/>
      <c r="BW168" s="136"/>
      <c r="BX168" s="137"/>
      <c r="BY168" s="137"/>
      <c r="BZ168" s="137"/>
      <c r="CA168" s="137"/>
      <c r="CB168" s="137"/>
      <c r="CC168" s="258"/>
      <c r="CD168" s="258"/>
      <c r="CE168" s="258"/>
      <c r="CF168" s="258"/>
      <c r="CG168" s="258"/>
      <c r="CH168" s="258"/>
      <c r="CI168" s="258"/>
      <c r="CJ168" s="258"/>
      <c r="CK168" s="258"/>
      <c r="CL168" s="258"/>
      <c r="CM168" s="258"/>
    </row>
    <row r="169" spans="1:91" x14ac:dyDescent="0.25">
      <c r="A169" s="723"/>
      <c r="B169" s="723"/>
      <c r="K169" s="52"/>
      <c r="L169" s="135"/>
      <c r="N169" s="131"/>
      <c r="O169" s="131"/>
      <c r="P169" s="55"/>
      <c r="Q169" s="135"/>
      <c r="R169" s="135"/>
      <c r="U169" s="135"/>
      <c r="V169" s="146"/>
      <c r="W169" s="146"/>
      <c r="X169" s="338"/>
      <c r="Y169" s="338"/>
      <c r="Z169" s="338"/>
      <c r="AA169" s="338"/>
      <c r="AB169" s="338"/>
      <c r="AC169" s="338"/>
      <c r="AF169" s="138"/>
      <c r="AG169" s="138"/>
      <c r="AH169" s="138"/>
      <c r="AI169" s="138"/>
      <c r="AJ169" s="138"/>
      <c r="AM169" s="258"/>
      <c r="AN169" s="258"/>
      <c r="AO169" s="258"/>
      <c r="AP169" s="258"/>
      <c r="AR169" s="137"/>
      <c r="AT169" s="137"/>
      <c r="AV169" s="394"/>
      <c r="AW169" s="137"/>
      <c r="AX169" s="137"/>
      <c r="AY169" s="137"/>
      <c r="AZ169" s="137"/>
      <c r="BA169" s="264"/>
      <c r="BB169" s="258"/>
      <c r="BC169" s="258"/>
      <c r="BD169" s="137"/>
      <c r="BE169" s="137"/>
      <c r="BF169" s="137"/>
      <c r="BG169" s="137"/>
      <c r="BH169" s="137"/>
      <c r="BI169" s="137"/>
      <c r="BJ169" s="137"/>
      <c r="BK169" s="137"/>
      <c r="BL169" s="137"/>
      <c r="BM169" s="137"/>
      <c r="BN169" s="137"/>
      <c r="BO169" s="137"/>
      <c r="BP169" s="137"/>
      <c r="BQ169" s="137"/>
      <c r="BR169" s="137"/>
      <c r="BS169" s="137"/>
      <c r="BV169" s="262"/>
      <c r="BW169" s="136"/>
      <c r="BX169" s="137"/>
      <c r="BY169" s="137"/>
      <c r="BZ169" s="137"/>
      <c r="CA169" s="137"/>
      <c r="CB169" s="137"/>
      <c r="CC169" s="258"/>
      <c r="CD169" s="258"/>
      <c r="CE169" s="258"/>
      <c r="CF169" s="258"/>
      <c r="CG169" s="258"/>
      <c r="CH169" s="258"/>
      <c r="CI169" s="258"/>
      <c r="CJ169" s="258"/>
      <c r="CK169" s="258"/>
      <c r="CL169" s="258"/>
      <c r="CM169" s="258"/>
    </row>
    <row r="170" spans="1:91" x14ac:dyDescent="0.25">
      <c r="A170" s="723"/>
      <c r="B170" s="723"/>
      <c r="K170" s="52"/>
      <c r="L170" s="135"/>
      <c r="N170" s="131"/>
      <c r="O170" s="131"/>
      <c r="P170" s="55"/>
      <c r="Q170" s="135"/>
      <c r="R170" s="135"/>
      <c r="U170" s="135"/>
      <c r="V170" s="146"/>
      <c r="W170" s="146"/>
      <c r="X170" s="338"/>
      <c r="Y170" s="338"/>
      <c r="Z170" s="338"/>
      <c r="AA170" s="338"/>
      <c r="AB170" s="338"/>
      <c r="AC170" s="338"/>
      <c r="AF170" s="138"/>
      <c r="AG170" s="138"/>
      <c r="AH170" s="138"/>
      <c r="AI170" s="138"/>
      <c r="AJ170" s="138"/>
      <c r="AM170" s="258"/>
      <c r="AN170" s="258"/>
      <c r="AO170" s="258"/>
      <c r="AP170" s="258"/>
      <c r="AR170" s="137"/>
      <c r="AT170" s="137"/>
      <c r="AV170" s="394"/>
      <c r="AW170" s="137"/>
      <c r="AX170" s="137"/>
      <c r="AY170" s="137"/>
      <c r="AZ170" s="137"/>
      <c r="BA170" s="264"/>
      <c r="BB170" s="258"/>
      <c r="BC170" s="258"/>
      <c r="BD170" s="137"/>
      <c r="BE170" s="137"/>
      <c r="BF170" s="137"/>
      <c r="BG170" s="137"/>
      <c r="BH170" s="137"/>
      <c r="BI170" s="137"/>
      <c r="BJ170" s="137"/>
      <c r="BK170" s="137"/>
      <c r="BL170" s="137"/>
      <c r="BM170" s="137"/>
      <c r="BN170" s="137"/>
      <c r="BO170" s="137"/>
      <c r="BP170" s="137"/>
      <c r="BQ170" s="137"/>
      <c r="BR170" s="137"/>
      <c r="BS170" s="137"/>
      <c r="BV170" s="262"/>
      <c r="BW170" s="136"/>
      <c r="BX170" s="137"/>
      <c r="BY170" s="137"/>
      <c r="BZ170" s="137"/>
      <c r="CA170" s="137"/>
      <c r="CB170" s="137"/>
      <c r="CC170" s="258"/>
      <c r="CD170" s="258"/>
      <c r="CE170" s="258"/>
      <c r="CF170" s="258"/>
      <c r="CG170" s="258"/>
      <c r="CH170" s="258"/>
      <c r="CI170" s="258"/>
      <c r="CJ170" s="258"/>
      <c r="CK170" s="258"/>
      <c r="CL170" s="258"/>
      <c r="CM170" s="258"/>
    </row>
    <row r="171" spans="1:91" x14ac:dyDescent="0.25">
      <c r="A171" s="723"/>
      <c r="B171" s="723"/>
      <c r="K171" s="52"/>
      <c r="L171" s="135"/>
      <c r="N171" s="131"/>
      <c r="O171" s="131"/>
      <c r="P171" s="55"/>
      <c r="Q171" s="135"/>
      <c r="R171" s="135"/>
      <c r="U171" s="135"/>
      <c r="V171" s="146"/>
      <c r="W171" s="146"/>
      <c r="X171" s="338"/>
      <c r="Y171" s="338"/>
      <c r="Z171" s="338"/>
      <c r="AA171" s="338"/>
      <c r="AB171" s="338"/>
      <c r="AC171" s="338"/>
      <c r="AF171" s="138"/>
      <c r="AG171" s="138"/>
      <c r="AH171" s="138"/>
      <c r="AI171" s="138"/>
      <c r="AJ171" s="138"/>
      <c r="AM171" s="258"/>
      <c r="AN171" s="258"/>
      <c r="AO171" s="258"/>
      <c r="AP171" s="258"/>
      <c r="AR171" s="137"/>
      <c r="AT171" s="137"/>
      <c r="AV171" s="394"/>
      <c r="AW171" s="137"/>
      <c r="AX171" s="137"/>
      <c r="AY171" s="137"/>
      <c r="AZ171" s="137"/>
      <c r="BA171" s="264"/>
      <c r="BB171" s="258"/>
      <c r="BC171" s="258"/>
      <c r="BD171" s="137"/>
      <c r="BE171" s="137"/>
      <c r="BF171" s="137"/>
      <c r="BG171" s="137"/>
      <c r="BH171" s="137"/>
      <c r="BI171" s="137"/>
      <c r="BJ171" s="137"/>
      <c r="BK171" s="137"/>
      <c r="BL171" s="137"/>
      <c r="BM171" s="137"/>
      <c r="BN171" s="137"/>
      <c r="BO171" s="137"/>
      <c r="BP171" s="137"/>
      <c r="BQ171" s="137"/>
      <c r="BR171" s="137"/>
      <c r="BS171" s="137"/>
      <c r="BV171" s="262"/>
      <c r="BW171" s="136"/>
      <c r="BX171" s="137"/>
      <c r="BY171" s="137"/>
      <c r="BZ171" s="137"/>
      <c r="CA171" s="137"/>
      <c r="CB171" s="137"/>
      <c r="CC171" s="258"/>
      <c r="CD171" s="258"/>
      <c r="CE171" s="258"/>
      <c r="CF171" s="258"/>
      <c r="CG171" s="258"/>
      <c r="CH171" s="258"/>
      <c r="CI171" s="258"/>
      <c r="CJ171" s="258"/>
      <c r="CK171" s="258"/>
      <c r="CL171" s="258"/>
      <c r="CM171" s="258"/>
    </row>
    <row r="172" spans="1:91" x14ac:dyDescent="0.25">
      <c r="A172" s="723"/>
      <c r="B172" s="723"/>
      <c r="K172" s="52"/>
      <c r="L172" s="135"/>
      <c r="N172" s="131"/>
      <c r="O172" s="131"/>
      <c r="P172" s="55"/>
      <c r="Q172" s="135"/>
      <c r="R172" s="135"/>
      <c r="U172" s="135"/>
      <c r="V172" s="146"/>
      <c r="W172" s="146"/>
      <c r="X172" s="338"/>
      <c r="Y172" s="338"/>
      <c r="Z172" s="338"/>
      <c r="AA172" s="338"/>
      <c r="AB172" s="338"/>
      <c r="AC172" s="338"/>
      <c r="AF172" s="138"/>
      <c r="AG172" s="138"/>
      <c r="AH172" s="138"/>
      <c r="AI172" s="138"/>
      <c r="AJ172" s="138"/>
      <c r="AM172" s="258"/>
      <c r="AN172" s="258"/>
      <c r="AO172" s="258"/>
      <c r="AP172" s="258"/>
      <c r="AR172" s="137"/>
      <c r="AT172" s="137"/>
      <c r="AV172" s="394"/>
      <c r="AW172" s="137"/>
      <c r="AX172" s="137"/>
      <c r="AY172" s="137"/>
      <c r="AZ172" s="137"/>
      <c r="BA172" s="264"/>
      <c r="BB172" s="258"/>
      <c r="BC172" s="258"/>
      <c r="BD172" s="137"/>
      <c r="BE172" s="137"/>
      <c r="BF172" s="137"/>
      <c r="BG172" s="137"/>
      <c r="BH172" s="137"/>
      <c r="BI172" s="137"/>
      <c r="BJ172" s="137"/>
      <c r="BK172" s="137"/>
      <c r="BL172" s="137"/>
      <c r="BM172" s="137"/>
      <c r="BN172" s="137"/>
      <c r="BO172" s="137"/>
      <c r="BP172" s="137"/>
      <c r="BQ172" s="137"/>
      <c r="BR172" s="137"/>
      <c r="BS172" s="137"/>
      <c r="BV172" s="262"/>
      <c r="BW172" s="136"/>
      <c r="BX172" s="137"/>
      <c r="BY172" s="137"/>
      <c r="BZ172" s="137"/>
      <c r="CA172" s="137"/>
      <c r="CB172" s="137"/>
      <c r="CC172" s="258"/>
      <c r="CD172" s="258"/>
      <c r="CE172" s="258"/>
      <c r="CF172" s="258"/>
      <c r="CG172" s="258"/>
      <c r="CH172" s="258"/>
      <c r="CI172" s="258"/>
      <c r="CJ172" s="258"/>
      <c r="CK172" s="258"/>
      <c r="CL172" s="258"/>
      <c r="CM172" s="258"/>
    </row>
    <row r="173" spans="1:91" x14ac:dyDescent="0.25">
      <c r="A173" s="723"/>
      <c r="B173" s="723"/>
      <c r="K173" s="52"/>
      <c r="L173" s="135"/>
      <c r="N173" s="131"/>
      <c r="O173" s="131"/>
      <c r="P173" s="55"/>
      <c r="Q173" s="135"/>
      <c r="R173" s="135"/>
      <c r="U173" s="135"/>
      <c r="V173" s="146"/>
      <c r="W173" s="146"/>
      <c r="X173" s="338"/>
      <c r="Y173" s="338"/>
      <c r="Z173" s="338"/>
      <c r="AA173" s="338"/>
      <c r="AB173" s="338"/>
      <c r="AC173" s="338"/>
      <c r="AF173" s="138"/>
      <c r="AG173" s="138"/>
      <c r="AH173" s="138"/>
      <c r="AI173" s="138"/>
      <c r="AJ173" s="138"/>
      <c r="AM173" s="258"/>
      <c r="AN173" s="258"/>
      <c r="AO173" s="258"/>
      <c r="AP173" s="258"/>
      <c r="AR173" s="137"/>
      <c r="AT173" s="137"/>
      <c r="AV173" s="394"/>
      <c r="AW173" s="137"/>
      <c r="AX173" s="137"/>
      <c r="AY173" s="137"/>
      <c r="AZ173" s="137"/>
      <c r="BA173" s="264"/>
      <c r="BB173" s="258"/>
      <c r="BC173" s="258"/>
      <c r="BD173" s="137"/>
      <c r="BE173" s="137"/>
      <c r="BF173" s="137"/>
      <c r="BG173" s="137"/>
      <c r="BH173" s="137"/>
      <c r="BI173" s="137"/>
      <c r="BJ173" s="137"/>
      <c r="BK173" s="137"/>
      <c r="BL173" s="137"/>
      <c r="BM173" s="137"/>
      <c r="BN173" s="137"/>
      <c r="BO173" s="137"/>
      <c r="BP173" s="137"/>
      <c r="BQ173" s="137"/>
      <c r="BR173" s="137"/>
      <c r="BS173" s="137"/>
      <c r="BV173" s="262"/>
      <c r="BW173" s="136"/>
      <c r="BX173" s="137"/>
      <c r="BY173" s="137"/>
      <c r="BZ173" s="137"/>
      <c r="CA173" s="137"/>
      <c r="CB173" s="137"/>
      <c r="CC173" s="258"/>
      <c r="CD173" s="258"/>
      <c r="CE173" s="258"/>
      <c r="CF173" s="258"/>
      <c r="CG173" s="258"/>
      <c r="CH173" s="258"/>
      <c r="CI173" s="258"/>
      <c r="CJ173" s="258"/>
      <c r="CK173" s="258"/>
      <c r="CL173" s="258"/>
      <c r="CM173" s="258"/>
    </row>
    <row r="174" spans="1:91" x14ac:dyDescent="0.25">
      <c r="A174" s="723"/>
      <c r="B174" s="723"/>
      <c r="K174" s="52"/>
      <c r="L174" s="135"/>
      <c r="N174" s="131"/>
      <c r="O174" s="131"/>
      <c r="P174" s="55"/>
      <c r="Q174" s="135"/>
      <c r="R174" s="135"/>
      <c r="U174" s="135"/>
      <c r="V174" s="146"/>
      <c r="W174" s="146"/>
      <c r="X174" s="338"/>
      <c r="Y174" s="338"/>
      <c r="Z174" s="338"/>
      <c r="AA174" s="338"/>
      <c r="AB174" s="338"/>
      <c r="AC174" s="338"/>
      <c r="AF174" s="138"/>
      <c r="AG174" s="138"/>
      <c r="AH174" s="138"/>
      <c r="AI174" s="138"/>
      <c r="AJ174" s="138"/>
      <c r="AM174" s="258"/>
      <c r="AN174" s="258"/>
      <c r="AO174" s="258"/>
      <c r="AP174" s="258"/>
      <c r="AR174" s="137"/>
      <c r="AT174" s="137"/>
      <c r="AV174" s="394"/>
      <c r="AW174" s="137"/>
      <c r="AX174" s="137"/>
      <c r="AY174" s="137"/>
      <c r="AZ174" s="137"/>
      <c r="BA174" s="264"/>
      <c r="BB174" s="258"/>
      <c r="BC174" s="258"/>
      <c r="BD174" s="137"/>
      <c r="BE174" s="137"/>
      <c r="BF174" s="137"/>
      <c r="BG174" s="137"/>
      <c r="BH174" s="137"/>
      <c r="BI174" s="137"/>
      <c r="BJ174" s="137"/>
      <c r="BK174" s="137"/>
      <c r="BL174" s="137"/>
      <c r="BM174" s="137"/>
      <c r="BN174" s="137"/>
      <c r="BO174" s="137"/>
      <c r="BP174" s="137"/>
      <c r="BQ174" s="137"/>
      <c r="BR174" s="137"/>
      <c r="BS174" s="137"/>
      <c r="BV174" s="262"/>
      <c r="BW174" s="136"/>
      <c r="BX174" s="137"/>
      <c r="BY174" s="137"/>
      <c r="BZ174" s="137"/>
      <c r="CA174" s="137"/>
      <c r="CB174" s="137"/>
      <c r="CC174" s="258"/>
      <c r="CD174" s="258"/>
      <c r="CE174" s="258"/>
      <c r="CF174" s="258"/>
      <c r="CG174" s="258"/>
      <c r="CH174" s="258"/>
      <c r="CI174" s="258"/>
      <c r="CJ174" s="258"/>
      <c r="CK174" s="258"/>
      <c r="CL174" s="258"/>
      <c r="CM174" s="258"/>
    </row>
    <row r="175" spans="1:91" x14ac:dyDescent="0.25">
      <c r="A175" s="723"/>
      <c r="B175" s="723"/>
      <c r="K175" s="52"/>
      <c r="L175" s="135"/>
      <c r="N175" s="131"/>
      <c r="O175" s="131"/>
      <c r="P175" s="55"/>
      <c r="Q175" s="135"/>
      <c r="R175" s="135"/>
      <c r="U175" s="135"/>
      <c r="V175" s="146"/>
      <c r="W175" s="146"/>
      <c r="X175" s="338"/>
      <c r="Y175" s="338"/>
      <c r="Z175" s="338"/>
      <c r="AA175" s="338"/>
      <c r="AB175" s="338"/>
      <c r="AC175" s="338"/>
      <c r="AF175" s="138"/>
      <c r="AG175" s="138"/>
      <c r="AH175" s="138"/>
      <c r="AI175" s="138"/>
      <c r="AJ175" s="138"/>
      <c r="AM175" s="258"/>
      <c r="AN175" s="258"/>
      <c r="AO175" s="258"/>
      <c r="AP175" s="258"/>
      <c r="AR175" s="137"/>
      <c r="AT175" s="137"/>
      <c r="AV175" s="394"/>
      <c r="AW175" s="137"/>
      <c r="AX175" s="137"/>
      <c r="AY175" s="137"/>
      <c r="AZ175" s="137"/>
      <c r="BA175" s="264"/>
      <c r="BB175" s="258"/>
      <c r="BC175" s="258"/>
      <c r="BD175" s="137"/>
      <c r="BE175" s="137"/>
      <c r="BF175" s="137"/>
      <c r="BG175" s="137"/>
      <c r="BH175" s="137"/>
      <c r="BI175" s="137"/>
      <c r="BJ175" s="137"/>
      <c r="BK175" s="137"/>
      <c r="BL175" s="137"/>
      <c r="BM175" s="137"/>
      <c r="BN175" s="137"/>
      <c r="BO175" s="137"/>
      <c r="BP175" s="137"/>
      <c r="BQ175" s="137"/>
      <c r="BR175" s="137"/>
      <c r="BS175" s="137"/>
      <c r="BV175" s="262"/>
      <c r="BW175" s="136"/>
      <c r="BX175" s="137"/>
      <c r="BY175" s="137"/>
      <c r="BZ175" s="137"/>
      <c r="CA175" s="137"/>
      <c r="CB175" s="137"/>
      <c r="CC175" s="258"/>
      <c r="CD175" s="258"/>
      <c r="CE175" s="258"/>
      <c r="CF175" s="258"/>
      <c r="CG175" s="258"/>
      <c r="CH175" s="258"/>
      <c r="CI175" s="258"/>
      <c r="CJ175" s="258"/>
      <c r="CK175" s="258"/>
      <c r="CL175" s="258"/>
      <c r="CM175" s="258"/>
    </row>
    <row r="176" spans="1:91" x14ac:dyDescent="0.25">
      <c r="A176" s="723"/>
      <c r="B176" s="723"/>
      <c r="K176" s="52"/>
      <c r="L176" s="135"/>
      <c r="N176" s="131"/>
      <c r="O176" s="131"/>
      <c r="P176" s="55"/>
      <c r="Q176" s="135"/>
      <c r="R176" s="135"/>
      <c r="U176" s="135"/>
      <c r="V176" s="146"/>
      <c r="W176" s="146"/>
      <c r="X176" s="338"/>
      <c r="Y176" s="338"/>
      <c r="Z176" s="338"/>
      <c r="AA176" s="338"/>
      <c r="AB176" s="338"/>
      <c r="AC176" s="338"/>
      <c r="AF176" s="138"/>
      <c r="AG176" s="138"/>
      <c r="AH176" s="138"/>
      <c r="AI176" s="138"/>
      <c r="AJ176" s="138"/>
      <c r="AM176" s="258"/>
      <c r="AN176" s="258"/>
      <c r="AO176" s="258"/>
      <c r="AP176" s="258"/>
      <c r="AR176" s="137"/>
      <c r="AT176" s="137"/>
      <c r="AV176" s="394"/>
      <c r="AW176" s="137"/>
      <c r="AX176" s="137"/>
      <c r="AY176" s="137"/>
      <c r="AZ176" s="137"/>
      <c r="BA176" s="264"/>
      <c r="BB176" s="258"/>
      <c r="BC176" s="258"/>
      <c r="BD176" s="137"/>
      <c r="BE176" s="137"/>
      <c r="BF176" s="137"/>
      <c r="BG176" s="137"/>
      <c r="BH176" s="137"/>
      <c r="BI176" s="137"/>
      <c r="BJ176" s="137"/>
      <c r="BK176" s="137"/>
      <c r="BL176" s="137"/>
      <c r="BM176" s="137"/>
      <c r="BN176" s="137"/>
      <c r="BO176" s="137"/>
      <c r="BP176" s="137"/>
      <c r="BQ176" s="137"/>
      <c r="BR176" s="137"/>
      <c r="BS176" s="137"/>
      <c r="BV176" s="262"/>
      <c r="BW176" s="136"/>
      <c r="BX176" s="137"/>
      <c r="BY176" s="137"/>
      <c r="BZ176" s="137"/>
      <c r="CA176" s="137"/>
      <c r="CB176" s="137"/>
      <c r="CC176" s="258"/>
      <c r="CD176" s="258"/>
      <c r="CE176" s="258"/>
      <c r="CF176" s="258"/>
      <c r="CG176" s="258"/>
      <c r="CH176" s="258"/>
      <c r="CI176" s="258"/>
      <c r="CJ176" s="258"/>
      <c r="CK176" s="258"/>
      <c r="CL176" s="258"/>
      <c r="CM176" s="258"/>
    </row>
    <row r="177" spans="1:91" x14ac:dyDescent="0.25">
      <c r="A177" s="723"/>
      <c r="B177" s="723"/>
      <c r="K177" s="52"/>
      <c r="L177" s="135"/>
      <c r="N177" s="131"/>
      <c r="O177" s="131"/>
      <c r="P177" s="55"/>
      <c r="Q177" s="135"/>
      <c r="R177" s="135"/>
      <c r="U177" s="135"/>
      <c r="V177" s="146"/>
      <c r="W177" s="146"/>
      <c r="X177" s="338"/>
      <c r="Y177" s="338"/>
      <c r="Z177" s="338"/>
      <c r="AA177" s="338"/>
      <c r="AB177" s="338"/>
      <c r="AC177" s="338"/>
      <c r="AF177" s="138"/>
      <c r="AG177" s="138"/>
      <c r="AH177" s="138"/>
      <c r="AI177" s="138"/>
      <c r="AJ177" s="138"/>
      <c r="AM177" s="258"/>
      <c r="AN177" s="258"/>
      <c r="AO177" s="258"/>
      <c r="AP177" s="258"/>
      <c r="AR177" s="137"/>
      <c r="AT177" s="137"/>
      <c r="AV177" s="394"/>
      <c r="AW177" s="137"/>
      <c r="AX177" s="137"/>
      <c r="AY177" s="137"/>
      <c r="AZ177" s="137"/>
      <c r="BA177" s="264"/>
      <c r="BB177" s="258"/>
      <c r="BC177" s="258"/>
      <c r="BD177" s="137"/>
      <c r="BE177" s="137"/>
      <c r="BF177" s="137"/>
      <c r="BG177" s="137"/>
      <c r="BH177" s="137"/>
      <c r="BI177" s="137"/>
      <c r="BJ177" s="137"/>
      <c r="BK177" s="137"/>
      <c r="BL177" s="137"/>
      <c r="BM177" s="137"/>
      <c r="BN177" s="137"/>
      <c r="BO177" s="137"/>
      <c r="BP177" s="137"/>
      <c r="BQ177" s="137"/>
      <c r="BR177" s="137"/>
      <c r="BS177" s="137"/>
      <c r="BV177" s="262"/>
      <c r="BW177" s="136"/>
      <c r="BX177" s="137"/>
      <c r="BY177" s="137"/>
      <c r="BZ177" s="137"/>
      <c r="CA177" s="137"/>
      <c r="CB177" s="137"/>
      <c r="CC177" s="258"/>
      <c r="CD177" s="258"/>
      <c r="CE177" s="258"/>
      <c r="CF177" s="258"/>
      <c r="CG177" s="258"/>
      <c r="CH177" s="258"/>
      <c r="CI177" s="258"/>
      <c r="CJ177" s="258"/>
      <c r="CK177" s="258"/>
      <c r="CL177" s="258"/>
      <c r="CM177" s="258"/>
    </row>
    <row r="178" spans="1:91" x14ac:dyDescent="0.25">
      <c r="A178" s="723"/>
      <c r="B178" s="723"/>
      <c r="K178" s="52"/>
      <c r="L178" s="135"/>
      <c r="N178" s="131"/>
      <c r="O178" s="131"/>
      <c r="P178" s="55"/>
      <c r="Q178" s="135"/>
      <c r="R178" s="135"/>
      <c r="U178" s="135"/>
      <c r="V178" s="146"/>
      <c r="W178" s="146"/>
      <c r="X178" s="338"/>
      <c r="Y178" s="338"/>
      <c r="Z178" s="338"/>
      <c r="AA178" s="338"/>
      <c r="AB178" s="338"/>
      <c r="AC178" s="338"/>
      <c r="AF178" s="138"/>
      <c r="AG178" s="138"/>
      <c r="AH178" s="138"/>
      <c r="AI178" s="138"/>
      <c r="AJ178" s="138"/>
      <c r="AM178" s="258"/>
      <c r="AN178" s="258"/>
      <c r="AO178" s="258"/>
      <c r="AP178" s="258"/>
      <c r="AR178" s="137"/>
      <c r="AT178" s="137"/>
      <c r="AV178" s="394"/>
      <c r="AW178" s="137"/>
      <c r="AX178" s="137"/>
      <c r="AY178" s="137"/>
      <c r="AZ178" s="137"/>
      <c r="BA178" s="264"/>
      <c r="BB178" s="258"/>
      <c r="BC178" s="258"/>
      <c r="BD178" s="137"/>
      <c r="BE178" s="137"/>
      <c r="BF178" s="137"/>
      <c r="BG178" s="137"/>
      <c r="BH178" s="137"/>
      <c r="BI178" s="137"/>
      <c r="BJ178" s="137"/>
      <c r="BK178" s="137"/>
      <c r="BL178" s="137"/>
      <c r="BM178" s="137"/>
      <c r="BN178" s="137"/>
      <c r="BO178" s="137"/>
      <c r="BP178" s="137"/>
      <c r="BQ178" s="137"/>
      <c r="BR178" s="137"/>
      <c r="BS178" s="137"/>
      <c r="BV178" s="262"/>
      <c r="BW178" s="136"/>
      <c r="BX178" s="137"/>
      <c r="BY178" s="137"/>
      <c r="BZ178" s="137"/>
      <c r="CA178" s="137"/>
      <c r="CB178" s="137"/>
      <c r="CC178" s="258"/>
      <c r="CD178" s="258"/>
      <c r="CE178" s="258"/>
      <c r="CF178" s="258"/>
      <c r="CG178" s="258"/>
      <c r="CH178" s="258"/>
      <c r="CI178" s="258"/>
      <c r="CJ178" s="258"/>
      <c r="CK178" s="258"/>
      <c r="CL178" s="258"/>
      <c r="CM178" s="258"/>
    </row>
    <row r="179" spans="1:91" x14ac:dyDescent="0.25">
      <c r="A179" s="723"/>
      <c r="B179" s="723"/>
      <c r="K179" s="52"/>
      <c r="L179" s="135"/>
      <c r="N179" s="131"/>
      <c r="O179" s="131"/>
      <c r="P179" s="55"/>
      <c r="Q179" s="135"/>
      <c r="R179" s="135"/>
      <c r="U179" s="135"/>
      <c r="V179" s="146"/>
      <c r="W179" s="146"/>
      <c r="X179" s="338"/>
      <c r="Y179" s="338"/>
      <c r="Z179" s="338"/>
      <c r="AA179" s="338"/>
      <c r="AB179" s="338"/>
      <c r="AC179" s="338"/>
      <c r="AF179" s="138"/>
      <c r="AG179" s="138"/>
      <c r="AH179" s="138"/>
      <c r="AI179" s="138"/>
      <c r="AJ179" s="138"/>
      <c r="AM179" s="258"/>
      <c r="AN179" s="258"/>
      <c r="AO179" s="258"/>
      <c r="AP179" s="258"/>
      <c r="AR179" s="137"/>
      <c r="AT179" s="137"/>
      <c r="AV179" s="394"/>
      <c r="AW179" s="137"/>
      <c r="AX179" s="137"/>
      <c r="AY179" s="137"/>
      <c r="AZ179" s="137"/>
      <c r="BA179" s="264"/>
      <c r="BB179" s="258"/>
      <c r="BC179" s="258"/>
      <c r="BD179" s="137"/>
      <c r="BE179" s="137"/>
      <c r="BF179" s="137"/>
      <c r="BG179" s="137"/>
      <c r="BH179" s="137"/>
      <c r="BI179" s="137"/>
      <c r="BJ179" s="137"/>
      <c r="BK179" s="137"/>
      <c r="BL179" s="137"/>
      <c r="BM179" s="137"/>
      <c r="BN179" s="137"/>
      <c r="BO179" s="137"/>
      <c r="BP179" s="137"/>
      <c r="BQ179" s="137"/>
      <c r="BR179" s="137"/>
      <c r="BS179" s="137"/>
      <c r="BV179" s="262"/>
      <c r="BW179" s="136"/>
      <c r="BX179" s="137"/>
      <c r="BY179" s="137"/>
      <c r="BZ179" s="137"/>
      <c r="CA179" s="137"/>
      <c r="CB179" s="137"/>
      <c r="CC179" s="258"/>
      <c r="CD179" s="258"/>
      <c r="CE179" s="258"/>
      <c r="CF179" s="258"/>
      <c r="CG179" s="258"/>
      <c r="CH179" s="258"/>
      <c r="CI179" s="258"/>
      <c r="CJ179" s="258"/>
      <c r="CK179" s="258"/>
      <c r="CL179" s="258"/>
      <c r="CM179" s="258"/>
    </row>
    <row r="180" spans="1:91" x14ac:dyDescent="0.25">
      <c r="A180" s="723"/>
      <c r="B180" s="723"/>
      <c r="K180" s="52"/>
      <c r="L180" s="135"/>
      <c r="N180" s="131"/>
      <c r="O180" s="131"/>
      <c r="P180" s="55"/>
      <c r="Q180" s="135"/>
      <c r="R180" s="135"/>
      <c r="U180" s="135"/>
      <c r="V180" s="146"/>
      <c r="W180" s="146"/>
      <c r="X180" s="338"/>
      <c r="Y180" s="338"/>
      <c r="Z180" s="338"/>
      <c r="AA180" s="338"/>
      <c r="AB180" s="338"/>
      <c r="AC180" s="338"/>
      <c r="AF180" s="138"/>
      <c r="AG180" s="138"/>
      <c r="AH180" s="138"/>
      <c r="AI180" s="138"/>
      <c r="AJ180" s="138"/>
      <c r="AM180" s="258"/>
      <c r="AN180" s="258"/>
      <c r="AO180" s="258"/>
      <c r="AP180" s="258"/>
      <c r="AR180" s="137"/>
      <c r="AT180" s="137"/>
      <c r="AV180" s="394"/>
      <c r="AW180" s="137"/>
      <c r="AX180" s="137"/>
      <c r="AY180" s="137"/>
      <c r="AZ180" s="137"/>
      <c r="BA180" s="264"/>
      <c r="BB180" s="258"/>
      <c r="BC180" s="258"/>
      <c r="BD180" s="137"/>
      <c r="BE180" s="137"/>
      <c r="BF180" s="137"/>
      <c r="BG180" s="137"/>
      <c r="BH180" s="137"/>
      <c r="BI180" s="137"/>
      <c r="BJ180" s="137"/>
      <c r="BK180" s="137"/>
      <c r="BL180" s="137"/>
      <c r="BM180" s="137"/>
      <c r="BN180" s="137"/>
      <c r="BO180" s="137"/>
      <c r="BP180" s="137"/>
      <c r="BQ180" s="137"/>
      <c r="BR180" s="137"/>
      <c r="BS180" s="137"/>
      <c r="BV180" s="262"/>
      <c r="BW180" s="136"/>
      <c r="BX180" s="137"/>
      <c r="BY180" s="137"/>
      <c r="BZ180" s="137"/>
      <c r="CA180" s="137"/>
      <c r="CB180" s="137"/>
      <c r="CC180" s="258"/>
      <c r="CD180" s="258"/>
      <c r="CE180" s="258"/>
      <c r="CF180" s="258"/>
      <c r="CG180" s="258"/>
      <c r="CH180" s="258"/>
      <c r="CI180" s="258"/>
      <c r="CJ180" s="258"/>
      <c r="CK180" s="258"/>
      <c r="CL180" s="258"/>
      <c r="CM180" s="258"/>
    </row>
    <row r="181" spans="1:91" x14ac:dyDescent="0.25">
      <c r="A181" s="723"/>
      <c r="B181" s="723"/>
      <c r="K181" s="52"/>
      <c r="L181" s="135"/>
      <c r="N181" s="131"/>
      <c r="O181" s="131"/>
      <c r="P181" s="55"/>
      <c r="Q181" s="135"/>
      <c r="R181" s="135"/>
      <c r="U181" s="135"/>
      <c r="V181" s="146"/>
      <c r="W181" s="146"/>
      <c r="X181" s="338"/>
      <c r="Y181" s="338"/>
      <c r="Z181" s="338"/>
      <c r="AA181" s="338"/>
      <c r="AB181" s="338"/>
      <c r="AC181" s="338"/>
      <c r="AF181" s="138"/>
      <c r="AG181" s="138"/>
      <c r="AH181" s="138"/>
      <c r="AI181" s="138"/>
      <c r="AJ181" s="138"/>
      <c r="AM181" s="258"/>
      <c r="AN181" s="258"/>
      <c r="AO181" s="258"/>
      <c r="AP181" s="258"/>
      <c r="AR181" s="137"/>
      <c r="AT181" s="137"/>
      <c r="AV181" s="394"/>
      <c r="AW181" s="137"/>
      <c r="AX181" s="137"/>
      <c r="AY181" s="137"/>
      <c r="AZ181" s="137"/>
      <c r="BA181" s="264"/>
      <c r="BB181" s="258"/>
      <c r="BC181" s="258"/>
      <c r="BD181" s="137"/>
      <c r="BE181" s="137"/>
      <c r="BF181" s="137"/>
      <c r="BG181" s="137"/>
      <c r="BH181" s="137"/>
      <c r="BI181" s="137"/>
      <c r="BJ181" s="137"/>
      <c r="BK181" s="137"/>
      <c r="BL181" s="137"/>
      <c r="BM181" s="137"/>
      <c r="BN181" s="137"/>
      <c r="BO181" s="137"/>
      <c r="BP181" s="137"/>
      <c r="BQ181" s="137"/>
      <c r="BR181" s="137"/>
      <c r="BS181" s="137"/>
      <c r="BV181" s="262"/>
      <c r="BW181" s="136"/>
      <c r="BX181" s="137"/>
      <c r="BY181" s="137"/>
      <c r="BZ181" s="137"/>
      <c r="CA181" s="137"/>
      <c r="CB181" s="137"/>
      <c r="CC181" s="258"/>
      <c r="CD181" s="258"/>
      <c r="CE181" s="258"/>
      <c r="CF181" s="258"/>
      <c r="CG181" s="258"/>
      <c r="CH181" s="258"/>
      <c r="CI181" s="258"/>
      <c r="CJ181" s="258"/>
      <c r="CK181" s="258"/>
      <c r="CL181" s="258"/>
      <c r="CM181" s="258"/>
    </row>
    <row r="182" spans="1:91" x14ac:dyDescent="0.25">
      <c r="A182" s="723"/>
      <c r="B182" s="723"/>
      <c r="K182" s="52"/>
      <c r="L182" s="135"/>
      <c r="N182" s="131"/>
      <c r="O182" s="131"/>
      <c r="P182" s="55"/>
      <c r="Q182" s="135"/>
      <c r="R182" s="135"/>
      <c r="U182" s="135"/>
      <c r="V182" s="146"/>
      <c r="W182" s="146"/>
      <c r="X182" s="338"/>
      <c r="Y182" s="338"/>
      <c r="Z182" s="338"/>
      <c r="AA182" s="338"/>
      <c r="AB182" s="338"/>
      <c r="AC182" s="338"/>
      <c r="AF182" s="138"/>
      <c r="AG182" s="138"/>
      <c r="AH182" s="138"/>
      <c r="AI182" s="138"/>
      <c r="AJ182" s="138"/>
      <c r="AM182" s="258"/>
      <c r="AN182" s="258"/>
      <c r="AO182" s="258"/>
      <c r="AP182" s="258"/>
      <c r="AR182" s="137"/>
      <c r="AT182" s="137"/>
      <c r="AV182" s="394"/>
      <c r="AW182" s="137"/>
      <c r="AX182" s="137"/>
      <c r="AY182" s="137"/>
      <c r="AZ182" s="137"/>
      <c r="BA182" s="264"/>
      <c r="BB182" s="258"/>
      <c r="BC182" s="258"/>
      <c r="BD182" s="137"/>
      <c r="BE182" s="137"/>
      <c r="BF182" s="137"/>
      <c r="BG182" s="137"/>
      <c r="BH182" s="137"/>
      <c r="BI182" s="137"/>
      <c r="BJ182" s="137"/>
      <c r="BK182" s="137"/>
      <c r="BL182" s="137"/>
      <c r="BM182" s="137"/>
      <c r="BN182" s="137"/>
      <c r="BO182" s="137"/>
      <c r="BP182" s="137"/>
      <c r="BQ182" s="137"/>
      <c r="BR182" s="137"/>
      <c r="BS182" s="137"/>
      <c r="BV182" s="262"/>
      <c r="BW182" s="136"/>
      <c r="BX182" s="137"/>
      <c r="BY182" s="137"/>
      <c r="BZ182" s="137"/>
      <c r="CA182" s="137"/>
      <c r="CB182" s="137"/>
      <c r="CC182" s="258"/>
      <c r="CD182" s="258"/>
      <c r="CE182" s="258"/>
      <c r="CF182" s="258"/>
      <c r="CG182" s="258"/>
      <c r="CH182" s="258"/>
      <c r="CI182" s="258"/>
      <c r="CJ182" s="258"/>
      <c r="CK182" s="258"/>
      <c r="CL182" s="258"/>
      <c r="CM182" s="258"/>
    </row>
    <row r="183" spans="1:91" x14ac:dyDescent="0.25">
      <c r="A183" s="723"/>
      <c r="B183" s="723"/>
      <c r="K183" s="52"/>
      <c r="L183" s="135"/>
      <c r="N183" s="131"/>
      <c r="O183" s="131"/>
      <c r="P183" s="55"/>
      <c r="Q183" s="135"/>
      <c r="R183" s="135"/>
      <c r="U183" s="135"/>
      <c r="V183" s="146"/>
      <c r="W183" s="146"/>
      <c r="X183" s="338"/>
      <c r="Y183" s="338"/>
      <c r="Z183" s="338"/>
      <c r="AA183" s="338"/>
      <c r="AB183" s="338"/>
      <c r="AC183" s="338"/>
      <c r="AF183" s="138"/>
      <c r="AG183" s="138"/>
      <c r="AH183" s="138"/>
      <c r="AI183" s="138"/>
      <c r="AJ183" s="138"/>
      <c r="AM183" s="258"/>
      <c r="AN183" s="258"/>
      <c r="AO183" s="258"/>
      <c r="AP183" s="258"/>
      <c r="AR183" s="137"/>
      <c r="AT183" s="137"/>
      <c r="AV183" s="394"/>
      <c r="AW183" s="137"/>
      <c r="AX183" s="137"/>
      <c r="AY183" s="137"/>
      <c r="AZ183" s="137"/>
      <c r="BA183" s="264"/>
      <c r="BB183" s="258"/>
      <c r="BC183" s="258"/>
      <c r="BD183" s="137"/>
      <c r="BE183" s="137"/>
      <c r="BF183" s="137"/>
      <c r="BG183" s="137"/>
      <c r="BH183" s="137"/>
      <c r="BI183" s="137"/>
      <c r="BJ183" s="137"/>
      <c r="BK183" s="137"/>
      <c r="BL183" s="137"/>
      <c r="BM183" s="137"/>
      <c r="BN183" s="137"/>
      <c r="BO183" s="137"/>
      <c r="BP183" s="137"/>
      <c r="BQ183" s="137"/>
      <c r="BR183" s="137"/>
      <c r="BS183" s="137"/>
      <c r="BV183" s="262"/>
      <c r="BW183" s="136"/>
      <c r="BX183" s="137"/>
      <c r="BY183" s="137"/>
      <c r="BZ183" s="137"/>
      <c r="CA183" s="137"/>
      <c r="CB183" s="137"/>
      <c r="CC183" s="258"/>
      <c r="CD183" s="258"/>
      <c r="CE183" s="258"/>
      <c r="CF183" s="258"/>
      <c r="CG183" s="258"/>
      <c r="CH183" s="258"/>
      <c r="CI183" s="258"/>
      <c r="CJ183" s="258"/>
      <c r="CK183" s="258"/>
      <c r="CL183" s="258"/>
      <c r="CM183" s="258"/>
    </row>
    <row r="184" spans="1:91" x14ac:dyDescent="0.25">
      <c r="A184" s="723"/>
      <c r="B184" s="723"/>
      <c r="K184" s="52"/>
      <c r="L184" s="135"/>
      <c r="N184" s="131"/>
      <c r="O184" s="131"/>
      <c r="P184" s="55"/>
      <c r="Q184" s="135"/>
      <c r="R184" s="135"/>
      <c r="U184" s="135"/>
      <c r="V184" s="146"/>
      <c r="W184" s="146"/>
      <c r="X184" s="338"/>
      <c r="Y184" s="338"/>
      <c r="Z184" s="338"/>
      <c r="AA184" s="338"/>
      <c r="AB184" s="338"/>
      <c r="AC184" s="338"/>
      <c r="AF184" s="138"/>
      <c r="AG184" s="138"/>
      <c r="AH184" s="138"/>
      <c r="AI184" s="138"/>
      <c r="AJ184" s="138"/>
      <c r="AM184" s="258"/>
      <c r="AN184" s="258"/>
      <c r="AO184" s="258"/>
      <c r="AP184" s="258"/>
      <c r="AR184" s="137"/>
      <c r="AT184" s="137"/>
      <c r="AV184" s="394"/>
      <c r="AW184" s="137"/>
      <c r="AX184" s="137"/>
      <c r="AY184" s="137"/>
      <c r="AZ184" s="137"/>
      <c r="BA184" s="264"/>
      <c r="BB184" s="258"/>
      <c r="BC184" s="258"/>
      <c r="BD184" s="137"/>
      <c r="BE184" s="137"/>
      <c r="BF184" s="137"/>
      <c r="BG184" s="137"/>
      <c r="BH184" s="137"/>
      <c r="BI184" s="137"/>
      <c r="BJ184" s="137"/>
      <c r="BK184" s="137"/>
      <c r="BL184" s="137"/>
      <c r="BM184" s="137"/>
      <c r="BN184" s="137"/>
      <c r="BO184" s="137"/>
      <c r="BP184" s="137"/>
      <c r="BQ184" s="137"/>
      <c r="BR184" s="137"/>
      <c r="BS184" s="137"/>
      <c r="BV184" s="262"/>
      <c r="BW184" s="136"/>
      <c r="BX184" s="137"/>
      <c r="BY184" s="137"/>
      <c r="BZ184" s="137"/>
      <c r="CA184" s="137"/>
      <c r="CB184" s="137"/>
      <c r="CC184" s="258"/>
      <c r="CD184" s="258"/>
      <c r="CE184" s="258"/>
      <c r="CF184" s="258"/>
      <c r="CG184" s="258"/>
      <c r="CH184" s="258"/>
      <c r="CI184" s="258"/>
      <c r="CJ184" s="258"/>
      <c r="CK184" s="258"/>
      <c r="CL184" s="258"/>
      <c r="CM184" s="258"/>
    </row>
    <row r="185" spans="1:91" x14ac:dyDescent="0.25">
      <c r="A185" s="723"/>
      <c r="B185" s="723"/>
      <c r="K185" s="52"/>
      <c r="L185" s="135"/>
      <c r="N185" s="131"/>
      <c r="O185" s="131"/>
      <c r="P185" s="55"/>
      <c r="Q185" s="135"/>
      <c r="R185" s="135"/>
      <c r="U185" s="135"/>
      <c r="V185" s="146"/>
      <c r="W185" s="146"/>
      <c r="X185" s="338"/>
      <c r="Y185" s="338"/>
      <c r="Z185" s="338"/>
      <c r="AA185" s="338"/>
      <c r="AB185" s="338"/>
      <c r="AC185" s="338"/>
      <c r="AF185" s="138"/>
      <c r="AG185" s="138"/>
      <c r="AH185" s="138"/>
      <c r="AI185" s="138"/>
      <c r="AJ185" s="138"/>
      <c r="AM185" s="258"/>
      <c r="AN185" s="258"/>
      <c r="AO185" s="258"/>
      <c r="AP185" s="258"/>
      <c r="AR185" s="137"/>
      <c r="AT185" s="137"/>
      <c r="AV185" s="394"/>
      <c r="AW185" s="137"/>
      <c r="AX185" s="137"/>
      <c r="AY185" s="137"/>
      <c r="AZ185" s="137"/>
      <c r="BA185" s="264"/>
      <c r="BB185" s="258"/>
      <c r="BC185" s="258"/>
      <c r="BD185" s="137"/>
      <c r="BE185" s="137"/>
      <c r="BF185" s="137"/>
      <c r="BG185" s="137"/>
      <c r="BH185" s="137"/>
      <c r="BI185" s="137"/>
      <c r="BJ185" s="137"/>
      <c r="BK185" s="137"/>
      <c r="BL185" s="137"/>
      <c r="BM185" s="137"/>
      <c r="BN185" s="137"/>
      <c r="BO185" s="137"/>
      <c r="BP185" s="137"/>
      <c r="BQ185" s="137"/>
      <c r="BR185" s="137"/>
      <c r="BS185" s="137"/>
      <c r="BV185" s="262"/>
      <c r="BW185" s="136"/>
      <c r="BX185" s="137"/>
      <c r="BY185" s="137"/>
      <c r="BZ185" s="137"/>
      <c r="CA185" s="137"/>
      <c r="CB185" s="137"/>
      <c r="CC185" s="258"/>
      <c r="CD185" s="258"/>
      <c r="CE185" s="258"/>
      <c r="CF185" s="258"/>
      <c r="CG185" s="258"/>
      <c r="CH185" s="258"/>
      <c r="CI185" s="258"/>
      <c r="CJ185" s="258"/>
      <c r="CK185" s="258"/>
      <c r="CL185" s="258"/>
      <c r="CM185" s="258"/>
    </row>
    <row r="186" spans="1:91" x14ac:dyDescent="0.25">
      <c r="A186" s="723"/>
      <c r="B186" s="723"/>
      <c r="K186" s="52"/>
      <c r="L186" s="135"/>
      <c r="N186" s="131"/>
      <c r="O186" s="131"/>
      <c r="P186" s="55"/>
      <c r="Q186" s="135"/>
      <c r="R186" s="135"/>
      <c r="U186" s="135"/>
      <c r="V186" s="146"/>
      <c r="W186" s="146"/>
      <c r="X186" s="338"/>
      <c r="Y186" s="338"/>
      <c r="Z186" s="338"/>
      <c r="AA186" s="338"/>
      <c r="AB186" s="338"/>
      <c r="AC186" s="338"/>
      <c r="AF186" s="138"/>
      <c r="AG186" s="138"/>
      <c r="AH186" s="138"/>
      <c r="AI186" s="138"/>
      <c r="AJ186" s="138"/>
      <c r="AM186" s="258"/>
      <c r="AN186" s="258"/>
      <c r="AO186" s="258"/>
      <c r="AP186" s="258"/>
      <c r="AR186" s="137"/>
      <c r="AT186" s="137"/>
      <c r="AV186" s="394"/>
      <c r="AW186" s="137"/>
      <c r="AX186" s="137"/>
      <c r="AY186" s="137"/>
      <c r="AZ186" s="137"/>
      <c r="BA186" s="264"/>
      <c r="BB186" s="258"/>
      <c r="BC186" s="258"/>
      <c r="BD186" s="137"/>
      <c r="BE186" s="137"/>
      <c r="BF186" s="137"/>
      <c r="BG186" s="137"/>
      <c r="BH186" s="137"/>
      <c r="BI186" s="137"/>
      <c r="BJ186" s="137"/>
      <c r="BK186" s="137"/>
      <c r="BL186" s="137"/>
      <c r="BM186" s="137"/>
      <c r="BN186" s="137"/>
      <c r="BO186" s="137"/>
      <c r="BP186" s="137"/>
      <c r="BQ186" s="137"/>
      <c r="BR186" s="137"/>
      <c r="BS186" s="137"/>
      <c r="BV186" s="262"/>
      <c r="BW186" s="136"/>
      <c r="BX186" s="137"/>
      <c r="BY186" s="137"/>
      <c r="BZ186" s="137"/>
      <c r="CA186" s="137"/>
      <c r="CB186" s="137"/>
      <c r="CC186" s="258"/>
      <c r="CD186" s="258"/>
      <c r="CE186" s="258"/>
      <c r="CF186" s="258"/>
      <c r="CG186" s="258"/>
      <c r="CH186" s="258"/>
      <c r="CI186" s="258"/>
      <c r="CJ186" s="258"/>
      <c r="CK186" s="258"/>
      <c r="CL186" s="258"/>
      <c r="CM186" s="258"/>
    </row>
    <row r="187" spans="1:91" x14ac:dyDescent="0.25">
      <c r="A187" s="723"/>
      <c r="B187" s="723"/>
      <c r="K187" s="52"/>
      <c r="L187" s="135"/>
      <c r="N187" s="131"/>
      <c r="O187" s="131"/>
      <c r="P187" s="55"/>
      <c r="Q187" s="135"/>
      <c r="R187" s="135"/>
      <c r="U187" s="135"/>
      <c r="V187" s="146"/>
      <c r="W187" s="146"/>
      <c r="X187" s="338"/>
      <c r="Y187" s="338"/>
      <c r="Z187" s="338"/>
      <c r="AA187" s="338"/>
      <c r="AB187" s="338"/>
      <c r="AC187" s="338"/>
      <c r="AF187" s="138"/>
      <c r="AG187" s="138"/>
      <c r="AH187" s="138"/>
      <c r="AI187" s="138"/>
      <c r="AJ187" s="138"/>
      <c r="AM187" s="258"/>
      <c r="AN187" s="258"/>
      <c r="AO187" s="258"/>
      <c r="AP187" s="258"/>
      <c r="AR187" s="137"/>
      <c r="AT187" s="137"/>
      <c r="AV187" s="394"/>
      <c r="AW187" s="137"/>
      <c r="AX187" s="137"/>
      <c r="AY187" s="137"/>
      <c r="AZ187" s="137"/>
      <c r="BA187" s="264"/>
      <c r="BB187" s="258"/>
      <c r="BC187" s="258"/>
      <c r="BD187" s="137"/>
      <c r="BE187" s="137"/>
      <c r="BF187" s="137"/>
      <c r="BG187" s="137"/>
      <c r="BH187" s="137"/>
      <c r="BI187" s="137"/>
      <c r="BJ187" s="137"/>
      <c r="BK187" s="137"/>
      <c r="BL187" s="137"/>
      <c r="BM187" s="137"/>
      <c r="BN187" s="137"/>
      <c r="BO187" s="137"/>
      <c r="BP187" s="137"/>
      <c r="BQ187" s="137"/>
      <c r="BR187" s="137"/>
      <c r="BS187" s="137"/>
      <c r="BV187" s="262"/>
      <c r="BW187" s="136"/>
      <c r="BX187" s="137"/>
      <c r="BY187" s="137"/>
      <c r="BZ187" s="137"/>
      <c r="CA187" s="137"/>
      <c r="CB187" s="137"/>
      <c r="CC187" s="258"/>
      <c r="CD187" s="258"/>
      <c r="CE187" s="258"/>
      <c r="CF187" s="258"/>
      <c r="CG187" s="258"/>
      <c r="CH187" s="258"/>
      <c r="CI187" s="258"/>
      <c r="CJ187" s="258"/>
      <c r="CK187" s="258"/>
      <c r="CL187" s="258"/>
      <c r="CM187" s="258"/>
    </row>
    <row r="188" spans="1:91" x14ac:dyDescent="0.25">
      <c r="A188" s="723"/>
      <c r="B188" s="723"/>
      <c r="K188" s="52"/>
      <c r="L188" s="135"/>
      <c r="N188" s="131"/>
      <c r="O188" s="131"/>
      <c r="P188" s="55"/>
      <c r="Q188" s="135"/>
      <c r="R188" s="135"/>
      <c r="U188" s="135"/>
      <c r="V188" s="146"/>
      <c r="W188" s="146"/>
      <c r="X188" s="338"/>
      <c r="Y188" s="338"/>
      <c r="Z188" s="338"/>
      <c r="AA188" s="338"/>
      <c r="AB188" s="338"/>
      <c r="AC188" s="338"/>
      <c r="AF188" s="138"/>
      <c r="AG188" s="138"/>
      <c r="AH188" s="138"/>
      <c r="AI188" s="138"/>
      <c r="AJ188" s="138"/>
      <c r="AM188" s="258"/>
      <c r="AN188" s="258"/>
      <c r="AO188" s="258"/>
      <c r="AP188" s="258"/>
      <c r="AR188" s="137"/>
      <c r="AT188" s="137"/>
      <c r="AV188" s="394"/>
      <c r="AW188" s="137"/>
      <c r="AX188" s="137"/>
      <c r="AY188" s="137"/>
      <c r="AZ188" s="137"/>
      <c r="BA188" s="264"/>
      <c r="BB188" s="258"/>
      <c r="BC188" s="258"/>
      <c r="BD188" s="137"/>
      <c r="BE188" s="137"/>
      <c r="BF188" s="137"/>
      <c r="BG188" s="137"/>
      <c r="BH188" s="137"/>
      <c r="BI188" s="137"/>
      <c r="BJ188" s="137"/>
      <c r="BK188" s="137"/>
      <c r="BL188" s="137"/>
      <c r="BM188" s="137"/>
      <c r="BN188" s="137"/>
      <c r="BO188" s="137"/>
      <c r="BP188" s="137"/>
      <c r="BQ188" s="137"/>
      <c r="BR188" s="137"/>
      <c r="BS188" s="137"/>
      <c r="BV188" s="262"/>
      <c r="BW188" s="136"/>
      <c r="BX188" s="137"/>
      <c r="BY188" s="137"/>
      <c r="BZ188" s="137"/>
      <c r="CA188" s="137"/>
      <c r="CB188" s="137"/>
      <c r="CC188" s="258"/>
      <c r="CD188" s="258"/>
      <c r="CE188" s="258"/>
      <c r="CF188" s="258"/>
      <c r="CG188" s="258"/>
      <c r="CH188" s="258"/>
      <c r="CI188" s="258"/>
      <c r="CJ188" s="258"/>
      <c r="CK188" s="258"/>
      <c r="CL188" s="258"/>
      <c r="CM188" s="258"/>
    </row>
    <row r="189" spans="1:91" x14ac:dyDescent="0.25">
      <c r="A189" s="723"/>
      <c r="B189" s="723"/>
      <c r="K189" s="52"/>
      <c r="L189" s="135"/>
      <c r="N189" s="131"/>
      <c r="O189" s="131"/>
      <c r="P189" s="55"/>
      <c r="Q189" s="135"/>
      <c r="R189" s="135"/>
      <c r="U189" s="135"/>
      <c r="V189" s="146"/>
      <c r="W189" s="146"/>
      <c r="X189" s="338"/>
      <c r="Y189" s="338"/>
      <c r="Z189" s="338"/>
      <c r="AA189" s="338"/>
      <c r="AB189" s="338"/>
      <c r="AC189" s="338"/>
      <c r="AF189" s="138"/>
      <c r="AG189" s="138"/>
      <c r="AH189" s="138"/>
      <c r="AI189" s="138"/>
      <c r="AJ189" s="138"/>
      <c r="AM189" s="258"/>
      <c r="AN189" s="258"/>
      <c r="AO189" s="258"/>
      <c r="AP189" s="258"/>
      <c r="AR189" s="137"/>
      <c r="AT189" s="137"/>
      <c r="AV189" s="394"/>
      <c r="AW189" s="137"/>
      <c r="AX189" s="137"/>
      <c r="AY189" s="137"/>
      <c r="AZ189" s="137"/>
      <c r="BA189" s="264"/>
      <c r="BB189" s="258"/>
      <c r="BC189" s="258"/>
      <c r="BD189" s="137"/>
      <c r="BE189" s="137"/>
      <c r="BF189" s="137"/>
      <c r="BG189" s="137"/>
      <c r="BH189" s="137"/>
      <c r="BI189" s="137"/>
      <c r="BJ189" s="137"/>
      <c r="BK189" s="137"/>
      <c r="BL189" s="137"/>
      <c r="BM189" s="137"/>
      <c r="BN189" s="137"/>
      <c r="BO189" s="137"/>
      <c r="BP189" s="137"/>
      <c r="BQ189" s="137"/>
      <c r="BR189" s="137"/>
      <c r="BS189" s="137"/>
      <c r="BV189" s="262"/>
      <c r="BW189" s="136"/>
      <c r="BX189" s="137"/>
      <c r="BY189" s="137"/>
      <c r="BZ189" s="137"/>
      <c r="CA189" s="137"/>
      <c r="CB189" s="137"/>
      <c r="CC189" s="258"/>
      <c r="CD189" s="258"/>
      <c r="CE189" s="258"/>
      <c r="CF189" s="258"/>
      <c r="CG189" s="258"/>
      <c r="CH189" s="258"/>
      <c r="CI189" s="258"/>
      <c r="CJ189" s="258"/>
      <c r="CK189" s="258"/>
      <c r="CL189" s="258"/>
      <c r="CM189" s="258"/>
    </row>
    <row r="190" spans="1:91" x14ac:dyDescent="0.25">
      <c r="A190" s="723"/>
      <c r="B190" s="723"/>
      <c r="K190" s="52"/>
      <c r="L190" s="135"/>
      <c r="N190" s="131"/>
      <c r="O190" s="131"/>
      <c r="P190" s="55"/>
      <c r="Q190" s="135"/>
      <c r="R190" s="135"/>
      <c r="U190" s="135"/>
      <c r="V190" s="146"/>
      <c r="W190" s="146"/>
      <c r="X190" s="338"/>
      <c r="Y190" s="338"/>
      <c r="Z190" s="338"/>
      <c r="AA190" s="338"/>
      <c r="AB190" s="338"/>
      <c r="AC190" s="338"/>
      <c r="AF190" s="138"/>
      <c r="AG190" s="138"/>
      <c r="AH190" s="138"/>
      <c r="AI190" s="138"/>
      <c r="AJ190" s="138"/>
      <c r="AM190" s="258"/>
      <c r="AN190" s="258"/>
      <c r="AO190" s="258"/>
      <c r="AP190" s="258"/>
      <c r="AR190" s="137"/>
      <c r="AT190" s="137"/>
      <c r="AV190" s="394"/>
      <c r="AW190" s="137"/>
      <c r="AX190" s="137"/>
      <c r="AY190" s="137"/>
      <c r="AZ190" s="137"/>
      <c r="BA190" s="264"/>
      <c r="BB190" s="258"/>
      <c r="BC190" s="258"/>
      <c r="BD190" s="137"/>
      <c r="BE190" s="137"/>
      <c r="BF190" s="137"/>
      <c r="BG190" s="137"/>
      <c r="BH190" s="137"/>
      <c r="BI190" s="137"/>
      <c r="BJ190" s="137"/>
      <c r="BK190" s="137"/>
      <c r="BL190" s="137"/>
      <c r="BM190" s="137"/>
      <c r="BN190" s="137"/>
      <c r="BO190" s="137"/>
      <c r="BP190" s="137"/>
      <c r="BQ190" s="137"/>
      <c r="BR190" s="137"/>
      <c r="BS190" s="137"/>
      <c r="BV190" s="262"/>
      <c r="BW190" s="136"/>
      <c r="BX190" s="137"/>
      <c r="BY190" s="137"/>
      <c r="BZ190" s="137"/>
      <c r="CA190" s="137"/>
      <c r="CB190" s="137"/>
      <c r="CC190" s="258"/>
      <c r="CD190" s="258"/>
      <c r="CE190" s="258"/>
      <c r="CF190" s="258"/>
      <c r="CG190" s="258"/>
      <c r="CH190" s="258"/>
      <c r="CI190" s="258"/>
      <c r="CJ190" s="258"/>
      <c r="CK190" s="258"/>
      <c r="CL190" s="258"/>
      <c r="CM190" s="258"/>
    </row>
    <row r="191" spans="1:91" x14ac:dyDescent="0.25">
      <c r="A191" s="723"/>
      <c r="B191" s="723"/>
      <c r="K191" s="52"/>
      <c r="L191" s="135"/>
      <c r="N191" s="131"/>
      <c r="O191" s="131"/>
      <c r="P191" s="55"/>
      <c r="Q191" s="135"/>
      <c r="R191" s="135"/>
      <c r="U191" s="135"/>
      <c r="V191" s="146"/>
      <c r="W191" s="146"/>
      <c r="X191" s="338"/>
      <c r="Y191" s="338"/>
      <c r="Z191" s="338"/>
      <c r="AA191" s="338"/>
      <c r="AB191" s="338"/>
      <c r="AC191" s="338"/>
      <c r="AF191" s="138"/>
      <c r="AG191" s="138"/>
      <c r="AH191" s="138"/>
      <c r="AI191" s="138"/>
      <c r="AJ191" s="138"/>
      <c r="AM191" s="258"/>
      <c r="AN191" s="258"/>
      <c r="AO191" s="258"/>
      <c r="AP191" s="258"/>
      <c r="AR191" s="137"/>
      <c r="AT191" s="137"/>
      <c r="AV191" s="394"/>
      <c r="AW191" s="137"/>
      <c r="AX191" s="137"/>
      <c r="AY191" s="137"/>
      <c r="AZ191" s="137"/>
      <c r="BA191" s="264"/>
      <c r="BB191" s="258"/>
      <c r="BC191" s="258"/>
      <c r="BD191" s="137"/>
      <c r="BE191" s="137"/>
      <c r="BF191" s="137"/>
      <c r="BG191" s="137"/>
      <c r="BH191" s="137"/>
      <c r="BI191" s="137"/>
      <c r="BJ191" s="137"/>
      <c r="BK191" s="137"/>
      <c r="BL191" s="137"/>
      <c r="BM191" s="137"/>
      <c r="BN191" s="137"/>
      <c r="BO191" s="137"/>
      <c r="BP191" s="137"/>
      <c r="BQ191" s="137"/>
      <c r="BR191" s="137"/>
      <c r="BS191" s="137"/>
      <c r="BV191" s="262"/>
      <c r="BW191" s="136"/>
      <c r="BX191" s="137"/>
      <c r="BY191" s="137"/>
      <c r="BZ191" s="137"/>
      <c r="CA191" s="137"/>
      <c r="CB191" s="137"/>
      <c r="CC191" s="258"/>
      <c r="CD191" s="258"/>
      <c r="CE191" s="258"/>
      <c r="CF191" s="258"/>
      <c r="CG191" s="258"/>
      <c r="CH191" s="258"/>
      <c r="CI191" s="258"/>
      <c r="CJ191" s="258"/>
      <c r="CK191" s="258"/>
      <c r="CL191" s="258"/>
      <c r="CM191" s="258"/>
    </row>
    <row r="192" spans="1:91" x14ac:dyDescent="0.25">
      <c r="A192" s="723"/>
      <c r="B192" s="723"/>
      <c r="K192" s="52"/>
      <c r="L192" s="135"/>
      <c r="N192" s="131"/>
      <c r="O192" s="131"/>
      <c r="P192" s="55"/>
      <c r="Q192" s="135"/>
      <c r="R192" s="135"/>
      <c r="U192" s="135"/>
      <c r="V192" s="146"/>
      <c r="W192" s="146"/>
      <c r="X192" s="338"/>
      <c r="Y192" s="338"/>
      <c r="Z192" s="338"/>
      <c r="AA192" s="338"/>
      <c r="AB192" s="338"/>
      <c r="AC192" s="338"/>
      <c r="AF192" s="138"/>
      <c r="AG192" s="138"/>
      <c r="AH192" s="138"/>
      <c r="AI192" s="138"/>
      <c r="AJ192" s="138"/>
      <c r="AM192" s="258"/>
      <c r="AN192" s="258"/>
      <c r="AO192" s="258"/>
      <c r="AP192" s="258"/>
      <c r="AR192" s="137"/>
      <c r="AT192" s="137"/>
      <c r="AV192" s="394"/>
      <c r="AW192" s="137"/>
      <c r="AX192" s="137"/>
      <c r="AY192" s="137"/>
      <c r="AZ192" s="137"/>
      <c r="BA192" s="264"/>
      <c r="BB192" s="258"/>
      <c r="BC192" s="258"/>
      <c r="BD192" s="137"/>
      <c r="BE192" s="137"/>
      <c r="BF192" s="137"/>
      <c r="BG192" s="137"/>
      <c r="BH192" s="137"/>
      <c r="BI192" s="137"/>
      <c r="BJ192" s="137"/>
      <c r="BK192" s="137"/>
      <c r="BL192" s="137"/>
      <c r="BM192" s="137"/>
      <c r="BN192" s="137"/>
      <c r="BO192" s="137"/>
      <c r="BP192" s="137"/>
      <c r="BQ192" s="137"/>
      <c r="BR192" s="137"/>
      <c r="BS192" s="137"/>
      <c r="BV192" s="262"/>
      <c r="BW192" s="136"/>
      <c r="BX192" s="137"/>
      <c r="BY192" s="137"/>
      <c r="BZ192" s="137"/>
      <c r="CA192" s="137"/>
      <c r="CB192" s="137"/>
      <c r="CC192" s="258"/>
      <c r="CD192" s="258"/>
      <c r="CE192" s="258"/>
      <c r="CF192" s="258"/>
      <c r="CG192" s="258"/>
      <c r="CH192" s="258"/>
      <c r="CI192" s="258"/>
      <c r="CJ192" s="258"/>
      <c r="CK192" s="258"/>
      <c r="CL192" s="258"/>
      <c r="CM192" s="258"/>
    </row>
    <row r="193" spans="1:91" x14ac:dyDescent="0.25">
      <c r="A193" s="723"/>
      <c r="B193" s="723"/>
      <c r="K193" s="52"/>
      <c r="L193" s="135"/>
      <c r="N193" s="131"/>
      <c r="O193" s="131"/>
      <c r="P193" s="55"/>
      <c r="Q193" s="135"/>
      <c r="R193" s="135"/>
      <c r="U193" s="135"/>
      <c r="V193" s="146"/>
      <c r="W193" s="146"/>
      <c r="X193" s="338"/>
      <c r="Y193" s="338"/>
      <c r="Z193" s="338"/>
      <c r="AA193" s="338"/>
      <c r="AB193" s="338"/>
      <c r="AC193" s="338"/>
      <c r="AF193" s="138"/>
      <c r="AG193" s="138"/>
      <c r="AH193" s="138"/>
      <c r="AI193" s="138"/>
      <c r="AJ193" s="138"/>
      <c r="AM193" s="258"/>
      <c r="AN193" s="258"/>
      <c r="AO193" s="258"/>
      <c r="AP193" s="258"/>
      <c r="AR193" s="137"/>
      <c r="AT193" s="137"/>
      <c r="AV193" s="394"/>
      <c r="AW193" s="137"/>
      <c r="AX193" s="137"/>
      <c r="AY193" s="137"/>
      <c r="AZ193" s="137"/>
      <c r="BA193" s="264"/>
      <c r="BB193" s="258"/>
      <c r="BC193" s="258"/>
      <c r="BD193" s="137"/>
      <c r="BE193" s="137"/>
      <c r="BF193" s="137"/>
      <c r="BG193" s="137"/>
      <c r="BH193" s="137"/>
      <c r="BI193" s="137"/>
      <c r="BJ193" s="137"/>
      <c r="BK193" s="137"/>
      <c r="BL193" s="137"/>
      <c r="BM193" s="137"/>
      <c r="BN193" s="137"/>
      <c r="BO193" s="137"/>
      <c r="BP193" s="137"/>
      <c r="BQ193" s="137"/>
      <c r="BR193" s="137"/>
      <c r="BS193" s="137"/>
      <c r="BV193" s="262"/>
      <c r="BW193" s="136"/>
      <c r="BX193" s="137"/>
      <c r="BY193" s="137"/>
      <c r="BZ193" s="137"/>
      <c r="CA193" s="137"/>
      <c r="CB193" s="137"/>
      <c r="CC193" s="258"/>
      <c r="CD193" s="258"/>
      <c r="CE193" s="258"/>
      <c r="CF193" s="258"/>
      <c r="CG193" s="258"/>
      <c r="CH193" s="258"/>
      <c r="CI193" s="258"/>
      <c r="CJ193" s="258"/>
      <c r="CK193" s="258"/>
      <c r="CL193" s="258"/>
      <c r="CM193" s="258"/>
    </row>
    <row r="194" spans="1:91" x14ac:dyDescent="0.25">
      <c r="A194" s="723"/>
      <c r="B194" s="723"/>
      <c r="K194" s="52"/>
      <c r="L194" s="135"/>
      <c r="N194" s="131"/>
      <c r="O194" s="131"/>
      <c r="P194" s="55"/>
      <c r="Q194" s="135"/>
      <c r="R194" s="135"/>
      <c r="U194" s="135"/>
      <c r="V194" s="146"/>
      <c r="W194" s="146"/>
      <c r="X194" s="338"/>
      <c r="Y194" s="338"/>
      <c r="Z194" s="338"/>
      <c r="AA194" s="338"/>
      <c r="AB194" s="338"/>
      <c r="AC194" s="338"/>
      <c r="AF194" s="138"/>
      <c r="AG194" s="138"/>
      <c r="AH194" s="138"/>
      <c r="AI194" s="138"/>
      <c r="AJ194" s="138"/>
      <c r="AM194" s="258"/>
      <c r="AN194" s="258"/>
      <c r="AO194" s="258"/>
      <c r="AP194" s="258"/>
      <c r="AR194" s="137"/>
      <c r="AT194" s="137"/>
      <c r="AV194" s="394"/>
      <c r="AW194" s="137"/>
      <c r="AX194" s="137"/>
      <c r="AY194" s="137"/>
      <c r="AZ194" s="137"/>
      <c r="BA194" s="264"/>
      <c r="BB194" s="258"/>
      <c r="BC194" s="258"/>
      <c r="BD194" s="137"/>
      <c r="BE194" s="137"/>
      <c r="BF194" s="137"/>
      <c r="BG194" s="137"/>
      <c r="BH194" s="137"/>
      <c r="BI194" s="137"/>
      <c r="BJ194" s="137"/>
      <c r="BK194" s="137"/>
      <c r="BL194" s="137"/>
      <c r="BM194" s="137"/>
      <c r="BN194" s="137"/>
      <c r="BO194" s="137"/>
      <c r="BP194" s="137"/>
      <c r="BQ194" s="137"/>
      <c r="BR194" s="137"/>
      <c r="BS194" s="137"/>
      <c r="BV194" s="262"/>
      <c r="BW194" s="136"/>
      <c r="BX194" s="137"/>
      <c r="BY194" s="137"/>
      <c r="BZ194" s="137"/>
      <c r="CA194" s="137"/>
      <c r="CB194" s="137"/>
      <c r="CC194" s="258"/>
      <c r="CD194" s="258"/>
      <c r="CE194" s="258"/>
      <c r="CF194" s="258"/>
      <c r="CG194" s="258"/>
      <c r="CH194" s="258"/>
      <c r="CI194" s="258"/>
      <c r="CJ194" s="258"/>
      <c r="CK194" s="258"/>
      <c r="CL194" s="258"/>
      <c r="CM194" s="258"/>
    </row>
    <row r="195" spans="1:91" x14ac:dyDescent="0.25">
      <c r="A195" s="723"/>
      <c r="B195" s="723"/>
      <c r="K195" s="52"/>
      <c r="L195" s="135"/>
      <c r="N195" s="131"/>
      <c r="O195" s="131"/>
      <c r="P195" s="55"/>
      <c r="Q195" s="135"/>
      <c r="R195" s="135"/>
      <c r="U195" s="135"/>
      <c r="V195" s="146"/>
      <c r="W195" s="146"/>
      <c r="X195" s="338"/>
      <c r="Y195" s="338"/>
      <c r="Z195" s="338"/>
      <c r="AA195" s="338"/>
      <c r="AB195" s="338"/>
      <c r="AC195" s="338"/>
      <c r="AF195" s="138"/>
      <c r="AG195" s="138"/>
      <c r="AH195" s="138"/>
      <c r="AI195" s="138"/>
      <c r="AJ195" s="138"/>
      <c r="AM195" s="258"/>
      <c r="AN195" s="258"/>
      <c r="AO195" s="258"/>
      <c r="AP195" s="258"/>
      <c r="AR195" s="137"/>
      <c r="AT195" s="137"/>
      <c r="AV195" s="394"/>
      <c r="AW195" s="137"/>
      <c r="AX195" s="137"/>
      <c r="AY195" s="137"/>
      <c r="AZ195" s="137"/>
      <c r="BA195" s="264"/>
      <c r="BB195" s="258"/>
      <c r="BC195" s="258"/>
      <c r="BD195" s="137"/>
      <c r="BE195" s="137"/>
      <c r="BF195" s="137"/>
      <c r="BG195" s="137"/>
      <c r="BH195" s="137"/>
      <c r="BI195" s="137"/>
      <c r="BJ195" s="137"/>
      <c r="BK195" s="137"/>
      <c r="BL195" s="137"/>
      <c r="BM195" s="137"/>
      <c r="BN195" s="137"/>
      <c r="BO195" s="137"/>
      <c r="BP195" s="137"/>
      <c r="BQ195" s="137"/>
      <c r="BR195" s="137"/>
      <c r="BS195" s="137"/>
      <c r="BV195" s="262"/>
      <c r="BW195" s="136"/>
      <c r="BX195" s="137"/>
      <c r="BY195" s="137"/>
      <c r="BZ195" s="137"/>
      <c r="CA195" s="137"/>
      <c r="CB195" s="137"/>
      <c r="CC195" s="258"/>
      <c r="CD195" s="258"/>
      <c r="CE195" s="258"/>
      <c r="CF195" s="258"/>
      <c r="CG195" s="258"/>
      <c r="CH195" s="258"/>
      <c r="CI195" s="258"/>
      <c r="CJ195" s="258"/>
      <c r="CK195" s="258"/>
      <c r="CL195" s="258"/>
      <c r="CM195" s="258"/>
    </row>
    <row r="196" spans="1:91" x14ac:dyDescent="0.25">
      <c r="A196" s="723"/>
      <c r="B196" s="723"/>
      <c r="K196" s="52"/>
      <c r="L196" s="135"/>
      <c r="N196" s="131"/>
      <c r="O196" s="131"/>
      <c r="P196" s="55"/>
      <c r="Q196" s="135"/>
      <c r="R196" s="135"/>
      <c r="U196" s="135"/>
      <c r="V196" s="146"/>
      <c r="W196" s="146"/>
      <c r="X196" s="338"/>
      <c r="Y196" s="338"/>
      <c r="Z196" s="338"/>
      <c r="AA196" s="338"/>
      <c r="AB196" s="338"/>
      <c r="AC196" s="338"/>
      <c r="AF196" s="138"/>
      <c r="AG196" s="138"/>
      <c r="AH196" s="138"/>
      <c r="AI196" s="138"/>
      <c r="AJ196" s="138"/>
      <c r="AM196" s="258"/>
      <c r="AN196" s="258"/>
      <c r="AO196" s="258"/>
      <c r="AP196" s="258"/>
      <c r="AR196" s="137"/>
      <c r="AT196" s="137"/>
      <c r="AV196" s="394"/>
      <c r="AW196" s="137"/>
      <c r="AX196" s="137"/>
      <c r="AY196" s="137"/>
      <c r="AZ196" s="137"/>
      <c r="BA196" s="264"/>
      <c r="BB196" s="258"/>
      <c r="BC196" s="258"/>
      <c r="BD196" s="137"/>
      <c r="BE196" s="137"/>
      <c r="BF196" s="137"/>
      <c r="BG196" s="137"/>
      <c r="BH196" s="137"/>
      <c r="BI196" s="137"/>
      <c r="BJ196" s="137"/>
      <c r="BK196" s="137"/>
      <c r="BL196" s="137"/>
      <c r="BM196" s="137"/>
      <c r="BN196" s="137"/>
      <c r="BO196" s="137"/>
      <c r="BP196" s="137"/>
      <c r="BQ196" s="137"/>
      <c r="BR196" s="137"/>
      <c r="BS196" s="137"/>
      <c r="BV196" s="262"/>
      <c r="BW196" s="136"/>
      <c r="BX196" s="137"/>
      <c r="BY196" s="137"/>
      <c r="BZ196" s="137"/>
      <c r="CA196" s="137"/>
      <c r="CB196" s="137"/>
      <c r="CC196" s="258"/>
      <c r="CD196" s="258"/>
      <c r="CE196" s="258"/>
      <c r="CF196" s="258"/>
      <c r="CG196" s="258"/>
      <c r="CH196" s="258"/>
      <c r="CI196" s="258"/>
      <c r="CJ196" s="258"/>
      <c r="CK196" s="258"/>
      <c r="CL196" s="258"/>
      <c r="CM196" s="258"/>
    </row>
    <row r="197" spans="1:91" x14ac:dyDescent="0.25">
      <c r="A197" s="723"/>
      <c r="B197" s="723"/>
      <c r="K197" s="52"/>
      <c r="L197" s="135"/>
      <c r="N197" s="131"/>
      <c r="O197" s="131"/>
      <c r="P197" s="55"/>
      <c r="Q197" s="135"/>
      <c r="R197" s="135"/>
      <c r="U197" s="135"/>
      <c r="V197" s="146"/>
      <c r="W197" s="146"/>
      <c r="X197" s="338"/>
      <c r="Y197" s="338"/>
      <c r="Z197" s="338"/>
      <c r="AA197" s="338"/>
      <c r="AB197" s="338"/>
      <c r="AC197" s="338"/>
      <c r="AF197" s="138"/>
      <c r="AG197" s="138"/>
      <c r="AH197" s="138"/>
      <c r="AI197" s="138"/>
      <c r="AJ197" s="138"/>
      <c r="AM197" s="258"/>
      <c r="AN197" s="258"/>
      <c r="AO197" s="258"/>
      <c r="AP197" s="258"/>
      <c r="AR197" s="137"/>
      <c r="AT197" s="137"/>
      <c r="AV197" s="394"/>
      <c r="AW197" s="137"/>
      <c r="AX197" s="137"/>
      <c r="AY197" s="137"/>
      <c r="AZ197" s="137"/>
      <c r="BA197" s="264"/>
      <c r="BB197" s="258"/>
      <c r="BC197" s="258"/>
      <c r="BD197" s="137"/>
      <c r="BE197" s="137"/>
      <c r="BF197" s="137"/>
      <c r="BG197" s="137"/>
      <c r="BH197" s="137"/>
      <c r="BI197" s="137"/>
      <c r="BJ197" s="137"/>
      <c r="BK197" s="137"/>
      <c r="BL197" s="137"/>
      <c r="BM197" s="137"/>
      <c r="BN197" s="137"/>
      <c r="BO197" s="137"/>
      <c r="BP197" s="137"/>
      <c r="BQ197" s="137"/>
      <c r="BR197" s="137"/>
      <c r="BS197" s="137"/>
      <c r="BV197" s="262"/>
      <c r="BW197" s="136"/>
      <c r="BX197" s="137"/>
      <c r="BY197" s="137"/>
      <c r="BZ197" s="137"/>
      <c r="CA197" s="137"/>
      <c r="CB197" s="137"/>
      <c r="CC197" s="258"/>
      <c r="CD197" s="258"/>
      <c r="CE197" s="258"/>
      <c r="CF197" s="258"/>
      <c r="CG197" s="258"/>
      <c r="CH197" s="258"/>
      <c r="CI197" s="258"/>
      <c r="CJ197" s="258"/>
      <c r="CK197" s="258"/>
      <c r="CL197" s="258"/>
      <c r="CM197" s="258"/>
    </row>
    <row r="198" spans="1:91" x14ac:dyDescent="0.25">
      <c r="A198" s="723"/>
      <c r="B198" s="723"/>
      <c r="K198" s="52"/>
      <c r="L198" s="135"/>
      <c r="N198" s="131"/>
      <c r="O198" s="131"/>
      <c r="P198" s="55"/>
      <c r="Q198" s="135"/>
      <c r="R198" s="135"/>
      <c r="U198" s="135"/>
      <c r="V198" s="146"/>
      <c r="W198" s="146"/>
      <c r="X198" s="338"/>
      <c r="Y198" s="338"/>
      <c r="Z198" s="338"/>
      <c r="AA198" s="338"/>
      <c r="AB198" s="338"/>
      <c r="AC198" s="338"/>
      <c r="AF198" s="138"/>
      <c r="AG198" s="138"/>
      <c r="AH198" s="138"/>
      <c r="AI198" s="138"/>
      <c r="AJ198" s="138"/>
      <c r="AM198" s="258"/>
      <c r="AN198" s="258"/>
      <c r="AO198" s="258"/>
      <c r="AP198" s="258"/>
      <c r="AR198" s="137"/>
      <c r="AT198" s="137"/>
      <c r="AV198" s="394"/>
      <c r="AW198" s="137"/>
      <c r="AX198" s="137"/>
      <c r="AY198" s="137"/>
      <c r="AZ198" s="137"/>
      <c r="BA198" s="264"/>
      <c r="BB198" s="258"/>
      <c r="BC198" s="258"/>
      <c r="BD198" s="137"/>
      <c r="BE198" s="137"/>
      <c r="BF198" s="137"/>
      <c r="BG198" s="137"/>
      <c r="BH198" s="137"/>
      <c r="BI198" s="137"/>
      <c r="BJ198" s="137"/>
      <c r="BK198" s="137"/>
      <c r="BL198" s="137"/>
      <c r="BM198" s="137"/>
      <c r="BN198" s="137"/>
      <c r="BO198" s="137"/>
      <c r="BP198" s="137"/>
      <c r="BQ198" s="137"/>
      <c r="BR198" s="137"/>
      <c r="BS198" s="137"/>
      <c r="BV198" s="262"/>
      <c r="BW198" s="136"/>
      <c r="BX198" s="137"/>
      <c r="BY198" s="137"/>
      <c r="BZ198" s="137"/>
      <c r="CA198" s="137"/>
      <c r="CB198" s="137"/>
      <c r="CC198" s="258"/>
      <c r="CD198" s="258"/>
      <c r="CE198" s="258"/>
      <c r="CF198" s="258"/>
      <c r="CG198" s="258"/>
      <c r="CH198" s="258"/>
      <c r="CI198" s="258"/>
      <c r="CJ198" s="258"/>
      <c r="CK198" s="258"/>
      <c r="CL198" s="258"/>
      <c r="CM198" s="258"/>
    </row>
    <row r="199" spans="1:91" x14ac:dyDescent="0.25">
      <c r="A199" s="723"/>
      <c r="B199" s="723"/>
      <c r="K199" s="52"/>
      <c r="L199" s="135"/>
      <c r="N199" s="131"/>
      <c r="O199" s="131"/>
      <c r="P199" s="55"/>
      <c r="Q199" s="135"/>
      <c r="R199" s="135"/>
      <c r="U199" s="135"/>
      <c r="V199" s="146"/>
      <c r="W199" s="146"/>
      <c r="X199" s="338"/>
      <c r="Y199" s="338"/>
      <c r="Z199" s="338"/>
      <c r="AA199" s="338"/>
      <c r="AB199" s="338"/>
      <c r="AC199" s="338"/>
      <c r="AF199" s="138"/>
      <c r="AG199" s="138"/>
      <c r="AH199" s="138"/>
      <c r="AI199" s="138"/>
      <c r="AJ199" s="138"/>
      <c r="AM199" s="258"/>
      <c r="AN199" s="258"/>
      <c r="AO199" s="258"/>
      <c r="AP199" s="258"/>
      <c r="AR199" s="137"/>
      <c r="AT199" s="137"/>
      <c r="AV199" s="394"/>
      <c r="AW199" s="137"/>
      <c r="AX199" s="137"/>
      <c r="AY199" s="137"/>
      <c r="AZ199" s="137"/>
      <c r="BA199" s="264"/>
      <c r="BB199" s="258"/>
      <c r="BC199" s="258"/>
      <c r="BD199" s="137"/>
      <c r="BE199" s="137"/>
      <c r="BF199" s="137"/>
      <c r="BG199" s="137"/>
      <c r="BH199" s="137"/>
      <c r="BI199" s="137"/>
      <c r="BJ199" s="137"/>
      <c r="BK199" s="137"/>
      <c r="BL199" s="137"/>
      <c r="BM199" s="137"/>
      <c r="BN199" s="137"/>
      <c r="BO199" s="137"/>
      <c r="BP199" s="137"/>
      <c r="BQ199" s="137"/>
      <c r="BR199" s="137"/>
      <c r="BS199" s="137"/>
      <c r="BV199" s="262"/>
      <c r="BW199" s="136"/>
      <c r="BX199" s="137"/>
      <c r="BY199" s="137"/>
      <c r="BZ199" s="137"/>
      <c r="CA199" s="137"/>
      <c r="CB199" s="137"/>
      <c r="CC199" s="258"/>
      <c r="CD199" s="258"/>
      <c r="CE199" s="258"/>
      <c r="CF199" s="258"/>
      <c r="CG199" s="258"/>
      <c r="CH199" s="258"/>
      <c r="CI199" s="258"/>
      <c r="CJ199" s="258"/>
      <c r="CK199" s="258"/>
      <c r="CL199" s="258"/>
      <c r="CM199" s="258"/>
    </row>
    <row r="200" spans="1:91" x14ac:dyDescent="0.25">
      <c r="A200" s="723"/>
      <c r="B200" s="723"/>
      <c r="K200" s="52"/>
      <c r="L200" s="135"/>
      <c r="N200" s="131"/>
      <c r="O200" s="131"/>
      <c r="P200" s="55"/>
      <c r="Q200" s="135"/>
      <c r="R200" s="135"/>
      <c r="U200" s="135"/>
      <c r="V200" s="146"/>
      <c r="W200" s="146"/>
      <c r="X200" s="338"/>
      <c r="Y200" s="338"/>
      <c r="Z200" s="338"/>
      <c r="AA200" s="338"/>
      <c r="AB200" s="338"/>
      <c r="AC200" s="338"/>
      <c r="AF200" s="138"/>
      <c r="AG200" s="138"/>
      <c r="AH200" s="138"/>
      <c r="AI200" s="138"/>
      <c r="AJ200" s="138"/>
      <c r="AM200" s="258"/>
      <c r="AN200" s="258"/>
      <c r="AO200" s="258"/>
      <c r="AP200" s="258"/>
      <c r="AR200" s="137"/>
      <c r="AT200" s="137"/>
      <c r="AV200" s="394"/>
      <c r="AW200" s="137"/>
      <c r="AX200" s="137"/>
      <c r="AY200" s="137"/>
      <c r="AZ200" s="137"/>
      <c r="BA200" s="264"/>
      <c r="BB200" s="258"/>
      <c r="BC200" s="258"/>
      <c r="BD200" s="137"/>
      <c r="BE200" s="137"/>
      <c r="BF200" s="137"/>
      <c r="BG200" s="137"/>
      <c r="BH200" s="137"/>
      <c r="BI200" s="137"/>
      <c r="BJ200" s="137"/>
      <c r="BK200" s="137"/>
      <c r="BL200" s="137"/>
      <c r="BM200" s="137"/>
      <c r="BN200" s="137"/>
      <c r="BO200" s="137"/>
      <c r="BP200" s="137"/>
      <c r="BQ200" s="137"/>
      <c r="BR200" s="137"/>
      <c r="BS200" s="137"/>
      <c r="BV200" s="262"/>
      <c r="BW200" s="136"/>
      <c r="BX200" s="137"/>
      <c r="BY200" s="137"/>
      <c r="BZ200" s="137"/>
      <c r="CA200" s="137"/>
      <c r="CB200" s="137"/>
      <c r="CC200" s="258"/>
      <c r="CD200" s="258"/>
      <c r="CE200" s="258"/>
      <c r="CF200" s="258"/>
      <c r="CG200" s="258"/>
      <c r="CH200" s="258"/>
      <c r="CI200" s="258"/>
      <c r="CJ200" s="258"/>
      <c r="CK200" s="258"/>
      <c r="CL200" s="258"/>
      <c r="CM200" s="258"/>
    </row>
    <row r="201" spans="1:91" x14ac:dyDescent="0.25">
      <c r="A201" s="723"/>
      <c r="B201" s="723"/>
      <c r="K201" s="52"/>
      <c r="L201" s="135"/>
      <c r="N201" s="131"/>
      <c r="O201" s="131"/>
      <c r="P201" s="55"/>
      <c r="Q201" s="135"/>
      <c r="R201" s="135"/>
      <c r="U201" s="135"/>
      <c r="V201" s="146"/>
      <c r="W201" s="146"/>
      <c r="X201" s="338"/>
      <c r="Y201" s="338"/>
      <c r="Z201" s="338"/>
      <c r="AA201" s="338"/>
      <c r="AB201" s="338"/>
      <c r="AC201" s="338"/>
      <c r="AF201" s="138"/>
      <c r="AG201" s="138"/>
      <c r="AH201" s="138"/>
      <c r="AI201" s="138"/>
      <c r="AJ201" s="138"/>
      <c r="AM201" s="258"/>
      <c r="AN201" s="258"/>
      <c r="AO201" s="258"/>
      <c r="AP201" s="258"/>
      <c r="AR201" s="137"/>
      <c r="AT201" s="137"/>
      <c r="AV201" s="394"/>
      <c r="AW201" s="137"/>
      <c r="AX201" s="137"/>
      <c r="AY201" s="137"/>
      <c r="AZ201" s="137"/>
      <c r="BA201" s="264"/>
      <c r="BB201" s="258"/>
      <c r="BC201" s="258"/>
      <c r="BD201" s="137"/>
      <c r="BE201" s="137"/>
      <c r="BF201" s="137"/>
      <c r="BG201" s="137"/>
      <c r="BH201" s="137"/>
      <c r="BI201" s="137"/>
      <c r="BJ201" s="137"/>
      <c r="BK201" s="137"/>
      <c r="BL201" s="137"/>
      <c r="BM201" s="137"/>
      <c r="BN201" s="137"/>
      <c r="BO201" s="137"/>
      <c r="BP201" s="137"/>
      <c r="BQ201" s="137"/>
      <c r="BR201" s="137"/>
      <c r="BS201" s="137"/>
      <c r="BV201" s="262"/>
      <c r="BW201" s="136"/>
      <c r="BX201" s="137"/>
      <c r="BY201" s="137"/>
      <c r="BZ201" s="137"/>
      <c r="CA201" s="137"/>
      <c r="CB201" s="137"/>
      <c r="CC201" s="258"/>
      <c r="CD201" s="258"/>
      <c r="CE201" s="258"/>
      <c r="CF201" s="258"/>
      <c r="CG201" s="258"/>
      <c r="CH201" s="258"/>
      <c r="CI201" s="258"/>
      <c r="CJ201" s="258"/>
      <c r="CK201" s="258"/>
      <c r="CL201" s="258"/>
      <c r="CM201" s="258"/>
    </row>
    <row r="202" spans="1:91" x14ac:dyDescent="0.25">
      <c r="A202" s="723"/>
      <c r="B202" s="723"/>
      <c r="K202" s="52"/>
      <c r="L202" s="135"/>
      <c r="N202" s="131"/>
      <c r="O202" s="131"/>
      <c r="P202" s="55"/>
      <c r="Q202" s="135"/>
      <c r="R202" s="135"/>
      <c r="U202" s="135"/>
      <c r="V202" s="146"/>
      <c r="W202" s="146"/>
      <c r="X202" s="338"/>
      <c r="Y202" s="338"/>
      <c r="Z202" s="338"/>
      <c r="AA202" s="338"/>
      <c r="AB202" s="338"/>
      <c r="AC202" s="338"/>
      <c r="AF202" s="138"/>
      <c r="AG202" s="138"/>
      <c r="AH202" s="138"/>
      <c r="AI202" s="138"/>
      <c r="AJ202" s="138"/>
      <c r="AM202" s="258"/>
      <c r="AN202" s="258"/>
      <c r="AO202" s="258"/>
      <c r="AP202" s="258"/>
      <c r="AR202" s="137"/>
      <c r="AT202" s="137"/>
      <c r="AV202" s="394"/>
      <c r="AW202" s="137"/>
      <c r="AX202" s="137"/>
      <c r="AY202" s="137"/>
      <c r="AZ202" s="137"/>
      <c r="BA202" s="264"/>
      <c r="BB202" s="258"/>
      <c r="BC202" s="258"/>
      <c r="BD202" s="137"/>
      <c r="BE202" s="137"/>
      <c r="BF202" s="137"/>
      <c r="BG202" s="137"/>
      <c r="BH202" s="137"/>
      <c r="BI202" s="137"/>
      <c r="BJ202" s="137"/>
      <c r="BK202" s="137"/>
      <c r="BL202" s="137"/>
      <c r="BM202" s="137"/>
      <c r="BN202" s="137"/>
      <c r="BO202" s="137"/>
      <c r="BP202" s="137"/>
      <c r="BQ202" s="137"/>
      <c r="BR202" s="137"/>
      <c r="BS202" s="137"/>
      <c r="BV202" s="262"/>
      <c r="BW202" s="136"/>
      <c r="BX202" s="137"/>
      <c r="BY202" s="137"/>
      <c r="BZ202" s="137"/>
      <c r="CA202" s="137"/>
      <c r="CB202" s="137"/>
      <c r="CC202" s="258"/>
      <c r="CD202" s="258"/>
      <c r="CE202" s="258"/>
      <c r="CF202" s="258"/>
      <c r="CG202" s="258"/>
      <c r="CH202" s="258"/>
      <c r="CI202" s="258"/>
      <c r="CJ202" s="258"/>
      <c r="CK202" s="258"/>
      <c r="CL202" s="258"/>
      <c r="CM202" s="258"/>
    </row>
    <row r="203" spans="1:91" x14ac:dyDescent="0.25">
      <c r="A203" s="723"/>
      <c r="B203" s="723"/>
      <c r="K203" s="52"/>
      <c r="L203" s="135"/>
      <c r="N203" s="131"/>
      <c r="O203" s="131"/>
      <c r="P203" s="55"/>
      <c r="Q203" s="135"/>
      <c r="R203" s="135"/>
      <c r="U203" s="135"/>
      <c r="V203" s="146"/>
      <c r="W203" s="146"/>
      <c r="X203" s="338"/>
      <c r="Y203" s="338"/>
      <c r="Z203" s="338"/>
      <c r="AA203" s="338"/>
      <c r="AB203" s="338"/>
      <c r="AC203" s="338"/>
      <c r="AF203" s="138"/>
      <c r="AG203" s="138"/>
      <c r="AH203" s="138"/>
      <c r="AI203" s="138"/>
      <c r="AJ203" s="138"/>
      <c r="AM203" s="258"/>
      <c r="AN203" s="258"/>
      <c r="AO203" s="258"/>
      <c r="AP203" s="258"/>
      <c r="AR203" s="137"/>
      <c r="AT203" s="137"/>
      <c r="AV203" s="394"/>
      <c r="AW203" s="137"/>
      <c r="AX203" s="137"/>
      <c r="AY203" s="137"/>
      <c r="AZ203" s="137"/>
      <c r="BA203" s="264"/>
      <c r="BB203" s="258"/>
      <c r="BC203" s="258"/>
      <c r="BD203" s="137"/>
      <c r="BE203" s="137"/>
      <c r="BF203" s="137"/>
      <c r="BG203" s="137"/>
      <c r="BH203" s="137"/>
      <c r="BI203" s="137"/>
      <c r="BJ203" s="137"/>
      <c r="BK203" s="137"/>
      <c r="BL203" s="137"/>
      <c r="BM203" s="137"/>
      <c r="BN203" s="137"/>
      <c r="BO203" s="137"/>
      <c r="BP203" s="137"/>
      <c r="BQ203" s="137"/>
      <c r="BR203" s="137"/>
      <c r="BS203" s="137"/>
      <c r="BV203" s="262"/>
      <c r="BW203" s="136"/>
      <c r="BX203" s="137"/>
      <c r="BY203" s="137"/>
      <c r="BZ203" s="137"/>
      <c r="CA203" s="137"/>
      <c r="CB203" s="137"/>
      <c r="CC203" s="258"/>
      <c r="CD203" s="258"/>
      <c r="CE203" s="258"/>
      <c r="CF203" s="258"/>
      <c r="CG203" s="258"/>
      <c r="CH203" s="258"/>
      <c r="CI203" s="258"/>
      <c r="CJ203" s="258"/>
      <c r="CK203" s="258"/>
      <c r="CL203" s="258"/>
      <c r="CM203" s="258"/>
    </row>
    <row r="204" spans="1:91" x14ac:dyDescent="0.25">
      <c r="A204" s="723"/>
      <c r="B204" s="723"/>
      <c r="K204" s="52"/>
      <c r="L204" s="135"/>
      <c r="N204" s="131"/>
      <c r="O204" s="131"/>
      <c r="P204" s="55"/>
      <c r="Q204" s="135"/>
      <c r="R204" s="135"/>
      <c r="U204" s="135"/>
      <c r="V204" s="146"/>
      <c r="W204" s="146"/>
      <c r="X204" s="338"/>
      <c r="Y204" s="338"/>
      <c r="Z204" s="338"/>
      <c r="AA204" s="338"/>
      <c r="AB204" s="338"/>
      <c r="AC204" s="338"/>
      <c r="AF204" s="138"/>
      <c r="AG204" s="138"/>
      <c r="AH204" s="138"/>
      <c r="AI204" s="138"/>
      <c r="AJ204" s="138"/>
      <c r="AM204" s="258"/>
      <c r="AN204" s="258"/>
      <c r="AO204" s="258"/>
      <c r="AP204" s="258"/>
      <c r="AR204" s="137"/>
      <c r="AT204" s="137"/>
      <c r="AV204" s="394"/>
      <c r="AW204" s="137"/>
      <c r="AX204" s="137"/>
      <c r="AY204" s="137"/>
      <c r="AZ204" s="137"/>
      <c r="BA204" s="264"/>
      <c r="BB204" s="258"/>
      <c r="BC204" s="258"/>
      <c r="BD204" s="137"/>
      <c r="BE204" s="137"/>
      <c r="BF204" s="137"/>
      <c r="BG204" s="137"/>
      <c r="BH204" s="137"/>
      <c r="BI204" s="137"/>
      <c r="BJ204" s="137"/>
      <c r="BK204" s="137"/>
      <c r="BL204" s="137"/>
      <c r="BM204" s="137"/>
      <c r="BN204" s="137"/>
      <c r="BO204" s="137"/>
      <c r="BP204" s="137"/>
      <c r="BQ204" s="137"/>
      <c r="BR204" s="137"/>
      <c r="BS204" s="137"/>
      <c r="BV204" s="262"/>
      <c r="BW204" s="136"/>
      <c r="BX204" s="137"/>
      <c r="BY204" s="137"/>
      <c r="BZ204" s="137"/>
      <c r="CA204" s="137"/>
      <c r="CB204" s="137"/>
      <c r="CC204" s="258"/>
      <c r="CD204" s="258"/>
      <c r="CE204" s="258"/>
      <c r="CF204" s="258"/>
      <c r="CG204" s="258"/>
      <c r="CH204" s="258"/>
      <c r="CI204" s="258"/>
      <c r="CJ204" s="258"/>
      <c r="CK204" s="258"/>
      <c r="CL204" s="258"/>
      <c r="CM204" s="258"/>
    </row>
    <row r="205" spans="1:91" x14ac:dyDescent="0.25">
      <c r="A205" s="723"/>
      <c r="B205" s="723"/>
      <c r="K205" s="52"/>
      <c r="L205" s="135"/>
      <c r="N205" s="131"/>
      <c r="O205" s="131"/>
      <c r="P205" s="55"/>
      <c r="Q205" s="135"/>
      <c r="R205" s="135"/>
      <c r="U205" s="135"/>
      <c r="V205" s="146"/>
      <c r="W205" s="146"/>
      <c r="X205" s="338"/>
      <c r="Y205" s="338"/>
      <c r="Z205" s="338"/>
      <c r="AA205" s="338"/>
      <c r="AB205" s="338"/>
      <c r="AC205" s="338"/>
      <c r="AF205" s="138"/>
      <c r="AG205" s="138"/>
      <c r="AH205" s="138"/>
      <c r="AI205" s="138"/>
      <c r="AJ205" s="138"/>
      <c r="AM205" s="258"/>
      <c r="AN205" s="258"/>
      <c r="AO205" s="258"/>
      <c r="AP205" s="258"/>
      <c r="AR205" s="137"/>
      <c r="AT205" s="137"/>
      <c r="AV205" s="394"/>
      <c r="AW205" s="137"/>
      <c r="AX205" s="137"/>
      <c r="AY205" s="137"/>
      <c r="AZ205" s="137"/>
      <c r="BA205" s="264"/>
      <c r="BB205" s="258"/>
      <c r="BC205" s="258"/>
      <c r="BD205" s="137"/>
      <c r="BE205" s="137"/>
      <c r="BF205" s="137"/>
      <c r="BG205" s="137"/>
      <c r="BH205" s="137"/>
      <c r="BI205" s="137"/>
      <c r="BJ205" s="137"/>
      <c r="BK205" s="137"/>
      <c r="BL205" s="137"/>
      <c r="BM205" s="137"/>
      <c r="BN205" s="137"/>
      <c r="BO205" s="137"/>
      <c r="BP205" s="137"/>
      <c r="BQ205" s="137"/>
      <c r="BR205" s="137"/>
      <c r="BS205" s="137"/>
      <c r="BV205" s="262"/>
      <c r="BW205" s="136"/>
      <c r="BX205" s="137"/>
      <c r="BY205" s="137"/>
      <c r="BZ205" s="137"/>
      <c r="CA205" s="137"/>
      <c r="CB205" s="137"/>
      <c r="CC205" s="258"/>
      <c r="CD205" s="258"/>
      <c r="CE205" s="258"/>
      <c r="CF205" s="258"/>
      <c r="CG205" s="258"/>
      <c r="CH205" s="258"/>
      <c r="CI205" s="258"/>
      <c r="CJ205" s="258"/>
      <c r="CK205" s="258"/>
      <c r="CL205" s="258"/>
      <c r="CM205" s="258"/>
    </row>
    <row r="206" spans="1:91" x14ac:dyDescent="0.25">
      <c r="A206" s="723"/>
      <c r="B206" s="723"/>
      <c r="K206" s="52"/>
      <c r="L206" s="135"/>
      <c r="N206" s="131"/>
      <c r="O206" s="131"/>
      <c r="P206" s="55"/>
      <c r="Q206" s="135"/>
      <c r="R206" s="135"/>
      <c r="U206" s="135"/>
      <c r="V206" s="146"/>
      <c r="W206" s="146"/>
      <c r="X206" s="338"/>
      <c r="Y206" s="338"/>
      <c r="Z206" s="338"/>
      <c r="AA206" s="338"/>
      <c r="AB206" s="338"/>
      <c r="AC206" s="338"/>
      <c r="AF206" s="138"/>
      <c r="AG206" s="138"/>
      <c r="AH206" s="138"/>
      <c r="AI206" s="138"/>
      <c r="AJ206" s="138"/>
      <c r="AM206" s="258"/>
      <c r="AN206" s="258"/>
      <c r="AO206" s="258"/>
      <c r="AP206" s="258"/>
      <c r="AR206" s="137"/>
      <c r="AT206" s="137"/>
      <c r="AV206" s="394"/>
      <c r="AW206" s="137"/>
      <c r="AX206" s="137"/>
      <c r="AY206" s="137"/>
      <c r="AZ206" s="137"/>
      <c r="BA206" s="264"/>
      <c r="BB206" s="258"/>
      <c r="BC206" s="258"/>
      <c r="BD206" s="137"/>
      <c r="BE206" s="137"/>
      <c r="BF206" s="137"/>
      <c r="BG206" s="137"/>
      <c r="BH206" s="137"/>
      <c r="BI206" s="137"/>
      <c r="BJ206" s="137"/>
      <c r="BK206" s="137"/>
      <c r="BL206" s="137"/>
      <c r="BM206" s="137"/>
      <c r="BN206" s="137"/>
      <c r="BO206" s="137"/>
      <c r="BP206" s="137"/>
      <c r="BQ206" s="137"/>
      <c r="BR206" s="137"/>
      <c r="BS206" s="137"/>
      <c r="BV206" s="262"/>
      <c r="BW206" s="136"/>
      <c r="BX206" s="137"/>
      <c r="BY206" s="137"/>
      <c r="BZ206" s="137"/>
      <c r="CA206" s="137"/>
      <c r="CB206" s="137"/>
      <c r="CC206" s="258"/>
      <c r="CD206" s="258"/>
      <c r="CE206" s="258"/>
      <c r="CF206" s="258"/>
      <c r="CG206" s="258"/>
      <c r="CH206" s="258"/>
      <c r="CI206" s="258"/>
      <c r="CJ206" s="258"/>
      <c r="CK206" s="258"/>
      <c r="CL206" s="258"/>
      <c r="CM206" s="258"/>
    </row>
    <row r="207" spans="1:91" x14ac:dyDescent="0.25">
      <c r="A207" s="723"/>
      <c r="B207" s="723"/>
      <c r="K207" s="52"/>
      <c r="L207" s="135"/>
      <c r="N207" s="131"/>
      <c r="O207" s="131"/>
      <c r="P207" s="55"/>
      <c r="Q207" s="135"/>
      <c r="R207" s="135"/>
      <c r="U207" s="135"/>
      <c r="V207" s="146"/>
      <c r="W207" s="146"/>
      <c r="X207" s="338"/>
      <c r="Y207" s="338"/>
      <c r="Z207" s="338"/>
      <c r="AA207" s="338"/>
      <c r="AB207" s="338"/>
      <c r="AC207" s="338"/>
      <c r="AF207" s="138"/>
      <c r="AG207" s="138"/>
      <c r="AH207" s="138"/>
      <c r="AI207" s="138"/>
      <c r="AJ207" s="138"/>
      <c r="AM207" s="258"/>
      <c r="AN207" s="258"/>
      <c r="AO207" s="258"/>
      <c r="AP207" s="258"/>
      <c r="AR207" s="137"/>
      <c r="AT207" s="137"/>
      <c r="AV207" s="394"/>
      <c r="AW207" s="137"/>
      <c r="AX207" s="137"/>
      <c r="AY207" s="137"/>
      <c r="AZ207" s="137"/>
      <c r="BA207" s="264"/>
      <c r="BB207" s="258"/>
      <c r="BC207" s="258"/>
      <c r="BD207" s="137"/>
      <c r="BE207" s="137"/>
      <c r="BF207" s="137"/>
      <c r="BG207" s="137"/>
      <c r="BH207" s="137"/>
      <c r="BI207" s="137"/>
      <c r="BJ207" s="137"/>
      <c r="BK207" s="137"/>
      <c r="BL207" s="137"/>
      <c r="BM207" s="137"/>
      <c r="BN207" s="137"/>
      <c r="BO207" s="137"/>
      <c r="BP207" s="137"/>
      <c r="BQ207" s="137"/>
      <c r="BR207" s="137"/>
      <c r="BS207" s="137"/>
      <c r="BV207" s="262"/>
      <c r="BW207" s="136"/>
      <c r="BX207" s="137"/>
      <c r="BY207" s="137"/>
      <c r="BZ207" s="137"/>
      <c r="CA207" s="137"/>
      <c r="CB207" s="137"/>
      <c r="CC207" s="258"/>
      <c r="CD207" s="258"/>
      <c r="CE207" s="258"/>
      <c r="CF207" s="258"/>
      <c r="CG207" s="258"/>
      <c r="CH207" s="258"/>
      <c r="CI207" s="258"/>
      <c r="CJ207" s="258"/>
      <c r="CK207" s="258"/>
      <c r="CL207" s="258"/>
      <c r="CM207" s="258"/>
    </row>
    <row r="208" spans="1:91" x14ac:dyDescent="0.25">
      <c r="A208" s="723"/>
      <c r="B208" s="723"/>
      <c r="K208" s="52"/>
      <c r="L208" s="135"/>
      <c r="N208" s="131"/>
      <c r="O208" s="131"/>
      <c r="P208" s="55"/>
      <c r="Q208" s="135"/>
      <c r="R208" s="135"/>
      <c r="U208" s="135"/>
      <c r="V208" s="146"/>
      <c r="W208" s="146"/>
      <c r="X208" s="338"/>
      <c r="Y208" s="338"/>
      <c r="Z208" s="338"/>
      <c r="AA208" s="338"/>
      <c r="AB208" s="338"/>
      <c r="AC208" s="338"/>
      <c r="AF208" s="138"/>
      <c r="AG208" s="138"/>
      <c r="AH208" s="138"/>
      <c r="AI208" s="138"/>
      <c r="AJ208" s="138"/>
      <c r="AM208" s="258"/>
      <c r="AN208" s="258"/>
      <c r="AO208" s="258"/>
      <c r="AP208" s="258"/>
      <c r="AR208" s="137"/>
      <c r="AT208" s="137"/>
      <c r="AV208" s="394"/>
      <c r="AW208" s="137"/>
      <c r="AX208" s="137"/>
      <c r="AY208" s="137"/>
      <c r="AZ208" s="137"/>
      <c r="BA208" s="264"/>
      <c r="BB208" s="258"/>
      <c r="BC208" s="258"/>
      <c r="BD208" s="137"/>
      <c r="BE208" s="137"/>
      <c r="BF208" s="137"/>
      <c r="BG208" s="137"/>
      <c r="BH208" s="137"/>
      <c r="BI208" s="137"/>
      <c r="BJ208" s="137"/>
      <c r="BK208" s="137"/>
      <c r="BL208" s="137"/>
      <c r="BM208" s="137"/>
      <c r="BN208" s="137"/>
      <c r="BO208" s="137"/>
      <c r="BP208" s="137"/>
      <c r="BQ208" s="137"/>
      <c r="BR208" s="137"/>
      <c r="BS208" s="137"/>
      <c r="BV208" s="262"/>
      <c r="BW208" s="136"/>
      <c r="BX208" s="137"/>
      <c r="BY208" s="137"/>
      <c r="BZ208" s="137"/>
      <c r="CA208" s="137"/>
      <c r="CB208" s="137"/>
      <c r="CC208" s="258"/>
      <c r="CD208" s="258"/>
      <c r="CE208" s="258"/>
      <c r="CF208" s="258"/>
      <c r="CG208" s="258"/>
      <c r="CH208" s="258"/>
      <c r="CI208" s="258"/>
      <c r="CJ208" s="258"/>
      <c r="CK208" s="258"/>
      <c r="CL208" s="258"/>
      <c r="CM208" s="258"/>
    </row>
    <row r="209" spans="1:91" x14ac:dyDescent="0.25">
      <c r="A209" s="723"/>
      <c r="B209" s="723"/>
      <c r="K209" s="52"/>
      <c r="L209" s="135"/>
      <c r="N209" s="131"/>
      <c r="O209" s="131"/>
      <c r="P209" s="55"/>
      <c r="Q209" s="135"/>
      <c r="R209" s="135"/>
      <c r="U209" s="135"/>
      <c r="V209" s="146"/>
      <c r="W209" s="146"/>
      <c r="X209" s="338"/>
      <c r="Y209" s="338"/>
      <c r="Z209" s="338"/>
      <c r="AA209" s="338"/>
      <c r="AB209" s="338"/>
      <c r="AC209" s="338"/>
      <c r="AF209" s="138"/>
      <c r="AG209" s="138"/>
      <c r="AH209" s="138"/>
      <c r="AI209" s="138"/>
      <c r="AJ209" s="138"/>
      <c r="AM209" s="258"/>
      <c r="AN209" s="258"/>
      <c r="AO209" s="258"/>
      <c r="AP209" s="258"/>
      <c r="AR209" s="137"/>
      <c r="AT209" s="137"/>
      <c r="AV209" s="394"/>
      <c r="AW209" s="137"/>
      <c r="AX209" s="137"/>
      <c r="AY209" s="137"/>
      <c r="AZ209" s="137"/>
      <c r="BA209" s="264"/>
      <c r="BB209" s="258"/>
      <c r="BC209" s="258"/>
      <c r="BD209" s="137"/>
      <c r="BE209" s="137"/>
      <c r="BF209" s="137"/>
      <c r="BG209" s="137"/>
      <c r="BH209" s="137"/>
      <c r="BI209" s="137"/>
      <c r="BJ209" s="137"/>
      <c r="BK209" s="137"/>
      <c r="BL209" s="137"/>
      <c r="BM209" s="137"/>
      <c r="BN209" s="137"/>
      <c r="BO209" s="137"/>
      <c r="BP209" s="137"/>
      <c r="BQ209" s="137"/>
      <c r="BR209" s="137"/>
      <c r="BS209" s="137"/>
      <c r="BV209" s="262"/>
      <c r="BW209" s="136"/>
      <c r="BX209" s="137"/>
      <c r="BY209" s="137"/>
      <c r="BZ209" s="137"/>
      <c r="CA209" s="137"/>
      <c r="CB209" s="137"/>
      <c r="CC209" s="258"/>
      <c r="CD209" s="258"/>
      <c r="CE209" s="258"/>
      <c r="CF209" s="258"/>
      <c r="CG209" s="258"/>
      <c r="CH209" s="258"/>
      <c r="CI209" s="258"/>
      <c r="CJ209" s="258"/>
      <c r="CK209" s="258"/>
      <c r="CL209" s="258"/>
      <c r="CM209" s="258"/>
    </row>
    <row r="210" spans="1:91" x14ac:dyDescent="0.25">
      <c r="A210" s="723"/>
      <c r="B210" s="723"/>
      <c r="K210" s="52"/>
      <c r="L210" s="135"/>
      <c r="N210" s="131"/>
      <c r="O210" s="131"/>
      <c r="P210" s="55"/>
      <c r="Q210" s="135"/>
      <c r="R210" s="135"/>
      <c r="U210" s="135"/>
      <c r="V210" s="146"/>
      <c r="W210" s="146"/>
      <c r="X210" s="338"/>
      <c r="Y210" s="338"/>
      <c r="Z210" s="338"/>
      <c r="AA210" s="338"/>
      <c r="AB210" s="338"/>
      <c r="AC210" s="338"/>
      <c r="AF210" s="138"/>
      <c r="AG210" s="138"/>
      <c r="AH210" s="138"/>
      <c r="AI210" s="138"/>
      <c r="AJ210" s="138"/>
      <c r="AM210" s="258"/>
      <c r="AN210" s="258"/>
      <c r="AO210" s="258"/>
      <c r="AP210" s="258"/>
      <c r="AR210" s="137"/>
      <c r="AT210" s="137"/>
      <c r="AV210" s="394"/>
      <c r="AW210" s="137"/>
      <c r="AX210" s="137"/>
      <c r="AY210" s="137"/>
      <c r="AZ210" s="137"/>
      <c r="BA210" s="264"/>
      <c r="BB210" s="258"/>
      <c r="BC210" s="258"/>
      <c r="BD210" s="137"/>
      <c r="BE210" s="137"/>
      <c r="BF210" s="137"/>
      <c r="BG210" s="137"/>
      <c r="BH210" s="137"/>
      <c r="BI210" s="137"/>
      <c r="BJ210" s="137"/>
      <c r="BK210" s="137"/>
      <c r="BL210" s="137"/>
      <c r="BM210" s="137"/>
      <c r="BN210" s="137"/>
      <c r="BO210" s="137"/>
      <c r="BP210" s="137"/>
      <c r="BQ210" s="137"/>
      <c r="BR210" s="137"/>
      <c r="BS210" s="137"/>
      <c r="BV210" s="262"/>
      <c r="BW210" s="136"/>
      <c r="BX210" s="137"/>
      <c r="BY210" s="137"/>
      <c r="BZ210" s="137"/>
      <c r="CA210" s="137"/>
      <c r="CB210" s="137"/>
      <c r="CC210" s="258"/>
      <c r="CD210" s="258"/>
      <c r="CE210" s="258"/>
      <c r="CF210" s="258"/>
      <c r="CG210" s="258"/>
      <c r="CH210" s="258"/>
      <c r="CI210" s="258"/>
      <c r="CJ210" s="258"/>
      <c r="CK210" s="258"/>
      <c r="CL210" s="258"/>
      <c r="CM210" s="258"/>
    </row>
    <row r="211" spans="1:91" x14ac:dyDescent="0.25">
      <c r="A211" s="723"/>
      <c r="B211" s="723"/>
      <c r="K211" s="52"/>
      <c r="L211" s="135"/>
      <c r="N211" s="131"/>
      <c r="O211" s="131"/>
      <c r="P211" s="55"/>
      <c r="Q211" s="135"/>
      <c r="R211" s="135"/>
      <c r="U211" s="135"/>
      <c r="V211" s="146"/>
      <c r="W211" s="146"/>
      <c r="X211" s="338"/>
      <c r="Y211" s="338"/>
      <c r="Z211" s="338"/>
      <c r="AA211" s="338"/>
      <c r="AB211" s="338"/>
      <c r="AC211" s="338"/>
      <c r="AF211" s="138"/>
      <c r="AG211" s="138"/>
      <c r="AH211" s="138"/>
      <c r="AI211" s="138"/>
      <c r="AJ211" s="138"/>
      <c r="AM211" s="258"/>
      <c r="AN211" s="258"/>
      <c r="AO211" s="258"/>
      <c r="AP211" s="258"/>
      <c r="AR211" s="137"/>
      <c r="AT211" s="137"/>
      <c r="AV211" s="394"/>
      <c r="AW211" s="137"/>
      <c r="AX211" s="137"/>
      <c r="AY211" s="137"/>
      <c r="AZ211" s="137"/>
      <c r="BA211" s="264"/>
      <c r="BB211" s="258"/>
      <c r="BC211" s="258"/>
      <c r="BD211" s="137"/>
      <c r="BE211" s="137"/>
      <c r="BF211" s="137"/>
      <c r="BG211" s="137"/>
      <c r="BH211" s="137"/>
      <c r="BI211" s="137"/>
      <c r="BJ211" s="137"/>
      <c r="BK211" s="137"/>
      <c r="BL211" s="137"/>
      <c r="BM211" s="137"/>
      <c r="BN211" s="137"/>
      <c r="BO211" s="137"/>
      <c r="BP211" s="137"/>
      <c r="BQ211" s="137"/>
      <c r="BR211" s="137"/>
      <c r="BS211" s="137"/>
      <c r="BV211" s="262"/>
      <c r="BW211" s="136"/>
      <c r="BX211" s="137"/>
      <c r="BY211" s="137"/>
      <c r="BZ211" s="137"/>
      <c r="CA211" s="137"/>
      <c r="CB211" s="137"/>
      <c r="CC211" s="258"/>
      <c r="CD211" s="258"/>
      <c r="CE211" s="258"/>
      <c r="CF211" s="258"/>
      <c r="CG211" s="258"/>
      <c r="CH211" s="258"/>
      <c r="CI211" s="258"/>
      <c r="CJ211" s="258"/>
      <c r="CK211" s="258"/>
      <c r="CL211" s="258"/>
      <c r="CM211" s="258"/>
    </row>
    <row r="212" spans="1:91" x14ac:dyDescent="0.25">
      <c r="A212" s="723"/>
      <c r="B212" s="723"/>
      <c r="K212" s="52"/>
      <c r="L212" s="135"/>
      <c r="N212" s="131"/>
      <c r="O212" s="131"/>
      <c r="P212" s="55"/>
      <c r="Q212" s="135"/>
      <c r="R212" s="135"/>
      <c r="U212" s="135"/>
      <c r="V212" s="146"/>
      <c r="W212" s="146"/>
      <c r="X212" s="338"/>
      <c r="Y212" s="338"/>
      <c r="Z212" s="338"/>
      <c r="AA212" s="338"/>
      <c r="AB212" s="338"/>
      <c r="AC212" s="338"/>
      <c r="AF212" s="138"/>
      <c r="AG212" s="138"/>
      <c r="AH212" s="138"/>
      <c r="AI212" s="138"/>
      <c r="AJ212" s="138"/>
      <c r="AM212" s="258"/>
      <c r="AN212" s="258"/>
      <c r="AO212" s="258"/>
      <c r="AP212" s="258"/>
      <c r="AR212" s="137"/>
      <c r="AT212" s="137"/>
      <c r="AV212" s="394"/>
      <c r="AW212" s="137"/>
      <c r="AX212" s="137"/>
      <c r="AY212" s="137"/>
      <c r="AZ212" s="137"/>
      <c r="BA212" s="264"/>
      <c r="BB212" s="258"/>
      <c r="BC212" s="258"/>
      <c r="BD212" s="137"/>
      <c r="BE212" s="137"/>
      <c r="BF212" s="137"/>
      <c r="BG212" s="137"/>
      <c r="BH212" s="137"/>
      <c r="BI212" s="137"/>
      <c r="BJ212" s="137"/>
      <c r="BK212" s="137"/>
      <c r="BL212" s="137"/>
      <c r="BM212" s="137"/>
      <c r="BN212" s="137"/>
      <c r="BO212" s="137"/>
      <c r="BP212" s="137"/>
      <c r="BQ212" s="137"/>
      <c r="BR212" s="137"/>
      <c r="BS212" s="137"/>
      <c r="BV212" s="262"/>
      <c r="BW212" s="136"/>
      <c r="BX212" s="137"/>
      <c r="BY212" s="137"/>
      <c r="BZ212" s="137"/>
      <c r="CA212" s="137"/>
      <c r="CB212" s="137"/>
      <c r="CC212" s="258"/>
      <c r="CD212" s="258"/>
      <c r="CE212" s="258"/>
      <c r="CF212" s="258"/>
      <c r="CG212" s="258"/>
      <c r="CH212" s="258"/>
      <c r="CI212" s="258"/>
      <c r="CJ212" s="258"/>
      <c r="CK212" s="258"/>
      <c r="CL212" s="258"/>
      <c r="CM212" s="258"/>
    </row>
    <row r="213" spans="1:91" x14ac:dyDescent="0.25">
      <c r="A213" s="723"/>
      <c r="B213" s="723"/>
      <c r="K213" s="52"/>
      <c r="L213" s="135"/>
      <c r="N213" s="131"/>
      <c r="O213" s="131"/>
      <c r="P213" s="55"/>
      <c r="Q213" s="135"/>
      <c r="R213" s="135"/>
      <c r="U213" s="135"/>
      <c r="V213" s="146"/>
      <c r="W213" s="146"/>
      <c r="X213" s="338"/>
      <c r="Y213" s="338"/>
      <c r="Z213" s="338"/>
      <c r="AA213" s="338"/>
      <c r="AB213" s="338"/>
      <c r="AC213" s="338"/>
      <c r="AF213" s="138"/>
      <c r="AG213" s="138"/>
      <c r="AH213" s="138"/>
      <c r="AI213" s="138"/>
      <c r="AJ213" s="138"/>
      <c r="AM213" s="258"/>
      <c r="AN213" s="258"/>
      <c r="AO213" s="258"/>
      <c r="AP213" s="258"/>
      <c r="AR213" s="137"/>
      <c r="AT213" s="137"/>
      <c r="AV213" s="394"/>
      <c r="AW213" s="137"/>
      <c r="AX213" s="137"/>
      <c r="AY213" s="137"/>
      <c r="AZ213" s="137"/>
      <c r="BA213" s="264"/>
      <c r="BB213" s="258"/>
      <c r="BC213" s="258"/>
      <c r="BD213" s="137"/>
      <c r="BE213" s="137"/>
      <c r="BF213" s="137"/>
      <c r="BG213" s="137"/>
      <c r="BH213" s="137"/>
      <c r="BI213" s="137"/>
      <c r="BJ213" s="137"/>
      <c r="BK213" s="137"/>
      <c r="BL213" s="137"/>
      <c r="BM213" s="137"/>
      <c r="BN213" s="137"/>
      <c r="BO213" s="137"/>
      <c r="BP213" s="137"/>
      <c r="BQ213" s="137"/>
      <c r="BR213" s="137"/>
      <c r="BS213" s="137"/>
      <c r="BV213" s="262"/>
      <c r="BW213" s="136"/>
      <c r="BX213" s="137"/>
      <c r="BY213" s="137"/>
      <c r="BZ213" s="137"/>
      <c r="CA213" s="137"/>
      <c r="CB213" s="137"/>
      <c r="CC213" s="258"/>
      <c r="CD213" s="258"/>
      <c r="CE213" s="258"/>
      <c r="CF213" s="258"/>
      <c r="CG213" s="258"/>
      <c r="CH213" s="258"/>
      <c r="CI213" s="258"/>
      <c r="CJ213" s="258"/>
      <c r="CK213" s="258"/>
      <c r="CL213" s="258"/>
      <c r="CM213" s="258"/>
    </row>
    <row r="214" spans="1:91" x14ac:dyDescent="0.25">
      <c r="A214" s="723"/>
      <c r="B214" s="723"/>
      <c r="K214" s="52"/>
      <c r="L214" s="135"/>
      <c r="N214" s="131"/>
      <c r="O214" s="131"/>
      <c r="P214" s="55"/>
      <c r="Q214" s="135"/>
      <c r="R214" s="135"/>
      <c r="U214" s="135"/>
      <c r="V214" s="146"/>
      <c r="W214" s="146"/>
      <c r="X214" s="338"/>
      <c r="Y214" s="338"/>
      <c r="Z214" s="338"/>
      <c r="AA214" s="338"/>
      <c r="AB214" s="338"/>
      <c r="AC214" s="338"/>
      <c r="AF214" s="138"/>
      <c r="AG214" s="138"/>
      <c r="AH214" s="138"/>
      <c r="AI214" s="138"/>
      <c r="AJ214" s="138"/>
      <c r="AM214" s="258"/>
      <c r="AN214" s="258"/>
      <c r="AO214" s="258"/>
      <c r="AP214" s="258"/>
      <c r="AR214" s="137"/>
      <c r="AT214" s="137"/>
      <c r="AV214" s="394"/>
      <c r="AW214" s="137"/>
      <c r="AX214" s="137"/>
      <c r="AY214" s="137"/>
      <c r="AZ214" s="137"/>
      <c r="BA214" s="264"/>
      <c r="BB214" s="258"/>
      <c r="BC214" s="258"/>
      <c r="BD214" s="137"/>
      <c r="BE214" s="137"/>
      <c r="BF214" s="137"/>
      <c r="BG214" s="137"/>
      <c r="BH214" s="137"/>
      <c r="BI214" s="137"/>
      <c r="BJ214" s="137"/>
      <c r="BK214" s="137"/>
      <c r="BL214" s="137"/>
      <c r="BM214" s="137"/>
      <c r="BN214" s="137"/>
      <c r="BO214" s="137"/>
      <c r="BP214" s="137"/>
      <c r="BQ214" s="137"/>
      <c r="BR214" s="137"/>
      <c r="BS214" s="137"/>
      <c r="BV214" s="262"/>
      <c r="BW214" s="136"/>
      <c r="BX214" s="137"/>
      <c r="BY214" s="137"/>
      <c r="BZ214" s="137"/>
      <c r="CA214" s="137"/>
      <c r="CB214" s="137"/>
      <c r="CC214" s="258"/>
      <c r="CD214" s="258"/>
      <c r="CE214" s="258"/>
      <c r="CF214" s="258"/>
      <c r="CG214" s="258"/>
      <c r="CH214" s="258"/>
      <c r="CI214" s="258"/>
      <c r="CJ214" s="258"/>
      <c r="CK214" s="258"/>
      <c r="CL214" s="258"/>
      <c r="CM214" s="258"/>
    </row>
    <row r="215" spans="1:91" x14ac:dyDescent="0.25">
      <c r="A215" s="723"/>
      <c r="B215" s="723"/>
      <c r="K215" s="52"/>
      <c r="L215" s="135"/>
      <c r="N215" s="131"/>
      <c r="O215" s="131"/>
      <c r="P215" s="55"/>
      <c r="Q215" s="135"/>
      <c r="R215" s="135"/>
      <c r="U215" s="135"/>
      <c r="V215" s="146"/>
      <c r="W215" s="146"/>
      <c r="X215" s="338"/>
      <c r="Y215" s="338"/>
      <c r="Z215" s="338"/>
      <c r="AA215" s="338"/>
      <c r="AB215" s="338"/>
      <c r="AC215" s="338"/>
      <c r="AF215" s="138"/>
      <c r="AG215" s="138"/>
      <c r="AH215" s="138"/>
      <c r="AI215" s="138"/>
      <c r="AJ215" s="138"/>
      <c r="AM215" s="258"/>
      <c r="AN215" s="258"/>
      <c r="AO215" s="258"/>
      <c r="AP215" s="258"/>
      <c r="AR215" s="137"/>
      <c r="AT215" s="137"/>
      <c r="AV215" s="394"/>
      <c r="AW215" s="137"/>
      <c r="AX215" s="137"/>
      <c r="AY215" s="137"/>
      <c r="AZ215" s="137"/>
      <c r="BA215" s="264"/>
      <c r="BB215" s="258"/>
      <c r="BC215" s="258"/>
      <c r="BD215" s="137"/>
      <c r="BE215" s="137"/>
      <c r="BF215" s="137"/>
      <c r="BG215" s="137"/>
      <c r="BH215" s="137"/>
      <c r="BI215" s="137"/>
      <c r="BJ215" s="137"/>
      <c r="BK215" s="137"/>
      <c r="BL215" s="137"/>
      <c r="BM215" s="137"/>
      <c r="BN215" s="137"/>
      <c r="BO215" s="137"/>
      <c r="BP215" s="137"/>
      <c r="BQ215" s="137"/>
      <c r="BR215" s="137"/>
      <c r="BS215" s="137"/>
      <c r="BV215" s="262"/>
      <c r="BW215" s="136"/>
      <c r="BX215" s="137"/>
      <c r="BY215" s="137"/>
      <c r="BZ215" s="137"/>
      <c r="CA215" s="137"/>
      <c r="CB215" s="137"/>
      <c r="CC215" s="258"/>
      <c r="CD215" s="258"/>
      <c r="CE215" s="258"/>
      <c r="CF215" s="258"/>
      <c r="CG215" s="258"/>
      <c r="CH215" s="258"/>
      <c r="CI215" s="258"/>
      <c r="CJ215" s="258"/>
      <c r="CK215" s="258"/>
      <c r="CL215" s="258"/>
      <c r="CM215" s="258"/>
    </row>
    <row r="216" spans="1:91" x14ac:dyDescent="0.25">
      <c r="A216" s="723"/>
      <c r="B216" s="723"/>
      <c r="K216" s="52"/>
      <c r="L216" s="135"/>
      <c r="N216" s="131"/>
      <c r="O216" s="131"/>
      <c r="P216" s="55"/>
      <c r="Q216" s="135"/>
      <c r="R216" s="135"/>
      <c r="U216" s="135"/>
      <c r="V216" s="146"/>
      <c r="W216" s="146"/>
      <c r="X216" s="338"/>
      <c r="Y216" s="338"/>
      <c r="Z216" s="338"/>
      <c r="AA216" s="338"/>
      <c r="AB216" s="338"/>
      <c r="AC216" s="338"/>
      <c r="AF216" s="138"/>
      <c r="AG216" s="138"/>
      <c r="AH216" s="138"/>
      <c r="AI216" s="138"/>
      <c r="AJ216" s="138"/>
      <c r="AM216" s="258"/>
      <c r="AN216" s="258"/>
      <c r="AO216" s="258"/>
      <c r="AP216" s="258"/>
      <c r="AR216" s="137"/>
      <c r="AT216" s="137"/>
      <c r="AV216" s="394"/>
      <c r="AW216" s="137"/>
      <c r="AX216" s="137"/>
      <c r="AY216" s="137"/>
      <c r="AZ216" s="137"/>
      <c r="BA216" s="264"/>
      <c r="BB216" s="258"/>
      <c r="BC216" s="258"/>
      <c r="BD216" s="137"/>
      <c r="BE216" s="137"/>
      <c r="BF216" s="137"/>
      <c r="BG216" s="137"/>
      <c r="BH216" s="137"/>
      <c r="BI216" s="137"/>
      <c r="BJ216" s="137"/>
      <c r="BK216" s="137"/>
      <c r="BL216" s="137"/>
      <c r="BM216" s="137"/>
      <c r="BN216" s="137"/>
      <c r="BO216" s="137"/>
      <c r="BP216" s="137"/>
      <c r="BQ216" s="137"/>
      <c r="BR216" s="137"/>
      <c r="BS216" s="137"/>
      <c r="BV216" s="262"/>
      <c r="BW216" s="136"/>
      <c r="BX216" s="137"/>
      <c r="BY216" s="137"/>
      <c r="BZ216" s="137"/>
      <c r="CA216" s="137"/>
      <c r="CB216" s="137"/>
      <c r="CC216" s="258"/>
      <c r="CD216" s="258"/>
      <c r="CE216" s="258"/>
      <c r="CF216" s="258"/>
      <c r="CG216" s="258"/>
      <c r="CH216" s="258"/>
      <c r="CI216" s="258"/>
      <c r="CJ216" s="258"/>
      <c r="CK216" s="258"/>
      <c r="CL216" s="258"/>
      <c r="CM216" s="258"/>
    </row>
    <row r="217" spans="1:91" x14ac:dyDescent="0.25">
      <c r="A217" s="723"/>
      <c r="B217" s="723"/>
      <c r="K217" s="52"/>
      <c r="L217" s="135"/>
      <c r="N217" s="131"/>
      <c r="O217" s="131"/>
      <c r="P217" s="55"/>
      <c r="Q217" s="135"/>
      <c r="R217" s="135"/>
      <c r="U217" s="135"/>
      <c r="V217" s="146"/>
      <c r="W217" s="146"/>
      <c r="X217" s="338"/>
      <c r="Y217" s="338"/>
      <c r="Z217" s="338"/>
      <c r="AA217" s="338"/>
      <c r="AB217" s="338"/>
      <c r="AC217" s="338"/>
      <c r="AF217" s="138"/>
      <c r="AG217" s="138"/>
      <c r="AH217" s="138"/>
      <c r="AI217" s="138"/>
      <c r="AJ217" s="138"/>
      <c r="AM217" s="258"/>
      <c r="AN217" s="258"/>
      <c r="AO217" s="258"/>
      <c r="AP217" s="258"/>
      <c r="AR217" s="137"/>
      <c r="AT217" s="137"/>
      <c r="AV217" s="394"/>
      <c r="AW217" s="137"/>
      <c r="AX217" s="137"/>
      <c r="AY217" s="137"/>
      <c r="AZ217" s="137"/>
      <c r="BA217" s="264"/>
      <c r="BB217" s="258"/>
      <c r="BC217" s="258"/>
      <c r="BD217" s="137"/>
      <c r="BE217" s="137"/>
      <c r="BF217" s="137"/>
      <c r="BG217" s="137"/>
      <c r="BH217" s="137"/>
      <c r="BI217" s="137"/>
      <c r="BJ217" s="137"/>
      <c r="BK217" s="137"/>
      <c r="BL217" s="137"/>
      <c r="BM217" s="137"/>
      <c r="BN217" s="137"/>
      <c r="BO217" s="137"/>
      <c r="BP217" s="137"/>
      <c r="BQ217" s="137"/>
      <c r="BR217" s="137"/>
      <c r="BS217" s="137"/>
      <c r="BV217" s="262"/>
      <c r="BW217" s="136"/>
      <c r="BX217" s="137"/>
      <c r="BY217" s="137"/>
      <c r="BZ217" s="137"/>
      <c r="CA217" s="137"/>
      <c r="CB217" s="137"/>
      <c r="CC217" s="258"/>
      <c r="CD217" s="258"/>
      <c r="CE217" s="258"/>
      <c r="CF217" s="258"/>
      <c r="CG217" s="258"/>
      <c r="CH217" s="258"/>
      <c r="CI217" s="258"/>
      <c r="CJ217" s="258"/>
      <c r="CK217" s="258"/>
      <c r="CL217" s="258"/>
      <c r="CM217" s="258"/>
    </row>
    <row r="218" spans="1:91" x14ac:dyDescent="0.25">
      <c r="A218" s="723"/>
      <c r="B218" s="723"/>
      <c r="K218" s="52"/>
      <c r="L218" s="135"/>
      <c r="N218" s="131"/>
      <c r="O218" s="131"/>
      <c r="P218" s="55"/>
      <c r="Q218" s="135"/>
      <c r="R218" s="135"/>
      <c r="U218" s="135"/>
      <c r="V218" s="146"/>
      <c r="W218" s="146"/>
      <c r="X218" s="338"/>
      <c r="Y218" s="338"/>
      <c r="Z218" s="338"/>
      <c r="AA218" s="338"/>
      <c r="AB218" s="338"/>
      <c r="AC218" s="338"/>
      <c r="AF218" s="138"/>
      <c r="AG218" s="138"/>
      <c r="AH218" s="138"/>
      <c r="AI218" s="138"/>
      <c r="AJ218" s="138"/>
      <c r="AM218" s="258"/>
      <c r="AN218" s="258"/>
      <c r="AO218" s="258"/>
      <c r="AP218" s="258"/>
      <c r="AR218" s="137"/>
      <c r="AT218" s="137"/>
      <c r="AV218" s="394"/>
      <c r="AW218" s="137"/>
      <c r="AX218" s="137"/>
      <c r="AY218" s="137"/>
      <c r="AZ218" s="137"/>
      <c r="BA218" s="264"/>
      <c r="BB218" s="258"/>
      <c r="BC218" s="258"/>
      <c r="BD218" s="137"/>
      <c r="BE218" s="137"/>
      <c r="BF218" s="137"/>
      <c r="BG218" s="137"/>
      <c r="BH218" s="137"/>
      <c r="BI218" s="137"/>
      <c r="BJ218" s="137"/>
      <c r="BK218" s="137"/>
      <c r="BL218" s="137"/>
      <c r="BM218" s="137"/>
      <c r="BN218" s="137"/>
      <c r="BO218" s="137"/>
      <c r="BP218" s="137"/>
      <c r="BQ218" s="137"/>
      <c r="BR218" s="137"/>
      <c r="BS218" s="137"/>
      <c r="BV218" s="262"/>
      <c r="BW218" s="136"/>
      <c r="BX218" s="137"/>
      <c r="BY218" s="137"/>
      <c r="BZ218" s="137"/>
      <c r="CA218" s="137"/>
      <c r="CB218" s="137"/>
      <c r="CC218" s="258"/>
      <c r="CD218" s="258"/>
      <c r="CE218" s="258"/>
      <c r="CF218" s="258"/>
      <c r="CG218" s="258"/>
      <c r="CH218" s="258"/>
      <c r="CI218" s="258"/>
      <c r="CJ218" s="258"/>
      <c r="CK218" s="258"/>
      <c r="CL218" s="258"/>
      <c r="CM218" s="258"/>
    </row>
    <row r="219" spans="1:91" x14ac:dyDescent="0.25">
      <c r="A219" s="723"/>
      <c r="B219" s="723"/>
      <c r="K219" s="52"/>
      <c r="L219" s="135"/>
      <c r="N219" s="131"/>
      <c r="O219" s="131"/>
      <c r="P219" s="55"/>
      <c r="Q219" s="135"/>
      <c r="R219" s="135"/>
      <c r="U219" s="135"/>
      <c r="V219" s="146"/>
      <c r="W219" s="146"/>
      <c r="X219" s="338"/>
      <c r="Y219" s="338"/>
      <c r="Z219" s="338"/>
      <c r="AA219" s="338"/>
      <c r="AB219" s="338"/>
      <c r="AC219" s="338"/>
      <c r="AF219" s="138"/>
      <c r="AG219" s="138"/>
      <c r="AH219" s="138"/>
      <c r="AI219" s="138"/>
      <c r="AJ219" s="138"/>
      <c r="AM219" s="258"/>
      <c r="AN219" s="258"/>
      <c r="AO219" s="258"/>
      <c r="AP219" s="258"/>
      <c r="AR219" s="137"/>
      <c r="AT219" s="137"/>
      <c r="AV219" s="394"/>
      <c r="AW219" s="137"/>
      <c r="AX219" s="137"/>
      <c r="AY219" s="137"/>
      <c r="AZ219" s="137"/>
      <c r="BA219" s="264"/>
      <c r="BB219" s="258"/>
      <c r="BC219" s="258"/>
      <c r="BD219" s="137"/>
      <c r="BE219" s="137"/>
      <c r="BF219" s="137"/>
      <c r="BG219" s="137"/>
      <c r="BH219" s="137"/>
      <c r="BI219" s="137"/>
      <c r="BJ219" s="137"/>
      <c r="BK219" s="137"/>
      <c r="BL219" s="137"/>
      <c r="BM219" s="137"/>
      <c r="BN219" s="137"/>
      <c r="BO219" s="137"/>
      <c r="BP219" s="137"/>
      <c r="BQ219" s="137"/>
      <c r="BR219" s="137"/>
      <c r="BS219" s="137"/>
      <c r="BV219" s="262"/>
      <c r="BW219" s="136"/>
      <c r="BX219" s="137"/>
      <c r="BY219" s="137"/>
      <c r="BZ219" s="137"/>
      <c r="CA219" s="137"/>
      <c r="CB219" s="137"/>
      <c r="CC219" s="258"/>
      <c r="CD219" s="258"/>
      <c r="CE219" s="258"/>
      <c r="CF219" s="258"/>
      <c r="CG219" s="258"/>
      <c r="CH219" s="258"/>
      <c r="CI219" s="258"/>
      <c r="CJ219" s="258"/>
      <c r="CK219" s="258"/>
      <c r="CL219" s="258"/>
      <c r="CM219" s="258"/>
    </row>
    <row r="220" spans="1:91" x14ac:dyDescent="0.25">
      <c r="A220" s="723"/>
      <c r="B220" s="723"/>
      <c r="K220" s="52"/>
      <c r="L220" s="135"/>
      <c r="N220" s="131"/>
      <c r="O220" s="131"/>
      <c r="P220" s="55"/>
      <c r="Q220" s="135"/>
      <c r="R220" s="135"/>
      <c r="U220" s="135"/>
      <c r="V220" s="146"/>
      <c r="W220" s="146"/>
      <c r="X220" s="338"/>
      <c r="Y220" s="338"/>
      <c r="Z220" s="338"/>
      <c r="AA220" s="338"/>
      <c r="AB220" s="338"/>
      <c r="AC220" s="338"/>
      <c r="AF220" s="138"/>
      <c r="AG220" s="138"/>
      <c r="AH220" s="138"/>
      <c r="AI220" s="138"/>
      <c r="AJ220" s="138"/>
      <c r="AM220" s="258"/>
      <c r="AN220" s="258"/>
      <c r="AO220" s="258"/>
      <c r="AP220" s="258"/>
      <c r="AR220" s="137"/>
      <c r="AT220" s="137"/>
      <c r="AV220" s="394"/>
      <c r="AW220" s="137"/>
      <c r="AX220" s="137"/>
      <c r="AY220" s="137"/>
      <c r="AZ220" s="137"/>
      <c r="BA220" s="264"/>
      <c r="BB220" s="258"/>
      <c r="BC220" s="258"/>
      <c r="BD220" s="137"/>
      <c r="BE220" s="137"/>
      <c r="BF220" s="137"/>
      <c r="BG220" s="137"/>
      <c r="BH220" s="137"/>
      <c r="BI220" s="137"/>
      <c r="BJ220" s="137"/>
      <c r="BK220" s="137"/>
      <c r="BL220" s="137"/>
      <c r="BM220" s="137"/>
      <c r="BN220" s="137"/>
      <c r="BO220" s="137"/>
      <c r="BP220" s="137"/>
      <c r="BQ220" s="137"/>
      <c r="BR220" s="137"/>
      <c r="BS220" s="137"/>
      <c r="BV220" s="262"/>
      <c r="BW220" s="136"/>
      <c r="BX220" s="137"/>
      <c r="BY220" s="137"/>
      <c r="BZ220" s="137"/>
      <c r="CA220" s="137"/>
      <c r="CB220" s="137"/>
      <c r="CC220" s="258"/>
      <c r="CD220" s="258"/>
      <c r="CE220" s="258"/>
      <c r="CF220" s="258"/>
      <c r="CG220" s="258"/>
      <c r="CH220" s="258"/>
      <c r="CI220" s="258"/>
      <c r="CJ220" s="258"/>
      <c r="CK220" s="258"/>
      <c r="CL220" s="258"/>
      <c r="CM220" s="258"/>
    </row>
    <row r="221" spans="1:91" x14ac:dyDescent="0.25">
      <c r="A221" s="723"/>
      <c r="B221" s="723"/>
      <c r="K221" s="52"/>
      <c r="L221" s="135"/>
      <c r="N221" s="131"/>
      <c r="O221" s="131"/>
      <c r="P221" s="55"/>
      <c r="Q221" s="135"/>
      <c r="R221" s="135"/>
      <c r="U221" s="135"/>
      <c r="V221" s="146"/>
      <c r="W221" s="146"/>
      <c r="X221" s="338"/>
      <c r="Y221" s="338"/>
      <c r="Z221" s="338"/>
      <c r="AA221" s="338"/>
      <c r="AB221" s="338"/>
      <c r="AC221" s="338"/>
      <c r="AF221" s="138"/>
      <c r="AG221" s="138"/>
      <c r="AH221" s="138"/>
      <c r="AI221" s="138"/>
      <c r="AJ221" s="138"/>
      <c r="AM221" s="258"/>
      <c r="AN221" s="258"/>
      <c r="AO221" s="258"/>
      <c r="AP221" s="258"/>
      <c r="AR221" s="137"/>
      <c r="AT221" s="137"/>
      <c r="AV221" s="394"/>
      <c r="AW221" s="137"/>
      <c r="AX221" s="137"/>
      <c r="AY221" s="137"/>
      <c r="AZ221" s="137"/>
      <c r="BA221" s="264"/>
      <c r="BB221" s="258"/>
      <c r="BC221" s="258"/>
      <c r="BD221" s="137"/>
      <c r="BE221" s="137"/>
      <c r="BF221" s="137"/>
      <c r="BG221" s="137"/>
      <c r="BH221" s="137"/>
      <c r="BI221" s="137"/>
      <c r="BJ221" s="137"/>
      <c r="BK221" s="137"/>
      <c r="BL221" s="137"/>
      <c r="BM221" s="137"/>
      <c r="BN221" s="137"/>
      <c r="BO221" s="137"/>
      <c r="BP221" s="137"/>
      <c r="BQ221" s="137"/>
      <c r="BR221" s="137"/>
      <c r="BS221" s="137"/>
      <c r="BV221" s="262"/>
      <c r="BW221" s="136"/>
      <c r="BX221" s="137"/>
      <c r="BY221" s="137"/>
      <c r="BZ221" s="137"/>
      <c r="CA221" s="137"/>
      <c r="CB221" s="137"/>
      <c r="CC221" s="258"/>
      <c r="CD221" s="258"/>
      <c r="CE221" s="258"/>
      <c r="CF221" s="258"/>
      <c r="CG221" s="258"/>
      <c r="CH221" s="258"/>
      <c r="CI221" s="258"/>
      <c r="CJ221" s="258"/>
      <c r="CK221" s="258"/>
      <c r="CL221" s="258"/>
      <c r="CM221" s="258"/>
    </row>
    <row r="222" spans="1:91" x14ac:dyDescent="0.25">
      <c r="A222" s="723"/>
      <c r="B222" s="723"/>
      <c r="K222" s="52"/>
      <c r="L222" s="135"/>
      <c r="N222" s="131"/>
      <c r="O222" s="131"/>
      <c r="P222" s="55"/>
      <c r="Q222" s="135"/>
      <c r="R222" s="135"/>
      <c r="U222" s="135"/>
      <c r="V222" s="146"/>
      <c r="W222" s="146"/>
      <c r="X222" s="338"/>
      <c r="Y222" s="338"/>
      <c r="Z222" s="338"/>
      <c r="AA222" s="338"/>
      <c r="AB222" s="338"/>
      <c r="AC222" s="338"/>
      <c r="AF222" s="138"/>
      <c r="AG222" s="138"/>
      <c r="AH222" s="138"/>
      <c r="AI222" s="138"/>
      <c r="AJ222" s="138"/>
      <c r="AM222" s="258"/>
      <c r="AN222" s="258"/>
      <c r="AO222" s="258"/>
      <c r="AP222" s="258"/>
      <c r="AR222" s="137"/>
      <c r="AT222" s="137"/>
      <c r="AV222" s="394"/>
      <c r="AW222" s="137"/>
      <c r="AX222" s="137"/>
      <c r="AY222" s="137"/>
      <c r="AZ222" s="137"/>
      <c r="BA222" s="264"/>
      <c r="BB222" s="258"/>
      <c r="BC222" s="258"/>
      <c r="BD222" s="137"/>
      <c r="BE222" s="137"/>
      <c r="BF222" s="137"/>
      <c r="BG222" s="137"/>
      <c r="BH222" s="137"/>
      <c r="BI222" s="137"/>
      <c r="BJ222" s="137"/>
      <c r="BK222" s="137"/>
      <c r="BL222" s="137"/>
      <c r="BM222" s="137"/>
      <c r="BN222" s="137"/>
      <c r="BO222" s="137"/>
      <c r="BP222" s="137"/>
      <c r="BQ222" s="137"/>
      <c r="BR222" s="137"/>
      <c r="BS222" s="137"/>
      <c r="BV222" s="262"/>
      <c r="BW222" s="136"/>
      <c r="BX222" s="137"/>
      <c r="BY222" s="137"/>
      <c r="BZ222" s="137"/>
      <c r="CA222" s="137"/>
      <c r="CB222" s="137"/>
      <c r="CC222" s="258"/>
      <c r="CD222" s="258"/>
      <c r="CE222" s="258"/>
      <c r="CF222" s="258"/>
      <c r="CG222" s="258"/>
      <c r="CH222" s="258"/>
      <c r="CI222" s="258"/>
      <c r="CJ222" s="258"/>
      <c r="CK222" s="258"/>
      <c r="CL222" s="258"/>
      <c r="CM222" s="258"/>
    </row>
    <row r="223" spans="1:91" x14ac:dyDescent="0.25">
      <c r="A223" s="723"/>
      <c r="B223" s="723"/>
      <c r="K223" s="52"/>
      <c r="L223" s="135"/>
      <c r="N223" s="131"/>
      <c r="O223" s="131"/>
      <c r="P223" s="55"/>
      <c r="Q223" s="135"/>
      <c r="R223" s="135"/>
      <c r="U223" s="135"/>
      <c r="V223" s="146"/>
      <c r="W223" s="146"/>
      <c r="X223" s="338"/>
      <c r="Y223" s="338"/>
      <c r="Z223" s="338"/>
      <c r="AA223" s="338"/>
      <c r="AB223" s="338"/>
      <c r="AC223" s="338"/>
      <c r="AF223" s="138"/>
      <c r="AG223" s="138"/>
      <c r="AH223" s="138"/>
      <c r="AI223" s="138"/>
      <c r="AJ223" s="138"/>
      <c r="AM223" s="258"/>
      <c r="AN223" s="258"/>
      <c r="AO223" s="258"/>
      <c r="AP223" s="258"/>
      <c r="AR223" s="137"/>
      <c r="AT223" s="137"/>
      <c r="AV223" s="394"/>
      <c r="AW223" s="137"/>
      <c r="AX223" s="137"/>
      <c r="AY223" s="137"/>
      <c r="AZ223" s="137"/>
      <c r="BA223" s="264"/>
      <c r="BB223" s="258"/>
      <c r="BC223" s="258"/>
      <c r="BD223" s="137"/>
      <c r="BE223" s="137"/>
      <c r="BF223" s="137"/>
      <c r="BG223" s="137"/>
      <c r="BH223" s="137"/>
      <c r="BI223" s="137"/>
      <c r="BJ223" s="137"/>
      <c r="BK223" s="137"/>
      <c r="BL223" s="137"/>
      <c r="BM223" s="137"/>
      <c r="BN223" s="137"/>
      <c r="BO223" s="137"/>
      <c r="BP223" s="137"/>
      <c r="BQ223" s="137"/>
      <c r="BR223" s="137"/>
      <c r="BS223" s="137"/>
      <c r="BV223" s="262"/>
      <c r="BW223" s="136"/>
      <c r="BX223" s="137"/>
      <c r="BY223" s="137"/>
      <c r="BZ223" s="137"/>
      <c r="CA223" s="137"/>
      <c r="CB223" s="137"/>
      <c r="CC223" s="258"/>
      <c r="CD223" s="258"/>
      <c r="CE223" s="258"/>
      <c r="CF223" s="258"/>
      <c r="CG223" s="258"/>
      <c r="CH223" s="258"/>
      <c r="CI223" s="258"/>
      <c r="CJ223" s="258"/>
      <c r="CK223" s="258"/>
      <c r="CL223" s="258"/>
      <c r="CM223" s="258"/>
    </row>
    <row r="224" spans="1:91" x14ac:dyDescent="0.25">
      <c r="A224" s="723"/>
      <c r="B224" s="723"/>
      <c r="K224" s="52"/>
      <c r="L224" s="135"/>
      <c r="N224" s="131"/>
      <c r="O224" s="131"/>
      <c r="P224" s="55"/>
      <c r="Q224" s="135"/>
      <c r="R224" s="135"/>
      <c r="U224" s="135"/>
      <c r="V224" s="146"/>
      <c r="W224" s="146"/>
      <c r="X224" s="338"/>
      <c r="Y224" s="338"/>
      <c r="Z224" s="338"/>
      <c r="AA224" s="338"/>
      <c r="AB224" s="338"/>
      <c r="AC224" s="338"/>
      <c r="AF224" s="138"/>
      <c r="AG224" s="138"/>
      <c r="AH224" s="138"/>
      <c r="AI224" s="138"/>
      <c r="AJ224" s="138"/>
      <c r="AM224" s="258"/>
      <c r="AN224" s="258"/>
      <c r="AO224" s="258"/>
      <c r="AP224" s="258"/>
      <c r="AR224" s="137"/>
      <c r="AT224" s="137"/>
      <c r="AV224" s="394"/>
      <c r="AW224" s="137"/>
      <c r="AX224" s="137"/>
      <c r="AY224" s="137"/>
      <c r="AZ224" s="137"/>
      <c r="BA224" s="264"/>
      <c r="BB224" s="258"/>
      <c r="BC224" s="258"/>
      <c r="BD224" s="137"/>
      <c r="BE224" s="137"/>
      <c r="BF224" s="137"/>
      <c r="BG224" s="137"/>
      <c r="BH224" s="137"/>
      <c r="BI224" s="137"/>
      <c r="BJ224" s="137"/>
      <c r="BK224" s="137"/>
      <c r="BL224" s="137"/>
      <c r="BM224" s="137"/>
      <c r="BN224" s="137"/>
      <c r="BO224" s="137"/>
      <c r="BP224" s="137"/>
      <c r="BQ224" s="137"/>
      <c r="BR224" s="137"/>
      <c r="BS224" s="137"/>
      <c r="BV224" s="262"/>
      <c r="BW224" s="136"/>
      <c r="BX224" s="137"/>
      <c r="BY224" s="137"/>
      <c r="BZ224" s="137"/>
      <c r="CA224" s="137"/>
      <c r="CB224" s="137"/>
      <c r="CC224" s="258"/>
      <c r="CD224" s="258"/>
      <c r="CE224" s="258"/>
      <c r="CF224" s="258"/>
      <c r="CG224" s="258"/>
      <c r="CH224" s="258"/>
      <c r="CI224" s="258"/>
      <c r="CJ224" s="258"/>
      <c r="CK224" s="258"/>
      <c r="CL224" s="258"/>
      <c r="CM224" s="258"/>
    </row>
    <row r="225" spans="1:91" x14ac:dyDescent="0.25">
      <c r="A225" s="723"/>
      <c r="B225" s="723"/>
      <c r="K225" s="52"/>
      <c r="L225" s="135"/>
      <c r="N225" s="131"/>
      <c r="O225" s="131"/>
      <c r="P225" s="55"/>
      <c r="Q225" s="135"/>
      <c r="R225" s="135"/>
      <c r="U225" s="135"/>
      <c r="V225" s="146"/>
      <c r="W225" s="146"/>
      <c r="X225" s="338"/>
      <c r="Y225" s="338"/>
      <c r="Z225" s="338"/>
      <c r="AA225" s="338"/>
      <c r="AB225" s="338"/>
      <c r="AC225" s="338"/>
      <c r="AF225" s="138"/>
      <c r="AG225" s="138"/>
      <c r="AH225" s="138"/>
      <c r="AI225" s="138"/>
      <c r="AJ225" s="138"/>
      <c r="AM225" s="258"/>
      <c r="AN225" s="258"/>
      <c r="AO225" s="258"/>
      <c r="AP225" s="258"/>
      <c r="AR225" s="137"/>
      <c r="AT225" s="137"/>
      <c r="AV225" s="394"/>
      <c r="AW225" s="137"/>
      <c r="AX225" s="137"/>
      <c r="AY225" s="137"/>
      <c r="AZ225" s="137"/>
      <c r="BA225" s="264"/>
      <c r="BB225" s="258"/>
      <c r="BC225" s="258"/>
      <c r="BD225" s="137"/>
      <c r="BE225" s="137"/>
      <c r="BF225" s="137"/>
      <c r="BG225" s="137"/>
      <c r="BH225" s="137"/>
      <c r="BI225" s="137"/>
      <c r="BJ225" s="137"/>
      <c r="BK225" s="137"/>
      <c r="BL225" s="137"/>
      <c r="BM225" s="137"/>
      <c r="BN225" s="137"/>
      <c r="BO225" s="137"/>
      <c r="BP225" s="137"/>
      <c r="BQ225" s="137"/>
      <c r="BR225" s="137"/>
      <c r="BS225" s="137"/>
      <c r="BV225" s="262"/>
      <c r="BW225" s="136"/>
      <c r="BX225" s="137"/>
      <c r="BY225" s="137"/>
      <c r="BZ225" s="137"/>
      <c r="CA225" s="137"/>
      <c r="CB225" s="137"/>
      <c r="CC225" s="258"/>
      <c r="CD225" s="258"/>
      <c r="CE225" s="258"/>
      <c r="CF225" s="258"/>
      <c r="CG225" s="258"/>
      <c r="CH225" s="258"/>
      <c r="CI225" s="258"/>
      <c r="CJ225" s="258"/>
      <c r="CK225" s="258"/>
      <c r="CL225" s="258"/>
      <c r="CM225" s="258"/>
    </row>
    <row r="226" spans="1:91" x14ac:dyDescent="0.25">
      <c r="A226" s="723"/>
      <c r="B226" s="723"/>
      <c r="K226" s="52"/>
      <c r="L226" s="135"/>
      <c r="N226" s="131"/>
      <c r="O226" s="131"/>
      <c r="P226" s="55"/>
      <c r="Q226" s="135"/>
      <c r="R226" s="135"/>
      <c r="U226" s="135"/>
      <c r="V226" s="146"/>
      <c r="W226" s="146"/>
      <c r="X226" s="338"/>
      <c r="Y226" s="338"/>
      <c r="Z226" s="338"/>
      <c r="AA226" s="338"/>
      <c r="AB226" s="338"/>
      <c r="AC226" s="338"/>
      <c r="AF226" s="138"/>
      <c r="AG226" s="138"/>
      <c r="AH226" s="138"/>
      <c r="AI226" s="138"/>
      <c r="AJ226" s="138"/>
      <c r="AM226" s="258"/>
      <c r="AN226" s="258"/>
      <c r="AO226" s="258"/>
      <c r="AP226" s="258"/>
      <c r="AR226" s="137"/>
      <c r="AT226" s="137"/>
      <c r="AV226" s="394"/>
      <c r="AW226" s="137"/>
      <c r="AX226" s="137"/>
      <c r="AY226" s="137"/>
      <c r="AZ226" s="137"/>
      <c r="BA226" s="264"/>
      <c r="BB226" s="258"/>
      <c r="BC226" s="258"/>
      <c r="BD226" s="137"/>
      <c r="BE226" s="137"/>
      <c r="BF226" s="137"/>
      <c r="BG226" s="137"/>
      <c r="BH226" s="137"/>
      <c r="BI226" s="137"/>
      <c r="BJ226" s="137"/>
      <c r="BK226" s="137"/>
      <c r="BL226" s="137"/>
      <c r="BM226" s="137"/>
      <c r="BN226" s="137"/>
      <c r="BO226" s="137"/>
      <c r="BP226" s="137"/>
      <c r="BQ226" s="137"/>
      <c r="BR226" s="137"/>
      <c r="BS226" s="137"/>
      <c r="BV226" s="262"/>
      <c r="BW226" s="136"/>
      <c r="BX226" s="137"/>
      <c r="BY226" s="137"/>
      <c r="BZ226" s="137"/>
      <c r="CA226" s="137"/>
      <c r="CB226" s="137"/>
      <c r="CC226" s="258"/>
      <c r="CD226" s="258"/>
      <c r="CE226" s="258"/>
      <c r="CF226" s="258"/>
      <c r="CG226" s="258"/>
      <c r="CH226" s="258"/>
      <c r="CI226" s="258"/>
      <c r="CJ226" s="258"/>
      <c r="CK226" s="258"/>
      <c r="CL226" s="258"/>
      <c r="CM226" s="258"/>
    </row>
    <row r="227" spans="1:91" x14ac:dyDescent="0.25">
      <c r="A227" s="723"/>
      <c r="B227" s="723"/>
      <c r="K227" s="52"/>
      <c r="L227" s="135"/>
      <c r="N227" s="131"/>
      <c r="O227" s="131"/>
      <c r="P227" s="55"/>
      <c r="Q227" s="135"/>
      <c r="R227" s="135"/>
      <c r="U227" s="135"/>
      <c r="V227" s="146"/>
      <c r="W227" s="146"/>
      <c r="X227" s="338"/>
      <c r="Y227" s="338"/>
      <c r="Z227" s="338"/>
      <c r="AA227" s="338"/>
      <c r="AB227" s="338"/>
      <c r="AC227" s="338"/>
      <c r="AF227" s="138"/>
      <c r="AG227" s="138"/>
      <c r="AH227" s="138"/>
      <c r="AI227" s="138"/>
      <c r="AJ227" s="138"/>
      <c r="AM227" s="258"/>
      <c r="AN227" s="258"/>
      <c r="AO227" s="258"/>
      <c r="AP227" s="258"/>
      <c r="AR227" s="137"/>
      <c r="AT227" s="137"/>
      <c r="AV227" s="394"/>
      <c r="AW227" s="137"/>
      <c r="AX227" s="137"/>
      <c r="AY227" s="137"/>
      <c r="AZ227" s="137"/>
      <c r="BA227" s="264"/>
      <c r="BB227" s="258"/>
      <c r="BC227" s="258"/>
      <c r="BD227" s="137"/>
      <c r="BE227" s="137"/>
      <c r="BF227" s="137"/>
      <c r="BG227" s="137"/>
      <c r="BH227" s="137"/>
      <c r="BI227" s="137"/>
      <c r="BJ227" s="137"/>
      <c r="BK227" s="137"/>
      <c r="BL227" s="137"/>
      <c r="BM227" s="137"/>
      <c r="BN227" s="137"/>
      <c r="BO227" s="137"/>
      <c r="BP227" s="137"/>
      <c r="BQ227" s="137"/>
      <c r="BR227" s="137"/>
      <c r="BS227" s="137"/>
      <c r="BV227" s="262"/>
      <c r="BW227" s="136"/>
      <c r="BX227" s="137"/>
      <c r="BY227" s="137"/>
      <c r="BZ227" s="137"/>
      <c r="CA227" s="137"/>
      <c r="CB227" s="137"/>
      <c r="CC227" s="258"/>
      <c r="CD227" s="258"/>
      <c r="CE227" s="258"/>
      <c r="CF227" s="258"/>
      <c r="CG227" s="258"/>
      <c r="CH227" s="258"/>
      <c r="CI227" s="258"/>
      <c r="CJ227" s="258"/>
      <c r="CK227" s="258"/>
      <c r="CL227" s="258"/>
      <c r="CM227" s="258"/>
    </row>
    <row r="228" spans="1:91" x14ac:dyDescent="0.25">
      <c r="A228" s="723"/>
      <c r="B228" s="723"/>
      <c r="K228" s="52"/>
      <c r="L228" s="135"/>
      <c r="N228" s="131"/>
      <c r="O228" s="131"/>
      <c r="P228" s="55"/>
      <c r="Q228" s="135"/>
      <c r="R228" s="135"/>
      <c r="U228" s="135"/>
      <c r="V228" s="146"/>
      <c r="W228" s="146"/>
      <c r="X228" s="338"/>
      <c r="Y228" s="338"/>
      <c r="Z228" s="338"/>
      <c r="AA228" s="338"/>
      <c r="AB228" s="338"/>
      <c r="AC228" s="338"/>
      <c r="AF228" s="138"/>
      <c r="AG228" s="138"/>
      <c r="AH228" s="138"/>
      <c r="AI228" s="138"/>
      <c r="AJ228" s="138"/>
      <c r="AM228" s="258"/>
      <c r="AN228" s="258"/>
      <c r="AO228" s="258"/>
      <c r="AP228" s="258"/>
      <c r="AR228" s="137"/>
      <c r="AT228" s="137"/>
      <c r="AV228" s="394"/>
      <c r="AW228" s="137"/>
      <c r="AX228" s="137"/>
      <c r="AY228" s="137"/>
      <c r="AZ228" s="137"/>
      <c r="BA228" s="264"/>
      <c r="BB228" s="258"/>
      <c r="BC228" s="258"/>
      <c r="BD228" s="137"/>
      <c r="BE228" s="137"/>
      <c r="BF228" s="137"/>
      <c r="BG228" s="137"/>
      <c r="BH228" s="137"/>
      <c r="BI228" s="137"/>
      <c r="BJ228" s="137"/>
      <c r="BK228" s="137"/>
      <c r="BL228" s="137"/>
      <c r="BM228" s="137"/>
      <c r="BN228" s="137"/>
      <c r="BO228" s="137"/>
      <c r="BP228" s="137"/>
      <c r="BQ228" s="137"/>
      <c r="BR228" s="137"/>
      <c r="BS228" s="137"/>
      <c r="BV228" s="262"/>
      <c r="BW228" s="136"/>
      <c r="BX228" s="137"/>
      <c r="BY228" s="137"/>
      <c r="BZ228" s="137"/>
      <c r="CA228" s="137"/>
      <c r="CB228" s="137"/>
      <c r="CC228" s="258"/>
      <c r="CD228" s="258"/>
      <c r="CE228" s="258"/>
      <c r="CF228" s="258"/>
      <c r="CG228" s="258"/>
      <c r="CH228" s="258"/>
      <c r="CI228" s="258"/>
      <c r="CJ228" s="258"/>
      <c r="CK228" s="258"/>
      <c r="CL228" s="258"/>
      <c r="CM228" s="258"/>
    </row>
    <row r="229" spans="1:91" x14ac:dyDescent="0.25">
      <c r="A229" s="723"/>
      <c r="B229" s="723"/>
      <c r="K229" s="52"/>
      <c r="L229" s="135"/>
      <c r="N229" s="131"/>
      <c r="O229" s="131"/>
      <c r="P229" s="55"/>
      <c r="Q229" s="135"/>
      <c r="R229" s="135"/>
      <c r="U229" s="135"/>
      <c r="V229" s="146"/>
      <c r="W229" s="146"/>
      <c r="X229" s="338"/>
      <c r="Y229" s="338"/>
      <c r="Z229" s="338"/>
      <c r="AA229" s="338"/>
      <c r="AB229" s="338"/>
      <c r="AC229" s="338"/>
      <c r="AF229" s="138"/>
      <c r="AG229" s="138"/>
      <c r="AH229" s="138"/>
      <c r="AI229" s="138"/>
      <c r="AJ229" s="138"/>
      <c r="AM229" s="258"/>
      <c r="AN229" s="258"/>
      <c r="AO229" s="258"/>
      <c r="AP229" s="258"/>
      <c r="AR229" s="137"/>
      <c r="AT229" s="137"/>
      <c r="AV229" s="394"/>
      <c r="AW229" s="137"/>
      <c r="AX229" s="137"/>
      <c r="AY229" s="137"/>
      <c r="AZ229" s="137"/>
      <c r="BA229" s="264"/>
      <c r="BB229" s="258"/>
      <c r="BC229" s="258"/>
      <c r="BD229" s="137"/>
      <c r="BE229" s="137"/>
      <c r="BF229" s="137"/>
      <c r="BG229" s="137"/>
      <c r="BH229" s="137"/>
      <c r="BI229" s="137"/>
      <c r="BJ229" s="137"/>
      <c r="BK229" s="137"/>
      <c r="BL229" s="137"/>
      <c r="BM229" s="137"/>
      <c r="BN229" s="137"/>
      <c r="BO229" s="137"/>
      <c r="BP229" s="137"/>
      <c r="BQ229" s="137"/>
      <c r="BR229" s="137"/>
      <c r="BS229" s="137"/>
      <c r="BV229" s="262"/>
      <c r="BW229" s="136"/>
      <c r="BX229" s="137"/>
      <c r="BY229" s="137"/>
      <c r="BZ229" s="137"/>
      <c r="CA229" s="137"/>
      <c r="CB229" s="137"/>
      <c r="CC229" s="258"/>
      <c r="CD229" s="258"/>
      <c r="CE229" s="258"/>
      <c r="CF229" s="258"/>
      <c r="CG229" s="258"/>
      <c r="CH229" s="258"/>
      <c r="CI229" s="258"/>
      <c r="CJ229" s="258"/>
      <c r="CK229" s="258"/>
      <c r="CL229" s="258"/>
      <c r="CM229" s="258"/>
    </row>
    <row r="230" spans="1:91" x14ac:dyDescent="0.25">
      <c r="A230" s="723"/>
      <c r="B230" s="723"/>
      <c r="K230" s="52"/>
      <c r="L230" s="135"/>
      <c r="N230" s="131"/>
      <c r="O230" s="131"/>
      <c r="P230" s="55"/>
      <c r="Q230" s="135"/>
      <c r="R230" s="135"/>
      <c r="U230" s="135"/>
      <c r="V230" s="146"/>
      <c r="W230" s="146"/>
      <c r="X230" s="338"/>
      <c r="Y230" s="338"/>
      <c r="Z230" s="338"/>
      <c r="AA230" s="338"/>
      <c r="AB230" s="338"/>
      <c r="AC230" s="338"/>
      <c r="AF230" s="138"/>
      <c r="AG230" s="138"/>
      <c r="AH230" s="138"/>
      <c r="AI230" s="138"/>
      <c r="AJ230" s="138"/>
      <c r="AM230" s="258"/>
      <c r="AN230" s="258"/>
      <c r="AO230" s="258"/>
      <c r="AP230" s="258"/>
      <c r="AR230" s="137"/>
      <c r="AT230" s="137"/>
      <c r="AV230" s="394"/>
      <c r="AW230" s="137"/>
      <c r="AX230" s="137"/>
      <c r="AY230" s="137"/>
      <c r="AZ230" s="137"/>
      <c r="BA230" s="264"/>
      <c r="BB230" s="258"/>
      <c r="BC230" s="258"/>
      <c r="BD230" s="137"/>
      <c r="BE230" s="137"/>
      <c r="BF230" s="137"/>
      <c r="BG230" s="137"/>
      <c r="BH230" s="137"/>
      <c r="BI230" s="137"/>
      <c r="BJ230" s="137"/>
      <c r="BK230" s="137"/>
      <c r="BL230" s="137"/>
      <c r="BM230" s="137"/>
      <c r="BN230" s="137"/>
      <c r="BO230" s="137"/>
      <c r="BP230" s="137"/>
      <c r="BQ230" s="137"/>
      <c r="BR230" s="137"/>
      <c r="BS230" s="137"/>
      <c r="BV230" s="262"/>
      <c r="BW230" s="136"/>
      <c r="BX230" s="137"/>
      <c r="BY230" s="137"/>
      <c r="BZ230" s="137"/>
      <c r="CA230" s="137"/>
      <c r="CB230" s="137"/>
      <c r="CC230" s="258"/>
      <c r="CD230" s="258"/>
      <c r="CE230" s="258"/>
      <c r="CF230" s="258"/>
      <c r="CG230" s="258"/>
      <c r="CH230" s="258"/>
      <c r="CI230" s="258"/>
      <c r="CJ230" s="258"/>
      <c r="CK230" s="258"/>
      <c r="CL230" s="258"/>
      <c r="CM230" s="258"/>
    </row>
    <row r="231" spans="1:91" x14ac:dyDescent="0.25">
      <c r="A231" s="723"/>
      <c r="B231" s="723"/>
      <c r="K231" s="52"/>
      <c r="L231" s="135"/>
      <c r="N231" s="131"/>
      <c r="O231" s="131"/>
      <c r="P231" s="55"/>
      <c r="Q231" s="135"/>
      <c r="R231" s="135"/>
      <c r="U231" s="135"/>
      <c r="V231" s="146"/>
      <c r="W231" s="146"/>
      <c r="X231" s="338"/>
      <c r="Y231" s="338"/>
      <c r="Z231" s="338"/>
      <c r="AA231" s="338"/>
      <c r="AB231" s="338"/>
      <c r="AC231" s="338"/>
      <c r="AF231" s="138"/>
      <c r="AG231" s="138"/>
      <c r="AH231" s="138"/>
      <c r="AI231" s="138"/>
      <c r="AJ231" s="138"/>
      <c r="AM231" s="258"/>
      <c r="AN231" s="258"/>
      <c r="AO231" s="258"/>
      <c r="AP231" s="258"/>
      <c r="AR231" s="137"/>
      <c r="AT231" s="137"/>
      <c r="AV231" s="394"/>
      <c r="AW231" s="137"/>
      <c r="AX231" s="137"/>
      <c r="AY231" s="137"/>
      <c r="AZ231" s="137"/>
      <c r="BA231" s="264"/>
      <c r="BB231" s="258"/>
      <c r="BC231" s="258"/>
      <c r="BD231" s="137"/>
      <c r="BE231" s="137"/>
      <c r="BF231" s="137"/>
      <c r="BG231" s="137"/>
      <c r="BH231" s="137"/>
      <c r="BI231" s="137"/>
      <c r="BJ231" s="137"/>
      <c r="BK231" s="137"/>
      <c r="BL231" s="137"/>
      <c r="BM231" s="137"/>
      <c r="BN231" s="137"/>
      <c r="BO231" s="137"/>
      <c r="BP231" s="137"/>
      <c r="BQ231" s="137"/>
      <c r="BR231" s="137"/>
      <c r="BS231" s="137"/>
      <c r="BV231" s="262"/>
      <c r="BW231" s="136"/>
      <c r="BX231" s="137"/>
      <c r="BY231" s="137"/>
      <c r="BZ231" s="137"/>
      <c r="CA231" s="137"/>
      <c r="CB231" s="137"/>
      <c r="CC231" s="258"/>
      <c r="CD231" s="258"/>
      <c r="CE231" s="258"/>
      <c r="CF231" s="258"/>
      <c r="CG231" s="258"/>
      <c r="CH231" s="258"/>
      <c r="CI231" s="258"/>
      <c r="CJ231" s="258"/>
      <c r="CK231" s="258"/>
      <c r="CL231" s="258"/>
      <c r="CM231" s="258"/>
    </row>
    <row r="232" spans="1:91" x14ac:dyDescent="0.25">
      <c r="A232" s="723"/>
      <c r="B232" s="723"/>
      <c r="K232" s="52"/>
      <c r="L232" s="135"/>
      <c r="N232" s="131"/>
      <c r="O232" s="131"/>
      <c r="P232" s="55"/>
      <c r="Q232" s="135"/>
      <c r="R232" s="135"/>
      <c r="U232" s="135"/>
      <c r="V232" s="146"/>
      <c r="W232" s="146"/>
      <c r="X232" s="338"/>
      <c r="Y232" s="338"/>
      <c r="Z232" s="338"/>
      <c r="AA232" s="338"/>
      <c r="AB232" s="338"/>
      <c r="AC232" s="338"/>
      <c r="AF232" s="138"/>
      <c r="AG232" s="138"/>
      <c r="AH232" s="138"/>
      <c r="AI232" s="138"/>
      <c r="AJ232" s="138"/>
      <c r="AM232" s="258"/>
      <c r="AN232" s="258"/>
      <c r="AO232" s="258"/>
      <c r="AP232" s="258"/>
      <c r="AR232" s="137"/>
      <c r="AT232" s="137"/>
      <c r="AV232" s="394"/>
      <c r="AW232" s="137"/>
      <c r="AX232" s="137"/>
      <c r="AY232" s="137"/>
      <c r="AZ232" s="137"/>
      <c r="BA232" s="264"/>
      <c r="BB232" s="258"/>
      <c r="BC232" s="258"/>
      <c r="BD232" s="137"/>
      <c r="BE232" s="137"/>
      <c r="BF232" s="137"/>
      <c r="BG232" s="137"/>
      <c r="BH232" s="137"/>
      <c r="BI232" s="137"/>
      <c r="BJ232" s="137"/>
      <c r="BK232" s="137"/>
      <c r="BL232" s="137"/>
      <c r="BM232" s="137"/>
      <c r="BN232" s="137"/>
      <c r="BO232" s="137"/>
      <c r="BP232" s="137"/>
      <c r="BQ232" s="137"/>
      <c r="BR232" s="137"/>
      <c r="BS232" s="137"/>
      <c r="BV232" s="262"/>
      <c r="BW232" s="136"/>
      <c r="BX232" s="137"/>
      <c r="BY232" s="137"/>
      <c r="BZ232" s="137"/>
      <c r="CA232" s="137"/>
      <c r="CB232" s="137"/>
      <c r="CC232" s="258"/>
      <c r="CD232" s="258"/>
      <c r="CE232" s="258"/>
      <c r="CF232" s="258"/>
      <c r="CG232" s="258"/>
      <c r="CH232" s="258"/>
      <c r="CI232" s="258"/>
      <c r="CJ232" s="258"/>
      <c r="CK232" s="258"/>
      <c r="CL232" s="258"/>
      <c r="CM232" s="258"/>
    </row>
    <row r="233" spans="1:91" x14ac:dyDescent="0.25">
      <c r="A233" s="723"/>
      <c r="B233" s="723"/>
      <c r="K233" s="52"/>
      <c r="L233" s="135"/>
      <c r="N233" s="131"/>
      <c r="O233" s="131"/>
      <c r="P233" s="55"/>
      <c r="Q233" s="135"/>
      <c r="R233" s="135"/>
      <c r="U233" s="135"/>
      <c r="V233" s="146"/>
      <c r="W233" s="146"/>
      <c r="X233" s="338"/>
      <c r="Y233" s="338"/>
      <c r="Z233" s="338"/>
      <c r="AA233" s="338"/>
      <c r="AB233" s="338"/>
      <c r="AC233" s="338"/>
      <c r="AF233" s="138"/>
      <c r="AG233" s="138"/>
      <c r="AH233" s="138"/>
      <c r="AI233" s="138"/>
      <c r="AJ233" s="138"/>
      <c r="AM233" s="258"/>
      <c r="AN233" s="258"/>
      <c r="AO233" s="258"/>
      <c r="AP233" s="258"/>
      <c r="AR233" s="137"/>
      <c r="AT233" s="137"/>
      <c r="AV233" s="394"/>
      <c r="AW233" s="137"/>
      <c r="AX233" s="137"/>
      <c r="AY233" s="137"/>
      <c r="AZ233" s="137"/>
      <c r="BA233" s="264"/>
      <c r="BB233" s="258"/>
      <c r="BC233" s="258"/>
      <c r="BD233" s="137"/>
      <c r="BE233" s="137"/>
      <c r="BF233" s="137"/>
      <c r="BG233" s="137"/>
      <c r="BH233" s="137"/>
      <c r="BI233" s="137"/>
      <c r="BJ233" s="137"/>
      <c r="BK233" s="137"/>
      <c r="BL233" s="137"/>
      <c r="BM233" s="137"/>
      <c r="BN233" s="137"/>
      <c r="BO233" s="137"/>
      <c r="BP233" s="137"/>
      <c r="BQ233" s="137"/>
      <c r="BR233" s="137"/>
      <c r="BS233" s="137"/>
      <c r="BV233" s="262"/>
      <c r="BW233" s="136"/>
      <c r="BX233" s="137"/>
      <c r="BY233" s="137"/>
      <c r="BZ233" s="137"/>
      <c r="CA233" s="137"/>
      <c r="CB233" s="137"/>
      <c r="CC233" s="258"/>
      <c r="CD233" s="258"/>
      <c r="CE233" s="258"/>
      <c r="CF233" s="258"/>
      <c r="CG233" s="258"/>
      <c r="CH233" s="258"/>
      <c r="CI233" s="258"/>
      <c r="CJ233" s="258"/>
      <c r="CK233" s="258"/>
      <c r="CL233" s="258"/>
      <c r="CM233" s="258"/>
    </row>
    <row r="234" spans="1:91" x14ac:dyDescent="0.25">
      <c r="A234" s="723"/>
      <c r="B234" s="723"/>
      <c r="K234" s="52"/>
      <c r="L234" s="135"/>
      <c r="N234" s="131"/>
      <c r="O234" s="131"/>
      <c r="P234" s="55"/>
      <c r="Q234" s="135"/>
      <c r="R234" s="135"/>
      <c r="U234" s="135"/>
      <c r="V234" s="146"/>
      <c r="W234" s="146"/>
      <c r="X234" s="338"/>
      <c r="Y234" s="338"/>
      <c r="Z234" s="338"/>
      <c r="AA234" s="338"/>
      <c r="AB234" s="338"/>
      <c r="AC234" s="338"/>
      <c r="AF234" s="138"/>
      <c r="AG234" s="138"/>
      <c r="AH234" s="138"/>
      <c r="AI234" s="138"/>
      <c r="AJ234" s="138"/>
      <c r="AM234" s="258"/>
      <c r="AN234" s="258"/>
      <c r="AO234" s="258"/>
      <c r="AP234" s="258"/>
      <c r="AR234" s="137"/>
      <c r="AT234" s="137"/>
      <c r="AV234" s="394"/>
      <c r="AW234" s="137"/>
      <c r="AX234" s="137"/>
      <c r="AY234" s="137"/>
      <c r="AZ234" s="137"/>
      <c r="BA234" s="264"/>
      <c r="BB234" s="258"/>
      <c r="BC234" s="258"/>
      <c r="BD234" s="137"/>
      <c r="BE234" s="137"/>
      <c r="BF234" s="137"/>
      <c r="BG234" s="137"/>
      <c r="BH234" s="137"/>
      <c r="BI234" s="137"/>
      <c r="BJ234" s="137"/>
      <c r="BK234" s="137"/>
      <c r="BL234" s="137"/>
      <c r="BM234" s="137"/>
      <c r="BN234" s="137"/>
      <c r="BO234" s="137"/>
      <c r="BP234" s="137"/>
      <c r="BQ234" s="137"/>
      <c r="BR234" s="137"/>
      <c r="BS234" s="137"/>
      <c r="BV234" s="262"/>
      <c r="BW234" s="136"/>
      <c r="BX234" s="137"/>
      <c r="BY234" s="137"/>
      <c r="BZ234" s="137"/>
      <c r="CA234" s="137"/>
      <c r="CB234" s="137"/>
      <c r="CC234" s="258"/>
      <c r="CD234" s="258"/>
      <c r="CE234" s="258"/>
      <c r="CF234" s="258"/>
      <c r="CG234" s="258"/>
      <c r="CH234" s="258"/>
      <c r="CI234" s="258"/>
      <c r="CJ234" s="258"/>
      <c r="CK234" s="258"/>
      <c r="CL234" s="258"/>
      <c r="CM234" s="258"/>
    </row>
    <row r="235" spans="1:91" x14ac:dyDescent="0.25">
      <c r="A235" s="723"/>
      <c r="B235" s="723"/>
      <c r="K235" s="52"/>
      <c r="L235" s="135"/>
      <c r="N235" s="131"/>
      <c r="O235" s="131"/>
      <c r="P235" s="55"/>
      <c r="Q235" s="135"/>
      <c r="R235" s="135"/>
      <c r="U235" s="135"/>
      <c r="V235" s="146"/>
      <c r="W235" s="146"/>
      <c r="X235" s="338"/>
      <c r="Y235" s="338"/>
      <c r="Z235" s="338"/>
      <c r="AA235" s="338"/>
      <c r="AB235" s="338"/>
      <c r="AC235" s="338"/>
      <c r="AF235" s="138"/>
      <c r="AG235" s="138"/>
      <c r="AH235" s="138"/>
      <c r="AI235" s="138"/>
      <c r="AJ235" s="138"/>
      <c r="AM235" s="258"/>
      <c r="AN235" s="258"/>
      <c r="AO235" s="258"/>
      <c r="AP235" s="258"/>
      <c r="AR235" s="137"/>
      <c r="AT235" s="137"/>
      <c r="AV235" s="394"/>
      <c r="AW235" s="137"/>
      <c r="AX235" s="137"/>
      <c r="AY235" s="137"/>
      <c r="AZ235" s="137"/>
      <c r="BA235" s="264"/>
      <c r="BB235" s="258"/>
      <c r="BC235" s="258"/>
      <c r="BD235" s="137"/>
      <c r="BE235" s="137"/>
      <c r="BF235" s="137"/>
      <c r="BG235" s="137"/>
      <c r="BH235" s="137"/>
      <c r="BI235" s="137"/>
      <c r="BJ235" s="137"/>
      <c r="BK235" s="137"/>
      <c r="BL235" s="137"/>
      <c r="BM235" s="137"/>
      <c r="BN235" s="137"/>
      <c r="BO235" s="137"/>
      <c r="BP235" s="137"/>
      <c r="BQ235" s="137"/>
      <c r="BR235" s="137"/>
      <c r="BS235" s="137"/>
      <c r="BV235" s="262"/>
      <c r="BW235" s="136"/>
      <c r="BX235" s="137"/>
      <c r="BY235" s="137"/>
      <c r="BZ235" s="137"/>
      <c r="CA235" s="137"/>
      <c r="CB235" s="137"/>
      <c r="CC235" s="258"/>
      <c r="CD235" s="258"/>
      <c r="CE235" s="258"/>
      <c r="CF235" s="258"/>
      <c r="CG235" s="258"/>
      <c r="CH235" s="258"/>
      <c r="CI235" s="258"/>
      <c r="CJ235" s="258"/>
      <c r="CK235" s="258"/>
      <c r="CL235" s="258"/>
      <c r="CM235" s="258"/>
    </row>
    <row r="236" spans="1:91" x14ac:dyDescent="0.25">
      <c r="A236" s="723"/>
      <c r="B236" s="723"/>
      <c r="K236" s="52"/>
      <c r="L236" s="135"/>
      <c r="N236" s="131"/>
      <c r="O236" s="131"/>
      <c r="P236" s="55"/>
      <c r="Q236" s="135"/>
      <c r="R236" s="135"/>
      <c r="U236" s="135"/>
      <c r="V236" s="146"/>
      <c r="W236" s="146"/>
      <c r="X236" s="338"/>
      <c r="Y236" s="338"/>
      <c r="Z236" s="338"/>
      <c r="AA236" s="338"/>
      <c r="AB236" s="338"/>
      <c r="AC236" s="338"/>
      <c r="AF236" s="138"/>
      <c r="AG236" s="138"/>
      <c r="AH236" s="138"/>
      <c r="AI236" s="138"/>
      <c r="AJ236" s="138"/>
      <c r="AM236" s="258"/>
      <c r="AN236" s="258"/>
      <c r="AO236" s="258"/>
      <c r="AP236" s="258"/>
      <c r="AR236" s="137"/>
      <c r="AT236" s="137"/>
      <c r="AV236" s="394"/>
      <c r="AW236" s="137"/>
      <c r="AX236" s="137"/>
      <c r="AY236" s="137"/>
      <c r="AZ236" s="137"/>
      <c r="BA236" s="264"/>
      <c r="BB236" s="258"/>
      <c r="BC236" s="258"/>
      <c r="BD236" s="137"/>
      <c r="BE236" s="137"/>
      <c r="BF236" s="137"/>
      <c r="BG236" s="137"/>
      <c r="BH236" s="137"/>
      <c r="BI236" s="137"/>
      <c r="BJ236" s="137"/>
      <c r="BK236" s="137"/>
      <c r="BL236" s="137"/>
      <c r="BM236" s="137"/>
      <c r="BN236" s="137"/>
      <c r="BO236" s="137"/>
      <c r="BP236" s="137"/>
      <c r="BQ236" s="137"/>
      <c r="BR236" s="137"/>
      <c r="BS236" s="137"/>
      <c r="BV236" s="262"/>
      <c r="BW236" s="136"/>
      <c r="BX236" s="137"/>
      <c r="BY236" s="137"/>
      <c r="BZ236" s="137"/>
      <c r="CA236" s="137"/>
      <c r="CB236" s="137"/>
      <c r="CC236" s="258"/>
      <c r="CD236" s="258"/>
      <c r="CE236" s="258"/>
      <c r="CF236" s="258"/>
      <c r="CG236" s="258"/>
      <c r="CH236" s="258"/>
      <c r="CI236" s="258"/>
      <c r="CJ236" s="258"/>
      <c r="CK236" s="258"/>
      <c r="CL236" s="258"/>
      <c r="CM236" s="258"/>
    </row>
    <row r="237" spans="1:91" x14ac:dyDescent="0.25">
      <c r="A237" s="723"/>
      <c r="B237" s="723"/>
      <c r="K237" s="52"/>
      <c r="L237" s="135"/>
      <c r="N237" s="131"/>
      <c r="O237" s="131"/>
      <c r="P237" s="55"/>
      <c r="Q237" s="135"/>
      <c r="R237" s="135"/>
      <c r="U237" s="135"/>
      <c r="V237" s="146"/>
      <c r="W237" s="146"/>
      <c r="X237" s="338"/>
      <c r="Y237" s="338"/>
      <c r="Z237" s="338"/>
      <c r="AA237" s="338"/>
      <c r="AB237" s="338"/>
      <c r="AC237" s="338"/>
      <c r="AF237" s="138"/>
      <c r="AG237" s="138"/>
      <c r="AH237" s="138"/>
      <c r="AI237" s="138"/>
      <c r="AJ237" s="138"/>
      <c r="AM237" s="258"/>
      <c r="AN237" s="258"/>
      <c r="AO237" s="258"/>
      <c r="AP237" s="258"/>
      <c r="AR237" s="137"/>
      <c r="AT237" s="137"/>
      <c r="AV237" s="394"/>
      <c r="AW237" s="137"/>
      <c r="AX237" s="137"/>
      <c r="AY237" s="137"/>
      <c r="AZ237" s="137"/>
      <c r="BA237" s="264"/>
      <c r="BB237" s="258"/>
      <c r="BC237" s="258"/>
      <c r="BD237" s="137"/>
      <c r="BE237" s="137"/>
      <c r="BF237" s="137"/>
      <c r="BG237" s="137"/>
      <c r="BH237" s="137"/>
      <c r="BI237" s="137"/>
      <c r="BJ237" s="137"/>
      <c r="BK237" s="137"/>
      <c r="BL237" s="137"/>
      <c r="BM237" s="137"/>
      <c r="BN237" s="137"/>
      <c r="BO237" s="137"/>
      <c r="BP237" s="137"/>
      <c r="BQ237" s="137"/>
      <c r="BR237" s="137"/>
      <c r="BS237" s="137"/>
      <c r="BV237" s="262"/>
      <c r="BW237" s="136"/>
      <c r="BX237" s="137"/>
      <c r="BY237" s="137"/>
      <c r="BZ237" s="137"/>
      <c r="CA237" s="137"/>
      <c r="CB237" s="137"/>
      <c r="CC237" s="258"/>
      <c r="CD237" s="258"/>
      <c r="CE237" s="258"/>
      <c r="CF237" s="258"/>
      <c r="CG237" s="258"/>
      <c r="CH237" s="258"/>
      <c r="CI237" s="258"/>
      <c r="CJ237" s="258"/>
      <c r="CK237" s="258"/>
      <c r="CL237" s="258"/>
      <c r="CM237" s="258"/>
    </row>
    <row r="238" spans="1:91" x14ac:dyDescent="0.25">
      <c r="A238" s="723"/>
      <c r="B238" s="723"/>
      <c r="K238" s="52"/>
      <c r="L238" s="135"/>
      <c r="N238" s="131"/>
      <c r="O238" s="131"/>
      <c r="P238" s="55"/>
      <c r="Q238" s="135"/>
      <c r="R238" s="135"/>
      <c r="U238" s="135"/>
      <c r="V238" s="146"/>
      <c r="W238" s="146"/>
      <c r="X238" s="338"/>
      <c r="Y238" s="338"/>
      <c r="Z238" s="338"/>
      <c r="AA238" s="338"/>
      <c r="AB238" s="338"/>
      <c r="AC238" s="338"/>
      <c r="AF238" s="138"/>
      <c r="AG238" s="138"/>
      <c r="AH238" s="138"/>
      <c r="AI238" s="138"/>
      <c r="AJ238" s="138"/>
      <c r="AM238" s="258"/>
      <c r="AN238" s="258"/>
      <c r="AO238" s="258"/>
      <c r="AP238" s="258"/>
      <c r="AR238" s="137"/>
      <c r="AT238" s="137"/>
      <c r="AV238" s="394"/>
      <c r="AW238" s="137"/>
      <c r="AX238" s="137"/>
      <c r="AY238" s="137"/>
      <c r="AZ238" s="137"/>
      <c r="BA238" s="264"/>
      <c r="BB238" s="258"/>
      <c r="BC238" s="258"/>
      <c r="BD238" s="137"/>
      <c r="BE238" s="137"/>
      <c r="BF238" s="137"/>
      <c r="BG238" s="137"/>
      <c r="BH238" s="137"/>
      <c r="BI238" s="137"/>
      <c r="BJ238" s="137"/>
      <c r="BK238" s="137"/>
      <c r="BL238" s="137"/>
      <c r="BM238" s="137"/>
      <c r="BN238" s="137"/>
      <c r="BO238" s="137"/>
      <c r="BP238" s="137"/>
      <c r="BQ238" s="137"/>
      <c r="BR238" s="137"/>
      <c r="BS238" s="137"/>
      <c r="BV238" s="262"/>
      <c r="BW238" s="136"/>
      <c r="BX238" s="137"/>
      <c r="BY238" s="137"/>
      <c r="BZ238" s="137"/>
      <c r="CA238" s="137"/>
      <c r="CB238" s="137"/>
      <c r="CC238" s="258"/>
      <c r="CD238" s="258"/>
      <c r="CE238" s="258"/>
      <c r="CF238" s="258"/>
      <c r="CG238" s="258"/>
      <c r="CH238" s="258"/>
      <c r="CI238" s="258"/>
      <c r="CJ238" s="258"/>
      <c r="CK238" s="258"/>
      <c r="CL238" s="258"/>
      <c r="CM238" s="258"/>
    </row>
    <row r="239" spans="1:91" x14ac:dyDescent="0.25">
      <c r="A239" s="723"/>
      <c r="B239" s="723"/>
      <c r="K239" s="52"/>
      <c r="L239" s="135"/>
      <c r="N239" s="131"/>
      <c r="O239" s="131"/>
      <c r="P239" s="55"/>
      <c r="Q239" s="135"/>
      <c r="R239" s="135"/>
      <c r="U239" s="135"/>
      <c r="V239" s="146"/>
      <c r="W239" s="146"/>
      <c r="X239" s="338"/>
      <c r="Y239" s="338"/>
      <c r="Z239" s="338"/>
      <c r="AA239" s="338"/>
      <c r="AB239" s="338"/>
      <c r="AC239" s="338"/>
      <c r="AF239" s="138"/>
      <c r="AG239" s="138"/>
      <c r="AH239" s="138"/>
      <c r="AI239" s="138"/>
      <c r="AJ239" s="138"/>
      <c r="AM239" s="258"/>
      <c r="AN239" s="258"/>
      <c r="AO239" s="258"/>
      <c r="AP239" s="258"/>
      <c r="AR239" s="137"/>
      <c r="AT239" s="137"/>
      <c r="AV239" s="394"/>
      <c r="AW239" s="137"/>
      <c r="AX239" s="137"/>
      <c r="AY239" s="137"/>
      <c r="AZ239" s="137"/>
      <c r="BA239" s="264"/>
      <c r="BB239" s="258"/>
      <c r="BC239" s="258"/>
      <c r="BD239" s="137"/>
      <c r="BE239" s="137"/>
      <c r="BF239" s="137"/>
      <c r="BG239" s="137"/>
      <c r="BH239" s="137"/>
      <c r="BI239" s="137"/>
      <c r="BJ239" s="137"/>
      <c r="BK239" s="137"/>
      <c r="BL239" s="137"/>
      <c r="BM239" s="137"/>
      <c r="BN239" s="137"/>
      <c r="BO239" s="137"/>
      <c r="BP239" s="137"/>
      <c r="BQ239" s="137"/>
      <c r="BR239" s="137"/>
      <c r="BS239" s="137"/>
      <c r="BV239" s="262"/>
      <c r="BW239" s="136"/>
      <c r="BX239" s="137"/>
      <c r="BY239" s="137"/>
      <c r="BZ239" s="137"/>
      <c r="CA239" s="137"/>
      <c r="CB239" s="137"/>
      <c r="CC239" s="258"/>
      <c r="CD239" s="258"/>
      <c r="CE239" s="258"/>
      <c r="CF239" s="258"/>
      <c r="CG239" s="258"/>
      <c r="CH239" s="258"/>
      <c r="CI239" s="258"/>
      <c r="CJ239" s="258"/>
      <c r="CK239" s="258"/>
      <c r="CL239" s="258"/>
      <c r="CM239" s="258"/>
    </row>
    <row r="240" spans="1:91" x14ac:dyDescent="0.25">
      <c r="A240" s="723"/>
      <c r="B240" s="723"/>
      <c r="K240" s="52"/>
      <c r="L240" s="135"/>
      <c r="N240" s="131"/>
      <c r="O240" s="131"/>
      <c r="P240" s="55"/>
      <c r="Q240" s="135"/>
      <c r="R240" s="135"/>
      <c r="U240" s="135"/>
      <c r="V240" s="146"/>
      <c r="W240" s="146"/>
      <c r="X240" s="338"/>
      <c r="Y240" s="338"/>
      <c r="Z240" s="338"/>
      <c r="AA240" s="338"/>
      <c r="AB240" s="338"/>
      <c r="AC240" s="338"/>
      <c r="AF240" s="138"/>
      <c r="AG240" s="138"/>
      <c r="AH240" s="138"/>
      <c r="AI240" s="138"/>
      <c r="AJ240" s="138"/>
      <c r="AM240" s="258"/>
      <c r="AN240" s="258"/>
      <c r="AO240" s="258"/>
      <c r="AP240" s="258"/>
      <c r="AR240" s="137"/>
      <c r="AT240" s="137"/>
      <c r="AV240" s="394"/>
      <c r="AW240" s="137"/>
      <c r="AX240" s="137"/>
      <c r="AY240" s="137"/>
      <c r="AZ240" s="137"/>
      <c r="BA240" s="264"/>
      <c r="BB240" s="258"/>
      <c r="BC240" s="258"/>
      <c r="BD240" s="137"/>
      <c r="BE240" s="137"/>
      <c r="BF240" s="137"/>
      <c r="BG240" s="137"/>
      <c r="BH240" s="137"/>
      <c r="BI240" s="137"/>
      <c r="BJ240" s="137"/>
      <c r="BK240" s="137"/>
      <c r="BL240" s="137"/>
      <c r="BM240" s="137"/>
      <c r="BN240" s="137"/>
      <c r="BO240" s="137"/>
      <c r="BP240" s="137"/>
      <c r="BQ240" s="137"/>
      <c r="BR240" s="137"/>
      <c r="BS240" s="137"/>
      <c r="BV240" s="262"/>
      <c r="BW240" s="136"/>
      <c r="BX240" s="137"/>
      <c r="BY240" s="137"/>
      <c r="BZ240" s="137"/>
      <c r="CA240" s="137"/>
      <c r="CB240" s="137"/>
      <c r="CC240" s="258"/>
      <c r="CD240" s="258"/>
      <c r="CE240" s="258"/>
      <c r="CF240" s="258"/>
      <c r="CG240" s="258"/>
      <c r="CH240" s="258"/>
      <c r="CI240" s="258"/>
      <c r="CJ240" s="258"/>
      <c r="CK240" s="258"/>
      <c r="CL240" s="258"/>
      <c r="CM240" s="258"/>
    </row>
    <row r="241" spans="1:91" x14ac:dyDescent="0.25">
      <c r="A241" s="723"/>
      <c r="B241" s="723"/>
      <c r="K241" s="52"/>
      <c r="L241" s="135"/>
      <c r="N241" s="131"/>
      <c r="O241" s="131"/>
      <c r="P241" s="55"/>
      <c r="Q241" s="135"/>
      <c r="R241" s="135"/>
      <c r="U241" s="135"/>
      <c r="V241" s="146"/>
      <c r="W241" s="146"/>
      <c r="X241" s="338"/>
      <c r="Y241" s="338"/>
      <c r="Z241" s="338"/>
      <c r="AA241" s="338"/>
      <c r="AB241" s="338"/>
      <c r="AC241" s="338"/>
      <c r="AF241" s="138"/>
      <c r="AG241" s="138"/>
      <c r="AH241" s="138"/>
      <c r="AI241" s="138"/>
      <c r="AJ241" s="138"/>
      <c r="AM241" s="258"/>
      <c r="AN241" s="258"/>
      <c r="AO241" s="258"/>
      <c r="AP241" s="258"/>
      <c r="AR241" s="137"/>
      <c r="AT241" s="137"/>
      <c r="AV241" s="394"/>
      <c r="AW241" s="137"/>
      <c r="AX241" s="137"/>
      <c r="AY241" s="137"/>
      <c r="AZ241" s="137"/>
      <c r="BA241" s="264"/>
      <c r="BB241" s="258"/>
      <c r="BC241" s="258"/>
      <c r="BD241" s="137"/>
      <c r="BE241" s="137"/>
      <c r="BF241" s="137"/>
      <c r="BG241" s="137"/>
      <c r="BH241" s="137"/>
      <c r="BI241" s="137"/>
      <c r="BJ241" s="137"/>
      <c r="BK241" s="137"/>
      <c r="BL241" s="137"/>
      <c r="BM241" s="137"/>
      <c r="BN241" s="137"/>
      <c r="BO241" s="137"/>
      <c r="BP241" s="137"/>
      <c r="BQ241" s="137"/>
      <c r="BR241" s="137"/>
      <c r="BS241" s="137"/>
      <c r="BV241" s="262"/>
      <c r="BW241" s="136"/>
      <c r="BX241" s="137"/>
      <c r="BY241" s="137"/>
      <c r="BZ241" s="137"/>
      <c r="CA241" s="137"/>
      <c r="CB241" s="137"/>
      <c r="CC241" s="258"/>
      <c r="CD241" s="258"/>
      <c r="CE241" s="258"/>
      <c r="CF241" s="258"/>
      <c r="CG241" s="258"/>
      <c r="CH241" s="258"/>
      <c r="CI241" s="258"/>
      <c r="CJ241" s="258"/>
      <c r="CK241" s="258"/>
      <c r="CL241" s="258"/>
      <c r="CM241" s="258"/>
    </row>
    <row r="242" spans="1:91" x14ac:dyDescent="0.25">
      <c r="A242" s="723"/>
      <c r="B242" s="723"/>
      <c r="K242" s="52"/>
      <c r="L242" s="135"/>
      <c r="N242" s="131"/>
      <c r="O242" s="131"/>
      <c r="P242" s="55"/>
      <c r="Q242" s="135"/>
      <c r="R242" s="135"/>
      <c r="U242" s="135"/>
      <c r="V242" s="146"/>
      <c r="W242" s="146"/>
      <c r="X242" s="338"/>
      <c r="Y242" s="338"/>
      <c r="Z242" s="338"/>
      <c r="AA242" s="338"/>
      <c r="AB242" s="338"/>
      <c r="AC242" s="338"/>
      <c r="AF242" s="138"/>
      <c r="AG242" s="138"/>
      <c r="AH242" s="138"/>
      <c r="AI242" s="138"/>
      <c r="AJ242" s="138"/>
      <c r="AM242" s="258"/>
      <c r="AN242" s="258"/>
      <c r="AO242" s="258"/>
      <c r="AP242" s="258"/>
      <c r="AR242" s="137"/>
      <c r="AT242" s="137"/>
      <c r="AV242" s="394"/>
      <c r="AW242" s="137"/>
      <c r="AX242" s="137"/>
      <c r="AY242" s="137"/>
      <c r="AZ242" s="137"/>
      <c r="BA242" s="264"/>
      <c r="BB242" s="258"/>
      <c r="BC242" s="258"/>
      <c r="BD242" s="137"/>
      <c r="BE242" s="137"/>
      <c r="BF242" s="137"/>
      <c r="BG242" s="137"/>
      <c r="BH242" s="137"/>
      <c r="BI242" s="137"/>
      <c r="BJ242" s="137"/>
      <c r="BK242" s="137"/>
      <c r="BL242" s="137"/>
      <c r="BM242" s="137"/>
      <c r="BN242" s="137"/>
      <c r="BO242" s="137"/>
      <c r="BP242" s="137"/>
      <c r="BQ242" s="137"/>
      <c r="BR242" s="137"/>
      <c r="BS242" s="137"/>
      <c r="BV242" s="262"/>
      <c r="BW242" s="136"/>
      <c r="BX242" s="137"/>
      <c r="BY242" s="137"/>
      <c r="BZ242" s="137"/>
      <c r="CA242" s="137"/>
      <c r="CB242" s="137"/>
      <c r="CC242" s="258"/>
      <c r="CD242" s="258"/>
      <c r="CE242" s="258"/>
      <c r="CF242" s="258"/>
      <c r="CG242" s="258"/>
      <c r="CH242" s="258"/>
      <c r="CI242" s="258"/>
      <c r="CJ242" s="258"/>
      <c r="CK242" s="258"/>
      <c r="CL242" s="258"/>
      <c r="CM242" s="258"/>
    </row>
    <row r="243" spans="1:91" x14ac:dyDescent="0.25">
      <c r="A243" s="723"/>
      <c r="B243" s="723"/>
      <c r="K243" s="52"/>
      <c r="L243" s="135"/>
      <c r="N243" s="131"/>
      <c r="O243" s="131"/>
      <c r="P243" s="55"/>
      <c r="Q243" s="135"/>
      <c r="R243" s="135"/>
      <c r="U243" s="135"/>
      <c r="V243" s="146"/>
      <c r="W243" s="146"/>
      <c r="X243" s="338"/>
      <c r="Y243" s="338"/>
      <c r="Z243" s="338"/>
      <c r="AA243" s="338"/>
      <c r="AB243" s="338"/>
      <c r="AC243" s="338"/>
      <c r="AF243" s="138"/>
      <c r="AG243" s="138"/>
      <c r="AH243" s="138"/>
      <c r="AI243" s="138"/>
      <c r="AJ243" s="138"/>
      <c r="AM243" s="258"/>
      <c r="AN243" s="258"/>
      <c r="AO243" s="258"/>
      <c r="AP243" s="258"/>
      <c r="AR243" s="137"/>
      <c r="AT243" s="137"/>
      <c r="AV243" s="394"/>
      <c r="AW243" s="137"/>
      <c r="AX243" s="137"/>
      <c r="AY243" s="137"/>
      <c r="AZ243" s="137"/>
      <c r="BA243" s="264"/>
      <c r="BB243" s="258"/>
      <c r="BC243" s="258"/>
      <c r="BD243" s="137"/>
      <c r="BE243" s="137"/>
      <c r="BF243" s="137"/>
      <c r="BG243" s="137"/>
      <c r="BH243" s="137"/>
      <c r="BI243" s="137"/>
      <c r="BJ243" s="137"/>
      <c r="BK243" s="137"/>
      <c r="BL243" s="137"/>
      <c r="BM243" s="137"/>
      <c r="BN243" s="137"/>
      <c r="BO243" s="137"/>
      <c r="BP243" s="137"/>
      <c r="BQ243" s="137"/>
      <c r="BR243" s="137"/>
      <c r="BS243" s="137"/>
      <c r="BV243" s="262"/>
      <c r="BW243" s="136"/>
      <c r="BX243" s="137"/>
      <c r="BY243" s="137"/>
      <c r="BZ243" s="137"/>
      <c r="CA243" s="137"/>
      <c r="CB243" s="137"/>
      <c r="CC243" s="258"/>
      <c r="CD243" s="258"/>
      <c r="CE243" s="258"/>
      <c r="CF243" s="258"/>
      <c r="CG243" s="258"/>
      <c r="CH243" s="258"/>
      <c r="CI243" s="258"/>
      <c r="CJ243" s="258"/>
      <c r="CK243" s="258"/>
      <c r="CL243" s="258"/>
      <c r="CM243" s="258"/>
    </row>
    <row r="244" spans="1:91" x14ac:dyDescent="0.25">
      <c r="A244" s="723"/>
      <c r="B244" s="723"/>
      <c r="K244" s="52"/>
      <c r="L244" s="135"/>
      <c r="N244" s="131"/>
      <c r="O244" s="131"/>
      <c r="P244" s="55"/>
      <c r="Q244" s="135"/>
      <c r="R244" s="135"/>
      <c r="U244" s="135"/>
      <c r="V244" s="146"/>
      <c r="W244" s="146"/>
      <c r="X244" s="338"/>
      <c r="Y244" s="338"/>
      <c r="Z244" s="338"/>
      <c r="AA244" s="338"/>
      <c r="AB244" s="338"/>
      <c r="AC244" s="338"/>
      <c r="AF244" s="138"/>
      <c r="AG244" s="138"/>
      <c r="AH244" s="138"/>
      <c r="AI244" s="138"/>
      <c r="AJ244" s="138"/>
      <c r="AM244" s="258"/>
      <c r="AN244" s="258"/>
      <c r="AO244" s="258"/>
      <c r="AP244" s="258"/>
      <c r="AR244" s="137"/>
      <c r="AT244" s="137"/>
      <c r="AV244" s="394"/>
      <c r="AW244" s="137"/>
      <c r="AX244" s="137"/>
      <c r="AY244" s="137"/>
      <c r="AZ244" s="137"/>
      <c r="BA244" s="264"/>
      <c r="BB244" s="258"/>
      <c r="BC244" s="258"/>
      <c r="BD244" s="137"/>
      <c r="BE244" s="137"/>
      <c r="BF244" s="137"/>
      <c r="BG244" s="137"/>
      <c r="BH244" s="137"/>
      <c r="BI244" s="137"/>
      <c r="BJ244" s="137"/>
      <c r="BK244" s="137"/>
      <c r="BL244" s="137"/>
      <c r="BM244" s="137"/>
      <c r="BN244" s="137"/>
      <c r="BO244" s="137"/>
      <c r="BP244" s="137"/>
      <c r="BQ244" s="137"/>
      <c r="BR244" s="137"/>
      <c r="BS244" s="137"/>
      <c r="BV244" s="262"/>
      <c r="BW244" s="136"/>
      <c r="BX244" s="137"/>
      <c r="BY244" s="137"/>
      <c r="BZ244" s="137"/>
      <c r="CA244" s="137"/>
      <c r="CB244" s="137"/>
      <c r="CC244" s="258"/>
      <c r="CD244" s="258"/>
      <c r="CE244" s="258"/>
      <c r="CF244" s="258"/>
      <c r="CG244" s="258"/>
      <c r="CH244" s="258"/>
      <c r="CI244" s="258"/>
      <c r="CJ244" s="258"/>
      <c r="CK244" s="258"/>
      <c r="CL244" s="258"/>
      <c r="CM244" s="258"/>
    </row>
    <row r="245" spans="1:91" x14ac:dyDescent="0.25">
      <c r="A245" s="723"/>
      <c r="B245" s="723"/>
      <c r="K245" s="52"/>
      <c r="L245" s="135"/>
      <c r="N245" s="131"/>
      <c r="O245" s="131"/>
      <c r="P245" s="55"/>
      <c r="Q245" s="135"/>
      <c r="R245" s="135"/>
      <c r="U245" s="135"/>
      <c r="V245" s="146"/>
      <c r="W245" s="146"/>
      <c r="X245" s="338"/>
      <c r="Y245" s="338"/>
      <c r="Z245" s="338"/>
      <c r="AA245" s="338"/>
      <c r="AB245" s="338"/>
      <c r="AC245" s="338"/>
      <c r="AF245" s="138"/>
      <c r="AG245" s="138"/>
      <c r="AH245" s="138"/>
      <c r="AI245" s="138"/>
      <c r="AJ245" s="138"/>
      <c r="AM245" s="258"/>
      <c r="AN245" s="258"/>
      <c r="AO245" s="258"/>
      <c r="AP245" s="258"/>
      <c r="AR245" s="137"/>
      <c r="AT245" s="137"/>
      <c r="AV245" s="394"/>
      <c r="AW245" s="137"/>
      <c r="AX245" s="137"/>
      <c r="AY245" s="137"/>
      <c r="AZ245" s="137"/>
      <c r="BA245" s="264"/>
      <c r="BB245" s="258"/>
      <c r="BC245" s="258"/>
      <c r="BD245" s="137"/>
      <c r="BE245" s="137"/>
      <c r="BF245" s="137"/>
      <c r="BG245" s="137"/>
      <c r="BH245" s="137"/>
      <c r="BI245" s="137"/>
      <c r="BJ245" s="137"/>
      <c r="BK245" s="137"/>
      <c r="BL245" s="137"/>
      <c r="BM245" s="137"/>
      <c r="BN245" s="137"/>
      <c r="BO245" s="137"/>
      <c r="BP245" s="137"/>
      <c r="BQ245" s="137"/>
      <c r="BR245" s="137"/>
      <c r="BS245" s="137"/>
      <c r="BV245" s="262"/>
      <c r="BW245" s="136"/>
      <c r="BX245" s="137"/>
      <c r="BY245" s="137"/>
      <c r="BZ245" s="137"/>
      <c r="CA245" s="137"/>
      <c r="CB245" s="137"/>
      <c r="CC245" s="258"/>
      <c r="CD245" s="258"/>
      <c r="CE245" s="258"/>
      <c r="CF245" s="258"/>
      <c r="CG245" s="258"/>
      <c r="CH245" s="258"/>
      <c r="CI245" s="258"/>
      <c r="CJ245" s="258"/>
      <c r="CK245" s="258"/>
      <c r="CL245" s="258"/>
      <c r="CM245" s="258"/>
    </row>
    <row r="246" spans="1:91" x14ac:dyDescent="0.25">
      <c r="A246" s="723"/>
      <c r="B246" s="723"/>
      <c r="K246" s="52"/>
      <c r="L246" s="135"/>
      <c r="N246" s="131"/>
      <c r="O246" s="131"/>
      <c r="P246" s="55"/>
      <c r="Q246" s="135"/>
      <c r="R246" s="135"/>
      <c r="U246" s="135"/>
      <c r="V246" s="146"/>
      <c r="W246" s="146"/>
      <c r="X246" s="338"/>
      <c r="Y246" s="338"/>
      <c r="Z246" s="338"/>
      <c r="AA246" s="338"/>
      <c r="AB246" s="338"/>
      <c r="AC246" s="338"/>
      <c r="AF246" s="138"/>
      <c r="AG246" s="138"/>
      <c r="AH246" s="138"/>
      <c r="AI246" s="138"/>
      <c r="AJ246" s="138"/>
      <c r="AM246" s="258"/>
      <c r="AN246" s="258"/>
      <c r="AO246" s="258"/>
      <c r="AP246" s="258"/>
      <c r="AR246" s="137"/>
      <c r="AT246" s="137"/>
      <c r="AV246" s="394"/>
      <c r="AW246" s="137"/>
      <c r="AX246" s="137"/>
      <c r="AY246" s="137"/>
      <c r="AZ246" s="137"/>
      <c r="BA246" s="264"/>
      <c r="BB246" s="258"/>
      <c r="BC246" s="258"/>
      <c r="BD246" s="137"/>
      <c r="BE246" s="137"/>
      <c r="BF246" s="137"/>
      <c r="BG246" s="137"/>
      <c r="BH246" s="137"/>
      <c r="BI246" s="137"/>
      <c r="BJ246" s="137"/>
      <c r="BK246" s="137"/>
      <c r="BL246" s="137"/>
      <c r="BM246" s="137"/>
      <c r="BN246" s="137"/>
      <c r="BO246" s="137"/>
      <c r="BP246" s="137"/>
      <c r="BQ246" s="137"/>
      <c r="BR246" s="137"/>
      <c r="BS246" s="137"/>
      <c r="BV246" s="262"/>
      <c r="BW246" s="136"/>
      <c r="BX246" s="137"/>
      <c r="BY246" s="137"/>
      <c r="BZ246" s="137"/>
      <c r="CA246" s="137"/>
      <c r="CB246" s="137"/>
      <c r="CC246" s="258"/>
      <c r="CD246" s="258"/>
      <c r="CE246" s="258"/>
      <c r="CF246" s="258"/>
      <c r="CG246" s="258"/>
      <c r="CH246" s="258"/>
      <c r="CI246" s="258"/>
      <c r="CJ246" s="258"/>
      <c r="CK246" s="258"/>
      <c r="CL246" s="258"/>
      <c r="CM246" s="258"/>
    </row>
    <row r="247" spans="1:91" x14ac:dyDescent="0.25">
      <c r="A247" s="723"/>
      <c r="B247" s="723"/>
      <c r="K247" s="52"/>
      <c r="L247" s="135"/>
      <c r="N247" s="131"/>
      <c r="O247" s="131"/>
      <c r="P247" s="55"/>
      <c r="Q247" s="135"/>
      <c r="R247" s="135"/>
      <c r="U247" s="135"/>
      <c r="V247" s="146"/>
      <c r="W247" s="146"/>
      <c r="X247" s="338"/>
      <c r="Y247" s="338"/>
      <c r="Z247" s="338"/>
      <c r="AA247" s="338"/>
      <c r="AB247" s="338"/>
      <c r="AC247" s="338"/>
      <c r="AF247" s="138"/>
      <c r="AG247" s="138"/>
      <c r="AH247" s="138"/>
      <c r="AI247" s="138"/>
      <c r="AJ247" s="138"/>
      <c r="AM247" s="258"/>
      <c r="AN247" s="258"/>
      <c r="AO247" s="258"/>
      <c r="AP247" s="258"/>
      <c r="AR247" s="137"/>
      <c r="AT247" s="137"/>
      <c r="AV247" s="394"/>
      <c r="AW247" s="137"/>
      <c r="AX247" s="137"/>
      <c r="AY247" s="137"/>
      <c r="AZ247" s="137"/>
      <c r="BA247" s="264"/>
      <c r="BB247" s="258"/>
      <c r="BC247" s="258"/>
      <c r="BD247" s="137"/>
      <c r="BE247" s="137"/>
      <c r="BF247" s="137"/>
      <c r="BG247" s="137"/>
      <c r="BH247" s="137"/>
      <c r="BI247" s="137"/>
      <c r="BJ247" s="137"/>
      <c r="BK247" s="137"/>
      <c r="BL247" s="137"/>
      <c r="BM247" s="137"/>
      <c r="BN247" s="137"/>
      <c r="BO247" s="137"/>
      <c r="BP247" s="137"/>
      <c r="BQ247" s="137"/>
      <c r="BR247" s="137"/>
      <c r="BS247" s="137"/>
      <c r="BV247" s="262"/>
      <c r="BW247" s="136"/>
      <c r="BX247" s="137"/>
      <c r="BY247" s="137"/>
      <c r="BZ247" s="137"/>
      <c r="CA247" s="137"/>
      <c r="CB247" s="137"/>
      <c r="CC247" s="258"/>
      <c r="CD247" s="258"/>
      <c r="CE247" s="258"/>
      <c r="CF247" s="258"/>
      <c r="CG247" s="258"/>
      <c r="CH247" s="258"/>
      <c r="CI247" s="258"/>
      <c r="CJ247" s="258"/>
      <c r="CK247" s="258"/>
      <c r="CL247" s="258"/>
      <c r="CM247" s="258"/>
    </row>
    <row r="248" spans="1:91" x14ac:dyDescent="0.25">
      <c r="A248" s="723"/>
      <c r="B248" s="723"/>
      <c r="K248" s="52"/>
      <c r="L248" s="135"/>
      <c r="N248" s="131"/>
      <c r="O248" s="131"/>
      <c r="P248" s="55"/>
      <c r="Q248" s="135"/>
      <c r="R248" s="135"/>
      <c r="U248" s="135"/>
      <c r="V248" s="146"/>
      <c r="W248" s="146"/>
      <c r="X248" s="338"/>
      <c r="Y248" s="338"/>
      <c r="Z248" s="338"/>
      <c r="AA248" s="338"/>
      <c r="AB248" s="338"/>
      <c r="AC248" s="338"/>
      <c r="AF248" s="138"/>
      <c r="AG248" s="138"/>
      <c r="AH248" s="138"/>
      <c r="AI248" s="138"/>
      <c r="AJ248" s="138"/>
      <c r="AM248" s="258"/>
      <c r="AN248" s="258"/>
      <c r="AO248" s="258"/>
      <c r="AP248" s="258"/>
      <c r="AR248" s="137"/>
      <c r="AT248" s="137"/>
      <c r="AV248" s="394"/>
      <c r="AW248" s="137"/>
      <c r="AX248" s="137"/>
      <c r="AY248" s="137"/>
      <c r="AZ248" s="137"/>
      <c r="BA248" s="264"/>
      <c r="BB248" s="258"/>
      <c r="BC248" s="258"/>
      <c r="BD248" s="137"/>
      <c r="BE248" s="137"/>
      <c r="BF248" s="137"/>
      <c r="BG248" s="137"/>
      <c r="BH248" s="137"/>
      <c r="BI248" s="137"/>
      <c r="BJ248" s="137"/>
      <c r="BK248" s="137"/>
      <c r="BL248" s="137"/>
      <c r="BM248" s="137"/>
      <c r="BN248" s="137"/>
      <c r="BO248" s="137"/>
      <c r="BP248" s="137"/>
      <c r="BQ248" s="137"/>
      <c r="BR248" s="137"/>
      <c r="BS248" s="137"/>
      <c r="BV248" s="262"/>
      <c r="BW248" s="136"/>
      <c r="BX248" s="137"/>
      <c r="BY248" s="137"/>
      <c r="BZ248" s="137"/>
      <c r="CA248" s="137"/>
      <c r="CB248" s="137"/>
      <c r="CC248" s="258"/>
      <c r="CD248" s="258"/>
      <c r="CE248" s="258"/>
      <c r="CF248" s="258"/>
      <c r="CG248" s="258"/>
      <c r="CH248" s="258"/>
      <c r="CI248" s="258"/>
      <c r="CJ248" s="258"/>
      <c r="CK248" s="258"/>
      <c r="CL248" s="258"/>
      <c r="CM248" s="258"/>
    </row>
    <row r="249" spans="1:91" x14ac:dyDescent="0.25">
      <c r="A249" s="723"/>
      <c r="B249" s="723"/>
      <c r="K249" s="52"/>
      <c r="L249" s="135"/>
      <c r="N249" s="131"/>
      <c r="O249" s="131"/>
      <c r="P249" s="55"/>
      <c r="Q249" s="135"/>
      <c r="R249" s="135"/>
      <c r="U249" s="135"/>
      <c r="V249" s="146"/>
      <c r="W249" s="146"/>
      <c r="X249" s="338"/>
      <c r="Y249" s="338"/>
      <c r="Z249" s="338"/>
      <c r="AA249" s="338"/>
      <c r="AB249" s="338"/>
      <c r="AC249" s="338"/>
      <c r="AF249" s="138"/>
      <c r="AG249" s="138"/>
      <c r="AH249" s="138"/>
      <c r="AI249" s="138"/>
      <c r="AJ249" s="138"/>
      <c r="AM249" s="258"/>
      <c r="AN249" s="258"/>
      <c r="AO249" s="258"/>
      <c r="AP249" s="258"/>
      <c r="AR249" s="137"/>
      <c r="AT249" s="137"/>
      <c r="AV249" s="394"/>
      <c r="AW249" s="137"/>
      <c r="AX249" s="137"/>
      <c r="AY249" s="137"/>
      <c r="AZ249" s="137"/>
      <c r="BA249" s="264"/>
      <c r="BB249" s="258"/>
      <c r="BC249" s="258"/>
      <c r="BD249" s="137"/>
      <c r="BE249" s="137"/>
      <c r="BF249" s="137"/>
      <c r="BG249" s="137"/>
      <c r="BH249" s="137"/>
      <c r="BI249" s="137"/>
      <c r="BJ249" s="137"/>
      <c r="BK249" s="137"/>
      <c r="BL249" s="137"/>
      <c r="BM249" s="137"/>
      <c r="BN249" s="137"/>
      <c r="BO249" s="137"/>
      <c r="BP249" s="137"/>
      <c r="BQ249" s="137"/>
      <c r="BR249" s="137"/>
      <c r="BS249" s="137"/>
      <c r="BV249" s="262"/>
      <c r="BW249" s="136"/>
      <c r="BX249" s="137"/>
      <c r="BY249" s="137"/>
      <c r="BZ249" s="137"/>
      <c r="CA249" s="137"/>
      <c r="CB249" s="137"/>
      <c r="CC249" s="258"/>
      <c r="CD249" s="258"/>
      <c r="CE249" s="258"/>
      <c r="CF249" s="258"/>
      <c r="CG249" s="258"/>
      <c r="CH249" s="258"/>
      <c r="CI249" s="258"/>
      <c r="CJ249" s="258"/>
      <c r="CK249" s="258"/>
      <c r="CL249" s="258"/>
      <c r="CM249" s="258"/>
    </row>
    <row r="250" spans="1:91" x14ac:dyDescent="0.25">
      <c r="A250" s="723"/>
      <c r="B250" s="723"/>
      <c r="K250" s="52"/>
      <c r="L250" s="135"/>
      <c r="N250" s="131"/>
      <c r="O250" s="131"/>
      <c r="P250" s="55"/>
      <c r="Q250" s="135"/>
      <c r="R250" s="135"/>
      <c r="U250" s="135"/>
      <c r="V250" s="146"/>
      <c r="W250" s="146"/>
      <c r="X250" s="338"/>
      <c r="Y250" s="338"/>
      <c r="Z250" s="338"/>
      <c r="AA250" s="338"/>
      <c r="AB250" s="338"/>
      <c r="AC250" s="338"/>
      <c r="AF250" s="138"/>
      <c r="AG250" s="138"/>
      <c r="AH250" s="138"/>
      <c r="AI250" s="138"/>
      <c r="AJ250" s="138"/>
      <c r="AM250" s="258"/>
      <c r="AN250" s="258"/>
      <c r="AO250" s="258"/>
      <c r="AP250" s="258"/>
      <c r="AR250" s="137"/>
      <c r="AT250" s="137"/>
      <c r="AV250" s="394"/>
      <c r="AW250" s="137"/>
      <c r="AX250" s="137"/>
      <c r="AY250" s="137"/>
      <c r="AZ250" s="137"/>
      <c r="BA250" s="264"/>
      <c r="BB250" s="258"/>
      <c r="BC250" s="258"/>
      <c r="BD250" s="137"/>
      <c r="BE250" s="137"/>
      <c r="BF250" s="137"/>
      <c r="BG250" s="137"/>
      <c r="BH250" s="137"/>
      <c r="BI250" s="137"/>
      <c r="BJ250" s="137"/>
      <c r="BK250" s="137"/>
      <c r="BL250" s="137"/>
      <c r="BM250" s="137"/>
      <c r="BN250" s="137"/>
      <c r="BO250" s="137"/>
      <c r="BP250" s="137"/>
      <c r="BQ250" s="137"/>
      <c r="BR250" s="137"/>
      <c r="BS250" s="137"/>
      <c r="BV250" s="262"/>
      <c r="BW250" s="136"/>
      <c r="BX250" s="137"/>
      <c r="BY250" s="137"/>
      <c r="BZ250" s="137"/>
      <c r="CA250" s="137"/>
      <c r="CB250" s="137"/>
      <c r="CC250" s="258"/>
      <c r="CD250" s="258"/>
      <c r="CE250" s="258"/>
      <c r="CF250" s="258"/>
      <c r="CG250" s="258"/>
      <c r="CH250" s="258"/>
      <c r="CI250" s="258"/>
      <c r="CJ250" s="258"/>
      <c r="CK250" s="258"/>
      <c r="CL250" s="258"/>
      <c r="CM250" s="258"/>
    </row>
    <row r="251" spans="1:91" x14ac:dyDescent="0.25">
      <c r="A251" s="723"/>
      <c r="B251" s="723"/>
      <c r="K251" s="52"/>
      <c r="L251" s="135"/>
      <c r="N251" s="131"/>
      <c r="O251" s="131"/>
      <c r="P251" s="55"/>
      <c r="Q251" s="135"/>
      <c r="R251" s="135"/>
      <c r="U251" s="135"/>
      <c r="V251" s="146"/>
      <c r="W251" s="146"/>
      <c r="X251" s="338"/>
      <c r="Y251" s="338"/>
      <c r="Z251" s="338"/>
      <c r="AA251" s="338"/>
      <c r="AB251" s="338"/>
      <c r="AC251" s="338"/>
      <c r="AF251" s="138"/>
      <c r="AG251" s="138"/>
      <c r="AH251" s="138"/>
      <c r="AI251" s="138"/>
      <c r="AJ251" s="138"/>
      <c r="AM251" s="258"/>
      <c r="AN251" s="258"/>
      <c r="AO251" s="258"/>
      <c r="AP251" s="258"/>
      <c r="AR251" s="137"/>
      <c r="AT251" s="137"/>
      <c r="AV251" s="394"/>
      <c r="AW251" s="137"/>
      <c r="AX251" s="137"/>
      <c r="AY251" s="137"/>
      <c r="AZ251" s="137"/>
      <c r="BA251" s="264"/>
      <c r="BB251" s="258"/>
      <c r="BC251" s="258"/>
      <c r="BD251" s="137"/>
      <c r="BE251" s="137"/>
      <c r="BF251" s="137"/>
      <c r="BG251" s="137"/>
      <c r="BH251" s="137"/>
      <c r="BI251" s="137"/>
      <c r="BJ251" s="137"/>
      <c r="BK251" s="137"/>
      <c r="BL251" s="137"/>
      <c r="BM251" s="137"/>
      <c r="BN251" s="137"/>
      <c r="BO251" s="137"/>
      <c r="BP251" s="137"/>
      <c r="BQ251" s="137"/>
      <c r="BR251" s="137"/>
      <c r="BS251" s="137"/>
      <c r="BV251" s="262"/>
      <c r="BW251" s="136"/>
      <c r="BX251" s="137"/>
      <c r="BY251" s="137"/>
      <c r="BZ251" s="137"/>
      <c r="CA251" s="137"/>
      <c r="CB251" s="137"/>
      <c r="CC251" s="258"/>
      <c r="CD251" s="258"/>
      <c r="CE251" s="258"/>
      <c r="CF251" s="258"/>
      <c r="CG251" s="258"/>
      <c r="CH251" s="258"/>
      <c r="CI251" s="258"/>
      <c r="CJ251" s="258"/>
      <c r="CK251" s="258"/>
      <c r="CL251" s="258"/>
      <c r="CM251" s="258"/>
    </row>
    <row r="252" spans="1:91" x14ac:dyDescent="0.25">
      <c r="A252" s="723"/>
      <c r="B252" s="723"/>
      <c r="K252" s="52"/>
      <c r="L252" s="135"/>
      <c r="N252" s="131"/>
      <c r="O252" s="131"/>
      <c r="P252" s="55"/>
      <c r="Q252" s="135"/>
      <c r="R252" s="135"/>
      <c r="U252" s="135"/>
      <c r="V252" s="146"/>
      <c r="W252" s="146"/>
      <c r="X252" s="338"/>
      <c r="Y252" s="338"/>
      <c r="Z252" s="338"/>
      <c r="AA252" s="338"/>
      <c r="AB252" s="338"/>
      <c r="AC252" s="338"/>
      <c r="AF252" s="138"/>
      <c r="AG252" s="138"/>
      <c r="AH252" s="138"/>
      <c r="AI252" s="138"/>
      <c r="AJ252" s="138"/>
      <c r="AM252" s="258"/>
      <c r="AN252" s="258"/>
      <c r="AO252" s="258"/>
      <c r="AP252" s="258"/>
      <c r="AR252" s="137"/>
      <c r="AT252" s="137"/>
      <c r="AV252" s="394"/>
      <c r="AW252" s="137"/>
      <c r="AX252" s="137"/>
      <c r="AY252" s="137"/>
      <c r="AZ252" s="137"/>
      <c r="BA252" s="264"/>
      <c r="BB252" s="258"/>
      <c r="BC252" s="258"/>
      <c r="BD252" s="137"/>
      <c r="BE252" s="137"/>
      <c r="BF252" s="137"/>
      <c r="BG252" s="137"/>
      <c r="BH252" s="137"/>
      <c r="BI252" s="137"/>
      <c r="BJ252" s="137"/>
      <c r="BK252" s="137"/>
      <c r="BL252" s="137"/>
      <c r="BM252" s="137"/>
      <c r="BN252" s="137"/>
      <c r="BO252" s="137"/>
      <c r="BP252" s="137"/>
      <c r="BQ252" s="137"/>
      <c r="BR252" s="137"/>
      <c r="BS252" s="137"/>
      <c r="BV252" s="262"/>
      <c r="BW252" s="136"/>
      <c r="BX252" s="137"/>
      <c r="BY252" s="137"/>
      <c r="BZ252" s="137"/>
      <c r="CA252" s="137"/>
      <c r="CB252" s="137"/>
      <c r="CC252" s="258"/>
      <c r="CD252" s="258"/>
      <c r="CE252" s="258"/>
      <c r="CF252" s="258"/>
      <c r="CG252" s="258"/>
      <c r="CH252" s="258"/>
      <c r="CI252" s="258"/>
      <c r="CJ252" s="258"/>
      <c r="CK252" s="258"/>
      <c r="CL252" s="258"/>
      <c r="CM252" s="258"/>
    </row>
    <row r="253" spans="1:91" x14ac:dyDescent="0.25">
      <c r="A253" s="723"/>
      <c r="B253" s="723"/>
      <c r="K253" s="52"/>
      <c r="L253" s="135"/>
      <c r="N253" s="131"/>
      <c r="O253" s="131"/>
      <c r="P253" s="55"/>
      <c r="Q253" s="135"/>
      <c r="R253" s="135"/>
      <c r="U253" s="135"/>
      <c r="V253" s="146"/>
      <c r="W253" s="146"/>
      <c r="X253" s="338"/>
      <c r="Y253" s="338"/>
      <c r="Z253" s="338"/>
      <c r="AA253" s="338"/>
      <c r="AB253" s="338"/>
      <c r="AC253" s="338"/>
      <c r="AF253" s="138"/>
      <c r="AG253" s="138"/>
      <c r="AH253" s="138"/>
      <c r="AI253" s="138"/>
      <c r="AJ253" s="138"/>
      <c r="AM253" s="258"/>
      <c r="AN253" s="258"/>
      <c r="AO253" s="258"/>
      <c r="AP253" s="258"/>
      <c r="AR253" s="137"/>
      <c r="AT253" s="137"/>
      <c r="AV253" s="394"/>
      <c r="AW253" s="137"/>
      <c r="AX253" s="137"/>
      <c r="AY253" s="137"/>
      <c r="AZ253" s="137"/>
      <c r="BA253" s="264"/>
      <c r="BB253" s="258"/>
      <c r="BC253" s="258"/>
      <c r="BD253" s="137"/>
      <c r="BE253" s="137"/>
      <c r="BF253" s="137"/>
      <c r="BG253" s="137"/>
      <c r="BH253" s="137"/>
      <c r="BI253" s="137"/>
      <c r="BJ253" s="137"/>
      <c r="BK253" s="137"/>
      <c r="BL253" s="137"/>
      <c r="BM253" s="137"/>
      <c r="BN253" s="137"/>
      <c r="BO253" s="137"/>
      <c r="BP253" s="137"/>
      <c r="BQ253" s="137"/>
      <c r="BR253" s="137"/>
      <c r="BS253" s="137"/>
      <c r="BV253" s="262"/>
      <c r="BW253" s="136"/>
      <c r="BX253" s="137"/>
      <c r="BY253" s="137"/>
      <c r="BZ253" s="137"/>
      <c r="CA253" s="137"/>
      <c r="CB253" s="137"/>
      <c r="CC253" s="258"/>
      <c r="CD253" s="258"/>
      <c r="CE253" s="258"/>
      <c r="CF253" s="258"/>
      <c r="CG253" s="258"/>
      <c r="CH253" s="258"/>
      <c r="CI253" s="258"/>
      <c r="CJ253" s="258"/>
      <c r="CK253" s="258"/>
      <c r="CL253" s="258"/>
      <c r="CM253" s="258"/>
    </row>
    <row r="254" spans="1:91" x14ac:dyDescent="0.25">
      <c r="A254" s="723"/>
      <c r="B254" s="723"/>
      <c r="K254" s="52"/>
      <c r="L254" s="135"/>
      <c r="N254" s="131"/>
      <c r="O254" s="131"/>
      <c r="P254" s="55"/>
      <c r="Q254" s="135"/>
      <c r="R254" s="135"/>
      <c r="U254" s="135"/>
      <c r="V254" s="146"/>
      <c r="W254" s="146"/>
      <c r="X254" s="338"/>
      <c r="Y254" s="338"/>
      <c r="Z254" s="338"/>
      <c r="AA254" s="338"/>
      <c r="AB254" s="338"/>
      <c r="AC254" s="338"/>
      <c r="AF254" s="138"/>
      <c r="AG254" s="138"/>
      <c r="AH254" s="138"/>
      <c r="AI254" s="138"/>
      <c r="AJ254" s="138"/>
      <c r="AM254" s="258"/>
      <c r="AN254" s="258"/>
      <c r="AO254" s="258"/>
      <c r="AP254" s="258"/>
      <c r="AR254" s="137"/>
      <c r="AT254" s="137"/>
      <c r="AV254" s="394"/>
      <c r="AW254" s="137"/>
      <c r="AX254" s="137"/>
      <c r="AY254" s="137"/>
      <c r="AZ254" s="137"/>
      <c r="BA254" s="264"/>
      <c r="BB254" s="258"/>
      <c r="BC254" s="258"/>
      <c r="BD254" s="137"/>
      <c r="BE254" s="137"/>
      <c r="BF254" s="137"/>
      <c r="BG254" s="137"/>
      <c r="BH254" s="137"/>
      <c r="BI254" s="137"/>
      <c r="BJ254" s="137"/>
      <c r="BK254" s="137"/>
      <c r="BL254" s="137"/>
      <c r="BM254" s="137"/>
      <c r="BN254" s="137"/>
      <c r="BO254" s="137"/>
      <c r="BP254" s="137"/>
      <c r="BQ254" s="137"/>
      <c r="BR254" s="137"/>
      <c r="BS254" s="137"/>
      <c r="BV254" s="262"/>
      <c r="BW254" s="136"/>
      <c r="BX254" s="137"/>
      <c r="BY254" s="137"/>
      <c r="BZ254" s="137"/>
      <c r="CA254" s="137"/>
      <c r="CB254" s="137"/>
      <c r="CC254" s="258"/>
      <c r="CD254" s="258"/>
      <c r="CE254" s="258"/>
      <c r="CF254" s="258"/>
      <c r="CG254" s="258"/>
      <c r="CH254" s="258"/>
      <c r="CI254" s="258"/>
      <c r="CJ254" s="258"/>
      <c r="CK254" s="258"/>
      <c r="CL254" s="258"/>
      <c r="CM254" s="258"/>
    </row>
    <row r="255" spans="1:91" x14ac:dyDescent="0.25">
      <c r="A255" s="723"/>
      <c r="B255" s="723"/>
      <c r="K255" s="52"/>
      <c r="L255" s="135"/>
      <c r="N255" s="131"/>
      <c r="O255" s="131"/>
      <c r="P255" s="55"/>
      <c r="Q255" s="135"/>
      <c r="R255" s="135"/>
      <c r="U255" s="135"/>
      <c r="V255" s="146"/>
      <c r="W255" s="146"/>
      <c r="X255" s="338"/>
      <c r="Y255" s="338"/>
      <c r="Z255" s="338"/>
      <c r="AA255" s="338"/>
      <c r="AB255" s="338"/>
      <c r="AC255" s="338"/>
      <c r="AF255" s="138"/>
      <c r="AG255" s="138"/>
      <c r="AH255" s="138"/>
      <c r="AI255" s="138"/>
      <c r="AJ255" s="138"/>
      <c r="AM255" s="258"/>
      <c r="AN255" s="258"/>
      <c r="AO255" s="258"/>
      <c r="AP255" s="258"/>
      <c r="AR255" s="137"/>
      <c r="AT255" s="137"/>
      <c r="AV255" s="394"/>
      <c r="AW255" s="137"/>
      <c r="AX255" s="137"/>
      <c r="AY255" s="137"/>
      <c r="AZ255" s="137"/>
      <c r="BA255" s="264"/>
      <c r="BB255" s="258"/>
      <c r="BC255" s="258"/>
      <c r="BD255" s="137"/>
      <c r="BE255" s="137"/>
      <c r="BF255" s="137"/>
      <c r="BG255" s="137"/>
      <c r="BH255" s="137"/>
      <c r="BI255" s="137"/>
      <c r="BJ255" s="137"/>
      <c r="BK255" s="137"/>
      <c r="BL255" s="137"/>
      <c r="BM255" s="137"/>
      <c r="BN255" s="137"/>
      <c r="BO255" s="137"/>
      <c r="BP255" s="137"/>
      <c r="BQ255" s="137"/>
      <c r="BR255" s="137"/>
      <c r="BS255" s="137"/>
      <c r="BV255" s="262"/>
      <c r="BW255" s="136"/>
      <c r="BX255" s="137"/>
      <c r="BY255" s="137"/>
      <c r="BZ255" s="137"/>
      <c r="CA255" s="137"/>
      <c r="CB255" s="137"/>
      <c r="CC255" s="258"/>
      <c r="CD255" s="258"/>
      <c r="CE255" s="258"/>
      <c r="CF255" s="258"/>
      <c r="CG255" s="258"/>
      <c r="CH255" s="258"/>
      <c r="CI255" s="258"/>
      <c r="CJ255" s="258"/>
      <c r="CK255" s="258"/>
      <c r="CL255" s="258"/>
      <c r="CM255" s="258"/>
    </row>
    <row r="256" spans="1:91" x14ac:dyDescent="0.25">
      <c r="A256" s="723"/>
      <c r="B256" s="723"/>
      <c r="K256" s="52"/>
      <c r="L256" s="135"/>
      <c r="N256" s="131"/>
      <c r="O256" s="131"/>
      <c r="P256" s="55"/>
      <c r="Q256" s="135"/>
      <c r="R256" s="135"/>
      <c r="U256" s="135"/>
      <c r="V256" s="146"/>
      <c r="W256" s="146"/>
      <c r="X256" s="338"/>
      <c r="Y256" s="338"/>
      <c r="Z256" s="338"/>
      <c r="AA256" s="338"/>
      <c r="AB256" s="338"/>
      <c r="AC256" s="338"/>
      <c r="AF256" s="138"/>
      <c r="AG256" s="138"/>
      <c r="AH256" s="138"/>
      <c r="AI256" s="138"/>
      <c r="AJ256" s="138"/>
      <c r="AM256" s="258"/>
      <c r="AN256" s="258"/>
      <c r="AO256" s="258"/>
      <c r="AP256" s="258"/>
      <c r="AR256" s="137"/>
      <c r="AT256" s="137"/>
      <c r="AV256" s="394"/>
      <c r="AW256" s="137"/>
      <c r="AX256" s="137"/>
      <c r="AY256" s="137"/>
      <c r="AZ256" s="137"/>
      <c r="BA256" s="264"/>
      <c r="BB256" s="258"/>
      <c r="BC256" s="258"/>
      <c r="BD256" s="137"/>
      <c r="BE256" s="137"/>
      <c r="BF256" s="137"/>
      <c r="BG256" s="137"/>
      <c r="BH256" s="137"/>
      <c r="BI256" s="137"/>
      <c r="BJ256" s="137"/>
      <c r="BK256" s="137"/>
      <c r="BL256" s="137"/>
      <c r="BM256" s="137"/>
      <c r="BN256" s="137"/>
      <c r="BO256" s="137"/>
      <c r="BP256" s="137"/>
      <c r="BQ256" s="137"/>
      <c r="BR256" s="137"/>
      <c r="BS256" s="137"/>
      <c r="BV256" s="262"/>
      <c r="BW256" s="136"/>
      <c r="BX256" s="137"/>
      <c r="BY256" s="137"/>
      <c r="BZ256" s="137"/>
      <c r="CA256" s="137"/>
      <c r="CB256" s="137"/>
      <c r="CC256" s="258"/>
      <c r="CD256" s="258"/>
      <c r="CE256" s="258"/>
      <c r="CF256" s="258"/>
      <c r="CG256" s="258"/>
      <c r="CH256" s="258"/>
      <c r="CI256" s="258"/>
      <c r="CJ256" s="258"/>
      <c r="CK256" s="258"/>
      <c r="CL256" s="258"/>
      <c r="CM256" s="258"/>
    </row>
    <row r="257" spans="1:91" x14ac:dyDescent="0.25">
      <c r="A257" s="723"/>
      <c r="B257" s="723"/>
      <c r="K257" s="52"/>
      <c r="L257" s="135"/>
      <c r="N257" s="131"/>
      <c r="O257" s="131"/>
      <c r="P257" s="55"/>
      <c r="Q257" s="135"/>
      <c r="R257" s="135"/>
      <c r="U257" s="135"/>
      <c r="V257" s="146"/>
      <c r="W257" s="146"/>
      <c r="X257" s="338"/>
      <c r="Y257" s="338"/>
      <c r="Z257" s="338"/>
      <c r="AA257" s="338"/>
      <c r="AB257" s="338"/>
      <c r="AC257" s="338"/>
      <c r="AF257" s="138"/>
      <c r="AG257" s="138"/>
      <c r="AH257" s="138"/>
      <c r="AI257" s="138"/>
      <c r="AJ257" s="138"/>
      <c r="AM257" s="258"/>
      <c r="AN257" s="258"/>
      <c r="AO257" s="258"/>
      <c r="AP257" s="258"/>
      <c r="AR257" s="137"/>
      <c r="AT257" s="137"/>
      <c r="AV257" s="394"/>
      <c r="AW257" s="137"/>
      <c r="AX257" s="137"/>
      <c r="AY257" s="137"/>
      <c r="AZ257" s="137"/>
      <c r="BA257" s="264"/>
      <c r="BB257" s="258"/>
      <c r="BC257" s="258"/>
      <c r="BD257" s="137"/>
      <c r="BE257" s="137"/>
      <c r="BF257" s="137"/>
      <c r="BG257" s="137"/>
      <c r="BH257" s="137"/>
      <c r="BI257" s="137"/>
      <c r="BJ257" s="137"/>
      <c r="BK257" s="137"/>
      <c r="BL257" s="137"/>
      <c r="BM257" s="137"/>
      <c r="BN257" s="137"/>
      <c r="BO257" s="137"/>
      <c r="BP257" s="137"/>
      <c r="BQ257" s="137"/>
      <c r="BR257" s="137"/>
      <c r="BS257" s="137"/>
      <c r="BV257" s="262"/>
      <c r="BW257" s="136"/>
      <c r="BX257" s="137"/>
      <c r="BY257" s="137"/>
      <c r="BZ257" s="137"/>
      <c r="CA257" s="137"/>
      <c r="CB257" s="137"/>
      <c r="CC257" s="258"/>
      <c r="CD257" s="258"/>
      <c r="CE257" s="258"/>
      <c r="CF257" s="258"/>
      <c r="CG257" s="258"/>
      <c r="CH257" s="258"/>
      <c r="CI257" s="258"/>
      <c r="CJ257" s="258"/>
      <c r="CK257" s="258"/>
      <c r="CL257" s="258"/>
      <c r="CM257" s="258"/>
    </row>
    <row r="258" spans="1:91" x14ac:dyDescent="0.25">
      <c r="A258" s="723"/>
      <c r="B258" s="723"/>
      <c r="K258" s="52"/>
      <c r="L258" s="135"/>
      <c r="N258" s="131"/>
      <c r="O258" s="131"/>
      <c r="P258" s="55"/>
      <c r="Q258" s="135"/>
      <c r="R258" s="135"/>
      <c r="U258" s="135"/>
      <c r="V258" s="146"/>
      <c r="W258" s="146"/>
      <c r="X258" s="338"/>
      <c r="Y258" s="338"/>
      <c r="Z258" s="338"/>
      <c r="AA258" s="338"/>
      <c r="AB258" s="338"/>
      <c r="AC258" s="338"/>
      <c r="AF258" s="138"/>
      <c r="AG258" s="138"/>
      <c r="AH258" s="138"/>
      <c r="AI258" s="138"/>
      <c r="AJ258" s="138"/>
      <c r="AM258" s="258"/>
      <c r="AN258" s="258"/>
      <c r="AO258" s="258"/>
      <c r="AP258" s="258"/>
      <c r="AR258" s="137"/>
      <c r="AT258" s="137"/>
      <c r="AV258" s="394"/>
      <c r="AW258" s="137"/>
      <c r="AX258" s="137"/>
      <c r="AY258" s="137"/>
      <c r="AZ258" s="137"/>
      <c r="BA258" s="264"/>
      <c r="BB258" s="258"/>
      <c r="BC258" s="258"/>
      <c r="BD258" s="137"/>
      <c r="BE258" s="137"/>
      <c r="BF258" s="137"/>
      <c r="BG258" s="137"/>
      <c r="BH258" s="137"/>
      <c r="BI258" s="137"/>
      <c r="BJ258" s="137"/>
      <c r="BK258" s="137"/>
      <c r="BL258" s="137"/>
      <c r="BM258" s="137"/>
      <c r="BN258" s="137"/>
      <c r="BO258" s="137"/>
      <c r="BP258" s="137"/>
      <c r="BQ258" s="137"/>
      <c r="BR258" s="137"/>
      <c r="BS258" s="137"/>
      <c r="BV258" s="262"/>
      <c r="BW258" s="136"/>
      <c r="BX258" s="137"/>
      <c r="BY258" s="137"/>
      <c r="BZ258" s="137"/>
      <c r="CA258" s="137"/>
      <c r="CB258" s="137"/>
      <c r="CC258" s="258"/>
      <c r="CD258" s="258"/>
      <c r="CE258" s="258"/>
      <c r="CF258" s="258"/>
      <c r="CG258" s="258"/>
      <c r="CH258" s="258"/>
      <c r="CI258" s="258"/>
      <c r="CJ258" s="258"/>
      <c r="CK258" s="258"/>
      <c r="CL258" s="258"/>
      <c r="CM258" s="258"/>
    </row>
    <row r="259" spans="1:91" x14ac:dyDescent="0.25">
      <c r="A259" s="723"/>
      <c r="B259" s="723"/>
      <c r="K259" s="52"/>
      <c r="L259" s="135"/>
      <c r="N259" s="131"/>
      <c r="O259" s="131"/>
      <c r="P259" s="55"/>
      <c r="Q259" s="135"/>
      <c r="R259" s="135"/>
      <c r="U259" s="135"/>
      <c r="V259" s="146"/>
      <c r="W259" s="146"/>
      <c r="X259" s="338"/>
      <c r="Y259" s="338"/>
      <c r="Z259" s="338"/>
      <c r="AA259" s="338"/>
      <c r="AB259" s="338"/>
      <c r="AC259" s="338"/>
      <c r="AF259" s="138"/>
      <c r="AG259" s="138"/>
      <c r="AH259" s="138"/>
      <c r="AI259" s="138"/>
      <c r="AJ259" s="138"/>
      <c r="AM259" s="258"/>
      <c r="AN259" s="258"/>
      <c r="AO259" s="258"/>
      <c r="AP259" s="258"/>
      <c r="AR259" s="137"/>
      <c r="AT259" s="137"/>
      <c r="AV259" s="394"/>
      <c r="AW259" s="137"/>
      <c r="AX259" s="137"/>
      <c r="AY259" s="137"/>
      <c r="AZ259" s="137"/>
      <c r="BA259" s="264"/>
      <c r="BB259" s="258"/>
      <c r="BC259" s="258"/>
      <c r="BD259" s="137"/>
      <c r="BE259" s="137"/>
      <c r="BF259" s="137"/>
      <c r="BG259" s="137"/>
      <c r="BH259" s="137"/>
      <c r="BI259" s="137"/>
      <c r="BJ259" s="137"/>
      <c r="BK259" s="137"/>
      <c r="BL259" s="137"/>
      <c r="BM259" s="137"/>
      <c r="BN259" s="137"/>
      <c r="BO259" s="137"/>
      <c r="BP259" s="137"/>
      <c r="BQ259" s="137"/>
      <c r="BR259" s="137"/>
      <c r="BS259" s="137"/>
      <c r="BV259" s="262"/>
      <c r="BW259" s="136"/>
      <c r="BX259" s="137"/>
      <c r="BY259" s="137"/>
      <c r="BZ259" s="137"/>
      <c r="CA259" s="137"/>
      <c r="CB259" s="137"/>
      <c r="CC259" s="258"/>
      <c r="CD259" s="258"/>
      <c r="CE259" s="258"/>
      <c r="CF259" s="258"/>
      <c r="CG259" s="258"/>
      <c r="CH259" s="258"/>
      <c r="CI259" s="258"/>
      <c r="CJ259" s="258"/>
      <c r="CK259" s="258"/>
      <c r="CL259" s="258"/>
      <c r="CM259" s="258"/>
    </row>
    <row r="260" spans="1:91" x14ac:dyDescent="0.25">
      <c r="A260" s="723"/>
      <c r="B260" s="723"/>
      <c r="K260" s="52"/>
      <c r="L260" s="135"/>
      <c r="N260" s="131"/>
      <c r="O260" s="131"/>
      <c r="P260" s="55"/>
      <c r="Q260" s="135"/>
      <c r="R260" s="135"/>
      <c r="U260" s="135"/>
      <c r="V260" s="146"/>
      <c r="W260" s="146"/>
      <c r="X260" s="338"/>
      <c r="Y260" s="338"/>
      <c r="Z260" s="338"/>
      <c r="AA260" s="338"/>
      <c r="AB260" s="338"/>
      <c r="AC260" s="338"/>
      <c r="AF260" s="138"/>
      <c r="AG260" s="138"/>
      <c r="AH260" s="138"/>
      <c r="AI260" s="138"/>
      <c r="AJ260" s="138"/>
      <c r="AM260" s="258"/>
      <c r="AN260" s="258"/>
      <c r="AO260" s="258"/>
      <c r="AP260" s="258"/>
      <c r="AR260" s="137"/>
      <c r="AT260" s="137"/>
      <c r="AV260" s="394"/>
      <c r="AW260" s="137"/>
      <c r="AX260" s="137"/>
      <c r="AY260" s="137"/>
      <c r="AZ260" s="137"/>
      <c r="BA260" s="264"/>
      <c r="BB260" s="258"/>
      <c r="BC260" s="258"/>
      <c r="BD260" s="137"/>
      <c r="BE260" s="137"/>
      <c r="BF260" s="137"/>
      <c r="BG260" s="137"/>
      <c r="BH260" s="137"/>
      <c r="BI260" s="137"/>
      <c r="BJ260" s="137"/>
      <c r="BK260" s="137"/>
      <c r="BL260" s="137"/>
      <c r="BM260" s="137"/>
      <c r="BN260" s="137"/>
      <c r="BO260" s="137"/>
      <c r="BP260" s="137"/>
      <c r="BQ260" s="137"/>
      <c r="BR260" s="137"/>
      <c r="BS260" s="137"/>
      <c r="BV260" s="262"/>
      <c r="BW260" s="136"/>
      <c r="BX260" s="137"/>
      <c r="BY260" s="137"/>
      <c r="BZ260" s="137"/>
      <c r="CA260" s="137"/>
      <c r="CB260" s="137"/>
      <c r="CC260" s="258"/>
      <c r="CD260" s="258"/>
      <c r="CE260" s="258"/>
      <c r="CF260" s="258"/>
      <c r="CG260" s="258"/>
      <c r="CH260" s="258"/>
      <c r="CI260" s="258"/>
      <c r="CJ260" s="258"/>
      <c r="CK260" s="258"/>
      <c r="CL260" s="258"/>
      <c r="CM260" s="258"/>
    </row>
    <row r="261" spans="1:91" x14ac:dyDescent="0.25">
      <c r="A261" s="723"/>
      <c r="B261" s="723"/>
      <c r="K261" s="52"/>
      <c r="L261" s="135"/>
      <c r="N261" s="131"/>
      <c r="O261" s="131"/>
      <c r="P261" s="55"/>
      <c r="Q261" s="135"/>
      <c r="R261" s="135"/>
      <c r="U261" s="135"/>
      <c r="V261" s="146"/>
      <c r="W261" s="146"/>
      <c r="X261" s="338"/>
      <c r="Y261" s="338"/>
      <c r="Z261" s="338"/>
      <c r="AA261" s="338"/>
      <c r="AB261" s="338"/>
      <c r="AC261" s="338"/>
      <c r="AF261" s="138"/>
      <c r="AG261" s="138"/>
      <c r="AH261" s="138"/>
      <c r="AI261" s="138"/>
      <c r="AJ261" s="138"/>
      <c r="AM261" s="258"/>
      <c r="AN261" s="258"/>
      <c r="AO261" s="258"/>
      <c r="AP261" s="258"/>
      <c r="AR261" s="137"/>
      <c r="AT261" s="137"/>
      <c r="AV261" s="394"/>
      <c r="AW261" s="137"/>
      <c r="AX261" s="137"/>
      <c r="AY261" s="137"/>
      <c r="AZ261" s="137"/>
      <c r="BA261" s="264"/>
      <c r="BB261" s="258"/>
      <c r="BC261" s="258"/>
      <c r="BD261" s="137"/>
      <c r="BE261" s="137"/>
      <c r="BF261" s="137"/>
      <c r="BG261" s="137"/>
      <c r="BH261" s="137"/>
      <c r="BI261" s="137"/>
      <c r="BJ261" s="137"/>
      <c r="BK261" s="137"/>
      <c r="BL261" s="137"/>
      <c r="BM261" s="137"/>
      <c r="BN261" s="137"/>
      <c r="BO261" s="137"/>
      <c r="BP261" s="137"/>
      <c r="BQ261" s="137"/>
      <c r="BR261" s="137"/>
      <c r="BS261" s="137"/>
      <c r="BV261" s="262"/>
      <c r="BW261" s="136"/>
      <c r="BX261" s="137"/>
      <c r="BY261" s="137"/>
      <c r="BZ261" s="137"/>
      <c r="CA261" s="137"/>
      <c r="CB261" s="137"/>
      <c r="CC261" s="258"/>
      <c r="CD261" s="258"/>
      <c r="CE261" s="258"/>
      <c r="CF261" s="258"/>
      <c r="CG261" s="258"/>
      <c r="CH261" s="258"/>
      <c r="CI261" s="258"/>
      <c r="CJ261" s="258"/>
      <c r="CK261" s="258"/>
      <c r="CL261" s="258"/>
      <c r="CM261" s="258"/>
    </row>
    <row r="262" spans="1:91" x14ac:dyDescent="0.25">
      <c r="A262" s="723"/>
      <c r="B262" s="723"/>
    </row>
    <row r="263" spans="1:91" x14ac:dyDescent="0.25">
      <c r="A263" s="723"/>
      <c r="B263" s="723"/>
    </row>
    <row r="264" spans="1:91" x14ac:dyDescent="0.25">
      <c r="A264" s="723"/>
      <c r="B264" s="723"/>
    </row>
    <row r="265" spans="1:91" x14ac:dyDescent="0.25">
      <c r="A265" s="723"/>
      <c r="B265" s="723"/>
    </row>
    <row r="266" spans="1:91" x14ac:dyDescent="0.25">
      <c r="A266" s="723"/>
      <c r="B266" s="723"/>
    </row>
    <row r="267" spans="1:91" x14ac:dyDescent="0.25">
      <c r="A267" s="723"/>
      <c r="B267" s="723"/>
    </row>
    <row r="268" spans="1:91" x14ac:dyDescent="0.25">
      <c r="A268" s="723"/>
      <c r="B268" s="723"/>
    </row>
    <row r="269" spans="1:91" x14ac:dyDescent="0.25">
      <c r="A269" s="723"/>
      <c r="B269" s="723"/>
    </row>
    <row r="270" spans="1:91" x14ac:dyDescent="0.25">
      <c r="A270" s="723"/>
      <c r="B270" s="723"/>
    </row>
  </sheetData>
  <sheetCalcPr fullCalcOnLoad="1"/>
  <mergeCells count="274">
    <mergeCell ref="A262:B262"/>
    <mergeCell ref="A263:B263"/>
    <mergeCell ref="A264:B264"/>
    <mergeCell ref="A265:B265"/>
    <mergeCell ref="A270:B270"/>
    <mergeCell ref="A266:B266"/>
    <mergeCell ref="A267:B267"/>
    <mergeCell ref="A268:B268"/>
    <mergeCell ref="A269:B269"/>
    <mergeCell ref="A256:B256"/>
    <mergeCell ref="A257:B257"/>
    <mergeCell ref="A258:B258"/>
    <mergeCell ref="A259:B259"/>
    <mergeCell ref="A260:B260"/>
    <mergeCell ref="A261:B261"/>
    <mergeCell ref="A250:B250"/>
    <mergeCell ref="A251:B251"/>
    <mergeCell ref="A252:B252"/>
    <mergeCell ref="A253:B253"/>
    <mergeCell ref="A254:B254"/>
    <mergeCell ref="A255:B255"/>
    <mergeCell ref="A244:B244"/>
    <mergeCell ref="A245:B245"/>
    <mergeCell ref="A246:B246"/>
    <mergeCell ref="A247:B247"/>
    <mergeCell ref="A248:B248"/>
    <mergeCell ref="A249:B249"/>
    <mergeCell ref="A238:B238"/>
    <mergeCell ref="A239:B239"/>
    <mergeCell ref="A240:B240"/>
    <mergeCell ref="A241:B241"/>
    <mergeCell ref="A242:B242"/>
    <mergeCell ref="A243:B243"/>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20:B220"/>
    <mergeCell ref="A221:B221"/>
    <mergeCell ref="A222:B222"/>
    <mergeCell ref="A223:B223"/>
    <mergeCell ref="A224:B224"/>
    <mergeCell ref="A225:B225"/>
    <mergeCell ref="A214:B214"/>
    <mergeCell ref="A215:B215"/>
    <mergeCell ref="A216:B216"/>
    <mergeCell ref="A217:B217"/>
    <mergeCell ref="A218:B218"/>
    <mergeCell ref="A219:B219"/>
    <mergeCell ref="A208:B208"/>
    <mergeCell ref="A209:B209"/>
    <mergeCell ref="A210:B210"/>
    <mergeCell ref="A211:B211"/>
    <mergeCell ref="A212:B212"/>
    <mergeCell ref="A213:B213"/>
    <mergeCell ref="A202:B202"/>
    <mergeCell ref="A203:B203"/>
    <mergeCell ref="A204:B204"/>
    <mergeCell ref="A205:B205"/>
    <mergeCell ref="A206:B206"/>
    <mergeCell ref="A207:B207"/>
    <mergeCell ref="A196:B196"/>
    <mergeCell ref="A197:B197"/>
    <mergeCell ref="A198:B198"/>
    <mergeCell ref="A199:B199"/>
    <mergeCell ref="A200:B200"/>
    <mergeCell ref="A201:B201"/>
    <mergeCell ref="A190:B190"/>
    <mergeCell ref="A191:B191"/>
    <mergeCell ref="A192:B192"/>
    <mergeCell ref="A193:B193"/>
    <mergeCell ref="A194:B194"/>
    <mergeCell ref="A195:B195"/>
    <mergeCell ref="A184:B184"/>
    <mergeCell ref="A185:B185"/>
    <mergeCell ref="A186:B186"/>
    <mergeCell ref="A187:B187"/>
    <mergeCell ref="A188:B188"/>
    <mergeCell ref="A189:B189"/>
    <mergeCell ref="A178:B178"/>
    <mergeCell ref="A179:B179"/>
    <mergeCell ref="A180:B180"/>
    <mergeCell ref="A181:B181"/>
    <mergeCell ref="A182:B182"/>
    <mergeCell ref="A183:B183"/>
    <mergeCell ref="A172:B172"/>
    <mergeCell ref="A173:B173"/>
    <mergeCell ref="A174:B174"/>
    <mergeCell ref="A175:B175"/>
    <mergeCell ref="A176:B176"/>
    <mergeCell ref="A177:B177"/>
    <mergeCell ref="A166:B166"/>
    <mergeCell ref="A167:B167"/>
    <mergeCell ref="A168:B168"/>
    <mergeCell ref="A169:B169"/>
    <mergeCell ref="A170:B170"/>
    <mergeCell ref="A171:B171"/>
    <mergeCell ref="A160:B160"/>
    <mergeCell ref="A161:B161"/>
    <mergeCell ref="A162:B162"/>
    <mergeCell ref="A163:B163"/>
    <mergeCell ref="A164:B164"/>
    <mergeCell ref="A165:B165"/>
    <mergeCell ref="A154:B154"/>
    <mergeCell ref="A155:B155"/>
    <mergeCell ref="A156:B156"/>
    <mergeCell ref="A157:B157"/>
    <mergeCell ref="A158:B158"/>
    <mergeCell ref="A159:B159"/>
    <mergeCell ref="A148:B148"/>
    <mergeCell ref="A149:B149"/>
    <mergeCell ref="A150:B150"/>
    <mergeCell ref="A151:B151"/>
    <mergeCell ref="A152:B152"/>
    <mergeCell ref="A153:B153"/>
    <mergeCell ref="A142:B142"/>
    <mergeCell ref="A143:B143"/>
    <mergeCell ref="A144:B144"/>
    <mergeCell ref="A145:B145"/>
    <mergeCell ref="A146:B146"/>
    <mergeCell ref="A147:B147"/>
    <mergeCell ref="A136:B136"/>
    <mergeCell ref="A137:B137"/>
    <mergeCell ref="A138:B138"/>
    <mergeCell ref="A139:B139"/>
    <mergeCell ref="A140:B140"/>
    <mergeCell ref="A141:B141"/>
    <mergeCell ref="A130:B130"/>
    <mergeCell ref="A131:B131"/>
    <mergeCell ref="A132:B132"/>
    <mergeCell ref="A133:B133"/>
    <mergeCell ref="A134:B134"/>
    <mergeCell ref="A135:B135"/>
    <mergeCell ref="A124:B124"/>
    <mergeCell ref="A125:B125"/>
    <mergeCell ref="A126:B126"/>
    <mergeCell ref="A127:B127"/>
    <mergeCell ref="A128:B128"/>
    <mergeCell ref="A129:B129"/>
    <mergeCell ref="A118:B118"/>
    <mergeCell ref="A119:B119"/>
    <mergeCell ref="A120:B120"/>
    <mergeCell ref="A121:B121"/>
    <mergeCell ref="A122:B122"/>
    <mergeCell ref="A123:B123"/>
    <mergeCell ref="A112:B112"/>
    <mergeCell ref="A113:B113"/>
    <mergeCell ref="A114:B114"/>
    <mergeCell ref="A115:B115"/>
    <mergeCell ref="A116:B116"/>
    <mergeCell ref="A117:B117"/>
    <mergeCell ref="A106:B106"/>
    <mergeCell ref="A107:B107"/>
    <mergeCell ref="A108:B108"/>
    <mergeCell ref="A109:B109"/>
    <mergeCell ref="A110:B110"/>
    <mergeCell ref="A111:B111"/>
    <mergeCell ref="A100:B100"/>
    <mergeCell ref="A101:B101"/>
    <mergeCell ref="A102:B102"/>
    <mergeCell ref="A103:B103"/>
    <mergeCell ref="A104:B104"/>
    <mergeCell ref="A105:B105"/>
    <mergeCell ref="A94:B94"/>
    <mergeCell ref="A95:B95"/>
    <mergeCell ref="A96:B96"/>
    <mergeCell ref="A97:B97"/>
    <mergeCell ref="A98:B98"/>
    <mergeCell ref="A99:B99"/>
    <mergeCell ref="A88:B88"/>
    <mergeCell ref="A89:B89"/>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288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288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2">
    <pageSetUpPr autoPageBreaks="0"/>
  </sheetPr>
  <dimension ref="A1:CX96"/>
  <sheetViews>
    <sheetView topLeftCell="L14"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LongTerm51</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51</v>
      </c>
      <c r="F2" s="178" t="str">
        <f>GetRcptPoint($AH$12,$AH$13)</f>
        <v>FGT/Zone 2</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577617.29646971298</v>
      </c>
      <c r="O4" s="352">
        <v>577443.22</v>
      </c>
      <c r="P4" s="354">
        <f ca="1">N4-O4</f>
        <v>174.0764697130071</v>
      </c>
      <c r="S4" s="427" t="s">
        <v>635</v>
      </c>
      <c r="T4" s="422">
        <f ca="1">SUMPRODUCT(INDIRECT(CONCATENATE(V4,":",W4)),INDIRECT(CONCATENATE(AV2,":",AW2)),INDIRECT(CONCATENATE(AV3,":",AW3)))</f>
        <v>577611.19496736093</v>
      </c>
      <c r="V4" s="30" t="str">
        <f>ADDRESS(ROW(K22),COLUMN(K22))</f>
        <v>$K$22</v>
      </c>
      <c r="W4" s="30" t="str">
        <f ca="1">GetEnd($AV$1,V4)</f>
        <v>$K$89</v>
      </c>
      <c r="AF4" s="28"/>
      <c r="AG4" s="103" t="s">
        <v>32</v>
      </c>
      <c r="AH4" s="104">
        <f>GetRcptIndexCol($AH$12,$AH$13)</f>
        <v>109</v>
      </c>
      <c r="AI4" s="29"/>
      <c r="AJ4" s="103" t="s">
        <v>72</v>
      </c>
      <c r="AK4" s="104">
        <f>GetNymexCol(AK3)</f>
        <v>3</v>
      </c>
      <c r="AL4" s="34">
        <v>1</v>
      </c>
      <c r="AM4" s="45">
        <f t="shared" ref="AM4:AM15" si="0">GetVolume($AH$12,$AH$13,AT4)</f>
        <v>732</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456376.52695589216</v>
      </c>
      <c r="O5" s="352">
        <v>456237.04</v>
      </c>
      <c r="P5" s="355">
        <f ca="1">N5-O5</f>
        <v>139.48695589217823</v>
      </c>
      <c r="S5" s="428" t="s">
        <v>636</v>
      </c>
      <c r="T5" s="423">
        <f ca="1">SUMPRODUCT(INDIRECT(CONCATENATE(V5,":",W5)),INDIRECT(CONCATENATE(AV2,":",AW2)),INDIRECT(CONCATENATE(AV3,":",AW3)))</f>
        <v>6.1015023522045446</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732</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121240.76951382082</v>
      </c>
      <c r="O6" s="357">
        <v>121206.18</v>
      </c>
      <c r="P6" s="358">
        <f ca="1">N6-O6</f>
        <v>34.58951382082887</v>
      </c>
      <c r="S6" s="428" t="s">
        <v>637</v>
      </c>
      <c r="T6" s="424">
        <f ca="1">SUMPRODUCT(INDIRECT(CONCATENATE(V6,":",W6)),INDIRECT(CONCATENATE(AV3,":",AW3)),INDIRECT(CONCATENATE(AX3,":",AY3)))</f>
        <v>1216031.2468848703</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732</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1353.56</v>
      </c>
      <c r="P7" s="355">
        <f ca="1">N7</f>
        <v>0</v>
      </c>
      <c r="S7" s="428" t="s">
        <v>638</v>
      </c>
      <c r="T7" s="425">
        <f ca="1">T5/T6</f>
        <v>5.0175539221009947E-6</v>
      </c>
      <c r="AF7" s="28"/>
      <c r="AG7" s="103" t="s">
        <v>76</v>
      </c>
      <c r="AH7" s="104">
        <f>GetRcptOmicronCol($AH$12,$AH$13)</f>
        <v>17</v>
      </c>
      <c r="AI7" s="29"/>
      <c r="AJ7" s="103" t="s">
        <v>80</v>
      </c>
      <c r="AK7" s="104" t="str">
        <f>Configuration!$D$8</f>
        <v>Nymex Vol</v>
      </c>
      <c r="AL7" s="34">
        <v>4</v>
      </c>
      <c r="AM7" s="37">
        <f t="shared" si="0"/>
        <v>732</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-626.52</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732</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732</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4.3885578550561988</v>
      </c>
      <c r="L10" s="706" t="s">
        <v>628</v>
      </c>
      <c r="M10" s="707"/>
      <c r="N10" s="352">
        <f ca="1">-SUMPRODUCT(INDIRECT(CONCATENATE(AV10,":",AW10)),INDIRECT(CONCATENATE($AX$7,":",$AY$7)),INDIRECT(CONCATENATE($AV$3,":",$AW$3)))</f>
        <v>-116319.9099543191</v>
      </c>
      <c r="O10" s="352">
        <v>-116283.72</v>
      </c>
      <c r="P10" s="355">
        <f t="shared" ref="P10:P19" ca="1" si="10">N10-O10</f>
        <v>-36.189954319095705</v>
      </c>
      <c r="AF10" s="28"/>
      <c r="AG10" s="103" t="s">
        <v>142</v>
      </c>
      <c r="AH10" s="119" t="b">
        <f>GetGRIFactor($AH$12,$AH$13)</f>
        <v>1</v>
      </c>
      <c r="AI10" s="29"/>
      <c r="AJ10" s="29"/>
      <c r="AK10" s="29"/>
      <c r="AL10" s="34">
        <v>7</v>
      </c>
      <c r="AM10" s="37">
        <f t="shared" si="0"/>
        <v>732</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129809.6246541518</v>
      </c>
      <c r="L11" s="704" t="s">
        <v>629</v>
      </c>
      <c r="M11" s="705"/>
      <c r="N11" s="356">
        <f ca="1">-SUMPRODUCT(INDIRECT(CONCATENATE(AV11,":",AW11)),INDIRECT(CONCATENATE($AV$2,":",$AW$2)),INDIRECT(CONCATENATE($AV$3,":",$AW$3)),INDIRECT(CONCATENATE(AX3,":",AY3)))</f>
        <v>-47806.041599999968</v>
      </c>
      <c r="O11" s="357">
        <v>-47806.04</v>
      </c>
      <c r="P11" s="358">
        <f t="shared" ca="1" si="10"/>
        <v>-1.5999999668565579E-3</v>
      </c>
      <c r="AL11" s="34">
        <v>8</v>
      </c>
      <c r="AM11" s="37">
        <f t="shared" si="0"/>
        <v>732</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-1980.26</v>
      </c>
      <c r="P12" s="355">
        <f t="shared" ca="1" si="10"/>
        <v>1980.26</v>
      </c>
      <c r="AG12" s="248" t="s">
        <v>185</v>
      </c>
      <c r="AH12" s="119" t="str">
        <f>GetDBPage($D$2)</f>
        <v>Contract DB (East)</v>
      </c>
      <c r="AL12" s="34">
        <v>9</v>
      </c>
      <c r="AM12" s="37">
        <f t="shared" si="0"/>
        <v>732</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0.23</v>
      </c>
      <c r="P13" s="355">
        <f t="shared" ca="1" si="10"/>
        <v>-0.23</v>
      </c>
      <c r="AG13" s="248" t="s">
        <v>186</v>
      </c>
      <c r="AH13" s="119">
        <f>GetRecNdx($AH$12,$D$2)</f>
        <v>7</v>
      </c>
      <c r="AL13" s="34">
        <v>10</v>
      </c>
      <c r="AM13" s="37">
        <f t="shared" si="0"/>
        <v>732</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174.35053687409487</v>
      </c>
      <c r="O14" s="352">
        <v>57.34</v>
      </c>
      <c r="P14" s="355">
        <f t="shared" ca="1" si="10"/>
        <v>117.01053687409487</v>
      </c>
      <c r="S14" s="181">
        <f>F22/(1-AR22)*AH22*AU22</f>
        <v>23299.097368105206</v>
      </c>
      <c r="T14" s="181">
        <f>F22*AH22*AU22</f>
        <v>22658.372190482314</v>
      </c>
      <c r="AL14" s="34">
        <v>11</v>
      </c>
      <c r="AM14" s="37">
        <f t="shared" si="0"/>
        <v>732</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0.17763700362539328</v>
      </c>
      <c r="O15" s="352">
        <v>0.16</v>
      </c>
      <c r="P15" s="355">
        <f t="shared" ca="1" si="10"/>
        <v>1.7637003625393277E-2</v>
      </c>
      <c r="AL15" s="34">
        <v>12</v>
      </c>
      <c r="AM15" s="41">
        <f t="shared" si="0"/>
        <v>732</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-290.27999999999997</v>
      </c>
      <c r="P16" s="355">
        <f t="shared" ca="1" si="10"/>
        <v>290.27999999999997</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177.68784235568575</v>
      </c>
      <c r="O17" s="357">
        <v>58.35</v>
      </c>
      <c r="P17" s="358">
        <f t="shared" ca="1" si="10"/>
        <v>119.33784235568575</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577611.19496736093</v>
      </c>
      <c r="O18" s="352">
        <v>577435.28</v>
      </c>
      <c r="P18" s="355">
        <f t="shared" ca="1" si="10"/>
        <v>175.9149673609063</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6.1015023522045446</v>
      </c>
      <c r="O19" s="359">
        <v>7.94</v>
      </c>
      <c r="P19" s="360">
        <f t="shared" ca="1" si="10"/>
        <v>-1.8384976477954558</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FGT/Zone 2</v>
      </c>
      <c r="AN20" s="703"/>
      <c r="AO20" s="702" t="str">
        <f>GetDelPoint($AH$12,$AH$13)</f>
        <v>FGT/MKT</v>
      </c>
      <c r="AP20" s="703"/>
      <c r="AQ20" s="137"/>
      <c r="AS20" s="137"/>
      <c r="AU20" s="136" t="s">
        <v>576</v>
      </c>
      <c r="AV20" s="353">
        <f ca="1">SUMPRODUCT(INDIRECT(CONCATENATE(AV8,":",AW8)),INDIRECT(CONCATENATE($AV$2,":",$AW$2)),INDIRECT(CONCATENATE($AV$3,":",$AW$3)),INDIRECT(CONCATENATE(AX3,":",AY3)))</f>
        <v>10075.613999999998</v>
      </c>
      <c r="AW20" s="353">
        <f ca="1">SUMPRODUCT(INDIRECT(CONCATENATE(AX8,":",AY8)),INDIRECT(CONCATENATE($AV$2,":",$AW$2)),INDIRECT(CONCATENATE($AV$3,":",$AW$3)),INDIRECT(CONCATENATE(AX3,":",AY3)))</f>
        <v>839933.39999999979</v>
      </c>
      <c r="AX20" s="353">
        <f ca="1">SUMPRODUCT(INDIRECT(CONCATENATE(AV9,":",AW9)),INDIRECT(CONCATENATE($AV$2,":",$AW$2)),INDIRECT(CONCATENATE($AV$3,":",$AW$3)),INDIRECT(CONCATENATE(AX3,":",AY3)))</f>
        <v>8476.56</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3" si="12">VLOOKUP(AG22,$AL$4:$AS$15,2)</f>
        <v>732</v>
      </c>
      <c r="G22" s="28">
        <f t="shared" ref="G22:G85" si="13">F22*$AU22</f>
        <v>730.91523195104241</v>
      </c>
      <c r="H22" s="52">
        <f t="shared" ref="H22:H33" si="14">(AL22+AM22+AN22)/(1-(AR22))</f>
        <v>2.9136246786632394</v>
      </c>
      <c r="I22" s="52">
        <f t="shared" ref="I22:I33" si="15">(AL22+AO22+AP22)</f>
        <v>3.1960000000000002</v>
      </c>
      <c r="K22" s="52">
        <f t="shared" ref="K22:K33" si="16">MAX(((I22-H22)-AQ22)*AU22*AH22,0)</f>
        <v>7.552026825329027</v>
      </c>
      <c r="L22" s="135">
        <f t="shared" ref="L22:L33" si="17">MAX(Q22-K22,0)</f>
        <v>3.5874890775300372E-4</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7.55238557423678</v>
      </c>
      <c r="R22" s="135"/>
      <c r="S22" s="181">
        <f>_xll.xSPRDOPT(I22,H22,AQ22,AT22,O22,N22,P22,D22-$G$5,1,2)*AF22*(F22/(1-AR22))*AH22</f>
        <v>-23284.905903186889</v>
      </c>
      <c r="T22" s="181">
        <f>_xll.xSPRDOPT(I22,H22,AQ22,AT22,O22,N22,P22,D22-$G$5,1,1)*AF22*F22*AH22</f>
        <v>22645.674499245226</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0.41527360356852311</v>
      </c>
      <c r="AA22" s="338">
        <f t="shared" ref="AA22:AA85" si="22">(($BK22*$BE22)+($BJ22*$BD22))*$F22*$AH22*$AF22</f>
        <v>7.4902330360745506E-2</v>
      </c>
      <c r="AB22" s="338">
        <f t="shared" ref="AB22:AB33" si="23">BN22*(AT22-CA22)*F22*AH22</f>
        <v>0</v>
      </c>
      <c r="AC22" s="338">
        <f t="shared" ref="AC22:AC33" si="24">BO22*CB22*F22*AH22*CA22*($G$5-$BV$5)/365.25</f>
        <v>0.85206430342810491</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-0.01</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2.8335000000000004</v>
      </c>
      <c r="AT22" s="137">
        <f t="shared" ref="AT22:AT33" si="37">VLOOKUP(D22,CurveTbl,$AK$6)</f>
        <v>1.8765908157160699E-2</v>
      </c>
      <c r="AU22" s="137">
        <f t="shared" ref="AU22:AU85" si="38">(1+$AT22/2)^(-2*($D22-$G$5)/365.25)*$AF22</f>
        <v>0.99851807643585033</v>
      </c>
      <c r="AV22" s="394">
        <f t="shared" ref="AV22:AV33" si="39">ROUND((F22/(1-AR22))-F22,0)*AF22*AH22*AU22</f>
        <v>650.03526775973853</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6.4713866641377391E-2</v>
      </c>
      <c r="BG22" s="137">
        <f>_xll.xSPRDOPT($BW22,$BV22,$CG22,0,$BY22,$BX22,$BZ22,$AJ22,1,3)*$CB22</f>
        <v>5.5342189157570568E-2</v>
      </c>
      <c r="BH22" s="137">
        <f>IF(OR(BF22&lt;&gt;0,BG22&lt;&gt;0),_xll.xSPRDOPT($BW22,$BV22,$CG22,0,$BY22,$BX22,$BZ22,$AJ22,1,12)*$CB22,0)</f>
        <v>-5.9844138847701157E-2</v>
      </c>
      <c r="BI22" s="137">
        <f>_xll.xSPRDOPT($BW22,$BV22,$CG22,2*LN(1+CA22/2),$BY22,$BX22,$BZ22,$AJ22,1,9)</f>
        <v>2.2280786724161684E-3</v>
      </c>
      <c r="BJ22" s="137">
        <f>_xll.xSPRDOPT($BW22,$BV22,$CG22,0,$BY22,$BX22,$BZ22,$AJ22,1,6)*$CB22</f>
        <v>-4.5052072146425042E-4</v>
      </c>
      <c r="BK22" s="137">
        <f>_xll.xSPRDOPT($BW22,$BV22,$CG22,0,$BY22,$BX22,$BZ22,$AJ22,1,5)*$CB22</f>
        <v>8.7774478319024667E-4</v>
      </c>
      <c r="BL22" s="137">
        <f>_xll.xSPRDOPT(BW22,BV22,CG22,0,BY22,BX22,BZ22,AJ22,1,2)*CB22</f>
        <v>-0.99678036944841275</v>
      </c>
      <c r="BM22" s="137">
        <f>_xll.xSPRDOPT(BW22,BV22,CG22,0,BY22,BX22,BZ22,AJ22,1,1)*CB22</f>
        <v>0.99691053419312836</v>
      </c>
      <c r="BN22" s="137">
        <f>IF(AH22&lt;&gt;0,_xll.xSPRDOPT($BW22,$BV22,$CG22,2*LN(1+CA22/2),$BY22,$BX22,$BZ22,$AJ22,1,8)+(AJ22/365.25)*CH22/AH22,0)</f>
        <v>1.1483569242706E-2</v>
      </c>
      <c r="BO22" s="137">
        <f>_xll.xSPRDOPT($BW22,$BV22,$CG22,0,$BY22,$BX22,$BZ22,$AJ22,1,0)</f>
        <v>0.2440111524667492</v>
      </c>
      <c r="BP22" s="137"/>
      <c r="BQ22" s="137"/>
      <c r="BR22" s="137"/>
      <c r="BS22" s="137"/>
      <c r="BV22" s="262">
        <v>2.9136246786632394</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33" si="47">D22+AH22</f>
        <v>37302</v>
      </c>
      <c r="F23" s="28">
        <f t="shared" si="12"/>
        <v>732</v>
      </c>
      <c r="G23" s="28">
        <f t="shared" si="13"/>
        <v>729.69090137921023</v>
      </c>
      <c r="H23" s="52">
        <f t="shared" si="14"/>
        <v>2.9773778920308485</v>
      </c>
      <c r="I23" s="52">
        <f t="shared" si="15"/>
        <v>3.258</v>
      </c>
      <c r="K23" s="52">
        <f t="shared" si="16"/>
        <v>6.7608244704146339</v>
      </c>
      <c r="L23" s="135">
        <f t="shared" si="17"/>
        <v>5.4519122900380523E-3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6.7662763827046719</v>
      </c>
      <c r="R23" s="135"/>
      <c r="S23" s="181">
        <f>_xll.xSPRDOPT(I23,H23,AQ23,AT23,O23,N23,P23,D23-$G$5,1,2)*AF23*(F23/(1-AR23))*AH23</f>
        <v>-20872.367328070995</v>
      </c>
      <c r="T23" s="181">
        <f>_xll.xSPRDOPT(I23,H23,AQ23,AT23,O23,N23,P23,D23-$G$5,1,1)*AF23*F23*AH23</f>
        <v>20309.216947572153</v>
      </c>
      <c r="U23" s="135"/>
      <c r="V23" s="146">
        <f t="shared" si="18"/>
        <v>10.475251185865154</v>
      </c>
      <c r="W23" s="146"/>
      <c r="X23" s="338">
        <f t="shared" si="19"/>
        <v>0</v>
      </c>
      <c r="Y23" s="338">
        <f t="shared" si="20"/>
        <v>0</v>
      </c>
      <c r="Z23" s="338">
        <f t="shared" si="21"/>
        <v>-0.25507351984287663</v>
      </c>
      <c r="AA23" s="338">
        <f t="shared" si="22"/>
        <v>9.8041017371574238E-2</v>
      </c>
      <c r="AB23" s="338">
        <f t="shared" si="23"/>
        <v>0</v>
      </c>
      <c r="AC23" s="338">
        <f t="shared" si="24"/>
        <v>0.78627911075751256</v>
      </c>
      <c r="AF23" s="138">
        <f t="shared" si="25"/>
        <v>1</v>
      </c>
      <c r="AG23" s="138">
        <f t="shared" si="26"/>
        <v>2</v>
      </c>
      <c r="AH23" s="138">
        <f t="shared" si="27"/>
        <v>28</v>
      </c>
      <c r="AI23" s="138">
        <f t="shared" ref="AI23:AI33" si="51">AI22+AH22</f>
        <v>46</v>
      </c>
      <c r="AJ23" s="138">
        <f t="shared" si="28"/>
        <v>63</v>
      </c>
      <c r="AL23" s="136">
        <f t="shared" si="29"/>
        <v>2.9079999999999999</v>
      </c>
      <c r="AM23" s="258">
        <f t="shared" si="30"/>
        <v>-0.01</v>
      </c>
      <c r="AN23" s="258">
        <f t="shared" si="31"/>
        <v>-2.5000000000000001E-3</v>
      </c>
      <c r="AO23" s="258">
        <f t="shared" si="32"/>
        <v>0.35</v>
      </c>
      <c r="AP23" s="258">
        <f t="shared" si="33"/>
        <v>0</v>
      </c>
      <c r="AQ23" s="136">
        <f t="shared" si="34"/>
        <v>3.8399999999999997E-2</v>
      </c>
      <c r="AR23" s="137">
        <f t="shared" si="35"/>
        <v>2.75E-2</v>
      </c>
      <c r="AS23" s="136">
        <f t="shared" si="36"/>
        <v>2.8955000000000002</v>
      </c>
      <c r="AT23" s="137">
        <f t="shared" si="37"/>
        <v>1.9326187282006298E-2</v>
      </c>
      <c r="AU23" s="137">
        <f t="shared" si="38"/>
        <v>0.99684549368744568</v>
      </c>
      <c r="AV23" s="394">
        <f t="shared" si="39"/>
        <v>586.14515028821802</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0.22762953558709442</v>
      </c>
      <c r="BG23" s="137">
        <f>_xll.xSPRDOPT($BW23,$BV23,$CG23,0,$BY23,$BX23,$BZ23,$AJ23,1,3)*$CB23</f>
        <v>0.19567774973923965</v>
      </c>
      <c r="BH23" s="137">
        <f>IF(OR(BF23&lt;&gt;0,BG23&lt;&gt;0),_xll.xSPRDOPT($BW23,$BV23,$CG23,0,$BY23,$BX23,$BZ23,$AJ23,1,12)*$CB23,0)</f>
        <v>-0.2110438491922606</v>
      </c>
      <c r="BI23" s="137">
        <f>_xll.xSPRDOPT($BW23,$BV23,$CG23,2*LN(1+CA23/2),$BY23,$BX23,$BZ23,$AJ23,1,9)</f>
        <v>-1.5151835012134187E-3</v>
      </c>
      <c r="BJ23" s="137">
        <f>_xll.xSPRDOPT($BW23,$BV23,$CG23,0,$BY23,$BX23,$BZ23,$AJ23,1,6)*$CB23</f>
        <v>-3.4536860084919798E-3</v>
      </c>
      <c r="BK23" s="137">
        <f>_xll.xSPRDOPT($BW23,$BV23,$CG23,0,$BY23,$BX23,$BZ23,$AJ23,1,5)*$CB23</f>
        <v>5.798367067946314E-3</v>
      </c>
      <c r="BL23" s="137">
        <f>_xll.xSPRDOPT(BW23,BV23,CG23,0,BY23,BX23,BZ23,AJ23,1,2)*CB23</f>
        <v>-0.98866333335127987</v>
      </c>
      <c r="BM23" s="137">
        <f>_xll.xSPRDOPT(BW23,BV23,CG23,0,BY23,BX23,BZ23,AJ23,1,1)*CB23</f>
        <v>0.98932333053951094</v>
      </c>
      <c r="BN23" s="137">
        <f>IF(AH23&lt;&gt;0,_xll.xSPRDOPT($BW23,$BV23,$CG23,2*LN(1+CA23/2),$BY23,$BX23,$BZ23,$AJ23,1,8)+(AJ23/365.25)*CH23/AH23,0)</f>
        <v>2.2833985588369479E-2</v>
      </c>
      <c r="BO23" s="137">
        <f>_xll.xSPRDOPT($BW23,$BV23,$CG23,0,$BY23,$BX23,$BZ23,$AJ23,1,0)</f>
        <v>0.24247734555231074</v>
      </c>
      <c r="BP23" s="137"/>
      <c r="BQ23" s="137"/>
      <c r="BR23" s="137"/>
      <c r="BS23" s="137"/>
      <c r="BV23" s="262">
        <v>2.9773778920308485</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732</v>
      </c>
      <c r="G24" s="28">
        <f t="shared" si="13"/>
        <v>728.62503333905534</v>
      </c>
      <c r="H24" s="52">
        <f t="shared" si="14"/>
        <v>2.9712082262210799</v>
      </c>
      <c r="I24" s="52">
        <f t="shared" si="15"/>
        <v>3.302</v>
      </c>
      <c r="K24" s="52">
        <f t="shared" si="16"/>
        <v>9.0223537478820592</v>
      </c>
      <c r="L24" s="135">
        <f t="shared" si="17"/>
        <v>8.4012005027389591E-5</v>
      </c>
      <c r="N24" s="131">
        <f t="shared" si="48"/>
        <v>0.79</v>
      </c>
      <c r="O24" s="131">
        <f t="shared" si="49"/>
        <v>0.79</v>
      </c>
      <c r="P24" s="55">
        <f t="shared" si="50"/>
        <v>0.99793296089385497</v>
      </c>
      <c r="Q24" s="135">
        <f>_xll.xSPRDOPT(I24,H24,AQ24,0,O24,N24,P24,D24-$G$5,1,0)*AH24*AU24</f>
        <v>9.0224377598870866</v>
      </c>
      <c r="R24" s="135"/>
      <c r="S24" s="181">
        <f>_xll.xSPRDOPT(I24,H24,AQ24,AT24,O24,N24,P24,D24-$G$5,1,2)*AF24*(F24/(1-AR24))*AH24</f>
        <v>-23222.292458576256</v>
      </c>
      <c r="T24" s="181">
        <f>_xll.xSPRDOPT(I24,H24,AQ24,AT24,O24,N24,P24,D24-$G$5,1,1)*AF24*F24*AH24</f>
        <v>22583.962448316001</v>
      </c>
      <c r="U24" s="135"/>
      <c r="V24" s="146">
        <f t="shared" si="18"/>
        <v>11.580658777836847</v>
      </c>
      <c r="W24" s="146"/>
      <c r="X24" s="338">
        <f t="shared" si="19"/>
        <v>0</v>
      </c>
      <c r="Y24" s="338">
        <f t="shared" si="20"/>
        <v>0</v>
      </c>
      <c r="Z24" s="338">
        <f t="shared" si="21"/>
        <v>1.0191078656680441</v>
      </c>
      <c r="AA24" s="338">
        <f t="shared" si="22"/>
        <v>0</v>
      </c>
      <c r="AB24" s="338">
        <f t="shared" si="23"/>
        <v>0</v>
      </c>
      <c r="AC24" s="338">
        <f t="shared" si="24"/>
        <v>1.0453273793254396</v>
      </c>
      <c r="AF24" s="138">
        <f t="shared" si="25"/>
        <v>1</v>
      </c>
      <c r="AG24" s="138">
        <f t="shared" si="26"/>
        <v>3</v>
      </c>
      <c r="AH24" s="138">
        <f t="shared" si="27"/>
        <v>31</v>
      </c>
      <c r="AI24" s="138">
        <f t="shared" si="51"/>
        <v>74</v>
      </c>
      <c r="AJ24" s="138">
        <f t="shared" si="28"/>
        <v>91</v>
      </c>
      <c r="AL24" s="136">
        <f t="shared" si="29"/>
        <v>2.9020000000000001</v>
      </c>
      <c r="AM24" s="258">
        <f t="shared" si="30"/>
        <v>-0.01</v>
      </c>
      <c r="AN24" s="258">
        <f t="shared" si="31"/>
        <v>-2.5000000000000001E-3</v>
      </c>
      <c r="AO24" s="258">
        <f t="shared" si="32"/>
        <v>0.4</v>
      </c>
      <c r="AP24" s="258">
        <f t="shared" si="33"/>
        <v>0</v>
      </c>
      <c r="AQ24" s="136">
        <f t="shared" si="34"/>
        <v>3.8399999999999997E-2</v>
      </c>
      <c r="AR24" s="137">
        <f t="shared" si="35"/>
        <v>2.75E-2</v>
      </c>
      <c r="AS24" s="136">
        <f t="shared" si="36"/>
        <v>2.8895000000000004</v>
      </c>
      <c r="AT24" s="137">
        <f t="shared" si="37"/>
        <v>1.9273175363903501E-2</v>
      </c>
      <c r="AU24" s="137">
        <f t="shared" si="38"/>
        <v>0.99538938980745262</v>
      </c>
      <c r="AV24" s="394">
        <f t="shared" si="39"/>
        <v>647.9984927646517</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8.8923803099618618E-3</v>
      </c>
      <c r="BG24" s="137">
        <f>_xll.xSPRDOPT($BW24,$BV24,$CG24,0,$BY24,$BX24,$BZ24,$AJ24,1,3)*$CB24</f>
        <v>7.4654399523659881E-3</v>
      </c>
      <c r="BH24" s="137">
        <f>IF(OR(BF24&lt;&gt;0,BG24&lt;&gt;0),_xll.xSPRDOPT($BW24,$BV24,$CG24,0,$BY24,$BX24,$BZ24,$AJ24,1,12)*$CB24,0)</f>
        <v>-8.1481810520143364E-3</v>
      </c>
      <c r="BI24" s="137">
        <f>_xll.xSPRDOPT($BW24,$BV24,$CG24,2*LN(1+CA24/2),$BY24,$BX24,$BZ24,$AJ24,1,9)</f>
        <v>5.4678469348265618E-3</v>
      </c>
      <c r="BJ24" s="137">
        <f>_xll.xSPRDOPT($BW24,$BV24,$CG24,0,$BY24,$BX24,$BZ24,$AJ24,1,6)*$CB24</f>
        <v>-2.4881435275855558E-4</v>
      </c>
      <c r="BK24" s="137">
        <f>_xll.xSPRDOPT($BW24,$BV24,$CG24,0,$BY24,$BX24,$BZ24,$AJ24,1,5)*$CB24</f>
        <v>3.2060927973525072E-4</v>
      </c>
      <c r="BL24" s="137">
        <f>_xll.xSPRDOPT(BW24,BV24,CG24,0,BY24,BX24,BZ24,AJ24,1,2)*CB24</f>
        <v>-0.99504685096766288</v>
      </c>
      <c r="BM24" s="137">
        <f>_xll.xSPRDOPT(BW24,BV24,CG24,0,BY24,BX24,BZ24,AJ24,1,1)*CB24</f>
        <v>0.99506335597399986</v>
      </c>
      <c r="BN24" s="137">
        <f>IF(AH24&lt;&gt;0,_xll.xSPRDOPT($BW24,$BV24,$CG24,2*LN(1+CA24/2),$BY24,$BX24,$BZ24,$AJ24,1,8)+(AJ24/365.25)*CH24/AH24,0)</f>
        <v>2.0556725800303238E-2</v>
      </c>
      <c r="BO24" s="137">
        <f>_xll.xSPRDOPT($BW24,$BV24,$CG24,0,$BY24,$BX24,$BZ24,$AJ24,1,0)</f>
        <v>0.29239548397265552</v>
      </c>
      <c r="BP24" s="137"/>
      <c r="BQ24" s="137"/>
      <c r="BR24" s="137"/>
      <c r="BS24" s="137"/>
      <c r="BV24" s="262">
        <v>2.9712082262210799</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732</v>
      </c>
      <c r="G25" s="28">
        <f t="shared" si="13"/>
        <v>727.4047512865327</v>
      </c>
      <c r="H25" s="52">
        <f t="shared" si="14"/>
        <v>2.943958868894601</v>
      </c>
      <c r="I25" s="52">
        <f t="shared" si="15"/>
        <v>3.448</v>
      </c>
      <c r="K25" s="52">
        <f t="shared" si="16"/>
        <v>13.881539801659939</v>
      </c>
      <c r="L25" s="135">
        <f t="shared" si="17"/>
        <v>1.6416600221447197E-6</v>
      </c>
      <c r="N25" s="131">
        <f t="shared" si="48"/>
        <v>0.60058305004387191</v>
      </c>
      <c r="O25" s="131">
        <f t="shared" si="49"/>
        <v>0.60058305004387191</v>
      </c>
      <c r="P25" s="55">
        <f t="shared" si="50"/>
        <v>1</v>
      </c>
      <c r="Q25" s="135">
        <f>_xll.xSPRDOPT(I25,H25,AQ25,0,O25,N25,P25,D25-$G$5,1,0)*AH25*AU25</f>
        <v>13.881541443319961</v>
      </c>
      <c r="R25" s="135"/>
      <c r="S25" s="181">
        <f>_xll.xSPRDOPT(I25,H25,AQ25,AT25,O25,N25,P25,D25-$G$5,1,2)*AF25*(F25/(1-AR25))*AH25</f>
        <v>-22438.538757810307</v>
      </c>
      <c r="T25" s="181">
        <f>_xll.xSPRDOPT(I25,H25,AQ25,AT25,O25,N25,P25,D25-$G$5,1,1)*AF25*F25*AH25</f>
        <v>21821.478942210197</v>
      </c>
      <c r="U25" s="135"/>
      <c r="V25" s="146">
        <f t="shared" si="18"/>
        <v>11.188319801550644</v>
      </c>
      <c r="W25" s="146"/>
      <c r="X25" s="338">
        <f t="shared" si="19"/>
        <v>0</v>
      </c>
      <c r="Y25" s="338">
        <f t="shared" si="20"/>
        <v>0</v>
      </c>
      <c r="Z25" s="338">
        <f t="shared" si="21"/>
        <v>1.6129455243850808</v>
      </c>
      <c r="AA25" s="338">
        <f t="shared" si="22"/>
        <v>1.027380044132902E-7</v>
      </c>
      <c r="AB25" s="338">
        <f t="shared" si="23"/>
        <v>0</v>
      </c>
      <c r="AC25" s="338">
        <f t="shared" si="24"/>
        <v>1.6207615306975525</v>
      </c>
      <c r="AF25" s="138">
        <f t="shared" si="25"/>
        <v>1</v>
      </c>
      <c r="AG25" s="138">
        <f t="shared" si="26"/>
        <v>4</v>
      </c>
      <c r="AH25" s="138">
        <f t="shared" si="27"/>
        <v>30</v>
      </c>
      <c r="AI25" s="138">
        <f t="shared" si="51"/>
        <v>105</v>
      </c>
      <c r="AJ25" s="138">
        <f t="shared" si="28"/>
        <v>122</v>
      </c>
      <c r="AL25" s="136">
        <f t="shared" si="29"/>
        <v>2.8479999999999999</v>
      </c>
      <c r="AM25" s="258">
        <f t="shared" si="30"/>
        <v>0.01</v>
      </c>
      <c r="AN25" s="258">
        <f t="shared" si="31"/>
        <v>5.0000000000000001E-3</v>
      </c>
      <c r="AO25" s="258">
        <f t="shared" si="32"/>
        <v>0.6</v>
      </c>
      <c r="AP25" s="258">
        <f t="shared" si="33"/>
        <v>0</v>
      </c>
      <c r="AQ25" s="136">
        <f t="shared" si="34"/>
        <v>3.8399999999999997E-2</v>
      </c>
      <c r="AR25" s="137">
        <f t="shared" si="35"/>
        <v>2.75E-2</v>
      </c>
      <c r="AS25" s="136">
        <f t="shared" si="36"/>
        <v>2.8629999999999995</v>
      </c>
      <c r="AT25" s="137">
        <f t="shared" si="37"/>
        <v>1.9422640119623601E-2</v>
      </c>
      <c r="AU25" s="137">
        <f t="shared" si="38"/>
        <v>0.99372233782313213</v>
      </c>
      <c r="AV25" s="394">
        <f t="shared" si="39"/>
        <v>626.04507282857321</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1.0659791576564126E-6</v>
      </c>
      <c r="BG25" s="137">
        <f>_xll.xSPRDOPT($BW25,$BV25,$CG25,0,$BY25,$BX25,$BZ25,$AJ25,1,3)*$CB25</f>
        <v>8.2909490039943189E-7</v>
      </c>
      <c r="BH25" s="137">
        <f>IF(OR(BF25&lt;&gt;0,BG25&lt;&gt;0),_xll.xSPRDOPT($BW25,$BV25,$CG25,0,$BY25,$BX25,$BZ25,$AJ25,1,12)*$CB25,0)</f>
        <v>-3.5532638588547083E-7</v>
      </c>
      <c r="BI25" s="137">
        <f>_xll.xSPRDOPT($BW25,$BV25,$CG25,2*LN(1+CA25/2),$BY25,$BX25,$BZ25,$AJ25,1,9)</f>
        <v>8.9424461563699254E-3</v>
      </c>
      <c r="BJ25" s="137">
        <f>_xll.xSPRDOPT($BW25,$BV25,$CG25,0,$BY25,$BX25,$BZ25,$AJ25,1,6)*$CB25</f>
        <v>1.1803576163195543E-7</v>
      </c>
      <c r="BK25" s="137">
        <f>_xll.xSPRDOPT($BW25,$BV25,$CG25,0,$BY25,$BX25,$BZ25,$AJ25,1,5)*$CB25</f>
        <v>-1.3825033281183052E-7</v>
      </c>
      <c r="BL25" s="137">
        <f>_xll.xSPRDOPT(BW25,BV25,CG25,0,BY25,BX25,BZ25,AJ25,1,2)*CB25</f>
        <v>-0.99356470591650048</v>
      </c>
      <c r="BM25" s="137">
        <f>_xll.xSPRDOPT(BW25,BV25,CG25,0,BY25,BX25,BZ25,AJ25,1,1)*CB25</f>
        <v>0.99356470592192236</v>
      </c>
      <c r="BN25" s="137">
        <f>IF(AH25&lt;&gt;0,_xll.xSPRDOPT($BW25,$BV25,$CG25,2*LN(1+CA25/2),$BY25,$BX25,$BZ25,$AJ25,1,8)+(AJ25/365.25)*CH25/AH25,0)</f>
        <v>-2.9981371651335256E-2</v>
      </c>
      <c r="BO25" s="137">
        <f>_xll.xSPRDOPT($BW25,$BV25,$CG25,0,$BY25,$BX25,$BZ25,$AJ25,1,0)</f>
        <v>0.46564118601821697</v>
      </c>
      <c r="BP25" s="137"/>
      <c r="BQ25" s="137"/>
      <c r="BR25" s="137"/>
      <c r="BS25" s="137"/>
      <c r="BV25" s="262">
        <v>2.943958868894601</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732</v>
      </c>
      <c r="G26" s="28">
        <f t="shared" si="13"/>
        <v>726.16590638192406</v>
      </c>
      <c r="H26" s="52">
        <f t="shared" si="14"/>
        <v>2.9933161953727501</v>
      </c>
      <c r="I26" s="52">
        <f t="shared" si="15"/>
        <v>3.6459999999999999</v>
      </c>
      <c r="K26" s="52">
        <f t="shared" si="16"/>
        <v>18.891025448974581</v>
      </c>
      <c r="L26" s="135">
        <f t="shared" si="17"/>
        <v>2.2009423226165836E-6</v>
      </c>
      <c r="N26" s="131">
        <f t="shared" si="48"/>
        <v>0.57775797476853397</v>
      </c>
      <c r="O26" s="131">
        <f t="shared" si="49"/>
        <v>0.57775797476853397</v>
      </c>
      <c r="P26" s="55">
        <f t="shared" si="50"/>
        <v>0.99999999999999989</v>
      </c>
      <c r="Q26" s="135">
        <f>_xll.xSPRDOPT(I26,H26,AQ26,0,O26,N26,P26,D26-$G$5,1,0)*AH26*AU26</f>
        <v>18.891027649916904</v>
      </c>
      <c r="R26" s="135"/>
      <c r="S26" s="181">
        <f>_xll.xSPRDOPT(I26,H26,AQ26,AT26,O26,N26,P26,D26-$G$5,1,2)*AF26*(F26/(1-AR26))*AH26</f>
        <v>-23146.796400439744</v>
      </c>
      <c r="T26" s="181">
        <f>_xll.xSPRDOPT(I26,H26,AQ26,AT26,O26,N26,P26,D26-$G$5,1,1)*AF26*F26*AH26</f>
        <v>22510.259499427651</v>
      </c>
      <c r="U26" s="135"/>
      <c r="V26" s="146">
        <f t="shared" si="18"/>
        <v>11.541573776802213</v>
      </c>
      <c r="W26" s="146"/>
      <c r="X26" s="338">
        <f t="shared" si="19"/>
        <v>0</v>
      </c>
      <c r="Y26" s="338">
        <f t="shared" si="20"/>
        <v>0</v>
      </c>
      <c r="Z26" s="338">
        <f t="shared" si="21"/>
        <v>2.2275693602675957</v>
      </c>
      <c r="AA26" s="338">
        <f t="shared" si="22"/>
        <v>-3.5768362101086937E-9</v>
      </c>
      <c r="AB26" s="338">
        <f t="shared" si="23"/>
        <v>0</v>
      </c>
      <c r="AC26" s="338">
        <f t="shared" si="24"/>
        <v>2.2385249022984963</v>
      </c>
      <c r="AF26" s="138">
        <f t="shared" si="25"/>
        <v>1</v>
      </c>
      <c r="AG26" s="138">
        <f t="shared" si="26"/>
        <v>5</v>
      </c>
      <c r="AH26" s="138">
        <f t="shared" si="27"/>
        <v>31</v>
      </c>
      <c r="AI26" s="138">
        <f t="shared" si="51"/>
        <v>135</v>
      </c>
      <c r="AJ26" s="138">
        <f t="shared" si="28"/>
        <v>152</v>
      </c>
      <c r="AL26" s="136">
        <f t="shared" si="29"/>
        <v>2.8959999999999999</v>
      </c>
      <c r="AM26" s="258">
        <f t="shared" si="30"/>
        <v>0.01</v>
      </c>
      <c r="AN26" s="258">
        <f t="shared" si="31"/>
        <v>5.0000000000000001E-3</v>
      </c>
      <c r="AO26" s="258">
        <f t="shared" si="32"/>
        <v>0.75</v>
      </c>
      <c r="AP26" s="258">
        <f t="shared" si="33"/>
        <v>0</v>
      </c>
      <c r="AQ26" s="136">
        <f t="shared" si="34"/>
        <v>3.8399999999999997E-2</v>
      </c>
      <c r="AR26" s="137">
        <f t="shared" si="35"/>
        <v>2.75E-2</v>
      </c>
      <c r="AS26" s="136">
        <f t="shared" si="36"/>
        <v>2.9109999999999996</v>
      </c>
      <c r="AT26" s="137">
        <f t="shared" si="37"/>
        <v>1.9712159578257001E-2</v>
      </c>
      <c r="AU26" s="137">
        <f t="shared" si="38"/>
        <v>0.99202992675126245</v>
      </c>
      <c r="AV26" s="394">
        <f t="shared" si="39"/>
        <v>645.81148231507188</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1.1951638005137483E-2</v>
      </c>
      <c r="BJ26" s="137">
        <f>_xll.xSPRDOPT($BW26,$BV26,$CG26,0,$BY26,$BX26,$BZ26,$AJ26,1,6)*$CB26</f>
        <v>1.4331787239127977E-7</v>
      </c>
      <c r="BK26" s="137">
        <f>_xll.xSPRDOPT($BW26,$BV26,$CG26,0,$BY26,$BX26,$BZ26,$AJ26,1,5)*$CB26</f>
        <v>-1.7458811472671625E-7</v>
      </c>
      <c r="BL26" s="137">
        <f>_xll.xSPRDOPT(BW26,BV26,CG26,0,BY26,BX26,BZ26,AJ26,1,2)*CB26</f>
        <v>-0.9918702256731885</v>
      </c>
      <c r="BM26" s="137">
        <f>_xll.xSPRDOPT(BW26,BV26,CG26,0,BY26,BX26,BZ26,AJ26,1,1)*CB26</f>
        <v>0.99187022568040528</v>
      </c>
      <c r="BN26" s="137">
        <f>IF(AH26&lt;&gt;0,_xll.xSPRDOPT($BW26,$BV26,$CG26,2*LN(1+CA26/2),$BY26,$BX26,$BZ26,$AJ26,1,8)+(AJ26/365.25)*CH26/AH26,0)</f>
        <v>-9.864538376188553E-2</v>
      </c>
      <c r="BO26" s="137">
        <f>_xll.xSPRDOPT($BW26,$BV26,$CG26,0,$BY26,$BX26,$BZ26,$AJ26,1,0)</f>
        <v>0.6142838760162842</v>
      </c>
      <c r="BP26" s="137"/>
      <c r="BQ26" s="137"/>
      <c r="BR26" s="137"/>
      <c r="BS26" s="137"/>
      <c r="BV26" s="262">
        <v>2.9933161953727501</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3.8399999999999997E-2</v>
      </c>
      <c r="CH26" s="258">
        <v>11.539714415446454</v>
      </c>
      <c r="CI26" s="258">
        <v>2.8959999999999999</v>
      </c>
      <c r="CJ26" s="258"/>
      <c r="CK26" s="258"/>
      <c r="CL26" s="258"/>
      <c r="CM26" s="258"/>
    </row>
    <row r="27" spans="1:91" x14ac:dyDescent="0.25">
      <c r="A27" s="726"/>
      <c r="B27" s="726"/>
      <c r="C27" s="726"/>
      <c r="D27" s="31">
        <f t="shared" si="47"/>
        <v>37422</v>
      </c>
      <c r="F27" s="28">
        <f t="shared" si="12"/>
        <v>732</v>
      </c>
      <c r="G27" s="28">
        <f t="shared" si="13"/>
        <v>724.85213201293232</v>
      </c>
      <c r="H27" s="52">
        <f t="shared" si="14"/>
        <v>3.0473007712082265</v>
      </c>
      <c r="I27" s="52">
        <f t="shared" si="15"/>
        <v>3.7960000000000003</v>
      </c>
      <c r="K27" s="52">
        <f t="shared" si="16"/>
        <v>21.100897965445032</v>
      </c>
      <c r="L27" s="135">
        <f t="shared" si="17"/>
        <v>2.4317353286562593E-6</v>
      </c>
      <c r="N27" s="131">
        <f t="shared" si="48"/>
        <v>0.5502663217587267</v>
      </c>
      <c r="O27" s="131">
        <f t="shared" si="49"/>
        <v>0.5502663217587267</v>
      </c>
      <c r="P27" s="55">
        <f t="shared" si="50"/>
        <v>0.99999999999999978</v>
      </c>
      <c r="Q27" s="135">
        <f>_xll.xSPRDOPT(I27,H27,AQ27,0,O27,N27,P27,D27-$G$5,1,0)*AH27*AU27</f>
        <v>21.100900397180361</v>
      </c>
      <c r="R27" s="135"/>
      <c r="S27" s="181">
        <f>_xll.xSPRDOPT(I27,H27,AQ27,AT27,O27,N27,P27,D27-$G$5,1,2)*AF27*(F27/(1-AR27))*AH27</f>
        <v>-22359.383803406243</v>
      </c>
      <c r="T27" s="181">
        <f>_xll.xSPRDOPT(I27,H27,AQ27,AT27,O27,N27,P27,D27-$G$5,1,1)*AF27*F27*AH27</f>
        <v>21744.500748772625</v>
      </c>
      <c r="U27" s="135"/>
      <c r="V27" s="146">
        <f t="shared" si="18"/>
        <v>11.149057587887439</v>
      </c>
      <c r="W27" s="146"/>
      <c r="X27" s="338">
        <f t="shared" si="19"/>
        <v>0</v>
      </c>
      <c r="Y27" s="338">
        <f t="shared" si="20"/>
        <v>0</v>
      </c>
      <c r="Z27" s="338">
        <f t="shared" si="21"/>
        <v>2.5257189242321534</v>
      </c>
      <c r="AA27" s="338">
        <f t="shared" si="22"/>
        <v>-4.0492870286968359E-8</v>
      </c>
      <c r="AB27" s="338">
        <f t="shared" si="23"/>
        <v>0</v>
      </c>
      <c r="AC27" s="338">
        <f t="shared" si="24"/>
        <v>2.5383296252563419</v>
      </c>
      <c r="AF27" s="138">
        <f t="shared" si="25"/>
        <v>1</v>
      </c>
      <c r="AG27" s="138">
        <f t="shared" si="26"/>
        <v>6</v>
      </c>
      <c r="AH27" s="138">
        <f t="shared" si="27"/>
        <v>30</v>
      </c>
      <c r="AI27" s="138">
        <f t="shared" si="51"/>
        <v>166</v>
      </c>
      <c r="AJ27" s="138">
        <f t="shared" si="28"/>
        <v>183</v>
      </c>
      <c r="AL27" s="136">
        <f t="shared" si="29"/>
        <v>2.9460000000000002</v>
      </c>
      <c r="AM27" s="258">
        <f t="shared" si="30"/>
        <v>1.2500000000000001E-2</v>
      </c>
      <c r="AN27" s="258">
        <f t="shared" si="31"/>
        <v>5.0000000000000001E-3</v>
      </c>
      <c r="AO27" s="258">
        <f t="shared" si="32"/>
        <v>0.85</v>
      </c>
      <c r="AP27" s="258">
        <f t="shared" si="33"/>
        <v>0</v>
      </c>
      <c r="AQ27" s="136">
        <f t="shared" si="34"/>
        <v>3.8399999999999997E-2</v>
      </c>
      <c r="AR27" s="137">
        <f t="shared" si="35"/>
        <v>2.75E-2</v>
      </c>
      <c r="AS27" s="136">
        <f t="shared" si="36"/>
        <v>2.9635000000000002</v>
      </c>
      <c r="AT27" s="137">
        <f t="shared" si="37"/>
        <v>2.0011329715354399E-2</v>
      </c>
      <c r="AU27" s="137">
        <f t="shared" si="38"/>
        <v>0.99023515302313159</v>
      </c>
      <c r="AV27" s="394">
        <f t="shared" si="39"/>
        <v>623.84814640457284</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2.596570343062469E-6</v>
      </c>
      <c r="BG27" s="137">
        <f>_xll.xSPRDOPT($BW27,$BV27,$CG27,0,$BY27,$BX27,$BZ27,$AJ27,1,3)*$CB27</f>
        <v>1.4163110962158923E-6</v>
      </c>
      <c r="BH27" s="137">
        <f>IF(OR(BF27&lt;&gt;0,BG27&lt;&gt;0),_xll.xSPRDOPT($BW27,$BV27,$CG27,0,$BY27,$BX27,$BZ27,$AJ27,1,12)*$CB27,0)</f>
        <v>-5.9012962342328848E-7</v>
      </c>
      <c r="BI27" s="137">
        <f>_xll.xSPRDOPT($BW27,$BV27,$CG27,2*LN(1+CA27/2),$BY27,$BX27,$BZ27,$AJ27,1,9)</f>
        <v>1.4003018170549393E-2</v>
      </c>
      <c r="BJ27" s="137">
        <f>_xll.xSPRDOPT($BW27,$BV27,$CG27,0,$BY27,$BX27,$BZ27,$AJ27,1,6)*$CB27</f>
        <v>1.6682608471657733E-7</v>
      </c>
      <c r="BK27" s="137">
        <f>_xll.xSPRDOPT($BW27,$BV27,$CG27,0,$BY27,$BX27,$BZ27,$AJ27,1,5)*$CB27</f>
        <v>-2.07810181929089E-7</v>
      </c>
      <c r="BL27" s="137">
        <f>_xll.xSPRDOPT(BW27,BV27,CG27,0,BY27,BX27,BZ27,AJ27,1,2)*CB27</f>
        <v>-0.99007333067889935</v>
      </c>
      <c r="BM27" s="137">
        <f>_xll.xSPRDOPT(BW27,BV27,CG27,0,BY27,BX27,BZ27,AJ27,1,1)*CB27</f>
        <v>0.99007333066989467</v>
      </c>
      <c r="BN27" s="137">
        <f>IF(AH27&lt;&gt;0,_xll.xSPRDOPT($BW27,$BV27,$CG27,2*LN(1+CA27/2),$BY27,$BX27,$BZ27,$AJ27,1,8)+(AJ27/365.25)*CH27/AH27,0)</f>
        <v>-0.16617744989859934</v>
      </c>
      <c r="BO27" s="137">
        <f>_xll.xSPRDOPT($BW27,$BV27,$CG27,0,$BY27,$BX27,$BZ27,$AJ27,1,0)</f>
        <v>0.7102993104640547</v>
      </c>
      <c r="BP27" s="137"/>
      <c r="BQ27" s="137"/>
      <c r="BR27" s="137"/>
      <c r="BS27" s="137"/>
      <c r="BV27" s="262">
        <v>3.0473007712082265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3.8399999999999997E-2</v>
      </c>
      <c r="CH27" s="258">
        <v>11.14723433913672</v>
      </c>
      <c r="CI27" s="258">
        <v>2.9460000000000002</v>
      </c>
      <c r="CJ27" s="258"/>
      <c r="CK27" s="258"/>
      <c r="CL27" s="258"/>
      <c r="CM27" s="258"/>
    </row>
    <row r="28" spans="1:91" x14ac:dyDescent="0.25">
      <c r="A28" s="723"/>
      <c r="B28" s="723"/>
      <c r="D28" s="31">
        <f t="shared" si="47"/>
        <v>37452</v>
      </c>
      <c r="F28" s="28">
        <f t="shared" si="12"/>
        <v>732</v>
      </c>
      <c r="G28" s="28">
        <f t="shared" si="13"/>
        <v>723.49575650519466</v>
      </c>
      <c r="H28" s="52">
        <f t="shared" si="14"/>
        <v>3.0863753213367611</v>
      </c>
      <c r="I28" s="52">
        <f t="shared" si="15"/>
        <v>4.0339999999999998</v>
      </c>
      <c r="K28" s="52">
        <f t="shared" si="16"/>
        <v>27.858505598910146</v>
      </c>
      <c r="L28" s="135">
        <f t="shared" si="17"/>
        <v>3.144731437032533E-6</v>
      </c>
      <c r="N28" s="131">
        <f t="shared" si="48"/>
        <v>0.54938596714727361</v>
      </c>
      <c r="O28" s="131">
        <f t="shared" si="49"/>
        <v>0.54938596714727361</v>
      </c>
      <c r="P28" s="55">
        <f t="shared" si="50"/>
        <v>0.99999999999999978</v>
      </c>
      <c r="Q28" s="135">
        <f>_xll.xSPRDOPT(I28,H28,AQ28,0,O28,N28,P28,D28-$G$5,1,0)*AH28*AU28</f>
        <v>27.858508743641583</v>
      </c>
      <c r="R28" s="135"/>
      <c r="S28" s="181">
        <f>_xll.xSPRDOPT(I28,H28,AQ28,AT28,O28,N28,P28,D28-$G$5,1,2)*AF28*(F28/(1-AR28))*AH28</f>
        <v>-23061.218252394174</v>
      </c>
      <c r="T28" s="181">
        <f>_xll.xSPRDOPT(I28,H28,AQ28,AT28,O28,N28,P28,D28-$G$5,1,1)*AF28*F28*AH28</f>
        <v>22427.034750659717</v>
      </c>
      <c r="U28" s="135"/>
      <c r="V28" s="146">
        <f t="shared" si="18"/>
        <v>11.499134808618015</v>
      </c>
      <c r="W28" s="146"/>
      <c r="X28" s="338">
        <f t="shared" si="19"/>
        <v>0</v>
      </c>
      <c r="Y28" s="338">
        <f t="shared" si="20"/>
        <v>0</v>
      </c>
      <c r="Z28" s="338">
        <f t="shared" si="21"/>
        <v>3.4037586488017699</v>
      </c>
      <c r="AA28" s="338">
        <f t="shared" si="22"/>
        <v>-1.3050302294545255E-7</v>
      </c>
      <c r="AB28" s="338">
        <f t="shared" si="23"/>
        <v>0</v>
      </c>
      <c r="AC28" s="338">
        <f t="shared" si="24"/>
        <v>3.421107439670684</v>
      </c>
      <c r="AF28" s="138">
        <f t="shared" si="25"/>
        <v>1</v>
      </c>
      <c r="AG28" s="138">
        <f t="shared" si="26"/>
        <v>7</v>
      </c>
      <c r="AH28" s="138">
        <f t="shared" si="27"/>
        <v>31</v>
      </c>
      <c r="AI28" s="138">
        <f t="shared" si="51"/>
        <v>196</v>
      </c>
      <c r="AJ28" s="138">
        <f t="shared" si="28"/>
        <v>213</v>
      </c>
      <c r="AL28" s="136">
        <f t="shared" si="29"/>
        <v>2.984</v>
      </c>
      <c r="AM28" s="258">
        <f t="shared" si="30"/>
        <v>1.2500000000000001E-2</v>
      </c>
      <c r="AN28" s="258">
        <f t="shared" si="31"/>
        <v>5.0000000000000001E-3</v>
      </c>
      <c r="AO28" s="258">
        <f t="shared" si="32"/>
        <v>1.05</v>
      </c>
      <c r="AP28" s="258">
        <f t="shared" si="33"/>
        <v>0</v>
      </c>
      <c r="AQ28" s="136">
        <f t="shared" si="34"/>
        <v>3.8399999999999997E-2</v>
      </c>
      <c r="AR28" s="137">
        <f t="shared" si="35"/>
        <v>2.75E-2</v>
      </c>
      <c r="AS28" s="136">
        <f t="shared" si="36"/>
        <v>3.0015000000000001</v>
      </c>
      <c r="AT28" s="137">
        <f t="shared" si="37"/>
        <v>2.0428629809483099E-2</v>
      </c>
      <c r="AU28" s="137">
        <f t="shared" si="38"/>
        <v>0.98838218101802544</v>
      </c>
      <c r="AV28" s="394">
        <f t="shared" si="39"/>
        <v>643.43679984273456</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-1.1780466959485154E-6</v>
      </c>
      <c r="BI28" s="137">
        <f>_xll.xSPRDOPT($BW28,$BV28,$CG28,2*LN(1+CA28/2),$BY28,$BX28,$BZ28,$AJ28,1,9)</f>
        <v>1.8262278137300171E-2</v>
      </c>
      <c r="BJ28" s="137">
        <f>_xll.xSPRDOPT($BW28,$BV28,$CG28,0,$BY28,$BX28,$BZ28,$AJ28,1,6)*$CB28</f>
        <v>1.9552854250430593E-7</v>
      </c>
      <c r="BK28" s="137">
        <f>_xll.xSPRDOPT($BW28,$BV28,$CG28,0,$BY28,$BX28,$BZ28,$AJ28,1,5)*$CB28</f>
        <v>-2.5561565485140043E-7</v>
      </c>
      <c r="BL28" s="137">
        <f>_xll.xSPRDOPT(BW28,BV28,CG28,0,BY28,BX28,BZ28,AJ28,1,2)*CB28</f>
        <v>-0.98821730583164613</v>
      </c>
      <c r="BM28" s="137">
        <f>_xll.xSPRDOPT(BW28,BV28,CG28,0,BY28,BX28,BZ28,AJ28,1,1)*CB28</f>
        <v>0.98821730583703882</v>
      </c>
      <c r="BN28" s="137">
        <f>IF(AH28&lt;&gt;0,_xll.xSPRDOPT($BW28,$BV28,$CG28,2*LN(1+CA28/2),$BY28,$BX28,$BZ28,$AJ28,1,8)+(AJ28/365.25)*CH28/AH28,0)</f>
        <v>-0.30769600877433162</v>
      </c>
      <c r="BO28" s="137">
        <f>_xll.xSPRDOPT($BW28,$BV28,$CG28,0,$BY28,$BX28,$BZ28,$AJ28,1,0)</f>
        <v>0.90922478106926996</v>
      </c>
      <c r="BP28" s="137"/>
      <c r="BQ28" s="137"/>
      <c r="BR28" s="137"/>
      <c r="BS28" s="137"/>
      <c r="BV28" s="262">
        <v>3.0863753213367611</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3.8399999999999997E-2</v>
      </c>
      <c r="CH28" s="258">
        <v>11.497215297835815</v>
      </c>
      <c r="CI28" s="258">
        <v>2.984</v>
      </c>
      <c r="CJ28" s="258"/>
      <c r="CK28" s="258"/>
      <c r="CL28" s="258"/>
      <c r="CM28" s="258"/>
    </row>
    <row r="29" spans="1:91" x14ac:dyDescent="0.25">
      <c r="A29" s="723"/>
      <c r="B29" s="723"/>
      <c r="D29" s="31">
        <f t="shared" si="47"/>
        <v>37483</v>
      </c>
      <c r="F29" s="28">
        <f t="shared" si="12"/>
        <v>732</v>
      </c>
      <c r="G29" s="28">
        <f t="shared" si="13"/>
        <v>721.94867115979071</v>
      </c>
      <c r="H29" s="52">
        <f t="shared" si="14"/>
        <v>3.1295629820051412</v>
      </c>
      <c r="I29" s="52">
        <f t="shared" si="15"/>
        <v>4.0759999999999996</v>
      </c>
      <c r="K29" s="52">
        <f t="shared" si="16"/>
        <v>27.762622505005325</v>
      </c>
      <c r="L29" s="135">
        <f t="shared" si="17"/>
        <v>3.0584371693009871E-6</v>
      </c>
      <c r="N29" s="131">
        <f t="shared" si="48"/>
        <v>0.55001555741820785</v>
      </c>
      <c r="O29" s="131">
        <f t="shared" si="49"/>
        <v>0.55001555741820785</v>
      </c>
      <c r="P29" s="55">
        <f t="shared" si="50"/>
        <v>1</v>
      </c>
      <c r="Q29" s="135">
        <f>_xll.xSPRDOPT(I29,H29,AQ29,0,O29,N29,P29,D29-$G$5,1,0)*AH29*AU29</f>
        <v>27.762625563442494</v>
      </c>
      <c r="R29" s="135"/>
      <c r="S29" s="181">
        <f>_xll.xSPRDOPT(I29,H29,AQ29,AT29,O29,N29,P29,D29-$G$5,1,2)*AF29*(F29/(1-AR29))*AH29</f>
        <v>-23011.603696866339</v>
      </c>
      <c r="T29" s="181">
        <f>_xll.xSPRDOPT(I29,H29,AQ29,AT29,O29,N29,P29,D29-$G$5,1,1)*AF29*F29*AH29</f>
        <v>22378.784595243793</v>
      </c>
      <c r="U29" s="135"/>
      <c r="V29" s="146">
        <f t="shared" si="18"/>
        <v>11.474545662396659</v>
      </c>
      <c r="W29" s="146"/>
      <c r="X29" s="338">
        <f t="shared" si="19"/>
        <v>0</v>
      </c>
      <c r="Y29" s="338">
        <f t="shared" si="20"/>
        <v>0</v>
      </c>
      <c r="Z29" s="338">
        <f t="shared" si="21"/>
        <v>3.4971402884916043</v>
      </c>
      <c r="AA29" s="338">
        <f t="shared" si="22"/>
        <v>-1.8852452164755307E-7</v>
      </c>
      <c r="AB29" s="338">
        <f t="shared" si="23"/>
        <v>0</v>
      </c>
      <c r="AC29" s="338">
        <f t="shared" si="24"/>
        <v>3.5155196681732415</v>
      </c>
      <c r="AF29" s="138">
        <f t="shared" si="25"/>
        <v>1</v>
      </c>
      <c r="AG29" s="138">
        <f t="shared" si="26"/>
        <v>8</v>
      </c>
      <c r="AH29" s="138">
        <f t="shared" si="27"/>
        <v>31</v>
      </c>
      <c r="AI29" s="138">
        <f t="shared" si="51"/>
        <v>227</v>
      </c>
      <c r="AJ29" s="138">
        <f t="shared" si="28"/>
        <v>244</v>
      </c>
      <c r="AL29" s="136">
        <f t="shared" si="29"/>
        <v>3.0259999999999998</v>
      </c>
      <c r="AM29" s="258">
        <f t="shared" si="30"/>
        <v>1.2500000000000001E-2</v>
      </c>
      <c r="AN29" s="258">
        <f t="shared" si="31"/>
        <v>5.0000000000000001E-3</v>
      </c>
      <c r="AO29" s="258">
        <f t="shared" si="32"/>
        <v>1.05</v>
      </c>
      <c r="AP29" s="258">
        <f t="shared" si="33"/>
        <v>0</v>
      </c>
      <c r="AQ29" s="136">
        <f t="shared" si="34"/>
        <v>3.8399999999999997E-2</v>
      </c>
      <c r="AR29" s="137">
        <f t="shared" si="35"/>
        <v>2.75E-2</v>
      </c>
      <c r="AS29" s="136">
        <f t="shared" si="36"/>
        <v>3.0434999999999999</v>
      </c>
      <c r="AT29" s="137">
        <f t="shared" si="37"/>
        <v>2.1065008234303999E-2</v>
      </c>
      <c r="AU29" s="137">
        <f t="shared" si="38"/>
        <v>0.98626867644780158</v>
      </c>
      <c r="AV29" s="394">
        <f t="shared" si="39"/>
        <v>642.06090836751878</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-7.0531292486284189E-7</v>
      </c>
      <c r="BG29" s="137">
        <f>_xll.xSPRDOPT($BW29,$BV29,$CG29,0,$BY29,$BX29,$BZ29,$AJ29,1,3)*$CB29</f>
        <v>-2.3510430828761395E-7</v>
      </c>
      <c r="BH29" s="137">
        <f>IF(OR(BF29&lt;&gt;0,BG29&lt;&gt;0),_xll.xSPRDOPT($BW29,$BV29,$CG29,0,$BY29,$BX29,$BZ29,$AJ29,1,12)*$CB29,0)</f>
        <v>0</v>
      </c>
      <c r="BI29" s="137">
        <f>_xll.xSPRDOPT($BW29,$BV29,$CG29,2*LN(1+CA29/2),$BY29,$BX29,$BZ29,$AJ29,1,9)</f>
        <v>1.8763301168863603E-2</v>
      </c>
      <c r="BJ29" s="137">
        <f>_xll.xSPRDOPT($BW29,$BV29,$CG29,0,$BY29,$BX29,$BZ29,$AJ29,1,6)*$CB29</f>
        <v>2.2642036001701088E-7</v>
      </c>
      <c r="BK29" s="137">
        <f>_xll.xSPRDOPT($BW29,$BV29,$CG29,0,$BY29,$BX29,$BZ29,$AJ29,1,5)*$CB29</f>
        <v>-2.9491783692353282E-7</v>
      </c>
      <c r="BL29" s="137">
        <f>_xll.xSPRDOPT(BW29,BV29,CG29,0,BY29,BX29,BZ29,AJ29,1,2)*CB29</f>
        <v>-0.98609904990451691</v>
      </c>
      <c r="BM29" s="137">
        <f>_xll.xSPRDOPT(BW29,BV29,CG29,0,BY29,BX29,BZ29,AJ29,1,1)*CB29</f>
        <v>0.98609904990092956</v>
      </c>
      <c r="BN29" s="137">
        <f>IF(AH29&lt;&gt;0,_xll.xSPRDOPT($BW29,$BV29,$CG29,2*LN(1+CA29/2),$BY29,$BX29,$BZ29,$AJ29,1,8)+(AJ29/365.25)*CH29/AH29,0)</f>
        <v>-0.35094014465289441</v>
      </c>
      <c r="BO29" s="137">
        <f>_xll.xSPRDOPT($BW29,$BV29,$CG29,0,$BY29,$BX29,$BZ29,$AJ29,1,0)</f>
        <v>0.90803711780124785</v>
      </c>
      <c r="BP29" s="137"/>
      <c r="BQ29" s="137"/>
      <c r="BR29" s="137"/>
      <c r="BS29" s="137"/>
      <c r="BV29" s="262">
        <v>3.1295629820051412</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3.8399999999999997E-2</v>
      </c>
      <c r="CH29" s="258">
        <v>11.472570905413392</v>
      </c>
      <c r="CI29" s="258">
        <v>3.0259999999999998</v>
      </c>
      <c r="CJ29" s="258"/>
      <c r="CK29" s="258"/>
      <c r="CL29" s="258"/>
      <c r="CM29" s="258"/>
    </row>
    <row r="30" spans="1:91" x14ac:dyDescent="0.25">
      <c r="A30" s="723"/>
      <c r="B30" s="723"/>
      <c r="D30" s="31">
        <f t="shared" si="47"/>
        <v>37514</v>
      </c>
      <c r="F30" s="28">
        <f t="shared" si="12"/>
        <v>732</v>
      </c>
      <c r="G30" s="28">
        <f t="shared" si="13"/>
        <v>720.32798298747025</v>
      </c>
      <c r="H30" s="52">
        <f t="shared" si="14"/>
        <v>3.1161953727506422</v>
      </c>
      <c r="I30" s="52">
        <f t="shared" si="15"/>
        <v>3.7679999999999998</v>
      </c>
      <c r="K30" s="52">
        <f t="shared" si="16"/>
        <v>18.108709750070112</v>
      </c>
      <c r="L30" s="135">
        <f t="shared" si="17"/>
        <v>1.940728797222846E-6</v>
      </c>
      <c r="N30" s="131">
        <f t="shared" si="48"/>
        <v>0.54862064797509713</v>
      </c>
      <c r="O30" s="131">
        <f t="shared" si="49"/>
        <v>0.54862064797509713</v>
      </c>
      <c r="P30" s="55">
        <f t="shared" si="50"/>
        <v>1</v>
      </c>
      <c r="Q30" s="135">
        <f>_xll.xSPRDOPT(I30,H30,AQ30,0,O30,N30,P30,D30-$G$5,1,0)*AH30*AU30</f>
        <v>18.108711690798909</v>
      </c>
      <c r="R30" s="135"/>
      <c r="S30" s="181">
        <f>_xll.xSPRDOPT(I30,H30,AQ30,AT30,O30,N30,P30,D30-$G$5,1,2)*AF30*(F30/(1-AR30))*AH30</f>
        <v>-22218.982816909414</v>
      </c>
      <c r="T30" s="181">
        <f>_xll.xSPRDOPT(I30,H30,AQ30,AT30,O30,N30,P30,D30-$G$5,1,1)*AF30*F30*AH30</f>
        <v>21607.96078980391</v>
      </c>
      <c r="U30" s="135"/>
      <c r="V30" s="146">
        <f t="shared" si="18"/>
        <v>11.07947098422941</v>
      </c>
      <c r="W30" s="146"/>
      <c r="X30" s="338">
        <f t="shared" si="19"/>
        <v>0</v>
      </c>
      <c r="Y30" s="338">
        <f t="shared" si="20"/>
        <v>0</v>
      </c>
      <c r="Z30" s="338">
        <f t="shared" si="21"/>
        <v>2.3496066587995763</v>
      </c>
      <c r="AA30" s="338">
        <f t="shared" si="22"/>
        <v>-1.0417817946764662E-7</v>
      </c>
      <c r="AB30" s="338">
        <f t="shared" si="23"/>
        <v>0</v>
      </c>
      <c r="AC30" s="338">
        <f t="shared" si="24"/>
        <v>2.3623277907582425</v>
      </c>
      <c r="AF30" s="138">
        <f t="shared" si="25"/>
        <v>1</v>
      </c>
      <c r="AG30" s="138">
        <f t="shared" si="26"/>
        <v>9</v>
      </c>
      <c r="AH30" s="138">
        <f t="shared" si="27"/>
        <v>30</v>
      </c>
      <c r="AI30" s="138">
        <f t="shared" si="51"/>
        <v>258</v>
      </c>
      <c r="AJ30" s="138">
        <f t="shared" si="28"/>
        <v>275</v>
      </c>
      <c r="AL30" s="136">
        <f t="shared" si="29"/>
        <v>3.0179999999999998</v>
      </c>
      <c r="AM30" s="258">
        <f t="shared" si="30"/>
        <v>7.4999999999999997E-3</v>
      </c>
      <c r="AN30" s="258">
        <f t="shared" si="31"/>
        <v>5.0000000000000001E-3</v>
      </c>
      <c r="AO30" s="258">
        <f t="shared" si="32"/>
        <v>0.75</v>
      </c>
      <c r="AP30" s="258">
        <f t="shared" si="33"/>
        <v>0</v>
      </c>
      <c r="AQ30" s="136">
        <f t="shared" si="34"/>
        <v>3.8399999999999997E-2</v>
      </c>
      <c r="AR30" s="137">
        <f t="shared" si="35"/>
        <v>2.75E-2</v>
      </c>
      <c r="AS30" s="136">
        <f t="shared" si="36"/>
        <v>3.0304999999999995</v>
      </c>
      <c r="AT30" s="137">
        <f t="shared" si="37"/>
        <v>2.1701386796276499E-2</v>
      </c>
      <c r="AU30" s="137">
        <f t="shared" si="38"/>
        <v>0.98405462156758228</v>
      </c>
      <c r="AV30" s="394">
        <f t="shared" si="39"/>
        <v>619.95441158757683</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1.3026621616978526E-2</v>
      </c>
      <c r="BJ30" s="137">
        <f>_xll.xSPRDOPT($BW30,$BV30,$CG30,0,$BY30,$BX30,$BZ30,$AJ30,1,6)*$CB30</f>
        <v>2.4391002819377537E-7</v>
      </c>
      <c r="BK30" s="137">
        <f>_xll.xSPRDOPT($BW30,$BV30,$CG30,0,$BY30,$BX30,$BZ30,$AJ30,1,5)*$CB30</f>
        <v>-2.9493480574649116E-7</v>
      </c>
      <c r="BL30" s="137">
        <f>_xll.xSPRDOPT(BW30,BV30,CG30,0,BY30,BX30,BZ30,AJ30,1,2)*CB30</f>
        <v>-0.98388028461129506</v>
      </c>
      <c r="BM30" s="137">
        <f>_xll.xSPRDOPT(BW30,BV30,CG30,0,BY30,BX30,BZ30,AJ30,1,1)*CB30</f>
        <v>0.98388028462561239</v>
      </c>
      <c r="BN30" s="137">
        <f>IF(AH30&lt;&gt;0,_xll.xSPRDOPT($BW30,$BV30,$CG30,2*LN(1+CA30/2),$BY30,$BX30,$BZ30,$AJ30,1,8)+(AJ30/365.25)*CH30/AH30,0)</f>
        <v>-0.17638133913088666</v>
      </c>
      <c r="BO30" s="137">
        <f>_xll.xSPRDOPT($BW30,$BV30,$CG30,0,$BY30,$BX30,$BZ30,$AJ30,1,0)</f>
        <v>0.61340469283722576</v>
      </c>
      <c r="BP30" s="137"/>
      <c r="BQ30" s="137"/>
      <c r="BR30" s="137"/>
      <c r="BS30" s="137"/>
      <c r="BV30" s="262">
        <v>3.1161953727506422</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3.8399999999999997E-2</v>
      </c>
      <c r="CH30" s="258">
        <v>11.077506930196211</v>
      </c>
      <c r="CI30" s="258">
        <v>3.0179999999999998</v>
      </c>
      <c r="CJ30" s="258"/>
      <c r="CK30" s="258"/>
      <c r="CL30" s="258"/>
      <c r="CM30" s="258"/>
    </row>
    <row r="31" spans="1:91" x14ac:dyDescent="0.25">
      <c r="A31" s="723"/>
      <c r="B31" s="723"/>
      <c r="D31" s="31">
        <f t="shared" si="47"/>
        <v>37544</v>
      </c>
      <c r="F31" s="28">
        <f t="shared" si="12"/>
        <v>732</v>
      </c>
      <c r="G31" s="28">
        <f t="shared" si="13"/>
        <v>718.63540279265658</v>
      </c>
      <c r="H31" s="52">
        <f t="shared" si="14"/>
        <v>3.1295629820051412</v>
      </c>
      <c r="I31" s="52">
        <f t="shared" si="15"/>
        <v>3.4810000000000003</v>
      </c>
      <c r="K31" s="52">
        <f t="shared" si="16"/>
        <v>9.526972662552156</v>
      </c>
      <c r="L31" s="135">
        <f t="shared" si="17"/>
        <v>2.8574436701234163E-6</v>
      </c>
      <c r="N31" s="131">
        <f t="shared" si="48"/>
        <v>0.55129247567847639</v>
      </c>
      <c r="O31" s="131">
        <f t="shared" si="49"/>
        <v>0.55129247567847639</v>
      </c>
      <c r="P31" s="55">
        <f t="shared" si="50"/>
        <v>1</v>
      </c>
      <c r="Q31" s="135">
        <f>_xll.xSPRDOPT(I31,H31,AQ31,0,O31,N31,P31,D31-$G$5,1,0)*AH31*AU31</f>
        <v>9.5269755199958261</v>
      </c>
      <c r="R31" s="135"/>
      <c r="S31" s="181">
        <f>_xll.xSPRDOPT(I31,H31,AQ31,AT31,O31,N31,P31,D31-$G$5,1,2)*AF31*(F31/(1-AR31))*AH31</f>
        <v>-22905.267255685099</v>
      </c>
      <c r="T31" s="181">
        <f>_xll.xSPRDOPT(I31,H31,AQ31,AT31,O31,N31,P31,D31-$G$5,1,1)*AF31*F31*AH31</f>
        <v>22275.372406009294</v>
      </c>
      <c r="U31" s="135"/>
      <c r="V31" s="146">
        <f t="shared" si="18"/>
        <v>11.421885063812303</v>
      </c>
      <c r="W31" s="146"/>
      <c r="X31" s="338">
        <f t="shared" si="19"/>
        <v>0</v>
      </c>
      <c r="Y31" s="338">
        <f t="shared" si="20"/>
        <v>0</v>
      </c>
      <c r="Z31" s="338">
        <f t="shared" si="21"/>
        <v>1.276132226753649</v>
      </c>
      <c r="AA31" s="338">
        <f t="shared" si="22"/>
        <v>5.3566655209499358E-6</v>
      </c>
      <c r="AB31" s="338">
        <f t="shared" si="23"/>
        <v>0</v>
      </c>
      <c r="AC31" s="338">
        <f t="shared" si="24"/>
        <v>1.2834019928734464</v>
      </c>
      <c r="AF31" s="138">
        <f t="shared" si="25"/>
        <v>1</v>
      </c>
      <c r="AG31" s="138">
        <f t="shared" si="26"/>
        <v>10</v>
      </c>
      <c r="AH31" s="138">
        <f t="shared" si="27"/>
        <v>31</v>
      </c>
      <c r="AI31" s="138">
        <f t="shared" si="51"/>
        <v>288</v>
      </c>
      <c r="AJ31" s="138">
        <f t="shared" si="28"/>
        <v>305</v>
      </c>
      <c r="AL31" s="136">
        <f t="shared" si="29"/>
        <v>3.0310000000000001</v>
      </c>
      <c r="AM31" s="258">
        <f t="shared" si="30"/>
        <v>7.4999999999999997E-3</v>
      </c>
      <c r="AN31" s="258">
        <f t="shared" si="31"/>
        <v>5.0000000000000001E-3</v>
      </c>
      <c r="AO31" s="258">
        <f t="shared" si="32"/>
        <v>0.45</v>
      </c>
      <c r="AP31" s="258">
        <f t="shared" si="33"/>
        <v>0</v>
      </c>
      <c r="AQ31" s="136">
        <f t="shared" si="34"/>
        <v>3.8399999999999997E-2</v>
      </c>
      <c r="AR31" s="137">
        <f t="shared" si="35"/>
        <v>2.75E-2</v>
      </c>
      <c r="AS31" s="136">
        <f t="shared" si="36"/>
        <v>3.0434999999999999</v>
      </c>
      <c r="AT31" s="137">
        <f t="shared" si="37"/>
        <v>2.2410164045373999E-2</v>
      </c>
      <c r="AU31" s="137">
        <f t="shared" si="38"/>
        <v>0.98174235354188055</v>
      </c>
      <c r="AV31" s="394">
        <f t="shared" si="39"/>
        <v>639.11427215576418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-8.1907971851201578E-7</v>
      </c>
      <c r="BG31" s="137">
        <f>_xll.xSPRDOPT($BW31,$BV31,$CG31,0,$BY31,$BX31,$BZ31,$AJ31,1,3)*$CB31</f>
        <v>-1.170113883588594E-7</v>
      </c>
      <c r="BH31" s="137">
        <f>IF(OR(BF31&lt;&gt;0,BG31&lt;&gt;0),_xll.xSPRDOPT($BW31,$BV31,$CG31,0,$BY31,$BX31,$BZ31,$AJ31,1,12)*$CB31,0)</f>
        <v>9.9459680105030477E-7</v>
      </c>
      <c r="BI31" s="137">
        <f>_xll.xSPRDOPT($BW31,$BV31,$CG31,2*LN(1+CA31/2),$BY31,$BX31,$BZ31,$AJ31,1,9)</f>
        <v>6.8468666758001399E-3</v>
      </c>
      <c r="BJ31" s="137">
        <f>_xll.xSPRDOPT($BW31,$BV31,$CG31,0,$BY31,$BX31,$BZ31,$AJ31,1,6)*$CB31</f>
        <v>-1.9213606678731609E-5</v>
      </c>
      <c r="BK31" s="137">
        <f>_xll.xSPRDOPT($BW31,$BV31,$CG31,0,$BY31,$BX31,$BZ31,$AJ31,1,5)*$CB31</f>
        <v>2.1371200141294084E-5</v>
      </c>
      <c r="BL31" s="137">
        <f>_xll.xSPRDOPT(BW31,BV31,CG31,0,BY31,BX31,BZ31,AJ31,1,2)*CB31</f>
        <v>-0.9815613783980397</v>
      </c>
      <c r="BM31" s="137">
        <f>_xll.xSPRDOPT(BW31,BV31,CG31,0,BY31,BX31,BZ31,AJ31,1,1)*CB31</f>
        <v>0.98156137839000512</v>
      </c>
      <c r="BN31" s="137">
        <f>IF(AH31&lt;&gt;0,_xll.xSPRDOPT($BW31,$BV31,$CG31,2*LN(1+CA31/2),$BY31,$BX31,$BZ31,$AJ31,1,8)+(AJ31/365.25)*CH31/AH31,0)</f>
        <v>5.1033677996626281E-2</v>
      </c>
      <c r="BO31" s="137">
        <f>_xll.xSPRDOPT($BW31,$BV31,$CG31,0,$BY31,$BX31,$BZ31,$AJ31,1,0)</f>
        <v>0.31303711765150027</v>
      </c>
      <c r="BP31" s="137"/>
      <c r="BQ31" s="137"/>
      <c r="BR31" s="137"/>
      <c r="BS31" s="137"/>
      <c r="BV31" s="262">
        <v>3.1295629820051412</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732</v>
      </c>
      <c r="G32" s="28">
        <f t="shared" si="13"/>
        <v>716.71907844732289</v>
      </c>
      <c r="H32" s="52">
        <f t="shared" si="14"/>
        <v>3.3120822622107964</v>
      </c>
      <c r="I32" s="52">
        <f t="shared" si="15"/>
        <v>3.661</v>
      </c>
      <c r="K32" s="52">
        <f t="shared" si="16"/>
        <v>9.1210650356485861</v>
      </c>
      <c r="L32" s="135">
        <f t="shared" si="17"/>
        <v>7.4844496804615801E-6</v>
      </c>
      <c r="N32" s="131">
        <f t="shared" si="48"/>
        <v>0.55763051961597798</v>
      </c>
      <c r="O32" s="131">
        <f t="shared" si="49"/>
        <v>0.55763051961597798</v>
      </c>
      <c r="P32" s="55">
        <f t="shared" si="50"/>
        <v>1.0000000000000002</v>
      </c>
      <c r="Q32" s="135">
        <f>_xll.xSPRDOPT(I32,H32,AQ32,0,O32,N32,P32,D32-$G$5,1,0)*AH32*AU32</f>
        <v>9.1210725200982665</v>
      </c>
      <c r="R32" s="135"/>
      <c r="S32" s="181">
        <f>_xll.xSPRDOPT(I32,H32,AQ32,AT32,O32,N32,P32,D32-$G$5,1,2)*AF32*(F32/(1-AR32))*AH32</f>
        <v>-22106.793355801721</v>
      </c>
      <c r="T32" s="181">
        <f>_xll.xSPRDOPT(I32,H32,AQ32,AT32,O32,N32,P32,D32-$G$5,1,1)*AF32*F32*AH32</f>
        <v>21498.856538177643</v>
      </c>
      <c r="U32" s="135"/>
      <c r="V32" s="146">
        <f t="shared" si="18"/>
        <v>11.023961891036077</v>
      </c>
      <c r="W32" s="146"/>
      <c r="X32" s="338">
        <f t="shared" si="19"/>
        <v>0</v>
      </c>
      <c r="Y32" s="338">
        <f t="shared" si="20"/>
        <v>0</v>
      </c>
      <c r="Z32" s="338">
        <f t="shared" si="21"/>
        <v>1.2683892799588692</v>
      </c>
      <c r="AA32" s="338">
        <f t="shared" si="22"/>
        <v>2.0016770444148511E-5</v>
      </c>
      <c r="AB32" s="338">
        <f t="shared" si="23"/>
        <v>0</v>
      </c>
      <c r="AC32" s="338">
        <f t="shared" si="24"/>
        <v>1.2760795252279715</v>
      </c>
      <c r="AF32" s="138">
        <f t="shared" si="25"/>
        <v>1</v>
      </c>
      <c r="AG32" s="138">
        <f t="shared" si="26"/>
        <v>11</v>
      </c>
      <c r="AH32" s="138">
        <f t="shared" si="27"/>
        <v>30</v>
      </c>
      <c r="AI32" s="138">
        <f t="shared" si="51"/>
        <v>319</v>
      </c>
      <c r="AJ32" s="138">
        <f t="shared" si="28"/>
        <v>336</v>
      </c>
      <c r="AL32" s="136">
        <f t="shared" si="29"/>
        <v>3.2109999999999999</v>
      </c>
      <c r="AM32" s="258">
        <f t="shared" si="30"/>
        <v>5.0000000000000001E-3</v>
      </c>
      <c r="AN32" s="258">
        <f t="shared" si="31"/>
        <v>5.0000000000000001E-3</v>
      </c>
      <c r="AO32" s="258">
        <f t="shared" si="32"/>
        <v>0.45</v>
      </c>
      <c r="AP32" s="258">
        <f t="shared" si="33"/>
        <v>0</v>
      </c>
      <c r="AQ32" s="136">
        <f t="shared" si="34"/>
        <v>3.8399999999999997E-2</v>
      </c>
      <c r="AR32" s="137">
        <f t="shared" si="35"/>
        <v>2.75E-2</v>
      </c>
      <c r="AS32" s="136">
        <f t="shared" si="36"/>
        <v>3.2209999999999996</v>
      </c>
      <c r="AT32" s="137">
        <f t="shared" si="37"/>
        <v>2.3274064967752799E-2</v>
      </c>
      <c r="AU32" s="137">
        <f t="shared" si="38"/>
        <v>0.97912442410836453</v>
      </c>
      <c r="AV32" s="394">
        <f t="shared" si="39"/>
        <v>616.84838718826961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-2.3339709052104005E-7</v>
      </c>
      <c r="BG32" s="137">
        <f>_xll.xSPRDOPT($BW32,$BV32,$CG32,0,$BY32,$BX32,$BZ32,$AJ32,1,3)*$CB32</f>
        <v>5.8349272630260017E-7</v>
      </c>
      <c r="BH32" s="137">
        <f>IF(OR(BF32&lt;&gt;0,BG32&lt;&gt;0),_xll.xSPRDOPT($BW32,$BV32,$CG32,0,$BY32,$BX32,$BZ32,$AJ32,1,12)*$CB32,0)</f>
        <v>-2.9174636315130009E-7</v>
      </c>
      <c r="BI32" s="137">
        <f>_xll.xSPRDOPT($BW32,$BV32,$CG32,2*LN(1+CA32/2),$BY32,$BX32,$BZ32,$AJ32,1,9)</f>
        <v>7.0321673422127657E-3</v>
      </c>
      <c r="BJ32" s="137">
        <f>_xll.xSPRDOPT($BW32,$BV32,$CG32,0,$BY32,$BX32,$BZ32,$AJ32,1,6)*$CB32</f>
        <v>-5.6007205253902078E-5</v>
      </c>
      <c r="BK32" s="137">
        <f>_xll.xSPRDOPT($BW32,$BV32,$CG32,0,$BY32,$BX32,$BZ32,$AJ32,1,5)*$CB32</f>
        <v>6.1907387137693134E-5</v>
      </c>
      <c r="BL32" s="137">
        <f>_xll.xSPRDOPT(BW32,BV32,CG32,0,BY32,BX32,BZ32,AJ32,1,2)*CB32</f>
        <v>-0.97893466842870602</v>
      </c>
      <c r="BM32" s="137">
        <f>_xll.xSPRDOPT(BW32,BV32,CG32,0,BY32,BX32,BZ32,AJ32,1,1)*CB32</f>
        <v>0.9789346684180219</v>
      </c>
      <c r="BN32" s="137">
        <f>IF(AH32&lt;&gt;0,_xll.xSPRDOPT($BW32,$BV32,$CG32,2*LN(1+CA32/2),$BY32,$BX32,$BZ32,$AJ32,1,8)+(AJ32/365.25)*CH32/AH32,0)</f>
        <v>5.8338962544345452E-2</v>
      </c>
      <c r="BO32" s="137">
        <f>_xll.xSPRDOPT($BW32,$BV32,$CG32,0,$BY32,$BX32,$BZ32,$AJ32,1,0)</f>
        <v>0.3105180067683555</v>
      </c>
      <c r="BP32" s="137"/>
      <c r="BQ32" s="137"/>
      <c r="BR32" s="137"/>
      <c r="BS32" s="137"/>
      <c r="BV32" s="262">
        <v>3.3120822622107964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732</v>
      </c>
      <c r="G33" s="28">
        <f t="shared" si="13"/>
        <v>714.77100339328172</v>
      </c>
      <c r="H33" s="52">
        <f t="shared" si="14"/>
        <v>3.476606683804627</v>
      </c>
      <c r="I33" s="52">
        <f t="shared" si="15"/>
        <v>3.7709999999999999</v>
      </c>
      <c r="K33" s="52">
        <f t="shared" si="16"/>
        <v>7.7490089943267071</v>
      </c>
      <c r="L33" s="135">
        <f t="shared" si="17"/>
        <v>7.5864284950988292E-5</v>
      </c>
      <c r="N33" s="131">
        <f t="shared" si="48"/>
        <v>0.57103652777154523</v>
      </c>
      <c r="O33" s="131">
        <f t="shared" si="49"/>
        <v>0.57103652777154523</v>
      </c>
      <c r="P33" s="55">
        <f t="shared" si="50"/>
        <v>1.0000000000000002</v>
      </c>
      <c r="Q33" s="135">
        <f>_xll.xSPRDOPT(I33,H33,AQ33,0,O33,N33,P33,D33-$G$5,1,0)*AH33*AU33</f>
        <v>7.7490848586116581</v>
      </c>
      <c r="R33" s="135"/>
      <c r="S33" s="181">
        <f>_xll.xSPRDOPT(I33,H33,AQ33,AT33,O33,N33,P33,D33-$G$5,1,2)*AF33*(F33/(1-AR33))*AH33</f>
        <v>-22779.478992736811</v>
      </c>
      <c r="T33" s="181">
        <f>_xll.xSPRDOPT(I33,H33,AQ33,AT33,O33,N33,P33,D33-$G$5,1,1)*AF33*F33*AH33</f>
        <v>22153.043320488145</v>
      </c>
      <c r="U33" s="135"/>
      <c r="V33" s="146">
        <f t="shared" si="18"/>
        <v>11.360464869915926</v>
      </c>
      <c r="W33" s="146"/>
      <c r="X33" s="338">
        <f t="shared" si="19"/>
        <v>0</v>
      </c>
      <c r="Y33" s="338">
        <f t="shared" si="20"/>
        <v>0</v>
      </c>
      <c r="Z33" s="338">
        <f t="shared" si="21"/>
        <v>1.1117066688215524</v>
      </c>
      <c r="AA33" s="338">
        <f t="shared" si="22"/>
        <v>4.8968913136688836E-4</v>
      </c>
      <c r="AB33" s="338">
        <f t="shared" si="23"/>
        <v>0</v>
      </c>
      <c r="AC33" s="338">
        <f t="shared" si="24"/>
        <v>1.1230687467836904</v>
      </c>
      <c r="AF33" s="138">
        <f t="shared" si="25"/>
        <v>1</v>
      </c>
      <c r="AG33" s="138">
        <f t="shared" si="26"/>
        <v>12</v>
      </c>
      <c r="AH33" s="138">
        <f t="shared" si="27"/>
        <v>31</v>
      </c>
      <c r="AI33" s="138">
        <f t="shared" si="51"/>
        <v>349</v>
      </c>
      <c r="AJ33" s="138">
        <f t="shared" si="28"/>
        <v>366</v>
      </c>
      <c r="AL33" s="136">
        <f t="shared" si="29"/>
        <v>3.371</v>
      </c>
      <c r="AM33" s="258">
        <f t="shared" si="30"/>
        <v>5.0000000000000001E-3</v>
      </c>
      <c r="AN33" s="258">
        <f t="shared" si="31"/>
        <v>5.0000000000000001E-3</v>
      </c>
      <c r="AO33" s="258">
        <f t="shared" si="32"/>
        <v>0.4</v>
      </c>
      <c r="AP33" s="258">
        <f t="shared" si="33"/>
        <v>0</v>
      </c>
      <c r="AQ33" s="136">
        <f t="shared" si="34"/>
        <v>3.8399999999999997E-2</v>
      </c>
      <c r="AR33" s="137">
        <f t="shared" si="35"/>
        <v>2.75E-2</v>
      </c>
      <c r="AS33" s="136">
        <f t="shared" si="36"/>
        <v>3.3809999999999998</v>
      </c>
      <c r="AT33" s="137">
        <f t="shared" si="37"/>
        <v>2.4110098358835999E-2</v>
      </c>
      <c r="AU33" s="137">
        <f t="shared" si="38"/>
        <v>0.97646311938972907</v>
      </c>
      <c r="AV33" s="394">
        <f t="shared" si="39"/>
        <v>635.67749072271363</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1.5129473254677663E-6</v>
      </c>
      <c r="BG33" s="137">
        <f>_xll.xSPRDOPT($BW33,$BV33,$CG33,0,$BY33,$BX33,$BZ33,$AJ33,1,3)*$CB33</f>
        <v>8.1466394448264348E-7</v>
      </c>
      <c r="BH33" s="137">
        <f>IF(OR(BF33&lt;&gt;0,BG33&lt;&gt;0),_xll.xSPRDOPT($BW33,$BV33,$CG33,0,$BY33,$BX33,$BZ33,$AJ33,1,12)*$CB33,0)</f>
        <v>-5.2371253573884218E-7</v>
      </c>
      <c r="BI33" s="137">
        <f>_xll.xSPRDOPT($BW33,$BV33,$CG33,2*LN(1+CA33/2),$BY33,$BX33,$BZ33,$AJ33,1,9)</f>
        <v>5.9646697923948526E-3</v>
      </c>
      <c r="BJ33" s="137">
        <f>_xll.xSPRDOPT($BW33,$BV33,$CG33,0,$BY33,$BX33,$BZ33,$AJ33,1,6)*$CB33</f>
        <v>-1.0337368709311383E-3</v>
      </c>
      <c r="BK33" s="137">
        <f>_xll.xSPRDOPT($BW33,$BV33,$CG33,0,$BY33,$BX33,$BZ33,$AJ33,1,5)*$CB33</f>
        <v>1.1212720131376483E-3</v>
      </c>
      <c r="BL33" s="137">
        <f>_xll.xSPRDOPT(BW33,BV33,CG33,0,BY33,BX33,BZ33,AJ33,1,2)*CB33</f>
        <v>-0.97619737799338924</v>
      </c>
      <c r="BM33" s="137">
        <f>_xll.xSPRDOPT(BW33,BV33,CG33,0,BY33,BX33,BZ33,AJ33,1,1)*CB33</f>
        <v>0.9761973779978288</v>
      </c>
      <c r="BN33" s="137">
        <f>IF(AH33&lt;&gt;0,_xll.xSPRDOPT($BW33,$BV33,$CG33,2*LN(1+CA33/2),$BY33,$BX33,$BZ33,$AJ33,1,8)+(AJ33/365.25)*CH33/AH33,0)</f>
        <v>0.11671217978889759</v>
      </c>
      <c r="BO33" s="137">
        <f>_xll.xSPRDOPT($BW33,$BV33,$CG33,0,$BY33,$BX33,$BZ33,$AJ33,1,0)</f>
        <v>0.25599601133848121</v>
      </c>
      <c r="BP33" s="137"/>
      <c r="BQ33" s="137"/>
      <c r="BR33" s="137"/>
      <c r="BS33" s="137"/>
      <c r="BV33" s="262">
        <v>3.476606683804627</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3.8399999999999997E-2</v>
      </c>
      <c r="CH33" s="258">
        <v>11.358228834359572</v>
      </c>
      <c r="CI33" s="258">
        <v>3.371</v>
      </c>
      <c r="CJ33" s="258"/>
      <c r="CK33" s="258"/>
      <c r="CL33" s="258"/>
      <c r="CM33" s="258"/>
    </row>
    <row r="34" spans="1:91" x14ac:dyDescent="0.25">
      <c r="A34" s="723"/>
      <c r="B34" s="723"/>
      <c r="D34" s="31">
        <f t="shared" ref="D34:D89" si="52">D33+AH33</f>
        <v>37636</v>
      </c>
      <c r="F34" s="28">
        <f t="shared" ref="F34:F89" si="53">VLOOKUP(AG34,$AL$4:$AS$15,2)</f>
        <v>732</v>
      </c>
      <c r="G34" s="28">
        <f t="shared" si="13"/>
        <v>712.61328956085697</v>
      </c>
      <c r="H34" s="52">
        <f t="shared" ref="H34:H89" si="54">(AL34+AM34+AN34)/(1-(AR34))</f>
        <v>3.5537275064267351</v>
      </c>
      <c r="I34" s="52">
        <f t="shared" ref="I34:I89" si="55">(AL34+AO34+AP34)</f>
        <v>3.7960000000000003</v>
      </c>
      <c r="K34" s="52">
        <f t="shared" ref="K34:K89" si="56">MAX(((I34-H34)-AQ34)*AU34*AH34,0)</f>
        <v>6.1828424988513406</v>
      </c>
      <c r="L34" s="135">
        <f t="shared" ref="L34:L89" si="57">MAX(Q34-K34,0)</f>
        <v>3.3270661631590315E-4</v>
      </c>
      <c r="N34" s="131">
        <f t="shared" si="48"/>
        <v>0.5685912571426992</v>
      </c>
      <c r="O34" s="131">
        <f t="shared" si="49"/>
        <v>0.5685912571426992</v>
      </c>
      <c r="P34" s="55">
        <f t="shared" si="50"/>
        <v>0.99999999999999989</v>
      </c>
      <c r="Q34" s="135">
        <f>_xll.xSPRDOPT(I34,H34,AQ34,0,O34,N34,P34,D34-$G$5,1,0)*AH34*AU34</f>
        <v>6.1831752054676565</v>
      </c>
      <c r="R34" s="135"/>
      <c r="S34" s="181">
        <f>_xll.xSPRDOPT(I34,H34,AQ34,AT34,O34,N34,P34,D34-$G$5,1,2)*AF34*(F34/(1-AR34))*AH34</f>
        <v>-22707.825727476069</v>
      </c>
      <c r="T34" s="181">
        <f>_xll.xSPRDOPT(I34,H34,AQ34,AT34,O34,N34,P34,D34-$G$5,1,1)*AF34*F34*AH34</f>
        <v>22083.360520249098</v>
      </c>
      <c r="U34" s="135"/>
      <c r="V34" s="146">
        <f t="shared" ref="V34:V89" si="58">VLOOKUP($AG34,$AL$4:$AS$15,8)*AH34*AU34</f>
        <v>11.32617048461459</v>
      </c>
      <c r="W34" s="146"/>
      <c r="X34" s="338">
        <f t="shared" ref="X34:X89" si="59">((BM34*BC34)+(BL34*BB34))*AH34*F34</f>
        <v>0</v>
      </c>
      <c r="Y34" s="338">
        <f t="shared" si="20"/>
        <v>0</v>
      </c>
      <c r="Z34" s="338">
        <f t="shared" si="21"/>
        <v>0.916706750277264</v>
      </c>
      <c r="AA34" s="338">
        <f t="shared" si="22"/>
        <v>8.6277394063262079E-4</v>
      </c>
      <c r="AB34" s="338">
        <f t="shared" ref="AB34:AB89" si="60">BN34*(AT34-CA34)*F34*AH34</f>
        <v>0</v>
      </c>
      <c r="AC34" s="338">
        <f t="shared" ref="AC34:AC89" si="61">BO34*CB34*F34*AH34*CA34*($G$5-$BV$5)/365.25</f>
        <v>0.93062054000725003</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5.0000000000000001E-3</v>
      </c>
      <c r="AN34" s="258">
        <f t="shared" si="31"/>
        <v>5.0000000000000001E-3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3.456</v>
      </c>
      <c r="AT34" s="137">
        <f t="shared" ref="AT34:AT89" si="68">VLOOKUP(D34,CurveTbl,$AK$6)</f>
        <v>2.50384261928196E-2</v>
      </c>
      <c r="AU34" s="137">
        <f t="shared" si="38"/>
        <v>0.97351542289734561</v>
      </c>
      <c r="AV34" s="394">
        <f t="shared" ref="AV34:AV89" si="69">ROUND((F34/(1-AR34))-F34,0)*AF34*AH34*AU34</f>
        <v>633.75854030617199</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2.9007091472544659E-7</v>
      </c>
      <c r="BG34" s="137">
        <f>_xll.xSPRDOPT($BW34,$BV34,$CG34,0,$BY34,$BX34,$BZ34,$AJ34,1,3)*$CB34</f>
        <v>-5.8014182945089324E-8</v>
      </c>
      <c r="BH34" s="137">
        <f>IF(OR(BF34&lt;&gt;0,BG34&lt;&gt;0),_xll.xSPRDOPT($BW34,$BV34,$CG34,0,$BY34,$BX34,$BZ34,$AJ34,1,12)*$CB34,0)</f>
        <v>-1.7404254883526797E-7</v>
      </c>
      <c r="BI34" s="137">
        <f>_xll.xSPRDOPT($BW34,$BV34,$CG34,2*LN(1+CA34/2),$BY34,$BX34,$BZ34,$AJ34,1,9)</f>
        <v>4.9184314668718884E-3</v>
      </c>
      <c r="BJ34" s="137">
        <f>_xll.xSPRDOPT($BW34,$BV34,$CG34,0,$BY34,$BX34,$BZ34,$AJ34,1,6)*$CB34</f>
        <v>-2.4492058733850261E-3</v>
      </c>
      <c r="BK34" s="137">
        <f>_xll.xSPRDOPT($BW34,$BV34,$CG34,0,$BY34,$BX34,$BZ34,$AJ34,1,5)*$CB34</f>
        <v>2.6161784983863698E-3</v>
      </c>
      <c r="BL34" s="137">
        <f>_xll.xSPRDOPT(BW34,BV34,CG34,0,BY34,BX34,BZ34,AJ34,1,2)*CB34</f>
        <v>-0.97314384377607666</v>
      </c>
      <c r="BM34" s="137">
        <f>_xll.xSPRDOPT(BW34,BV34,CG34,0,BY34,BX34,BZ34,AJ34,1,1)*CB34</f>
        <v>0.97314384379024021</v>
      </c>
      <c r="BN34" s="137">
        <f>IF(AH34&lt;&gt;0,_xll.xSPRDOPT($BW34,$BV34,$CG34,2*LN(1+CA34/2),$BY34,$BX34,$BZ34,$AJ34,1,8)+(AJ34/365.25)*CH34/AH34,0)</f>
        <v>0.18028728947614889</v>
      </c>
      <c r="BO34" s="137">
        <f>_xll.xSPRDOPT($BW34,$BV34,$CG34,0,$BY34,$BX34,$BZ34,$AJ34,1,0)</f>
        <v>0.20488384939332213</v>
      </c>
      <c r="BP34" s="137"/>
      <c r="BQ34" s="137"/>
      <c r="BR34" s="137"/>
      <c r="BS34" s="137"/>
      <c r="BV34" s="262">
        <v>3.5537275064267351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52"/>
        <v>37667</v>
      </c>
      <c r="F35" s="28">
        <f t="shared" si="53"/>
        <v>732</v>
      </c>
      <c r="G35" s="28">
        <f t="shared" si="13"/>
        <v>710.2880186262006</v>
      </c>
      <c r="H35" s="52">
        <f t="shared" si="54"/>
        <v>3.476606683804627</v>
      </c>
      <c r="I35" s="52">
        <f t="shared" si="55"/>
        <v>3.7210000000000001</v>
      </c>
      <c r="K35" s="52">
        <f t="shared" si="56"/>
        <v>5.6239022240707506</v>
      </c>
      <c r="L35" s="135">
        <f t="shared" si="57"/>
        <v>3.3558216350648706E-4</v>
      </c>
      <c r="N35" s="131">
        <f t="shared" si="48"/>
        <v>0.5545383214891465</v>
      </c>
      <c r="O35" s="131">
        <f t="shared" si="49"/>
        <v>0.5545383214891465</v>
      </c>
      <c r="P35" s="55">
        <f t="shared" si="50"/>
        <v>1</v>
      </c>
      <c r="Q35" s="135">
        <f>_xll.xSPRDOPT(I35,H35,AQ35,0,O35,N35,P35,D35-$G$5,1,0)*AH35*AU35</f>
        <v>5.6242378062342571</v>
      </c>
      <c r="R35" s="135"/>
      <c r="S35" s="181">
        <f>_xll.xSPRDOPT(I35,H35,AQ35,AT35,O35,N35,P35,D35-$G$5,1,2)*AF35*(F35/(1-AR35))*AH35</f>
        <v>-20437.8283250924</v>
      </c>
      <c r="T35" s="181">
        <f>_xll.xSPRDOPT(I35,H35,AQ35,AT35,O35,N35,P35,D35-$G$5,1,1)*AF35*F35*AH35</f>
        <v>19875.788046198963</v>
      </c>
      <c r="U35" s="135"/>
      <c r="V35" s="146">
        <f t="shared" si="58"/>
        <v>10.196708490343671</v>
      </c>
      <c r="W35" s="146"/>
      <c r="X35" s="338">
        <f t="shared" si="59"/>
        <v>0</v>
      </c>
      <c r="Y35" s="338">
        <f t="shared" si="20"/>
        <v>0</v>
      </c>
      <c r="Z35" s="338">
        <f t="shared" si="21"/>
        <v>0.85938348191896063</v>
      </c>
      <c r="AA35" s="338">
        <f t="shared" si="22"/>
        <v>1.4708520952494868E-3</v>
      </c>
      <c r="AB35" s="338">
        <f t="shared" si="60"/>
        <v>0</v>
      </c>
      <c r="AC35" s="338">
        <f t="shared" si="61"/>
        <v>0.88051974652329468</v>
      </c>
      <c r="AF35" s="138">
        <f t="shared" si="62"/>
        <v>1</v>
      </c>
      <c r="AG35" s="138">
        <f t="shared" si="63"/>
        <v>2</v>
      </c>
      <c r="AH35" s="138">
        <f t="shared" si="27"/>
        <v>28</v>
      </c>
      <c r="AI35" s="138">
        <f t="shared" si="64"/>
        <v>411</v>
      </c>
      <c r="AJ35" s="138">
        <f t="shared" si="65"/>
        <v>428</v>
      </c>
      <c r="AL35" s="136">
        <f t="shared" si="29"/>
        <v>3.371</v>
      </c>
      <c r="AM35" s="258">
        <f t="shared" si="30"/>
        <v>5.0000000000000001E-3</v>
      </c>
      <c r="AN35" s="258">
        <f t="shared" si="31"/>
        <v>5.0000000000000001E-3</v>
      </c>
      <c r="AO35" s="258">
        <f t="shared" si="32"/>
        <v>0.35</v>
      </c>
      <c r="AP35" s="258">
        <f t="shared" si="33"/>
        <v>0</v>
      </c>
      <c r="AQ35" s="136">
        <f t="shared" si="66"/>
        <v>3.7400000000000003E-2</v>
      </c>
      <c r="AR35" s="137">
        <f t="shared" si="35"/>
        <v>2.75E-2</v>
      </c>
      <c r="AS35" s="136">
        <f t="shared" si="67"/>
        <v>3.3809999999999998</v>
      </c>
      <c r="AT35" s="137">
        <f t="shared" si="68"/>
        <v>2.6044986419747399E-2</v>
      </c>
      <c r="AU35" s="137">
        <f t="shared" si="38"/>
        <v>0.97033882325983689</v>
      </c>
      <c r="AV35" s="394">
        <f t="shared" si="69"/>
        <v>570.55922807678405</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1.1564881902360466E-7</v>
      </c>
      <c r="BG35" s="137">
        <f>_xll.xSPRDOPT($BW35,$BV35,$CG35,0,$BY35,$BX35,$BZ35,$AJ35,1,3)*$CB35</f>
        <v>-7.5171732365343032E-7</v>
      </c>
      <c r="BH35" s="137">
        <f>IF(OR(BF35&lt;&gt;0,BG35&lt;&gt;0),_xll.xSPRDOPT($BW35,$BV35,$CG35,0,$BY35,$BX35,$BZ35,$AJ35,1,12)*$CB35,0)</f>
        <v>2.0238543329130816E-7</v>
      </c>
      <c r="BI35" s="137">
        <f>_xll.xSPRDOPT($BW35,$BV35,$CG35,2*LN(1+CA35/2),$BY35,$BX35,$BZ35,$AJ35,1,9)</f>
        <v>5.1048955368673621E-3</v>
      </c>
      <c r="BJ35" s="137">
        <f>_xll.xSPRDOPT($BW35,$BV35,$CG35,0,$BY35,$BX35,$BZ35,$AJ35,1,6)*$CB35</f>
        <v>-5.5202075191395916E-3</v>
      </c>
      <c r="BK35" s="137">
        <f>_xll.xSPRDOPT($BW35,$BV35,$CG35,0,$BY35,$BX35,$BZ35,$AJ35,1,5)*$CB35</f>
        <v>5.9082588463458931E-3</v>
      </c>
      <c r="BL35" s="137">
        <f>_xll.xSPRDOPT(BW35,BV35,CG35,0,BY35,BX35,BZ35,AJ35,1,2)*CB35</f>
        <v>-0.96972626210183221</v>
      </c>
      <c r="BM35" s="137">
        <f>_xll.xSPRDOPT(BW35,BV35,CG35,0,BY35,BX35,BZ35,AJ35,1,1)*CB35</f>
        <v>0.96972626210403801</v>
      </c>
      <c r="BN35" s="137">
        <f>IF(AH35&lt;&gt;0,_xll.xSPRDOPT($BW35,$BV35,$CG35,2*LN(1+CA35/2),$BY35,$BX35,$BZ35,$AJ35,1,8)+(AJ35/365.25)*CH35/AH35,0)</f>
        <v>0.19131644965499897</v>
      </c>
      <c r="BO35" s="137">
        <f>_xll.xSPRDOPT($BW35,$BV35,$CG35,0,$BY35,$BX35,$BZ35,$AJ35,1,0)</f>
        <v>0.20700637466702837</v>
      </c>
      <c r="BP35" s="137"/>
      <c r="BQ35" s="137"/>
      <c r="BR35" s="137"/>
      <c r="BS35" s="137"/>
      <c r="BV35" s="262">
        <v>3.476606683804627</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3.7400000000000003E-2</v>
      </c>
      <c r="CH35" s="258">
        <v>10.1945415026566</v>
      </c>
      <c r="CI35" s="258">
        <v>3.371</v>
      </c>
      <c r="CJ35" s="258"/>
      <c r="CK35" s="258"/>
      <c r="CL35" s="258"/>
      <c r="CM35" s="258"/>
    </row>
    <row r="36" spans="1:91" x14ac:dyDescent="0.25">
      <c r="A36" s="723"/>
      <c r="B36" s="723"/>
      <c r="D36" s="31">
        <f t="shared" si="52"/>
        <v>37695</v>
      </c>
      <c r="F36" s="28">
        <f t="shared" si="53"/>
        <v>732</v>
      </c>
      <c r="G36" s="28">
        <f t="shared" si="13"/>
        <v>708.09198336009695</v>
      </c>
      <c r="H36" s="52">
        <f t="shared" si="54"/>
        <v>3.3840616966580974</v>
      </c>
      <c r="I36" s="52">
        <f t="shared" si="55"/>
        <v>3.681</v>
      </c>
      <c r="K36" s="52">
        <f t="shared" si="56"/>
        <v>7.7829053976909179</v>
      </c>
      <c r="L36" s="135">
        <f t="shared" si="57"/>
        <v>4.6324611380654801E-5</v>
      </c>
      <c r="N36" s="131">
        <f t="shared" si="48"/>
        <v>0.50303598357381651</v>
      </c>
      <c r="O36" s="131">
        <f t="shared" si="49"/>
        <v>0.50303598357381651</v>
      </c>
      <c r="P36" s="55">
        <f t="shared" si="50"/>
        <v>1</v>
      </c>
      <c r="Q36" s="135">
        <f>_xll.xSPRDOPT(I36,H36,AQ36,0,O36,N36,P36,D36-$G$5,1,0)*AH36*AU36</f>
        <v>7.7829517223022986</v>
      </c>
      <c r="R36" s="135"/>
      <c r="S36" s="181">
        <f>_xll.xSPRDOPT(I36,H36,AQ36,AT36,O36,N36,P36,D36-$G$5,1,2)*AF36*(F36/(1-AR36))*AH36</f>
        <v>-22565.870964016787</v>
      </c>
      <c r="T36" s="181">
        <f>_xll.xSPRDOPT(I36,H36,AQ36,AT36,O36,N36,P36,D36-$G$5,1,1)*AF36*F36*AH36</f>
        <v>21945.309512568241</v>
      </c>
      <c r="U36" s="135"/>
      <c r="V36" s="146">
        <f t="shared" si="58"/>
        <v>11.254309510937674</v>
      </c>
      <c r="W36" s="146"/>
      <c r="X36" s="338">
        <f t="shared" si="59"/>
        <v>0</v>
      </c>
      <c r="Y36" s="338">
        <f t="shared" si="20"/>
        <v>0</v>
      </c>
      <c r="Z36" s="338">
        <f t="shared" si="21"/>
        <v>1.2510911708780581</v>
      </c>
      <c r="AA36" s="338">
        <f t="shared" si="22"/>
        <v>9.0415906132243113E-5</v>
      </c>
      <c r="AB36" s="338">
        <f t="shared" si="60"/>
        <v>0</v>
      </c>
      <c r="AC36" s="338">
        <f t="shared" si="61"/>
        <v>1.2610040889384291</v>
      </c>
      <c r="AF36" s="138">
        <f t="shared" si="62"/>
        <v>1</v>
      </c>
      <c r="AG36" s="138">
        <f t="shared" si="63"/>
        <v>3</v>
      </c>
      <c r="AH36" s="138">
        <f t="shared" si="27"/>
        <v>31</v>
      </c>
      <c r="AI36" s="138">
        <f t="shared" si="64"/>
        <v>439</v>
      </c>
      <c r="AJ36" s="138">
        <f t="shared" si="65"/>
        <v>456</v>
      </c>
      <c r="AL36" s="136">
        <f t="shared" si="29"/>
        <v>3.2810000000000001</v>
      </c>
      <c r="AM36" s="258">
        <f t="shared" si="30"/>
        <v>5.0000000000000001E-3</v>
      </c>
      <c r="AN36" s="258">
        <f t="shared" si="31"/>
        <v>5.0000000000000001E-3</v>
      </c>
      <c r="AO36" s="258">
        <f t="shared" si="32"/>
        <v>0.4</v>
      </c>
      <c r="AP36" s="258">
        <f t="shared" si="33"/>
        <v>0</v>
      </c>
      <c r="AQ36" s="136">
        <f t="shared" si="66"/>
        <v>3.7400000000000003E-2</v>
      </c>
      <c r="AR36" s="137">
        <f t="shared" si="35"/>
        <v>2.75E-2</v>
      </c>
      <c r="AS36" s="136">
        <f t="shared" si="67"/>
        <v>3.2909999999999999</v>
      </c>
      <c r="AT36" s="137">
        <f t="shared" si="68"/>
        <v>2.6954137886657601E-2</v>
      </c>
      <c r="AU36" s="137">
        <f t="shared" si="38"/>
        <v>0.96733877508209964</v>
      </c>
      <c r="AV36" s="394">
        <f t="shared" si="69"/>
        <v>629.73754257844689</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-4.6116164701872385E-7</v>
      </c>
      <c r="BG36" s="137">
        <f>_xll.xSPRDOPT($BW36,$BV36,$CG36,0,$BY36,$BX36,$BZ36,$AJ36,1,3)*$CB36</f>
        <v>-8.0703288228276672E-7</v>
      </c>
      <c r="BH36" s="137">
        <f>IF(OR(BF36&lt;&gt;0,BG36&lt;&gt;0),_xll.xSPRDOPT($BW36,$BV36,$CG36,0,$BY36,$BX36,$BZ36,$AJ36,1,12)*$CB36,0)</f>
        <v>5.7645205877340477E-7</v>
      </c>
      <c r="BI36" s="137">
        <f>_xll.xSPRDOPT($BW36,$BV36,$CG36,2*LN(1+CA36/2),$BY36,$BX36,$BZ36,$AJ36,1,9)</f>
        <v>6.7125132229157222E-3</v>
      </c>
      <c r="BJ36" s="137">
        <f>_xll.xSPRDOPT($BW36,$BV36,$CG36,0,$BY36,$BX36,$BZ36,$AJ36,1,6)*$CB36</f>
        <v>-4.5267940065989068E-4</v>
      </c>
      <c r="BK36" s="137">
        <f>_xll.xSPRDOPT($BW36,$BV36,$CG36,0,$BY36,$BX36,$BZ36,$AJ36,1,5)*$CB36</f>
        <v>4.9240026052910885E-4</v>
      </c>
      <c r="BL36" s="137">
        <f>_xll.xSPRDOPT(BW36,BV36,CG36,0,BY36,BX36,BZ36,AJ36,1,2)*CB36</f>
        <v>-0.96709800128217227</v>
      </c>
      <c r="BM36" s="137">
        <f>_xll.xSPRDOPT(BW36,BV36,CG36,0,BY36,BX36,BZ36,AJ36,1,1)*CB36</f>
        <v>0.96709800128129264</v>
      </c>
      <c r="BN36" s="137">
        <f>IF(AH36&lt;&gt;0,_xll.xSPRDOPT($BW36,$BV36,$CG36,2*LN(1+CA36/2),$BY36,$BX36,$BZ36,$AJ36,1,8)+(AJ36/365.25)*CH36/AH36,0)</f>
        <v>0.13977083370258131</v>
      </c>
      <c r="BO36" s="137">
        <f>_xll.xSPRDOPT($BW36,$BV36,$CG36,0,$BY36,$BX36,$BZ36,$AJ36,1,0)</f>
        <v>0.25953991231755319</v>
      </c>
      <c r="BP36" s="137"/>
      <c r="BQ36" s="137"/>
      <c r="BR36" s="137"/>
      <c r="BS36" s="137"/>
      <c r="BV36" s="262">
        <v>3.3840616966580974</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52"/>
        <v>37726</v>
      </c>
      <c r="F37" s="28">
        <f t="shared" si="53"/>
        <v>732</v>
      </c>
      <c r="G37" s="28">
        <f t="shared" si="13"/>
        <v>705.54297442141433</v>
      </c>
      <c r="H37" s="52">
        <f t="shared" si="54"/>
        <v>3.2298200514138813</v>
      </c>
      <c r="I37" s="52">
        <f t="shared" si="55"/>
        <v>3.726</v>
      </c>
      <c r="K37" s="52">
        <f t="shared" si="56"/>
        <v>13.265941374194826</v>
      </c>
      <c r="L37" s="135">
        <f t="shared" si="57"/>
        <v>1.4508742012253606E-6</v>
      </c>
      <c r="N37" s="131">
        <f t="shared" si="48"/>
        <v>0.38888404308877494</v>
      </c>
      <c r="O37" s="131">
        <f t="shared" si="49"/>
        <v>0.38888404308877494</v>
      </c>
      <c r="P37" s="55">
        <f t="shared" si="50"/>
        <v>1.0000000000000002</v>
      </c>
      <c r="Q37" s="135">
        <f>_xll.xSPRDOPT(I37,H37,AQ37,0,O37,N37,P37,D37-$G$5,1,0)*AH37*AU37</f>
        <v>13.265942825069027</v>
      </c>
      <c r="R37" s="135"/>
      <c r="S37" s="181">
        <f>_xll.xSPRDOPT(I37,H37,AQ37,AT37,O37,N37,P37,D37-$G$5,1,2)*AF37*(F37/(1-AR37))*AH37</f>
        <v>-21759.234439462973</v>
      </c>
      <c r="T37" s="181">
        <f>_xll.xSPRDOPT(I37,H37,AQ37,AT37,O37,N37,P37,D37-$G$5,1,1)*AF37*F37*AH37</f>
        <v>21160.855492417686</v>
      </c>
      <c r="U37" s="135"/>
      <c r="V37" s="146">
        <f t="shared" si="58"/>
        <v>10.852060586080198</v>
      </c>
      <c r="W37" s="146"/>
      <c r="X37" s="338">
        <f t="shared" si="59"/>
        <v>0</v>
      </c>
      <c r="Y37" s="338">
        <f t="shared" si="20"/>
        <v>0</v>
      </c>
      <c r="Z37" s="338">
        <f t="shared" si="21"/>
        <v>2.2152638543942076</v>
      </c>
      <c r="AA37" s="338">
        <f t="shared" si="22"/>
        <v>-8.8479731387544132E-9</v>
      </c>
      <c r="AB37" s="338">
        <f t="shared" si="60"/>
        <v>0</v>
      </c>
      <c r="AC37" s="338">
        <f t="shared" si="61"/>
        <v>2.2307195095763461</v>
      </c>
      <c r="AF37" s="138">
        <f t="shared" si="62"/>
        <v>1</v>
      </c>
      <c r="AG37" s="138">
        <f t="shared" si="63"/>
        <v>4</v>
      </c>
      <c r="AH37" s="138">
        <f t="shared" si="27"/>
        <v>30</v>
      </c>
      <c r="AI37" s="138">
        <f t="shared" si="64"/>
        <v>470</v>
      </c>
      <c r="AJ37" s="138">
        <f t="shared" si="65"/>
        <v>487</v>
      </c>
      <c r="AL37" s="136">
        <f t="shared" si="29"/>
        <v>3.1259999999999999</v>
      </c>
      <c r="AM37" s="258">
        <f t="shared" si="30"/>
        <v>0.01</v>
      </c>
      <c r="AN37" s="258">
        <f t="shared" si="31"/>
        <v>5.0000000000000001E-3</v>
      </c>
      <c r="AO37" s="258">
        <f t="shared" si="32"/>
        <v>0.6</v>
      </c>
      <c r="AP37" s="258">
        <f t="shared" si="33"/>
        <v>0</v>
      </c>
      <c r="AQ37" s="136">
        <f t="shared" si="66"/>
        <v>3.7400000000000003E-2</v>
      </c>
      <c r="AR37" s="137">
        <f t="shared" si="35"/>
        <v>2.75E-2</v>
      </c>
      <c r="AS37" s="136">
        <f t="shared" si="67"/>
        <v>3.1409999999999996</v>
      </c>
      <c r="AT37" s="137">
        <f t="shared" si="68"/>
        <v>2.79745964320606E-2</v>
      </c>
      <c r="AU37" s="137">
        <f t="shared" si="38"/>
        <v>0.96385652243362618</v>
      </c>
      <c r="AV37" s="394">
        <f t="shared" si="69"/>
        <v>607.22960913318445</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5.7437218188662469E-7</v>
      </c>
      <c r="BG37" s="137">
        <f>_xll.xSPRDOPT($BW37,$BV37,$CG37,0,$BY37,$BX37,$BZ37,$AJ37,1,3)*$CB37</f>
        <v>6.8924661826394968E-7</v>
      </c>
      <c r="BH37" s="137">
        <f>IF(OR(BF37&lt;&gt;0,BG37&lt;&gt;0),_xll.xSPRDOPT($BW37,$BV37,$CG37,0,$BY37,$BX37,$BZ37,$AJ37,1,12)*$CB37,0)</f>
        <v>-3.4462330913197484E-7</v>
      </c>
      <c r="BI37" s="137">
        <f>_xll.xSPRDOPT($BW37,$BV37,$CG37,2*LN(1+CA37/2),$BY37,$BX37,$BZ37,$AJ37,1,9)</f>
        <v>1.2281802107126356E-2</v>
      </c>
      <c r="BJ37" s="137">
        <f>_xll.xSPRDOPT($BW37,$BV37,$CG37,0,$BY37,$BX37,$BZ37,$AJ37,1,6)*$CB37</f>
        <v>3.0877177319492711E-7</v>
      </c>
      <c r="BK37" s="137">
        <f>_xll.xSPRDOPT($BW37,$BV37,$CG37,0,$BY37,$BX37,$BZ37,$AJ37,1,5)*$CB37</f>
        <v>-3.5621008130631905E-7</v>
      </c>
      <c r="BL37" s="137">
        <f>_xll.xSPRDOPT(BW37,BV37,CG37,0,BY37,BX37,BZ37,AJ37,1,2)*CB37</f>
        <v>-0.9636367221916794</v>
      </c>
      <c r="BM37" s="137">
        <f>_xll.xSPRDOPT(BW37,BV37,CG37,0,BY37,BX37,BZ37,AJ37,1,1)*CB37</f>
        <v>0.96363672219430863</v>
      </c>
      <c r="BN37" s="137">
        <f>IF(AH37&lt;&gt;0,_xll.xSPRDOPT($BW37,$BV37,$CG37,2*LN(1+CA37/2),$BY37,$BX37,$BZ37,$AJ37,1,8)+(AJ37/365.25)*CH37/AH37,0)</f>
        <v>-0.10725917793814421</v>
      </c>
      <c r="BO37" s="137">
        <f>_xll.xSPRDOPT($BW37,$BV37,$CG37,0,$BY37,$BX37,$BZ37,$AJ37,1,0)</f>
        <v>0.45877999870359432</v>
      </c>
      <c r="BP37" s="137"/>
      <c r="BQ37" s="137"/>
      <c r="BR37" s="137"/>
      <c r="BS37" s="137"/>
      <c r="BV37" s="262">
        <v>3.2298200514138813</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52"/>
        <v>37756</v>
      </c>
      <c r="F38" s="28">
        <f t="shared" si="53"/>
        <v>732</v>
      </c>
      <c r="G38" s="28">
        <f t="shared" si="13"/>
        <v>702.9700101538175</v>
      </c>
      <c r="H38" s="52">
        <f t="shared" si="54"/>
        <v>3.2308483290488423</v>
      </c>
      <c r="I38" s="52">
        <f t="shared" si="55"/>
        <v>3.8769999999999998</v>
      </c>
      <c r="K38" s="52">
        <f t="shared" si="56"/>
        <v>18.122895106011399</v>
      </c>
      <c r="L38" s="135">
        <f t="shared" si="57"/>
        <v>1.9904243941937239E-6</v>
      </c>
      <c r="N38" s="131">
        <f t="shared" si="48"/>
        <v>0.3761805213924197</v>
      </c>
      <c r="O38" s="131">
        <f t="shared" si="49"/>
        <v>0.3761805213924197</v>
      </c>
      <c r="P38" s="55">
        <f t="shared" si="50"/>
        <v>1.0000000000000002</v>
      </c>
      <c r="Q38" s="135">
        <f>_xll.xSPRDOPT(I38,H38,AQ38,0,O38,N38,P38,D38-$G$5,1,0)*AH38*AU38</f>
        <v>18.122897096435793</v>
      </c>
      <c r="R38" s="135"/>
      <c r="S38" s="181">
        <f>_xll.xSPRDOPT(I38,H38,AQ38,AT38,O38,N38,P38,D38-$G$5,1,2)*AF38*(F38/(1-AR38))*AH38</f>
        <v>-22401.75189044431</v>
      </c>
      <c r="T38" s="181">
        <f>_xll.xSPRDOPT(I38,H38,AQ38,AT38,O38,N38,P38,D38-$G$5,1,1)*AF38*F38*AH38</f>
        <v>21785.703713044328</v>
      </c>
      <c r="U38" s="135"/>
      <c r="V38" s="146">
        <f t="shared" si="58"/>
        <v>11.172901624498031</v>
      </c>
      <c r="W38" s="146"/>
      <c r="X38" s="338">
        <f t="shared" si="59"/>
        <v>0</v>
      </c>
      <c r="Y38" s="338">
        <f t="shared" si="20"/>
        <v>0</v>
      </c>
      <c r="Z38" s="338">
        <f t="shared" si="21"/>
        <v>3.1324763920594667</v>
      </c>
      <c r="AA38" s="338">
        <f t="shared" si="22"/>
        <v>-3.1666489164513228E-8</v>
      </c>
      <c r="AB38" s="338">
        <f t="shared" si="60"/>
        <v>0</v>
      </c>
      <c r="AC38" s="338">
        <f t="shared" si="61"/>
        <v>3.1551020181721858</v>
      </c>
      <c r="AF38" s="138">
        <f t="shared" si="62"/>
        <v>1</v>
      </c>
      <c r="AG38" s="138">
        <f t="shared" si="63"/>
        <v>5</v>
      </c>
      <c r="AH38" s="138">
        <f t="shared" si="27"/>
        <v>31</v>
      </c>
      <c r="AI38" s="138">
        <f t="shared" si="64"/>
        <v>500</v>
      </c>
      <c r="AJ38" s="138">
        <f t="shared" si="65"/>
        <v>517</v>
      </c>
      <c r="AL38" s="136">
        <f t="shared" si="29"/>
        <v>3.1269999999999998</v>
      </c>
      <c r="AM38" s="258">
        <f t="shared" si="30"/>
        <v>0.01</v>
      </c>
      <c r="AN38" s="258">
        <f t="shared" si="31"/>
        <v>5.0000000000000001E-3</v>
      </c>
      <c r="AO38" s="258">
        <f t="shared" si="32"/>
        <v>0.75</v>
      </c>
      <c r="AP38" s="258">
        <f t="shared" si="33"/>
        <v>0</v>
      </c>
      <c r="AQ38" s="136">
        <f t="shared" si="66"/>
        <v>3.7400000000000003E-2</v>
      </c>
      <c r="AR38" s="137">
        <f t="shared" si="35"/>
        <v>2.75E-2</v>
      </c>
      <c r="AS38" s="136">
        <f t="shared" si="67"/>
        <v>3.1419999999999995</v>
      </c>
      <c r="AT38" s="137">
        <f t="shared" si="68"/>
        <v>2.8963180076380102E-2</v>
      </c>
      <c r="AU38" s="137">
        <f t="shared" si="38"/>
        <v>0.96034154392598015</v>
      </c>
      <c r="AV38" s="394">
        <f t="shared" si="69"/>
        <v>625.18234509581305</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-4.5781839031827606E-7</v>
      </c>
      <c r="BG38" s="137">
        <f>_xll.xSPRDOPT($BW38,$BV38,$CG38,0,$BY38,$BX38,$BZ38,$AJ38,1,3)*$CB38</f>
        <v>0</v>
      </c>
      <c r="BH38" s="137">
        <f>IF(OR(BF38&lt;&gt;0,BG38&lt;&gt;0),_xll.xSPRDOPT($BW38,$BV38,$CG38,0,$BY38,$BX38,$BZ38,$AJ38,1,12)*$CB38,0)</f>
        <v>6.8672758547741406E-7</v>
      </c>
      <c r="BI38" s="137">
        <f>_xll.xSPRDOPT($BW38,$BV38,$CG38,2*LN(1+CA38/2),$BY38,$BX38,$BZ38,$AJ38,1,9)</f>
        <v>1.6806760123974973E-2</v>
      </c>
      <c r="BJ38" s="137">
        <f>_xll.xSPRDOPT($BW38,$BV38,$CG38,0,$BY38,$BX38,$BZ38,$AJ38,1,6)*$CB38</f>
        <v>3.2932826202114347E-7</v>
      </c>
      <c r="BK38" s="137">
        <f>_xll.xSPRDOPT($BW38,$BV38,$CG38,0,$BY38,$BX38,$BZ38,$AJ38,1,5)*$CB38</f>
        <v>-3.9517933165318885E-7</v>
      </c>
      <c r="BL38" s="137">
        <f>_xll.xSPRDOPT(BW38,BV38,CG38,0,BY38,BX38,BZ38,AJ38,1,2)*CB38</f>
        <v>-0.96011485940629471</v>
      </c>
      <c r="BM38" s="137">
        <f>_xll.xSPRDOPT(BW38,BV38,CG38,0,BY38,BX38,BZ38,AJ38,1,1)*CB38</f>
        <v>0.96011485938708385</v>
      </c>
      <c r="BN38" s="137">
        <f>IF(AH38&lt;&gt;0,_xll.xSPRDOPT($BW38,$BV38,$CG38,2*LN(1+CA38/2),$BY38,$BX38,$BZ38,$AJ38,1,8)+(AJ38/365.25)*CH38/AH38,0)</f>
        <v>-0.31726383715795559</v>
      </c>
      <c r="BO38" s="137">
        <f>_xll.xSPRDOPT($BW38,$BV38,$CG38,0,$BY38,$BX38,$BZ38,$AJ38,1,0)</f>
        <v>0.60875173773648794</v>
      </c>
      <c r="BP38" s="137"/>
      <c r="BQ38" s="137"/>
      <c r="BR38" s="137"/>
      <c r="BS38" s="137"/>
      <c r="BV38" s="262">
        <v>3.2308483290488423</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3.7400000000000003E-2</v>
      </c>
      <c r="CH38" s="258">
        <v>11.170263069580161</v>
      </c>
      <c r="CI38" s="258">
        <v>3.1269999999999998</v>
      </c>
      <c r="CJ38" s="258"/>
      <c r="CK38" s="258"/>
      <c r="CL38" s="258"/>
      <c r="CM38" s="258"/>
    </row>
    <row r="39" spans="1:91" x14ac:dyDescent="0.25">
      <c r="A39" s="723"/>
      <c r="B39" s="723"/>
      <c r="D39" s="31">
        <f t="shared" si="52"/>
        <v>37787</v>
      </c>
      <c r="F39" s="28">
        <f t="shared" si="53"/>
        <v>732</v>
      </c>
      <c r="G39" s="28">
        <f t="shared" si="13"/>
        <v>700.20386619884584</v>
      </c>
      <c r="H39" s="52">
        <f t="shared" si="54"/>
        <v>3.2694087403598973</v>
      </c>
      <c r="I39" s="52">
        <f t="shared" si="55"/>
        <v>4.0119999999999996</v>
      </c>
      <c r="K39" s="52">
        <f t="shared" si="56"/>
        <v>20.236788787280073</v>
      </c>
      <c r="L39" s="135">
        <f t="shared" si="57"/>
        <v>2.2011843263669562E-6</v>
      </c>
      <c r="N39" s="131">
        <f t="shared" si="48"/>
        <v>0.37586425134556289</v>
      </c>
      <c r="O39" s="131">
        <f t="shared" si="49"/>
        <v>0.37586425134556289</v>
      </c>
      <c r="P39" s="55">
        <f t="shared" si="50"/>
        <v>0.99999999999999978</v>
      </c>
      <c r="Q39" s="135">
        <f>_xll.xSPRDOPT(I39,H39,AQ39,0,O39,N39,P39,D39-$G$5,1,0)*AH39*AU39</f>
        <v>20.236790988464399</v>
      </c>
      <c r="R39" s="135"/>
      <c r="S39" s="181">
        <f>_xll.xSPRDOPT(I39,H39,AQ39,AT39,O39,N39,P39,D39-$G$5,1,2)*AF39*(F39/(1-AR39))*AH39</f>
        <v>-21592.950033483328</v>
      </c>
      <c r="T39" s="181">
        <f>_xll.xSPRDOPT(I39,H39,AQ39,AT39,O39,N39,P39,D39-$G$5,1,1)*AF39*F39*AH39</f>
        <v>20999.143907842154</v>
      </c>
      <c r="U39" s="135"/>
      <c r="V39" s="146">
        <f t="shared" si="58"/>
        <v>10.769938974771593</v>
      </c>
      <c r="W39" s="146"/>
      <c r="X39" s="338">
        <f t="shared" si="59"/>
        <v>0</v>
      </c>
      <c r="Y39" s="338">
        <f t="shared" si="20"/>
        <v>0</v>
      </c>
      <c r="Z39" s="338">
        <f t="shared" si="21"/>
        <v>3.6202817236935769</v>
      </c>
      <c r="AA39" s="338">
        <f t="shared" si="22"/>
        <v>-3.2113170571040707E-8</v>
      </c>
      <c r="AB39" s="338">
        <f t="shared" si="60"/>
        <v>0</v>
      </c>
      <c r="AC39" s="338">
        <f t="shared" si="61"/>
        <v>3.6473508783022353</v>
      </c>
      <c r="AF39" s="138">
        <f t="shared" si="62"/>
        <v>1</v>
      </c>
      <c r="AG39" s="138">
        <f t="shared" si="63"/>
        <v>6</v>
      </c>
      <c r="AH39" s="138">
        <f t="shared" si="27"/>
        <v>30</v>
      </c>
      <c r="AI39" s="138">
        <f t="shared" si="64"/>
        <v>531</v>
      </c>
      <c r="AJ39" s="138">
        <f t="shared" si="65"/>
        <v>548</v>
      </c>
      <c r="AL39" s="136">
        <f t="shared" si="29"/>
        <v>3.1619999999999999</v>
      </c>
      <c r="AM39" s="258">
        <f t="shared" si="30"/>
        <v>1.2500000000000001E-2</v>
      </c>
      <c r="AN39" s="258">
        <f t="shared" si="31"/>
        <v>5.0000000000000001E-3</v>
      </c>
      <c r="AO39" s="258">
        <f t="shared" si="32"/>
        <v>0.85</v>
      </c>
      <c r="AP39" s="258">
        <f t="shared" si="33"/>
        <v>0</v>
      </c>
      <c r="AQ39" s="136">
        <f t="shared" si="66"/>
        <v>3.7400000000000003E-2</v>
      </c>
      <c r="AR39" s="137">
        <f t="shared" si="35"/>
        <v>2.75E-2</v>
      </c>
      <c r="AS39" s="136">
        <f t="shared" si="67"/>
        <v>3.1795</v>
      </c>
      <c r="AT39" s="137">
        <f t="shared" si="68"/>
        <v>2.99847168551968E-2</v>
      </c>
      <c r="AU39" s="137">
        <f t="shared" si="38"/>
        <v>0.95656265874159274</v>
      </c>
      <c r="AV39" s="394">
        <f t="shared" si="69"/>
        <v>602.63447500720338</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4.5601313237735386E-7</v>
      </c>
      <c r="BG39" s="137">
        <f>_xll.xSPRDOPT($BW39,$BV39,$CG39,0,$BY39,$BX39,$BZ39,$AJ39,1,3)*$CB39</f>
        <v>-4.5601313237735386E-7</v>
      </c>
      <c r="BH39" s="137">
        <f>IF(OR(BF39&lt;&gt;0,BG39&lt;&gt;0),_xll.xSPRDOPT($BW39,$BV39,$CG39,0,$BY39,$BX39,$BZ39,$AJ39,1,12)*$CB39,0)</f>
        <v>-4.5601313237735386E-7</v>
      </c>
      <c r="BI39" s="137">
        <f>_xll.xSPRDOPT($BW39,$BV39,$CG39,2*LN(1+CA39/2),$BY39,$BX39,$BZ39,$AJ39,1,9)</f>
        <v>2.0071461742244674E-2</v>
      </c>
      <c r="BJ39" s="137">
        <f>_xll.xSPRDOPT($BW39,$BV39,$CG39,0,$BY39,$BX39,$BZ39,$AJ39,1,6)*$CB39</f>
        <v>3.5179221929984427E-7</v>
      </c>
      <c r="BK39" s="137">
        <f>_xll.xSPRDOPT($BW39,$BV39,$CG39,0,$BY39,$BX39,$BZ39,$AJ39,1,5)*$CB39</f>
        <v>-4.3169298024469763E-7</v>
      </c>
      <c r="BL39" s="137">
        <f>_xll.xSPRDOPT(BW39,BV39,CG39,0,BY39,BX39,BZ39,AJ39,1,2)*CB39</f>
        <v>-0.95632895757339853</v>
      </c>
      <c r="BM39" s="137">
        <f>_xll.xSPRDOPT(BW39,BV39,CG39,0,BY39,BX39,BZ39,AJ39,1,1)*CB39</f>
        <v>0.95632895758383585</v>
      </c>
      <c r="BN39" s="137">
        <f>IF(AH39&lt;&gt;0,_xll.xSPRDOPT($BW39,$BV39,$CG39,2*LN(1+CA39/2),$BY39,$BX39,$BZ39,$AJ39,1,8)+(AJ39/365.25)*CH39/AH39,0)</f>
        <v>-0.47333487334964031</v>
      </c>
      <c r="BO39" s="137">
        <f>_xll.xSPRDOPT($BW39,$BV39,$CG39,0,$BY39,$BX39,$BZ39,$AJ39,1,0)</f>
        <v>0.70519133626032005</v>
      </c>
      <c r="BP39" s="137"/>
      <c r="BQ39" s="137"/>
      <c r="BR39" s="137"/>
      <c r="BS39" s="137"/>
      <c r="BV39" s="262">
        <v>3.2694087403598973</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3.7400000000000003E-2</v>
      </c>
      <c r="CH39" s="258">
        <v>10.767306551326937</v>
      </c>
      <c r="CI39" s="258">
        <v>3.1619999999999999</v>
      </c>
      <c r="CJ39" s="258"/>
      <c r="CK39" s="258"/>
      <c r="CL39" s="258"/>
      <c r="CM39" s="258"/>
    </row>
    <row r="40" spans="1:91" x14ac:dyDescent="0.25">
      <c r="A40" s="723"/>
      <c r="B40" s="723"/>
      <c r="D40" s="31">
        <f t="shared" si="52"/>
        <v>37817</v>
      </c>
      <c r="F40" s="28">
        <f t="shared" si="53"/>
        <v>732</v>
      </c>
      <c r="G40" s="28">
        <f t="shared" si="13"/>
        <v>697.43303576381925</v>
      </c>
      <c r="H40" s="52">
        <f t="shared" si="54"/>
        <v>3.3125964010282778</v>
      </c>
      <c r="I40" s="52">
        <f t="shared" si="55"/>
        <v>4.2540000000000004</v>
      </c>
      <c r="K40" s="52">
        <f t="shared" si="56"/>
        <v>26.700739351830972</v>
      </c>
      <c r="L40" s="135">
        <f t="shared" si="57"/>
        <v>2.8730013035271895E-6</v>
      </c>
      <c r="N40" s="131">
        <f t="shared" si="48"/>
        <v>0.37759499646180722</v>
      </c>
      <c r="O40" s="131">
        <f t="shared" si="49"/>
        <v>0.37759499646180722</v>
      </c>
      <c r="P40" s="55">
        <f t="shared" si="50"/>
        <v>1</v>
      </c>
      <c r="Q40" s="135">
        <f>_xll.xSPRDOPT(I40,H40,AQ40,0,O40,N40,P40,D40-$G$5,1,0)*AH40*AU40</f>
        <v>26.700742224832275</v>
      </c>
      <c r="R40" s="135"/>
      <c r="S40" s="181">
        <f>_xll.xSPRDOPT(I40,H40,AQ40,AT40,O40,N40,P40,D40-$G$5,1,2)*AF40*(F40/(1-AR40))*AH40</f>
        <v>-22223.498515380885</v>
      </c>
      <c r="T40" s="181">
        <f>_xll.xSPRDOPT(I40,H40,AQ40,AT40,O40,N40,P40,D40-$G$5,1,1)*AF40*F40*AH40</f>
        <v>21612.352306249188</v>
      </c>
      <c r="U40" s="135"/>
      <c r="V40" s="146">
        <f t="shared" si="58"/>
        <v>11.084897770474049</v>
      </c>
      <c r="W40" s="146"/>
      <c r="X40" s="338">
        <f t="shared" si="59"/>
        <v>0</v>
      </c>
      <c r="Y40" s="338">
        <f t="shared" si="20"/>
        <v>0</v>
      </c>
      <c r="Z40" s="338">
        <f t="shared" si="21"/>
        <v>4.9316304196230156</v>
      </c>
      <c r="AA40" s="338">
        <f t="shared" si="22"/>
        <v>-6.3505813345335025E-8</v>
      </c>
      <c r="AB40" s="338">
        <f t="shared" si="60"/>
        <v>0</v>
      </c>
      <c r="AC40" s="338">
        <f t="shared" si="61"/>
        <v>4.9697075965356659</v>
      </c>
      <c r="AF40" s="138">
        <f t="shared" si="62"/>
        <v>1</v>
      </c>
      <c r="AG40" s="138">
        <f t="shared" si="63"/>
        <v>7</v>
      </c>
      <c r="AH40" s="138">
        <f t="shared" si="27"/>
        <v>31</v>
      </c>
      <c r="AI40" s="138">
        <f t="shared" si="64"/>
        <v>561</v>
      </c>
      <c r="AJ40" s="138">
        <f t="shared" si="65"/>
        <v>578</v>
      </c>
      <c r="AL40" s="136">
        <f t="shared" si="29"/>
        <v>3.2040000000000002</v>
      </c>
      <c r="AM40" s="258">
        <f t="shared" si="30"/>
        <v>1.2500000000000001E-2</v>
      </c>
      <c r="AN40" s="258">
        <f t="shared" si="31"/>
        <v>5.0000000000000001E-3</v>
      </c>
      <c r="AO40" s="258">
        <f t="shared" si="32"/>
        <v>1.05</v>
      </c>
      <c r="AP40" s="258">
        <f t="shared" si="33"/>
        <v>0</v>
      </c>
      <c r="AQ40" s="136">
        <f t="shared" si="66"/>
        <v>3.7400000000000003E-2</v>
      </c>
      <c r="AR40" s="137">
        <f t="shared" si="35"/>
        <v>2.75E-2</v>
      </c>
      <c r="AS40" s="136">
        <f t="shared" si="67"/>
        <v>3.2215000000000003</v>
      </c>
      <c r="AT40" s="137">
        <f t="shared" si="68"/>
        <v>3.0965279300479799E-2</v>
      </c>
      <c r="AU40" s="137">
        <f t="shared" si="38"/>
        <v>0.9527773712620482</v>
      </c>
      <c r="AV40" s="394">
        <f t="shared" si="69"/>
        <v>620.25806869159339</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-1.3626150137872272E-6</v>
      </c>
      <c r="BG40" s="137">
        <f>_xll.xSPRDOPT($BW40,$BV40,$CG40,0,$BY40,$BX40,$BZ40,$AJ40,1,3)*$CB40</f>
        <v>-1.3626150137872272E-6</v>
      </c>
      <c r="BH40" s="137">
        <f>IF(OR(BF40&lt;&gt;0,BG40&lt;&gt;0),_xll.xSPRDOPT($BW40,$BV40,$CG40,0,$BY40,$BX40,$BZ40,$AJ40,1,12)*$CB40,0)</f>
        <v>9.0841000919148477E-7</v>
      </c>
      <c r="BI40" s="137">
        <f>_xll.xSPRDOPT($BW40,$BV40,$CG40,2*LN(1+CA40/2),$BY40,$BX40,$BZ40,$AJ40,1,9)</f>
        <v>2.6459809782703254E-2</v>
      </c>
      <c r="BJ40" s="137">
        <f>_xll.xSPRDOPT($BW40,$BV40,$CG40,0,$BY40,$BX40,$BZ40,$AJ40,1,6)*$CB40</f>
        <v>3.7589563688375476E-7</v>
      </c>
      <c r="BK40" s="137">
        <f>_xll.xSPRDOPT($BW40,$BV40,$CG40,0,$BY40,$BX40,$BZ40,$AJ40,1,5)*$CB40</f>
        <v>-4.8271596254062274E-7</v>
      </c>
      <c r="BL40" s="137">
        <f>_xll.xSPRDOPT(BW40,BV40,CG40,0,BY40,BX40,BZ40,AJ40,1,2)*CB40</f>
        <v>-0.95253703709017368</v>
      </c>
      <c r="BM40" s="137">
        <f>_xll.xSPRDOPT(BW40,BV40,CG40,0,BY40,BX40,BZ40,AJ40,1,1)*CB40</f>
        <v>0.95253703708497572</v>
      </c>
      <c r="BN40" s="137">
        <f>IF(AH40&lt;&gt;0,_xll.xSPRDOPT($BW40,$BV40,$CG40,2*LN(1+CA40/2),$BY40,$BX40,$BZ40,$AJ40,1,8)+(AJ40/365.25)*CH40/AH40,0)</f>
        <v>-0.79695130189046681</v>
      </c>
      <c r="BO40" s="137">
        <f>_xll.xSPRDOPT($BW40,$BV40,$CG40,0,$BY40,$BX40,$BZ40,$AJ40,1,0)</f>
        <v>0.90400369613560172</v>
      </c>
      <c r="BP40" s="137"/>
      <c r="BQ40" s="137"/>
      <c r="BR40" s="137"/>
      <c r="BS40" s="137"/>
      <c r="BV40" s="262">
        <v>3.3125964010282778</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3.7400000000000003E-2</v>
      </c>
      <c r="CH40" s="258">
        <v>11.082100448885727</v>
      </c>
      <c r="CI40" s="258">
        <v>3.2040000000000002</v>
      </c>
      <c r="CJ40" s="258"/>
      <c r="CK40" s="258"/>
      <c r="CL40" s="258"/>
      <c r="CM40" s="258"/>
    </row>
    <row r="41" spans="1:91" x14ac:dyDescent="0.25">
      <c r="A41" s="723"/>
      <c r="B41" s="723"/>
      <c r="D41" s="31">
        <f t="shared" si="52"/>
        <v>37848</v>
      </c>
      <c r="F41" s="28">
        <f t="shared" si="53"/>
        <v>732</v>
      </c>
      <c r="G41" s="28">
        <f t="shared" si="13"/>
        <v>694.47914122439022</v>
      </c>
      <c r="H41" s="52">
        <f t="shared" si="54"/>
        <v>3.3557840616966579</v>
      </c>
      <c r="I41" s="52">
        <f t="shared" si="55"/>
        <v>4.2960000000000003</v>
      </c>
      <c r="K41" s="52">
        <f t="shared" si="56"/>
        <v>26.55272126094879</v>
      </c>
      <c r="L41" s="135">
        <f t="shared" si="57"/>
        <v>2.8181206701560768E-6</v>
      </c>
      <c r="N41" s="131">
        <f t="shared" si="48"/>
        <v>0.37920840226144648</v>
      </c>
      <c r="O41" s="131">
        <f t="shared" si="49"/>
        <v>0.37920840226144648</v>
      </c>
      <c r="P41" s="55">
        <f t="shared" si="50"/>
        <v>1</v>
      </c>
      <c r="Q41" s="135">
        <f>_xll.xSPRDOPT(I41,H41,AQ41,0,O41,N41,P41,D41-$G$5,1,0)*AH41*AU41</f>
        <v>26.55272407906946</v>
      </c>
      <c r="R41" s="135"/>
      <c r="S41" s="181">
        <f>_xll.xSPRDOPT(I41,H41,AQ41,AT41,O41,N41,P41,D41-$G$5,1,2)*AF41*(F41/(1-AR41))*AH41</f>
        <v>-22128.358166030859</v>
      </c>
      <c r="T41" s="181">
        <f>_xll.xSPRDOPT(I41,H41,AQ41,AT41,O41,N41,P41,D41-$G$5,1,1)*AF41*F41*AH41</f>
        <v>21519.828316630119</v>
      </c>
      <c r="U41" s="135"/>
      <c r="V41" s="146">
        <f t="shared" si="58"/>
        <v>11.037949006484869</v>
      </c>
      <c r="W41" s="146"/>
      <c r="X41" s="338">
        <f t="shared" si="59"/>
        <v>0</v>
      </c>
      <c r="Y41" s="338">
        <f t="shared" si="20"/>
        <v>0</v>
      </c>
      <c r="Z41" s="338">
        <f t="shared" si="21"/>
        <v>5.061664976129002</v>
      </c>
      <c r="AA41" s="338">
        <f t="shared" si="22"/>
        <v>-8.3233384332359812E-8</v>
      </c>
      <c r="AB41" s="338">
        <f t="shared" si="60"/>
        <v>0</v>
      </c>
      <c r="AC41" s="338">
        <f t="shared" si="61"/>
        <v>5.1020073361912255</v>
      </c>
      <c r="AF41" s="138">
        <f t="shared" si="62"/>
        <v>1</v>
      </c>
      <c r="AG41" s="138">
        <f t="shared" si="63"/>
        <v>8</v>
      </c>
      <c r="AH41" s="138">
        <f t="shared" si="27"/>
        <v>31</v>
      </c>
      <c r="AI41" s="138">
        <f t="shared" si="64"/>
        <v>592</v>
      </c>
      <c r="AJ41" s="138">
        <f t="shared" si="65"/>
        <v>609</v>
      </c>
      <c r="AL41" s="136">
        <f t="shared" si="29"/>
        <v>3.246</v>
      </c>
      <c r="AM41" s="258">
        <f t="shared" si="30"/>
        <v>1.2500000000000001E-2</v>
      </c>
      <c r="AN41" s="258">
        <f t="shared" si="31"/>
        <v>5.0000000000000001E-3</v>
      </c>
      <c r="AO41" s="258">
        <f t="shared" si="32"/>
        <v>1.05</v>
      </c>
      <c r="AP41" s="258">
        <f t="shared" si="33"/>
        <v>0</v>
      </c>
      <c r="AQ41" s="136">
        <f t="shared" si="66"/>
        <v>3.7400000000000003E-2</v>
      </c>
      <c r="AR41" s="137">
        <f t="shared" si="35"/>
        <v>2.75E-2</v>
      </c>
      <c r="AS41" s="136">
        <f t="shared" si="67"/>
        <v>3.2635000000000001</v>
      </c>
      <c r="AT41" s="137">
        <f t="shared" si="68"/>
        <v>3.1967083332272501E-2</v>
      </c>
      <c r="AU41" s="137">
        <f t="shared" si="38"/>
        <v>0.94874199620818334</v>
      </c>
      <c r="AV41" s="394">
        <f t="shared" si="69"/>
        <v>617.63103953152734</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-1.3568328285860182E-6</v>
      </c>
      <c r="BG41" s="137">
        <f>_xll.xSPRDOPT($BW41,$BV41,$CG41,0,$BY41,$BX41,$BZ41,$AJ41,1,3)*$CB41</f>
        <v>-9.0455521905734547E-7</v>
      </c>
      <c r="BH41" s="137">
        <f>IF(OR(BF41&lt;&gt;0,BG41&lt;&gt;0),_xll.xSPRDOPT($BW41,$BV41,$CG41,0,$BY41,$BX41,$BZ41,$AJ41,1,12)*$CB41,0)</f>
        <v>1.1306940238216818E-7</v>
      </c>
      <c r="BI41" s="137">
        <f>_xll.xSPRDOPT($BW41,$BV41,$CG41,2*LN(1+CA41/2),$BY41,$BX41,$BZ41,$AJ41,1,9)</f>
        <v>2.7157487698030409E-2</v>
      </c>
      <c r="BJ41" s="137">
        <f>_xll.xSPRDOPT($BW41,$BV41,$CG41,0,$BY41,$BX41,$BZ41,$AJ41,1,6)*$CB41</f>
        <v>4.0071271146772866E-7</v>
      </c>
      <c r="BK41" s="137">
        <f>_xll.xSPRDOPT($BW41,$BV41,$CG41,0,$BY41,$BX41,$BZ41,$AJ41,1,5)*$CB41</f>
        <v>-5.1296880560591986E-7</v>
      </c>
      <c r="BL41" s="137">
        <f>_xll.xSPRDOPT(BW41,BV41,CG41,0,BY41,BX41,BZ41,AJ41,1,2)*CB41</f>
        <v>-0.94849499488297706</v>
      </c>
      <c r="BM41" s="137">
        <f>_xll.xSPRDOPT(BW41,BV41,CG41,0,BY41,BX41,BZ41,AJ41,1,1)*CB41</f>
        <v>0.94849499488297706</v>
      </c>
      <c r="BN41" s="137">
        <f>IF(AH41&lt;&gt;0,_xll.xSPRDOPT($BW41,$BV41,$CG41,2*LN(1+CA41/2),$BY41,$BX41,$BZ41,$AJ41,1,8)+(AJ41/365.25)*CH41/AH41,0)</f>
        <v>-0.83425290908449312</v>
      </c>
      <c r="BO41" s="137">
        <f>_xll.xSPRDOPT($BW41,$BV41,$CG41,0,$BY41,$BX41,$BZ41,$AJ41,1,0)</f>
        <v>0.90281603401523003</v>
      </c>
      <c r="BP41" s="137"/>
      <c r="BQ41" s="137"/>
      <c r="BR41" s="137"/>
      <c r="BS41" s="137"/>
      <c r="BV41" s="262">
        <v>3.3557840616966579</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3.7400000000000003E-2</v>
      </c>
      <c r="CH41" s="258">
        <v>11.035074138030867</v>
      </c>
      <c r="CI41" s="258">
        <v>3.246</v>
      </c>
      <c r="CJ41" s="258"/>
      <c r="CK41" s="258"/>
      <c r="CL41" s="258"/>
      <c r="CM41" s="258"/>
    </row>
    <row r="42" spans="1:91" x14ac:dyDescent="0.25">
      <c r="A42" s="723"/>
      <c r="B42" s="723"/>
      <c r="D42" s="31">
        <f t="shared" si="52"/>
        <v>37879</v>
      </c>
      <c r="F42" s="28">
        <f t="shared" si="53"/>
        <v>732</v>
      </c>
      <c r="G42" s="28">
        <f t="shared" si="13"/>
        <v>691.42257652130434</v>
      </c>
      <c r="H42" s="52">
        <f t="shared" si="54"/>
        <v>3.3455012853470434</v>
      </c>
      <c r="I42" s="52">
        <f t="shared" si="55"/>
        <v>3.9910000000000001</v>
      </c>
      <c r="K42" s="52">
        <f t="shared" si="56"/>
        <v>17.231687707567247</v>
      </c>
      <c r="L42" s="135">
        <f t="shared" si="57"/>
        <v>1.8068927793990497E-6</v>
      </c>
      <c r="N42" s="131">
        <f t="shared" si="48"/>
        <v>0.3762850500238793</v>
      </c>
      <c r="O42" s="131">
        <f t="shared" si="49"/>
        <v>0.3762850500238793</v>
      </c>
      <c r="P42" s="55">
        <f t="shared" si="50"/>
        <v>1.0000000000000002</v>
      </c>
      <c r="Q42" s="135">
        <f>_xll.xSPRDOPT(I42,H42,AQ42,0,O42,N42,P42,D42-$G$5,1,0)*AH42*AU42</f>
        <v>17.231689514460026</v>
      </c>
      <c r="R42" s="135"/>
      <c r="S42" s="181">
        <f>_xll.xSPRDOPT(I42,H42,AQ42,AT42,O42,N42,P42,D42-$G$5,1,2)*AF42*(F42/(1-AR42))*AH42</f>
        <v>-21319.23726745179</v>
      </c>
      <c r="T42" s="181">
        <f>_xll.xSPRDOPT(I42,H42,AQ42,AT42,O42,N42,P42,D42-$G$5,1,1)*AF42*F42*AH42</f>
        <v>20732.958242676759</v>
      </c>
      <c r="U42" s="135"/>
      <c r="V42" s="146">
        <f t="shared" si="58"/>
        <v>10.634872662641211</v>
      </c>
      <c r="W42" s="146"/>
      <c r="X42" s="338">
        <f t="shared" si="59"/>
        <v>0</v>
      </c>
      <c r="Y42" s="338">
        <f t="shared" si="20"/>
        <v>0</v>
      </c>
      <c r="Z42" s="338">
        <f t="shared" si="21"/>
        <v>3.3869016951477762</v>
      </c>
      <c r="AA42" s="338">
        <f t="shared" si="22"/>
        <v>-4.5010304002666349E-8</v>
      </c>
      <c r="AB42" s="338">
        <f t="shared" si="60"/>
        <v>0</v>
      </c>
      <c r="AC42" s="338">
        <f t="shared" si="61"/>
        <v>3.4147398485086788</v>
      </c>
      <c r="AF42" s="138">
        <f t="shared" si="62"/>
        <v>1</v>
      </c>
      <c r="AG42" s="138">
        <f t="shared" si="63"/>
        <v>9</v>
      </c>
      <c r="AH42" s="138">
        <f t="shared" si="27"/>
        <v>30</v>
      </c>
      <c r="AI42" s="138">
        <f t="shared" si="64"/>
        <v>623</v>
      </c>
      <c r="AJ42" s="138">
        <f t="shared" si="65"/>
        <v>640</v>
      </c>
      <c r="AL42" s="136">
        <f t="shared" si="29"/>
        <v>3.2410000000000001</v>
      </c>
      <c r="AM42" s="258">
        <f t="shared" si="30"/>
        <v>7.4999999999999997E-3</v>
      </c>
      <c r="AN42" s="258">
        <f t="shared" si="31"/>
        <v>5.0000000000000001E-3</v>
      </c>
      <c r="AO42" s="258">
        <f t="shared" si="32"/>
        <v>0.75</v>
      </c>
      <c r="AP42" s="258">
        <f t="shared" si="33"/>
        <v>0</v>
      </c>
      <c r="AQ42" s="136">
        <f t="shared" si="66"/>
        <v>3.7400000000000003E-2</v>
      </c>
      <c r="AR42" s="137">
        <f t="shared" si="35"/>
        <v>2.75E-2</v>
      </c>
      <c r="AS42" s="136">
        <f t="shared" si="67"/>
        <v>3.2534999999999998</v>
      </c>
      <c r="AT42" s="137">
        <f t="shared" si="68"/>
        <v>3.2968887702129003E-2</v>
      </c>
      <c r="AU42" s="137">
        <f t="shared" si="38"/>
        <v>0.94456636136790217</v>
      </c>
      <c r="AV42" s="394">
        <f t="shared" si="69"/>
        <v>595.07680766177839</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-6.7542507650821494E-7</v>
      </c>
      <c r="BG42" s="137">
        <f>_xll.xSPRDOPT($BW42,$BV42,$CG42,0,$BY42,$BX42,$BZ42,$AJ42,1,3)*$CB42</f>
        <v>-4.5028338433880992E-7</v>
      </c>
      <c r="BH42" s="137">
        <f>IF(OR(BF42&lt;&gt;0,BG42&lt;&gt;0),_xll.xSPRDOPT($BW42,$BV42,$CG42,0,$BY42,$BX42,$BZ42,$AJ42,1,12)*$CB42,0)</f>
        <v>1.3508501530164299E-6</v>
      </c>
      <c r="BI42" s="137">
        <f>_xll.xSPRDOPT($BW42,$BV42,$CG42,2*LN(1+CA42/2),$BY42,$BX42,$BZ42,$AJ42,1,9)</f>
        <v>1.8777562904564744E-2</v>
      </c>
      <c r="BJ42" s="137">
        <f>_xll.xSPRDOPT($BW42,$BV42,$CG42,0,$BY42,$BX42,$BZ42,$AJ42,1,6)*$CB42</f>
        <v>3.6414721041006112E-7</v>
      </c>
      <c r="BK42" s="137">
        <f>_xll.xSPRDOPT($BW42,$BV42,$CG42,0,$BY42,$BX42,$BZ42,$AJ42,1,5)*$CB42</f>
        <v>-4.3441123638322208E-7</v>
      </c>
      <c r="BL42" s="137">
        <f>_xll.xSPRDOPT(BW42,BV42,CG42,0,BY42,BX42,BZ42,AJ42,1,2)*CB42</f>
        <v>-0.94431279842246174</v>
      </c>
      <c r="BM42" s="137">
        <f>_xll.xSPRDOPT(BW42,BV42,CG42,0,BY42,BX42,BZ42,AJ42,1,1)*CB42</f>
        <v>0.94431279842074412</v>
      </c>
      <c r="BN42" s="137">
        <f>IF(AH42&lt;&gt;0,_xll.xSPRDOPT($BW42,$BV42,$CG42,2*LN(1+CA42/2),$BY42,$BX42,$BZ42,$AJ42,1,8)+(AJ42/365.25)*CH42/AH42,0)</f>
        <v>-0.38519999860141396</v>
      </c>
      <c r="BO42" s="137">
        <f>_xll.xSPRDOPT($BW42,$BV42,$CG42,0,$BY42,$BX42,$BZ42,$AJ42,1,0)</f>
        <v>0.60809877835399484</v>
      </c>
      <c r="BP42" s="137"/>
      <c r="BQ42" s="137"/>
      <c r="BR42" s="137"/>
      <c r="BS42" s="137"/>
      <c r="BV42" s="262">
        <v>3.3455012853470434</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3.7400000000000003E-2</v>
      </c>
      <c r="CH42" s="258">
        <v>10.632016689670465</v>
      </c>
      <c r="CI42" s="258">
        <v>3.2410000000000001</v>
      </c>
      <c r="CJ42" s="258"/>
      <c r="CK42" s="258"/>
      <c r="CL42" s="258"/>
      <c r="CM42" s="258"/>
    </row>
    <row r="43" spans="1:91" x14ac:dyDescent="0.25">
      <c r="A43" s="723"/>
      <c r="B43" s="723"/>
      <c r="D43" s="31">
        <f t="shared" si="52"/>
        <v>37909</v>
      </c>
      <c r="F43" s="28">
        <f t="shared" si="53"/>
        <v>732</v>
      </c>
      <c r="G43" s="28">
        <f t="shared" si="13"/>
        <v>688.40747042425039</v>
      </c>
      <c r="H43" s="52">
        <f t="shared" si="54"/>
        <v>3.3722365038560405</v>
      </c>
      <c r="I43" s="52">
        <f t="shared" si="55"/>
        <v>3.7170000000000001</v>
      </c>
      <c r="K43" s="52">
        <f t="shared" si="56"/>
        <v>8.9608348815815972</v>
      </c>
      <c r="L43" s="135">
        <f t="shared" si="57"/>
        <v>3.4356138787217105E-6</v>
      </c>
      <c r="N43" s="131">
        <f t="shared" si="48"/>
        <v>0.3804492507364664</v>
      </c>
      <c r="O43" s="131">
        <f t="shared" si="49"/>
        <v>0.3804492507364664</v>
      </c>
      <c r="P43" s="55">
        <f t="shared" si="50"/>
        <v>1</v>
      </c>
      <c r="Q43" s="135">
        <f>_xll.xSPRDOPT(I43,H43,AQ43,0,O43,N43,P43,D43-$G$5,1,0)*AH43*AU43</f>
        <v>8.960838317195476</v>
      </c>
      <c r="R43" s="135"/>
      <c r="S43" s="181">
        <f>_xll.xSPRDOPT(I43,H43,AQ43,AT43,O43,N43,P43,D43-$G$5,1,2)*AF43*(F43/(1-AR43))*AH43</f>
        <v>-21932.680709699744</v>
      </c>
      <c r="T43" s="181">
        <f>_xll.xSPRDOPT(I43,H43,AQ43,AT43,O43,N43,P43,D43-$G$5,1,1)*AF43*F43*AH43</f>
        <v>21329.531990368749</v>
      </c>
      <c r="U43" s="135"/>
      <c r="V43" s="146">
        <f t="shared" si="58"/>
        <v>10.941446766607728</v>
      </c>
      <c r="W43" s="146"/>
      <c r="X43" s="338">
        <f t="shared" si="59"/>
        <v>0</v>
      </c>
      <c r="Y43" s="338">
        <f t="shared" si="20"/>
        <v>0</v>
      </c>
      <c r="Z43" s="338">
        <f t="shared" si="21"/>
        <v>1.8108712005664445</v>
      </c>
      <c r="AA43" s="338">
        <f t="shared" si="22"/>
        <v>2.2671663779671329E-6</v>
      </c>
      <c r="AB43" s="338">
        <f t="shared" si="60"/>
        <v>0</v>
      </c>
      <c r="AC43" s="338">
        <f t="shared" si="61"/>
        <v>1.8262337654382252</v>
      </c>
      <c r="AF43" s="138">
        <f t="shared" si="62"/>
        <v>1</v>
      </c>
      <c r="AG43" s="138">
        <f t="shared" si="63"/>
        <v>10</v>
      </c>
      <c r="AH43" s="138">
        <f t="shared" si="27"/>
        <v>31</v>
      </c>
      <c r="AI43" s="138">
        <f t="shared" si="64"/>
        <v>653</v>
      </c>
      <c r="AJ43" s="138">
        <f t="shared" si="65"/>
        <v>670</v>
      </c>
      <c r="AL43" s="136">
        <f t="shared" si="29"/>
        <v>3.2669999999999999</v>
      </c>
      <c r="AM43" s="258">
        <f t="shared" si="30"/>
        <v>7.4999999999999997E-3</v>
      </c>
      <c r="AN43" s="258">
        <f t="shared" si="31"/>
        <v>5.0000000000000001E-3</v>
      </c>
      <c r="AO43" s="258">
        <f t="shared" si="32"/>
        <v>0.45</v>
      </c>
      <c r="AP43" s="258">
        <f t="shared" si="33"/>
        <v>0</v>
      </c>
      <c r="AQ43" s="136">
        <f t="shared" si="66"/>
        <v>3.7400000000000003E-2</v>
      </c>
      <c r="AR43" s="137">
        <f t="shared" si="35"/>
        <v>2.75E-2</v>
      </c>
      <c r="AS43" s="136">
        <f t="shared" si="67"/>
        <v>3.2794999999999996</v>
      </c>
      <c r="AT43" s="137">
        <f t="shared" si="68"/>
        <v>3.3906701822071103E-2</v>
      </c>
      <c r="AU43" s="137">
        <f t="shared" si="38"/>
        <v>0.94044736396755513</v>
      </c>
      <c r="AV43" s="394">
        <f t="shared" si="69"/>
        <v>612.23123394287836</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-3.3623731819796072E-7</v>
      </c>
      <c r="BG43" s="137">
        <f>_xll.xSPRDOPT($BW43,$BV43,$CG43,0,$BY43,$BX43,$BZ43,$AJ43,1,3)*$CB43</f>
        <v>-7.8455374246190834E-7</v>
      </c>
      <c r="BH43" s="137">
        <f>IF(OR(BF43&lt;&gt;0,BG43&lt;&gt;0),_xll.xSPRDOPT($BW43,$BV43,$CG43,0,$BY43,$BX43,$BZ43,$AJ43,1,12)*$CB43,0)</f>
        <v>5.0435597729694102E-7</v>
      </c>
      <c r="BI43" s="137">
        <f>_xll.xSPRDOPT($BW43,$BV43,$CG43,2*LN(1+CA43/2),$BY43,$BX43,$BZ43,$AJ43,1,9)</f>
        <v>9.7159161232577389E-3</v>
      </c>
      <c r="BJ43" s="137">
        <f>_xll.xSPRDOPT($BW43,$BV43,$CG43,0,$BY43,$BX43,$BZ43,$AJ43,1,6)*$CB43</f>
        <v>-2.7806720295509589E-5</v>
      </c>
      <c r="BK43" s="137">
        <f>_xll.xSPRDOPT($BW43,$BV43,$CG43,0,$BY43,$BX43,$BZ43,$AJ43,1,5)*$CB43</f>
        <v>3.0649545435890651E-5</v>
      </c>
      <c r="BL43" s="137">
        <f>_xll.xSPRDOPT(BW43,BV43,CG43,0,BY43,BX43,BZ43,AJ43,1,2)*CB43</f>
        <v>-0.94018652237579581</v>
      </c>
      <c r="BM43" s="137">
        <f>_xll.xSPRDOPT(BW43,BV43,CG43,0,BY43,BX43,BZ43,AJ43,1,1)*CB43</f>
        <v>0.94018652238691203</v>
      </c>
      <c r="BN43" s="137">
        <f>IF(AH43&lt;&gt;0,_xll.xSPRDOPT($BW43,$BV43,$CG43,2*LN(1+CA43/2),$BY43,$BX43,$BZ43,$AJ43,1,8)+(AJ43/365.25)*CH43/AH43,0)</f>
        <v>0.11716598853803395</v>
      </c>
      <c r="BO43" s="137">
        <f>_xll.xSPRDOPT($BW43,$BV43,$CG43,0,$BY43,$BX43,$BZ43,$AJ43,1,0)</f>
        <v>0.3073636164668006</v>
      </c>
      <c r="BP43" s="137"/>
      <c r="BQ43" s="137"/>
      <c r="BR43" s="137"/>
      <c r="BS43" s="137"/>
      <c r="BV43" s="262">
        <v>3.3722365038560405</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52"/>
        <v>37940</v>
      </c>
      <c r="F44" s="28">
        <f t="shared" si="53"/>
        <v>732</v>
      </c>
      <c r="G44" s="28">
        <f t="shared" si="13"/>
        <v>685.24817347983969</v>
      </c>
      <c r="H44" s="52">
        <f t="shared" si="54"/>
        <v>3.5110539845758351</v>
      </c>
      <c r="I44" s="52">
        <f t="shared" si="55"/>
        <v>3.8520000000000003</v>
      </c>
      <c r="K44" s="52">
        <f t="shared" si="56"/>
        <v>8.5247685506759225</v>
      </c>
      <c r="L44" s="135">
        <f t="shared" si="57"/>
        <v>6.974411157045779E-6</v>
      </c>
      <c r="N44" s="131">
        <f t="shared" si="48"/>
        <v>0.38567537328980672</v>
      </c>
      <c r="O44" s="131">
        <f t="shared" si="49"/>
        <v>0.38567537328980672</v>
      </c>
      <c r="P44" s="55">
        <f t="shared" si="50"/>
        <v>0.99999999999999989</v>
      </c>
      <c r="Q44" s="135">
        <f>_xll.xSPRDOPT(I44,H44,AQ44,0,O44,N44,P44,D44-$G$5,1,0)*AH44*AU44</f>
        <v>8.5247755250870796</v>
      </c>
      <c r="R44" s="135"/>
      <c r="S44" s="181">
        <f>_xll.xSPRDOPT(I44,H44,AQ44,AT44,O44,N44,P44,D44-$G$5,1,2)*AF44*(F44/(1-AR44))*AH44</f>
        <v>-21126.569145600795</v>
      </c>
      <c r="T44" s="181">
        <f>_xll.xSPRDOPT(I44,H44,AQ44,AT44,O44,N44,P44,D44-$G$5,1,1)*AF44*F44*AH44</f>
        <v>20545.588494196636</v>
      </c>
      <c r="U44" s="135"/>
      <c r="V44" s="146">
        <f t="shared" si="58"/>
        <v>10.539903258482946</v>
      </c>
      <c r="W44" s="146"/>
      <c r="X44" s="338">
        <f t="shared" si="59"/>
        <v>0</v>
      </c>
      <c r="Y44" s="338">
        <f t="shared" si="20"/>
        <v>0</v>
      </c>
      <c r="Z44" s="338">
        <f t="shared" si="21"/>
        <v>1.769462967152222</v>
      </c>
      <c r="AA44" s="338">
        <f t="shared" si="22"/>
        <v>1.1499269549027785E-5</v>
      </c>
      <c r="AB44" s="338">
        <f t="shared" si="60"/>
        <v>0</v>
      </c>
      <c r="AC44" s="338">
        <f t="shared" si="61"/>
        <v>1.7849747602929606</v>
      </c>
      <c r="AF44" s="138">
        <f t="shared" si="62"/>
        <v>1</v>
      </c>
      <c r="AG44" s="138">
        <f t="shared" si="63"/>
        <v>11</v>
      </c>
      <c r="AH44" s="138">
        <f t="shared" si="27"/>
        <v>30</v>
      </c>
      <c r="AI44" s="138">
        <f t="shared" si="64"/>
        <v>684</v>
      </c>
      <c r="AJ44" s="138">
        <f t="shared" si="65"/>
        <v>701</v>
      </c>
      <c r="AL44" s="136">
        <f t="shared" si="29"/>
        <v>3.4020000000000001</v>
      </c>
      <c r="AM44" s="258">
        <f t="shared" si="30"/>
        <v>5.0000000000000001E-3</v>
      </c>
      <c r="AN44" s="258">
        <f t="shared" si="31"/>
        <v>7.4999999999999997E-3</v>
      </c>
      <c r="AO44" s="258">
        <f t="shared" si="32"/>
        <v>0.45</v>
      </c>
      <c r="AP44" s="258">
        <f t="shared" si="33"/>
        <v>0</v>
      </c>
      <c r="AQ44" s="136">
        <f t="shared" si="66"/>
        <v>3.7400000000000003E-2</v>
      </c>
      <c r="AR44" s="137">
        <f t="shared" si="35"/>
        <v>2.75E-2</v>
      </c>
      <c r="AS44" s="136">
        <f t="shared" si="67"/>
        <v>3.4144999999999999</v>
      </c>
      <c r="AT44" s="137">
        <f t="shared" si="68"/>
        <v>3.4836153967131397E-2</v>
      </c>
      <c r="AU44" s="137">
        <f t="shared" si="38"/>
        <v>0.9361313845353002</v>
      </c>
      <c r="AV44" s="394">
        <f t="shared" si="69"/>
        <v>589.76277225723913</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-2.2312781197251798E-7</v>
      </c>
      <c r="BG44" s="137">
        <f>_xll.xSPRDOPT($BW44,$BV44,$CG44,0,$BY44,$BX44,$BZ44,$AJ44,1,3)*$CB44</f>
        <v>6.6938343591755399E-7</v>
      </c>
      <c r="BH44" s="137">
        <f>IF(OR(BF44&lt;&gt;0,BG44&lt;&gt;0),_xll.xSPRDOPT($BW44,$BV44,$CG44,0,$BY44,$BX44,$BZ44,$AJ44,1,12)*$CB44,0)</f>
        <v>-1.673458589793885E-7</v>
      </c>
      <c r="BI44" s="137">
        <f>_xll.xSPRDOPT($BW44,$BV44,$CG44,2*LN(1+CA44/2),$BY44,$BX44,$BZ44,$AJ44,1,9)</f>
        <v>9.8102056580502296E-3</v>
      </c>
      <c r="BJ44" s="137">
        <f>_xll.xSPRDOPT($BW44,$BV44,$CG44,0,$BY44,$BX44,$BZ44,$AJ44,1,6)*$CB44</f>
        <v>-8.216127220512155E-5</v>
      </c>
      <c r="BK44" s="137">
        <f>_xll.xSPRDOPT($BW44,$BV44,$CG44,0,$BY44,$BX44,$BZ44,$AJ44,1,5)*$CB44</f>
        <v>9.0139667758482175E-5</v>
      </c>
      <c r="BL44" s="137">
        <f>_xll.xSPRDOPT(BW44,BV44,CG44,0,BY44,BX44,BZ44,AJ44,1,2)*CB44</f>
        <v>-0.9358623462463096</v>
      </c>
      <c r="BM44" s="137">
        <f>_xll.xSPRDOPT(BW44,BV44,CG44,0,BY44,BX44,BZ44,AJ44,1,1)*CB44</f>
        <v>0.93586234625567233</v>
      </c>
      <c r="BN44" s="137">
        <f>IF(AH44&lt;&gt;0,_xll.xSPRDOPT($BW44,$BV44,$CG44,2*LN(1+CA44/2),$BY44,$BX44,$BZ44,$AJ44,1,8)+(AJ44/365.25)*CH44/AH44,0)</f>
        <v>0.12888010615863887</v>
      </c>
      <c r="BO44" s="137">
        <f>_xll.xSPRDOPT($BW44,$BV44,$CG44,0,$BY44,$BX44,$BZ44,$AJ44,1,0)</f>
        <v>0.30354627026477365</v>
      </c>
      <c r="BP44" s="137"/>
      <c r="BQ44" s="137"/>
      <c r="BR44" s="137"/>
      <c r="BS44" s="137"/>
      <c r="BV44" s="262">
        <v>3.5110539845758351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52"/>
        <v>37970</v>
      </c>
      <c r="F45" s="28">
        <f t="shared" si="53"/>
        <v>732</v>
      </c>
      <c r="G45" s="28">
        <f t="shared" si="13"/>
        <v>682.10439317297141</v>
      </c>
      <c r="H45" s="52">
        <f t="shared" si="54"/>
        <v>3.6498714652956292</v>
      </c>
      <c r="I45" s="52">
        <f t="shared" si="55"/>
        <v>3.9369999999999998</v>
      </c>
      <c r="K45" s="52">
        <f t="shared" si="56"/>
        <v>7.2138918706250026</v>
      </c>
      <c r="L45" s="135">
        <f t="shared" si="57"/>
        <v>5.1199714430794074E-5</v>
      </c>
      <c r="N45" s="131">
        <f t="shared" si="48"/>
        <v>0.39564204160538236</v>
      </c>
      <c r="O45" s="131">
        <f t="shared" si="49"/>
        <v>0.39564204160538236</v>
      </c>
      <c r="P45" s="55">
        <f t="shared" si="50"/>
        <v>1.0000000000000002</v>
      </c>
      <c r="Q45" s="135">
        <f>_xll.xSPRDOPT(I45,H45,AQ45,0,O45,N45,P45,D45-$G$5,1,0)*AH45*AU45</f>
        <v>7.2139430703394334</v>
      </c>
      <c r="R45" s="135"/>
      <c r="S45" s="181">
        <f>_xll.xSPRDOPT(I45,H45,AQ45,AT45,O45,N45,P45,D45-$G$5,1,2)*AF45*(F45/(1-AR45))*AH45</f>
        <v>-21728.864671869895</v>
      </c>
      <c r="T45" s="181">
        <f>_xll.xSPRDOPT(I45,H45,AQ45,AT45,O45,N45,P45,D45-$G$5,1,1)*AF45*F45*AH45</f>
        <v>21131.320893579217</v>
      </c>
      <c r="U45" s="135"/>
      <c r="V45" s="146">
        <f t="shared" si="58"/>
        <v>10.841266586738119</v>
      </c>
      <c r="W45" s="146"/>
      <c r="X45" s="338">
        <f t="shared" si="59"/>
        <v>0</v>
      </c>
      <c r="Y45" s="338">
        <f t="shared" si="20"/>
        <v>0</v>
      </c>
      <c r="Z45" s="338">
        <f t="shared" si="21"/>
        <v>1.5349426613025663</v>
      </c>
      <c r="AA45" s="338">
        <f t="shared" si="22"/>
        <v>1.0906789730531788E-4</v>
      </c>
      <c r="AB45" s="338">
        <f t="shared" si="60"/>
        <v>0</v>
      </c>
      <c r="AC45" s="338">
        <f t="shared" si="61"/>
        <v>1.5494940338734071</v>
      </c>
      <c r="AF45" s="138">
        <f t="shared" si="62"/>
        <v>1</v>
      </c>
      <c r="AG45" s="138">
        <f t="shared" si="63"/>
        <v>12</v>
      </c>
      <c r="AH45" s="138">
        <f t="shared" si="27"/>
        <v>31</v>
      </c>
      <c r="AI45" s="138">
        <f t="shared" si="64"/>
        <v>714</v>
      </c>
      <c r="AJ45" s="138">
        <f t="shared" si="65"/>
        <v>731</v>
      </c>
      <c r="AL45" s="136">
        <f t="shared" si="29"/>
        <v>3.5369999999999999</v>
      </c>
      <c r="AM45" s="258">
        <f t="shared" si="30"/>
        <v>5.0000000000000001E-3</v>
      </c>
      <c r="AN45" s="258">
        <f t="shared" si="31"/>
        <v>7.4999999999999997E-3</v>
      </c>
      <c r="AO45" s="258">
        <f t="shared" si="32"/>
        <v>0.4</v>
      </c>
      <c r="AP45" s="258">
        <f t="shared" si="33"/>
        <v>0</v>
      </c>
      <c r="AQ45" s="136">
        <f t="shared" si="66"/>
        <v>3.7400000000000003E-2</v>
      </c>
      <c r="AR45" s="137">
        <f t="shared" si="35"/>
        <v>2.75E-2</v>
      </c>
      <c r="AS45" s="136">
        <f t="shared" si="67"/>
        <v>3.5494999999999997</v>
      </c>
      <c r="AT45" s="137">
        <f t="shared" si="68"/>
        <v>3.5735624061610197E-2</v>
      </c>
      <c r="AU45" s="137">
        <f t="shared" si="38"/>
        <v>0.93183660269531621</v>
      </c>
      <c r="AV45" s="394">
        <f t="shared" si="69"/>
        <v>606.62562835465087</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-1.4436664722409268E-6</v>
      </c>
      <c r="BG45" s="137">
        <f>_xll.xSPRDOPT($BW45,$BV45,$CG45,0,$BY45,$BX45,$BZ45,$AJ45,1,3)*$CB45</f>
        <v>-6.1078196902500755E-7</v>
      </c>
      <c r="BH45" s="137">
        <f>IF(OR(BF45&lt;&gt;0,BG45&lt;&gt;0),_xll.xSPRDOPT($BW45,$BV45,$CG45,0,$BY45,$BX45,$BZ45,$AJ45,1,12)*$CB45,0)</f>
        <v>-5.5525633547727955E-8</v>
      </c>
      <c r="BI45" s="137">
        <f>_xll.xSPRDOPT($BW45,$BV45,$CG45,2*LN(1+CA45/2),$BY45,$BX45,$BZ45,$AJ45,1,9)</f>
        <v>8.2354692849280556E-3</v>
      </c>
      <c r="BJ45" s="137">
        <f>_xll.xSPRDOPT($BW45,$BV45,$CG45,0,$BY45,$BX45,$BZ45,$AJ45,1,6)*$CB45</f>
        <v>-6.0118768326013379E-4</v>
      </c>
      <c r="BK45" s="137">
        <f>_xll.xSPRDOPT($BW45,$BV45,$CG45,0,$BY45,$BX45,$BZ45,$AJ45,1,5)*$CB45</f>
        <v>6.484819846441284E-4</v>
      </c>
      <c r="BL45" s="137">
        <f>_xll.xSPRDOPT(BW45,BV45,CG45,0,BY45,BX45,BZ45,AJ45,1,2)*CB45</f>
        <v>-0.93153823446760675</v>
      </c>
      <c r="BM45" s="137">
        <f>_xll.xSPRDOPT(BW45,BV45,CG45,0,BY45,BX45,BZ45,AJ45,1,1)*CB45</f>
        <v>0.93153823447735018</v>
      </c>
      <c r="BN45" s="137">
        <f>IF(AH45&lt;&gt;0,_xll.xSPRDOPT($BW45,$BV45,$CG45,2*LN(1+CA45/2),$BY45,$BX45,$BZ45,$AJ45,1,8)+(AJ45/365.25)*CH45/AH45,0)</f>
        <v>0.23411286393070485</v>
      </c>
      <c r="BO45" s="137">
        <f>_xll.xSPRDOPT($BW45,$BV45,$CG45,0,$BY45,$BX45,$BZ45,$AJ45,1,0)</f>
        <v>0.24973034329477226</v>
      </c>
      <c r="BP45" s="137"/>
      <c r="BQ45" s="137"/>
      <c r="BR45" s="137"/>
      <c r="BS45" s="137"/>
      <c r="BV45" s="262">
        <v>3.6498714652956292</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52"/>
        <v>38001</v>
      </c>
      <c r="F46" s="28">
        <f t="shared" si="53"/>
        <v>732</v>
      </c>
      <c r="G46" s="28">
        <f t="shared" si="13"/>
        <v>678.81742459858719</v>
      </c>
      <c r="H46" s="52">
        <f t="shared" si="54"/>
        <v>3.7115681233933158</v>
      </c>
      <c r="I46" s="52">
        <f t="shared" si="55"/>
        <v>3.9470000000000001</v>
      </c>
      <c r="K46" s="52">
        <f t="shared" si="56"/>
        <v>5.8079583375874853</v>
      </c>
      <c r="L46" s="135">
        <f t="shared" si="57"/>
        <v>1.0214610869052621E-4</v>
      </c>
      <c r="N46" s="131">
        <f t="shared" si="48"/>
        <v>0.39305358955281788</v>
      </c>
      <c r="O46" s="131">
        <f t="shared" si="49"/>
        <v>0.39305358955281788</v>
      </c>
      <c r="P46" s="55">
        <f t="shared" si="50"/>
        <v>1</v>
      </c>
      <c r="Q46" s="135">
        <f>_xll.xSPRDOPT(I46,H46,AQ46,0,O46,N46,P46,D46-$G$5,1,0)*AH46*AU46</f>
        <v>5.8080604836961758</v>
      </c>
      <c r="R46" s="135"/>
      <c r="S46" s="181">
        <f>_xll.xSPRDOPT(I46,H46,AQ46,AT46,O46,N46,P46,D46-$G$5,1,2)*AF46*(F46/(1-AR46))*AH46</f>
        <v>-21621.8395273641</v>
      </c>
      <c r="T46" s="181">
        <f>_xll.xSPRDOPT(I46,H46,AQ46,AT46,O46,N46,P46,D46-$G$5,1,1)*AF46*F46*AH46</f>
        <v>21027.238939907544</v>
      </c>
      <c r="U46" s="135"/>
      <c r="V46" s="146">
        <f t="shared" si="58"/>
        <v>10.789023993179432</v>
      </c>
      <c r="W46" s="146"/>
      <c r="X46" s="338">
        <f t="shared" si="59"/>
        <v>0</v>
      </c>
      <c r="Y46" s="338">
        <f t="shared" si="20"/>
        <v>0</v>
      </c>
      <c r="Z46" s="338">
        <f t="shared" si="21"/>
        <v>1.2654382154622201</v>
      </c>
      <c r="AA46" s="338">
        <f t="shared" si="22"/>
        <v>1.9417117272406688E-4</v>
      </c>
      <c r="AB46" s="338">
        <f t="shared" si="60"/>
        <v>0</v>
      </c>
      <c r="AC46" s="338">
        <f t="shared" si="61"/>
        <v>1.278714877324217</v>
      </c>
      <c r="AF46" s="138">
        <f t="shared" si="62"/>
        <v>1</v>
      </c>
      <c r="AG46" s="138">
        <f t="shared" si="63"/>
        <v>1</v>
      </c>
      <c r="AH46" s="138">
        <f t="shared" si="27"/>
        <v>31</v>
      </c>
      <c r="AI46" s="138">
        <f t="shared" si="64"/>
        <v>745</v>
      </c>
      <c r="AJ46" s="138">
        <f t="shared" si="65"/>
        <v>762</v>
      </c>
      <c r="AL46" s="136">
        <f t="shared" si="29"/>
        <v>3.597</v>
      </c>
      <c r="AM46" s="258">
        <f t="shared" si="30"/>
        <v>5.0000000000000001E-3</v>
      </c>
      <c r="AN46" s="258">
        <f t="shared" si="31"/>
        <v>7.4999999999999997E-3</v>
      </c>
      <c r="AO46" s="258">
        <f t="shared" si="32"/>
        <v>0.35</v>
      </c>
      <c r="AP46" s="258">
        <f t="shared" si="33"/>
        <v>0</v>
      </c>
      <c r="AQ46" s="136">
        <f t="shared" si="66"/>
        <v>3.3399999999999999E-2</v>
      </c>
      <c r="AR46" s="137">
        <f t="shared" si="35"/>
        <v>2.75E-2</v>
      </c>
      <c r="AS46" s="136">
        <f t="shared" si="67"/>
        <v>3.6094999999999997</v>
      </c>
      <c r="AT46" s="137">
        <f t="shared" si="68"/>
        <v>3.6629399588957501E-2</v>
      </c>
      <c r="AU46" s="137">
        <f t="shared" si="38"/>
        <v>0.9273462084680153</v>
      </c>
      <c r="AV46" s="394">
        <f t="shared" si="69"/>
        <v>603.70238171267795</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5.5257664605555325E-8</v>
      </c>
      <c r="BG46" s="137">
        <f>_xll.xSPRDOPT($BW46,$BV46,$CG46,0,$BY46,$BX46,$BZ46,$AJ46,1,3)*$CB46</f>
        <v>-6.0783431066110855E-7</v>
      </c>
      <c r="BH46" s="137">
        <f>IF(OR(BF46&lt;&gt;0,BG46&lt;&gt;0),_xll.xSPRDOPT($BW46,$BV46,$CG46,0,$BY46,$BX46,$BZ46,$AJ46,1,12)*$CB46,0)</f>
        <v>4.1443248454166491E-7</v>
      </c>
      <c r="BI46" s="137">
        <f>_xll.xSPRDOPT($BW46,$BV46,$CG46,2*LN(1+CA46/2),$BY46,$BX46,$BZ46,$AJ46,1,9)</f>
        <v>6.7894898084137718E-3</v>
      </c>
      <c r="BJ46" s="137">
        <f>_xll.xSPRDOPT($BW46,$BV46,$CG46,0,$BY46,$BX46,$BZ46,$AJ46,1,6)*$CB46</f>
        <v>-1.5340218249177151E-3</v>
      </c>
      <c r="BK46" s="137">
        <f>_xll.xSPRDOPT($BW46,$BV46,$CG46,0,$BY46,$BX46,$BZ46,$AJ46,1,5)*$CB46</f>
        <v>1.631327763657696E-3</v>
      </c>
      <c r="BL46" s="137">
        <f>_xll.xSPRDOPT(BW46,BV46,CG46,0,BY46,BX46,BZ46,AJ46,1,2)*CB46</f>
        <v>-0.9269988586463267</v>
      </c>
      <c r="BM46" s="137">
        <f>_xll.xSPRDOPT(BW46,BV46,CG46,0,BY46,BX46,BZ46,AJ46,1,1)*CB46</f>
        <v>0.92699885862524756</v>
      </c>
      <c r="BN46" s="137">
        <f>IF(AH46&lt;&gt;0,_xll.xSPRDOPT($BW46,$BV46,$CG46,2*LN(1+CA46/2),$BY46,$BX46,$BZ46,$AJ46,1,8)+(AJ46/365.25)*CH46/AH46,0)</f>
        <v>0.33510951048342197</v>
      </c>
      <c r="BO46" s="137">
        <f>_xll.xSPRDOPT($BW46,$BV46,$CG46,0,$BY46,$BX46,$BZ46,$AJ46,1,0)</f>
        <v>0.20203550199203099</v>
      </c>
      <c r="BP46" s="137"/>
      <c r="BQ46" s="137"/>
      <c r="BR46" s="137"/>
      <c r="BS46" s="137"/>
      <c r="BV46" s="262">
        <v>3.7115681233933158</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3.3399999999999999E-2</v>
      </c>
      <c r="CH46" s="258">
        <v>10.78580788029198</v>
      </c>
      <c r="CI46" s="258">
        <v>3.597</v>
      </c>
      <c r="CJ46" s="258"/>
      <c r="CK46" s="258"/>
      <c r="CL46" s="258"/>
      <c r="CM46" s="258"/>
    </row>
    <row r="47" spans="1:91" x14ac:dyDescent="0.25">
      <c r="A47" s="723"/>
      <c r="B47" s="723"/>
      <c r="D47" s="31">
        <f t="shared" si="52"/>
        <v>38032</v>
      </c>
      <c r="F47" s="28">
        <f t="shared" si="53"/>
        <v>732</v>
      </c>
      <c r="G47" s="28">
        <f t="shared" si="13"/>
        <v>675.50077101568513</v>
      </c>
      <c r="H47" s="52">
        <f t="shared" si="54"/>
        <v>3.6241645244215936</v>
      </c>
      <c r="I47" s="52">
        <f t="shared" si="55"/>
        <v>3.8620000000000001</v>
      </c>
      <c r="K47" s="52">
        <f t="shared" si="56"/>
        <v>5.4710291255587196</v>
      </c>
      <c r="L47" s="135">
        <f t="shared" si="57"/>
        <v>1.0598218139534765E-4</v>
      </c>
      <c r="N47" s="131">
        <f t="shared" si="48"/>
        <v>0.39080901832551673</v>
      </c>
      <c r="O47" s="131">
        <f t="shared" si="49"/>
        <v>0.39080901832551673</v>
      </c>
      <c r="P47" s="55">
        <f t="shared" si="50"/>
        <v>1</v>
      </c>
      <c r="Q47" s="135">
        <f>_xll.xSPRDOPT(I47,H47,AQ47,0,O47,N47,P47,D47-$G$5,1,0)*AH47*AU47</f>
        <v>5.4711351077401149</v>
      </c>
      <c r="R47" s="135"/>
      <c r="S47" s="181">
        <f>_xll.xSPRDOPT(I47,H47,AQ47,AT47,O47,N47,P47,D47-$G$5,1,2)*AF47*(F47/(1-AR47))*AH47</f>
        <v>-20126.861316170296</v>
      </c>
      <c r="T47" s="181">
        <f>_xll.xSPRDOPT(I47,H47,AQ47,AT47,O47,N47,P47,D47-$G$5,1,1)*AF47*F47*AH47</f>
        <v>19573.372630052843</v>
      </c>
      <c r="U47" s="135"/>
      <c r="V47" s="146">
        <f t="shared" si="58"/>
        <v>10.043644455605754</v>
      </c>
      <c r="W47" s="146"/>
      <c r="X47" s="338">
        <f t="shared" si="59"/>
        <v>0</v>
      </c>
      <c r="Y47" s="338">
        <f t="shared" si="20"/>
        <v>0</v>
      </c>
      <c r="Z47" s="338">
        <f t="shared" si="21"/>
        <v>1.2197407487466352</v>
      </c>
      <c r="AA47" s="338">
        <f t="shared" si="22"/>
        <v>1.5729029399526561E-4</v>
      </c>
      <c r="AB47" s="338">
        <f t="shared" si="60"/>
        <v>0</v>
      </c>
      <c r="AC47" s="338">
        <f t="shared" si="61"/>
        <v>1.2326680099917524</v>
      </c>
      <c r="AF47" s="138">
        <f t="shared" si="62"/>
        <v>1</v>
      </c>
      <c r="AG47" s="138">
        <f t="shared" si="63"/>
        <v>2</v>
      </c>
      <c r="AH47" s="138">
        <f t="shared" si="27"/>
        <v>29</v>
      </c>
      <c r="AI47" s="138">
        <f t="shared" si="64"/>
        <v>776</v>
      </c>
      <c r="AJ47" s="138">
        <f t="shared" si="65"/>
        <v>793</v>
      </c>
      <c r="AL47" s="136">
        <f t="shared" si="29"/>
        <v>3.512</v>
      </c>
      <c r="AM47" s="258">
        <f t="shared" si="30"/>
        <v>5.0000000000000001E-3</v>
      </c>
      <c r="AN47" s="258">
        <f t="shared" si="31"/>
        <v>7.4999999999999997E-3</v>
      </c>
      <c r="AO47" s="258">
        <f t="shared" si="32"/>
        <v>0.35</v>
      </c>
      <c r="AP47" s="258">
        <f t="shared" si="33"/>
        <v>0</v>
      </c>
      <c r="AQ47" s="136">
        <f t="shared" si="66"/>
        <v>3.3399999999999999E-2</v>
      </c>
      <c r="AR47" s="137">
        <f t="shared" si="35"/>
        <v>2.75E-2</v>
      </c>
      <c r="AS47" s="136">
        <f t="shared" si="67"/>
        <v>3.5244999999999997</v>
      </c>
      <c r="AT47" s="137">
        <f t="shared" si="68"/>
        <v>3.74851197051385E-2</v>
      </c>
      <c r="AU47" s="137">
        <f t="shared" si="38"/>
        <v>0.92281526095038946</v>
      </c>
      <c r="AV47" s="394">
        <f t="shared" si="69"/>
        <v>561.99449391878716</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-7.148349018642402E-7</v>
      </c>
      <c r="BG47" s="137">
        <f>_xll.xSPRDOPT($BW47,$BV47,$CG47,0,$BY47,$BX47,$BZ47,$AJ47,1,3)*$CB47</f>
        <v>7.698222020076433E-7</v>
      </c>
      <c r="BH47" s="137">
        <f>IF(OR(BF47&lt;&gt;0,BG47&lt;&gt;0),_xll.xSPRDOPT($BW47,$BV47,$CG47,0,$BY47,$BX47,$BZ47,$AJ47,1,12)*$CB47,0)</f>
        <v>-3.574174509321201E-7</v>
      </c>
      <c r="BI47" s="137">
        <f>_xll.xSPRDOPT($BW47,$BV47,$CG47,2*LN(1+CA47/2),$BY47,$BX47,$BZ47,$AJ47,1,9)</f>
        <v>6.9956395402253086E-3</v>
      </c>
      <c r="BJ47" s="137">
        <f>_xll.xSPRDOPT($BW47,$BV47,$CG47,0,$BY47,$BX47,$BZ47,$AJ47,1,6)*$CB47</f>
        <v>-1.474261664710957E-3</v>
      </c>
      <c r="BK47" s="137">
        <f>_xll.xSPRDOPT($BW47,$BV47,$CG47,0,$BY47,$BX47,$BZ47,$AJ47,1,5)*$CB47</f>
        <v>1.5710099538083873E-3</v>
      </c>
      <c r="BL47" s="137">
        <f>_xll.xSPRDOPT(BW47,BV47,CG47,0,BY47,BX47,BZ47,AJ47,1,2)*CB47</f>
        <v>-0.92246552496771994</v>
      </c>
      <c r="BM47" s="137">
        <f>_xll.xSPRDOPT(BW47,BV47,CG47,0,BY47,BX47,BZ47,AJ47,1,1)*CB47</f>
        <v>0.92246552497065659</v>
      </c>
      <c r="BN47" s="137">
        <f>IF(AH47&lt;&gt;0,_xll.xSPRDOPT($BW47,$BV47,$CG47,2*LN(1+CA47/2),$BY47,$BX47,$BZ47,$AJ47,1,8)+(AJ47/365.25)*CH47/AH47,0)</f>
        <v>0.34222120337362205</v>
      </c>
      <c r="BO47" s="137">
        <f>_xll.xSPRDOPT($BW47,$BV47,$CG47,0,$BY47,$BX47,$BZ47,$AJ47,1,0)</f>
        <v>0.20443950550203108</v>
      </c>
      <c r="BP47" s="137"/>
      <c r="BQ47" s="137"/>
      <c r="BR47" s="137"/>
      <c r="BS47" s="137"/>
      <c r="BV47" s="262">
        <v>3.6241645244215936</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3.3399999999999999E-2</v>
      </c>
      <c r="CH47" s="258">
        <v>10.04058124708175</v>
      </c>
      <c r="CI47" s="258">
        <v>3.512</v>
      </c>
      <c r="CJ47" s="258"/>
      <c r="CK47" s="258"/>
      <c r="CL47" s="258"/>
      <c r="CM47" s="258"/>
    </row>
    <row r="48" spans="1:91" x14ac:dyDescent="0.25">
      <c r="A48" s="723"/>
      <c r="B48" s="723"/>
      <c r="D48" s="31">
        <f t="shared" si="52"/>
        <v>38061</v>
      </c>
      <c r="F48" s="28">
        <f t="shared" si="53"/>
        <v>732</v>
      </c>
      <c r="G48" s="28">
        <f t="shared" si="13"/>
        <v>672.32643942067148</v>
      </c>
      <c r="H48" s="52">
        <f t="shared" si="54"/>
        <v>3.4904884318766065</v>
      </c>
      <c r="I48" s="52">
        <f t="shared" si="55"/>
        <v>3.782</v>
      </c>
      <c r="K48" s="52">
        <f t="shared" si="56"/>
        <v>7.3491696429785582</v>
      </c>
      <c r="L48" s="135">
        <f t="shared" si="57"/>
        <v>1.4536453627478352E-5</v>
      </c>
      <c r="N48" s="131">
        <f t="shared" si="48"/>
        <v>0.36642927609768672</v>
      </c>
      <c r="O48" s="131">
        <f t="shared" si="49"/>
        <v>0.36642927609768672</v>
      </c>
      <c r="P48" s="55">
        <f t="shared" si="50"/>
        <v>0.99999999999999989</v>
      </c>
      <c r="Q48" s="135">
        <f>_xll.xSPRDOPT(I48,H48,AQ48,0,O48,N48,P48,D48-$G$5,1,0)*AH48*AU48</f>
        <v>7.3491841794321857</v>
      </c>
      <c r="R48" s="135"/>
      <c r="S48" s="181">
        <f>_xll.xSPRDOPT(I48,H48,AQ48,AT48,O48,N48,P48,D48-$G$5,1,2)*AF48*(F48/(1-AR48))*AH48</f>
        <v>-21413.873758893489</v>
      </c>
      <c r="T48" s="181">
        <f>_xll.xSPRDOPT(I48,H48,AQ48,AT48,O48,N48,P48,D48-$G$5,1,1)*AF48*F48*AH48</f>
        <v>20824.992230885087</v>
      </c>
      <c r="U48" s="135"/>
      <c r="V48" s="146">
        <f t="shared" si="58"/>
        <v>10.685857232447976</v>
      </c>
      <c r="W48" s="146"/>
      <c r="X48" s="338">
        <f t="shared" si="59"/>
        <v>0</v>
      </c>
      <c r="Y48" s="338">
        <f t="shared" si="20"/>
        <v>0</v>
      </c>
      <c r="Z48" s="338">
        <f t="shared" si="21"/>
        <v>1.6748717511223263</v>
      </c>
      <c r="AA48" s="338">
        <f t="shared" si="22"/>
        <v>1.8023317677804364E-5</v>
      </c>
      <c r="AB48" s="338">
        <f t="shared" si="60"/>
        <v>0</v>
      </c>
      <c r="AC48" s="338">
        <f t="shared" si="61"/>
        <v>1.6911487578215378</v>
      </c>
      <c r="AF48" s="138">
        <f t="shared" si="62"/>
        <v>1</v>
      </c>
      <c r="AG48" s="138">
        <f t="shared" si="63"/>
        <v>3</v>
      </c>
      <c r="AH48" s="138">
        <f t="shared" si="27"/>
        <v>31</v>
      </c>
      <c r="AI48" s="138">
        <f t="shared" si="64"/>
        <v>805</v>
      </c>
      <c r="AJ48" s="138">
        <f t="shared" si="65"/>
        <v>822</v>
      </c>
      <c r="AL48" s="136">
        <f t="shared" si="29"/>
        <v>3.3820000000000001</v>
      </c>
      <c r="AM48" s="258">
        <f t="shared" si="30"/>
        <v>5.0000000000000001E-3</v>
      </c>
      <c r="AN48" s="258">
        <f t="shared" si="31"/>
        <v>7.4999999999999997E-3</v>
      </c>
      <c r="AO48" s="258">
        <f t="shared" si="32"/>
        <v>0.4</v>
      </c>
      <c r="AP48" s="258">
        <f t="shared" si="33"/>
        <v>0</v>
      </c>
      <c r="AQ48" s="136">
        <f t="shared" si="66"/>
        <v>3.3399999999999999E-2</v>
      </c>
      <c r="AR48" s="137">
        <f t="shared" si="35"/>
        <v>2.75E-2</v>
      </c>
      <c r="AS48" s="136">
        <f t="shared" si="67"/>
        <v>3.3944999999999999</v>
      </c>
      <c r="AT48" s="137">
        <f t="shared" si="68"/>
        <v>3.8285632294587903E-2</v>
      </c>
      <c r="AU48" s="137">
        <f t="shared" si="38"/>
        <v>0.91847874237796645</v>
      </c>
      <c r="AV48" s="394">
        <f t="shared" si="69"/>
        <v>597.9296612880562</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-1.8607706718659597E-6</v>
      </c>
      <c r="BG48" s="137">
        <f>_xll.xSPRDOPT($BW48,$BV48,$CG48,0,$BY48,$BX48,$BZ48,$AJ48,1,3)*$CB48</f>
        <v>-8.7565678676045166E-7</v>
      </c>
      <c r="BH48" s="137">
        <f>IF(OR(BF48&lt;&gt;0,BG48&lt;&gt;0),_xll.xSPRDOPT($BW48,$BV48,$CG48,0,$BY48,$BX48,$BZ48,$AJ48,1,12)*$CB48,0)</f>
        <v>-1.0945709834505646E-7</v>
      </c>
      <c r="BI48" s="137">
        <f>_xll.xSPRDOPT($BW48,$BV48,$CG48,2*LN(1+CA48/2),$BY48,$BX48,$BZ48,$AJ48,1,9)</f>
        <v>8.986234606872168E-3</v>
      </c>
      <c r="BJ48" s="137">
        <f>_xll.xSPRDOPT($BW48,$BV48,$CG48,0,$BY48,$BX48,$BZ48,$AJ48,1,6)*$CB48</f>
        <v>-2.3201608834111454E-4</v>
      </c>
      <c r="BK48" s="137">
        <f>_xll.xSPRDOPT($BW48,$BV48,$CG48,0,$BY48,$BX48,$BZ48,$AJ48,1,5)*$CB48</f>
        <v>2.5139313986536678E-4</v>
      </c>
      <c r="BL48" s="137">
        <f>_xll.xSPRDOPT(BW48,BV48,CG48,0,BY48,BX48,BZ48,AJ48,1,2)*CB48</f>
        <v>-0.91818285384005427</v>
      </c>
      <c r="BM48" s="137">
        <f>_xll.xSPRDOPT(BW48,BV48,CG48,0,BY48,BX48,BZ48,AJ48,1,1)*CB48</f>
        <v>0.91818285385592091</v>
      </c>
      <c r="BN48" s="137">
        <f>IF(AH48&lt;&gt;0,_xll.xSPRDOPT($BW48,$BV48,$CG48,2*LN(1+CA48/2),$BY48,$BX48,$BZ48,$AJ48,1,8)+(AJ48/365.25)*CH48/AH48,0)</f>
        <v>0.24215766810891748</v>
      </c>
      <c r="BO48" s="137">
        <f>_xll.xSPRDOPT($BW48,$BV48,$CG48,0,$BY48,$BX48,$BZ48,$AJ48,1,0)</f>
        <v>0.25811209194669327</v>
      </c>
      <c r="BP48" s="137"/>
      <c r="BQ48" s="137"/>
      <c r="BR48" s="137"/>
      <c r="BS48" s="137"/>
      <c r="BV48" s="262">
        <v>3.4904884318766065</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52"/>
        <v>38092</v>
      </c>
      <c r="F49" s="28">
        <f t="shared" si="53"/>
        <v>732</v>
      </c>
      <c r="G49" s="28">
        <f t="shared" si="13"/>
        <v>668.9444077015836</v>
      </c>
      <c r="H49" s="52">
        <f t="shared" si="54"/>
        <v>3.3028277634961434</v>
      </c>
      <c r="I49" s="52">
        <f t="shared" si="55"/>
        <v>3.7970000000000002</v>
      </c>
      <c r="K49" s="52">
        <f t="shared" si="56"/>
        <v>12.632418476778954</v>
      </c>
      <c r="L49" s="135">
        <f t="shared" si="57"/>
        <v>1.3233409088542203E-6</v>
      </c>
      <c r="N49" s="131">
        <f t="shared" si="48"/>
        <v>0.3313618943887166</v>
      </c>
      <c r="O49" s="131">
        <f t="shared" si="49"/>
        <v>0.3313618943887166</v>
      </c>
      <c r="P49" s="55">
        <f t="shared" si="50"/>
        <v>1</v>
      </c>
      <c r="Q49" s="135">
        <f>_xll.xSPRDOPT(I49,H49,AQ49,0,O49,N49,P49,D49-$G$5,1,0)*AH49*AU49</f>
        <v>12.632419800119862</v>
      </c>
      <c r="R49" s="135"/>
      <c r="S49" s="181">
        <f>_xll.xSPRDOPT(I49,H49,AQ49,AT49,O49,N49,P49,D49-$G$5,1,2)*AF49*(F49/(1-AR49))*AH49</f>
        <v>-20617.722436096483</v>
      </c>
      <c r="T49" s="181">
        <f>_xll.xSPRDOPT(I49,H49,AQ49,AT49,O49,N49,P49,D49-$G$5,1,1)*AF49*F49*AH49</f>
        <v>20050.735069043913</v>
      </c>
      <c r="U49" s="135"/>
      <c r="V49" s="146">
        <f t="shared" si="58"/>
        <v>10.289132631573947</v>
      </c>
      <c r="W49" s="146"/>
      <c r="X49" s="338">
        <f t="shared" si="59"/>
        <v>0</v>
      </c>
      <c r="Y49" s="338">
        <f t="shared" si="20"/>
        <v>0</v>
      </c>
      <c r="Z49" s="338">
        <f t="shared" si="21"/>
        <v>2.9389228648062544</v>
      </c>
      <c r="AA49" s="338">
        <f t="shared" si="22"/>
        <v>-3.9179644876480016E-9</v>
      </c>
      <c r="AB49" s="338">
        <f t="shared" si="60"/>
        <v>0</v>
      </c>
      <c r="AC49" s="338">
        <f t="shared" si="61"/>
        <v>2.9675464925664752</v>
      </c>
      <c r="AF49" s="138">
        <f t="shared" si="62"/>
        <v>1</v>
      </c>
      <c r="AG49" s="138">
        <f t="shared" si="63"/>
        <v>4</v>
      </c>
      <c r="AH49" s="138">
        <f t="shared" si="27"/>
        <v>30</v>
      </c>
      <c r="AI49" s="138">
        <f t="shared" si="64"/>
        <v>836</v>
      </c>
      <c r="AJ49" s="138">
        <f t="shared" si="65"/>
        <v>853</v>
      </c>
      <c r="AL49" s="136">
        <f t="shared" si="29"/>
        <v>3.1970000000000001</v>
      </c>
      <c r="AM49" s="258">
        <f t="shared" si="30"/>
        <v>0.01</v>
      </c>
      <c r="AN49" s="258">
        <f t="shared" si="31"/>
        <v>5.0000000000000001E-3</v>
      </c>
      <c r="AO49" s="258">
        <f t="shared" si="32"/>
        <v>0.6</v>
      </c>
      <c r="AP49" s="258">
        <f t="shared" si="33"/>
        <v>0</v>
      </c>
      <c r="AQ49" s="136">
        <f t="shared" si="66"/>
        <v>3.3399999999999999E-2</v>
      </c>
      <c r="AR49" s="137">
        <f t="shared" si="35"/>
        <v>2.75E-2</v>
      </c>
      <c r="AS49" s="136">
        <f t="shared" si="67"/>
        <v>3.2119999999999997</v>
      </c>
      <c r="AT49" s="137">
        <f t="shared" si="68"/>
        <v>3.9084714616572501E-2</v>
      </c>
      <c r="AU49" s="137">
        <f t="shared" si="38"/>
        <v>0.9138584804666442</v>
      </c>
      <c r="AV49" s="394">
        <f t="shared" si="69"/>
        <v>575.73084269398589</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2.1781158103795246E-7</v>
      </c>
      <c r="BG49" s="137">
        <f>_xll.xSPRDOPT($BW49,$BV49,$CG49,0,$BY49,$BX49,$BZ49,$AJ49,1,3)*$CB49</f>
        <v>0</v>
      </c>
      <c r="BH49" s="137">
        <f>IF(OR(BF49&lt;&gt;0,BG49&lt;&gt;0),_xll.xSPRDOPT($BW49,$BV49,$CG49,0,$BY49,$BX49,$BZ49,$AJ49,1,12)*$CB49,0)</f>
        <v>1.6335868577846436E-7</v>
      </c>
      <c r="BI49" s="137">
        <f>_xll.xSPRDOPT($BW49,$BV49,$CG49,2*LN(1+CA49/2),$BY49,$BX49,$BZ49,$AJ49,1,9)</f>
        <v>1.6293891566036497E-2</v>
      </c>
      <c r="BJ49" s="137">
        <f>_xll.xSPRDOPT($BW49,$BV49,$CG49,0,$BY49,$BX49,$BZ49,$AJ49,1,6)*$CB49</f>
        <v>2.4974834009737643E-7</v>
      </c>
      <c r="BK49" s="137">
        <f>_xll.xSPRDOPT($BW49,$BV49,$CG49,0,$BY49,$BX49,$BZ49,$AJ49,1,5)*$CB49</f>
        <v>-2.8711735140666133E-7</v>
      </c>
      <c r="BL49" s="137">
        <f>_xll.xSPRDOPT(BW49,BV49,CG49,0,BY49,BX49,BZ49,AJ49,1,2)*CB49</f>
        <v>-0.91356807455419842</v>
      </c>
      <c r="BM49" s="137">
        <f>_xll.xSPRDOPT(BW49,BV49,CG49,0,BY49,BX49,BZ49,AJ49,1,1)*CB49</f>
        <v>0.91356807454256606</v>
      </c>
      <c r="BN49" s="137">
        <f>IF(AH49&lt;&gt;0,_xll.xSPRDOPT($BW49,$BV49,$CG49,2*LN(1+CA49/2),$BY49,$BX49,$BZ49,$AJ49,1,8)+(AJ49/365.25)*CH49/AH49,0)</f>
        <v>-0.18235807195459652</v>
      </c>
      <c r="BO49" s="137">
        <f>_xll.xSPRDOPT($BW49,$BV49,$CG49,0,$BY49,$BX49,$BZ49,$AJ49,1,0)</f>
        <v>0.46077228474964393</v>
      </c>
      <c r="BP49" s="137"/>
      <c r="BQ49" s="137"/>
      <c r="BR49" s="137"/>
      <c r="BS49" s="137"/>
      <c r="BV49" s="262">
        <v>3.3028277634961434</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52"/>
        <v>38122</v>
      </c>
      <c r="F50" s="28">
        <f t="shared" si="53"/>
        <v>732</v>
      </c>
      <c r="G50" s="28">
        <f t="shared" si="13"/>
        <v>665.69573894504435</v>
      </c>
      <c r="H50" s="52">
        <f t="shared" si="54"/>
        <v>3.2976863753213363</v>
      </c>
      <c r="I50" s="52">
        <f t="shared" si="55"/>
        <v>3.9420000000000002</v>
      </c>
      <c r="K50" s="52">
        <f t="shared" si="56"/>
        <v>17.222896859527072</v>
      </c>
      <c r="L50" s="135">
        <f t="shared" si="57"/>
        <v>1.7872465107870994E-6</v>
      </c>
      <c r="N50" s="131">
        <f t="shared" si="48"/>
        <v>0.32761016081651256</v>
      </c>
      <c r="O50" s="131">
        <f t="shared" si="49"/>
        <v>0.32761016081651256</v>
      </c>
      <c r="P50" s="55">
        <f t="shared" si="50"/>
        <v>1.0000000000000002</v>
      </c>
      <c r="Q50" s="135">
        <f>_xll.xSPRDOPT(I50,H50,AQ50,0,O50,N50,P50,D50-$G$5,1,0)*AH50*AU50</f>
        <v>17.222898646773583</v>
      </c>
      <c r="R50" s="135"/>
      <c r="S50" s="181">
        <f>_xll.xSPRDOPT(I50,H50,AQ50,AT50,O50,N50,P50,D50-$G$5,1,2)*AF50*(F50/(1-AR50))*AH50</f>
        <v>-21200.151628016931</v>
      </c>
      <c r="T50" s="181">
        <f>_xll.xSPRDOPT(I50,H50,AQ50,AT50,O50,N50,P50,D50-$G$5,1,1)*AF50*F50*AH50</f>
        <v>20617.147458329018</v>
      </c>
      <c r="U50" s="135"/>
      <c r="V50" s="146">
        <f t="shared" si="58"/>
        <v>10.580469857388429</v>
      </c>
      <c r="W50" s="146"/>
      <c r="X50" s="338">
        <f t="shared" si="59"/>
        <v>0</v>
      </c>
      <c r="Y50" s="338">
        <f t="shared" si="20"/>
        <v>0</v>
      </c>
      <c r="Z50" s="338">
        <f t="shared" si="21"/>
        <v>4.0794380716317358</v>
      </c>
      <c r="AA50" s="338">
        <f t="shared" si="22"/>
        <v>-1.7985095797771863E-8</v>
      </c>
      <c r="AB50" s="338">
        <f t="shared" si="60"/>
        <v>0</v>
      </c>
      <c r="AC50" s="338">
        <f t="shared" si="61"/>
        <v>4.1198935797163108</v>
      </c>
      <c r="AF50" s="138">
        <f t="shared" si="62"/>
        <v>1</v>
      </c>
      <c r="AG50" s="138">
        <f t="shared" si="63"/>
        <v>5</v>
      </c>
      <c r="AH50" s="138">
        <f t="shared" si="27"/>
        <v>31</v>
      </c>
      <c r="AI50" s="138">
        <f t="shared" si="64"/>
        <v>866</v>
      </c>
      <c r="AJ50" s="138">
        <f t="shared" si="65"/>
        <v>883</v>
      </c>
      <c r="AL50" s="136">
        <f t="shared" si="29"/>
        <v>3.1920000000000002</v>
      </c>
      <c r="AM50" s="258">
        <f t="shared" si="30"/>
        <v>0.01</v>
      </c>
      <c r="AN50" s="258">
        <f t="shared" si="31"/>
        <v>5.0000000000000001E-3</v>
      </c>
      <c r="AO50" s="258">
        <f t="shared" si="32"/>
        <v>0.75</v>
      </c>
      <c r="AP50" s="258">
        <f t="shared" si="33"/>
        <v>0</v>
      </c>
      <c r="AQ50" s="136">
        <f t="shared" si="66"/>
        <v>3.3399999999999999E-2</v>
      </c>
      <c r="AR50" s="137">
        <f t="shared" si="35"/>
        <v>2.75E-2</v>
      </c>
      <c r="AS50" s="136">
        <f t="shared" si="67"/>
        <v>3.2069999999999999</v>
      </c>
      <c r="AT50" s="137">
        <f t="shared" si="68"/>
        <v>3.9799554968306797E-2</v>
      </c>
      <c r="AU50" s="137">
        <f t="shared" si="38"/>
        <v>0.90942040839486926</v>
      </c>
      <c r="AV50" s="394">
        <f t="shared" si="69"/>
        <v>592.03268586505988</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2.1887519179497786E-2</v>
      </c>
      <c r="BJ50" s="137">
        <f>_xll.xSPRDOPT($BW50,$BV50,$CG50,0,$BY50,$BX50,$BZ50,$AJ50,1,6)*$CB50</f>
        <v>4.6006547224928789E-7</v>
      </c>
      <c r="BK50" s="137">
        <f>_xll.xSPRDOPT($BW50,$BV50,$CG50,0,$BY50,$BX50,$BZ50,$AJ50,1,5)*$CB50</f>
        <v>-5.4994835233095777E-7</v>
      </c>
      <c r="BL50" s="137">
        <f>_xll.xSPRDOPT(BW50,BV50,CG50,0,BY50,BX50,BZ50,AJ50,1,2)*CB50</f>
        <v>-0.90912618479120022</v>
      </c>
      <c r="BM50" s="137">
        <f>_xll.xSPRDOPT(BW50,BV50,CG50,0,BY50,BX50,BZ50,AJ50,1,1)*CB50</f>
        <v>0.90912618480112228</v>
      </c>
      <c r="BN50" s="137">
        <f>IF(AH50&lt;&gt;0,_xll.xSPRDOPT($BW50,$BV50,$CG50,2*LN(1+CA50/2),$BY50,$BX50,$BZ50,$AJ50,1,8)+(AJ50/365.25)*CH50/AH50,0)</f>
        <v>-0.51783943165773239</v>
      </c>
      <c r="BO50" s="137">
        <f>_xll.xSPRDOPT($BW50,$BV50,$CG50,0,$BY50,$BX50,$BZ50,$AJ50,1,0)</f>
        <v>0.61091368801995793</v>
      </c>
      <c r="BP50" s="137"/>
      <c r="BQ50" s="137"/>
      <c r="BR50" s="137"/>
      <c r="BS50" s="137"/>
      <c r="BV50" s="262">
        <v>3.2976863753213363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3.3399999999999999E-2</v>
      </c>
      <c r="CH50" s="258">
        <v>10.577045665135225</v>
      </c>
      <c r="CI50" s="258">
        <v>3.1920000000000002</v>
      </c>
      <c r="CJ50" s="258"/>
      <c r="CK50" s="258"/>
      <c r="CL50" s="258"/>
      <c r="CM50" s="258"/>
    </row>
    <row r="51" spans="1:91" x14ac:dyDescent="0.25">
      <c r="A51" s="723"/>
      <c r="B51" s="723"/>
      <c r="D51" s="31">
        <f t="shared" si="52"/>
        <v>38153</v>
      </c>
      <c r="F51" s="28">
        <f t="shared" si="53"/>
        <v>732</v>
      </c>
      <c r="G51" s="28">
        <f t="shared" si="13"/>
        <v>662.27565493920213</v>
      </c>
      <c r="H51" s="52">
        <f t="shared" si="54"/>
        <v>3.3362467866323904</v>
      </c>
      <c r="I51" s="52">
        <f t="shared" si="55"/>
        <v>4.077</v>
      </c>
      <c r="K51" s="52">
        <f t="shared" si="56"/>
        <v>19.199295600671427</v>
      </c>
      <c r="L51" s="135">
        <f t="shared" si="57"/>
        <v>1.9933271637739836E-6</v>
      </c>
      <c r="N51" s="131">
        <f t="shared" si="48"/>
        <v>0.32256221350143816</v>
      </c>
      <c r="O51" s="131">
        <f t="shared" si="49"/>
        <v>0.32256221350143816</v>
      </c>
      <c r="P51" s="55">
        <f t="shared" si="50"/>
        <v>1</v>
      </c>
      <c r="Q51" s="135">
        <f>_xll.xSPRDOPT(I51,H51,AQ51,0,O51,N51,P51,D51-$G$5,1,0)*AH51*AU51</f>
        <v>19.19929759399859</v>
      </c>
      <c r="R51" s="135"/>
      <c r="S51" s="181">
        <f>_xll.xSPRDOPT(I51,H51,AQ51,AT51,O51,N51,P51,D51-$G$5,1,2)*AF51*(F51/(1-AR51))*AH51</f>
        <v>-20409.45379774331</v>
      </c>
      <c r="T51" s="181">
        <f>_xll.xSPRDOPT(I51,H51,AQ51,AT51,O51,N51,P51,D51-$G$5,1,1)*AF51*F51*AH51</f>
        <v>19848.193818584987</v>
      </c>
      <c r="U51" s="135"/>
      <c r="V51" s="146">
        <f t="shared" si="58"/>
        <v>10.186559561421417</v>
      </c>
      <c r="W51" s="146"/>
      <c r="X51" s="338">
        <f t="shared" si="59"/>
        <v>0</v>
      </c>
      <c r="Y51" s="338">
        <f t="shared" si="20"/>
        <v>0</v>
      </c>
      <c r="Z51" s="338">
        <f t="shared" si="21"/>
        <v>4.6311032884537457</v>
      </c>
      <c r="AA51" s="338">
        <f t="shared" si="22"/>
        <v>-1.9653073923307646E-8</v>
      </c>
      <c r="AB51" s="338">
        <f t="shared" si="60"/>
        <v>0</v>
      </c>
      <c r="AC51" s="338">
        <f t="shared" si="61"/>
        <v>4.6778792418834971</v>
      </c>
      <c r="AF51" s="138">
        <f t="shared" si="62"/>
        <v>1</v>
      </c>
      <c r="AG51" s="138">
        <f t="shared" si="63"/>
        <v>6</v>
      </c>
      <c r="AH51" s="138">
        <f t="shared" si="27"/>
        <v>30</v>
      </c>
      <c r="AI51" s="138">
        <f t="shared" si="64"/>
        <v>897</v>
      </c>
      <c r="AJ51" s="138">
        <f t="shared" si="65"/>
        <v>914</v>
      </c>
      <c r="AL51" s="136">
        <f t="shared" si="29"/>
        <v>3.2269999999999999</v>
      </c>
      <c r="AM51" s="258">
        <f t="shared" si="30"/>
        <v>1.2500000000000001E-2</v>
      </c>
      <c r="AN51" s="258">
        <f t="shared" si="31"/>
        <v>5.0000000000000001E-3</v>
      </c>
      <c r="AO51" s="258">
        <f t="shared" si="32"/>
        <v>0.85</v>
      </c>
      <c r="AP51" s="258">
        <f t="shared" si="33"/>
        <v>0</v>
      </c>
      <c r="AQ51" s="136">
        <f t="shared" si="66"/>
        <v>3.3399999999999999E-2</v>
      </c>
      <c r="AR51" s="137">
        <f t="shared" si="35"/>
        <v>2.75E-2</v>
      </c>
      <c r="AS51" s="136">
        <f t="shared" si="67"/>
        <v>3.2444999999999999</v>
      </c>
      <c r="AT51" s="137">
        <f t="shared" si="68"/>
        <v>4.0538223511899799E-2</v>
      </c>
      <c r="AU51" s="137">
        <f t="shared" si="38"/>
        <v>0.90474816248524881</v>
      </c>
      <c r="AV51" s="394">
        <f t="shared" si="69"/>
        <v>569.99134236570671</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1.2938260696010463E-6</v>
      </c>
      <c r="BG51" s="137">
        <f>_xll.xSPRDOPT($BW51,$BV51,$CG51,0,$BY51,$BX51,$BZ51,$AJ51,1,3)*$CB51</f>
        <v>8.6255071306736416E-7</v>
      </c>
      <c r="BH51" s="137">
        <f>IF(OR(BF51&lt;&gt;0,BG51&lt;&gt;0),_xll.xSPRDOPT($BW51,$BV51,$CG51,0,$BY51,$BX51,$BZ51,$AJ51,1,12)*$CB51,0)</f>
        <v>-7.5473187393394366E-7</v>
      </c>
      <c r="BI51" s="137">
        <f>_xll.xSPRDOPT($BW51,$BV51,$CG51,2*LN(1+CA51/2),$BY51,$BX51,$BZ51,$AJ51,1,9)</f>
        <v>2.567562957054843E-2</v>
      </c>
      <c r="BJ51" s="137">
        <f>_xll.xSPRDOPT($BW51,$BV51,$CG51,0,$BY51,$BX51,$BZ51,$AJ51,1,6)*$CB51</f>
        <v>4.8168927268865359E-7</v>
      </c>
      <c r="BK51" s="137">
        <f>_xll.xSPRDOPT($BW51,$BV51,$CG51,0,$BY51,$BX51,$BZ51,$AJ51,1,5)*$CB51</f>
        <v>-5.8864532043856797E-7</v>
      </c>
      <c r="BL51" s="137">
        <f>_xll.xSPRDOPT(BW51,BV51,CG51,0,BY51,BX51,BZ51,AJ51,1,2)*CB51</f>
        <v>-0.90445007134036415</v>
      </c>
      <c r="BM51" s="137">
        <f>_xll.xSPRDOPT(BW51,BV51,CG51,0,BY51,BX51,BZ51,AJ51,1,1)*CB51</f>
        <v>0.90445007135517086</v>
      </c>
      <c r="BN51" s="137">
        <f>IF(AH51&lt;&gt;0,_xll.xSPRDOPT($BW51,$BV51,$CG51,2*LN(1+CA51/2),$BY51,$BX51,$BZ51,$AJ51,1,8)+(AJ51/365.25)*CH51/AH51,0)</f>
        <v>-0.75153343430378694</v>
      </c>
      <c r="BO51" s="137">
        <f>_xll.xSPRDOPT($BW51,$BV51,$CG51,0,$BY51,$BX51,$BZ51,$AJ51,1,0)</f>
        <v>0.70735328674548326</v>
      </c>
      <c r="BP51" s="137"/>
      <c r="BQ51" s="137"/>
      <c r="BR51" s="137"/>
      <c r="BS51" s="137"/>
      <c r="BV51" s="262">
        <v>3.3362467866323904</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3.3399999999999999E-2</v>
      </c>
      <c r="CH51" s="258">
        <v>10.183202285473449</v>
      </c>
      <c r="CI51" s="258">
        <v>3.2269999999999999</v>
      </c>
      <c r="CJ51" s="258"/>
      <c r="CK51" s="258"/>
      <c r="CL51" s="258"/>
      <c r="CM51" s="258"/>
    </row>
    <row r="52" spans="1:91" x14ac:dyDescent="0.25">
      <c r="A52" s="723"/>
      <c r="B52" s="723"/>
      <c r="D52" s="31">
        <f t="shared" si="52"/>
        <v>38183</v>
      </c>
      <c r="F52" s="28">
        <f t="shared" si="53"/>
        <v>732</v>
      </c>
      <c r="G52" s="28">
        <f t="shared" si="13"/>
        <v>658.96883052397618</v>
      </c>
      <c r="H52" s="52">
        <f t="shared" si="54"/>
        <v>3.3773778920308484</v>
      </c>
      <c r="I52" s="52">
        <f t="shared" si="55"/>
        <v>4.3170000000000002</v>
      </c>
      <c r="K52" s="52">
        <f t="shared" si="56"/>
        <v>25.29007623386002</v>
      </c>
      <c r="L52" s="135">
        <f t="shared" si="57"/>
        <v>2.6047686390029412E-6</v>
      </c>
      <c r="N52" s="131">
        <f t="shared" si="48"/>
        <v>0.32377055765666068</v>
      </c>
      <c r="O52" s="131">
        <f t="shared" si="49"/>
        <v>0.32377055765666068</v>
      </c>
      <c r="P52" s="55">
        <f t="shared" si="50"/>
        <v>1.0000000000000002</v>
      </c>
      <c r="Q52" s="135">
        <f>_xll.xSPRDOPT(I52,H52,AQ52,0,O52,N52,P52,D52-$G$5,1,0)*AH52*AU52</f>
        <v>25.290078838628659</v>
      </c>
      <c r="R52" s="135"/>
      <c r="S52" s="181">
        <f>_xll.xSPRDOPT(I52,H52,AQ52,AT52,O52,N52,P52,D52-$G$5,1,2)*AF52*(F52/(1-AR52))*AH52</f>
        <v>-20983.033344482465</v>
      </c>
      <c r="T52" s="181">
        <f>_xll.xSPRDOPT(I52,H52,AQ52,AT52,O52,N52,P52,D52-$G$5,1,1)*AF52*F52*AH52</f>
        <v>20405.999927963239</v>
      </c>
      <c r="U52" s="135"/>
      <c r="V52" s="146">
        <f t="shared" si="58"/>
        <v>10.473553367438656</v>
      </c>
      <c r="W52" s="146"/>
      <c r="X52" s="338">
        <f t="shared" si="59"/>
        <v>0</v>
      </c>
      <c r="Y52" s="338">
        <f t="shared" si="20"/>
        <v>0</v>
      </c>
      <c r="Z52" s="338">
        <f t="shared" si="21"/>
        <v>6.2010878218731431</v>
      </c>
      <c r="AA52" s="338">
        <f t="shared" si="22"/>
        <v>-3.7913757230605517E-8</v>
      </c>
      <c r="AB52" s="338">
        <f t="shared" si="60"/>
        <v>0</v>
      </c>
      <c r="AC52" s="338">
        <f t="shared" si="61"/>
        <v>6.2647637886565715</v>
      </c>
      <c r="AF52" s="138">
        <f t="shared" si="62"/>
        <v>1</v>
      </c>
      <c r="AG52" s="138">
        <f t="shared" si="63"/>
        <v>7</v>
      </c>
      <c r="AH52" s="138">
        <f t="shared" si="27"/>
        <v>31</v>
      </c>
      <c r="AI52" s="138">
        <f t="shared" si="64"/>
        <v>927</v>
      </c>
      <c r="AJ52" s="138">
        <f t="shared" si="65"/>
        <v>944</v>
      </c>
      <c r="AL52" s="136">
        <f t="shared" si="29"/>
        <v>3.2669999999999999</v>
      </c>
      <c r="AM52" s="258">
        <f t="shared" si="30"/>
        <v>1.2500000000000001E-2</v>
      </c>
      <c r="AN52" s="258">
        <f t="shared" si="31"/>
        <v>5.0000000000000001E-3</v>
      </c>
      <c r="AO52" s="258">
        <f t="shared" si="32"/>
        <v>1.05</v>
      </c>
      <c r="AP52" s="258">
        <f t="shared" si="33"/>
        <v>0</v>
      </c>
      <c r="AQ52" s="136">
        <f t="shared" si="66"/>
        <v>3.3399999999999999E-2</v>
      </c>
      <c r="AR52" s="137">
        <f t="shared" si="35"/>
        <v>2.75E-2</v>
      </c>
      <c r="AS52" s="136">
        <f t="shared" si="67"/>
        <v>3.2845</v>
      </c>
      <c r="AT52" s="137">
        <f t="shared" si="68"/>
        <v>4.12152492802473E-2</v>
      </c>
      <c r="AU52" s="137">
        <f t="shared" si="38"/>
        <v>0.90023064279231713</v>
      </c>
      <c r="AV52" s="394">
        <f t="shared" si="69"/>
        <v>586.0501484577984</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-1.0727990169484774E-6</v>
      </c>
      <c r="BG52" s="137">
        <f>_xll.xSPRDOPT($BW52,$BV52,$CG52,0,$BY52,$BX52,$BZ52,$AJ52,1,3)*$CB52</f>
        <v>2.1455980338969546E-7</v>
      </c>
      <c r="BH52" s="137">
        <f>IF(OR(BF52&lt;&gt;0,BG52&lt;&gt;0),_xll.xSPRDOPT($BW52,$BV52,$CG52,0,$BY52,$BX52,$BZ52,$AJ52,1,12)*$CB52,0)</f>
        <v>2.1455980338969546E-7</v>
      </c>
      <c r="BI52" s="137">
        <f>_xll.xSPRDOPT($BW52,$BV52,$CG52,2*LN(1+CA52/2),$BY52,$BX52,$BZ52,$AJ52,1,9)</f>
        <v>3.3270863842457921E-2</v>
      </c>
      <c r="BJ52" s="137">
        <f>_xll.xSPRDOPT($BW52,$BV52,$CG52,0,$BY52,$BX52,$BZ52,$AJ52,1,6)*$CB52</f>
        <v>5.0491760978827793E-7</v>
      </c>
      <c r="BK52" s="137">
        <f>_xll.xSPRDOPT($BW52,$BV52,$CG52,0,$BY52,$BX52,$BZ52,$AJ52,1,5)*$CB52</f>
        <v>-6.4538871624979768E-7</v>
      </c>
      <c r="BL52" s="137">
        <f>_xll.xSPRDOPT(BW52,BV52,CG52,0,BY52,BX52,BZ52,AJ52,1,2)*CB52</f>
        <v>-0.89992913508511518</v>
      </c>
      <c r="BM52" s="137">
        <f>_xll.xSPRDOPT(BW52,BV52,CG52,0,BY52,BX52,BZ52,AJ52,1,1)*CB52</f>
        <v>0.89992913509166306</v>
      </c>
      <c r="BN52" s="137">
        <f>IF(AH52&lt;&gt;0,_xll.xSPRDOPT($BW52,$BV52,$CG52,2*LN(1+CA52/2),$BY52,$BX52,$BZ52,$AJ52,1,8)+(AJ52/365.25)*CH52/AH52,0)</f>
        <v>-1.2348690991957212</v>
      </c>
      <c r="BO52" s="137">
        <f>_xll.xSPRDOPT($BW52,$BV52,$CG52,0,$BY52,$BX52,$BZ52,$AJ52,1,0)</f>
        <v>0.90622220122766273</v>
      </c>
      <c r="BP52" s="137"/>
      <c r="BQ52" s="137"/>
      <c r="BR52" s="137"/>
      <c r="BS52" s="137"/>
      <c r="BV52" s="262">
        <v>3.3773778920308484</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3.3399999999999999E-2</v>
      </c>
      <c r="CH52" s="258">
        <v>10.470044448647478</v>
      </c>
      <c r="CI52" s="258">
        <v>3.2669999999999999</v>
      </c>
      <c r="CJ52" s="258"/>
      <c r="CK52" s="258"/>
      <c r="CL52" s="258"/>
      <c r="CM52" s="258"/>
    </row>
    <row r="53" spans="1:91" x14ac:dyDescent="0.25">
      <c r="A53" s="723"/>
      <c r="B53" s="723"/>
      <c r="D53" s="31">
        <f t="shared" si="52"/>
        <v>38214</v>
      </c>
      <c r="F53" s="28">
        <f t="shared" si="53"/>
        <v>732</v>
      </c>
      <c r="G53" s="28">
        <f t="shared" si="13"/>
        <v>655.56534141172438</v>
      </c>
      <c r="H53" s="52">
        <f t="shared" si="54"/>
        <v>3.4185089974293059</v>
      </c>
      <c r="I53" s="52">
        <f t="shared" si="55"/>
        <v>4.3570000000000002</v>
      </c>
      <c r="K53" s="52">
        <f t="shared" si="56"/>
        <v>25.128053354340235</v>
      </c>
      <c r="L53" s="135">
        <f t="shared" si="57"/>
        <v>2.5598250985581217E-6</v>
      </c>
      <c r="N53" s="131">
        <f t="shared" si="48"/>
        <v>0.32493996126723368</v>
      </c>
      <c r="O53" s="131">
        <f t="shared" si="49"/>
        <v>0.32493996126723368</v>
      </c>
      <c r="P53" s="55">
        <f t="shared" si="50"/>
        <v>0.99999999999999989</v>
      </c>
      <c r="Q53" s="135">
        <f>_xll.xSPRDOPT(I53,H53,AQ53,0,O53,N53,P53,D53-$G$5,1,0)*AH53*AU53</f>
        <v>25.128055914165333</v>
      </c>
      <c r="R53" s="135"/>
      <c r="S53" s="181">
        <f>_xll.xSPRDOPT(I53,H53,AQ53,AT53,O53,N53,P53,D53-$G$5,1,2)*AF53*(F53/(1-AR53))*AH53</f>
        <v>-20873.172532345619</v>
      </c>
      <c r="T53" s="181">
        <f>_xll.xSPRDOPT(I53,H53,AQ53,AT53,O53,N53,P53,D53-$G$5,1,1)*AF53*F53*AH53</f>
        <v>20299.160287953775</v>
      </c>
      <c r="U53" s="135"/>
      <c r="V53" s="146">
        <f t="shared" si="58"/>
        <v>10.41945881364266</v>
      </c>
      <c r="W53" s="146"/>
      <c r="X53" s="338">
        <f t="shared" si="59"/>
        <v>0</v>
      </c>
      <c r="Y53" s="338">
        <f t="shared" si="20"/>
        <v>0</v>
      </c>
      <c r="Z53" s="338">
        <f t="shared" si="21"/>
        <v>6.2586978584239761</v>
      </c>
      <c r="AA53" s="338">
        <f t="shared" si="22"/>
        <v>-4.9421960406709392E-8</v>
      </c>
      <c r="AB53" s="338">
        <f t="shared" si="60"/>
        <v>0</v>
      </c>
      <c r="AC53" s="338">
        <f t="shared" si="61"/>
        <v>6.323988126518306</v>
      </c>
      <c r="AF53" s="138">
        <f t="shared" si="62"/>
        <v>1</v>
      </c>
      <c r="AG53" s="138">
        <f t="shared" si="63"/>
        <v>8</v>
      </c>
      <c r="AH53" s="138">
        <f t="shared" si="27"/>
        <v>31</v>
      </c>
      <c r="AI53" s="138">
        <f t="shared" si="64"/>
        <v>958</v>
      </c>
      <c r="AJ53" s="138">
        <f t="shared" si="65"/>
        <v>975</v>
      </c>
      <c r="AL53" s="136">
        <f t="shared" si="29"/>
        <v>3.3069999999999999</v>
      </c>
      <c r="AM53" s="258">
        <f t="shared" si="30"/>
        <v>1.2500000000000001E-2</v>
      </c>
      <c r="AN53" s="258">
        <f t="shared" si="31"/>
        <v>5.0000000000000001E-3</v>
      </c>
      <c r="AO53" s="258">
        <f t="shared" si="32"/>
        <v>1.05</v>
      </c>
      <c r="AP53" s="258">
        <f t="shared" si="33"/>
        <v>0</v>
      </c>
      <c r="AQ53" s="136">
        <f t="shared" si="66"/>
        <v>3.3399999999999999E-2</v>
      </c>
      <c r="AR53" s="137">
        <f t="shared" si="35"/>
        <v>2.75E-2</v>
      </c>
      <c r="AS53" s="136">
        <f t="shared" si="67"/>
        <v>3.3245</v>
      </c>
      <c r="AT53" s="137">
        <f t="shared" si="68"/>
        <v>4.1873365630825901E-2</v>
      </c>
      <c r="AU53" s="137">
        <f t="shared" si="38"/>
        <v>0.89558106750235578</v>
      </c>
      <c r="AV53" s="394">
        <f t="shared" si="69"/>
        <v>583.02327494403357</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-6.4035149796901603E-7</v>
      </c>
      <c r="BG53" s="137">
        <f>_xll.xSPRDOPT($BW53,$BV53,$CG53,0,$BY53,$BX53,$BZ53,$AJ53,1,3)*$CB53</f>
        <v>-1.0672524966150268E-6</v>
      </c>
      <c r="BH53" s="137">
        <f>IF(OR(BF53&lt;&gt;0,BG53&lt;&gt;0),_xll.xSPRDOPT($BW53,$BV53,$CG53,0,$BY53,$BX53,$BZ53,$AJ53,1,12)*$CB53,0)</f>
        <v>8.5380199729202141E-7</v>
      </c>
      <c r="BI53" s="137">
        <f>_xll.xSPRDOPT($BW53,$BV53,$CG53,2*LN(1+CA53/2),$BY53,$BX53,$BZ53,$AJ53,1,9)</f>
        <v>3.3579960526314082E-2</v>
      </c>
      <c r="BJ53" s="137">
        <f>_xll.xSPRDOPT($BW53,$BV53,$CG53,0,$BY53,$BX53,$BZ53,$AJ53,1,6)*$CB53</f>
        <v>5.2665666668898381E-7</v>
      </c>
      <c r="BK53" s="137">
        <f>_xll.xSPRDOPT($BW53,$BV53,$CG53,0,$BY53,$BX53,$BZ53,$AJ53,1,5)*$CB53</f>
        <v>-6.7126003532661253E-7</v>
      </c>
      <c r="BL53" s="137">
        <f>_xll.xSPRDOPT(BW53,BV53,CG53,0,BY53,BX53,BZ53,AJ53,1,2)*CB53</f>
        <v>-0.89527637514379022</v>
      </c>
      <c r="BM53" s="137">
        <f>_xll.xSPRDOPT(BW53,BV53,CG53,0,BY53,BX53,BZ53,AJ53,1,1)*CB53</f>
        <v>0.89527637515356118</v>
      </c>
      <c r="BN53" s="137">
        <f>IF(AH53&lt;&gt;0,_xll.xSPRDOPT($BW53,$BV53,$CG53,2*LN(1+CA53/2),$BY53,$BX53,$BZ53,$AJ53,1,8)+(AJ53/365.25)*CH53/AH53,0)</f>
        <v>-1.2661236605957558</v>
      </c>
      <c r="BO53" s="137">
        <f>_xll.xSPRDOPT($BW53,$BV53,$CG53,0,$BY53,$BX53,$BZ53,$AJ53,1,0)</f>
        <v>0.90509109469509752</v>
      </c>
      <c r="BP53" s="137"/>
      <c r="BQ53" s="137"/>
      <c r="BR53" s="137"/>
      <c r="BS53" s="137"/>
      <c r="BV53" s="262">
        <v>3.4185089974293059</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3.3399999999999999E-2</v>
      </c>
      <c r="CH53" s="258">
        <v>10.415912860615512</v>
      </c>
      <c r="CI53" s="258">
        <v>3.3069999999999999</v>
      </c>
      <c r="CJ53" s="258"/>
      <c r="CK53" s="258"/>
      <c r="CL53" s="258"/>
      <c r="CM53" s="258"/>
    </row>
    <row r="54" spans="1:91" x14ac:dyDescent="0.25">
      <c r="A54" s="723"/>
      <c r="B54" s="723"/>
      <c r="D54" s="31">
        <f t="shared" si="52"/>
        <v>38245</v>
      </c>
      <c r="F54" s="28">
        <f t="shared" si="53"/>
        <v>732</v>
      </c>
      <c r="G54" s="28">
        <f t="shared" si="13"/>
        <v>652.10843219521007</v>
      </c>
      <c r="H54" s="52">
        <f t="shared" si="54"/>
        <v>3.408226221079691</v>
      </c>
      <c r="I54" s="52">
        <f t="shared" si="55"/>
        <v>4.0519999999999996</v>
      </c>
      <c r="K54" s="52">
        <f t="shared" si="56"/>
        <v>16.312700328884763</v>
      </c>
      <c r="L54" s="135">
        <f t="shared" si="57"/>
        <v>1.6454767788331992E-6</v>
      </c>
      <c r="N54" s="131">
        <f t="shared" si="48"/>
        <v>0.32463755456303778</v>
      </c>
      <c r="O54" s="131">
        <f t="shared" si="49"/>
        <v>0.32463755456303778</v>
      </c>
      <c r="P54" s="55">
        <f t="shared" si="50"/>
        <v>0.99999999999999989</v>
      </c>
      <c r="Q54" s="135">
        <f>_xll.xSPRDOPT(I54,H54,AQ54,0,O54,N54,P54,D54-$G$5,1,0)*AH54*AU54</f>
        <v>16.312701974361541</v>
      </c>
      <c r="R54" s="135"/>
      <c r="S54" s="181">
        <f>_xll.xSPRDOPT(I54,H54,AQ54,AT54,O54,N54,P54,D54-$G$5,1,2)*AF54*(F54/(1-AR54))*AH54</f>
        <v>-20091.839331125972</v>
      </c>
      <c r="T54" s="181">
        <f>_xll.xSPRDOPT(I54,H54,AQ54,AT54,O54,N54,P54,D54-$G$5,1,1)*AF54*F54*AH54</f>
        <v>19539.313749520006</v>
      </c>
      <c r="U54" s="135"/>
      <c r="V54" s="146">
        <f t="shared" si="58"/>
        <v>10.030176008314031</v>
      </c>
      <c r="W54" s="146"/>
      <c r="X54" s="338">
        <f t="shared" si="59"/>
        <v>0</v>
      </c>
      <c r="Y54" s="338">
        <f t="shared" si="20"/>
        <v>0</v>
      </c>
      <c r="Z54" s="338">
        <f t="shared" si="21"/>
        <v>4.1262076978912896</v>
      </c>
      <c r="AA54" s="338">
        <f t="shared" si="22"/>
        <v>-1.9540449100757854E-8</v>
      </c>
      <c r="AB54" s="338">
        <f t="shared" si="60"/>
        <v>0</v>
      </c>
      <c r="AC54" s="338">
        <f t="shared" si="61"/>
        <v>4.1699265644087378</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7.4999999999999997E-3</v>
      </c>
      <c r="AN54" s="258">
        <f t="shared" si="31"/>
        <v>5.0000000000000001E-3</v>
      </c>
      <c r="AO54" s="258">
        <f t="shared" si="32"/>
        <v>0.75</v>
      </c>
      <c r="AP54" s="258">
        <f t="shared" si="33"/>
        <v>0</v>
      </c>
      <c r="AQ54" s="136">
        <f t="shared" si="66"/>
        <v>3.3399999999999999E-2</v>
      </c>
      <c r="AR54" s="137">
        <f t="shared" si="35"/>
        <v>2.75E-2</v>
      </c>
      <c r="AS54" s="136">
        <f t="shared" si="67"/>
        <v>3.3144999999999998</v>
      </c>
      <c r="AT54" s="137">
        <f t="shared" si="68"/>
        <v>4.2531482126591399E-2</v>
      </c>
      <c r="AU54" s="137">
        <f t="shared" si="38"/>
        <v>0.89085851392788262</v>
      </c>
      <c r="AV54" s="394">
        <f t="shared" si="69"/>
        <v>561.24086377456604</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1.6985905119640378E-6</v>
      </c>
      <c r="BG54" s="137">
        <f>_xll.xSPRDOPT($BW54,$BV54,$CG54,0,$BY54,$BX54,$BZ54,$AJ54,1,3)*$CB54</f>
        <v>2.1232381399550472E-7</v>
      </c>
      <c r="BH54" s="137">
        <f>IF(OR(BF54&lt;&gt;0,BG54&lt;&gt;0),_xll.xSPRDOPT($BW54,$BV54,$CG54,0,$BY54,$BX54,$BZ54,$AJ54,1,12)*$CB54,0)</f>
        <v>-7.4313334898426656E-7</v>
      </c>
      <c r="BI54" s="137">
        <f>_xll.xSPRDOPT($BW54,$BV54,$CG54,2*LN(1+CA54/2),$BY54,$BX54,$BZ54,$AJ54,1,9)</f>
        <v>2.2876401968044833E-2</v>
      </c>
      <c r="BJ54" s="137">
        <f>_xll.xSPRDOPT($BW54,$BV54,$CG54,0,$BY54,$BX54,$BZ54,$AJ54,1,6)*$CB54</f>
        <v>3.4343550782158105E-7</v>
      </c>
      <c r="BK54" s="137">
        <f>_xll.xSPRDOPT($BW54,$BV54,$CG54,0,$BY54,$BX54,$BZ54,$AJ54,1,5)*$CB54</f>
        <v>-4.083027395465478E-7</v>
      </c>
      <c r="BL54" s="137">
        <f>_xll.xSPRDOPT(BW54,BV54,CG54,0,BY54,BX54,BZ54,AJ54,1,2)*CB54</f>
        <v>-0.89055070727455055</v>
      </c>
      <c r="BM54" s="137">
        <f>_xll.xSPRDOPT(BW54,BV54,CG54,0,BY54,BX54,BZ54,AJ54,1,1)*CB54</f>
        <v>0.89055070727617047</v>
      </c>
      <c r="BN54" s="137">
        <f>IF(AH54&lt;&gt;0,_xll.xSPRDOPT($BW54,$BV54,$CG54,2*LN(1+CA54/2),$BY54,$BX54,$BZ54,$AJ54,1,8)+(AJ54/365.25)*CH54/AH54,0)</f>
        <v>-0.57659473194189592</v>
      </c>
      <c r="BO54" s="137">
        <f>_xll.xSPRDOPT($BW54,$BV54,$CG54,0,$BY54,$BX54,$BZ54,$AJ54,1,0)</f>
        <v>0.61037384045505394</v>
      </c>
      <c r="BP54" s="137"/>
      <c r="BQ54" s="137"/>
      <c r="BR54" s="137"/>
      <c r="BS54" s="137"/>
      <c r="BV54" s="262">
        <v>3.408226221079691</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3.3399999999999999E-2</v>
      </c>
      <c r="CH54" s="258">
        <v>10.026709456887795</v>
      </c>
      <c r="CI54" s="258">
        <v>3.302</v>
      </c>
      <c r="CJ54" s="258"/>
      <c r="CK54" s="258"/>
      <c r="CL54" s="258"/>
      <c r="CM54" s="258"/>
    </row>
    <row r="55" spans="1:91" x14ac:dyDescent="0.25">
      <c r="A55" s="723"/>
      <c r="B55" s="723"/>
      <c r="D55" s="31">
        <f t="shared" si="52"/>
        <v>38275</v>
      </c>
      <c r="F55" s="28">
        <f t="shared" si="53"/>
        <v>732</v>
      </c>
      <c r="G55" s="28">
        <f t="shared" si="13"/>
        <v>648.77646980245254</v>
      </c>
      <c r="H55" s="52">
        <f t="shared" si="54"/>
        <v>3.433933161953727</v>
      </c>
      <c r="I55" s="52">
        <f t="shared" si="55"/>
        <v>3.7770000000000001</v>
      </c>
      <c r="K55" s="52">
        <f t="shared" si="56"/>
        <v>8.5082531394522078</v>
      </c>
      <c r="L55" s="135">
        <f t="shared" si="57"/>
        <v>4.5628179368151223E-6</v>
      </c>
      <c r="N55" s="131">
        <f t="shared" si="48"/>
        <v>0.3259749105978777</v>
      </c>
      <c r="O55" s="131">
        <f t="shared" si="49"/>
        <v>0.3259749105978777</v>
      </c>
      <c r="P55" s="55">
        <f t="shared" si="50"/>
        <v>1</v>
      </c>
      <c r="Q55" s="135">
        <f>_xll.xSPRDOPT(I55,H55,AQ55,0,O55,N55,P55,D55-$G$5,1,0)*AH55*AU55</f>
        <v>8.5082577022701447</v>
      </c>
      <c r="R55" s="135"/>
      <c r="S55" s="181">
        <f>_xll.xSPRDOPT(I55,H55,AQ55,AT55,O55,N55,P55,D55-$G$5,1,2)*AF55*(F55/(1-AR55))*AH55</f>
        <v>-20653.917442812282</v>
      </c>
      <c r="T55" s="181">
        <f>_xll.xSPRDOPT(I55,H55,AQ55,AT55,O55,N55,P55,D55-$G$5,1,1)*AF55*F55*AH55</f>
        <v>20085.93471332069</v>
      </c>
      <c r="U55" s="135"/>
      <c r="V55" s="146">
        <f t="shared" si="58"/>
        <v>10.311557489921688</v>
      </c>
      <c r="W55" s="146"/>
      <c r="X55" s="338">
        <f t="shared" si="59"/>
        <v>0</v>
      </c>
      <c r="Y55" s="338">
        <f t="shared" si="20"/>
        <v>0</v>
      </c>
      <c r="Z55" s="338">
        <f t="shared" si="21"/>
        <v>2.1821344220101473</v>
      </c>
      <c r="AA55" s="338">
        <f t="shared" si="22"/>
        <v>3.3571744878822997E-6</v>
      </c>
      <c r="AB55" s="338">
        <f t="shared" si="60"/>
        <v>0</v>
      </c>
      <c r="AC55" s="338">
        <f t="shared" si="61"/>
        <v>2.2056748613043222</v>
      </c>
      <c r="AF55" s="138">
        <f t="shared" si="62"/>
        <v>1</v>
      </c>
      <c r="AG55" s="138">
        <f t="shared" si="63"/>
        <v>10</v>
      </c>
      <c r="AH55" s="138">
        <f t="shared" si="73"/>
        <v>31</v>
      </c>
      <c r="AI55" s="138">
        <f t="shared" si="64"/>
        <v>1019</v>
      </c>
      <c r="AJ55" s="138">
        <f t="shared" si="65"/>
        <v>1036</v>
      </c>
      <c r="AL55" s="136">
        <f t="shared" si="29"/>
        <v>3.327</v>
      </c>
      <c r="AM55" s="258">
        <f t="shared" si="30"/>
        <v>7.4999999999999997E-3</v>
      </c>
      <c r="AN55" s="258">
        <f t="shared" si="31"/>
        <v>5.0000000000000001E-3</v>
      </c>
      <c r="AO55" s="258">
        <f t="shared" si="32"/>
        <v>0.45</v>
      </c>
      <c r="AP55" s="258">
        <f t="shared" si="33"/>
        <v>0</v>
      </c>
      <c r="AQ55" s="136">
        <f t="shared" si="66"/>
        <v>3.3399999999999999E-2</v>
      </c>
      <c r="AR55" s="137">
        <f t="shared" si="35"/>
        <v>2.75E-2</v>
      </c>
      <c r="AS55" s="136">
        <f t="shared" si="67"/>
        <v>3.3394999999999997</v>
      </c>
      <c r="AT55" s="137">
        <f t="shared" si="68"/>
        <v>4.3133129078657198E-2</v>
      </c>
      <c r="AU55" s="137">
        <f t="shared" si="38"/>
        <v>0.88630665273559095</v>
      </c>
      <c r="AV55" s="394">
        <f t="shared" si="69"/>
        <v>576.98563093086966</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3.1685687821726172E-7</v>
      </c>
      <c r="BG55" s="137">
        <f>_xll.xSPRDOPT($BW55,$BV55,$CG55,0,$BY55,$BX55,$BZ55,$AJ55,1,3)*$CB55</f>
        <v>-2.1123791881150783E-7</v>
      </c>
      <c r="BH55" s="137">
        <f>IF(OR(BF55&lt;&gt;0,BG55&lt;&gt;0),_xll.xSPRDOPT($BW55,$BV55,$CG55,0,$BY55,$BX55,$BZ55,$AJ55,1,12)*$CB55,0)</f>
        <v>-1.0561895940575391E-7</v>
      </c>
      <c r="BI55" s="137">
        <f>_xll.xSPRDOPT($BW55,$BV55,$CG55,2*LN(1+CA55/2),$BY55,$BX55,$BZ55,$AJ55,1,9)</f>
        <v>1.1707864704730101E-2</v>
      </c>
      <c r="BJ55" s="137">
        <f>_xll.xSPRDOPT($BW55,$BV55,$CG55,0,$BY55,$BX55,$BZ55,$AJ55,1,6)*$CB55</f>
        <v>-8.6504163041486979E-5</v>
      </c>
      <c r="BK55" s="137">
        <f>_xll.xSPRDOPT($BW55,$BV55,$CG55,0,$BY55,$BX55,$BZ55,$AJ55,1,5)*$CB55</f>
        <v>9.5146350744736776E-5</v>
      </c>
      <c r="BL55" s="137">
        <f>_xll.xSPRDOPT(BW55,BV55,CG55,0,BY55,BX55,BZ55,AJ55,1,2)*CB55</f>
        <v>-0.8859929360844655</v>
      </c>
      <c r="BM55" s="137">
        <f>_xll.xSPRDOPT(BW55,BV55,CG55,0,BY55,BX55,BZ55,AJ55,1,1)*CB55</f>
        <v>0.88599293609171781</v>
      </c>
      <c r="BN55" s="137">
        <f>IF(AH55&lt;&gt;0,_xll.xSPRDOPT($BW55,$BV55,$CG55,2*LN(1+CA55/2),$BY55,$BX55,$BZ55,$AJ55,1,8)+(AJ55/365.25)*CH55/AH55,0)</f>
        <v>0.16493905975913048</v>
      </c>
      <c r="BO55" s="137">
        <f>_xll.xSPRDOPT($BW55,$BV55,$CG55,0,$BY55,$BX55,$BZ55,$AJ55,1,0)</f>
        <v>0.30966700856263485</v>
      </c>
      <c r="BP55" s="137"/>
      <c r="BQ55" s="137"/>
      <c r="BR55" s="137"/>
      <c r="BS55" s="137"/>
      <c r="BV55" s="262">
        <v>3.433933161953727</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3.3399999999999999E-2</v>
      </c>
      <c r="CH55" s="258">
        <v>10.307943819184599</v>
      </c>
      <c r="CI55" s="258">
        <v>3.327</v>
      </c>
      <c r="CJ55" s="258"/>
      <c r="CK55" s="258"/>
      <c r="CL55" s="258"/>
      <c r="CM55" s="258"/>
    </row>
    <row r="56" spans="1:91" x14ac:dyDescent="0.25">
      <c r="A56" s="723"/>
      <c r="B56" s="723"/>
      <c r="D56" s="31">
        <f t="shared" si="52"/>
        <v>38306</v>
      </c>
      <c r="F56" s="28">
        <f t="shared" si="53"/>
        <v>732</v>
      </c>
      <c r="G56" s="28">
        <f t="shared" si="13"/>
        <v>645.34836371149379</v>
      </c>
      <c r="H56" s="52">
        <f t="shared" si="54"/>
        <v>3.5902313624678661</v>
      </c>
      <c r="I56" s="52">
        <f t="shared" si="55"/>
        <v>3.9290000000000003</v>
      </c>
      <c r="K56" s="52">
        <f t="shared" si="56"/>
        <v>8.0766045311545511</v>
      </c>
      <c r="L56" s="135">
        <f t="shared" si="57"/>
        <v>7.388503355798548E-6</v>
      </c>
      <c r="N56" s="131">
        <f t="shared" si="48"/>
        <v>0.33162000992991286</v>
      </c>
      <c r="O56" s="131">
        <f t="shared" si="49"/>
        <v>0.33162000992991286</v>
      </c>
      <c r="P56" s="55">
        <f t="shared" si="50"/>
        <v>1</v>
      </c>
      <c r="Q56" s="135">
        <f>_xll.xSPRDOPT(I56,H56,AQ56,0,O56,N56,P56,D56-$G$5,1,0)*AH56*AU56</f>
        <v>8.0766119196579069</v>
      </c>
      <c r="R56" s="135"/>
      <c r="S56" s="181">
        <f>_xll.xSPRDOPT(I56,H56,AQ56,AT56,O56,N56,P56,D56-$G$5,1,2)*AF56*(F56/(1-AR56))*AH56</f>
        <v>-19880.556620949679</v>
      </c>
      <c r="T56" s="181">
        <f>_xll.xSPRDOPT(I56,H56,AQ56,AT56,O56,N56,P56,D56-$G$5,1,1)*AF56*F56*AH56</f>
        <v>19333.841313873563</v>
      </c>
      <c r="U56" s="135"/>
      <c r="V56" s="146">
        <f t="shared" si="58"/>
        <v>9.9261983975788368</v>
      </c>
      <c r="W56" s="146"/>
      <c r="X56" s="338">
        <f t="shared" si="59"/>
        <v>0</v>
      </c>
      <c r="Y56" s="338">
        <f t="shared" si="20"/>
        <v>0</v>
      </c>
      <c r="Z56" s="338">
        <f t="shared" si="21"/>
        <v>2.0992013973711154</v>
      </c>
      <c r="AA56" s="338">
        <f t="shared" si="22"/>
        <v>1.0844600566993946E-5</v>
      </c>
      <c r="AB56" s="338">
        <f t="shared" si="60"/>
        <v>0</v>
      </c>
      <c r="AC56" s="338">
        <f t="shared" si="61"/>
        <v>2.1223003220198029</v>
      </c>
      <c r="AF56" s="138">
        <f t="shared" si="62"/>
        <v>1</v>
      </c>
      <c r="AG56" s="138">
        <f t="shared" si="63"/>
        <v>11</v>
      </c>
      <c r="AH56" s="138">
        <f t="shared" si="73"/>
        <v>30</v>
      </c>
      <c r="AI56" s="138">
        <f t="shared" si="64"/>
        <v>1050</v>
      </c>
      <c r="AJ56" s="138">
        <f t="shared" si="65"/>
        <v>1067</v>
      </c>
      <c r="AL56" s="136">
        <f t="shared" si="29"/>
        <v>3.4790000000000001</v>
      </c>
      <c r="AM56" s="258">
        <f t="shared" si="30"/>
        <v>5.0000000000000001E-3</v>
      </c>
      <c r="AN56" s="258">
        <f t="shared" si="31"/>
        <v>7.4999999999999997E-3</v>
      </c>
      <c r="AO56" s="258">
        <f t="shared" si="32"/>
        <v>0.45</v>
      </c>
      <c r="AP56" s="258">
        <f t="shared" si="33"/>
        <v>0</v>
      </c>
      <c r="AQ56" s="136">
        <f t="shared" si="66"/>
        <v>3.3399999999999999E-2</v>
      </c>
      <c r="AR56" s="137">
        <f t="shared" si="35"/>
        <v>2.75E-2</v>
      </c>
      <c r="AS56" s="136">
        <f t="shared" si="67"/>
        <v>3.4914999999999998</v>
      </c>
      <c r="AT56" s="137">
        <f t="shared" si="68"/>
        <v>4.37209690349563E-2</v>
      </c>
      <c r="AU56" s="137">
        <f t="shared" si="38"/>
        <v>0.88162344769329748</v>
      </c>
      <c r="AV56" s="394">
        <f t="shared" si="69"/>
        <v>555.42277204677737</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-9.4554339326744066E-7</v>
      </c>
      <c r="BG56" s="137">
        <f>_xll.xSPRDOPT($BW56,$BV56,$CG56,0,$BY56,$BX56,$BZ56,$AJ56,1,3)*$CB56</f>
        <v>-8.4048301623772504E-7</v>
      </c>
      <c r="BH56" s="137">
        <f>IF(OR(BF56&lt;&gt;0,BG56&lt;&gt;0),_xll.xSPRDOPT($BW56,$BV56,$CG56,0,$BY56,$BX56,$BZ56,$AJ56,1,12)*$CB56,0)</f>
        <v>5.2530188514857819E-7</v>
      </c>
      <c r="BI56" s="137">
        <f>_xll.xSPRDOPT($BW56,$BV56,$CG56,2*LN(1+CA56/2),$BY56,$BX56,$BZ56,$AJ56,1,9)</f>
        <v>1.1638331973129931E-2</v>
      </c>
      <c r="BJ56" s="137">
        <f>_xll.xSPRDOPT($BW56,$BV56,$CG56,0,$BY56,$BX56,$BZ56,$AJ56,1,6)*$CB56</f>
        <v>-2.1817255788261219E-4</v>
      </c>
      <c r="BK56" s="137">
        <f>_xll.xSPRDOPT($BW56,$BV56,$CG56,0,$BY56,$BX56,$BZ56,$AJ56,1,5)*$CB56</f>
        <v>2.3357111522876004E-4</v>
      </c>
      <c r="BL56" s="137">
        <f>_xll.xSPRDOPT(BW56,BV56,CG56,0,BY56,BX56,BZ56,AJ56,1,2)*CB56</f>
        <v>-0.88130157857293823</v>
      </c>
      <c r="BM56" s="137">
        <f>_xll.xSPRDOPT(BW56,BV56,CG56,0,BY56,BX56,BZ56,AJ56,1,1)*CB56</f>
        <v>0.88130157856893054</v>
      </c>
      <c r="BN56" s="137">
        <f>IF(AH56&lt;&gt;0,_xll.xSPRDOPT($BW56,$BV56,$CG56,2*LN(1+CA56/2),$BY56,$BX56,$BZ56,$AJ56,1,8)+(AJ56/365.25)*CH56/AH56,0)</f>
        <v>0.18004176299876318</v>
      </c>
      <c r="BO56" s="137">
        <f>_xll.xSPRDOPT($BW56,$BV56,$CG56,0,$BY56,$BX56,$BZ56,$AJ56,1,0)</f>
        <v>0.30536892460180226</v>
      </c>
      <c r="BP56" s="137"/>
      <c r="BQ56" s="137"/>
      <c r="BR56" s="137"/>
      <c r="BS56" s="137"/>
      <c r="BV56" s="262">
        <v>3.5902313624678661</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52"/>
        <v>38336</v>
      </c>
      <c r="F57" s="28">
        <f t="shared" si="53"/>
        <v>732</v>
      </c>
      <c r="G57" s="28">
        <f t="shared" si="13"/>
        <v>641.98869200905688</v>
      </c>
      <c r="H57" s="52">
        <f t="shared" si="54"/>
        <v>3.7372750642673518</v>
      </c>
      <c r="I57" s="52">
        <f t="shared" si="55"/>
        <v>4.0220000000000002</v>
      </c>
      <c r="K57" s="52">
        <f t="shared" si="56"/>
        <v>6.8330338382078706</v>
      </c>
      <c r="L57" s="135">
        <f t="shared" si="57"/>
        <v>4.6602799014472396E-5</v>
      </c>
      <c r="N57" s="131">
        <f t="shared" si="48"/>
        <v>0.33926384180861408</v>
      </c>
      <c r="O57" s="131">
        <f t="shared" si="49"/>
        <v>0.33926384180861408</v>
      </c>
      <c r="P57" s="55">
        <f t="shared" si="50"/>
        <v>0.99999999999999978</v>
      </c>
      <c r="Q57" s="135">
        <f>_xll.xSPRDOPT(I57,H57,AQ57,0,O57,N57,P57,D57-$G$5,1,0)*AH57*AU57</f>
        <v>6.8330804410068851</v>
      </c>
      <c r="R57" s="135"/>
      <c r="S57" s="181">
        <f>_xll.xSPRDOPT(I57,H57,AQ57,AT57,O57,N57,P57,D57-$G$5,1,2)*AF57*(F57/(1-AR57))*AH57</f>
        <v>-20434.287482934164</v>
      </c>
      <c r="T57" s="181">
        <f>_xll.xSPRDOPT(I57,H57,AQ57,AT57,O57,N57,P57,D57-$G$5,1,1)*AF57*F57*AH57</f>
        <v>19872.34457734954</v>
      </c>
      <c r="U57" s="135"/>
      <c r="V57" s="146">
        <f t="shared" si="58"/>
        <v>10.203673551148869</v>
      </c>
      <c r="W57" s="146"/>
      <c r="X57" s="338">
        <f t="shared" si="59"/>
        <v>0</v>
      </c>
      <c r="Y57" s="338">
        <f t="shared" si="20"/>
        <v>0</v>
      </c>
      <c r="Z57" s="338">
        <f t="shared" si="21"/>
        <v>1.7985360408785573</v>
      </c>
      <c r="AA57" s="338">
        <f t="shared" si="22"/>
        <v>5.5934304257660851E-5</v>
      </c>
      <c r="AB57" s="338">
        <f t="shared" si="60"/>
        <v>0</v>
      </c>
      <c r="AC57" s="338">
        <f t="shared" si="61"/>
        <v>1.8188906763754427</v>
      </c>
      <c r="AF57" s="138">
        <f t="shared" si="62"/>
        <v>1</v>
      </c>
      <c r="AG57" s="138">
        <f t="shared" si="63"/>
        <v>12</v>
      </c>
      <c r="AH57" s="138">
        <f t="shared" si="73"/>
        <v>31</v>
      </c>
      <c r="AI57" s="138">
        <f t="shared" si="64"/>
        <v>1080</v>
      </c>
      <c r="AJ57" s="138">
        <f t="shared" si="65"/>
        <v>1097</v>
      </c>
      <c r="AL57" s="136">
        <f t="shared" si="29"/>
        <v>3.6219999999999999</v>
      </c>
      <c r="AM57" s="258">
        <f t="shared" si="30"/>
        <v>5.0000000000000001E-3</v>
      </c>
      <c r="AN57" s="258">
        <f t="shared" si="31"/>
        <v>7.4999999999999997E-3</v>
      </c>
      <c r="AO57" s="258">
        <f t="shared" si="32"/>
        <v>0.4</v>
      </c>
      <c r="AP57" s="258">
        <f t="shared" si="33"/>
        <v>0</v>
      </c>
      <c r="AQ57" s="136">
        <f t="shared" si="66"/>
        <v>3.3399999999999999E-2</v>
      </c>
      <c r="AR57" s="137">
        <f t="shared" si="35"/>
        <v>2.75E-2</v>
      </c>
      <c r="AS57" s="136">
        <f t="shared" si="67"/>
        <v>3.6344999999999996</v>
      </c>
      <c r="AT57" s="137">
        <f t="shared" si="68"/>
        <v>4.4289846522210997E-2</v>
      </c>
      <c r="AU57" s="137">
        <f t="shared" si="38"/>
        <v>0.87703373225281001</v>
      </c>
      <c r="AV57" s="394">
        <f t="shared" si="69"/>
        <v>570.94895969657932</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-4.1805182726308226E-7</v>
      </c>
      <c r="BG57" s="137">
        <f>_xll.xSPRDOPT($BW57,$BV57,$CG57,0,$BY57,$BX57,$BZ57,$AJ57,1,3)*$CB57</f>
        <v>7.3159069771039398E-7</v>
      </c>
      <c r="BH57" s="137">
        <f>IF(OR(BF57&lt;&gt;0,BG57&lt;&gt;0),_xll.xSPRDOPT($BW57,$BV57,$CG57,0,$BY57,$BX57,$BZ57,$AJ57,1,12)*$CB57,0)</f>
        <v>-1.0973860465655909E-6</v>
      </c>
      <c r="BI57" s="137">
        <f>_xll.xSPRDOPT($BW57,$BV57,$CG57,2*LN(1+CA57/2),$BY57,$BX57,$BZ57,$AJ57,1,9)</f>
        <v>9.6497339580893862E-3</v>
      </c>
      <c r="BJ57" s="137">
        <f>_xll.xSPRDOPT($BW57,$BV57,$CG57,0,$BY57,$BX57,$BZ57,$AJ57,1,6)*$CB57</f>
        <v>-6.3291662364605133E-4</v>
      </c>
      <c r="BK57" s="137">
        <f>_xll.xSPRDOPT($BW57,$BV57,$CG57,0,$BY57,$BX57,$BZ57,$AJ57,1,5)*$CB57</f>
        <v>6.8113548632970429E-4</v>
      </c>
      <c r="BL57" s="137">
        <f>_xll.xSPRDOPT(BW57,BV57,CG57,0,BY57,BX57,BZ57,AJ57,1,2)*CB57</f>
        <v>-0.87669545074641841</v>
      </c>
      <c r="BM57" s="137">
        <f>_xll.xSPRDOPT(BW57,BV57,CG57,0,BY57,BX57,BZ57,AJ57,1,1)*CB57</f>
        <v>0.87669545075279742</v>
      </c>
      <c r="BN57" s="137">
        <f>IF(AH57&lt;&gt;0,_xll.xSPRDOPT($BW57,$BV57,$CG57,2*LN(1+CA57/2),$BY57,$BX57,$BZ57,$AJ57,1,8)+(AJ57/365.25)*CH57/AH57,0)</f>
        <v>0.32644099708008079</v>
      </c>
      <c r="BO57" s="137">
        <f>_xll.xSPRDOPT($BW57,$BV57,$CG57,0,$BY57,$BX57,$BZ57,$AJ57,1,0)</f>
        <v>0.25132667257719643</v>
      </c>
      <c r="BP57" s="137"/>
      <c r="BQ57" s="137"/>
      <c r="BR57" s="137"/>
      <c r="BS57" s="137"/>
      <c r="BV57" s="262">
        <v>3.7372750642673518</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52"/>
        <v>38367</v>
      </c>
      <c r="F58" s="28">
        <f t="shared" si="53"/>
        <v>732</v>
      </c>
      <c r="G58" s="28">
        <f t="shared" si="13"/>
        <v>638.51824283777853</v>
      </c>
      <c r="H58" s="52">
        <f t="shared" si="54"/>
        <v>3.7989717223650379</v>
      </c>
      <c r="I58" s="52">
        <f t="shared" si="55"/>
        <v>4.032</v>
      </c>
      <c r="K58" s="52">
        <f t="shared" si="56"/>
        <v>5.3981628534733002</v>
      </c>
      <c r="L58" s="135">
        <f t="shared" si="57"/>
        <v>2.026383302089485E-4</v>
      </c>
      <c r="N58" s="131">
        <f t="shared" si="48"/>
        <v>0.33874838161277315</v>
      </c>
      <c r="O58" s="131">
        <f t="shared" si="49"/>
        <v>0.33874838161277315</v>
      </c>
      <c r="P58" s="55">
        <f t="shared" si="50"/>
        <v>1</v>
      </c>
      <c r="Q58" s="135">
        <f>_xll.xSPRDOPT(I58,H58,AQ58,0,O58,N58,P58,D58-$G$5,1,0)*AH58*AU58</f>
        <v>5.3983654918035091</v>
      </c>
      <c r="R58" s="135"/>
      <c r="S58" s="181">
        <f>_xll.xSPRDOPT(I58,H58,AQ58,AT58,O58,N58,P58,D58-$G$5,1,2)*AF58*(F58/(1-AR58))*AH58</f>
        <v>-20319.171454830917</v>
      </c>
      <c r="T58" s="181">
        <f>_xll.xSPRDOPT(I58,H58,AQ58,AT58,O58,N58,P58,D58-$G$5,1,1)*AF58*F58*AH58</f>
        <v>19760.394239761154</v>
      </c>
      <c r="U58" s="135"/>
      <c r="V58" s="146">
        <f t="shared" si="58"/>
        <v>10.148514744054054</v>
      </c>
      <c r="W58" s="146"/>
      <c r="X58" s="338">
        <f t="shared" si="59"/>
        <v>0</v>
      </c>
      <c r="Y58" s="338">
        <f t="shared" si="20"/>
        <v>0</v>
      </c>
      <c r="Z58" s="338">
        <f t="shared" si="21"/>
        <v>1.4367775337681832</v>
      </c>
      <c r="AA58" s="338">
        <f t="shared" si="22"/>
        <v>2.6395468497629785E-4</v>
      </c>
      <c r="AB58" s="338">
        <f t="shared" si="60"/>
        <v>0</v>
      </c>
      <c r="AC58" s="338">
        <f t="shared" si="61"/>
        <v>1.4553122165741079</v>
      </c>
      <c r="AF58" s="138">
        <f t="shared" si="62"/>
        <v>1</v>
      </c>
      <c r="AG58" s="138">
        <f t="shared" si="63"/>
        <v>1</v>
      </c>
      <c r="AH58" s="138">
        <f t="shared" si="73"/>
        <v>31</v>
      </c>
      <c r="AI58" s="138">
        <f t="shared" si="64"/>
        <v>1111</v>
      </c>
      <c r="AJ58" s="138">
        <f t="shared" si="65"/>
        <v>1128</v>
      </c>
      <c r="AL58" s="136">
        <f t="shared" si="29"/>
        <v>3.6819999999999999</v>
      </c>
      <c r="AM58" s="258">
        <f t="shared" si="30"/>
        <v>5.0000000000000001E-3</v>
      </c>
      <c r="AN58" s="258">
        <f t="shared" si="31"/>
        <v>7.4999999999999997E-3</v>
      </c>
      <c r="AO58" s="258">
        <f t="shared" si="32"/>
        <v>0.35</v>
      </c>
      <c r="AP58" s="258">
        <f t="shared" si="33"/>
        <v>0</v>
      </c>
      <c r="AQ58" s="136">
        <f t="shared" si="66"/>
        <v>3.3399999999999999E-2</v>
      </c>
      <c r="AR58" s="137">
        <f t="shared" si="35"/>
        <v>2.75E-2</v>
      </c>
      <c r="AS58" s="136">
        <f t="shared" si="67"/>
        <v>3.6944999999999997</v>
      </c>
      <c r="AT58" s="137">
        <f t="shared" si="68"/>
        <v>4.4854887495736399E-2</v>
      </c>
      <c r="AU58" s="137">
        <f t="shared" si="38"/>
        <v>0.87229268147237504</v>
      </c>
      <c r="AV58" s="394">
        <f t="shared" si="69"/>
        <v>567.86253563851619</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4.6776379920794391E-7</v>
      </c>
      <c r="BG58" s="137">
        <f>_xll.xSPRDOPT($BW58,$BV58,$CG58,0,$BY58,$BX58,$BZ58,$AJ58,1,3)*$CB58</f>
        <v>1.0394751093509864E-7</v>
      </c>
      <c r="BH58" s="137">
        <f>IF(OR(BF58&lt;&gt;0,BG58&lt;&gt;0),_xll.xSPRDOPT($BW58,$BV58,$CG58,0,$BY58,$BX58,$BZ58,$AJ58,1,12)*$CB58,0)</f>
        <v>1.0394751093509864E-7</v>
      </c>
      <c r="BI58" s="137">
        <f>_xll.xSPRDOPT($BW58,$BV58,$CG58,2*LN(1+CA58/2),$BY58,$BX58,$BZ58,$AJ58,1,9)</f>
        <v>7.7087812769379635E-3</v>
      </c>
      <c r="BJ58" s="137">
        <f>_xll.xSPRDOPT($BW58,$BV58,$CG58,0,$BY58,$BX58,$BZ58,$AJ58,1,6)*$CB58</f>
        <v>-3.9162629483004679E-3</v>
      </c>
      <c r="BK58" s="137">
        <f>_xll.xSPRDOPT($BW58,$BV58,$CG58,0,$BY58,$BX58,$BZ58,$AJ58,1,5)*$CB58</f>
        <v>4.1564858552836891E-3</v>
      </c>
      <c r="BL58" s="137">
        <f>_xll.xSPRDOPT(BW58,BV58,CG58,0,BY58,BX58,BZ58,AJ58,1,2)*CB58</f>
        <v>-0.87182183221975151</v>
      </c>
      <c r="BM58" s="137">
        <f>_xll.xSPRDOPT(BW58,BV58,CG58,0,BY58,BX58,BZ58,AJ58,1,1)*CB58</f>
        <v>0.87182183221340703</v>
      </c>
      <c r="BN58" s="137">
        <f>IF(AH58&lt;&gt;0,_xll.xSPRDOPT($BW58,$BV58,$CG58,2*LN(1+CA58/2),$BY58,$BX58,$BZ58,$AJ58,1,8)+(AJ58/365.25)*CH58/AH58,0)</f>
        <v>0.47304878174838216</v>
      </c>
      <c r="BO58" s="137">
        <f>_xll.xSPRDOPT($BW58,$BV58,$CG58,0,$BY58,$BX58,$BZ58,$AJ58,1,0)</f>
        <v>0.19963588234133645</v>
      </c>
      <c r="BP58" s="137"/>
      <c r="BQ58" s="137"/>
      <c r="BR58" s="137"/>
      <c r="BS58" s="137"/>
      <c r="BV58" s="262">
        <v>3.7989717223650379</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52"/>
        <v>38398</v>
      </c>
      <c r="F59" s="28">
        <f t="shared" si="53"/>
        <v>732</v>
      </c>
      <c r="G59" s="28">
        <f t="shared" si="13"/>
        <v>635.04417824089683</v>
      </c>
      <c r="H59" s="52">
        <f t="shared" si="54"/>
        <v>3.7115681233933158</v>
      </c>
      <c r="I59" s="52">
        <f t="shared" si="55"/>
        <v>3.9470000000000001</v>
      </c>
      <c r="K59" s="52">
        <f t="shared" si="56"/>
        <v>4.9076184120606925</v>
      </c>
      <c r="L59" s="135">
        <f t="shared" si="57"/>
        <v>1.7198880548363604E-4</v>
      </c>
      <c r="N59" s="131">
        <f t="shared" si="48"/>
        <v>0.33420972413423633</v>
      </c>
      <c r="O59" s="131">
        <f t="shared" si="49"/>
        <v>0.33420972413423633</v>
      </c>
      <c r="P59" s="55">
        <f t="shared" si="50"/>
        <v>1.0000000000000002</v>
      </c>
      <c r="Q59" s="135">
        <f>_xll.xSPRDOPT(I59,H59,AQ59,0,O59,N59,P59,D59-$G$5,1,0)*AH59*AU59</f>
        <v>4.9077904008661761</v>
      </c>
      <c r="R59" s="135"/>
      <c r="S59" s="181">
        <f>_xll.xSPRDOPT(I59,H59,AQ59,AT59,O59,N59,P59,D59-$G$5,1,2)*AF59*(F59/(1-AR59))*AH59</f>
        <v>-18251.482378110341</v>
      </c>
      <c r="T59" s="181">
        <f>_xll.xSPRDOPT(I59,H59,AQ59,AT59,O59,N59,P59,D59-$G$5,1,1)*AF59*F59*AH59</f>
        <v>17749.56661233948</v>
      </c>
      <c r="U59" s="135"/>
      <c r="V59" s="146">
        <f t="shared" si="58"/>
        <v>9.1165276538615316</v>
      </c>
      <c r="W59" s="146"/>
      <c r="X59" s="338">
        <f t="shared" si="59"/>
        <v>0</v>
      </c>
      <c r="Y59" s="338">
        <f t="shared" si="20"/>
        <v>0</v>
      </c>
      <c r="Z59" s="338">
        <f t="shared" si="21"/>
        <v>1.3220258843423718</v>
      </c>
      <c r="AA59" s="338">
        <f t="shared" si="22"/>
        <v>2.1145513840664862E-4</v>
      </c>
      <c r="AB59" s="338">
        <f t="shared" si="60"/>
        <v>0</v>
      </c>
      <c r="AC59" s="338">
        <f t="shared" si="61"/>
        <v>1.3391680996686814</v>
      </c>
      <c r="AF59" s="138">
        <f t="shared" si="62"/>
        <v>1</v>
      </c>
      <c r="AG59" s="138">
        <f t="shared" si="63"/>
        <v>2</v>
      </c>
      <c r="AH59" s="138">
        <f t="shared" si="73"/>
        <v>28</v>
      </c>
      <c r="AI59" s="138">
        <f t="shared" si="64"/>
        <v>1142</v>
      </c>
      <c r="AJ59" s="138">
        <f t="shared" si="65"/>
        <v>1159</v>
      </c>
      <c r="AL59" s="136">
        <f t="shared" si="29"/>
        <v>3.597</v>
      </c>
      <c r="AM59" s="258">
        <f t="shared" si="30"/>
        <v>5.0000000000000001E-3</v>
      </c>
      <c r="AN59" s="258">
        <f t="shared" si="31"/>
        <v>7.4999999999999997E-3</v>
      </c>
      <c r="AO59" s="258">
        <f t="shared" si="32"/>
        <v>0.35</v>
      </c>
      <c r="AP59" s="258">
        <f t="shared" si="33"/>
        <v>0</v>
      </c>
      <c r="AQ59" s="136">
        <f t="shared" si="66"/>
        <v>3.3399999999999999E-2</v>
      </c>
      <c r="AR59" s="137">
        <f t="shared" si="35"/>
        <v>2.75E-2</v>
      </c>
      <c r="AS59" s="136">
        <f t="shared" si="67"/>
        <v>3.6094999999999997</v>
      </c>
      <c r="AT59" s="137">
        <f t="shared" si="68"/>
        <v>4.5401152752323697E-2</v>
      </c>
      <c r="AU59" s="137">
        <f t="shared" si="38"/>
        <v>0.86754669158592468</v>
      </c>
      <c r="AV59" s="394">
        <f t="shared" si="69"/>
        <v>510.11745465252369</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0</v>
      </c>
      <c r="BG59" s="137">
        <f>_xll.xSPRDOPT($BW59,$BV59,$CG59,0,$BY59,$BX59,$BZ59,$AJ59,1,3)*$CB59</f>
        <v>-8.2705197867894578E-7</v>
      </c>
      <c r="BH59" s="137">
        <f>IF(OR(BF59&lt;&gt;0,BG59&lt;&gt;0),_xll.xSPRDOPT($BW59,$BV59,$CG59,0,$BY59,$BX59,$BZ59,$AJ59,1,12)*$CB59,0)</f>
        <v>7.495158556777946E-7</v>
      </c>
      <c r="BI59" s="137">
        <f>_xll.xSPRDOPT($BW59,$BV59,$CG59,2*LN(1+CA59/2),$BY59,$BX59,$BZ59,$AJ59,1,9)</f>
        <v>7.853076279209786E-3</v>
      </c>
      <c r="BJ59" s="137">
        <f>_xll.xSPRDOPT($BW59,$BV59,$CG59,0,$BY59,$BX59,$BZ59,$AJ59,1,6)*$CB59</f>
        <v>-3.8565741379387886E-3</v>
      </c>
      <c r="BK59" s="137">
        <f>_xll.xSPRDOPT($BW59,$BV59,$CG59,0,$BY59,$BX59,$BZ59,$AJ59,1,5)*$CB59</f>
        <v>4.1012040199872972E-3</v>
      </c>
      <c r="BL59" s="137">
        <f>_xll.xSPRDOPT(BW59,BV59,CG59,0,BY59,BX59,BZ59,AJ59,1,2)*CB59</f>
        <v>-0.86707462863920626</v>
      </c>
      <c r="BM59" s="137">
        <f>_xll.xSPRDOPT(BW59,BV59,CG59,0,BY59,BX59,BZ59,AJ59,1,1)*CB59</f>
        <v>0.86707462862027651</v>
      </c>
      <c r="BN59" s="137">
        <f>IF(AH59&lt;&gt;0,_xll.xSPRDOPT($BW59,$BV59,$CG59,2*LN(1+CA59/2),$BY59,$BX59,$BZ59,$AJ59,1,8)+(AJ59/365.25)*CH59/AH59,0)</f>
        <v>0.47678938493390433</v>
      </c>
      <c r="BO59" s="137">
        <f>_xll.xSPRDOPT($BW59,$BV59,$CG59,0,$BY59,$BX59,$BZ59,$AJ59,1,0)</f>
        <v>0.20203906720052706</v>
      </c>
      <c r="BP59" s="137"/>
      <c r="BQ59" s="137"/>
      <c r="BR59" s="137"/>
      <c r="BS59" s="137"/>
      <c r="BV59" s="262">
        <v>3.7115681233933158</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3.3399999999999999E-2</v>
      </c>
      <c r="CH59" s="258">
        <v>9.1131666893371701</v>
      </c>
      <c r="CI59" s="258">
        <v>3.597</v>
      </c>
      <c r="CJ59" s="258"/>
      <c r="CK59" s="258"/>
      <c r="CL59" s="258"/>
      <c r="CM59" s="258"/>
    </row>
    <row r="60" spans="1:91" x14ac:dyDescent="0.25">
      <c r="A60" s="723"/>
      <c r="B60" s="723"/>
      <c r="D60" s="31">
        <f t="shared" si="52"/>
        <v>38426</v>
      </c>
      <c r="F60" s="28">
        <f t="shared" si="53"/>
        <v>732</v>
      </c>
      <c r="G60" s="28">
        <f t="shared" si="13"/>
        <v>631.87356240327779</v>
      </c>
      <c r="H60" s="52">
        <f t="shared" si="54"/>
        <v>3.5778920308483286</v>
      </c>
      <c r="I60" s="52">
        <f t="shared" si="55"/>
        <v>3.867</v>
      </c>
      <c r="K60" s="52">
        <f t="shared" si="56"/>
        <v>6.8426615676038196</v>
      </c>
      <c r="L60" s="135">
        <f t="shared" si="57"/>
        <v>2.8623285180273683E-5</v>
      </c>
      <c r="N60" s="131">
        <f t="shared" si="48"/>
        <v>0.31729237574852004</v>
      </c>
      <c r="O60" s="131">
        <f t="shared" si="49"/>
        <v>0.31729237574852004</v>
      </c>
      <c r="P60" s="55">
        <f t="shared" si="50"/>
        <v>0.99999999999999989</v>
      </c>
      <c r="Q60" s="135">
        <f>_xll.xSPRDOPT(I60,H60,AQ60,0,O60,N60,P60,D60-$G$5,1,0)*AH60*AU60</f>
        <v>6.8426901908889999</v>
      </c>
      <c r="R60" s="135"/>
      <c r="S60" s="181">
        <f>_xll.xSPRDOPT(I60,H60,AQ60,AT60,O60,N60,P60,D60-$G$5,1,2)*AF60*(F60/(1-AR60))*AH60</f>
        <v>-20107.588119077667</v>
      </c>
      <c r="T60" s="181">
        <f>_xll.xSPRDOPT(I60,H60,AQ60,AT60,O60,N60,P60,D60-$G$5,1,1)*AF60*F60*AH60</f>
        <v>19554.629445895906</v>
      </c>
      <c r="U60" s="135"/>
      <c r="V60" s="146">
        <f t="shared" si="58"/>
        <v>10.042905173590787</v>
      </c>
      <c r="W60" s="146"/>
      <c r="X60" s="338">
        <f t="shared" si="59"/>
        <v>0</v>
      </c>
      <c r="Y60" s="338">
        <f t="shared" si="20"/>
        <v>0</v>
      </c>
      <c r="Z60" s="338">
        <f t="shared" si="21"/>
        <v>1.8656026680495843</v>
      </c>
      <c r="AA60" s="338">
        <f t="shared" si="22"/>
        <v>2.9528382600044876E-5</v>
      </c>
      <c r="AB60" s="338">
        <f t="shared" si="60"/>
        <v>0</v>
      </c>
      <c r="AC60" s="338">
        <f t="shared" si="61"/>
        <v>1.8874189839803748</v>
      </c>
      <c r="AF60" s="138">
        <f t="shared" si="62"/>
        <v>1</v>
      </c>
      <c r="AG60" s="138">
        <f t="shared" si="63"/>
        <v>3</v>
      </c>
      <c r="AH60" s="138">
        <f t="shared" si="73"/>
        <v>31</v>
      </c>
      <c r="AI60" s="138">
        <f t="shared" si="64"/>
        <v>1170</v>
      </c>
      <c r="AJ60" s="138">
        <f t="shared" si="65"/>
        <v>1187</v>
      </c>
      <c r="AL60" s="136">
        <f t="shared" si="29"/>
        <v>3.4670000000000001</v>
      </c>
      <c r="AM60" s="258">
        <f t="shared" si="30"/>
        <v>5.0000000000000001E-3</v>
      </c>
      <c r="AN60" s="258">
        <f t="shared" si="31"/>
        <v>7.4999999999999997E-3</v>
      </c>
      <c r="AO60" s="258">
        <f t="shared" si="32"/>
        <v>0.4</v>
      </c>
      <c r="AP60" s="258">
        <f t="shared" si="33"/>
        <v>0</v>
      </c>
      <c r="AQ60" s="136">
        <f t="shared" si="66"/>
        <v>3.3399999999999999E-2</v>
      </c>
      <c r="AR60" s="137">
        <f t="shared" si="35"/>
        <v>2.75E-2</v>
      </c>
      <c r="AS60" s="136">
        <f t="shared" si="67"/>
        <v>3.4794999999999998</v>
      </c>
      <c r="AT60" s="137">
        <f t="shared" si="68"/>
        <v>4.5894553715070799E-2</v>
      </c>
      <c r="AU60" s="137">
        <f t="shared" si="38"/>
        <v>0.86321524918480574</v>
      </c>
      <c r="AV60" s="394">
        <f t="shared" si="69"/>
        <v>561.9531272193085</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6.1718959174647789E-7</v>
      </c>
      <c r="BG60" s="137">
        <f>_xll.xSPRDOPT($BW60,$BV60,$CG60,0,$BY60,$BX60,$BZ60,$AJ60,1,3)*$CB60</f>
        <v>2.0572986391549265E-7</v>
      </c>
      <c r="BH60" s="137">
        <f>IF(OR(BF60&lt;&gt;0,BG60&lt;&gt;0),_xll.xSPRDOPT($BW60,$BV60,$CG60,0,$BY60,$BX60,$BZ60,$AJ60,1,12)*$CB60,0)</f>
        <v>-2.0572986391549265E-7</v>
      </c>
      <c r="BI60" s="137">
        <f>_xll.xSPRDOPT($BW60,$BV60,$CG60,2*LN(1+CA60/2),$BY60,$BX60,$BZ60,$AJ60,1,9)</f>
        <v>1.0009568342809664E-2</v>
      </c>
      <c r="BJ60" s="137">
        <f>_xll.xSPRDOPT($BW60,$BV60,$CG60,0,$BY60,$BX60,$BZ60,$AJ60,1,6)*$CB60</f>
        <v>-6.617002197121881E-4</v>
      </c>
      <c r="BK60" s="137">
        <f>_xll.xSPRDOPT($BW60,$BV60,$CG60,0,$BY60,$BX60,$BZ60,$AJ60,1,5)*$CB60</f>
        <v>7.1516822728473429E-4</v>
      </c>
      <c r="BL60" s="137">
        <f>_xll.xSPRDOPT(BW60,BV60,CG60,0,BY60,BX60,BZ60,AJ60,1,2)*CB60</f>
        <v>-0.86286959362160687</v>
      </c>
      <c r="BM60" s="137">
        <f>_xll.xSPRDOPT(BW60,BV60,CG60,0,BY60,BX60,BZ60,AJ60,1,1)*CB60</f>
        <v>0.86286959362474602</v>
      </c>
      <c r="BN60" s="137">
        <f>IF(AH60&lt;&gt;0,_xll.xSPRDOPT($BW60,$BV60,$CG60,2*LN(1+CA60/2),$BY60,$BX60,$BZ60,$AJ60,1,8)+(AJ60/365.25)*CH60/AH60,0)</f>
        <v>0.33536366670948026</v>
      </c>
      <c r="BO60" s="137">
        <f>_xll.xSPRDOPT($BW60,$BV60,$CG60,0,$BY60,$BX60,$BZ60,$AJ60,1,0)</f>
        <v>0.25570906217893496</v>
      </c>
      <c r="BP60" s="137"/>
      <c r="BQ60" s="137"/>
      <c r="BR60" s="137"/>
      <c r="BS60" s="137"/>
      <c r="BV60" s="262">
        <v>3.5778920308483286</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52"/>
        <v>38457</v>
      </c>
      <c r="F61" s="28">
        <f t="shared" si="53"/>
        <v>732</v>
      </c>
      <c r="G61" s="28">
        <f t="shared" si="13"/>
        <v>628.40900327925169</v>
      </c>
      <c r="H61" s="52">
        <f t="shared" si="54"/>
        <v>3.3928020565552695</v>
      </c>
      <c r="I61" s="52">
        <f t="shared" si="55"/>
        <v>3.8820000000000001</v>
      </c>
      <c r="K61" s="52">
        <f t="shared" si="56"/>
        <v>11.738833251509671</v>
      </c>
      <c r="L61" s="135">
        <f t="shared" si="57"/>
        <v>1.3116162023152356E-6</v>
      </c>
      <c r="N61" s="131">
        <f t="shared" si="48"/>
        <v>0.29897853273193292</v>
      </c>
      <c r="O61" s="131">
        <f t="shared" si="49"/>
        <v>0.29897853273193292</v>
      </c>
      <c r="P61" s="55">
        <f t="shared" si="50"/>
        <v>0.99999999999999989</v>
      </c>
      <c r="Q61" s="135">
        <f>_xll.xSPRDOPT(I61,H61,AQ61,0,O61,N61,P61,D61-$G$5,1,0)*AH61*AU61</f>
        <v>11.738834563125874</v>
      </c>
      <c r="R61" s="135"/>
      <c r="S61" s="181">
        <f>_xll.xSPRDOPT(I61,H61,AQ61,AT61,O61,N61,P61,D61-$G$5,1,2)*AF61*(F61/(1-AR61))*AH61</f>
        <v>-19351.215514773161</v>
      </c>
      <c r="T61" s="181">
        <f>_xll.xSPRDOPT(I61,H61,AQ61,AT61,O61,N61,P61,D61-$G$5,1,1)*AF61*F61*AH61</f>
        <v>18819.057088156842</v>
      </c>
      <c r="U61" s="135"/>
      <c r="V61" s="146">
        <f t="shared" si="58"/>
        <v>9.6656515955206217</v>
      </c>
      <c r="W61" s="146"/>
      <c r="X61" s="338">
        <f t="shared" si="59"/>
        <v>0</v>
      </c>
      <c r="Y61" s="338">
        <f t="shared" si="20"/>
        <v>0</v>
      </c>
      <c r="Z61" s="338">
        <f t="shared" si="21"/>
        <v>3.236242797415442</v>
      </c>
      <c r="AA61" s="338">
        <f t="shared" si="22"/>
        <v>2.510058116793616E-8</v>
      </c>
      <c r="AB61" s="338">
        <f t="shared" si="60"/>
        <v>0</v>
      </c>
      <c r="AC61" s="338">
        <f t="shared" si="61"/>
        <v>3.2736431407324238</v>
      </c>
      <c r="AF61" s="138">
        <f t="shared" si="62"/>
        <v>1</v>
      </c>
      <c r="AG61" s="138">
        <f t="shared" si="63"/>
        <v>4</v>
      </c>
      <c r="AH61" s="138">
        <f t="shared" si="73"/>
        <v>30</v>
      </c>
      <c r="AI61" s="138">
        <f t="shared" si="64"/>
        <v>1201</v>
      </c>
      <c r="AJ61" s="138">
        <f t="shared" si="65"/>
        <v>1218</v>
      </c>
      <c r="AL61" s="136">
        <f t="shared" si="29"/>
        <v>3.282</v>
      </c>
      <c r="AM61" s="258">
        <f t="shared" si="30"/>
        <v>0.01</v>
      </c>
      <c r="AN61" s="258">
        <f t="shared" si="31"/>
        <v>7.4999999999999997E-3</v>
      </c>
      <c r="AO61" s="258">
        <f t="shared" si="32"/>
        <v>0.6</v>
      </c>
      <c r="AP61" s="258">
        <f t="shared" si="33"/>
        <v>0</v>
      </c>
      <c r="AQ61" s="136">
        <f t="shared" si="66"/>
        <v>3.3399999999999999E-2</v>
      </c>
      <c r="AR61" s="137">
        <f t="shared" si="35"/>
        <v>2.75E-2</v>
      </c>
      <c r="AS61" s="136">
        <f t="shared" si="67"/>
        <v>3.2994999999999997</v>
      </c>
      <c r="AT61" s="137">
        <f t="shared" si="68"/>
        <v>4.6401056415071598E-2</v>
      </c>
      <c r="AU61" s="137">
        <f t="shared" si="38"/>
        <v>0.85848224491701053</v>
      </c>
      <c r="AV61" s="394">
        <f t="shared" si="69"/>
        <v>540.84381429771668</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-9.2070457320063828E-7</v>
      </c>
      <c r="BG61" s="137">
        <f>_xll.xSPRDOPT($BW61,$BV61,$CG61,0,$BY61,$BX61,$BZ61,$AJ61,1,3)*$CB61</f>
        <v>-1.0230050813340425E-7</v>
      </c>
      <c r="BH61" s="137">
        <f>IF(OR(BF61&lt;&gt;0,BG61&lt;&gt;0),_xll.xSPRDOPT($BW61,$BV61,$CG61,0,$BY61,$BX61,$BZ61,$AJ61,1,12)*$CB61,0)</f>
        <v>2.0460101626680849E-7</v>
      </c>
      <c r="BI61" s="137">
        <f>_xll.xSPRDOPT($BW61,$BV61,$CG61,2*LN(1+CA61/2),$BY61,$BX61,$BZ61,$AJ61,1,9)</f>
        <v>1.7942284179659838E-2</v>
      </c>
      <c r="BJ61" s="137">
        <f>_xll.xSPRDOPT($BW61,$BV61,$CG61,0,$BY61,$BX61,$BZ61,$AJ61,1,6)*$CB61</f>
        <v>-2.1839722218227359E-6</v>
      </c>
      <c r="BK61" s="137">
        <f>_xll.xSPRDOPT($BW61,$BV61,$CG61,0,$BY61,$BX61,$BZ61,$AJ61,1,5)*$CB61</f>
        <v>2.4988742779414514E-6</v>
      </c>
      <c r="BL61" s="137">
        <f>_xll.xSPRDOPT(BW61,BV61,CG61,0,BY61,BX61,BZ61,AJ61,1,2)*CB61</f>
        <v>-0.85815886529176233</v>
      </c>
      <c r="BM61" s="137">
        <f>_xll.xSPRDOPT(BW61,BV61,CG61,0,BY61,BX61,BZ61,AJ61,1,1)*CB61</f>
        <v>0.85815886528942087</v>
      </c>
      <c r="BN61" s="137">
        <f>IF(AH61&lt;&gt;0,_xll.xSPRDOPT($BW61,$BV61,$CG61,2*LN(1+CA61/2),$BY61,$BX61,$BZ61,$AJ61,1,8)+(AJ61/365.25)*CH61/AH61,0)</f>
        <v>-0.23036145636864447</v>
      </c>
      <c r="BO61" s="137">
        <f>_xll.xSPRDOPT($BW61,$BV61,$CG61,0,$BY61,$BX61,$BZ61,$AJ61,1,0)</f>
        <v>0.45579799450662345</v>
      </c>
      <c r="BP61" s="137"/>
      <c r="BQ61" s="137"/>
      <c r="BR61" s="137"/>
      <c r="BS61" s="137"/>
      <c r="BV61" s="262">
        <v>3.3928020565552695</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52"/>
        <v>38487</v>
      </c>
      <c r="F62" s="28">
        <f t="shared" si="53"/>
        <v>732</v>
      </c>
      <c r="G62" s="28">
        <f t="shared" si="13"/>
        <v>625.09643934496921</v>
      </c>
      <c r="H62" s="52">
        <f t="shared" si="54"/>
        <v>3.3876606683804624</v>
      </c>
      <c r="I62" s="52">
        <f t="shared" si="55"/>
        <v>4.0270000000000001</v>
      </c>
      <c r="K62" s="52">
        <f t="shared" si="56"/>
        <v>16.040827975802937</v>
      </c>
      <c r="L62" s="135">
        <f t="shared" si="57"/>
        <v>1.616249150515614E-6</v>
      </c>
      <c r="N62" s="131">
        <f t="shared" si="48"/>
        <v>0.29252740451228487</v>
      </c>
      <c r="O62" s="131">
        <f t="shared" si="49"/>
        <v>0.29252740451228487</v>
      </c>
      <c r="P62" s="55">
        <f t="shared" si="50"/>
        <v>0.99999999999999989</v>
      </c>
      <c r="Q62" s="135">
        <f>_xll.xSPRDOPT(I62,H62,AQ62,0,O62,N62,P62,D62-$G$5,1,0)*AH62*AU62</f>
        <v>16.040829592052088</v>
      </c>
      <c r="R62" s="135"/>
      <c r="S62" s="181">
        <f>_xll.xSPRDOPT(I62,H62,AQ62,AT62,O62,N62,P62,D62-$G$5,1,2)*AF62*(F62/(1-AR62))*AH62</f>
        <v>-19889.280803733112</v>
      </c>
      <c r="T62" s="181">
        <f>_xll.xSPRDOPT(I62,H62,AQ62,AT62,O62,N62,P62,D62-$G$5,1,1)*AF62*F62*AH62</f>
        <v>19342.32558130024</v>
      </c>
      <c r="U62" s="135"/>
      <c r="V62" s="146">
        <f t="shared" si="58"/>
        <v>9.9351905796054325</v>
      </c>
      <c r="W62" s="146"/>
      <c r="X62" s="338">
        <f t="shared" si="59"/>
        <v>0</v>
      </c>
      <c r="Y62" s="338">
        <f t="shared" si="20"/>
        <v>0</v>
      </c>
      <c r="Z62" s="338">
        <f t="shared" si="21"/>
        <v>4.4651580744598132</v>
      </c>
      <c r="AA62" s="338">
        <f t="shared" si="22"/>
        <v>-9.5404166844143574E-9</v>
      </c>
      <c r="AB62" s="338">
        <f t="shared" si="60"/>
        <v>0</v>
      </c>
      <c r="AC62" s="338">
        <f t="shared" si="61"/>
        <v>4.5172612492511091</v>
      </c>
      <c r="AF62" s="138">
        <f t="shared" si="62"/>
        <v>1</v>
      </c>
      <c r="AG62" s="138">
        <f t="shared" si="63"/>
        <v>5</v>
      </c>
      <c r="AH62" s="138">
        <f t="shared" si="73"/>
        <v>31</v>
      </c>
      <c r="AI62" s="138">
        <f t="shared" si="64"/>
        <v>1231</v>
      </c>
      <c r="AJ62" s="138">
        <f t="shared" si="65"/>
        <v>1248</v>
      </c>
      <c r="AL62" s="136">
        <f t="shared" si="29"/>
        <v>3.2770000000000001</v>
      </c>
      <c r="AM62" s="258">
        <f t="shared" si="30"/>
        <v>0.01</v>
      </c>
      <c r="AN62" s="258">
        <f t="shared" si="31"/>
        <v>7.4999999999999997E-3</v>
      </c>
      <c r="AO62" s="258">
        <f t="shared" si="32"/>
        <v>0.75</v>
      </c>
      <c r="AP62" s="258">
        <f t="shared" si="33"/>
        <v>0</v>
      </c>
      <c r="AQ62" s="136">
        <f t="shared" si="66"/>
        <v>3.3399999999999999E-2</v>
      </c>
      <c r="AR62" s="137">
        <f t="shared" si="35"/>
        <v>2.75E-2</v>
      </c>
      <c r="AS62" s="136">
        <f t="shared" si="67"/>
        <v>3.2944999999999998</v>
      </c>
      <c r="AT62" s="137">
        <f t="shared" si="68"/>
        <v>4.6856677050253197E-2</v>
      </c>
      <c r="AU62" s="137">
        <f t="shared" si="38"/>
        <v>0.85395688435105088</v>
      </c>
      <c r="AV62" s="394">
        <f t="shared" si="69"/>
        <v>555.92593171253418</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2.035217483747998E-7</v>
      </c>
      <c r="BG62" s="137">
        <f>_xll.xSPRDOPT($BW62,$BV62,$CG62,0,$BY62,$BX62,$BZ62,$AJ62,1,3)*$CB62</f>
        <v>4.0704349674959959E-7</v>
      </c>
      <c r="BH62" s="137">
        <f>IF(OR(BF62&lt;&gt;0,BG62&lt;&gt;0),_xll.xSPRDOPT($BW62,$BV62,$CG62,0,$BY62,$BX62,$BZ62,$AJ62,1,12)*$CB62,0)</f>
        <v>0</v>
      </c>
      <c r="BI62" s="137">
        <f>_xll.xSPRDOPT($BW62,$BV62,$CG62,2*LN(1+CA62/2),$BY62,$BX62,$BZ62,$AJ62,1,9)</f>
        <v>2.39570331202839E-2</v>
      </c>
      <c r="BJ62" s="137">
        <f>_xll.xSPRDOPT($BW62,$BV62,$CG62,0,$BY62,$BX62,$BZ62,$AJ62,1,6)*$CB62</f>
        <v>3.687970393831558E-7</v>
      </c>
      <c r="BK62" s="137">
        <f>_xll.xSPRDOPT($BW62,$BV62,$CG62,0,$BY62,$BX62,$BZ62,$AJ62,1,5)*$CB62</f>
        <v>-4.3838122114524441E-7</v>
      </c>
      <c r="BL62" s="137">
        <f>_xll.xSPRDOPT(BW62,BV62,CG62,0,BY62,BX62,BZ62,AJ62,1,2)*CB62</f>
        <v>-0.85363216461126135</v>
      </c>
      <c r="BM62" s="137">
        <f>_xll.xSPRDOPT(BW62,BV62,CG62,0,BY62,BX62,BZ62,AJ62,1,1)*CB62</f>
        <v>0.85363216460039204</v>
      </c>
      <c r="BN62" s="137">
        <f>IF(AH62&lt;&gt;0,_xll.xSPRDOPT($BW62,$BV62,$CG62,2*LN(1+CA62/2),$BY62,$BX62,$BZ62,$AJ62,1,8)+(AJ62/365.25)*CH62/AH62,0)</f>
        <v>-0.67271107233776517</v>
      </c>
      <c r="BO62" s="137">
        <f>_xll.xSPRDOPT($BW62,$BV62,$CG62,0,$BY62,$BX62,$BZ62,$AJ62,1,0)</f>
        <v>0.60593939264491492</v>
      </c>
      <c r="BP62" s="137"/>
      <c r="BQ62" s="137"/>
      <c r="BR62" s="137"/>
      <c r="BS62" s="137"/>
      <c r="BV62" s="262">
        <v>3.3876606683804624</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3.3399999999999999E-2</v>
      </c>
      <c r="CH62" s="258">
        <v>9.9314117466838621</v>
      </c>
      <c r="CI62" s="258">
        <v>3.2770000000000001</v>
      </c>
      <c r="CJ62" s="258"/>
      <c r="CK62" s="258"/>
      <c r="CL62" s="258"/>
      <c r="CM62" s="258"/>
    </row>
    <row r="63" spans="1:91" x14ac:dyDescent="0.25">
      <c r="A63" s="723"/>
      <c r="B63" s="723"/>
      <c r="D63" s="31">
        <f t="shared" si="52"/>
        <v>38518</v>
      </c>
      <c r="F63" s="28">
        <f t="shared" si="53"/>
        <v>732</v>
      </c>
      <c r="G63" s="28">
        <f t="shared" si="13"/>
        <v>621.6442584113272</v>
      </c>
      <c r="H63" s="52">
        <f t="shared" si="54"/>
        <v>3.4262210796915165</v>
      </c>
      <c r="I63" s="52">
        <f t="shared" si="55"/>
        <v>4.1619999999999999</v>
      </c>
      <c r="K63" s="52">
        <f t="shared" si="56"/>
        <v>17.894664878644097</v>
      </c>
      <c r="L63" s="135">
        <f t="shared" si="57"/>
        <v>1.7875489426444346E-6</v>
      </c>
      <c r="N63" s="131">
        <f t="shared" si="48"/>
        <v>0.29238802915440232</v>
      </c>
      <c r="O63" s="131">
        <f t="shared" si="49"/>
        <v>0.29238802915440232</v>
      </c>
      <c r="P63" s="55">
        <f t="shared" si="50"/>
        <v>0.99999999999999978</v>
      </c>
      <c r="Q63" s="135">
        <f>_xll.xSPRDOPT(I63,H63,AQ63,0,O63,N63,P63,D63-$G$5,1,0)*AH63*AU63</f>
        <v>17.894666666193039</v>
      </c>
      <c r="R63" s="135"/>
      <c r="S63" s="181">
        <f>_xll.xSPRDOPT(I63,H63,AQ63,AT63,O63,N63,P63,D63-$G$5,1,2)*AF63*(F63/(1-AR63))*AH63</f>
        <v>-19139.790952420906</v>
      </c>
      <c r="T63" s="181">
        <f>_xll.xSPRDOPT(I63,H63,AQ63,AT63,O63,N63,P63,D63-$G$5,1,1)*AF63*F63*AH63</f>
        <v>18613.446701229332</v>
      </c>
      <c r="U63" s="135"/>
      <c r="V63" s="146">
        <f t="shared" si="58"/>
        <v>9.5616020566299635</v>
      </c>
      <c r="W63" s="146"/>
      <c r="X63" s="338">
        <f t="shared" si="59"/>
        <v>0</v>
      </c>
      <c r="Y63" s="338">
        <f t="shared" si="20"/>
        <v>0</v>
      </c>
      <c r="Z63" s="338">
        <f t="shared" si="21"/>
        <v>5.0306466400782126</v>
      </c>
      <c r="AA63" s="338">
        <f t="shared" si="22"/>
        <v>-1.4239518477679771E-8</v>
      </c>
      <c r="AB63" s="338">
        <f t="shared" si="60"/>
        <v>0</v>
      </c>
      <c r="AC63" s="338">
        <f t="shared" si="61"/>
        <v>5.0899357028571517</v>
      </c>
      <c r="AF63" s="138">
        <f t="shared" si="62"/>
        <v>1</v>
      </c>
      <c r="AG63" s="138">
        <f t="shared" si="63"/>
        <v>6</v>
      </c>
      <c r="AH63" s="138">
        <f t="shared" si="73"/>
        <v>30</v>
      </c>
      <c r="AI63" s="138">
        <f t="shared" si="64"/>
        <v>1262</v>
      </c>
      <c r="AJ63" s="138">
        <f t="shared" si="65"/>
        <v>1279</v>
      </c>
      <c r="AL63" s="136">
        <f t="shared" si="29"/>
        <v>3.3119999999999998</v>
      </c>
      <c r="AM63" s="258">
        <f t="shared" si="30"/>
        <v>1.2500000000000001E-2</v>
      </c>
      <c r="AN63" s="258">
        <f t="shared" si="31"/>
        <v>7.4999999999999997E-3</v>
      </c>
      <c r="AO63" s="258">
        <f t="shared" si="32"/>
        <v>0.85</v>
      </c>
      <c r="AP63" s="258">
        <f t="shared" si="33"/>
        <v>0</v>
      </c>
      <c r="AQ63" s="136">
        <f t="shared" si="66"/>
        <v>3.3399999999999999E-2</v>
      </c>
      <c r="AR63" s="137">
        <f t="shared" si="35"/>
        <v>2.75E-2</v>
      </c>
      <c r="AS63" s="136">
        <f t="shared" si="67"/>
        <v>3.3319999999999999</v>
      </c>
      <c r="AT63" s="137">
        <f t="shared" si="68"/>
        <v>4.7327485112866399E-2</v>
      </c>
      <c r="AU63" s="137">
        <f t="shared" si="38"/>
        <v>0.84924079017940879</v>
      </c>
      <c r="AV63" s="394">
        <f t="shared" si="69"/>
        <v>535.02169781302757</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-1.0119850345082555E-6</v>
      </c>
      <c r="BG63" s="137">
        <f>_xll.xSPRDOPT($BW63,$BV63,$CG63,0,$BY63,$BX63,$BZ63,$AJ63,1,3)*$CB63</f>
        <v>-6.0719102070495325E-7</v>
      </c>
      <c r="BH63" s="137">
        <f>IF(OR(BF63&lt;&gt;0,BG63&lt;&gt;0),_xll.xSPRDOPT($BW63,$BV63,$CG63,0,$BY63,$BX63,$BZ63,$AJ63,1,12)*$CB63,0)</f>
        <v>3.0359551035247662E-7</v>
      </c>
      <c r="BI63" s="137">
        <f>_xll.xSPRDOPT($BW63,$BV63,$CG63,2*LN(1+CA63/2),$BY63,$BX63,$BZ63,$AJ63,1,9)</f>
        <v>2.789076632192725E-2</v>
      </c>
      <c r="BJ63" s="137">
        <f>_xll.xSPRDOPT($BW63,$BV63,$CG63,0,$BY63,$BX63,$BZ63,$AJ63,1,6)*$CB63</f>
        <v>5.4164589804995142E-7</v>
      </c>
      <c r="BK63" s="137">
        <f>_xll.xSPRDOPT($BW63,$BV63,$CG63,0,$BY63,$BX63,$BZ63,$AJ63,1,5)*$CB63</f>
        <v>-6.5797411256225401E-7</v>
      </c>
      <c r="BL63" s="137">
        <f>_xll.xSPRDOPT(BW63,BV63,CG63,0,BY63,BX63,BZ63,AJ63,1,2)*CB63</f>
        <v>-0.84891466019264261</v>
      </c>
      <c r="BM63" s="137">
        <f>_xll.xSPRDOPT(BW63,BV63,CG63,0,BY63,BX63,BZ63,AJ63,1,1)*CB63</f>
        <v>0.84891466019573092</v>
      </c>
      <c r="BN63" s="137">
        <f>IF(AH63&lt;&gt;0,_xll.xSPRDOPT($BW63,$BV63,$CG63,2*LN(1+CA63/2),$BY63,$BX63,$BZ63,$AJ63,1,8)+(AJ63/365.25)*CH63/AH63,0)</f>
        <v>-0.97229255165823281</v>
      </c>
      <c r="BO63" s="137">
        <f>_xll.xSPRDOPT($BW63,$BV63,$CG63,0,$BY63,$BX63,$BZ63,$AJ63,1,0)</f>
        <v>0.70237899042489749</v>
      </c>
      <c r="BP63" s="137"/>
      <c r="BQ63" s="137"/>
      <c r="BR63" s="137"/>
      <c r="BS63" s="137"/>
      <c r="BV63" s="262">
        <v>3.4262210796915165</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3.3399999999999999E-2</v>
      </c>
      <c r="CH63" s="258">
        <v>9.557929207081477</v>
      </c>
      <c r="CI63" s="258">
        <v>3.3119999999999998</v>
      </c>
      <c r="CJ63" s="258"/>
      <c r="CK63" s="258"/>
      <c r="CL63" s="258"/>
      <c r="CM63" s="258"/>
    </row>
    <row r="64" spans="1:91" x14ac:dyDescent="0.25">
      <c r="A64" s="723"/>
      <c r="B64" s="723"/>
      <c r="D64" s="31">
        <f t="shared" si="52"/>
        <v>38548</v>
      </c>
      <c r="F64" s="28">
        <f t="shared" si="53"/>
        <v>732</v>
      </c>
      <c r="G64" s="28">
        <f t="shared" si="13"/>
        <v>618.32470098439455</v>
      </c>
      <c r="H64" s="52">
        <f t="shared" si="54"/>
        <v>3.467352185089974</v>
      </c>
      <c r="I64" s="52">
        <f t="shared" si="55"/>
        <v>4.4020000000000001</v>
      </c>
      <c r="K64" s="52">
        <f t="shared" si="56"/>
        <v>23.599969065135937</v>
      </c>
      <c r="L64" s="135">
        <f t="shared" si="57"/>
        <v>2.3638780533019599E-6</v>
      </c>
      <c r="N64" s="131">
        <f t="shared" si="48"/>
        <v>0.28848877686763669</v>
      </c>
      <c r="O64" s="131">
        <f t="shared" si="49"/>
        <v>0.28848877686763669</v>
      </c>
      <c r="P64" s="55">
        <f t="shared" si="50"/>
        <v>1.0000000000000002</v>
      </c>
      <c r="Q64" s="135">
        <f>_xll.xSPRDOPT(I64,H64,AQ64,0,O64,N64,P64,D64-$G$5,1,0)*AH64*AU64</f>
        <v>23.599971429013991</v>
      </c>
      <c r="R64" s="135"/>
      <c r="S64" s="181">
        <f>_xll.xSPRDOPT(I64,H64,AQ64,AT64,O64,N64,P64,D64-$G$5,1,2)*AF64*(F64/(1-AR64))*AH64</f>
        <v>-19670.573457041395</v>
      </c>
      <c r="T64" s="181">
        <f>_xll.xSPRDOPT(I64,H64,AQ64,AT64,O64,N64,P64,D64-$G$5,1,1)*AF64*F64*AH64</f>
        <v>19129.632686642544</v>
      </c>
      <c r="U64" s="135"/>
      <c r="V64" s="146">
        <f t="shared" si="58"/>
        <v>9.8275615692113956</v>
      </c>
      <c r="W64" s="146"/>
      <c r="X64" s="338">
        <f t="shared" si="59"/>
        <v>0</v>
      </c>
      <c r="Y64" s="338">
        <f t="shared" si="20"/>
        <v>0</v>
      </c>
      <c r="Z64" s="338">
        <f t="shared" si="21"/>
        <v>6.694518347614558</v>
      </c>
      <c r="AA64" s="338">
        <f t="shared" si="22"/>
        <v>-2.9035603379557831E-8</v>
      </c>
      <c r="AB64" s="338">
        <f t="shared" si="60"/>
        <v>0</v>
      </c>
      <c r="AC64" s="338">
        <f t="shared" si="61"/>
        <v>6.7741360831767903</v>
      </c>
      <c r="AF64" s="138">
        <f t="shared" si="62"/>
        <v>1</v>
      </c>
      <c r="AG64" s="138">
        <f t="shared" si="63"/>
        <v>7</v>
      </c>
      <c r="AH64" s="138">
        <f t="shared" si="73"/>
        <v>31</v>
      </c>
      <c r="AI64" s="138">
        <f t="shared" si="64"/>
        <v>1292</v>
      </c>
      <c r="AJ64" s="138">
        <f t="shared" si="65"/>
        <v>1309</v>
      </c>
      <c r="AL64" s="136">
        <f t="shared" si="29"/>
        <v>3.3519999999999999</v>
      </c>
      <c r="AM64" s="258">
        <f t="shared" si="30"/>
        <v>1.2500000000000001E-2</v>
      </c>
      <c r="AN64" s="258">
        <f t="shared" si="31"/>
        <v>7.4999999999999997E-3</v>
      </c>
      <c r="AO64" s="258">
        <f t="shared" si="32"/>
        <v>1.05</v>
      </c>
      <c r="AP64" s="258">
        <f t="shared" si="33"/>
        <v>0</v>
      </c>
      <c r="AQ64" s="136">
        <f t="shared" si="66"/>
        <v>3.3399999999999999E-2</v>
      </c>
      <c r="AR64" s="137">
        <f t="shared" si="35"/>
        <v>2.75E-2</v>
      </c>
      <c r="AS64" s="136">
        <f t="shared" si="67"/>
        <v>3.3719999999999999</v>
      </c>
      <c r="AT64" s="137">
        <f t="shared" si="68"/>
        <v>4.7760481058800999E-2</v>
      </c>
      <c r="AU64" s="137">
        <f t="shared" si="38"/>
        <v>0.84470587566174116</v>
      </c>
      <c r="AV64" s="394">
        <f t="shared" si="69"/>
        <v>549.90352505579347</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1.6105241200229575E-6</v>
      </c>
      <c r="BG64" s="137">
        <f>_xll.xSPRDOPT($BW64,$BV64,$CG64,0,$BY64,$BX64,$BZ64,$AJ64,1,3)*$CB64</f>
        <v>6.0394654500860905E-7</v>
      </c>
      <c r="BH64" s="137">
        <f>IF(OR(BF64&lt;&gt;0,BG64&lt;&gt;0),_xll.xSPRDOPT($BW64,$BV64,$CG64,0,$BY64,$BX64,$BZ64,$AJ64,1,12)*$CB64,0)</f>
        <v>-3.0197327250430452E-7</v>
      </c>
      <c r="BI64" s="137">
        <f>_xll.xSPRDOPT($BW64,$BV64,$CG64,2*LN(1+CA64/2),$BY64,$BX64,$BZ64,$AJ64,1,9)</f>
        <v>3.5918279958667039E-2</v>
      </c>
      <c r="BJ64" s="137">
        <f>_xll.xSPRDOPT($BW64,$BV64,$CG64,0,$BY64,$BX64,$BZ64,$AJ64,1,6)*$CB64</f>
        <v>5.9801830846903344E-7</v>
      </c>
      <c r="BK64" s="137">
        <f>_xll.xSPRDOPT($BW64,$BV64,$CG64,0,$BY64,$BX64,$BZ64,$AJ64,1,5)*$CB64</f>
        <v>-7.5920481270647308E-7</v>
      </c>
      <c r="BL64" s="137">
        <f>_xll.xSPRDOPT(BW64,BV64,CG64,0,BY64,BX64,BZ64,AJ64,1,2)*CB64</f>
        <v>-0.8443785552293539</v>
      </c>
      <c r="BM64" s="137">
        <f>_xll.xSPRDOPT(BW64,BV64,CG64,0,BY64,BX64,BZ64,AJ64,1,1)*CB64</f>
        <v>0.84437855522013838</v>
      </c>
      <c r="BN64" s="137">
        <f>IF(AH64&lt;&gt;0,_xll.xSPRDOPT($BW64,$BV64,$CG64,2*LN(1+CA64/2),$BY64,$BX64,$BZ64,$AJ64,1,8)+(AJ64/365.25)*CH64/AH64,0)</f>
        <v>-1.5915830399170141</v>
      </c>
      <c r="BO64" s="137">
        <f>_xll.xSPRDOPT($BW64,$BV64,$CG64,0,$BY64,$BX64,$BZ64,$AJ64,1,0)</f>
        <v>0.9012479051214255</v>
      </c>
      <c r="BP64" s="137"/>
      <c r="BQ64" s="137"/>
      <c r="BR64" s="137"/>
      <c r="BS64" s="137"/>
      <c r="BV64" s="262">
        <v>3.467352185089974</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3.3399999999999999E-2</v>
      </c>
      <c r="CH64" s="258">
        <v>9.8237524316431823</v>
      </c>
      <c r="CI64" s="258">
        <v>3.3519999999999999</v>
      </c>
      <c r="CJ64" s="258"/>
      <c r="CK64" s="258"/>
      <c r="CL64" s="258"/>
      <c r="CM64" s="258"/>
    </row>
    <row r="65" spans="1:91" x14ac:dyDescent="0.25">
      <c r="A65" s="723"/>
      <c r="B65" s="723"/>
      <c r="D65" s="31">
        <f t="shared" si="52"/>
        <v>38579</v>
      </c>
      <c r="F65" s="28">
        <f t="shared" si="53"/>
        <v>732</v>
      </c>
      <c r="G65" s="28">
        <f t="shared" si="13"/>
        <v>614.91628393278449</v>
      </c>
      <c r="H65" s="52">
        <f t="shared" si="54"/>
        <v>3.5084832904884315</v>
      </c>
      <c r="I65" s="52">
        <f t="shared" si="55"/>
        <v>4.4420000000000002</v>
      </c>
      <c r="K65" s="52">
        <f t="shared" si="56"/>
        <v>23.440422248194594</v>
      </c>
      <c r="L65" s="135">
        <f t="shared" si="57"/>
        <v>2.3259699339917006E-6</v>
      </c>
      <c r="N65" s="131">
        <f t="shared" si="48"/>
        <v>0.28946051993952615</v>
      </c>
      <c r="O65" s="131">
        <f t="shared" si="49"/>
        <v>0.28946051993952615</v>
      </c>
      <c r="P65" s="55">
        <f t="shared" si="50"/>
        <v>0.99999999999999989</v>
      </c>
      <c r="Q65" s="135">
        <f>_xll.xSPRDOPT(I65,H65,AQ65,0,O65,N65,P65,D65-$G$5,1,0)*AH65*AU65</f>
        <v>23.440424574164528</v>
      </c>
      <c r="R65" s="135"/>
      <c r="S65" s="181">
        <f>_xll.xSPRDOPT(I65,H65,AQ65,AT65,O65,N65,P65,D65-$G$5,1,2)*AF65*(F65/(1-AR65))*AH65</f>
        <v>-19560.496578834489</v>
      </c>
      <c r="T65" s="181">
        <f>_xll.xSPRDOPT(I65,H65,AQ65,AT65,O65,N65,P65,D65-$G$5,1,1)*AF65*F65*AH65</f>
        <v>19022.582923081645</v>
      </c>
      <c r="U65" s="135"/>
      <c r="V65" s="146">
        <f t="shared" si="58"/>
        <v>9.7733886914743113</v>
      </c>
      <c r="W65" s="146"/>
      <c r="X65" s="338">
        <f t="shared" si="59"/>
        <v>0</v>
      </c>
      <c r="Y65" s="338">
        <f t="shared" si="20"/>
        <v>0</v>
      </c>
      <c r="Z65" s="338">
        <f t="shared" si="21"/>
        <v>6.7077985928390271</v>
      </c>
      <c r="AA65" s="338">
        <f t="shared" si="22"/>
        <v>-3.6404979868236363E-8</v>
      </c>
      <c r="AB65" s="338">
        <f t="shared" si="60"/>
        <v>0</v>
      </c>
      <c r="AC65" s="338">
        <f t="shared" si="61"/>
        <v>6.7882824975181446</v>
      </c>
      <c r="AF65" s="138">
        <f t="shared" si="62"/>
        <v>1</v>
      </c>
      <c r="AG65" s="138">
        <f t="shared" si="63"/>
        <v>8</v>
      </c>
      <c r="AH65" s="138">
        <f t="shared" si="73"/>
        <v>31</v>
      </c>
      <c r="AI65" s="138">
        <f t="shared" si="64"/>
        <v>1323</v>
      </c>
      <c r="AJ65" s="138">
        <f t="shared" si="65"/>
        <v>1340</v>
      </c>
      <c r="AL65" s="136">
        <f t="shared" si="29"/>
        <v>3.3919999999999999</v>
      </c>
      <c r="AM65" s="258">
        <f t="shared" si="30"/>
        <v>1.2500000000000001E-2</v>
      </c>
      <c r="AN65" s="258">
        <f t="shared" si="31"/>
        <v>7.4999999999999997E-3</v>
      </c>
      <c r="AO65" s="258">
        <f t="shared" si="32"/>
        <v>1.05</v>
      </c>
      <c r="AP65" s="258">
        <f t="shared" si="33"/>
        <v>0</v>
      </c>
      <c r="AQ65" s="136">
        <f t="shared" si="66"/>
        <v>3.3399999999999999E-2</v>
      </c>
      <c r="AR65" s="137">
        <f t="shared" si="35"/>
        <v>2.75E-2</v>
      </c>
      <c r="AS65" s="136">
        <f t="shared" si="67"/>
        <v>3.4119999999999999</v>
      </c>
      <c r="AT65" s="137">
        <f t="shared" si="68"/>
        <v>4.81861434694211E-2</v>
      </c>
      <c r="AU65" s="137">
        <f t="shared" si="38"/>
        <v>0.84004956821418653</v>
      </c>
      <c r="AV65" s="394">
        <f t="shared" si="69"/>
        <v>546.87226890743545</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-2.002051115266854E-7</v>
      </c>
      <c r="BG65" s="137">
        <f>_xll.xSPRDOPT($BW65,$BV65,$CG65,0,$BY65,$BX65,$BZ65,$AJ65,1,3)*$CB65</f>
        <v>8.0082044610674158E-7</v>
      </c>
      <c r="BH65" s="137">
        <f>IF(OR(BF65&lt;&gt;0,BG65&lt;&gt;0),_xll.xSPRDOPT($BW65,$BV65,$CG65,0,$BY65,$BX65,$BZ65,$AJ65,1,12)*$CB65,0)</f>
        <v>5.005127788167135E-7</v>
      </c>
      <c r="BI65" s="137">
        <f>_xll.xSPRDOPT($BW65,$BV65,$CG65,2*LN(1+CA65/2),$BY65,$BX65,$BZ65,$AJ65,1,9)</f>
        <v>3.5989532816770295E-2</v>
      </c>
      <c r="BJ65" s="137">
        <f>_xll.xSPRDOPT($BW65,$BV65,$CG65,0,$BY65,$BX65,$BZ65,$AJ65,1,6)*$CB65</f>
        <v>6.0914579080974804E-7</v>
      </c>
      <c r="BK65" s="137">
        <f>_xll.xSPRDOPT($BW65,$BV65,$CG65,0,$BY65,$BX65,$BZ65,$AJ65,1,5)*$CB65</f>
        <v>-7.7122364507190911E-7</v>
      </c>
      <c r="BL65" s="137">
        <f>_xll.xSPRDOPT(BW65,BV65,CG65,0,BY65,BX65,BZ65,AJ65,1,2)*CB65</f>
        <v>-0.83972118404513296</v>
      </c>
      <c r="BM65" s="137">
        <f>_xll.xSPRDOPT(BW65,BV65,CG65,0,BY65,BX65,BZ65,AJ65,1,1)*CB65</f>
        <v>0.83972118404666041</v>
      </c>
      <c r="BN65" s="137">
        <f>IF(AH65&lt;&gt;0,_xll.xSPRDOPT($BW65,$BV65,$CG65,2*LN(1+CA65/2),$BY65,$BX65,$BZ65,$AJ65,1,8)+(AJ65/365.25)*CH65/AH65,0)</f>
        <v>-1.6168039728380572</v>
      </c>
      <c r="BO65" s="137">
        <f>_xll.xSPRDOPT($BW65,$BV65,$CG65,0,$BY65,$BX65,$BZ65,$AJ65,1,0)</f>
        <v>0.90011679876860873</v>
      </c>
      <c r="BP65" s="137"/>
      <c r="BQ65" s="137"/>
      <c r="BR65" s="137"/>
      <c r="BS65" s="137"/>
      <c r="BV65" s="262">
        <v>3.5084832904884315</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3.3399999999999999E-2</v>
      </c>
      <c r="CH65" s="258">
        <v>9.7695671948564655</v>
      </c>
      <c r="CI65" s="258">
        <v>3.3919999999999999</v>
      </c>
      <c r="CJ65" s="258"/>
      <c r="CK65" s="258"/>
      <c r="CL65" s="258"/>
      <c r="CM65" s="258"/>
    </row>
    <row r="66" spans="1:91" x14ac:dyDescent="0.25">
      <c r="A66" s="723"/>
      <c r="B66" s="723"/>
      <c r="D66" s="31">
        <f t="shared" si="52"/>
        <v>38610</v>
      </c>
      <c r="F66" s="28">
        <f t="shared" si="53"/>
        <v>732</v>
      </c>
      <c r="G66" s="28">
        <f t="shared" si="13"/>
        <v>611.48370376081698</v>
      </c>
      <c r="H66" s="52">
        <f t="shared" si="54"/>
        <v>3.4982005141388171</v>
      </c>
      <c r="I66" s="52">
        <f t="shared" si="55"/>
        <v>4.1370000000000005</v>
      </c>
      <c r="K66" s="52">
        <f t="shared" si="56"/>
        <v>15.171799994643065</v>
      </c>
      <c r="L66" s="135">
        <f t="shared" si="57"/>
        <v>1.5087026969951012E-6</v>
      </c>
      <c r="N66" s="131">
        <f t="shared" si="48"/>
        <v>0.28922221332025494</v>
      </c>
      <c r="O66" s="131">
        <f t="shared" si="49"/>
        <v>0.28922221332025494</v>
      </c>
      <c r="P66" s="55">
        <f t="shared" si="50"/>
        <v>0.99999999999999989</v>
      </c>
      <c r="Q66" s="135">
        <f>_xll.xSPRDOPT(I66,H66,AQ66,0,O66,N66,P66,D66-$G$5,1,0)*AH66*AU66</f>
        <v>15.171801503345762</v>
      </c>
      <c r="R66" s="135"/>
      <c r="S66" s="181">
        <f>_xll.xSPRDOPT(I66,H66,AQ66,AT66,O66,N66,P66,D66-$G$5,1,2)*AF66*(F66/(1-AR66))*AH66</f>
        <v>-18822.222442236674</v>
      </c>
      <c r="T66" s="181">
        <f>_xll.xSPRDOPT(I66,H66,AQ66,AT66,O66,N66,P66,D66-$G$5,1,1)*AF66*F66*AH66</f>
        <v>18304.611325354781</v>
      </c>
      <c r="U66" s="135"/>
      <c r="V66" s="146">
        <f t="shared" si="58"/>
        <v>9.4053210664522382</v>
      </c>
      <c r="W66" s="146"/>
      <c r="X66" s="338">
        <f t="shared" si="59"/>
        <v>0</v>
      </c>
      <c r="Y66" s="338">
        <f t="shared" si="20"/>
        <v>0</v>
      </c>
      <c r="Z66" s="338">
        <f t="shared" si="21"/>
        <v>4.3794986855126492</v>
      </c>
      <c r="AA66" s="338">
        <f t="shared" si="22"/>
        <v>4.4405049068157557E-9</v>
      </c>
      <c r="AB66" s="338">
        <f t="shared" si="60"/>
        <v>0</v>
      </c>
      <c r="AC66" s="338">
        <f t="shared" si="61"/>
        <v>4.4325096462407378</v>
      </c>
      <c r="AF66" s="138">
        <f t="shared" si="62"/>
        <v>1</v>
      </c>
      <c r="AG66" s="138">
        <f t="shared" si="63"/>
        <v>9</v>
      </c>
      <c r="AH66" s="138">
        <f t="shared" si="73"/>
        <v>30</v>
      </c>
      <c r="AI66" s="138">
        <f t="shared" si="64"/>
        <v>1354</v>
      </c>
      <c r="AJ66" s="138">
        <f t="shared" si="65"/>
        <v>1371</v>
      </c>
      <c r="AL66" s="136">
        <f t="shared" si="29"/>
        <v>3.387</v>
      </c>
      <c r="AM66" s="258">
        <f t="shared" si="30"/>
        <v>7.4999999999999997E-3</v>
      </c>
      <c r="AN66" s="258">
        <f t="shared" si="31"/>
        <v>7.4999999999999997E-3</v>
      </c>
      <c r="AO66" s="258">
        <f t="shared" si="32"/>
        <v>0.75</v>
      </c>
      <c r="AP66" s="258">
        <f t="shared" si="33"/>
        <v>0</v>
      </c>
      <c r="AQ66" s="136">
        <f t="shared" si="66"/>
        <v>3.3399999999999999E-2</v>
      </c>
      <c r="AR66" s="137">
        <f t="shared" si="35"/>
        <v>2.75E-2</v>
      </c>
      <c r="AS66" s="136">
        <f t="shared" si="67"/>
        <v>3.4019999999999997</v>
      </c>
      <c r="AT66" s="137">
        <f t="shared" si="68"/>
        <v>4.8611805940590898E-2</v>
      </c>
      <c r="AU66" s="137">
        <f t="shared" si="38"/>
        <v>0.8353602510393674</v>
      </c>
      <c r="AV66" s="394">
        <f t="shared" si="69"/>
        <v>526.27695815480149</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-1.990868487436972E-7</v>
      </c>
      <c r="BG66" s="137">
        <f>_xll.xSPRDOPT($BW66,$BV66,$CG66,0,$BY66,$BX66,$BZ66,$AJ66,1,3)*$CB66</f>
        <v>-5.9726054623109199E-7</v>
      </c>
      <c r="BH66" s="137">
        <f>IF(OR(BF66&lt;&gt;0,BG66&lt;&gt;0),_xll.xSPRDOPT($BW66,$BV66,$CG66,0,$BY66,$BX66,$BZ66,$AJ66,1,12)*$CB66,0)</f>
        <v>1.9908684874369738E-7</v>
      </c>
      <c r="BI66" s="137">
        <f>_xll.xSPRDOPT($BW66,$BV66,$CG66,2*LN(1+CA66/2),$BY66,$BX66,$BZ66,$AJ66,1,9)</f>
        <v>2.428069057200205E-2</v>
      </c>
      <c r="BJ66" s="137">
        <f>_xll.xSPRDOPT($BW66,$BV66,$CG66,0,$BY66,$BX66,$BZ66,$AJ66,1,6)*$CB66</f>
        <v>-1.2086656158711905E-7</v>
      </c>
      <c r="BK66" s="137">
        <f>_xll.xSPRDOPT($BW66,$BV66,$CG66,0,$BY66,$BX66,$BZ66,$AJ66,1,5)*$CB66</f>
        <v>1.4292970940565514E-7</v>
      </c>
      <c r="BL66" s="137">
        <f>_xll.xSPRDOPT(BW66,BV66,CG66,0,BY66,BX66,BZ66,AJ66,1,2)*CB66</f>
        <v>-0.83503082965879449</v>
      </c>
      <c r="BM66" s="137">
        <f>_xll.xSPRDOPT(BW66,BV66,CG66,0,BY66,BX66,BZ66,AJ66,1,1)*CB66</f>
        <v>0.83503082966790798</v>
      </c>
      <c r="BN66" s="137">
        <f>IF(AH66&lt;&gt;0,_xll.xSPRDOPT($BW66,$BV66,$CG66,2*LN(1+CA66/2),$BY66,$BX66,$BZ66,$AJ66,1,8)+(AJ66/365.25)*CH66/AH66,0)</f>
        <v>-0.72121619302144913</v>
      </c>
      <c r="BO66" s="137">
        <f>_xll.xSPRDOPT($BW66,$BV66,$CG66,0,$BY66,$BX66,$BZ66,$AJ66,1,0)</f>
        <v>0.60539954607109248</v>
      </c>
      <c r="BP66" s="137"/>
      <c r="BQ66" s="137"/>
      <c r="BR66" s="137"/>
      <c r="BS66" s="137"/>
      <c r="BV66" s="262">
        <v>3.4982005141388171</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3.3399999999999999E-2</v>
      </c>
      <c r="CH66" s="258">
        <v>9.401611394766503</v>
      </c>
      <c r="CI66" s="258">
        <v>3.387</v>
      </c>
      <c r="CJ66" s="258"/>
      <c r="CK66" s="258"/>
      <c r="CL66" s="258"/>
      <c r="CM66" s="258"/>
    </row>
    <row r="67" spans="1:91" x14ac:dyDescent="0.25">
      <c r="A67" s="723"/>
      <c r="B67" s="723"/>
      <c r="D67" s="31">
        <f t="shared" si="52"/>
        <v>38640</v>
      </c>
      <c r="F67" s="28">
        <f t="shared" si="53"/>
        <v>732</v>
      </c>
      <c r="G67" s="28">
        <f t="shared" si="13"/>
        <v>608.17257808581189</v>
      </c>
      <c r="H67" s="52">
        <f t="shared" si="54"/>
        <v>3.5239074550128531</v>
      </c>
      <c r="I67" s="52">
        <f t="shared" si="55"/>
        <v>3.8620000000000001</v>
      </c>
      <c r="K67" s="52">
        <f t="shared" si="56"/>
        <v>7.8476436733048818</v>
      </c>
      <c r="L67" s="135">
        <f t="shared" si="57"/>
        <v>8.0848012631307142E-6</v>
      </c>
      <c r="N67" s="131">
        <f t="shared" si="48"/>
        <v>0.29036621737544821</v>
      </c>
      <c r="O67" s="131">
        <f t="shared" si="49"/>
        <v>0.29036621737544821</v>
      </c>
      <c r="P67" s="55">
        <f t="shared" si="50"/>
        <v>0.99999999999999989</v>
      </c>
      <c r="Q67" s="135">
        <f>_xll.xSPRDOPT(I67,H67,AQ67,0,O67,N67,P67,D67-$G$5,1,0)*AH67*AU67</f>
        <v>7.8476517581061449</v>
      </c>
      <c r="R67" s="135"/>
      <c r="S67" s="181">
        <f>_xll.xSPRDOPT(I67,H67,AQ67,AT67,O67,N67,P67,D67-$G$5,1,2)*AF67*(F67/(1-AR67))*AH67</f>
        <v>-19342.495273234552</v>
      </c>
      <c r="T67" s="181">
        <f>_xll.xSPRDOPT(I67,H67,AQ67,AT67,O67,N67,P67,D67-$G$5,1,1)*AF67*F67*AH67</f>
        <v>18810.576652993579</v>
      </c>
      <c r="U67" s="135"/>
      <c r="V67" s="146">
        <f t="shared" si="58"/>
        <v>9.6662052257155224</v>
      </c>
      <c r="W67" s="146"/>
      <c r="X67" s="338">
        <f t="shared" si="59"/>
        <v>0</v>
      </c>
      <c r="Y67" s="338">
        <f t="shared" si="20"/>
        <v>0</v>
      </c>
      <c r="Z67" s="338">
        <f t="shared" si="21"/>
        <v>2.2834207280123198</v>
      </c>
      <c r="AA67" s="338">
        <f t="shared" si="22"/>
        <v>6.3130672560056391E-6</v>
      </c>
      <c r="AB67" s="338">
        <f t="shared" si="60"/>
        <v>0</v>
      </c>
      <c r="AC67" s="338">
        <f t="shared" si="61"/>
        <v>2.311459646694634</v>
      </c>
      <c r="AF67" s="138">
        <f t="shared" si="62"/>
        <v>1</v>
      </c>
      <c r="AG67" s="138">
        <f t="shared" si="63"/>
        <v>10</v>
      </c>
      <c r="AH67" s="138">
        <f t="shared" si="73"/>
        <v>31</v>
      </c>
      <c r="AI67" s="138">
        <f t="shared" si="64"/>
        <v>1384</v>
      </c>
      <c r="AJ67" s="138">
        <f t="shared" si="65"/>
        <v>1401</v>
      </c>
      <c r="AL67" s="136">
        <f t="shared" si="29"/>
        <v>3.4119999999999999</v>
      </c>
      <c r="AM67" s="258">
        <f t="shared" si="30"/>
        <v>7.4999999999999997E-3</v>
      </c>
      <c r="AN67" s="258">
        <f t="shared" si="31"/>
        <v>7.4999999999999997E-3</v>
      </c>
      <c r="AO67" s="258">
        <f t="shared" si="32"/>
        <v>0.45</v>
      </c>
      <c r="AP67" s="258">
        <f t="shared" si="33"/>
        <v>0</v>
      </c>
      <c r="AQ67" s="136">
        <f t="shared" si="66"/>
        <v>3.3399999999999999E-2</v>
      </c>
      <c r="AR67" s="137">
        <f t="shared" si="35"/>
        <v>2.75E-2</v>
      </c>
      <c r="AS67" s="136">
        <f t="shared" si="67"/>
        <v>3.4269999999999996</v>
      </c>
      <c r="AT67" s="137">
        <f t="shared" si="68"/>
        <v>4.9009151354921801E-2</v>
      </c>
      <c r="AU67" s="137">
        <f t="shared" si="38"/>
        <v>0.83083685530848617</v>
      </c>
      <c r="AV67" s="394">
        <f t="shared" si="69"/>
        <v>540.87479280582454</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-7.9203272680821027E-7</v>
      </c>
      <c r="BG67" s="137">
        <f>_xll.xSPRDOPT($BW67,$BV67,$CG67,0,$BY67,$BX67,$BZ67,$AJ67,1,3)*$CB67</f>
        <v>-7.9203272680821027E-7</v>
      </c>
      <c r="BH67" s="137">
        <f>IF(OR(BF67&lt;&gt;0,BG67&lt;&gt;0),_xll.xSPRDOPT($BW67,$BV67,$CG67,0,$BY67,$BX67,$BZ67,$AJ67,1,12)*$CB67,0)</f>
        <v>1.0890449993612891E-6</v>
      </c>
      <c r="BI67" s="137">
        <f>_xll.xSPRDOPT($BW67,$BV67,$CG67,2*LN(1+CA67/2),$BY67,$BX67,$BZ67,$AJ67,1,9)</f>
        <v>1.2251298855786177E-2</v>
      </c>
      <c r="BJ67" s="137">
        <f>_xll.xSPRDOPT($BW67,$BV67,$CG67,0,$BY67,$BX67,$BZ67,$AJ67,1,6)*$CB67</f>
        <v>-2.5497242359590592E-4</v>
      </c>
      <c r="BK67" s="137">
        <f>_xll.xSPRDOPT($BW67,$BV67,$CG67,0,$BY67,$BX67,$BZ67,$AJ67,1,5)*$CB67</f>
        <v>2.794351137307269E-4</v>
      </c>
      <c r="BL67" s="137">
        <f>_xll.xSPRDOPT(BW67,BV67,CG67,0,BY67,BX67,BZ67,AJ67,1,2)*CB67</f>
        <v>-0.83049834290317237</v>
      </c>
      <c r="BM67" s="137">
        <f>_xll.xSPRDOPT(BW67,BV67,CG67,0,BY67,BX67,BZ67,AJ67,1,1)*CB67</f>
        <v>0.83049834289259761</v>
      </c>
      <c r="BN67" s="137">
        <f>IF(AH67&lt;&gt;0,_xll.xSPRDOPT($BW67,$BV67,$CG67,2*LN(1+CA67/2),$BY67,$BX67,$BZ67,$AJ67,1,8)+(AJ67/365.25)*CH67/AH67,0)</f>
        <v>0.22492592949429002</v>
      </c>
      <c r="BO67" s="137">
        <f>_xll.xSPRDOPT($BW67,$BV67,$CG67,0,$BY67,$BX67,$BZ67,$AJ67,1,0)</f>
        <v>0.30469286772577214</v>
      </c>
      <c r="BP67" s="137"/>
      <c r="BQ67" s="137"/>
      <c r="BR67" s="137"/>
      <c r="BS67" s="137"/>
      <c r="BV67" s="262">
        <v>3.5239074550128531</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52"/>
        <v>38671</v>
      </c>
      <c r="F68" s="28">
        <f t="shared" si="53"/>
        <v>732</v>
      </c>
      <c r="G68" s="28">
        <f t="shared" si="13"/>
        <v>604.79363663384038</v>
      </c>
      <c r="H68" s="52">
        <f t="shared" si="54"/>
        <v>3.6776349614395882</v>
      </c>
      <c r="I68" s="52">
        <f t="shared" si="55"/>
        <v>4.0140000000000002</v>
      </c>
      <c r="K68" s="52">
        <f t="shared" si="56"/>
        <v>7.5094806329452162</v>
      </c>
      <c r="L68" s="135">
        <f t="shared" si="57"/>
        <v>1.3824892826974633E-5</v>
      </c>
      <c r="N68" s="131">
        <f t="shared" si="48"/>
        <v>0.29510383973065518</v>
      </c>
      <c r="O68" s="131">
        <f t="shared" si="49"/>
        <v>0.29510383973065518</v>
      </c>
      <c r="P68" s="55">
        <f t="shared" si="50"/>
        <v>0.99999999999999989</v>
      </c>
      <c r="Q68" s="135">
        <f>_xll.xSPRDOPT(I68,H68,AQ68,0,O68,N68,P68,D68-$G$5,1,0)*AH68*AU68</f>
        <v>7.5094944578380431</v>
      </c>
      <c r="R68" s="135"/>
      <c r="S68" s="181">
        <f>_xll.xSPRDOPT(I68,H68,AQ68,AT68,O68,N68,P68,D68-$G$5,1,2)*AF68*(F68/(1-AR68))*AH68</f>
        <v>-18612.955293668641</v>
      </c>
      <c r="T68" s="181">
        <f>_xll.xSPRDOPT(I68,H68,AQ68,AT68,O68,N68,P68,D68-$G$5,1,1)*AF68*F68*AH68</f>
        <v>18101.099023052808</v>
      </c>
      <c r="U68" s="135"/>
      <c r="V68" s="146">
        <f t="shared" si="58"/>
        <v>9.3024201569131257</v>
      </c>
      <c r="W68" s="146"/>
      <c r="X68" s="338">
        <f t="shared" si="59"/>
        <v>0</v>
      </c>
      <c r="Y68" s="338">
        <f t="shared" si="20"/>
        <v>0</v>
      </c>
      <c r="Z68" s="338">
        <f t="shared" si="21"/>
        <v>2.2018951075812869</v>
      </c>
      <c r="AA68" s="338">
        <f t="shared" si="22"/>
        <v>1.0446053879183966E-5</v>
      </c>
      <c r="AB68" s="338">
        <f t="shared" si="60"/>
        <v>0</v>
      </c>
      <c r="AC68" s="338">
        <f t="shared" si="61"/>
        <v>2.2291307772218842</v>
      </c>
      <c r="AF68" s="138">
        <f t="shared" si="62"/>
        <v>1</v>
      </c>
      <c r="AG68" s="138">
        <f t="shared" si="63"/>
        <v>11</v>
      </c>
      <c r="AH68" s="138">
        <f t="shared" si="73"/>
        <v>30</v>
      </c>
      <c r="AI68" s="138">
        <f t="shared" si="64"/>
        <v>1415</v>
      </c>
      <c r="AJ68" s="138">
        <f t="shared" si="65"/>
        <v>1432</v>
      </c>
      <c r="AL68" s="136">
        <f t="shared" si="29"/>
        <v>3.5640000000000001</v>
      </c>
      <c r="AM68" s="258">
        <f t="shared" si="30"/>
        <v>5.0000000000000001E-3</v>
      </c>
      <c r="AN68" s="258">
        <f t="shared" si="31"/>
        <v>7.4999999999999997E-3</v>
      </c>
      <c r="AO68" s="258">
        <f t="shared" si="32"/>
        <v>0.45</v>
      </c>
      <c r="AP68" s="258">
        <f t="shared" si="33"/>
        <v>0</v>
      </c>
      <c r="AQ68" s="136">
        <f t="shared" si="66"/>
        <v>3.3399999999999999E-2</v>
      </c>
      <c r="AR68" s="137">
        <f t="shared" si="35"/>
        <v>2.75E-2</v>
      </c>
      <c r="AS68" s="136">
        <f t="shared" si="67"/>
        <v>3.5764999999999998</v>
      </c>
      <c r="AT68" s="137">
        <f t="shared" si="68"/>
        <v>4.9392017987160801E-2</v>
      </c>
      <c r="AU68" s="137">
        <f t="shared" si="38"/>
        <v>0.82622081507355238</v>
      </c>
      <c r="AV68" s="394">
        <f t="shared" si="69"/>
        <v>520.51911349633804</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-1.181444791121791E-6</v>
      </c>
      <c r="BG68" s="137">
        <f>_xll.xSPRDOPT($BW68,$BV68,$CG68,0,$BY68,$BX68,$BZ68,$AJ68,1,3)*$CB68</f>
        <v>0</v>
      </c>
      <c r="BH68" s="137">
        <f>IF(OR(BF68&lt;&gt;0,BG68&lt;&gt;0),_xll.xSPRDOPT($BW68,$BV68,$CG68,0,$BY68,$BX68,$BZ68,$AJ68,1,12)*$CB68,0)</f>
        <v>1.4768059889022388E-7</v>
      </c>
      <c r="BI68" s="137">
        <f>_xll.xSPRDOPT($BW68,$BV68,$CG68,2*LN(1+CA68/2),$BY68,$BX68,$BZ68,$AJ68,1,9)</f>
        <v>1.2207683485793338E-2</v>
      </c>
      <c r="BJ68" s="137">
        <f>_xll.xSPRDOPT($BW68,$BV68,$CG68,0,$BY68,$BX68,$BZ68,$AJ68,1,6)*$CB68</f>
        <v>-2.501497173076837E-4</v>
      </c>
      <c r="BK68" s="137">
        <f>_xll.xSPRDOPT($BW68,$BV68,$CG68,0,$BY68,$BX68,$BZ68,$AJ68,1,5)*$CB68</f>
        <v>2.7302899078901678E-4</v>
      </c>
      <c r="BL68" s="137">
        <f>_xll.xSPRDOPT(BW68,BV68,CG68,0,BY68,BX68,BZ68,AJ68,1,2)*CB68</f>
        <v>-0.82588220359722231</v>
      </c>
      <c r="BM68" s="137">
        <f>_xll.xSPRDOPT(BW68,BV68,CG68,0,BY68,BX68,BZ68,AJ68,1,1)*CB68</f>
        <v>0.82588220359496889</v>
      </c>
      <c r="BN68" s="137">
        <f>IF(AH68&lt;&gt;0,_xll.xSPRDOPT($BW68,$BV68,$CG68,2*LN(1+CA68/2),$BY68,$BX68,$BZ68,$AJ68,1,8)+(AJ68/365.25)*CH68/AH68,0)</f>
        <v>0.23421771350364062</v>
      </c>
      <c r="BO68" s="137">
        <f>_xll.xSPRDOPT($BW68,$BV68,$CG68,0,$BY68,$BX68,$BZ68,$AJ68,1,0)</f>
        <v>0.30296560431829245</v>
      </c>
      <c r="BP68" s="137"/>
      <c r="BQ68" s="137"/>
      <c r="BR68" s="137"/>
      <c r="BS68" s="137"/>
      <c r="BV68" s="262">
        <v>3.6776349614395882</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52"/>
        <v>38701</v>
      </c>
      <c r="F69" s="28">
        <f t="shared" si="53"/>
        <v>732</v>
      </c>
      <c r="G69" s="28">
        <f t="shared" si="13"/>
        <v>601.50540010154555</v>
      </c>
      <c r="H69" s="52">
        <f t="shared" si="54"/>
        <v>3.8246786632390739</v>
      </c>
      <c r="I69" s="52">
        <f t="shared" si="55"/>
        <v>4.1070000000000002</v>
      </c>
      <c r="K69" s="52">
        <f t="shared" si="56"/>
        <v>6.3409199127431268</v>
      </c>
      <c r="L69" s="135">
        <f t="shared" si="57"/>
        <v>7.4182032525627051E-5</v>
      </c>
      <c r="N69" s="131">
        <f t="shared" si="48"/>
        <v>0.30162191373118435</v>
      </c>
      <c r="O69" s="131">
        <f t="shared" si="49"/>
        <v>0.30162191373118435</v>
      </c>
      <c r="P69" s="55">
        <f t="shared" si="50"/>
        <v>1</v>
      </c>
      <c r="Q69" s="135">
        <f>_xll.xSPRDOPT(I69,H69,AQ69,0,O69,N69,P69,D69-$G$5,1,0)*AH69*AU69</f>
        <v>6.3409940947756525</v>
      </c>
      <c r="R69" s="135"/>
      <c r="S69" s="181">
        <f>_xll.xSPRDOPT(I69,H69,AQ69,AT69,O69,N69,P69,D69-$G$5,1,2)*AF69*(F69/(1-AR69))*AH69</f>
        <v>-19126.09575350603</v>
      </c>
      <c r="T69" s="181">
        <f>_xll.xSPRDOPT(I69,H69,AQ69,AT69,O69,N69,P69,D69-$G$5,1,1)*AF69*F69*AH69</f>
        <v>18600.128120253656</v>
      </c>
      <c r="U69" s="135"/>
      <c r="V69" s="146">
        <f t="shared" si="58"/>
        <v>9.5602380825155908</v>
      </c>
      <c r="W69" s="146"/>
      <c r="X69" s="338">
        <f t="shared" si="59"/>
        <v>0</v>
      </c>
      <c r="Y69" s="338">
        <f t="shared" si="20"/>
        <v>0</v>
      </c>
      <c r="Z69" s="338">
        <f t="shared" si="21"/>
        <v>1.8723005196207825</v>
      </c>
      <c r="AA69" s="338">
        <f t="shared" si="22"/>
        <v>9.3935091725697731E-5</v>
      </c>
      <c r="AB69" s="338">
        <f t="shared" si="60"/>
        <v>0</v>
      </c>
      <c r="AC69" s="338">
        <f t="shared" si="61"/>
        <v>1.8963857629037606</v>
      </c>
      <c r="AF69" s="138">
        <f t="shared" si="62"/>
        <v>1</v>
      </c>
      <c r="AG69" s="138">
        <f t="shared" si="63"/>
        <v>12</v>
      </c>
      <c r="AH69" s="138">
        <f t="shared" si="73"/>
        <v>31</v>
      </c>
      <c r="AI69" s="138">
        <f t="shared" si="64"/>
        <v>1445</v>
      </c>
      <c r="AJ69" s="138">
        <f t="shared" si="65"/>
        <v>1462</v>
      </c>
      <c r="AL69" s="136">
        <f t="shared" si="29"/>
        <v>3.7069999999999999</v>
      </c>
      <c r="AM69" s="258">
        <f t="shared" si="30"/>
        <v>5.0000000000000001E-3</v>
      </c>
      <c r="AN69" s="258">
        <f t="shared" si="31"/>
        <v>7.4999999999999997E-3</v>
      </c>
      <c r="AO69" s="258">
        <f t="shared" si="32"/>
        <v>0.4</v>
      </c>
      <c r="AP69" s="258">
        <f t="shared" si="33"/>
        <v>0</v>
      </c>
      <c r="AQ69" s="136">
        <f t="shared" si="66"/>
        <v>3.3399999999999999E-2</v>
      </c>
      <c r="AR69" s="137">
        <f t="shared" si="35"/>
        <v>2.75E-2</v>
      </c>
      <c r="AS69" s="136">
        <f t="shared" si="67"/>
        <v>3.7194999999999996</v>
      </c>
      <c r="AT69" s="137">
        <f t="shared" si="68"/>
        <v>4.97625341294907E-2</v>
      </c>
      <c r="AU69" s="137">
        <f t="shared" si="38"/>
        <v>0.82172868866331361</v>
      </c>
      <c r="AV69" s="394">
        <f t="shared" si="69"/>
        <v>534.94537631981711</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-7.3438614882205337E-7</v>
      </c>
      <c r="BG69" s="137">
        <f>_xll.xSPRDOPT($BW69,$BV69,$CG69,0,$BY69,$BX69,$BZ69,$AJ69,1,3)*$CB69</f>
        <v>1.4687722976441066E-7</v>
      </c>
      <c r="BH69" s="137">
        <f>IF(OR(BF69&lt;&gt;0,BG69&lt;&gt;0),_xll.xSPRDOPT($BW69,$BV69,$CG69,0,$BY69,$BX69,$BZ69,$AJ69,1,12)*$CB69,0)</f>
        <v>-2.4479538294068446E-7</v>
      </c>
      <c r="BI69" s="137">
        <f>_xll.xSPRDOPT($BW69,$BV69,$CG69,2*LN(1+CA69/2),$BY69,$BX69,$BZ69,$AJ69,1,9)</f>
        <v>1.0045504506602779E-2</v>
      </c>
      <c r="BJ69" s="137">
        <f>_xll.xSPRDOPT($BW69,$BV69,$CG69,0,$BY69,$BX69,$BZ69,$AJ69,1,6)*$CB69</f>
        <v>-1.6924176150494455E-3</v>
      </c>
      <c r="BK69" s="137">
        <f>_xll.xSPRDOPT($BW69,$BV69,$CG69,0,$BY69,$BX69,$BZ69,$AJ69,1,5)*$CB69</f>
        <v>1.8173446076339024E-3</v>
      </c>
      <c r="BL69" s="137">
        <f>_xll.xSPRDOPT(BW69,BV69,CG69,0,BY69,BX69,BZ69,AJ69,1,2)*CB69</f>
        <v>-0.82134265325476519</v>
      </c>
      <c r="BM69" s="137">
        <f>_xll.xSPRDOPT(BW69,BV69,CG69,0,BY69,BX69,BZ69,AJ69,1,1)*CB69</f>
        <v>0.82134265325252398</v>
      </c>
      <c r="BN69" s="137">
        <f>IF(AH69&lt;&gt;0,_xll.xSPRDOPT($BW69,$BV69,$CG69,2*LN(1+CA69/2),$BY69,$BX69,$BZ69,$AJ69,1,8)+(AJ69/365.25)*CH69/AH69,0)</f>
        <v>0.41550271621578805</v>
      </c>
      <c r="BO69" s="137">
        <f>_xll.xSPRDOPT($BW69,$BV69,$CG69,0,$BY69,$BX69,$BZ69,$AJ69,1,0)</f>
        <v>0.24892429097175214</v>
      </c>
      <c r="BP69" s="137"/>
      <c r="BQ69" s="137"/>
      <c r="BR69" s="137"/>
      <c r="BS69" s="137"/>
      <c r="BV69" s="262">
        <v>3.8246786632390739</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52"/>
        <v>38732</v>
      </c>
      <c r="F70" s="28">
        <f t="shared" si="53"/>
        <v>732</v>
      </c>
      <c r="G70" s="28">
        <f t="shared" si="13"/>
        <v>598.14044117803314</v>
      </c>
      <c r="H70" s="52">
        <f t="shared" si="54"/>
        <v>3.8812339331619534</v>
      </c>
      <c r="I70" s="52">
        <f t="shared" si="55"/>
        <v>4.1120000000000001</v>
      </c>
      <c r="K70" s="52">
        <f t="shared" si="56"/>
        <v>4.9994964686537635</v>
      </c>
      <c r="L70" s="135">
        <f t="shared" si="57"/>
        <v>2.5379446900153368E-4</v>
      </c>
      <c r="N70" s="131">
        <f t="shared" si="48"/>
        <v>0.30128576852292338</v>
      </c>
      <c r="O70" s="131">
        <f t="shared" si="49"/>
        <v>0.30128576852292338</v>
      </c>
      <c r="P70" s="55">
        <f t="shared" si="50"/>
        <v>0.99999999999999978</v>
      </c>
      <c r="Q70" s="135">
        <f>_xll.xSPRDOPT(I70,H70,AQ70,0,O70,N70,P70,D70-$G$5,1,0)*AH70*AU70</f>
        <v>4.999750263122765</v>
      </c>
      <c r="R70" s="135"/>
      <c r="S70" s="181">
        <f>_xll.xSPRDOPT(I70,H70,AQ70,AT70,O70,N70,P70,D70-$G$5,1,2)*AF70*(F70/(1-AR70))*AH70</f>
        <v>-19015.522465439484</v>
      </c>
      <c r="T70" s="181">
        <f>_xll.xSPRDOPT(I70,H70,AQ70,AT70,O70,N70,P70,D70-$G$5,1,1)*AF70*F70*AH70</f>
        <v>18492.595597722462</v>
      </c>
      <c r="U70" s="135"/>
      <c r="V70" s="146">
        <f t="shared" si="58"/>
        <v>9.5067559218546336</v>
      </c>
      <c r="W70" s="146"/>
      <c r="X70" s="338">
        <f t="shared" si="59"/>
        <v>0</v>
      </c>
      <c r="Y70" s="338">
        <f t="shared" si="20"/>
        <v>0</v>
      </c>
      <c r="Z70" s="338">
        <f t="shared" si="21"/>
        <v>1.4858776411362185</v>
      </c>
      <c r="AA70" s="338">
        <f t="shared" si="22"/>
        <v>1.7607225436440426E-4</v>
      </c>
      <c r="AB70" s="338">
        <f t="shared" si="60"/>
        <v>0</v>
      </c>
      <c r="AC70" s="338">
        <f t="shared" si="61"/>
        <v>1.5061165378178045</v>
      </c>
      <c r="AF70" s="138">
        <f t="shared" si="62"/>
        <v>1</v>
      </c>
      <c r="AG70" s="138">
        <f t="shared" si="63"/>
        <v>1</v>
      </c>
      <c r="AH70" s="138">
        <f t="shared" si="73"/>
        <v>31</v>
      </c>
      <c r="AI70" s="138">
        <f t="shared" si="64"/>
        <v>1476</v>
      </c>
      <c r="AJ70" s="138">
        <f t="shared" si="65"/>
        <v>1493</v>
      </c>
      <c r="AL70" s="136">
        <f t="shared" si="29"/>
        <v>3.762</v>
      </c>
      <c r="AM70" s="258">
        <f t="shared" si="30"/>
        <v>5.0000000000000001E-3</v>
      </c>
      <c r="AN70" s="258">
        <f t="shared" si="31"/>
        <v>7.4999999999999997E-3</v>
      </c>
      <c r="AO70" s="258">
        <f t="shared" si="32"/>
        <v>0.35</v>
      </c>
      <c r="AP70" s="258">
        <f t="shared" si="33"/>
        <v>0</v>
      </c>
      <c r="AQ70" s="136">
        <f t="shared" si="66"/>
        <v>3.3399999999999999E-2</v>
      </c>
      <c r="AR70" s="137">
        <f t="shared" si="35"/>
        <v>2.75E-2</v>
      </c>
      <c r="AS70" s="136">
        <f t="shared" si="67"/>
        <v>3.7744999999999997</v>
      </c>
      <c r="AT70" s="137">
        <f t="shared" si="68"/>
        <v>5.0123867010087399E-2</v>
      </c>
      <c r="AU70" s="137">
        <f t="shared" si="38"/>
        <v>0.81713175024321461</v>
      </c>
      <c r="AV70" s="394">
        <f t="shared" si="69"/>
        <v>531.95276940833276</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7.7896075737116087E-7</v>
      </c>
      <c r="BG70" s="137">
        <f>_xll.xSPRDOPT($BW70,$BV70,$CG70,0,$BY70,$BX70,$BZ70,$AJ70,1,3)*$CB70</f>
        <v>-9.7370094671395108E-8</v>
      </c>
      <c r="BH70" s="137">
        <f>IF(OR(BF70&lt;&gt;0,BG70&lt;&gt;0),_xll.xSPRDOPT($BW70,$BV70,$CG70,0,$BY70,$BX70,$BZ70,$AJ70,1,12)*$CB70,0)</f>
        <v>-1.9474018934279022E-7</v>
      </c>
      <c r="BI70" s="137">
        <f>_xll.xSPRDOPT($BW70,$BV70,$CG70,2*LN(1+CA70/2),$BY70,$BX70,$BZ70,$AJ70,1,9)</f>
        <v>7.9722194080880764E-3</v>
      </c>
      <c r="BJ70" s="137">
        <f>_xll.xSPRDOPT($BW70,$BV70,$CG70,0,$BY70,$BX70,$BZ70,$AJ70,1,6)*$CB70</f>
        <v>-4.1025961873361145E-3</v>
      </c>
      <c r="BK70" s="137">
        <f>_xll.xSPRDOPT($BW70,$BV70,$CG70,0,$BY70,$BX70,$BZ70,$AJ70,1,5)*$CB70</f>
        <v>4.3465237584484938E-3</v>
      </c>
      <c r="BL70" s="137">
        <f>_xll.xSPRDOPT(BW70,BV70,CG70,0,BY70,BX70,BZ70,AJ70,1,2)*CB70</f>
        <v>-0.81666357922853394</v>
      </c>
      <c r="BM70" s="137">
        <f>_xll.xSPRDOPT(BW70,BV70,CG70,0,BY70,BX70,BZ70,AJ70,1,1)*CB70</f>
        <v>0.81666357922890542</v>
      </c>
      <c r="BN70" s="137">
        <f>IF(AH70&lt;&gt;0,_xll.xSPRDOPT($BW70,$BV70,$CG70,2*LN(1+CA70/2),$BY70,$BX70,$BZ70,$AJ70,1,8)+(AJ70/365.25)*CH70/AH70,0)</f>
        <v>0.59404480427995643</v>
      </c>
      <c r="BO70" s="137">
        <f>_xll.xSPRDOPT($BW70,$BV70,$CG70,0,$BY70,$BX70,$BZ70,$AJ70,1,0)</f>
        <v>0.1973761669533084</v>
      </c>
      <c r="BP70" s="137"/>
      <c r="BQ70" s="137"/>
      <c r="BR70" s="137"/>
      <c r="BS70" s="137"/>
      <c r="BV70" s="262">
        <v>3.8812339331619534</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3.3399999999999999E-2</v>
      </c>
      <c r="CH70" s="258">
        <v>9.5028910641468389</v>
      </c>
      <c r="CI70" s="258">
        <v>3.762</v>
      </c>
      <c r="CJ70" s="258"/>
      <c r="CK70" s="258"/>
      <c r="CL70" s="258"/>
      <c r="CM70" s="258"/>
    </row>
    <row r="71" spans="1:91" x14ac:dyDescent="0.25">
      <c r="A71" s="723"/>
      <c r="B71" s="723"/>
      <c r="D71" s="31">
        <f t="shared" si="52"/>
        <v>38763</v>
      </c>
      <c r="F71" s="28">
        <f t="shared" si="53"/>
        <v>732</v>
      </c>
      <c r="G71" s="28">
        <f t="shared" si="13"/>
        <v>594.85345974136578</v>
      </c>
      <c r="H71" s="52">
        <f t="shared" si="54"/>
        <v>3.7938303341902309</v>
      </c>
      <c r="I71" s="52">
        <f t="shared" si="55"/>
        <v>4.0270000000000001</v>
      </c>
      <c r="K71" s="52">
        <f t="shared" si="56"/>
        <v>4.545550480919256</v>
      </c>
      <c r="L71" s="135">
        <f t="shared" si="57"/>
        <v>1.9465468848700596E-4</v>
      </c>
      <c r="N71" s="131">
        <f t="shared" si="48"/>
        <v>0.29475895276765796</v>
      </c>
      <c r="O71" s="131">
        <f t="shared" si="49"/>
        <v>0.29475895276765796</v>
      </c>
      <c r="P71" s="55">
        <f t="shared" si="50"/>
        <v>1</v>
      </c>
      <c r="Q71" s="135">
        <f>_xll.xSPRDOPT(I71,H71,AQ71,0,O71,N71,P71,D71-$G$5,1,0)*AH71*AU71</f>
        <v>4.545745135607743</v>
      </c>
      <c r="R71" s="135"/>
      <c r="S71" s="181">
        <f>_xll.xSPRDOPT(I71,H71,AQ71,AT71,O71,N71,P71,D71-$G$5,1,2)*AF71*(F71/(1-AR71))*AH71</f>
        <v>-17079.391025264278</v>
      </c>
      <c r="T71" s="181">
        <f>_xll.xSPRDOPT(I71,H71,AQ71,AT71,O71,N71,P71,D71-$G$5,1,1)*AF71*F71*AH71</f>
        <v>16609.707772190675</v>
      </c>
      <c r="U71" s="135"/>
      <c r="V71" s="146">
        <f t="shared" si="58"/>
        <v>8.539560240910065</v>
      </c>
      <c r="W71" s="146"/>
      <c r="X71" s="338">
        <f t="shared" si="59"/>
        <v>0</v>
      </c>
      <c r="Y71" s="338">
        <f t="shared" si="20"/>
        <v>0</v>
      </c>
      <c r="Z71" s="338">
        <f t="shared" si="21"/>
        <v>1.3595471533864978</v>
      </c>
      <c r="AA71" s="338">
        <f t="shared" si="22"/>
        <v>1.474616311863638E-4</v>
      </c>
      <c r="AB71" s="338">
        <f t="shared" si="60"/>
        <v>0</v>
      </c>
      <c r="AC71" s="338">
        <f t="shared" si="61"/>
        <v>1.378150992405357</v>
      </c>
      <c r="AF71" s="138">
        <f t="shared" si="62"/>
        <v>1</v>
      </c>
      <c r="AG71" s="138">
        <f t="shared" si="63"/>
        <v>2</v>
      </c>
      <c r="AH71" s="138">
        <f t="shared" si="73"/>
        <v>28</v>
      </c>
      <c r="AI71" s="138">
        <f t="shared" si="64"/>
        <v>1507</v>
      </c>
      <c r="AJ71" s="138">
        <f t="shared" si="65"/>
        <v>1524</v>
      </c>
      <c r="AL71" s="136">
        <f t="shared" si="29"/>
        <v>3.677</v>
      </c>
      <c r="AM71" s="258">
        <f t="shared" si="30"/>
        <v>5.0000000000000001E-3</v>
      </c>
      <c r="AN71" s="258">
        <f t="shared" si="31"/>
        <v>7.4999999999999997E-3</v>
      </c>
      <c r="AO71" s="258">
        <f t="shared" si="32"/>
        <v>0.35</v>
      </c>
      <c r="AP71" s="258">
        <f t="shared" si="33"/>
        <v>0</v>
      </c>
      <c r="AQ71" s="136">
        <f t="shared" si="66"/>
        <v>3.3399999999999999E-2</v>
      </c>
      <c r="AR71" s="137">
        <f t="shared" si="35"/>
        <v>2.75E-2</v>
      </c>
      <c r="AS71" s="136">
        <f t="shared" si="67"/>
        <v>3.6894999999999998</v>
      </c>
      <c r="AT71" s="137">
        <f t="shared" si="68"/>
        <v>5.0446047479093502E-2</v>
      </c>
      <c r="AU71" s="137">
        <f t="shared" si="38"/>
        <v>0.81264133844448871</v>
      </c>
      <c r="AV71" s="394">
        <f t="shared" si="69"/>
        <v>477.83310700535935</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9.6834763526160449E-8</v>
      </c>
      <c r="BG71" s="137">
        <f>_xll.xSPRDOPT($BW71,$BV71,$CG71,0,$BY71,$BX71,$BZ71,$AJ71,1,3)*$CB71</f>
        <v>-7.2626072644620338E-7</v>
      </c>
      <c r="BH71" s="137">
        <f>IF(OR(BF71&lt;&gt;0,BG71&lt;&gt;0),_xll.xSPRDOPT($BW71,$BV71,$CG71,0,$BY71,$BX71,$BZ71,$AJ71,1,12)*$CB71,0)</f>
        <v>2.4208690881540111E-7</v>
      </c>
      <c r="BI71" s="137">
        <f>_xll.xSPRDOPT($BW71,$BV71,$CG71,2*LN(1+CA71/2),$BY71,$BX71,$BZ71,$AJ71,1,9)</f>
        <v>8.0759595006248096E-3</v>
      </c>
      <c r="BJ71" s="137">
        <f>_xll.xSPRDOPT($BW71,$BV71,$CG71,0,$BY71,$BX71,$BZ71,$AJ71,1,6)*$CB71</f>
        <v>-4.1325139349825887E-3</v>
      </c>
      <c r="BK71" s="137">
        <f>_xll.xSPRDOPT($BW71,$BV71,$CG71,0,$BY71,$BX71,$BZ71,$AJ71,1,5)*$CB71</f>
        <v>4.3864991741405391E-3</v>
      </c>
      <c r="BL71" s="137">
        <f>_xll.xSPRDOPT(BW71,BV71,CG71,0,BY71,BX71,BZ71,AJ71,1,2)*CB71</f>
        <v>-0.81216993959996786</v>
      </c>
      <c r="BM71" s="137">
        <f>_xll.xSPRDOPT(BW71,BV71,CG71,0,BY71,BX71,BZ71,AJ71,1,1)*CB71</f>
        <v>0.81216993960883344</v>
      </c>
      <c r="BN71" s="137">
        <f>IF(AH71&lt;&gt;0,_xll.xSPRDOPT($BW71,$BV71,$CG71,2*LN(1+CA71/2),$BY71,$BX71,$BZ71,$AJ71,1,8)+(AJ71/365.25)*CH71/AH71,0)</f>
        <v>0.59490380854118752</v>
      </c>
      <c r="BO71" s="137">
        <f>_xll.xSPRDOPT($BW71,$BV71,$CG71,0,$BY71,$BX71,$BZ71,$AJ71,1,0)</f>
        <v>0.19977830254915066</v>
      </c>
      <c r="BP71" s="137"/>
      <c r="BQ71" s="137"/>
      <c r="BR71" s="137"/>
      <c r="BS71" s="137"/>
      <c r="BV71" s="262">
        <v>3.7938303341902309</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3.3399999999999999E-2</v>
      </c>
      <c r="CH71" s="258">
        <v>8.5360665504581537</v>
      </c>
      <c r="CI71" s="258">
        <v>3.677</v>
      </c>
      <c r="CJ71" s="258"/>
      <c r="CK71" s="258"/>
      <c r="CL71" s="258"/>
      <c r="CM71" s="258"/>
    </row>
    <row r="72" spans="1:91" x14ac:dyDescent="0.25">
      <c r="A72" s="723"/>
      <c r="B72" s="723"/>
      <c r="D72" s="31">
        <f t="shared" si="52"/>
        <v>38791</v>
      </c>
      <c r="F72" s="28">
        <f t="shared" si="53"/>
        <v>732</v>
      </c>
      <c r="G72" s="28">
        <f t="shared" si="13"/>
        <v>591.87306797684232</v>
      </c>
      <c r="H72" s="52">
        <f t="shared" si="54"/>
        <v>3.6652956298200512</v>
      </c>
      <c r="I72" s="52">
        <f t="shared" si="55"/>
        <v>3.9470000000000001</v>
      </c>
      <c r="K72" s="52">
        <f t="shared" si="56"/>
        <v>6.2239135935578975</v>
      </c>
      <c r="L72" s="135">
        <f t="shared" si="57"/>
        <v>3.4596101407657898E-5</v>
      </c>
      <c r="N72" s="131">
        <f t="shared" si="48"/>
        <v>0.27891651287520841</v>
      </c>
      <c r="O72" s="131">
        <f t="shared" si="49"/>
        <v>0.27891651287520841</v>
      </c>
      <c r="P72" s="55">
        <f t="shared" si="50"/>
        <v>1.0000000000000002</v>
      </c>
      <c r="Q72" s="135">
        <f>_xll.xSPRDOPT(I72,H72,AQ72,0,O72,N72,P72,D72-$G$5,1,0)*AH72*AU72</f>
        <v>6.2239481896593052</v>
      </c>
      <c r="R72" s="135"/>
      <c r="S72" s="181">
        <f>_xll.xSPRDOPT(I72,H72,AQ72,AT72,O72,N72,P72,D72-$G$5,1,2)*AF72*(F72/(1-AR72))*AH72</f>
        <v>-18815.816180732712</v>
      </c>
      <c r="T72" s="181">
        <f>_xll.xSPRDOPT(I72,H72,AQ72,AT72,O72,N72,P72,D72-$G$5,1,1)*AF72*F72*AH72</f>
        <v>18298.381236030862</v>
      </c>
      <c r="U72" s="135"/>
      <c r="V72" s="146">
        <f t="shared" si="58"/>
        <v>9.4071432168893132</v>
      </c>
      <c r="W72" s="146"/>
      <c r="X72" s="338">
        <f t="shared" si="59"/>
        <v>0</v>
      </c>
      <c r="Y72" s="338">
        <f t="shared" si="20"/>
        <v>0</v>
      </c>
      <c r="Z72" s="338">
        <f t="shared" si="21"/>
        <v>1.8738079816928506</v>
      </c>
      <c r="AA72" s="338">
        <f t="shared" si="22"/>
        <v>2.1199258773589774E-5</v>
      </c>
      <c r="AB72" s="338">
        <f t="shared" si="60"/>
        <v>0</v>
      </c>
      <c r="AC72" s="338">
        <f t="shared" si="61"/>
        <v>1.8978181220790629</v>
      </c>
      <c r="AF72" s="138">
        <f t="shared" si="62"/>
        <v>1</v>
      </c>
      <c r="AG72" s="138">
        <f t="shared" si="63"/>
        <v>3</v>
      </c>
      <c r="AH72" s="138">
        <f t="shared" si="73"/>
        <v>31</v>
      </c>
      <c r="AI72" s="138">
        <f t="shared" si="64"/>
        <v>1535</v>
      </c>
      <c r="AJ72" s="138">
        <f t="shared" si="65"/>
        <v>1552</v>
      </c>
      <c r="AL72" s="136">
        <f t="shared" si="29"/>
        <v>3.5470000000000002</v>
      </c>
      <c r="AM72" s="258">
        <f t="shared" si="30"/>
        <v>0.01</v>
      </c>
      <c r="AN72" s="258">
        <f t="shared" si="31"/>
        <v>7.4999999999999997E-3</v>
      </c>
      <c r="AO72" s="258">
        <f t="shared" si="32"/>
        <v>0.4</v>
      </c>
      <c r="AP72" s="258">
        <f t="shared" si="33"/>
        <v>0</v>
      </c>
      <c r="AQ72" s="136">
        <f t="shared" si="66"/>
        <v>3.3399999999999999E-2</v>
      </c>
      <c r="AR72" s="137">
        <f t="shared" si="35"/>
        <v>2.75E-2</v>
      </c>
      <c r="AS72" s="136">
        <f t="shared" si="67"/>
        <v>3.5644999999999998</v>
      </c>
      <c r="AT72" s="137">
        <f t="shared" si="68"/>
        <v>5.0737049222817202E-2</v>
      </c>
      <c r="AU72" s="137">
        <f t="shared" si="38"/>
        <v>0.80856976499568622</v>
      </c>
      <c r="AV72" s="394">
        <f t="shared" si="69"/>
        <v>526.37891701219178</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-1.0116683651827337E-6</v>
      </c>
      <c r="BG72" s="137">
        <f>_xll.xSPRDOPT($BW72,$BV72,$CG72,0,$BY72,$BX72,$BZ72,$AJ72,1,3)*$CB72</f>
        <v>-4.8174684056320648E-8</v>
      </c>
      <c r="BH72" s="137">
        <f>IF(OR(BF72&lt;&gt;0,BG72&lt;&gt;0),_xll.xSPRDOPT($BW72,$BV72,$CG72,0,$BY72,$BX72,$BZ72,$AJ72,1,12)*$CB72,0)</f>
        <v>-2.1678607825344291E-7</v>
      </c>
      <c r="BI72" s="137">
        <f>_xll.xSPRDOPT($BW72,$BV72,$CG72,2*LN(1+CA72/2),$BY72,$BX72,$BZ72,$AJ72,1,9)</f>
        <v>1.0053592533540656E-2</v>
      </c>
      <c r="BJ72" s="137">
        <f>_xll.xSPRDOPT($BW72,$BV72,$CG72,0,$BY72,$BX72,$BZ72,$AJ72,1,6)*$CB72</f>
        <v>-7.1736975602238362E-4</v>
      </c>
      <c r="BK72" s="137">
        <f>_xll.xSPRDOPT($BW72,$BV72,$CG72,0,$BY72,$BX72,$BZ72,$AJ72,1,5)*$CB72</f>
        <v>7.7250478384527669E-4</v>
      </c>
      <c r="BL72" s="137">
        <f>_xll.xSPRDOPT(BW72,BV72,CG72,0,BY72,BX72,BZ72,AJ72,1,2)*CB72</f>
        <v>-0.80821488540884412</v>
      </c>
      <c r="BM72" s="137">
        <f>_xll.xSPRDOPT(BW72,BV72,CG72,0,BY72,BX72,BZ72,AJ72,1,1)*CB72</f>
        <v>0.80821488541729769</v>
      </c>
      <c r="BN72" s="137">
        <f>IF(AH72&lt;&gt;0,_xll.xSPRDOPT($BW72,$BV72,$CG72,2*LN(1+CA72/2),$BY72,$BX72,$BZ72,$AJ72,1,8)+(AJ72/365.25)*CH72/AH72,0)</f>
        <v>0.43613833425226123</v>
      </c>
      <c r="BO72" s="137">
        <f>_xll.xSPRDOPT($BW72,$BV72,$CG72,0,$BY72,$BX72,$BZ72,$AJ72,1,0)</f>
        <v>0.24830576765925796</v>
      </c>
      <c r="BP72" s="137"/>
      <c r="BQ72" s="137"/>
      <c r="BR72" s="137"/>
      <c r="BS72" s="137"/>
      <c r="BV72" s="262">
        <v>3.6652956298200512</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52"/>
        <v>38822</v>
      </c>
      <c r="F73" s="28">
        <f t="shared" si="53"/>
        <v>732</v>
      </c>
      <c r="G73" s="28">
        <f t="shared" si="13"/>
        <v>588.56100772364857</v>
      </c>
      <c r="H73" s="52">
        <f t="shared" si="54"/>
        <v>3.4776349614395881</v>
      </c>
      <c r="I73" s="52">
        <f t="shared" si="55"/>
        <v>3.9620000000000002</v>
      </c>
      <c r="K73" s="52">
        <f t="shared" si="56"/>
        <v>10.877886784559434</v>
      </c>
      <c r="L73" s="135">
        <f t="shared" si="57"/>
        <v>1.1518627101025913E-6</v>
      </c>
      <c r="N73" s="131">
        <f t="shared" si="48"/>
        <v>0.25184329937151428</v>
      </c>
      <c r="O73" s="131">
        <f t="shared" si="49"/>
        <v>0.25184329937151428</v>
      </c>
      <c r="P73" s="55">
        <f t="shared" si="50"/>
        <v>1</v>
      </c>
      <c r="Q73" s="135">
        <f>_xll.xSPRDOPT(I73,H73,AQ73,0,O73,N73,P73,D73-$G$5,1,0)*AH73*AU73</f>
        <v>10.877887936422145</v>
      </c>
      <c r="R73" s="135"/>
      <c r="S73" s="181">
        <f>_xll.xSPRDOPT(I73,H73,AQ73,AT73,O73,N73,P73,D73-$G$5,1,2)*AF73*(F73/(1-AR73))*AH73</f>
        <v>-18105.860350525742</v>
      </c>
      <c r="T73" s="181">
        <f>_xll.xSPRDOPT(I73,H73,AQ73,AT73,O73,N73,P73,D73-$G$5,1,1)*AF73*F73*AH73</f>
        <v>17607.949190806394</v>
      </c>
      <c r="U73" s="135"/>
      <c r="V73" s="146">
        <f t="shared" si="58"/>
        <v>9.0527436966674308</v>
      </c>
      <c r="W73" s="146"/>
      <c r="X73" s="338">
        <f t="shared" si="59"/>
        <v>0</v>
      </c>
      <c r="Y73" s="338">
        <f t="shared" si="20"/>
        <v>0</v>
      </c>
      <c r="Z73" s="338">
        <f t="shared" si="21"/>
        <v>3.2960627308450698</v>
      </c>
      <c r="AA73" s="338">
        <f t="shared" si="22"/>
        <v>3.5292986614244853E-9</v>
      </c>
      <c r="AB73" s="338">
        <f t="shared" si="60"/>
        <v>0</v>
      </c>
      <c r="AC73" s="338">
        <f t="shared" si="61"/>
        <v>3.3379598099664047</v>
      </c>
      <c r="AF73" s="138">
        <f t="shared" si="62"/>
        <v>1</v>
      </c>
      <c r="AG73" s="138">
        <f t="shared" si="63"/>
        <v>4</v>
      </c>
      <c r="AH73" s="138">
        <f t="shared" si="73"/>
        <v>30</v>
      </c>
      <c r="AI73" s="138">
        <f t="shared" si="64"/>
        <v>1566</v>
      </c>
      <c r="AJ73" s="138">
        <f t="shared" si="65"/>
        <v>1583</v>
      </c>
      <c r="AL73" s="136">
        <f t="shared" si="29"/>
        <v>3.3620000000000001</v>
      </c>
      <c r="AM73" s="258">
        <f t="shared" si="30"/>
        <v>0.01</v>
      </c>
      <c r="AN73" s="258">
        <f t="shared" si="31"/>
        <v>0.01</v>
      </c>
      <c r="AO73" s="258">
        <f t="shared" si="32"/>
        <v>0.6</v>
      </c>
      <c r="AP73" s="258">
        <f t="shared" si="33"/>
        <v>0</v>
      </c>
      <c r="AQ73" s="136">
        <f t="shared" si="66"/>
        <v>3.3399999999999999E-2</v>
      </c>
      <c r="AR73" s="137">
        <f t="shared" si="35"/>
        <v>2.75E-2</v>
      </c>
      <c r="AS73" s="136">
        <f t="shared" si="67"/>
        <v>3.3819999999999997</v>
      </c>
      <c r="AT73" s="137">
        <f t="shared" si="68"/>
        <v>5.10592297577648E-2</v>
      </c>
      <c r="AU73" s="137">
        <f t="shared" si="38"/>
        <v>0.80404509251864564</v>
      </c>
      <c r="AV73" s="394">
        <f t="shared" si="69"/>
        <v>506.54840828674674</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-8.6228963824127488E-7</v>
      </c>
      <c r="BG73" s="137">
        <f>_xll.xSPRDOPT($BW73,$BV73,$CG73,0,$BY73,$BX73,$BZ73,$AJ73,1,3)*$CB73</f>
        <v>-3.8323983921834438E-7</v>
      </c>
      <c r="BH73" s="137">
        <f>IF(OR(BF73&lt;&gt;0,BG73&lt;&gt;0),_xll.xSPRDOPT($BW73,$BV73,$CG73,0,$BY73,$BX73,$BZ73,$AJ73,1,12)*$CB73,0)</f>
        <v>3.8323983921834438E-7</v>
      </c>
      <c r="BI73" s="137">
        <f>_xll.xSPRDOPT($BW73,$BV73,$CG73,2*LN(1+CA73/2),$BY73,$BX73,$BZ73,$AJ73,1,9)</f>
        <v>1.8273936132986668E-2</v>
      </c>
      <c r="BJ73" s="137">
        <f>_xll.xSPRDOPT($BW73,$BV73,$CG73,0,$BY73,$BX73,$BZ73,$AJ73,1,6)*$CB73</f>
        <v>-3.3182084466300478E-7</v>
      </c>
      <c r="BK73" s="137">
        <f>_xll.xSPRDOPT($BW73,$BV73,$CG73,0,$BY73,$BX73,$BZ73,$AJ73,1,5)*$CB73</f>
        <v>3.7802525054206014E-7</v>
      </c>
      <c r="BL73" s="137">
        <f>_xll.xSPRDOPT(BW73,BV73,CG73,0,BY73,BX73,BZ73,AJ73,1,2)*CB73</f>
        <v>-0.80371225541229618</v>
      </c>
      <c r="BM73" s="137">
        <f>_xll.xSPRDOPT(BW73,BV73,CG73,0,BY73,BX73,BZ73,AJ73,1,1)*CB73</f>
        <v>0.80371225541010327</v>
      </c>
      <c r="BN73" s="137">
        <f>IF(AH73&lt;&gt;0,_xll.xSPRDOPT($BW73,$BV73,$CG73,2*LN(1+CA73/2),$BY73,$BX73,$BZ73,$AJ73,1,8)+(AJ73/365.25)*CH73/AH73,0)</f>
        <v>-0.26356441896668259</v>
      </c>
      <c r="BO73" s="137">
        <f>_xll.xSPRDOPT($BW73,$BV73,$CG73,0,$BY73,$BX73,$BZ73,$AJ73,1,0)</f>
        <v>0.45096508632682669</v>
      </c>
      <c r="BP73" s="137"/>
      <c r="BQ73" s="137"/>
      <c r="BR73" s="137"/>
      <c r="BS73" s="137"/>
      <c r="BV73" s="262">
        <v>3.4776349614395881</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52"/>
        <v>38852</v>
      </c>
      <c r="F74" s="28">
        <f t="shared" si="53"/>
        <v>732</v>
      </c>
      <c r="G74" s="28">
        <f t="shared" si="13"/>
        <v>585.34383318218488</v>
      </c>
      <c r="H74" s="52">
        <f t="shared" si="54"/>
        <v>3.475064267352185</v>
      </c>
      <c r="I74" s="52">
        <f t="shared" si="55"/>
        <v>4.1070000000000002</v>
      </c>
      <c r="K74" s="52">
        <f t="shared" si="56"/>
        <v>14.837192898062797</v>
      </c>
      <c r="L74" s="135">
        <f t="shared" si="57"/>
        <v>1.5222585858509774E-6</v>
      </c>
      <c r="N74" s="131">
        <f t="shared" si="48"/>
        <v>0.24778090519241153</v>
      </c>
      <c r="O74" s="131">
        <f t="shared" si="49"/>
        <v>0.24778090519241153</v>
      </c>
      <c r="P74" s="55">
        <f t="shared" si="50"/>
        <v>1</v>
      </c>
      <c r="Q74" s="135">
        <f>_xll.xSPRDOPT(I74,H74,AQ74,0,O74,N74,P74,D74-$G$5,1,0)*AH74*AU74</f>
        <v>14.837194420321383</v>
      </c>
      <c r="R74" s="135"/>
      <c r="S74" s="181">
        <f>_xll.xSPRDOPT(I74,H74,AQ74,AT74,O74,N74,P74,D74-$G$5,1,2)*AF74*(F74/(1-AR74))*AH74</f>
        <v>-18605.502952859038</v>
      </c>
      <c r="T74" s="181">
        <f>_xll.xSPRDOPT(I74,H74,AQ74,AT74,O74,N74,P74,D74-$G$5,1,1)*AF74*F74*AH74</f>
        <v>18093.851621799884</v>
      </c>
      <c r="U74" s="135"/>
      <c r="V74" s="146">
        <f t="shared" si="58"/>
        <v>9.303368522392752</v>
      </c>
      <c r="W74" s="146"/>
      <c r="X74" s="338">
        <f t="shared" si="59"/>
        <v>0</v>
      </c>
      <c r="Y74" s="338">
        <f t="shared" si="20"/>
        <v>0</v>
      </c>
      <c r="Z74" s="338">
        <f t="shared" si="21"/>
        <v>4.5228526047117272</v>
      </c>
      <c r="AA74" s="338">
        <f t="shared" si="22"/>
        <v>-1.1502657095760041E-8</v>
      </c>
      <c r="AB74" s="338">
        <f t="shared" si="60"/>
        <v>0</v>
      </c>
      <c r="AC74" s="338">
        <f t="shared" si="61"/>
        <v>4.5806924497172865</v>
      </c>
      <c r="AF74" s="138">
        <f t="shared" si="62"/>
        <v>1</v>
      </c>
      <c r="AG74" s="138">
        <f t="shared" si="63"/>
        <v>5</v>
      </c>
      <c r="AH74" s="138">
        <f t="shared" si="73"/>
        <v>31</v>
      </c>
      <c r="AI74" s="138">
        <f t="shared" si="64"/>
        <v>1596</v>
      </c>
      <c r="AJ74" s="138">
        <f t="shared" si="65"/>
        <v>1613</v>
      </c>
      <c r="AL74" s="136">
        <f t="shared" si="29"/>
        <v>3.3570000000000002</v>
      </c>
      <c r="AM74" s="258">
        <f t="shared" si="30"/>
        <v>1.2500000000000001E-2</v>
      </c>
      <c r="AN74" s="258">
        <f t="shared" si="31"/>
        <v>0.01</v>
      </c>
      <c r="AO74" s="258">
        <f t="shared" si="32"/>
        <v>0.75</v>
      </c>
      <c r="AP74" s="258">
        <f t="shared" si="33"/>
        <v>0</v>
      </c>
      <c r="AQ74" s="136">
        <f t="shared" si="66"/>
        <v>3.3399999999999999E-2</v>
      </c>
      <c r="AR74" s="137">
        <f t="shared" si="35"/>
        <v>2.75E-2</v>
      </c>
      <c r="AS74" s="136">
        <f t="shared" si="67"/>
        <v>3.3795000000000002</v>
      </c>
      <c r="AT74" s="137">
        <f t="shared" si="68"/>
        <v>5.1371017405212001E-2</v>
      </c>
      <c r="AU74" s="137">
        <f t="shared" si="38"/>
        <v>0.79965004533085371</v>
      </c>
      <c r="AV74" s="394">
        <f t="shared" si="69"/>
        <v>520.57217951038581</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1.5245761335937842E-6</v>
      </c>
      <c r="BG74" s="137">
        <f>_xll.xSPRDOPT($BW74,$BV74,$CG74,0,$BY74,$BX74,$BZ74,$AJ74,1,3)*$CB74</f>
        <v>0</v>
      </c>
      <c r="BH74" s="137">
        <f>IF(OR(BF74&lt;&gt;0,BG74&lt;&gt;0),_xll.xSPRDOPT($BW74,$BV74,$CG74,0,$BY74,$BX74,$BZ74,$AJ74,1,12)*$CB74,0)</f>
        <v>-1.9057201669922302E-7</v>
      </c>
      <c r="BI74" s="137">
        <f>_xll.xSPRDOPT($BW74,$BV74,$CG74,2*LN(1+CA74/2),$BY74,$BX74,$BZ74,$AJ74,1,9)</f>
        <v>2.4266583140474734E-2</v>
      </c>
      <c r="BJ74" s="137">
        <f>_xll.xSPRDOPT($BW74,$BV74,$CG74,0,$BY74,$BX74,$BZ74,$AJ74,1,6)*$CB74</f>
        <v>5.4243188041758874E-7</v>
      </c>
      <c r="BK74" s="137">
        <f>_xll.xSPRDOPT($BW74,$BV74,$CG74,0,$BY74,$BX74,$BZ74,$AJ74,1,5)*$CB74</f>
        <v>-6.4108151178540468E-7</v>
      </c>
      <c r="BL74" s="137">
        <f>_xll.xSPRDOPT(BW74,BV74,CG74,0,BY74,BX74,BZ74,AJ74,1,2)*CB74</f>
        <v>-0.79931705358194549</v>
      </c>
      <c r="BM74" s="137">
        <f>_xll.xSPRDOPT(BW74,BV74,CG74,0,BY74,BX74,BZ74,AJ74,1,1)*CB74</f>
        <v>0.79931705358630745</v>
      </c>
      <c r="BN74" s="137">
        <f>IF(AH74&lt;&gt;0,_xll.xSPRDOPT($BW74,$BV74,$CG74,2*LN(1+CA74/2),$BY74,$BX74,$BZ74,$AJ74,1,8)+(AJ74/365.25)*CH74/AH74,0)</f>
        <v>-0.78800143551045609</v>
      </c>
      <c r="BO74" s="137">
        <f>_xll.xSPRDOPT($BW74,$BV74,$CG74,0,$BY74,$BX74,$BZ74,$AJ74,1,0)</f>
        <v>0.59853579402827561</v>
      </c>
      <c r="BP74" s="137"/>
      <c r="BQ74" s="137"/>
      <c r="BR74" s="137"/>
      <c r="BS74" s="137"/>
      <c r="BV74" s="262">
        <v>3.475064267352185</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3.3399999999999999E-2</v>
      </c>
      <c r="CH74" s="258">
        <v>9.2994934465207546</v>
      </c>
      <c r="CI74" s="258">
        <v>3.3570000000000002</v>
      </c>
      <c r="CJ74" s="258"/>
      <c r="CK74" s="258"/>
      <c r="CL74" s="258"/>
      <c r="CM74" s="258"/>
    </row>
    <row r="75" spans="1:91" x14ac:dyDescent="0.25">
      <c r="A75" s="723"/>
      <c r="B75" s="723"/>
      <c r="D75" s="31">
        <f t="shared" si="52"/>
        <v>38883</v>
      </c>
      <c r="F75" s="28">
        <f t="shared" si="53"/>
        <v>732</v>
      </c>
      <c r="G75" s="28">
        <f t="shared" si="13"/>
        <v>582.00748489329294</v>
      </c>
      <c r="H75" s="52">
        <f t="shared" si="54"/>
        <v>3.5110539845758351</v>
      </c>
      <c r="I75" s="52">
        <f t="shared" si="55"/>
        <v>4.242</v>
      </c>
      <c r="K75" s="52">
        <f t="shared" si="56"/>
        <v>16.638401722719525</v>
      </c>
      <c r="L75" s="135">
        <f t="shared" si="57"/>
        <v>1.6906282027662201E-6</v>
      </c>
      <c r="N75" s="131">
        <f t="shared" si="48"/>
        <v>0.2500930627639058</v>
      </c>
      <c r="O75" s="131">
        <f t="shared" si="49"/>
        <v>0.2500930627639058</v>
      </c>
      <c r="P75" s="55">
        <f t="shared" si="50"/>
        <v>1</v>
      </c>
      <c r="Q75" s="135">
        <f>_xll.xSPRDOPT(I75,H75,AQ75,0,O75,N75,P75,D75-$G$5,1,0)*AH75*AU75</f>
        <v>16.638403413347728</v>
      </c>
      <c r="R75" s="135"/>
      <c r="S75" s="181">
        <f>_xll.xSPRDOPT(I75,H75,AQ75,AT75,O75,N75,P75,D75-$G$5,1,2)*AF75*(F75/(1-AR75))*AH75</f>
        <v>-17901.062047041374</v>
      </c>
      <c r="T75" s="181">
        <f>_xll.xSPRDOPT(I75,H75,AQ75,AT75,O75,N75,P75,D75-$G$5,1,1)*AF75*F75*AH75</f>
        <v>17408.78284078768</v>
      </c>
      <c r="U75" s="135"/>
      <c r="V75" s="146">
        <f t="shared" si="58"/>
        <v>8.9519429951005272</v>
      </c>
      <c r="W75" s="146"/>
      <c r="X75" s="338">
        <f t="shared" si="59"/>
        <v>0</v>
      </c>
      <c r="Y75" s="338">
        <f t="shared" si="20"/>
        <v>0</v>
      </c>
      <c r="Z75" s="338">
        <f t="shared" si="21"/>
        <v>5.1033125699401296</v>
      </c>
      <c r="AA75" s="338">
        <f t="shared" si="22"/>
        <v>-1.3126527324553846E-8</v>
      </c>
      <c r="AB75" s="338">
        <f t="shared" si="60"/>
        <v>0</v>
      </c>
      <c r="AC75" s="338">
        <f t="shared" si="61"/>
        <v>5.1689830695287764</v>
      </c>
      <c r="AF75" s="138">
        <f t="shared" si="62"/>
        <v>1</v>
      </c>
      <c r="AG75" s="138">
        <f t="shared" si="63"/>
        <v>6</v>
      </c>
      <c r="AH75" s="138">
        <f t="shared" si="73"/>
        <v>30</v>
      </c>
      <c r="AI75" s="138">
        <f t="shared" si="64"/>
        <v>1627</v>
      </c>
      <c r="AJ75" s="138">
        <f t="shared" si="65"/>
        <v>1644</v>
      </c>
      <c r="AL75" s="136">
        <f t="shared" si="29"/>
        <v>3.3919999999999999</v>
      </c>
      <c r="AM75" s="258">
        <f t="shared" si="30"/>
        <v>1.2500000000000001E-2</v>
      </c>
      <c r="AN75" s="258">
        <f t="shared" si="31"/>
        <v>0.01</v>
      </c>
      <c r="AO75" s="258">
        <f t="shared" si="32"/>
        <v>0.85</v>
      </c>
      <c r="AP75" s="258">
        <f t="shared" si="33"/>
        <v>0</v>
      </c>
      <c r="AQ75" s="136">
        <f t="shared" si="66"/>
        <v>3.3399999999999999E-2</v>
      </c>
      <c r="AR75" s="137">
        <f t="shared" si="35"/>
        <v>2.75E-2</v>
      </c>
      <c r="AS75" s="136">
        <f t="shared" si="67"/>
        <v>3.4144999999999999</v>
      </c>
      <c r="AT75" s="137">
        <f t="shared" si="68"/>
        <v>5.1693198008315698E-2</v>
      </c>
      <c r="AU75" s="137">
        <f t="shared" si="38"/>
        <v>0.79509219247717622</v>
      </c>
      <c r="AV75" s="394">
        <f t="shared" si="69"/>
        <v>500.90808126062103</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-9.4742651847317153E-7</v>
      </c>
      <c r="BG75" s="137">
        <f>_xll.xSPRDOPT($BW75,$BV75,$CG75,0,$BY75,$BX75,$BZ75,$AJ75,1,3)*$CB75</f>
        <v>-9.4742651847317153E-7</v>
      </c>
      <c r="BH75" s="137">
        <f>IF(OR(BF75&lt;&gt;0,BG75&lt;&gt;0),_xll.xSPRDOPT($BW75,$BV75,$CG75,0,$BY75,$BX75,$BZ75,$AJ75,1,12)*$CB75,0)</f>
        <v>7.5794121477853718E-7</v>
      </c>
      <c r="BI75" s="137">
        <f>_xll.xSPRDOPT($BW75,$BV75,$CG75,2*LN(1+CA75/2),$BY75,$BX75,$BZ75,$AJ75,1,9)</f>
        <v>2.8293638678971351E-2</v>
      </c>
      <c r="BJ75" s="137">
        <f>_xll.xSPRDOPT($BW75,$BV75,$CG75,0,$BY75,$BX75,$BZ75,$AJ75,1,6)*$CB75</f>
        <v>6.1021656613196557E-7</v>
      </c>
      <c r="BK75" s="137">
        <f>_xll.xSPRDOPT($BW75,$BV75,$CG75,0,$BY75,$BX75,$BZ75,$AJ75,1,5)*$CB75</f>
        <v>-7.3727466973045361E-7</v>
      </c>
      <c r="BL75" s="137">
        <f>_xll.xSPRDOPT(BW75,BV75,CG75,0,BY75,BX75,BZ75,AJ75,1,2)*CB75</f>
        <v>-0.79475904868322733</v>
      </c>
      <c r="BM75" s="137">
        <f>_xll.xSPRDOPT(BW75,BV75,CG75,0,BY75,BX75,BZ75,AJ75,1,1)*CB75</f>
        <v>0.79475904868322733</v>
      </c>
      <c r="BN75" s="137">
        <f>IF(AH75&lt;&gt;0,_xll.xSPRDOPT($BW75,$BV75,$CG75,2*LN(1+CA75/2),$BY75,$BX75,$BZ75,$AJ75,1,8)+(AJ75/365.25)*CH75/AH75,0)</f>
        <v>-1.1527487947372947</v>
      </c>
      <c r="BO75" s="137">
        <f>_xll.xSPRDOPT($BW75,$BV75,$CG75,0,$BY75,$BX75,$BZ75,$AJ75,1,0)</f>
        <v>0.69754608626610082</v>
      </c>
      <c r="BP75" s="137"/>
      <c r="BQ75" s="137"/>
      <c r="BR75" s="137"/>
      <c r="BS75" s="137"/>
      <c r="BV75" s="262">
        <v>3.5110539845758351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3.3399999999999999E-2</v>
      </c>
      <c r="CH75" s="258">
        <v>8.9481912120157663</v>
      </c>
      <c r="CI75" s="258">
        <v>3.3919999999999999</v>
      </c>
      <c r="CJ75" s="258"/>
      <c r="CK75" s="258"/>
      <c r="CL75" s="258"/>
      <c r="CM75" s="258"/>
    </row>
    <row r="76" spans="1:91" x14ac:dyDescent="0.25">
      <c r="A76" s="723"/>
      <c r="B76" s="723"/>
      <c r="D76" s="31">
        <f t="shared" si="52"/>
        <v>38913</v>
      </c>
      <c r="F76" s="28">
        <f t="shared" si="53"/>
        <v>732</v>
      </c>
      <c r="G76" s="28">
        <f t="shared" si="13"/>
        <v>578.76761147204547</v>
      </c>
      <c r="H76" s="52">
        <f t="shared" si="54"/>
        <v>3.5521850899742931</v>
      </c>
      <c r="I76" s="52">
        <f t="shared" si="55"/>
        <v>4.4820000000000002</v>
      </c>
      <c r="K76" s="52">
        <f t="shared" si="56"/>
        <v>21.971712305011913</v>
      </c>
      <c r="L76" s="135">
        <f t="shared" si="57"/>
        <v>2.2216886890191745E-6</v>
      </c>
      <c r="N76" s="131">
        <f t="shared" si="48"/>
        <v>0.25100885381510452</v>
      </c>
      <c r="O76" s="131">
        <f t="shared" si="49"/>
        <v>0.25100885381510452</v>
      </c>
      <c r="P76" s="55">
        <f t="shared" si="50"/>
        <v>0.99999999999999978</v>
      </c>
      <c r="Q76" s="135">
        <f>_xll.xSPRDOPT(I76,H76,AQ76,0,O76,N76,P76,D76-$G$5,1,0)*AH76*AU76</f>
        <v>21.971714526700602</v>
      </c>
      <c r="R76" s="135"/>
      <c r="S76" s="181">
        <f>_xll.xSPRDOPT(I76,H76,AQ76,AT76,O76,N76,P76,D76-$G$5,1,2)*AF76*(F76/(1-AR76))*AH76</f>
        <v>-18393.136984589313</v>
      </c>
      <c r="T76" s="181">
        <f>_xll.xSPRDOPT(I76,H76,AQ76,AT76,O76,N76,P76,D76-$G$5,1,1)*AF76*F76*AH76</f>
        <v>17887.325717513108</v>
      </c>
      <c r="U76" s="135"/>
      <c r="V76" s="146">
        <f t="shared" si="58"/>
        <v>9.1988470247940164</v>
      </c>
      <c r="W76" s="146"/>
      <c r="X76" s="338">
        <f t="shared" si="59"/>
        <v>0</v>
      </c>
      <c r="Y76" s="338">
        <f t="shared" si="20"/>
        <v>0</v>
      </c>
      <c r="Z76" s="338">
        <f t="shared" si="21"/>
        <v>6.7792527603871413</v>
      </c>
      <c r="AA76" s="338">
        <f t="shared" si="22"/>
        <v>-2.3652729522356794E-8</v>
      </c>
      <c r="AB76" s="338">
        <f t="shared" si="60"/>
        <v>0</v>
      </c>
      <c r="AC76" s="338">
        <f t="shared" si="61"/>
        <v>6.8670135465419913</v>
      </c>
      <c r="AF76" s="138">
        <f t="shared" si="62"/>
        <v>1</v>
      </c>
      <c r="AG76" s="138">
        <f t="shared" si="63"/>
        <v>7</v>
      </c>
      <c r="AH76" s="138">
        <f t="shared" si="73"/>
        <v>31</v>
      </c>
      <c r="AI76" s="138">
        <f t="shared" si="64"/>
        <v>1657</v>
      </c>
      <c r="AJ76" s="138">
        <f t="shared" si="65"/>
        <v>1674</v>
      </c>
      <c r="AL76" s="136">
        <f t="shared" si="29"/>
        <v>3.4319999999999999</v>
      </c>
      <c r="AM76" s="258">
        <f t="shared" si="30"/>
        <v>1.2500000000000001E-2</v>
      </c>
      <c r="AN76" s="258">
        <f t="shared" si="31"/>
        <v>0.01</v>
      </c>
      <c r="AO76" s="258">
        <f t="shared" si="32"/>
        <v>1.05</v>
      </c>
      <c r="AP76" s="258">
        <f t="shared" si="33"/>
        <v>0</v>
      </c>
      <c r="AQ76" s="136">
        <f t="shared" si="66"/>
        <v>3.3399999999999999E-2</v>
      </c>
      <c r="AR76" s="137">
        <f t="shared" si="35"/>
        <v>2.75E-2</v>
      </c>
      <c r="AS76" s="136">
        <f t="shared" si="67"/>
        <v>3.4544999999999999</v>
      </c>
      <c r="AT76" s="137">
        <f t="shared" si="68"/>
        <v>5.2004985721710598E-2</v>
      </c>
      <c r="AU76" s="137">
        <f t="shared" si="38"/>
        <v>0.7906661358907725</v>
      </c>
      <c r="AV76" s="394">
        <f t="shared" si="69"/>
        <v>514.72365446489289</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3.7686004295529476E-7</v>
      </c>
      <c r="BG76" s="137">
        <f>_xll.xSPRDOPT($BW76,$BV76,$CG76,0,$BY76,$BX76,$BZ76,$AJ76,1,3)*$CB76</f>
        <v>1.8843002147764738E-7</v>
      </c>
      <c r="BH76" s="137">
        <f>IF(OR(BF76&lt;&gt;0,BG76&lt;&gt;0),_xll.xSPRDOPT($BW76,$BV76,$CG76,0,$BY76,$BX76,$BZ76,$AJ76,1,12)*$CB76,0)</f>
        <v>-2.8264503221647106E-7</v>
      </c>
      <c r="BI76" s="137">
        <f>_xll.xSPRDOPT($BW76,$BV76,$CG76,2*LN(1+CA76/2),$BY76,$BX76,$BZ76,$AJ76,1,9)</f>
        <v>3.6372907790284431E-2</v>
      </c>
      <c r="BJ76" s="137">
        <f>_xll.xSPRDOPT($BW76,$BV76,$CG76,0,$BY76,$BX76,$BZ76,$AJ76,1,6)*$CB76</f>
        <v>6.3822489720297269E-7</v>
      </c>
      <c r="BK76" s="137">
        <f>_xll.xSPRDOPT($BW76,$BV76,$CG76,0,$BY76,$BX76,$BZ76,$AJ76,1,5)*$CB76</f>
        <v>-8.0529823764248804E-7</v>
      </c>
      <c r="BL76" s="137">
        <f>_xll.xSPRDOPT(BW76,BV76,CG76,0,BY76,BX76,BZ76,AJ76,1,2)*CB76</f>
        <v>-0.79033287347509773</v>
      </c>
      <c r="BM76" s="137">
        <f>_xll.xSPRDOPT(BW76,BV76,CG76,0,BY76,BX76,BZ76,AJ76,1,1)*CB76</f>
        <v>0.7903328734736601</v>
      </c>
      <c r="BN76" s="137">
        <f>IF(AH76&lt;&gt;0,_xll.xSPRDOPT($BW76,$BV76,$CG76,2*LN(1+CA76/2),$BY76,$BX76,$BZ76,$AJ76,1,8)+(AJ76/365.25)*CH76/AH76,0)</f>
        <v>-1.8875949469208906</v>
      </c>
      <c r="BO76" s="137">
        <f>_xll.xSPRDOPT($BW76,$BV76,$CG76,0,$BY76,$BX76,$BZ76,$AJ76,1,0)</f>
        <v>0.89641500062124879</v>
      </c>
      <c r="BP76" s="137"/>
      <c r="BQ76" s="137"/>
      <c r="BR76" s="137"/>
      <c r="BS76" s="137"/>
      <c r="BV76" s="262">
        <v>3.5521850899742931</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3.3399999999999999E-2</v>
      </c>
      <c r="CH76" s="258">
        <v>9.1949688113170467</v>
      </c>
      <c r="CI76" s="258">
        <v>3.4319999999999999</v>
      </c>
      <c r="CJ76" s="258"/>
      <c r="CK76" s="258"/>
      <c r="CL76" s="258"/>
      <c r="CM76" s="258"/>
    </row>
    <row r="77" spans="1:91" x14ac:dyDescent="0.25">
      <c r="A77" s="723"/>
      <c r="B77" s="723"/>
      <c r="D77" s="31">
        <f t="shared" si="52"/>
        <v>38944</v>
      </c>
      <c r="F77" s="28">
        <f t="shared" si="53"/>
        <v>732</v>
      </c>
      <c r="G77" s="28">
        <f t="shared" si="13"/>
        <v>575.40863888799663</v>
      </c>
      <c r="H77" s="52">
        <f t="shared" si="54"/>
        <v>3.5881748071979431</v>
      </c>
      <c r="I77" s="52">
        <f t="shared" si="55"/>
        <v>4.5220000000000002</v>
      </c>
      <c r="K77" s="52">
        <f t="shared" si="56"/>
        <v>21.941920044988393</v>
      </c>
      <c r="L77" s="135">
        <f t="shared" si="57"/>
        <v>2.2020802674660445E-6</v>
      </c>
      <c r="N77" s="131">
        <f t="shared" si="48"/>
        <v>0.25189542698197026</v>
      </c>
      <c r="O77" s="131">
        <f t="shared" si="49"/>
        <v>0.25189542698197026</v>
      </c>
      <c r="P77" s="55">
        <f t="shared" si="50"/>
        <v>1</v>
      </c>
      <c r="Q77" s="135">
        <f>_xll.xSPRDOPT(I77,H77,AQ77,0,O77,N77,P77,D77-$G$5,1,0)*AH77*AU77</f>
        <v>21.941922247068661</v>
      </c>
      <c r="R77" s="135"/>
      <c r="S77" s="181">
        <f>_xll.xSPRDOPT(I77,H77,AQ77,AT77,O77,N77,P77,D77-$G$5,1,2)*AF77*(F77/(1-AR77))*AH77</f>
        <v>-18284.660076299704</v>
      </c>
      <c r="T77" s="181">
        <f>_xll.xSPRDOPT(I77,H77,AQ77,AT77,O77,N77,P77,D77-$G$5,1,1)*AF77*F77*AH77</f>
        <v>17781.83192399508</v>
      </c>
      <c r="U77" s="135"/>
      <c r="V77" s="146">
        <f t="shared" si="58"/>
        <v>9.1454600101292627</v>
      </c>
      <c r="W77" s="146"/>
      <c r="X77" s="338">
        <f t="shared" si="59"/>
        <v>0</v>
      </c>
      <c r="Y77" s="338">
        <f t="shared" si="20"/>
        <v>0</v>
      </c>
      <c r="Z77" s="338">
        <f t="shared" si="21"/>
        <v>6.8114477465258378</v>
      </c>
      <c r="AA77" s="338">
        <f t="shared" si="22"/>
        <v>-2.962658819298644E-8</v>
      </c>
      <c r="AB77" s="338">
        <f t="shared" si="60"/>
        <v>0</v>
      </c>
      <c r="AC77" s="338">
        <f t="shared" si="61"/>
        <v>6.9001692634859806</v>
      </c>
      <c r="AF77" s="138">
        <f t="shared" si="62"/>
        <v>1</v>
      </c>
      <c r="AG77" s="138">
        <f t="shared" si="63"/>
        <v>8</v>
      </c>
      <c r="AH77" s="138">
        <f t="shared" si="73"/>
        <v>31</v>
      </c>
      <c r="AI77" s="138">
        <f t="shared" si="64"/>
        <v>1688</v>
      </c>
      <c r="AJ77" s="138">
        <f t="shared" si="65"/>
        <v>1705</v>
      </c>
      <c r="AL77" s="136">
        <f t="shared" si="29"/>
        <v>3.472</v>
      </c>
      <c r="AM77" s="258">
        <f t="shared" si="30"/>
        <v>7.4999999999999997E-3</v>
      </c>
      <c r="AN77" s="258">
        <f t="shared" si="31"/>
        <v>0.01</v>
      </c>
      <c r="AO77" s="258">
        <f t="shared" si="32"/>
        <v>1.05</v>
      </c>
      <c r="AP77" s="258">
        <f t="shared" si="33"/>
        <v>0</v>
      </c>
      <c r="AQ77" s="136">
        <f t="shared" si="66"/>
        <v>3.3399999999999999E-2</v>
      </c>
      <c r="AR77" s="137">
        <f t="shared" si="35"/>
        <v>2.75E-2</v>
      </c>
      <c r="AS77" s="136">
        <f t="shared" si="67"/>
        <v>3.4894999999999996</v>
      </c>
      <c r="AT77" s="137">
        <f t="shared" si="68"/>
        <v>5.2327166392949202E-2</v>
      </c>
      <c r="AU77" s="137">
        <f t="shared" si="38"/>
        <v>0.78607737553005008</v>
      </c>
      <c r="AV77" s="394">
        <f t="shared" si="69"/>
        <v>511.73637147006258</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1.1240157231811157E-6</v>
      </c>
      <c r="BG77" s="137">
        <f>_xll.xSPRDOPT($BW77,$BV77,$CG77,0,$BY77,$BX77,$BZ77,$AJ77,1,3)*$CB77</f>
        <v>9.3667976931759654E-7</v>
      </c>
      <c r="BH77" s="137">
        <f>IF(OR(BF77&lt;&gt;0,BG77&lt;&gt;0),_xll.xSPRDOPT($BW77,$BV77,$CG77,0,$BY77,$BX77,$BZ77,$AJ77,1,12)*$CB77,0)</f>
        <v>-8.4301179238583687E-7</v>
      </c>
      <c r="BI77" s="137">
        <f>_xll.xSPRDOPT($BW77,$BV77,$CG77,2*LN(1+CA77/2),$BY77,$BX77,$BZ77,$AJ77,1,9)</f>
        <v>3.6545644418276076E-2</v>
      </c>
      <c r="BJ77" s="137">
        <f>_xll.xSPRDOPT($BW77,$BV77,$CG77,0,$BY77,$BX77,$BZ77,$AJ77,1,6)*$CB77</f>
        <v>6.5498497878235818E-7</v>
      </c>
      <c r="BK77" s="137">
        <f>_xll.xSPRDOPT($BW77,$BV77,$CG77,0,$BY77,$BX77,$BZ77,$AJ77,1,5)*$CB77</f>
        <v>-8.2543299404237304E-7</v>
      </c>
      <c r="BL77" s="137">
        <f>_xll.xSPRDOPT(BW77,BV77,CG77,0,BY77,BX77,BZ77,AJ77,1,2)*CB77</f>
        <v>-0.78574402027050694</v>
      </c>
      <c r="BM77" s="137">
        <f>_xll.xSPRDOPT(BW77,BV77,CG77,0,BY77,BX77,BZ77,AJ77,1,1)*CB77</f>
        <v>0.78574402026050205</v>
      </c>
      <c r="BN77" s="137">
        <f>IF(AH77&lt;&gt;0,_xll.xSPRDOPT($BW77,$BV77,$CG77,2*LN(1+CA77/2),$BY77,$BX77,$BZ77,$AJ77,1,8)+(AJ77/365.25)*CH77/AH77,0)</f>
        <v>-1.9260968811320518</v>
      </c>
      <c r="BO77" s="137">
        <f>_xll.xSPRDOPT($BW77,$BV77,$CG77,0,$BY77,$BX77,$BZ77,$AJ77,1,0)</f>
        <v>0.90042528312186931</v>
      </c>
      <c r="BP77" s="137"/>
      <c r="BQ77" s="137"/>
      <c r="BR77" s="137"/>
      <c r="BS77" s="137"/>
      <c r="BV77" s="262">
        <v>3.5881748071979431</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3.3399999999999999E-2</v>
      </c>
      <c r="CH77" s="258">
        <v>9.1415807285131958</v>
      </c>
      <c r="CI77" s="258">
        <v>3.472</v>
      </c>
      <c r="CJ77" s="258"/>
      <c r="CK77" s="258"/>
      <c r="CL77" s="258"/>
      <c r="CM77" s="258"/>
    </row>
    <row r="78" spans="1:91" x14ac:dyDescent="0.25">
      <c r="A78" s="723"/>
      <c r="B78" s="723"/>
      <c r="D78" s="31">
        <f t="shared" si="52"/>
        <v>38975</v>
      </c>
      <c r="F78" s="28">
        <f t="shared" si="53"/>
        <v>732</v>
      </c>
      <c r="G78" s="28">
        <f t="shared" si="13"/>
        <v>572.03880447501217</v>
      </c>
      <c r="H78" s="52">
        <f t="shared" si="54"/>
        <v>3.5830334190231357</v>
      </c>
      <c r="I78" s="52">
        <f t="shared" si="55"/>
        <v>4.2170000000000005</v>
      </c>
      <c r="K78" s="52">
        <f t="shared" si="56"/>
        <v>14.079811024166041</v>
      </c>
      <c r="L78" s="135">
        <f t="shared" si="57"/>
        <v>1.4108320058880963E-6</v>
      </c>
      <c r="N78" s="131">
        <f t="shared" si="48"/>
        <v>0.251680618344995</v>
      </c>
      <c r="O78" s="131">
        <f t="shared" si="49"/>
        <v>0.251680618344995</v>
      </c>
      <c r="P78" s="55">
        <f t="shared" si="50"/>
        <v>1</v>
      </c>
      <c r="Q78" s="135">
        <f>_xll.xSPRDOPT(I78,H78,AQ78,0,O78,N78,P78,D78-$G$5,1,0)*AH78*AU78</f>
        <v>14.079812434998047</v>
      </c>
      <c r="R78" s="135"/>
      <c r="S78" s="181">
        <f>_xll.xSPRDOPT(I78,H78,AQ78,AT78,O78,N78,P78,D78-$G$5,1,2)*AF78*(F78/(1-AR78))*AH78</f>
        <v>-17589.51171491206</v>
      </c>
      <c r="T78" s="181">
        <f>_xll.xSPRDOPT(I78,H78,AQ78,AT78,O78,N78,P78,D78-$G$5,1,1)*AF78*F78*AH78</f>
        <v>17105.800142632143</v>
      </c>
      <c r="U78" s="135"/>
      <c r="V78" s="146">
        <f t="shared" si="58"/>
        <v>8.7986132507980361</v>
      </c>
      <c r="W78" s="146"/>
      <c r="X78" s="338">
        <f t="shared" si="59"/>
        <v>0</v>
      </c>
      <c r="Y78" s="338">
        <f t="shared" si="20"/>
        <v>0</v>
      </c>
      <c r="Z78" s="338">
        <f t="shared" si="21"/>
        <v>4.3973600705118523</v>
      </c>
      <c r="AA78" s="338">
        <f t="shared" si="22"/>
        <v>-1.2259930812729282E-8</v>
      </c>
      <c r="AB78" s="338">
        <f t="shared" si="60"/>
        <v>0</v>
      </c>
      <c r="AC78" s="338">
        <f t="shared" si="61"/>
        <v>4.454988572094539</v>
      </c>
      <c r="AF78" s="138">
        <f t="shared" si="62"/>
        <v>1</v>
      </c>
      <c r="AG78" s="138">
        <f t="shared" si="63"/>
        <v>9</v>
      </c>
      <c r="AH78" s="138">
        <f t="shared" si="73"/>
        <v>30</v>
      </c>
      <c r="AI78" s="138">
        <f t="shared" si="64"/>
        <v>1719</v>
      </c>
      <c r="AJ78" s="138">
        <f t="shared" si="65"/>
        <v>1736</v>
      </c>
      <c r="AL78" s="136">
        <f t="shared" si="29"/>
        <v>3.4670000000000001</v>
      </c>
      <c r="AM78" s="258">
        <f t="shared" si="30"/>
        <v>7.4999999999999997E-3</v>
      </c>
      <c r="AN78" s="258">
        <f t="shared" si="31"/>
        <v>0.01</v>
      </c>
      <c r="AO78" s="258">
        <f t="shared" si="32"/>
        <v>0.75</v>
      </c>
      <c r="AP78" s="258">
        <f t="shared" si="33"/>
        <v>0</v>
      </c>
      <c r="AQ78" s="136">
        <f t="shared" si="66"/>
        <v>3.3399999999999999E-2</v>
      </c>
      <c r="AR78" s="137">
        <f t="shared" si="35"/>
        <v>2.75E-2</v>
      </c>
      <c r="AS78" s="136">
        <f t="shared" si="67"/>
        <v>3.4844999999999997</v>
      </c>
      <c r="AT78" s="137">
        <f t="shared" si="68"/>
        <v>5.2649347098806303E-2</v>
      </c>
      <c r="AU78" s="137">
        <f t="shared" si="38"/>
        <v>0.78147377660520789</v>
      </c>
      <c r="AV78" s="394">
        <f t="shared" si="69"/>
        <v>492.32847926128096</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9.3119177843510569E-8</v>
      </c>
      <c r="BI78" s="137">
        <f>_xll.xSPRDOPT($BW78,$BV78,$CG78,2*LN(1+CA78/2),$BY78,$BX78,$BZ78,$AJ78,1,9)</f>
        <v>2.4379717148671126E-2</v>
      </c>
      <c r="BJ78" s="137">
        <f>_xll.xSPRDOPT($BW78,$BV78,$CG78,0,$BY78,$BX78,$BZ78,$AJ78,1,6)*$CB78</f>
        <v>4.4062157389130368E-7</v>
      </c>
      <c r="BK78" s="137">
        <f>_xll.xSPRDOPT($BW78,$BV78,$CG78,0,$BY78,$BX78,$BZ78,$AJ78,1,5)*$CB78</f>
        <v>-5.1858835426827577E-7</v>
      </c>
      <c r="BL78" s="137">
        <f>_xll.xSPRDOPT(BW78,BV78,CG78,0,BY78,BX78,BZ78,AJ78,1,2)*CB78</f>
        <v>-0.78114035417571059</v>
      </c>
      <c r="BM78" s="137">
        <f>_xll.xSPRDOPT(BW78,BV78,CG78,0,BY78,BX78,BZ78,AJ78,1,1)*CB78</f>
        <v>0.78114035417428973</v>
      </c>
      <c r="BN78" s="137">
        <f>IF(AH78&lt;&gt;0,_xll.xSPRDOPT($BW78,$BV78,$CG78,2*LN(1+CA78/2),$BY78,$BX78,$BZ78,$AJ78,1,8)+(AJ78/365.25)*CH78/AH78,0)</f>
        <v>-0.83634489993353234</v>
      </c>
      <c r="BO78" s="137">
        <f>_xll.xSPRDOPT($BW78,$BV78,$CG78,0,$BY78,$BX78,$BZ78,$AJ78,1,0)</f>
        <v>0.60056664113415426</v>
      </c>
      <c r="BP78" s="137"/>
      <c r="BQ78" s="137"/>
      <c r="BR78" s="137"/>
      <c r="BS78" s="137"/>
      <c r="BV78" s="262">
        <v>3.5830334190231357</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3.3399999999999999E-2</v>
      </c>
      <c r="CH78" s="258">
        <v>8.7948584149012277</v>
      </c>
      <c r="CI78" s="258">
        <v>3.4670000000000001</v>
      </c>
      <c r="CJ78" s="258"/>
      <c r="CK78" s="258"/>
      <c r="CL78" s="258"/>
      <c r="CM78" s="258"/>
    </row>
    <row r="79" spans="1:91" x14ac:dyDescent="0.25">
      <c r="A79" s="723"/>
      <c r="B79" s="723"/>
      <c r="D79" s="31">
        <f t="shared" si="52"/>
        <v>39005</v>
      </c>
      <c r="F79" s="28">
        <f t="shared" si="53"/>
        <v>732</v>
      </c>
      <c r="G79" s="28">
        <f t="shared" si="13"/>
        <v>568.76773495593898</v>
      </c>
      <c r="H79" s="52">
        <f t="shared" si="54"/>
        <v>3.6061696658097682</v>
      </c>
      <c r="I79" s="52">
        <f t="shared" si="55"/>
        <v>3.9420000000000002</v>
      </c>
      <c r="K79" s="52">
        <f t="shared" si="56"/>
        <v>7.2846872963657443</v>
      </c>
      <c r="L79" s="135">
        <f t="shared" si="57"/>
        <v>5.5698973078222025E-6</v>
      </c>
      <c r="N79" s="131">
        <f t="shared" si="48"/>
        <v>0.25274596357326584</v>
      </c>
      <c r="O79" s="131">
        <f t="shared" si="49"/>
        <v>0.25274596357326584</v>
      </c>
      <c r="P79" s="55">
        <f t="shared" si="50"/>
        <v>1.0000000000000002</v>
      </c>
      <c r="Q79" s="135">
        <f>_xll.xSPRDOPT(I79,H79,AQ79,0,O79,N79,P79,D79-$G$5,1,0)*AH79*AU79</f>
        <v>7.2846928662630521</v>
      </c>
      <c r="R79" s="135"/>
      <c r="S79" s="181">
        <f>_xll.xSPRDOPT(I79,H79,AQ79,AT79,O79,N79,P79,D79-$G$5,1,2)*AF79*(F79/(1-AR79))*AH79</f>
        <v>-18070.120832040229</v>
      </c>
      <c r="T79" s="181">
        <f>_xll.xSPRDOPT(I79,H79,AQ79,AT79,O79,N79,P79,D79-$G$5,1,1)*AF79*F79*AH79</f>
        <v>17573.19250908689</v>
      </c>
      <c r="U79" s="135"/>
      <c r="V79" s="146">
        <f t="shared" si="58"/>
        <v>9.0399104628386375</v>
      </c>
      <c r="W79" s="146"/>
      <c r="X79" s="338">
        <f t="shared" si="59"/>
        <v>0</v>
      </c>
      <c r="Y79" s="338">
        <f t="shared" si="20"/>
        <v>0</v>
      </c>
      <c r="Z79" s="338">
        <f t="shared" si="21"/>
        <v>2.2883780693457645</v>
      </c>
      <c r="AA79" s="338">
        <f t="shared" si="22"/>
        <v>1.8774493357923228E-6</v>
      </c>
      <c r="AB79" s="338">
        <f t="shared" si="60"/>
        <v>0</v>
      </c>
      <c r="AC79" s="338">
        <f t="shared" si="61"/>
        <v>2.31859120504265</v>
      </c>
      <c r="AF79" s="138">
        <f t="shared" si="62"/>
        <v>1</v>
      </c>
      <c r="AG79" s="138">
        <f t="shared" si="63"/>
        <v>10</v>
      </c>
      <c r="AH79" s="138">
        <f t="shared" si="73"/>
        <v>31</v>
      </c>
      <c r="AI79" s="138">
        <f t="shared" si="64"/>
        <v>1749</v>
      </c>
      <c r="AJ79" s="138">
        <f t="shared" si="65"/>
        <v>1766</v>
      </c>
      <c r="AL79" s="136">
        <f t="shared" si="29"/>
        <v>3.492</v>
      </c>
      <c r="AM79" s="258">
        <f t="shared" si="30"/>
        <v>5.0000000000000001E-3</v>
      </c>
      <c r="AN79" s="258">
        <f t="shared" si="31"/>
        <v>0.01</v>
      </c>
      <c r="AO79" s="258">
        <f t="shared" si="32"/>
        <v>0.45</v>
      </c>
      <c r="AP79" s="258">
        <f t="shared" si="33"/>
        <v>0</v>
      </c>
      <c r="AQ79" s="136">
        <f t="shared" si="66"/>
        <v>3.3399999999999999E-2</v>
      </c>
      <c r="AR79" s="137">
        <f t="shared" si="35"/>
        <v>2.75E-2</v>
      </c>
      <c r="AS79" s="136">
        <f t="shared" si="67"/>
        <v>3.5069999999999997</v>
      </c>
      <c r="AT79" s="137">
        <f t="shared" si="68"/>
        <v>5.2961134911624401E-2</v>
      </c>
      <c r="AU79" s="137">
        <f t="shared" si="38"/>
        <v>0.77700510239882381</v>
      </c>
      <c r="AV79" s="394">
        <f t="shared" si="69"/>
        <v>505.83032166163429</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9.2586466696211997E-8</v>
      </c>
      <c r="BG79" s="137">
        <f>_xll.xSPRDOPT($BW79,$BV79,$CG79,0,$BY79,$BX79,$BZ79,$AJ79,1,3)*$CB79</f>
        <v>-2.7775940008863598E-7</v>
      </c>
      <c r="BH79" s="137">
        <f>IF(OR(BF79&lt;&gt;0,BG79&lt;&gt;0),_xll.xSPRDOPT($BW79,$BV79,$CG79,0,$BY79,$BX79,$BZ79,$AJ79,1,12)*$CB79,0)</f>
        <v>6.4810526687348402E-7</v>
      </c>
      <c r="BI79" s="137">
        <f>_xll.xSPRDOPT($BW79,$BV79,$CG79,2*LN(1+CA79/2),$BY79,$BX79,$BZ79,$AJ79,1,9)</f>
        <v>1.2277896613028682E-2</v>
      </c>
      <c r="BJ79" s="137">
        <f>_xll.xSPRDOPT($BW79,$BV79,$CG79,0,$BY79,$BX79,$BZ79,$AJ79,1,6)*$CB79</f>
        <v>-1.008225906440063E-4</v>
      </c>
      <c r="BK79" s="137">
        <f>_xll.xSPRDOPT($BW79,$BV79,$CG79,0,$BY79,$BX79,$BZ79,$AJ79,1,5)*$CB79</f>
        <v>1.1021185158153991E-4</v>
      </c>
      <c r="BL79" s="137">
        <f>_xll.xSPRDOPT(BW79,BV79,CG79,0,BY79,BX79,BZ79,AJ79,1,2)*CB79</f>
        <v>-0.77666893486577171</v>
      </c>
      <c r="BM79" s="137">
        <f>_xll.xSPRDOPT(BW79,BV79,CG79,0,BY79,BX79,BZ79,AJ79,1,1)*CB79</f>
        <v>0.77666893486294619</v>
      </c>
      <c r="BN79" s="137">
        <f>IF(AH79&lt;&gt;0,_xll.xSPRDOPT($BW79,$BV79,$CG79,2*LN(1+CA79/2),$BY79,$BX79,$BZ79,$AJ79,1,8)+(AJ79/365.25)*CH79/AH79,0)</f>
        <v>0.27364232419189638</v>
      </c>
      <c r="BO79" s="137">
        <f>_xll.xSPRDOPT($BW79,$BV79,$CG79,0,$BY79,$BX79,$BZ79,$AJ79,1,0)</f>
        <v>0.30243056792191009</v>
      </c>
      <c r="BP79" s="137"/>
      <c r="BQ79" s="137"/>
      <c r="BR79" s="137"/>
      <c r="BS79" s="137"/>
      <c r="BV79" s="262">
        <v>3.6061696658097682</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3.3399999999999999E-2</v>
      </c>
      <c r="CH79" s="258">
        <v>9.0360301075771314</v>
      </c>
      <c r="CI79" s="258">
        <v>3.492</v>
      </c>
      <c r="CJ79" s="258"/>
      <c r="CK79" s="258"/>
      <c r="CL79" s="258"/>
      <c r="CM79" s="258"/>
    </row>
    <row r="80" spans="1:91" x14ac:dyDescent="0.25">
      <c r="A80" s="723"/>
      <c r="B80" s="723"/>
      <c r="D80" s="31">
        <f t="shared" si="52"/>
        <v>39036</v>
      </c>
      <c r="F80" s="28">
        <f t="shared" si="53"/>
        <v>732</v>
      </c>
      <c r="G80" s="28">
        <f t="shared" si="13"/>
        <v>565.37777395950241</v>
      </c>
      <c r="H80" s="52">
        <f t="shared" si="54"/>
        <v>3.7609254498714648</v>
      </c>
      <c r="I80" s="52">
        <f t="shared" si="55"/>
        <v>4.0940000000000003</v>
      </c>
      <c r="K80" s="52">
        <f t="shared" si="56"/>
        <v>6.9438250026224058</v>
      </c>
      <c r="L80" s="135">
        <f t="shared" si="57"/>
        <v>8.9982378677078145E-6</v>
      </c>
      <c r="N80" s="131">
        <f t="shared" si="48"/>
        <v>0.25708471122670462</v>
      </c>
      <c r="O80" s="131">
        <f t="shared" si="49"/>
        <v>0.25708471122670462</v>
      </c>
      <c r="P80" s="55">
        <f t="shared" si="50"/>
        <v>1</v>
      </c>
      <c r="Q80" s="135">
        <f>_xll.xSPRDOPT(I80,H80,AQ80,0,O80,N80,P80,D80-$G$5,1,0)*AH80*AU80</f>
        <v>6.9438340008602735</v>
      </c>
      <c r="R80" s="135"/>
      <c r="S80" s="181">
        <f>_xll.xSPRDOPT(I80,H80,AQ80,AT80,O80,N80,P80,D80-$G$5,1,2)*AF80*(F80/(1-AR80))*AH80</f>
        <v>-17381.147561546382</v>
      </c>
      <c r="T80" s="181">
        <f>_xll.xSPRDOPT(I80,H80,AQ80,AT80,O80,N80,P80,D80-$G$5,1,1)*AF80*F80*AH80</f>
        <v>16903.166003294282</v>
      </c>
      <c r="U80" s="135"/>
      <c r="V80" s="146">
        <f t="shared" si="58"/>
        <v>8.6961589576639859</v>
      </c>
      <c r="W80" s="146"/>
      <c r="X80" s="338">
        <f t="shared" si="59"/>
        <v>0</v>
      </c>
      <c r="Y80" s="338">
        <f t="shared" si="20"/>
        <v>0</v>
      </c>
      <c r="Z80" s="338">
        <f t="shared" si="21"/>
        <v>2.1943184568180341</v>
      </c>
      <c r="AA80" s="338">
        <f t="shared" si="22"/>
        <v>8.6870556906787565E-6</v>
      </c>
      <c r="AB80" s="338">
        <f t="shared" si="60"/>
        <v>0</v>
      </c>
      <c r="AC80" s="338">
        <f t="shared" si="61"/>
        <v>2.2235408550133071</v>
      </c>
      <c r="AF80" s="138">
        <f t="shared" si="62"/>
        <v>1</v>
      </c>
      <c r="AG80" s="138">
        <f t="shared" si="63"/>
        <v>11</v>
      </c>
      <c r="AH80" s="138">
        <f t="shared" si="73"/>
        <v>30</v>
      </c>
      <c r="AI80" s="138">
        <f t="shared" si="64"/>
        <v>1780</v>
      </c>
      <c r="AJ80" s="138">
        <f t="shared" si="65"/>
        <v>1797</v>
      </c>
      <c r="AL80" s="136">
        <f t="shared" si="29"/>
        <v>3.6440000000000001</v>
      </c>
      <c r="AM80" s="258">
        <f t="shared" si="30"/>
        <v>6.0000000000000001E-3</v>
      </c>
      <c r="AN80" s="258">
        <f t="shared" si="31"/>
        <v>7.4999999999999997E-3</v>
      </c>
      <c r="AO80" s="258">
        <f t="shared" si="32"/>
        <v>0.45</v>
      </c>
      <c r="AP80" s="258">
        <f t="shared" si="33"/>
        <v>0</v>
      </c>
      <c r="AQ80" s="136">
        <f t="shared" si="66"/>
        <v>3.3399999999999999E-2</v>
      </c>
      <c r="AR80" s="137">
        <f t="shared" si="35"/>
        <v>2.75E-2</v>
      </c>
      <c r="AS80" s="136">
        <f t="shared" si="67"/>
        <v>3.6574999999999998</v>
      </c>
      <c r="AT80" s="137">
        <f t="shared" si="68"/>
        <v>5.3283315685584802E-2</v>
      </c>
      <c r="AU80" s="137">
        <f t="shared" si="38"/>
        <v>0.77237400814139667</v>
      </c>
      <c r="AV80" s="394">
        <f t="shared" si="69"/>
        <v>486.59562512907991</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7.3627517575535465E-7</v>
      </c>
      <c r="BG80" s="137">
        <f>_xll.xSPRDOPT($BW80,$BV80,$CG80,0,$BY80,$BX80,$BZ80,$AJ80,1,3)*$CB80</f>
        <v>9.2034396969419331E-8</v>
      </c>
      <c r="BH80" s="137">
        <f>IF(OR(BF80&lt;&gt;0,BG80&lt;&gt;0),_xll.xSPRDOPT($BW80,$BV80,$CG80,0,$BY80,$BX80,$BZ80,$AJ80,1,12)*$CB80,0)</f>
        <v>5.0618918333180627E-7</v>
      </c>
      <c r="BI80" s="137">
        <f>_xll.xSPRDOPT($BW80,$BV80,$CG80,2*LN(1+CA80/2),$BY80,$BX80,$BZ80,$AJ80,1,9)</f>
        <v>1.2165677236684685E-2</v>
      </c>
      <c r="BJ80" s="137">
        <f>_xll.xSPRDOPT($BW80,$BV80,$CG80,0,$BY80,$BX80,$BZ80,$AJ80,1,6)*$CB80</f>
        <v>-2.8460460542605975E-4</v>
      </c>
      <c r="BK80" s="137">
        <f>_xll.xSPRDOPT($BW80,$BV80,$CG80,0,$BY80,$BX80,$BZ80,$AJ80,1,5)*$CB80</f>
        <v>3.0980971393247377E-4</v>
      </c>
      <c r="BL80" s="137">
        <f>_xll.xSPRDOPT(BW80,BV80,CG80,0,BY80,BX80,BZ80,AJ80,1,2)*CB80</f>
        <v>-0.77203294066061401</v>
      </c>
      <c r="BM80" s="137">
        <f>_xll.xSPRDOPT(BW80,BV80,CG80,0,BY80,BX80,BZ80,AJ80,1,1)*CB80</f>
        <v>0.77203294064516637</v>
      </c>
      <c r="BN80" s="137">
        <f>IF(AH80&lt;&gt;0,_xll.xSPRDOPT($BW80,$BV80,$CG80,2*LN(1+CA80/2),$BY80,$BX80,$BZ80,$AJ80,1,8)+(AJ80/365.25)*CH80/AH80,0)</f>
        <v>0.28725237461316921</v>
      </c>
      <c r="BO80" s="137">
        <f>_xll.xSPRDOPT($BW80,$BV80,$CG80,0,$BY80,$BX80,$BZ80,$AJ80,1,0)</f>
        <v>0.29967494496801184</v>
      </c>
      <c r="BP80" s="137"/>
      <c r="BQ80" s="137"/>
      <c r="BR80" s="137"/>
      <c r="BS80" s="137"/>
      <c r="BV80" s="262">
        <v>3.7609254498714648</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52"/>
        <v>39066</v>
      </c>
      <c r="F81" s="28">
        <f t="shared" si="53"/>
        <v>732</v>
      </c>
      <c r="G81" s="28">
        <f t="shared" si="13"/>
        <v>562.08802484700493</v>
      </c>
      <c r="H81" s="52">
        <f t="shared" si="54"/>
        <v>3.9079691516709505</v>
      </c>
      <c r="I81" s="52">
        <f t="shared" si="55"/>
        <v>4.1870000000000003</v>
      </c>
      <c r="K81" s="52">
        <f t="shared" si="56"/>
        <v>5.8470640843468109</v>
      </c>
      <c r="L81" s="135">
        <f t="shared" si="57"/>
        <v>4.7107683593949901E-5</v>
      </c>
      <c r="N81" s="131">
        <f t="shared" si="48"/>
        <v>0.26311016393816972</v>
      </c>
      <c r="O81" s="131">
        <f t="shared" si="49"/>
        <v>0.26311016393816972</v>
      </c>
      <c r="P81" s="55">
        <f t="shared" si="50"/>
        <v>0.99999999999999978</v>
      </c>
      <c r="Q81" s="135">
        <f>_xll.xSPRDOPT(I81,H81,AQ81,0,O81,N81,P81,D81-$G$5,1,0)*AH81*AU81</f>
        <v>5.8471111920304049</v>
      </c>
      <c r="R81" s="135"/>
      <c r="S81" s="181">
        <f>_xll.xSPRDOPT(I81,H81,AQ81,AT81,O81,N81,P81,D81-$G$5,1,2)*AF81*(F81/(1-AR81))*AH81</f>
        <v>-17853.183404292973</v>
      </c>
      <c r="T81" s="181">
        <f>_xll.xSPRDOPT(I81,H81,AQ81,AT81,O81,N81,P81,D81-$G$5,1,1)*AF81*F81*AH81</f>
        <v>17362.220860860663</v>
      </c>
      <c r="U81" s="135"/>
      <c r="V81" s="146">
        <f t="shared" si="58"/>
        <v>8.9337441358982392</v>
      </c>
      <c r="W81" s="146"/>
      <c r="X81" s="338">
        <f t="shared" si="59"/>
        <v>0</v>
      </c>
      <c r="Y81" s="338">
        <f t="shared" si="20"/>
        <v>0</v>
      </c>
      <c r="Z81" s="338">
        <f t="shared" si="21"/>
        <v>1.857840558377355</v>
      </c>
      <c r="AA81" s="338">
        <f t="shared" si="22"/>
        <v>7.7029865674671036E-5</v>
      </c>
      <c r="AB81" s="338">
        <f t="shared" si="60"/>
        <v>0</v>
      </c>
      <c r="AC81" s="338">
        <f t="shared" si="61"/>
        <v>1.8833020370648592</v>
      </c>
      <c r="AF81" s="138">
        <f t="shared" si="62"/>
        <v>1</v>
      </c>
      <c r="AG81" s="138">
        <f t="shared" si="63"/>
        <v>12</v>
      </c>
      <c r="AH81" s="138">
        <f t="shared" si="73"/>
        <v>31</v>
      </c>
      <c r="AI81" s="138">
        <f t="shared" si="64"/>
        <v>1810</v>
      </c>
      <c r="AJ81" s="138">
        <f t="shared" si="65"/>
        <v>1827</v>
      </c>
      <c r="AL81" s="136">
        <f t="shared" si="29"/>
        <v>3.7869999999999999</v>
      </c>
      <c r="AM81" s="258">
        <f t="shared" si="30"/>
        <v>6.0000000000000001E-3</v>
      </c>
      <c r="AN81" s="258">
        <f t="shared" si="31"/>
        <v>7.4999999999999997E-3</v>
      </c>
      <c r="AO81" s="258">
        <f t="shared" si="32"/>
        <v>0.4</v>
      </c>
      <c r="AP81" s="258">
        <f t="shared" si="33"/>
        <v>0</v>
      </c>
      <c r="AQ81" s="136">
        <f t="shared" si="66"/>
        <v>3.3399999999999999E-2</v>
      </c>
      <c r="AR81" s="137">
        <f t="shared" si="35"/>
        <v>2.75E-2</v>
      </c>
      <c r="AS81" s="136">
        <f t="shared" si="67"/>
        <v>3.8004999999999995</v>
      </c>
      <c r="AT81" s="137">
        <f t="shared" si="68"/>
        <v>5.3595103564298502E-2</v>
      </c>
      <c r="AU81" s="137">
        <f t="shared" si="38"/>
        <v>0.76787981536476091</v>
      </c>
      <c r="AV81" s="394">
        <f t="shared" si="69"/>
        <v>499.88975980245937</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1.8299730114164648E-7</v>
      </c>
      <c r="BG81" s="137">
        <f>_xll.xSPRDOPT($BW81,$BV81,$CG81,0,$BY81,$BX81,$BZ81,$AJ81,1,3)*$CB81</f>
        <v>-1.8299730114164648E-7</v>
      </c>
      <c r="BH81" s="137">
        <f>IF(OR(BF81&lt;&gt;0,BG81&lt;&gt;0),_xll.xSPRDOPT($BW81,$BV81,$CG81,0,$BY81,$BX81,$BZ81,$AJ81,1,12)*$CB81,0)</f>
        <v>6.862398797072481E-8</v>
      </c>
      <c r="BI81" s="137">
        <f>_xll.xSPRDOPT($BW81,$BV81,$CG81,2*LN(1+CA81/2),$BY81,$BX81,$BZ81,$AJ81,1,9)</f>
        <v>9.9679220863054373E-3</v>
      </c>
      <c r="BJ81" s="137">
        <f>_xll.xSPRDOPT($BW81,$BV81,$CG81,0,$BY81,$BX81,$BZ81,$AJ81,1,6)*$CB81</f>
        <v>-1.9129744154969999E-3</v>
      </c>
      <c r="BK81" s="137">
        <f>_xll.xSPRDOPT($BW81,$BV81,$CG81,0,$BY81,$BX81,$BZ81,$AJ81,1,5)*$CB81</f>
        <v>2.0495616982241661E-3</v>
      </c>
      <c r="BL81" s="137">
        <f>_xll.xSPRDOPT(BW81,BV81,CG81,0,BY81,BX81,BZ81,AJ81,1,2)*CB81</f>
        <v>-0.76749233760145852</v>
      </c>
      <c r="BM81" s="137">
        <f>_xll.xSPRDOPT(BW81,BV81,CG81,0,BY81,BX81,BZ81,AJ81,1,1)*CB81</f>
        <v>0.76749233761367486</v>
      </c>
      <c r="BN81" s="137">
        <f>IF(AH81&lt;&gt;0,_xll.xSPRDOPT($BW81,$BV81,$CG81,2*LN(1+CA81/2),$BY81,$BX81,$BZ81,$AJ81,1,8)+(AJ81/365.25)*CH81/AH81,0)</f>
        <v>0.49783203494643891</v>
      </c>
      <c r="BO81" s="137">
        <f>_xll.xSPRDOPT($BW81,$BV81,$CG81,0,$BY81,$BX81,$BZ81,$AJ81,1,0)</f>
        <v>0.2456328613501555</v>
      </c>
      <c r="BP81" s="137"/>
      <c r="BQ81" s="137"/>
      <c r="BR81" s="137"/>
      <c r="BS81" s="137"/>
      <c r="BV81" s="262">
        <v>3.9079691516709505</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52"/>
        <v>39097</v>
      </c>
      <c r="F82" s="28">
        <f t="shared" si="53"/>
        <v>732</v>
      </c>
      <c r="G82" s="28">
        <f t="shared" si="13"/>
        <v>558.85200909426055</v>
      </c>
      <c r="H82" s="52">
        <f t="shared" si="54"/>
        <v>3.9619537275064265</v>
      </c>
      <c r="I82" s="52">
        <f t="shared" si="55"/>
        <v>4.1894999999999998</v>
      </c>
      <c r="K82" s="52">
        <f t="shared" si="56"/>
        <v>4.5949044640396881</v>
      </c>
      <c r="L82" s="135">
        <f t="shared" si="57"/>
        <v>1.9241509279854796E-4</v>
      </c>
      <c r="N82" s="131">
        <f t="shared" si="48"/>
        <v>0.26285711475899531</v>
      </c>
      <c r="O82" s="131">
        <f t="shared" si="49"/>
        <v>0.26285711475899531</v>
      </c>
      <c r="P82" s="55">
        <f t="shared" si="50"/>
        <v>1.0000000000000002</v>
      </c>
      <c r="Q82" s="135">
        <f>_xll.xSPRDOPT(I82,H82,AQ82,0,O82,N82,P82,D82-$G$5,1,0)*AH82*AU82</f>
        <v>4.5950968791324867</v>
      </c>
      <c r="R82" s="135"/>
      <c r="S82" s="181">
        <f>_xll.xSPRDOPT(I82,H82,AQ82,AT82,O82,N82,P82,D82-$G$5,1,2)*AF82*(F82/(1-AR82))*AH82</f>
        <v>-17746.824731425815</v>
      </c>
      <c r="T82" s="181">
        <f>_xll.xSPRDOPT(I82,H82,AQ82,AT82,O82,N82,P82,D82-$G$5,1,1)*AF82*F82*AH82</f>
        <v>17258.787051352872</v>
      </c>
      <c r="U82" s="135"/>
      <c r="V82" s="146">
        <f t="shared" si="58"/>
        <v>8.8823113789690655</v>
      </c>
      <c r="W82" s="146"/>
      <c r="X82" s="338">
        <f t="shared" si="59"/>
        <v>0</v>
      </c>
      <c r="Y82" s="338">
        <f t="shared" si="20"/>
        <v>0</v>
      </c>
      <c r="Z82" s="338">
        <f t="shared" si="21"/>
        <v>1.4662599494029114</v>
      </c>
      <c r="AA82" s="338">
        <f t="shared" si="22"/>
        <v>1.4505991834407506E-4</v>
      </c>
      <c r="AB82" s="338">
        <f t="shared" si="60"/>
        <v>0</v>
      </c>
      <c r="AC82" s="338">
        <f t="shared" si="61"/>
        <v>1.4872106519103716</v>
      </c>
      <c r="AF82" s="138">
        <f t="shared" si="62"/>
        <v>1</v>
      </c>
      <c r="AG82" s="138">
        <f t="shared" si="63"/>
        <v>1</v>
      </c>
      <c r="AH82" s="138">
        <f t="shared" si="73"/>
        <v>31</v>
      </c>
      <c r="AI82" s="138">
        <f t="shared" si="64"/>
        <v>1841</v>
      </c>
      <c r="AJ82" s="138">
        <f t="shared" si="65"/>
        <v>1858</v>
      </c>
      <c r="AL82" s="136">
        <f t="shared" si="29"/>
        <v>3.8395000000000001</v>
      </c>
      <c r="AM82" s="258">
        <f t="shared" si="30"/>
        <v>6.0000000000000001E-3</v>
      </c>
      <c r="AN82" s="258">
        <f t="shared" si="31"/>
        <v>7.4999999999999997E-3</v>
      </c>
      <c r="AO82" s="258">
        <f t="shared" si="32"/>
        <v>0.35</v>
      </c>
      <c r="AP82" s="258">
        <f t="shared" si="33"/>
        <v>0</v>
      </c>
      <c r="AQ82" s="136">
        <f t="shared" si="66"/>
        <v>3.3399999999999999E-2</v>
      </c>
      <c r="AR82" s="137">
        <f t="shared" si="35"/>
        <v>2.75E-2</v>
      </c>
      <c r="AS82" s="136">
        <f t="shared" si="67"/>
        <v>3.8529999999999998</v>
      </c>
      <c r="AT82" s="137">
        <f t="shared" si="68"/>
        <v>5.38548873933569E-2</v>
      </c>
      <c r="AU82" s="137">
        <f t="shared" si="38"/>
        <v>0.76345902881729577</v>
      </c>
      <c r="AV82" s="394">
        <f t="shared" si="69"/>
        <v>497.01182776005953</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-9.5520276178712881E-7</v>
      </c>
      <c r="BG82" s="137">
        <f>_xll.xSPRDOPT($BW82,$BV82,$CG82,0,$BY82,$BX82,$BZ82,$AJ82,1,3)*$CB82</f>
        <v>2.7291507479632252E-7</v>
      </c>
      <c r="BH82" s="137">
        <f>IF(OR(BF82&lt;&gt;0,BG82&lt;&gt;0),_xll.xSPRDOPT($BW82,$BV82,$CG82,0,$BY82,$BX82,$BZ82,$AJ82,1,12)*$CB82,0)</f>
        <v>-1.5920046029785482E-7</v>
      </c>
      <c r="BI82" s="137">
        <f>_xll.xSPRDOPT($BW82,$BV82,$CG82,2*LN(1+CA82/2),$BY82,$BX82,$BZ82,$AJ82,1,9)</f>
        <v>7.8669640771992094E-3</v>
      </c>
      <c r="BJ82" s="137">
        <f>_xll.xSPRDOPT($BW82,$BV82,$CG82,0,$BY82,$BX82,$BZ82,$AJ82,1,6)*$CB82</f>
        <v>-4.6273816995483826E-3</v>
      </c>
      <c r="BK82" s="137">
        <f>_xll.xSPRDOPT($BW82,$BV82,$CG82,0,$BY82,$BX82,$BZ82,$AJ82,1,5)*$CB82</f>
        <v>4.8931453861910598E-3</v>
      </c>
      <c r="BL82" s="137">
        <f>_xll.xSPRDOPT(BW82,BV82,CG82,0,BY82,BX82,BZ82,AJ82,1,2)*CB82</f>
        <v>-0.76299063455414051</v>
      </c>
      <c r="BM82" s="137">
        <f>_xll.xSPRDOPT(BW82,BV82,CG82,0,BY82,BX82,BZ82,AJ82,1,1)*CB82</f>
        <v>0.76299063455414051</v>
      </c>
      <c r="BN82" s="137">
        <f>IF(AH82&lt;&gt;0,_xll.xSPRDOPT($BW82,$BV82,$CG82,2*LN(1+CA82/2),$BY82,$BX82,$BZ82,$AJ82,1,8)+(AJ82/365.25)*CH82/AH82,0)</f>
        <v>0.70320067986534107</v>
      </c>
      <c r="BO82" s="137">
        <f>_xll.xSPRDOPT($BW82,$BV82,$CG82,0,$BY82,$BX82,$BZ82,$AJ82,1,0)</f>
        <v>0.19415446812164816</v>
      </c>
      <c r="BP82" s="137"/>
      <c r="BQ82" s="137"/>
      <c r="BR82" s="137"/>
      <c r="BS82" s="137"/>
      <c r="BV82" s="262">
        <v>3.9619537275064265</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52"/>
        <v>39128</v>
      </c>
      <c r="F83" s="28">
        <f t="shared" si="53"/>
        <v>732</v>
      </c>
      <c r="G83" s="28">
        <f t="shared" si="13"/>
        <v>0</v>
      </c>
      <c r="H83" s="52">
        <f t="shared" si="54"/>
        <v>3.8745501285347039</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6.0000000000000001E-3</v>
      </c>
      <c r="AN83" s="258">
        <f t="shared" si="31"/>
        <v>7.4999999999999997E-3</v>
      </c>
      <c r="AO83" s="258">
        <f t="shared" si="32"/>
        <v>0.35</v>
      </c>
      <c r="AP83" s="258">
        <f t="shared" si="33"/>
        <v>0</v>
      </c>
      <c r="AQ83" s="136">
        <f t="shared" si="66"/>
        <v>3.3399999999999999E-2</v>
      </c>
      <c r="AR83" s="137">
        <f t="shared" si="35"/>
        <v>2.75E-2</v>
      </c>
      <c r="AS83" s="136">
        <f t="shared" si="67"/>
        <v>3.7679999999999998</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-3.115869669246233E-2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1.3110720553891146</v>
      </c>
      <c r="BP83" s="137"/>
      <c r="BQ83" s="137"/>
      <c r="BR83" s="137"/>
      <c r="BS83" s="137"/>
      <c r="BV83" s="262">
        <v>3.8745501285347039</v>
      </c>
      <c r="BW83" s="136">
        <v>4.1044999999999998</v>
      </c>
      <c r="BX83" s="137">
        <v>0.24249999999999999</v>
      </c>
      <c r="BY83" s="137">
        <v>0.24249999999999999</v>
      </c>
      <c r="BZ83" s="137">
        <v>0</v>
      </c>
      <c r="CA83" s="137">
        <v>5.4038903438607302E-2</v>
      </c>
      <c r="CB83" s="137">
        <v>0</v>
      </c>
      <c r="CC83" s="258">
        <v>6.0000000000000001E-3</v>
      </c>
      <c r="CD83" s="258">
        <v>7.4999999999999997E-3</v>
      </c>
      <c r="CE83" s="258">
        <v>0.35</v>
      </c>
      <c r="CF83" s="258">
        <v>0</v>
      </c>
      <c r="CG83" s="258">
        <v>3.3399999999999999E-2</v>
      </c>
      <c r="CH83" s="258">
        <v>0</v>
      </c>
      <c r="CI83" s="258">
        <v>3.7545000000000002</v>
      </c>
      <c r="CJ83" s="258"/>
      <c r="CK83" s="258"/>
      <c r="CL83" s="258"/>
      <c r="CM83" s="258"/>
    </row>
    <row r="84" spans="1:91" x14ac:dyDescent="0.25">
      <c r="A84" s="723"/>
      <c r="B84" s="723"/>
      <c r="D84" s="31">
        <f t="shared" si="52"/>
        <v>39128</v>
      </c>
      <c r="F84" s="28">
        <f t="shared" si="53"/>
        <v>732</v>
      </c>
      <c r="G84" s="28">
        <f t="shared" si="13"/>
        <v>0</v>
      </c>
      <c r="H84" s="52">
        <f t="shared" si="54"/>
        <v>3.8745501285347039</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6.0000000000000001E-3</v>
      </c>
      <c r="AN84" s="258">
        <f t="shared" si="31"/>
        <v>7.4999999999999997E-3</v>
      </c>
      <c r="AO84" s="258">
        <f t="shared" si="32"/>
        <v>0.35</v>
      </c>
      <c r="AP84" s="258">
        <f t="shared" si="33"/>
        <v>0</v>
      </c>
      <c r="AQ84" s="136">
        <f t="shared" si="66"/>
        <v>3.3399999999999999E-2</v>
      </c>
      <c r="AR84" s="137">
        <f t="shared" si="35"/>
        <v>2.75E-2</v>
      </c>
      <c r="AS84" s="136">
        <f t="shared" si="67"/>
        <v>3.7679999999999998</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-3.115869669246233E-2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1.3110720553891146</v>
      </c>
      <c r="BP84" s="137"/>
      <c r="BQ84" s="137"/>
      <c r="BR84" s="137"/>
      <c r="BS84" s="137"/>
      <c r="BV84" s="262">
        <v>3.8745501285347039</v>
      </c>
      <c r="BW84" s="136">
        <v>4.1044999999999998</v>
      </c>
      <c r="BX84" s="137">
        <v>0.24249999999999999</v>
      </c>
      <c r="BY84" s="137">
        <v>0.24249999999999999</v>
      </c>
      <c r="BZ84" s="137">
        <v>0</v>
      </c>
      <c r="CA84" s="137">
        <v>5.4038903438607302E-2</v>
      </c>
      <c r="CB84" s="137">
        <v>0</v>
      </c>
      <c r="CC84" s="258">
        <v>6.0000000000000001E-3</v>
      </c>
      <c r="CD84" s="258">
        <v>7.4999999999999997E-3</v>
      </c>
      <c r="CE84" s="258">
        <v>0.35</v>
      </c>
      <c r="CF84" s="258">
        <v>0</v>
      </c>
      <c r="CG84" s="258">
        <v>3.3399999999999999E-2</v>
      </c>
      <c r="CH84" s="258">
        <v>0</v>
      </c>
      <c r="CI84" s="258">
        <v>3.7545000000000002</v>
      </c>
      <c r="CJ84" s="258"/>
      <c r="CK84" s="258"/>
      <c r="CL84" s="258"/>
      <c r="CM84" s="258"/>
    </row>
    <row r="85" spans="1:91" x14ac:dyDescent="0.25">
      <c r="A85" s="723"/>
      <c r="B85" s="723"/>
      <c r="D85" s="31">
        <f t="shared" si="52"/>
        <v>39128</v>
      </c>
      <c r="F85" s="28">
        <f t="shared" si="53"/>
        <v>732</v>
      </c>
      <c r="G85" s="28">
        <f t="shared" si="13"/>
        <v>0</v>
      </c>
      <c r="H85" s="52">
        <f t="shared" si="54"/>
        <v>3.8745501285347039</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6.0000000000000001E-3</v>
      </c>
      <c r="AN85" s="258">
        <f t="shared" si="31"/>
        <v>7.4999999999999997E-3</v>
      </c>
      <c r="AO85" s="258">
        <f t="shared" si="32"/>
        <v>0.35</v>
      </c>
      <c r="AP85" s="258">
        <f t="shared" si="33"/>
        <v>0</v>
      </c>
      <c r="AQ85" s="136">
        <f t="shared" si="66"/>
        <v>3.3399999999999999E-2</v>
      </c>
      <c r="AR85" s="137">
        <f t="shared" si="35"/>
        <v>2.75E-2</v>
      </c>
      <c r="AS85" s="136">
        <f t="shared" si="67"/>
        <v>3.7679999999999998</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-3.115869669246233E-2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1.3110720553891146</v>
      </c>
      <c r="BP85" s="137"/>
      <c r="BQ85" s="137"/>
      <c r="BR85" s="137"/>
      <c r="BS85" s="137"/>
      <c r="BV85" s="262">
        <v>3.8745501285347039</v>
      </c>
      <c r="BW85" s="136">
        <v>4.1044999999999998</v>
      </c>
      <c r="BX85" s="137">
        <v>0.24249999999999999</v>
      </c>
      <c r="BY85" s="137">
        <v>0.24249999999999999</v>
      </c>
      <c r="BZ85" s="137">
        <v>0</v>
      </c>
      <c r="CA85" s="137">
        <v>5.4038903438607302E-2</v>
      </c>
      <c r="CB85" s="137">
        <v>0</v>
      </c>
      <c r="CC85" s="258">
        <v>6.0000000000000001E-3</v>
      </c>
      <c r="CD85" s="258">
        <v>7.4999999999999997E-3</v>
      </c>
      <c r="CE85" s="258">
        <v>0.35</v>
      </c>
      <c r="CF85" s="258">
        <v>0</v>
      </c>
      <c r="CG85" s="258">
        <v>3.3399999999999999E-2</v>
      </c>
      <c r="CH85" s="258">
        <v>0</v>
      </c>
      <c r="CI85" s="258">
        <v>3.7545000000000002</v>
      </c>
      <c r="CJ85" s="258"/>
      <c r="CK85" s="258"/>
      <c r="CL85" s="258"/>
      <c r="CM85" s="258"/>
    </row>
    <row r="86" spans="1:91" x14ac:dyDescent="0.25">
      <c r="A86" s="723"/>
      <c r="B86" s="723"/>
      <c r="D86" s="31">
        <f t="shared" si="52"/>
        <v>39128</v>
      </c>
      <c r="F86" s="28">
        <f t="shared" si="53"/>
        <v>732</v>
      </c>
      <c r="G86" s="28">
        <f>F86*$AU86</f>
        <v>0</v>
      </c>
      <c r="H86" s="52">
        <f t="shared" si="54"/>
        <v>3.8745501285347039</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6.0000000000000001E-3</v>
      </c>
      <c r="AN86" s="258">
        <f>VLOOKUP($D86,CurveTbl,$AH$4)+VLOOKUP($AG86,$AL$3:$AS$15,6)</f>
        <v>7.4999999999999997E-3</v>
      </c>
      <c r="AO86" s="258">
        <f>VLOOKUP($D86,CurveTbl,$AH$5)</f>
        <v>0.35</v>
      </c>
      <c r="AP86" s="258">
        <f>VLOOKUP($D86,CurveTbl,$AH$6)+VLOOKUP($AG86,$AL$3:$AS$15,7)</f>
        <v>0</v>
      </c>
      <c r="AQ86" s="136">
        <f t="shared" si="66"/>
        <v>3.3399999999999999E-2</v>
      </c>
      <c r="AR86" s="137">
        <f>VLOOKUP($AG86,$AL$4:$AS$15,4)</f>
        <v>2.75E-2</v>
      </c>
      <c r="AS86" s="136">
        <f t="shared" si="67"/>
        <v>3.7679999999999998</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-3.115869669246233E-2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1.3110720553891146</v>
      </c>
      <c r="BP86" s="137"/>
      <c r="BQ86" s="137"/>
      <c r="BR86" s="137"/>
      <c r="BS86" s="137"/>
      <c r="BV86" s="262">
        <v>3.8745501285347039</v>
      </c>
      <c r="BW86" s="136">
        <v>4.1044999999999998</v>
      </c>
      <c r="BX86" s="137">
        <v>0.24249999999999999</v>
      </c>
      <c r="BY86" s="137">
        <v>0.24249999999999999</v>
      </c>
      <c r="BZ86" s="137">
        <v>0</v>
      </c>
      <c r="CA86" s="137">
        <v>5.4038903438607302E-2</v>
      </c>
      <c r="CB86" s="137">
        <v>0</v>
      </c>
      <c r="CC86" s="258">
        <v>6.0000000000000001E-3</v>
      </c>
      <c r="CD86" s="258">
        <v>7.4999999999999997E-3</v>
      </c>
      <c r="CE86" s="258">
        <v>0.35</v>
      </c>
      <c r="CF86" s="258">
        <v>0</v>
      </c>
      <c r="CG86" s="258">
        <v>3.3399999999999999E-2</v>
      </c>
      <c r="CH86" s="258">
        <v>0</v>
      </c>
      <c r="CI86" s="258">
        <v>3.7545000000000002</v>
      </c>
      <c r="CJ86" s="258"/>
      <c r="CK86" s="258"/>
      <c r="CL86" s="258"/>
      <c r="CM86" s="258"/>
    </row>
    <row r="87" spans="1:91" x14ac:dyDescent="0.25">
      <c r="A87" s="723"/>
      <c r="B87" s="723"/>
      <c r="D87" s="31">
        <f t="shared" si="52"/>
        <v>39128</v>
      </c>
      <c r="F87" s="28">
        <f t="shared" si="53"/>
        <v>732</v>
      </c>
      <c r="G87" s="28">
        <f>F87*$AU87</f>
        <v>0</v>
      </c>
      <c r="H87" s="52">
        <f t="shared" si="54"/>
        <v>3.8745501285347039</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6.0000000000000001E-3</v>
      </c>
      <c r="AN87" s="258">
        <f>VLOOKUP($D87,CurveTbl,$AH$4)+VLOOKUP($AG87,$AL$3:$AS$15,6)</f>
        <v>7.4999999999999997E-3</v>
      </c>
      <c r="AO87" s="258">
        <f>VLOOKUP($D87,CurveTbl,$AH$5)</f>
        <v>0.35</v>
      </c>
      <c r="AP87" s="258">
        <f>VLOOKUP($D87,CurveTbl,$AH$6)+VLOOKUP($AG87,$AL$3:$AS$15,7)</f>
        <v>0</v>
      </c>
      <c r="AQ87" s="136">
        <f t="shared" si="66"/>
        <v>3.3399999999999999E-2</v>
      </c>
      <c r="AR87" s="137">
        <f>VLOOKUP($AG87,$AL$4:$AS$15,4)</f>
        <v>2.75E-2</v>
      </c>
      <c r="AS87" s="136">
        <f t="shared" si="67"/>
        <v>3.7679999999999998</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-3.115869669246233E-2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1.3110720553891146</v>
      </c>
      <c r="BP87" s="137"/>
      <c r="BQ87" s="137"/>
      <c r="BR87" s="137"/>
      <c r="BS87" s="137"/>
      <c r="BV87" s="262">
        <v>3.8745501285347039</v>
      </c>
      <c r="BW87" s="136">
        <v>4.1044999999999998</v>
      </c>
      <c r="BX87" s="137">
        <v>0.24249999999999999</v>
      </c>
      <c r="BY87" s="137">
        <v>0.24249999999999999</v>
      </c>
      <c r="BZ87" s="137">
        <v>0</v>
      </c>
      <c r="CA87" s="137">
        <v>5.4038903438607302E-2</v>
      </c>
      <c r="CB87" s="137">
        <v>0</v>
      </c>
      <c r="CC87" s="258">
        <v>6.0000000000000001E-3</v>
      </c>
      <c r="CD87" s="258">
        <v>7.4999999999999997E-3</v>
      </c>
      <c r="CE87" s="258">
        <v>0.35</v>
      </c>
      <c r="CF87" s="258">
        <v>0</v>
      </c>
      <c r="CG87" s="258">
        <v>3.3399999999999999E-2</v>
      </c>
      <c r="CH87" s="258">
        <v>0</v>
      </c>
      <c r="CI87" s="258">
        <v>3.7545000000000002</v>
      </c>
      <c r="CJ87" s="258"/>
      <c r="CK87" s="258"/>
      <c r="CL87" s="258"/>
      <c r="CM87" s="258"/>
    </row>
    <row r="88" spans="1:91" x14ac:dyDescent="0.25">
      <c r="A88" s="723"/>
      <c r="B88" s="723"/>
      <c r="D88" s="31">
        <f t="shared" si="52"/>
        <v>39128</v>
      </c>
      <c r="F88" s="28">
        <f t="shared" si="53"/>
        <v>732</v>
      </c>
      <c r="G88" s="28">
        <f>F88*$AU88</f>
        <v>0</v>
      </c>
      <c r="H88" s="52">
        <f t="shared" si="54"/>
        <v>3.8745501285347039</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6.0000000000000001E-3</v>
      </c>
      <c r="AN88" s="258">
        <f>VLOOKUP($D88,CurveTbl,$AH$4)+VLOOKUP($AG88,$AL$3:$AS$15,6)</f>
        <v>7.4999999999999997E-3</v>
      </c>
      <c r="AO88" s="258">
        <f>VLOOKUP($D88,CurveTbl,$AH$5)</f>
        <v>0.35</v>
      </c>
      <c r="AP88" s="258">
        <f>VLOOKUP($D88,CurveTbl,$AH$6)+VLOOKUP($AG88,$AL$3:$AS$15,7)</f>
        <v>0</v>
      </c>
      <c r="AQ88" s="136">
        <f t="shared" si="66"/>
        <v>3.3399999999999999E-2</v>
      </c>
      <c r="AR88" s="137">
        <f>VLOOKUP($AG88,$AL$4:$AS$15,4)</f>
        <v>2.75E-2</v>
      </c>
      <c r="AS88" s="136">
        <f t="shared" si="67"/>
        <v>3.7679999999999998</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-3.115869669246233E-2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1.3110720553891146</v>
      </c>
      <c r="BP88" s="137"/>
      <c r="BQ88" s="137"/>
      <c r="BR88" s="137"/>
      <c r="BS88" s="137"/>
      <c r="BV88" s="262">
        <v>3.8745501285347039</v>
      </c>
      <c r="BW88" s="136">
        <v>4.1044999999999998</v>
      </c>
      <c r="BX88" s="137">
        <v>0.24249999999999999</v>
      </c>
      <c r="BY88" s="137">
        <v>0.24249999999999999</v>
      </c>
      <c r="BZ88" s="137">
        <v>0</v>
      </c>
      <c r="CA88" s="137">
        <v>5.4038903438607302E-2</v>
      </c>
      <c r="CB88" s="137">
        <v>0</v>
      </c>
      <c r="CC88" s="258">
        <v>6.0000000000000001E-3</v>
      </c>
      <c r="CD88" s="258">
        <v>7.4999999999999997E-3</v>
      </c>
      <c r="CE88" s="258">
        <v>0.35</v>
      </c>
      <c r="CF88" s="258">
        <v>0</v>
      </c>
      <c r="CG88" s="258">
        <v>3.3399999999999999E-2</v>
      </c>
      <c r="CH88" s="258">
        <v>0</v>
      </c>
      <c r="CI88" s="258">
        <v>3.7545000000000002</v>
      </c>
      <c r="CJ88" s="258"/>
      <c r="CK88" s="258"/>
      <c r="CL88" s="258"/>
      <c r="CM88" s="258"/>
    </row>
    <row r="89" spans="1:91" x14ac:dyDescent="0.25">
      <c r="A89" s="723"/>
      <c r="B89" s="723"/>
      <c r="D89" s="31">
        <f t="shared" si="52"/>
        <v>39128</v>
      </c>
      <c r="F89" s="28">
        <f t="shared" si="53"/>
        <v>732</v>
      </c>
      <c r="G89" s="28">
        <f>F89*$AU89</f>
        <v>0</v>
      </c>
      <c r="H89" s="52">
        <f t="shared" si="54"/>
        <v>3.8745501285347039</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6.0000000000000001E-3</v>
      </c>
      <c r="AN89" s="258">
        <f>VLOOKUP($D89,CurveTbl,$AH$4)+VLOOKUP($AG89,$AL$3:$AS$15,6)</f>
        <v>7.4999999999999997E-3</v>
      </c>
      <c r="AO89" s="258">
        <f>VLOOKUP($D89,CurveTbl,$AH$5)</f>
        <v>0.35</v>
      </c>
      <c r="AP89" s="258">
        <f>VLOOKUP($D89,CurveTbl,$AH$6)+VLOOKUP($AG89,$AL$3:$AS$15,7)</f>
        <v>0</v>
      </c>
      <c r="AQ89" s="136">
        <f t="shared" si="66"/>
        <v>3.3399999999999999E-2</v>
      </c>
      <c r="AR89" s="137">
        <f>VLOOKUP($AG89,$AL$4:$AS$15,4)</f>
        <v>2.75E-2</v>
      </c>
      <c r="AS89" s="136">
        <f t="shared" si="67"/>
        <v>3.7679999999999998</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-3.115869669246233E-2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1.3110720553891146</v>
      </c>
      <c r="BP89" s="137"/>
      <c r="BQ89" s="137"/>
      <c r="BR89" s="137"/>
      <c r="BS89" s="137"/>
      <c r="BV89" s="262">
        <v>3.8745501285347039</v>
      </c>
      <c r="BW89" s="136">
        <v>4.1044999999999998</v>
      </c>
      <c r="BX89" s="137">
        <v>0.24249999999999999</v>
      </c>
      <c r="BY89" s="137">
        <v>0.24249999999999999</v>
      </c>
      <c r="BZ89" s="137">
        <v>0</v>
      </c>
      <c r="CA89" s="137">
        <v>5.4038903438607302E-2</v>
      </c>
      <c r="CB89" s="137">
        <v>0</v>
      </c>
      <c r="CC89" s="258">
        <v>6.0000000000000001E-3</v>
      </c>
      <c r="CD89" s="258">
        <v>7.4999999999999997E-3</v>
      </c>
      <c r="CE89" s="258">
        <v>0.35</v>
      </c>
      <c r="CF89" s="258">
        <v>0</v>
      </c>
      <c r="CG89" s="258">
        <v>3.3399999999999999E-2</v>
      </c>
      <c r="CH89" s="258">
        <v>0</v>
      </c>
      <c r="CI89" s="258">
        <v>3.7545000000000002</v>
      </c>
      <c r="CJ89" s="258"/>
      <c r="CK89" s="258"/>
      <c r="CL89" s="258"/>
      <c r="CM89" s="258"/>
    </row>
    <row r="90" spans="1:91" x14ac:dyDescent="0.25">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5">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5">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5">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5">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5">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5">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3908"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3909"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2">
    <pageSetUpPr autoPageBreaks="0"/>
  </sheetPr>
  <dimension ref="A1:CX99"/>
  <sheetViews>
    <sheetView topLeftCell="I6"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LongTerm52</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52</v>
      </c>
      <c r="F2" s="178" t="str">
        <f>GetRcptPoint($AH$12,$AH$13)</f>
        <v>FGT/Zone 3</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298930.6051312249</v>
      </c>
      <c r="O4" s="352">
        <v>298840.07</v>
      </c>
      <c r="P4" s="354">
        <f ca="1">N4-O4</f>
        <v>90.535131224896759</v>
      </c>
      <c r="S4" s="427" t="s">
        <v>635</v>
      </c>
      <c r="T4" s="422">
        <f ca="1">SUMPRODUCT(INDIRECT(CONCATENATE(V4,":",W4)),INDIRECT(CONCATENATE(AV2,":",AW2)),INDIRECT(CONCATENATE(AV3,":",AW3)))</f>
        <v>298929.33341572055</v>
      </c>
      <c r="V4" s="30" t="str">
        <f>ADDRESS(ROW(K22),COLUMN(K22))</f>
        <v>$K$22</v>
      </c>
      <c r="W4" s="30" t="str">
        <f ca="1">GetEnd($AV$1,V4)</f>
        <v>$K$89</v>
      </c>
      <c r="AF4" s="28"/>
      <c r="AG4" s="103" t="s">
        <v>32</v>
      </c>
      <c r="AH4" s="104">
        <f>GetRcptIndexCol($AH$12,$AH$13)</f>
        <v>111</v>
      </c>
      <c r="AI4" s="29"/>
      <c r="AJ4" s="103" t="s">
        <v>72</v>
      </c>
      <c r="AK4" s="104">
        <f>GetNymexCol(AK3)</f>
        <v>3</v>
      </c>
      <c r="AL4" s="34">
        <v>1</v>
      </c>
      <c r="AM4" s="45">
        <f t="shared" ref="AM4:AM15" si="0">GetVolume($AH$12,$AH$13,AT4)</f>
        <v>356</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221953.61147035178</v>
      </c>
      <c r="O5" s="352">
        <v>221885.77</v>
      </c>
      <c r="P5" s="355">
        <f ca="1">N5-O5</f>
        <v>67.841470351791941</v>
      </c>
      <c r="S5" s="428" t="s">
        <v>636</v>
      </c>
      <c r="T5" s="423">
        <f ca="1">SUMPRODUCT(INDIRECT(CONCATENATE(V5,":",W5)),INDIRECT(CONCATENATE(AV2,":",AW2)),INDIRECT(CONCATENATE(AV3,":",AW3)))</f>
        <v>1.2717155041226533</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356</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76976.993660873122</v>
      </c>
      <c r="O6" s="357">
        <v>76954.3</v>
      </c>
      <c r="P6" s="358">
        <f ca="1">N6-O6</f>
        <v>22.69366087311937</v>
      </c>
      <c r="S6" s="428" t="s">
        <v>637</v>
      </c>
      <c r="T6" s="424">
        <f ca="1">SUMPRODUCT(INDIRECT(CONCATENATE(V6,":",W6)),INDIRECT(CONCATENATE(AV3,":",AW3)),INDIRECT(CONCATENATE(AX3,":",AY3)))</f>
        <v>591403.17471449997</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356</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644.54999999999995</v>
      </c>
      <c r="P7" s="355">
        <f ca="1">N7</f>
        <v>0</v>
      </c>
      <c r="S7" s="428" t="s">
        <v>638</v>
      </c>
      <c r="T7" s="425">
        <f ca="1">T5/T6</f>
        <v>2.1503359442339386E-6</v>
      </c>
      <c r="AF7" s="28"/>
      <c r="AG7" s="103" t="s">
        <v>76</v>
      </c>
      <c r="AH7" s="104">
        <f>GetRcptOmicronCol($AH$12,$AH$13)</f>
        <v>17</v>
      </c>
      <c r="AI7" s="29"/>
      <c r="AJ7" s="103" t="s">
        <v>80</v>
      </c>
      <c r="AK7" s="104" t="str">
        <f>Configuration!$D$8</f>
        <v>Nymex Vol</v>
      </c>
      <c r="AL7" s="34">
        <v>4</v>
      </c>
      <c r="AM7" s="37">
        <f t="shared" si="0"/>
        <v>356</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1275.7</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356</v>
      </c>
      <c r="AN8" s="38">
        <f t="shared" si="1"/>
        <v>3.3399999999999999E-2</v>
      </c>
      <c r="AO8" s="39">
        <f t="shared" si="2"/>
        <v>2.75E-2</v>
      </c>
      <c r="AP8" s="38">
        <f t="shared" si="3"/>
        <v>0</v>
      </c>
      <c r="AQ8" s="38">
        <f t="shared" si="4"/>
        <v>0</v>
      </c>
      <c r="AR8" s="133">
        <f t="shared" si="5"/>
        <v>0</v>
      </c>
      <c r="AS8" s="40">
        <f t="shared" si="6"/>
        <v>0.37530000000000002</v>
      </c>
      <c r="AT8" s="35">
        <f t="shared" si="7"/>
        <v>1</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356</v>
      </c>
      <c r="AN9" s="38">
        <f t="shared" si="1"/>
        <v>3.3399999999999999E-2</v>
      </c>
      <c r="AO9" s="39">
        <f t="shared" si="2"/>
        <v>2.75E-2</v>
      </c>
      <c r="AP9" s="38">
        <f t="shared" si="3"/>
        <v>0</v>
      </c>
      <c r="AQ9" s="38">
        <f t="shared" si="4"/>
        <v>0</v>
      </c>
      <c r="AR9" s="133">
        <f t="shared" si="5"/>
        <v>0</v>
      </c>
      <c r="AS9" s="40">
        <f t="shared" si="6"/>
        <v>0.37530000000000002</v>
      </c>
      <c r="AT9" s="35">
        <f t="shared" si="7"/>
        <v>1</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0.85734703262981782</v>
      </c>
      <c r="L10" s="706" t="s">
        <v>628</v>
      </c>
      <c r="M10" s="707"/>
      <c r="N10" s="352">
        <f ca="1">-SUMPRODUCT(INDIRECT(CONCATENATE(AV10,":",AW10)),INDIRECT(CONCATENATE($AX$7,":",$AY$7)),INDIRECT(CONCATENATE($AV$3,":",$AW$3)))</f>
        <v>-54898.321014618254</v>
      </c>
      <c r="O10" s="352">
        <v>-54881.24</v>
      </c>
      <c r="P10" s="355">
        <f t="shared" ref="P10:P19" ca="1" si="10">N10-O10</f>
        <v>-17.081014618255722</v>
      </c>
      <c r="AF10" s="28"/>
      <c r="AG10" s="103" t="s">
        <v>142</v>
      </c>
      <c r="AH10" s="119" t="b">
        <f>GetGRIFactor($AH$12,$AH$13)</f>
        <v>1</v>
      </c>
      <c r="AI10" s="29"/>
      <c r="AJ10" s="29"/>
      <c r="AK10" s="29"/>
      <c r="AL10" s="34">
        <v>7</v>
      </c>
      <c r="AM10" s="37">
        <f t="shared" si="0"/>
        <v>356</v>
      </c>
      <c r="AN10" s="38">
        <f t="shared" si="1"/>
        <v>3.3399999999999999E-2</v>
      </c>
      <c r="AO10" s="39">
        <f t="shared" si="2"/>
        <v>2.75E-2</v>
      </c>
      <c r="AP10" s="38">
        <f t="shared" si="3"/>
        <v>0</v>
      </c>
      <c r="AQ10" s="38">
        <f t="shared" si="4"/>
        <v>0</v>
      </c>
      <c r="AR10" s="133">
        <f t="shared" si="5"/>
        <v>0</v>
      </c>
      <c r="AS10" s="40">
        <f t="shared" si="6"/>
        <v>0.37530000000000002</v>
      </c>
      <c r="AT10" s="35">
        <f t="shared" si="7"/>
        <v>1</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67371.226393269812</v>
      </c>
      <c r="L11" s="704" t="s">
        <v>629</v>
      </c>
      <c r="M11" s="705"/>
      <c r="N11" s="356">
        <f ca="1">-SUMPRODUCT(INDIRECT(CONCATENATE(AV11,":",AW11)),INDIRECT(CONCATENATE($AV$2,":",$AW$2)),INDIRECT(CONCATENATE($AV$3,":",$AW$3)),INDIRECT(CONCATENATE(AX3,":",AY3)))</f>
        <v>-23249.932799999988</v>
      </c>
      <c r="O11" s="357">
        <v>-23249.93</v>
      </c>
      <c r="P11" s="358">
        <f t="shared" ca="1" si="10"/>
        <v>-2.7999999874737114E-3</v>
      </c>
      <c r="AL11" s="34">
        <v>8</v>
      </c>
      <c r="AM11" s="37">
        <f t="shared" si="0"/>
        <v>356</v>
      </c>
      <c r="AN11" s="38">
        <f t="shared" si="1"/>
        <v>3.3399999999999999E-2</v>
      </c>
      <c r="AO11" s="39">
        <f t="shared" si="2"/>
        <v>2.75E-2</v>
      </c>
      <c r="AP11" s="38">
        <f t="shared" si="3"/>
        <v>0</v>
      </c>
      <c r="AQ11" s="38">
        <f t="shared" si="4"/>
        <v>0</v>
      </c>
      <c r="AR11" s="133">
        <f t="shared" si="5"/>
        <v>0</v>
      </c>
      <c r="AS11" s="40">
        <f t="shared" si="6"/>
        <v>0.37530000000000002</v>
      </c>
      <c r="AT11" s="35">
        <f t="shared" si="7"/>
        <v>1</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664.49</v>
      </c>
      <c r="P12" s="355">
        <f t="shared" ca="1" si="10"/>
        <v>-664.49</v>
      </c>
      <c r="AG12" s="248" t="s">
        <v>185</v>
      </c>
      <c r="AH12" s="119" t="str">
        <f>GetDBPage($D$2)</f>
        <v>Contract DB (East)</v>
      </c>
      <c r="AL12" s="34">
        <v>9</v>
      </c>
      <c r="AM12" s="37">
        <f t="shared" si="0"/>
        <v>356</v>
      </c>
      <c r="AN12" s="38">
        <f t="shared" si="1"/>
        <v>3.3399999999999999E-2</v>
      </c>
      <c r="AO12" s="39">
        <f t="shared" si="2"/>
        <v>2.75E-2</v>
      </c>
      <c r="AP12" s="38">
        <f t="shared" si="3"/>
        <v>0</v>
      </c>
      <c r="AQ12" s="38">
        <f t="shared" si="4"/>
        <v>0</v>
      </c>
      <c r="AR12" s="133">
        <f t="shared" si="5"/>
        <v>0</v>
      </c>
      <c r="AS12" s="40">
        <f t="shared" si="6"/>
        <v>0.37530000000000002</v>
      </c>
      <c r="AT12" s="35">
        <f t="shared" si="7"/>
        <v>1</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0.06</v>
      </c>
      <c r="P13" s="355">
        <f t="shared" ca="1" si="10"/>
        <v>-0.06</v>
      </c>
      <c r="AG13" s="248" t="s">
        <v>186</v>
      </c>
      <c r="AH13" s="119">
        <f>GetRecNdx($AH$12,$D$2)</f>
        <v>8</v>
      </c>
      <c r="AL13" s="34">
        <v>10</v>
      </c>
      <c r="AM13" s="37">
        <f t="shared" si="0"/>
        <v>356</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90.57190433891266</v>
      </c>
      <c r="O14" s="352">
        <v>29.6</v>
      </c>
      <c r="P14" s="355">
        <f t="shared" ca="1" si="10"/>
        <v>60.971904338912658</v>
      </c>
      <c r="S14" s="181">
        <f>F22/(1-AR22)*AH22*AU22</f>
        <v>11331.255004160457</v>
      </c>
      <c r="T14" s="181">
        <f>F22*AH22*AU22</f>
        <v>11019.645491546044</v>
      </c>
      <c r="AL14" s="34">
        <v>11</v>
      </c>
      <c r="AM14" s="37">
        <f t="shared" si="0"/>
        <v>356</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3.8574086414479784E-2</v>
      </c>
      <c r="O15" s="352">
        <v>0.04</v>
      </c>
      <c r="P15" s="355">
        <f t="shared" ca="1" si="10"/>
        <v>-1.4259135855202165E-3</v>
      </c>
      <c r="AL15" s="34">
        <v>12</v>
      </c>
      <c r="AM15" s="41">
        <f t="shared" si="0"/>
        <v>356</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-180.49</v>
      </c>
      <c r="P16" s="355">
        <f t="shared" ca="1" si="10"/>
        <v>180.49</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91.847882459205707</v>
      </c>
      <c r="O17" s="357">
        <v>29.99</v>
      </c>
      <c r="P17" s="358">
        <f t="shared" ca="1" si="10"/>
        <v>61.857882459205712</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298929.33341572055</v>
      </c>
      <c r="O18" s="352">
        <v>298838.40000000002</v>
      </c>
      <c r="P18" s="355">
        <f t="shared" ca="1" si="10"/>
        <v>90.93341572053032</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1.2717155041226533</v>
      </c>
      <c r="O19" s="359">
        <v>1.67</v>
      </c>
      <c r="P19" s="360">
        <f t="shared" ca="1" si="10"/>
        <v>-0.3982844958773466</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IF-FGT/Z3 Basis Mid</v>
      </c>
      <c r="T20" s="182" t="str">
        <f>GetDelBasis($AH$12,$AH$13)</f>
        <v>IF-FGT/MKT Basis Mid</v>
      </c>
      <c r="U20" s="158"/>
      <c r="V20" s="158"/>
      <c r="W20" s="158"/>
      <c r="X20" s="158"/>
      <c r="Y20" s="335"/>
      <c r="Z20" s="335"/>
      <c r="AA20" s="335"/>
      <c r="AB20" s="335"/>
      <c r="AC20" s="335"/>
      <c r="AI20" s="138"/>
      <c r="AM20" s="702" t="str">
        <f>GetRcptPoint($AH$12,$AH$13)</f>
        <v>FGT/Zone 3</v>
      </c>
      <c r="AN20" s="703"/>
      <c r="AO20" s="702" t="str">
        <f>GetDelPoint($AH$12,$AH$13)</f>
        <v>FGT/MKT</v>
      </c>
      <c r="AP20" s="703"/>
      <c r="AQ20" s="137"/>
      <c r="AS20" s="137"/>
      <c r="AU20" s="136" t="s">
        <v>576</v>
      </c>
      <c r="AV20" s="353">
        <f ca="1">SUMPRODUCT(INDIRECT(CONCATENATE(AV8,":",AW8)),INDIRECT(CONCATENATE($AV$2,":",$AW$2)),INDIRECT(CONCATENATE($AV$3,":",$AW$3)),INDIRECT(CONCATENATE(AX3,":",AY3)))</f>
        <v>-13446.298000000003</v>
      </c>
      <c r="AW20" s="353">
        <f ca="1">SUMPRODUCT(INDIRECT(CONCATENATE(AX8,":",AY8)),INDIRECT(CONCATENATE($AV$2,":",$AW$2)),INDIRECT(CONCATENATE($AV$3,":",$AW$3)),INDIRECT(CONCATENATE(AX3,":",AY3)))</f>
        <v>408492.19999999995</v>
      </c>
      <c r="AX20" s="353">
        <f ca="1">SUMPRODUCT(INDIRECT(CONCATENATE(AV9,":",AW9)),INDIRECT(CONCATENATE($AV$2,":",$AW$2)),INDIRECT(CONCATENATE($AV$3,":",$AW$3)),INDIRECT(CONCATENATE(AX3,":",AY3)))</f>
        <v>3016.2099999999991</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3" si="12">VLOOKUP(AG22,$AL$4:$AS$15,2)</f>
        <v>356</v>
      </c>
      <c r="G22" s="28">
        <f t="shared" ref="G22:G85" si="13">F22*$AU22</f>
        <v>355.47243521116275</v>
      </c>
      <c r="H22" s="52">
        <f t="shared" ref="H22:H33" si="14">(AL22+AM22+AN22)/(1-(AR22))</f>
        <v>2.8879177377892029</v>
      </c>
      <c r="I22" s="52">
        <f t="shared" ref="I22:I33" si="15">(AL22+AO22+AP22)</f>
        <v>3.1960000000000002</v>
      </c>
      <c r="K22" s="52">
        <f t="shared" ref="K22:K33" si="16">MAX(((I22-H22)-AQ22)*AU22*AH22,0)</f>
        <v>8.3477610250594108</v>
      </c>
      <c r="L22" s="135">
        <f t="shared" ref="L22:L33" si="17">MAX(Q22-K22,0)</f>
        <v>8.9160655928566257E-5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8.3478501857153393</v>
      </c>
      <c r="R22" s="135"/>
      <c r="S22" s="181">
        <f>_xll.xSPRDOPT(I22,H22,AQ22,AT22,O22,N22,P22,D22-$G$5,1,2)*AF22*(F22/(1-AR22))*AH22</f>
        <v>-11329.337719618126</v>
      </c>
      <c r="T22" s="181">
        <f>_xll.xSPRDOPT(I22,H22,AQ22,AT22,O22,N22,P22,D22-$G$5,1,1)*AF22*F22*AH22</f>
        <v>11017.93857569435</v>
      </c>
      <c r="U22" s="135"/>
      <c r="V22" s="146">
        <f t="shared" ref="V22:V33" si="18">VLOOKUP($AG22,$AL$4:$AS$15,8)*AH22*AU22</f>
        <v>11.617058856677614</v>
      </c>
      <c r="W22" s="146"/>
      <c r="X22" s="338">
        <f t="shared" ref="X22:X33" si="19">((BM22*BC22)+(BL22*BB22))*AH22*F22</f>
        <v>0</v>
      </c>
      <c r="Y22" s="338">
        <f t="shared" ref="Y22:Y85" si="20">($F22*$AH22)*((($BG22/2)*($BC22)^2)+(($BF22/2)*($BB22)^2)+($BH22*$BC22*$BB22))</f>
        <v>0</v>
      </c>
      <c r="Z22" s="338">
        <f t="shared" ref="Z22:Z85" si="21">($BI22*$F22*$AH22*($G$5-$BV$5))/365.25</f>
        <v>0.38014265857411661</v>
      </c>
      <c r="AA22" s="338">
        <f t="shared" ref="AA22:AA85" si="22">(($BK22*$BE22)+($BJ22*$BD22))*$F22*$AH22*$AF22</f>
        <v>1.3105348721314268E-2</v>
      </c>
      <c r="AB22" s="338">
        <f t="shared" ref="AB22:AB33" si="23">BN22*(AT22-CA22)*F22*AH22</f>
        <v>0</v>
      </c>
      <c r="AC22" s="338">
        <f t="shared" ref="AC22:AC33" si="24">BO22*CB22*F22*AH22*CA22*($G$5-$BV$5)/365.25</f>
        <v>0.45800642263512648</v>
      </c>
      <c r="AF22" s="138">
        <f t="shared" ref="AF22:AF33" si="25">IF(AND(D22&gt;=$G$7,D22&lt;=$G$8),1,0)</f>
        <v>1</v>
      </c>
      <c r="AG22" s="138">
        <f t="shared" ref="AG22:AG33" si="26">MONTH(D22)</f>
        <v>1</v>
      </c>
      <c r="AH22" s="138">
        <f t="shared" ref="AH22:AH53" si="27">(EOMONTH(D22,0)-EOMONTH(D22-DAY(D22),0))*AF22</f>
        <v>31</v>
      </c>
      <c r="AI22" s="138">
        <f>MAX(0,(D22-DAY(D22))-$G$5+1)</f>
        <v>15</v>
      </c>
      <c r="AJ22" s="138">
        <f t="shared" ref="AJ22:AJ33" si="28">D22-$BV$5</f>
        <v>32</v>
      </c>
      <c r="AL22" s="136">
        <f t="shared" ref="AL22:AL85" si="29">VLOOKUP($D22,CurveTbl,$AK$4)</f>
        <v>2.8460000000000001</v>
      </c>
      <c r="AM22" s="258">
        <f t="shared" ref="AM22:AM85" si="30">VLOOKUP($D22,CurveTbl,$AH$3)</f>
        <v>-3.5000000000000003E-2</v>
      </c>
      <c r="AN22" s="258">
        <f t="shared" ref="AN22:AN85" si="31">VLOOKUP($D22,CurveTbl,$AH$4)+VLOOKUP($AG22,$AL$3:$AS$15,6)</f>
        <v>-2.5000000000000001E-3</v>
      </c>
      <c r="AO22" s="258">
        <f t="shared" ref="AO22:AO85" si="32">VLOOKUP($D22,CurveTbl,$AH$5)</f>
        <v>0.35</v>
      </c>
      <c r="AP22" s="258">
        <f t="shared" ref="AP22:AP85" si="33">VLOOKUP($D22,CurveTbl,$AH$6)+VLOOKUP($AG22,$AL$3:$AS$15,7)</f>
        <v>0</v>
      </c>
      <c r="AQ22" s="136">
        <f t="shared" ref="AQ22:AQ33" si="34">VLOOKUP($AG22,$AL$4:$AS$15,3)+VLOOKUP($AG22,$AL$4:$AS$15,5)+($AH$10*VLOOKUP(D22,GRITable,2))</f>
        <v>3.8399999999999997E-2</v>
      </c>
      <c r="AR22" s="137">
        <f t="shared" ref="AR22:AR85" si="35">VLOOKUP($AG22,$AL$4:$AS$15,4)</f>
        <v>2.75E-2</v>
      </c>
      <c r="AS22" s="136">
        <f t="shared" ref="AS22:AS33" si="36">(AL22+AM22+AN22)</f>
        <v>2.8085</v>
      </c>
      <c r="AT22" s="137">
        <f t="shared" ref="AT22:AT33" si="37">VLOOKUP(D22,CurveTbl,$AK$6)</f>
        <v>1.8765908157160699E-2</v>
      </c>
      <c r="AU22" s="137">
        <f t="shared" ref="AU22:AU85" si="38">(1+$AT22/2)^(-2*($D22-$G$5)/365.25)*$AF22</f>
        <v>0.99851807643585033</v>
      </c>
      <c r="AV22" s="394">
        <f t="shared" ref="AV22:AV33" si="39">ROUND((F22/(1-AR22))-F22,0)*AF22*AH22*AU22</f>
        <v>309.54060369511359</v>
      </c>
      <c r="AW22" s="137">
        <f t="shared" ref="AW22:AW85" si="40">VLOOKUP($D22,CurveTbl,$AK$8)</f>
        <v>0.87</v>
      </c>
      <c r="AX22" s="137">
        <f t="shared" ref="AX22:AX85" si="41">VLOOKUP($D22,CurveTbl,$AH$7)</f>
        <v>1.04</v>
      </c>
      <c r="AY22" s="137">
        <f t="shared" ref="AY22:AY85" si="42">VLOOKUP($D22,CurveTbl,$AH$8)</f>
        <v>1.04</v>
      </c>
      <c r="AZ22" s="137"/>
      <c r="BA22" s="264"/>
      <c r="BB22" s="258">
        <f t="shared" ref="BB22:BB85" si="43">$H22-$BV22</f>
        <v>0</v>
      </c>
      <c r="BC22" s="258">
        <f t="shared" ref="BC22:BC33" si="44">I22-BW22</f>
        <v>0</v>
      </c>
      <c r="BD22" s="137">
        <f t="shared" ref="BD22:BD33" si="45">N22-BX22</f>
        <v>7.7262160833929672E-3</v>
      </c>
      <c r="BE22" s="137">
        <f t="shared" ref="BE22:BE33" si="46">O22-BY22</f>
        <v>7.7262160833929672E-3</v>
      </c>
      <c r="BF22" s="137">
        <f>_xll.xSPRDOPT($BW22,$BV22,$CG22,0,$BY22,$BX22,$BZ22,$AJ22,1,4)*$CB22</f>
        <v>2.3672725510166488E-2</v>
      </c>
      <c r="BG22" s="137">
        <f>_xll.xSPRDOPT($BW22,$BV22,$CG22,0,$BY22,$BX22,$BZ22,$AJ22,1,3)*$CB22</f>
        <v>1.9901293291762271E-2</v>
      </c>
      <c r="BH22" s="137">
        <f>IF(OR(BF22&lt;&gt;0,BG22&lt;&gt;0),_xll.xSPRDOPT($BW22,$BV22,$CG22,0,$BY22,$BX22,$BZ22,$AJ22,1,12)*$CB22,0)</f>
        <v>-2.1705817397792902E-2</v>
      </c>
      <c r="BI22" s="137">
        <f>_xll.xSPRDOPT($BW22,$BV22,$CG22,2*LN(1+CA22/2),$BY22,$BX22,$BZ22,$AJ22,1,9)</f>
        <v>4.193763019336598E-3</v>
      </c>
      <c r="BJ22" s="137">
        <f>_xll.xSPRDOPT($BW22,$BV22,$CG22,0,$BY22,$BX22,$BZ22,$AJ22,1,6)*$CB22</f>
        <v>-1.6704907472126466E-4</v>
      </c>
      <c r="BK22" s="137">
        <f>_xll.xSPRDOPT($BW22,$BV22,$CG22,0,$BY22,$BX22,$BZ22,$AJ22,1,5)*$CB22</f>
        <v>3.2074772003117165E-4</v>
      </c>
      <c r="BL22" s="137">
        <f>_xll.xSPRDOPT(BW22,BV22,CG22,0,BY22,BX22,BZ22,AJ22,1,2)*CB22</f>
        <v>-0.997839373602597</v>
      </c>
      <c r="BM22" s="137">
        <f>_xll.xSPRDOPT(BW22,BV22,CG22,0,BY22,BX22,BZ22,AJ22,1,1)*CB22</f>
        <v>0.99788636733933322</v>
      </c>
      <c r="BN22" s="137">
        <f>IF(AH22&lt;&gt;0,_xll.xSPRDOPT($BW22,$BV22,$CG22,2*LN(1+CA22/2),$BY22,$BX22,$BZ22,$AJ22,1,8)+(AJ22/365.25)*CH22/AH22,0)</f>
        <v>9.2372148141598338E-3</v>
      </c>
      <c r="BO22" s="137">
        <f>_xll.xSPRDOPT($BW22,$BV22,$CG22,0,$BY22,$BX22,$BZ22,$AJ22,1,0)</f>
        <v>0.26969317500189138</v>
      </c>
      <c r="BP22" s="137"/>
      <c r="BQ22" s="137"/>
      <c r="BR22" s="137"/>
      <c r="BS22" s="137"/>
      <c r="BV22" s="262">
        <v>2.8879177377892029</v>
      </c>
      <c r="BW22" s="136">
        <v>3.1960000000000002</v>
      </c>
      <c r="BX22" s="137">
        <v>0.95243599698783388</v>
      </c>
      <c r="BY22" s="137">
        <v>0.95243599698783388</v>
      </c>
      <c r="BZ22" s="137">
        <v>0.99551673302839838</v>
      </c>
      <c r="CA22" s="137">
        <v>1.8765908157160699E-2</v>
      </c>
      <c r="CB22" s="137">
        <v>0.99836489939579565</v>
      </c>
      <c r="CC22" s="258">
        <v>-3.5000000000000003E-2</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33" si="47">D22+AH22</f>
        <v>37302</v>
      </c>
      <c r="F23" s="28">
        <f t="shared" si="12"/>
        <v>356</v>
      </c>
      <c r="G23" s="28">
        <f t="shared" si="13"/>
        <v>354.87699575273064</v>
      </c>
      <c r="H23" s="52">
        <f t="shared" si="14"/>
        <v>2.951670951156812</v>
      </c>
      <c r="I23" s="52">
        <f t="shared" si="15"/>
        <v>3.258</v>
      </c>
      <c r="K23" s="52">
        <f t="shared" si="16"/>
        <v>7.4783482190842747</v>
      </c>
      <c r="L23" s="135">
        <f t="shared" si="17"/>
        <v>2.2380529784893355E-3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7.4805862720627641</v>
      </c>
      <c r="R23" s="135"/>
      <c r="S23" s="181">
        <f>_xll.xSPRDOPT(I23,H23,AQ23,AT23,O23,N23,P23,D23-$G$5,1,2)*AF23*(F23/(1-AR23))*AH23</f>
        <v>-10187.852107487663</v>
      </c>
      <c r="T23" s="181">
        <f>_xll.xSPRDOPT(I23,H23,AQ23,AT23,O23,N23,P23,D23-$G$5,1,1)*AF23*F23*AH23</f>
        <v>9910.231064221829</v>
      </c>
      <c r="U23" s="135"/>
      <c r="V23" s="146">
        <f t="shared" si="18"/>
        <v>10.475251185865154</v>
      </c>
      <c r="W23" s="146"/>
      <c r="X23" s="338">
        <f t="shared" si="19"/>
        <v>0</v>
      </c>
      <c r="Y23" s="338">
        <f t="shared" si="20"/>
        <v>0</v>
      </c>
      <c r="Z23" s="338">
        <f t="shared" si="21"/>
        <v>0.16670717551582981</v>
      </c>
      <c r="AA23" s="338">
        <f t="shared" si="22"/>
        <v>2.3997988316676138E-2</v>
      </c>
      <c r="AB23" s="338">
        <f t="shared" si="23"/>
        <v>0</v>
      </c>
      <c r="AC23" s="338">
        <f t="shared" si="24"/>
        <v>0.4227095491012588</v>
      </c>
      <c r="AF23" s="138">
        <f t="shared" si="25"/>
        <v>1</v>
      </c>
      <c r="AG23" s="138">
        <f t="shared" si="26"/>
        <v>2</v>
      </c>
      <c r="AH23" s="138">
        <f t="shared" si="27"/>
        <v>28</v>
      </c>
      <c r="AI23" s="138">
        <f t="shared" ref="AI23:AI33" si="51">AI22+AH22</f>
        <v>46</v>
      </c>
      <c r="AJ23" s="138">
        <f t="shared" si="28"/>
        <v>63</v>
      </c>
      <c r="AL23" s="136">
        <f t="shared" si="29"/>
        <v>2.9079999999999999</v>
      </c>
      <c r="AM23" s="258">
        <f t="shared" si="30"/>
        <v>-3.5000000000000003E-2</v>
      </c>
      <c r="AN23" s="258">
        <f t="shared" si="31"/>
        <v>-2.5000000000000001E-3</v>
      </c>
      <c r="AO23" s="258">
        <f t="shared" si="32"/>
        <v>0.35</v>
      </c>
      <c r="AP23" s="258">
        <f t="shared" si="33"/>
        <v>0</v>
      </c>
      <c r="AQ23" s="136">
        <f t="shared" si="34"/>
        <v>3.8399999999999997E-2</v>
      </c>
      <c r="AR23" s="137">
        <f t="shared" si="35"/>
        <v>2.75E-2</v>
      </c>
      <c r="AS23" s="136">
        <f t="shared" si="36"/>
        <v>2.8704999999999998</v>
      </c>
      <c r="AT23" s="137">
        <f t="shared" si="37"/>
        <v>1.9326187282006298E-2</v>
      </c>
      <c r="AU23" s="137">
        <f t="shared" si="38"/>
        <v>0.99684549368744568</v>
      </c>
      <c r="AV23" s="394">
        <f t="shared" si="39"/>
        <v>279.11673823248481</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0.1162966147824905</v>
      </c>
      <c r="BG23" s="137">
        <f>_xll.xSPRDOPT($BW23,$BV23,$CG23,0,$BY23,$BX23,$BZ23,$AJ23,1,3)*$CB23</f>
        <v>9.8332163101539527E-2</v>
      </c>
      <c r="BH23" s="137">
        <f>IF(OR(BF23&lt;&gt;0,BG23&lt;&gt;0),_xll.xSPRDOPT($BW23,$BV23,$CG23,0,$BY23,$BX23,$BZ23,$AJ23,1,12)*$CB23,0)</f>
        <v>-0.10693443011975054</v>
      </c>
      <c r="BI23" s="137">
        <f>_xll.xSPRDOPT($BW23,$BV23,$CG23,2*LN(1+CA23/2),$BY23,$BX23,$BZ23,$AJ23,1,9)</f>
        <v>2.0361756239017132E-3</v>
      </c>
      <c r="BJ23" s="137">
        <f>_xll.xSPRDOPT($BW23,$BV23,$CG23,0,$BY23,$BX23,$BZ23,$AJ23,1,6)*$CB23</f>
        <v>-1.7981290266109863E-3</v>
      </c>
      <c r="BK23" s="137">
        <f>_xll.xSPRDOPT($BW23,$BV23,$CG23,0,$BY23,$BX23,$BZ23,$AJ23,1,5)*$CB23</f>
        <v>2.9782102128157206E-3</v>
      </c>
      <c r="BL23" s="137">
        <f>_xll.xSPRDOPT(BW23,BV23,CG23,0,BY23,BX23,BZ23,AJ23,1,2)*CB23</f>
        <v>-0.99295206252862755</v>
      </c>
      <c r="BM23" s="137">
        <f>_xll.xSPRDOPT(BW23,BV23,CG23,0,BY23,BX23,BZ23,AJ23,1,1)*CB23</f>
        <v>0.99328504192526257</v>
      </c>
      <c r="BN23" s="137">
        <f>IF(AH23&lt;&gt;0,_xll.xSPRDOPT($BW23,$BV23,$CG23,2*LN(1+CA23/2),$BY23,$BX23,$BZ23,$AJ23,1,8)+(AJ23/365.25)*CH23/AH23,0)</f>
        <v>1.843964043474617E-2</v>
      </c>
      <c r="BO23" s="137">
        <f>_xll.xSPRDOPT($BW23,$BV23,$CG23,0,$BY23,$BX23,$BZ23,$AJ23,1,0)</f>
        <v>0.26803874330325261</v>
      </c>
      <c r="BP23" s="137"/>
      <c r="BQ23" s="137"/>
      <c r="BR23" s="137"/>
      <c r="BS23" s="137"/>
      <c r="BV23" s="262">
        <v>2.951670951156812</v>
      </c>
      <c r="BW23" s="136">
        <v>3.258</v>
      </c>
      <c r="BX23" s="137">
        <v>0.90681218195022806</v>
      </c>
      <c r="BY23" s="137">
        <v>0.90681218195022806</v>
      </c>
      <c r="BZ23" s="137">
        <v>0.99646146856241391</v>
      </c>
      <c r="CA23" s="137">
        <v>1.9326187282006298E-2</v>
      </c>
      <c r="CB23" s="137">
        <v>0.99668802984454063</v>
      </c>
      <c r="CC23" s="258">
        <v>-3.5000000000000003E-2</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356</v>
      </c>
      <c r="G24" s="28">
        <f t="shared" si="13"/>
        <v>354.35862277145316</v>
      </c>
      <c r="H24" s="52">
        <f t="shared" si="14"/>
        <v>2.9455012853470435</v>
      </c>
      <c r="I24" s="52">
        <f t="shared" si="15"/>
        <v>3.302</v>
      </c>
      <c r="K24" s="52">
        <f t="shared" si="16"/>
        <v>9.8155946497851847</v>
      </c>
      <c r="L24" s="135">
        <f t="shared" si="17"/>
        <v>2.1555762936387168E-5</v>
      </c>
      <c r="N24" s="131">
        <f t="shared" si="48"/>
        <v>0.79</v>
      </c>
      <c r="O24" s="131">
        <f t="shared" si="49"/>
        <v>0.79</v>
      </c>
      <c r="P24" s="55">
        <f t="shared" si="50"/>
        <v>0.99793296089385497</v>
      </c>
      <c r="Q24" s="135">
        <f>_xll.xSPRDOPT(I24,H24,AQ24,0,O24,N24,P24,D24-$G$5,1,0)*AH24*AU24</f>
        <v>9.8156162055481211</v>
      </c>
      <c r="R24" s="135"/>
      <c r="S24" s="181">
        <f>_xll.xSPRDOPT(I24,H24,AQ24,AT24,O24,N24,P24,D24-$G$5,1,2)*AF24*(F24/(1-AR24))*AH24</f>
        <v>-11295.077890129618</v>
      </c>
      <c r="T24" s="181">
        <f>_xll.xSPRDOPT(I24,H24,AQ24,AT24,O24,N24,P24,D24-$G$5,1,1)*AF24*F24*AH24</f>
        <v>10984.502026587441</v>
      </c>
      <c r="U24" s="135"/>
      <c r="V24" s="146">
        <f t="shared" si="18"/>
        <v>11.580658777836847</v>
      </c>
      <c r="W24" s="146"/>
      <c r="X24" s="338">
        <f t="shared" si="19"/>
        <v>0</v>
      </c>
      <c r="Y24" s="338">
        <f t="shared" si="20"/>
        <v>0</v>
      </c>
      <c r="Z24" s="338">
        <f t="shared" si="21"/>
        <v>0.54733330522065005</v>
      </c>
      <c r="AA24" s="338">
        <f t="shared" si="22"/>
        <v>0</v>
      </c>
      <c r="AB24" s="338">
        <f t="shared" si="23"/>
        <v>0</v>
      </c>
      <c r="AC24" s="338">
        <f t="shared" si="24"/>
        <v>0.55307476576921755</v>
      </c>
      <c r="AF24" s="138">
        <f t="shared" si="25"/>
        <v>1</v>
      </c>
      <c r="AG24" s="138">
        <f t="shared" si="26"/>
        <v>3</v>
      </c>
      <c r="AH24" s="138">
        <f t="shared" si="27"/>
        <v>31</v>
      </c>
      <c r="AI24" s="138">
        <f t="shared" si="51"/>
        <v>74</v>
      </c>
      <c r="AJ24" s="138">
        <f t="shared" si="28"/>
        <v>91</v>
      </c>
      <c r="AL24" s="136">
        <f t="shared" si="29"/>
        <v>2.9020000000000001</v>
      </c>
      <c r="AM24" s="258">
        <f t="shared" si="30"/>
        <v>-3.5000000000000003E-2</v>
      </c>
      <c r="AN24" s="258">
        <f t="shared" si="31"/>
        <v>-2.5000000000000001E-3</v>
      </c>
      <c r="AO24" s="258">
        <f t="shared" si="32"/>
        <v>0.4</v>
      </c>
      <c r="AP24" s="258">
        <f t="shared" si="33"/>
        <v>0</v>
      </c>
      <c r="AQ24" s="136">
        <f t="shared" si="34"/>
        <v>3.8399999999999997E-2</v>
      </c>
      <c r="AR24" s="137">
        <f t="shared" si="35"/>
        <v>2.75E-2</v>
      </c>
      <c r="AS24" s="136">
        <f t="shared" si="36"/>
        <v>2.8645</v>
      </c>
      <c r="AT24" s="137">
        <f t="shared" si="37"/>
        <v>1.9273175363903501E-2</v>
      </c>
      <c r="AU24" s="137">
        <f t="shared" si="38"/>
        <v>0.99538938980745262</v>
      </c>
      <c r="AV24" s="394">
        <f t="shared" si="39"/>
        <v>308.57071084031031</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2.6740868815511897E-3</v>
      </c>
      <c r="BG24" s="137">
        <f>_xll.xSPRDOPT($BW24,$BV24,$CG24,0,$BY24,$BX24,$BZ24,$AJ24,1,3)*$CB24</f>
        <v>2.2118861648227229E-3</v>
      </c>
      <c r="BH24" s="137">
        <f>IF(OR(BF24&lt;&gt;0,BG24&lt;&gt;0),_xll.xSPRDOPT($BW24,$BV24,$CG24,0,$BY24,$BX24,$BZ24,$AJ24,1,12)*$CB24,0)</f>
        <v>-2.4323985836992483E-3</v>
      </c>
      <c r="BI24" s="137">
        <f>_xll.xSPRDOPT($BW24,$BV24,$CG24,2*LN(1+CA24/2),$BY24,$BX24,$BZ24,$AJ24,1,9)</f>
        <v>6.0382230799759101E-3</v>
      </c>
      <c r="BJ24" s="137">
        <f>_xll.xSPRDOPT($BW24,$BV24,$CG24,0,$BY24,$BX24,$BZ24,$AJ24,1,6)*$CB24</f>
        <v>-7.9294539027035968E-5</v>
      </c>
      <c r="BK24" s="137">
        <f>_xll.xSPRDOPT($BW24,$BV24,$CG24,0,$BY24,$BX24,$BZ24,$AJ24,1,5)*$CB24</f>
        <v>1.0082111896430376E-4</v>
      </c>
      <c r="BL24" s="137">
        <f>_xll.xSPRDOPT(BW24,BV24,CG24,0,BY24,BX24,BZ24,AJ24,1,2)*CB24</f>
        <v>-0.99518108790249826</v>
      </c>
      <c r="BM24" s="137">
        <f>_xll.xSPRDOPT(BW24,BV24,CG24,0,BY24,BX24,BZ24,AJ24,1,1)*CB24</f>
        <v>0.99518597730791547</v>
      </c>
      <c r="BN24" s="137">
        <f>IF(AH24&lt;&gt;0,_xll.xSPRDOPT($BW24,$BV24,$CG24,2*LN(1+CA24/2),$BY24,$BX24,$BZ24,$AJ24,1,8)+(AJ24/365.25)*CH24/AH24,0)</f>
        <v>1.4183194094235643E-2</v>
      </c>
      <c r="BO24" s="137">
        <f>_xll.xSPRDOPT($BW24,$BV24,$CG24,0,$BY24,$BX24,$BZ24,$AJ24,1,0)</f>
        <v>0.31809970197942955</v>
      </c>
      <c r="BP24" s="137"/>
      <c r="BQ24" s="137"/>
      <c r="BR24" s="137"/>
      <c r="BS24" s="137"/>
      <c r="BV24" s="262">
        <v>2.9455012853470435</v>
      </c>
      <c r="BW24" s="136">
        <v>3.302</v>
      </c>
      <c r="BX24" s="137">
        <v>0.79</v>
      </c>
      <c r="BY24" s="137">
        <v>0.79</v>
      </c>
      <c r="BZ24" s="137">
        <v>0.99791891891891904</v>
      </c>
      <c r="CA24" s="137">
        <v>1.9273175363903501E-2</v>
      </c>
      <c r="CB24" s="137">
        <v>0.99523258517239033</v>
      </c>
      <c r="CC24" s="258">
        <v>-3.5000000000000003E-2</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356</v>
      </c>
      <c r="G25" s="28">
        <f t="shared" si="13"/>
        <v>353.76515226503506</v>
      </c>
      <c r="H25" s="52">
        <f t="shared" si="14"/>
        <v>2.9079691516709509</v>
      </c>
      <c r="I25" s="52">
        <f t="shared" si="15"/>
        <v>3.448</v>
      </c>
      <c r="K25" s="52">
        <f t="shared" si="16"/>
        <v>14.954453379772309</v>
      </c>
      <c r="L25" s="135">
        <f t="shared" si="17"/>
        <v>1.7695963006048032E-6</v>
      </c>
      <c r="N25" s="131">
        <f t="shared" si="48"/>
        <v>0.60058305004387191</v>
      </c>
      <c r="O25" s="131">
        <f t="shared" si="49"/>
        <v>0.60058305004387191</v>
      </c>
      <c r="P25" s="55">
        <f t="shared" si="50"/>
        <v>1</v>
      </c>
      <c r="Q25" s="135">
        <f>_xll.xSPRDOPT(I25,H25,AQ25,0,O25,N25,P25,D25-$G$5,1,0)*AH25*AU25</f>
        <v>14.954455149368609</v>
      </c>
      <c r="R25" s="135"/>
      <c r="S25" s="181">
        <f>_xll.xSPRDOPT(I25,H25,AQ25,AT25,O25,N25,P25,D25-$G$5,1,2)*AF25*(F25/(1-AR25))*AH25</f>
        <v>-10912.731964240898</v>
      </c>
      <c r="T25" s="181">
        <f>_xll.xSPRDOPT(I25,H25,AQ25,AT25,O25,N25,P25,D25-$G$5,1,1)*AF25*F25*AH25</f>
        <v>10612.631835360262</v>
      </c>
      <c r="U25" s="135"/>
      <c r="V25" s="146">
        <f t="shared" si="18"/>
        <v>11.188319801550644</v>
      </c>
      <c r="W25" s="146"/>
      <c r="X25" s="338">
        <f t="shared" si="19"/>
        <v>0</v>
      </c>
      <c r="Y25" s="338">
        <f t="shared" si="20"/>
        <v>0</v>
      </c>
      <c r="Z25" s="338">
        <f t="shared" si="21"/>
        <v>0.8450677194259778</v>
      </c>
      <c r="AA25" s="338">
        <f t="shared" si="22"/>
        <v>5.3534260215436879E-8</v>
      </c>
      <c r="AB25" s="338">
        <f t="shared" si="23"/>
        <v>0</v>
      </c>
      <c r="AC25" s="338">
        <f t="shared" si="24"/>
        <v>0.84916275520377771</v>
      </c>
      <c r="AF25" s="138">
        <f t="shared" si="25"/>
        <v>1</v>
      </c>
      <c r="AG25" s="138">
        <f t="shared" si="26"/>
        <v>4</v>
      </c>
      <c r="AH25" s="138">
        <f t="shared" si="27"/>
        <v>30</v>
      </c>
      <c r="AI25" s="138">
        <f t="shared" si="51"/>
        <v>105</v>
      </c>
      <c r="AJ25" s="138">
        <f t="shared" si="28"/>
        <v>122</v>
      </c>
      <c r="AL25" s="136">
        <f t="shared" si="29"/>
        <v>2.8479999999999999</v>
      </c>
      <c r="AM25" s="258">
        <f t="shared" si="30"/>
        <v>-2.5000000000000001E-2</v>
      </c>
      <c r="AN25" s="258">
        <f t="shared" si="31"/>
        <v>5.0000000000000001E-3</v>
      </c>
      <c r="AO25" s="258">
        <f t="shared" si="32"/>
        <v>0.6</v>
      </c>
      <c r="AP25" s="258">
        <f t="shared" si="33"/>
        <v>0</v>
      </c>
      <c r="AQ25" s="136">
        <f t="shared" si="34"/>
        <v>3.8399999999999997E-2</v>
      </c>
      <c r="AR25" s="137">
        <f t="shared" si="35"/>
        <v>2.75E-2</v>
      </c>
      <c r="AS25" s="136">
        <f t="shared" si="36"/>
        <v>2.8279999999999998</v>
      </c>
      <c r="AT25" s="137">
        <f t="shared" si="37"/>
        <v>1.9422640119623601E-2</v>
      </c>
      <c r="AU25" s="137">
        <f t="shared" si="38"/>
        <v>0.99372233782313213</v>
      </c>
      <c r="AV25" s="394">
        <f t="shared" si="39"/>
        <v>298.11670134693964</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0</v>
      </c>
      <c r="BG25" s="137">
        <f>_xll.xSPRDOPT($BW25,$BV25,$CG25,0,$BY25,$BX25,$BZ25,$AJ25,1,3)*$CB25</f>
        <v>4.7376851451396111E-7</v>
      </c>
      <c r="BH25" s="137">
        <f>IF(OR(BF25&lt;&gt;0,BG25&lt;&gt;0),_xll.xSPRDOPT($BW25,$BV25,$CG25,0,$BY25,$BX25,$BZ25,$AJ25,1,12)*$CB25,0)</f>
        <v>-1.1844212862849029E-6</v>
      </c>
      <c r="BI25" s="137">
        <f>_xll.xSPRDOPT($BW25,$BV25,$CG25,2*LN(1+CA25/2),$BY25,$BX25,$BZ25,$AJ25,1,9)</f>
        <v>9.6336137490742324E-3</v>
      </c>
      <c r="BJ25" s="137">
        <f>_xll.xSPRDOPT($BW25,$BV25,$CG25,0,$BY25,$BX25,$BZ25,$AJ25,1,6)*$CB25</f>
        <v>1.1659499547421706E-7</v>
      </c>
      <c r="BK25" s="137">
        <f>_xll.xSPRDOPT($BW25,$BV25,$CG25,0,$BY25,$BX25,$BZ25,$AJ25,1,5)*$CB25</f>
        <v>-1.3825339176333312E-7</v>
      </c>
      <c r="BL25" s="137">
        <f>_xll.xSPRDOPT(BW25,BV25,CG25,0,BY25,BX25,BZ25,AJ25,1,2)*CB25</f>
        <v>-0.99356470591198232</v>
      </c>
      <c r="BM25" s="137">
        <f>_xll.xSPRDOPT(BW25,BV25,CG25,0,BY25,BX25,BZ25,AJ25,1,1)*CB25</f>
        <v>0.99356470592644053</v>
      </c>
      <c r="BN25" s="137">
        <f>IF(AH25&lt;&gt;0,_xll.xSPRDOPT($BW25,$BV25,$CG25,2*LN(1+CA25/2),$BY25,$BX25,$BZ25,$AJ25,1,8)+(AJ25/365.25)*CH25/AH25,0)</f>
        <v>-4.1925217682138152E-2</v>
      </c>
      <c r="BO25" s="137">
        <f>_xll.xSPRDOPT($BW25,$BV25,$CG25,0,$BY25,$BX25,$BZ25,$AJ25,1,0)</f>
        <v>0.50163090752229178</v>
      </c>
      <c r="BP25" s="137"/>
      <c r="BQ25" s="137"/>
      <c r="BR25" s="137"/>
      <c r="BS25" s="137"/>
      <c r="BV25" s="262">
        <v>2.9079691516709509</v>
      </c>
      <c r="BW25" s="136">
        <v>3.448</v>
      </c>
      <c r="BX25" s="137">
        <v>0.60081448782505886</v>
      </c>
      <c r="BY25" s="137">
        <v>0.60081448782505886</v>
      </c>
      <c r="BZ25" s="137">
        <v>1</v>
      </c>
      <c r="CA25" s="137">
        <v>1.9422640119623601E-2</v>
      </c>
      <c r="CB25" s="137">
        <v>0.99356458774998258</v>
      </c>
      <c r="CC25" s="258">
        <v>-2.5000000000000001E-2</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356</v>
      </c>
      <c r="G26" s="28">
        <f t="shared" si="13"/>
        <v>353.16265392344945</v>
      </c>
      <c r="H26" s="52">
        <f t="shared" si="14"/>
        <v>2.9573264781491</v>
      </c>
      <c r="I26" s="52">
        <f t="shared" si="15"/>
        <v>3.6459999999999999</v>
      </c>
      <c r="K26" s="52">
        <f t="shared" si="16"/>
        <v>19.997814621751044</v>
      </c>
      <c r="L26" s="135">
        <f t="shared" si="17"/>
        <v>2.3308430634472188E-6</v>
      </c>
      <c r="N26" s="131">
        <f t="shared" si="48"/>
        <v>0.57775797476853397</v>
      </c>
      <c r="O26" s="131">
        <f t="shared" si="49"/>
        <v>0.57775797476853397</v>
      </c>
      <c r="P26" s="55">
        <f t="shared" si="50"/>
        <v>0.99999999999999989</v>
      </c>
      <c r="Q26" s="135">
        <f>_xll.xSPRDOPT(I26,H26,AQ26,0,O26,N26,P26,D26-$G$5,1,0)*AH26*AU26</f>
        <v>19.997816952594107</v>
      </c>
      <c r="R26" s="135"/>
      <c r="S26" s="181">
        <f>_xll.xSPRDOPT(I26,H26,AQ26,AT26,O26,N26,P26,D26-$G$5,1,2)*AF26*(F26/(1-AR26))*AH26</f>
        <v>-11257.185134640094</v>
      </c>
      <c r="T26" s="181">
        <f>_xll.xSPRDOPT(I26,H26,AQ26,AT26,O26,N26,P26,D26-$G$5,1,1)*AF26*F26*AH26</f>
        <v>10947.612543557938</v>
      </c>
      <c r="U26" s="135"/>
      <c r="V26" s="146">
        <f t="shared" si="18"/>
        <v>11.541573776802213</v>
      </c>
      <c r="W26" s="146"/>
      <c r="X26" s="338">
        <f t="shared" si="19"/>
        <v>0</v>
      </c>
      <c r="Y26" s="338">
        <f t="shared" si="20"/>
        <v>0</v>
      </c>
      <c r="Z26" s="338">
        <f t="shared" si="21"/>
        <v>1.1468250083011653</v>
      </c>
      <c r="AA26" s="338">
        <f t="shared" si="22"/>
        <v>-1.8350258506242949E-9</v>
      </c>
      <c r="AB26" s="338">
        <f t="shared" si="23"/>
        <v>0</v>
      </c>
      <c r="AC26" s="338">
        <f t="shared" si="24"/>
        <v>1.1524652844383985</v>
      </c>
      <c r="AF26" s="138">
        <f t="shared" si="25"/>
        <v>1</v>
      </c>
      <c r="AG26" s="138">
        <f t="shared" si="26"/>
        <v>5</v>
      </c>
      <c r="AH26" s="138">
        <f t="shared" si="27"/>
        <v>31</v>
      </c>
      <c r="AI26" s="138">
        <f t="shared" si="51"/>
        <v>135</v>
      </c>
      <c r="AJ26" s="138">
        <f t="shared" si="28"/>
        <v>152</v>
      </c>
      <c r="AL26" s="136">
        <f t="shared" si="29"/>
        <v>2.8959999999999999</v>
      </c>
      <c r="AM26" s="258">
        <f t="shared" si="30"/>
        <v>-2.5000000000000001E-2</v>
      </c>
      <c r="AN26" s="258">
        <f t="shared" si="31"/>
        <v>5.0000000000000001E-3</v>
      </c>
      <c r="AO26" s="258">
        <f t="shared" si="32"/>
        <v>0.75</v>
      </c>
      <c r="AP26" s="258">
        <f t="shared" si="33"/>
        <v>0</v>
      </c>
      <c r="AQ26" s="136">
        <f t="shared" si="34"/>
        <v>3.8399999999999997E-2</v>
      </c>
      <c r="AR26" s="137">
        <f t="shared" si="35"/>
        <v>2.75E-2</v>
      </c>
      <c r="AS26" s="136">
        <f t="shared" si="36"/>
        <v>2.8759999999999999</v>
      </c>
      <c r="AT26" s="137">
        <f t="shared" si="37"/>
        <v>1.9712159578257001E-2</v>
      </c>
      <c r="AU26" s="137">
        <f t="shared" si="38"/>
        <v>0.99202992675126245</v>
      </c>
      <c r="AV26" s="394">
        <f t="shared" si="39"/>
        <v>307.52927729289138</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1.2651861612963656E-2</v>
      </c>
      <c r="BJ26" s="137">
        <f>_xll.xSPRDOPT($BW26,$BV26,$CG26,0,$BY26,$BX26,$BZ26,$AJ26,1,6)*$CB26</f>
        <v>1.4159760189821701E-7</v>
      </c>
      <c r="BK26" s="137">
        <f>_xll.xSPRDOPT($BW26,$BV26,$CG26,0,$BY26,$BX26,$BZ26,$AJ26,1,5)*$CB26</f>
        <v>-1.7458404308057882E-7</v>
      </c>
      <c r="BL26" s="137">
        <f>_xll.xSPRDOPT(BW26,BV26,CG26,0,BY26,BX26,BZ26,AJ26,1,2)*CB26</f>
        <v>-0.99187022567679684</v>
      </c>
      <c r="BM26" s="137">
        <f>_xll.xSPRDOPT(BW26,BV26,CG26,0,BY26,BX26,BZ26,AJ26,1,1)*CB26</f>
        <v>0.99187022568581784</v>
      </c>
      <c r="BN26" s="137">
        <f>IF(AH26&lt;&gt;0,_xll.xSPRDOPT($BW26,$BV26,$CG26,2*LN(1+CA26/2),$BY26,$BX26,$BZ26,$AJ26,1,8)+(AJ26/365.25)*CH26/AH26,0)</f>
        <v>-0.11350086247405494</v>
      </c>
      <c r="BO26" s="137">
        <f>_xll.xSPRDOPT($BW26,$BV26,$CG26,0,$BY26,$BX26,$BZ26,$AJ26,1,0)</f>
        <v>0.65027359745404845</v>
      </c>
      <c r="BP26" s="137"/>
      <c r="BQ26" s="137"/>
      <c r="BR26" s="137"/>
      <c r="BS26" s="137"/>
      <c r="BV26" s="262">
        <v>2.9573264781491</v>
      </c>
      <c r="BW26" s="136">
        <v>3.6459999999999999</v>
      </c>
      <c r="BX26" s="137">
        <v>0.5777529340200096</v>
      </c>
      <c r="BY26" s="137">
        <v>0.5777529340200096</v>
      </c>
      <c r="BZ26" s="137">
        <v>1</v>
      </c>
      <c r="CA26" s="137">
        <v>1.9712159578257001E-2</v>
      </c>
      <c r="CB26" s="137">
        <v>0.99187010954216859</v>
      </c>
      <c r="CC26" s="258">
        <v>-2.5000000000000001E-2</v>
      </c>
      <c r="CD26" s="258">
        <v>5.0000000000000001E-3</v>
      </c>
      <c r="CE26" s="258">
        <v>0.75</v>
      </c>
      <c r="CF26" s="258">
        <v>0</v>
      </c>
      <c r="CG26" s="258">
        <v>3.8399999999999997E-2</v>
      </c>
      <c r="CH26" s="258">
        <v>11.539714415446454</v>
      </c>
      <c r="CI26" s="258">
        <v>2.8959999999999999</v>
      </c>
      <c r="CJ26" s="258"/>
      <c r="CK26" s="258"/>
      <c r="CL26" s="258"/>
      <c r="CM26" s="258"/>
    </row>
    <row r="27" spans="1:91" x14ac:dyDescent="0.25">
      <c r="A27" s="726"/>
      <c r="B27" s="726"/>
      <c r="C27" s="726"/>
      <c r="D27" s="31">
        <f t="shared" si="47"/>
        <v>37422</v>
      </c>
      <c r="F27" s="28">
        <f t="shared" si="12"/>
        <v>356</v>
      </c>
      <c r="G27" s="28">
        <f t="shared" si="13"/>
        <v>352.52371447623483</v>
      </c>
      <c r="H27" s="52">
        <f t="shared" si="14"/>
        <v>3.011311053984576</v>
      </c>
      <c r="I27" s="52">
        <f t="shared" si="15"/>
        <v>3.7960000000000003</v>
      </c>
      <c r="K27" s="52">
        <f t="shared" si="16"/>
        <v>22.170046459711656</v>
      </c>
      <c r="L27" s="135">
        <f t="shared" si="17"/>
        <v>2.5558182379370464E-6</v>
      </c>
      <c r="N27" s="131">
        <f t="shared" si="48"/>
        <v>0.5502663217587267</v>
      </c>
      <c r="O27" s="131">
        <f t="shared" si="49"/>
        <v>0.5502663217587267</v>
      </c>
      <c r="P27" s="55">
        <f t="shared" si="50"/>
        <v>0.99999999999999978</v>
      </c>
      <c r="Q27" s="135">
        <f>_xll.xSPRDOPT(I27,H27,AQ27,0,O27,N27,P27,D27-$G$5,1,0)*AH27*AU27</f>
        <v>22.170049015529894</v>
      </c>
      <c r="R27" s="135"/>
      <c r="S27" s="181">
        <f>_xll.xSPRDOPT(I27,H27,AQ27,AT27,O27,N27,P27,D27-$G$5,1,2)*AF27*(F27/(1-AR27))*AH27</f>
        <v>-10874.235838934914</v>
      </c>
      <c r="T27" s="181">
        <f>_xll.xSPRDOPT(I27,H27,AQ27,AT27,O27,N27,P27,D27-$G$5,1,1)*AF27*F27*AH27</f>
        <v>10575.194353286497</v>
      </c>
      <c r="U27" s="135"/>
      <c r="V27" s="146">
        <f t="shared" si="18"/>
        <v>11.149057587887439</v>
      </c>
      <c r="W27" s="146"/>
      <c r="X27" s="338">
        <f t="shared" si="19"/>
        <v>0</v>
      </c>
      <c r="Y27" s="338">
        <f t="shared" si="20"/>
        <v>0</v>
      </c>
      <c r="Z27" s="338">
        <f t="shared" si="21"/>
        <v>1.2905938729399966</v>
      </c>
      <c r="AA27" s="338">
        <f t="shared" si="22"/>
        <v>-2.0635538165727755E-8</v>
      </c>
      <c r="AB27" s="338">
        <f t="shared" si="23"/>
        <v>0</v>
      </c>
      <c r="AC27" s="338">
        <f t="shared" si="24"/>
        <v>1.2970377049867252</v>
      </c>
      <c r="AF27" s="138">
        <f t="shared" si="25"/>
        <v>1</v>
      </c>
      <c r="AG27" s="138">
        <f t="shared" si="26"/>
        <v>6</v>
      </c>
      <c r="AH27" s="138">
        <f t="shared" si="27"/>
        <v>30</v>
      </c>
      <c r="AI27" s="138">
        <f t="shared" si="51"/>
        <v>166</v>
      </c>
      <c r="AJ27" s="138">
        <f t="shared" si="28"/>
        <v>183</v>
      </c>
      <c r="AL27" s="136">
        <f t="shared" si="29"/>
        <v>2.9460000000000002</v>
      </c>
      <c r="AM27" s="258">
        <f t="shared" si="30"/>
        <v>-2.2499999999999999E-2</v>
      </c>
      <c r="AN27" s="258">
        <f t="shared" si="31"/>
        <v>5.0000000000000001E-3</v>
      </c>
      <c r="AO27" s="258">
        <f t="shared" si="32"/>
        <v>0.85</v>
      </c>
      <c r="AP27" s="258">
        <f t="shared" si="33"/>
        <v>0</v>
      </c>
      <c r="AQ27" s="136">
        <f t="shared" si="34"/>
        <v>3.8399999999999997E-2</v>
      </c>
      <c r="AR27" s="137">
        <f t="shared" si="35"/>
        <v>2.75E-2</v>
      </c>
      <c r="AS27" s="136">
        <f t="shared" si="36"/>
        <v>2.9285000000000001</v>
      </c>
      <c r="AT27" s="137">
        <f t="shared" si="37"/>
        <v>2.0011329715354399E-2</v>
      </c>
      <c r="AU27" s="137">
        <f t="shared" si="38"/>
        <v>0.99023515302313159</v>
      </c>
      <c r="AV27" s="394">
        <f t="shared" si="39"/>
        <v>297.07054590693946</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7.0815554810794615E-7</v>
      </c>
      <c r="BG27" s="137">
        <f>_xll.xSPRDOPT($BW27,$BV27,$CG27,0,$BY27,$BX27,$BZ27,$AJ27,1,3)*$CB27</f>
        <v>-2.3605184936931537E-7</v>
      </c>
      <c r="BH27" s="137">
        <f>IF(OR(BF27&lt;&gt;0,BG27&lt;&gt;0),_xll.xSPRDOPT($BW27,$BV27,$CG27,0,$BY27,$BX27,$BZ27,$AJ27,1,12)*$CB27,0)</f>
        <v>1.1802592468465769E-7</v>
      </c>
      <c r="BI27" s="137">
        <f>_xll.xSPRDOPT($BW27,$BV27,$CG27,2*LN(1+CA27/2),$BY27,$BX27,$BZ27,$AJ27,1,9)</f>
        <v>1.471252846727009E-2</v>
      </c>
      <c r="BJ27" s="137">
        <f>_xll.xSPRDOPT($BW27,$BV27,$CG27,0,$BY27,$BX27,$BZ27,$AJ27,1,6)*$CB27</f>
        <v>1.6485491383715763E-7</v>
      </c>
      <c r="BK27" s="137">
        <f>_xll.xSPRDOPT($BW27,$BV27,$CG27,0,$BY27,$BX27,$BZ27,$AJ27,1,5)*$CB27</f>
        <v>-2.0780002125445282E-7</v>
      </c>
      <c r="BL27" s="137">
        <f>_xll.xSPRDOPT(BW27,BV27,CG27,0,BY27,BX27,BZ27,AJ27,1,2)*CB27</f>
        <v>-0.99007333068070036</v>
      </c>
      <c r="BM27" s="137">
        <f>_xll.xSPRDOPT(BW27,BV27,CG27,0,BY27,BX27,BZ27,AJ27,1,1)*CB27</f>
        <v>0.99007333068070036</v>
      </c>
      <c r="BN27" s="137">
        <f>IF(AH27&lt;&gt;0,_xll.xSPRDOPT($BW27,$BV27,$CG27,2*LN(1+CA27/2),$BY27,$BX27,$BZ27,$AJ27,1,8)+(AJ27/365.25)*CH27/AH27,0)</f>
        <v>-0.18403026313317067</v>
      </c>
      <c r="BO27" s="137">
        <f>_xll.xSPRDOPT($BW27,$BV27,$CG27,0,$BY27,$BX27,$BZ27,$AJ27,1,0)</f>
        <v>0.74628903185570195</v>
      </c>
      <c r="BP27" s="137"/>
      <c r="BQ27" s="137"/>
      <c r="BR27" s="137"/>
      <c r="BS27" s="137"/>
      <c r="BV27" s="262">
        <v>3.011311053984576</v>
      </c>
      <c r="BW27" s="136">
        <v>3.7960000000000003</v>
      </c>
      <c r="BX27" s="137">
        <v>0.55022133021926811</v>
      </c>
      <c r="BY27" s="137">
        <v>0.55022133021926811</v>
      </c>
      <c r="BZ27" s="137">
        <v>1</v>
      </c>
      <c r="CA27" s="137">
        <v>2.0011329715354399E-2</v>
      </c>
      <c r="CB27" s="137">
        <v>0.99007321601711695</v>
      </c>
      <c r="CC27" s="258">
        <v>-2.2499999999999999E-2</v>
      </c>
      <c r="CD27" s="258">
        <v>5.0000000000000001E-3</v>
      </c>
      <c r="CE27" s="258">
        <v>0.85</v>
      </c>
      <c r="CF27" s="258">
        <v>0</v>
      </c>
      <c r="CG27" s="258">
        <v>3.8399999999999997E-2</v>
      </c>
      <c r="CH27" s="258">
        <v>11.14723433913672</v>
      </c>
      <c r="CI27" s="258">
        <v>2.9460000000000002</v>
      </c>
      <c r="CJ27" s="258"/>
      <c r="CK27" s="258"/>
      <c r="CL27" s="258"/>
      <c r="CM27" s="258"/>
    </row>
    <row r="28" spans="1:91" x14ac:dyDescent="0.25">
      <c r="A28" s="723"/>
      <c r="B28" s="723"/>
      <c r="D28" s="31">
        <f t="shared" si="47"/>
        <v>37452</v>
      </c>
      <c r="F28" s="28">
        <f t="shared" si="12"/>
        <v>356</v>
      </c>
      <c r="G28" s="28">
        <f t="shared" si="13"/>
        <v>351.86405644241705</v>
      </c>
      <c r="H28" s="52">
        <f t="shared" si="14"/>
        <v>3.0503856041131105</v>
      </c>
      <c r="I28" s="52">
        <f t="shared" si="15"/>
        <v>4.0339999999999998</v>
      </c>
      <c r="K28" s="52">
        <f t="shared" si="16"/>
        <v>28.961225050225888</v>
      </c>
      <c r="L28" s="135">
        <f t="shared" si="17"/>
        <v>3.2700239991356739E-6</v>
      </c>
      <c r="N28" s="131">
        <f t="shared" si="48"/>
        <v>0.54938596714727361</v>
      </c>
      <c r="O28" s="131">
        <f t="shared" si="49"/>
        <v>0.54938596714727361</v>
      </c>
      <c r="P28" s="55">
        <f t="shared" si="50"/>
        <v>0.99999999999999978</v>
      </c>
      <c r="Q28" s="135">
        <f>_xll.xSPRDOPT(I28,H28,AQ28,0,O28,N28,P28,D28-$G$5,1,0)*AH28*AU28</f>
        <v>28.961228320249887</v>
      </c>
      <c r="R28" s="135"/>
      <c r="S28" s="181">
        <f>_xll.xSPRDOPT(I28,H28,AQ28,AT28,O28,N28,P28,D28-$G$5,1,2)*AF28*(F28/(1-AR28))*AH28</f>
        <v>-11215.565161083014</v>
      </c>
      <c r="T28" s="181">
        <f>_xll.xSPRDOPT(I28,H28,AQ28,AT28,O28,N28,P28,D28-$G$5,1,1)*AF28*F28*AH28</f>
        <v>10907.137119213454</v>
      </c>
      <c r="U28" s="135"/>
      <c r="V28" s="146">
        <f t="shared" si="18"/>
        <v>11.499134808618015</v>
      </c>
      <c r="W28" s="146"/>
      <c r="X28" s="338">
        <f t="shared" si="19"/>
        <v>0</v>
      </c>
      <c r="Y28" s="338">
        <f t="shared" si="20"/>
        <v>0</v>
      </c>
      <c r="Z28" s="338">
        <f t="shared" si="21"/>
        <v>1.7209045633246616</v>
      </c>
      <c r="AA28" s="338">
        <f t="shared" si="22"/>
        <v>-6.5868255437496795E-8</v>
      </c>
      <c r="AB28" s="338">
        <f t="shared" si="23"/>
        <v>0</v>
      </c>
      <c r="AC28" s="338">
        <f t="shared" si="24"/>
        <v>1.729675933316958</v>
      </c>
      <c r="AF28" s="138">
        <f t="shared" si="25"/>
        <v>1</v>
      </c>
      <c r="AG28" s="138">
        <f t="shared" si="26"/>
        <v>7</v>
      </c>
      <c r="AH28" s="138">
        <f t="shared" si="27"/>
        <v>31</v>
      </c>
      <c r="AI28" s="138">
        <f t="shared" si="51"/>
        <v>196</v>
      </c>
      <c r="AJ28" s="138">
        <f t="shared" si="28"/>
        <v>213</v>
      </c>
      <c r="AL28" s="136">
        <f t="shared" si="29"/>
        <v>2.984</v>
      </c>
      <c r="AM28" s="258">
        <f t="shared" si="30"/>
        <v>-2.2499999999999999E-2</v>
      </c>
      <c r="AN28" s="258">
        <f t="shared" si="31"/>
        <v>5.0000000000000001E-3</v>
      </c>
      <c r="AO28" s="258">
        <f t="shared" si="32"/>
        <v>1.05</v>
      </c>
      <c r="AP28" s="258">
        <f t="shared" si="33"/>
        <v>0</v>
      </c>
      <c r="AQ28" s="136">
        <f t="shared" si="34"/>
        <v>3.8399999999999997E-2</v>
      </c>
      <c r="AR28" s="137">
        <f t="shared" si="35"/>
        <v>2.75E-2</v>
      </c>
      <c r="AS28" s="136">
        <f t="shared" si="36"/>
        <v>2.9664999999999999</v>
      </c>
      <c r="AT28" s="137">
        <f t="shared" si="37"/>
        <v>2.0428629809483099E-2</v>
      </c>
      <c r="AU28" s="137">
        <f t="shared" si="38"/>
        <v>0.98838218101802544</v>
      </c>
      <c r="AV28" s="394">
        <f t="shared" si="39"/>
        <v>306.39847611558787</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-2.3560933918970302E-7</v>
      </c>
      <c r="BG28" s="137">
        <f>_xll.xSPRDOPT($BW28,$BV28,$CG28,0,$BY28,$BX28,$BZ28,$AJ28,1,3)*$CB28</f>
        <v>-7.068280175691092E-7</v>
      </c>
      <c r="BH28" s="137">
        <f>IF(OR(BF28&lt;&gt;0,BG28&lt;&gt;0),_xll.xSPRDOPT($BW28,$BV28,$CG28,0,$BY28,$BX28,$BZ28,$AJ28,1,12)*$CB28,0)</f>
        <v>5.890233479742577E-7</v>
      </c>
      <c r="BI28" s="137">
        <f>_xll.xSPRDOPT($BW28,$BV28,$CG28,2*LN(1+CA28/2),$BY28,$BX28,$BZ28,$AJ28,1,9)</f>
        <v>1.8985151375931274E-2</v>
      </c>
      <c r="BJ28" s="137">
        <f>_xll.xSPRDOPT($BW28,$BV28,$CG28,0,$BY28,$BX28,$BZ28,$AJ28,1,6)*$CB28</f>
        <v>1.9326290300620628E-7</v>
      </c>
      <c r="BK28" s="137">
        <f>_xll.xSPRDOPT($BW28,$BV28,$CG28,0,$BY28,$BX28,$BZ28,$AJ28,1,5)*$CB28</f>
        <v>-2.5562173982767106E-7</v>
      </c>
      <c r="BL28" s="137">
        <f>_xll.xSPRDOPT(BW28,BV28,CG28,0,BY28,BX28,BZ28,AJ28,1,2)*CB28</f>
        <v>-0.98821730583883638</v>
      </c>
      <c r="BM28" s="137">
        <f>_xll.xSPRDOPT(BW28,BV28,CG28,0,BY28,BX28,BZ28,AJ28,1,1)*CB28</f>
        <v>0.9882173058424315</v>
      </c>
      <c r="BN28" s="137">
        <f>IF(AH28&lt;&gt;0,_xll.xSPRDOPT($BW28,$BV28,$CG28,2*LN(1+CA28/2),$BY28,$BX28,$BZ28,$AJ28,1,8)+(AJ28/365.25)*CH28/AH28,0)</f>
        <v>-0.3284365587447014</v>
      </c>
      <c r="BO28" s="137">
        <f>_xll.xSPRDOPT($BW28,$BV28,$CG28,0,$BY28,$BX28,$BZ28,$AJ28,1,0)</f>
        <v>0.94521450237341553</v>
      </c>
      <c r="BP28" s="137"/>
      <c r="BQ28" s="137"/>
      <c r="BR28" s="137"/>
      <c r="BS28" s="137"/>
      <c r="BV28" s="262">
        <v>3.0503856041131105</v>
      </c>
      <c r="BW28" s="136">
        <v>4.0339999999999998</v>
      </c>
      <c r="BX28" s="137">
        <v>0.54929025513136898</v>
      </c>
      <c r="BY28" s="137">
        <v>0.54929025513136898</v>
      </c>
      <c r="BZ28" s="137">
        <v>1</v>
      </c>
      <c r="CA28" s="137">
        <v>2.0428629809483099E-2</v>
      </c>
      <c r="CB28" s="137">
        <v>0.98821719380072837</v>
      </c>
      <c r="CC28" s="258">
        <v>-2.2499999999999999E-2</v>
      </c>
      <c r="CD28" s="258">
        <v>5.0000000000000001E-3</v>
      </c>
      <c r="CE28" s="258">
        <v>1.05</v>
      </c>
      <c r="CF28" s="258">
        <v>0</v>
      </c>
      <c r="CG28" s="258">
        <v>3.8399999999999997E-2</v>
      </c>
      <c r="CH28" s="258">
        <v>11.497215297835815</v>
      </c>
      <c r="CI28" s="258">
        <v>2.984</v>
      </c>
      <c r="CJ28" s="258"/>
      <c r="CK28" s="258"/>
      <c r="CL28" s="258"/>
      <c r="CM28" s="258"/>
    </row>
    <row r="29" spans="1:91" x14ac:dyDescent="0.25">
      <c r="A29" s="723"/>
      <c r="B29" s="723"/>
      <c r="D29" s="31">
        <f t="shared" si="47"/>
        <v>37483</v>
      </c>
      <c r="F29" s="28">
        <f t="shared" si="12"/>
        <v>356</v>
      </c>
      <c r="G29" s="28">
        <f t="shared" si="13"/>
        <v>351.11164881541737</v>
      </c>
      <c r="H29" s="52">
        <f t="shared" si="14"/>
        <v>3.0935732647814906</v>
      </c>
      <c r="I29" s="52">
        <f t="shared" si="15"/>
        <v>4.0759999999999996</v>
      </c>
      <c r="K29" s="52">
        <f t="shared" si="16"/>
        <v>28.86298395893424</v>
      </c>
      <c r="L29" s="135">
        <f t="shared" si="17"/>
        <v>3.1805929481265593E-6</v>
      </c>
      <c r="N29" s="131">
        <f t="shared" si="48"/>
        <v>0.55001555741820785</v>
      </c>
      <c r="O29" s="131">
        <f t="shared" si="49"/>
        <v>0.55001555741820785</v>
      </c>
      <c r="P29" s="55">
        <f t="shared" si="50"/>
        <v>1</v>
      </c>
      <c r="Q29" s="135">
        <f>_xll.xSPRDOPT(I29,H29,AQ29,0,O29,N29,P29,D29-$G$5,1,0)*AH29*AU29</f>
        <v>28.862987139527188</v>
      </c>
      <c r="R29" s="135"/>
      <c r="S29" s="181">
        <f>_xll.xSPRDOPT(I29,H29,AQ29,AT29,O29,N29,P29,D29-$G$5,1,2)*AF29*(F29/(1-AR29))*AH29</f>
        <v>-11191.435677649028</v>
      </c>
      <c r="T29" s="181">
        <f>_xll.xSPRDOPT(I29,H29,AQ29,AT29,O29,N29,P29,D29-$G$5,1,1)*AF29*F29*AH29</f>
        <v>10883.671196674273</v>
      </c>
      <c r="U29" s="135"/>
      <c r="V29" s="146">
        <f t="shared" si="18"/>
        <v>11.474545662396659</v>
      </c>
      <c r="W29" s="146"/>
      <c r="X29" s="338">
        <f t="shared" si="19"/>
        <v>0</v>
      </c>
      <c r="Y29" s="338">
        <f t="shared" si="20"/>
        <v>0</v>
      </c>
      <c r="Z29" s="338">
        <f t="shared" si="21"/>
        <v>1.7682053901215902</v>
      </c>
      <c r="AA29" s="338">
        <f t="shared" si="22"/>
        <v>-9.5181631815906852E-8</v>
      </c>
      <c r="AB29" s="338">
        <f t="shared" si="23"/>
        <v>0</v>
      </c>
      <c r="AC29" s="338">
        <f t="shared" si="24"/>
        <v>1.7774982794424432</v>
      </c>
      <c r="AF29" s="138">
        <f t="shared" si="25"/>
        <v>1</v>
      </c>
      <c r="AG29" s="138">
        <f t="shared" si="26"/>
        <v>8</v>
      </c>
      <c r="AH29" s="138">
        <f t="shared" si="27"/>
        <v>31</v>
      </c>
      <c r="AI29" s="138">
        <f t="shared" si="51"/>
        <v>227</v>
      </c>
      <c r="AJ29" s="138">
        <f t="shared" si="28"/>
        <v>244</v>
      </c>
      <c r="AL29" s="136">
        <f t="shared" si="29"/>
        <v>3.0259999999999998</v>
      </c>
      <c r="AM29" s="258">
        <f t="shared" si="30"/>
        <v>-2.2499999999999999E-2</v>
      </c>
      <c r="AN29" s="258">
        <f t="shared" si="31"/>
        <v>5.0000000000000001E-3</v>
      </c>
      <c r="AO29" s="258">
        <f t="shared" si="32"/>
        <v>1.05</v>
      </c>
      <c r="AP29" s="258">
        <f t="shared" si="33"/>
        <v>0</v>
      </c>
      <c r="AQ29" s="136">
        <f t="shared" si="34"/>
        <v>3.8399999999999997E-2</v>
      </c>
      <c r="AR29" s="137">
        <f t="shared" si="35"/>
        <v>2.75E-2</v>
      </c>
      <c r="AS29" s="136">
        <f t="shared" si="36"/>
        <v>3.0084999999999997</v>
      </c>
      <c r="AT29" s="137">
        <f t="shared" si="37"/>
        <v>2.1065008234303999E-2</v>
      </c>
      <c r="AU29" s="137">
        <f t="shared" si="38"/>
        <v>0.98626867644780158</v>
      </c>
      <c r="AV29" s="394">
        <f t="shared" si="39"/>
        <v>305.7432896988185</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2.1159387745885255E-6</v>
      </c>
      <c r="BG29" s="137">
        <f>_xll.xSPRDOPT($BW29,$BV29,$CG29,0,$BY29,$BX29,$BZ29,$AJ29,1,3)*$CB29</f>
        <v>1.1755215414380697E-6</v>
      </c>
      <c r="BH29" s="137">
        <f>IF(OR(BF29&lt;&gt;0,BG29&lt;&gt;0),_xll.xSPRDOPT($BW29,$BV29,$CG29,0,$BY29,$BX29,$BZ29,$AJ29,1,12)*$CB29,0)</f>
        <v>-1.4106258497256838E-6</v>
      </c>
      <c r="BI29" s="137">
        <f>_xll.xSPRDOPT($BW29,$BV29,$CG29,2*LN(1+CA29/2),$BY29,$BX29,$BZ29,$AJ29,1,9)</f>
        <v>1.9506977731723777E-2</v>
      </c>
      <c r="BJ29" s="137">
        <f>_xll.xSPRDOPT($BW29,$BV29,$CG29,0,$BY29,$BX29,$BZ29,$AJ29,1,6)*$CB29</f>
        <v>2.2381752470980447E-7</v>
      </c>
      <c r="BK29" s="137">
        <f>_xll.xSPRDOPT($BW29,$BV29,$CG29,0,$BY29,$BX29,$BZ29,$AJ29,1,5)*$CB29</f>
        <v>-2.9492593283428618E-7</v>
      </c>
      <c r="BL29" s="137">
        <f>_xll.xSPRDOPT(BW29,BV29,CG29,0,BY29,BX29,BZ29,AJ29,1,2)*CB29</f>
        <v>-0.98609904990092956</v>
      </c>
      <c r="BM29" s="137">
        <f>_xll.xSPRDOPT(BW29,BV29,CG29,0,BY29,BX29,BZ29,AJ29,1,1)*CB29</f>
        <v>0.98609904991169173</v>
      </c>
      <c r="BN29" s="137">
        <f>IF(AH29&lt;&gt;0,_xll.xSPRDOPT($BW29,$BV29,$CG29,2*LN(1+CA29/2),$BY29,$BX29,$BZ29,$AJ29,1,8)+(AJ29/365.25)*CH29/AH29,0)</f>
        <v>-0.37464834433630884</v>
      </c>
      <c r="BO29" s="137">
        <f>_xll.xSPRDOPT($BW29,$BV29,$CG29,0,$BY29,$BX29,$BZ29,$AJ29,1,0)</f>
        <v>0.94402683901165674</v>
      </c>
      <c r="BP29" s="137"/>
      <c r="BQ29" s="137"/>
      <c r="BR29" s="137"/>
      <c r="BS29" s="137"/>
      <c r="BV29" s="262">
        <v>3.0935732647814906</v>
      </c>
      <c r="BW29" s="136">
        <v>4.0759999999999996</v>
      </c>
      <c r="BX29" s="137">
        <v>0.54989426867442226</v>
      </c>
      <c r="BY29" s="137">
        <v>0.54989426867442226</v>
      </c>
      <c r="BZ29" s="137">
        <v>1</v>
      </c>
      <c r="CA29" s="137">
        <v>2.1065008234303999E-2</v>
      </c>
      <c r="CB29" s="137">
        <v>0.98609894066797232</v>
      </c>
      <c r="CC29" s="258">
        <v>-2.2499999999999999E-2</v>
      </c>
      <c r="CD29" s="258">
        <v>5.0000000000000001E-3</v>
      </c>
      <c r="CE29" s="258">
        <v>1.05</v>
      </c>
      <c r="CF29" s="258">
        <v>0</v>
      </c>
      <c r="CG29" s="258">
        <v>3.8399999999999997E-2</v>
      </c>
      <c r="CH29" s="258">
        <v>11.472570905413392</v>
      </c>
      <c r="CI29" s="258">
        <v>3.0259999999999998</v>
      </c>
      <c r="CJ29" s="258"/>
      <c r="CK29" s="258"/>
      <c r="CL29" s="258"/>
      <c r="CM29" s="258"/>
    </row>
    <row r="30" spans="1:91" x14ac:dyDescent="0.25">
      <c r="A30" s="723"/>
      <c r="B30" s="723"/>
      <c r="D30" s="31">
        <f t="shared" si="47"/>
        <v>37514</v>
      </c>
      <c r="F30" s="28">
        <f t="shared" si="12"/>
        <v>356</v>
      </c>
      <c r="G30" s="28">
        <f t="shared" si="13"/>
        <v>350.3234452780593</v>
      </c>
      <c r="H30" s="52">
        <f t="shared" si="14"/>
        <v>3.0802056555269921</v>
      </c>
      <c r="I30" s="52">
        <f t="shared" si="15"/>
        <v>3.7679999999999998</v>
      </c>
      <c r="K30" s="52">
        <f t="shared" si="16"/>
        <v>19.171185176955412</v>
      </c>
      <c r="L30" s="135">
        <f t="shared" si="17"/>
        <v>2.0559613851389713E-6</v>
      </c>
      <c r="N30" s="131">
        <f t="shared" si="48"/>
        <v>0.54862064797509713</v>
      </c>
      <c r="O30" s="131">
        <f t="shared" si="49"/>
        <v>0.54862064797509713</v>
      </c>
      <c r="P30" s="55">
        <f t="shared" si="50"/>
        <v>1</v>
      </c>
      <c r="Q30" s="135">
        <f>_xll.xSPRDOPT(I30,H30,AQ30,0,O30,N30,P30,D30-$G$5,1,0)*AH30*AU30</f>
        <v>19.171187232916797</v>
      </c>
      <c r="R30" s="135"/>
      <c r="S30" s="181">
        <f>_xll.xSPRDOPT(I30,H30,AQ30,AT30,O30,N30,P30,D30-$G$5,1,2)*AF30*(F30/(1-AR30))*AH30</f>
        <v>-10805.953391890189</v>
      </c>
      <c r="T30" s="181">
        <f>_xll.xSPRDOPT(I30,H30,AQ30,AT30,O30,N30,P30,D30-$G$5,1,1)*AF30*F30*AH30</f>
        <v>10508.789673768624</v>
      </c>
      <c r="U30" s="135"/>
      <c r="V30" s="146">
        <f t="shared" si="18"/>
        <v>11.07947098422941</v>
      </c>
      <c r="W30" s="146"/>
      <c r="X30" s="338">
        <f t="shared" si="19"/>
        <v>0</v>
      </c>
      <c r="Y30" s="338">
        <f t="shared" si="20"/>
        <v>0</v>
      </c>
      <c r="Z30" s="338">
        <f t="shared" si="21"/>
        <v>1.2097497759941451</v>
      </c>
      <c r="AA30" s="338">
        <f t="shared" si="22"/>
        <v>-5.4922972353640596E-8</v>
      </c>
      <c r="AB30" s="338">
        <f t="shared" si="23"/>
        <v>0</v>
      </c>
      <c r="AC30" s="338">
        <f t="shared" si="24"/>
        <v>1.216299505896085</v>
      </c>
      <c r="AF30" s="138">
        <f t="shared" si="25"/>
        <v>1</v>
      </c>
      <c r="AG30" s="138">
        <f t="shared" si="26"/>
        <v>9</v>
      </c>
      <c r="AH30" s="138">
        <f t="shared" si="27"/>
        <v>30</v>
      </c>
      <c r="AI30" s="138">
        <f t="shared" si="51"/>
        <v>258</v>
      </c>
      <c r="AJ30" s="138">
        <f t="shared" si="28"/>
        <v>275</v>
      </c>
      <c r="AL30" s="136">
        <f t="shared" si="29"/>
        <v>3.0179999999999998</v>
      </c>
      <c r="AM30" s="258">
        <f t="shared" si="30"/>
        <v>-2.75E-2</v>
      </c>
      <c r="AN30" s="258">
        <f t="shared" si="31"/>
        <v>5.0000000000000001E-3</v>
      </c>
      <c r="AO30" s="258">
        <f t="shared" si="32"/>
        <v>0.75</v>
      </c>
      <c r="AP30" s="258">
        <f t="shared" si="33"/>
        <v>0</v>
      </c>
      <c r="AQ30" s="136">
        <f t="shared" si="34"/>
        <v>3.8399999999999997E-2</v>
      </c>
      <c r="AR30" s="137">
        <f t="shared" si="35"/>
        <v>2.75E-2</v>
      </c>
      <c r="AS30" s="136">
        <f t="shared" si="36"/>
        <v>2.9954999999999998</v>
      </c>
      <c r="AT30" s="137">
        <f t="shared" si="37"/>
        <v>2.1701386796276499E-2</v>
      </c>
      <c r="AU30" s="137">
        <f t="shared" si="38"/>
        <v>0.98405462156758228</v>
      </c>
      <c r="AV30" s="394">
        <f t="shared" si="39"/>
        <v>295.2163864702747</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-1.1728765708700116E-6</v>
      </c>
      <c r="BG30" s="137">
        <f>_xll.xSPRDOPT($BW30,$BV30,$CG30,0,$BY30,$BX30,$BZ30,$AJ30,1,3)*$CB30</f>
        <v>-7.0372594252200694E-7</v>
      </c>
      <c r="BH30" s="137">
        <f>IF(OR(BF30&lt;&gt;0,BG30&lt;&gt;0),_xll.xSPRDOPT($BW30,$BV30,$CG30,0,$BY30,$BX30,$BZ30,$AJ30,1,12)*$CB30,0)</f>
        <v>2.3457531417400232E-7</v>
      </c>
      <c r="BI30" s="137">
        <f>_xll.xSPRDOPT($BW30,$BV30,$CG30,2*LN(1+CA30/2),$BY30,$BX30,$BZ30,$AJ30,1,9)</f>
        <v>1.3790920901431386E-2</v>
      </c>
      <c r="BJ30" s="137">
        <f>_xll.xSPRDOPT($BW30,$BV30,$CG30,0,$BY30,$BX30,$BZ30,$AJ30,1,6)*$CB30</f>
        <v>2.4767827273857163E-7</v>
      </c>
      <c r="BK30" s="137">
        <f>_xll.xSPRDOPT($BW30,$BV30,$CG30,0,$BY30,$BX30,$BZ30,$AJ30,1,5)*$CB30</f>
        <v>-3.0299028671604763E-7</v>
      </c>
      <c r="BL30" s="137">
        <f>_xll.xSPRDOPT(BW30,BV30,CG30,0,BY30,BX30,BZ30,AJ30,1,2)*CB30</f>
        <v>-0.98388028500860125</v>
      </c>
      <c r="BM30" s="137">
        <f>_xll.xSPRDOPT(BW30,BV30,CG30,0,BY30,BX30,BZ30,AJ30,1,1)*CB30</f>
        <v>0.98388028502470826</v>
      </c>
      <c r="BN30" s="137">
        <f>IF(AH30&lt;&gt;0,_xll.xSPRDOPT($BW30,$BV30,$CG30,2*LN(1+CA30/2),$BY30,$BX30,$BZ30,$AJ30,1,8)+(AJ30/365.25)*CH30/AH30,0)</f>
        <v>-0.20304152431926026</v>
      </c>
      <c r="BO30" s="137">
        <f>_xll.xSPRDOPT($BW30,$BV30,$CG30,0,$BY30,$BX30,$BZ30,$AJ30,1,0)</f>
        <v>0.64939441395251196</v>
      </c>
      <c r="BP30" s="137"/>
      <c r="BQ30" s="137"/>
      <c r="BR30" s="137"/>
      <c r="BS30" s="137"/>
      <c r="BV30" s="262">
        <v>3.0802056555269921</v>
      </c>
      <c r="BW30" s="136">
        <v>3.7679999999999998</v>
      </c>
      <c r="BX30" s="137">
        <v>0.54852767359145349</v>
      </c>
      <c r="BY30" s="137">
        <v>0.54852767359145349</v>
      </c>
      <c r="BZ30" s="137">
        <v>1</v>
      </c>
      <c r="CA30" s="137">
        <v>2.1701386796276499E-2</v>
      </c>
      <c r="CB30" s="137">
        <v>0.98388017854127463</v>
      </c>
      <c r="CC30" s="258">
        <v>-2.75E-2</v>
      </c>
      <c r="CD30" s="258">
        <v>5.0000000000000001E-3</v>
      </c>
      <c r="CE30" s="258">
        <v>0.75</v>
      </c>
      <c r="CF30" s="258">
        <v>0</v>
      </c>
      <c r="CG30" s="258">
        <v>3.8399999999999997E-2</v>
      </c>
      <c r="CH30" s="258">
        <v>11.077506930196211</v>
      </c>
      <c r="CI30" s="258">
        <v>3.0179999999999998</v>
      </c>
      <c r="CJ30" s="258"/>
      <c r="CK30" s="258"/>
      <c r="CL30" s="258"/>
      <c r="CM30" s="258"/>
    </row>
    <row r="31" spans="1:91" x14ac:dyDescent="0.25">
      <c r="A31" s="723"/>
      <c r="B31" s="723"/>
      <c r="D31" s="31">
        <f t="shared" si="47"/>
        <v>37544</v>
      </c>
      <c r="F31" s="28">
        <f t="shared" si="12"/>
        <v>356</v>
      </c>
      <c r="G31" s="28">
        <f t="shared" si="13"/>
        <v>349.50027786090948</v>
      </c>
      <c r="H31" s="52">
        <f t="shared" si="14"/>
        <v>3.0935732647814911</v>
      </c>
      <c r="I31" s="52">
        <f t="shared" si="15"/>
        <v>3.4810000000000003</v>
      </c>
      <c r="K31" s="52">
        <f t="shared" si="16"/>
        <v>10.622284182956198</v>
      </c>
      <c r="L31" s="135">
        <f t="shared" si="17"/>
        <v>1.8258840519536079E-6</v>
      </c>
      <c r="N31" s="131">
        <f t="shared" si="48"/>
        <v>0.55129247567847639</v>
      </c>
      <c r="O31" s="131">
        <f t="shared" si="49"/>
        <v>0.55129247567847639</v>
      </c>
      <c r="P31" s="55">
        <f t="shared" si="50"/>
        <v>1</v>
      </c>
      <c r="Q31" s="135">
        <f>_xll.xSPRDOPT(I31,H31,AQ31,0,O31,N31,P31,D31-$G$5,1,0)*AH31*AU31</f>
        <v>10.62228600884025</v>
      </c>
      <c r="R31" s="135"/>
      <c r="S31" s="181">
        <f>_xll.xSPRDOPT(I31,H31,AQ31,AT31,O31,N31,P31,D31-$G$5,1,2)*AF31*(F31/(1-AR31))*AH31</f>
        <v>-11139.731337925663</v>
      </c>
      <c r="T31" s="181">
        <f>_xll.xSPRDOPT(I31,H31,AQ31,AT31,O31,N31,P31,D31-$G$5,1,1)*AF31*F31*AH31</f>
        <v>10833.388726353525</v>
      </c>
      <c r="U31" s="135"/>
      <c r="V31" s="146">
        <f t="shared" si="18"/>
        <v>11.421885063812303</v>
      </c>
      <c r="W31" s="146"/>
      <c r="X31" s="338">
        <f t="shared" si="19"/>
        <v>0</v>
      </c>
      <c r="Y31" s="338">
        <f t="shared" si="20"/>
        <v>0</v>
      </c>
      <c r="Z31" s="338">
        <f t="shared" si="21"/>
        <v>0.69203665866262132</v>
      </c>
      <c r="AA31" s="338">
        <f t="shared" si="22"/>
        <v>8.7422051543670691E-7</v>
      </c>
      <c r="AB31" s="338">
        <f t="shared" si="23"/>
        <v>0</v>
      </c>
      <c r="AC31" s="338">
        <f t="shared" si="24"/>
        <v>0.69592840361713026</v>
      </c>
      <c r="AF31" s="138">
        <f t="shared" si="25"/>
        <v>1</v>
      </c>
      <c r="AG31" s="138">
        <f t="shared" si="26"/>
        <v>10</v>
      </c>
      <c r="AH31" s="138">
        <f t="shared" si="27"/>
        <v>31</v>
      </c>
      <c r="AI31" s="138">
        <f t="shared" si="51"/>
        <v>288</v>
      </c>
      <c r="AJ31" s="138">
        <f t="shared" si="28"/>
        <v>305</v>
      </c>
      <c r="AL31" s="136">
        <f t="shared" si="29"/>
        <v>3.0310000000000001</v>
      </c>
      <c r="AM31" s="258">
        <f t="shared" si="30"/>
        <v>-2.75E-2</v>
      </c>
      <c r="AN31" s="258">
        <f t="shared" si="31"/>
        <v>5.0000000000000001E-3</v>
      </c>
      <c r="AO31" s="258">
        <f t="shared" si="32"/>
        <v>0.45</v>
      </c>
      <c r="AP31" s="258">
        <f t="shared" si="33"/>
        <v>0</v>
      </c>
      <c r="AQ31" s="136">
        <f t="shared" si="34"/>
        <v>3.8399999999999997E-2</v>
      </c>
      <c r="AR31" s="137">
        <f t="shared" si="35"/>
        <v>2.75E-2</v>
      </c>
      <c r="AS31" s="136">
        <f t="shared" si="36"/>
        <v>3.0085000000000002</v>
      </c>
      <c r="AT31" s="137">
        <f t="shared" si="37"/>
        <v>2.2410164045373999E-2</v>
      </c>
      <c r="AU31" s="137">
        <f t="shared" si="38"/>
        <v>0.98174235354188055</v>
      </c>
      <c r="AV31" s="394">
        <f t="shared" si="39"/>
        <v>304.34012959798298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1.170113883588594E-6</v>
      </c>
      <c r="BG31" s="137">
        <f>_xll.xSPRDOPT($BW31,$BV31,$CG31,0,$BY31,$BX31,$BZ31,$AJ31,1,3)*$CB31</f>
        <v>8.1907971851201578E-7</v>
      </c>
      <c r="BH31" s="137">
        <f>IF(OR(BF31&lt;&gt;0,BG31&lt;&gt;0),_xll.xSPRDOPT($BW31,$BV31,$CG31,0,$BY31,$BX31,$BZ31,$AJ31,1,12)*$CB31,0)</f>
        <v>-8.1907971851201578E-7</v>
      </c>
      <c r="BI31" s="137">
        <f>_xll.xSPRDOPT($BW31,$BV31,$CG31,2*LN(1+CA31/2),$BY31,$BX31,$BZ31,$AJ31,1,9)</f>
        <v>7.634601594071597E-3</v>
      </c>
      <c r="BJ31" s="137">
        <f>_xll.xSPRDOPT($BW31,$BV31,$CG31,0,$BY31,$BX31,$BZ31,$AJ31,1,6)*$CB31</f>
        <v>-5.7814020953495281E-6</v>
      </c>
      <c r="BK31" s="137">
        <f>_xll.xSPRDOPT($BW31,$BV31,$CG31,0,$BY31,$BX31,$BZ31,$AJ31,1,5)*$CB31</f>
        <v>6.5054331022058244E-6</v>
      </c>
      <c r="BL31" s="137">
        <f>_xll.xSPRDOPT(BW31,BV31,CG31,0,BY31,BX31,BZ31,AJ31,1,2)*CB31</f>
        <v>-0.98156235381729973</v>
      </c>
      <c r="BM31" s="137">
        <f>_xll.xSPRDOPT(BW31,BV31,CG31,0,BY31,BX31,BZ31,AJ31,1,1)*CB31</f>
        <v>0.98156235383693979</v>
      </c>
      <c r="BN31" s="137">
        <f>IF(AH31&lt;&gt;0,_xll.xSPRDOPT($BW31,$BV31,$CG31,2*LN(1+CA31/2),$BY31,$BX31,$BZ31,$AJ31,1,8)+(AJ31/365.25)*CH31/AH31,0)</f>
        <v>2.1534791253312202E-2</v>
      </c>
      <c r="BO31" s="137">
        <f>_xll.xSPRDOPT($BW31,$BV31,$CG31,0,$BY31,$BX31,$BZ31,$AJ31,1,0)</f>
        <v>0.3490267971496559</v>
      </c>
      <c r="BP31" s="137"/>
      <c r="BQ31" s="137"/>
      <c r="BR31" s="137"/>
      <c r="BS31" s="137"/>
      <c r="BV31" s="262">
        <v>3.0935732647814911</v>
      </c>
      <c r="BW31" s="136">
        <v>3.4810000000000003</v>
      </c>
      <c r="BX31" s="137">
        <v>0.55118306690820029</v>
      </c>
      <c r="BY31" s="137">
        <v>0.55118306690820029</v>
      </c>
      <c r="BZ31" s="137">
        <v>1</v>
      </c>
      <c r="CA31" s="137">
        <v>2.2410164045373999E-2</v>
      </c>
      <c r="CB31" s="137">
        <v>0.98156266847823481</v>
      </c>
      <c r="CC31" s="258">
        <v>-2.75E-2</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356</v>
      </c>
      <c r="G32" s="28">
        <f t="shared" si="13"/>
        <v>348.56829498257775</v>
      </c>
      <c r="H32" s="52">
        <f t="shared" si="14"/>
        <v>3.2786632390745498</v>
      </c>
      <c r="I32" s="52">
        <f t="shared" si="15"/>
        <v>3.661</v>
      </c>
      <c r="K32" s="52">
        <f t="shared" si="16"/>
        <v>10.102706489124833</v>
      </c>
      <c r="L32" s="135">
        <f t="shared" si="17"/>
        <v>3.7997267039457938E-6</v>
      </c>
      <c r="N32" s="131">
        <f t="shared" si="48"/>
        <v>0.55763051961597798</v>
      </c>
      <c r="O32" s="131">
        <f t="shared" si="49"/>
        <v>0.55763051961597798</v>
      </c>
      <c r="P32" s="55">
        <f t="shared" si="50"/>
        <v>1.0000000000000002</v>
      </c>
      <c r="Q32" s="135">
        <f>_xll.xSPRDOPT(I32,H32,AQ32,0,O32,N32,P32,D32-$G$5,1,0)*AH32*AU32</f>
        <v>10.102710288851537</v>
      </c>
      <c r="R32" s="135"/>
      <c r="S32" s="181">
        <f>_xll.xSPRDOPT(I32,H32,AQ32,AT32,O32,N32,P32,D32-$G$5,1,2)*AF32*(F32/(1-AR32))*AH32</f>
        <v>-10751.420025238391</v>
      </c>
      <c r="T32" s="181">
        <f>_xll.xSPRDOPT(I32,H32,AQ32,AT32,O32,N32,P32,D32-$G$5,1,1)*AF32*F32*AH32</f>
        <v>10455.755974437488</v>
      </c>
      <c r="U32" s="135"/>
      <c r="V32" s="146">
        <f t="shared" si="18"/>
        <v>11.023961891036077</v>
      </c>
      <c r="W32" s="146"/>
      <c r="X32" s="338">
        <f t="shared" si="19"/>
        <v>0</v>
      </c>
      <c r="Y32" s="338">
        <f t="shared" si="20"/>
        <v>0</v>
      </c>
      <c r="Z32" s="338">
        <f t="shared" si="21"/>
        <v>0.68325787898994328</v>
      </c>
      <c r="AA32" s="338">
        <f t="shared" si="22"/>
        <v>1.0667323586648548E-5</v>
      </c>
      <c r="AB32" s="338">
        <f t="shared" si="23"/>
        <v>0</v>
      </c>
      <c r="AC32" s="338">
        <f t="shared" si="24"/>
        <v>0.68739860343585535</v>
      </c>
      <c r="AF32" s="138">
        <f t="shared" si="25"/>
        <v>1</v>
      </c>
      <c r="AG32" s="138">
        <f t="shared" si="26"/>
        <v>11</v>
      </c>
      <c r="AH32" s="138">
        <f t="shared" si="27"/>
        <v>30</v>
      </c>
      <c r="AI32" s="138">
        <f t="shared" si="51"/>
        <v>319</v>
      </c>
      <c r="AJ32" s="138">
        <f t="shared" si="28"/>
        <v>336</v>
      </c>
      <c r="AL32" s="136">
        <f t="shared" si="29"/>
        <v>3.2109999999999999</v>
      </c>
      <c r="AM32" s="258">
        <f t="shared" si="30"/>
        <v>-2.5000000000000001E-2</v>
      </c>
      <c r="AN32" s="258">
        <f t="shared" si="31"/>
        <v>2.5000000000000001E-3</v>
      </c>
      <c r="AO32" s="258">
        <f t="shared" si="32"/>
        <v>0.45</v>
      </c>
      <c r="AP32" s="258">
        <f t="shared" si="33"/>
        <v>0</v>
      </c>
      <c r="AQ32" s="136">
        <f t="shared" si="34"/>
        <v>3.8399999999999997E-2</v>
      </c>
      <c r="AR32" s="137">
        <f t="shared" si="35"/>
        <v>2.75E-2</v>
      </c>
      <c r="AS32" s="136">
        <f t="shared" si="36"/>
        <v>3.1884999999999999</v>
      </c>
      <c r="AT32" s="137">
        <f t="shared" si="37"/>
        <v>2.3274064967752799E-2</v>
      </c>
      <c r="AU32" s="137">
        <f t="shared" si="38"/>
        <v>0.97912442410836453</v>
      </c>
      <c r="AV32" s="394">
        <f t="shared" si="39"/>
        <v>293.73732723250936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-1.1669854526052003E-7</v>
      </c>
      <c r="BG32" s="137">
        <f>_xll.xSPRDOPT($BW32,$BV32,$CG32,0,$BY32,$BX32,$BZ32,$AJ32,1,3)*$CB32</f>
        <v>0</v>
      </c>
      <c r="BH32" s="137">
        <f>IF(OR(BF32&lt;&gt;0,BG32&lt;&gt;0),_xll.xSPRDOPT($BW32,$BV32,$CG32,0,$BY32,$BX32,$BZ32,$AJ32,1,12)*$CB32,0)</f>
        <v>2.9174636315130009E-7</v>
      </c>
      <c r="BI32" s="137">
        <f>_xll.xSPRDOPT($BW32,$BV32,$CG32,2*LN(1+CA32/2),$BY32,$BX32,$BZ32,$AJ32,1,9)</f>
        <v>7.7890118695716848E-3</v>
      </c>
      <c r="BJ32" s="137">
        <f>_xll.xSPRDOPT($BW32,$BV32,$CG32,0,$BY32,$BX32,$BZ32,$AJ32,1,6)*$CB32</f>
        <v>-5.5442093102046663E-5</v>
      </c>
      <c r="BK32" s="137">
        <f>_xll.xSPRDOPT($BW32,$BV32,$CG32,0,$BY32,$BX32,$BZ32,$AJ32,1,5)*$CB32</f>
        <v>6.1907382114491851E-5</v>
      </c>
      <c r="BL32" s="137">
        <f>_xll.xSPRDOPT(BW32,BV32,CG32,0,BY32,BX32,BZ32,AJ32,1,2)*CB32</f>
        <v>-0.97893466842336396</v>
      </c>
      <c r="BM32" s="137">
        <f>_xll.xSPRDOPT(BW32,BV32,CG32,0,BY32,BX32,BZ32,AJ32,1,1)*CB32</f>
        <v>0.97893466841446053</v>
      </c>
      <c r="BN32" s="137">
        <f>IF(AH32&lt;&gt;0,_xll.xSPRDOPT($BW32,$BV32,$CG32,2*LN(1+CA32/2),$BY32,$BX32,$BZ32,$AJ32,1,8)+(AJ32/365.25)*CH32/AH32,0)</f>
        <v>2.8243812505187482E-2</v>
      </c>
      <c r="BO32" s="137">
        <f>_xll.xSPRDOPT($BW32,$BV32,$CG32,0,$BY32,$BX32,$BZ32,$AJ32,1,0)</f>
        <v>0.34393690421035411</v>
      </c>
      <c r="BP32" s="137"/>
      <c r="BQ32" s="137"/>
      <c r="BR32" s="137"/>
      <c r="BS32" s="137"/>
      <c r="BV32" s="262">
        <v>3.2786632390745498</v>
      </c>
      <c r="BW32" s="136">
        <v>3.661</v>
      </c>
      <c r="BX32" s="137">
        <v>0.55747603107447763</v>
      </c>
      <c r="BY32" s="137">
        <v>0.55747603107447763</v>
      </c>
      <c r="BZ32" s="137">
        <v>1</v>
      </c>
      <c r="CA32" s="137">
        <v>2.3274064967752799E-2</v>
      </c>
      <c r="CB32" s="137">
        <v>0.97893835036076038</v>
      </c>
      <c r="CC32" s="258">
        <v>-2.5000000000000001E-2</v>
      </c>
      <c r="CD32" s="258">
        <v>2.5000000000000001E-3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356</v>
      </c>
      <c r="G33" s="28">
        <f t="shared" si="13"/>
        <v>347.62087050274357</v>
      </c>
      <c r="H33" s="52">
        <f t="shared" si="14"/>
        <v>3.4431876606683804</v>
      </c>
      <c r="I33" s="52">
        <f t="shared" si="15"/>
        <v>3.7709999999999999</v>
      </c>
      <c r="K33" s="52">
        <f t="shared" si="16"/>
        <v>8.7606147452625898</v>
      </c>
      <c r="L33" s="135">
        <f t="shared" si="17"/>
        <v>3.8720337499853485E-5</v>
      </c>
      <c r="N33" s="131">
        <f t="shared" si="48"/>
        <v>0.57103652777154523</v>
      </c>
      <c r="O33" s="131">
        <f t="shared" si="49"/>
        <v>0.57103652777154523</v>
      </c>
      <c r="P33" s="55">
        <f t="shared" si="50"/>
        <v>1.0000000000000002</v>
      </c>
      <c r="Q33" s="135">
        <f>_xll.xSPRDOPT(I33,H33,AQ33,0,O33,N33,P33,D33-$G$5,1,0)*AH33*AU33</f>
        <v>8.7606534656000896</v>
      </c>
      <c r="R33" s="135"/>
      <c r="S33" s="181">
        <f>_xll.xSPRDOPT(I33,H33,AQ33,AT33,O33,N33,P33,D33-$G$5,1,2)*AF33*(F33/(1-AR33))*AH33</f>
        <v>-11079.074547330167</v>
      </c>
      <c r="T33" s="181">
        <f>_xll.xSPRDOPT(I33,H33,AQ33,AT33,O33,N33,P33,D33-$G$5,1,1)*AF33*F33*AH33</f>
        <v>10774.39999715814</v>
      </c>
      <c r="U33" s="135"/>
      <c r="V33" s="146">
        <f t="shared" si="18"/>
        <v>11.360464869915926</v>
      </c>
      <c r="W33" s="146"/>
      <c r="X33" s="338">
        <f t="shared" si="19"/>
        <v>0</v>
      </c>
      <c r="Y33" s="338">
        <f t="shared" si="20"/>
        <v>0</v>
      </c>
      <c r="Z33" s="338">
        <f t="shared" si="21"/>
        <v>0.61281385113666631</v>
      </c>
      <c r="AA33" s="338">
        <f t="shared" si="22"/>
        <v>1.0386517641656213E-4</v>
      </c>
      <c r="AB33" s="338">
        <f t="shared" si="23"/>
        <v>0</v>
      </c>
      <c r="AC33" s="338">
        <f t="shared" si="24"/>
        <v>0.61749173184181172</v>
      </c>
      <c r="AF33" s="138">
        <f t="shared" si="25"/>
        <v>1</v>
      </c>
      <c r="AG33" s="138">
        <f t="shared" si="26"/>
        <v>12</v>
      </c>
      <c r="AH33" s="138">
        <f t="shared" si="27"/>
        <v>31</v>
      </c>
      <c r="AI33" s="138">
        <f t="shared" si="51"/>
        <v>349</v>
      </c>
      <c r="AJ33" s="138">
        <f t="shared" si="28"/>
        <v>366</v>
      </c>
      <c r="AL33" s="136">
        <f t="shared" si="29"/>
        <v>3.371</v>
      </c>
      <c r="AM33" s="258">
        <f t="shared" si="30"/>
        <v>-2.5000000000000001E-2</v>
      </c>
      <c r="AN33" s="258">
        <f t="shared" si="31"/>
        <v>2.5000000000000001E-3</v>
      </c>
      <c r="AO33" s="258">
        <f t="shared" si="32"/>
        <v>0.4</v>
      </c>
      <c r="AP33" s="258">
        <f t="shared" si="33"/>
        <v>0</v>
      </c>
      <c r="AQ33" s="136">
        <f t="shared" si="34"/>
        <v>3.8399999999999997E-2</v>
      </c>
      <c r="AR33" s="137">
        <f t="shared" si="35"/>
        <v>2.75E-2</v>
      </c>
      <c r="AS33" s="136">
        <f t="shared" si="36"/>
        <v>3.3485</v>
      </c>
      <c r="AT33" s="137">
        <f t="shared" si="37"/>
        <v>2.4110098358835999E-2</v>
      </c>
      <c r="AU33" s="137">
        <f t="shared" si="38"/>
        <v>0.97646311938972907</v>
      </c>
      <c r="AV33" s="394">
        <f t="shared" si="39"/>
        <v>302.70356701081602</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-6.9828338098512294E-7</v>
      </c>
      <c r="BG33" s="137">
        <f>_xll.xSPRDOPT($BW33,$BV33,$CG33,0,$BY33,$BX33,$BZ33,$AJ33,1,3)*$CB33</f>
        <v>-6.9828338098512294E-7</v>
      </c>
      <c r="BH33" s="137">
        <f>IF(OR(BF33&lt;&gt;0,BG33&lt;&gt;0),_xll.xSPRDOPT($BW33,$BV33,$CG33,0,$BY33,$BX33,$BZ33,$AJ33,1,12)*$CB33,0)</f>
        <v>1.0474250714776844E-6</v>
      </c>
      <c r="BI33" s="137">
        <f>_xll.xSPRDOPT($BW33,$BV33,$CG33,2*LN(1+CA33/2),$BY33,$BX33,$BZ33,$AJ33,1,9)</f>
        <v>6.7606094940095259E-3</v>
      </c>
      <c r="BJ33" s="137">
        <f>_xll.xSPRDOPT($BW33,$BV33,$CG33,0,$BY33,$BX33,$BZ33,$AJ33,1,6)*$CB33</f>
        <v>-4.0098512892264385E-4</v>
      </c>
      <c r="BK33" s="137">
        <f>_xll.xSPRDOPT($BW33,$BV33,$CG33,0,$BY33,$BX33,$BZ33,$AJ33,1,5)*$CB33</f>
        <v>4.3916135754634673E-4</v>
      </c>
      <c r="BL33" s="137">
        <f>_xll.xSPRDOPT(BW33,BV33,CG33,0,BY33,BX33,BZ33,AJ33,1,2)*CB33</f>
        <v>-0.97624370890552659</v>
      </c>
      <c r="BM33" s="137">
        <f>_xll.xSPRDOPT(BW33,BV33,CG33,0,BY33,BX33,BZ33,AJ33,1,1)*CB33</f>
        <v>0.97624370889398371</v>
      </c>
      <c r="BN33" s="137">
        <f>IF(AH33&lt;&gt;0,_xll.xSPRDOPT($BW33,$BV33,$CG33,2*LN(1+CA33/2),$BY33,$BX33,$BZ33,$AJ33,1,8)+(AJ33/365.25)*CH33/AH33,0)</f>
        <v>8.4020469851431412E-2</v>
      </c>
      <c r="BO33" s="137">
        <f>_xll.xSPRDOPT($BW33,$BV33,$CG33,0,$BY33,$BX33,$BZ33,$AJ33,1,0)</f>
        <v>0.2894137008954728</v>
      </c>
      <c r="BP33" s="137"/>
      <c r="BQ33" s="137"/>
      <c r="BR33" s="137"/>
      <c r="BS33" s="137"/>
      <c r="BV33" s="262">
        <v>3.4431876606683804</v>
      </c>
      <c r="BW33" s="136">
        <v>3.7709999999999999</v>
      </c>
      <c r="BX33" s="137">
        <v>0.570790000341453</v>
      </c>
      <c r="BY33" s="137">
        <v>0.570790000341453</v>
      </c>
      <c r="BZ33" s="137">
        <v>1</v>
      </c>
      <c r="CA33" s="137">
        <v>2.4110098358835999E-2</v>
      </c>
      <c r="CB33" s="137">
        <v>0.97627092599980836</v>
      </c>
      <c r="CC33" s="258">
        <v>-2.5000000000000001E-2</v>
      </c>
      <c r="CD33" s="258">
        <v>2.5000000000000001E-3</v>
      </c>
      <c r="CE33" s="258">
        <v>0.4</v>
      </c>
      <c r="CF33" s="258">
        <v>0</v>
      </c>
      <c r="CG33" s="258">
        <v>3.8399999999999997E-2</v>
      </c>
      <c r="CH33" s="258">
        <v>11.358228834359572</v>
      </c>
      <c r="CI33" s="258">
        <v>3.371</v>
      </c>
      <c r="CJ33" s="258"/>
      <c r="CK33" s="258"/>
      <c r="CL33" s="258"/>
      <c r="CM33" s="258"/>
    </row>
    <row r="34" spans="1:91" x14ac:dyDescent="0.25">
      <c r="A34" s="723"/>
      <c r="B34" s="723"/>
      <c r="D34" s="31">
        <f t="shared" ref="D34:D89" si="52">D33+AH33</f>
        <v>37636</v>
      </c>
      <c r="F34" s="28">
        <f t="shared" ref="F34:F89" si="53">VLOOKUP(AG34,$AL$4:$AS$15,2)</f>
        <v>356</v>
      </c>
      <c r="G34" s="28">
        <f t="shared" si="13"/>
        <v>346.57149055145504</v>
      </c>
      <c r="H34" s="52">
        <f t="shared" ref="H34:H89" si="54">(AL34+AM34+AN34)/(1-(AR34))</f>
        <v>3.5203084832904885</v>
      </c>
      <c r="I34" s="52">
        <f t="shared" ref="I34:I89" si="55">(AL34+AO34+AP34)</f>
        <v>3.7960000000000003</v>
      </c>
      <c r="K34" s="52">
        <f t="shared" ref="K34:K89" si="56">MAX(((I34-H34)-AQ34)*AU34*AH34,0)</f>
        <v>7.1913944665316167</v>
      </c>
      <c r="L34" s="135">
        <f t="shared" ref="L34:L89" si="57">MAX(Q34-K34,0)</f>
        <v>1.5244298871674999E-4</v>
      </c>
      <c r="N34" s="131">
        <f t="shared" si="48"/>
        <v>0.5685912571426992</v>
      </c>
      <c r="O34" s="131">
        <f t="shared" si="49"/>
        <v>0.5685912571426992</v>
      </c>
      <c r="P34" s="55">
        <f t="shared" si="50"/>
        <v>0.99999999999999989</v>
      </c>
      <c r="Q34" s="135">
        <f>_xll.xSPRDOPT(I34,H34,AQ34,0,O34,N34,P34,D34-$G$5,1,0)*AH34*AU34</f>
        <v>7.1915469095203335</v>
      </c>
      <c r="R34" s="135"/>
      <c r="S34" s="181">
        <f>_xll.xSPRDOPT(I34,H34,AQ34,AT34,O34,N34,P34,D34-$G$5,1,2)*AF34*(F34/(1-AR34))*AH34</f>
        <v>-11043.696665347508</v>
      </c>
      <c r="T34" s="181">
        <f>_xll.xSPRDOPT(I34,H34,AQ34,AT34,O34,N34,P34,D34-$G$5,1,1)*AF34*F34*AH34</f>
        <v>10739.995007080564</v>
      </c>
      <c r="U34" s="135"/>
      <c r="V34" s="146">
        <f t="shared" ref="V34:V89" si="58">VLOOKUP($AG34,$AL$4:$AS$15,8)*AH34*AU34</f>
        <v>11.32617048461459</v>
      </c>
      <c r="W34" s="146"/>
      <c r="X34" s="338">
        <f t="shared" ref="X34:X89" si="59">((BM34*BC34)+(BL34*BB34))*AH34*F34</f>
        <v>0</v>
      </c>
      <c r="Y34" s="338">
        <f t="shared" si="20"/>
        <v>0</v>
      </c>
      <c r="Z34" s="338">
        <f t="shared" si="21"/>
        <v>0.51863690826551712</v>
      </c>
      <c r="AA34" s="338">
        <f t="shared" si="22"/>
        <v>4.7748004126496965E-4</v>
      </c>
      <c r="AB34" s="338">
        <f t="shared" ref="AB34:AB89" si="60">BN34*(AT34-CA34)*F34*AH34</f>
        <v>0</v>
      </c>
      <c r="AC34" s="338">
        <f t="shared" ref="AC34:AC89" si="61">BO34*CB34*F34*AH34*CA34*($G$5-$BV$5)/365.25</f>
        <v>0.52640778130545729</v>
      </c>
      <c r="AF34" s="138">
        <f t="shared" ref="AF34:AF89" si="62">IF(AND(D34&gt;=$G$7,D34&lt;=$G$8),1,0)</f>
        <v>1</v>
      </c>
      <c r="AG34" s="138">
        <f t="shared" ref="AG34:AG89" si="63">MONTH(D34)</f>
        <v>1</v>
      </c>
      <c r="AH34" s="138">
        <f t="shared" si="27"/>
        <v>31</v>
      </c>
      <c r="AI34" s="138">
        <f t="shared" ref="AI34:AI89" si="64">AI33+AH33</f>
        <v>380</v>
      </c>
      <c r="AJ34" s="138">
        <f t="shared" ref="AJ34:AJ89" si="65">D34-$BV$5</f>
        <v>397</v>
      </c>
      <c r="AL34" s="136">
        <f t="shared" si="29"/>
        <v>3.4460000000000002</v>
      </c>
      <c r="AM34" s="258">
        <f t="shared" si="30"/>
        <v>-2.5000000000000001E-2</v>
      </c>
      <c r="AN34" s="258">
        <f t="shared" si="31"/>
        <v>2.5000000000000001E-3</v>
      </c>
      <c r="AO34" s="258">
        <f t="shared" si="32"/>
        <v>0.35</v>
      </c>
      <c r="AP34" s="258">
        <f t="shared" si="33"/>
        <v>0</v>
      </c>
      <c r="AQ34" s="136">
        <f t="shared" ref="AQ34:AQ89" si="66">VLOOKUP($AG34,$AL$4:$AS$15,3)+VLOOKUP($AG34,$AL$4:$AS$15,5)+($AH$10*VLOOKUP(D34,GRITable,2))</f>
        <v>3.7400000000000003E-2</v>
      </c>
      <c r="AR34" s="137">
        <f t="shared" si="35"/>
        <v>2.75E-2</v>
      </c>
      <c r="AS34" s="136">
        <f t="shared" ref="AS34:AS89" si="67">(AL34+AM34+AN34)</f>
        <v>3.4235000000000002</v>
      </c>
      <c r="AT34" s="137">
        <f t="shared" ref="AT34:AT89" si="68">VLOOKUP(D34,CurveTbl,$AK$6)</f>
        <v>2.50384261928196E-2</v>
      </c>
      <c r="AU34" s="137">
        <f t="shared" si="38"/>
        <v>0.97351542289734561</v>
      </c>
      <c r="AV34" s="394">
        <f t="shared" ref="AV34:AV89" si="69">ROUND((F34/(1-AR34))-F34,0)*AF34*AH34*AU34</f>
        <v>301.78978109817712</v>
      </c>
      <c r="AW34" s="137">
        <f t="shared" si="40"/>
        <v>0.53749999999999998</v>
      </c>
      <c r="AX34" s="137">
        <f t="shared" si="41"/>
        <v>1.08</v>
      </c>
      <c r="AY34" s="137">
        <f t="shared" si="42"/>
        <v>1.08</v>
      </c>
      <c r="AZ34" s="137"/>
      <c r="BA34" s="264"/>
      <c r="BB34" s="258">
        <f t="shared" si="43"/>
        <v>0</v>
      </c>
      <c r="BC34" s="258">
        <f t="shared" ref="BC34:BC89" si="70">I34-BW34</f>
        <v>0</v>
      </c>
      <c r="BD34" s="137">
        <f t="shared" ref="BD34:BD89" si="71">N34-BX34</f>
        <v>2.2770835683916246E-4</v>
      </c>
      <c r="BE34" s="137">
        <f t="shared" ref="BE34:BE89" si="72">O34-BY34</f>
        <v>2.2770835683916246E-4</v>
      </c>
      <c r="BF34" s="137">
        <f>_xll.xSPRDOPT($BW34,$BV34,$CG34,0,$BY34,$BX34,$BZ34,$AJ34,1,4)*$CB34</f>
        <v>4.0609928061562529E-7</v>
      </c>
      <c r="BG34" s="137">
        <f>_xll.xSPRDOPT($BW34,$BV34,$CG34,0,$BY34,$BX34,$BZ34,$AJ34,1,3)*$CB34</f>
        <v>5.8014182945089324E-8</v>
      </c>
      <c r="BH34" s="137">
        <f>IF(OR(BF34&lt;&gt;0,BG34&lt;&gt;0),_xll.xSPRDOPT($BW34,$BV34,$CG34,0,$BY34,$BX34,$BZ34,$AJ34,1,12)*$CB34,0)</f>
        <v>1.1602836589017865E-7</v>
      </c>
      <c r="BI34" s="137">
        <f>_xll.xSPRDOPT($BW34,$BV34,$CG34,2*LN(1+CA34/2),$BY34,$BX34,$BZ34,$AJ34,1,9)</f>
        <v>5.7216422237519673E-3</v>
      </c>
      <c r="BJ34" s="137">
        <f>_xll.xSPRDOPT($BW34,$BV34,$CG34,0,$BY34,$BX34,$BZ34,$AJ34,1,6)*$CB34</f>
        <v>-2.42617370217817E-3</v>
      </c>
      <c r="BK34" s="137">
        <f>_xll.xSPRDOPT($BW34,$BV34,$CG34,0,$BY34,$BX34,$BZ34,$AJ34,1,5)*$CB34</f>
        <v>2.6161784973874995E-3</v>
      </c>
      <c r="BL34" s="137">
        <f>_xll.xSPRDOPT(BW34,BV34,CG34,0,BY34,BX34,BZ34,AJ34,1,2)*CB34</f>
        <v>-0.97314384377961749</v>
      </c>
      <c r="BM34" s="137">
        <f>_xll.xSPRDOPT(BW34,BV34,CG34,0,BY34,BX34,BZ34,AJ34,1,1)*CB34</f>
        <v>0.97314384378404362</v>
      </c>
      <c r="BN34" s="137">
        <f>IF(AH34&lt;&gt;0,_xll.xSPRDOPT($BW34,$BV34,$CG34,2*LN(1+CA34/2),$BY34,$BX34,$BZ34,$AJ34,1,8)+(AJ34/365.25)*CH34/AH34,0)</f>
        <v>0.14493878269371802</v>
      </c>
      <c r="BO34" s="137">
        <f>_xll.xSPRDOPT($BW34,$BV34,$CG34,0,$BY34,$BX34,$BZ34,$AJ34,1,0)</f>
        <v>0.23829694508664237</v>
      </c>
      <c r="BP34" s="137"/>
      <c r="BQ34" s="137"/>
      <c r="BR34" s="137"/>
      <c r="BS34" s="137"/>
      <c r="BV34" s="262">
        <v>3.5203084832904885</v>
      </c>
      <c r="BW34" s="136">
        <v>3.7960000000000003</v>
      </c>
      <c r="BX34" s="137">
        <v>0.56836354878586004</v>
      </c>
      <c r="BY34" s="137">
        <v>0.56836354878586004</v>
      </c>
      <c r="BZ34" s="137">
        <v>1</v>
      </c>
      <c r="CA34" s="137">
        <v>2.50384261928196E-2</v>
      </c>
      <c r="CB34" s="137">
        <v>0.97331647833327972</v>
      </c>
      <c r="CC34" s="258">
        <v>-2.5000000000000001E-2</v>
      </c>
      <c r="CD34" s="258">
        <v>2.5000000000000001E-3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52"/>
        <v>37667</v>
      </c>
      <c r="F35" s="28">
        <f t="shared" si="53"/>
        <v>356</v>
      </c>
      <c r="G35" s="28">
        <f t="shared" si="13"/>
        <v>345.44062108050196</v>
      </c>
      <c r="H35" s="52">
        <f t="shared" si="54"/>
        <v>3.4431876606683804</v>
      </c>
      <c r="I35" s="52">
        <f t="shared" si="55"/>
        <v>3.7210000000000001</v>
      </c>
      <c r="K35" s="52">
        <f t="shared" si="56"/>
        <v>6.5318799404372756</v>
      </c>
      <c r="L35" s="135">
        <f t="shared" si="57"/>
        <v>1.6582299049083815E-4</v>
      </c>
      <c r="N35" s="131">
        <f t="shared" si="48"/>
        <v>0.5545383214891465</v>
      </c>
      <c r="O35" s="131">
        <f t="shared" si="49"/>
        <v>0.5545383214891465</v>
      </c>
      <c r="P35" s="55">
        <f t="shared" si="50"/>
        <v>1</v>
      </c>
      <c r="Q35" s="135">
        <f>_xll.xSPRDOPT(I35,H35,AQ35,0,O35,N35,P35,D35-$G$5,1,0)*AH35*AU35</f>
        <v>6.5320457634277664</v>
      </c>
      <c r="R35" s="135"/>
      <c r="S35" s="181">
        <f>_xll.xSPRDOPT(I35,H35,AQ35,AT35,O35,N35,P35,D35-$G$5,1,2)*AF35*(F35/(1-AR35))*AH35</f>
        <v>-9942.1765917828616</v>
      </c>
      <c r="T35" s="181">
        <f>_xll.xSPRDOPT(I35,H35,AQ35,AT35,O35,N35,P35,D35-$G$5,1,1)*AF35*F35*AH35</f>
        <v>9668.7667355088342</v>
      </c>
      <c r="U35" s="135"/>
      <c r="V35" s="146">
        <f t="shared" si="58"/>
        <v>10.196708490343671</v>
      </c>
      <c r="W35" s="146"/>
      <c r="X35" s="338">
        <f t="shared" si="59"/>
        <v>0</v>
      </c>
      <c r="Y35" s="338">
        <f t="shared" si="20"/>
        <v>0</v>
      </c>
      <c r="Z35" s="338">
        <f t="shared" si="21"/>
        <v>0.49040498103624247</v>
      </c>
      <c r="AA35" s="338">
        <f t="shared" si="22"/>
        <v>3.5553812124533395E-4</v>
      </c>
      <c r="AB35" s="338">
        <f t="shared" si="60"/>
        <v>0</v>
      </c>
      <c r="AC35" s="338">
        <f t="shared" si="61"/>
        <v>0.49735067503818786</v>
      </c>
      <c r="AF35" s="138">
        <f t="shared" si="62"/>
        <v>1</v>
      </c>
      <c r="AG35" s="138">
        <f t="shared" si="63"/>
        <v>2</v>
      </c>
      <c r="AH35" s="138">
        <f t="shared" si="27"/>
        <v>28</v>
      </c>
      <c r="AI35" s="138">
        <f t="shared" si="64"/>
        <v>411</v>
      </c>
      <c r="AJ35" s="138">
        <f t="shared" si="65"/>
        <v>428</v>
      </c>
      <c r="AL35" s="136">
        <f t="shared" si="29"/>
        <v>3.371</v>
      </c>
      <c r="AM35" s="258">
        <f t="shared" si="30"/>
        <v>-2.5000000000000001E-2</v>
      </c>
      <c r="AN35" s="258">
        <f t="shared" si="31"/>
        <v>2.5000000000000001E-3</v>
      </c>
      <c r="AO35" s="258">
        <f t="shared" si="32"/>
        <v>0.35</v>
      </c>
      <c r="AP35" s="258">
        <f t="shared" si="33"/>
        <v>0</v>
      </c>
      <c r="AQ35" s="136">
        <f t="shared" si="66"/>
        <v>3.7400000000000003E-2</v>
      </c>
      <c r="AR35" s="137">
        <f t="shared" si="35"/>
        <v>2.75E-2</v>
      </c>
      <c r="AS35" s="136">
        <f t="shared" si="67"/>
        <v>3.3485</v>
      </c>
      <c r="AT35" s="137">
        <f t="shared" si="68"/>
        <v>2.6044986419747399E-2</v>
      </c>
      <c r="AU35" s="137">
        <f t="shared" si="38"/>
        <v>0.97033882325983689</v>
      </c>
      <c r="AV35" s="394">
        <f t="shared" si="69"/>
        <v>271.69487051275433</v>
      </c>
      <c r="AW35" s="137">
        <f t="shared" si="40"/>
        <v>0.52749999999999997</v>
      </c>
      <c r="AX35" s="137">
        <f t="shared" si="41"/>
        <v>1.08</v>
      </c>
      <c r="AY35" s="137">
        <f t="shared" si="42"/>
        <v>1.08</v>
      </c>
      <c r="AZ35" s="137"/>
      <c r="BA35" s="264"/>
      <c r="BB35" s="258">
        <f t="shared" si="43"/>
        <v>0</v>
      </c>
      <c r="BC35" s="258">
        <f t="shared" si="70"/>
        <v>0</v>
      </c>
      <c r="BD35" s="137">
        <f t="shared" si="71"/>
        <v>1.8493142576248012E-4</v>
      </c>
      <c r="BE35" s="137">
        <f t="shared" si="72"/>
        <v>1.8493142576248012E-4</v>
      </c>
      <c r="BF35" s="137">
        <f>_xll.xSPRDOPT($BW35,$BV35,$CG35,0,$BY35,$BX35,$BZ35,$AJ35,1,4)*$CB35</f>
        <v>-3.46946457070814E-7</v>
      </c>
      <c r="BG35" s="137">
        <f>_xll.xSPRDOPT($BW35,$BV35,$CG35,0,$BY35,$BX35,$BZ35,$AJ35,1,3)*$CB35</f>
        <v>-8.6736614267703497E-7</v>
      </c>
      <c r="BH35" s="137">
        <f>IF(OR(BF35&lt;&gt;0,BG35&lt;&gt;0),_xll.xSPRDOPT($BW35,$BV35,$CG35,0,$BY35,$BX35,$BZ35,$AJ35,1,12)*$CB35,0)</f>
        <v>7.8062952840933148E-7</v>
      </c>
      <c r="BI35" s="137">
        <f>_xll.xSPRDOPT($BW35,$BV35,$CG35,2*LN(1+CA35/2),$BY35,$BX35,$BZ35,$AJ35,1,9)</f>
        <v>5.9898481582225651E-3</v>
      </c>
      <c r="BJ35" s="137">
        <f>_xll.xSPRDOPT($BW35,$BV35,$CG35,0,$BY35,$BX35,$BZ35,$AJ35,1,6)*$CB35</f>
        <v>-2.3904330900728328E-3</v>
      </c>
      <c r="BK35" s="137">
        <f>_xll.xSPRDOPT($BW35,$BV35,$CG35,0,$BY35,$BX35,$BZ35,$AJ35,1,5)*$CB35</f>
        <v>2.5833043093157226E-3</v>
      </c>
      <c r="BL35" s="137">
        <f>_xll.xSPRDOPT(BW35,BV35,CG35,0,BY35,BX35,BZ35,AJ35,1,2)*CB35</f>
        <v>-0.96996543642704702</v>
      </c>
      <c r="BM35" s="137">
        <f>_xll.xSPRDOPT(BW35,BV35,CG35,0,BY35,BX35,BZ35,AJ35,1,1)*CB35</f>
        <v>0.96996543642528232</v>
      </c>
      <c r="BN35" s="137">
        <f>IF(AH35&lt;&gt;0,_xll.xSPRDOPT($BW35,$BV35,$CG35,2*LN(1+CA35/2),$BY35,$BX35,$BZ35,$AJ35,1,8)+(AJ35/365.25)*CH35/AH35,0)</f>
        <v>0.15333316033547512</v>
      </c>
      <c r="BO35" s="137">
        <f>_xll.xSPRDOPT($BW35,$BV35,$CG35,0,$BY35,$BX35,$BZ35,$AJ35,1,0)</f>
        <v>0.24041879410707725</v>
      </c>
      <c r="BP35" s="137"/>
      <c r="BQ35" s="137"/>
      <c r="BR35" s="137"/>
      <c r="BS35" s="137"/>
      <c r="BV35" s="262">
        <v>3.4431876606683804</v>
      </c>
      <c r="BW35" s="136">
        <v>3.7210000000000001</v>
      </c>
      <c r="BX35" s="137">
        <v>0.55435339006338402</v>
      </c>
      <c r="BY35" s="137">
        <v>0.55435339006338402</v>
      </c>
      <c r="BZ35" s="137">
        <v>1</v>
      </c>
      <c r="CA35" s="137">
        <v>2.6044986419747399E-2</v>
      </c>
      <c r="CB35" s="137">
        <v>0.97013260845196225</v>
      </c>
      <c r="CC35" s="258">
        <v>-2.5000000000000001E-2</v>
      </c>
      <c r="CD35" s="258">
        <v>2.5000000000000001E-3</v>
      </c>
      <c r="CE35" s="258">
        <v>0.35</v>
      </c>
      <c r="CF35" s="258">
        <v>0</v>
      </c>
      <c r="CG35" s="258">
        <v>3.7400000000000003E-2</v>
      </c>
      <c r="CH35" s="258">
        <v>10.1945415026566</v>
      </c>
      <c r="CI35" s="258">
        <v>3.371</v>
      </c>
      <c r="CJ35" s="258"/>
      <c r="CK35" s="258"/>
      <c r="CL35" s="258"/>
      <c r="CM35" s="258"/>
    </row>
    <row r="36" spans="1:91" x14ac:dyDescent="0.25">
      <c r="A36" s="723"/>
      <c r="B36" s="723"/>
      <c r="D36" s="31">
        <f t="shared" si="52"/>
        <v>37695</v>
      </c>
      <c r="F36" s="28">
        <f t="shared" si="53"/>
        <v>356</v>
      </c>
      <c r="G36" s="28">
        <f t="shared" si="13"/>
        <v>344.37260392922747</v>
      </c>
      <c r="H36" s="52">
        <f t="shared" si="54"/>
        <v>3.3506426735218509</v>
      </c>
      <c r="I36" s="52">
        <f t="shared" si="55"/>
        <v>3.681</v>
      </c>
      <c r="K36" s="52">
        <f t="shared" si="56"/>
        <v>8.7850584217476868</v>
      </c>
      <c r="L36" s="135">
        <f t="shared" si="57"/>
        <v>2.1265007537962788E-5</v>
      </c>
      <c r="N36" s="131">
        <f t="shared" si="48"/>
        <v>0.50303598357381651</v>
      </c>
      <c r="O36" s="131">
        <f t="shared" si="49"/>
        <v>0.50303598357381651</v>
      </c>
      <c r="P36" s="55">
        <f t="shared" si="50"/>
        <v>1</v>
      </c>
      <c r="Q36" s="135">
        <f>_xll.xSPRDOPT(I36,H36,AQ36,0,O36,N36,P36,D36-$G$5,1,0)*AH36*AU36</f>
        <v>8.7850796867552248</v>
      </c>
      <c r="R36" s="135"/>
      <c r="S36" s="181">
        <f>_xll.xSPRDOPT(I36,H36,AQ36,AT36,O36,N36,P36,D36-$G$5,1,2)*AF36*(F36/(1-AR36))*AH36</f>
        <v>-10974.86734991704</v>
      </c>
      <c r="T36" s="181">
        <f>_xll.xSPRDOPT(I36,H36,AQ36,AT36,O36,N36,P36,D36-$G$5,1,1)*AF36*F36*AH36</f>
        <v>10673.058497864582</v>
      </c>
      <c r="U36" s="135"/>
      <c r="V36" s="146">
        <f t="shared" si="58"/>
        <v>11.254309510937674</v>
      </c>
      <c r="W36" s="146"/>
      <c r="X36" s="338">
        <f t="shared" si="59"/>
        <v>0</v>
      </c>
      <c r="Y36" s="338">
        <f t="shared" si="20"/>
        <v>0</v>
      </c>
      <c r="Z36" s="338">
        <f t="shared" si="21"/>
        <v>0.68731844310537638</v>
      </c>
      <c r="AA36" s="338">
        <f t="shared" si="22"/>
        <v>1.8093086045420664E-5</v>
      </c>
      <c r="AB36" s="338">
        <f t="shared" si="60"/>
        <v>0</v>
      </c>
      <c r="AC36" s="338">
        <f t="shared" si="61"/>
        <v>0.69224003421800451</v>
      </c>
      <c r="AF36" s="138">
        <f t="shared" si="62"/>
        <v>1</v>
      </c>
      <c r="AG36" s="138">
        <f t="shared" si="63"/>
        <v>3</v>
      </c>
      <c r="AH36" s="138">
        <f t="shared" si="27"/>
        <v>31</v>
      </c>
      <c r="AI36" s="138">
        <f t="shared" si="64"/>
        <v>439</v>
      </c>
      <c r="AJ36" s="138">
        <f t="shared" si="65"/>
        <v>456</v>
      </c>
      <c r="AL36" s="136">
        <f t="shared" si="29"/>
        <v>3.2810000000000001</v>
      </c>
      <c r="AM36" s="258">
        <f t="shared" si="30"/>
        <v>-2.5000000000000001E-2</v>
      </c>
      <c r="AN36" s="258">
        <f t="shared" si="31"/>
        <v>2.5000000000000001E-3</v>
      </c>
      <c r="AO36" s="258">
        <f t="shared" si="32"/>
        <v>0.4</v>
      </c>
      <c r="AP36" s="258">
        <f t="shared" si="33"/>
        <v>0</v>
      </c>
      <c r="AQ36" s="136">
        <f t="shared" si="66"/>
        <v>3.7400000000000003E-2</v>
      </c>
      <c r="AR36" s="137">
        <f t="shared" si="35"/>
        <v>2.75E-2</v>
      </c>
      <c r="AS36" s="136">
        <f t="shared" si="67"/>
        <v>3.2585000000000002</v>
      </c>
      <c r="AT36" s="137">
        <f t="shared" si="68"/>
        <v>2.6954137886657601E-2</v>
      </c>
      <c r="AU36" s="137">
        <f t="shared" si="38"/>
        <v>0.96733877508209964</v>
      </c>
      <c r="AV36" s="394">
        <f t="shared" si="69"/>
        <v>299.87502027545088</v>
      </c>
      <c r="AW36" s="137">
        <f t="shared" si="40"/>
        <v>0.48749999999999999</v>
      </c>
      <c r="AX36" s="137">
        <f t="shared" si="41"/>
        <v>0.83</v>
      </c>
      <c r="AY36" s="137">
        <f t="shared" si="42"/>
        <v>0.83</v>
      </c>
      <c r="AZ36" s="137"/>
      <c r="BA36" s="264"/>
      <c r="BB36" s="258">
        <f t="shared" si="43"/>
        <v>0</v>
      </c>
      <c r="BC36" s="258">
        <f t="shared" si="70"/>
        <v>0</v>
      </c>
      <c r="BD36" s="137">
        <f t="shared" si="71"/>
        <v>1.0031212319616678E-4</v>
      </c>
      <c r="BE36" s="137">
        <f t="shared" si="72"/>
        <v>1.0031212319616678E-4</v>
      </c>
      <c r="BF36" s="137">
        <f>_xll.xSPRDOPT($BW36,$BV36,$CG36,0,$BY36,$BX36,$BZ36,$AJ36,1,4)*$CB36</f>
        <v>-3.4587123526404287E-7</v>
      </c>
      <c r="BG36" s="137">
        <f>_xll.xSPRDOPT($BW36,$BV36,$CG36,0,$BY36,$BX36,$BZ36,$AJ36,1,3)*$CB36</f>
        <v>-2.3058082350936192E-7</v>
      </c>
      <c r="BH36" s="137">
        <f>IF(OR(BF36&lt;&gt;0,BG36&lt;&gt;0),_xll.xSPRDOPT($BW36,$BV36,$CG36,0,$BY36,$BX36,$BZ36,$AJ36,1,12)*$CB36,0)</f>
        <v>-5.7645205877340481E-8</v>
      </c>
      <c r="BI36" s="137">
        <f>_xll.xSPRDOPT($BW36,$BV36,$CG36,2*LN(1+CA36/2),$BY36,$BX36,$BZ36,$AJ36,1,9)</f>
        <v>7.5825498774990552E-3</v>
      </c>
      <c r="BJ36" s="137">
        <f>_xll.xSPRDOPT($BW36,$BV36,$CG36,0,$BY36,$BX36,$BZ36,$AJ36,1,6)*$CB36</f>
        <v>-1.6576451705283603E-4</v>
      </c>
      <c r="BK36" s="137">
        <f>_xll.xSPRDOPT($BW36,$BV36,$CG36,0,$BY36,$BX36,$BZ36,$AJ36,1,5)*$CB36</f>
        <v>1.8210810987901748E-4</v>
      </c>
      <c r="BL36" s="137">
        <f>_xll.xSPRDOPT(BW36,BV36,CG36,0,BY36,BX36,BZ36,AJ36,1,2)*CB36</f>
        <v>-0.96711626867461431</v>
      </c>
      <c r="BM36" s="137">
        <f>_xll.xSPRDOPT(BW36,BV36,CG36,0,BY36,BX36,BZ36,AJ36,1,1)*CB36</f>
        <v>0.96711626868692857</v>
      </c>
      <c r="BN36" s="137">
        <f>IF(AH36&lt;&gt;0,_xll.xSPRDOPT($BW36,$BV36,$CG36,2*LN(1+CA36/2),$BY36,$BX36,$BZ36,$AJ36,1,8)+(AJ36/365.25)*CH36/AH36,0)</f>
        <v>9.9421152407464963E-2</v>
      </c>
      <c r="BO36" s="137">
        <f>_xll.xSPRDOPT($BW36,$BV36,$CG36,0,$BY36,$BX36,$BZ36,$AJ36,1,0)</f>
        <v>0.29295806201980551</v>
      </c>
      <c r="BP36" s="137"/>
      <c r="BQ36" s="137"/>
      <c r="BR36" s="137"/>
      <c r="BS36" s="137"/>
      <c r="BV36" s="262">
        <v>3.3506426735218509</v>
      </c>
      <c r="BW36" s="136">
        <v>3.681</v>
      </c>
      <c r="BX36" s="137">
        <v>0.50293567145062035</v>
      </c>
      <c r="BY36" s="137">
        <v>0.50293567145062035</v>
      </c>
      <c r="BZ36" s="137">
        <v>1</v>
      </c>
      <c r="CA36" s="137">
        <v>2.6954137886657601E-2</v>
      </c>
      <c r="CB36" s="137">
        <v>0.96712607036861076</v>
      </c>
      <c r="CC36" s="258">
        <v>-2.5000000000000001E-2</v>
      </c>
      <c r="CD36" s="258">
        <v>2.5000000000000001E-3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52"/>
        <v>37726</v>
      </c>
      <c r="F37" s="28">
        <f t="shared" si="53"/>
        <v>356</v>
      </c>
      <c r="G37" s="28">
        <f t="shared" si="13"/>
        <v>343.13292198637095</v>
      </c>
      <c r="H37" s="52">
        <f t="shared" si="54"/>
        <v>3.1964010282776347</v>
      </c>
      <c r="I37" s="52">
        <f t="shared" si="55"/>
        <v>3.726</v>
      </c>
      <c r="K37" s="52">
        <f t="shared" si="56"/>
        <v>14.232275676891771</v>
      </c>
      <c r="L37" s="135">
        <f t="shared" si="57"/>
        <v>1.5574857528122266E-6</v>
      </c>
      <c r="N37" s="131">
        <f t="shared" si="48"/>
        <v>0.38888404308877494</v>
      </c>
      <c r="O37" s="131">
        <f t="shared" si="49"/>
        <v>0.38888404308877494</v>
      </c>
      <c r="P37" s="55">
        <f t="shared" si="50"/>
        <v>1.0000000000000002</v>
      </c>
      <c r="Q37" s="135">
        <f>_xll.xSPRDOPT(I37,H37,AQ37,0,O37,N37,P37,D37-$G$5,1,0)*AH37*AU37</f>
        <v>14.232277234377523</v>
      </c>
      <c r="R37" s="135"/>
      <c r="S37" s="181">
        <f>_xll.xSPRDOPT(I37,H37,AQ37,AT37,O37,N37,P37,D37-$G$5,1,2)*AF37*(F37/(1-AR37))*AH37</f>
        <v>-10582.359918625949</v>
      </c>
      <c r="T37" s="181">
        <f>_xll.xSPRDOPT(I37,H37,AQ37,AT37,O37,N37,P37,D37-$G$5,1,1)*AF37*F37*AH37</f>
        <v>10291.34502090259</v>
      </c>
      <c r="U37" s="135"/>
      <c r="V37" s="146">
        <f t="shared" si="58"/>
        <v>10.852060586080198</v>
      </c>
      <c r="W37" s="146"/>
      <c r="X37" s="338">
        <f t="shared" si="59"/>
        <v>0</v>
      </c>
      <c r="Y37" s="338">
        <f t="shared" si="20"/>
        <v>0</v>
      </c>
      <c r="Z37" s="338">
        <f t="shared" si="21"/>
        <v>1.1558478004761727</v>
      </c>
      <c r="AA37" s="338">
        <f t="shared" si="22"/>
        <v>-4.5922354272974049E-9</v>
      </c>
      <c r="AB37" s="338">
        <f t="shared" si="60"/>
        <v>0</v>
      </c>
      <c r="AC37" s="338">
        <f t="shared" si="61"/>
        <v>1.1639120278116086</v>
      </c>
      <c r="AF37" s="138">
        <f t="shared" si="62"/>
        <v>1</v>
      </c>
      <c r="AG37" s="138">
        <f t="shared" si="63"/>
        <v>4</v>
      </c>
      <c r="AH37" s="138">
        <f t="shared" si="27"/>
        <v>30</v>
      </c>
      <c r="AI37" s="138">
        <f t="shared" si="64"/>
        <v>470</v>
      </c>
      <c r="AJ37" s="138">
        <f t="shared" si="65"/>
        <v>487</v>
      </c>
      <c r="AL37" s="136">
        <f t="shared" si="29"/>
        <v>3.1259999999999999</v>
      </c>
      <c r="AM37" s="258">
        <f t="shared" si="30"/>
        <v>-2.2499999999999999E-2</v>
      </c>
      <c r="AN37" s="258">
        <f t="shared" si="31"/>
        <v>5.0000000000000001E-3</v>
      </c>
      <c r="AO37" s="258">
        <f t="shared" si="32"/>
        <v>0.6</v>
      </c>
      <c r="AP37" s="258">
        <f t="shared" si="33"/>
        <v>0</v>
      </c>
      <c r="AQ37" s="136">
        <f t="shared" si="66"/>
        <v>3.7400000000000003E-2</v>
      </c>
      <c r="AR37" s="137">
        <f t="shared" si="35"/>
        <v>2.75E-2</v>
      </c>
      <c r="AS37" s="136">
        <f t="shared" si="67"/>
        <v>3.1084999999999998</v>
      </c>
      <c r="AT37" s="137">
        <f t="shared" si="68"/>
        <v>2.79745964320606E-2</v>
      </c>
      <c r="AU37" s="137">
        <f t="shared" si="38"/>
        <v>0.96385652243362618</v>
      </c>
      <c r="AV37" s="394">
        <f t="shared" si="69"/>
        <v>289.15695673008787</v>
      </c>
      <c r="AW37" s="137">
        <f t="shared" si="40"/>
        <v>0.38750000000000001</v>
      </c>
      <c r="AX37" s="137">
        <f t="shared" si="41"/>
        <v>0.43</v>
      </c>
      <c r="AY37" s="137">
        <f t="shared" si="42"/>
        <v>0.43</v>
      </c>
      <c r="AZ37" s="137"/>
      <c r="BA37" s="264"/>
      <c r="BB37" s="258">
        <f t="shared" si="43"/>
        <v>0</v>
      </c>
      <c r="BC37" s="258">
        <f t="shared" si="70"/>
        <v>0</v>
      </c>
      <c r="BD37" s="137">
        <f t="shared" si="71"/>
        <v>8.4934135016756507E-6</v>
      </c>
      <c r="BE37" s="137">
        <f t="shared" si="72"/>
        <v>8.4934135016756507E-6</v>
      </c>
      <c r="BF37" s="137">
        <f>_xll.xSPRDOPT($BW37,$BV37,$CG37,0,$BY37,$BX37,$BZ37,$AJ37,1,4)*$CB37</f>
        <v>3.4462330913197484E-7</v>
      </c>
      <c r="BG37" s="137">
        <f>_xll.xSPRDOPT($BW37,$BV37,$CG37,0,$BY37,$BX37,$BZ37,$AJ37,1,3)*$CB37</f>
        <v>3.4462330913197484E-7</v>
      </c>
      <c r="BH37" s="137">
        <f>IF(OR(BF37&lt;&gt;0,BG37&lt;&gt;0),_xll.xSPRDOPT($BW37,$BV37,$CG37,0,$BY37,$BX37,$BZ37,$AJ37,1,12)*$CB37,0)</f>
        <v>-1.1487443637732494E-7</v>
      </c>
      <c r="BI37" s="137">
        <f>_xll.xSPRDOPT($BW37,$BV37,$CG37,2*LN(1+CA37/2),$BY37,$BX37,$BZ37,$AJ37,1,9)</f>
        <v>1.3176448474529404E-2</v>
      </c>
      <c r="BJ37" s="137">
        <f>_xll.xSPRDOPT($BW37,$BV37,$CG37,0,$BY37,$BX37,$BZ37,$AJ37,1,6)*$CB37</f>
        <v>3.0558442997236633E-7</v>
      </c>
      <c r="BK37" s="137">
        <f>_xll.xSPRDOPT($BW37,$BV37,$CG37,0,$BY37,$BX37,$BZ37,$AJ37,1,5)*$CB37</f>
        <v>-3.5621008130631905E-7</v>
      </c>
      <c r="BL37" s="137">
        <f>_xll.xSPRDOPT(BW37,BV37,CG37,0,BY37,BX37,BZ37,AJ37,1,2)*CB37</f>
        <v>-0.96363672218729723</v>
      </c>
      <c r="BM37" s="137">
        <f>_xll.xSPRDOPT(BW37,BV37,CG37,0,BY37,BX37,BZ37,AJ37,1,1)*CB37</f>
        <v>0.9636367221916794</v>
      </c>
      <c r="BN37" s="137">
        <f>IF(AH37&lt;&gt;0,_xll.xSPRDOPT($BW37,$BV37,$CG37,2*LN(1+CA37/2),$BY37,$BX37,$BZ37,$AJ37,1,8)+(AJ37/365.25)*CH37/AH37,0)</f>
        <v>-0.15019757515657528</v>
      </c>
      <c r="BO37" s="137">
        <f>_xll.xSPRDOPT($BW37,$BV37,$CG37,0,$BY37,$BX37,$BZ37,$AJ37,1,0)</f>
        <v>0.4921990255228767</v>
      </c>
      <c r="BP37" s="137"/>
      <c r="BQ37" s="137"/>
      <c r="BR37" s="137"/>
      <c r="BS37" s="137"/>
      <c r="BV37" s="262">
        <v>3.1964010282776347</v>
      </c>
      <c r="BW37" s="136">
        <v>3.726</v>
      </c>
      <c r="BX37" s="137">
        <v>0.38887554967527327</v>
      </c>
      <c r="BY37" s="137">
        <v>0.38887554967527327</v>
      </c>
      <c r="BZ37" s="137">
        <v>1</v>
      </c>
      <c r="CA37" s="137">
        <v>2.79745964320606E-2</v>
      </c>
      <c r="CB37" s="137">
        <v>0.96363661599031902</v>
      </c>
      <c r="CC37" s="258">
        <v>-2.2499999999999999E-2</v>
      </c>
      <c r="CD37" s="258">
        <v>5.0000000000000001E-3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52"/>
        <v>37756</v>
      </c>
      <c r="F38" s="28">
        <f t="shared" si="53"/>
        <v>356</v>
      </c>
      <c r="G38" s="28">
        <f t="shared" si="13"/>
        <v>341.88158963764891</v>
      </c>
      <c r="H38" s="52">
        <f t="shared" si="54"/>
        <v>3.1974293059125962</v>
      </c>
      <c r="I38" s="52">
        <f t="shared" si="55"/>
        <v>3.8769999999999998</v>
      </c>
      <c r="K38" s="52">
        <f t="shared" si="56"/>
        <v>19.117799070541377</v>
      </c>
      <c r="L38" s="135">
        <f t="shared" si="57"/>
        <v>2.1009035862107339E-6</v>
      </c>
      <c r="N38" s="131">
        <f t="shared" si="48"/>
        <v>0.3761805213924197</v>
      </c>
      <c r="O38" s="131">
        <f t="shared" si="49"/>
        <v>0.3761805213924197</v>
      </c>
      <c r="P38" s="55">
        <f t="shared" si="50"/>
        <v>1.0000000000000002</v>
      </c>
      <c r="Q38" s="135">
        <f>_xll.xSPRDOPT(I38,H38,AQ38,0,O38,N38,P38,D38-$G$5,1,0)*AH38*AU38</f>
        <v>19.117801171444963</v>
      </c>
      <c r="R38" s="135"/>
      <c r="S38" s="181">
        <f>_xll.xSPRDOPT(I38,H38,AQ38,AT38,O38,N38,P38,D38-$G$5,1,2)*AF38*(F38/(1-AR38))*AH38</f>
        <v>-10894.841083578543</v>
      </c>
      <c r="T38" s="181">
        <f>_xll.xSPRDOPT(I38,H38,AQ38,AT38,O38,N38,P38,D38-$G$5,1,1)*AF38*F38*AH38</f>
        <v>10595.232953679762</v>
      </c>
      <c r="U38" s="135"/>
      <c r="V38" s="146">
        <f t="shared" si="58"/>
        <v>11.172901624498031</v>
      </c>
      <c r="W38" s="146"/>
      <c r="X38" s="338">
        <f t="shared" si="59"/>
        <v>0</v>
      </c>
      <c r="Y38" s="338">
        <f t="shared" si="20"/>
        <v>0</v>
      </c>
      <c r="Z38" s="338">
        <f t="shared" si="21"/>
        <v>1.6070783092845593</v>
      </c>
      <c r="AA38" s="338">
        <f t="shared" si="22"/>
        <v>-1.6222384705120066E-8</v>
      </c>
      <c r="AB38" s="338">
        <f t="shared" si="60"/>
        <v>0</v>
      </c>
      <c r="AC38" s="338">
        <f t="shared" si="61"/>
        <v>1.6186861076824488</v>
      </c>
      <c r="AF38" s="138">
        <f t="shared" si="62"/>
        <v>1</v>
      </c>
      <c r="AG38" s="138">
        <f t="shared" si="63"/>
        <v>5</v>
      </c>
      <c r="AH38" s="138">
        <f t="shared" si="27"/>
        <v>31</v>
      </c>
      <c r="AI38" s="138">
        <f t="shared" si="64"/>
        <v>500</v>
      </c>
      <c r="AJ38" s="138">
        <f t="shared" si="65"/>
        <v>517</v>
      </c>
      <c r="AL38" s="136">
        <f t="shared" si="29"/>
        <v>3.1269999999999998</v>
      </c>
      <c r="AM38" s="258">
        <f t="shared" si="30"/>
        <v>-2.2499999999999999E-2</v>
      </c>
      <c r="AN38" s="258">
        <f t="shared" si="31"/>
        <v>5.0000000000000001E-3</v>
      </c>
      <c r="AO38" s="258">
        <f t="shared" si="32"/>
        <v>0.75</v>
      </c>
      <c r="AP38" s="258">
        <f t="shared" si="33"/>
        <v>0</v>
      </c>
      <c r="AQ38" s="136">
        <f t="shared" si="66"/>
        <v>3.7400000000000003E-2</v>
      </c>
      <c r="AR38" s="137">
        <f t="shared" si="35"/>
        <v>2.75E-2</v>
      </c>
      <c r="AS38" s="136">
        <f t="shared" si="67"/>
        <v>3.1094999999999997</v>
      </c>
      <c r="AT38" s="137">
        <f t="shared" si="68"/>
        <v>2.8963180076380102E-2</v>
      </c>
      <c r="AU38" s="137">
        <f t="shared" si="38"/>
        <v>0.96034154392598015</v>
      </c>
      <c r="AV38" s="394">
        <f t="shared" si="69"/>
        <v>297.70587861705383</v>
      </c>
      <c r="AW38" s="137">
        <f t="shared" si="40"/>
        <v>0.3725</v>
      </c>
      <c r="AX38" s="137">
        <f t="shared" si="41"/>
        <v>0.48</v>
      </c>
      <c r="AY38" s="137">
        <f t="shared" si="42"/>
        <v>0.48</v>
      </c>
      <c r="AZ38" s="137"/>
      <c r="BA38" s="264"/>
      <c r="BB38" s="258">
        <f t="shared" si="43"/>
        <v>0</v>
      </c>
      <c r="BC38" s="258">
        <f t="shared" si="70"/>
        <v>0</v>
      </c>
      <c r="BD38" s="137">
        <f t="shared" si="71"/>
        <v>2.1191627312566741E-5</v>
      </c>
      <c r="BE38" s="137">
        <f t="shared" si="72"/>
        <v>2.1191627312566741E-5</v>
      </c>
      <c r="BF38" s="137">
        <f>_xll.xSPRDOPT($BW38,$BV38,$CG38,0,$BY38,$BX38,$BZ38,$AJ38,1,4)*$CB38</f>
        <v>4.5781839031827606E-7</v>
      </c>
      <c r="BG38" s="137">
        <f>_xll.xSPRDOPT($BW38,$BV38,$CG38,0,$BY38,$BX38,$BZ38,$AJ38,1,3)*$CB38</f>
        <v>0</v>
      </c>
      <c r="BH38" s="137">
        <f>IF(OR(BF38&lt;&gt;0,BG38&lt;&gt;0),_xll.xSPRDOPT($BW38,$BV38,$CG38,0,$BY38,$BX38,$BZ38,$AJ38,1,12)*$CB38,0)</f>
        <v>1.030091378216121E-6</v>
      </c>
      <c r="BI38" s="137">
        <f>_xll.xSPRDOPT($BW38,$BV38,$CG38,2*LN(1+CA38/2),$BY38,$BX38,$BZ38,$AJ38,1,9)</f>
        <v>1.7729411395015868E-2</v>
      </c>
      <c r="BJ38" s="137">
        <f>_xll.xSPRDOPT($BW38,$BV38,$CG38,0,$BY38,$BX38,$BZ38,$AJ38,1,6)*$CB38</f>
        <v>3.264353553231592E-7</v>
      </c>
      <c r="BK38" s="137">
        <f>_xll.xSPRDOPT($BW38,$BV38,$CG38,0,$BY38,$BX38,$BZ38,$AJ38,1,5)*$CB38</f>
        <v>-3.9580008479342394E-7</v>
      </c>
      <c r="BL38" s="137">
        <f>_xll.xSPRDOPT(BW38,BV38,CG38,0,BY38,BX38,BZ38,AJ38,1,2)*CB38</f>
        <v>-0.96011485941677333</v>
      </c>
      <c r="BM38" s="137">
        <f>_xll.xSPRDOPT(BW38,BV38,CG38,0,BY38,BX38,BZ38,AJ38,1,1)*CB38</f>
        <v>0.96011485940978758</v>
      </c>
      <c r="BN38" s="137">
        <f>IF(AH38&lt;&gt;0,_xll.xSPRDOPT($BW38,$BV38,$CG38,2*LN(1+CA38/2),$BY38,$BX38,$BZ38,$AJ38,1,8)+(AJ38/365.25)*CH38/AH38,0)</f>
        <v>-0.36268071343913388</v>
      </c>
      <c r="BO38" s="137">
        <f>_xll.xSPRDOPT($BW38,$BV38,$CG38,0,$BY38,$BX38,$BZ38,$AJ38,1,0)</f>
        <v>0.6421707645798318</v>
      </c>
      <c r="BP38" s="137"/>
      <c r="BQ38" s="137"/>
      <c r="BR38" s="137"/>
      <c r="BS38" s="137"/>
      <c r="BV38" s="262">
        <v>3.1974293059125962</v>
      </c>
      <c r="BW38" s="136">
        <v>3.8769999999999998</v>
      </c>
      <c r="BX38" s="137">
        <v>0.37615932976510713</v>
      </c>
      <c r="BY38" s="137">
        <v>0.37615932976510713</v>
      </c>
      <c r="BZ38" s="137">
        <v>1</v>
      </c>
      <c r="CA38" s="137">
        <v>2.8963180076380102E-2</v>
      </c>
      <c r="CB38" s="137">
        <v>0.96011475289275328</v>
      </c>
      <c r="CC38" s="258">
        <v>-2.2499999999999999E-2</v>
      </c>
      <c r="CD38" s="258">
        <v>5.0000000000000001E-3</v>
      </c>
      <c r="CE38" s="258">
        <v>0.75</v>
      </c>
      <c r="CF38" s="258">
        <v>0</v>
      </c>
      <c r="CG38" s="258">
        <v>3.7400000000000003E-2</v>
      </c>
      <c r="CH38" s="258">
        <v>11.170263069580161</v>
      </c>
      <c r="CI38" s="258">
        <v>3.1269999999999998</v>
      </c>
      <c r="CJ38" s="258"/>
      <c r="CK38" s="258"/>
      <c r="CL38" s="258"/>
      <c r="CM38" s="258"/>
    </row>
    <row r="39" spans="1:91" x14ac:dyDescent="0.25">
      <c r="A39" s="723"/>
      <c r="B39" s="723"/>
      <c r="D39" s="31">
        <f t="shared" si="52"/>
        <v>37787</v>
      </c>
      <c r="F39" s="28">
        <f t="shared" si="53"/>
        <v>356</v>
      </c>
      <c r="G39" s="28">
        <f t="shared" si="13"/>
        <v>340.536306512007</v>
      </c>
      <c r="H39" s="52">
        <f t="shared" si="54"/>
        <v>3.2359897172236503</v>
      </c>
      <c r="I39" s="52">
        <f t="shared" si="55"/>
        <v>4.0119999999999996</v>
      </c>
      <c r="K39" s="52">
        <f t="shared" si="56"/>
        <v>21.195810475992729</v>
      </c>
      <c r="L39" s="135">
        <f t="shared" si="57"/>
        <v>2.3065742027483793E-6</v>
      </c>
      <c r="N39" s="131">
        <f t="shared" si="48"/>
        <v>0.37586425134556289</v>
      </c>
      <c r="O39" s="131">
        <f t="shared" si="49"/>
        <v>0.37586425134556289</v>
      </c>
      <c r="P39" s="55">
        <f t="shared" si="50"/>
        <v>0.99999999999999978</v>
      </c>
      <c r="Q39" s="135">
        <f>_xll.xSPRDOPT(I39,H39,AQ39,0,O39,N39,P39,D39-$G$5,1,0)*AH39*AU39</f>
        <v>21.195812782566932</v>
      </c>
      <c r="R39" s="135"/>
      <c r="S39" s="181">
        <f>_xll.xSPRDOPT(I39,H39,AQ39,AT39,O39,N39,P39,D39-$G$5,1,2)*AF39*(F39/(1-AR39))*AH39</f>
        <v>-10501.489360546537</v>
      </c>
      <c r="T39" s="181">
        <f>_xll.xSPRDOPT(I39,H39,AQ39,AT39,O39,N39,P39,D39-$G$5,1,1)*AF39*F39*AH39</f>
        <v>10212.698403228642</v>
      </c>
      <c r="U39" s="135"/>
      <c r="V39" s="146">
        <f t="shared" si="58"/>
        <v>10.769938974771593</v>
      </c>
      <c r="W39" s="146"/>
      <c r="X39" s="338">
        <f t="shared" si="59"/>
        <v>0</v>
      </c>
      <c r="Y39" s="338">
        <f t="shared" si="20"/>
        <v>0</v>
      </c>
      <c r="Z39" s="338">
        <f t="shared" si="21"/>
        <v>1.844122272072791</v>
      </c>
      <c r="AA39" s="338">
        <f t="shared" si="22"/>
        <v>-1.6319622623977831E-8</v>
      </c>
      <c r="AB39" s="338">
        <f t="shared" si="60"/>
        <v>0</v>
      </c>
      <c r="AC39" s="338">
        <f t="shared" si="61"/>
        <v>1.8579109331117136</v>
      </c>
      <c r="AF39" s="138">
        <f t="shared" si="62"/>
        <v>1</v>
      </c>
      <c r="AG39" s="138">
        <f t="shared" si="63"/>
        <v>6</v>
      </c>
      <c r="AH39" s="138">
        <f t="shared" si="27"/>
        <v>30</v>
      </c>
      <c r="AI39" s="138">
        <f t="shared" si="64"/>
        <v>531</v>
      </c>
      <c r="AJ39" s="138">
        <f t="shared" si="65"/>
        <v>548</v>
      </c>
      <c r="AL39" s="136">
        <f t="shared" si="29"/>
        <v>3.1619999999999999</v>
      </c>
      <c r="AM39" s="258">
        <f t="shared" si="30"/>
        <v>-0.02</v>
      </c>
      <c r="AN39" s="258">
        <f t="shared" si="31"/>
        <v>5.0000000000000001E-3</v>
      </c>
      <c r="AO39" s="258">
        <f t="shared" si="32"/>
        <v>0.85</v>
      </c>
      <c r="AP39" s="258">
        <f t="shared" si="33"/>
        <v>0</v>
      </c>
      <c r="AQ39" s="136">
        <f t="shared" si="66"/>
        <v>3.7400000000000003E-2</v>
      </c>
      <c r="AR39" s="137">
        <f t="shared" si="35"/>
        <v>2.75E-2</v>
      </c>
      <c r="AS39" s="136">
        <f t="shared" si="67"/>
        <v>3.1469999999999998</v>
      </c>
      <c r="AT39" s="137">
        <f t="shared" si="68"/>
        <v>2.99847168551968E-2</v>
      </c>
      <c r="AU39" s="137">
        <f t="shared" si="38"/>
        <v>0.95656265874159274</v>
      </c>
      <c r="AV39" s="394">
        <f t="shared" si="69"/>
        <v>286.96879762247784</v>
      </c>
      <c r="AW39" s="137">
        <f t="shared" si="40"/>
        <v>0.3725</v>
      </c>
      <c r="AX39" s="137">
        <f t="shared" si="41"/>
        <v>0.48</v>
      </c>
      <c r="AY39" s="137">
        <f t="shared" si="42"/>
        <v>0.48</v>
      </c>
      <c r="AZ39" s="137"/>
      <c r="BA39" s="264"/>
      <c r="BB39" s="258">
        <f t="shared" si="43"/>
        <v>0</v>
      </c>
      <c r="BC39" s="258">
        <f t="shared" si="70"/>
        <v>0</v>
      </c>
      <c r="BD39" s="137">
        <f t="shared" si="71"/>
        <v>1.8302058320429637E-5</v>
      </c>
      <c r="BE39" s="137">
        <f t="shared" si="72"/>
        <v>1.8302058320429637E-5</v>
      </c>
      <c r="BF39" s="137">
        <f>_xll.xSPRDOPT($BW39,$BV39,$CG39,0,$BY39,$BX39,$BZ39,$AJ39,1,4)*$CB39</f>
        <v>-2.2800656618867693E-7</v>
      </c>
      <c r="BG39" s="137">
        <f>_xll.xSPRDOPT($BW39,$BV39,$CG39,0,$BY39,$BX39,$BZ39,$AJ39,1,3)*$CB39</f>
        <v>-1.1400328309433846E-6</v>
      </c>
      <c r="BH39" s="137">
        <f>IF(OR(BF39&lt;&gt;0,BG39&lt;&gt;0),_xll.xSPRDOPT($BW39,$BV39,$CG39,0,$BY39,$BX39,$BZ39,$AJ39,1,12)*$CB39,0)</f>
        <v>3.4200984928301542E-7</v>
      </c>
      <c r="BI39" s="137">
        <f>_xll.xSPRDOPT($BW39,$BV39,$CG39,2*LN(1+CA39/2),$BY39,$BX39,$BZ39,$AJ39,1,9)</f>
        <v>2.1022648560380365E-2</v>
      </c>
      <c r="BJ39" s="137">
        <f>_xll.xSPRDOPT($BW39,$BV39,$CG39,0,$BY39,$BX39,$BZ39,$AJ39,1,6)*$CB39</f>
        <v>3.4819819647053096E-7</v>
      </c>
      <c r="BK39" s="137">
        <f>_xll.xSPRDOPT($BW39,$BV39,$CG39,0,$BY39,$BX39,$BZ39,$AJ39,1,5)*$CB39</f>
        <v>-4.3168905449611295E-7</v>
      </c>
      <c r="BL39" s="137">
        <f>_xll.xSPRDOPT(BW39,BV39,CG39,0,BY39,BX39,BZ39,AJ39,1,2)*CB39</f>
        <v>-0.95632895757165903</v>
      </c>
      <c r="BM39" s="137">
        <f>_xll.xSPRDOPT(BW39,BV39,CG39,0,BY39,BX39,BZ39,AJ39,1,1)*CB39</f>
        <v>0.95632895757687764</v>
      </c>
      <c r="BN39" s="137">
        <f>IF(AH39&lt;&gt;0,_xll.xSPRDOPT($BW39,$BV39,$CG39,2*LN(1+CA39/2),$BY39,$BX39,$BZ39,$AJ39,1,8)+(AJ39/365.25)*CH39/AH39,0)</f>
        <v>-0.5212851802583216</v>
      </c>
      <c r="BO39" s="137">
        <f>_xll.xSPRDOPT($BW39,$BV39,$CG39,0,$BY39,$BX39,$BZ39,$AJ39,1,0)</f>
        <v>0.73861036306528727</v>
      </c>
      <c r="BP39" s="137"/>
      <c r="BQ39" s="137"/>
      <c r="BR39" s="137"/>
      <c r="BS39" s="137"/>
      <c r="BV39" s="262">
        <v>3.2359897172236503</v>
      </c>
      <c r="BW39" s="136">
        <v>4.0119999999999996</v>
      </c>
      <c r="BX39" s="137">
        <v>0.37584594928724246</v>
      </c>
      <c r="BY39" s="137">
        <v>0.37584594928724246</v>
      </c>
      <c r="BZ39" s="137">
        <v>1</v>
      </c>
      <c r="CA39" s="137">
        <v>2.99847168551968E-2</v>
      </c>
      <c r="CB39" s="137">
        <v>0.95632885259143241</v>
      </c>
      <c r="CC39" s="258">
        <v>-0.02</v>
      </c>
      <c r="CD39" s="258">
        <v>5.0000000000000001E-3</v>
      </c>
      <c r="CE39" s="258">
        <v>0.85</v>
      </c>
      <c r="CF39" s="258">
        <v>0</v>
      </c>
      <c r="CG39" s="258">
        <v>3.7400000000000003E-2</v>
      </c>
      <c r="CH39" s="258">
        <v>10.767306551326937</v>
      </c>
      <c r="CI39" s="258">
        <v>3.1619999999999999</v>
      </c>
      <c r="CJ39" s="258"/>
      <c r="CK39" s="258"/>
      <c r="CL39" s="258"/>
      <c r="CM39" s="258"/>
    </row>
    <row r="40" spans="1:91" x14ac:dyDescent="0.25">
      <c r="A40" s="723"/>
      <c r="B40" s="723"/>
      <c r="D40" s="31">
        <f t="shared" si="52"/>
        <v>37817</v>
      </c>
      <c r="F40" s="28">
        <f t="shared" si="53"/>
        <v>356</v>
      </c>
      <c r="G40" s="28">
        <f t="shared" si="13"/>
        <v>339.18874416928918</v>
      </c>
      <c r="H40" s="52">
        <f t="shared" si="54"/>
        <v>3.2791773778920308</v>
      </c>
      <c r="I40" s="52">
        <f t="shared" si="55"/>
        <v>4.2540000000000004</v>
      </c>
      <c r="K40" s="52">
        <f t="shared" si="56"/>
        <v>27.687806911261838</v>
      </c>
      <c r="L40" s="135">
        <f t="shared" si="57"/>
        <v>2.9801323009337466E-6</v>
      </c>
      <c r="N40" s="131">
        <f t="shared" si="48"/>
        <v>0.37759499646180722</v>
      </c>
      <c r="O40" s="131">
        <f t="shared" si="49"/>
        <v>0.37759499646180722</v>
      </c>
      <c r="P40" s="55">
        <f t="shared" si="50"/>
        <v>1</v>
      </c>
      <c r="Q40" s="135">
        <f>_xll.xSPRDOPT(I40,H40,AQ40,0,O40,N40,P40,D40-$G$5,1,0)*AH40*AU40</f>
        <v>27.687809891394139</v>
      </c>
      <c r="R40" s="135"/>
      <c r="S40" s="181">
        <f>_xll.xSPRDOPT(I40,H40,AQ40,AT40,O40,N40,P40,D40-$G$5,1,2)*AF40*(F40/(1-AR40))*AH40</f>
        <v>-10808.149551278737</v>
      </c>
      <c r="T40" s="181">
        <f>_xll.xSPRDOPT(I40,H40,AQ40,AT40,O40,N40,P40,D40-$G$5,1,1)*AF40*F40*AH40</f>
        <v>10510.925438558348</v>
      </c>
      <c r="U40" s="135"/>
      <c r="V40" s="146">
        <f t="shared" si="58"/>
        <v>11.084897770474049</v>
      </c>
      <c r="W40" s="146"/>
      <c r="X40" s="338">
        <f t="shared" si="59"/>
        <v>0</v>
      </c>
      <c r="Y40" s="338">
        <f t="shared" si="20"/>
        <v>0</v>
      </c>
      <c r="Z40" s="338">
        <f t="shared" si="21"/>
        <v>2.4871083747053064</v>
      </c>
      <c r="AA40" s="338">
        <f t="shared" si="22"/>
        <v>-3.198425013088605E-8</v>
      </c>
      <c r="AB40" s="338">
        <f t="shared" si="60"/>
        <v>0</v>
      </c>
      <c r="AC40" s="338">
        <f t="shared" si="61"/>
        <v>2.5063113688054033</v>
      </c>
      <c r="AF40" s="138">
        <f t="shared" si="62"/>
        <v>1</v>
      </c>
      <c r="AG40" s="138">
        <f t="shared" si="63"/>
        <v>7</v>
      </c>
      <c r="AH40" s="138">
        <f t="shared" si="27"/>
        <v>31</v>
      </c>
      <c r="AI40" s="138">
        <f t="shared" si="64"/>
        <v>561</v>
      </c>
      <c r="AJ40" s="138">
        <f t="shared" si="65"/>
        <v>578</v>
      </c>
      <c r="AL40" s="136">
        <f t="shared" si="29"/>
        <v>3.2040000000000002</v>
      </c>
      <c r="AM40" s="258">
        <f t="shared" si="30"/>
        <v>-0.02</v>
      </c>
      <c r="AN40" s="258">
        <f t="shared" si="31"/>
        <v>5.0000000000000001E-3</v>
      </c>
      <c r="AO40" s="258">
        <f t="shared" si="32"/>
        <v>1.05</v>
      </c>
      <c r="AP40" s="258">
        <f t="shared" si="33"/>
        <v>0</v>
      </c>
      <c r="AQ40" s="136">
        <f t="shared" si="66"/>
        <v>3.7400000000000003E-2</v>
      </c>
      <c r="AR40" s="137">
        <f t="shared" si="35"/>
        <v>2.75E-2</v>
      </c>
      <c r="AS40" s="136">
        <f t="shared" si="67"/>
        <v>3.1890000000000001</v>
      </c>
      <c r="AT40" s="137">
        <f t="shared" si="68"/>
        <v>3.0965279300479799E-2</v>
      </c>
      <c r="AU40" s="137">
        <f t="shared" si="38"/>
        <v>0.9527773712620482</v>
      </c>
      <c r="AV40" s="394">
        <f t="shared" si="69"/>
        <v>295.36098509123497</v>
      </c>
      <c r="AW40" s="137">
        <f t="shared" si="40"/>
        <v>0.3725</v>
      </c>
      <c r="AX40" s="137">
        <f t="shared" si="41"/>
        <v>0.53</v>
      </c>
      <c r="AY40" s="137">
        <f t="shared" si="42"/>
        <v>0.53</v>
      </c>
      <c r="AZ40" s="137"/>
      <c r="BA40" s="264"/>
      <c r="BB40" s="258">
        <f t="shared" si="43"/>
        <v>0</v>
      </c>
      <c r="BC40" s="258">
        <f t="shared" si="70"/>
        <v>0</v>
      </c>
      <c r="BD40" s="137">
        <f t="shared" si="71"/>
        <v>2.6199126392512095E-5</v>
      </c>
      <c r="BE40" s="137">
        <f t="shared" si="72"/>
        <v>2.6199126392512095E-5</v>
      </c>
      <c r="BF40" s="137">
        <f>_xll.xSPRDOPT($BW40,$BV40,$CG40,0,$BY40,$BX40,$BZ40,$AJ40,1,4)*$CB40</f>
        <v>-1.1355125114893561E-6</v>
      </c>
      <c r="BG40" s="137">
        <f>_xll.xSPRDOPT($BW40,$BV40,$CG40,0,$BY40,$BX40,$BZ40,$AJ40,1,3)*$CB40</f>
        <v>-6.8130750689361358E-7</v>
      </c>
      <c r="BH40" s="137">
        <f>IF(OR(BF40&lt;&gt;0,BG40&lt;&gt;0),_xll.xSPRDOPT($BW40,$BV40,$CG40,0,$BY40,$BX40,$BZ40,$AJ40,1,12)*$CB40,0)</f>
        <v>4.5420500459574238E-7</v>
      </c>
      <c r="BI40" s="137">
        <f>_xll.xSPRDOPT($BW40,$BV40,$CG40,2*LN(1+CA40/2),$BY40,$BX40,$BZ40,$AJ40,1,9)</f>
        <v>2.7437970697750187E-2</v>
      </c>
      <c r="BJ40" s="137">
        <f>_xll.xSPRDOPT($BW40,$BV40,$CG40,0,$BY40,$BX40,$BZ40,$AJ40,1,6)*$CB40</f>
        <v>3.7210080458879019E-7</v>
      </c>
      <c r="BK40" s="137">
        <f>_xll.xSPRDOPT($BW40,$BV40,$CG40,0,$BY40,$BX40,$BZ40,$AJ40,1,5)*$CB40</f>
        <v>-4.827218278146489E-7</v>
      </c>
      <c r="BL40" s="137">
        <f>_xll.xSPRDOPT(BW40,BV40,CG40,0,BY40,BX40,BZ40,AJ40,1,2)*CB40</f>
        <v>-0.95253703706764914</v>
      </c>
      <c r="BM40" s="137">
        <f>_xll.xSPRDOPT(BW40,BV40,CG40,0,BY40,BX40,BZ40,AJ40,1,1)*CB40</f>
        <v>0.95253703705898585</v>
      </c>
      <c r="BN40" s="137">
        <f>IF(AH40&lt;&gt;0,_xll.xSPRDOPT($BW40,$BV40,$CG40,2*LN(1+CA40/2),$BY40,$BX40,$BZ40,$AJ40,1,8)+(AJ40/365.25)*CH40/AH40,0)</f>
        <v>-0.8473260904130735</v>
      </c>
      <c r="BO40" s="137">
        <f>_xll.xSPRDOPT($BW40,$BV40,$CG40,0,$BY40,$BX40,$BZ40,$AJ40,1,0)</f>
        <v>0.93742272289517092</v>
      </c>
      <c r="BP40" s="137"/>
      <c r="BQ40" s="137"/>
      <c r="BR40" s="137"/>
      <c r="BS40" s="137"/>
      <c r="BV40" s="262">
        <v>3.2791773778920308</v>
      </c>
      <c r="BW40" s="136">
        <v>4.2540000000000004</v>
      </c>
      <c r="BX40" s="137">
        <v>0.37756879733541471</v>
      </c>
      <c r="BY40" s="137">
        <v>0.37756879733541471</v>
      </c>
      <c r="BZ40" s="137">
        <v>1</v>
      </c>
      <c r="CA40" s="137">
        <v>3.0965279300479799E-2</v>
      </c>
      <c r="CB40" s="137">
        <v>0.95253693379797033</v>
      </c>
      <c r="CC40" s="258">
        <v>-0.02</v>
      </c>
      <c r="CD40" s="258">
        <v>5.0000000000000001E-3</v>
      </c>
      <c r="CE40" s="258">
        <v>1.05</v>
      </c>
      <c r="CF40" s="258">
        <v>0</v>
      </c>
      <c r="CG40" s="258">
        <v>3.7400000000000003E-2</v>
      </c>
      <c r="CH40" s="258">
        <v>11.082100448885727</v>
      </c>
      <c r="CI40" s="258">
        <v>3.2040000000000002</v>
      </c>
      <c r="CJ40" s="258"/>
      <c r="CK40" s="258"/>
      <c r="CL40" s="258"/>
      <c r="CM40" s="258"/>
    </row>
    <row r="41" spans="1:91" x14ac:dyDescent="0.25">
      <c r="A41" s="723"/>
      <c r="B41" s="723"/>
      <c r="D41" s="31">
        <f t="shared" si="52"/>
        <v>37848</v>
      </c>
      <c r="F41" s="28">
        <f t="shared" si="53"/>
        <v>356</v>
      </c>
      <c r="G41" s="28">
        <f t="shared" si="13"/>
        <v>337.75215065011326</v>
      </c>
      <c r="H41" s="52">
        <f t="shared" si="54"/>
        <v>3.3223650385604109</v>
      </c>
      <c r="I41" s="52">
        <f t="shared" si="55"/>
        <v>4.2960000000000003</v>
      </c>
      <c r="K41" s="52">
        <f t="shared" si="56"/>
        <v>27.535608213318717</v>
      </c>
      <c r="L41" s="135">
        <f t="shared" si="57"/>
        <v>2.92341130858631E-6</v>
      </c>
      <c r="N41" s="131">
        <f t="shared" si="48"/>
        <v>0.37920840226144648</v>
      </c>
      <c r="O41" s="131">
        <f t="shared" si="49"/>
        <v>0.37920840226144648</v>
      </c>
      <c r="P41" s="55">
        <f t="shared" si="50"/>
        <v>1</v>
      </c>
      <c r="Q41" s="135">
        <f>_xll.xSPRDOPT(I41,H41,AQ41,0,O41,N41,P41,D41-$G$5,1,0)*AH41*AU41</f>
        <v>27.535611136730026</v>
      </c>
      <c r="R41" s="135"/>
      <c r="S41" s="181">
        <f>_xll.xSPRDOPT(I41,H41,AQ41,AT41,O41,N41,P41,D41-$G$5,1,2)*AF41*(F41/(1-AR41))*AH41</f>
        <v>-10761.879108172865</v>
      </c>
      <c r="T41" s="181">
        <f>_xll.xSPRDOPT(I41,H41,AQ41,AT41,O41,N41,P41,D41-$G$5,1,1)*AF41*F41*AH41</f>
        <v>10465.92743269811</v>
      </c>
      <c r="U41" s="135"/>
      <c r="V41" s="146">
        <f t="shared" si="58"/>
        <v>11.037949006484869</v>
      </c>
      <c r="W41" s="146"/>
      <c r="X41" s="338">
        <f t="shared" si="59"/>
        <v>0</v>
      </c>
      <c r="Y41" s="338">
        <f t="shared" si="20"/>
        <v>0</v>
      </c>
      <c r="Z41" s="338">
        <f t="shared" si="21"/>
        <v>2.5528068124656724</v>
      </c>
      <c r="AA41" s="338">
        <f t="shared" si="22"/>
        <v>-4.191454397999804E-8</v>
      </c>
      <c r="AB41" s="338">
        <f t="shared" si="60"/>
        <v>0</v>
      </c>
      <c r="AC41" s="338">
        <f t="shared" si="61"/>
        <v>2.5731531348914176</v>
      </c>
      <c r="AF41" s="138">
        <f t="shared" si="62"/>
        <v>1</v>
      </c>
      <c r="AG41" s="138">
        <f t="shared" si="63"/>
        <v>8</v>
      </c>
      <c r="AH41" s="138">
        <f t="shared" si="27"/>
        <v>31</v>
      </c>
      <c r="AI41" s="138">
        <f t="shared" si="64"/>
        <v>592</v>
      </c>
      <c r="AJ41" s="138">
        <f t="shared" si="65"/>
        <v>609</v>
      </c>
      <c r="AL41" s="136">
        <f t="shared" si="29"/>
        <v>3.246</v>
      </c>
      <c r="AM41" s="258">
        <f t="shared" si="30"/>
        <v>-0.02</v>
      </c>
      <c r="AN41" s="258">
        <f t="shared" si="31"/>
        <v>5.0000000000000001E-3</v>
      </c>
      <c r="AO41" s="258">
        <f t="shared" si="32"/>
        <v>1.05</v>
      </c>
      <c r="AP41" s="258">
        <f t="shared" si="33"/>
        <v>0</v>
      </c>
      <c r="AQ41" s="136">
        <f t="shared" si="66"/>
        <v>3.7400000000000003E-2</v>
      </c>
      <c r="AR41" s="137">
        <f t="shared" si="35"/>
        <v>2.75E-2</v>
      </c>
      <c r="AS41" s="136">
        <f t="shared" si="67"/>
        <v>3.2309999999999999</v>
      </c>
      <c r="AT41" s="137">
        <f t="shared" si="68"/>
        <v>3.1967083332272501E-2</v>
      </c>
      <c r="AU41" s="137">
        <f t="shared" si="38"/>
        <v>0.94874199620818334</v>
      </c>
      <c r="AV41" s="394">
        <f t="shared" si="69"/>
        <v>294.11001882453684</v>
      </c>
      <c r="AW41" s="137">
        <f t="shared" si="40"/>
        <v>0.3725</v>
      </c>
      <c r="AX41" s="137">
        <f t="shared" si="41"/>
        <v>0.57999999999999996</v>
      </c>
      <c r="AY41" s="137">
        <f t="shared" si="42"/>
        <v>0.57999999999999996</v>
      </c>
      <c r="AZ41" s="137"/>
      <c r="BA41" s="264"/>
      <c r="BB41" s="258">
        <f t="shared" si="43"/>
        <v>0</v>
      </c>
      <c r="BC41" s="258">
        <f t="shared" si="70"/>
        <v>0</v>
      </c>
      <c r="BD41" s="137">
        <f t="shared" si="71"/>
        <v>3.2674943976684911E-5</v>
      </c>
      <c r="BE41" s="137">
        <f t="shared" si="72"/>
        <v>3.2674943976684911E-5</v>
      </c>
      <c r="BF41" s="137">
        <f>_xll.xSPRDOPT($BW41,$BV41,$CG41,0,$BY41,$BX41,$BZ41,$AJ41,1,4)*$CB41</f>
        <v>4.5227760952867273E-7</v>
      </c>
      <c r="BG41" s="137">
        <f>_xll.xSPRDOPT($BW41,$BV41,$CG41,0,$BY41,$BX41,$BZ41,$AJ41,1,3)*$CB41</f>
        <v>4.5227760952867273E-7</v>
      </c>
      <c r="BH41" s="137">
        <f>IF(OR(BF41&lt;&gt;0,BG41&lt;&gt;0),_xll.xSPRDOPT($BW41,$BV41,$CG41,0,$BY41,$BX41,$BZ41,$AJ41,1,12)*$CB41,0)</f>
        <v>-1.1306940238216818E-7</v>
      </c>
      <c r="BI41" s="137">
        <f>_xll.xSPRDOPT($BW41,$BV41,$CG41,2*LN(1+CA41/2),$BY41,$BX41,$BZ41,$AJ41,1,9)</f>
        <v>2.8162760911353352E-2</v>
      </c>
      <c r="BJ41" s="137">
        <f>_xll.xSPRDOPT($BW41,$BV41,$CG41,0,$BY41,$BX41,$BZ41,$AJ41,1,6)*$CB41</f>
        <v>3.967256752776032E-7</v>
      </c>
      <c r="BK41" s="137">
        <f>_xll.xSPRDOPT($BW41,$BV41,$CG41,0,$BY41,$BX41,$BZ41,$AJ41,1,5)*$CB41</f>
        <v>-5.12961018425861E-7</v>
      </c>
      <c r="BL41" s="137">
        <f>_xll.xSPRDOPT(BW41,BV41,CG41,0,BY41,BX41,BZ41,AJ41,1,2)*CB41</f>
        <v>-0.94849499487607591</v>
      </c>
      <c r="BM41" s="137">
        <f>_xll.xSPRDOPT(BW41,BV41,CG41,0,BY41,BX41,BZ41,AJ41,1,1)*CB41</f>
        <v>0.94849499487607591</v>
      </c>
      <c r="BN41" s="137">
        <f>IF(AH41&lt;&gt;0,_xll.xSPRDOPT($BW41,$BV41,$CG41,2*LN(1+CA41/2),$BY41,$BX41,$BZ41,$AJ41,1,8)+(AJ41/365.25)*CH41/AH41,0)</f>
        <v>-0.88710423199387856</v>
      </c>
      <c r="BO41" s="137">
        <f>_xll.xSPRDOPT($BW41,$BV41,$CG41,0,$BY41,$BX41,$BZ41,$AJ41,1,0)</f>
        <v>0.93623506072765972</v>
      </c>
      <c r="BP41" s="137"/>
      <c r="BQ41" s="137"/>
      <c r="BR41" s="137"/>
      <c r="BS41" s="137"/>
      <c r="BV41" s="262">
        <v>3.3223650385604109</v>
      </c>
      <c r="BW41" s="136">
        <v>4.2960000000000003</v>
      </c>
      <c r="BX41" s="137">
        <v>0.37917572731746979</v>
      </c>
      <c r="BY41" s="137">
        <v>0.37917572731746979</v>
      </c>
      <c r="BZ41" s="137">
        <v>1</v>
      </c>
      <c r="CA41" s="137">
        <v>3.1967083332272501E-2</v>
      </c>
      <c r="CB41" s="137">
        <v>0.94849489337827508</v>
      </c>
      <c r="CC41" s="258">
        <v>-0.02</v>
      </c>
      <c r="CD41" s="258">
        <v>5.0000000000000001E-3</v>
      </c>
      <c r="CE41" s="258">
        <v>1.05</v>
      </c>
      <c r="CF41" s="258">
        <v>0</v>
      </c>
      <c r="CG41" s="258">
        <v>3.7400000000000003E-2</v>
      </c>
      <c r="CH41" s="258">
        <v>11.035074138030867</v>
      </c>
      <c r="CI41" s="258">
        <v>3.246</v>
      </c>
      <c r="CJ41" s="258"/>
      <c r="CK41" s="258"/>
      <c r="CL41" s="258"/>
      <c r="CM41" s="258"/>
    </row>
    <row r="42" spans="1:91" x14ac:dyDescent="0.25">
      <c r="A42" s="723"/>
      <c r="B42" s="723"/>
      <c r="D42" s="31">
        <f t="shared" si="52"/>
        <v>37879</v>
      </c>
      <c r="F42" s="28">
        <f t="shared" si="53"/>
        <v>356</v>
      </c>
      <c r="G42" s="28">
        <f t="shared" si="13"/>
        <v>336.26562464697315</v>
      </c>
      <c r="H42" s="52">
        <f t="shared" si="54"/>
        <v>3.3120822622107968</v>
      </c>
      <c r="I42" s="52">
        <f t="shared" si="55"/>
        <v>3.9910000000000001</v>
      </c>
      <c r="K42" s="52">
        <f t="shared" si="56"/>
        <v>18.178682260095471</v>
      </c>
      <c r="L42" s="135">
        <f t="shared" si="57"/>
        <v>1.9069821917128138E-6</v>
      </c>
      <c r="N42" s="131">
        <f t="shared" si="48"/>
        <v>0.3762850500238793</v>
      </c>
      <c r="O42" s="131">
        <f t="shared" si="49"/>
        <v>0.3762850500238793</v>
      </c>
      <c r="P42" s="55">
        <f t="shared" si="50"/>
        <v>1.0000000000000002</v>
      </c>
      <c r="Q42" s="135">
        <f>_xll.xSPRDOPT(I42,H42,AQ42,0,O42,N42,P42,D42-$G$5,1,0)*AH42*AU42</f>
        <v>18.178684167077662</v>
      </c>
      <c r="R42" s="135"/>
      <c r="S42" s="181">
        <f>_xll.xSPRDOPT(I42,H42,AQ42,AT42,O42,N42,P42,D42-$G$5,1,2)*AF42*(F42/(1-AR42))*AH42</f>
        <v>-10368.372239109089</v>
      </c>
      <c r="T42" s="181">
        <f>_xll.xSPRDOPT(I42,H42,AQ42,AT42,O42,N42,P42,D42-$G$5,1,1)*AF42*F42*AH42</f>
        <v>10083.242002533589</v>
      </c>
      <c r="U42" s="135"/>
      <c r="V42" s="146">
        <f t="shared" si="58"/>
        <v>10.634872662641211</v>
      </c>
      <c r="W42" s="146"/>
      <c r="X42" s="338">
        <f t="shared" si="59"/>
        <v>0</v>
      </c>
      <c r="Y42" s="338">
        <f t="shared" si="20"/>
        <v>0</v>
      </c>
      <c r="Z42" s="338">
        <f t="shared" si="21"/>
        <v>1.7377052365134031</v>
      </c>
      <c r="AA42" s="338">
        <f t="shared" si="22"/>
        <v>-2.5469796040963056E-8</v>
      </c>
      <c r="AB42" s="338">
        <f t="shared" si="60"/>
        <v>0</v>
      </c>
      <c r="AC42" s="338">
        <f t="shared" si="61"/>
        <v>1.751987983456988</v>
      </c>
      <c r="AF42" s="138">
        <f t="shared" si="62"/>
        <v>1</v>
      </c>
      <c r="AG42" s="138">
        <f t="shared" si="63"/>
        <v>9</v>
      </c>
      <c r="AH42" s="138">
        <f t="shared" si="27"/>
        <v>30</v>
      </c>
      <c r="AI42" s="138">
        <f t="shared" si="64"/>
        <v>623</v>
      </c>
      <c r="AJ42" s="138">
        <f t="shared" si="65"/>
        <v>640</v>
      </c>
      <c r="AL42" s="136">
        <f t="shared" si="29"/>
        <v>3.2410000000000001</v>
      </c>
      <c r="AM42" s="258">
        <f t="shared" si="30"/>
        <v>-2.5000000000000001E-2</v>
      </c>
      <c r="AN42" s="258">
        <f t="shared" si="31"/>
        <v>5.0000000000000001E-3</v>
      </c>
      <c r="AO42" s="258">
        <f t="shared" si="32"/>
        <v>0.75</v>
      </c>
      <c r="AP42" s="258">
        <f t="shared" si="33"/>
        <v>0</v>
      </c>
      <c r="AQ42" s="136">
        <f t="shared" si="66"/>
        <v>3.7400000000000003E-2</v>
      </c>
      <c r="AR42" s="137">
        <f t="shared" si="35"/>
        <v>2.75E-2</v>
      </c>
      <c r="AS42" s="136">
        <f t="shared" si="67"/>
        <v>3.2210000000000001</v>
      </c>
      <c r="AT42" s="137">
        <f t="shared" si="68"/>
        <v>3.2968887702129003E-2</v>
      </c>
      <c r="AU42" s="137">
        <f t="shared" si="38"/>
        <v>0.94456636136790217</v>
      </c>
      <c r="AV42" s="394">
        <f t="shared" si="69"/>
        <v>283.36990841037067</v>
      </c>
      <c r="AW42" s="137">
        <f t="shared" si="40"/>
        <v>0.37</v>
      </c>
      <c r="AX42" s="137">
        <f t="shared" si="41"/>
        <v>0.57999999999999996</v>
      </c>
      <c r="AY42" s="137">
        <f t="shared" si="42"/>
        <v>0.57999999999999996</v>
      </c>
      <c r="AZ42" s="137"/>
      <c r="BA42" s="264"/>
      <c r="BB42" s="258">
        <f t="shared" si="43"/>
        <v>0</v>
      </c>
      <c r="BC42" s="258">
        <f t="shared" si="70"/>
        <v>0</v>
      </c>
      <c r="BD42" s="137">
        <f t="shared" si="71"/>
        <v>2.9170681815626764E-5</v>
      </c>
      <c r="BE42" s="137">
        <f t="shared" si="72"/>
        <v>2.9170681815626764E-5</v>
      </c>
      <c r="BF42" s="137">
        <f>_xll.xSPRDOPT($BW42,$BV42,$CG42,0,$BY42,$BX42,$BZ42,$AJ42,1,4)*$CB42</f>
        <v>-1.8011335373552397E-6</v>
      </c>
      <c r="BG42" s="137">
        <f>_xll.xSPRDOPT($BW42,$BV42,$CG42,0,$BY42,$BX42,$BZ42,$AJ42,1,3)*$CB42</f>
        <v>-1.1257084608470245E-6</v>
      </c>
      <c r="BH42" s="137">
        <f>IF(OR(BF42&lt;&gt;0,BG42&lt;&gt;0),_xll.xSPRDOPT($BW42,$BV42,$CG42,0,$BY42,$BX42,$BZ42,$AJ42,1,12)*$CB42,0)</f>
        <v>3.3771253825410747E-7</v>
      </c>
      <c r="BI42" s="137">
        <f>_xll.xSPRDOPT($BW42,$BV42,$CG42,2*LN(1+CA42/2),$BY42,$BX42,$BZ42,$AJ42,1,9)</f>
        <v>1.9809514283287158E-2</v>
      </c>
      <c r="BJ42" s="137">
        <f>_xll.xSPRDOPT($BW42,$BV42,$CG42,0,$BY42,$BX42,$BZ42,$AJ42,1,6)*$CB42</f>
        <v>3.9884894054973542E-7</v>
      </c>
      <c r="BK42" s="137">
        <f>_xll.xSPRDOPT($BW42,$BV42,$CG42,0,$BY42,$BX42,$BZ42,$AJ42,1,5)*$CB42</f>
        <v>-4.8060268146190389E-7</v>
      </c>
      <c r="BL42" s="137">
        <f>_xll.xSPRDOPT(BW42,BV42,CG42,0,BY42,BX42,BZ42,AJ42,1,2)*CB42</f>
        <v>-0.94431279988593775</v>
      </c>
      <c r="BM42" s="137">
        <f>_xll.xSPRDOPT(BW42,BV42,CG42,0,BY42,BX42,BZ42,AJ42,1,1)*CB42</f>
        <v>0.94431279988765537</v>
      </c>
      <c r="BN42" s="137">
        <f>IF(AH42&lt;&gt;0,_xll.xSPRDOPT($BW42,$BV42,$CG42,2*LN(1+CA42/2),$BY42,$BX42,$BZ42,$AJ42,1,8)+(AJ42/365.25)*CH42/AH42,0)</f>
        <v>-0.44049671928405554</v>
      </c>
      <c r="BO42" s="137">
        <f>_xll.xSPRDOPT($BW42,$BV42,$CG42,0,$BY42,$BX42,$BZ42,$AJ42,1,0)</f>
        <v>0.64151780501194067</v>
      </c>
      <c r="BP42" s="137"/>
      <c r="BQ42" s="137"/>
      <c r="BR42" s="137"/>
      <c r="BS42" s="137"/>
      <c r="BV42" s="262">
        <v>3.3120822622107968</v>
      </c>
      <c r="BW42" s="136">
        <v>3.9910000000000001</v>
      </c>
      <c r="BX42" s="137">
        <v>0.37625587934206367</v>
      </c>
      <c r="BY42" s="137">
        <v>0.37625587934206367</v>
      </c>
      <c r="BZ42" s="137">
        <v>1</v>
      </c>
      <c r="CA42" s="137">
        <v>3.2968887702129003E-2</v>
      </c>
      <c r="CB42" s="137">
        <v>0.94431270003290391</v>
      </c>
      <c r="CC42" s="258">
        <v>-2.5000000000000001E-2</v>
      </c>
      <c r="CD42" s="258">
        <v>5.0000000000000001E-3</v>
      </c>
      <c r="CE42" s="258">
        <v>0.75</v>
      </c>
      <c r="CF42" s="258">
        <v>0</v>
      </c>
      <c r="CG42" s="258">
        <v>3.7400000000000003E-2</v>
      </c>
      <c r="CH42" s="258">
        <v>10.632016689670465</v>
      </c>
      <c r="CI42" s="258">
        <v>3.2410000000000001</v>
      </c>
      <c r="CJ42" s="258"/>
      <c r="CK42" s="258"/>
      <c r="CL42" s="258"/>
      <c r="CM42" s="258"/>
    </row>
    <row r="43" spans="1:91" x14ac:dyDescent="0.25">
      <c r="A43" s="723"/>
      <c r="B43" s="723"/>
      <c r="D43" s="31">
        <f t="shared" si="52"/>
        <v>37909</v>
      </c>
      <c r="F43" s="28">
        <f t="shared" si="53"/>
        <v>356</v>
      </c>
      <c r="G43" s="28">
        <f t="shared" si="13"/>
        <v>334.79926157244961</v>
      </c>
      <c r="H43" s="52">
        <f t="shared" si="54"/>
        <v>3.3388174807197943</v>
      </c>
      <c r="I43" s="52">
        <f t="shared" si="55"/>
        <v>3.7170000000000001</v>
      </c>
      <c r="K43" s="52">
        <f t="shared" si="56"/>
        <v>9.9351286802420518</v>
      </c>
      <c r="L43" s="135">
        <f t="shared" si="57"/>
        <v>2.2230209957285751E-6</v>
      </c>
      <c r="N43" s="131">
        <f t="shared" si="48"/>
        <v>0.3804492507364664</v>
      </c>
      <c r="O43" s="131">
        <f t="shared" si="49"/>
        <v>0.3804492507364664</v>
      </c>
      <c r="P43" s="55">
        <f t="shared" si="50"/>
        <v>1</v>
      </c>
      <c r="Q43" s="135">
        <f>_xll.xSPRDOPT(I43,H43,AQ43,0,O43,N43,P43,D43-$G$5,1,0)*AH43*AU43</f>
        <v>9.9351309032630475</v>
      </c>
      <c r="R43" s="135"/>
      <c r="S43" s="181">
        <f>_xll.xSPRDOPT(I43,H43,AQ43,AT43,O43,N43,P43,D43-$G$5,1,2)*AF43*(F43/(1-AR43))*AH43</f>
        <v>-10666.713569260162</v>
      </c>
      <c r="T43" s="181">
        <f>_xll.xSPRDOPT(I43,H43,AQ43,AT43,O43,N43,P43,D43-$G$5,1,1)*AF43*F43*AH43</f>
        <v>10373.378946045286</v>
      </c>
      <c r="U43" s="135"/>
      <c r="V43" s="146">
        <f t="shared" si="58"/>
        <v>10.941446766607728</v>
      </c>
      <c r="W43" s="146"/>
      <c r="X43" s="338">
        <f t="shared" si="59"/>
        <v>0</v>
      </c>
      <c r="Y43" s="338">
        <f t="shared" si="20"/>
        <v>0</v>
      </c>
      <c r="Z43" s="338">
        <f t="shared" si="21"/>
        <v>0.97645351138083925</v>
      </c>
      <c r="AA43" s="338">
        <f t="shared" si="22"/>
        <v>1.209490012880467E-6</v>
      </c>
      <c r="AB43" s="338">
        <f t="shared" si="60"/>
        <v>0</v>
      </c>
      <c r="AC43" s="338">
        <f t="shared" si="61"/>
        <v>0.98473695757256741</v>
      </c>
      <c r="AF43" s="138">
        <f t="shared" si="62"/>
        <v>1</v>
      </c>
      <c r="AG43" s="138">
        <f t="shared" si="63"/>
        <v>10</v>
      </c>
      <c r="AH43" s="138">
        <f t="shared" si="27"/>
        <v>31</v>
      </c>
      <c r="AI43" s="138">
        <f t="shared" si="64"/>
        <v>653</v>
      </c>
      <c r="AJ43" s="138">
        <f t="shared" si="65"/>
        <v>670</v>
      </c>
      <c r="AL43" s="136">
        <f t="shared" si="29"/>
        <v>3.2669999999999999</v>
      </c>
      <c r="AM43" s="258">
        <f t="shared" si="30"/>
        <v>-2.5000000000000001E-2</v>
      </c>
      <c r="AN43" s="258">
        <f t="shared" si="31"/>
        <v>5.0000000000000001E-3</v>
      </c>
      <c r="AO43" s="258">
        <f t="shared" si="32"/>
        <v>0.45</v>
      </c>
      <c r="AP43" s="258">
        <f t="shared" si="33"/>
        <v>0</v>
      </c>
      <c r="AQ43" s="136">
        <f t="shared" si="66"/>
        <v>3.7400000000000003E-2</v>
      </c>
      <c r="AR43" s="137">
        <f t="shared" si="35"/>
        <v>2.75E-2</v>
      </c>
      <c r="AS43" s="136">
        <f t="shared" si="67"/>
        <v>3.2469999999999999</v>
      </c>
      <c r="AT43" s="137">
        <f t="shared" si="68"/>
        <v>3.3906701822071103E-2</v>
      </c>
      <c r="AU43" s="137">
        <f t="shared" si="38"/>
        <v>0.94044736396755513</v>
      </c>
      <c r="AV43" s="394">
        <f t="shared" si="69"/>
        <v>291.5386828299421</v>
      </c>
      <c r="AW43" s="137">
        <f t="shared" si="40"/>
        <v>0.3725</v>
      </c>
      <c r="AX43" s="137">
        <f t="shared" si="41"/>
        <v>0.63</v>
      </c>
      <c r="AY43" s="137">
        <f t="shared" si="42"/>
        <v>0.63</v>
      </c>
      <c r="AZ43" s="137"/>
      <c r="BA43" s="264"/>
      <c r="BB43" s="258">
        <f t="shared" si="43"/>
        <v>0</v>
      </c>
      <c r="BC43" s="258">
        <f t="shared" si="70"/>
        <v>0</v>
      </c>
      <c r="BD43" s="137">
        <f t="shared" si="71"/>
        <v>3.5144750946347614E-5</v>
      </c>
      <c r="BE43" s="137">
        <f t="shared" si="72"/>
        <v>3.5144750946347614E-5</v>
      </c>
      <c r="BF43" s="137">
        <f>_xll.xSPRDOPT($BW43,$BV43,$CG43,0,$BY43,$BX43,$BZ43,$AJ43,1,4)*$CB43</f>
        <v>1.3449492727918429E-6</v>
      </c>
      <c r="BG43" s="137">
        <f>_xll.xSPRDOPT($BW43,$BV43,$CG43,0,$BY43,$BX43,$BZ43,$AJ43,1,3)*$CB43</f>
        <v>1.1207910606598691E-7</v>
      </c>
      <c r="BH43" s="137">
        <f>IF(OR(BF43&lt;&gt;0,BG43&lt;&gt;0),_xll.xSPRDOPT($BW43,$BV43,$CG43,0,$BY43,$BX43,$BZ43,$AJ43,1,12)*$CB43,0)</f>
        <v>-4.4831642426394762E-7</v>
      </c>
      <c r="BI43" s="137">
        <f>_xll.xSPRDOPT($BW43,$BV43,$CG43,2*LN(1+CA43/2),$BY43,$BX43,$BZ43,$AJ43,1,9)</f>
        <v>1.0772310167689125E-2</v>
      </c>
      <c r="BJ43" s="137">
        <f>_xll.xSPRDOPT($BW43,$BV43,$CG43,0,$BY43,$BX43,$BZ43,$AJ43,1,6)*$CB43</f>
        <v>-2.7531156656087755E-5</v>
      </c>
      <c r="BK43" s="137">
        <f>_xll.xSPRDOPT($BW43,$BV43,$CG43,0,$BY43,$BX43,$BZ43,$AJ43,1,5)*$CB43</f>
        <v>3.064954447101846E-5</v>
      </c>
      <c r="BL43" s="137">
        <f>_xll.xSPRDOPT(BW43,BV43,CG43,0,BY43,BX43,BZ43,AJ43,1,2)*CB43</f>
        <v>-0.9401865223911875</v>
      </c>
      <c r="BM43" s="137">
        <f>_xll.xSPRDOPT(BW43,BV43,CG43,0,BY43,BX43,BZ43,AJ43,1,1)*CB43</f>
        <v>0.94018652238520184</v>
      </c>
      <c r="BN43" s="137">
        <f>IF(AH43&lt;&gt;0,_xll.xSPRDOPT($BW43,$BV43,$CG43,2*LN(1+CA43/2),$BY43,$BX43,$BZ43,$AJ43,1,8)+(AJ43/365.25)*CH43/AH43,0)</f>
        <v>5.9530185261841173E-2</v>
      </c>
      <c r="BO43" s="137">
        <f>_xll.xSPRDOPT($BW43,$BV43,$CG43,0,$BY43,$BX43,$BZ43,$AJ43,1,0)</f>
        <v>0.3407825982504466</v>
      </c>
      <c r="BP43" s="137"/>
      <c r="BQ43" s="137"/>
      <c r="BR43" s="137"/>
      <c r="BS43" s="137"/>
      <c r="BV43" s="262">
        <v>3.3388174807197943</v>
      </c>
      <c r="BW43" s="136">
        <v>3.7170000000000001</v>
      </c>
      <c r="BX43" s="137">
        <v>0.38041410598552006</v>
      </c>
      <c r="BY43" s="137">
        <v>0.38041410598552006</v>
      </c>
      <c r="BZ43" s="137">
        <v>1</v>
      </c>
      <c r="CA43" s="137">
        <v>3.3906701822071103E-2</v>
      </c>
      <c r="CB43" s="137">
        <v>0.94018768577798628</v>
      </c>
      <c r="CC43" s="258">
        <v>-2.5000000000000001E-2</v>
      </c>
      <c r="CD43" s="258">
        <v>5.0000000000000001E-3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52"/>
        <v>37940</v>
      </c>
      <c r="F44" s="28">
        <f t="shared" si="53"/>
        <v>356</v>
      </c>
      <c r="G44" s="28">
        <f t="shared" si="13"/>
        <v>333.26277289456687</v>
      </c>
      <c r="H44" s="52">
        <f t="shared" si="54"/>
        <v>3.4802056555269925</v>
      </c>
      <c r="I44" s="52">
        <f t="shared" si="55"/>
        <v>3.8520000000000003</v>
      </c>
      <c r="K44" s="52">
        <f t="shared" si="56"/>
        <v>9.3911112201687299</v>
      </c>
      <c r="L44" s="135">
        <f t="shared" si="57"/>
        <v>3.6919708819027619E-6</v>
      </c>
      <c r="N44" s="131">
        <f t="shared" si="48"/>
        <v>0.38567537328980672</v>
      </c>
      <c r="O44" s="131">
        <f t="shared" si="49"/>
        <v>0.38567537328980672</v>
      </c>
      <c r="P44" s="55">
        <f t="shared" si="50"/>
        <v>0.99999999999999989</v>
      </c>
      <c r="Q44" s="135">
        <f>_xll.xSPRDOPT(I44,H44,AQ44,0,O44,N44,P44,D44-$G$5,1,0)*AH44*AU44</f>
        <v>9.3911149121396118</v>
      </c>
      <c r="R44" s="135"/>
      <c r="S44" s="181">
        <f>_xll.xSPRDOPT(I44,H44,AQ44,AT44,O44,N44,P44,D44-$G$5,1,2)*AF44*(F44/(1-AR44))*AH44</f>
        <v>-10274.670240060403</v>
      </c>
      <c r="T44" s="181">
        <f>_xll.xSPRDOPT(I44,H44,AQ44,AT44,O44,N44,P44,D44-$G$5,1,1)*AF44*F44*AH44</f>
        <v>9992.1168086141552</v>
      </c>
      <c r="U44" s="135"/>
      <c r="V44" s="146">
        <f t="shared" si="58"/>
        <v>10.539903258482946</v>
      </c>
      <c r="W44" s="146"/>
      <c r="X44" s="338">
        <f t="shared" si="59"/>
        <v>0</v>
      </c>
      <c r="Y44" s="338">
        <f t="shared" si="20"/>
        <v>0</v>
      </c>
      <c r="Z44" s="338">
        <f t="shared" si="21"/>
        <v>0.94801444880289987</v>
      </c>
      <c r="AA44" s="338">
        <f t="shared" si="22"/>
        <v>6.0985481722666459E-6</v>
      </c>
      <c r="AB44" s="338">
        <f t="shared" si="60"/>
        <v>0</v>
      </c>
      <c r="AC44" s="338">
        <f t="shared" si="61"/>
        <v>0.95632431733953327</v>
      </c>
      <c r="AF44" s="138">
        <f t="shared" si="62"/>
        <v>1</v>
      </c>
      <c r="AG44" s="138">
        <f t="shared" si="63"/>
        <v>11</v>
      </c>
      <c r="AH44" s="138">
        <f t="shared" si="27"/>
        <v>30</v>
      </c>
      <c r="AI44" s="138">
        <f t="shared" si="64"/>
        <v>684</v>
      </c>
      <c r="AJ44" s="138">
        <f t="shared" si="65"/>
        <v>701</v>
      </c>
      <c r="AL44" s="136">
        <f t="shared" si="29"/>
        <v>3.4020000000000001</v>
      </c>
      <c r="AM44" s="258">
        <f t="shared" si="30"/>
        <v>-0.02</v>
      </c>
      <c r="AN44" s="258">
        <f t="shared" si="31"/>
        <v>2.5000000000000001E-3</v>
      </c>
      <c r="AO44" s="258">
        <f t="shared" si="32"/>
        <v>0.45</v>
      </c>
      <c r="AP44" s="258">
        <f t="shared" si="33"/>
        <v>0</v>
      </c>
      <c r="AQ44" s="136">
        <f t="shared" si="66"/>
        <v>3.7400000000000003E-2</v>
      </c>
      <c r="AR44" s="137">
        <f t="shared" si="35"/>
        <v>2.75E-2</v>
      </c>
      <c r="AS44" s="136">
        <f t="shared" si="67"/>
        <v>3.3845000000000001</v>
      </c>
      <c r="AT44" s="137">
        <f t="shared" si="68"/>
        <v>3.4836153967131397E-2</v>
      </c>
      <c r="AU44" s="137">
        <f t="shared" si="38"/>
        <v>0.9361313845353002</v>
      </c>
      <c r="AV44" s="394">
        <f t="shared" si="69"/>
        <v>280.83941536059007</v>
      </c>
      <c r="AW44" s="137">
        <f t="shared" si="40"/>
        <v>0.37</v>
      </c>
      <c r="AX44" s="137">
        <f t="shared" si="41"/>
        <v>0.83</v>
      </c>
      <c r="AY44" s="137">
        <f t="shared" si="42"/>
        <v>0.83</v>
      </c>
      <c r="AZ44" s="137"/>
      <c r="BA44" s="264"/>
      <c r="BB44" s="258">
        <f t="shared" si="43"/>
        <v>0</v>
      </c>
      <c r="BC44" s="258">
        <f t="shared" si="70"/>
        <v>0</v>
      </c>
      <c r="BD44" s="137">
        <f t="shared" si="71"/>
        <v>6.5633014911969934E-5</v>
      </c>
      <c r="BE44" s="137">
        <f t="shared" si="72"/>
        <v>6.5633014911969934E-5</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1.0807187185557404E-2</v>
      </c>
      <c r="BJ44" s="137">
        <f>_xll.xSPRDOPT($BW44,$BV44,$CG44,0,$BY44,$BX44,$BZ44,$AJ44,1,6)*$CB44</f>
        <v>-8.1439392452863627E-5</v>
      </c>
      <c r="BK44" s="137">
        <f>_xll.xSPRDOPT($BW44,$BV44,$CG44,0,$BY44,$BX44,$BZ44,$AJ44,1,5)*$CB44</f>
        <v>9.0139664877171425E-5</v>
      </c>
      <c r="BL44" s="137">
        <f>_xll.xSPRDOPT(BW44,BV44,CG44,0,BY44,BX44,BZ44,AJ44,1,2)*CB44</f>
        <v>-0.93586234623694675</v>
      </c>
      <c r="BM44" s="137">
        <f>_xll.xSPRDOPT(BW44,BV44,CG44,0,BY44,BX44,BZ44,AJ44,1,1)*CB44</f>
        <v>0.93586234625397002</v>
      </c>
      <c r="BN44" s="137">
        <f>IF(AH44&lt;&gt;0,_xll.xSPRDOPT($BW44,$BV44,$CG44,2*LN(1+CA44/2),$BY44,$BX44,$BZ44,$AJ44,1,8)+(AJ44/365.25)*CH44/AH44,0)</f>
        <v>7.3472241652792758E-2</v>
      </c>
      <c r="BO44" s="137">
        <f>_xll.xSPRDOPT($BW44,$BV44,$CG44,0,$BY44,$BX44,$BZ44,$AJ44,1,0)</f>
        <v>0.33439448302202257</v>
      </c>
      <c r="BP44" s="137"/>
      <c r="BQ44" s="137"/>
      <c r="BR44" s="137"/>
      <c r="BS44" s="137"/>
      <c r="BV44" s="262">
        <v>3.4802056555269925</v>
      </c>
      <c r="BW44" s="136">
        <v>3.8520000000000003</v>
      </c>
      <c r="BX44" s="137">
        <v>0.38560974027489475</v>
      </c>
      <c r="BY44" s="137">
        <v>0.38560974027489475</v>
      </c>
      <c r="BZ44" s="137">
        <v>1</v>
      </c>
      <c r="CA44" s="137">
        <v>3.4836153967131397E-2</v>
      </c>
      <c r="CB44" s="137">
        <v>0.93586587426758006</v>
      </c>
      <c r="CC44" s="258">
        <v>-0.02</v>
      </c>
      <c r="CD44" s="258">
        <v>2.5000000000000001E-3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52"/>
        <v>37970</v>
      </c>
      <c r="F45" s="28">
        <f t="shared" si="53"/>
        <v>356</v>
      </c>
      <c r="G45" s="28">
        <f t="shared" si="13"/>
        <v>331.73383055953258</v>
      </c>
      <c r="H45" s="52">
        <f t="shared" si="54"/>
        <v>3.6190231362467862</v>
      </c>
      <c r="I45" s="52">
        <f t="shared" si="55"/>
        <v>3.9369999999999998</v>
      </c>
      <c r="K45" s="52">
        <f t="shared" si="56"/>
        <v>8.105005536955737</v>
      </c>
      <c r="L45" s="135">
        <f t="shared" si="57"/>
        <v>2.4960389364281355E-5</v>
      </c>
      <c r="N45" s="131">
        <f t="shared" si="48"/>
        <v>0.39564204160538236</v>
      </c>
      <c r="O45" s="131">
        <f t="shared" si="49"/>
        <v>0.39564204160538236</v>
      </c>
      <c r="P45" s="55">
        <f t="shared" si="50"/>
        <v>1.0000000000000002</v>
      </c>
      <c r="Q45" s="135">
        <f>_xll.xSPRDOPT(I45,H45,AQ45,0,O45,N45,P45,D45-$G$5,1,0)*AH45*AU45</f>
        <v>8.1050304973451013</v>
      </c>
      <c r="R45" s="135"/>
      <c r="S45" s="181">
        <f>_xll.xSPRDOPT(I45,H45,AQ45,AT45,O45,N45,P45,D45-$G$5,1,2)*AF45*(F45/(1-AR45))*AH45</f>
        <v>-10567.58992244673</v>
      </c>
      <c r="T45" s="181">
        <f>_xll.xSPRDOPT(I45,H45,AQ45,AT45,O45,N45,P45,D45-$G$5,1,1)*AF45*F45*AH45</f>
        <v>10276.981199539297</v>
      </c>
      <c r="U45" s="135"/>
      <c r="V45" s="146">
        <f t="shared" si="58"/>
        <v>10.841266586738119</v>
      </c>
      <c r="W45" s="146"/>
      <c r="X45" s="338">
        <f t="shared" si="59"/>
        <v>0</v>
      </c>
      <c r="Y45" s="338">
        <f t="shared" si="20"/>
        <v>0</v>
      </c>
      <c r="Z45" s="338">
        <f t="shared" si="21"/>
        <v>0.83871912055371167</v>
      </c>
      <c r="AA45" s="338">
        <f t="shared" si="22"/>
        <v>5.8742847382315163E-5</v>
      </c>
      <c r="AB45" s="338">
        <f t="shared" si="60"/>
        <v>0</v>
      </c>
      <c r="AC45" s="338">
        <f t="shared" si="61"/>
        <v>0.84666336247301899</v>
      </c>
      <c r="AF45" s="138">
        <f t="shared" si="62"/>
        <v>1</v>
      </c>
      <c r="AG45" s="138">
        <f t="shared" si="63"/>
        <v>12</v>
      </c>
      <c r="AH45" s="138">
        <f t="shared" si="27"/>
        <v>31</v>
      </c>
      <c r="AI45" s="138">
        <f t="shared" si="64"/>
        <v>714</v>
      </c>
      <c r="AJ45" s="138">
        <f t="shared" si="65"/>
        <v>731</v>
      </c>
      <c r="AL45" s="136">
        <f t="shared" si="29"/>
        <v>3.5369999999999999</v>
      </c>
      <c r="AM45" s="258">
        <f t="shared" si="30"/>
        <v>-0.02</v>
      </c>
      <c r="AN45" s="258">
        <f t="shared" si="31"/>
        <v>2.5000000000000001E-3</v>
      </c>
      <c r="AO45" s="258">
        <f t="shared" si="32"/>
        <v>0.4</v>
      </c>
      <c r="AP45" s="258">
        <f t="shared" si="33"/>
        <v>0</v>
      </c>
      <c r="AQ45" s="136">
        <f t="shared" si="66"/>
        <v>3.7400000000000003E-2</v>
      </c>
      <c r="AR45" s="137">
        <f t="shared" si="35"/>
        <v>2.75E-2</v>
      </c>
      <c r="AS45" s="136">
        <f t="shared" si="67"/>
        <v>3.5194999999999999</v>
      </c>
      <c r="AT45" s="137">
        <f t="shared" si="68"/>
        <v>3.5735624061610197E-2</v>
      </c>
      <c r="AU45" s="137">
        <f t="shared" si="38"/>
        <v>0.93183660269531621</v>
      </c>
      <c r="AV45" s="394">
        <f t="shared" si="69"/>
        <v>288.86934683554801</v>
      </c>
      <c r="AW45" s="137">
        <f t="shared" si="40"/>
        <v>0.37</v>
      </c>
      <c r="AX45" s="137">
        <f t="shared" si="41"/>
        <v>1.03</v>
      </c>
      <c r="AY45" s="137">
        <f t="shared" si="42"/>
        <v>1.03</v>
      </c>
      <c r="AZ45" s="137"/>
      <c r="BA45" s="264"/>
      <c r="BB45" s="258">
        <f t="shared" si="43"/>
        <v>0</v>
      </c>
      <c r="BC45" s="258">
        <f t="shared" si="70"/>
        <v>0</v>
      </c>
      <c r="BD45" s="137">
        <f t="shared" si="71"/>
        <v>1.0162846149874838E-4</v>
      </c>
      <c r="BE45" s="137">
        <f t="shared" si="72"/>
        <v>1.0162846149874838E-4</v>
      </c>
      <c r="BF45" s="137">
        <f>_xll.xSPRDOPT($BW45,$BV45,$CG45,0,$BY45,$BX45,$BZ45,$AJ45,1,4)*$CB45</f>
        <v>-6.6630760257273543E-7</v>
      </c>
      <c r="BG45" s="137">
        <f>_xll.xSPRDOPT($BW45,$BV45,$CG45,0,$BY45,$BX45,$BZ45,$AJ45,1,3)*$CB45</f>
        <v>6.6630760257273543E-7</v>
      </c>
      <c r="BH45" s="137">
        <f>IF(OR(BF45&lt;&gt;0,BG45&lt;&gt;0),_xll.xSPRDOPT($BW45,$BV45,$CG45,0,$BY45,$BX45,$BZ45,$AJ45,1,12)*$CB45,0)</f>
        <v>-3.8867943483409571E-7</v>
      </c>
      <c r="BI45" s="137">
        <f>_xll.xSPRDOPT($BW45,$BV45,$CG45,2*LN(1+CA45/2),$BY45,$BX45,$BZ45,$AJ45,1,9)</f>
        <v>9.2528137846515403E-3</v>
      </c>
      <c r="BJ45" s="137">
        <f>_xll.xSPRDOPT($BW45,$BV45,$CG45,0,$BY45,$BX45,$BZ45,$AJ45,1,6)*$CB45</f>
        <v>-5.9610650963754636E-4</v>
      </c>
      <c r="BK45" s="137">
        <f>_xll.xSPRDOPT($BW45,$BV45,$CG45,0,$BY45,$BX45,$BZ45,$AJ45,1,5)*$CB45</f>
        <v>6.4848198177605738E-4</v>
      </c>
      <c r="BL45" s="137">
        <f>_xll.xSPRDOPT(BW45,BV45,CG45,0,BY45,BX45,BZ45,AJ45,1,2)*CB45</f>
        <v>-0.93153823447692663</v>
      </c>
      <c r="BM45" s="137">
        <f>_xll.xSPRDOPT(BW45,BV45,CG45,0,BY45,BX45,BZ45,AJ45,1,1)*CB45</f>
        <v>0.93153823447438477</v>
      </c>
      <c r="BN45" s="137">
        <f>IF(AH45&lt;&gt;0,_xll.xSPRDOPT($BW45,$BV45,$CG45,2*LN(1+CA45/2),$BY45,$BX45,$BZ45,$AJ45,1,8)+(AJ45/365.25)*CH45/AH45,0)</f>
        <v>0.17660072998853582</v>
      </c>
      <c r="BO45" s="137">
        <f>_xll.xSPRDOPT($BW45,$BV45,$CG45,0,$BY45,$BX45,$BZ45,$AJ45,1,0)</f>
        <v>0.28057776788413935</v>
      </c>
      <c r="BP45" s="137"/>
      <c r="BQ45" s="137"/>
      <c r="BR45" s="137"/>
      <c r="BS45" s="137"/>
      <c r="BV45" s="262">
        <v>3.6190231362467862</v>
      </c>
      <c r="BW45" s="136">
        <v>3.9369999999999998</v>
      </c>
      <c r="BX45" s="137">
        <v>0.39554041314388361</v>
      </c>
      <c r="BY45" s="137">
        <v>0.39554041314388361</v>
      </c>
      <c r="BZ45" s="137">
        <v>1</v>
      </c>
      <c r="CA45" s="137">
        <v>3.5735624061610197E-2</v>
      </c>
      <c r="CB45" s="137">
        <v>0.93156554756707821</v>
      </c>
      <c r="CC45" s="258">
        <v>-0.02</v>
      </c>
      <c r="CD45" s="258">
        <v>2.5000000000000001E-3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52"/>
        <v>38001</v>
      </c>
      <c r="F46" s="28">
        <f t="shared" si="53"/>
        <v>356</v>
      </c>
      <c r="G46" s="28">
        <f t="shared" si="13"/>
        <v>330.13525021461345</v>
      </c>
      <c r="H46" s="52">
        <f t="shared" si="54"/>
        <v>3.6807197943444727</v>
      </c>
      <c r="I46" s="52">
        <f t="shared" si="55"/>
        <v>3.9470000000000001</v>
      </c>
      <c r="K46" s="52">
        <f t="shared" si="56"/>
        <v>6.6947778479990534</v>
      </c>
      <c r="L46" s="135">
        <f t="shared" si="57"/>
        <v>4.4753541954101195E-5</v>
      </c>
      <c r="N46" s="131">
        <f t="shared" si="48"/>
        <v>0.39305358955281788</v>
      </c>
      <c r="O46" s="131">
        <f t="shared" si="49"/>
        <v>0.39305358955281788</v>
      </c>
      <c r="P46" s="55">
        <f t="shared" si="50"/>
        <v>1</v>
      </c>
      <c r="Q46" s="135">
        <f>_xll.xSPRDOPT(I46,H46,AQ46,0,O46,N46,P46,D46-$G$5,1,0)*AH46*AU46</f>
        <v>6.6948226015410075</v>
      </c>
      <c r="R46" s="135"/>
      <c r="S46" s="181">
        <f>_xll.xSPRDOPT(I46,H46,AQ46,AT46,O46,N46,P46,D46-$G$5,1,2)*AF46*(F46/(1-AR46))*AH46</f>
        <v>-10516.047891112841</v>
      </c>
      <c r="T46" s="181">
        <f>_xll.xSPRDOPT(I46,H46,AQ46,AT46,O46,N46,P46,D46-$G$5,1,1)*AF46*F46*AH46</f>
        <v>10226.856574192554</v>
      </c>
      <c r="U46" s="135"/>
      <c r="V46" s="146">
        <f t="shared" si="58"/>
        <v>10.789023993179432</v>
      </c>
      <c r="W46" s="146"/>
      <c r="X46" s="338">
        <f t="shared" si="59"/>
        <v>0</v>
      </c>
      <c r="Y46" s="338">
        <f t="shared" si="20"/>
        <v>0</v>
      </c>
      <c r="Z46" s="338">
        <f t="shared" si="21"/>
        <v>0.70998352702544998</v>
      </c>
      <c r="AA46" s="338">
        <f t="shared" si="22"/>
        <v>4.187073141872593E-5</v>
      </c>
      <c r="AB46" s="338">
        <f t="shared" si="60"/>
        <v>0</v>
      </c>
      <c r="AC46" s="338">
        <f t="shared" si="61"/>
        <v>0.71683711409833073</v>
      </c>
      <c r="AF46" s="138">
        <f t="shared" si="62"/>
        <v>1</v>
      </c>
      <c r="AG46" s="138">
        <f t="shared" si="63"/>
        <v>1</v>
      </c>
      <c r="AH46" s="138">
        <f t="shared" si="27"/>
        <v>31</v>
      </c>
      <c r="AI46" s="138">
        <f t="shared" si="64"/>
        <v>745</v>
      </c>
      <c r="AJ46" s="138">
        <f t="shared" si="65"/>
        <v>762</v>
      </c>
      <c r="AL46" s="136">
        <f t="shared" si="29"/>
        <v>3.597</v>
      </c>
      <c r="AM46" s="258">
        <f t="shared" si="30"/>
        <v>-0.02</v>
      </c>
      <c r="AN46" s="258">
        <f t="shared" si="31"/>
        <v>2.5000000000000001E-3</v>
      </c>
      <c r="AO46" s="258">
        <f t="shared" si="32"/>
        <v>0.35</v>
      </c>
      <c r="AP46" s="258">
        <f t="shared" si="33"/>
        <v>0</v>
      </c>
      <c r="AQ46" s="136">
        <f t="shared" si="66"/>
        <v>3.3399999999999999E-2</v>
      </c>
      <c r="AR46" s="137">
        <f t="shared" si="35"/>
        <v>2.75E-2</v>
      </c>
      <c r="AS46" s="136">
        <f t="shared" si="67"/>
        <v>3.5794999999999999</v>
      </c>
      <c r="AT46" s="137">
        <f t="shared" si="68"/>
        <v>3.6629399588957501E-2</v>
      </c>
      <c r="AU46" s="137">
        <f t="shared" si="38"/>
        <v>0.9273462084680153</v>
      </c>
      <c r="AV46" s="394">
        <f t="shared" si="69"/>
        <v>287.47732462508475</v>
      </c>
      <c r="AW46" s="137">
        <f t="shared" si="40"/>
        <v>0.37</v>
      </c>
      <c r="AX46" s="137">
        <f t="shared" si="41"/>
        <v>1</v>
      </c>
      <c r="AY46" s="137">
        <f t="shared" si="42"/>
        <v>1</v>
      </c>
      <c r="AZ46" s="137"/>
      <c r="BA46" s="264"/>
      <c r="BB46" s="258">
        <f t="shared" si="43"/>
        <v>0</v>
      </c>
      <c r="BC46" s="258">
        <f t="shared" si="70"/>
        <v>0</v>
      </c>
      <c r="BD46" s="137">
        <f t="shared" si="71"/>
        <v>8.793719974886649E-5</v>
      </c>
      <c r="BE46" s="137">
        <f t="shared" si="72"/>
        <v>8.793719974886649E-5</v>
      </c>
      <c r="BF46" s="137">
        <f>_xll.xSPRDOPT($BW46,$BV46,$CG46,0,$BY46,$BX46,$BZ46,$AJ46,1,4)*$CB46</f>
        <v>1.1051532921111066E-6</v>
      </c>
      <c r="BG46" s="137">
        <f>_xll.xSPRDOPT($BW46,$BV46,$CG46,0,$BY46,$BX46,$BZ46,$AJ46,1,3)*$CB46</f>
        <v>7.7360730447777456E-7</v>
      </c>
      <c r="BH46" s="137">
        <f>IF(OR(BF46&lt;&gt;0,BG46&lt;&gt;0),_xll.xSPRDOPT($BW46,$BV46,$CG46,0,$BY46,$BX46,$BZ46,$AJ46,1,12)*$CB46,0)</f>
        <v>-1.0222667952027734E-6</v>
      </c>
      <c r="BI46" s="137">
        <f>_xll.xSPRDOPT($BW46,$BV46,$CG46,2*LN(1+CA46/2),$BY46,$BX46,$BZ46,$AJ46,1,9)</f>
        <v>7.8325928248775406E-3</v>
      </c>
      <c r="BJ46" s="137">
        <f>_xll.xSPRDOPT($BW46,$BV46,$CG46,0,$BY46,$BX46,$BZ46,$AJ46,1,6)*$CB46</f>
        <v>-5.9637591007205332E-4</v>
      </c>
      <c r="BK46" s="137">
        <f>_xll.xSPRDOPT($BW46,$BV46,$CG46,0,$BY46,$BX46,$BZ46,$AJ46,1,5)*$CB46</f>
        <v>6.3952048789373017E-4</v>
      </c>
      <c r="BL46" s="137">
        <f>_xll.xSPRDOPT(BW46,BV46,CG46,0,BY46,BX46,BZ46,AJ46,1,2)*CB46</f>
        <v>-0.92704350818080361</v>
      </c>
      <c r="BM46" s="137">
        <f>_xll.xSPRDOPT(BW46,BV46,CG46,0,BY46,BX46,BZ46,AJ46,1,1)*CB46</f>
        <v>0.92704350818881365</v>
      </c>
      <c r="BN46" s="137">
        <f>IF(AH46&lt;&gt;0,_xll.xSPRDOPT($BW46,$BV46,$CG46,2*LN(1+CA46/2),$BY46,$BX46,$BZ46,$AJ46,1,8)+(AJ46/365.25)*CH46/AH46,0)</f>
        <v>0.27544993751352209</v>
      </c>
      <c r="BO46" s="137">
        <f>_xll.xSPRDOPT($BW46,$BV46,$CG46,0,$BY46,$BX46,$BZ46,$AJ46,1,0)</f>
        <v>0.23288179443860363</v>
      </c>
      <c r="BP46" s="137"/>
      <c r="BQ46" s="137"/>
      <c r="BR46" s="137"/>
      <c r="BS46" s="137"/>
      <c r="BV46" s="262">
        <v>3.6807197943444727</v>
      </c>
      <c r="BW46" s="136">
        <v>3.9470000000000001</v>
      </c>
      <c r="BX46" s="137">
        <v>0.39296565235306902</v>
      </c>
      <c r="BY46" s="137">
        <v>0.39296565235306902</v>
      </c>
      <c r="BZ46" s="137">
        <v>1</v>
      </c>
      <c r="CA46" s="137">
        <v>3.6629399588957501E-2</v>
      </c>
      <c r="CB46" s="137">
        <v>0.92706977474295649</v>
      </c>
      <c r="CC46" s="258">
        <v>-0.02</v>
      </c>
      <c r="CD46" s="258">
        <v>2.5000000000000001E-3</v>
      </c>
      <c r="CE46" s="258">
        <v>0.35</v>
      </c>
      <c r="CF46" s="258">
        <v>0</v>
      </c>
      <c r="CG46" s="258">
        <v>3.3399999999999999E-2</v>
      </c>
      <c r="CH46" s="258">
        <v>10.78580788029198</v>
      </c>
      <c r="CI46" s="258">
        <v>3.597</v>
      </c>
      <c r="CJ46" s="258"/>
      <c r="CK46" s="258"/>
      <c r="CL46" s="258"/>
      <c r="CM46" s="258"/>
    </row>
    <row r="47" spans="1:91" x14ac:dyDescent="0.25">
      <c r="A47" s="723"/>
      <c r="B47" s="723"/>
      <c r="D47" s="31">
        <f t="shared" si="52"/>
        <v>38032</v>
      </c>
      <c r="F47" s="28">
        <f t="shared" si="53"/>
        <v>356</v>
      </c>
      <c r="G47" s="28">
        <f t="shared" si="13"/>
        <v>328.52223289833864</v>
      </c>
      <c r="H47" s="52">
        <f t="shared" si="54"/>
        <v>3.5933161953727506</v>
      </c>
      <c r="I47" s="52">
        <f t="shared" si="55"/>
        <v>3.8620000000000001</v>
      </c>
      <c r="K47" s="52">
        <f t="shared" si="56"/>
        <v>6.2965810813703751</v>
      </c>
      <c r="L47" s="135">
        <f t="shared" si="57"/>
        <v>4.6838296714923899E-5</v>
      </c>
      <c r="N47" s="131">
        <f t="shared" si="48"/>
        <v>0.39080901832551673</v>
      </c>
      <c r="O47" s="131">
        <f t="shared" si="49"/>
        <v>0.39080901832551673</v>
      </c>
      <c r="P47" s="55">
        <f t="shared" si="50"/>
        <v>1</v>
      </c>
      <c r="Q47" s="135">
        <f>_xll.xSPRDOPT(I47,H47,AQ47,0,O47,N47,P47,D47-$G$5,1,0)*AH47*AU47</f>
        <v>6.29662791966709</v>
      </c>
      <c r="R47" s="135"/>
      <c r="S47" s="181">
        <f>_xll.xSPRDOPT(I47,H47,AQ47,AT47,O47,N47,P47,D47-$G$5,1,2)*AF47*(F47/(1-AR47))*AH47</f>
        <v>-9788.9320166633188</v>
      </c>
      <c r="T47" s="181">
        <f>_xll.xSPRDOPT(I47,H47,AQ47,AT47,O47,N47,P47,D47-$G$5,1,1)*AF47*F47*AH47</f>
        <v>9519.7363860783171</v>
      </c>
      <c r="U47" s="135"/>
      <c r="V47" s="146">
        <f t="shared" si="58"/>
        <v>10.043644455605754</v>
      </c>
      <c r="W47" s="146"/>
      <c r="X47" s="338">
        <f t="shared" si="59"/>
        <v>0</v>
      </c>
      <c r="Y47" s="338">
        <f t="shared" si="20"/>
        <v>0</v>
      </c>
      <c r="Z47" s="338">
        <f t="shared" si="21"/>
        <v>0.68323439553756504</v>
      </c>
      <c r="AA47" s="338">
        <f t="shared" si="22"/>
        <v>3.3810986120565159E-5</v>
      </c>
      <c r="AB47" s="338">
        <f t="shared" si="60"/>
        <v>0</v>
      </c>
      <c r="AC47" s="338">
        <f t="shared" si="61"/>
        <v>0.68994670066205455</v>
      </c>
      <c r="AF47" s="138">
        <f t="shared" si="62"/>
        <v>1</v>
      </c>
      <c r="AG47" s="138">
        <f t="shared" si="63"/>
        <v>2</v>
      </c>
      <c r="AH47" s="138">
        <f t="shared" si="27"/>
        <v>29</v>
      </c>
      <c r="AI47" s="138">
        <f t="shared" si="64"/>
        <v>776</v>
      </c>
      <c r="AJ47" s="138">
        <f t="shared" si="65"/>
        <v>793</v>
      </c>
      <c r="AL47" s="136">
        <f t="shared" si="29"/>
        <v>3.512</v>
      </c>
      <c r="AM47" s="258">
        <f t="shared" si="30"/>
        <v>-0.02</v>
      </c>
      <c r="AN47" s="258">
        <f t="shared" si="31"/>
        <v>2.5000000000000001E-3</v>
      </c>
      <c r="AO47" s="258">
        <f t="shared" si="32"/>
        <v>0.35</v>
      </c>
      <c r="AP47" s="258">
        <f t="shared" si="33"/>
        <v>0</v>
      </c>
      <c r="AQ47" s="136">
        <f t="shared" si="66"/>
        <v>3.3399999999999999E-2</v>
      </c>
      <c r="AR47" s="137">
        <f t="shared" si="35"/>
        <v>2.75E-2</v>
      </c>
      <c r="AS47" s="136">
        <f t="shared" si="67"/>
        <v>3.4944999999999999</v>
      </c>
      <c r="AT47" s="137">
        <f t="shared" si="68"/>
        <v>3.74851197051385E-2</v>
      </c>
      <c r="AU47" s="137">
        <f t="shared" si="38"/>
        <v>0.92281526095038946</v>
      </c>
      <c r="AV47" s="394">
        <f t="shared" si="69"/>
        <v>267.61642567561296</v>
      </c>
      <c r="AW47" s="137">
        <f t="shared" si="40"/>
        <v>0.37</v>
      </c>
      <c r="AX47" s="137">
        <f t="shared" si="41"/>
        <v>1</v>
      </c>
      <c r="AY47" s="137">
        <f t="shared" si="42"/>
        <v>1</v>
      </c>
      <c r="AZ47" s="137"/>
      <c r="BA47" s="264"/>
      <c r="BB47" s="258">
        <f t="shared" si="43"/>
        <v>0</v>
      </c>
      <c r="BC47" s="258">
        <f t="shared" si="70"/>
        <v>0</v>
      </c>
      <c r="BD47" s="137">
        <f t="shared" si="71"/>
        <v>7.6586028947334128E-5</v>
      </c>
      <c r="BE47" s="137">
        <f t="shared" si="72"/>
        <v>7.6586028947334128E-5</v>
      </c>
      <c r="BF47" s="137">
        <f>_xll.xSPRDOPT($BW47,$BV47,$CG47,0,$BY47,$BX47,$BZ47,$AJ47,1,4)*$CB47</f>
        <v>1.6496190043020928E-7</v>
      </c>
      <c r="BG47" s="137">
        <f>_xll.xSPRDOPT($BW47,$BV47,$CG47,0,$BY47,$BX47,$BZ47,$AJ47,1,3)*$CB47</f>
        <v>0</v>
      </c>
      <c r="BH47" s="137">
        <f>IF(OR(BF47&lt;&gt;0,BG47&lt;&gt;0),_xll.xSPRDOPT($BW47,$BV47,$CG47,0,$BY47,$BX47,$BZ47,$AJ47,1,12)*$CB47,0)</f>
        <v>5.7736665150573247E-7</v>
      </c>
      <c r="BI47" s="137">
        <f>_xll.xSPRDOPT($BW47,$BV47,$CG47,2*LN(1+CA47/2),$BY47,$BX47,$BZ47,$AJ47,1,9)</f>
        <v>8.0573215475298852E-3</v>
      </c>
      <c r="BJ47" s="137">
        <f>_xll.xSPRDOPT($BW47,$BV47,$CG47,0,$BY47,$BX47,$BZ47,$AJ47,1,6)*$CB47</f>
        <v>-5.7189231417572933E-4</v>
      </c>
      <c r="BK47" s="137">
        <f>_xll.xSPRDOPT($BW47,$BV47,$CG47,0,$BY47,$BX47,$BZ47,$AJ47,1,5)*$CB47</f>
        <v>6.1465453875455634E-4</v>
      </c>
      <c r="BL47" s="137">
        <f>_xll.xSPRDOPT(BW47,BV47,CG47,0,BY47,BX47,BZ47,AJ47,1,2)*CB47</f>
        <v>-0.92250856757532096</v>
      </c>
      <c r="BM47" s="137">
        <f>_xll.xSPRDOPT(BW47,BV47,CG47,0,BY47,BX47,BZ47,AJ47,1,1)*CB47</f>
        <v>0.92250856756525246</v>
      </c>
      <c r="BN47" s="137">
        <f>IF(AH47&lt;&gt;0,_xll.xSPRDOPT($BW47,$BV47,$CG47,2*LN(1+CA47/2),$BY47,$BX47,$BZ47,$AJ47,1,8)+(AJ47/365.25)*CH47/AH47,0)</f>
        <v>0.28043873753878124</v>
      </c>
      <c r="BO47" s="137">
        <f>_xll.xSPRDOPT($BW47,$BV47,$CG47,0,$BY47,$BX47,$BZ47,$AJ47,1,0)</f>
        <v>0.23528558563903526</v>
      </c>
      <c r="BP47" s="137"/>
      <c r="BQ47" s="137"/>
      <c r="BR47" s="137"/>
      <c r="BS47" s="137"/>
      <c r="BV47" s="262">
        <v>3.5933161953727506</v>
      </c>
      <c r="BW47" s="136">
        <v>3.8620000000000001</v>
      </c>
      <c r="BX47" s="137">
        <v>0.3907324322965694</v>
      </c>
      <c r="BY47" s="137">
        <v>0.3907324322965694</v>
      </c>
      <c r="BZ47" s="137">
        <v>1</v>
      </c>
      <c r="CA47" s="137">
        <v>3.74851197051385E-2</v>
      </c>
      <c r="CB47" s="137">
        <v>0.92253381176270466</v>
      </c>
      <c r="CC47" s="258">
        <v>-0.02</v>
      </c>
      <c r="CD47" s="258">
        <v>2.5000000000000001E-3</v>
      </c>
      <c r="CE47" s="258">
        <v>0.35</v>
      </c>
      <c r="CF47" s="258">
        <v>0</v>
      </c>
      <c r="CG47" s="258">
        <v>3.3399999999999999E-2</v>
      </c>
      <c r="CH47" s="258">
        <v>10.04058124708175</v>
      </c>
      <c r="CI47" s="258">
        <v>3.512</v>
      </c>
      <c r="CJ47" s="258"/>
      <c r="CK47" s="258"/>
      <c r="CL47" s="258"/>
      <c r="CM47" s="258"/>
    </row>
    <row r="48" spans="1:91" x14ac:dyDescent="0.25">
      <c r="A48" s="723"/>
      <c r="B48" s="723"/>
      <c r="D48" s="31">
        <f t="shared" si="52"/>
        <v>38061</v>
      </c>
      <c r="F48" s="28">
        <f t="shared" si="53"/>
        <v>356</v>
      </c>
      <c r="G48" s="28">
        <f t="shared" si="13"/>
        <v>326.97843228655603</v>
      </c>
      <c r="H48" s="52">
        <f t="shared" si="54"/>
        <v>3.4596401028277635</v>
      </c>
      <c r="I48" s="52">
        <f t="shared" si="55"/>
        <v>3.782</v>
      </c>
      <c r="K48" s="52">
        <f t="shared" si="56"/>
        <v>8.2275092115250938</v>
      </c>
      <c r="L48" s="135">
        <f t="shared" si="57"/>
        <v>6.884813380736432E-6</v>
      </c>
      <c r="N48" s="131">
        <f t="shared" si="48"/>
        <v>0.36642927609768672</v>
      </c>
      <c r="O48" s="131">
        <f t="shared" si="49"/>
        <v>0.36642927609768672</v>
      </c>
      <c r="P48" s="55">
        <f t="shared" si="50"/>
        <v>0.99999999999999989</v>
      </c>
      <c r="Q48" s="135">
        <f>_xll.xSPRDOPT(I48,H48,AQ48,0,O48,N48,P48,D48-$G$5,1,0)*AH48*AU48</f>
        <v>8.2275160963384746</v>
      </c>
      <c r="R48" s="135"/>
      <c r="S48" s="181">
        <f>_xll.xSPRDOPT(I48,H48,AQ48,AT48,O48,N48,P48,D48-$G$5,1,2)*AF48*(F48/(1-AR48))*AH48</f>
        <v>-10414.473046618246</v>
      </c>
      <c r="T48" s="181">
        <f>_xll.xSPRDOPT(I48,H48,AQ48,AT48,O48,N48,P48,D48-$G$5,1,1)*AF48*F48*AH48</f>
        <v>10128.075037715798</v>
      </c>
      <c r="U48" s="135"/>
      <c r="V48" s="146">
        <f t="shared" si="58"/>
        <v>10.685857232447976</v>
      </c>
      <c r="W48" s="146"/>
      <c r="X48" s="338">
        <f t="shared" si="59"/>
        <v>0</v>
      </c>
      <c r="Y48" s="338">
        <f t="shared" si="20"/>
        <v>0</v>
      </c>
      <c r="Z48" s="338">
        <f t="shared" si="21"/>
        <v>0.9120109123771809</v>
      </c>
      <c r="AA48" s="338">
        <f t="shared" si="22"/>
        <v>3.3805964936487618E-6</v>
      </c>
      <c r="AB48" s="338">
        <f t="shared" si="60"/>
        <v>0</v>
      </c>
      <c r="AC48" s="338">
        <f t="shared" si="61"/>
        <v>0.92076822214942178</v>
      </c>
      <c r="AF48" s="138">
        <f t="shared" si="62"/>
        <v>1</v>
      </c>
      <c r="AG48" s="138">
        <f t="shared" si="63"/>
        <v>3</v>
      </c>
      <c r="AH48" s="138">
        <f t="shared" si="27"/>
        <v>31</v>
      </c>
      <c r="AI48" s="138">
        <f t="shared" si="64"/>
        <v>805</v>
      </c>
      <c r="AJ48" s="138">
        <f t="shared" si="65"/>
        <v>822</v>
      </c>
      <c r="AL48" s="136">
        <f t="shared" si="29"/>
        <v>3.3820000000000001</v>
      </c>
      <c r="AM48" s="258">
        <f t="shared" si="30"/>
        <v>-0.02</v>
      </c>
      <c r="AN48" s="258">
        <f t="shared" si="31"/>
        <v>2.5000000000000001E-3</v>
      </c>
      <c r="AO48" s="258">
        <f t="shared" si="32"/>
        <v>0.4</v>
      </c>
      <c r="AP48" s="258">
        <f t="shared" si="33"/>
        <v>0</v>
      </c>
      <c r="AQ48" s="136">
        <f t="shared" si="66"/>
        <v>3.3399999999999999E-2</v>
      </c>
      <c r="AR48" s="137">
        <f t="shared" si="35"/>
        <v>2.75E-2</v>
      </c>
      <c r="AS48" s="136">
        <f t="shared" si="67"/>
        <v>3.3645</v>
      </c>
      <c r="AT48" s="137">
        <f t="shared" si="68"/>
        <v>3.8285632294587903E-2</v>
      </c>
      <c r="AU48" s="137">
        <f t="shared" si="38"/>
        <v>0.91847874237796645</v>
      </c>
      <c r="AV48" s="394">
        <f t="shared" si="69"/>
        <v>284.72841013716959</v>
      </c>
      <c r="AW48" s="137">
        <f t="shared" si="40"/>
        <v>0.35499999999999998</v>
      </c>
      <c r="AX48" s="137">
        <f t="shared" si="41"/>
        <v>0.75</v>
      </c>
      <c r="AY48" s="137">
        <f t="shared" si="42"/>
        <v>0.75</v>
      </c>
      <c r="AZ48" s="137"/>
      <c r="BA48" s="264"/>
      <c r="BB48" s="258">
        <f t="shared" si="43"/>
        <v>0</v>
      </c>
      <c r="BC48" s="258">
        <f t="shared" si="70"/>
        <v>0</v>
      </c>
      <c r="BD48" s="137">
        <f t="shared" si="71"/>
        <v>4.0989655535617064E-5</v>
      </c>
      <c r="BE48" s="137">
        <f t="shared" si="72"/>
        <v>4.0989655535617064E-5</v>
      </c>
      <c r="BF48" s="137">
        <f>_xll.xSPRDOPT($BW48,$BV48,$CG48,0,$BY48,$BX48,$BZ48,$AJ48,1,4)*$CB48</f>
        <v>-1.0945709834505646E-7</v>
      </c>
      <c r="BG48" s="137">
        <f>_xll.xSPRDOPT($BW48,$BV48,$CG48,0,$BY48,$BX48,$BZ48,$AJ48,1,3)*$CB48</f>
        <v>-1.0945709834505646E-7</v>
      </c>
      <c r="BH48" s="137">
        <f>IF(OR(BF48&lt;&gt;0,BG48&lt;&gt;0),_xll.xSPRDOPT($BW48,$BV48,$CG48,0,$BY48,$BX48,$BZ48,$AJ48,1,12)*$CB48,0)</f>
        <v>4.3782839338022583E-7</v>
      </c>
      <c r="BI48" s="137">
        <f>_xll.xSPRDOPT($BW48,$BV48,$CG48,2*LN(1+CA48/2),$BY48,$BX48,$BZ48,$AJ48,1,9)</f>
        <v>1.0061374463747896E-2</v>
      </c>
      <c r="BJ48" s="137">
        <f>_xll.xSPRDOPT($BW48,$BV48,$CG48,0,$BY48,$BX48,$BZ48,$AJ48,1,6)*$CB48</f>
        <v>-8.0204244337993882E-5</v>
      </c>
      <c r="BK48" s="137">
        <f>_xll.xSPRDOPT($BW48,$BV48,$CG48,0,$BY48,$BX48,$BZ48,$AJ48,1,5)*$CB48</f>
        <v>8.7677457606658005E-5</v>
      </c>
      <c r="BL48" s="137">
        <f>_xll.xSPRDOPT(BW48,BV48,CG48,0,BY48,BX48,BZ48,AJ48,1,2)*CB48</f>
        <v>-0.91818947651810645</v>
      </c>
      <c r="BM48" s="137">
        <f>_xll.xSPRDOPT(BW48,BV48,CG48,0,BY48,BX48,BZ48,AJ48,1,1)*CB48</f>
        <v>0.9181894765130959</v>
      </c>
      <c r="BN48" s="137">
        <f>IF(AH48&lt;&gt;0,_xll.xSPRDOPT($BW48,$BV48,$CG48,2*LN(1+CA48/2),$BY48,$BX48,$BZ48,$AJ48,1,8)+(AJ48/365.25)*CH48/AH48,0)</f>
        <v>0.17841310180373271</v>
      </c>
      <c r="BO48" s="137">
        <f>_xll.xSPRDOPT($BW48,$BV48,$CG48,0,$BY48,$BX48,$BZ48,$AJ48,1,0)</f>
        <v>0.28896014409968057</v>
      </c>
      <c r="BP48" s="137"/>
      <c r="BQ48" s="137"/>
      <c r="BR48" s="137"/>
      <c r="BS48" s="137"/>
      <c r="BV48" s="262">
        <v>3.4596401028277635</v>
      </c>
      <c r="BW48" s="136">
        <v>3.782</v>
      </c>
      <c r="BX48" s="137">
        <v>0.3663882864421511</v>
      </c>
      <c r="BY48" s="137">
        <v>0.3663882864421511</v>
      </c>
      <c r="BZ48" s="137">
        <v>1</v>
      </c>
      <c r="CA48" s="137">
        <v>3.8285632294587903E-2</v>
      </c>
      <c r="CB48" s="137">
        <v>0.91819269083412736</v>
      </c>
      <c r="CC48" s="258">
        <v>-0.02</v>
      </c>
      <c r="CD48" s="258">
        <v>2.5000000000000001E-3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52"/>
        <v>38092</v>
      </c>
      <c r="F49" s="28">
        <f t="shared" si="53"/>
        <v>356</v>
      </c>
      <c r="G49" s="28">
        <f t="shared" si="13"/>
        <v>325.33361904612531</v>
      </c>
      <c r="H49" s="52">
        <f t="shared" si="54"/>
        <v>3.2745501285347043</v>
      </c>
      <c r="I49" s="52">
        <f t="shared" si="55"/>
        <v>3.7970000000000002</v>
      </c>
      <c r="K49" s="52">
        <f t="shared" si="56"/>
        <v>13.407671172290488</v>
      </c>
      <c r="L49" s="135">
        <f t="shared" si="57"/>
        <v>1.3988609914861172E-6</v>
      </c>
      <c r="N49" s="131">
        <f t="shared" si="48"/>
        <v>0.3313618943887166</v>
      </c>
      <c r="O49" s="131">
        <f t="shared" si="49"/>
        <v>0.3313618943887166</v>
      </c>
      <c r="P49" s="55">
        <f t="shared" si="50"/>
        <v>1</v>
      </c>
      <c r="Q49" s="135">
        <f>_xll.xSPRDOPT(I49,H49,AQ49,0,O49,N49,P49,D49-$G$5,1,0)*AH49*AU49</f>
        <v>13.40767257115148</v>
      </c>
      <c r="R49" s="135"/>
      <c r="S49" s="181">
        <f>_xll.xSPRDOPT(I49,H49,AQ49,AT49,O49,N49,P49,D49-$G$5,1,2)*AF49*(F49/(1-AR49))*AH49</f>
        <v>-10027.198343248168</v>
      </c>
      <c r="T49" s="181">
        <f>_xll.xSPRDOPT(I49,H49,AQ49,AT49,O49,N49,P49,D49-$G$5,1,1)*AF49*F49*AH49</f>
        <v>9751.4503886825696</v>
      </c>
      <c r="U49" s="135"/>
      <c r="V49" s="146">
        <f t="shared" si="58"/>
        <v>10.289132631573947</v>
      </c>
      <c r="W49" s="146"/>
      <c r="X49" s="338">
        <f t="shared" si="59"/>
        <v>0</v>
      </c>
      <c r="Y49" s="338">
        <f t="shared" si="20"/>
        <v>0</v>
      </c>
      <c r="Z49" s="338">
        <f t="shared" si="21"/>
        <v>1.5170292341364937</v>
      </c>
      <c r="AA49" s="338">
        <f t="shared" si="22"/>
        <v>-2.014360583484855E-9</v>
      </c>
      <c r="AB49" s="338">
        <f t="shared" si="60"/>
        <v>0</v>
      </c>
      <c r="AC49" s="338">
        <f t="shared" si="61"/>
        <v>1.5318043359037485</v>
      </c>
      <c r="AF49" s="138">
        <f t="shared" si="62"/>
        <v>1</v>
      </c>
      <c r="AG49" s="138">
        <f t="shared" si="63"/>
        <v>4</v>
      </c>
      <c r="AH49" s="138">
        <f t="shared" si="27"/>
        <v>30</v>
      </c>
      <c r="AI49" s="138">
        <f t="shared" si="64"/>
        <v>836</v>
      </c>
      <c r="AJ49" s="138">
        <f t="shared" si="65"/>
        <v>853</v>
      </c>
      <c r="AL49" s="136">
        <f t="shared" si="29"/>
        <v>3.1970000000000001</v>
      </c>
      <c r="AM49" s="258">
        <f t="shared" si="30"/>
        <v>-0.02</v>
      </c>
      <c r="AN49" s="258">
        <f t="shared" si="31"/>
        <v>7.4999999999999997E-3</v>
      </c>
      <c r="AO49" s="258">
        <f t="shared" si="32"/>
        <v>0.6</v>
      </c>
      <c r="AP49" s="258">
        <f t="shared" si="33"/>
        <v>0</v>
      </c>
      <c r="AQ49" s="136">
        <f t="shared" si="66"/>
        <v>3.3399999999999999E-2</v>
      </c>
      <c r="AR49" s="137">
        <f t="shared" si="35"/>
        <v>2.75E-2</v>
      </c>
      <c r="AS49" s="136">
        <f t="shared" si="67"/>
        <v>3.1844999999999999</v>
      </c>
      <c r="AT49" s="137">
        <f t="shared" si="68"/>
        <v>3.9084714616572501E-2</v>
      </c>
      <c r="AU49" s="137">
        <f t="shared" si="38"/>
        <v>0.9138584804666442</v>
      </c>
      <c r="AV49" s="394">
        <f t="shared" si="69"/>
        <v>274.15754413999326</v>
      </c>
      <c r="AW49" s="137">
        <f t="shared" si="40"/>
        <v>0.33</v>
      </c>
      <c r="AX49" s="137">
        <f t="shared" si="41"/>
        <v>0.4</v>
      </c>
      <c r="AY49" s="137">
        <f t="shared" si="42"/>
        <v>0.4</v>
      </c>
      <c r="AZ49" s="137"/>
      <c r="BA49" s="264"/>
      <c r="BB49" s="258">
        <f t="shared" si="43"/>
        <v>0</v>
      </c>
      <c r="BC49" s="258">
        <f t="shared" si="70"/>
        <v>0</v>
      </c>
      <c r="BD49" s="137">
        <f t="shared" si="71"/>
        <v>4.7743752686346674E-6</v>
      </c>
      <c r="BE49" s="137">
        <f t="shared" si="72"/>
        <v>4.7743752686346674E-6</v>
      </c>
      <c r="BF49" s="137">
        <f>_xll.xSPRDOPT($BW49,$BV49,$CG49,0,$BY49,$BX49,$BZ49,$AJ49,1,4)*$CB49</f>
        <v>2.0692100198605483E-6</v>
      </c>
      <c r="BG49" s="137">
        <f>_xll.xSPRDOPT($BW49,$BV49,$CG49,0,$BY49,$BX49,$BZ49,$AJ49,1,3)*$CB49</f>
        <v>3.2671737155692871E-7</v>
      </c>
      <c r="BH49" s="137">
        <f>IF(OR(BF49&lt;&gt;0,BG49&lt;&gt;0),_xll.xSPRDOPT($BW49,$BV49,$CG49,0,$BY49,$BX49,$BZ49,$AJ49,1,12)*$CB49,0)</f>
        <v>-1.6335868577846436E-7</v>
      </c>
      <c r="BI49" s="137">
        <f>_xll.xSPRDOPT($BW49,$BV49,$CG49,2*LN(1+CA49/2),$BY49,$BX49,$BZ49,$AJ49,1,9)</f>
        <v>1.7293849181284467E-2</v>
      </c>
      <c r="BJ49" s="137">
        <f>_xll.xSPRDOPT($BW49,$BV49,$CG49,0,$BY49,$BX49,$BZ49,$AJ49,1,6)*$CB49</f>
        <v>2.4761165544752298E-7</v>
      </c>
      <c r="BK49" s="137">
        <f>_xll.xSPRDOPT($BW49,$BV49,$CG49,0,$BY49,$BX49,$BZ49,$AJ49,1,5)*$CB49</f>
        <v>-2.871164138530633E-7</v>
      </c>
      <c r="BL49" s="137">
        <f>_xll.xSPRDOPT(BW49,BV49,CG49,0,BY49,BX49,BZ49,AJ49,1,2)*CB49</f>
        <v>-0.91356807454256606</v>
      </c>
      <c r="BM49" s="137">
        <f>_xll.xSPRDOPT(BW49,BV49,CG49,0,BY49,BX49,BZ49,AJ49,1,1)*CB49</f>
        <v>0.91356807453259536</v>
      </c>
      <c r="BN49" s="137">
        <f>IF(AH49&lt;&gt;0,_xll.xSPRDOPT($BW49,$BV49,$CG49,2*LN(1+CA49/2),$BY49,$BX49,$BZ49,$AJ49,1,8)+(AJ49/365.25)*CH49/AH49,0)</f>
        <v>-0.24268938880414681</v>
      </c>
      <c r="BO49" s="137">
        <f>_xll.xSPRDOPT($BW49,$BV49,$CG49,0,$BY49,$BX49,$BZ49,$AJ49,1,0)</f>
        <v>0.48904992246435758</v>
      </c>
      <c r="BP49" s="137"/>
      <c r="BQ49" s="137"/>
      <c r="BR49" s="137"/>
      <c r="BS49" s="137"/>
      <c r="BV49" s="262">
        <v>3.2745501285347043</v>
      </c>
      <c r="BW49" s="136">
        <v>3.7970000000000002</v>
      </c>
      <c r="BX49" s="137">
        <v>0.33135712001344797</v>
      </c>
      <c r="BY49" s="137">
        <v>0.33135712001344797</v>
      </c>
      <c r="BZ49" s="137">
        <v>1</v>
      </c>
      <c r="CA49" s="137">
        <v>3.9084714616572501E-2</v>
      </c>
      <c r="CB49" s="137">
        <v>0.91356798559380814</v>
      </c>
      <c r="CC49" s="258">
        <v>-0.02</v>
      </c>
      <c r="CD49" s="258">
        <v>7.4999999999999997E-3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52"/>
        <v>38122</v>
      </c>
      <c r="F50" s="28">
        <f t="shared" si="53"/>
        <v>356</v>
      </c>
      <c r="G50" s="28">
        <f t="shared" si="13"/>
        <v>323.75366538857344</v>
      </c>
      <c r="H50" s="52">
        <f t="shared" si="54"/>
        <v>3.2694087403598973</v>
      </c>
      <c r="I50" s="52">
        <f t="shared" si="55"/>
        <v>3.9420000000000002</v>
      </c>
      <c r="K50" s="52">
        <f t="shared" si="56"/>
        <v>18.020100867914334</v>
      </c>
      <c r="L50" s="135">
        <f t="shared" si="57"/>
        <v>1.8707297897435637E-6</v>
      </c>
      <c r="N50" s="131">
        <f t="shared" si="48"/>
        <v>0.32761016081651256</v>
      </c>
      <c r="O50" s="131">
        <f t="shared" si="49"/>
        <v>0.32761016081651256</v>
      </c>
      <c r="P50" s="55">
        <f t="shared" si="50"/>
        <v>1.0000000000000002</v>
      </c>
      <c r="Q50" s="135">
        <f>_xll.xSPRDOPT(I50,H50,AQ50,0,O50,N50,P50,D50-$G$5,1,0)*AH50*AU50</f>
        <v>18.020102738644123</v>
      </c>
      <c r="R50" s="135"/>
      <c r="S50" s="181">
        <f>_xll.xSPRDOPT(I50,H50,AQ50,AT50,O50,N50,P50,D50-$G$5,1,2)*AF50*(F50/(1-AR50))*AH50</f>
        <v>-10310.456256331239</v>
      </c>
      <c r="T50" s="181">
        <f>_xll.xSPRDOPT(I50,H50,AQ50,AT50,O50,N50,P50,D50-$G$5,1,1)*AF50*F50*AH50</f>
        <v>10026.918709241982</v>
      </c>
      <c r="U50" s="135"/>
      <c r="V50" s="146">
        <f t="shared" si="58"/>
        <v>10.580469857388429</v>
      </c>
      <c r="W50" s="146"/>
      <c r="X50" s="338">
        <f t="shared" si="59"/>
        <v>0</v>
      </c>
      <c r="Y50" s="338">
        <f t="shared" si="20"/>
        <v>0</v>
      </c>
      <c r="Z50" s="338">
        <f t="shared" si="21"/>
        <v>2.0758228009321797</v>
      </c>
      <c r="AA50" s="338">
        <f t="shared" si="22"/>
        <v>-9.1318136779918081E-9</v>
      </c>
      <c r="AB50" s="338">
        <f t="shared" si="60"/>
        <v>0</v>
      </c>
      <c r="AC50" s="338">
        <f t="shared" si="61"/>
        <v>2.0964085958078513</v>
      </c>
      <c r="AF50" s="138">
        <f t="shared" si="62"/>
        <v>1</v>
      </c>
      <c r="AG50" s="138">
        <f t="shared" si="63"/>
        <v>5</v>
      </c>
      <c r="AH50" s="138">
        <f t="shared" si="27"/>
        <v>31</v>
      </c>
      <c r="AI50" s="138">
        <f t="shared" si="64"/>
        <v>866</v>
      </c>
      <c r="AJ50" s="138">
        <f t="shared" si="65"/>
        <v>883</v>
      </c>
      <c r="AL50" s="136">
        <f t="shared" si="29"/>
        <v>3.1920000000000002</v>
      </c>
      <c r="AM50" s="258">
        <f t="shared" si="30"/>
        <v>-0.02</v>
      </c>
      <c r="AN50" s="258">
        <f t="shared" si="31"/>
        <v>7.4999999999999997E-3</v>
      </c>
      <c r="AO50" s="258">
        <f t="shared" si="32"/>
        <v>0.75</v>
      </c>
      <c r="AP50" s="258">
        <f t="shared" si="33"/>
        <v>0</v>
      </c>
      <c r="AQ50" s="136">
        <f t="shared" si="66"/>
        <v>3.3399999999999999E-2</v>
      </c>
      <c r="AR50" s="137">
        <f t="shared" si="35"/>
        <v>2.75E-2</v>
      </c>
      <c r="AS50" s="136">
        <f t="shared" si="67"/>
        <v>3.1795</v>
      </c>
      <c r="AT50" s="137">
        <f t="shared" si="68"/>
        <v>3.9799554968306797E-2</v>
      </c>
      <c r="AU50" s="137">
        <f t="shared" si="38"/>
        <v>0.90942040839486926</v>
      </c>
      <c r="AV50" s="394">
        <f t="shared" si="69"/>
        <v>281.92032660240949</v>
      </c>
      <c r="AW50" s="137">
        <f t="shared" si="40"/>
        <v>0.32500000000000001</v>
      </c>
      <c r="AX50" s="137">
        <f t="shared" si="41"/>
        <v>0.45</v>
      </c>
      <c r="AY50" s="137">
        <f t="shared" si="42"/>
        <v>0.45</v>
      </c>
      <c r="AZ50" s="137"/>
      <c r="BA50" s="264"/>
      <c r="BB50" s="258">
        <f t="shared" si="43"/>
        <v>0</v>
      </c>
      <c r="BC50" s="258">
        <f t="shared" si="70"/>
        <v>0</v>
      </c>
      <c r="BD50" s="137">
        <f t="shared" si="71"/>
        <v>8.8178559663476541E-6</v>
      </c>
      <c r="BE50" s="137">
        <f t="shared" si="72"/>
        <v>8.8178559663476541E-6</v>
      </c>
      <c r="BF50" s="137">
        <f>_xll.xSPRDOPT($BW50,$BV50,$CG50,0,$BY50,$BX50,$BZ50,$AJ50,1,4)*$CB50</f>
        <v>8.6701020210030032E-7</v>
      </c>
      <c r="BG50" s="137">
        <f>_xll.xSPRDOPT($BW50,$BV50,$CG50,0,$BY50,$BX50,$BZ50,$AJ50,1,3)*$CB50</f>
        <v>8.6701020210030032E-7</v>
      </c>
      <c r="BH50" s="137">
        <f>IF(OR(BF50&lt;&gt;0,BG50&lt;&gt;0),_xll.xSPRDOPT($BW50,$BV50,$CG50,0,$BY50,$BX50,$BZ50,$AJ50,1,12)*$CB50,0)</f>
        <v>-5.4188137631268766E-7</v>
      </c>
      <c r="BI50" s="137">
        <f>_xll.xSPRDOPT($BW50,$BV50,$CG50,2*LN(1+CA50/2),$BY50,$BX50,$BZ50,$AJ50,1,9)</f>
        <v>2.2900636644934115E-2</v>
      </c>
      <c r="BJ50" s="137">
        <f>_xll.xSPRDOPT($BW50,$BV50,$CG50,0,$BY50,$BX50,$BZ50,$AJ50,1,6)*$CB50</f>
        <v>4.5611517107772749E-7</v>
      </c>
      <c r="BK50" s="137">
        <f>_xll.xSPRDOPT($BW50,$BV50,$CG50,0,$BY50,$BX50,$BZ50,$AJ50,1,5)*$CB50</f>
        <v>-5.4995395030144183E-7</v>
      </c>
      <c r="BL50" s="137">
        <f>_xll.xSPRDOPT(BW50,BV50,CG50,0,BY50,BX50,BZ50,AJ50,1,2)*CB50</f>
        <v>-0.90912618480112228</v>
      </c>
      <c r="BM50" s="137">
        <f>_xll.xSPRDOPT(BW50,BV50,CG50,0,BY50,BX50,BZ50,AJ50,1,1)*CB50</f>
        <v>0.90912618480112228</v>
      </c>
      <c r="BN50" s="137">
        <f>IF(AH50&lt;&gt;0,_xll.xSPRDOPT($BW50,$BV50,$CG50,2*LN(1+CA50/2),$BY50,$BX50,$BZ50,$AJ50,1,8)+(AJ50/365.25)*CH50/AH50,0)</f>
        <v>-0.57998894458429073</v>
      </c>
      <c r="BO50" s="137">
        <f>_xll.xSPRDOPT($BW50,$BV50,$CG50,0,$BY50,$BX50,$BZ50,$AJ50,1,0)</f>
        <v>0.63919132594025629</v>
      </c>
      <c r="BP50" s="137"/>
      <c r="BQ50" s="137"/>
      <c r="BR50" s="137"/>
      <c r="BS50" s="137"/>
      <c r="BV50" s="262">
        <v>3.2694087403598973</v>
      </c>
      <c r="BW50" s="136">
        <v>3.9420000000000002</v>
      </c>
      <c r="BX50" s="137">
        <v>0.32760134296054622</v>
      </c>
      <c r="BY50" s="137">
        <v>0.32760134296054622</v>
      </c>
      <c r="BZ50" s="137">
        <v>1</v>
      </c>
      <c r="CA50" s="137">
        <v>3.9799554968306797E-2</v>
      </c>
      <c r="CB50" s="137">
        <v>0.90912608967752451</v>
      </c>
      <c r="CC50" s="258">
        <v>-0.02</v>
      </c>
      <c r="CD50" s="258">
        <v>7.4999999999999997E-3</v>
      </c>
      <c r="CE50" s="258">
        <v>0.75</v>
      </c>
      <c r="CF50" s="258">
        <v>0</v>
      </c>
      <c r="CG50" s="258">
        <v>3.3399999999999999E-2</v>
      </c>
      <c r="CH50" s="258">
        <v>10.577045665135225</v>
      </c>
      <c r="CI50" s="258">
        <v>3.1920000000000002</v>
      </c>
      <c r="CJ50" s="258"/>
      <c r="CK50" s="258"/>
      <c r="CL50" s="258"/>
      <c r="CM50" s="258"/>
    </row>
    <row r="51" spans="1:91" x14ac:dyDescent="0.25">
      <c r="A51" s="723"/>
      <c r="B51" s="723"/>
      <c r="D51" s="31">
        <f t="shared" si="52"/>
        <v>38153</v>
      </c>
      <c r="F51" s="28">
        <f t="shared" si="53"/>
        <v>356</v>
      </c>
      <c r="G51" s="28">
        <f t="shared" si="13"/>
        <v>322.09034584474858</v>
      </c>
      <c r="H51" s="52">
        <f t="shared" si="54"/>
        <v>3.3079691516709508</v>
      </c>
      <c r="I51" s="52">
        <f t="shared" si="55"/>
        <v>4.077</v>
      </c>
      <c r="K51" s="52">
        <f t="shared" si="56"/>
        <v>19.96681974879516</v>
      </c>
      <c r="L51" s="135">
        <f t="shared" si="57"/>
        <v>2.0738848824919387E-6</v>
      </c>
      <c r="N51" s="131">
        <f t="shared" si="48"/>
        <v>0.32256221350143816</v>
      </c>
      <c r="O51" s="131">
        <f t="shared" si="49"/>
        <v>0.32256221350143816</v>
      </c>
      <c r="P51" s="55">
        <f t="shared" si="50"/>
        <v>1</v>
      </c>
      <c r="Q51" s="135">
        <f>_xll.xSPRDOPT(I51,H51,AQ51,0,O51,N51,P51,D51-$G$5,1,0)*AH51*AU51</f>
        <v>19.966821822680043</v>
      </c>
      <c r="R51" s="135"/>
      <c r="S51" s="181">
        <f>_xll.xSPRDOPT(I51,H51,AQ51,AT51,O51,N51,P51,D51-$G$5,1,2)*AF51*(F51/(1-AR51))*AH51</f>
        <v>-9925.9092239791698</v>
      </c>
      <c r="T51" s="181">
        <f>_xll.xSPRDOPT(I51,H51,AQ51,AT51,O51,N51,P51,D51-$G$5,1,1)*AF51*F51*AH51</f>
        <v>9652.9467204945831</v>
      </c>
      <c r="U51" s="135"/>
      <c r="V51" s="146">
        <f t="shared" si="58"/>
        <v>10.186559561421417</v>
      </c>
      <c r="W51" s="146"/>
      <c r="X51" s="338">
        <f t="shared" si="59"/>
        <v>0</v>
      </c>
      <c r="Y51" s="338">
        <f t="shared" si="20"/>
        <v>0</v>
      </c>
      <c r="Z51" s="338">
        <f t="shared" si="21"/>
        <v>2.3423240959198011</v>
      </c>
      <c r="AA51" s="338">
        <f t="shared" si="22"/>
        <v>-9.9225241147619788E-9</v>
      </c>
      <c r="AB51" s="338">
        <f t="shared" si="60"/>
        <v>0</v>
      </c>
      <c r="AC51" s="338">
        <f t="shared" si="61"/>
        <v>2.365982485919881</v>
      </c>
      <c r="AF51" s="138">
        <f t="shared" si="62"/>
        <v>1</v>
      </c>
      <c r="AG51" s="138">
        <f t="shared" si="63"/>
        <v>6</v>
      </c>
      <c r="AH51" s="138">
        <f t="shared" si="27"/>
        <v>30</v>
      </c>
      <c r="AI51" s="138">
        <f t="shared" si="64"/>
        <v>897</v>
      </c>
      <c r="AJ51" s="138">
        <f t="shared" si="65"/>
        <v>914</v>
      </c>
      <c r="AL51" s="136">
        <f t="shared" si="29"/>
        <v>3.2269999999999999</v>
      </c>
      <c r="AM51" s="258">
        <f t="shared" si="30"/>
        <v>-1.7500000000000002E-2</v>
      </c>
      <c r="AN51" s="258">
        <f t="shared" si="31"/>
        <v>7.4999999999999997E-3</v>
      </c>
      <c r="AO51" s="258">
        <f t="shared" si="32"/>
        <v>0.85</v>
      </c>
      <c r="AP51" s="258">
        <f t="shared" si="33"/>
        <v>0</v>
      </c>
      <c r="AQ51" s="136">
        <f t="shared" si="66"/>
        <v>3.3399999999999999E-2</v>
      </c>
      <c r="AR51" s="137">
        <f t="shared" si="35"/>
        <v>2.75E-2</v>
      </c>
      <c r="AS51" s="136">
        <f t="shared" si="67"/>
        <v>3.2169999999999996</v>
      </c>
      <c r="AT51" s="137">
        <f t="shared" si="68"/>
        <v>4.0538223511899799E-2</v>
      </c>
      <c r="AU51" s="137">
        <f t="shared" si="38"/>
        <v>0.90474816248524881</v>
      </c>
      <c r="AV51" s="394">
        <f t="shared" si="69"/>
        <v>271.42444874557464</v>
      </c>
      <c r="AW51" s="137">
        <f t="shared" si="40"/>
        <v>0.32</v>
      </c>
      <c r="AX51" s="137">
        <f t="shared" si="41"/>
        <v>0.45</v>
      </c>
      <c r="AY51" s="137">
        <f t="shared" si="42"/>
        <v>0.45</v>
      </c>
      <c r="AZ51" s="137"/>
      <c r="BA51" s="264"/>
      <c r="BB51" s="258">
        <f t="shared" si="43"/>
        <v>0</v>
      </c>
      <c r="BC51" s="258">
        <f t="shared" si="70"/>
        <v>0</v>
      </c>
      <c r="BD51" s="137">
        <f t="shared" si="71"/>
        <v>8.3674438265957107E-6</v>
      </c>
      <c r="BE51" s="137">
        <f t="shared" si="72"/>
        <v>8.3674438265957107E-6</v>
      </c>
      <c r="BF51" s="137">
        <f>_xll.xSPRDOPT($BW51,$BV51,$CG51,0,$BY51,$BX51,$BZ51,$AJ51,1,4)*$CB51</f>
        <v>1.2938260696010463E-6</v>
      </c>
      <c r="BG51" s="137">
        <f>_xll.xSPRDOPT($BW51,$BV51,$CG51,0,$BY51,$BX51,$BZ51,$AJ51,1,3)*$CB51</f>
        <v>4.3127535653368208E-7</v>
      </c>
      <c r="BH51" s="137">
        <f>IF(OR(BF51&lt;&gt;0,BG51&lt;&gt;0),_xll.xSPRDOPT($BW51,$BV51,$CG51,0,$BY51,$BX51,$BZ51,$AJ51,1,12)*$CB51,0)</f>
        <v>-3.2345651740026159E-7</v>
      </c>
      <c r="BI51" s="137">
        <f>_xll.xSPRDOPT($BW51,$BV51,$CG51,2*LN(1+CA51/2),$BY51,$BX51,$BZ51,$AJ51,1,9)</f>
        <v>2.6702056056014594E-2</v>
      </c>
      <c r="BJ51" s="137">
        <f>_xll.xSPRDOPT($BW51,$BV51,$CG51,0,$BY51,$BX51,$BZ51,$AJ51,1,6)*$CB51</f>
        <v>4.7761077860019465E-7</v>
      </c>
      <c r="BK51" s="137">
        <f>_xll.xSPRDOPT($BW51,$BV51,$CG51,0,$BY51,$BX51,$BZ51,$AJ51,1,5)*$CB51</f>
        <v>-5.8864532043856797E-7</v>
      </c>
      <c r="BL51" s="137">
        <f>_xll.xSPRDOPT(BW51,BV51,CG51,0,BY51,BX51,BZ51,AJ51,1,2)*CB51</f>
        <v>-0.90445007134529976</v>
      </c>
      <c r="BM51" s="137">
        <f>_xll.xSPRDOPT(BW51,BV51,CG51,0,BY51,BX51,BZ51,AJ51,1,1)*CB51</f>
        <v>0.90445007136010636</v>
      </c>
      <c r="BN51" s="137">
        <f>IF(AH51&lt;&gt;0,_xll.xSPRDOPT($BW51,$BV51,$CG51,2*LN(1+CA51/2),$BY51,$BX51,$BZ51,$AJ51,1,8)+(AJ51/365.25)*CH51/AH51,0)</f>
        <v>-0.81553397636619174</v>
      </c>
      <c r="BO51" s="137">
        <f>_xll.xSPRDOPT($BW51,$BV51,$CG51,0,$BY51,$BX51,$BZ51,$AJ51,1,0)</f>
        <v>0.7356309246725321</v>
      </c>
      <c r="BP51" s="137"/>
      <c r="BQ51" s="137"/>
      <c r="BR51" s="137"/>
      <c r="BS51" s="137"/>
      <c r="BV51" s="262">
        <v>3.3079691516709508</v>
      </c>
      <c r="BW51" s="136">
        <v>4.077</v>
      </c>
      <c r="BX51" s="137">
        <v>0.32255384605761156</v>
      </c>
      <c r="BY51" s="137">
        <v>0.32255384605761156</v>
      </c>
      <c r="BZ51" s="137">
        <v>1</v>
      </c>
      <c r="CA51" s="137">
        <v>4.0538223511899799E-2</v>
      </c>
      <c r="CB51" s="137">
        <v>0.90444997650532444</v>
      </c>
      <c r="CC51" s="258">
        <v>-1.7500000000000002E-2</v>
      </c>
      <c r="CD51" s="258">
        <v>7.4999999999999997E-3</v>
      </c>
      <c r="CE51" s="258">
        <v>0.85</v>
      </c>
      <c r="CF51" s="258">
        <v>0</v>
      </c>
      <c r="CG51" s="258">
        <v>3.3399999999999999E-2</v>
      </c>
      <c r="CH51" s="258">
        <v>10.183202285473449</v>
      </c>
      <c r="CI51" s="258">
        <v>3.2269999999999999</v>
      </c>
      <c r="CJ51" s="258"/>
      <c r="CK51" s="258"/>
      <c r="CL51" s="258"/>
      <c r="CM51" s="258"/>
    </row>
    <row r="52" spans="1:91" x14ac:dyDescent="0.25">
      <c r="A52" s="723"/>
      <c r="B52" s="723"/>
      <c r="D52" s="31">
        <f t="shared" si="52"/>
        <v>38183</v>
      </c>
      <c r="F52" s="28">
        <f t="shared" si="53"/>
        <v>356</v>
      </c>
      <c r="G52" s="28">
        <f t="shared" si="13"/>
        <v>320.48210883406489</v>
      </c>
      <c r="H52" s="52">
        <f t="shared" si="54"/>
        <v>3.3491002570694084</v>
      </c>
      <c r="I52" s="52">
        <f t="shared" si="55"/>
        <v>4.3170000000000002</v>
      </c>
      <c r="K52" s="52">
        <f t="shared" si="56"/>
        <v>26.079224432297515</v>
      </c>
      <c r="L52" s="135">
        <f t="shared" si="57"/>
        <v>2.6868236382426858E-6</v>
      </c>
      <c r="N52" s="131">
        <f t="shared" si="48"/>
        <v>0.32377055765666068</v>
      </c>
      <c r="O52" s="131">
        <f t="shared" si="49"/>
        <v>0.32377055765666068</v>
      </c>
      <c r="P52" s="55">
        <f t="shared" si="50"/>
        <v>1.0000000000000002</v>
      </c>
      <c r="Q52" s="135">
        <f>_xll.xSPRDOPT(I52,H52,AQ52,0,O52,N52,P52,D52-$G$5,1,0)*AH52*AU52</f>
        <v>26.079227119121153</v>
      </c>
      <c r="R52" s="135"/>
      <c r="S52" s="181">
        <f>_xll.xSPRDOPT(I52,H52,AQ52,AT52,O52,N52,P52,D52-$G$5,1,2)*AF52*(F52/(1-AR52))*AH52</f>
        <v>-10204.863211333604</v>
      </c>
      <c r="T52" s="181">
        <f>_xll.xSPRDOPT(I52,H52,AQ52,AT52,O52,N52,P52,D52-$G$5,1,1)*AF52*F52*AH52</f>
        <v>9924.229473122301</v>
      </c>
      <c r="U52" s="135"/>
      <c r="V52" s="146">
        <f t="shared" si="58"/>
        <v>10.473553367438656</v>
      </c>
      <c r="W52" s="146"/>
      <c r="X52" s="338">
        <f t="shared" si="59"/>
        <v>0</v>
      </c>
      <c r="Y52" s="338">
        <f t="shared" si="20"/>
        <v>0</v>
      </c>
      <c r="Z52" s="338">
        <f t="shared" si="21"/>
        <v>3.1099351434639937</v>
      </c>
      <c r="AA52" s="338">
        <f t="shared" si="22"/>
        <v>-1.8994409700666963E-8</v>
      </c>
      <c r="AB52" s="338">
        <f t="shared" si="60"/>
        <v>0</v>
      </c>
      <c r="AC52" s="338">
        <f t="shared" si="61"/>
        <v>3.1418695623370736</v>
      </c>
      <c r="AF52" s="138">
        <f t="shared" si="62"/>
        <v>1</v>
      </c>
      <c r="AG52" s="138">
        <f t="shared" si="63"/>
        <v>7</v>
      </c>
      <c r="AH52" s="138">
        <f t="shared" si="27"/>
        <v>31</v>
      </c>
      <c r="AI52" s="138">
        <f t="shared" si="64"/>
        <v>927</v>
      </c>
      <c r="AJ52" s="138">
        <f t="shared" si="65"/>
        <v>944</v>
      </c>
      <c r="AL52" s="136">
        <f t="shared" si="29"/>
        <v>3.2669999999999999</v>
      </c>
      <c r="AM52" s="258">
        <f t="shared" si="30"/>
        <v>-1.7500000000000002E-2</v>
      </c>
      <c r="AN52" s="258">
        <f t="shared" si="31"/>
        <v>7.4999999999999997E-3</v>
      </c>
      <c r="AO52" s="258">
        <f t="shared" si="32"/>
        <v>1.05</v>
      </c>
      <c r="AP52" s="258">
        <f t="shared" si="33"/>
        <v>0</v>
      </c>
      <c r="AQ52" s="136">
        <f t="shared" si="66"/>
        <v>3.3399999999999999E-2</v>
      </c>
      <c r="AR52" s="137">
        <f t="shared" si="35"/>
        <v>2.75E-2</v>
      </c>
      <c r="AS52" s="136">
        <f t="shared" si="67"/>
        <v>3.2569999999999997</v>
      </c>
      <c r="AT52" s="137">
        <f t="shared" si="68"/>
        <v>4.12152492802473E-2</v>
      </c>
      <c r="AU52" s="137">
        <f t="shared" si="38"/>
        <v>0.90023064279231713</v>
      </c>
      <c r="AV52" s="394">
        <f t="shared" si="69"/>
        <v>279.07149926561829</v>
      </c>
      <c r="AW52" s="137">
        <f t="shared" si="40"/>
        <v>0.32</v>
      </c>
      <c r="AX52" s="137">
        <f t="shared" si="41"/>
        <v>0.5</v>
      </c>
      <c r="AY52" s="137">
        <f t="shared" si="42"/>
        <v>0.5</v>
      </c>
      <c r="AZ52" s="137"/>
      <c r="BA52" s="264"/>
      <c r="BB52" s="258">
        <f t="shared" si="43"/>
        <v>0</v>
      </c>
      <c r="BC52" s="258">
        <f t="shared" si="70"/>
        <v>0</v>
      </c>
      <c r="BD52" s="137">
        <f t="shared" si="71"/>
        <v>1.1894249567379056E-5</v>
      </c>
      <c r="BE52" s="137">
        <f t="shared" si="72"/>
        <v>1.1894249567379056E-5</v>
      </c>
      <c r="BF52" s="137">
        <f>_xll.xSPRDOPT($BW52,$BV52,$CG52,0,$BY52,$BX52,$BZ52,$AJ52,1,4)*$CB52</f>
        <v>4.2911960677939093E-7</v>
      </c>
      <c r="BG52" s="137">
        <f>_xll.xSPRDOPT($BW52,$BV52,$CG52,0,$BY52,$BX52,$BZ52,$AJ52,1,3)*$CB52</f>
        <v>-8.5823921355878186E-7</v>
      </c>
      <c r="BH52" s="137">
        <f>IF(OR(BF52&lt;&gt;0,BG52&lt;&gt;0),_xll.xSPRDOPT($BW52,$BV52,$CG52,0,$BY52,$BX52,$BZ52,$AJ52,1,12)*$CB52,0)</f>
        <v>0</v>
      </c>
      <c r="BI52" s="137">
        <f>_xll.xSPRDOPT($BW52,$BV52,$CG52,2*LN(1+CA52/2),$BY52,$BX52,$BZ52,$AJ52,1,9)</f>
        <v>3.4309043468352778E-2</v>
      </c>
      <c r="BJ52" s="137">
        <f>_xll.xSPRDOPT($BW52,$BV52,$CG52,0,$BY52,$BX52,$BZ52,$AJ52,1,6)*$CB52</f>
        <v>5.0068772071942908E-7</v>
      </c>
      <c r="BK52" s="137">
        <f>_xll.xSPRDOPT($BW52,$BV52,$CG52,0,$BY52,$BX52,$BZ52,$AJ52,1,5)*$CB52</f>
        <v>-6.4539056336292827E-7</v>
      </c>
      <c r="BL52" s="137">
        <f>_xll.xSPRDOPT(BW52,BV52,CG52,0,BY52,BX52,BZ52,AJ52,1,2)*CB52</f>
        <v>-0.89992913509166306</v>
      </c>
      <c r="BM52" s="137">
        <f>_xll.xSPRDOPT(BW52,BV52,CG52,0,BY52,BX52,BZ52,AJ52,1,1)*CB52</f>
        <v>0.89992913510148487</v>
      </c>
      <c r="BN52" s="137">
        <f>IF(AH52&lt;&gt;0,_xll.xSPRDOPT($BW52,$BV52,$CG52,2*LN(1+CA52/2),$BY52,$BX52,$BZ52,$AJ52,1,8)+(AJ52/365.25)*CH52/AH52,0)</f>
        <v>-1.3006399054634317</v>
      </c>
      <c r="BO52" s="137">
        <f>_xll.xSPRDOPT($BW52,$BV52,$CG52,0,$BY52,$BX52,$BZ52,$AJ52,1,0)</f>
        <v>0.93449983912702761</v>
      </c>
      <c r="BP52" s="137"/>
      <c r="BQ52" s="137"/>
      <c r="BR52" s="137"/>
      <c r="BS52" s="137"/>
      <c r="BV52" s="262">
        <v>3.3491002570694084</v>
      </c>
      <c r="BW52" s="136">
        <v>4.3170000000000002</v>
      </c>
      <c r="BX52" s="137">
        <v>0.32375866340709331</v>
      </c>
      <c r="BY52" s="137">
        <v>0.32375866340709331</v>
      </c>
      <c r="BZ52" s="137">
        <v>1</v>
      </c>
      <c r="CA52" s="137">
        <v>4.12152492802473E-2</v>
      </c>
      <c r="CB52" s="137">
        <v>0.89992904159661324</v>
      </c>
      <c r="CC52" s="258">
        <v>-1.7500000000000002E-2</v>
      </c>
      <c r="CD52" s="258">
        <v>7.4999999999999997E-3</v>
      </c>
      <c r="CE52" s="258">
        <v>1.05</v>
      </c>
      <c r="CF52" s="258">
        <v>0</v>
      </c>
      <c r="CG52" s="258">
        <v>3.3399999999999999E-2</v>
      </c>
      <c r="CH52" s="258">
        <v>10.470044448647478</v>
      </c>
      <c r="CI52" s="258">
        <v>3.2669999999999999</v>
      </c>
      <c r="CJ52" s="258"/>
      <c r="CK52" s="258"/>
      <c r="CL52" s="258"/>
      <c r="CM52" s="258"/>
    </row>
    <row r="53" spans="1:91" x14ac:dyDescent="0.25">
      <c r="A53" s="723"/>
      <c r="B53" s="723"/>
      <c r="D53" s="31">
        <f t="shared" si="52"/>
        <v>38214</v>
      </c>
      <c r="F53" s="28">
        <f t="shared" si="53"/>
        <v>356</v>
      </c>
      <c r="G53" s="28">
        <f t="shared" si="13"/>
        <v>318.82686003083865</v>
      </c>
      <c r="H53" s="52">
        <f t="shared" si="54"/>
        <v>3.3902313624678659</v>
      </c>
      <c r="I53" s="52">
        <f t="shared" si="55"/>
        <v>4.3570000000000002</v>
      </c>
      <c r="K53" s="52">
        <f t="shared" si="56"/>
        <v>25.913125704001693</v>
      </c>
      <c r="L53" s="135">
        <f t="shared" si="57"/>
        <v>2.640605867298973E-6</v>
      </c>
      <c r="N53" s="131">
        <f t="shared" si="48"/>
        <v>0.32493996126723368</v>
      </c>
      <c r="O53" s="131">
        <f t="shared" si="49"/>
        <v>0.32493996126723368</v>
      </c>
      <c r="P53" s="55">
        <f t="shared" si="50"/>
        <v>0.99999999999999989</v>
      </c>
      <c r="Q53" s="135">
        <f>_xll.xSPRDOPT(I53,H53,AQ53,0,O53,N53,P53,D53-$G$5,1,0)*AH53*AU53</f>
        <v>25.913128344607561</v>
      </c>
      <c r="R53" s="135"/>
      <c r="S53" s="181">
        <f>_xll.xSPRDOPT(I53,H53,AQ53,AT53,O53,N53,P53,D53-$G$5,1,2)*AF53*(F53/(1-AR53))*AH53</f>
        <v>-10151.433636032078</v>
      </c>
      <c r="T53" s="181">
        <f>_xll.xSPRDOPT(I53,H53,AQ53,AT53,O53,N53,P53,D53-$G$5,1,1)*AF53*F53*AH53</f>
        <v>9872.2692109809723</v>
      </c>
      <c r="U53" s="135"/>
      <c r="V53" s="146">
        <f t="shared" si="58"/>
        <v>10.41945881364266</v>
      </c>
      <c r="W53" s="146"/>
      <c r="X53" s="338">
        <f t="shared" si="59"/>
        <v>0</v>
      </c>
      <c r="Y53" s="338">
        <f t="shared" si="20"/>
        <v>0</v>
      </c>
      <c r="Z53" s="338">
        <f t="shared" si="21"/>
        <v>3.1389461075662557</v>
      </c>
      <c r="AA53" s="338">
        <f t="shared" si="22"/>
        <v>-2.4759398958454501E-8</v>
      </c>
      <c r="AB53" s="338">
        <f t="shared" si="60"/>
        <v>0</v>
      </c>
      <c r="AC53" s="338">
        <f t="shared" si="61"/>
        <v>3.171691359443598</v>
      </c>
      <c r="AF53" s="138">
        <f t="shared" si="62"/>
        <v>1</v>
      </c>
      <c r="AG53" s="138">
        <f t="shared" si="63"/>
        <v>8</v>
      </c>
      <c r="AH53" s="138">
        <f t="shared" si="27"/>
        <v>31</v>
      </c>
      <c r="AI53" s="138">
        <f t="shared" si="64"/>
        <v>958</v>
      </c>
      <c r="AJ53" s="138">
        <f t="shared" si="65"/>
        <v>975</v>
      </c>
      <c r="AL53" s="136">
        <f t="shared" si="29"/>
        <v>3.3069999999999999</v>
      </c>
      <c r="AM53" s="258">
        <f t="shared" si="30"/>
        <v>-1.7500000000000002E-2</v>
      </c>
      <c r="AN53" s="258">
        <f t="shared" si="31"/>
        <v>7.4999999999999997E-3</v>
      </c>
      <c r="AO53" s="258">
        <f t="shared" si="32"/>
        <v>1.05</v>
      </c>
      <c r="AP53" s="258">
        <f t="shared" si="33"/>
        <v>0</v>
      </c>
      <c r="AQ53" s="136">
        <f t="shared" si="66"/>
        <v>3.3399999999999999E-2</v>
      </c>
      <c r="AR53" s="137">
        <f t="shared" si="35"/>
        <v>2.75E-2</v>
      </c>
      <c r="AS53" s="136">
        <f t="shared" si="67"/>
        <v>3.2969999999999997</v>
      </c>
      <c r="AT53" s="137">
        <f t="shared" si="68"/>
        <v>4.1873365630825901E-2</v>
      </c>
      <c r="AU53" s="137">
        <f t="shared" si="38"/>
        <v>0.89558106750235578</v>
      </c>
      <c r="AV53" s="394">
        <f t="shared" si="69"/>
        <v>277.63013092573027</v>
      </c>
      <c r="AW53" s="137">
        <f t="shared" si="40"/>
        <v>0.32</v>
      </c>
      <c r="AX53" s="137">
        <f t="shared" si="41"/>
        <v>0.55000000000000004</v>
      </c>
      <c r="AY53" s="137">
        <f t="shared" si="42"/>
        <v>0.55000000000000004</v>
      </c>
      <c r="AZ53" s="137"/>
      <c r="BA53" s="264"/>
      <c r="BB53" s="258">
        <f t="shared" si="43"/>
        <v>0</v>
      </c>
      <c r="BC53" s="258">
        <f t="shared" si="70"/>
        <v>0</v>
      </c>
      <c r="BD53" s="137">
        <f t="shared" si="71"/>
        <v>1.5061519321957206E-5</v>
      </c>
      <c r="BE53" s="137">
        <f t="shared" si="72"/>
        <v>1.5061519321957206E-5</v>
      </c>
      <c r="BF53" s="137">
        <f>_xll.xSPRDOPT($BW53,$BV53,$CG53,0,$BY53,$BX53,$BZ53,$AJ53,1,4)*$CB53</f>
        <v>-2.5614059918760641E-6</v>
      </c>
      <c r="BG53" s="137">
        <f>_xll.xSPRDOPT($BW53,$BV53,$CG53,0,$BY53,$BX53,$BZ53,$AJ53,1,3)*$CB53</f>
        <v>-1.7076039945840426E-6</v>
      </c>
      <c r="BH53" s="137">
        <f>IF(OR(BF53&lt;&gt;0,BG53&lt;&gt;0),_xll.xSPRDOPT($BW53,$BV53,$CG53,0,$BY53,$BX53,$BZ53,$AJ53,1,12)*$CB53,0)</f>
        <v>1.2807029959380321E-6</v>
      </c>
      <c r="BI53" s="137">
        <f>_xll.xSPRDOPT($BW53,$BV53,$CG53,2*LN(1+CA53/2),$BY53,$BX53,$BZ53,$AJ53,1,9)</f>
        <v>3.4629094653515012E-2</v>
      </c>
      <c r="BJ53" s="137">
        <f>_xll.xSPRDOPT($BW53,$BV53,$CG53,0,$BY53,$BX53,$BZ53,$AJ53,1,6)*$CB53</f>
        <v>5.2229980410857881E-7</v>
      </c>
      <c r="BK53" s="137">
        <f>_xll.xSPRDOPT($BW53,$BV53,$CG53,0,$BY53,$BX53,$BZ53,$AJ53,1,5)*$CB53</f>
        <v>-6.7125636020001584E-7</v>
      </c>
      <c r="BL53" s="137">
        <f>_xll.xSPRDOPT(BW53,BV53,CG53,0,BY53,BX53,BZ53,AJ53,1,2)*CB53</f>
        <v>-0.89527637515844671</v>
      </c>
      <c r="BM53" s="137">
        <f>_xll.xSPRDOPT(BW53,BV53,CG53,0,BY53,BX53,BZ53,AJ53,1,1)*CB53</f>
        <v>0.89527637514867564</v>
      </c>
      <c r="BN53" s="137">
        <f>IF(AH53&lt;&gt;0,_xll.xSPRDOPT($BW53,$BV53,$CG53,2*LN(1+CA53/2),$BY53,$BX53,$BZ53,$AJ53,1,8)+(AJ53/365.25)*CH53/AH53,0)</f>
        <v>-1.3337031022471257</v>
      </c>
      <c r="BO53" s="137">
        <f>_xll.xSPRDOPT($BW53,$BV53,$CG53,0,$BY53,$BX53,$BZ53,$AJ53,1,0)</f>
        <v>0.93336873256383213</v>
      </c>
      <c r="BP53" s="137"/>
      <c r="BQ53" s="137"/>
      <c r="BR53" s="137"/>
      <c r="BS53" s="137"/>
      <c r="BV53" s="262">
        <v>3.3902313624678659</v>
      </c>
      <c r="BW53" s="136">
        <v>4.3570000000000002</v>
      </c>
      <c r="BX53" s="137">
        <v>0.32492489974791172</v>
      </c>
      <c r="BY53" s="137">
        <v>0.32492489974791172</v>
      </c>
      <c r="BZ53" s="137">
        <v>1</v>
      </c>
      <c r="CA53" s="137">
        <v>4.1873365630825901E-2</v>
      </c>
      <c r="CB53" s="137">
        <v>0.89527628311247864</v>
      </c>
      <c r="CC53" s="258">
        <v>-1.7500000000000002E-2</v>
      </c>
      <c r="CD53" s="258">
        <v>7.4999999999999997E-3</v>
      </c>
      <c r="CE53" s="258">
        <v>1.05</v>
      </c>
      <c r="CF53" s="258">
        <v>0</v>
      </c>
      <c r="CG53" s="258">
        <v>3.3399999999999999E-2</v>
      </c>
      <c r="CH53" s="258">
        <v>10.415912860615512</v>
      </c>
      <c r="CI53" s="258">
        <v>3.3069999999999999</v>
      </c>
      <c r="CJ53" s="258"/>
      <c r="CK53" s="258"/>
      <c r="CL53" s="258"/>
      <c r="CM53" s="258"/>
    </row>
    <row r="54" spans="1:91" x14ac:dyDescent="0.25">
      <c r="A54" s="723"/>
      <c r="B54" s="723"/>
      <c r="D54" s="31">
        <f t="shared" si="52"/>
        <v>38245</v>
      </c>
      <c r="F54" s="28">
        <f t="shared" si="53"/>
        <v>356</v>
      </c>
      <c r="G54" s="28">
        <f t="shared" si="13"/>
        <v>317.14563095832619</v>
      </c>
      <c r="H54" s="52">
        <f t="shared" si="54"/>
        <v>3.3799485861182519</v>
      </c>
      <c r="I54" s="52">
        <f t="shared" si="55"/>
        <v>4.0519999999999996</v>
      </c>
      <c r="K54" s="52">
        <f t="shared" si="56"/>
        <v>17.068441484659047</v>
      </c>
      <c r="L54" s="135">
        <f t="shared" si="57"/>
        <v>1.7204577424934087E-6</v>
      </c>
      <c r="N54" s="131">
        <f t="shared" si="48"/>
        <v>0.32463755456303778</v>
      </c>
      <c r="O54" s="131">
        <f t="shared" si="49"/>
        <v>0.32463755456303778</v>
      </c>
      <c r="P54" s="55">
        <f t="shared" si="50"/>
        <v>0.99999999999999989</v>
      </c>
      <c r="Q54" s="135">
        <f>_xll.xSPRDOPT(I54,H54,AQ54,0,O54,N54,P54,D54-$G$5,1,0)*AH54*AU54</f>
        <v>17.06844320511679</v>
      </c>
      <c r="R54" s="135"/>
      <c r="S54" s="181">
        <f>_xll.xSPRDOPT(I54,H54,AQ54,AT54,O54,N54,P54,D54-$G$5,1,2)*AF54*(F54/(1-AR54))*AH54</f>
        <v>-9771.4410357168726</v>
      </c>
      <c r="T54" s="181">
        <f>_xll.xSPRDOPT(I54,H54,AQ54,AT54,O54,N54,P54,D54-$G$5,1,1)*AF54*F54*AH54</f>
        <v>9502.7264072735125</v>
      </c>
      <c r="U54" s="135"/>
      <c r="V54" s="146">
        <f t="shared" si="58"/>
        <v>10.030176008314031</v>
      </c>
      <c r="W54" s="146"/>
      <c r="X54" s="338">
        <f t="shared" si="59"/>
        <v>0</v>
      </c>
      <c r="Y54" s="338">
        <f t="shared" si="20"/>
        <v>0</v>
      </c>
      <c r="Z54" s="338">
        <f t="shared" si="21"/>
        <v>2.0997038390007465</v>
      </c>
      <c r="AA54" s="338">
        <f t="shared" si="22"/>
        <v>-1.4180472581766458E-8</v>
      </c>
      <c r="AB54" s="338">
        <f t="shared" si="60"/>
        <v>0</v>
      </c>
      <c r="AC54" s="338">
        <f t="shared" si="61"/>
        <v>2.1219509130006067</v>
      </c>
      <c r="AF54" s="138">
        <f t="shared" si="62"/>
        <v>1</v>
      </c>
      <c r="AG54" s="138">
        <f t="shared" si="63"/>
        <v>9</v>
      </c>
      <c r="AH54" s="138">
        <f t="shared" ref="AH54:AH89" si="73">(EOMONTH(D54,0)-EOMONTH(D54-DAY(D54),0))*AF54</f>
        <v>30</v>
      </c>
      <c r="AI54" s="138">
        <f t="shared" si="64"/>
        <v>989</v>
      </c>
      <c r="AJ54" s="138">
        <f t="shared" si="65"/>
        <v>1006</v>
      </c>
      <c r="AL54" s="136">
        <f t="shared" si="29"/>
        <v>3.302</v>
      </c>
      <c r="AM54" s="258">
        <f t="shared" si="30"/>
        <v>-2.2499999999999999E-2</v>
      </c>
      <c r="AN54" s="258">
        <f t="shared" si="31"/>
        <v>7.4999999999999997E-3</v>
      </c>
      <c r="AO54" s="258">
        <f t="shared" si="32"/>
        <v>0.75</v>
      </c>
      <c r="AP54" s="258">
        <f t="shared" si="33"/>
        <v>0</v>
      </c>
      <c r="AQ54" s="136">
        <f t="shared" si="66"/>
        <v>3.3399999999999999E-2</v>
      </c>
      <c r="AR54" s="137">
        <f t="shared" si="35"/>
        <v>2.75E-2</v>
      </c>
      <c r="AS54" s="136">
        <f t="shared" si="67"/>
        <v>3.2869999999999999</v>
      </c>
      <c r="AT54" s="137">
        <f t="shared" si="68"/>
        <v>4.2531482126591399E-2</v>
      </c>
      <c r="AU54" s="137">
        <f t="shared" si="38"/>
        <v>0.89085851392788262</v>
      </c>
      <c r="AV54" s="394">
        <f t="shared" si="69"/>
        <v>267.25755417836479</v>
      </c>
      <c r="AW54" s="137">
        <f t="shared" si="40"/>
        <v>0.32</v>
      </c>
      <c r="AX54" s="137">
        <f t="shared" si="41"/>
        <v>0.55000000000000004</v>
      </c>
      <c r="AY54" s="137">
        <f t="shared" si="42"/>
        <v>0.55000000000000004</v>
      </c>
      <c r="AZ54" s="137"/>
      <c r="BA54" s="264"/>
      <c r="BB54" s="258">
        <f t="shared" si="43"/>
        <v>0</v>
      </c>
      <c r="BC54" s="258">
        <f t="shared" si="70"/>
        <v>0</v>
      </c>
      <c r="BD54" s="137">
        <f t="shared" si="71"/>
        <v>1.3717559126436019E-5</v>
      </c>
      <c r="BE54" s="137">
        <f t="shared" si="72"/>
        <v>1.3717559126436019E-5</v>
      </c>
      <c r="BF54" s="137">
        <f>_xll.xSPRDOPT($BW54,$BV54,$CG54,0,$BY54,$BX54,$BZ54,$AJ54,1,4)*$CB54</f>
        <v>-6.3697144198651403E-7</v>
      </c>
      <c r="BG54" s="137">
        <f>_xll.xSPRDOPT($BW54,$BV54,$CG54,0,$BY54,$BX54,$BZ54,$AJ54,1,3)*$CB54</f>
        <v>6.3697144198651413E-7</v>
      </c>
      <c r="BH54" s="137">
        <f>IF(OR(BF54&lt;&gt;0,BG54&lt;&gt;0),_xll.xSPRDOPT($BW54,$BV54,$CG54,0,$BY54,$BX54,$BZ54,$AJ54,1,12)*$CB54,0)</f>
        <v>-3.1848572099325707E-7</v>
      </c>
      <c r="BI54" s="137">
        <f>_xll.xSPRDOPT($BW54,$BV54,$CG54,2*LN(1+CA54/2),$BY54,$BX54,$BZ54,$AJ54,1,9)</f>
        <v>2.3936230561642409E-2</v>
      </c>
      <c r="BJ54" s="137">
        <f>_xll.xSPRDOPT($BW54,$BV54,$CG54,0,$BY54,$BX54,$BZ54,$AJ54,1,6)*$CB54</f>
        <v>4.8680949119745287E-7</v>
      </c>
      <c r="BK54" s="137">
        <f>_xll.xSPRDOPT($BW54,$BV54,$CG54,0,$BY54,$BX54,$BZ54,$AJ54,1,5)*$CB54</f>
        <v>-5.8360219263917648E-7</v>
      </c>
      <c r="BL54" s="137">
        <f>_xll.xSPRDOPT(BW54,BV54,CG54,0,BY54,BX54,BZ54,AJ54,1,2)*CB54</f>
        <v>-0.89055071177301881</v>
      </c>
      <c r="BM54" s="137">
        <f>_xll.xSPRDOPT(BW54,BV54,CG54,0,BY54,BX54,BZ54,AJ54,1,1)*CB54</f>
        <v>0.89055071177625855</v>
      </c>
      <c r="BN54" s="137">
        <f>IF(AH54&lt;&gt;0,_xll.xSPRDOPT($BW54,$BV54,$CG54,2*LN(1+CA54/2),$BY54,$BX54,$BZ54,$AJ54,1,8)+(AJ54/365.25)*CH54/AH54,0)</f>
        <v>-0.64595479738732953</v>
      </c>
      <c r="BO54" s="137">
        <f>_xll.xSPRDOPT($BW54,$BV54,$CG54,0,$BY54,$BX54,$BZ54,$AJ54,1,0)</f>
        <v>0.63865147820515988</v>
      </c>
      <c r="BP54" s="137"/>
      <c r="BQ54" s="137"/>
      <c r="BR54" s="137"/>
      <c r="BS54" s="137"/>
      <c r="BV54" s="262">
        <v>3.3799485861182519</v>
      </c>
      <c r="BW54" s="136">
        <v>4.0519999999999996</v>
      </c>
      <c r="BX54" s="137">
        <v>0.32462383700391134</v>
      </c>
      <c r="BY54" s="137">
        <v>0.32462383700391134</v>
      </c>
      <c r="BZ54" s="137">
        <v>1</v>
      </c>
      <c r="CA54" s="137">
        <v>4.2531482126591399E-2</v>
      </c>
      <c r="CB54" s="137">
        <v>0.89055062233660143</v>
      </c>
      <c r="CC54" s="258">
        <v>-2.2499999999999999E-2</v>
      </c>
      <c r="CD54" s="258">
        <v>7.4999999999999997E-3</v>
      </c>
      <c r="CE54" s="258">
        <v>0.75</v>
      </c>
      <c r="CF54" s="258">
        <v>0</v>
      </c>
      <c r="CG54" s="258">
        <v>3.3399999999999999E-2</v>
      </c>
      <c r="CH54" s="258">
        <v>10.026709456887795</v>
      </c>
      <c r="CI54" s="258">
        <v>3.302</v>
      </c>
      <c r="CJ54" s="258"/>
      <c r="CK54" s="258"/>
      <c r="CL54" s="258"/>
      <c r="CM54" s="258"/>
    </row>
    <row r="55" spans="1:91" x14ac:dyDescent="0.25">
      <c r="A55" s="723"/>
      <c r="B55" s="723"/>
      <c r="D55" s="31">
        <f t="shared" si="52"/>
        <v>38275</v>
      </c>
      <c r="F55" s="28">
        <f t="shared" si="53"/>
        <v>356</v>
      </c>
      <c r="G55" s="28">
        <f t="shared" si="13"/>
        <v>315.52516837387037</v>
      </c>
      <c r="H55" s="52">
        <f t="shared" si="54"/>
        <v>3.4056555269922875</v>
      </c>
      <c r="I55" s="52">
        <f t="shared" si="55"/>
        <v>3.7770000000000001</v>
      </c>
      <c r="K55" s="52">
        <f t="shared" si="56"/>
        <v>9.285195475140732</v>
      </c>
      <c r="L55" s="135">
        <f t="shared" si="57"/>
        <v>2.8090002679448389E-6</v>
      </c>
      <c r="N55" s="131">
        <f t="shared" si="48"/>
        <v>0.3259749105978777</v>
      </c>
      <c r="O55" s="131">
        <f t="shared" si="49"/>
        <v>0.3259749105978777</v>
      </c>
      <c r="P55" s="55">
        <f t="shared" si="50"/>
        <v>1</v>
      </c>
      <c r="Q55" s="135">
        <f>_xll.xSPRDOPT(I55,H55,AQ55,0,O55,N55,P55,D55-$G$5,1,0)*AH55*AU55</f>
        <v>9.2851982841409999</v>
      </c>
      <c r="R55" s="135"/>
      <c r="S55" s="181">
        <f>_xll.xSPRDOPT(I55,H55,AQ55,AT55,O55,N55,P55,D55-$G$5,1,2)*AF55*(F55/(1-AR55))*AH55</f>
        <v>-10044.826341678929</v>
      </c>
      <c r="T55" s="181">
        <f>_xll.xSPRDOPT(I55,H55,AQ55,AT55,O55,N55,P55,D55-$G$5,1,1)*AF55*F55*AH55</f>
        <v>9768.5936173128684</v>
      </c>
      <c r="U55" s="135"/>
      <c r="V55" s="146">
        <f t="shared" si="58"/>
        <v>10.311557489921688</v>
      </c>
      <c r="W55" s="146"/>
      <c r="X55" s="338">
        <f t="shared" si="59"/>
        <v>0</v>
      </c>
      <c r="Y55" s="338">
        <f t="shared" si="20"/>
        <v>0</v>
      </c>
      <c r="Z55" s="338">
        <f t="shared" si="21"/>
        <v>1.1581996437161655</v>
      </c>
      <c r="AA55" s="338">
        <f t="shared" si="22"/>
        <v>5.7580457434507786E-7</v>
      </c>
      <c r="AB55" s="338">
        <f t="shared" si="60"/>
        <v>0</v>
      </c>
      <c r="AC55" s="338">
        <f t="shared" si="61"/>
        <v>1.1706604683494277</v>
      </c>
      <c r="AF55" s="138">
        <f t="shared" si="62"/>
        <v>1</v>
      </c>
      <c r="AG55" s="138">
        <f t="shared" si="63"/>
        <v>10</v>
      </c>
      <c r="AH55" s="138">
        <f t="shared" si="73"/>
        <v>31</v>
      </c>
      <c r="AI55" s="138">
        <f t="shared" si="64"/>
        <v>1019</v>
      </c>
      <c r="AJ55" s="138">
        <f t="shared" si="65"/>
        <v>1036</v>
      </c>
      <c r="AL55" s="136">
        <f t="shared" si="29"/>
        <v>3.327</v>
      </c>
      <c r="AM55" s="258">
        <f t="shared" si="30"/>
        <v>-2.2499999999999999E-2</v>
      </c>
      <c r="AN55" s="258">
        <f t="shared" si="31"/>
        <v>7.4999999999999997E-3</v>
      </c>
      <c r="AO55" s="258">
        <f t="shared" si="32"/>
        <v>0.45</v>
      </c>
      <c r="AP55" s="258">
        <f t="shared" si="33"/>
        <v>0</v>
      </c>
      <c r="AQ55" s="136">
        <f t="shared" si="66"/>
        <v>3.3399999999999999E-2</v>
      </c>
      <c r="AR55" s="137">
        <f t="shared" si="35"/>
        <v>2.75E-2</v>
      </c>
      <c r="AS55" s="136">
        <f t="shared" si="67"/>
        <v>3.3119999999999998</v>
      </c>
      <c r="AT55" s="137">
        <f t="shared" si="68"/>
        <v>4.3133129078657198E-2</v>
      </c>
      <c r="AU55" s="137">
        <f t="shared" si="38"/>
        <v>0.88630665273559095</v>
      </c>
      <c r="AV55" s="394">
        <f t="shared" si="69"/>
        <v>274.75506234803322</v>
      </c>
      <c r="AW55" s="137">
        <f t="shared" si="40"/>
        <v>0.32</v>
      </c>
      <c r="AX55" s="137">
        <f t="shared" si="41"/>
        <v>0.6</v>
      </c>
      <c r="AY55" s="137">
        <f t="shared" si="42"/>
        <v>0.6</v>
      </c>
      <c r="AZ55" s="137"/>
      <c r="BA55" s="264"/>
      <c r="BB55" s="258">
        <f t="shared" si="43"/>
        <v>0</v>
      </c>
      <c r="BC55" s="258">
        <f t="shared" si="70"/>
        <v>0</v>
      </c>
      <c r="BD55" s="137">
        <f t="shared" si="71"/>
        <v>1.711896265560453E-5</v>
      </c>
      <c r="BE55" s="137">
        <f t="shared" si="72"/>
        <v>1.711896265560453E-5</v>
      </c>
      <c r="BF55" s="137">
        <f>_xll.xSPRDOPT($BW55,$BV55,$CG55,0,$BY55,$BX55,$BZ55,$AJ55,1,4)*$CB55</f>
        <v>0</v>
      </c>
      <c r="BG55" s="137">
        <f>_xll.xSPRDOPT($BW55,$BV55,$CG55,0,$BY55,$BX55,$BZ55,$AJ55,1,3)*$CB55</f>
        <v>-3.1685687821726172E-7</v>
      </c>
      <c r="BH55" s="137">
        <f>IF(OR(BF55&lt;&gt;0,BG55&lt;&gt;0),_xll.xSPRDOPT($BW55,$BV55,$CG55,0,$BY55,$BX55,$BZ55,$AJ55,1,12)*$CB55,0)</f>
        <v>2.6404739851438476E-7</v>
      </c>
      <c r="BI55" s="137">
        <f>_xll.xSPRDOPT($BW55,$BV55,$CG55,2*LN(1+CA55/2),$BY55,$BX55,$BZ55,$AJ55,1,9)</f>
        <v>1.2777347464882488E-2</v>
      </c>
      <c r="BJ55" s="137">
        <f>_xll.xSPRDOPT($BW55,$BV55,$CG55,0,$BY55,$BX55,$BZ55,$AJ55,1,6)*$CB55</f>
        <v>-2.7951789294431884E-5</v>
      </c>
      <c r="BK55" s="137">
        <f>_xll.xSPRDOPT($BW55,$BV55,$CG55,0,$BY55,$BX55,$BZ55,$AJ55,1,5)*$CB55</f>
        <v>3.0999585853212499E-5</v>
      </c>
      <c r="BL55" s="137">
        <f>_xll.xSPRDOPT(BW55,BV55,CG55,0,BY55,BX55,BZ55,AJ55,1,2)*CB55</f>
        <v>-0.88599513012430842</v>
      </c>
      <c r="BM55" s="137">
        <f>_xll.xSPRDOPT(BW55,BV55,CG55,0,BY55,BX55,BZ55,AJ55,1,1)*CB55</f>
        <v>0.88599513012753162</v>
      </c>
      <c r="BN55" s="137">
        <f>IF(AH55&lt;&gt;0,_xll.xSPRDOPT($BW55,$BV55,$CG55,2*LN(1+CA55/2),$BY55,$BX55,$BZ55,$AJ55,1,8)+(AJ55/365.25)*CH55/AH55,0)</f>
        <v>9.3876086438108408E-2</v>
      </c>
      <c r="BO55" s="137">
        <f>_xll.xSPRDOPT($BW55,$BV55,$CG55,0,$BY55,$BX55,$BZ55,$AJ55,1,0)</f>
        <v>0.33794457681301521</v>
      </c>
      <c r="BP55" s="137"/>
      <c r="BQ55" s="137"/>
      <c r="BR55" s="137"/>
      <c r="BS55" s="137"/>
      <c r="BV55" s="262">
        <v>3.4056555269922875</v>
      </c>
      <c r="BW55" s="136">
        <v>3.7770000000000001</v>
      </c>
      <c r="BX55" s="137">
        <v>0.32595779163522209</v>
      </c>
      <c r="BY55" s="137">
        <v>0.32595779163522209</v>
      </c>
      <c r="BZ55" s="137">
        <v>1</v>
      </c>
      <c r="CA55" s="137">
        <v>4.3133129078657198E-2</v>
      </c>
      <c r="CB55" s="137">
        <v>0.88599604782278252</v>
      </c>
      <c r="CC55" s="258">
        <v>-2.2499999999999999E-2</v>
      </c>
      <c r="CD55" s="258">
        <v>7.4999999999999997E-3</v>
      </c>
      <c r="CE55" s="258">
        <v>0.45</v>
      </c>
      <c r="CF55" s="258">
        <v>0</v>
      </c>
      <c r="CG55" s="258">
        <v>3.3399999999999999E-2</v>
      </c>
      <c r="CH55" s="258">
        <v>10.307943819184599</v>
      </c>
      <c r="CI55" s="258">
        <v>3.327</v>
      </c>
      <c r="CJ55" s="258"/>
      <c r="CK55" s="258"/>
      <c r="CL55" s="258"/>
      <c r="CM55" s="258"/>
    </row>
    <row r="56" spans="1:91" x14ac:dyDescent="0.25">
      <c r="A56" s="723"/>
      <c r="B56" s="723"/>
      <c r="D56" s="31">
        <f t="shared" si="52"/>
        <v>38306</v>
      </c>
      <c r="F56" s="28">
        <f t="shared" si="53"/>
        <v>356</v>
      </c>
      <c r="G56" s="28">
        <f t="shared" si="13"/>
        <v>313.85794737881389</v>
      </c>
      <c r="H56" s="52">
        <f t="shared" si="54"/>
        <v>3.5568123393316196</v>
      </c>
      <c r="I56" s="52">
        <f t="shared" si="55"/>
        <v>3.9290000000000003</v>
      </c>
      <c r="K56" s="52">
        <f t="shared" si="56"/>
        <v>8.9604943630321436</v>
      </c>
      <c r="L56" s="135">
        <f t="shared" si="57"/>
        <v>4.5287411225558571E-6</v>
      </c>
      <c r="N56" s="131">
        <f t="shared" si="48"/>
        <v>0.33162000992991286</v>
      </c>
      <c r="O56" s="131">
        <f t="shared" si="49"/>
        <v>0.33162000992991286</v>
      </c>
      <c r="P56" s="55">
        <f t="shared" si="50"/>
        <v>1</v>
      </c>
      <c r="Q56" s="135">
        <f>_xll.xSPRDOPT(I56,H56,AQ56,0,O56,N56,P56,D56-$G$5,1,0)*AH56*AU56</f>
        <v>8.9604988917732662</v>
      </c>
      <c r="R56" s="135"/>
      <c r="S56" s="181">
        <f>_xll.xSPRDOPT(I56,H56,AQ56,AT56,O56,N56,P56,D56-$G$5,1,2)*AF56*(F56/(1-AR56))*AH56</f>
        <v>-9668.6860069898576</v>
      </c>
      <c r="T56" s="181">
        <f>_xll.xSPRDOPT(I56,H56,AQ56,AT56,O56,N56,P56,D56-$G$5,1,1)*AF56*F56*AH56</f>
        <v>9402.7971417102162</v>
      </c>
      <c r="U56" s="135"/>
      <c r="V56" s="146">
        <f t="shared" si="58"/>
        <v>9.9261983975788368</v>
      </c>
      <c r="W56" s="146"/>
      <c r="X56" s="338">
        <f t="shared" si="59"/>
        <v>0</v>
      </c>
      <c r="Y56" s="338">
        <f t="shared" si="20"/>
        <v>0</v>
      </c>
      <c r="Z56" s="338">
        <f t="shared" si="21"/>
        <v>1.1327336421142276</v>
      </c>
      <c r="AA56" s="338">
        <f t="shared" si="22"/>
        <v>2.989934332596885E-6</v>
      </c>
      <c r="AB56" s="338">
        <f t="shared" si="60"/>
        <v>0</v>
      </c>
      <c r="AC56" s="338">
        <f t="shared" si="61"/>
        <v>1.1451140052273454</v>
      </c>
      <c r="AF56" s="138">
        <f t="shared" si="62"/>
        <v>1</v>
      </c>
      <c r="AG56" s="138">
        <f t="shared" si="63"/>
        <v>11</v>
      </c>
      <c r="AH56" s="138">
        <f t="shared" si="73"/>
        <v>30</v>
      </c>
      <c r="AI56" s="138">
        <f t="shared" si="64"/>
        <v>1050</v>
      </c>
      <c r="AJ56" s="138">
        <f t="shared" si="65"/>
        <v>1067</v>
      </c>
      <c r="AL56" s="136">
        <f t="shared" si="29"/>
        <v>3.4790000000000001</v>
      </c>
      <c r="AM56" s="258">
        <f t="shared" si="30"/>
        <v>-2.2499999999999999E-2</v>
      </c>
      <c r="AN56" s="258">
        <f t="shared" si="31"/>
        <v>2.5000000000000001E-3</v>
      </c>
      <c r="AO56" s="258">
        <f t="shared" si="32"/>
        <v>0.45</v>
      </c>
      <c r="AP56" s="258">
        <f t="shared" si="33"/>
        <v>0</v>
      </c>
      <c r="AQ56" s="136">
        <f t="shared" si="66"/>
        <v>3.3399999999999999E-2</v>
      </c>
      <c r="AR56" s="137">
        <f t="shared" si="35"/>
        <v>2.75E-2</v>
      </c>
      <c r="AS56" s="136">
        <f t="shared" si="67"/>
        <v>3.4590000000000001</v>
      </c>
      <c r="AT56" s="137">
        <f t="shared" si="68"/>
        <v>4.37209690349563E-2</v>
      </c>
      <c r="AU56" s="137">
        <f t="shared" si="38"/>
        <v>0.88162344769329748</v>
      </c>
      <c r="AV56" s="394">
        <f t="shared" si="69"/>
        <v>264.48703430798923</v>
      </c>
      <c r="AW56" s="137">
        <f t="shared" si="40"/>
        <v>0.32</v>
      </c>
      <c r="AX56" s="137">
        <f t="shared" si="41"/>
        <v>0.8</v>
      </c>
      <c r="AY56" s="137">
        <f t="shared" si="42"/>
        <v>0.8</v>
      </c>
      <c r="AZ56" s="137"/>
      <c r="BA56" s="264"/>
      <c r="BB56" s="258">
        <f t="shared" si="43"/>
        <v>0</v>
      </c>
      <c r="BC56" s="258">
        <f t="shared" si="70"/>
        <v>0</v>
      </c>
      <c r="BD56" s="137">
        <f t="shared" si="71"/>
        <v>3.2070164678321689E-5</v>
      </c>
      <c r="BE56" s="137">
        <f t="shared" si="72"/>
        <v>3.2070164678321689E-5</v>
      </c>
      <c r="BF56" s="137">
        <f>_xll.xSPRDOPT($BW56,$BV56,$CG56,0,$BY56,$BX56,$BZ56,$AJ56,1,4)*$CB56</f>
        <v>1.0506037702971564E-6</v>
      </c>
      <c r="BG56" s="137">
        <f>_xll.xSPRDOPT($BW56,$BV56,$CG56,0,$BY56,$BX56,$BZ56,$AJ56,1,3)*$CB56</f>
        <v>0</v>
      </c>
      <c r="BH56" s="137">
        <f>IF(OR(BF56&lt;&gt;0,BG56&lt;&gt;0),_xll.xSPRDOPT($BW56,$BV56,$CG56,0,$BY56,$BX56,$BZ56,$AJ56,1,12)*$CB56,0)</f>
        <v>-1.5759056554457345E-7</v>
      </c>
      <c r="BI56" s="137">
        <f>_xll.xSPRDOPT($BW56,$BV56,$CG56,2*LN(1+CA56/2),$BY56,$BX56,$BZ56,$AJ56,1,9)</f>
        <v>1.2912951397697306E-2</v>
      </c>
      <c r="BJ56" s="137">
        <f>_xll.xSPRDOPT($BW56,$BV56,$CG56,0,$BY56,$BX56,$BZ56,$AJ56,1,6)*$CB56</f>
        <v>-8.3423509641559915E-5</v>
      </c>
      <c r="BK56" s="137">
        <f>_xll.xSPRDOPT($BW56,$BV56,$CG56,0,$BY56,$BX56,$BZ56,$AJ56,1,5)*$CB56</f>
        <v>9.2153006386940507E-5</v>
      </c>
      <c r="BL56" s="137">
        <f>_xll.xSPRDOPT(BW56,BV56,CG56,0,BY56,BX56,BZ56,AJ56,1,2)*CB56</f>
        <v>-0.88130747803228449</v>
      </c>
      <c r="BM56" s="137">
        <f>_xll.xSPRDOPT(BW56,BV56,CG56,0,BY56,BX56,BZ56,AJ56,1,1)*CB56</f>
        <v>0.88130747802507059</v>
      </c>
      <c r="BN56" s="137">
        <f>IF(AH56&lt;&gt;0,_xll.xSPRDOPT($BW56,$BV56,$CG56,2*LN(1+CA56/2),$BY56,$BX56,$BZ56,$AJ56,1,8)+(AJ56/365.25)*CH56/AH56,0)</f>
        <v>9.4002763476466078E-2</v>
      </c>
      <c r="BO56" s="137">
        <f>_xll.xSPRDOPT($BW56,$BV56,$CG56,0,$BY56,$BX56,$BZ56,$AJ56,1,0)</f>
        <v>0.33878783620633102</v>
      </c>
      <c r="BP56" s="137"/>
      <c r="BQ56" s="137"/>
      <c r="BR56" s="137"/>
      <c r="BS56" s="137"/>
      <c r="BV56" s="262">
        <v>3.5568123393316196</v>
      </c>
      <c r="BW56" s="136">
        <v>3.9290000000000003</v>
      </c>
      <c r="BX56" s="137">
        <v>0.33158793976523454</v>
      </c>
      <c r="BY56" s="137">
        <v>0.33158793976523454</v>
      </c>
      <c r="BZ56" s="137">
        <v>1</v>
      </c>
      <c r="CA56" s="137">
        <v>4.37209690349563E-2</v>
      </c>
      <c r="CB56" s="137">
        <v>0.88131031923448877</v>
      </c>
      <c r="CC56" s="258">
        <v>-2.2499999999999999E-2</v>
      </c>
      <c r="CD56" s="258">
        <v>2.5000000000000001E-3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52"/>
        <v>38336</v>
      </c>
      <c r="F57" s="28">
        <f t="shared" si="53"/>
        <v>356</v>
      </c>
      <c r="G57" s="28">
        <f t="shared" si="13"/>
        <v>312.22400868200037</v>
      </c>
      <c r="H57" s="52">
        <f t="shared" si="54"/>
        <v>3.7038560411311052</v>
      </c>
      <c r="I57" s="52">
        <f t="shared" si="55"/>
        <v>4.0220000000000002</v>
      </c>
      <c r="K57" s="52">
        <f t="shared" si="56"/>
        <v>7.7416317664800562</v>
      </c>
      <c r="L57" s="135">
        <f t="shared" si="57"/>
        <v>2.2927145939988236E-5</v>
      </c>
      <c r="N57" s="131">
        <f t="shared" si="48"/>
        <v>0.33926384180861408</v>
      </c>
      <c r="O57" s="131">
        <f t="shared" si="49"/>
        <v>0.33926384180861408</v>
      </c>
      <c r="P57" s="55">
        <f t="shared" si="50"/>
        <v>0.99999999999999978</v>
      </c>
      <c r="Q57" s="135">
        <f>_xll.xSPRDOPT(I57,H57,AQ57,0,O57,N57,P57,D57-$G$5,1,0)*AH57*AU57</f>
        <v>7.7416546936259962</v>
      </c>
      <c r="R57" s="135"/>
      <c r="S57" s="181">
        <f>_xll.xSPRDOPT(I57,H57,AQ57,AT57,O57,N57,P57,D57-$G$5,1,2)*AF57*(F57/(1-AR57))*AH57</f>
        <v>-9937.9868088413841</v>
      </c>
      <c r="T57" s="181">
        <f>_xll.xSPRDOPT(I57,H57,AQ57,AT57,O57,N57,P57,D57-$G$5,1,1)*AF57*F57*AH57</f>
        <v>9664.6921713975044</v>
      </c>
      <c r="U57" s="135"/>
      <c r="V57" s="146">
        <f t="shared" si="58"/>
        <v>10.203673551148869</v>
      </c>
      <c r="W57" s="146"/>
      <c r="X57" s="338">
        <f t="shared" si="59"/>
        <v>0</v>
      </c>
      <c r="Y57" s="338">
        <f t="shared" si="20"/>
        <v>0</v>
      </c>
      <c r="Z57" s="338">
        <f t="shared" si="21"/>
        <v>0.99100765950707048</v>
      </c>
      <c r="AA57" s="338">
        <f t="shared" si="22"/>
        <v>3.0395922433984396E-5</v>
      </c>
      <c r="AB57" s="338">
        <f t="shared" si="60"/>
        <v>0</v>
      </c>
      <c r="AC57" s="338">
        <f t="shared" si="61"/>
        <v>1.0022193328086735</v>
      </c>
      <c r="AF57" s="138">
        <f t="shared" si="62"/>
        <v>1</v>
      </c>
      <c r="AG57" s="138">
        <f t="shared" si="63"/>
        <v>12</v>
      </c>
      <c r="AH57" s="138">
        <f t="shared" si="73"/>
        <v>31</v>
      </c>
      <c r="AI57" s="138">
        <f t="shared" si="64"/>
        <v>1080</v>
      </c>
      <c r="AJ57" s="138">
        <f t="shared" si="65"/>
        <v>1097</v>
      </c>
      <c r="AL57" s="136">
        <f t="shared" si="29"/>
        <v>3.6219999999999999</v>
      </c>
      <c r="AM57" s="258">
        <f t="shared" si="30"/>
        <v>-2.2499999999999999E-2</v>
      </c>
      <c r="AN57" s="258">
        <f t="shared" si="31"/>
        <v>2.5000000000000001E-3</v>
      </c>
      <c r="AO57" s="258">
        <f t="shared" si="32"/>
        <v>0.4</v>
      </c>
      <c r="AP57" s="258">
        <f t="shared" si="33"/>
        <v>0</v>
      </c>
      <c r="AQ57" s="136">
        <f t="shared" si="66"/>
        <v>3.3399999999999999E-2</v>
      </c>
      <c r="AR57" s="137">
        <f t="shared" si="35"/>
        <v>2.75E-2</v>
      </c>
      <c r="AS57" s="136">
        <f t="shared" si="67"/>
        <v>3.6019999999999999</v>
      </c>
      <c r="AT57" s="137">
        <f t="shared" si="68"/>
        <v>4.4289846522210997E-2</v>
      </c>
      <c r="AU57" s="137">
        <f t="shared" si="38"/>
        <v>0.87703373225281001</v>
      </c>
      <c r="AV57" s="394">
        <f t="shared" si="69"/>
        <v>271.88045699837107</v>
      </c>
      <c r="AW57" s="137">
        <f t="shared" si="40"/>
        <v>0.32</v>
      </c>
      <c r="AX57" s="137">
        <f t="shared" si="41"/>
        <v>1</v>
      </c>
      <c r="AY57" s="137">
        <f t="shared" si="42"/>
        <v>1</v>
      </c>
      <c r="AZ57" s="137"/>
      <c r="BA57" s="264"/>
      <c r="BB57" s="258">
        <f t="shared" si="43"/>
        <v>0</v>
      </c>
      <c r="BC57" s="258">
        <f t="shared" si="70"/>
        <v>0</v>
      </c>
      <c r="BD57" s="137">
        <f t="shared" si="71"/>
        <v>5.1119724299109048E-5</v>
      </c>
      <c r="BE57" s="137">
        <f t="shared" si="72"/>
        <v>5.1119724299109048E-5</v>
      </c>
      <c r="BF57" s="137">
        <f>_xll.xSPRDOPT($BW57,$BV57,$CG57,0,$BY57,$BX57,$BZ57,$AJ57,1,4)*$CB57</f>
        <v>2.0902591363154113E-7</v>
      </c>
      <c r="BG57" s="137">
        <f>_xll.xSPRDOPT($BW57,$BV57,$CG57,0,$BY57,$BX57,$BZ57,$AJ57,1,3)*$CB57</f>
        <v>1.0451295681577057E-6</v>
      </c>
      <c r="BH57" s="137">
        <f>IF(OR(BF57&lt;&gt;0,BG57&lt;&gt;0),_xll.xSPRDOPT($BW57,$BV57,$CG57,0,$BY57,$BX57,$BZ57,$AJ57,1,12)*$CB57,0)</f>
        <v>-3.6579534885519699E-7</v>
      </c>
      <c r="BI57" s="137">
        <f>_xll.xSPRDOPT($BW57,$BV57,$CG57,2*LN(1+CA57/2),$BY57,$BX57,$BZ57,$AJ57,1,9)</f>
        <v>1.0932872648150219E-2</v>
      </c>
      <c r="BJ57" s="137">
        <f>_xll.xSPRDOPT($BW57,$BV57,$CG57,0,$BY57,$BX57,$BZ57,$AJ57,1,6)*$CB57</f>
        <v>-6.2725702916446499E-4</v>
      </c>
      <c r="BK57" s="137">
        <f>_xll.xSPRDOPT($BW57,$BV57,$CG57,0,$BY57,$BX57,$BZ57,$AJ57,1,5)*$CB57</f>
        <v>6.8113548408036339E-4</v>
      </c>
      <c r="BL57" s="137">
        <f>_xll.xSPRDOPT(BW57,BV57,CG57,0,BY57,BX57,BZ57,AJ57,1,2)*CB57</f>
        <v>-0.87669545076475797</v>
      </c>
      <c r="BM57" s="137">
        <f>_xll.xSPRDOPT(BW57,BV57,CG57,0,BY57,BX57,BZ57,AJ57,1,1)*CB57</f>
        <v>0.8766954507512027</v>
      </c>
      <c r="BN57" s="137">
        <f>IF(AH57&lt;&gt;0,_xll.xSPRDOPT($BW57,$BV57,$CG57,2*LN(1+CA57/2),$BY57,$BX57,$BZ57,$AJ57,1,8)+(AJ57/365.25)*CH57/AH57,0)</f>
        <v>0.2384458124371216</v>
      </c>
      <c r="BO57" s="137">
        <f>_xll.xSPRDOPT($BW57,$BV57,$CG57,0,$BY57,$BX57,$BZ57,$AJ57,1,0)</f>
        <v>0.28474482757289221</v>
      </c>
      <c r="BP57" s="137"/>
      <c r="BQ57" s="137"/>
      <c r="BR57" s="137"/>
      <c r="BS57" s="137"/>
      <c r="BV57" s="262">
        <v>3.7038560411311052</v>
      </c>
      <c r="BW57" s="136">
        <v>4.0220000000000002</v>
      </c>
      <c r="BX57" s="137">
        <v>0.33921272208431497</v>
      </c>
      <c r="BY57" s="137">
        <v>0.33921272208431497</v>
      </c>
      <c r="BZ57" s="137">
        <v>1</v>
      </c>
      <c r="CA57" s="137">
        <v>4.4289846522210997E-2</v>
      </c>
      <c r="CB57" s="137">
        <v>0.8767182256484275</v>
      </c>
      <c r="CC57" s="258">
        <v>-2.2499999999999999E-2</v>
      </c>
      <c r="CD57" s="258">
        <v>2.5000000000000001E-3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52"/>
        <v>38367</v>
      </c>
      <c r="F58" s="28">
        <f t="shared" si="53"/>
        <v>356</v>
      </c>
      <c r="G58" s="28">
        <f t="shared" si="13"/>
        <v>310.53619460416553</v>
      </c>
      <c r="H58" s="52">
        <f t="shared" si="54"/>
        <v>3.7655526992287918</v>
      </c>
      <c r="I58" s="52">
        <f t="shared" si="55"/>
        <v>4.032</v>
      </c>
      <c r="K58" s="52">
        <f t="shared" si="56"/>
        <v>6.3018491018881075</v>
      </c>
      <c r="L58" s="135">
        <f t="shared" si="57"/>
        <v>9.0773418105705161E-5</v>
      </c>
      <c r="N58" s="131">
        <f t="shared" si="48"/>
        <v>0.33874838161277315</v>
      </c>
      <c r="O58" s="131">
        <f t="shared" si="49"/>
        <v>0.33874838161277315</v>
      </c>
      <c r="P58" s="55">
        <f t="shared" si="50"/>
        <v>1</v>
      </c>
      <c r="Q58" s="135">
        <f>_xll.xSPRDOPT(I58,H58,AQ58,0,O58,N58,P58,D58-$G$5,1,0)*AH58*AU58</f>
        <v>6.3019398753062132</v>
      </c>
      <c r="R58" s="135"/>
      <c r="S58" s="181">
        <f>_xll.xSPRDOPT(I58,H58,AQ58,AT58,O58,N58,P58,D58-$G$5,1,2)*AF58*(F58/(1-AR58))*AH58</f>
        <v>-9883.0633705029159</v>
      </c>
      <c r="T58" s="181">
        <f>_xll.xSPRDOPT(I58,H58,AQ58,AT58,O58,N58,P58,D58-$G$5,1,1)*AF58*F58*AH58</f>
        <v>9611.2791279194771</v>
      </c>
      <c r="U58" s="135"/>
      <c r="V58" s="146">
        <f t="shared" si="58"/>
        <v>10.148514744054054</v>
      </c>
      <c r="W58" s="146"/>
      <c r="X58" s="338">
        <f t="shared" si="59"/>
        <v>0</v>
      </c>
      <c r="Y58" s="338">
        <f t="shared" si="20"/>
        <v>0</v>
      </c>
      <c r="Z58" s="338">
        <f t="shared" si="21"/>
        <v>0.81654850862278716</v>
      </c>
      <c r="AA58" s="338">
        <f t="shared" si="22"/>
        <v>6.0616656192780306E-5</v>
      </c>
      <c r="AB58" s="338">
        <f t="shared" si="60"/>
        <v>0</v>
      </c>
      <c r="AC58" s="338">
        <f t="shared" si="61"/>
        <v>0.82624133663129606</v>
      </c>
      <c r="AF58" s="138">
        <f t="shared" si="62"/>
        <v>1</v>
      </c>
      <c r="AG58" s="138">
        <f t="shared" si="63"/>
        <v>1</v>
      </c>
      <c r="AH58" s="138">
        <f t="shared" si="73"/>
        <v>31</v>
      </c>
      <c r="AI58" s="138">
        <f t="shared" si="64"/>
        <v>1111</v>
      </c>
      <c r="AJ58" s="138">
        <f t="shared" si="65"/>
        <v>1128</v>
      </c>
      <c r="AL58" s="136">
        <f t="shared" si="29"/>
        <v>3.6819999999999999</v>
      </c>
      <c r="AM58" s="258">
        <f t="shared" si="30"/>
        <v>-2.2499999999999999E-2</v>
      </c>
      <c r="AN58" s="258">
        <f t="shared" si="31"/>
        <v>2.5000000000000001E-3</v>
      </c>
      <c r="AO58" s="258">
        <f t="shared" si="32"/>
        <v>0.35</v>
      </c>
      <c r="AP58" s="258">
        <f t="shared" si="33"/>
        <v>0</v>
      </c>
      <c r="AQ58" s="136">
        <f t="shared" si="66"/>
        <v>3.3399999999999999E-2</v>
      </c>
      <c r="AR58" s="137">
        <f t="shared" si="35"/>
        <v>2.75E-2</v>
      </c>
      <c r="AS58" s="136">
        <f t="shared" si="67"/>
        <v>3.6619999999999999</v>
      </c>
      <c r="AT58" s="137">
        <f t="shared" si="68"/>
        <v>4.4854887495736399E-2</v>
      </c>
      <c r="AU58" s="137">
        <f t="shared" si="38"/>
        <v>0.87229268147237504</v>
      </c>
      <c r="AV58" s="394">
        <f t="shared" si="69"/>
        <v>270.41073125643624</v>
      </c>
      <c r="AW58" s="137">
        <f t="shared" si="40"/>
        <v>0.32</v>
      </c>
      <c r="AX58" s="137">
        <f t="shared" si="41"/>
        <v>1</v>
      </c>
      <c r="AY58" s="137">
        <f t="shared" si="42"/>
        <v>1</v>
      </c>
      <c r="AZ58" s="137"/>
      <c r="BA58" s="264"/>
      <c r="BB58" s="258">
        <f t="shared" si="43"/>
        <v>0</v>
      </c>
      <c r="BC58" s="258">
        <f t="shared" si="70"/>
        <v>0</v>
      </c>
      <c r="BD58" s="137">
        <f t="shared" si="71"/>
        <v>4.8421939609133435E-5</v>
      </c>
      <c r="BE58" s="137">
        <f t="shared" si="72"/>
        <v>4.8421939609133435E-5</v>
      </c>
      <c r="BF58" s="137">
        <f>_xll.xSPRDOPT($BW58,$BV58,$CG58,0,$BY58,$BX58,$BZ58,$AJ58,1,4)*$CB58</f>
        <v>1.7671076858966769E-6</v>
      </c>
      <c r="BG58" s="137">
        <f>_xll.xSPRDOPT($BW58,$BV58,$CG58,0,$BY58,$BX58,$BZ58,$AJ58,1,3)*$CB58</f>
        <v>2.5986877733774663E-7</v>
      </c>
      <c r="BH58" s="137">
        <f>IF(OR(BF58&lt;&gt;0,BG58&lt;&gt;0),_xll.xSPRDOPT($BW58,$BV58,$CG58,0,$BY58,$BX58,$BZ58,$AJ58,1,12)*$CB58,0)</f>
        <v>-6.2368506561059184E-7</v>
      </c>
      <c r="BI58" s="137">
        <f>_xll.xSPRDOPT($BW58,$BV58,$CG58,2*LN(1+CA58/2),$BY58,$BX58,$BZ58,$AJ58,1,9)</f>
        <v>9.0082258902522954E-3</v>
      </c>
      <c r="BJ58" s="137">
        <f>_xll.xSPRDOPT($BW58,$BV58,$CG58,0,$BY58,$BX58,$BZ58,$AJ58,1,6)*$CB58</f>
        <v>-1.6030810853988628E-3</v>
      </c>
      <c r="BK58" s="137">
        <f>_xll.xSPRDOPT($BW58,$BV58,$CG58,0,$BY58,$BX58,$BZ58,$AJ58,1,5)*$CB58</f>
        <v>1.7165137416552726E-3</v>
      </c>
      <c r="BL58" s="137">
        <f>_xll.xSPRDOPT(BW58,BV58,CG58,0,BY58,BX58,BZ58,AJ58,1,2)*CB58</f>
        <v>-0.87191527726070162</v>
      </c>
      <c r="BM58" s="137">
        <f>_xll.xSPRDOPT(BW58,BV58,CG58,0,BY58,BX58,BZ58,AJ58,1,1)*CB58</f>
        <v>0.87191527726982176</v>
      </c>
      <c r="BN58" s="137">
        <f>IF(AH58&lt;&gt;0,_xll.xSPRDOPT($BW58,$BV58,$CG58,2*LN(1+CA58/2),$BY58,$BX58,$BZ58,$AJ58,1,8)+(AJ58/365.25)*CH58/AH58,0)</f>
        <v>0.38306544450134661</v>
      </c>
      <c r="BO58" s="137">
        <f>_xll.xSPRDOPT($BW58,$BV58,$CG58,0,$BY58,$BX58,$BZ58,$AJ58,1,0)</f>
        <v>0.23305071005331218</v>
      </c>
      <c r="BP58" s="137"/>
      <c r="BQ58" s="137"/>
      <c r="BR58" s="137"/>
      <c r="BS58" s="137"/>
      <c r="BV58" s="262">
        <v>3.7655526992287918</v>
      </c>
      <c r="BW58" s="136">
        <v>4.032</v>
      </c>
      <c r="BX58" s="137">
        <v>0.33869995967316402</v>
      </c>
      <c r="BY58" s="137">
        <v>0.33869995967316402</v>
      </c>
      <c r="BZ58" s="137">
        <v>1</v>
      </c>
      <c r="CA58" s="137">
        <v>4.4854887495736399E-2</v>
      </c>
      <c r="CB58" s="137">
        <v>0.87197492181025593</v>
      </c>
      <c r="CC58" s="258">
        <v>-2.2499999999999999E-2</v>
      </c>
      <c r="CD58" s="258">
        <v>2.5000000000000001E-3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52"/>
        <v>38398</v>
      </c>
      <c r="F59" s="28">
        <f t="shared" si="53"/>
        <v>356</v>
      </c>
      <c r="G59" s="28">
        <f t="shared" si="13"/>
        <v>308.84662220458921</v>
      </c>
      <c r="H59" s="52">
        <f t="shared" si="54"/>
        <v>3.6781491002570692</v>
      </c>
      <c r="I59" s="52">
        <f t="shared" si="55"/>
        <v>3.9470000000000001</v>
      </c>
      <c r="K59" s="52">
        <f t="shared" si="56"/>
        <v>5.7194101748814496</v>
      </c>
      <c r="L59" s="135">
        <f t="shared" si="57"/>
        <v>7.7648422239562365E-5</v>
      </c>
      <c r="N59" s="131">
        <f t="shared" si="48"/>
        <v>0.33420972413423633</v>
      </c>
      <c r="O59" s="131">
        <f t="shared" si="49"/>
        <v>0.33420972413423633</v>
      </c>
      <c r="P59" s="55">
        <f t="shared" si="50"/>
        <v>1.0000000000000002</v>
      </c>
      <c r="Q59" s="135">
        <f>_xll.xSPRDOPT(I59,H59,AQ59,0,O59,N59,P59,D59-$G$5,1,0)*AH59*AU59</f>
        <v>5.7194878233036892</v>
      </c>
      <c r="R59" s="135"/>
      <c r="S59" s="181">
        <f>_xll.xSPRDOPT(I59,H59,AQ59,AT59,O59,N59,P59,D59-$G$5,1,2)*AF59*(F59/(1-AR59))*AH59</f>
        <v>-8877.3576715941745</v>
      </c>
      <c r="T59" s="181">
        <f>_xll.xSPRDOPT(I59,H59,AQ59,AT59,O59,N59,P59,D59-$G$5,1,1)*AF59*F59*AH59</f>
        <v>8633.2303356434641</v>
      </c>
      <c r="U59" s="135"/>
      <c r="V59" s="146">
        <f t="shared" si="58"/>
        <v>9.1165276538615316</v>
      </c>
      <c r="W59" s="146"/>
      <c r="X59" s="338">
        <f t="shared" si="59"/>
        <v>0</v>
      </c>
      <c r="Y59" s="338">
        <f t="shared" si="20"/>
        <v>0</v>
      </c>
      <c r="Z59" s="338">
        <f t="shared" si="21"/>
        <v>0.75002156670055742</v>
      </c>
      <c r="AA59" s="338">
        <f t="shared" si="22"/>
        <v>4.8497477049651979E-5</v>
      </c>
      <c r="AB59" s="338">
        <f t="shared" si="60"/>
        <v>0</v>
      </c>
      <c r="AC59" s="338">
        <f t="shared" si="61"/>
        <v>0.75900564173645169</v>
      </c>
      <c r="AF59" s="138">
        <f t="shared" si="62"/>
        <v>1</v>
      </c>
      <c r="AG59" s="138">
        <f t="shared" si="63"/>
        <v>2</v>
      </c>
      <c r="AH59" s="138">
        <f t="shared" si="73"/>
        <v>28</v>
      </c>
      <c r="AI59" s="138">
        <f t="shared" si="64"/>
        <v>1142</v>
      </c>
      <c r="AJ59" s="138">
        <f t="shared" si="65"/>
        <v>1159</v>
      </c>
      <c r="AL59" s="136">
        <f t="shared" si="29"/>
        <v>3.597</v>
      </c>
      <c r="AM59" s="258">
        <f t="shared" si="30"/>
        <v>-2.2499999999999999E-2</v>
      </c>
      <c r="AN59" s="258">
        <f t="shared" si="31"/>
        <v>2.5000000000000001E-3</v>
      </c>
      <c r="AO59" s="258">
        <f t="shared" si="32"/>
        <v>0.35</v>
      </c>
      <c r="AP59" s="258">
        <f t="shared" si="33"/>
        <v>0</v>
      </c>
      <c r="AQ59" s="136">
        <f t="shared" si="66"/>
        <v>3.3399999999999999E-2</v>
      </c>
      <c r="AR59" s="137">
        <f t="shared" si="35"/>
        <v>2.75E-2</v>
      </c>
      <c r="AS59" s="136">
        <f t="shared" si="67"/>
        <v>3.577</v>
      </c>
      <c r="AT59" s="137">
        <f t="shared" si="68"/>
        <v>4.5401152752323697E-2</v>
      </c>
      <c r="AU59" s="137">
        <f t="shared" si="38"/>
        <v>0.86754669158592468</v>
      </c>
      <c r="AV59" s="394">
        <f t="shared" si="69"/>
        <v>242.9130736440589</v>
      </c>
      <c r="AW59" s="137">
        <f t="shared" si="40"/>
        <v>0.3175</v>
      </c>
      <c r="AX59" s="137">
        <f t="shared" si="41"/>
        <v>1</v>
      </c>
      <c r="AY59" s="137">
        <f t="shared" si="42"/>
        <v>1</v>
      </c>
      <c r="AZ59" s="137"/>
      <c r="BA59" s="264"/>
      <c r="BB59" s="258">
        <f t="shared" si="43"/>
        <v>0</v>
      </c>
      <c r="BC59" s="258">
        <f t="shared" si="70"/>
        <v>0</v>
      </c>
      <c r="BD59" s="137">
        <f t="shared" si="71"/>
        <v>4.2173498050079861E-5</v>
      </c>
      <c r="BE59" s="137">
        <f t="shared" si="72"/>
        <v>4.2173498050079861E-5</v>
      </c>
      <c r="BF59" s="137">
        <f>_xll.xSPRDOPT($BW59,$BV59,$CG59,0,$BY59,$BX59,$BZ59,$AJ59,1,4)*$CB59</f>
        <v>-9.3043347601381395E-7</v>
      </c>
      <c r="BG59" s="137">
        <f>_xll.xSPRDOPT($BW59,$BV59,$CG59,0,$BY59,$BX59,$BZ59,$AJ59,1,3)*$CB59</f>
        <v>-1.0338149733486822E-7</v>
      </c>
      <c r="BH59" s="137">
        <f>IF(OR(BF59&lt;&gt;0,BG59&lt;&gt;0),_xll.xSPRDOPT($BW59,$BV59,$CG59,0,$BY59,$BX59,$BZ59,$AJ59,1,12)*$CB59,0)</f>
        <v>4.1352598933947289E-7</v>
      </c>
      <c r="BI59" s="137">
        <f>_xll.xSPRDOPT($BW59,$BV59,$CG59,2*LN(1+CA59/2),$BY59,$BX59,$BZ59,$AJ59,1,9)</f>
        <v>9.1608272216886898E-3</v>
      </c>
      <c r="BJ59" s="137">
        <f>_xll.xSPRDOPT($BW59,$BV59,$CG59,0,$BY59,$BX59,$BZ59,$AJ59,1,6)*$CB59</f>
        <v>-1.5782992237184108E-3</v>
      </c>
      <c r="BK59" s="137">
        <f>_xll.xSPRDOPT($BW59,$BV59,$CG59,0,$BY59,$BX59,$BZ59,$AJ59,1,5)*$CB59</f>
        <v>1.6936635388313487E-3</v>
      </c>
      <c r="BL59" s="137">
        <f>_xll.xSPRDOPT(BW59,BV59,CG59,0,BY59,BX59,BZ59,AJ59,1,2)*CB59</f>
        <v>-0.86716754781062122</v>
      </c>
      <c r="BM59" s="137">
        <f>_xll.xSPRDOPT(BW59,BV59,CG59,0,BY59,BX59,BZ59,AJ59,1,1)*CB59</f>
        <v>0.86716754781535366</v>
      </c>
      <c r="BN59" s="137">
        <f>IF(AH59&lt;&gt;0,_xll.xSPRDOPT($BW59,$BV59,$CG59,2*LN(1+CA59/2),$BY59,$BX59,$BZ59,$AJ59,1,8)+(AJ59/365.25)*CH59/AH59,0)</f>
        <v>0.38483584571394147</v>
      </c>
      <c r="BO59" s="137">
        <f>_xll.xSPRDOPT($BW59,$BV59,$CG59,0,$BY59,$BX59,$BZ59,$AJ59,1,0)</f>
        <v>0.23545414833047376</v>
      </c>
      <c r="BP59" s="137"/>
      <c r="BQ59" s="137"/>
      <c r="BR59" s="137"/>
      <c r="BS59" s="137"/>
      <c r="BV59" s="262">
        <v>3.6781491002570692</v>
      </c>
      <c r="BW59" s="136">
        <v>3.9470000000000001</v>
      </c>
      <c r="BX59" s="137">
        <v>0.33416755063618625</v>
      </c>
      <c r="BY59" s="137">
        <v>0.33416755063618625</v>
      </c>
      <c r="BZ59" s="137">
        <v>1</v>
      </c>
      <c r="CA59" s="137">
        <v>4.5401152752323697E-2</v>
      </c>
      <c r="CB59" s="137">
        <v>0.86722685559525425</v>
      </c>
      <c r="CC59" s="258">
        <v>-2.2499999999999999E-2</v>
      </c>
      <c r="CD59" s="258">
        <v>2.5000000000000001E-3</v>
      </c>
      <c r="CE59" s="258">
        <v>0.35</v>
      </c>
      <c r="CF59" s="258">
        <v>0</v>
      </c>
      <c r="CG59" s="258">
        <v>3.3399999999999999E-2</v>
      </c>
      <c r="CH59" s="258">
        <v>9.1131666893371701</v>
      </c>
      <c r="CI59" s="258">
        <v>3.597</v>
      </c>
      <c r="CJ59" s="258"/>
      <c r="CK59" s="258"/>
      <c r="CL59" s="258"/>
      <c r="CM59" s="258"/>
    </row>
    <row r="60" spans="1:91" x14ac:dyDescent="0.25">
      <c r="A60" s="723"/>
      <c r="B60" s="723"/>
      <c r="D60" s="31">
        <f t="shared" si="52"/>
        <v>38426</v>
      </c>
      <c r="F60" s="28">
        <f t="shared" si="53"/>
        <v>356</v>
      </c>
      <c r="G60" s="28">
        <f t="shared" si="13"/>
        <v>307.30462870979085</v>
      </c>
      <c r="H60" s="52">
        <f t="shared" si="54"/>
        <v>3.5444730077120821</v>
      </c>
      <c r="I60" s="52">
        <f t="shared" si="55"/>
        <v>3.867</v>
      </c>
      <c r="K60" s="52">
        <f t="shared" si="56"/>
        <v>7.7369436895099231</v>
      </c>
      <c r="L60" s="135">
        <f t="shared" si="57"/>
        <v>1.372750992789662E-5</v>
      </c>
      <c r="N60" s="131">
        <f t="shared" si="48"/>
        <v>0.31729237574852004</v>
      </c>
      <c r="O60" s="131">
        <f t="shared" si="49"/>
        <v>0.31729237574852004</v>
      </c>
      <c r="P60" s="55">
        <f t="shared" si="50"/>
        <v>0.99999999999999989</v>
      </c>
      <c r="Q60" s="135">
        <f>_xll.xSPRDOPT(I60,H60,AQ60,0,O60,N60,P60,D60-$G$5,1,0)*AH60*AU60</f>
        <v>7.736957417019851</v>
      </c>
      <c r="R60" s="135"/>
      <c r="S60" s="181">
        <f>_xll.xSPRDOPT(I60,H60,AQ60,AT60,O60,N60,P60,D60-$G$5,1,2)*AF60*(F60/(1-AR60))*AH60</f>
        <v>-9779.2779695442441</v>
      </c>
      <c r="T60" s="181">
        <f>_xll.xSPRDOPT(I60,H60,AQ60,AT60,O60,N60,P60,D60-$G$5,1,1)*AF60*F60*AH60</f>
        <v>9510.3478252763871</v>
      </c>
      <c r="U60" s="135"/>
      <c r="V60" s="146">
        <f t="shared" si="58"/>
        <v>10.042905173590787</v>
      </c>
      <c r="W60" s="146"/>
      <c r="X60" s="338">
        <f t="shared" si="59"/>
        <v>0</v>
      </c>
      <c r="Y60" s="338">
        <f t="shared" si="20"/>
        <v>0</v>
      </c>
      <c r="Z60" s="338">
        <f t="shared" si="21"/>
        <v>1.0260614964368473</v>
      </c>
      <c r="AA60" s="338">
        <f t="shared" si="22"/>
        <v>5.910301526555833E-6</v>
      </c>
      <c r="AB60" s="338">
        <f t="shared" si="60"/>
        <v>0</v>
      </c>
      <c r="AC60" s="338">
        <f t="shared" si="61"/>
        <v>1.0378881173952961</v>
      </c>
      <c r="AF60" s="138">
        <f t="shared" si="62"/>
        <v>1</v>
      </c>
      <c r="AG60" s="138">
        <f t="shared" si="63"/>
        <v>3</v>
      </c>
      <c r="AH60" s="138">
        <f t="shared" si="73"/>
        <v>31</v>
      </c>
      <c r="AI60" s="138">
        <f t="shared" si="64"/>
        <v>1170</v>
      </c>
      <c r="AJ60" s="138">
        <f t="shared" si="65"/>
        <v>1187</v>
      </c>
      <c r="AL60" s="136">
        <f t="shared" si="29"/>
        <v>3.4670000000000001</v>
      </c>
      <c r="AM60" s="258">
        <f t="shared" si="30"/>
        <v>-2.2499999999999999E-2</v>
      </c>
      <c r="AN60" s="258">
        <f t="shared" si="31"/>
        <v>2.5000000000000001E-3</v>
      </c>
      <c r="AO60" s="258">
        <f t="shared" si="32"/>
        <v>0.4</v>
      </c>
      <c r="AP60" s="258">
        <f t="shared" si="33"/>
        <v>0</v>
      </c>
      <c r="AQ60" s="136">
        <f t="shared" si="66"/>
        <v>3.3399999999999999E-2</v>
      </c>
      <c r="AR60" s="137">
        <f t="shared" si="35"/>
        <v>2.75E-2</v>
      </c>
      <c r="AS60" s="136">
        <f t="shared" si="67"/>
        <v>3.4470000000000001</v>
      </c>
      <c r="AT60" s="137">
        <f t="shared" si="68"/>
        <v>4.5894553715070799E-2</v>
      </c>
      <c r="AU60" s="137">
        <f t="shared" si="38"/>
        <v>0.86321524918480574</v>
      </c>
      <c r="AV60" s="394">
        <f t="shared" si="69"/>
        <v>267.59672724728978</v>
      </c>
      <c r="AW60" s="137">
        <f t="shared" si="40"/>
        <v>0.3075</v>
      </c>
      <c r="AX60" s="137">
        <f t="shared" si="41"/>
        <v>0.75</v>
      </c>
      <c r="AY60" s="137">
        <f t="shared" si="42"/>
        <v>0.75</v>
      </c>
      <c r="AZ60" s="137"/>
      <c r="BA60" s="264"/>
      <c r="BB60" s="258">
        <f t="shared" si="43"/>
        <v>0</v>
      </c>
      <c r="BC60" s="258">
        <f t="shared" si="70"/>
        <v>0</v>
      </c>
      <c r="BD60" s="137">
        <f t="shared" si="71"/>
        <v>2.4337327348467053E-5</v>
      </c>
      <c r="BE60" s="137">
        <f t="shared" si="72"/>
        <v>2.4337327348467053E-5</v>
      </c>
      <c r="BF60" s="137">
        <f>_xll.xSPRDOPT($BW60,$BV60,$CG60,0,$BY60,$BX60,$BZ60,$AJ60,1,4)*$CB60</f>
        <v>1.2343791834929558E-6</v>
      </c>
      <c r="BG60" s="137">
        <f>_xll.xSPRDOPT($BW60,$BV60,$CG60,0,$BY60,$BX60,$BZ60,$AJ60,1,3)*$CB60</f>
        <v>2.0572986391549265E-7</v>
      </c>
      <c r="BH60" s="137">
        <f>IF(OR(BF60&lt;&gt;0,BG60&lt;&gt;0),_xll.xSPRDOPT($BW60,$BV60,$CG60,0,$BY60,$BX60,$BZ60,$AJ60,1,12)*$CB60,0)</f>
        <v>5.1432465978873162E-8</v>
      </c>
      <c r="BI60" s="137">
        <f>_xll.xSPRDOPT($BW60,$BV60,$CG60,2*LN(1+CA60/2),$BY60,$BX60,$BZ60,$AJ60,1,9)</f>
        <v>1.1319589270676528E-2</v>
      </c>
      <c r="BJ60" s="137">
        <f>_xll.xSPRDOPT($BW60,$BV60,$CG60,0,$BY60,$BX60,$BZ60,$AJ60,1,6)*$CB60</f>
        <v>-2.4183041260124387E-4</v>
      </c>
      <c r="BK60" s="137">
        <f>_xll.xSPRDOPT($BW60,$BV60,$CG60,0,$BY60,$BX60,$BZ60,$AJ60,1,5)*$CB60</f>
        <v>2.6383559954734132E-4</v>
      </c>
      <c r="BL60" s="137">
        <f>_xll.xSPRDOPT(BW60,BV60,CG60,0,BY60,BX60,BZ60,AJ60,1,2)*CB60</f>
        <v>-0.86288523237171655</v>
      </c>
      <c r="BM60" s="137">
        <f>_xll.xSPRDOPT(BW60,BV60,CG60,0,BY60,BX60,BZ60,AJ60,1,1)*CB60</f>
        <v>0.86288523236151415</v>
      </c>
      <c r="BN60" s="137">
        <f>IF(AH60&lt;&gt;0,_xll.xSPRDOPT($BW60,$BV60,$CG60,2*LN(1+CA60/2),$BY60,$BX60,$BZ60,$AJ60,1,8)+(AJ60/365.25)*CH60/AH60,0)</f>
        <v>0.2416497528771977</v>
      </c>
      <c r="BO60" s="137">
        <f>_xll.xSPRDOPT($BW60,$BV60,$CG60,0,$BY60,$BX60,$BZ60,$AJ60,1,0)</f>
        <v>0.28912751490534139</v>
      </c>
      <c r="BP60" s="137"/>
      <c r="BQ60" s="137"/>
      <c r="BR60" s="137"/>
      <c r="BS60" s="137"/>
      <c r="BV60" s="262">
        <v>3.5444730077120821</v>
      </c>
      <c r="BW60" s="136">
        <v>3.867</v>
      </c>
      <c r="BX60" s="137">
        <v>0.31726803842117157</v>
      </c>
      <c r="BY60" s="137">
        <v>0.31726803842117157</v>
      </c>
      <c r="BZ60" s="137">
        <v>1</v>
      </c>
      <c r="CA60" s="137">
        <v>4.5894553715070799E-2</v>
      </c>
      <c r="CB60" s="137">
        <v>0.86289359114020647</v>
      </c>
      <c r="CC60" s="258">
        <v>-2.2499999999999999E-2</v>
      </c>
      <c r="CD60" s="258">
        <v>2.5000000000000001E-3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52"/>
        <v>38457</v>
      </c>
      <c r="F61" s="28">
        <f t="shared" si="53"/>
        <v>356</v>
      </c>
      <c r="G61" s="28">
        <f t="shared" si="13"/>
        <v>305.61967919045577</v>
      </c>
      <c r="H61" s="52">
        <f t="shared" si="54"/>
        <v>3.3645244215938299</v>
      </c>
      <c r="I61" s="52">
        <f t="shared" si="55"/>
        <v>3.8820000000000001</v>
      </c>
      <c r="K61" s="52">
        <f t="shared" si="56"/>
        <v>12.467108677788881</v>
      </c>
      <c r="L61" s="135">
        <f t="shared" si="57"/>
        <v>1.3151127635779858E-6</v>
      </c>
      <c r="N61" s="131">
        <f t="shared" si="48"/>
        <v>0.29897853273193292</v>
      </c>
      <c r="O61" s="131">
        <f t="shared" si="49"/>
        <v>0.29897853273193292</v>
      </c>
      <c r="P61" s="55">
        <f t="shared" si="50"/>
        <v>0.99999999999999989</v>
      </c>
      <c r="Q61" s="135">
        <f>_xll.xSPRDOPT(I61,H61,AQ61,0,O61,N61,P61,D61-$G$5,1,0)*AH61*AU61</f>
        <v>12.467109992901644</v>
      </c>
      <c r="R61" s="135"/>
      <c r="S61" s="181">
        <f>_xll.xSPRDOPT(I61,H61,AQ61,AT61,O61,N61,P61,D61-$G$5,1,2)*AF61*(F61/(1-AR61))*AH61</f>
        <v>-9411.246889698421</v>
      </c>
      <c r="T61" s="181">
        <f>_xll.xSPRDOPT(I61,H61,AQ61,AT61,O61,N61,P61,D61-$G$5,1,1)*AF61*F61*AH61</f>
        <v>9152.4376002997087</v>
      </c>
      <c r="U61" s="135"/>
      <c r="V61" s="146">
        <f t="shared" si="58"/>
        <v>9.6656515955206217</v>
      </c>
      <c r="W61" s="146"/>
      <c r="X61" s="338">
        <f t="shared" si="59"/>
        <v>0</v>
      </c>
      <c r="Y61" s="338">
        <f t="shared" si="20"/>
        <v>0</v>
      </c>
      <c r="Z61" s="338">
        <f t="shared" si="21"/>
        <v>1.6715555895699143</v>
      </c>
      <c r="AA61" s="338">
        <f t="shared" si="22"/>
        <v>1.2913446547397379E-8</v>
      </c>
      <c r="AB61" s="338">
        <f t="shared" si="60"/>
        <v>0</v>
      </c>
      <c r="AC61" s="338">
        <f t="shared" si="61"/>
        <v>1.6908732798825292</v>
      </c>
      <c r="AF61" s="138">
        <f t="shared" si="62"/>
        <v>1</v>
      </c>
      <c r="AG61" s="138">
        <f t="shared" si="63"/>
        <v>4</v>
      </c>
      <c r="AH61" s="138">
        <f t="shared" si="73"/>
        <v>30</v>
      </c>
      <c r="AI61" s="138">
        <f t="shared" si="64"/>
        <v>1201</v>
      </c>
      <c r="AJ61" s="138">
        <f t="shared" si="65"/>
        <v>1218</v>
      </c>
      <c r="AL61" s="136">
        <f t="shared" si="29"/>
        <v>3.282</v>
      </c>
      <c r="AM61" s="258">
        <f t="shared" si="30"/>
        <v>-1.7500000000000002E-2</v>
      </c>
      <c r="AN61" s="258">
        <f t="shared" si="31"/>
        <v>7.4999999999999997E-3</v>
      </c>
      <c r="AO61" s="258">
        <f t="shared" si="32"/>
        <v>0.6</v>
      </c>
      <c r="AP61" s="258">
        <f t="shared" si="33"/>
        <v>0</v>
      </c>
      <c r="AQ61" s="136">
        <f t="shared" si="66"/>
        <v>3.3399999999999999E-2</v>
      </c>
      <c r="AR61" s="137">
        <f t="shared" si="35"/>
        <v>2.75E-2</v>
      </c>
      <c r="AS61" s="136">
        <f t="shared" si="67"/>
        <v>3.2719999999999998</v>
      </c>
      <c r="AT61" s="137">
        <f t="shared" si="68"/>
        <v>4.6401056415071598E-2</v>
      </c>
      <c r="AU61" s="137">
        <f t="shared" si="38"/>
        <v>0.85848224491701053</v>
      </c>
      <c r="AV61" s="394">
        <f t="shared" si="69"/>
        <v>257.54467347510314</v>
      </c>
      <c r="AW61" s="137">
        <f t="shared" si="40"/>
        <v>0.29749999999999999</v>
      </c>
      <c r="AX61" s="137">
        <f t="shared" si="41"/>
        <v>0.4</v>
      </c>
      <c r="AY61" s="137">
        <f t="shared" si="42"/>
        <v>0.4</v>
      </c>
      <c r="AZ61" s="137"/>
      <c r="BA61" s="264"/>
      <c r="BB61" s="258">
        <f t="shared" si="43"/>
        <v>0</v>
      </c>
      <c r="BC61" s="258">
        <f t="shared" si="70"/>
        <v>0</v>
      </c>
      <c r="BD61" s="137">
        <f t="shared" si="71"/>
        <v>3.6297435732079997E-6</v>
      </c>
      <c r="BE61" s="137">
        <f t="shared" si="72"/>
        <v>3.6297435732079997E-6</v>
      </c>
      <c r="BF61" s="137">
        <f>_xll.xSPRDOPT($BW61,$BV61,$CG61,0,$BY61,$BX61,$BZ61,$AJ61,1,4)*$CB61</f>
        <v>8.1840406506723398E-7</v>
      </c>
      <c r="BG61" s="137">
        <f>_xll.xSPRDOPT($BW61,$BV61,$CG61,0,$BY61,$BX61,$BZ61,$AJ61,1,3)*$CB61</f>
        <v>5.1150254066702129E-7</v>
      </c>
      <c r="BH61" s="137">
        <f>IF(OR(BF61&lt;&gt;0,BG61&lt;&gt;0),_xll.xSPRDOPT($BW61,$BV61,$CG61,0,$BY61,$BX61,$BZ61,$AJ61,1,12)*$CB61,0)</f>
        <v>-1.0230050813340425E-7</v>
      </c>
      <c r="BI61" s="137">
        <f>_xll.xSPRDOPT($BW61,$BV61,$CG61,2*LN(1+CA61/2),$BY61,$BX61,$BZ61,$AJ61,1,9)</f>
        <v>1.9055420695705719E-2</v>
      </c>
      <c r="BJ61" s="137">
        <f>_xll.xSPRDOPT($BW61,$BV61,$CG61,0,$BY61,$BX61,$BZ61,$AJ61,1,6)*$CB61</f>
        <v>-2.1657639619908897E-6</v>
      </c>
      <c r="BK61" s="137">
        <f>_xll.xSPRDOPT($BW61,$BV61,$CG61,0,$BY61,$BX61,$BZ61,$AJ61,1,5)*$CB61</f>
        <v>2.4988795620797339E-6</v>
      </c>
      <c r="BL61" s="137">
        <f>_xll.xSPRDOPT(BW61,BV61,CG61,0,BY61,BX61,BZ61,AJ61,1,2)*CB61</f>
        <v>-0.85815886528239638</v>
      </c>
      <c r="BM61" s="137">
        <f>_xll.xSPRDOPT(BW61,BV61,CG61,0,BY61,BX61,BZ61,AJ61,1,1)*CB61</f>
        <v>0.85815886528864038</v>
      </c>
      <c r="BN61" s="137">
        <f>IF(AH61&lt;&gt;0,_xll.xSPRDOPT($BW61,$BV61,$CG61,2*LN(1+CA61/2),$BY61,$BX61,$BZ61,$AJ61,1,8)+(AJ61/365.25)*CH61/AH61,0)</f>
        <v>-0.31128368611318913</v>
      </c>
      <c r="BO61" s="137">
        <f>_xll.xSPRDOPT($BW61,$BV61,$CG61,0,$BY61,$BX61,$BZ61,$AJ61,1,0)</f>
        <v>0.48407562961158462</v>
      </c>
      <c r="BP61" s="137"/>
      <c r="BQ61" s="137"/>
      <c r="BR61" s="137"/>
      <c r="BS61" s="137"/>
      <c r="BV61" s="262">
        <v>3.3645244215938299</v>
      </c>
      <c r="BW61" s="136">
        <v>3.8820000000000001</v>
      </c>
      <c r="BX61" s="137">
        <v>0.29897490298835971</v>
      </c>
      <c r="BY61" s="137">
        <v>0.29897490298835971</v>
      </c>
      <c r="BZ61" s="137">
        <v>1</v>
      </c>
      <c r="CA61" s="137">
        <v>4.6401056415071598E-2</v>
      </c>
      <c r="CB61" s="137">
        <v>0.85815886093193994</v>
      </c>
      <c r="CC61" s="258">
        <v>-1.7500000000000002E-2</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52"/>
        <v>38487</v>
      </c>
      <c r="F62" s="28">
        <f t="shared" si="53"/>
        <v>356</v>
      </c>
      <c r="G62" s="28">
        <f t="shared" si="13"/>
        <v>304.00865082897411</v>
      </c>
      <c r="H62" s="52">
        <f t="shared" si="54"/>
        <v>3.3593830334190229</v>
      </c>
      <c r="I62" s="52">
        <f t="shared" si="55"/>
        <v>4.0270000000000001</v>
      </c>
      <c r="K62" s="52">
        <f t="shared" si="56"/>
        <v>16.789412288306043</v>
      </c>
      <c r="L62" s="135">
        <f t="shared" si="57"/>
        <v>1.6887247760166701E-6</v>
      </c>
      <c r="N62" s="131">
        <f t="shared" si="48"/>
        <v>0.29252740451228487</v>
      </c>
      <c r="O62" s="131">
        <f t="shared" si="49"/>
        <v>0.29252740451228487</v>
      </c>
      <c r="P62" s="55">
        <f t="shared" si="50"/>
        <v>0.99999999999999989</v>
      </c>
      <c r="Q62" s="135">
        <f>_xll.xSPRDOPT(I62,H62,AQ62,0,O62,N62,P62,D62-$G$5,1,0)*AH62*AU62</f>
        <v>16.789413977030819</v>
      </c>
      <c r="R62" s="135"/>
      <c r="S62" s="181">
        <f>_xll.xSPRDOPT(I62,H62,AQ62,AT62,O62,N62,P62,D62-$G$5,1,2)*AF62*(F62/(1-AR62))*AH62</f>
        <v>-9672.9289640061561</v>
      </c>
      <c r="T62" s="181">
        <f>_xll.xSPRDOPT(I62,H62,AQ62,AT62,O62,N62,P62,D62-$G$5,1,1)*AF62*F62*AH62</f>
        <v>9406.923417295242</v>
      </c>
      <c r="U62" s="135"/>
      <c r="V62" s="146">
        <f t="shared" si="58"/>
        <v>9.9351905796054325</v>
      </c>
      <c r="W62" s="146"/>
      <c r="X62" s="338">
        <f t="shared" si="59"/>
        <v>0</v>
      </c>
      <c r="Y62" s="338">
        <f t="shared" si="20"/>
        <v>0</v>
      </c>
      <c r="Z62" s="338">
        <f t="shared" si="21"/>
        <v>2.2729217797441716</v>
      </c>
      <c r="AA62" s="338">
        <f t="shared" si="22"/>
        <v>-6.8792583841461947E-9</v>
      </c>
      <c r="AB62" s="338">
        <f t="shared" si="60"/>
        <v>0</v>
      </c>
      <c r="AC62" s="338">
        <f t="shared" si="61"/>
        <v>2.2994440006112877</v>
      </c>
      <c r="AF62" s="138">
        <f t="shared" si="62"/>
        <v>1</v>
      </c>
      <c r="AG62" s="138">
        <f t="shared" si="63"/>
        <v>5</v>
      </c>
      <c r="AH62" s="138">
        <f t="shared" si="73"/>
        <v>31</v>
      </c>
      <c r="AI62" s="138">
        <f t="shared" si="64"/>
        <v>1231</v>
      </c>
      <c r="AJ62" s="138">
        <f t="shared" si="65"/>
        <v>1248</v>
      </c>
      <c r="AL62" s="136">
        <f t="shared" si="29"/>
        <v>3.2770000000000001</v>
      </c>
      <c r="AM62" s="258">
        <f t="shared" si="30"/>
        <v>-1.7500000000000002E-2</v>
      </c>
      <c r="AN62" s="258">
        <f t="shared" si="31"/>
        <v>7.4999999999999997E-3</v>
      </c>
      <c r="AO62" s="258">
        <f t="shared" si="32"/>
        <v>0.75</v>
      </c>
      <c r="AP62" s="258">
        <f t="shared" si="33"/>
        <v>0</v>
      </c>
      <c r="AQ62" s="136">
        <f t="shared" si="66"/>
        <v>3.3399999999999999E-2</v>
      </c>
      <c r="AR62" s="137">
        <f t="shared" si="35"/>
        <v>2.75E-2</v>
      </c>
      <c r="AS62" s="136">
        <f t="shared" si="67"/>
        <v>3.2669999999999999</v>
      </c>
      <c r="AT62" s="137">
        <f t="shared" si="68"/>
        <v>4.6856677050253197E-2</v>
      </c>
      <c r="AU62" s="137">
        <f t="shared" si="38"/>
        <v>0.85395688435105088</v>
      </c>
      <c r="AV62" s="394">
        <f t="shared" si="69"/>
        <v>264.72663414882578</v>
      </c>
      <c r="AW62" s="137">
        <f t="shared" si="40"/>
        <v>0.28999999999999998</v>
      </c>
      <c r="AX62" s="137">
        <f t="shared" si="41"/>
        <v>0.45</v>
      </c>
      <c r="AY62" s="137">
        <f t="shared" si="42"/>
        <v>0.45</v>
      </c>
      <c r="AZ62" s="137"/>
      <c r="BA62" s="264"/>
      <c r="BB62" s="258">
        <f t="shared" si="43"/>
        <v>0</v>
      </c>
      <c r="BC62" s="258">
        <f t="shared" si="70"/>
        <v>0</v>
      </c>
      <c r="BD62" s="137">
        <f t="shared" si="71"/>
        <v>6.0420462256738361E-6</v>
      </c>
      <c r="BE62" s="137">
        <f t="shared" si="72"/>
        <v>6.0420462256738361E-6</v>
      </c>
      <c r="BF62" s="137">
        <f>_xll.xSPRDOPT($BW62,$BV62,$CG62,0,$BY62,$BX62,$BZ62,$AJ62,1,4)*$CB62</f>
        <v>1.6281739869983984E-6</v>
      </c>
      <c r="BG62" s="137">
        <f>_xll.xSPRDOPT($BW62,$BV62,$CG62,0,$BY62,$BX62,$BZ62,$AJ62,1,3)*$CB62</f>
        <v>1.2211304902487989E-6</v>
      </c>
      <c r="BH62" s="137">
        <f>IF(OR(BF62&lt;&gt;0,BG62&lt;&gt;0),_xll.xSPRDOPT($BW62,$BV62,$CG62,0,$BY62,$BX62,$BZ62,$AJ62,1,12)*$CB62,0)</f>
        <v>2.035217483747998E-7</v>
      </c>
      <c r="BI62" s="137">
        <f>_xll.xSPRDOPT($BW62,$BV62,$CG62,2*LN(1+CA62/2),$BY62,$BX62,$BZ62,$AJ62,1,9)</f>
        <v>2.5075047724162098E-2</v>
      </c>
      <c r="BJ62" s="137">
        <f>_xll.xSPRDOPT($BW62,$BV62,$CG62,0,$BY62,$BX62,$BZ62,$AJ62,1,6)*$CB62</f>
        <v>5.1917351094540638E-7</v>
      </c>
      <c r="BK62" s="137">
        <f>_xll.xSPRDOPT($BW62,$BV62,$CG62,0,$BY62,$BX62,$BZ62,$AJ62,1,5)*$CB62</f>
        <v>-6.2234171879375244E-7</v>
      </c>
      <c r="BL62" s="137">
        <f>_xll.xSPRDOPT(BW62,BV62,CG62,0,BY62,BX62,BZ62,AJ62,1,2)*CB62</f>
        <v>-0.85363216887355375</v>
      </c>
      <c r="BM62" s="137">
        <f>_xll.xSPRDOPT(BW62,BV62,CG62,0,BY62,BX62,BZ62,AJ62,1,1)*CB62</f>
        <v>0.85363216885336812</v>
      </c>
      <c r="BN62" s="137">
        <f>IF(AH62&lt;&gt;0,_xll.xSPRDOPT($BW62,$BV62,$CG62,2*LN(1+CA62/2),$BY62,$BX62,$BZ62,$AJ62,1,8)+(AJ62/365.25)*CH62/AH62,0)</f>
        <v>-0.75518909030552672</v>
      </c>
      <c r="BO62" s="137">
        <f>_xll.xSPRDOPT($BW62,$BV62,$CG62,0,$BY62,$BX62,$BZ62,$AJ62,1,0)</f>
        <v>0.63421703033048815</v>
      </c>
      <c r="BP62" s="137"/>
      <c r="BQ62" s="137"/>
      <c r="BR62" s="137"/>
      <c r="BS62" s="137"/>
      <c r="BV62" s="262">
        <v>3.3593830334190229</v>
      </c>
      <c r="BW62" s="136">
        <v>4.0270000000000001</v>
      </c>
      <c r="BX62" s="137">
        <v>0.2925213624660592</v>
      </c>
      <c r="BY62" s="137">
        <v>0.2925213624660592</v>
      </c>
      <c r="BZ62" s="137">
        <v>1</v>
      </c>
      <c r="CA62" s="137">
        <v>4.6856677050253197E-2</v>
      </c>
      <c r="CB62" s="137">
        <v>0.85363208329541629</v>
      </c>
      <c r="CC62" s="258">
        <v>-1.7500000000000002E-2</v>
      </c>
      <c r="CD62" s="258">
        <v>7.4999999999999997E-3</v>
      </c>
      <c r="CE62" s="258">
        <v>0.75</v>
      </c>
      <c r="CF62" s="258">
        <v>0</v>
      </c>
      <c r="CG62" s="258">
        <v>3.3399999999999999E-2</v>
      </c>
      <c r="CH62" s="258">
        <v>9.9314117466838621</v>
      </c>
      <c r="CI62" s="258">
        <v>3.2770000000000001</v>
      </c>
      <c r="CJ62" s="258"/>
      <c r="CK62" s="258"/>
      <c r="CL62" s="258"/>
      <c r="CM62" s="258"/>
    </row>
    <row r="63" spans="1:91" x14ac:dyDescent="0.25">
      <c r="A63" s="723"/>
      <c r="B63" s="723"/>
      <c r="D63" s="31">
        <f t="shared" si="52"/>
        <v>38518</v>
      </c>
      <c r="F63" s="28">
        <f t="shared" si="53"/>
        <v>356</v>
      </c>
      <c r="G63" s="28">
        <f t="shared" si="13"/>
        <v>302.32972130386952</v>
      </c>
      <c r="H63" s="52">
        <f t="shared" si="54"/>
        <v>3.3979434447300765</v>
      </c>
      <c r="I63" s="52">
        <f t="shared" si="55"/>
        <v>4.1619999999999999</v>
      </c>
      <c r="K63" s="52">
        <f t="shared" si="56"/>
        <v>18.615100510415839</v>
      </c>
      <c r="L63" s="135">
        <f t="shared" si="57"/>
        <v>1.8593577273406936E-6</v>
      </c>
      <c r="N63" s="131">
        <f t="shared" si="48"/>
        <v>0.29238802915440232</v>
      </c>
      <c r="O63" s="131">
        <f t="shared" si="49"/>
        <v>0.29238802915440232</v>
      </c>
      <c r="P63" s="55">
        <f t="shared" si="50"/>
        <v>0.99999999999999978</v>
      </c>
      <c r="Q63" s="135">
        <f>_xll.xSPRDOPT(I63,H63,AQ63,0,O63,N63,P63,D63-$G$5,1,0)*AH63*AU63</f>
        <v>18.615102369773567</v>
      </c>
      <c r="R63" s="135"/>
      <c r="S63" s="181">
        <f>_xll.xSPRDOPT(I63,H63,AQ63,AT63,O63,N63,P63,D63-$G$5,1,2)*AF63*(F63/(1-AR63))*AH63</f>
        <v>-9308.4229223554648</v>
      </c>
      <c r="T63" s="181">
        <f>_xll.xSPRDOPT(I63,H63,AQ63,AT63,O63,N63,P63,D63-$G$5,1,1)*AF63*F63*AH63</f>
        <v>9052.4412919129827</v>
      </c>
      <c r="U63" s="135"/>
      <c r="V63" s="146">
        <f t="shared" si="58"/>
        <v>9.5616020566299635</v>
      </c>
      <c r="W63" s="146"/>
      <c r="X63" s="338">
        <f t="shared" si="59"/>
        <v>0</v>
      </c>
      <c r="Y63" s="338">
        <f t="shared" si="20"/>
        <v>0</v>
      </c>
      <c r="Z63" s="338">
        <f t="shared" si="21"/>
        <v>2.545098210932065</v>
      </c>
      <c r="AA63" s="338">
        <f t="shared" si="22"/>
        <v>-7.1905679714795967E-9</v>
      </c>
      <c r="AB63" s="338">
        <f t="shared" si="60"/>
        <v>0</v>
      </c>
      <c r="AC63" s="338">
        <f t="shared" si="61"/>
        <v>2.5750936570051479</v>
      </c>
      <c r="AF63" s="138">
        <f t="shared" si="62"/>
        <v>1</v>
      </c>
      <c r="AG63" s="138">
        <f t="shared" si="63"/>
        <v>6</v>
      </c>
      <c r="AH63" s="138">
        <f t="shared" si="73"/>
        <v>30</v>
      </c>
      <c r="AI63" s="138">
        <f t="shared" si="64"/>
        <v>1262</v>
      </c>
      <c r="AJ63" s="138">
        <f t="shared" si="65"/>
        <v>1279</v>
      </c>
      <c r="AL63" s="136">
        <f t="shared" si="29"/>
        <v>3.3119999999999998</v>
      </c>
      <c r="AM63" s="258">
        <f t="shared" si="30"/>
        <v>-1.4999999999999999E-2</v>
      </c>
      <c r="AN63" s="258">
        <f t="shared" si="31"/>
        <v>7.4999999999999997E-3</v>
      </c>
      <c r="AO63" s="258">
        <f t="shared" si="32"/>
        <v>0.85</v>
      </c>
      <c r="AP63" s="258">
        <f t="shared" si="33"/>
        <v>0</v>
      </c>
      <c r="AQ63" s="136">
        <f t="shared" si="66"/>
        <v>3.3399999999999999E-2</v>
      </c>
      <c r="AR63" s="137">
        <f t="shared" si="35"/>
        <v>2.75E-2</v>
      </c>
      <c r="AS63" s="136">
        <f t="shared" si="67"/>
        <v>3.3044999999999995</v>
      </c>
      <c r="AT63" s="137">
        <f t="shared" si="68"/>
        <v>4.7327485112866399E-2</v>
      </c>
      <c r="AU63" s="137">
        <f t="shared" si="38"/>
        <v>0.84924079017940879</v>
      </c>
      <c r="AV63" s="394">
        <f t="shared" si="69"/>
        <v>254.77223705382264</v>
      </c>
      <c r="AW63" s="137">
        <f t="shared" si="40"/>
        <v>0.28999999999999998</v>
      </c>
      <c r="AX63" s="137">
        <f t="shared" si="41"/>
        <v>0.45</v>
      </c>
      <c r="AY63" s="137">
        <f t="shared" si="42"/>
        <v>0.45</v>
      </c>
      <c r="AZ63" s="137"/>
      <c r="BA63" s="264"/>
      <c r="BB63" s="258">
        <f t="shared" si="43"/>
        <v>0</v>
      </c>
      <c r="BC63" s="258">
        <f t="shared" si="70"/>
        <v>0</v>
      </c>
      <c r="BD63" s="137">
        <f t="shared" si="71"/>
        <v>5.5741404257902971E-6</v>
      </c>
      <c r="BE63" s="137">
        <f t="shared" si="72"/>
        <v>5.5741404257902971E-6</v>
      </c>
      <c r="BF63" s="137">
        <f>_xll.xSPRDOPT($BW63,$BV63,$CG63,0,$BY63,$BX63,$BZ63,$AJ63,1,4)*$CB63</f>
        <v>6.0719102070495325E-7</v>
      </c>
      <c r="BG63" s="137">
        <f>_xll.xSPRDOPT($BW63,$BV63,$CG63,0,$BY63,$BX63,$BZ63,$AJ63,1,3)*$CB63</f>
        <v>6.0719102070495325E-7</v>
      </c>
      <c r="BH63" s="137">
        <f>IF(OR(BF63&lt;&gt;0,BG63&lt;&gt;0),_xll.xSPRDOPT($BW63,$BV63,$CG63,0,$BY63,$BX63,$BZ63,$AJ63,1,12)*$CB63,0)</f>
        <v>-5.0599251725412774E-7</v>
      </c>
      <c r="BI63" s="137">
        <f>_xll.xSPRDOPT($BW63,$BV63,$CG63,2*LN(1+CA63/2),$BY63,$BX63,$BZ63,$AJ63,1,9)</f>
        <v>2.901364299447368E-2</v>
      </c>
      <c r="BJ63" s="137">
        <f>_xll.xSPRDOPT($BW63,$BV63,$CG63,0,$BY63,$BX63,$BZ63,$AJ63,1,6)*$CB63</f>
        <v>5.3718185530800569E-7</v>
      </c>
      <c r="BK63" s="137">
        <f>_xll.xSPRDOPT($BW63,$BV63,$CG63,0,$BY63,$BX63,$BZ63,$AJ63,1,5)*$CB63</f>
        <v>-6.5796714294048674E-7</v>
      </c>
      <c r="BL63" s="137">
        <f>_xll.xSPRDOPT(BW63,BV63,CG63,0,BY63,BX63,BZ63,AJ63,1,2)*CB63</f>
        <v>-0.84891466020499595</v>
      </c>
      <c r="BM63" s="137">
        <f>_xll.xSPRDOPT(BW63,BV63,CG63,0,BY63,BX63,BZ63,AJ63,1,1)*CB63</f>
        <v>0.84891466020190764</v>
      </c>
      <c r="BN63" s="137">
        <f>IF(AH63&lt;&gt;0,_xll.xSPRDOPT($BW63,$BV63,$CG63,2*LN(1+CA63/2),$BY63,$BX63,$BZ63,$AJ63,1,8)+(AJ63/365.25)*CH63/AH63,0)</f>
        <v>-1.0563521745478881</v>
      </c>
      <c r="BO63" s="137">
        <f>_xll.xSPRDOPT($BW63,$BV63,$CG63,0,$BY63,$BX63,$BZ63,$AJ63,1,0)</f>
        <v>0.73065662820310939</v>
      </c>
      <c r="BP63" s="137"/>
      <c r="BQ63" s="137"/>
      <c r="BR63" s="137"/>
      <c r="BS63" s="137"/>
      <c r="BV63" s="262">
        <v>3.3979434447300765</v>
      </c>
      <c r="BW63" s="136">
        <v>4.1619999999999999</v>
      </c>
      <c r="BX63" s="137">
        <v>0.29238245501397653</v>
      </c>
      <c r="BY63" s="137">
        <v>0.29238245501397653</v>
      </c>
      <c r="BZ63" s="137">
        <v>1</v>
      </c>
      <c r="CA63" s="137">
        <v>4.7327485112866399E-2</v>
      </c>
      <c r="CB63" s="137">
        <v>0.84891457563562278</v>
      </c>
      <c r="CC63" s="258">
        <v>-1.4999999999999999E-2</v>
      </c>
      <c r="CD63" s="258">
        <v>7.4999999999999997E-3</v>
      </c>
      <c r="CE63" s="258">
        <v>0.85</v>
      </c>
      <c r="CF63" s="258">
        <v>0</v>
      </c>
      <c r="CG63" s="258">
        <v>3.3399999999999999E-2</v>
      </c>
      <c r="CH63" s="258">
        <v>9.557929207081477</v>
      </c>
      <c r="CI63" s="258">
        <v>3.3119999999999998</v>
      </c>
      <c r="CJ63" s="258"/>
      <c r="CK63" s="258"/>
      <c r="CL63" s="258"/>
      <c r="CM63" s="258"/>
    </row>
    <row r="64" spans="1:91" x14ac:dyDescent="0.25">
      <c r="A64" s="723"/>
      <c r="B64" s="723"/>
      <c r="D64" s="31">
        <f t="shared" si="52"/>
        <v>38548</v>
      </c>
      <c r="F64" s="28">
        <f t="shared" si="53"/>
        <v>356</v>
      </c>
      <c r="G64" s="28">
        <f t="shared" si="13"/>
        <v>300.71529173557985</v>
      </c>
      <c r="H64" s="52">
        <f t="shared" si="54"/>
        <v>3.439074550128534</v>
      </c>
      <c r="I64" s="52">
        <f t="shared" si="55"/>
        <v>4.4020000000000001</v>
      </c>
      <c r="K64" s="52">
        <f t="shared" si="56"/>
        <v>24.340443881590069</v>
      </c>
      <c r="L64" s="135">
        <f t="shared" si="57"/>
        <v>2.4388102062289363E-6</v>
      </c>
      <c r="N64" s="131">
        <f t="shared" si="48"/>
        <v>0.28848877686763669</v>
      </c>
      <c r="O64" s="131">
        <f t="shared" si="49"/>
        <v>0.28848877686763669</v>
      </c>
      <c r="P64" s="55">
        <f t="shared" si="50"/>
        <v>1.0000000000000002</v>
      </c>
      <c r="Q64" s="135">
        <f>_xll.xSPRDOPT(I64,H64,AQ64,0,O64,N64,P64,D64-$G$5,1,0)*AH64*AU64</f>
        <v>24.340446320400275</v>
      </c>
      <c r="R64" s="135"/>
      <c r="S64" s="181">
        <f>_xll.xSPRDOPT(I64,H64,AQ64,AT64,O64,N64,P64,D64-$G$5,1,2)*AF64*(F64/(1-AR64))*AH64</f>
        <v>-9566.5630473516485</v>
      </c>
      <c r="T64" s="181">
        <f>_xll.xSPRDOPT(I64,H64,AQ64,AT64,O64,N64,P64,D64-$G$5,1,1)*AF64*F64*AH64</f>
        <v>9303.4825636699243</v>
      </c>
      <c r="U64" s="135"/>
      <c r="V64" s="146">
        <f t="shared" si="58"/>
        <v>9.8275615692113956</v>
      </c>
      <c r="W64" s="146"/>
      <c r="X64" s="338">
        <f t="shared" si="59"/>
        <v>0</v>
      </c>
      <c r="Y64" s="338">
        <f t="shared" si="20"/>
        <v>0</v>
      </c>
      <c r="Z64" s="338">
        <f t="shared" si="21"/>
        <v>3.3579584125726902</v>
      </c>
      <c r="AA64" s="338">
        <f t="shared" si="22"/>
        <v>-1.4548092185107828E-8</v>
      </c>
      <c r="AB64" s="338">
        <f t="shared" si="60"/>
        <v>0</v>
      </c>
      <c r="AC64" s="338">
        <f t="shared" si="61"/>
        <v>3.3978945269818239</v>
      </c>
      <c r="AF64" s="138">
        <f t="shared" si="62"/>
        <v>1</v>
      </c>
      <c r="AG64" s="138">
        <f t="shared" si="63"/>
        <v>7</v>
      </c>
      <c r="AH64" s="138">
        <f t="shared" si="73"/>
        <v>31</v>
      </c>
      <c r="AI64" s="138">
        <f t="shared" si="64"/>
        <v>1292</v>
      </c>
      <c r="AJ64" s="138">
        <f t="shared" si="65"/>
        <v>1309</v>
      </c>
      <c r="AL64" s="136">
        <f t="shared" si="29"/>
        <v>3.3519999999999999</v>
      </c>
      <c r="AM64" s="258">
        <f t="shared" si="30"/>
        <v>-1.4999999999999999E-2</v>
      </c>
      <c r="AN64" s="258">
        <f t="shared" si="31"/>
        <v>7.4999999999999997E-3</v>
      </c>
      <c r="AO64" s="258">
        <f t="shared" si="32"/>
        <v>1.05</v>
      </c>
      <c r="AP64" s="258">
        <f t="shared" si="33"/>
        <v>0</v>
      </c>
      <c r="AQ64" s="136">
        <f t="shared" si="66"/>
        <v>3.3399999999999999E-2</v>
      </c>
      <c r="AR64" s="137">
        <f t="shared" si="35"/>
        <v>2.75E-2</v>
      </c>
      <c r="AS64" s="136">
        <f t="shared" si="67"/>
        <v>3.3444999999999996</v>
      </c>
      <c r="AT64" s="137">
        <f t="shared" si="68"/>
        <v>4.7760481058800999E-2</v>
      </c>
      <c r="AU64" s="137">
        <f t="shared" si="38"/>
        <v>0.84470587566174116</v>
      </c>
      <c r="AV64" s="394">
        <f t="shared" si="69"/>
        <v>261.85882145513978</v>
      </c>
      <c r="AW64" s="137">
        <f t="shared" si="40"/>
        <v>0.28499999999999998</v>
      </c>
      <c r="AX64" s="137">
        <f t="shared" si="41"/>
        <v>0.5</v>
      </c>
      <c r="AY64" s="137">
        <f t="shared" si="42"/>
        <v>0.5</v>
      </c>
      <c r="AZ64" s="137"/>
      <c r="BA64" s="264"/>
      <c r="BB64" s="258">
        <f t="shared" si="43"/>
        <v>0</v>
      </c>
      <c r="BC64" s="258">
        <f t="shared" si="70"/>
        <v>0</v>
      </c>
      <c r="BD64" s="137">
        <f t="shared" si="71"/>
        <v>7.9383346645589548E-6</v>
      </c>
      <c r="BE64" s="137">
        <f t="shared" si="72"/>
        <v>7.9383346645589548E-6</v>
      </c>
      <c r="BF64" s="137">
        <f>_xll.xSPRDOPT($BW64,$BV64,$CG64,0,$BY64,$BX64,$BZ64,$AJ64,1,4)*$CB64</f>
        <v>-8.0526206001147863E-7</v>
      </c>
      <c r="BG64" s="137">
        <f>_xll.xSPRDOPT($BW64,$BV64,$CG64,0,$BY64,$BX64,$BZ64,$AJ64,1,3)*$CB64</f>
        <v>0</v>
      </c>
      <c r="BH64" s="137">
        <f>IF(OR(BF64&lt;&gt;0,BG64&lt;&gt;0),_xll.xSPRDOPT($BW64,$BV64,$CG64,0,$BY64,$BX64,$BZ64,$AJ64,1,12)*$CB64,0)</f>
        <v>-6.0394654500860905E-7</v>
      </c>
      <c r="BI64" s="137">
        <f>_xll.xSPRDOPT($BW64,$BV64,$CG64,2*LN(1+CA64/2),$BY64,$BX64,$BZ64,$AJ64,1,9)</f>
        <v>3.7045255231127679E-2</v>
      </c>
      <c r="BJ64" s="137">
        <f>_xll.xSPRDOPT($BW64,$BV64,$CG64,0,$BY64,$BX64,$BZ64,$AJ64,1,6)*$CB64</f>
        <v>5.9314657831031673E-7</v>
      </c>
      <c r="BK64" s="137">
        <f>_xll.xSPRDOPT($BW64,$BV64,$CG64,0,$BY64,$BX64,$BZ64,$AJ64,1,5)*$CB64</f>
        <v>-7.592065458015136E-7</v>
      </c>
      <c r="BL64" s="137">
        <f>_xll.xSPRDOPT(BW64,BV64,CG64,0,BY64,BX64,BZ64,AJ64,1,2)*CB64</f>
        <v>-0.84437855521245875</v>
      </c>
      <c r="BM64" s="137">
        <f>_xll.xSPRDOPT(BW64,BV64,CG64,0,BY64,BX64,BZ64,AJ64,1,1)*CB64</f>
        <v>0.84437855522474614</v>
      </c>
      <c r="BN64" s="137">
        <f>IF(AH64&lt;&gt;0,_xll.xSPRDOPT($BW64,$BV64,$CG64,2*LN(1+CA64/2),$BY64,$BX64,$BZ64,$AJ64,1,8)+(AJ64/365.25)*CH64/AH64,0)</f>
        <v>-1.6771546494372105</v>
      </c>
      <c r="BO64" s="137">
        <f>_xll.xSPRDOPT($BW64,$BV64,$CG64,0,$BY64,$BX64,$BZ64,$AJ64,1,0)</f>
        <v>0.92952554294254974</v>
      </c>
      <c r="BP64" s="137"/>
      <c r="BQ64" s="137"/>
      <c r="BR64" s="137"/>
      <c r="BS64" s="137"/>
      <c r="BV64" s="262">
        <v>3.439074550128534</v>
      </c>
      <c r="BW64" s="136">
        <v>4.4020000000000001</v>
      </c>
      <c r="BX64" s="137">
        <v>0.28848083853297213</v>
      </c>
      <c r="BY64" s="137">
        <v>0.28848083853297213</v>
      </c>
      <c r="BZ64" s="137">
        <v>1</v>
      </c>
      <c r="CA64" s="137">
        <v>4.7760481058800999E-2</v>
      </c>
      <c r="CB64" s="137">
        <v>0.84437846983859632</v>
      </c>
      <c r="CC64" s="258">
        <v>-1.4999999999999999E-2</v>
      </c>
      <c r="CD64" s="258">
        <v>7.4999999999999997E-3</v>
      </c>
      <c r="CE64" s="258">
        <v>1.05</v>
      </c>
      <c r="CF64" s="258">
        <v>0</v>
      </c>
      <c r="CG64" s="258">
        <v>3.3399999999999999E-2</v>
      </c>
      <c r="CH64" s="258">
        <v>9.8237524316431823</v>
      </c>
      <c r="CI64" s="258">
        <v>3.3519999999999999</v>
      </c>
      <c r="CJ64" s="258"/>
      <c r="CK64" s="258"/>
      <c r="CL64" s="258"/>
      <c r="CM64" s="258"/>
    </row>
    <row r="65" spans="1:91" x14ac:dyDescent="0.25">
      <c r="A65" s="723"/>
      <c r="B65" s="723"/>
      <c r="D65" s="31">
        <f t="shared" si="52"/>
        <v>38579</v>
      </c>
      <c r="F65" s="28">
        <f t="shared" si="53"/>
        <v>356</v>
      </c>
      <c r="G65" s="28">
        <f t="shared" si="13"/>
        <v>299.05764628425038</v>
      </c>
      <c r="H65" s="52">
        <f t="shared" si="54"/>
        <v>3.4802056555269916</v>
      </c>
      <c r="I65" s="52">
        <f t="shared" si="55"/>
        <v>4.4420000000000002</v>
      </c>
      <c r="K65" s="52">
        <f t="shared" si="56"/>
        <v>24.176815314418352</v>
      </c>
      <c r="L65" s="135">
        <f t="shared" si="57"/>
        <v>2.3998257319135519E-6</v>
      </c>
      <c r="N65" s="131">
        <f t="shared" si="48"/>
        <v>0.28946051993952615</v>
      </c>
      <c r="O65" s="131">
        <f t="shared" si="49"/>
        <v>0.28946051993952615</v>
      </c>
      <c r="P65" s="55">
        <f t="shared" si="50"/>
        <v>0.99999999999999989</v>
      </c>
      <c r="Q65" s="135">
        <f>_xll.xSPRDOPT(I65,H65,AQ65,0,O65,N65,P65,D65-$G$5,1,0)*AH65*AU65</f>
        <v>24.176817714244084</v>
      </c>
      <c r="R65" s="135"/>
      <c r="S65" s="181">
        <f>_xll.xSPRDOPT(I65,H65,AQ65,AT65,O65,N65,P65,D65-$G$5,1,2)*AF65*(F65/(1-AR65))*AH65</f>
        <v>-9513.0283907786434</v>
      </c>
      <c r="T65" s="181">
        <f>_xll.xSPRDOPT(I65,H65,AQ65,AT65,O65,N65,P65,D65-$G$5,1,1)*AF65*F65*AH65</f>
        <v>9251.4201100924547</v>
      </c>
      <c r="U65" s="135"/>
      <c r="V65" s="146">
        <f t="shared" si="58"/>
        <v>9.7733886914743113</v>
      </c>
      <c r="W65" s="146"/>
      <c r="X65" s="338">
        <f t="shared" si="59"/>
        <v>0</v>
      </c>
      <c r="Y65" s="338">
        <f t="shared" si="20"/>
        <v>0</v>
      </c>
      <c r="Z65" s="338">
        <f t="shared" si="21"/>
        <v>3.3647483931631377</v>
      </c>
      <c r="AA65" s="338">
        <f t="shared" si="22"/>
        <v>-1.8502317233424414E-8</v>
      </c>
      <c r="AB65" s="338">
        <f t="shared" si="60"/>
        <v>0</v>
      </c>
      <c r="AC65" s="338">
        <f t="shared" si="61"/>
        <v>3.4051205103914146</v>
      </c>
      <c r="AF65" s="138">
        <f t="shared" si="62"/>
        <v>1</v>
      </c>
      <c r="AG65" s="138">
        <f t="shared" si="63"/>
        <v>8</v>
      </c>
      <c r="AH65" s="138">
        <f t="shared" si="73"/>
        <v>31</v>
      </c>
      <c r="AI65" s="138">
        <f t="shared" si="64"/>
        <v>1323</v>
      </c>
      <c r="AJ65" s="138">
        <f t="shared" si="65"/>
        <v>1340</v>
      </c>
      <c r="AL65" s="136">
        <f t="shared" si="29"/>
        <v>3.3919999999999999</v>
      </c>
      <c r="AM65" s="258">
        <f t="shared" si="30"/>
        <v>-1.4999999999999999E-2</v>
      </c>
      <c r="AN65" s="258">
        <f t="shared" si="31"/>
        <v>7.4999999999999997E-3</v>
      </c>
      <c r="AO65" s="258">
        <f t="shared" si="32"/>
        <v>1.05</v>
      </c>
      <c r="AP65" s="258">
        <f t="shared" si="33"/>
        <v>0</v>
      </c>
      <c r="AQ65" s="136">
        <f t="shared" si="66"/>
        <v>3.3399999999999999E-2</v>
      </c>
      <c r="AR65" s="137">
        <f t="shared" si="35"/>
        <v>2.75E-2</v>
      </c>
      <c r="AS65" s="136">
        <f t="shared" si="67"/>
        <v>3.3844999999999996</v>
      </c>
      <c r="AT65" s="137">
        <f t="shared" si="68"/>
        <v>4.81861434694211E-2</v>
      </c>
      <c r="AU65" s="137">
        <f t="shared" si="38"/>
        <v>0.84004956821418653</v>
      </c>
      <c r="AV65" s="394">
        <f t="shared" si="69"/>
        <v>260.41536614639784</v>
      </c>
      <c r="AW65" s="137">
        <f t="shared" si="40"/>
        <v>0.28499999999999998</v>
      </c>
      <c r="AX65" s="137">
        <f t="shared" si="41"/>
        <v>0.55000000000000004</v>
      </c>
      <c r="AY65" s="137">
        <f t="shared" si="42"/>
        <v>0.55000000000000004</v>
      </c>
      <c r="AZ65" s="137"/>
      <c r="BA65" s="264"/>
      <c r="BB65" s="258">
        <f t="shared" si="43"/>
        <v>0</v>
      </c>
      <c r="BC65" s="258">
        <f t="shared" si="70"/>
        <v>0</v>
      </c>
      <c r="BD65" s="137">
        <f t="shared" si="71"/>
        <v>9.8983850019274122E-6</v>
      </c>
      <c r="BE65" s="137">
        <f t="shared" si="72"/>
        <v>9.8983850019274122E-6</v>
      </c>
      <c r="BF65" s="137">
        <f>_xll.xSPRDOPT($BW65,$BV65,$CG65,0,$BY65,$BX65,$BZ65,$AJ65,1,4)*$CB65</f>
        <v>-8.0082044610674158E-7</v>
      </c>
      <c r="BG65" s="137">
        <f>_xll.xSPRDOPT($BW65,$BV65,$CG65,0,$BY65,$BX65,$BZ65,$AJ65,1,3)*$CB65</f>
        <v>4.0041022305337079E-7</v>
      </c>
      <c r="BH65" s="137">
        <f>IF(OR(BF65&lt;&gt;0,BG65&lt;&gt;0),_xll.xSPRDOPT($BW65,$BV65,$CG65,0,$BY65,$BX65,$BZ65,$AJ65,1,12)*$CB65,0)</f>
        <v>-1.001025557633427E-7</v>
      </c>
      <c r="BI65" s="137">
        <f>_xll.xSPRDOPT($BW65,$BV65,$CG65,2*LN(1+CA65/2),$BY65,$BX65,$BZ65,$AJ65,1,9)</f>
        <v>3.7120162818739762E-2</v>
      </c>
      <c r="BJ65" s="137">
        <f>_xll.xSPRDOPT($BW65,$BV65,$CG65,0,$BY65,$BX65,$BZ65,$AJ65,1,6)*$CB65</f>
        <v>6.1293412237430946E-7</v>
      </c>
      <c r="BK65" s="137">
        <f>_xll.xSPRDOPT($BW65,$BV65,$CG65,0,$BY65,$BX65,$BZ65,$AJ65,1,5)*$CB65</f>
        <v>-7.8230942697512074E-7</v>
      </c>
      <c r="BL65" s="137">
        <f>_xll.xSPRDOPT(BW65,BV65,CG65,0,BY65,BX65,BZ65,AJ65,1,2)*CB65</f>
        <v>-0.83972118426661235</v>
      </c>
      <c r="BM65" s="137">
        <f>_xll.xSPRDOPT(BW65,BV65,CG65,0,BY65,BX65,BZ65,AJ65,1,1)*CB65</f>
        <v>0.83972118426355746</v>
      </c>
      <c r="BN65" s="137">
        <f>IF(AH65&lt;&gt;0,_xll.xSPRDOPT($BW65,$BV65,$CG65,2*LN(1+CA65/2),$BY65,$BX65,$BZ65,$AJ65,1,8)+(AJ65/365.25)*CH65/AH65,0)</f>
        <v>-1.70391893797709</v>
      </c>
      <c r="BO65" s="137">
        <f>_xll.xSPRDOPT($BW65,$BV65,$CG65,0,$BY65,$BX65,$BZ65,$AJ65,1,0)</f>
        <v>0.92839443656340825</v>
      </c>
      <c r="BP65" s="137"/>
      <c r="BQ65" s="137"/>
      <c r="BR65" s="137"/>
      <c r="BS65" s="137"/>
      <c r="BV65" s="262">
        <v>3.4802056555269916</v>
      </c>
      <c r="BW65" s="136">
        <v>4.4420000000000002</v>
      </c>
      <c r="BX65" s="137">
        <v>0.28945062155452422</v>
      </c>
      <c r="BY65" s="137">
        <v>0.28945062155452422</v>
      </c>
      <c r="BZ65" s="137">
        <v>1</v>
      </c>
      <c r="CA65" s="137">
        <v>4.81861434694211E-2</v>
      </c>
      <c r="CB65" s="137">
        <v>0.83972110009682266</v>
      </c>
      <c r="CC65" s="258">
        <v>-1.4999999999999999E-2</v>
      </c>
      <c r="CD65" s="258">
        <v>7.4999999999999997E-3</v>
      </c>
      <c r="CE65" s="258">
        <v>1.05</v>
      </c>
      <c r="CF65" s="258">
        <v>0</v>
      </c>
      <c r="CG65" s="258">
        <v>3.3399999999999999E-2</v>
      </c>
      <c r="CH65" s="258">
        <v>9.7695671948564655</v>
      </c>
      <c r="CI65" s="258">
        <v>3.3919999999999999</v>
      </c>
      <c r="CJ65" s="258"/>
      <c r="CK65" s="258"/>
      <c r="CL65" s="258"/>
      <c r="CM65" s="258"/>
    </row>
    <row r="66" spans="1:91" x14ac:dyDescent="0.25">
      <c r="A66" s="723"/>
      <c r="B66" s="723"/>
      <c r="D66" s="31">
        <f t="shared" si="52"/>
        <v>38610</v>
      </c>
      <c r="F66" s="28">
        <f t="shared" si="53"/>
        <v>356</v>
      </c>
      <c r="G66" s="28">
        <f t="shared" si="13"/>
        <v>297.38824937001482</v>
      </c>
      <c r="H66" s="52">
        <f t="shared" si="54"/>
        <v>3.4699228791773775</v>
      </c>
      <c r="I66" s="52">
        <f t="shared" si="55"/>
        <v>4.1370000000000005</v>
      </c>
      <c r="K66" s="52">
        <f t="shared" si="56"/>
        <v>15.880460361848694</v>
      </c>
      <c r="L66" s="135">
        <f t="shared" si="57"/>
        <v>1.5724090332014384E-6</v>
      </c>
      <c r="N66" s="131">
        <f t="shared" si="48"/>
        <v>0.28922221332025494</v>
      </c>
      <c r="O66" s="131">
        <f t="shared" si="49"/>
        <v>0.28922221332025494</v>
      </c>
      <c r="P66" s="55">
        <f t="shared" si="50"/>
        <v>0.99999999999999989</v>
      </c>
      <c r="Q66" s="135">
        <f>_xll.xSPRDOPT(I66,H66,AQ66,0,O66,N66,P66,D66-$G$5,1,0)*AH66*AU66</f>
        <v>15.880461934257728</v>
      </c>
      <c r="R66" s="135"/>
      <c r="S66" s="181">
        <f>_xll.xSPRDOPT(I66,H66,AQ66,AT66,O66,N66,P66,D66-$G$5,1,2)*AF66*(F66/(1-AR66))*AH66</f>
        <v>-9153.9771964559259</v>
      </c>
      <c r="T66" s="181">
        <f>_xll.xSPRDOPT(I66,H66,AQ66,AT66,O66,N66,P66,D66-$G$5,1,1)*AF66*F66*AH66</f>
        <v>8902.2428235922416</v>
      </c>
      <c r="U66" s="135"/>
      <c r="V66" s="146">
        <f t="shared" si="58"/>
        <v>9.4053210664522382</v>
      </c>
      <c r="W66" s="146"/>
      <c r="X66" s="338">
        <f t="shared" si="59"/>
        <v>0</v>
      </c>
      <c r="Y66" s="338">
        <f t="shared" si="20"/>
        <v>0</v>
      </c>
      <c r="Z66" s="338">
        <f t="shared" si="21"/>
        <v>2.2294070281959399</v>
      </c>
      <c r="AA66" s="338">
        <f t="shared" si="22"/>
        <v>-8.1134345040988528E-9</v>
      </c>
      <c r="AB66" s="338">
        <f t="shared" si="60"/>
        <v>0</v>
      </c>
      <c r="AC66" s="338">
        <f t="shared" si="61"/>
        <v>2.2563921769998454</v>
      </c>
      <c r="AF66" s="138">
        <f t="shared" si="62"/>
        <v>1</v>
      </c>
      <c r="AG66" s="138">
        <f t="shared" si="63"/>
        <v>9</v>
      </c>
      <c r="AH66" s="138">
        <f t="shared" si="73"/>
        <v>30</v>
      </c>
      <c r="AI66" s="138">
        <f t="shared" si="64"/>
        <v>1354</v>
      </c>
      <c r="AJ66" s="138">
        <f t="shared" si="65"/>
        <v>1371</v>
      </c>
      <c r="AL66" s="136">
        <f t="shared" si="29"/>
        <v>3.387</v>
      </c>
      <c r="AM66" s="258">
        <f t="shared" si="30"/>
        <v>-0.02</v>
      </c>
      <c r="AN66" s="258">
        <f t="shared" si="31"/>
        <v>7.4999999999999997E-3</v>
      </c>
      <c r="AO66" s="258">
        <f t="shared" si="32"/>
        <v>0.75</v>
      </c>
      <c r="AP66" s="258">
        <f t="shared" si="33"/>
        <v>0</v>
      </c>
      <c r="AQ66" s="136">
        <f t="shared" si="66"/>
        <v>3.3399999999999999E-2</v>
      </c>
      <c r="AR66" s="137">
        <f t="shared" si="35"/>
        <v>2.75E-2</v>
      </c>
      <c r="AS66" s="136">
        <f t="shared" si="67"/>
        <v>3.3744999999999998</v>
      </c>
      <c r="AT66" s="137">
        <f t="shared" si="68"/>
        <v>4.8611805940590898E-2</v>
      </c>
      <c r="AU66" s="137">
        <f t="shared" si="38"/>
        <v>0.8353602510393674</v>
      </c>
      <c r="AV66" s="394">
        <f t="shared" si="69"/>
        <v>250.60807531181021</v>
      </c>
      <c r="AW66" s="137">
        <f t="shared" si="40"/>
        <v>0.28499999999999998</v>
      </c>
      <c r="AX66" s="137">
        <f t="shared" si="41"/>
        <v>0.55000000000000004</v>
      </c>
      <c r="AY66" s="137">
        <f t="shared" si="42"/>
        <v>0.55000000000000004</v>
      </c>
      <c r="AZ66" s="137"/>
      <c r="BA66" s="264"/>
      <c r="BB66" s="258">
        <f t="shared" si="43"/>
        <v>0</v>
      </c>
      <c r="BC66" s="258">
        <f t="shared" si="70"/>
        <v>0</v>
      </c>
      <c r="BD66" s="137">
        <f t="shared" si="71"/>
        <v>9.1650015730526668E-6</v>
      </c>
      <c r="BE66" s="137">
        <f t="shared" si="72"/>
        <v>9.1650015730526668E-6</v>
      </c>
      <c r="BF66" s="137">
        <f>_xll.xSPRDOPT($BW66,$BV66,$CG66,0,$BY66,$BX66,$BZ66,$AJ66,1,4)*$CB66</f>
        <v>-5.972605462310922E-7</v>
      </c>
      <c r="BG66" s="137">
        <f>_xll.xSPRDOPT($BW66,$BV66,$CG66,0,$BY66,$BX66,$BZ66,$AJ66,1,3)*$CB66</f>
        <v>1.9908684874369738E-7</v>
      </c>
      <c r="BH66" s="137">
        <f>IF(OR(BF66&lt;&gt;0,BG66&lt;&gt;0),_xll.xSPRDOPT($BW66,$BV66,$CG66,0,$BY66,$BX66,$BZ66,$AJ66,1,12)*$CB66,0)</f>
        <v>1.9908684874369738E-7</v>
      </c>
      <c r="BI66" s="137">
        <f>_xll.xSPRDOPT($BW66,$BV66,$CG66,2*LN(1+CA66/2),$BY66,$BX66,$BZ66,$AJ66,1,9)</f>
        <v>2.5414822629480874E-2</v>
      </c>
      <c r="BJ66" s="137">
        <f>_xll.xSPRDOPT($BW66,$BV66,$CG66,0,$BY66,$BX66,$BZ66,$AJ66,1,6)*$CB66</f>
        <v>4.3109090771827E-7</v>
      </c>
      <c r="BK66" s="137">
        <f>_xll.xSPRDOPT($BW66,$BV66,$CG66,0,$BY66,$BX66,$BZ66,$AJ66,1,5)*$CB66</f>
        <v>-5.1398067839704423E-7</v>
      </c>
      <c r="BL66" s="137">
        <f>_xll.xSPRDOPT(BW66,BV66,CG66,0,BY66,BX66,BZ66,AJ66,1,2)*CB66</f>
        <v>-0.8350308443603448</v>
      </c>
      <c r="BM66" s="137">
        <f>_xll.xSPRDOPT(BW66,BV66,CG66,0,BY66,BX66,BZ66,AJ66,1,1)*CB66</f>
        <v>0.83503084436338271</v>
      </c>
      <c r="BN66" s="137">
        <f>IF(AH66&lt;&gt;0,_xll.xSPRDOPT($BW66,$BV66,$CG66,2*LN(1+CA66/2),$BY66,$BX66,$BZ66,$AJ66,1,8)+(AJ66/365.25)*CH66/AH66,0)</f>
        <v>-0.80984865835326558</v>
      </c>
      <c r="BO66" s="137">
        <f>_xll.xSPRDOPT($BW66,$BV66,$CG66,0,$BY66,$BX66,$BZ66,$AJ66,1,0)</f>
        <v>0.63367718353590496</v>
      </c>
      <c r="BP66" s="137"/>
      <c r="BQ66" s="137"/>
      <c r="BR66" s="137"/>
      <c r="BS66" s="137"/>
      <c r="BV66" s="262">
        <v>3.4699228791773775</v>
      </c>
      <c r="BW66" s="136">
        <v>4.1370000000000005</v>
      </c>
      <c r="BX66" s="137">
        <v>0.28921304831868189</v>
      </c>
      <c r="BY66" s="137">
        <v>0.28921304831868189</v>
      </c>
      <c r="BZ66" s="137">
        <v>1</v>
      </c>
      <c r="CA66" s="137">
        <v>4.8611805940590898E-2</v>
      </c>
      <c r="CB66" s="137">
        <v>0.8350307660330849</v>
      </c>
      <c r="CC66" s="258">
        <v>-0.02</v>
      </c>
      <c r="CD66" s="258">
        <v>7.4999999999999997E-3</v>
      </c>
      <c r="CE66" s="258">
        <v>0.75</v>
      </c>
      <c r="CF66" s="258">
        <v>0</v>
      </c>
      <c r="CG66" s="258">
        <v>3.3399999999999999E-2</v>
      </c>
      <c r="CH66" s="258">
        <v>9.401611394766503</v>
      </c>
      <c r="CI66" s="258">
        <v>3.387</v>
      </c>
      <c r="CJ66" s="258"/>
      <c r="CK66" s="258"/>
      <c r="CL66" s="258"/>
      <c r="CM66" s="258"/>
    </row>
    <row r="67" spans="1:91" x14ac:dyDescent="0.25">
      <c r="A67" s="723"/>
      <c r="B67" s="723"/>
      <c r="D67" s="31">
        <f t="shared" si="52"/>
        <v>38640</v>
      </c>
      <c r="F67" s="28">
        <f t="shared" si="53"/>
        <v>356</v>
      </c>
      <c r="G67" s="28">
        <f t="shared" si="13"/>
        <v>295.7779204898211</v>
      </c>
      <c r="H67" s="52">
        <f t="shared" si="54"/>
        <v>3.4956298200514135</v>
      </c>
      <c r="I67" s="52">
        <f t="shared" si="55"/>
        <v>3.8620000000000001</v>
      </c>
      <c r="K67" s="52">
        <f t="shared" si="56"/>
        <v>8.5759608138195187</v>
      </c>
      <c r="L67" s="135">
        <f t="shared" si="57"/>
        <v>5.1991579770316321E-6</v>
      </c>
      <c r="N67" s="131">
        <f t="shared" si="48"/>
        <v>0.29036621737544821</v>
      </c>
      <c r="O67" s="131">
        <f t="shared" si="49"/>
        <v>0.29036621737544821</v>
      </c>
      <c r="P67" s="55">
        <f t="shared" si="50"/>
        <v>0.99999999999999989</v>
      </c>
      <c r="Q67" s="135">
        <f>_xll.xSPRDOPT(I67,H67,AQ67,0,O67,N67,P67,D67-$G$5,1,0)*AH67*AU67</f>
        <v>8.5759660129774957</v>
      </c>
      <c r="R67" s="135"/>
      <c r="S67" s="181">
        <f>_xll.xSPRDOPT(I67,H67,AQ67,AT67,O67,N67,P67,D67-$G$5,1,2)*AF67*(F67/(1-AR67))*AH67</f>
        <v>-9407.0685029373417</v>
      </c>
      <c r="T67" s="181">
        <f>_xll.xSPRDOPT(I67,H67,AQ67,AT67,O67,N67,P67,D67-$G$5,1,1)*AF67*F67*AH67</f>
        <v>9148.3741190262663</v>
      </c>
      <c r="U67" s="135"/>
      <c r="V67" s="146">
        <f t="shared" si="58"/>
        <v>9.6662052257155224</v>
      </c>
      <c r="W67" s="146"/>
      <c r="X67" s="338">
        <f t="shared" si="59"/>
        <v>0</v>
      </c>
      <c r="Y67" s="338">
        <f t="shared" si="20"/>
        <v>0</v>
      </c>
      <c r="Z67" s="338">
        <f t="shared" si="21"/>
        <v>1.2136395031174556</v>
      </c>
      <c r="AA67" s="338">
        <f t="shared" si="22"/>
        <v>1.154447323627288E-6</v>
      </c>
      <c r="AB67" s="338">
        <f t="shared" si="60"/>
        <v>0</v>
      </c>
      <c r="AC67" s="338">
        <f t="shared" si="61"/>
        <v>1.228481308374145</v>
      </c>
      <c r="AF67" s="138">
        <f t="shared" si="62"/>
        <v>1</v>
      </c>
      <c r="AG67" s="138">
        <f t="shared" si="63"/>
        <v>10</v>
      </c>
      <c r="AH67" s="138">
        <f t="shared" si="73"/>
        <v>31</v>
      </c>
      <c r="AI67" s="138">
        <f t="shared" si="64"/>
        <v>1384</v>
      </c>
      <c r="AJ67" s="138">
        <f t="shared" si="65"/>
        <v>1401</v>
      </c>
      <c r="AL67" s="136">
        <f t="shared" si="29"/>
        <v>3.4119999999999999</v>
      </c>
      <c r="AM67" s="258">
        <f t="shared" si="30"/>
        <v>-0.02</v>
      </c>
      <c r="AN67" s="258">
        <f t="shared" si="31"/>
        <v>7.4999999999999997E-3</v>
      </c>
      <c r="AO67" s="258">
        <f t="shared" si="32"/>
        <v>0.45</v>
      </c>
      <c r="AP67" s="258">
        <f t="shared" si="33"/>
        <v>0</v>
      </c>
      <c r="AQ67" s="136">
        <f t="shared" si="66"/>
        <v>3.3399999999999999E-2</v>
      </c>
      <c r="AR67" s="137">
        <f t="shared" si="35"/>
        <v>2.75E-2</v>
      </c>
      <c r="AS67" s="136">
        <f t="shared" si="67"/>
        <v>3.3994999999999997</v>
      </c>
      <c r="AT67" s="137">
        <f t="shared" si="68"/>
        <v>4.9009151354921801E-2</v>
      </c>
      <c r="AU67" s="137">
        <f t="shared" si="38"/>
        <v>0.83083685530848617</v>
      </c>
      <c r="AV67" s="394">
        <f t="shared" si="69"/>
        <v>257.55942514563071</v>
      </c>
      <c r="AW67" s="137">
        <f t="shared" si="40"/>
        <v>0.28499999999999998</v>
      </c>
      <c r="AX67" s="137">
        <f t="shared" si="41"/>
        <v>0.6</v>
      </c>
      <c r="AY67" s="137">
        <f t="shared" si="42"/>
        <v>0.6</v>
      </c>
      <c r="AZ67" s="137"/>
      <c r="BA67" s="264"/>
      <c r="BB67" s="258">
        <f t="shared" si="43"/>
        <v>0</v>
      </c>
      <c r="BC67" s="258">
        <f t="shared" si="70"/>
        <v>0</v>
      </c>
      <c r="BD67" s="137">
        <f t="shared" si="71"/>
        <v>1.1372695913058894E-5</v>
      </c>
      <c r="BE67" s="137">
        <f t="shared" si="72"/>
        <v>1.1372695913058894E-5</v>
      </c>
      <c r="BF67" s="137">
        <f>_xll.xSPRDOPT($BW67,$BV67,$CG67,0,$BY67,$BX67,$BZ67,$AJ67,1,4)*$CB67</f>
        <v>-5.9402454510759843E-7</v>
      </c>
      <c r="BG67" s="137">
        <f>_xll.xSPRDOPT($BW67,$BV67,$CG67,0,$BY67,$BX67,$BZ67,$AJ67,1,3)*$CB67</f>
        <v>9.9004090851026281E-7</v>
      </c>
      <c r="BH67" s="137">
        <f>IF(OR(BF67&lt;&gt;0,BG67&lt;&gt;0),_xll.xSPRDOPT($BW67,$BV67,$CG67,0,$BY67,$BX67,$BZ67,$AJ67,1,12)*$CB67,0)</f>
        <v>-2.475102271275657E-7</v>
      </c>
      <c r="BI67" s="137">
        <f>_xll.xSPRDOPT($BW67,$BV67,$CG67,2*LN(1+CA67/2),$BY67,$BX67,$BZ67,$AJ67,1,9)</f>
        <v>1.3388964253764969E-2</v>
      </c>
      <c r="BJ67" s="137">
        <f>_xll.xSPRDOPT($BW67,$BV67,$CG67,0,$BY67,$BX67,$BZ67,$AJ67,1,6)*$CB67</f>
        <v>-8.7761627183352822E-5</v>
      </c>
      <c r="BK67" s="137">
        <f>_xll.xSPRDOPT($BW67,$BV67,$CG67,0,$BY67,$BX67,$BZ67,$AJ67,1,5)*$CB67</f>
        <v>9.6959745728437E-5</v>
      </c>
      <c r="BL67" s="137">
        <f>_xll.xSPRDOPT(BW67,BV67,CG67,0,BY67,BX67,BZ67,AJ67,1,2)*CB67</f>
        <v>-0.83050385582034314</v>
      </c>
      <c r="BM67" s="137">
        <f>_xll.xSPRDOPT(BW67,BV67,CG67,0,BY67,BX67,BZ67,AJ67,1,1)*CB67</f>
        <v>0.83050385580901298</v>
      </c>
      <c r="BN67" s="137">
        <f>IF(AH67&lt;&gt;0,_xll.xSPRDOPT($BW67,$BV67,$CG67,2*LN(1+CA67/2),$BY67,$BX67,$BZ67,$AJ67,1,8)+(AJ67/365.25)*CH67/AH67,0)</f>
        <v>0.1348451305425129</v>
      </c>
      <c r="BO67" s="137">
        <f>_xll.xSPRDOPT($BW67,$BV67,$CG67,0,$BY67,$BX67,$BZ67,$AJ67,1,0)</f>
        <v>0.33297038513453203</v>
      </c>
      <c r="BP67" s="137"/>
      <c r="BQ67" s="137"/>
      <c r="BR67" s="137"/>
      <c r="BS67" s="137"/>
      <c r="BV67" s="262">
        <v>3.4956298200514135</v>
      </c>
      <c r="BW67" s="136">
        <v>3.8620000000000001</v>
      </c>
      <c r="BX67" s="137">
        <v>0.29035484467953515</v>
      </c>
      <c r="BY67" s="137">
        <v>0.29035484467953515</v>
      </c>
      <c r="BZ67" s="137">
        <v>1</v>
      </c>
      <c r="CA67" s="137">
        <v>4.9009151354921801E-2</v>
      </c>
      <c r="CB67" s="137">
        <v>0.83050650854564589</v>
      </c>
      <c r="CC67" s="258">
        <v>-0.02</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52"/>
        <v>38671</v>
      </c>
      <c r="F68" s="28">
        <f t="shared" si="53"/>
        <v>356</v>
      </c>
      <c r="G68" s="28">
        <f t="shared" si="13"/>
        <v>294.13461016618464</v>
      </c>
      <c r="H68" s="52">
        <f t="shared" si="54"/>
        <v>3.6493573264781487</v>
      </c>
      <c r="I68" s="52">
        <f t="shared" si="55"/>
        <v>4.0140000000000002</v>
      </c>
      <c r="K68" s="52">
        <f t="shared" si="56"/>
        <v>8.2103877511310035</v>
      </c>
      <c r="L68" s="135">
        <f t="shared" si="57"/>
        <v>7.3878122037740468E-6</v>
      </c>
      <c r="N68" s="131">
        <f t="shared" si="48"/>
        <v>0.29510383973065518</v>
      </c>
      <c r="O68" s="131">
        <f t="shared" si="49"/>
        <v>0.29510383973065518</v>
      </c>
      <c r="P68" s="55">
        <f t="shared" si="50"/>
        <v>0.99999999999999989</v>
      </c>
      <c r="Q68" s="135">
        <f>_xll.xSPRDOPT(I68,H68,AQ68,0,O68,N68,P68,D68-$G$5,1,0)*AH68*AU68</f>
        <v>8.2103951389432073</v>
      </c>
      <c r="R68" s="135"/>
      <c r="S68" s="181">
        <f>_xll.xSPRDOPT(I68,H68,AQ68,AT68,O68,N68,P68,D68-$G$5,1,2)*AF68*(F68/(1-AR68))*AH68</f>
        <v>-9052.2023012424597</v>
      </c>
      <c r="T68" s="181">
        <f>_xll.xSPRDOPT(I68,H68,AQ68,AT68,O68,N68,P68,D68-$G$5,1,1)*AF68*F68*AH68</f>
        <v>8803.2667379291506</v>
      </c>
      <c r="U68" s="135"/>
      <c r="V68" s="146">
        <f t="shared" si="58"/>
        <v>9.3024201569131257</v>
      </c>
      <c r="W68" s="146"/>
      <c r="X68" s="338">
        <f t="shared" si="59"/>
        <v>0</v>
      </c>
      <c r="Y68" s="338">
        <f t="shared" si="20"/>
        <v>0</v>
      </c>
      <c r="Z68" s="338">
        <f t="shared" si="21"/>
        <v>1.1708173800100641</v>
      </c>
      <c r="AA68" s="338">
        <f t="shared" si="22"/>
        <v>5.5074142242593157E-6</v>
      </c>
      <c r="AB68" s="338">
        <f t="shared" si="60"/>
        <v>0</v>
      </c>
      <c r="AC68" s="338">
        <f t="shared" si="61"/>
        <v>1.185298739665581</v>
      </c>
      <c r="AF68" s="138">
        <f t="shared" si="62"/>
        <v>1</v>
      </c>
      <c r="AG68" s="138">
        <f t="shared" si="63"/>
        <v>11</v>
      </c>
      <c r="AH68" s="138">
        <f t="shared" si="73"/>
        <v>30</v>
      </c>
      <c r="AI68" s="138">
        <f t="shared" si="64"/>
        <v>1415</v>
      </c>
      <c r="AJ68" s="138">
        <f t="shared" si="65"/>
        <v>1432</v>
      </c>
      <c r="AL68" s="136">
        <f t="shared" si="29"/>
        <v>3.5640000000000001</v>
      </c>
      <c r="AM68" s="258">
        <f t="shared" si="30"/>
        <v>-1.7500000000000002E-2</v>
      </c>
      <c r="AN68" s="258">
        <f t="shared" si="31"/>
        <v>2.5000000000000001E-3</v>
      </c>
      <c r="AO68" s="258">
        <f t="shared" si="32"/>
        <v>0.45</v>
      </c>
      <c r="AP68" s="258">
        <f t="shared" si="33"/>
        <v>0</v>
      </c>
      <c r="AQ68" s="136">
        <f t="shared" si="66"/>
        <v>3.3399999999999999E-2</v>
      </c>
      <c r="AR68" s="137">
        <f t="shared" si="35"/>
        <v>2.75E-2</v>
      </c>
      <c r="AS68" s="136">
        <f t="shared" si="67"/>
        <v>3.5489999999999999</v>
      </c>
      <c r="AT68" s="137">
        <f t="shared" si="68"/>
        <v>4.9392017987160801E-2</v>
      </c>
      <c r="AU68" s="137">
        <f t="shared" si="38"/>
        <v>0.82622081507355238</v>
      </c>
      <c r="AV68" s="394">
        <f t="shared" si="69"/>
        <v>247.86624452206573</v>
      </c>
      <c r="AW68" s="137">
        <f t="shared" si="40"/>
        <v>0.28499999999999998</v>
      </c>
      <c r="AX68" s="137">
        <f t="shared" si="41"/>
        <v>0.8</v>
      </c>
      <c r="AY68" s="137">
        <f t="shared" si="42"/>
        <v>0.8</v>
      </c>
      <c r="AZ68" s="137"/>
      <c r="BA68" s="264"/>
      <c r="BB68" s="258">
        <f t="shared" si="43"/>
        <v>0</v>
      </c>
      <c r="BC68" s="258">
        <f t="shared" si="70"/>
        <v>0</v>
      </c>
      <c r="BD68" s="137">
        <f t="shared" si="71"/>
        <v>2.0791110959539338E-5</v>
      </c>
      <c r="BE68" s="137">
        <f t="shared" si="72"/>
        <v>2.0791110959539338E-5</v>
      </c>
      <c r="BF68" s="137">
        <f>_xll.xSPRDOPT($BW68,$BV68,$CG68,0,$BY68,$BX68,$BZ68,$AJ68,1,4)*$CB68</f>
        <v>-5.9072239556089552E-7</v>
      </c>
      <c r="BG68" s="137">
        <f>_xll.xSPRDOPT($BW68,$BV68,$CG68,0,$BY68,$BX68,$BZ68,$AJ68,1,3)*$CB68</f>
        <v>2.9536119778044776E-7</v>
      </c>
      <c r="BH68" s="137">
        <f>IF(OR(BF68&lt;&gt;0,BG68&lt;&gt;0),_xll.xSPRDOPT($BW68,$BV68,$CG68,0,$BY68,$BX68,$BZ68,$AJ68,1,12)*$CB68,0)</f>
        <v>-2.4613433148370646E-7</v>
      </c>
      <c r="BI68" s="137">
        <f>_xll.xSPRDOPT($BW68,$BV68,$CG68,2*LN(1+CA68/2),$BY68,$BX68,$BZ68,$AJ68,1,9)</f>
        <v>1.3347098877923716E-2</v>
      </c>
      <c r="BJ68" s="137">
        <f>_xll.xSPRDOPT($BW68,$BV68,$CG68,0,$BY68,$BX68,$BZ68,$AJ68,1,6)*$CB68</f>
        <v>-2.4822629695248435E-4</v>
      </c>
      <c r="BK68" s="137">
        <f>_xll.xSPRDOPT($BW68,$BV68,$CG68,0,$BY68,$BX68,$BZ68,$AJ68,1,5)*$CB68</f>
        <v>2.7302898739872314E-4</v>
      </c>
      <c r="BL68" s="137">
        <f>_xll.xSPRDOPT(BW68,BV68,CG68,0,BY68,BX68,BZ68,AJ68,1,2)*CB68</f>
        <v>-0.82588220359572007</v>
      </c>
      <c r="BM68" s="137">
        <f>_xll.xSPRDOPT(BW68,BV68,CG68,0,BY68,BX68,BZ68,AJ68,1,1)*CB68</f>
        <v>0.82588220359496889</v>
      </c>
      <c r="BN68" s="137">
        <f>IF(AH68&lt;&gt;0,_xll.xSPRDOPT($BW68,$BV68,$CG68,2*LN(1+CA68/2),$BY68,$BX68,$BZ68,$AJ68,1,8)+(AJ68/365.25)*CH68/AH68,0)</f>
        <v>0.14265598449753614</v>
      </c>
      <c r="BO68" s="137">
        <f>_xll.xSPRDOPT($BW68,$BV68,$CG68,0,$BY68,$BX68,$BZ68,$AJ68,1,0)</f>
        <v>0.33124298025265342</v>
      </c>
      <c r="BP68" s="137"/>
      <c r="BQ68" s="137"/>
      <c r="BR68" s="137"/>
      <c r="BS68" s="137"/>
      <c r="BV68" s="262">
        <v>3.6493573264781487</v>
      </c>
      <c r="BW68" s="136">
        <v>4.0140000000000002</v>
      </c>
      <c r="BX68" s="137">
        <v>0.29508304861969564</v>
      </c>
      <c r="BY68" s="137">
        <v>0.29508304861969564</v>
      </c>
      <c r="BZ68" s="137">
        <v>1</v>
      </c>
      <c r="CA68" s="137">
        <v>4.9392017987160801E-2</v>
      </c>
      <c r="CB68" s="137">
        <v>0.82588976886354881</v>
      </c>
      <c r="CC68" s="258">
        <v>-1.7500000000000002E-2</v>
      </c>
      <c r="CD68" s="258">
        <v>2.5000000000000001E-3</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52"/>
        <v>38701</v>
      </c>
      <c r="F69" s="28">
        <f t="shared" si="53"/>
        <v>356</v>
      </c>
      <c r="G69" s="28">
        <f t="shared" si="13"/>
        <v>292.53541316413964</v>
      </c>
      <c r="H69" s="52">
        <f t="shared" si="54"/>
        <v>3.7964010282776344</v>
      </c>
      <c r="I69" s="52">
        <f t="shared" si="55"/>
        <v>4.1070000000000002</v>
      </c>
      <c r="K69" s="52">
        <f t="shared" si="56"/>
        <v>7.0612527734993975</v>
      </c>
      <c r="L69" s="135">
        <f t="shared" si="57"/>
        <v>3.99233261969556E-5</v>
      </c>
      <c r="N69" s="131">
        <f t="shared" si="48"/>
        <v>0.30162191373118435</v>
      </c>
      <c r="O69" s="131">
        <f t="shared" si="49"/>
        <v>0.30162191373118435</v>
      </c>
      <c r="P69" s="55">
        <f t="shared" si="50"/>
        <v>1</v>
      </c>
      <c r="Q69" s="135">
        <f>_xll.xSPRDOPT(I69,H69,AQ69,0,O69,N69,P69,D69-$G$5,1,0)*AH69*AU69</f>
        <v>7.0612926968255945</v>
      </c>
      <c r="R69" s="135"/>
      <c r="S69" s="181">
        <f>_xll.xSPRDOPT(I69,H69,AQ69,AT69,O69,N69,P69,D69-$G$5,1,2)*AF69*(F69/(1-AR69))*AH69</f>
        <v>-9302.1527174091971</v>
      </c>
      <c r="T69" s="181">
        <f>_xll.xSPRDOPT(I69,H69,AQ69,AT69,O69,N69,P69,D69-$G$5,1,1)*AF69*F69*AH69</f>
        <v>9046.3435176051662</v>
      </c>
      <c r="U69" s="135"/>
      <c r="V69" s="146">
        <f t="shared" si="58"/>
        <v>9.5602380825155908</v>
      </c>
      <c r="W69" s="146"/>
      <c r="X69" s="338">
        <f t="shared" si="59"/>
        <v>0</v>
      </c>
      <c r="Y69" s="338">
        <f t="shared" si="20"/>
        <v>0</v>
      </c>
      <c r="Z69" s="338">
        <f t="shared" si="21"/>
        <v>1.0143004713264312</v>
      </c>
      <c r="AA69" s="338">
        <f t="shared" si="22"/>
        <v>1.9531959911213423E-5</v>
      </c>
      <c r="AB69" s="338">
        <f t="shared" si="60"/>
        <v>0</v>
      </c>
      <c r="AC69" s="338">
        <f t="shared" si="61"/>
        <v>1.0270519769498681</v>
      </c>
      <c r="AF69" s="138">
        <f t="shared" si="62"/>
        <v>1</v>
      </c>
      <c r="AG69" s="138">
        <f t="shared" si="63"/>
        <v>12</v>
      </c>
      <c r="AH69" s="138">
        <f t="shared" si="73"/>
        <v>31</v>
      </c>
      <c r="AI69" s="138">
        <f t="shared" si="64"/>
        <v>1445</v>
      </c>
      <c r="AJ69" s="138">
        <f t="shared" si="65"/>
        <v>1462</v>
      </c>
      <c r="AL69" s="136">
        <f t="shared" si="29"/>
        <v>3.7069999999999999</v>
      </c>
      <c r="AM69" s="258">
        <f t="shared" si="30"/>
        <v>-1.7500000000000002E-2</v>
      </c>
      <c r="AN69" s="258">
        <f t="shared" si="31"/>
        <v>2.5000000000000001E-3</v>
      </c>
      <c r="AO69" s="258">
        <f t="shared" si="32"/>
        <v>0.4</v>
      </c>
      <c r="AP69" s="258">
        <f t="shared" si="33"/>
        <v>0</v>
      </c>
      <c r="AQ69" s="136">
        <f t="shared" si="66"/>
        <v>3.3399999999999999E-2</v>
      </c>
      <c r="AR69" s="137">
        <f t="shared" si="35"/>
        <v>2.75E-2</v>
      </c>
      <c r="AS69" s="136">
        <f t="shared" si="67"/>
        <v>3.6919999999999997</v>
      </c>
      <c r="AT69" s="137">
        <f t="shared" si="68"/>
        <v>4.97625341294907E-2</v>
      </c>
      <c r="AU69" s="137">
        <f t="shared" si="38"/>
        <v>0.82172868866331361</v>
      </c>
      <c r="AV69" s="394">
        <f t="shared" si="69"/>
        <v>254.73589348562723</v>
      </c>
      <c r="AW69" s="137">
        <f t="shared" si="40"/>
        <v>0.28499999999999998</v>
      </c>
      <c r="AX69" s="137">
        <f t="shared" si="41"/>
        <v>1</v>
      </c>
      <c r="AY69" s="137">
        <f t="shared" si="42"/>
        <v>1</v>
      </c>
      <c r="AZ69" s="137"/>
      <c r="BA69" s="264"/>
      <c r="BB69" s="258">
        <f t="shared" si="43"/>
        <v>0</v>
      </c>
      <c r="BC69" s="258">
        <f t="shared" si="70"/>
        <v>0</v>
      </c>
      <c r="BD69" s="137">
        <f t="shared" si="71"/>
        <v>3.3135902504588532E-5</v>
      </c>
      <c r="BE69" s="137">
        <f t="shared" si="72"/>
        <v>3.3135902504588532E-5</v>
      </c>
      <c r="BF69" s="137">
        <f>_xll.xSPRDOPT($BW69,$BV69,$CG69,0,$BY69,$BX69,$BZ69,$AJ69,1,4)*$CB69</f>
        <v>9.791815317627378E-8</v>
      </c>
      <c r="BG69" s="137">
        <f>_xll.xSPRDOPT($BW69,$BV69,$CG69,0,$BY69,$BX69,$BZ69,$AJ69,1,3)*$CB69</f>
        <v>0</v>
      </c>
      <c r="BH69" s="137">
        <f>IF(OR(BF69&lt;&gt;0,BG69&lt;&gt;0),_xll.xSPRDOPT($BW69,$BV69,$CG69,0,$BY69,$BX69,$BZ69,$AJ69,1,12)*$CB69,0)</f>
        <v>-4.895907658813689E-8</v>
      </c>
      <c r="BI69" s="137">
        <f>_xll.xSPRDOPT($BW69,$BV69,$CG69,2*LN(1+CA69/2),$BY69,$BX69,$BZ69,$AJ69,1,9)</f>
        <v>1.1189840737947897E-2</v>
      </c>
      <c r="BJ69" s="137">
        <f>_xll.xSPRDOPT($BW69,$BV69,$CG69,0,$BY69,$BX69,$BZ69,$AJ69,1,6)*$CB69</f>
        <v>-6.5284097672271325E-4</v>
      </c>
      <c r="BK69" s="137">
        <f>_xll.xSPRDOPT($BW69,$BV69,$CG69,0,$BY69,$BX69,$BZ69,$AJ69,1,5)*$CB69</f>
        <v>7.0625254484396713E-4</v>
      </c>
      <c r="BL69" s="137">
        <f>_xll.xSPRDOPT(BW69,BV69,CG69,0,BY69,BX69,BZ69,AJ69,1,2)*CB69</f>
        <v>-0.82137704189657734</v>
      </c>
      <c r="BM69" s="137">
        <f>_xll.xSPRDOPT(BW69,BV69,CG69,0,BY69,BX69,BZ69,AJ69,1,1)*CB69</f>
        <v>0.82137704188985383</v>
      </c>
      <c r="BN69" s="137">
        <f>IF(AH69&lt;&gt;0,_xll.xSPRDOPT($BW69,$BV69,$CG69,2*LN(1+CA69/2),$BY69,$BX69,$BZ69,$AJ69,1,8)+(AJ69/365.25)*CH69/AH69,0)</f>
        <v>0.32253496620296562</v>
      </c>
      <c r="BO69" s="137">
        <f>_xll.xSPRDOPT($BW69,$BV69,$CG69,0,$BY69,$BX69,$BZ69,$AJ69,1,0)</f>
        <v>0.27720055696499218</v>
      </c>
      <c r="BP69" s="137"/>
      <c r="BQ69" s="137"/>
      <c r="BR69" s="137"/>
      <c r="BS69" s="137"/>
      <c r="BV69" s="262">
        <v>3.7964010282776344</v>
      </c>
      <c r="BW69" s="136">
        <v>4.1070000000000002</v>
      </c>
      <c r="BX69" s="137">
        <v>0.30158877782867977</v>
      </c>
      <c r="BY69" s="137">
        <v>0.30158877782867977</v>
      </c>
      <c r="BZ69" s="137">
        <v>1</v>
      </c>
      <c r="CA69" s="137">
        <v>4.97625341294907E-2</v>
      </c>
      <c r="CB69" s="137">
        <v>0.82139700307971564</v>
      </c>
      <c r="CC69" s="258">
        <v>-1.7500000000000002E-2</v>
      </c>
      <c r="CD69" s="258">
        <v>2.5000000000000001E-3</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52"/>
        <v>38732</v>
      </c>
      <c r="F70" s="28">
        <f t="shared" si="53"/>
        <v>356</v>
      </c>
      <c r="G70" s="28">
        <f t="shared" si="13"/>
        <v>290.89890308658443</v>
      </c>
      <c r="H70" s="52">
        <f t="shared" si="54"/>
        <v>3.8529562982005139</v>
      </c>
      <c r="I70" s="52">
        <f t="shared" si="55"/>
        <v>4.1120000000000001</v>
      </c>
      <c r="K70" s="52">
        <f t="shared" si="56"/>
        <v>5.715799622465938</v>
      </c>
      <c r="L70" s="135">
        <f t="shared" si="57"/>
        <v>1.3429711774737285E-4</v>
      </c>
      <c r="N70" s="131">
        <f t="shared" si="48"/>
        <v>0.30128576852292338</v>
      </c>
      <c r="O70" s="131">
        <f t="shared" si="49"/>
        <v>0.30128576852292338</v>
      </c>
      <c r="P70" s="55">
        <f t="shared" si="50"/>
        <v>0.99999999999999978</v>
      </c>
      <c r="Q70" s="135">
        <f>_xll.xSPRDOPT(I70,H70,AQ70,0,O70,N70,P70,D70-$G$5,1,0)*AH70*AU70</f>
        <v>5.7159339195836854</v>
      </c>
      <c r="R70" s="135"/>
      <c r="S70" s="181">
        <f>_xll.xSPRDOPT(I70,H70,AQ70,AT70,O70,N70,P70,D70-$G$5,1,2)*AF70*(F70/(1-AR70))*AH70</f>
        <v>-9247.986335661255</v>
      </c>
      <c r="T70" s="181">
        <f>_xll.xSPRDOPT(I70,H70,AQ70,AT70,O70,N70,P70,D70-$G$5,1,1)*AF70*F70*AH70</f>
        <v>8993.6667113653311</v>
      </c>
      <c r="U70" s="135"/>
      <c r="V70" s="146">
        <f t="shared" si="58"/>
        <v>9.5067559218546336</v>
      </c>
      <c r="W70" s="146"/>
      <c r="X70" s="338">
        <f t="shared" si="59"/>
        <v>0</v>
      </c>
      <c r="Y70" s="338">
        <f t="shared" si="20"/>
        <v>0</v>
      </c>
      <c r="Z70" s="338">
        <f t="shared" si="21"/>
        <v>0.82617056402487776</v>
      </c>
      <c r="AA70" s="338">
        <f t="shared" si="22"/>
        <v>9.6123800833253892E-5</v>
      </c>
      <c r="AB70" s="338">
        <f t="shared" si="60"/>
        <v>0</v>
      </c>
      <c r="AC70" s="338">
        <f t="shared" si="61"/>
        <v>0.83740659804372231</v>
      </c>
      <c r="AF70" s="138">
        <f t="shared" si="62"/>
        <v>1</v>
      </c>
      <c r="AG70" s="138">
        <f t="shared" si="63"/>
        <v>1</v>
      </c>
      <c r="AH70" s="138">
        <f t="shared" si="73"/>
        <v>31</v>
      </c>
      <c r="AI70" s="138">
        <f t="shared" si="64"/>
        <v>1476</v>
      </c>
      <c r="AJ70" s="138">
        <f t="shared" si="65"/>
        <v>1493</v>
      </c>
      <c r="AL70" s="136">
        <f t="shared" si="29"/>
        <v>3.762</v>
      </c>
      <c r="AM70" s="258">
        <f t="shared" si="30"/>
        <v>-1.7500000000000002E-2</v>
      </c>
      <c r="AN70" s="258">
        <f t="shared" si="31"/>
        <v>2.5000000000000001E-3</v>
      </c>
      <c r="AO70" s="258">
        <f t="shared" si="32"/>
        <v>0.35</v>
      </c>
      <c r="AP70" s="258">
        <f t="shared" si="33"/>
        <v>0</v>
      </c>
      <c r="AQ70" s="136">
        <f t="shared" si="66"/>
        <v>3.3399999999999999E-2</v>
      </c>
      <c r="AR70" s="137">
        <f t="shared" si="35"/>
        <v>2.75E-2</v>
      </c>
      <c r="AS70" s="136">
        <f t="shared" si="67"/>
        <v>3.7469999999999999</v>
      </c>
      <c r="AT70" s="137">
        <f t="shared" si="68"/>
        <v>5.0123867010087399E-2</v>
      </c>
      <c r="AU70" s="137">
        <f t="shared" si="38"/>
        <v>0.81713175024321461</v>
      </c>
      <c r="AV70" s="394">
        <f t="shared" si="69"/>
        <v>253.31084257539652</v>
      </c>
      <c r="AW70" s="137">
        <f t="shared" si="40"/>
        <v>0.28499999999999998</v>
      </c>
      <c r="AX70" s="137">
        <f t="shared" si="41"/>
        <v>1</v>
      </c>
      <c r="AY70" s="137">
        <f t="shared" si="42"/>
        <v>1</v>
      </c>
      <c r="AZ70" s="137"/>
      <c r="BA70" s="264"/>
      <c r="BB70" s="258">
        <f t="shared" si="43"/>
        <v>0</v>
      </c>
      <c r="BC70" s="258">
        <f t="shared" si="70"/>
        <v>0</v>
      </c>
      <c r="BD70" s="137">
        <f t="shared" si="71"/>
        <v>3.1809530461945901E-5</v>
      </c>
      <c r="BE70" s="137">
        <f t="shared" si="72"/>
        <v>3.1809530461945901E-5</v>
      </c>
      <c r="BF70" s="137">
        <f>_xll.xSPRDOPT($BW70,$BV70,$CG70,0,$BY70,$BX70,$BZ70,$AJ70,1,4)*$CB70</f>
        <v>-1.5579215147423217E-6</v>
      </c>
      <c r="BG70" s="137">
        <f>_xll.xSPRDOPT($BW70,$BV70,$CG70,0,$BY70,$BX70,$BZ70,$AJ70,1,3)*$CB70</f>
        <v>-6.8159066269976576E-7</v>
      </c>
      <c r="BH70" s="137">
        <f>IF(OR(BF70&lt;&gt;0,BG70&lt;&gt;0),_xll.xSPRDOPT($BW70,$BV70,$CG70,0,$BY70,$BX70,$BZ70,$AJ70,1,12)*$CB70,0)</f>
        <v>1.2171261833924389E-7</v>
      </c>
      <c r="BI70" s="137">
        <f>_xll.xSPRDOPT($BW70,$BV70,$CG70,2*LN(1+CA70/2),$BY70,$BX70,$BZ70,$AJ70,1,9)</f>
        <v>9.1143771448014554E-3</v>
      </c>
      <c r="BJ70" s="137">
        <f>_xll.xSPRDOPT($BW70,$BV70,$CG70,0,$BY70,$BX70,$BZ70,$AJ70,1,6)*$CB70</f>
        <v>-4.0727057631489653E-3</v>
      </c>
      <c r="BK70" s="137">
        <f>_xll.xSPRDOPT($BW70,$BV70,$CG70,0,$BY70,$BX70,$BZ70,$AJ70,1,5)*$CB70</f>
        <v>4.3465237571911263E-3</v>
      </c>
      <c r="BL70" s="137">
        <f>_xll.xSPRDOPT(BW70,BV70,CG70,0,BY70,BX70,BZ70,AJ70,1,2)*CB70</f>
        <v>-0.81666357922556243</v>
      </c>
      <c r="BM70" s="137">
        <f>_xll.xSPRDOPT(BW70,BV70,CG70,0,BY70,BX70,BZ70,AJ70,1,1)*CB70</f>
        <v>0.81666357922407673</v>
      </c>
      <c r="BN70" s="137">
        <f>IF(AH70&lt;&gt;0,_xll.xSPRDOPT($BW70,$BV70,$CG70,2*LN(1+CA70/2),$BY70,$BX70,$BZ70,$AJ70,1,8)+(AJ70/365.25)*CH70/AH70,0)</f>
        <v>0.49964831237700036</v>
      </c>
      <c r="BO70" s="137">
        <f>_xll.xSPRDOPT($BW70,$BV70,$CG70,0,$BY70,$BX70,$BZ70,$AJ70,1,0)</f>
        <v>0.22564909442364184</v>
      </c>
      <c r="BP70" s="137"/>
      <c r="BQ70" s="137"/>
      <c r="BR70" s="137"/>
      <c r="BS70" s="137"/>
      <c r="BV70" s="262">
        <v>3.8529562982005139</v>
      </c>
      <c r="BW70" s="136">
        <v>4.1120000000000001</v>
      </c>
      <c r="BX70" s="137">
        <v>0.30125395899246143</v>
      </c>
      <c r="BY70" s="137">
        <v>0.30125395899246143</v>
      </c>
      <c r="BZ70" s="137">
        <v>1</v>
      </c>
      <c r="CA70" s="137">
        <v>5.0123867010087399E-2</v>
      </c>
      <c r="CB70" s="137">
        <v>0.81679955512122238</v>
      </c>
      <c r="CC70" s="258">
        <v>-1.7500000000000002E-2</v>
      </c>
      <c r="CD70" s="258">
        <v>2.5000000000000001E-3</v>
      </c>
      <c r="CE70" s="258">
        <v>0.35</v>
      </c>
      <c r="CF70" s="258">
        <v>0</v>
      </c>
      <c r="CG70" s="258">
        <v>3.3399999999999999E-2</v>
      </c>
      <c r="CH70" s="258">
        <v>9.5028910641468389</v>
      </c>
      <c r="CI70" s="258">
        <v>3.762</v>
      </c>
      <c r="CJ70" s="258"/>
      <c r="CK70" s="258"/>
      <c r="CL70" s="258"/>
      <c r="CM70" s="258"/>
    </row>
    <row r="71" spans="1:91" x14ac:dyDescent="0.25">
      <c r="A71" s="723"/>
      <c r="B71" s="723"/>
      <c r="D71" s="31">
        <f t="shared" si="52"/>
        <v>38763</v>
      </c>
      <c r="F71" s="28">
        <f t="shared" si="53"/>
        <v>356</v>
      </c>
      <c r="G71" s="28">
        <f t="shared" si="13"/>
        <v>289.30031648623799</v>
      </c>
      <c r="H71" s="52">
        <f t="shared" si="54"/>
        <v>3.7655526992287918</v>
      </c>
      <c r="I71" s="52">
        <f t="shared" si="55"/>
        <v>4.0270000000000001</v>
      </c>
      <c r="K71" s="52">
        <f t="shared" si="56"/>
        <v>5.1889785843662946</v>
      </c>
      <c r="L71" s="135">
        <f t="shared" si="57"/>
        <v>9.5620605060631192E-5</v>
      </c>
      <c r="N71" s="131">
        <f t="shared" si="48"/>
        <v>0.29475895276765796</v>
      </c>
      <c r="O71" s="131">
        <f t="shared" si="49"/>
        <v>0.29475895276765796</v>
      </c>
      <c r="P71" s="55">
        <f t="shared" si="50"/>
        <v>1</v>
      </c>
      <c r="Q71" s="135">
        <f>_xll.xSPRDOPT(I71,H71,AQ71,0,O71,N71,P71,D71-$G$5,1,0)*AH71*AU71</f>
        <v>5.1890742049713552</v>
      </c>
      <c r="R71" s="135"/>
      <c r="S71" s="181">
        <f>_xll.xSPRDOPT(I71,H71,AQ71,AT71,O71,N71,P71,D71-$G$5,1,2)*AF71*(F71/(1-AR71))*AH71</f>
        <v>-8307.2404009255843</v>
      </c>
      <c r="T71" s="181">
        <f>_xll.xSPRDOPT(I71,H71,AQ71,AT71,O71,N71,P71,D71-$G$5,1,1)*AF71*F71*AH71</f>
        <v>8078.7912899318617</v>
      </c>
      <c r="U71" s="135"/>
      <c r="V71" s="146">
        <f t="shared" si="58"/>
        <v>8.539560240910065</v>
      </c>
      <c r="W71" s="146"/>
      <c r="X71" s="338">
        <f t="shared" si="59"/>
        <v>0</v>
      </c>
      <c r="Y71" s="338">
        <f t="shared" si="20"/>
        <v>0</v>
      </c>
      <c r="Z71" s="338">
        <f t="shared" si="21"/>
        <v>0.75527449987818018</v>
      </c>
      <c r="AA71" s="338">
        <f t="shared" si="22"/>
        <v>3.3154021783274574E-5</v>
      </c>
      <c r="AB71" s="338">
        <f t="shared" si="60"/>
        <v>0</v>
      </c>
      <c r="AC71" s="338">
        <f t="shared" si="61"/>
        <v>0.76510389280992919</v>
      </c>
      <c r="AF71" s="138">
        <f t="shared" si="62"/>
        <v>1</v>
      </c>
      <c r="AG71" s="138">
        <f t="shared" si="63"/>
        <v>2</v>
      </c>
      <c r="AH71" s="138">
        <f t="shared" si="73"/>
        <v>28</v>
      </c>
      <c r="AI71" s="138">
        <f t="shared" si="64"/>
        <v>1507</v>
      </c>
      <c r="AJ71" s="138">
        <f t="shared" si="65"/>
        <v>1524</v>
      </c>
      <c r="AL71" s="136">
        <f t="shared" si="29"/>
        <v>3.677</v>
      </c>
      <c r="AM71" s="258">
        <f t="shared" si="30"/>
        <v>-1.7500000000000002E-2</v>
      </c>
      <c r="AN71" s="258">
        <f t="shared" si="31"/>
        <v>2.5000000000000001E-3</v>
      </c>
      <c r="AO71" s="258">
        <f t="shared" si="32"/>
        <v>0.35</v>
      </c>
      <c r="AP71" s="258">
        <f t="shared" si="33"/>
        <v>0</v>
      </c>
      <c r="AQ71" s="136">
        <f t="shared" si="66"/>
        <v>3.3399999999999999E-2</v>
      </c>
      <c r="AR71" s="137">
        <f t="shared" si="35"/>
        <v>2.75E-2</v>
      </c>
      <c r="AS71" s="136">
        <f t="shared" si="67"/>
        <v>3.6619999999999999</v>
      </c>
      <c r="AT71" s="137">
        <f t="shared" si="68"/>
        <v>5.0446047479093502E-2</v>
      </c>
      <c r="AU71" s="137">
        <f t="shared" si="38"/>
        <v>0.81264133844448871</v>
      </c>
      <c r="AV71" s="394">
        <f t="shared" si="69"/>
        <v>227.53957476445683</v>
      </c>
      <c r="AW71" s="137">
        <f t="shared" si="40"/>
        <v>0.28000000000000003</v>
      </c>
      <c r="AX71" s="137">
        <f t="shared" si="41"/>
        <v>1</v>
      </c>
      <c r="AY71" s="137">
        <f t="shared" si="42"/>
        <v>1</v>
      </c>
      <c r="AZ71" s="137"/>
      <c r="BA71" s="264"/>
      <c r="BB71" s="258">
        <f t="shared" si="43"/>
        <v>0</v>
      </c>
      <c r="BC71" s="258">
        <f t="shared" si="70"/>
        <v>0</v>
      </c>
      <c r="BD71" s="137">
        <f t="shared" si="71"/>
        <v>2.8327056172949838E-5</v>
      </c>
      <c r="BE71" s="137">
        <f t="shared" si="72"/>
        <v>2.8327056172949838E-5</v>
      </c>
      <c r="BF71" s="137">
        <f>_xll.xSPRDOPT($BW71,$BV71,$CG71,0,$BY71,$BX71,$BZ71,$AJ71,1,4)*$CB71</f>
        <v>7.2626072644620338E-7</v>
      </c>
      <c r="BG71" s="137">
        <f>_xll.xSPRDOPT($BW71,$BV71,$CG71,0,$BY71,$BX71,$BZ71,$AJ71,1,3)*$CB71</f>
        <v>-4.8417381763080225E-8</v>
      </c>
      <c r="BH71" s="137">
        <f>IF(OR(BF71&lt;&gt;0,BG71&lt;&gt;0),_xll.xSPRDOPT($BW71,$BV71,$CG71,0,$BY71,$BX71,$BZ71,$AJ71,1,12)*$CB71,0)</f>
        <v>-2.9050429057848137E-7</v>
      </c>
      <c r="BI71" s="137">
        <f>_xll.xSPRDOPT($BW71,$BV71,$CG71,2*LN(1+CA71/2),$BY71,$BX71,$BZ71,$AJ71,1,9)</f>
        <v>9.2249869943989184E-3</v>
      </c>
      <c r="BJ71" s="137">
        <f>_xll.xSPRDOPT($BW71,$BV71,$CG71,0,$BY71,$BX71,$BZ71,$AJ71,1,6)*$CB71</f>
        <v>-1.6911078493505555E-3</v>
      </c>
      <c r="BK71" s="137">
        <f>_xll.xSPRDOPT($BW71,$BV71,$CG71,0,$BY71,$BX71,$BZ71,$AJ71,1,5)*$CB71</f>
        <v>1.8085237044855619E-3</v>
      </c>
      <c r="BL71" s="137">
        <f>_xll.xSPRDOPT(BW71,BV71,CG71,0,BY71,BX71,BZ71,AJ71,1,2)*CB71</f>
        <v>-0.81225482795929682</v>
      </c>
      <c r="BM71" s="137">
        <f>_xll.xSPRDOPT(BW71,BV71,CG71,0,BY71,BX71,BZ71,AJ71,1,1)*CB71</f>
        <v>0.81225482796299076</v>
      </c>
      <c r="BN71" s="137">
        <f>IF(AH71&lt;&gt;0,_xll.xSPRDOPT($BW71,$BV71,$CG71,2*LN(1+CA71/2),$BY71,$BX71,$BZ71,$AJ71,1,8)+(AJ71/365.25)*CH71/AH71,0)</f>
        <v>0.49907601343340524</v>
      </c>
      <c r="BO71" s="137">
        <f>_xll.xSPRDOPT($BW71,$BV71,$CG71,0,$BY71,$BX71,$BZ71,$AJ71,1,0)</f>
        <v>0.22805154104385025</v>
      </c>
      <c r="BP71" s="137"/>
      <c r="BQ71" s="137"/>
      <c r="BR71" s="137"/>
      <c r="BS71" s="137"/>
      <c r="BV71" s="262">
        <v>3.7655526992287918</v>
      </c>
      <c r="BW71" s="136">
        <v>4.0270000000000001</v>
      </c>
      <c r="BX71" s="137">
        <v>0.29473062571148501</v>
      </c>
      <c r="BY71" s="137">
        <v>0.29473062571148501</v>
      </c>
      <c r="BZ71" s="137">
        <v>1</v>
      </c>
      <c r="CA71" s="137">
        <v>5.0446047479093502E-2</v>
      </c>
      <c r="CB71" s="137">
        <v>0.81230887199365776</v>
      </c>
      <c r="CC71" s="258">
        <v>-1.7500000000000002E-2</v>
      </c>
      <c r="CD71" s="258">
        <v>2.5000000000000001E-3</v>
      </c>
      <c r="CE71" s="258">
        <v>0.35</v>
      </c>
      <c r="CF71" s="258">
        <v>0</v>
      </c>
      <c r="CG71" s="258">
        <v>3.3399999999999999E-2</v>
      </c>
      <c r="CH71" s="258">
        <v>8.5360665504581537</v>
      </c>
      <c r="CI71" s="258">
        <v>3.677</v>
      </c>
      <c r="CJ71" s="258"/>
      <c r="CK71" s="258"/>
      <c r="CL71" s="258"/>
      <c r="CM71" s="258"/>
    </row>
    <row r="72" spans="1:91" x14ac:dyDescent="0.25">
      <c r="A72" s="723"/>
      <c r="B72" s="723"/>
      <c r="D72" s="31">
        <f t="shared" si="52"/>
        <v>38791</v>
      </c>
      <c r="F72" s="28">
        <f t="shared" si="53"/>
        <v>356</v>
      </c>
      <c r="G72" s="28">
        <f t="shared" si="13"/>
        <v>287.85083633846432</v>
      </c>
      <c r="H72" s="52">
        <f t="shared" si="54"/>
        <v>3.6370179948586117</v>
      </c>
      <c r="I72" s="52">
        <f t="shared" si="55"/>
        <v>3.9470000000000001</v>
      </c>
      <c r="K72" s="52">
        <f t="shared" si="56"/>
        <v>6.9327112538754516</v>
      </c>
      <c r="L72" s="135">
        <f t="shared" si="57"/>
        <v>1.6972722815644659E-5</v>
      </c>
      <c r="N72" s="131">
        <f t="shared" si="48"/>
        <v>0.27891651287520841</v>
      </c>
      <c r="O72" s="131">
        <f t="shared" si="49"/>
        <v>0.27891651287520841</v>
      </c>
      <c r="P72" s="55">
        <f t="shared" si="50"/>
        <v>1.0000000000000002</v>
      </c>
      <c r="Q72" s="135">
        <f>_xll.xSPRDOPT(I72,H72,AQ72,0,O72,N72,P72,D72-$G$5,1,0)*AH72*AU72</f>
        <v>6.9327282265982673</v>
      </c>
      <c r="R72" s="135"/>
      <c r="S72" s="181">
        <f>_xll.xSPRDOPT(I72,H72,AQ72,AT72,O72,N72,P72,D72-$G$5,1,2)*AF72*(F72/(1-AR72))*AH72</f>
        <v>-9151.0256055568352</v>
      </c>
      <c r="T72" s="181">
        <f>_xll.xSPRDOPT(I72,H72,AQ72,AT72,O72,N72,P72,D72-$G$5,1,1)*AF72*F72*AH72</f>
        <v>8899.3724014391519</v>
      </c>
      <c r="U72" s="135"/>
      <c r="V72" s="146">
        <f t="shared" si="58"/>
        <v>9.4071432168893132</v>
      </c>
      <c r="W72" s="146"/>
      <c r="X72" s="338">
        <f t="shared" si="59"/>
        <v>0</v>
      </c>
      <c r="Y72" s="338">
        <f t="shared" si="20"/>
        <v>0</v>
      </c>
      <c r="Z72" s="338">
        <f t="shared" si="21"/>
        <v>1.015200644956892</v>
      </c>
      <c r="AA72" s="338">
        <f t="shared" si="22"/>
        <v>4.1822078629650453E-6</v>
      </c>
      <c r="AB72" s="338">
        <f t="shared" si="60"/>
        <v>0</v>
      </c>
      <c r="AC72" s="338">
        <f t="shared" si="61"/>
        <v>1.0280913231764004</v>
      </c>
      <c r="AF72" s="138">
        <f t="shared" si="62"/>
        <v>1</v>
      </c>
      <c r="AG72" s="138">
        <f t="shared" si="63"/>
        <v>3</v>
      </c>
      <c r="AH72" s="138">
        <f t="shared" si="73"/>
        <v>31</v>
      </c>
      <c r="AI72" s="138">
        <f t="shared" si="64"/>
        <v>1535</v>
      </c>
      <c r="AJ72" s="138">
        <f t="shared" si="65"/>
        <v>1552</v>
      </c>
      <c r="AL72" s="136">
        <f t="shared" si="29"/>
        <v>3.5470000000000002</v>
      </c>
      <c r="AM72" s="258">
        <f t="shared" si="30"/>
        <v>-1.2500000000000001E-2</v>
      </c>
      <c r="AN72" s="258">
        <f t="shared" si="31"/>
        <v>2.5000000000000001E-3</v>
      </c>
      <c r="AO72" s="258">
        <f t="shared" si="32"/>
        <v>0.4</v>
      </c>
      <c r="AP72" s="258">
        <f t="shared" si="33"/>
        <v>0</v>
      </c>
      <c r="AQ72" s="136">
        <f t="shared" si="66"/>
        <v>3.3399999999999999E-2</v>
      </c>
      <c r="AR72" s="137">
        <f t="shared" si="35"/>
        <v>2.75E-2</v>
      </c>
      <c r="AS72" s="136">
        <f t="shared" si="67"/>
        <v>3.5369999999999999</v>
      </c>
      <c r="AT72" s="137">
        <f t="shared" si="68"/>
        <v>5.0737049222817202E-2</v>
      </c>
      <c r="AU72" s="137">
        <f t="shared" si="38"/>
        <v>0.80856976499568622</v>
      </c>
      <c r="AV72" s="394">
        <f t="shared" si="69"/>
        <v>250.65662714866272</v>
      </c>
      <c r="AW72" s="137">
        <f t="shared" si="40"/>
        <v>0.27</v>
      </c>
      <c r="AX72" s="137">
        <f t="shared" si="41"/>
        <v>0.75</v>
      </c>
      <c r="AY72" s="137">
        <f t="shared" si="42"/>
        <v>0.75</v>
      </c>
      <c r="AZ72" s="137"/>
      <c r="BA72" s="264"/>
      <c r="BB72" s="258">
        <f t="shared" si="43"/>
        <v>0</v>
      </c>
      <c r="BC72" s="258">
        <f t="shared" si="70"/>
        <v>0</v>
      </c>
      <c r="BD72" s="137">
        <f t="shared" si="71"/>
        <v>1.6944170124932878E-5</v>
      </c>
      <c r="BE72" s="137">
        <f t="shared" si="72"/>
        <v>1.6944170124932878E-5</v>
      </c>
      <c r="BF72" s="137">
        <f>_xll.xSPRDOPT($BW72,$BV72,$CG72,0,$BY72,$BX72,$BZ72,$AJ72,1,4)*$CB72</f>
        <v>9.6349368112641291E-7</v>
      </c>
      <c r="BG72" s="137">
        <f>_xll.xSPRDOPT($BW72,$BV72,$CG72,0,$BY72,$BX72,$BZ72,$AJ72,1,3)*$CB72</f>
        <v>5.7809620867584783E-7</v>
      </c>
      <c r="BH72" s="137">
        <f>IF(OR(BF72&lt;&gt;0,BG72&lt;&gt;0),_xll.xSPRDOPT($BW72,$BV72,$CG72,0,$BY72,$BX72,$BZ72,$AJ72,1,12)*$CB72,0)</f>
        <v>-2.4087342028160323E-7</v>
      </c>
      <c r="BI72" s="137">
        <f>_xll.xSPRDOPT($BW72,$BV72,$CG72,2*LN(1+CA72/2),$BY72,$BX72,$BZ72,$AJ72,1,9)</f>
        <v>1.1199771522607975E-2</v>
      </c>
      <c r="BJ72" s="137">
        <f>_xll.xSPRDOPT($BW72,$BV72,$CG72,0,$BY72,$BX72,$BZ72,$AJ72,1,6)*$CB72</f>
        <v>-2.6241136921536146E-4</v>
      </c>
      <c r="BK72" s="137">
        <f>_xll.xSPRDOPT($BW72,$BV72,$CG72,0,$BY72,$BX72,$BZ72,$AJ72,1,5)*$CB72</f>
        <v>2.8477661211135356E-4</v>
      </c>
      <c r="BL72" s="137">
        <f>_xll.xSPRDOPT(BW72,BV72,CG72,0,BY72,BX72,BZ72,AJ72,1,2)*CB72</f>
        <v>-0.80822935509412674</v>
      </c>
      <c r="BM72" s="137">
        <f>_xll.xSPRDOPT(BW72,BV72,CG72,0,BY72,BX72,BZ72,AJ72,1,1)*CB72</f>
        <v>0.80822935509853722</v>
      </c>
      <c r="BN72" s="137">
        <f>IF(AH72&lt;&gt;0,_xll.xSPRDOPT($BW72,$BV72,$CG72,2*LN(1+CA72/2),$BY72,$BX72,$BZ72,$AJ72,1,8)+(AJ72/365.25)*CH72/AH72,0)</f>
        <v>0.33902644764557144</v>
      </c>
      <c r="BO72" s="137">
        <f>_xll.xSPRDOPT($BW72,$BV72,$CG72,0,$BY72,$BX72,$BZ72,$AJ72,1,0)</f>
        <v>0.27658268927386681</v>
      </c>
      <c r="BP72" s="137"/>
      <c r="BQ72" s="137"/>
      <c r="BR72" s="137"/>
      <c r="BS72" s="137"/>
      <c r="BV72" s="262">
        <v>3.6370179948586117</v>
      </c>
      <c r="BW72" s="136">
        <v>3.9470000000000001</v>
      </c>
      <c r="BX72" s="137">
        <v>0.27889956870508348</v>
      </c>
      <c r="BY72" s="137">
        <v>0.27889956870508348</v>
      </c>
      <c r="BZ72" s="137">
        <v>1</v>
      </c>
      <c r="CA72" s="137">
        <v>5.0737049222817202E-2</v>
      </c>
      <c r="CB72" s="137">
        <v>0.80823708014464768</v>
      </c>
      <c r="CC72" s="258">
        <v>-1.2500000000000001E-2</v>
      </c>
      <c r="CD72" s="258">
        <v>2.5000000000000001E-3</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52"/>
        <v>38822</v>
      </c>
      <c r="F73" s="28">
        <f t="shared" si="53"/>
        <v>356</v>
      </c>
      <c r="G73" s="28">
        <f t="shared" si="13"/>
        <v>286.24005293663782</v>
      </c>
      <c r="H73" s="52">
        <f t="shared" si="54"/>
        <v>3.4519280205655525</v>
      </c>
      <c r="I73" s="52">
        <f t="shared" si="55"/>
        <v>3.9620000000000002</v>
      </c>
      <c r="K73" s="52">
        <f t="shared" si="56"/>
        <v>11.497972974162495</v>
      </c>
      <c r="L73" s="135">
        <f t="shared" si="57"/>
        <v>1.198228089194231E-6</v>
      </c>
      <c r="N73" s="131">
        <f t="shared" si="48"/>
        <v>0.25184329937151428</v>
      </c>
      <c r="O73" s="131">
        <f t="shared" si="49"/>
        <v>0.25184329937151428</v>
      </c>
      <c r="P73" s="55">
        <f t="shared" si="50"/>
        <v>1</v>
      </c>
      <c r="Q73" s="135">
        <f>_xll.xSPRDOPT(I73,H73,AQ73,0,O73,N73,P73,D73-$G$5,1,0)*AH73*AU73</f>
        <v>11.497974172390585</v>
      </c>
      <c r="R73" s="135"/>
      <c r="S73" s="181">
        <f>_xll.xSPRDOPT(I73,H73,AQ73,AT73,O73,N73,P73,D73-$G$5,1,2)*AF73*(F73/(1-AR73))*AH73</f>
        <v>-8805.5823563265458</v>
      </c>
      <c r="T73" s="181">
        <f>_xll.xSPRDOPT(I73,H73,AQ73,AT73,O73,N73,P73,D73-$G$5,1,1)*AF73*F73*AH73</f>
        <v>8563.4288414789989</v>
      </c>
      <c r="U73" s="135"/>
      <c r="V73" s="146">
        <f t="shared" si="58"/>
        <v>9.0527436966674308</v>
      </c>
      <c r="W73" s="146"/>
      <c r="X73" s="338">
        <f t="shared" si="59"/>
        <v>0</v>
      </c>
      <c r="Y73" s="338">
        <f t="shared" si="20"/>
        <v>0</v>
      </c>
      <c r="Z73" s="338">
        <f t="shared" si="21"/>
        <v>1.6943812385882899</v>
      </c>
      <c r="AA73" s="338">
        <f t="shared" si="22"/>
        <v>1.8078362964442182E-9</v>
      </c>
      <c r="AB73" s="338">
        <f t="shared" si="60"/>
        <v>0</v>
      </c>
      <c r="AC73" s="338">
        <f t="shared" si="61"/>
        <v>1.715918942663397</v>
      </c>
      <c r="AF73" s="138">
        <f t="shared" si="62"/>
        <v>1</v>
      </c>
      <c r="AG73" s="138">
        <f t="shared" si="63"/>
        <v>4</v>
      </c>
      <c r="AH73" s="138">
        <f t="shared" si="73"/>
        <v>30</v>
      </c>
      <c r="AI73" s="138">
        <f t="shared" si="64"/>
        <v>1566</v>
      </c>
      <c r="AJ73" s="138">
        <f t="shared" si="65"/>
        <v>1583</v>
      </c>
      <c r="AL73" s="136">
        <f t="shared" si="29"/>
        <v>3.3620000000000001</v>
      </c>
      <c r="AM73" s="258">
        <f t="shared" si="30"/>
        <v>-1.2500000000000001E-2</v>
      </c>
      <c r="AN73" s="258">
        <f t="shared" si="31"/>
        <v>7.4999999999999997E-3</v>
      </c>
      <c r="AO73" s="258">
        <f t="shared" si="32"/>
        <v>0.6</v>
      </c>
      <c r="AP73" s="258">
        <f t="shared" si="33"/>
        <v>0</v>
      </c>
      <c r="AQ73" s="136">
        <f t="shared" si="66"/>
        <v>3.3399999999999999E-2</v>
      </c>
      <c r="AR73" s="137">
        <f t="shared" si="35"/>
        <v>2.75E-2</v>
      </c>
      <c r="AS73" s="136">
        <f t="shared" si="67"/>
        <v>3.3569999999999998</v>
      </c>
      <c r="AT73" s="137">
        <f t="shared" si="68"/>
        <v>5.10592297577648E-2</v>
      </c>
      <c r="AU73" s="137">
        <f t="shared" si="38"/>
        <v>0.80404509251864564</v>
      </c>
      <c r="AV73" s="394">
        <f t="shared" si="69"/>
        <v>241.2135277555937</v>
      </c>
      <c r="AW73" s="137">
        <f t="shared" si="40"/>
        <v>0.25</v>
      </c>
      <c r="AX73" s="137">
        <f t="shared" si="41"/>
        <v>0.4</v>
      </c>
      <c r="AY73" s="137">
        <f t="shared" si="42"/>
        <v>0.4</v>
      </c>
      <c r="AZ73" s="137"/>
      <c r="BA73" s="264"/>
      <c r="BB73" s="258">
        <f t="shared" si="43"/>
        <v>0</v>
      </c>
      <c r="BC73" s="258">
        <f t="shared" si="70"/>
        <v>0</v>
      </c>
      <c r="BD73" s="137">
        <f t="shared" si="71"/>
        <v>3.4783452407816107E-6</v>
      </c>
      <c r="BE73" s="137">
        <f t="shared" si="72"/>
        <v>3.4783452407816107E-6</v>
      </c>
      <c r="BF73" s="137">
        <f>_xll.xSPRDOPT($BW73,$BV73,$CG73,0,$BY73,$BX73,$BZ73,$AJ73,1,4)*$CB73</f>
        <v>9.5809959804586091E-7</v>
      </c>
      <c r="BG73" s="137">
        <f>_xll.xSPRDOPT($BW73,$BV73,$CG73,0,$BY73,$BX73,$BZ73,$AJ73,1,3)*$CB73</f>
        <v>-3.8323983921834438E-7</v>
      </c>
      <c r="BH73" s="137">
        <f>IF(OR(BF73&lt;&gt;0,BG73&lt;&gt;0),_xll.xSPRDOPT($BW73,$BV73,$CG73,0,$BY73,$BX73,$BZ73,$AJ73,1,12)*$CB73,0)</f>
        <v>-4.7904979902293047E-8</v>
      </c>
      <c r="BI73" s="137">
        <f>_xll.xSPRDOPT($BW73,$BV73,$CG73,2*LN(1+CA73/2),$BY73,$BX73,$BZ73,$AJ73,1,9)</f>
        <v>1.9315628820049096E-2</v>
      </c>
      <c r="BJ73" s="137">
        <f>_xll.xSPRDOPT($BW73,$BV73,$CG73,0,$BY73,$BX73,$BZ73,$AJ73,1,6)*$CB73</f>
        <v>-3.2936207544729797E-7</v>
      </c>
      <c r="BK73" s="137">
        <f>_xll.xSPRDOPT($BW73,$BV73,$CG73,0,$BY73,$BX73,$BZ73,$AJ73,1,5)*$CB73</f>
        <v>3.7802690016917565E-7</v>
      </c>
      <c r="BL73" s="137">
        <f>_xll.xSPRDOPT(BW73,BV73,CG73,0,BY73,BX73,BZ73,AJ73,1,2)*CB73</f>
        <v>-0.80371225541741298</v>
      </c>
      <c r="BM73" s="137">
        <f>_xll.xSPRDOPT(BW73,BV73,CG73,0,BY73,BX73,BZ73,AJ73,1,1)*CB73</f>
        <v>0.80371225541814395</v>
      </c>
      <c r="BN73" s="137">
        <f>IF(AH73&lt;&gt;0,_xll.xSPRDOPT($BW73,$BV73,$CG73,2*LN(1+CA73/2),$BY73,$BX73,$BZ73,$AJ73,1,8)+(AJ73/365.25)*CH73/AH73,0)</f>
        <v>-0.35310948883439663</v>
      </c>
      <c r="BO73" s="137">
        <f>_xll.xSPRDOPT($BW73,$BV73,$CG73,0,$BY73,$BX73,$BZ73,$AJ73,1,0)</f>
        <v>0.47667202912375539</v>
      </c>
      <c r="BP73" s="137"/>
      <c r="BQ73" s="137"/>
      <c r="BR73" s="137"/>
      <c r="BS73" s="137"/>
      <c r="BV73" s="262">
        <v>3.4519280205655525</v>
      </c>
      <c r="BW73" s="136">
        <v>3.9620000000000002</v>
      </c>
      <c r="BX73" s="137">
        <v>0.2518398210262735</v>
      </c>
      <c r="BY73" s="137">
        <v>0.2518398210262735</v>
      </c>
      <c r="BZ73" s="137">
        <v>1</v>
      </c>
      <c r="CA73" s="137">
        <v>5.10592297577648E-2</v>
      </c>
      <c r="CB73" s="137">
        <v>0.80371219529642934</v>
      </c>
      <c r="CC73" s="258">
        <v>-1.2500000000000001E-2</v>
      </c>
      <c r="CD73" s="258">
        <v>7.4999999999999997E-3</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52"/>
        <v>38852</v>
      </c>
      <c r="F74" s="28">
        <f t="shared" si="53"/>
        <v>356</v>
      </c>
      <c r="G74" s="28">
        <f t="shared" si="13"/>
        <v>284.67541613778394</v>
      </c>
      <c r="H74" s="52">
        <f t="shared" si="54"/>
        <v>3.4493573264781494</v>
      </c>
      <c r="I74" s="52">
        <f t="shared" si="55"/>
        <v>4.1070000000000002</v>
      </c>
      <c r="K74" s="52">
        <f t="shared" si="56"/>
        <v>15.474446147555241</v>
      </c>
      <c r="L74" s="135">
        <f t="shared" si="57"/>
        <v>1.587385796142371E-6</v>
      </c>
      <c r="N74" s="131">
        <f t="shared" si="48"/>
        <v>0.24778090519241153</v>
      </c>
      <c r="O74" s="131">
        <f t="shared" si="49"/>
        <v>0.24778090519241153</v>
      </c>
      <c r="P74" s="55">
        <f t="shared" si="50"/>
        <v>1</v>
      </c>
      <c r="Q74" s="135">
        <f>_xll.xSPRDOPT(I74,H74,AQ74,0,O74,N74,P74,D74-$G$5,1,0)*AH74*AU74</f>
        <v>15.474447734941037</v>
      </c>
      <c r="R74" s="135"/>
      <c r="S74" s="181">
        <f>_xll.xSPRDOPT(I74,H74,AQ74,AT74,O74,N74,P74,D74-$G$5,1,2)*AF74*(F74/(1-AR74))*AH74</f>
        <v>-9048.5779389976142</v>
      </c>
      <c r="T74" s="181">
        <f>_xll.xSPRDOPT(I74,H74,AQ74,AT74,O74,N74,P74,D74-$G$5,1,1)*AF74*F74*AH74</f>
        <v>8799.7420455246211</v>
      </c>
      <c r="U74" s="135"/>
      <c r="V74" s="146">
        <f t="shared" si="58"/>
        <v>9.303368522392752</v>
      </c>
      <c r="W74" s="146"/>
      <c r="X74" s="338">
        <f t="shared" si="59"/>
        <v>0</v>
      </c>
      <c r="Y74" s="338">
        <f t="shared" si="20"/>
        <v>0</v>
      </c>
      <c r="Z74" s="338">
        <f t="shared" si="21"/>
        <v>2.2941125601238679</v>
      </c>
      <c r="AA74" s="338">
        <f t="shared" si="22"/>
        <v>-5.8221239240013723E-9</v>
      </c>
      <c r="AB74" s="338">
        <f t="shared" si="60"/>
        <v>0</v>
      </c>
      <c r="AC74" s="338">
        <f t="shared" si="61"/>
        <v>2.3234504859953455</v>
      </c>
      <c r="AF74" s="138">
        <f t="shared" si="62"/>
        <v>1</v>
      </c>
      <c r="AG74" s="138">
        <f t="shared" si="63"/>
        <v>5</v>
      </c>
      <c r="AH74" s="138">
        <f t="shared" si="73"/>
        <v>31</v>
      </c>
      <c r="AI74" s="138">
        <f t="shared" si="64"/>
        <v>1596</v>
      </c>
      <c r="AJ74" s="138">
        <f t="shared" si="65"/>
        <v>1613</v>
      </c>
      <c r="AL74" s="136">
        <f t="shared" si="29"/>
        <v>3.3570000000000002</v>
      </c>
      <c r="AM74" s="258">
        <f t="shared" si="30"/>
        <v>-0.01</v>
      </c>
      <c r="AN74" s="258">
        <f t="shared" si="31"/>
        <v>7.4999999999999997E-3</v>
      </c>
      <c r="AO74" s="258">
        <f t="shared" si="32"/>
        <v>0.75</v>
      </c>
      <c r="AP74" s="258">
        <f t="shared" si="33"/>
        <v>0</v>
      </c>
      <c r="AQ74" s="136">
        <f t="shared" si="66"/>
        <v>3.3399999999999999E-2</v>
      </c>
      <c r="AR74" s="137">
        <f t="shared" si="35"/>
        <v>2.75E-2</v>
      </c>
      <c r="AS74" s="136">
        <f t="shared" si="67"/>
        <v>3.3545000000000003</v>
      </c>
      <c r="AT74" s="137">
        <f t="shared" si="68"/>
        <v>5.1371017405212001E-2</v>
      </c>
      <c r="AU74" s="137">
        <f t="shared" si="38"/>
        <v>0.79965004533085371</v>
      </c>
      <c r="AV74" s="394">
        <f t="shared" si="69"/>
        <v>247.89151405256464</v>
      </c>
      <c r="AW74" s="137">
        <f t="shared" si="40"/>
        <v>0.245</v>
      </c>
      <c r="AX74" s="137">
        <f t="shared" si="41"/>
        <v>0.45</v>
      </c>
      <c r="AY74" s="137">
        <f t="shared" si="42"/>
        <v>0.45</v>
      </c>
      <c r="AZ74" s="137"/>
      <c r="BA74" s="264"/>
      <c r="BB74" s="258">
        <f t="shared" si="43"/>
        <v>0</v>
      </c>
      <c r="BC74" s="258">
        <f t="shared" si="70"/>
        <v>0</v>
      </c>
      <c r="BD74" s="137">
        <f t="shared" si="71"/>
        <v>5.1384239313778668E-6</v>
      </c>
      <c r="BE74" s="137">
        <f t="shared" si="72"/>
        <v>5.1384239313778668E-6</v>
      </c>
      <c r="BF74" s="137">
        <f>_xll.xSPRDOPT($BW74,$BV74,$CG74,0,$BY74,$BX74,$BZ74,$AJ74,1,4)*$CB74</f>
        <v>7.622880667968921E-7</v>
      </c>
      <c r="BG74" s="137">
        <f>_xll.xSPRDOPT($BW74,$BV74,$CG74,0,$BY74,$BX74,$BZ74,$AJ74,1,3)*$CB74</f>
        <v>3.8114403339844605E-7</v>
      </c>
      <c r="BH74" s="137">
        <f>IF(OR(BF74&lt;&gt;0,BG74&lt;&gt;0),_xll.xSPRDOPT($BW74,$BV74,$CG74,0,$BY74,$BX74,$BZ74,$AJ74,1,12)*$CB74,0)</f>
        <v>3.8114403339844605E-7</v>
      </c>
      <c r="BI74" s="137">
        <f>_xll.xSPRDOPT($BW74,$BV74,$CG74,2*LN(1+CA74/2),$BY74,$BX74,$BZ74,$AJ74,1,9)</f>
        <v>2.5308826041598488E-2</v>
      </c>
      <c r="BJ74" s="137">
        <f>_xll.xSPRDOPT($BW74,$BV74,$CG74,0,$BY74,$BX74,$BZ74,$AJ74,1,6)*$CB74</f>
        <v>5.3841403662547527E-7</v>
      </c>
      <c r="BK74" s="137">
        <f>_xll.xSPRDOPT($BW74,$BV74,$CG74,0,$BY74,$BX74,$BZ74,$AJ74,1,5)*$CB74</f>
        <v>-6.4108315239128144E-7</v>
      </c>
      <c r="BL74" s="137">
        <f>_xll.xSPRDOPT(BW74,BV74,CG74,0,BY74,BX74,BZ74,AJ74,1,2)*CB74</f>
        <v>-0.79931705359066929</v>
      </c>
      <c r="BM74" s="137">
        <f>_xll.xSPRDOPT(BW74,BV74,CG74,0,BY74,BX74,BZ74,AJ74,1,1)*CB74</f>
        <v>0.7993170535761297</v>
      </c>
      <c r="BN74" s="137">
        <f>IF(AH74&lt;&gt;0,_xll.xSPRDOPT($BW74,$BV74,$CG74,2*LN(1+CA74/2),$BY74,$BX74,$BZ74,$AJ74,1,8)+(AJ74/365.25)*CH74/AH74,0)</f>
        <v>-0.87874453730057134</v>
      </c>
      <c r="BO74" s="137">
        <f>_xll.xSPRDOPT($BW74,$BV74,$CG74,0,$BY74,$BX74,$BZ74,$AJ74,1,0)</f>
        <v>0.62424273752842696</v>
      </c>
      <c r="BP74" s="137"/>
      <c r="BQ74" s="137"/>
      <c r="BR74" s="137"/>
      <c r="BS74" s="137"/>
      <c r="BV74" s="262">
        <v>3.4493573264781494</v>
      </c>
      <c r="BW74" s="136">
        <v>4.1070000000000002</v>
      </c>
      <c r="BX74" s="137">
        <v>0.24777576676848015</v>
      </c>
      <c r="BY74" s="137">
        <v>0.24777576676848015</v>
      </c>
      <c r="BZ74" s="137">
        <v>1</v>
      </c>
      <c r="CA74" s="137">
        <v>5.1371017405212001E-2</v>
      </c>
      <c r="CB74" s="137">
        <v>0.79931697192961793</v>
      </c>
      <c r="CC74" s="258">
        <v>-0.01</v>
      </c>
      <c r="CD74" s="258">
        <v>7.4999999999999997E-3</v>
      </c>
      <c r="CE74" s="258">
        <v>0.75</v>
      </c>
      <c r="CF74" s="258">
        <v>0</v>
      </c>
      <c r="CG74" s="258">
        <v>3.3399999999999999E-2</v>
      </c>
      <c r="CH74" s="258">
        <v>9.2994934465207546</v>
      </c>
      <c r="CI74" s="258">
        <v>3.3570000000000002</v>
      </c>
      <c r="CJ74" s="258"/>
      <c r="CK74" s="258"/>
      <c r="CL74" s="258"/>
      <c r="CM74" s="258"/>
    </row>
    <row r="75" spans="1:91" x14ac:dyDescent="0.25">
      <c r="A75" s="723"/>
      <c r="B75" s="723"/>
      <c r="D75" s="31">
        <f t="shared" si="52"/>
        <v>38883</v>
      </c>
      <c r="F75" s="28">
        <f t="shared" si="53"/>
        <v>356</v>
      </c>
      <c r="G75" s="28">
        <f t="shared" si="13"/>
        <v>283.05282052187471</v>
      </c>
      <c r="H75" s="52">
        <f t="shared" si="54"/>
        <v>3.4853470437017995</v>
      </c>
      <c r="I75" s="52">
        <f t="shared" si="55"/>
        <v>4.242</v>
      </c>
      <c r="K75" s="52">
        <f t="shared" si="56"/>
        <v>17.251583362162069</v>
      </c>
      <c r="L75" s="135">
        <f t="shared" si="57"/>
        <v>1.7535068330687409E-6</v>
      </c>
      <c r="N75" s="131">
        <f t="shared" si="48"/>
        <v>0.2500930627639058</v>
      </c>
      <c r="O75" s="131">
        <f t="shared" si="49"/>
        <v>0.2500930627639058</v>
      </c>
      <c r="P75" s="55">
        <f t="shared" si="50"/>
        <v>1</v>
      </c>
      <c r="Q75" s="135">
        <f>_xll.xSPRDOPT(I75,H75,AQ75,0,O75,N75,P75,D75-$G$5,1,0)*AH75*AU75</f>
        <v>17.251585115668902</v>
      </c>
      <c r="R75" s="135"/>
      <c r="S75" s="181">
        <f>_xll.xSPRDOPT(I75,H75,AQ75,AT75,O75,N75,P75,D75-$G$5,1,2)*AF75*(F75/(1-AR75))*AH75</f>
        <v>-8705.9809956555218</v>
      </c>
      <c r="T75" s="181">
        <f>_xll.xSPRDOPT(I75,H75,AQ75,AT75,O75,N75,P75,D75-$G$5,1,1)*AF75*F75*AH75</f>
        <v>8466.5665183138481</v>
      </c>
      <c r="U75" s="135"/>
      <c r="V75" s="146">
        <f t="shared" si="58"/>
        <v>8.9519429951005272</v>
      </c>
      <c r="W75" s="146"/>
      <c r="X75" s="338">
        <f t="shared" si="59"/>
        <v>0</v>
      </c>
      <c r="Y75" s="338">
        <f t="shared" si="20"/>
        <v>0</v>
      </c>
      <c r="Z75" s="338">
        <f t="shared" si="21"/>
        <v>2.573406781716526</v>
      </c>
      <c r="AA75" s="338">
        <f t="shared" si="22"/>
        <v>-6.6076109903949098E-9</v>
      </c>
      <c r="AB75" s="338">
        <f t="shared" si="60"/>
        <v>0</v>
      </c>
      <c r="AC75" s="338">
        <f t="shared" si="61"/>
        <v>2.6065219218873761</v>
      </c>
      <c r="AF75" s="138">
        <f t="shared" si="62"/>
        <v>1</v>
      </c>
      <c r="AG75" s="138">
        <f t="shared" si="63"/>
        <v>6</v>
      </c>
      <c r="AH75" s="138">
        <f t="shared" si="73"/>
        <v>30</v>
      </c>
      <c r="AI75" s="138">
        <f t="shared" si="64"/>
        <v>1627</v>
      </c>
      <c r="AJ75" s="138">
        <f t="shared" si="65"/>
        <v>1644</v>
      </c>
      <c r="AL75" s="136">
        <f t="shared" si="29"/>
        <v>3.3919999999999999</v>
      </c>
      <c r="AM75" s="258">
        <f t="shared" si="30"/>
        <v>-0.01</v>
      </c>
      <c r="AN75" s="258">
        <f t="shared" si="31"/>
        <v>7.4999999999999997E-3</v>
      </c>
      <c r="AO75" s="258">
        <f t="shared" si="32"/>
        <v>0.85</v>
      </c>
      <c r="AP75" s="258">
        <f t="shared" si="33"/>
        <v>0</v>
      </c>
      <c r="AQ75" s="136">
        <f t="shared" si="66"/>
        <v>3.3399999999999999E-2</v>
      </c>
      <c r="AR75" s="137">
        <f t="shared" si="35"/>
        <v>2.75E-2</v>
      </c>
      <c r="AS75" s="136">
        <f t="shared" si="67"/>
        <v>3.3895</v>
      </c>
      <c r="AT75" s="137">
        <f t="shared" si="68"/>
        <v>5.1693198008315698E-2</v>
      </c>
      <c r="AU75" s="137">
        <f t="shared" si="38"/>
        <v>0.79509219247717622</v>
      </c>
      <c r="AV75" s="394">
        <f t="shared" si="69"/>
        <v>238.52765774315287</v>
      </c>
      <c r="AW75" s="137">
        <f t="shared" si="40"/>
        <v>0.2475</v>
      </c>
      <c r="AX75" s="137">
        <f t="shared" si="41"/>
        <v>0.45</v>
      </c>
      <c r="AY75" s="137">
        <f t="shared" si="42"/>
        <v>0.45</v>
      </c>
      <c r="AZ75" s="137"/>
      <c r="BA75" s="264"/>
      <c r="BB75" s="258">
        <f t="shared" si="43"/>
        <v>0</v>
      </c>
      <c r="BC75" s="258">
        <f t="shared" si="70"/>
        <v>0</v>
      </c>
      <c r="BD75" s="137">
        <f t="shared" si="71"/>
        <v>4.7045180826543742E-6</v>
      </c>
      <c r="BE75" s="137">
        <f t="shared" si="72"/>
        <v>4.7045180826543742E-6</v>
      </c>
      <c r="BF75" s="137">
        <f>_xll.xSPRDOPT($BW75,$BV75,$CG75,0,$BY75,$BX75,$BZ75,$AJ75,1,4)*$CB75</f>
        <v>9.4742651847317153E-7</v>
      </c>
      <c r="BG75" s="137">
        <f>_xll.xSPRDOPT($BW75,$BV75,$CG75,0,$BY75,$BX75,$BZ75,$AJ75,1,3)*$CB75</f>
        <v>1.894853036946343E-7</v>
      </c>
      <c r="BH75" s="137">
        <f>IF(OR(BF75&lt;&gt;0,BG75&lt;&gt;0),_xll.xSPRDOPT($BW75,$BV75,$CG75,0,$BY75,$BX75,$BZ75,$AJ75,1,12)*$CB75,0)</f>
        <v>0</v>
      </c>
      <c r="BI75" s="137">
        <f>_xll.xSPRDOPT($BW75,$BV75,$CG75,2*LN(1+CA75/2),$BY75,$BX75,$BZ75,$AJ75,1,9)</f>
        <v>2.9336355400186052E-2</v>
      </c>
      <c r="BJ75" s="137">
        <f>_xll.xSPRDOPT($BW75,$BV75,$CG75,0,$BY75,$BX75,$BZ75,$AJ75,1,6)*$CB75</f>
        <v>6.057648834420148E-7</v>
      </c>
      <c r="BK75" s="137">
        <f>_xll.xSPRDOPT($BW75,$BV75,$CG75,0,$BY75,$BX75,$BZ75,$AJ75,1,5)*$CB75</f>
        <v>-7.3727466973045361E-7</v>
      </c>
      <c r="BL75" s="137">
        <f>_xll.xSPRDOPT(BW75,BV75,CG75,0,BY75,BX75,BZ75,AJ75,1,2)*CB75</f>
        <v>-0.79475904868033598</v>
      </c>
      <c r="BM75" s="137">
        <f>_xll.xSPRDOPT(BW75,BV75,CG75,0,BY75,BX75,BZ75,AJ75,1,1)*CB75</f>
        <v>0.79475904868611857</v>
      </c>
      <c r="BN75" s="137">
        <f>IF(AH75&lt;&gt;0,_xll.xSPRDOPT($BW75,$BV75,$CG75,2*LN(1+CA75/2),$BY75,$BX75,$BZ75,$AJ75,1,8)+(AJ75/365.25)*CH75/AH75,0)</f>
        <v>-1.2447084783741917</v>
      </c>
      <c r="BO75" s="137">
        <f>_xll.xSPRDOPT($BW75,$BV75,$CG75,0,$BY75,$BX75,$BZ75,$AJ75,1,0)</f>
        <v>0.72325302977499495</v>
      </c>
      <c r="BP75" s="137"/>
      <c r="BQ75" s="137"/>
      <c r="BR75" s="137"/>
      <c r="BS75" s="137"/>
      <c r="BV75" s="262">
        <v>3.4853470437017995</v>
      </c>
      <c r="BW75" s="136">
        <v>4.242</v>
      </c>
      <c r="BX75" s="137">
        <v>0.25008835824582315</v>
      </c>
      <c r="BY75" s="137">
        <v>0.25008835824582315</v>
      </c>
      <c r="BZ75" s="137">
        <v>1</v>
      </c>
      <c r="CA75" s="137">
        <v>5.1693198008315698E-2</v>
      </c>
      <c r="CB75" s="137">
        <v>0.79475896722761941</v>
      </c>
      <c r="CC75" s="258">
        <v>-0.01</v>
      </c>
      <c r="CD75" s="258">
        <v>7.4999999999999997E-3</v>
      </c>
      <c r="CE75" s="258">
        <v>0.85</v>
      </c>
      <c r="CF75" s="258">
        <v>0</v>
      </c>
      <c r="CG75" s="258">
        <v>3.3399999999999999E-2</v>
      </c>
      <c r="CH75" s="258">
        <v>8.9481912120157663</v>
      </c>
      <c r="CI75" s="258">
        <v>3.3919999999999999</v>
      </c>
      <c r="CJ75" s="258"/>
      <c r="CK75" s="258"/>
      <c r="CL75" s="258"/>
      <c r="CM75" s="258"/>
    </row>
    <row r="76" spans="1:91" x14ac:dyDescent="0.25">
      <c r="A76" s="723"/>
      <c r="B76" s="723"/>
      <c r="D76" s="31">
        <f t="shared" si="52"/>
        <v>38913</v>
      </c>
      <c r="F76" s="28">
        <f t="shared" si="53"/>
        <v>356</v>
      </c>
      <c r="G76" s="28">
        <f t="shared" si="13"/>
        <v>281.477144377115</v>
      </c>
      <c r="H76" s="52">
        <f t="shared" si="54"/>
        <v>3.526478149100257</v>
      </c>
      <c r="I76" s="52">
        <f t="shared" si="55"/>
        <v>4.4820000000000002</v>
      </c>
      <c r="K76" s="52">
        <f t="shared" si="56"/>
        <v>22.60180614081176</v>
      </c>
      <c r="L76" s="135">
        <f t="shared" si="57"/>
        <v>2.2860321529094563E-6</v>
      </c>
      <c r="N76" s="131">
        <f t="shared" si="48"/>
        <v>0.25100885381510452</v>
      </c>
      <c r="O76" s="131">
        <f t="shared" si="49"/>
        <v>0.25100885381510452</v>
      </c>
      <c r="P76" s="55">
        <f t="shared" si="50"/>
        <v>0.99999999999999978</v>
      </c>
      <c r="Q76" s="135">
        <f>_xll.xSPRDOPT(I76,H76,AQ76,0,O76,N76,P76,D76-$G$5,1,0)*AH76*AU76</f>
        <v>22.601808426843913</v>
      </c>
      <c r="R76" s="135"/>
      <c r="S76" s="181">
        <f>_xll.xSPRDOPT(I76,H76,AQ76,AT76,O76,N76,P76,D76-$G$5,1,2)*AF76*(F76/(1-AR76))*AH76</f>
        <v>-8945.2961289107861</v>
      </c>
      <c r="T76" s="181">
        <f>_xll.xSPRDOPT(I76,H76,AQ76,AT76,O76,N76,P76,D76-$G$5,1,1)*AF76*F76*AH76</f>
        <v>8699.3004855464096</v>
      </c>
      <c r="U76" s="135"/>
      <c r="V76" s="146">
        <f t="shared" si="58"/>
        <v>9.1988470247940164</v>
      </c>
      <c r="W76" s="146"/>
      <c r="X76" s="338">
        <f t="shared" si="59"/>
        <v>0</v>
      </c>
      <c r="Y76" s="338">
        <f t="shared" si="20"/>
        <v>0</v>
      </c>
      <c r="Z76" s="338">
        <f t="shared" si="21"/>
        <v>3.3915637539560084</v>
      </c>
      <c r="AA76" s="338">
        <f t="shared" si="22"/>
        <v>-1.182088198780218E-8</v>
      </c>
      <c r="AB76" s="338">
        <f t="shared" si="60"/>
        <v>0</v>
      </c>
      <c r="AC76" s="338">
        <f t="shared" si="61"/>
        <v>3.4354692280307577</v>
      </c>
      <c r="AF76" s="138">
        <f t="shared" si="62"/>
        <v>1</v>
      </c>
      <c r="AG76" s="138">
        <f t="shared" si="63"/>
        <v>7</v>
      </c>
      <c r="AH76" s="138">
        <f t="shared" si="73"/>
        <v>31</v>
      </c>
      <c r="AI76" s="138">
        <f t="shared" si="64"/>
        <v>1657</v>
      </c>
      <c r="AJ76" s="138">
        <f t="shared" si="65"/>
        <v>1674</v>
      </c>
      <c r="AL76" s="136">
        <f t="shared" si="29"/>
        <v>3.4319999999999999</v>
      </c>
      <c r="AM76" s="258">
        <f t="shared" si="30"/>
        <v>-0.01</v>
      </c>
      <c r="AN76" s="258">
        <f t="shared" si="31"/>
        <v>7.4999999999999997E-3</v>
      </c>
      <c r="AO76" s="258">
        <f t="shared" si="32"/>
        <v>1.05</v>
      </c>
      <c r="AP76" s="258">
        <f t="shared" si="33"/>
        <v>0</v>
      </c>
      <c r="AQ76" s="136">
        <f t="shared" si="66"/>
        <v>3.3399999999999999E-2</v>
      </c>
      <c r="AR76" s="137">
        <f t="shared" si="35"/>
        <v>2.75E-2</v>
      </c>
      <c r="AS76" s="136">
        <f t="shared" si="67"/>
        <v>3.4295</v>
      </c>
      <c r="AT76" s="137">
        <f t="shared" si="68"/>
        <v>5.2004985721710598E-2</v>
      </c>
      <c r="AU76" s="137">
        <f t="shared" si="38"/>
        <v>0.7906661358907725</v>
      </c>
      <c r="AV76" s="394">
        <f t="shared" si="69"/>
        <v>245.10650212613947</v>
      </c>
      <c r="AW76" s="137">
        <f t="shared" si="40"/>
        <v>0.2475</v>
      </c>
      <c r="AX76" s="137">
        <f t="shared" si="41"/>
        <v>0.5</v>
      </c>
      <c r="AY76" s="137">
        <f t="shared" si="42"/>
        <v>0.5</v>
      </c>
      <c r="AZ76" s="137"/>
      <c r="BA76" s="264"/>
      <c r="BB76" s="258">
        <f t="shared" si="43"/>
        <v>0</v>
      </c>
      <c r="BC76" s="258">
        <f t="shared" si="70"/>
        <v>0</v>
      </c>
      <c r="BD76" s="137">
        <f t="shared" si="71"/>
        <v>6.2388038960525805E-6</v>
      </c>
      <c r="BE76" s="137">
        <f t="shared" si="72"/>
        <v>6.2388038960525805E-6</v>
      </c>
      <c r="BF76" s="137">
        <f>_xll.xSPRDOPT($BW76,$BV76,$CG76,0,$BY76,$BX76,$BZ76,$AJ76,1,4)*$CB76</f>
        <v>3.7686004295529476E-7</v>
      </c>
      <c r="BG76" s="137">
        <f>_xll.xSPRDOPT($BW76,$BV76,$CG76,0,$BY76,$BX76,$BZ76,$AJ76,1,3)*$CB76</f>
        <v>3.7686004295529476E-7</v>
      </c>
      <c r="BH76" s="137">
        <f>IF(OR(BF76&lt;&gt;0,BG76&lt;&gt;0),_xll.xSPRDOPT($BW76,$BV76,$CG76,0,$BY76,$BX76,$BZ76,$AJ76,1,12)*$CB76,0)</f>
        <v>-2.8264503221647106E-7</v>
      </c>
      <c r="BI76" s="137">
        <f>_xll.xSPRDOPT($BW76,$BV76,$CG76,2*LN(1+CA76/2),$BY76,$BX76,$BZ76,$AJ76,1,9)</f>
        <v>3.7415991939483875E-2</v>
      </c>
      <c r="BJ76" s="137">
        <f>_xll.xSPRDOPT($BW76,$BV76,$CG76,0,$BY76,$BX76,$BZ76,$AJ76,1,6)*$CB76</f>
        <v>6.3360983561151666E-7</v>
      </c>
      <c r="BK76" s="137">
        <f>_xll.xSPRDOPT($BW76,$BV76,$CG76,0,$BY76,$BX76,$BZ76,$AJ76,1,5)*$CB76</f>
        <v>-8.052966154767266E-7</v>
      </c>
      <c r="BL76" s="137">
        <f>_xll.xSPRDOPT(BW76,BV76,CG76,0,BY76,BX76,BZ76,AJ76,1,2)*CB76</f>
        <v>-0.79033287346072167</v>
      </c>
      <c r="BM76" s="137">
        <f>_xll.xSPRDOPT(BW76,BV76,CG76,0,BY76,BX76,BZ76,AJ76,1,1)*CB76</f>
        <v>0.79033287347078496</v>
      </c>
      <c r="BN76" s="137">
        <f>IF(AH76&lt;&gt;0,_xll.xSPRDOPT($BW76,$BV76,$CG76,2*LN(1+CA76/2),$BY76,$BX76,$BZ76,$AJ76,1,8)+(AJ76/365.25)*CH76/AH76,0)</f>
        <v>-1.9807112390819928</v>
      </c>
      <c r="BO76" s="137">
        <f>_xll.xSPRDOPT($BW76,$BV76,$CG76,0,$BY76,$BX76,$BZ76,$AJ76,1,0)</f>
        <v>0.92212194411912973</v>
      </c>
      <c r="BP76" s="137"/>
      <c r="BQ76" s="137"/>
      <c r="BR76" s="137"/>
      <c r="BS76" s="137"/>
      <c r="BV76" s="262">
        <v>3.526478149100257</v>
      </c>
      <c r="BW76" s="136">
        <v>4.4820000000000002</v>
      </c>
      <c r="BX76" s="137">
        <v>0.25100261501120846</v>
      </c>
      <c r="BY76" s="137">
        <v>0.25100261501120846</v>
      </c>
      <c r="BZ76" s="137">
        <v>1</v>
      </c>
      <c r="CA76" s="137">
        <v>5.2004985721710598E-2</v>
      </c>
      <c r="CB76" s="137">
        <v>0.79033279280378232</v>
      </c>
      <c r="CC76" s="258">
        <v>-0.01</v>
      </c>
      <c r="CD76" s="258">
        <v>7.4999999999999997E-3</v>
      </c>
      <c r="CE76" s="258">
        <v>1.05</v>
      </c>
      <c r="CF76" s="258">
        <v>0</v>
      </c>
      <c r="CG76" s="258">
        <v>3.3399999999999999E-2</v>
      </c>
      <c r="CH76" s="258">
        <v>9.1949688113170467</v>
      </c>
      <c r="CI76" s="258">
        <v>3.4319999999999999</v>
      </c>
      <c r="CJ76" s="258"/>
      <c r="CK76" s="258"/>
      <c r="CL76" s="258"/>
      <c r="CM76" s="258"/>
    </row>
    <row r="77" spans="1:91" x14ac:dyDescent="0.25">
      <c r="A77" s="723"/>
      <c r="B77" s="723"/>
      <c r="D77" s="31">
        <f t="shared" si="52"/>
        <v>38944</v>
      </c>
      <c r="F77" s="28">
        <f t="shared" si="53"/>
        <v>356</v>
      </c>
      <c r="G77" s="28">
        <f t="shared" si="13"/>
        <v>279.84354568869782</v>
      </c>
      <c r="H77" s="52">
        <f t="shared" si="54"/>
        <v>3.5624678663239071</v>
      </c>
      <c r="I77" s="52">
        <f t="shared" si="55"/>
        <v>4.5220000000000002</v>
      </c>
      <c r="K77" s="52">
        <f t="shared" si="56"/>
        <v>22.568357028058614</v>
      </c>
      <c r="L77" s="135">
        <f t="shared" si="57"/>
        <v>2.2655907834234768E-6</v>
      </c>
      <c r="N77" s="131">
        <f t="shared" si="48"/>
        <v>0.25189542698197026</v>
      </c>
      <c r="O77" s="131">
        <f t="shared" si="49"/>
        <v>0.25189542698197026</v>
      </c>
      <c r="P77" s="55">
        <f t="shared" si="50"/>
        <v>1</v>
      </c>
      <c r="Q77" s="135">
        <f>_xll.xSPRDOPT(I77,H77,AQ77,0,O77,N77,P77,D77-$G$5,1,0)*AH77*AU77</f>
        <v>22.568359293649397</v>
      </c>
      <c r="R77" s="135"/>
      <c r="S77" s="181">
        <f>_xll.xSPRDOPT(I77,H77,AQ77,AT77,O77,N77,P77,D77-$G$5,1,2)*AF77*(F77/(1-AR77))*AH77</f>
        <v>-8892.5395997632586</v>
      </c>
      <c r="T77" s="181">
        <f>_xll.xSPRDOPT(I77,H77,AQ77,AT77,O77,N77,P77,D77-$G$5,1,1)*AF77*F77*AH77</f>
        <v>8647.9947608299917</v>
      </c>
      <c r="U77" s="135"/>
      <c r="V77" s="146">
        <f t="shared" si="58"/>
        <v>9.1454600101292627</v>
      </c>
      <c r="W77" s="146"/>
      <c r="X77" s="338">
        <f t="shared" si="59"/>
        <v>0</v>
      </c>
      <c r="Y77" s="338">
        <f t="shared" si="20"/>
        <v>0</v>
      </c>
      <c r="Z77" s="338">
        <f t="shared" si="21"/>
        <v>3.4072473437400763</v>
      </c>
      <c r="AA77" s="338">
        <f t="shared" si="22"/>
        <v>-1.4805282730724112E-8</v>
      </c>
      <c r="AB77" s="338">
        <f t="shared" si="60"/>
        <v>0</v>
      </c>
      <c r="AC77" s="338">
        <f t="shared" si="61"/>
        <v>3.4516279467611737</v>
      </c>
      <c r="AF77" s="138">
        <f t="shared" si="62"/>
        <v>1</v>
      </c>
      <c r="AG77" s="138">
        <f t="shared" si="63"/>
        <v>8</v>
      </c>
      <c r="AH77" s="138">
        <f t="shared" si="73"/>
        <v>31</v>
      </c>
      <c r="AI77" s="138">
        <f t="shared" si="64"/>
        <v>1688</v>
      </c>
      <c r="AJ77" s="138">
        <f t="shared" si="65"/>
        <v>1705</v>
      </c>
      <c r="AL77" s="136">
        <f t="shared" si="29"/>
        <v>3.472</v>
      </c>
      <c r="AM77" s="258">
        <f t="shared" si="30"/>
        <v>-1.4999999999999999E-2</v>
      </c>
      <c r="AN77" s="258">
        <f t="shared" si="31"/>
        <v>7.4999999999999997E-3</v>
      </c>
      <c r="AO77" s="258">
        <f t="shared" si="32"/>
        <v>1.05</v>
      </c>
      <c r="AP77" s="258">
        <f t="shared" si="33"/>
        <v>0</v>
      </c>
      <c r="AQ77" s="136">
        <f t="shared" si="66"/>
        <v>3.3399999999999999E-2</v>
      </c>
      <c r="AR77" s="137">
        <f t="shared" si="35"/>
        <v>2.75E-2</v>
      </c>
      <c r="AS77" s="136">
        <f t="shared" si="67"/>
        <v>3.4644999999999997</v>
      </c>
      <c r="AT77" s="137">
        <f t="shared" si="68"/>
        <v>5.2327166392949202E-2</v>
      </c>
      <c r="AU77" s="137">
        <f t="shared" si="38"/>
        <v>0.78607737553005008</v>
      </c>
      <c r="AV77" s="394">
        <f t="shared" si="69"/>
        <v>243.68398641431551</v>
      </c>
      <c r="AW77" s="137">
        <f t="shared" si="40"/>
        <v>0.2475</v>
      </c>
      <c r="AX77" s="137">
        <f t="shared" si="41"/>
        <v>0.55000000000000004</v>
      </c>
      <c r="AY77" s="137">
        <f t="shared" si="42"/>
        <v>0.55000000000000004</v>
      </c>
      <c r="AZ77" s="137"/>
      <c r="BA77" s="264"/>
      <c r="BB77" s="258">
        <f t="shared" si="43"/>
        <v>0</v>
      </c>
      <c r="BC77" s="258">
        <f t="shared" si="70"/>
        <v>0</v>
      </c>
      <c r="BD77" s="137">
        <f t="shared" si="71"/>
        <v>7.659790955905077E-6</v>
      </c>
      <c r="BE77" s="137">
        <f t="shared" si="72"/>
        <v>7.659790955905077E-6</v>
      </c>
      <c r="BF77" s="137">
        <f>_xll.xSPRDOPT($BW77,$BV77,$CG77,0,$BY77,$BX77,$BZ77,$AJ77,1,4)*$CB77</f>
        <v>1.873359538635193E-7</v>
      </c>
      <c r="BG77" s="137">
        <f>_xll.xSPRDOPT($BW77,$BV77,$CG77,0,$BY77,$BX77,$BZ77,$AJ77,1,3)*$CB77</f>
        <v>1.873359538635193E-7</v>
      </c>
      <c r="BH77" s="137">
        <f>IF(OR(BF77&lt;&gt;0,BG77&lt;&gt;0),_xll.xSPRDOPT($BW77,$BV77,$CG77,0,$BY77,$BX77,$BZ77,$AJ77,1,12)*$CB77,0)</f>
        <v>-7.4934381545407719E-7</v>
      </c>
      <c r="BI77" s="137">
        <f>_xll.xSPRDOPT($BW77,$BV77,$CG77,2*LN(1+CA77/2),$BY77,$BX77,$BZ77,$AJ77,1,9)</f>
        <v>3.7589014507099887E-2</v>
      </c>
      <c r="BJ77" s="137">
        <f>_xll.xSPRDOPT($BW77,$BV77,$CG77,0,$BY77,$BX77,$BZ77,$AJ77,1,6)*$CB77</f>
        <v>6.5029349747519572E-7</v>
      </c>
      <c r="BK77" s="137">
        <f>_xll.xSPRDOPT($BW77,$BV77,$CG77,0,$BY77,$BX77,$BZ77,$AJ77,1,5)*$CB77</f>
        <v>-8.2543460678947084E-7</v>
      </c>
      <c r="BL77" s="137">
        <f>_xll.xSPRDOPT(BW77,BV77,CG77,0,BY77,BX77,BZ77,AJ77,1,2)*CB77</f>
        <v>-0.78574402025764356</v>
      </c>
      <c r="BM77" s="137">
        <f>_xll.xSPRDOPT(BW77,BV77,CG77,0,BY77,BX77,BZ77,AJ77,1,1)*CB77</f>
        <v>0.78574402026050205</v>
      </c>
      <c r="BN77" s="137">
        <f>IF(AH77&lt;&gt;0,_xll.xSPRDOPT($BW77,$BV77,$CG77,2*LN(1+CA77/2),$BY77,$BX77,$BZ77,$AJ77,1,8)+(AJ77/365.25)*CH77/AH77,0)</f>
        <v>-2.0203868824894844</v>
      </c>
      <c r="BO77" s="137">
        <f>_xll.xSPRDOPT($BW77,$BV77,$CG77,0,$BY77,$BX77,$BZ77,$AJ77,1,0)</f>
        <v>0.92613222660089267</v>
      </c>
      <c r="BP77" s="137"/>
      <c r="BQ77" s="137"/>
      <c r="BR77" s="137"/>
      <c r="BS77" s="137"/>
      <c r="BV77" s="262">
        <v>3.5624678663239071</v>
      </c>
      <c r="BW77" s="136">
        <v>4.5220000000000002</v>
      </c>
      <c r="BX77" s="137">
        <v>0.25188776719101436</v>
      </c>
      <c r="BY77" s="137">
        <v>0.25188776719101436</v>
      </c>
      <c r="BZ77" s="137">
        <v>1</v>
      </c>
      <c r="CA77" s="137">
        <v>5.2327166392949202E-2</v>
      </c>
      <c r="CB77" s="137">
        <v>0.78574394063357444</v>
      </c>
      <c r="CC77" s="258">
        <v>-1.4999999999999999E-2</v>
      </c>
      <c r="CD77" s="258">
        <v>7.4999999999999997E-3</v>
      </c>
      <c r="CE77" s="258">
        <v>1.05</v>
      </c>
      <c r="CF77" s="258">
        <v>0</v>
      </c>
      <c r="CG77" s="258">
        <v>3.3399999999999999E-2</v>
      </c>
      <c r="CH77" s="258">
        <v>9.1415807285131958</v>
      </c>
      <c r="CI77" s="258">
        <v>3.472</v>
      </c>
      <c r="CJ77" s="258"/>
      <c r="CK77" s="258"/>
      <c r="CL77" s="258"/>
      <c r="CM77" s="258"/>
    </row>
    <row r="78" spans="1:91" x14ac:dyDescent="0.25">
      <c r="A78" s="723"/>
      <c r="B78" s="723"/>
      <c r="D78" s="31">
        <f t="shared" si="52"/>
        <v>38975</v>
      </c>
      <c r="F78" s="28">
        <f t="shared" si="53"/>
        <v>356</v>
      </c>
      <c r="G78" s="28">
        <f t="shared" si="13"/>
        <v>278.20466447145401</v>
      </c>
      <c r="H78" s="52">
        <f t="shared" si="54"/>
        <v>3.5573264781491001</v>
      </c>
      <c r="I78" s="52">
        <f t="shared" si="55"/>
        <v>4.2170000000000005</v>
      </c>
      <c r="K78" s="52">
        <f t="shared" si="56"/>
        <v>14.682490029260022</v>
      </c>
      <c r="L78" s="135">
        <f t="shared" si="57"/>
        <v>1.4679164657138699E-6</v>
      </c>
      <c r="N78" s="131">
        <f t="shared" si="48"/>
        <v>0.251680618344995</v>
      </c>
      <c r="O78" s="131">
        <f t="shared" si="49"/>
        <v>0.251680618344995</v>
      </c>
      <c r="P78" s="55">
        <f t="shared" si="50"/>
        <v>1</v>
      </c>
      <c r="Q78" s="135">
        <f>_xll.xSPRDOPT(I78,H78,AQ78,0,O78,N78,P78,D78-$G$5,1,0)*AH78*AU78</f>
        <v>14.682491497176487</v>
      </c>
      <c r="R78" s="135"/>
      <c r="S78" s="181">
        <f>_xll.xSPRDOPT(I78,H78,AQ78,AT78,O78,N78,P78,D78-$G$5,1,2)*AF78*(F78/(1-AR78))*AH78</f>
        <v>-8554.4619814394082</v>
      </c>
      <c r="T78" s="181">
        <f>_xll.xSPRDOPT(I78,H78,AQ78,AT78,O78,N78,P78,D78-$G$5,1,1)*AF78*F78*AH78</f>
        <v>8319.2142771052386</v>
      </c>
      <c r="U78" s="135"/>
      <c r="V78" s="146">
        <f t="shared" si="58"/>
        <v>8.7986132507980361</v>
      </c>
      <c r="W78" s="146"/>
      <c r="X78" s="338">
        <f t="shared" si="59"/>
        <v>0</v>
      </c>
      <c r="Y78" s="338">
        <f t="shared" si="20"/>
        <v>0</v>
      </c>
      <c r="Z78" s="338">
        <f t="shared" si="21"/>
        <v>2.2301487639947073</v>
      </c>
      <c r="AA78" s="338">
        <f t="shared" si="22"/>
        <v>-6.2043927204976604E-9</v>
      </c>
      <c r="AB78" s="338">
        <f t="shared" si="60"/>
        <v>0</v>
      </c>
      <c r="AC78" s="338">
        <f t="shared" si="61"/>
        <v>2.2593754209154304</v>
      </c>
      <c r="AF78" s="138">
        <f t="shared" si="62"/>
        <v>1</v>
      </c>
      <c r="AG78" s="138">
        <f t="shared" si="63"/>
        <v>9</v>
      </c>
      <c r="AH78" s="138">
        <f t="shared" si="73"/>
        <v>30</v>
      </c>
      <c r="AI78" s="138">
        <f t="shared" si="64"/>
        <v>1719</v>
      </c>
      <c r="AJ78" s="138">
        <f t="shared" si="65"/>
        <v>1736</v>
      </c>
      <c r="AL78" s="136">
        <f t="shared" si="29"/>
        <v>3.4670000000000001</v>
      </c>
      <c r="AM78" s="258">
        <f t="shared" si="30"/>
        <v>-1.4999999999999999E-2</v>
      </c>
      <c r="AN78" s="258">
        <f t="shared" si="31"/>
        <v>7.4999999999999997E-3</v>
      </c>
      <c r="AO78" s="258">
        <f t="shared" si="32"/>
        <v>0.75</v>
      </c>
      <c r="AP78" s="258">
        <f t="shared" si="33"/>
        <v>0</v>
      </c>
      <c r="AQ78" s="136">
        <f t="shared" si="66"/>
        <v>3.3399999999999999E-2</v>
      </c>
      <c r="AR78" s="137">
        <f t="shared" si="35"/>
        <v>2.75E-2</v>
      </c>
      <c r="AS78" s="136">
        <f t="shared" si="67"/>
        <v>3.4594999999999998</v>
      </c>
      <c r="AT78" s="137">
        <f t="shared" si="68"/>
        <v>5.2649347098806303E-2</v>
      </c>
      <c r="AU78" s="137">
        <f t="shared" si="38"/>
        <v>0.78147377660520789</v>
      </c>
      <c r="AV78" s="394">
        <f t="shared" si="69"/>
        <v>234.44213298156237</v>
      </c>
      <c r="AW78" s="137">
        <f t="shared" si="40"/>
        <v>0.2475</v>
      </c>
      <c r="AX78" s="137">
        <f t="shared" si="41"/>
        <v>0.55000000000000004</v>
      </c>
      <c r="AY78" s="137">
        <f t="shared" si="42"/>
        <v>0.55000000000000004</v>
      </c>
      <c r="AZ78" s="137"/>
      <c r="BA78" s="264"/>
      <c r="BB78" s="258">
        <f t="shared" si="43"/>
        <v>0</v>
      </c>
      <c r="BC78" s="258">
        <f t="shared" si="70"/>
        <v>0</v>
      </c>
      <c r="BD78" s="137">
        <f t="shared" si="71"/>
        <v>7.1605450768785772E-6</v>
      </c>
      <c r="BE78" s="137">
        <f t="shared" si="72"/>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-3.7247671137404228E-7</v>
      </c>
      <c r="BI78" s="137">
        <f>_xll.xSPRDOPT($BW78,$BV78,$CG78,2*LN(1+CA78/2),$BY78,$BX78,$BZ78,$AJ78,1,9)</f>
        <v>2.5423278278684989E-2</v>
      </c>
      <c r="BJ78" s="137">
        <f>_xll.xSPRDOPT($BW78,$BV78,$CG78,0,$BY78,$BX78,$BZ78,$AJ78,1,6)*$CB78</f>
        <v>4.374614734548766E-7</v>
      </c>
      <c r="BK78" s="137">
        <f>_xll.xSPRDOPT($BW78,$BV78,$CG78,0,$BY78,$BX78,$BZ78,$AJ78,1,5)*$CB78</f>
        <v>-5.1859156086435539E-7</v>
      </c>
      <c r="BL78" s="137">
        <f>_xll.xSPRDOPT(BW78,BV78,CG78,0,BY78,BX78,BZ78,AJ78,1,2)*CB78</f>
        <v>-0.781140354171448</v>
      </c>
      <c r="BM78" s="137">
        <f>_xll.xSPRDOPT(BW78,BV78,CG78,0,BY78,BX78,BZ78,AJ78,1,1)*CB78</f>
        <v>0.78114035417855243</v>
      </c>
      <c r="BN78" s="137">
        <f>IF(AH78&lt;&gt;0,_xll.xSPRDOPT($BW78,$BV78,$CG78,2*LN(1+CA78/2),$BY78,$BX78,$BZ78,$AJ78,1,8)+(AJ78/365.25)*CH78/AH78,0)</f>
        <v>-0.93178677637096974</v>
      </c>
      <c r="BO78" s="137">
        <f>_xll.xSPRDOPT($BW78,$BV78,$CG78,0,$BY78,$BX78,$BZ78,$AJ78,1,0)</f>
        <v>0.62627358444224535</v>
      </c>
      <c r="BP78" s="137"/>
      <c r="BQ78" s="137"/>
      <c r="BR78" s="137"/>
      <c r="BS78" s="137"/>
      <c r="BV78" s="262">
        <v>3.5573264781491001</v>
      </c>
      <c r="BW78" s="136">
        <v>4.2170000000000005</v>
      </c>
      <c r="BX78" s="137">
        <v>0.25167345779991812</v>
      </c>
      <c r="BY78" s="137">
        <v>0.25167345779991812</v>
      </c>
      <c r="BZ78" s="137">
        <v>1</v>
      </c>
      <c r="CA78" s="137">
        <v>5.2649347098806303E-2</v>
      </c>
      <c r="CB78" s="137">
        <v>0.78114028021149551</v>
      </c>
      <c r="CC78" s="258">
        <v>-1.4999999999999999E-2</v>
      </c>
      <c r="CD78" s="258">
        <v>7.4999999999999997E-3</v>
      </c>
      <c r="CE78" s="258">
        <v>0.75</v>
      </c>
      <c r="CF78" s="258">
        <v>0</v>
      </c>
      <c r="CG78" s="258">
        <v>3.3399999999999999E-2</v>
      </c>
      <c r="CH78" s="258">
        <v>8.7948584149012277</v>
      </c>
      <c r="CI78" s="258">
        <v>3.4670000000000001</v>
      </c>
      <c r="CJ78" s="258"/>
      <c r="CK78" s="258"/>
      <c r="CL78" s="258"/>
      <c r="CM78" s="258"/>
    </row>
    <row r="79" spans="1:91" x14ac:dyDescent="0.25">
      <c r="A79" s="723"/>
      <c r="B79" s="723"/>
      <c r="D79" s="31">
        <f t="shared" si="52"/>
        <v>39005</v>
      </c>
      <c r="F79" s="28">
        <f t="shared" si="53"/>
        <v>356</v>
      </c>
      <c r="G79" s="28">
        <f t="shared" si="13"/>
        <v>276.61381645398126</v>
      </c>
      <c r="H79" s="52">
        <f t="shared" si="54"/>
        <v>3.5804627249357321</v>
      </c>
      <c r="I79" s="52">
        <f t="shared" si="55"/>
        <v>3.9420000000000002</v>
      </c>
      <c r="K79" s="52">
        <f t="shared" si="56"/>
        <v>7.9038944473776613</v>
      </c>
      <c r="L79" s="135">
        <f t="shared" si="57"/>
        <v>3.4602574103814732E-6</v>
      </c>
      <c r="N79" s="131">
        <f t="shared" si="48"/>
        <v>0.25274596357326584</v>
      </c>
      <c r="O79" s="131">
        <f t="shared" si="49"/>
        <v>0.25274596357326584</v>
      </c>
      <c r="P79" s="55">
        <f t="shared" si="50"/>
        <v>1.0000000000000002</v>
      </c>
      <c r="Q79" s="135">
        <f>_xll.xSPRDOPT(I79,H79,AQ79,0,O79,N79,P79,D79-$G$5,1,0)*AH79*AU79</f>
        <v>7.9038979076350717</v>
      </c>
      <c r="R79" s="135"/>
      <c r="S79" s="181">
        <f>_xll.xSPRDOPT(I79,H79,AQ79,AT79,O79,N79,P79,D79-$G$5,1,2)*AF79*(F79/(1-AR79))*AH79</f>
        <v>-8788.200841791273</v>
      </c>
      <c r="T79" s="181">
        <f>_xll.xSPRDOPT(I79,H79,AQ79,AT79,O79,N79,P79,D79-$G$5,1,1)*AF79*F79*AH79</f>
        <v>8546.5253185617166</v>
      </c>
      <c r="U79" s="135"/>
      <c r="V79" s="146">
        <f t="shared" si="58"/>
        <v>9.0399104628386375</v>
      </c>
      <c r="W79" s="146"/>
      <c r="X79" s="338">
        <f t="shared" si="59"/>
        <v>0</v>
      </c>
      <c r="Y79" s="338">
        <f t="shared" si="20"/>
        <v>0</v>
      </c>
      <c r="Z79" s="338">
        <f t="shared" si="21"/>
        <v>1.2075269648797398</v>
      </c>
      <c r="AA79" s="338">
        <f t="shared" si="22"/>
        <v>9.8297071520531181E-7</v>
      </c>
      <c r="AB79" s="338">
        <f t="shared" si="60"/>
        <v>0</v>
      </c>
      <c r="AC79" s="338">
        <f t="shared" si="61"/>
        <v>1.2234695838717811</v>
      </c>
      <c r="AF79" s="138">
        <f t="shared" si="62"/>
        <v>1</v>
      </c>
      <c r="AG79" s="138">
        <f t="shared" si="63"/>
        <v>10</v>
      </c>
      <c r="AH79" s="138">
        <f t="shared" si="73"/>
        <v>31</v>
      </c>
      <c r="AI79" s="138">
        <f t="shared" si="64"/>
        <v>1749</v>
      </c>
      <c r="AJ79" s="138">
        <f t="shared" si="65"/>
        <v>1766</v>
      </c>
      <c r="AL79" s="136">
        <f t="shared" si="29"/>
        <v>3.492</v>
      </c>
      <c r="AM79" s="258">
        <f t="shared" si="30"/>
        <v>-1.7500000000000002E-2</v>
      </c>
      <c r="AN79" s="258">
        <f t="shared" si="31"/>
        <v>7.4999999999999997E-3</v>
      </c>
      <c r="AO79" s="258">
        <f t="shared" si="32"/>
        <v>0.45</v>
      </c>
      <c r="AP79" s="258">
        <f t="shared" si="33"/>
        <v>0</v>
      </c>
      <c r="AQ79" s="136">
        <f t="shared" si="66"/>
        <v>3.3399999999999999E-2</v>
      </c>
      <c r="AR79" s="137">
        <f t="shared" si="35"/>
        <v>2.75E-2</v>
      </c>
      <c r="AS79" s="136">
        <f t="shared" si="67"/>
        <v>3.4819999999999998</v>
      </c>
      <c r="AT79" s="137">
        <f t="shared" si="68"/>
        <v>5.2961134911624401E-2</v>
      </c>
      <c r="AU79" s="137">
        <f t="shared" si="38"/>
        <v>0.77700510239882381</v>
      </c>
      <c r="AV79" s="394">
        <f t="shared" si="69"/>
        <v>240.87158174363537</v>
      </c>
      <c r="AW79" s="137">
        <f t="shared" si="40"/>
        <v>0.2475</v>
      </c>
      <c r="AX79" s="137">
        <f t="shared" si="41"/>
        <v>0.6</v>
      </c>
      <c r="AY79" s="137">
        <f t="shared" si="42"/>
        <v>0.6</v>
      </c>
      <c r="AZ79" s="137"/>
      <c r="BA79" s="264"/>
      <c r="BB79" s="258">
        <f t="shared" si="43"/>
        <v>0</v>
      </c>
      <c r="BC79" s="258">
        <f t="shared" si="70"/>
        <v>0</v>
      </c>
      <c r="BD79" s="137">
        <f t="shared" si="71"/>
        <v>8.8117880494009704E-6</v>
      </c>
      <c r="BE79" s="137">
        <f t="shared" si="72"/>
        <v>8.8117880494009704E-6</v>
      </c>
      <c r="BF79" s="137">
        <f>_xll.xSPRDOPT($BW79,$BV79,$CG79,0,$BY79,$BX79,$BZ79,$AJ79,1,4)*$CB79</f>
        <v>1.018451133658332E-6</v>
      </c>
      <c r="BG79" s="137">
        <f>_xll.xSPRDOPT($BW79,$BV79,$CG79,0,$BY79,$BX79,$BZ79,$AJ79,1,3)*$CB79</f>
        <v>9.2586466696211997E-8</v>
      </c>
      <c r="BH79" s="137">
        <f>IF(OR(BF79&lt;&gt;0,BG79&lt;&gt;0),_xll.xSPRDOPT($BW79,$BV79,$CG79,0,$BY79,$BX79,$BZ79,$AJ79,1,12)*$CB79,0)</f>
        <v>2.7775940008863598E-7</v>
      </c>
      <c r="BI79" s="137">
        <f>_xll.xSPRDOPT($BW79,$BV79,$CG79,2*LN(1+CA79/2),$BY79,$BX79,$BZ79,$AJ79,1,9)</f>
        <v>1.3321530262242507E-2</v>
      </c>
      <c r="BJ79" s="137">
        <f>_xll.xSPRDOPT($BW79,$BV79,$CG79,0,$BY79,$BX79,$BZ79,$AJ79,1,6)*$CB79</f>
        <v>-1.0010386380207226E-4</v>
      </c>
      <c r="BK79" s="137">
        <f>_xll.xSPRDOPT($BW79,$BV79,$CG79,0,$BY79,$BX79,$BZ79,$AJ79,1,5)*$CB79</f>
        <v>1.1021185476979187E-4</v>
      </c>
      <c r="BL79" s="137">
        <f>_xll.xSPRDOPT(BW79,BV79,CG79,0,BY79,BX79,BZ79,AJ79,1,2)*CB79</f>
        <v>-0.77666893487000999</v>
      </c>
      <c r="BM79" s="137">
        <f>_xll.xSPRDOPT(BW79,BV79,CG79,0,BY79,BX79,BZ79,AJ79,1,1)*CB79</f>
        <v>0.77666893486153354</v>
      </c>
      <c r="BN79" s="137">
        <f>IF(AH79&lt;&gt;0,_xll.xSPRDOPT($BW79,$BV79,$CG79,2*LN(1+CA79/2),$BY79,$BX79,$BZ79,$AJ79,1,8)+(AJ79/365.25)*CH79/AH79,0)</f>
        <v>0.1771068780706031</v>
      </c>
      <c r="BO79" s="137">
        <f>_xll.xSPRDOPT($BW79,$BV79,$CG79,0,$BY79,$BX79,$BZ79,$AJ79,1,0)</f>
        <v>0.32813742140313723</v>
      </c>
      <c r="BP79" s="137"/>
      <c r="BQ79" s="137"/>
      <c r="BR79" s="137"/>
      <c r="BS79" s="137"/>
      <c r="BV79" s="262">
        <v>3.5804627249357321</v>
      </c>
      <c r="BW79" s="136">
        <v>3.9420000000000002</v>
      </c>
      <c r="BX79" s="137">
        <v>0.25273715178521644</v>
      </c>
      <c r="BY79" s="137">
        <v>0.25273715178521644</v>
      </c>
      <c r="BZ79" s="137">
        <v>1</v>
      </c>
      <c r="CA79" s="137">
        <v>5.2961134911624401E-2</v>
      </c>
      <c r="CB79" s="137">
        <v>0.77667157521957753</v>
      </c>
      <c r="CC79" s="258">
        <v>-1.7500000000000002E-2</v>
      </c>
      <c r="CD79" s="258">
        <v>7.4999999999999997E-3</v>
      </c>
      <c r="CE79" s="258">
        <v>0.45</v>
      </c>
      <c r="CF79" s="258">
        <v>0</v>
      </c>
      <c r="CG79" s="258">
        <v>3.3399999999999999E-2</v>
      </c>
      <c r="CH79" s="258">
        <v>9.0360301075771314</v>
      </c>
      <c r="CI79" s="258">
        <v>3.492</v>
      </c>
      <c r="CJ79" s="258"/>
      <c r="CK79" s="258"/>
      <c r="CL79" s="258"/>
      <c r="CM79" s="258"/>
    </row>
    <row r="80" spans="1:91" x14ac:dyDescent="0.25">
      <c r="A80" s="723"/>
      <c r="B80" s="723"/>
      <c r="D80" s="31">
        <f t="shared" si="52"/>
        <v>39036</v>
      </c>
      <c r="F80" s="28">
        <f t="shared" si="53"/>
        <v>356</v>
      </c>
      <c r="G80" s="28">
        <f t="shared" si="13"/>
        <v>274.9651468983372</v>
      </c>
      <c r="H80" s="52">
        <f t="shared" si="54"/>
        <v>3.7352185089974297</v>
      </c>
      <c r="I80" s="52">
        <f t="shared" si="55"/>
        <v>4.0940000000000003</v>
      </c>
      <c r="K80" s="52">
        <f t="shared" si="56"/>
        <v>7.5394861914203775</v>
      </c>
      <c r="L80" s="135">
        <f t="shared" si="57"/>
        <v>5.4568646952191102E-6</v>
      </c>
      <c r="N80" s="131">
        <f t="shared" si="48"/>
        <v>0.25708471122670462</v>
      </c>
      <c r="O80" s="131">
        <f t="shared" si="49"/>
        <v>0.25708471122670462</v>
      </c>
      <c r="P80" s="55">
        <f t="shared" si="50"/>
        <v>1</v>
      </c>
      <c r="Q80" s="135">
        <f>_xll.xSPRDOPT(I80,H80,AQ80,0,O80,N80,P80,D80-$G$5,1,0)*AH80*AU80</f>
        <v>7.5394916482850727</v>
      </c>
      <c r="R80" s="135"/>
      <c r="S80" s="181">
        <f>_xll.xSPRDOPT(I80,H80,AQ80,AT80,O80,N80,P80,D80-$G$5,1,2)*AF80*(F80/(1-AR80))*AH80</f>
        <v>-8453.1822527092827</v>
      </c>
      <c r="T80" s="181">
        <f>_xll.xSPRDOPT(I80,H80,AQ80,AT80,O80,N80,P80,D80-$G$5,1,1)*AF80*F80*AH80</f>
        <v>8220.7197407112108</v>
      </c>
      <c r="U80" s="135"/>
      <c r="V80" s="146">
        <f t="shared" si="58"/>
        <v>8.6961589576639859</v>
      </c>
      <c r="W80" s="146"/>
      <c r="X80" s="338">
        <f t="shared" si="59"/>
        <v>0</v>
      </c>
      <c r="Y80" s="338">
        <f t="shared" si="20"/>
        <v>0</v>
      </c>
      <c r="Z80" s="338">
        <f t="shared" si="21"/>
        <v>1.1587686030189821</v>
      </c>
      <c r="AA80" s="338">
        <f t="shared" si="22"/>
        <v>1.5784423786427055E-6</v>
      </c>
      <c r="AB80" s="338">
        <f t="shared" si="60"/>
        <v>0</v>
      </c>
      <c r="AC80" s="338">
        <f t="shared" si="61"/>
        <v>1.1741585872014293</v>
      </c>
      <c r="AF80" s="138">
        <f t="shared" si="62"/>
        <v>1</v>
      </c>
      <c r="AG80" s="138">
        <f t="shared" si="63"/>
        <v>11</v>
      </c>
      <c r="AH80" s="138">
        <f t="shared" si="73"/>
        <v>30</v>
      </c>
      <c r="AI80" s="138">
        <f t="shared" si="64"/>
        <v>1780</v>
      </c>
      <c r="AJ80" s="138">
        <f t="shared" si="65"/>
        <v>1797</v>
      </c>
      <c r="AL80" s="136">
        <f t="shared" si="29"/>
        <v>3.6440000000000001</v>
      </c>
      <c r="AM80" s="258">
        <f t="shared" si="30"/>
        <v>-1.4E-2</v>
      </c>
      <c r="AN80" s="258">
        <f t="shared" si="31"/>
        <v>2.5000000000000001E-3</v>
      </c>
      <c r="AO80" s="258">
        <f t="shared" si="32"/>
        <v>0.45</v>
      </c>
      <c r="AP80" s="258">
        <f t="shared" si="33"/>
        <v>0</v>
      </c>
      <c r="AQ80" s="136">
        <f t="shared" si="66"/>
        <v>3.3399999999999999E-2</v>
      </c>
      <c r="AR80" s="137">
        <f t="shared" si="35"/>
        <v>2.75E-2</v>
      </c>
      <c r="AS80" s="136">
        <f t="shared" si="67"/>
        <v>3.6325000000000003</v>
      </c>
      <c r="AT80" s="137">
        <f t="shared" si="68"/>
        <v>5.3283315685584802E-2</v>
      </c>
      <c r="AU80" s="137">
        <f t="shared" si="38"/>
        <v>0.77237400814139667</v>
      </c>
      <c r="AV80" s="394">
        <f t="shared" si="69"/>
        <v>231.712202442419</v>
      </c>
      <c r="AW80" s="137">
        <f t="shared" si="40"/>
        <v>0.2475</v>
      </c>
      <c r="AX80" s="137">
        <f t="shared" si="41"/>
        <v>0.8</v>
      </c>
      <c r="AY80" s="137">
        <f t="shared" si="42"/>
        <v>0.8</v>
      </c>
      <c r="AZ80" s="137"/>
      <c r="BA80" s="264"/>
      <c r="BB80" s="258">
        <f t="shared" si="43"/>
        <v>0</v>
      </c>
      <c r="BC80" s="258">
        <f t="shared" si="70"/>
        <v>0</v>
      </c>
      <c r="BD80" s="137">
        <f t="shared" si="71"/>
        <v>1.5694652291009525E-5</v>
      </c>
      <c r="BE80" s="137">
        <f t="shared" si="72"/>
        <v>1.5694652291009525E-5</v>
      </c>
      <c r="BF80" s="137">
        <f>_xll.xSPRDOPT($BW80,$BV80,$CG80,0,$BY80,$BX80,$BZ80,$AJ80,1,4)*$CB80</f>
        <v>-1.1964471606024514E-6</v>
      </c>
      <c r="BG80" s="137">
        <f>_xll.xSPRDOPT($BW80,$BV80,$CG80,0,$BY80,$BX80,$BZ80,$AJ80,1,3)*$CB80</f>
        <v>-8.2830957272477398E-7</v>
      </c>
      <c r="BH80" s="137">
        <f>IF(OR(BF80&lt;&gt;0,BG80&lt;&gt;0),_xll.xSPRDOPT($BW80,$BV80,$CG80,0,$BY80,$BX80,$BZ80,$AJ80,1,12)*$CB80,0)</f>
        <v>2.7610319090825799E-7</v>
      </c>
      <c r="BI80" s="137">
        <f>_xll.xSPRDOPT($BW80,$BV80,$CG80,2*LN(1+CA80/2),$BY80,$BX80,$BZ80,$AJ80,1,9)</f>
        <v>1.320974507655066E-2</v>
      </c>
      <c r="BJ80" s="137">
        <f>_xll.xSPRDOPT($BW80,$BV80,$CG80,0,$BY80,$BX80,$BZ80,$AJ80,1,6)*$CB80</f>
        <v>-9.8037497166825568E-5</v>
      </c>
      <c r="BK80" s="137">
        <f>_xll.xSPRDOPT($BW80,$BV80,$CG80,0,$BY80,$BX80,$BZ80,$AJ80,1,5)*$CB80</f>
        <v>1.0745434995652726E-4</v>
      </c>
      <c r="BL80" s="137">
        <f>_xll.xSPRDOPT(BW80,BV80,CG80,0,BY80,BX80,BZ80,AJ80,1,2)*CB80</f>
        <v>-0.77203803101266899</v>
      </c>
      <c r="BM80" s="137">
        <f>_xll.xSPRDOPT(BW80,BV80,CG80,0,BY80,BX80,BZ80,AJ80,1,1)*CB80</f>
        <v>0.77203803101337121</v>
      </c>
      <c r="BN80" s="137">
        <f>IF(AH80&lt;&gt;0,_xll.xSPRDOPT($BW80,$BV80,$CG80,2*LN(1+CA80/2),$BY80,$BX80,$BZ80,$AJ80,1,8)+(AJ80/365.25)*CH80/AH80,0)</f>
        <v>0.18960834996057829</v>
      </c>
      <c r="BO80" s="137">
        <f>_xll.xSPRDOPT($BW80,$BV80,$CG80,0,$BY80,$BX80,$BZ80,$AJ80,1,0)</f>
        <v>0.32538172893399736</v>
      </c>
      <c r="BP80" s="137"/>
      <c r="BQ80" s="137"/>
      <c r="BR80" s="137"/>
      <c r="BS80" s="137"/>
      <c r="BV80" s="262">
        <v>3.7352185089974297</v>
      </c>
      <c r="BW80" s="136">
        <v>4.0940000000000003</v>
      </c>
      <c r="BX80" s="137">
        <v>0.25706901657441361</v>
      </c>
      <c r="BY80" s="137">
        <v>0.25706901657441361</v>
      </c>
      <c r="BZ80" s="137">
        <v>1</v>
      </c>
      <c r="CA80" s="137">
        <v>5.3283315685584802E-2</v>
      </c>
      <c r="CB80" s="137">
        <v>0.77204047869284675</v>
      </c>
      <c r="CC80" s="258">
        <v>-1.4E-2</v>
      </c>
      <c r="CD80" s="258">
        <v>2.5000000000000001E-3</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52"/>
        <v>39066</v>
      </c>
      <c r="F81" s="28">
        <f t="shared" si="53"/>
        <v>356</v>
      </c>
      <c r="G81" s="28">
        <f t="shared" si="13"/>
        <v>273.3652142698549</v>
      </c>
      <c r="H81" s="52">
        <f t="shared" si="54"/>
        <v>3.8822622107969149</v>
      </c>
      <c r="I81" s="52">
        <f t="shared" si="55"/>
        <v>4.1870000000000003</v>
      </c>
      <c r="K81" s="52">
        <f t="shared" si="56"/>
        <v>6.4589991557171755</v>
      </c>
      <c r="L81" s="135">
        <f t="shared" si="57"/>
        <v>2.9050528453034019E-5</v>
      </c>
      <c r="N81" s="131">
        <f t="shared" si="48"/>
        <v>0.26311016393816972</v>
      </c>
      <c r="O81" s="131">
        <f t="shared" si="49"/>
        <v>0.26311016393816972</v>
      </c>
      <c r="P81" s="55">
        <f t="shared" si="50"/>
        <v>0.99999999999999978</v>
      </c>
      <c r="Q81" s="135">
        <f>_xll.xSPRDOPT(I81,H81,AQ81,0,O81,N81,P81,D81-$G$5,1,0)*AH81*AU81</f>
        <v>6.4590282062456286</v>
      </c>
      <c r="R81" s="135"/>
      <c r="S81" s="181">
        <f>_xll.xSPRDOPT(I81,H81,AQ81,AT81,O81,N81,P81,D81-$G$5,1,2)*AF81*(F81/(1-AR81))*AH81</f>
        <v>-8683.0819596393394</v>
      </c>
      <c r="T81" s="181">
        <f>_xll.xSPRDOPT(I81,H81,AQ81,AT81,O81,N81,P81,D81-$G$5,1,1)*AF81*F81*AH81</f>
        <v>8444.297205919891</v>
      </c>
      <c r="U81" s="135"/>
      <c r="V81" s="146">
        <f t="shared" si="58"/>
        <v>8.9337441358982392</v>
      </c>
      <c r="W81" s="146"/>
      <c r="X81" s="338">
        <f t="shared" si="59"/>
        <v>0</v>
      </c>
      <c r="Y81" s="338">
        <f t="shared" si="20"/>
        <v>0</v>
      </c>
      <c r="Z81" s="338">
        <f t="shared" si="21"/>
        <v>0.99831888423993786</v>
      </c>
      <c r="AA81" s="338">
        <f t="shared" si="22"/>
        <v>1.5958183445348696E-5</v>
      </c>
      <c r="AB81" s="338">
        <f t="shared" si="60"/>
        <v>0</v>
      </c>
      <c r="AC81" s="338">
        <f t="shared" si="61"/>
        <v>1.0117767245623344</v>
      </c>
      <c r="AF81" s="138">
        <f t="shared" si="62"/>
        <v>1</v>
      </c>
      <c r="AG81" s="138">
        <f t="shared" si="63"/>
        <v>12</v>
      </c>
      <c r="AH81" s="138">
        <f t="shared" si="73"/>
        <v>31</v>
      </c>
      <c r="AI81" s="138">
        <f t="shared" si="64"/>
        <v>1810</v>
      </c>
      <c r="AJ81" s="138">
        <f t="shared" si="65"/>
        <v>1827</v>
      </c>
      <c r="AL81" s="136">
        <f t="shared" si="29"/>
        <v>3.7869999999999999</v>
      </c>
      <c r="AM81" s="258">
        <f t="shared" si="30"/>
        <v>-1.4E-2</v>
      </c>
      <c r="AN81" s="258">
        <f t="shared" si="31"/>
        <v>2.5000000000000001E-3</v>
      </c>
      <c r="AO81" s="258">
        <f t="shared" si="32"/>
        <v>0.4</v>
      </c>
      <c r="AP81" s="258">
        <f t="shared" si="33"/>
        <v>0</v>
      </c>
      <c r="AQ81" s="136">
        <f t="shared" si="66"/>
        <v>3.3399999999999999E-2</v>
      </c>
      <c r="AR81" s="137">
        <f t="shared" si="35"/>
        <v>2.75E-2</v>
      </c>
      <c r="AS81" s="136">
        <f t="shared" si="67"/>
        <v>3.7755000000000001</v>
      </c>
      <c r="AT81" s="137">
        <f t="shared" si="68"/>
        <v>5.3595103564298502E-2</v>
      </c>
      <c r="AU81" s="137">
        <f t="shared" si="38"/>
        <v>0.76787981536476091</v>
      </c>
      <c r="AV81" s="394">
        <f t="shared" si="69"/>
        <v>238.04274276307589</v>
      </c>
      <c r="AW81" s="137">
        <f t="shared" si="40"/>
        <v>0.2475</v>
      </c>
      <c r="AX81" s="137">
        <f t="shared" si="41"/>
        <v>1</v>
      </c>
      <c r="AY81" s="137">
        <f t="shared" si="42"/>
        <v>1</v>
      </c>
      <c r="AZ81" s="137"/>
      <c r="BA81" s="264"/>
      <c r="BB81" s="258">
        <f t="shared" si="43"/>
        <v>0</v>
      </c>
      <c r="BC81" s="258">
        <f t="shared" si="70"/>
        <v>0</v>
      </c>
      <c r="BD81" s="137">
        <f t="shared" si="71"/>
        <v>2.485284437847568E-5</v>
      </c>
      <c r="BE81" s="137">
        <f t="shared" si="72"/>
        <v>2.485284437847568E-5</v>
      </c>
      <c r="BF81" s="137">
        <f>_xll.xSPRDOPT($BW81,$BV81,$CG81,0,$BY81,$BX81,$BZ81,$AJ81,1,4)*$CB81</f>
        <v>5.489919034249394E-7</v>
      </c>
      <c r="BG81" s="137">
        <f>_xll.xSPRDOPT($BW81,$BV81,$CG81,0,$BY81,$BX81,$BZ81,$AJ81,1,3)*$CB81</f>
        <v>7.319892045665859E-7</v>
      </c>
      <c r="BH81" s="137">
        <f>IF(OR(BF81&lt;&gt;0,BG81&lt;&gt;0),_xll.xSPRDOPT($BW81,$BV81,$CG81,0,$BY81,$BX81,$BZ81,$AJ81,1,12)*$CB81,0)</f>
        <v>-6.862398792811743E-7</v>
      </c>
      <c r="BI81" s="137">
        <f>_xll.xSPRDOPT($BW81,$BV81,$CG81,2*LN(1+CA81/2),$BY81,$BX81,$BZ81,$AJ81,1,9)</f>
        <v>1.1013530641193587E-2</v>
      </c>
      <c r="BJ81" s="137">
        <f>_xll.xSPRDOPT($BW81,$BV81,$CG81,0,$BY81,$BX81,$BZ81,$AJ81,1,6)*$CB81</f>
        <v>-7.4123206988200175E-4</v>
      </c>
      <c r="BK81" s="137">
        <f>_xll.xSPRDOPT($BW81,$BV81,$CG81,0,$BY81,$BX81,$BZ81,$AJ81,1,5)*$CB81</f>
        <v>7.9941500967456751E-4</v>
      </c>
      <c r="BL81" s="137">
        <f>_xll.xSPRDOPT(BW81,BV81,CG81,0,BY81,BX81,BZ81,AJ81,1,2)*CB81</f>
        <v>-0.76752641845647829</v>
      </c>
      <c r="BM81" s="137">
        <f>_xll.xSPRDOPT(BW81,BV81,CG81,0,BY81,BX81,BZ81,AJ81,1,1)*CB81</f>
        <v>0.76752641846904379</v>
      </c>
      <c r="BN81" s="137">
        <f>IF(AH81&lt;&gt;0,_xll.xSPRDOPT($BW81,$BV81,$CG81,2*LN(1+CA81/2),$BY81,$BX81,$BZ81,$AJ81,1,8)+(AJ81/365.25)*CH81/AH81,0)</f>
        <v>0.39913816811145408</v>
      </c>
      <c r="BO81" s="137">
        <f>_xll.xSPRDOPT($BW81,$BV81,$CG81,0,$BY81,$BX81,$BZ81,$AJ81,1,0)</f>
        <v>0.27133902410474431</v>
      </c>
      <c r="BP81" s="137"/>
      <c r="BQ81" s="137"/>
      <c r="BR81" s="137"/>
      <c r="BS81" s="137"/>
      <c r="BV81" s="262">
        <v>3.8822622107969149</v>
      </c>
      <c r="BW81" s="136">
        <v>4.1870000000000003</v>
      </c>
      <c r="BX81" s="137">
        <v>0.26308531109379124</v>
      </c>
      <c r="BY81" s="137">
        <v>0.26308531109379124</v>
      </c>
      <c r="BZ81" s="137">
        <v>1</v>
      </c>
      <c r="CA81" s="137">
        <v>5.3595103564298502E-2</v>
      </c>
      <c r="CB81" s="137">
        <v>0.76754631216761238</v>
      </c>
      <c r="CC81" s="258">
        <v>-1.4E-2</v>
      </c>
      <c r="CD81" s="258">
        <v>2.5000000000000001E-3</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52"/>
        <v>39097</v>
      </c>
      <c r="F82" s="28">
        <f t="shared" si="53"/>
        <v>356</v>
      </c>
      <c r="G82" s="28">
        <f t="shared" si="13"/>
        <v>271.79141425895727</v>
      </c>
      <c r="H82" s="52">
        <f t="shared" si="54"/>
        <v>3.9362467866323909</v>
      </c>
      <c r="I82" s="52">
        <f t="shared" si="55"/>
        <v>4.1894999999999998</v>
      </c>
      <c r="K82" s="52">
        <f t="shared" si="56"/>
        <v>5.2033165435598878</v>
      </c>
      <c r="L82" s="135">
        <f t="shared" si="57"/>
        <v>9.7290977783437427E-5</v>
      </c>
      <c r="N82" s="131">
        <f t="shared" si="48"/>
        <v>0.26285711475899531</v>
      </c>
      <c r="O82" s="131">
        <f t="shared" si="49"/>
        <v>0.26285711475899531</v>
      </c>
      <c r="P82" s="55">
        <f t="shared" si="50"/>
        <v>1.0000000000000002</v>
      </c>
      <c r="Q82" s="135">
        <f>_xll.xSPRDOPT(I82,H82,AQ82,0,O82,N82,P82,D82-$G$5,1,0)*AH82*AU82</f>
        <v>5.2034138345376713</v>
      </c>
      <c r="R82" s="135"/>
      <c r="S82" s="181">
        <f>_xll.xSPRDOPT(I82,H82,AQ82,AT82,O82,N82,P82,D82-$G$5,1,2)*AF82*(F82/(1-AR82))*AH82</f>
        <v>-8631.9042384968488</v>
      </c>
      <c r="T82" s="181">
        <f>_xll.xSPRDOPT(I82,H82,AQ82,AT82,O82,N82,P82,D82-$G$5,1,1)*AF82*F82*AH82</f>
        <v>8394.5268717926447</v>
      </c>
      <c r="U82" s="135"/>
      <c r="V82" s="146">
        <f t="shared" si="58"/>
        <v>8.8823113789690655</v>
      </c>
      <c r="W82" s="146"/>
      <c r="X82" s="338">
        <f t="shared" si="59"/>
        <v>0</v>
      </c>
      <c r="Y82" s="338">
        <f t="shared" si="20"/>
        <v>0</v>
      </c>
      <c r="Z82" s="338">
        <f t="shared" si="21"/>
        <v>0.80792031723553193</v>
      </c>
      <c r="AA82" s="338">
        <f t="shared" si="22"/>
        <v>3.2444850882621546E-5</v>
      </c>
      <c r="AB82" s="338">
        <f t="shared" si="60"/>
        <v>0</v>
      </c>
      <c r="AC82" s="338">
        <f t="shared" si="61"/>
        <v>0.81903981156279171</v>
      </c>
      <c r="AF82" s="138">
        <f t="shared" si="62"/>
        <v>1</v>
      </c>
      <c r="AG82" s="138">
        <f t="shared" si="63"/>
        <v>1</v>
      </c>
      <c r="AH82" s="138">
        <f t="shared" si="73"/>
        <v>31</v>
      </c>
      <c r="AI82" s="138">
        <f t="shared" si="64"/>
        <v>1841</v>
      </c>
      <c r="AJ82" s="138">
        <f t="shared" si="65"/>
        <v>1858</v>
      </c>
      <c r="AL82" s="136">
        <f t="shared" si="29"/>
        <v>3.8395000000000001</v>
      </c>
      <c r="AM82" s="258">
        <f t="shared" si="30"/>
        <v>-1.4E-2</v>
      </c>
      <c r="AN82" s="258">
        <f t="shared" si="31"/>
        <v>2.5000000000000001E-3</v>
      </c>
      <c r="AO82" s="258">
        <f t="shared" si="32"/>
        <v>0.35</v>
      </c>
      <c r="AP82" s="258">
        <f t="shared" si="33"/>
        <v>0</v>
      </c>
      <c r="AQ82" s="136">
        <f t="shared" si="66"/>
        <v>3.3399999999999999E-2</v>
      </c>
      <c r="AR82" s="137">
        <f t="shared" si="35"/>
        <v>2.75E-2</v>
      </c>
      <c r="AS82" s="136">
        <f t="shared" si="67"/>
        <v>3.8280000000000003</v>
      </c>
      <c r="AT82" s="137">
        <f t="shared" si="68"/>
        <v>5.38548873933569E-2</v>
      </c>
      <c r="AU82" s="137">
        <f t="shared" si="38"/>
        <v>0.76345902881729577</v>
      </c>
      <c r="AV82" s="394">
        <f t="shared" si="69"/>
        <v>236.6722989333617</v>
      </c>
      <c r="AW82" s="137">
        <f t="shared" si="40"/>
        <v>0.2475</v>
      </c>
      <c r="AX82" s="137">
        <f t="shared" si="41"/>
        <v>1</v>
      </c>
      <c r="AY82" s="137">
        <f t="shared" si="42"/>
        <v>1</v>
      </c>
      <c r="AZ82" s="137"/>
      <c r="BA82" s="264"/>
      <c r="BB82" s="258">
        <f t="shared" si="43"/>
        <v>0</v>
      </c>
      <c r="BC82" s="258">
        <f t="shared" si="70"/>
        <v>0</v>
      </c>
      <c r="BD82" s="137">
        <f t="shared" si="71"/>
        <v>2.40535407127207E-5</v>
      </c>
      <c r="BE82" s="137">
        <f t="shared" si="72"/>
        <v>2.40535407127207E-5</v>
      </c>
      <c r="BF82" s="137">
        <f>_xll.xSPRDOPT($BW82,$BV82,$CG82,0,$BY82,$BX82,$BZ82,$AJ82,1,4)*$CB82</f>
        <v>-9.0971691598774174E-8</v>
      </c>
      <c r="BG82" s="137">
        <f>_xll.xSPRDOPT($BW82,$BV82,$CG82,0,$BY82,$BX82,$BZ82,$AJ82,1,3)*$CB82</f>
        <v>1.8194338315518635E-7</v>
      </c>
      <c r="BH82" s="137">
        <f>IF(OR(BF82&lt;&gt;0,BG82&lt;&gt;0),_xll.xSPRDOPT($BW82,$BV82,$CG82,0,$BY82,$BX82,$BZ82,$AJ82,1,12)*$CB82,0)</f>
        <v>9.3245983888743533E-7</v>
      </c>
      <c r="BI82" s="137">
        <f>_xll.xSPRDOPT($BW82,$BV82,$CG82,2*LN(1+CA82/2),$BY82,$BX82,$BZ82,$AJ82,1,9)</f>
        <v>8.9130390198827476E-3</v>
      </c>
      <c r="BJ82" s="137">
        <f>_xll.xSPRDOPT($BW82,$BV82,$CG82,0,$BY82,$BX82,$BZ82,$AJ82,1,6)*$CB82</f>
        <v>-1.8996888298238592E-3</v>
      </c>
      <c r="BK82" s="137">
        <f>_xll.xSPRDOPT($BW82,$BV82,$CG82,0,$BY82,$BX82,$BZ82,$AJ82,1,5)*$CB82</f>
        <v>2.0219124312750351E-3</v>
      </c>
      <c r="BL82" s="137">
        <f>_xll.xSPRDOPT(BW82,BV82,CG82,0,BY82,BX82,BZ82,AJ82,1,2)*CB82</f>
        <v>-0.76307314611544175</v>
      </c>
      <c r="BM82" s="137">
        <f>_xll.xSPRDOPT(BW82,BV82,CG82,0,BY82,BX82,BZ82,AJ82,1,1)*CB82</f>
        <v>0.76307314610329569</v>
      </c>
      <c r="BN82" s="137">
        <f>IF(AH82&lt;&gt;0,_xll.xSPRDOPT($BW82,$BV82,$CG82,2*LN(1+CA82/2),$BY82,$BX82,$BZ82,$AJ82,1,8)+(AJ82/365.25)*CH82/AH82,0)</f>
        <v>0.60342296595399481</v>
      </c>
      <c r="BO82" s="137">
        <f>_xll.xSPRDOPT($BW82,$BV82,$CG82,0,$BY82,$BX82,$BZ82,$AJ82,1,0)</f>
        <v>0.21985735432980413</v>
      </c>
      <c r="BP82" s="137"/>
      <c r="BQ82" s="137"/>
      <c r="BR82" s="137"/>
      <c r="BS82" s="137"/>
      <c r="BV82" s="262">
        <v>3.9362467866323909</v>
      </c>
      <c r="BW82" s="136">
        <v>4.1894999999999998</v>
      </c>
      <c r="BX82" s="137">
        <v>0.26283306121828259</v>
      </c>
      <c r="BY82" s="137">
        <v>0.26283306121828259</v>
      </c>
      <c r="BZ82" s="137">
        <v>1</v>
      </c>
      <c r="CA82" s="137">
        <v>5.38548873933569E-2</v>
      </c>
      <c r="CB82" s="137">
        <v>0.76312585991900983</v>
      </c>
      <c r="CC82" s="258">
        <v>-1.4E-2</v>
      </c>
      <c r="CD82" s="258">
        <v>2.5000000000000001E-3</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52"/>
        <v>39128</v>
      </c>
      <c r="F83" s="28">
        <f t="shared" si="53"/>
        <v>356</v>
      </c>
      <c r="G83" s="28">
        <f t="shared" si="13"/>
        <v>0</v>
      </c>
      <c r="H83" s="52">
        <f t="shared" si="54"/>
        <v>3.8488431876606688</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20"/>
        <v>0</v>
      </c>
      <c r="Z83" s="338">
        <f t="shared" si="21"/>
        <v>0</v>
      </c>
      <c r="AA83" s="338">
        <f t="shared" si="22"/>
        <v>0</v>
      </c>
      <c r="AB83" s="338">
        <f t="shared" si="60"/>
        <v>0</v>
      </c>
      <c r="AC83" s="338">
        <f t="shared" si="61"/>
        <v>0</v>
      </c>
      <c r="AF83" s="138">
        <f t="shared" si="62"/>
        <v>0</v>
      </c>
      <c r="AG83" s="138">
        <f t="shared" si="63"/>
        <v>2</v>
      </c>
      <c r="AH83" s="138">
        <f t="shared" si="73"/>
        <v>0</v>
      </c>
      <c r="AI83" s="138">
        <f t="shared" si="64"/>
        <v>1872</v>
      </c>
      <c r="AJ83" s="138">
        <f t="shared" si="65"/>
        <v>1889</v>
      </c>
      <c r="AL83" s="136">
        <f t="shared" si="29"/>
        <v>3.7545000000000002</v>
      </c>
      <c r="AM83" s="258">
        <f t="shared" si="30"/>
        <v>-1.4E-2</v>
      </c>
      <c r="AN83" s="258">
        <f t="shared" si="31"/>
        <v>2.5000000000000001E-3</v>
      </c>
      <c r="AO83" s="258">
        <f t="shared" si="32"/>
        <v>0.35</v>
      </c>
      <c r="AP83" s="258">
        <f t="shared" si="33"/>
        <v>0</v>
      </c>
      <c r="AQ83" s="136">
        <f t="shared" si="66"/>
        <v>3.3399999999999999E-2</v>
      </c>
      <c r="AR83" s="137">
        <f t="shared" si="35"/>
        <v>2.75E-2</v>
      </c>
      <c r="AS83" s="136">
        <f t="shared" si="67"/>
        <v>3.7430000000000003</v>
      </c>
      <c r="AT83" s="137">
        <f t="shared" si="68"/>
        <v>5.4038903438607302E-2</v>
      </c>
      <c r="AU83" s="137">
        <f t="shared" si="38"/>
        <v>0</v>
      </c>
      <c r="AV83" s="394">
        <f t="shared" si="69"/>
        <v>0</v>
      </c>
      <c r="AW83" s="137">
        <f t="shared" si="40"/>
        <v>0.24249999999999999</v>
      </c>
      <c r="AX83" s="137">
        <f t="shared" si="41"/>
        <v>1</v>
      </c>
      <c r="AY83" s="137">
        <f t="shared" si="42"/>
        <v>1</v>
      </c>
      <c r="AZ83" s="137"/>
      <c r="BA83" s="264"/>
      <c r="BB83" s="258">
        <f t="shared" si="43"/>
        <v>0</v>
      </c>
      <c r="BC83" s="258">
        <f t="shared" si="70"/>
        <v>0</v>
      </c>
      <c r="BD83" s="137">
        <f t="shared" si="71"/>
        <v>0</v>
      </c>
      <c r="BE83" s="137">
        <f t="shared" si="7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-3.0443111416379211E-2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1.3206660552488332</v>
      </c>
      <c r="BP83" s="137"/>
      <c r="BQ83" s="137"/>
      <c r="BR83" s="137"/>
      <c r="BS83" s="137"/>
      <c r="BV83" s="262">
        <v>3.8488431876606688</v>
      </c>
      <c r="BW83" s="136">
        <v>4.1044999999999998</v>
      </c>
      <c r="BX83" s="137">
        <v>0.24249999999999999</v>
      </c>
      <c r="BY83" s="137">
        <v>0.24249999999999999</v>
      </c>
      <c r="BZ83" s="137">
        <v>0</v>
      </c>
      <c r="CA83" s="137">
        <v>5.4038903438607302E-2</v>
      </c>
      <c r="CB83" s="137">
        <v>0</v>
      </c>
      <c r="CC83" s="258">
        <v>-1.4E-2</v>
      </c>
      <c r="CD83" s="258">
        <v>2.5000000000000001E-3</v>
      </c>
      <c r="CE83" s="258">
        <v>0.35</v>
      </c>
      <c r="CF83" s="258">
        <v>0</v>
      </c>
      <c r="CG83" s="258">
        <v>3.3399999999999999E-2</v>
      </c>
      <c r="CH83" s="258">
        <v>0</v>
      </c>
      <c r="CI83" s="258">
        <v>3.7545000000000002</v>
      </c>
      <c r="CJ83" s="258"/>
      <c r="CK83" s="258"/>
      <c r="CL83" s="258"/>
      <c r="CM83" s="258"/>
    </row>
    <row r="84" spans="1:91" x14ac:dyDescent="0.25">
      <c r="A84" s="723"/>
      <c r="B84" s="723"/>
      <c r="D84" s="31">
        <f t="shared" si="52"/>
        <v>39128</v>
      </c>
      <c r="F84" s="28">
        <f t="shared" si="53"/>
        <v>356</v>
      </c>
      <c r="G84" s="28">
        <f t="shared" si="13"/>
        <v>0</v>
      </c>
      <c r="H84" s="52">
        <f t="shared" si="54"/>
        <v>3.8488431876606688</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20"/>
        <v>0</v>
      </c>
      <c r="Z84" s="338">
        <f t="shared" si="21"/>
        <v>0</v>
      </c>
      <c r="AA84" s="338">
        <f t="shared" si="22"/>
        <v>0</v>
      </c>
      <c r="AB84" s="338">
        <f t="shared" si="60"/>
        <v>0</v>
      </c>
      <c r="AC84" s="338">
        <f t="shared" si="61"/>
        <v>0</v>
      </c>
      <c r="AF84" s="138">
        <f t="shared" si="62"/>
        <v>0</v>
      </c>
      <c r="AG84" s="138">
        <f t="shared" si="63"/>
        <v>2</v>
      </c>
      <c r="AH84" s="138">
        <f t="shared" si="73"/>
        <v>0</v>
      </c>
      <c r="AI84" s="138">
        <f t="shared" si="64"/>
        <v>1872</v>
      </c>
      <c r="AJ84" s="138">
        <f t="shared" si="65"/>
        <v>1889</v>
      </c>
      <c r="AL84" s="136">
        <f t="shared" si="29"/>
        <v>3.7545000000000002</v>
      </c>
      <c r="AM84" s="258">
        <f t="shared" si="30"/>
        <v>-1.4E-2</v>
      </c>
      <c r="AN84" s="258">
        <f t="shared" si="31"/>
        <v>2.5000000000000001E-3</v>
      </c>
      <c r="AO84" s="258">
        <f t="shared" si="32"/>
        <v>0.35</v>
      </c>
      <c r="AP84" s="258">
        <f t="shared" si="33"/>
        <v>0</v>
      </c>
      <c r="AQ84" s="136">
        <f t="shared" si="66"/>
        <v>3.3399999999999999E-2</v>
      </c>
      <c r="AR84" s="137">
        <f t="shared" si="35"/>
        <v>2.75E-2</v>
      </c>
      <c r="AS84" s="136">
        <f t="shared" si="67"/>
        <v>3.7430000000000003</v>
      </c>
      <c r="AT84" s="137">
        <f t="shared" si="68"/>
        <v>5.4038903438607302E-2</v>
      </c>
      <c r="AU84" s="137">
        <f t="shared" si="38"/>
        <v>0</v>
      </c>
      <c r="AV84" s="394">
        <f t="shared" si="69"/>
        <v>0</v>
      </c>
      <c r="AW84" s="137">
        <f t="shared" si="40"/>
        <v>0.24249999999999999</v>
      </c>
      <c r="AX84" s="137">
        <f t="shared" si="41"/>
        <v>1</v>
      </c>
      <c r="AY84" s="137">
        <f t="shared" si="42"/>
        <v>1</v>
      </c>
      <c r="AZ84" s="137"/>
      <c r="BA84" s="264"/>
      <c r="BB84" s="258">
        <f t="shared" si="43"/>
        <v>0</v>
      </c>
      <c r="BC84" s="258">
        <f t="shared" si="70"/>
        <v>0</v>
      </c>
      <c r="BD84" s="137">
        <f t="shared" si="71"/>
        <v>0</v>
      </c>
      <c r="BE84" s="137">
        <f t="shared" si="7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-3.0443111416379211E-2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1.3206660552488332</v>
      </c>
      <c r="BP84" s="137"/>
      <c r="BQ84" s="137"/>
      <c r="BR84" s="137"/>
      <c r="BS84" s="137"/>
      <c r="BV84" s="262">
        <v>3.8488431876606688</v>
      </c>
      <c r="BW84" s="136">
        <v>4.1044999999999998</v>
      </c>
      <c r="BX84" s="137">
        <v>0.24249999999999999</v>
      </c>
      <c r="BY84" s="137">
        <v>0.24249999999999999</v>
      </c>
      <c r="BZ84" s="137">
        <v>0</v>
      </c>
      <c r="CA84" s="137">
        <v>5.4038903438607302E-2</v>
      </c>
      <c r="CB84" s="137">
        <v>0</v>
      </c>
      <c r="CC84" s="258">
        <v>-1.4E-2</v>
      </c>
      <c r="CD84" s="258">
        <v>2.5000000000000001E-3</v>
      </c>
      <c r="CE84" s="258">
        <v>0.35</v>
      </c>
      <c r="CF84" s="258">
        <v>0</v>
      </c>
      <c r="CG84" s="258">
        <v>3.3399999999999999E-2</v>
      </c>
      <c r="CH84" s="258">
        <v>0</v>
      </c>
      <c r="CI84" s="258">
        <v>3.7545000000000002</v>
      </c>
      <c r="CJ84" s="258"/>
      <c r="CK84" s="258"/>
      <c r="CL84" s="258"/>
      <c r="CM84" s="258"/>
    </row>
    <row r="85" spans="1:91" x14ac:dyDescent="0.25">
      <c r="A85" s="723"/>
      <c r="B85" s="723"/>
      <c r="D85" s="31">
        <f t="shared" si="52"/>
        <v>39128</v>
      </c>
      <c r="F85" s="28">
        <f t="shared" si="53"/>
        <v>356</v>
      </c>
      <c r="G85" s="28">
        <f t="shared" si="13"/>
        <v>0</v>
      </c>
      <c r="H85" s="52">
        <f t="shared" si="54"/>
        <v>3.8488431876606688</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20"/>
        <v>0</v>
      </c>
      <c r="Z85" s="338">
        <f t="shared" si="21"/>
        <v>0</v>
      </c>
      <c r="AA85" s="338">
        <f t="shared" si="22"/>
        <v>0</v>
      </c>
      <c r="AB85" s="338">
        <f t="shared" si="60"/>
        <v>0</v>
      </c>
      <c r="AC85" s="338">
        <f t="shared" si="61"/>
        <v>0</v>
      </c>
      <c r="AF85" s="138">
        <f t="shared" si="62"/>
        <v>0</v>
      </c>
      <c r="AG85" s="138">
        <f t="shared" si="63"/>
        <v>2</v>
      </c>
      <c r="AH85" s="138">
        <f t="shared" si="73"/>
        <v>0</v>
      </c>
      <c r="AI85" s="138">
        <f t="shared" si="64"/>
        <v>1872</v>
      </c>
      <c r="AJ85" s="138">
        <f t="shared" si="65"/>
        <v>1889</v>
      </c>
      <c r="AL85" s="136">
        <f t="shared" si="29"/>
        <v>3.7545000000000002</v>
      </c>
      <c r="AM85" s="258">
        <f t="shared" si="30"/>
        <v>-1.4E-2</v>
      </c>
      <c r="AN85" s="258">
        <f t="shared" si="31"/>
        <v>2.5000000000000001E-3</v>
      </c>
      <c r="AO85" s="258">
        <f t="shared" si="32"/>
        <v>0.35</v>
      </c>
      <c r="AP85" s="258">
        <f t="shared" si="33"/>
        <v>0</v>
      </c>
      <c r="AQ85" s="136">
        <f t="shared" si="66"/>
        <v>3.3399999999999999E-2</v>
      </c>
      <c r="AR85" s="137">
        <f t="shared" si="35"/>
        <v>2.75E-2</v>
      </c>
      <c r="AS85" s="136">
        <f t="shared" si="67"/>
        <v>3.7430000000000003</v>
      </c>
      <c r="AT85" s="137">
        <f t="shared" si="68"/>
        <v>5.4038903438607302E-2</v>
      </c>
      <c r="AU85" s="137">
        <f t="shared" si="38"/>
        <v>0</v>
      </c>
      <c r="AV85" s="394">
        <f t="shared" si="69"/>
        <v>0</v>
      </c>
      <c r="AW85" s="137">
        <f t="shared" si="40"/>
        <v>0.24249999999999999</v>
      </c>
      <c r="AX85" s="137">
        <f t="shared" si="41"/>
        <v>1</v>
      </c>
      <c r="AY85" s="137">
        <f t="shared" si="42"/>
        <v>1</v>
      </c>
      <c r="AZ85" s="137"/>
      <c r="BA85" s="264"/>
      <c r="BB85" s="258">
        <f t="shared" si="43"/>
        <v>0</v>
      </c>
      <c r="BC85" s="258">
        <f t="shared" si="70"/>
        <v>0</v>
      </c>
      <c r="BD85" s="137">
        <f t="shared" si="71"/>
        <v>0</v>
      </c>
      <c r="BE85" s="137">
        <f t="shared" si="7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-3.0443111416379211E-2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1.3206660552488332</v>
      </c>
      <c r="BP85" s="137"/>
      <c r="BQ85" s="137"/>
      <c r="BR85" s="137"/>
      <c r="BS85" s="137"/>
      <c r="BV85" s="262">
        <v>3.8488431876606688</v>
      </c>
      <c r="BW85" s="136">
        <v>4.1044999999999998</v>
      </c>
      <c r="BX85" s="137">
        <v>0.24249999999999999</v>
      </c>
      <c r="BY85" s="137">
        <v>0.24249999999999999</v>
      </c>
      <c r="BZ85" s="137">
        <v>0</v>
      </c>
      <c r="CA85" s="137">
        <v>5.4038903438607302E-2</v>
      </c>
      <c r="CB85" s="137">
        <v>0</v>
      </c>
      <c r="CC85" s="258">
        <v>-1.4E-2</v>
      </c>
      <c r="CD85" s="258">
        <v>2.5000000000000001E-3</v>
      </c>
      <c r="CE85" s="258">
        <v>0.35</v>
      </c>
      <c r="CF85" s="258">
        <v>0</v>
      </c>
      <c r="CG85" s="258">
        <v>3.3399999999999999E-2</v>
      </c>
      <c r="CH85" s="258">
        <v>0</v>
      </c>
      <c r="CI85" s="258">
        <v>3.7545000000000002</v>
      </c>
      <c r="CJ85" s="258"/>
      <c r="CK85" s="258"/>
      <c r="CL85" s="258"/>
      <c r="CM85" s="258"/>
    </row>
    <row r="86" spans="1:91" x14ac:dyDescent="0.25">
      <c r="A86" s="723"/>
      <c r="B86" s="723"/>
      <c r="D86" s="31">
        <f t="shared" si="52"/>
        <v>39128</v>
      </c>
      <c r="F86" s="28">
        <f t="shared" si="53"/>
        <v>356</v>
      </c>
      <c r="G86" s="28">
        <f>F86*$AU86</f>
        <v>0</v>
      </c>
      <c r="H86" s="52">
        <f t="shared" si="54"/>
        <v>3.8488431876606688</v>
      </c>
      <c r="I86" s="52">
        <f t="shared" si="55"/>
        <v>4.1044999999999998</v>
      </c>
      <c r="K86" s="52">
        <f t="shared" si="56"/>
        <v>0</v>
      </c>
      <c r="L86" s="135">
        <f t="shared" si="57"/>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 t="shared" si="58"/>
        <v>0</v>
      </c>
      <c r="W86" s="146"/>
      <c r="X86" s="338">
        <f t="shared" si="59"/>
        <v>0</v>
      </c>
      <c r="Y86" s="338">
        <f>($F86*$AH86)*((($BG86/2)*($BC86)^2)+(($BF86/2)*($BB86)^2)+($BH86*$BC86*$BB86))</f>
        <v>0</v>
      </c>
      <c r="Z86" s="338">
        <f>($BI86*$F86*$AH86*($G$5-$BV$5))/365.25</f>
        <v>0</v>
      </c>
      <c r="AA86" s="338">
        <f>(($BK86*$BE86)+($BJ86*$BD86))*$F86*$AH86*$AF86</f>
        <v>0</v>
      </c>
      <c r="AB86" s="338">
        <f t="shared" si="60"/>
        <v>0</v>
      </c>
      <c r="AC86" s="338">
        <f t="shared" si="61"/>
        <v>0</v>
      </c>
      <c r="AF86" s="138">
        <f t="shared" si="62"/>
        <v>0</v>
      </c>
      <c r="AG86" s="138">
        <f t="shared" si="63"/>
        <v>2</v>
      </c>
      <c r="AH86" s="138">
        <f t="shared" si="73"/>
        <v>0</v>
      </c>
      <c r="AI86" s="138">
        <f t="shared" si="64"/>
        <v>1872</v>
      </c>
      <c r="AJ86" s="138">
        <f t="shared" si="65"/>
        <v>1889</v>
      </c>
      <c r="AL86" s="136">
        <f>VLOOKUP($D86,CurveTbl,$AK$4)</f>
        <v>3.7545000000000002</v>
      </c>
      <c r="AM86" s="258">
        <f>VLOOKUP($D86,CurveTbl,$AH$3)</f>
        <v>-1.4E-2</v>
      </c>
      <c r="AN86" s="258">
        <f>VLOOKUP($D86,CurveTbl,$AH$4)+VLOOKUP($AG86,$AL$3:$AS$15,6)</f>
        <v>2.5000000000000001E-3</v>
      </c>
      <c r="AO86" s="258">
        <f>VLOOKUP($D86,CurveTbl,$AH$5)</f>
        <v>0.35</v>
      </c>
      <c r="AP86" s="258">
        <f>VLOOKUP($D86,CurveTbl,$AH$6)+VLOOKUP($AG86,$AL$3:$AS$15,7)</f>
        <v>0</v>
      </c>
      <c r="AQ86" s="136">
        <f t="shared" si="66"/>
        <v>3.3399999999999999E-2</v>
      </c>
      <c r="AR86" s="137">
        <f>VLOOKUP($AG86,$AL$4:$AS$15,4)</f>
        <v>2.75E-2</v>
      </c>
      <c r="AS86" s="136">
        <f t="shared" si="67"/>
        <v>3.7430000000000003</v>
      </c>
      <c r="AT86" s="137">
        <f t="shared" si="68"/>
        <v>5.4038903438607302E-2</v>
      </c>
      <c r="AU86" s="137">
        <f>(1+$AT86/2)^(-2*($D86-$G$5)/365.25)*$AF86</f>
        <v>0</v>
      </c>
      <c r="AV86" s="394">
        <f t="shared" si="69"/>
        <v>0</v>
      </c>
      <c r="AW86" s="137">
        <f>VLOOKUP($D86,CurveTbl,$AK$8)</f>
        <v>0.24249999999999999</v>
      </c>
      <c r="AX86" s="137">
        <f>VLOOKUP($D86,CurveTbl,$AH$7)</f>
        <v>1</v>
      </c>
      <c r="AY86" s="137">
        <f>VLOOKUP($D86,CurveTbl,$AH$8)</f>
        <v>1</v>
      </c>
      <c r="AZ86" s="137"/>
      <c r="BA86" s="264"/>
      <c r="BB86" s="258">
        <f>$H86-$BV86</f>
        <v>0</v>
      </c>
      <c r="BC86" s="258">
        <f t="shared" si="70"/>
        <v>0</v>
      </c>
      <c r="BD86" s="137">
        <f t="shared" si="71"/>
        <v>0</v>
      </c>
      <c r="BE86" s="137">
        <f t="shared" si="72"/>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-3.0443111416379211E-2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1.3206660552488332</v>
      </c>
      <c r="BP86" s="137"/>
      <c r="BQ86" s="137"/>
      <c r="BR86" s="137"/>
      <c r="BS86" s="137"/>
      <c r="BV86" s="262">
        <v>3.8488431876606688</v>
      </c>
      <c r="BW86" s="136">
        <v>4.1044999999999998</v>
      </c>
      <c r="BX86" s="137">
        <v>0.24249999999999999</v>
      </c>
      <c r="BY86" s="137">
        <v>0.24249999999999999</v>
      </c>
      <c r="BZ86" s="137">
        <v>0</v>
      </c>
      <c r="CA86" s="137">
        <v>5.4038903438607302E-2</v>
      </c>
      <c r="CB86" s="137">
        <v>0</v>
      </c>
      <c r="CC86" s="258">
        <v>-1.4E-2</v>
      </c>
      <c r="CD86" s="258">
        <v>2.5000000000000001E-3</v>
      </c>
      <c r="CE86" s="258">
        <v>0.35</v>
      </c>
      <c r="CF86" s="258">
        <v>0</v>
      </c>
      <c r="CG86" s="258">
        <v>3.3399999999999999E-2</v>
      </c>
      <c r="CH86" s="258">
        <v>0</v>
      </c>
      <c r="CI86" s="258">
        <v>3.7545000000000002</v>
      </c>
      <c r="CJ86" s="258"/>
      <c r="CK86" s="258"/>
      <c r="CL86" s="258"/>
      <c r="CM86" s="258"/>
    </row>
    <row r="87" spans="1:91" x14ac:dyDescent="0.25">
      <c r="A87" s="723"/>
      <c r="B87" s="723"/>
      <c r="D87" s="31">
        <f t="shared" si="52"/>
        <v>39128</v>
      </c>
      <c r="F87" s="28">
        <f t="shared" si="53"/>
        <v>356</v>
      </c>
      <c r="G87" s="28">
        <f>F87*$AU87</f>
        <v>0</v>
      </c>
      <c r="H87" s="52">
        <f t="shared" si="54"/>
        <v>3.8488431876606688</v>
      </c>
      <c r="I87" s="52">
        <f t="shared" si="55"/>
        <v>4.1044999999999998</v>
      </c>
      <c r="K87" s="52">
        <f t="shared" si="56"/>
        <v>0</v>
      </c>
      <c r="L87" s="135">
        <f t="shared" si="57"/>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8"/>
        <v>0</v>
      </c>
      <c r="W87" s="146"/>
      <c r="X87" s="338">
        <f t="shared" si="59"/>
        <v>0</v>
      </c>
      <c r="Y87" s="338">
        <f>($F87*$AH87)*((($BG87/2)*($BC87)^2)+(($BF87/2)*($BB87)^2)+($BH87*$BC87*$BB87))</f>
        <v>0</v>
      </c>
      <c r="Z87" s="338">
        <f>($BI87*$F87*$AH87*($G$5-$BV$5))/365.25</f>
        <v>0</v>
      </c>
      <c r="AA87" s="338">
        <f>(($BK87*$BE87)+($BJ87*$BD87))*$F87*$AH87*$AF87</f>
        <v>0</v>
      </c>
      <c r="AB87" s="338">
        <f t="shared" si="60"/>
        <v>0</v>
      </c>
      <c r="AC87" s="338">
        <f t="shared" si="61"/>
        <v>0</v>
      </c>
      <c r="AF87" s="138">
        <f t="shared" si="62"/>
        <v>0</v>
      </c>
      <c r="AG87" s="138">
        <f t="shared" si="63"/>
        <v>2</v>
      </c>
      <c r="AH87" s="138">
        <f t="shared" si="73"/>
        <v>0</v>
      </c>
      <c r="AI87" s="138">
        <f t="shared" si="64"/>
        <v>1872</v>
      </c>
      <c r="AJ87" s="138">
        <f t="shared" si="65"/>
        <v>1889</v>
      </c>
      <c r="AL87" s="136">
        <f>VLOOKUP($D87,CurveTbl,$AK$4)</f>
        <v>3.7545000000000002</v>
      </c>
      <c r="AM87" s="258">
        <f>VLOOKUP($D87,CurveTbl,$AH$3)</f>
        <v>-1.4E-2</v>
      </c>
      <c r="AN87" s="258">
        <f>VLOOKUP($D87,CurveTbl,$AH$4)+VLOOKUP($AG87,$AL$3:$AS$15,6)</f>
        <v>2.5000000000000001E-3</v>
      </c>
      <c r="AO87" s="258">
        <f>VLOOKUP($D87,CurveTbl,$AH$5)</f>
        <v>0.35</v>
      </c>
      <c r="AP87" s="258">
        <f>VLOOKUP($D87,CurveTbl,$AH$6)+VLOOKUP($AG87,$AL$3:$AS$15,7)</f>
        <v>0</v>
      </c>
      <c r="AQ87" s="136">
        <f t="shared" si="66"/>
        <v>3.3399999999999999E-2</v>
      </c>
      <c r="AR87" s="137">
        <f>VLOOKUP($AG87,$AL$4:$AS$15,4)</f>
        <v>2.75E-2</v>
      </c>
      <c r="AS87" s="136">
        <f t="shared" si="67"/>
        <v>3.7430000000000003</v>
      </c>
      <c r="AT87" s="137">
        <f t="shared" si="68"/>
        <v>5.4038903438607302E-2</v>
      </c>
      <c r="AU87" s="137">
        <f>(1+$AT87/2)^(-2*($D87-$G$5)/365.25)*$AF87</f>
        <v>0</v>
      </c>
      <c r="AV87" s="394">
        <f t="shared" si="69"/>
        <v>0</v>
      </c>
      <c r="AW87" s="137">
        <f>VLOOKUP($D87,CurveTbl,$AK$8)</f>
        <v>0.24249999999999999</v>
      </c>
      <c r="AX87" s="137">
        <f>VLOOKUP($D87,CurveTbl,$AH$7)</f>
        <v>1</v>
      </c>
      <c r="AY87" s="137">
        <f>VLOOKUP($D87,CurveTbl,$AH$8)</f>
        <v>1</v>
      </c>
      <c r="AZ87" s="137"/>
      <c r="BA87" s="264"/>
      <c r="BB87" s="258">
        <f>$H87-$BV87</f>
        <v>0</v>
      </c>
      <c r="BC87" s="258">
        <f t="shared" si="70"/>
        <v>0</v>
      </c>
      <c r="BD87" s="137">
        <f t="shared" si="71"/>
        <v>0</v>
      </c>
      <c r="BE87" s="137">
        <f t="shared" si="72"/>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-3.0443111416379211E-2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1.3206660552488332</v>
      </c>
      <c r="BP87" s="137"/>
      <c r="BQ87" s="137"/>
      <c r="BR87" s="137"/>
      <c r="BS87" s="137"/>
      <c r="BV87" s="262">
        <v>3.8488431876606688</v>
      </c>
      <c r="BW87" s="136">
        <v>4.1044999999999998</v>
      </c>
      <c r="BX87" s="137">
        <v>0.24249999999999999</v>
      </c>
      <c r="BY87" s="137">
        <v>0.24249999999999999</v>
      </c>
      <c r="BZ87" s="137">
        <v>0</v>
      </c>
      <c r="CA87" s="137">
        <v>5.4038903438607302E-2</v>
      </c>
      <c r="CB87" s="137">
        <v>0</v>
      </c>
      <c r="CC87" s="258">
        <v>-1.4E-2</v>
      </c>
      <c r="CD87" s="258">
        <v>2.5000000000000001E-3</v>
      </c>
      <c r="CE87" s="258">
        <v>0.35</v>
      </c>
      <c r="CF87" s="258">
        <v>0</v>
      </c>
      <c r="CG87" s="258">
        <v>3.3399999999999999E-2</v>
      </c>
      <c r="CH87" s="258">
        <v>0</v>
      </c>
      <c r="CI87" s="258">
        <v>3.7545000000000002</v>
      </c>
      <c r="CJ87" s="258"/>
      <c r="CK87" s="258"/>
      <c r="CL87" s="258"/>
      <c r="CM87" s="258"/>
    </row>
    <row r="88" spans="1:91" x14ac:dyDescent="0.25">
      <c r="A88" s="723"/>
      <c r="B88" s="723"/>
      <c r="D88" s="31">
        <f t="shared" si="52"/>
        <v>39128</v>
      </c>
      <c r="F88" s="28">
        <f t="shared" si="53"/>
        <v>356</v>
      </c>
      <c r="G88" s="28">
        <f>F88*$AU88</f>
        <v>0</v>
      </c>
      <c r="H88" s="52">
        <f t="shared" si="54"/>
        <v>3.8488431876606688</v>
      </c>
      <c r="I88" s="52">
        <f t="shared" si="55"/>
        <v>4.1044999999999998</v>
      </c>
      <c r="K88" s="52">
        <f t="shared" si="56"/>
        <v>0</v>
      </c>
      <c r="L88" s="135">
        <f t="shared" si="57"/>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 t="shared" si="58"/>
        <v>0</v>
      </c>
      <c r="W88" s="146"/>
      <c r="X88" s="338">
        <f t="shared" si="59"/>
        <v>0</v>
      </c>
      <c r="Y88" s="338">
        <f>($F88*$AH88)*((($BG88/2)*($BC88)^2)+(($BF88/2)*($BB88)^2)+($BH88*$BC88*$BB88))</f>
        <v>0</v>
      </c>
      <c r="Z88" s="338">
        <f>($BI88*$F88*$AH88*($G$5-$BV$5))/365.25</f>
        <v>0</v>
      </c>
      <c r="AA88" s="338">
        <f>(($BK88*$BE88)+($BJ88*$BD88))*$F88*$AH88*$AF88</f>
        <v>0</v>
      </c>
      <c r="AB88" s="338">
        <f t="shared" si="60"/>
        <v>0</v>
      </c>
      <c r="AC88" s="338">
        <f t="shared" si="61"/>
        <v>0</v>
      </c>
      <c r="AF88" s="138">
        <f t="shared" si="62"/>
        <v>0</v>
      </c>
      <c r="AG88" s="138">
        <f t="shared" si="63"/>
        <v>2</v>
      </c>
      <c r="AH88" s="138">
        <f t="shared" si="73"/>
        <v>0</v>
      </c>
      <c r="AI88" s="138">
        <f t="shared" si="64"/>
        <v>1872</v>
      </c>
      <c r="AJ88" s="138">
        <f t="shared" si="65"/>
        <v>1889</v>
      </c>
      <c r="AL88" s="136">
        <f>VLOOKUP($D88,CurveTbl,$AK$4)</f>
        <v>3.7545000000000002</v>
      </c>
      <c r="AM88" s="258">
        <f>VLOOKUP($D88,CurveTbl,$AH$3)</f>
        <v>-1.4E-2</v>
      </c>
      <c r="AN88" s="258">
        <f>VLOOKUP($D88,CurveTbl,$AH$4)+VLOOKUP($AG88,$AL$3:$AS$15,6)</f>
        <v>2.5000000000000001E-3</v>
      </c>
      <c r="AO88" s="258">
        <f>VLOOKUP($D88,CurveTbl,$AH$5)</f>
        <v>0.35</v>
      </c>
      <c r="AP88" s="258">
        <f>VLOOKUP($D88,CurveTbl,$AH$6)+VLOOKUP($AG88,$AL$3:$AS$15,7)</f>
        <v>0</v>
      </c>
      <c r="AQ88" s="136">
        <f t="shared" si="66"/>
        <v>3.3399999999999999E-2</v>
      </c>
      <c r="AR88" s="137">
        <f>VLOOKUP($AG88,$AL$4:$AS$15,4)</f>
        <v>2.75E-2</v>
      </c>
      <c r="AS88" s="136">
        <f t="shared" si="67"/>
        <v>3.7430000000000003</v>
      </c>
      <c r="AT88" s="137">
        <f t="shared" si="68"/>
        <v>5.4038903438607302E-2</v>
      </c>
      <c r="AU88" s="137">
        <f>(1+$AT88/2)^(-2*($D88-$G$5)/365.25)*$AF88</f>
        <v>0</v>
      </c>
      <c r="AV88" s="394">
        <f t="shared" si="69"/>
        <v>0</v>
      </c>
      <c r="AW88" s="137">
        <f>VLOOKUP($D88,CurveTbl,$AK$8)</f>
        <v>0.24249999999999999</v>
      </c>
      <c r="AX88" s="137">
        <f>VLOOKUP($D88,CurveTbl,$AH$7)</f>
        <v>1</v>
      </c>
      <c r="AY88" s="137">
        <f>VLOOKUP($D88,CurveTbl,$AH$8)</f>
        <v>1</v>
      </c>
      <c r="AZ88" s="137"/>
      <c r="BA88" s="264"/>
      <c r="BB88" s="258">
        <f>$H88-$BV88</f>
        <v>0</v>
      </c>
      <c r="BC88" s="258">
        <f t="shared" si="70"/>
        <v>0</v>
      </c>
      <c r="BD88" s="137">
        <f t="shared" si="71"/>
        <v>0</v>
      </c>
      <c r="BE88" s="137">
        <f t="shared" si="72"/>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-3.0443111416379211E-2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1.3206660552488332</v>
      </c>
      <c r="BP88" s="137"/>
      <c r="BQ88" s="137"/>
      <c r="BR88" s="137"/>
      <c r="BS88" s="137"/>
      <c r="BV88" s="262">
        <v>3.8488431876606688</v>
      </c>
      <c r="BW88" s="136">
        <v>4.1044999999999998</v>
      </c>
      <c r="BX88" s="137">
        <v>0.24249999999999999</v>
      </c>
      <c r="BY88" s="137">
        <v>0.24249999999999999</v>
      </c>
      <c r="BZ88" s="137">
        <v>0</v>
      </c>
      <c r="CA88" s="137">
        <v>5.4038903438607302E-2</v>
      </c>
      <c r="CB88" s="137">
        <v>0</v>
      </c>
      <c r="CC88" s="258">
        <v>-1.4E-2</v>
      </c>
      <c r="CD88" s="258">
        <v>2.5000000000000001E-3</v>
      </c>
      <c r="CE88" s="258">
        <v>0.35</v>
      </c>
      <c r="CF88" s="258">
        <v>0</v>
      </c>
      <c r="CG88" s="258">
        <v>3.3399999999999999E-2</v>
      </c>
      <c r="CH88" s="258">
        <v>0</v>
      </c>
      <c r="CI88" s="258">
        <v>3.7545000000000002</v>
      </c>
      <c r="CJ88" s="258"/>
      <c r="CK88" s="258"/>
      <c r="CL88" s="258"/>
      <c r="CM88" s="258"/>
    </row>
    <row r="89" spans="1:91" x14ac:dyDescent="0.25">
      <c r="A89" s="723"/>
      <c r="B89" s="723"/>
      <c r="D89" s="31">
        <f t="shared" si="52"/>
        <v>39128</v>
      </c>
      <c r="F89" s="28">
        <f t="shared" si="53"/>
        <v>356</v>
      </c>
      <c r="G89" s="28">
        <f>F89*$AU89</f>
        <v>0</v>
      </c>
      <c r="H89" s="52">
        <f t="shared" si="54"/>
        <v>3.8488431876606688</v>
      </c>
      <c r="I89" s="52">
        <f t="shared" si="55"/>
        <v>4.1044999999999998</v>
      </c>
      <c r="K89" s="52">
        <f t="shared" si="56"/>
        <v>0</v>
      </c>
      <c r="L89" s="135">
        <f t="shared" si="57"/>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 t="shared" si="58"/>
        <v>0</v>
      </c>
      <c r="W89" s="146"/>
      <c r="X89" s="338">
        <f t="shared" si="59"/>
        <v>0</v>
      </c>
      <c r="Y89" s="338">
        <f>($F89*$AH89)*((($BG89/2)*($BC89)^2)+(($BF89/2)*($BB89)^2)+($BH89*$BC89*$BB89))</f>
        <v>0</v>
      </c>
      <c r="Z89" s="338">
        <f>($BI89*$F89*$AH89*($G$5-$BV$5))/365.25</f>
        <v>0</v>
      </c>
      <c r="AA89" s="338">
        <f>(($BK89*$BE89)+($BJ89*$BD89))*$F89*$AH89*$AF89</f>
        <v>0</v>
      </c>
      <c r="AB89" s="338">
        <f t="shared" si="60"/>
        <v>0</v>
      </c>
      <c r="AC89" s="338">
        <f t="shared" si="61"/>
        <v>0</v>
      </c>
      <c r="AF89" s="138">
        <f t="shared" si="62"/>
        <v>0</v>
      </c>
      <c r="AG89" s="138">
        <f t="shared" si="63"/>
        <v>2</v>
      </c>
      <c r="AH89" s="138">
        <f t="shared" si="73"/>
        <v>0</v>
      </c>
      <c r="AI89" s="138">
        <f t="shared" si="64"/>
        <v>1872</v>
      </c>
      <c r="AJ89" s="138">
        <f t="shared" si="65"/>
        <v>1889</v>
      </c>
      <c r="AL89" s="136">
        <f>VLOOKUP($D89,CurveTbl,$AK$4)</f>
        <v>3.7545000000000002</v>
      </c>
      <c r="AM89" s="258">
        <f>VLOOKUP($D89,CurveTbl,$AH$3)</f>
        <v>-1.4E-2</v>
      </c>
      <c r="AN89" s="258">
        <f>VLOOKUP($D89,CurveTbl,$AH$4)+VLOOKUP($AG89,$AL$3:$AS$15,6)</f>
        <v>2.5000000000000001E-3</v>
      </c>
      <c r="AO89" s="258">
        <f>VLOOKUP($D89,CurveTbl,$AH$5)</f>
        <v>0.35</v>
      </c>
      <c r="AP89" s="258">
        <f>VLOOKUP($D89,CurveTbl,$AH$6)+VLOOKUP($AG89,$AL$3:$AS$15,7)</f>
        <v>0</v>
      </c>
      <c r="AQ89" s="136">
        <f t="shared" si="66"/>
        <v>3.3399999999999999E-2</v>
      </c>
      <c r="AR89" s="137">
        <f>VLOOKUP($AG89,$AL$4:$AS$15,4)</f>
        <v>2.75E-2</v>
      </c>
      <c r="AS89" s="136">
        <f t="shared" si="67"/>
        <v>3.7430000000000003</v>
      </c>
      <c r="AT89" s="137">
        <f t="shared" si="68"/>
        <v>5.4038903438607302E-2</v>
      </c>
      <c r="AU89" s="137">
        <f>(1+$AT89/2)^(-2*($D89-$G$5)/365.25)*$AF89</f>
        <v>0</v>
      </c>
      <c r="AV89" s="394">
        <f t="shared" si="69"/>
        <v>0</v>
      </c>
      <c r="AW89" s="137">
        <f>VLOOKUP($D89,CurveTbl,$AK$8)</f>
        <v>0.24249999999999999</v>
      </c>
      <c r="AX89" s="137">
        <f>VLOOKUP($D89,CurveTbl,$AH$7)</f>
        <v>1</v>
      </c>
      <c r="AY89" s="137">
        <f>VLOOKUP($D89,CurveTbl,$AH$8)</f>
        <v>1</v>
      </c>
      <c r="AZ89" s="137"/>
      <c r="BA89" s="264"/>
      <c r="BB89" s="258">
        <f>$H89-$BV89</f>
        <v>0</v>
      </c>
      <c r="BC89" s="258">
        <f t="shared" si="70"/>
        <v>0</v>
      </c>
      <c r="BD89" s="137">
        <f t="shared" si="71"/>
        <v>0</v>
      </c>
      <c r="BE89" s="137">
        <f t="shared" si="72"/>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-3.0443111416379211E-2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1.3206660552488332</v>
      </c>
      <c r="BP89" s="137"/>
      <c r="BQ89" s="137"/>
      <c r="BR89" s="137"/>
      <c r="BS89" s="137"/>
      <c r="BV89" s="262">
        <v>3.8488431876606688</v>
      </c>
      <c r="BW89" s="136">
        <v>4.1044999999999998</v>
      </c>
      <c r="BX89" s="137">
        <v>0.24249999999999999</v>
      </c>
      <c r="BY89" s="137">
        <v>0.24249999999999999</v>
      </c>
      <c r="BZ89" s="137">
        <v>0</v>
      </c>
      <c r="CA89" s="137">
        <v>5.4038903438607302E-2</v>
      </c>
      <c r="CB89" s="137">
        <v>0</v>
      </c>
      <c r="CC89" s="258">
        <v>-1.4E-2</v>
      </c>
      <c r="CD89" s="258">
        <v>2.5000000000000001E-3</v>
      </c>
      <c r="CE89" s="258">
        <v>0.35</v>
      </c>
      <c r="CF89" s="258">
        <v>0</v>
      </c>
      <c r="CG89" s="258">
        <v>3.3399999999999999E-2</v>
      </c>
      <c r="CH89" s="258">
        <v>0</v>
      </c>
      <c r="CI89" s="258">
        <v>3.7545000000000002</v>
      </c>
      <c r="CJ89" s="258"/>
      <c r="CK89" s="258"/>
      <c r="CL89" s="258"/>
      <c r="CM89" s="258"/>
    </row>
    <row r="90" spans="1:91" x14ac:dyDescent="0.25">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5">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5">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5">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5">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5">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5">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row r="97" spans="4:74" x14ac:dyDescent="0.25">
      <c r="D97" s="29"/>
      <c r="E97" s="29"/>
      <c r="F97" s="29"/>
      <c r="G97" s="29"/>
      <c r="H97" s="29"/>
      <c r="I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U97" s="29"/>
      <c r="BV97" s="29"/>
    </row>
    <row r="98" spans="4:74" x14ac:dyDescent="0.25">
      <c r="D98" s="29"/>
      <c r="E98" s="29"/>
      <c r="F98" s="29"/>
      <c r="G98" s="29"/>
      <c r="H98" s="29"/>
      <c r="I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U98" s="29"/>
      <c r="BV98" s="29"/>
    </row>
    <row r="99" spans="4:74" x14ac:dyDescent="0.25">
      <c r="D99" s="29"/>
      <c r="E99" s="29"/>
      <c r="F99" s="29"/>
      <c r="G99" s="29"/>
      <c r="H99" s="29"/>
      <c r="I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U99" s="29"/>
      <c r="BV99" s="29"/>
    </row>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493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493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5">
    <pageSetUpPr autoPageBreaks="0"/>
  </sheetPr>
  <dimension ref="A1:CX270"/>
  <sheetViews>
    <sheetView topLeftCell="O13"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LongTerm53</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53</v>
      </c>
      <c r="F2" s="178" t="str">
        <f>GetRcptPoint($AH$12,$AH$13)</f>
        <v>FGT/Zone 1</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106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292980.65265694668</v>
      </c>
      <c r="O4" s="352">
        <v>292891.65000000002</v>
      </c>
      <c r="P4" s="354">
        <f ca="1">N4-O4</f>
        <v>89.002656946657225</v>
      </c>
      <c r="S4" s="427" t="s">
        <v>635</v>
      </c>
      <c r="T4" s="422">
        <f ca="1">SUMPRODUCT(INDIRECT(CONCATENATE(V4,":",W4)),INDIRECT(CONCATENATE(AV2,":",AW2)),INDIRECT(CONCATENATE(AV3,":",AW3)))</f>
        <v>292979.91444829683</v>
      </c>
      <c r="V4" s="30" t="str">
        <f>ADDRESS(ROW(K22),COLUMN(K22))</f>
        <v>$K$22</v>
      </c>
      <c r="W4" s="30" t="str">
        <f ca="1">GetEnd($AV$1,V4)</f>
        <v>$K$89</v>
      </c>
      <c r="AF4" s="28"/>
      <c r="AG4" s="103" t="s">
        <v>32</v>
      </c>
      <c r="AH4" s="104">
        <f>GetRcptIndexCol($AH$12,$AH$13)</f>
        <v>107</v>
      </c>
      <c r="AI4" s="29"/>
      <c r="AJ4" s="103" t="s">
        <v>72</v>
      </c>
      <c r="AK4" s="104">
        <f>GetNymexCol(AK3)</f>
        <v>3</v>
      </c>
      <c r="AL4" s="34">
        <v>1</v>
      </c>
      <c r="AM4" s="45">
        <f t="shared" ref="AM4:AM15" si="0">GetVolume($AH$12,$AH$13,AT4)</f>
        <v>396</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145106.02043222418</v>
      </c>
      <c r="O5" s="352">
        <v>145061.68</v>
      </c>
      <c r="P5" s="355">
        <f ca="1">N5-O5</f>
        <v>44.340432224184042</v>
      </c>
      <c r="S5" s="428" t="s">
        <v>636</v>
      </c>
      <c r="T5" s="423">
        <f ca="1">SUMPRODUCT(INDIRECT(CONCATENATE(V5,":",W5)),INDIRECT(CONCATENATE(AV2,":",AW2)),INDIRECT(CONCATENATE(AV3,":",AW3)))</f>
        <v>0.73820864980643108</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396</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147874.6322247225</v>
      </c>
      <c r="O6" s="357">
        <v>147829.98000000001</v>
      </c>
      <c r="P6" s="358">
        <f ca="1">N6-O6</f>
        <v>44.652224722492974</v>
      </c>
      <c r="S6" s="428" t="s">
        <v>637</v>
      </c>
      <c r="T6" s="424">
        <f ca="1">SUMPRODUCT(INDIRECT(CONCATENATE(V6,":",W6)),INDIRECT(CONCATENATE(AV3,":",AW3)),INDIRECT(CONCATENATE(AX3,":",AY3)))</f>
        <v>559230.09912893828</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396</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426.66</v>
      </c>
      <c r="P7" s="355">
        <f ca="1">N7</f>
        <v>0</v>
      </c>
      <c r="S7" s="428" t="s">
        <v>638</v>
      </c>
      <c r="T7" s="425">
        <f ca="1">T5/T6</f>
        <v>1.3200445593974133E-6</v>
      </c>
      <c r="AF7" s="28"/>
      <c r="AG7" s="103" t="s">
        <v>76</v>
      </c>
      <c r="AH7" s="104">
        <f>GetRcptOmicronCol($AH$12,$AH$13)</f>
        <v>17</v>
      </c>
      <c r="AI7" s="29"/>
      <c r="AJ7" s="103" t="s">
        <v>80</v>
      </c>
      <c r="AK7" s="104" t="str">
        <f>Configuration!$D$8</f>
        <v>Nymex Vol</v>
      </c>
      <c r="AL7" s="34">
        <v>4</v>
      </c>
      <c r="AM7" s="37">
        <f t="shared" si="0"/>
        <v>396</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3130.98</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252</v>
      </c>
      <c r="AN8" s="38">
        <f t="shared" si="1"/>
        <v>0</v>
      </c>
      <c r="AO8" s="39">
        <f t="shared" si="2"/>
        <v>0</v>
      </c>
      <c r="AP8" s="38">
        <f t="shared" si="3"/>
        <v>0</v>
      </c>
      <c r="AQ8" s="38">
        <f t="shared" si="4"/>
        <v>0</v>
      </c>
      <c r="AR8" s="133">
        <f t="shared" si="5"/>
        <v>0</v>
      </c>
      <c r="AS8" s="40">
        <f t="shared" si="6"/>
        <v>0</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252</v>
      </c>
      <c r="AN9" s="38">
        <f t="shared" si="1"/>
        <v>0</v>
      </c>
      <c r="AO9" s="39">
        <f t="shared" si="2"/>
        <v>0</v>
      </c>
      <c r="AP9" s="38">
        <f t="shared" si="3"/>
        <v>0</v>
      </c>
      <c r="AQ9" s="38">
        <f t="shared" si="4"/>
        <v>0</v>
      </c>
      <c r="AR9" s="133">
        <f t="shared" si="5"/>
        <v>0</v>
      </c>
      <c r="AS9" s="40">
        <f t="shared" si="6"/>
        <v>0</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0.44183478908777118</v>
      </c>
      <c r="L10" s="706" t="s">
        <v>628</v>
      </c>
      <c r="M10" s="707"/>
      <c r="N10" s="352">
        <f ca="1">-SUMPRODUCT(INDIRECT(CONCATENATE(AV10,":",AW10)),INDIRECT(CONCATENATE($AX$7,":",$AY$7)),INDIRECT(CONCATENATE($AV$3,":",$AW$3)))</f>
        <v>-35899.116864107571</v>
      </c>
      <c r="O10" s="352">
        <v>-35887.919999999998</v>
      </c>
      <c r="P10" s="355">
        <f t="shared" ref="P10:P19" ca="1" si="10">N10-O10</f>
        <v>-11.196864107572765</v>
      </c>
      <c r="AF10" s="28"/>
      <c r="AG10" s="103" t="s">
        <v>142</v>
      </c>
      <c r="AH10" s="119" t="b">
        <f>GetGRIFactor($AH$12,$AH$13)</f>
        <v>1</v>
      </c>
      <c r="AI10" s="29"/>
      <c r="AJ10" s="29"/>
      <c r="AK10" s="29"/>
      <c r="AL10" s="34">
        <v>7</v>
      </c>
      <c r="AM10" s="37">
        <f t="shared" si="0"/>
        <v>252</v>
      </c>
      <c r="AN10" s="38">
        <f t="shared" si="1"/>
        <v>0</v>
      </c>
      <c r="AO10" s="39">
        <f t="shared" si="2"/>
        <v>0</v>
      </c>
      <c r="AP10" s="38">
        <f t="shared" si="3"/>
        <v>0</v>
      </c>
      <c r="AQ10" s="38">
        <f t="shared" si="4"/>
        <v>0</v>
      </c>
      <c r="AR10" s="133">
        <f t="shared" si="5"/>
        <v>0</v>
      </c>
      <c r="AS10" s="40">
        <f t="shared" si="6"/>
        <v>0</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65550.367807487346</v>
      </c>
      <c r="L11" s="704" t="s">
        <v>629</v>
      </c>
      <c r="M11" s="705"/>
      <c r="N11" s="356">
        <f ca="1">-SUMPRODUCT(INDIRECT(CONCATENATE(AV11,":",AW11)),INDIRECT(CONCATENATE($AV$2,":",$AW$2)),INDIRECT(CONCATENATE($AV$3,":",$AW$3)),INDIRECT(CONCATENATE(AX3,":",AY3)))</f>
        <v>-15545.800800000006</v>
      </c>
      <c r="O11" s="357">
        <v>-15545.8</v>
      </c>
      <c r="P11" s="358">
        <f t="shared" ca="1" si="10"/>
        <v>-8.0000000707514118E-4</v>
      </c>
      <c r="AL11" s="34">
        <v>8</v>
      </c>
      <c r="AM11" s="37">
        <f t="shared" si="0"/>
        <v>252</v>
      </c>
      <c r="AN11" s="38">
        <f t="shared" si="1"/>
        <v>0</v>
      </c>
      <c r="AO11" s="39">
        <f t="shared" si="2"/>
        <v>0</v>
      </c>
      <c r="AP11" s="38">
        <f t="shared" si="3"/>
        <v>0</v>
      </c>
      <c r="AQ11" s="38">
        <f t="shared" si="4"/>
        <v>0</v>
      </c>
      <c r="AR11" s="133">
        <f t="shared" si="5"/>
        <v>0</v>
      </c>
      <c r="AS11" s="40">
        <f t="shared" si="6"/>
        <v>0</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2780.84</v>
      </c>
      <c r="P12" s="355">
        <f t="shared" ca="1" si="10"/>
        <v>-2780.84</v>
      </c>
      <c r="AG12" s="248" t="s">
        <v>185</v>
      </c>
      <c r="AH12" s="119" t="str">
        <f>GetDBPage($D$2)</f>
        <v>Contract DB (East)</v>
      </c>
      <c r="AL12" s="34">
        <v>9</v>
      </c>
      <c r="AM12" s="37">
        <f t="shared" si="0"/>
        <v>252</v>
      </c>
      <c r="AN12" s="38">
        <f t="shared" si="1"/>
        <v>0</v>
      </c>
      <c r="AO12" s="39">
        <f t="shared" si="2"/>
        <v>0</v>
      </c>
      <c r="AP12" s="38">
        <f t="shared" si="3"/>
        <v>0</v>
      </c>
      <c r="AQ12" s="38">
        <f t="shared" si="4"/>
        <v>0</v>
      </c>
      <c r="AR12" s="133">
        <f t="shared" si="5"/>
        <v>0</v>
      </c>
      <c r="AS12" s="40">
        <f t="shared" si="6"/>
        <v>0</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0.04</v>
      </c>
      <c r="P13" s="355">
        <f t="shared" ca="1" si="10"/>
        <v>-0.04</v>
      </c>
      <c r="AG13" s="248" t="s">
        <v>186</v>
      </c>
      <c r="AH13" s="119">
        <f>GetRecNdx($AH$12,$D$2)</f>
        <v>9</v>
      </c>
      <c r="AL13" s="34">
        <v>10</v>
      </c>
      <c r="AM13" s="37">
        <f t="shared" si="0"/>
        <v>396</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89.008000658335291</v>
      </c>
      <c r="O14" s="352">
        <v>28.86</v>
      </c>
      <c r="P14" s="355">
        <f t="shared" ca="1" si="10"/>
        <v>60.148000658335292</v>
      </c>
      <c r="S14" s="181">
        <f>F22/(1-AR22)*AH22*AU22</f>
        <v>12604.429723729048</v>
      </c>
      <c r="T14" s="181">
        <f>F22*AH22*AU22</f>
        <v>12257.8079063265</v>
      </c>
      <c r="AL14" s="34">
        <v>11</v>
      </c>
      <c r="AM14" s="37">
        <f t="shared" si="0"/>
        <v>396</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2.1411409678802278E-2</v>
      </c>
      <c r="O15" s="352">
        <v>0.03</v>
      </c>
      <c r="P15" s="355">
        <f t="shared" ca="1" si="10"/>
        <v>-8.5885903211977213E-3</v>
      </c>
      <c r="AL15" s="34">
        <v>12</v>
      </c>
      <c r="AM15" s="41">
        <f t="shared" si="0"/>
        <v>396</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-354.56</v>
      </c>
      <c r="P16" s="355">
        <f t="shared" ca="1" si="10"/>
        <v>354.56</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90.118736455188809</v>
      </c>
      <c r="O17" s="357">
        <v>29.2</v>
      </c>
      <c r="P17" s="358">
        <f t="shared" ca="1" si="10"/>
        <v>60.918736455188807</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292979.91444829683</v>
      </c>
      <c r="O18" s="352">
        <v>292890.69</v>
      </c>
      <c r="P18" s="355">
        <f t="shared" ca="1" si="10"/>
        <v>89.224448296823539</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0.73820864980643108</v>
      </c>
      <c r="O19" s="359">
        <v>0.96</v>
      </c>
      <c r="P19" s="360">
        <f t="shared" ca="1" si="10"/>
        <v>-0.22179135019356888</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IF-FGT/Z1 Basis Mid</v>
      </c>
      <c r="T20" s="182" t="str">
        <f>GetDelBasis($AH$12,$AH$13)</f>
        <v>IF-FGT/MKT Basis Mid</v>
      </c>
      <c r="U20" s="158"/>
      <c r="V20" s="158"/>
      <c r="W20" s="158"/>
      <c r="X20" s="158"/>
      <c r="Y20" s="335"/>
      <c r="Z20" s="335"/>
      <c r="AA20" s="335"/>
      <c r="AB20" s="335"/>
      <c r="AC20" s="335"/>
      <c r="AI20" s="138"/>
      <c r="AM20" s="702" t="str">
        <f>GetRcptPoint($AH$12,$AH$13)</f>
        <v>FGT/Zone 1</v>
      </c>
      <c r="AN20" s="703"/>
      <c r="AO20" s="702" t="str">
        <f>GetDelPoint($AH$12,$AH$13)</f>
        <v>FGT/MKT</v>
      </c>
      <c r="AP20" s="703"/>
      <c r="AQ20" s="137"/>
      <c r="AS20" s="137"/>
      <c r="AU20" s="136" t="s">
        <v>576</v>
      </c>
      <c r="AV20" s="353">
        <f ca="1">SUMPRODUCT(INDIRECT(CONCATENATE(AV8,":",AW8)),INDIRECT(CONCATENATE($AV$2,":",$AW$2)),INDIRECT(CONCATENATE($AV$3,":",$AW$3)),INDIRECT(CONCATENATE(AX3,":",AY3)))</f>
        <v>-32497.739999999987</v>
      </c>
      <c r="AW20" s="353">
        <f ca="1">SUMPRODUCT(INDIRECT(CONCATENATE(AX8,":",AY8)),INDIRECT(CONCATENATE($AV$2,":",$AW$2)),INDIRECT(CONCATENATE($AV$3,":",$AW$3)),INDIRECT(CONCATENATE(AX3,":",AY3)))</f>
        <v>356218.2</v>
      </c>
      <c r="AX20" s="353">
        <f ca="1">SUMPRODUCT(INDIRECT(CONCATENATE(AV9,":",AW9)),INDIRECT(CONCATENATE($AV$2,":",$AW$2)),INDIRECT(CONCATENATE($AV$3,":",$AW$3)),INDIRECT(CONCATENATE(AX3,":",AY3)))</f>
        <v>4992.03</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53" si="12">VLOOKUP(AG22,$AL$4:$AS$15,2)</f>
        <v>396</v>
      </c>
      <c r="G22" s="28">
        <f t="shared" ref="G22:G53" si="13">F22*$AU22</f>
        <v>395.4131582685967</v>
      </c>
      <c r="H22" s="52">
        <f t="shared" ref="H22:H53" si="14">(AL22+AM22+AN22)/(1-(AR22))</f>
        <v>2.8673521850899744</v>
      </c>
      <c r="I22" s="52">
        <f t="shared" ref="I22:I53" si="15">(AL22+AO22+AP22)</f>
        <v>3.1960000000000002</v>
      </c>
      <c r="K22" s="52">
        <f t="shared" ref="K22:K53" si="16">MAX(((I22-H22)-AQ22)*AU22*AH22,0)</f>
        <v>8.9843483848436989</v>
      </c>
      <c r="L22" s="135">
        <f t="shared" ref="L22:L53" si="17">MAX(Q22-K22,0)</f>
        <v>2.7311681360941975E-5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8.9843756965250599</v>
      </c>
      <c r="R22" s="135"/>
      <c r="S22" s="181">
        <f>_xll.xSPRDOPT(I22,H22,AQ22,AT22,O22,N22,P22,D22-$G$5,1,2)*AF22*(F22/(1-AR22))*AH22</f>
        <v>-12603.691712600124</v>
      </c>
      <c r="T22" s="181">
        <f>_xll.xSPRDOPT(I22,H22,AQ22,AT22,O22,N22,P22,D22-$G$5,1,1)*AF22*F22*AH22</f>
        <v>12257.149617676334</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0.51154102235194432</v>
      </c>
      <c r="AA22" s="338">
        <f t="shared" ref="AA22:AA53" si="22">(($BK22*$BE22)+($BJ22*$BD22))*$F22*$AH22*$AF22</f>
        <v>5.9197469824461375E-3</v>
      </c>
      <c r="AB22" s="338">
        <f t="shared" ref="AB22:AB53" si="23">BN22*(AT22-CA22)*F22*AH22</f>
        <v>0</v>
      </c>
      <c r="AC22" s="338">
        <f t="shared" ref="AC22:AC53" si="24">BO22*CB22*F22*AH22*CA22*($G$5-$BV$5)/365.25</f>
        <v>0.54830427337350574</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-0.06</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2.7885</v>
      </c>
      <c r="AT22" s="137">
        <f t="shared" ref="AT22:AT53" si="37">VLOOKUP(D22,CurveTbl,$AK$6)</f>
        <v>1.8765908157160699E-2</v>
      </c>
      <c r="AU22" s="137">
        <f t="shared" ref="AU22:AU53" si="38">(1+$AT22/2)^(-2*($D22-$G$5)/365.25)*$AF22</f>
        <v>0.99851807643585033</v>
      </c>
      <c r="AV22" s="394">
        <f t="shared" ref="AV22:AV53" si="39">ROUND((F22/(1-AR22))-F22,0)*AF22*AH22*AU22</f>
        <v>340.49466406462494</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9.7439034297126335E-3</v>
      </c>
      <c r="BG22" s="137">
        <f>_xll.xSPRDOPT($BW22,$BV22,$CG22,0,$BY22,$BX22,$BZ22,$AJ22,1,3)*$CB22</f>
        <v>8.0795815082602227E-3</v>
      </c>
      <c r="BH22" s="137">
        <f>IF(OR(BF22&lt;&gt;0,BG22&lt;&gt;0),_xll.xSPRDOPT($BW22,$BV22,$CG22,0,$BY22,$BX22,$BZ22,$AJ22,1,12)*$CB22,0)</f>
        <v>-8.8735816532427136E-3</v>
      </c>
      <c r="BI22" s="137">
        <f>_xll.xSPRDOPT($BW22,$BV22,$CG22,2*LN(1+CA22/2),$BY22,$BX22,$BZ22,$AJ22,1,9)</f>
        <v>5.0733235150985023E-3</v>
      </c>
      <c r="BJ22" s="137">
        <f>_xll.xSPRDOPT($BW22,$BV22,$CG22,0,$BY22,$BX22,$BZ22,$AJ22,1,6)*$CB22</f>
        <v>-6.9529826622274012E-5</v>
      </c>
      <c r="BK22" s="137">
        <f>_xll.xSPRDOPT($BW22,$BV22,$CG22,0,$BY22,$BX22,$BZ22,$AJ22,1,5)*$CB22</f>
        <v>1.3194345272469802E-4</v>
      </c>
      <c r="BL22" s="137">
        <f>_xll.xSPRDOPT(BW22,BV22,CG22,0,BY22,BX22,BZ22,AJ22,1,2)*CB22</f>
        <v>-0.99816408253027766</v>
      </c>
      <c r="BM22" s="137">
        <f>_xll.xSPRDOPT(BW22,BV22,CG22,0,BY22,BX22,BZ22,AJ22,1,1)*CB22</f>
        <v>0.9981832137987523</v>
      </c>
      <c r="BN22" s="137">
        <f>IF(AH22&lt;&gt;0,_xll.xSPRDOPT($BW22,$BV22,$CG22,2*LN(1+CA22/2),$BY22,$BX22,$BZ22,$AJ22,1,8)+(AJ22/365.25)*CH22/AH22,0)</f>
        <v>7.4389988985796435E-3</v>
      </c>
      <c r="BO22" s="137">
        <f>_xll.xSPRDOPT($BW22,$BV22,$CG22,0,$BY22,$BX22,$BZ22,$AJ22,1,0)</f>
        <v>0.29025173917151376</v>
      </c>
      <c r="BP22" s="137"/>
      <c r="BQ22" s="137"/>
      <c r="BR22" s="137"/>
      <c r="BS22" s="137"/>
      <c r="BV22" s="262">
        <v>2.8673521850899744</v>
      </c>
      <c r="BW22" s="136">
        <v>3.1960000000000002</v>
      </c>
      <c r="BX22" s="137">
        <v>0.95243599698783388</v>
      </c>
      <c r="BY22" s="137">
        <v>0.95243599698783388</v>
      </c>
      <c r="BZ22" s="137">
        <v>0.99551673302839838</v>
      </c>
      <c r="CA22" s="137">
        <v>1.8765908157160699E-2</v>
      </c>
      <c r="CB22" s="137">
        <v>0.99836489939579565</v>
      </c>
      <c r="CC22" s="258">
        <v>-0.06</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54" si="47">D22+AH22</f>
        <v>37302</v>
      </c>
      <c r="F23" s="28">
        <f t="shared" si="12"/>
        <v>396</v>
      </c>
      <c r="G23" s="28">
        <f t="shared" si="13"/>
        <v>394.7508155002285</v>
      </c>
      <c r="H23" s="52">
        <f t="shared" si="14"/>
        <v>2.9311053984575834</v>
      </c>
      <c r="I23" s="52">
        <f t="shared" si="15"/>
        <v>3.258</v>
      </c>
      <c r="K23" s="52">
        <f t="shared" si="16"/>
        <v>8.0523672180199686</v>
      </c>
      <c r="L23" s="135">
        <f t="shared" si="17"/>
        <v>1.0416471659908666E-3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8.0534088651859594</v>
      </c>
      <c r="R23" s="135"/>
      <c r="S23" s="181">
        <f>_xll.xSPRDOPT(I23,H23,AQ23,AT23,O23,N23,P23,D23-$G$5,1,2)*AF23*(F23/(1-AR23))*AH23</f>
        <v>-11349.136851593303</v>
      </c>
      <c r="T23" s="181">
        <f>_xll.xSPRDOPT(I23,H23,AQ23,AT23,O23,N23,P23,D23-$G$5,1,1)*AF23*F23*AH23</f>
        <v>11038.525316940126</v>
      </c>
      <c r="U23" s="135"/>
      <c r="V23" s="146">
        <f t="shared" si="18"/>
        <v>10.475251185865154</v>
      </c>
      <c r="W23" s="146"/>
      <c r="X23" s="338">
        <f t="shared" si="19"/>
        <v>0</v>
      </c>
      <c r="Y23" s="338">
        <f t="shared" si="20"/>
        <v>0</v>
      </c>
      <c r="Z23" s="338">
        <f t="shared" si="21"/>
        <v>0.34946984397544867</v>
      </c>
      <c r="AA23" s="338">
        <f t="shared" si="22"/>
        <v>1.4578236857832699E-2</v>
      </c>
      <c r="AB23" s="338">
        <f t="shared" si="23"/>
        <v>0</v>
      </c>
      <c r="AC23" s="338">
        <f t="shared" si="24"/>
        <v>0.50618275589548289</v>
      </c>
      <c r="AF23" s="138">
        <f t="shared" si="25"/>
        <v>1</v>
      </c>
      <c r="AG23" s="138">
        <f t="shared" si="26"/>
        <v>2</v>
      </c>
      <c r="AH23" s="138">
        <f t="shared" si="27"/>
        <v>28</v>
      </c>
      <c r="AI23" s="138">
        <f t="shared" ref="AI23:AI54" si="51">AI22+AH22</f>
        <v>46</v>
      </c>
      <c r="AJ23" s="138">
        <f t="shared" si="28"/>
        <v>63</v>
      </c>
      <c r="AL23" s="136">
        <f t="shared" si="29"/>
        <v>2.9079999999999999</v>
      </c>
      <c r="AM23" s="258">
        <f t="shared" si="30"/>
        <v>-0.06</v>
      </c>
      <c r="AN23" s="258">
        <f t="shared" si="31"/>
        <v>2.5000000000000001E-3</v>
      </c>
      <c r="AO23" s="258">
        <f t="shared" si="32"/>
        <v>0.35</v>
      </c>
      <c r="AP23" s="258">
        <f t="shared" si="33"/>
        <v>0</v>
      </c>
      <c r="AQ23" s="136">
        <f t="shared" si="34"/>
        <v>3.8399999999999997E-2</v>
      </c>
      <c r="AR23" s="137">
        <f t="shared" si="35"/>
        <v>2.75E-2</v>
      </c>
      <c r="AS23" s="136">
        <f t="shared" si="36"/>
        <v>2.8504999999999998</v>
      </c>
      <c r="AT23" s="137">
        <f t="shared" si="37"/>
        <v>1.9326187282006298E-2</v>
      </c>
      <c r="AU23" s="137">
        <f t="shared" si="38"/>
        <v>0.99684549368744568</v>
      </c>
      <c r="AV23" s="394">
        <f t="shared" si="39"/>
        <v>307.02841205573327</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6.4275211632458765E-2</v>
      </c>
      <c r="BG23" s="137">
        <f>_xll.xSPRDOPT($BW23,$BV23,$CG23,0,$BY23,$BX23,$BZ23,$AJ23,1,3)*$CB23</f>
        <v>5.3629018281738154E-2</v>
      </c>
      <c r="BH23" s="137">
        <f>IF(OR(BF23&lt;&gt;0,BG23&lt;&gt;0),_xll.xSPRDOPT($BW23,$BV23,$CG23,0,$BY23,$BX23,$BZ23,$AJ23,1,12)*$CB23,0)</f>
        <v>-5.8709717383872269E-2</v>
      </c>
      <c r="BI23" s="137">
        <f>_xll.xSPRDOPT($BW23,$BV23,$CG23,2*LN(1+CA23/2),$BY23,$BX23,$BZ23,$AJ23,1,9)</f>
        <v>3.837297393940375E-3</v>
      </c>
      <c r="BJ23" s="137">
        <f>_xll.xSPRDOPT($BW23,$BV23,$CG23,0,$BY23,$BX23,$BZ23,$AJ23,1,6)*$CB23</f>
        <v>-1.0101066955961063E-3</v>
      </c>
      <c r="BK23" s="137">
        <f>_xll.xSPRDOPT($BW23,$BV23,$CG23,0,$BY23,$BX23,$BZ23,$AJ23,1,5)*$CB23</f>
        <v>1.6545680254242904E-3</v>
      </c>
      <c r="BL23" s="137">
        <f>_xll.xSPRDOPT(BW23,BV23,CG23,0,BY23,BX23,BZ23,AJ23,1,2)*CB23</f>
        <v>-0.99476375525961169</v>
      </c>
      <c r="BM23" s="137">
        <f>_xll.xSPRDOPT(BW23,BV23,CG23,0,BY23,BX23,BZ23,AJ23,1,1)*CB23</f>
        <v>0.99494593225415062</v>
      </c>
      <c r="BN23" s="137">
        <f>IF(AH23&lt;&gt;0,_xll.xSPRDOPT($BW23,$BV23,$CG23,2*LN(1+CA23/2),$BY23,$BX23,$BZ23,$AJ23,1,8)+(AJ23/365.25)*CH23/AH23,0)</f>
        <v>1.4913870942863547E-2</v>
      </c>
      <c r="BO23" s="137">
        <f>_xll.xSPRDOPT($BW23,$BV23,$CG23,0,$BY23,$BX23,$BZ23,$AJ23,1,0)</f>
        <v>0.28854773684142238</v>
      </c>
      <c r="BP23" s="137"/>
      <c r="BQ23" s="137"/>
      <c r="BR23" s="137"/>
      <c r="BS23" s="137"/>
      <c r="BV23" s="262">
        <v>2.9311053984575834</v>
      </c>
      <c r="BW23" s="136">
        <v>3.258</v>
      </c>
      <c r="BX23" s="137">
        <v>0.90681218195022806</v>
      </c>
      <c r="BY23" s="137">
        <v>0.90681218195022806</v>
      </c>
      <c r="BZ23" s="137">
        <v>0.99646146856241391</v>
      </c>
      <c r="CA23" s="137">
        <v>1.9326187282006298E-2</v>
      </c>
      <c r="CB23" s="137">
        <v>0.99668802984454063</v>
      </c>
      <c r="CC23" s="258">
        <v>-0.06</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396</v>
      </c>
      <c r="G24" s="28">
        <f t="shared" si="13"/>
        <v>394.17419836375126</v>
      </c>
      <c r="H24" s="52">
        <f t="shared" si="14"/>
        <v>2.9249357326478149</v>
      </c>
      <c r="I24" s="52">
        <f t="shared" si="15"/>
        <v>3.302</v>
      </c>
      <c r="K24" s="52">
        <f t="shared" si="16"/>
        <v>10.450187371307667</v>
      </c>
      <c r="L24" s="135">
        <f t="shared" si="17"/>
        <v>7.4022822680319678E-6</v>
      </c>
      <c r="N24" s="131">
        <f t="shared" si="48"/>
        <v>0.79</v>
      </c>
      <c r="O24" s="131">
        <f t="shared" si="49"/>
        <v>0.79</v>
      </c>
      <c r="P24" s="55">
        <f t="shared" si="50"/>
        <v>0.99793296089385497</v>
      </c>
      <c r="Q24" s="135">
        <f>_xll.xSPRDOPT(I24,H24,AQ24,0,O24,N24,P24,D24-$G$5,1,0)*AH24*AU24</f>
        <v>10.450194773589935</v>
      </c>
      <c r="R24" s="135"/>
      <c r="S24" s="181">
        <f>_xll.xSPRDOPT(I24,H24,AQ24,AT24,O24,N24,P24,D24-$G$5,1,2)*AF24*(F24/(1-AR24))*AH24</f>
        <v>-12564.507742079775</v>
      </c>
      <c r="T24" s="181">
        <f>_xll.xSPRDOPT(I24,H24,AQ24,AT24,O24,N24,P24,D24-$G$5,1,1)*AF24*F24*AH24</f>
        <v>12218.998068724597</v>
      </c>
      <c r="U24" s="135"/>
      <c r="V24" s="146">
        <f t="shared" si="18"/>
        <v>11.580658777836847</v>
      </c>
      <c r="W24" s="146"/>
      <c r="X24" s="338">
        <f t="shared" si="19"/>
        <v>0</v>
      </c>
      <c r="Y24" s="338">
        <f t="shared" si="20"/>
        <v>0</v>
      </c>
      <c r="Z24" s="338">
        <f t="shared" si="21"/>
        <v>0.65063797568004456</v>
      </c>
      <c r="AA24" s="338">
        <f t="shared" si="22"/>
        <v>0</v>
      </c>
      <c r="AB24" s="338">
        <f t="shared" si="23"/>
        <v>0</v>
      </c>
      <c r="AC24" s="338">
        <f t="shared" si="24"/>
        <v>0.65499137629775472</v>
      </c>
      <c r="AF24" s="138">
        <f t="shared" si="25"/>
        <v>1</v>
      </c>
      <c r="AG24" s="138">
        <f t="shared" si="26"/>
        <v>3</v>
      </c>
      <c r="AH24" s="138">
        <f t="shared" si="27"/>
        <v>31</v>
      </c>
      <c r="AI24" s="138">
        <f t="shared" si="51"/>
        <v>74</v>
      </c>
      <c r="AJ24" s="138">
        <f t="shared" si="28"/>
        <v>91</v>
      </c>
      <c r="AL24" s="136">
        <f t="shared" si="29"/>
        <v>2.9020000000000001</v>
      </c>
      <c r="AM24" s="258">
        <f t="shared" si="30"/>
        <v>-0.06</v>
      </c>
      <c r="AN24" s="258">
        <f t="shared" si="31"/>
        <v>2.5000000000000001E-3</v>
      </c>
      <c r="AO24" s="258">
        <f t="shared" si="32"/>
        <v>0.4</v>
      </c>
      <c r="AP24" s="258">
        <f t="shared" si="33"/>
        <v>0</v>
      </c>
      <c r="AQ24" s="136">
        <f t="shared" si="34"/>
        <v>3.8399999999999997E-2</v>
      </c>
      <c r="AR24" s="137">
        <f t="shared" si="35"/>
        <v>2.75E-2</v>
      </c>
      <c r="AS24" s="136">
        <f t="shared" si="36"/>
        <v>2.8445</v>
      </c>
      <c r="AT24" s="137">
        <f t="shared" si="37"/>
        <v>1.9273175363903501E-2</v>
      </c>
      <c r="AU24" s="137">
        <f t="shared" si="38"/>
        <v>0.99538938980745262</v>
      </c>
      <c r="AV24" s="394">
        <f t="shared" si="39"/>
        <v>339.42778192434133</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9.4602034166160558E-4</v>
      </c>
      <c r="BG24" s="137">
        <f>_xll.xSPRDOPT($BW24,$BV24,$CG24,0,$BY24,$BX24,$BZ24,$AJ24,1,3)*$CB24</f>
        <v>7.7348907709017271E-4</v>
      </c>
      <c r="BH24" s="137">
        <f>IF(OR(BF24&lt;&gt;0,BG24&lt;&gt;0),_xll.xSPRDOPT($BW24,$BV24,$CG24,0,$BY24,$BX24,$BZ24,$AJ24,1,12)*$CB24,0)</f>
        <v>-8.5562341769406989E-4</v>
      </c>
      <c r="BI24" s="137">
        <f>_xll.xSPRDOPT($BW24,$BV24,$CG24,2*LN(1+CA24/2),$BY24,$BX24,$BZ24,$AJ24,1,9)</f>
        <v>6.4528489360577901E-3</v>
      </c>
      <c r="BJ24" s="137">
        <f>_xll.xSPRDOPT($BW24,$BV24,$CG24,0,$BY24,$BX24,$BZ24,$AJ24,1,6)*$CB24</f>
        <v>-2.956949340215067E-5</v>
      </c>
      <c r="BK24" s="137">
        <f>_xll.xSPRDOPT($BW24,$BV24,$CG24,0,$BY24,$BX24,$BZ24,$AJ24,1,5)*$CB24</f>
        <v>3.7186245493687722E-5</v>
      </c>
      <c r="BL24" s="137">
        <f>_xll.xSPRDOPT(BW24,BV24,CG24,0,BY24,BX24,BZ24,AJ24,1,2)*CB24</f>
        <v>-0.9952154915110093</v>
      </c>
      <c r="BM24" s="137">
        <f>_xll.xSPRDOPT(BW24,BV24,CG24,0,BY24,BX24,BZ24,AJ24,1,1)*CB24</f>
        <v>0.9952171887793011</v>
      </c>
      <c r="BN24" s="137">
        <f>IF(AH24&lt;&gt;0,_xll.xSPRDOPT($BW24,$BV24,$CG24,2*LN(1+CA24/2),$BY24,$BX24,$BZ24,$AJ24,1,8)+(AJ24/365.25)*CH24/AH24,0)</f>
        <v>9.0839891513130461E-3</v>
      </c>
      <c r="BO24" s="137">
        <f>_xll.xSPRDOPT($BW24,$BV24,$CG24,0,$BY24,$BX24,$BZ24,$AJ24,1,0)</f>
        <v>0.33866460720918179</v>
      </c>
      <c r="BP24" s="137"/>
      <c r="BQ24" s="137"/>
      <c r="BR24" s="137"/>
      <c r="BS24" s="137"/>
      <c r="BV24" s="262">
        <v>2.9249357326478149</v>
      </c>
      <c r="BW24" s="136">
        <v>3.302</v>
      </c>
      <c r="BX24" s="137">
        <v>0.79</v>
      </c>
      <c r="BY24" s="137">
        <v>0.79</v>
      </c>
      <c r="BZ24" s="137">
        <v>0.99791891891891904</v>
      </c>
      <c r="CA24" s="137">
        <v>1.9273175363903501E-2</v>
      </c>
      <c r="CB24" s="137">
        <v>0.99523258517239033</v>
      </c>
      <c r="CC24" s="258">
        <v>-0.06</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396</v>
      </c>
      <c r="G25" s="28">
        <f t="shared" si="13"/>
        <v>393.51404577796035</v>
      </c>
      <c r="H25" s="52">
        <f t="shared" si="14"/>
        <v>2.8745501285347039</v>
      </c>
      <c r="I25" s="52">
        <f t="shared" si="15"/>
        <v>3.448</v>
      </c>
      <c r="K25" s="52">
        <f t="shared" si="16"/>
        <v>15.950730273733809</v>
      </c>
      <c r="L25" s="135">
        <f t="shared" si="17"/>
        <v>1.8883942836112055E-6</v>
      </c>
      <c r="N25" s="131">
        <f t="shared" si="48"/>
        <v>0.60058305004387191</v>
      </c>
      <c r="O25" s="131">
        <f t="shared" si="49"/>
        <v>0.60058305004387191</v>
      </c>
      <c r="P25" s="55">
        <f t="shared" si="50"/>
        <v>1</v>
      </c>
      <c r="Q25" s="135">
        <f>_xll.xSPRDOPT(I25,H25,AQ25,0,O25,N25,P25,D25-$G$5,1,0)*AH25*AU25</f>
        <v>15.950732162128093</v>
      </c>
      <c r="R25" s="135"/>
      <c r="S25" s="181">
        <f>_xll.xSPRDOPT(I25,H25,AQ25,AT25,O25,N25,P25,D25-$G$5,1,2)*AF25*(F25/(1-AR25))*AH25</f>
        <v>-12138.881623177702</v>
      </c>
      <c r="T25" s="181">
        <f>_xll.xSPRDOPT(I25,H25,AQ25,AT25,O25,N25,P25,D25-$G$5,1,1)*AF25*F25*AH25</f>
        <v>11805.062378669973</v>
      </c>
      <c r="U25" s="135"/>
      <c r="V25" s="146">
        <f t="shared" si="18"/>
        <v>11.188319801550644</v>
      </c>
      <c r="W25" s="146"/>
      <c r="X25" s="338">
        <f t="shared" si="19"/>
        <v>0</v>
      </c>
      <c r="Y25" s="338">
        <f t="shared" si="20"/>
        <v>0</v>
      </c>
      <c r="Z25" s="338">
        <f t="shared" si="21"/>
        <v>1.0026439201718214</v>
      </c>
      <c r="AA25" s="338">
        <f t="shared" si="22"/>
        <v>6.3205122041983395E-8</v>
      </c>
      <c r="AB25" s="338">
        <f t="shared" si="23"/>
        <v>0</v>
      </c>
      <c r="AC25" s="338">
        <f t="shared" si="24"/>
        <v>1.0075025487550764</v>
      </c>
      <c r="AF25" s="138">
        <f t="shared" si="25"/>
        <v>1</v>
      </c>
      <c r="AG25" s="138">
        <f t="shared" si="26"/>
        <v>4</v>
      </c>
      <c r="AH25" s="138">
        <f t="shared" si="27"/>
        <v>30</v>
      </c>
      <c r="AI25" s="138">
        <f t="shared" si="51"/>
        <v>105</v>
      </c>
      <c r="AJ25" s="138">
        <f t="shared" si="28"/>
        <v>122</v>
      </c>
      <c r="AL25" s="136">
        <f t="shared" si="29"/>
        <v>2.8479999999999999</v>
      </c>
      <c r="AM25" s="258">
        <f t="shared" si="30"/>
        <v>-5.7500000000000002E-2</v>
      </c>
      <c r="AN25" s="258">
        <f t="shared" si="31"/>
        <v>5.0000000000000001E-3</v>
      </c>
      <c r="AO25" s="258">
        <f t="shared" si="32"/>
        <v>0.6</v>
      </c>
      <c r="AP25" s="258">
        <f t="shared" si="33"/>
        <v>0</v>
      </c>
      <c r="AQ25" s="136">
        <f t="shared" si="34"/>
        <v>3.8399999999999997E-2</v>
      </c>
      <c r="AR25" s="137">
        <f t="shared" si="35"/>
        <v>2.75E-2</v>
      </c>
      <c r="AS25" s="136">
        <f t="shared" si="36"/>
        <v>2.7954999999999997</v>
      </c>
      <c r="AT25" s="137">
        <f t="shared" si="37"/>
        <v>1.9422640119623601E-2</v>
      </c>
      <c r="AU25" s="137">
        <f t="shared" si="38"/>
        <v>0.99372233782313213</v>
      </c>
      <c r="AV25" s="394">
        <f t="shared" si="39"/>
        <v>327.92837148163358</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-9.4753702902792223E-7</v>
      </c>
      <c r="BG25" s="137">
        <f>_xll.xSPRDOPT($BW25,$BV25,$CG25,0,$BY25,$BX25,$BZ25,$AJ25,1,3)*$CB25</f>
        <v>-2.3688425725698056E-7</v>
      </c>
      <c r="BH25" s="137">
        <f>IF(OR(BF25&lt;&gt;0,BG25&lt;&gt;0),_xll.xSPRDOPT($BW25,$BV25,$CG25,0,$BY25,$BX25,$BZ25,$AJ25,1,12)*$CB25,0)</f>
        <v>2.3688425725698056E-7</v>
      </c>
      <c r="BI25" s="137">
        <f>_xll.xSPRDOPT($BW25,$BV25,$CG25,2*LN(1+CA25/2),$BY25,$BX25,$BZ25,$AJ25,1,9)</f>
        <v>1.0275412229033607E-2</v>
      </c>
      <c r="BJ25" s="137">
        <f>_xll.xSPRDOPT($BW25,$BV25,$CG25,0,$BY25,$BX25,$BZ25,$AJ25,1,6)*$CB25</f>
        <v>1.1526129261907069E-7</v>
      </c>
      <c r="BK25" s="137">
        <f>_xll.xSPRDOPT($BW25,$BV25,$CG25,0,$BY25,$BX25,$BZ25,$AJ25,1,5)*$CB25</f>
        <v>-1.3824931316132961E-7</v>
      </c>
      <c r="BL25" s="137">
        <f>_xll.xSPRDOPT(BW25,BV25,CG25,0,BY25,BX25,BZ25,AJ25,1,2)*CB25</f>
        <v>-0.99356470591740409</v>
      </c>
      <c r="BM25" s="137">
        <f>_xll.xSPRDOPT(BW25,BV25,CG25,0,BY25,BX25,BZ25,AJ25,1,1)*CB25</f>
        <v>0.99356470592282597</v>
      </c>
      <c r="BN25" s="137">
        <f>IF(AH25&lt;&gt;0,_xll.xSPRDOPT($BW25,$BV25,$CG25,2*LN(1+CA25/2),$BY25,$BX25,$BZ25,$AJ25,1,8)+(AJ25/365.25)*CH25/AH25,0)</f>
        <v>-5.3015931853598139E-2</v>
      </c>
      <c r="BO25" s="137">
        <f>_xll.xSPRDOPT($BW25,$BV25,$CG25,0,$BY25,$BX25,$BZ25,$AJ25,1,0)</f>
        <v>0.53504993463321859</v>
      </c>
      <c r="BP25" s="137"/>
      <c r="BQ25" s="137"/>
      <c r="BR25" s="137"/>
      <c r="BS25" s="137"/>
      <c r="BV25" s="262">
        <v>2.8745501285347039</v>
      </c>
      <c r="BW25" s="136">
        <v>3.448</v>
      </c>
      <c r="BX25" s="137">
        <v>0.60081448782505886</v>
      </c>
      <c r="BY25" s="137">
        <v>0.60081448782505886</v>
      </c>
      <c r="BZ25" s="137">
        <v>1</v>
      </c>
      <c r="CA25" s="137">
        <v>1.9422640119623601E-2</v>
      </c>
      <c r="CB25" s="137">
        <v>0.99356458774998258</v>
      </c>
      <c r="CC25" s="258">
        <v>-5.7500000000000002E-2</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252</v>
      </c>
      <c r="G26" s="28">
        <f t="shared" si="13"/>
        <v>249.99154154131813</v>
      </c>
      <c r="H26" s="52">
        <f t="shared" si="14"/>
        <v>2.8434999999999997</v>
      </c>
      <c r="I26" s="52">
        <f t="shared" si="15"/>
        <v>3.6459999999999999</v>
      </c>
      <c r="K26" s="52">
        <f t="shared" si="16"/>
        <v>24.525459864108093</v>
      </c>
      <c r="L26" s="135">
        <f t="shared" si="17"/>
        <v>2.8763697628164664E-6</v>
      </c>
      <c r="N26" s="131">
        <f t="shared" si="48"/>
        <v>0.57775797476853397</v>
      </c>
      <c r="O26" s="131">
        <f t="shared" si="49"/>
        <v>0.57775797476853397</v>
      </c>
      <c r="P26" s="55">
        <f t="shared" si="50"/>
        <v>0.99999999999999989</v>
      </c>
      <c r="Q26" s="135">
        <f>_xll.xSPRDOPT(I26,H26,AQ26,0,O26,N26,P26,D26-$G$5,1,0)*AH26*AU26</f>
        <v>24.525462740477856</v>
      </c>
      <c r="R26" s="135"/>
      <c r="S26" s="181">
        <f>_xll.xSPRDOPT(I26,H26,AQ26,AT26,O26,N26,P26,D26-$G$5,1,2)*AF26*(F26/(1-AR26))*AH26</f>
        <v>-7749.4335982062476</v>
      </c>
      <c r="T26" s="181">
        <f>_xll.xSPRDOPT(I26,H26,AQ26,AT26,O26,N26,P26,D26-$G$5,1,1)*AF26*F26*AH26</f>
        <v>7749.4335981067779</v>
      </c>
      <c r="U26" s="135"/>
      <c r="V26" s="146">
        <f t="shared" si="18"/>
        <v>0</v>
      </c>
      <c r="W26" s="146"/>
      <c r="X26" s="338">
        <f t="shared" si="19"/>
        <v>0</v>
      </c>
      <c r="Y26" s="338">
        <f t="shared" si="20"/>
        <v>0</v>
      </c>
      <c r="Z26" s="338">
        <f t="shared" si="21"/>
        <v>0.99559402164044208</v>
      </c>
      <c r="AA26" s="338">
        <f t="shared" si="22"/>
        <v>-1.5134785978307331E-9</v>
      </c>
      <c r="AB26" s="338">
        <f t="shared" si="23"/>
        <v>0</v>
      </c>
      <c r="AC26" s="338">
        <f t="shared" si="24"/>
        <v>1.0004906086161645</v>
      </c>
      <c r="AF26" s="138">
        <f t="shared" si="25"/>
        <v>1</v>
      </c>
      <c r="AG26" s="138">
        <f t="shared" si="26"/>
        <v>5</v>
      </c>
      <c r="AH26" s="138">
        <f t="shared" si="27"/>
        <v>31</v>
      </c>
      <c r="AI26" s="138">
        <f t="shared" si="51"/>
        <v>135</v>
      </c>
      <c r="AJ26" s="138">
        <f t="shared" si="28"/>
        <v>152</v>
      </c>
      <c r="AL26" s="136">
        <f t="shared" si="29"/>
        <v>2.8959999999999999</v>
      </c>
      <c r="AM26" s="258">
        <f t="shared" si="30"/>
        <v>-5.7500000000000002E-2</v>
      </c>
      <c r="AN26" s="258">
        <f t="shared" si="31"/>
        <v>5.0000000000000001E-3</v>
      </c>
      <c r="AO26" s="258">
        <f t="shared" si="32"/>
        <v>0.75</v>
      </c>
      <c r="AP26" s="258">
        <f t="shared" si="33"/>
        <v>0</v>
      </c>
      <c r="AQ26" s="136">
        <f t="shared" si="34"/>
        <v>5.0000000000000001E-3</v>
      </c>
      <c r="AR26" s="137">
        <f t="shared" si="35"/>
        <v>0</v>
      </c>
      <c r="AS26" s="136">
        <f t="shared" si="36"/>
        <v>2.8434999999999997</v>
      </c>
      <c r="AT26" s="137">
        <f t="shared" si="37"/>
        <v>1.9712159578257001E-2</v>
      </c>
      <c r="AU26" s="137">
        <f t="shared" si="38"/>
        <v>0.99202992675126245</v>
      </c>
      <c r="AV26" s="394">
        <f t="shared" si="39"/>
        <v>0</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9.4592104868141993E-7</v>
      </c>
      <c r="BG26" s="137">
        <f>_xll.xSPRDOPT($BW26,$BV26,$CG26,0,$BY26,$BX26,$BZ26,$AJ26,1,3)*$CB26</f>
        <v>1.6553618351924849E-6</v>
      </c>
      <c r="BH26" s="137">
        <f>IF(OR(BF26&lt;&gt;0,BG26&lt;&gt;0),_xll.xSPRDOPT($BW26,$BV26,$CG26,0,$BY26,$BX26,$BZ26,$AJ26,1,12)*$CB26,0)</f>
        <v>-7.0944078651106492E-7</v>
      </c>
      <c r="BI26" s="137">
        <f>_xll.xSPRDOPT($BW26,$BV26,$CG26,2*LN(1+CA26/2),$BY26,$BX26,$BZ26,$AJ26,1,9)</f>
        <v>1.5516330278382466E-2</v>
      </c>
      <c r="BJ26" s="137">
        <f>_xll.xSPRDOPT($BW26,$BV26,$CG26,0,$BY26,$BX26,$BZ26,$AJ26,1,6)*$CB26</f>
        <v>1.3615381101247761E-7</v>
      </c>
      <c r="BK26" s="137">
        <f>_xll.xSPRDOPT($BW26,$BV26,$CG26,0,$BY26,$BX26,$BZ26,$AJ26,1,5)*$CB26</f>
        <v>-1.7458811472671625E-7</v>
      </c>
      <c r="BL26" s="137">
        <f>_xll.xSPRDOPT(BW26,BV26,CG26,0,BY26,BX26,BZ26,AJ26,1,2)*CB26</f>
        <v>-0.99187022568220951</v>
      </c>
      <c r="BM26" s="137">
        <f>_xll.xSPRDOPT(BW26,BV26,CG26,0,BY26,BX26,BZ26,AJ26,1,1)*CB26</f>
        <v>0.99187022566416749</v>
      </c>
      <c r="BN26" s="137">
        <f>IF(AH26&lt;&gt;0,_xll.xSPRDOPT($BW26,$BV26,$CG26,2*LN(1+CA26/2),$BY26,$BX26,$BZ26,$AJ26,1,8)+(AJ26/365.25)*CH26/AH26,0)</f>
        <v>-0.32918414441244059</v>
      </c>
      <c r="BO26" s="137">
        <f>_xll.xSPRDOPT($BW26,$BV26,$CG26,0,$BY26,$BX26,$BZ26,$AJ26,1,0)</f>
        <v>0.79750009331085847</v>
      </c>
      <c r="BP26" s="137"/>
      <c r="BQ26" s="137"/>
      <c r="BR26" s="137"/>
      <c r="BS26" s="137"/>
      <c r="BV26" s="262">
        <v>2.8434999999999997</v>
      </c>
      <c r="BW26" s="136">
        <v>3.6459999999999999</v>
      </c>
      <c r="BX26" s="137">
        <v>0.5777529340200096</v>
      </c>
      <c r="BY26" s="137">
        <v>0.5777529340200096</v>
      </c>
      <c r="BZ26" s="137">
        <v>1</v>
      </c>
      <c r="CA26" s="137">
        <v>1.9712159578257001E-2</v>
      </c>
      <c r="CB26" s="137">
        <v>0.99187010954216859</v>
      </c>
      <c r="CC26" s="258">
        <v>-5.7500000000000002E-2</v>
      </c>
      <c r="CD26" s="258">
        <v>5.0000000000000001E-3</v>
      </c>
      <c r="CE26" s="258">
        <v>0.75</v>
      </c>
      <c r="CF26" s="258">
        <v>0</v>
      </c>
      <c r="CG26" s="258">
        <v>5.0000000000000001E-3</v>
      </c>
      <c r="CH26" s="258">
        <v>0</v>
      </c>
      <c r="CI26" s="258">
        <v>2.8959999999999999</v>
      </c>
      <c r="CJ26" s="258"/>
      <c r="CK26" s="258"/>
      <c r="CL26" s="258"/>
      <c r="CM26" s="258"/>
    </row>
    <row r="27" spans="1:91" x14ac:dyDescent="0.25">
      <c r="A27" s="726"/>
      <c r="B27" s="726"/>
      <c r="C27" s="726"/>
      <c r="D27" s="31">
        <f t="shared" si="47"/>
        <v>37422</v>
      </c>
      <c r="F27" s="28">
        <f t="shared" si="12"/>
        <v>252</v>
      </c>
      <c r="G27" s="28">
        <f t="shared" si="13"/>
        <v>249.53925856182917</v>
      </c>
      <c r="H27" s="52">
        <f t="shared" si="14"/>
        <v>2.8959999999999999</v>
      </c>
      <c r="I27" s="52">
        <f t="shared" si="15"/>
        <v>3.7960000000000003</v>
      </c>
      <c r="K27" s="52">
        <f t="shared" si="16"/>
        <v>26.58781385867109</v>
      </c>
      <c r="L27" s="135">
        <f t="shared" si="17"/>
        <v>3.0834824897851831E-6</v>
      </c>
      <c r="N27" s="131">
        <f t="shared" si="48"/>
        <v>0.5502663217587267</v>
      </c>
      <c r="O27" s="131">
        <f t="shared" si="49"/>
        <v>0.5502663217587267</v>
      </c>
      <c r="P27" s="55">
        <f t="shared" si="50"/>
        <v>0.99999999999999978</v>
      </c>
      <c r="Q27" s="135">
        <f>_xll.xSPRDOPT(I27,H27,AQ27,0,O27,N27,P27,D27-$G$5,1,0)*AH27*AU27</f>
        <v>26.58781694215358</v>
      </c>
      <c r="R27" s="135"/>
      <c r="S27" s="181">
        <f>_xll.xSPRDOPT(I27,H27,AQ27,AT27,O27,N27,P27,D27-$G$5,1,2)*AF27*(F27/(1-AR27))*AH27</f>
        <v>-7485.8117331977701</v>
      </c>
      <c r="T27" s="181">
        <f>_xll.xSPRDOPT(I27,H27,AQ27,AT27,O27,N27,P27,D27-$G$5,1,1)*AF27*F27*AH27</f>
        <v>7485.8117331565154</v>
      </c>
      <c r="U27" s="135"/>
      <c r="V27" s="146">
        <f t="shared" si="18"/>
        <v>0</v>
      </c>
      <c r="W27" s="146"/>
      <c r="X27" s="338">
        <f t="shared" si="19"/>
        <v>0</v>
      </c>
      <c r="Y27" s="338">
        <f t="shared" si="20"/>
        <v>0</v>
      </c>
      <c r="Z27" s="338">
        <f t="shared" si="21"/>
        <v>1.0956103801277137</v>
      </c>
      <c r="AA27" s="338">
        <f t="shared" si="22"/>
        <v>-1.6753361915911513E-8</v>
      </c>
      <c r="AB27" s="338">
        <f t="shared" si="23"/>
        <v>0</v>
      </c>
      <c r="AC27" s="338">
        <f t="shared" si="24"/>
        <v>1.1010807518647203</v>
      </c>
      <c r="AF27" s="138">
        <f t="shared" si="25"/>
        <v>1</v>
      </c>
      <c r="AG27" s="138">
        <f t="shared" si="26"/>
        <v>6</v>
      </c>
      <c r="AH27" s="138">
        <f t="shared" si="27"/>
        <v>30</v>
      </c>
      <c r="AI27" s="138">
        <f t="shared" si="51"/>
        <v>166</v>
      </c>
      <c r="AJ27" s="138">
        <f t="shared" si="28"/>
        <v>183</v>
      </c>
      <c r="AL27" s="136">
        <f t="shared" si="29"/>
        <v>2.9460000000000002</v>
      </c>
      <c r="AM27" s="258">
        <f t="shared" si="30"/>
        <v>-5.5E-2</v>
      </c>
      <c r="AN27" s="258">
        <f t="shared" si="31"/>
        <v>5.0000000000000001E-3</v>
      </c>
      <c r="AO27" s="258">
        <f t="shared" si="32"/>
        <v>0.85</v>
      </c>
      <c r="AP27" s="258">
        <f t="shared" si="33"/>
        <v>0</v>
      </c>
      <c r="AQ27" s="136">
        <f t="shared" si="34"/>
        <v>5.0000000000000001E-3</v>
      </c>
      <c r="AR27" s="137">
        <f t="shared" si="35"/>
        <v>0</v>
      </c>
      <c r="AS27" s="136">
        <f t="shared" si="36"/>
        <v>2.8959999999999999</v>
      </c>
      <c r="AT27" s="137">
        <f t="shared" si="37"/>
        <v>2.0011329715354399E-2</v>
      </c>
      <c r="AU27" s="137">
        <f t="shared" si="38"/>
        <v>0.99023515302313159</v>
      </c>
      <c r="AV27" s="394">
        <f t="shared" si="39"/>
        <v>0</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-4.7210369873863075E-7</v>
      </c>
      <c r="BG27" s="137">
        <f>_xll.xSPRDOPT($BW27,$BV27,$CG27,0,$BY27,$BX27,$BZ27,$AJ27,1,3)*$CB27</f>
        <v>-4.7210369873863075E-7</v>
      </c>
      <c r="BH27" s="137">
        <f>IF(OR(BF27&lt;&gt;0,BG27&lt;&gt;0),_xll.xSPRDOPT($BW27,$BV27,$CG27,0,$BY27,$BX27,$BZ27,$AJ27,1,12)*$CB27,0)</f>
        <v>0</v>
      </c>
      <c r="BI27" s="137">
        <f>_xll.xSPRDOPT($BW27,$BV27,$CG27,2*LN(1+CA27/2),$BY27,$BX27,$BZ27,$AJ27,1,9)</f>
        <v>1.7644254468326605E-2</v>
      </c>
      <c r="BJ27" s="137">
        <f>_xll.xSPRDOPT($BW27,$BV27,$CG27,0,$BY27,$BX27,$BZ27,$AJ27,1,6)*$CB27</f>
        <v>1.5854513488808739E-7</v>
      </c>
      <c r="BK27" s="137">
        <f>_xll.xSPRDOPT($BW27,$BV27,$CG27,0,$BY27,$BX27,$BZ27,$AJ27,1,5)*$CB27</f>
        <v>-2.0780002125445282E-7</v>
      </c>
      <c r="BL27" s="137">
        <f>_xll.xSPRDOPT(BW27,BV27,CG27,0,BY27,BX27,BZ27,AJ27,1,2)*CB27</f>
        <v>-0.99007333066809378</v>
      </c>
      <c r="BM27" s="137">
        <f>_xll.xSPRDOPT(BW27,BV27,CG27,0,BY27,BX27,BZ27,AJ27,1,1)*CB27</f>
        <v>0.99007333067529746</v>
      </c>
      <c r="BN27" s="137">
        <f>IF(AH27&lt;&gt;0,_xll.xSPRDOPT($BW27,$BV27,$CG27,2*LN(1+CA27/2),$BY27,$BX27,$BZ27,$AJ27,1,8)+(AJ27/365.25)*CH27/AH27,0)</f>
        <v>-0.44396758508217121</v>
      </c>
      <c r="BO27" s="137">
        <f>_xll.xSPRDOPT($BW27,$BV27,$CG27,0,$BY27,$BX27,$BZ27,$AJ27,1,0)</f>
        <v>0.89500010357405657</v>
      </c>
      <c r="BP27" s="137"/>
      <c r="BQ27" s="137"/>
      <c r="BR27" s="137"/>
      <c r="BS27" s="137"/>
      <c r="BV27" s="262">
        <v>2.8959999999999999</v>
      </c>
      <c r="BW27" s="136">
        <v>3.7960000000000003</v>
      </c>
      <c r="BX27" s="137">
        <v>0.55022133021926811</v>
      </c>
      <c r="BY27" s="137">
        <v>0.55022133021926811</v>
      </c>
      <c r="BZ27" s="137">
        <v>1</v>
      </c>
      <c r="CA27" s="137">
        <v>2.0011329715354399E-2</v>
      </c>
      <c r="CB27" s="137">
        <v>0.99007321601711695</v>
      </c>
      <c r="CC27" s="258">
        <v>-5.5E-2</v>
      </c>
      <c r="CD27" s="258">
        <v>5.0000000000000001E-3</v>
      </c>
      <c r="CE27" s="258">
        <v>0.85</v>
      </c>
      <c r="CF27" s="258">
        <v>0</v>
      </c>
      <c r="CG27" s="258">
        <v>5.0000000000000001E-3</v>
      </c>
      <c r="CH27" s="258">
        <v>0</v>
      </c>
      <c r="CI27" s="258">
        <v>2.9460000000000002</v>
      </c>
      <c r="CJ27" s="258"/>
      <c r="CK27" s="258"/>
      <c r="CL27" s="258"/>
      <c r="CM27" s="258"/>
    </row>
    <row r="28" spans="1:91" x14ac:dyDescent="0.25">
      <c r="A28" s="723"/>
      <c r="B28" s="723"/>
      <c r="D28" s="31">
        <f t="shared" si="47"/>
        <v>37452</v>
      </c>
      <c r="F28" s="28">
        <f t="shared" si="12"/>
        <v>252</v>
      </c>
      <c r="G28" s="28">
        <f t="shared" si="13"/>
        <v>249.07230961654241</v>
      </c>
      <c r="H28" s="52">
        <f t="shared" si="14"/>
        <v>2.9339999999999997</v>
      </c>
      <c r="I28" s="52">
        <f t="shared" si="15"/>
        <v>4.0339999999999998</v>
      </c>
      <c r="K28" s="52">
        <f t="shared" si="16"/>
        <v>33.550633134656877</v>
      </c>
      <c r="L28" s="135">
        <f t="shared" si="17"/>
        <v>3.8093901082447701E-6</v>
      </c>
      <c r="N28" s="131">
        <f t="shared" si="48"/>
        <v>0.54938596714727361</v>
      </c>
      <c r="O28" s="131">
        <f t="shared" si="49"/>
        <v>0.54938596714727361</v>
      </c>
      <c r="P28" s="55">
        <f t="shared" si="50"/>
        <v>0.99999999999999978</v>
      </c>
      <c r="Q28" s="135">
        <f>_xll.xSPRDOPT(I28,H28,AQ28,0,O28,N28,P28,D28-$G$5,1,0)*AH28*AU28</f>
        <v>33.550636944046985</v>
      </c>
      <c r="R28" s="135"/>
      <c r="S28" s="181">
        <f>_xll.xSPRDOPT(I28,H28,AQ28,AT28,O28,N28,P28,D28-$G$5,1,2)*AF28*(F28/(1-AR28))*AH28</f>
        <v>-7720.7824551451486</v>
      </c>
      <c r="T28" s="181">
        <f>_xll.xSPRDOPT(I28,H28,AQ28,AT28,O28,N28,P28,D28-$G$5,1,1)*AF28*F28*AH28</f>
        <v>7720.7824551167287</v>
      </c>
      <c r="U28" s="135"/>
      <c r="V28" s="146">
        <f t="shared" si="18"/>
        <v>0</v>
      </c>
      <c r="W28" s="146"/>
      <c r="X28" s="338">
        <f t="shared" si="19"/>
        <v>0</v>
      </c>
      <c r="Y28" s="338">
        <f t="shared" si="20"/>
        <v>0</v>
      </c>
      <c r="Z28" s="338">
        <f t="shared" si="21"/>
        <v>1.4112082211505672</v>
      </c>
      <c r="AA28" s="338">
        <f t="shared" si="22"/>
        <v>-5.2134075081032217E-8</v>
      </c>
      <c r="AB28" s="338">
        <f t="shared" si="23"/>
        <v>0</v>
      </c>
      <c r="AC28" s="338">
        <f t="shared" si="24"/>
        <v>1.4184011591687458</v>
      </c>
      <c r="AF28" s="138">
        <f t="shared" si="25"/>
        <v>1</v>
      </c>
      <c r="AG28" s="138">
        <f t="shared" si="26"/>
        <v>7</v>
      </c>
      <c r="AH28" s="138">
        <f t="shared" si="27"/>
        <v>31</v>
      </c>
      <c r="AI28" s="138">
        <f t="shared" si="51"/>
        <v>196</v>
      </c>
      <c r="AJ28" s="138">
        <f t="shared" si="28"/>
        <v>213</v>
      </c>
      <c r="AL28" s="136">
        <f t="shared" si="29"/>
        <v>2.984</v>
      </c>
      <c r="AM28" s="258">
        <f t="shared" si="30"/>
        <v>-5.5E-2</v>
      </c>
      <c r="AN28" s="258">
        <f t="shared" si="31"/>
        <v>5.0000000000000001E-3</v>
      </c>
      <c r="AO28" s="258">
        <f t="shared" si="32"/>
        <v>1.05</v>
      </c>
      <c r="AP28" s="258">
        <f t="shared" si="33"/>
        <v>0</v>
      </c>
      <c r="AQ28" s="136">
        <f t="shared" si="34"/>
        <v>5.0000000000000001E-3</v>
      </c>
      <c r="AR28" s="137">
        <f t="shared" si="35"/>
        <v>0</v>
      </c>
      <c r="AS28" s="136">
        <f t="shared" si="36"/>
        <v>2.9339999999999997</v>
      </c>
      <c r="AT28" s="137">
        <f t="shared" si="37"/>
        <v>2.0428629809483099E-2</v>
      </c>
      <c r="AU28" s="137">
        <f t="shared" si="38"/>
        <v>0.98838218101802544</v>
      </c>
      <c r="AV28" s="394">
        <f t="shared" si="39"/>
        <v>0</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0</v>
      </c>
      <c r="BG28" s="137">
        <f>_xll.xSPRDOPT($BW28,$BV28,$CG28,0,$BY28,$BX28,$BZ28,$AJ28,1,3)*$CB28</f>
        <v>4.7121867837940615E-7</v>
      </c>
      <c r="BH28" s="137">
        <f>IF(OR(BF28&lt;&gt;0,BG28&lt;&gt;0),_xll.xSPRDOPT($BW28,$BV28,$CG28,0,$BY28,$BX28,$BZ28,$AJ28,1,12)*$CB28,0)</f>
        <v>-2.3560933918970307E-7</v>
      </c>
      <c r="BI28" s="137">
        <f>_xll.xSPRDOPT($BW28,$BV28,$CG28,2*LN(1+CA28/2),$BY28,$BX28,$BZ28,$AJ28,1,9)</f>
        <v>2.1993676513707316E-2</v>
      </c>
      <c r="BJ28" s="137">
        <f>_xll.xSPRDOPT($BW28,$BV28,$CG28,0,$BY28,$BX28,$BZ28,$AJ28,1,6)*$CB28</f>
        <v>1.8588385511534988E-7</v>
      </c>
      <c r="BK28" s="137">
        <f>_xll.xSPRDOPT($BW28,$BV28,$CG28,0,$BY28,$BX28,$BZ28,$AJ28,1,5)*$CB28</f>
        <v>-2.5560956987512979E-7</v>
      </c>
      <c r="BL28" s="137">
        <f>_xll.xSPRDOPT(BW28,BV28,CG28,0,BY28,BX28,BZ28,AJ28,1,2)*CB28</f>
        <v>-0.98821730585681189</v>
      </c>
      <c r="BM28" s="137">
        <f>_xll.xSPRDOPT(BW28,BV28,CG28,0,BY28,BX28,BZ28,AJ28,1,1)*CB28</f>
        <v>0.98821730584602663</v>
      </c>
      <c r="BN28" s="137">
        <f>IF(AH28&lt;&gt;0,_xll.xSPRDOPT($BW28,$BV28,$CG28,2*LN(1+CA28/2),$BY28,$BX28,$BZ28,$AJ28,1,8)+(AJ28/365.25)*CH28/AH28,0)</f>
        <v>-0.63103864013664512</v>
      </c>
      <c r="BO28" s="137">
        <f>_xll.xSPRDOPT($BW28,$BV28,$CG28,0,$BY28,$BX28,$BZ28,$AJ28,1,0)</f>
        <v>1.095000124061781</v>
      </c>
      <c r="BP28" s="137"/>
      <c r="BQ28" s="137"/>
      <c r="BR28" s="137"/>
      <c r="BS28" s="137"/>
      <c r="BV28" s="262">
        <v>2.9339999999999997</v>
      </c>
      <c r="BW28" s="136">
        <v>4.0339999999999998</v>
      </c>
      <c r="BX28" s="137">
        <v>0.54929025513136898</v>
      </c>
      <c r="BY28" s="137">
        <v>0.54929025513136898</v>
      </c>
      <c r="BZ28" s="137">
        <v>1</v>
      </c>
      <c r="CA28" s="137">
        <v>2.0428629809483099E-2</v>
      </c>
      <c r="CB28" s="137">
        <v>0.98821719380072837</v>
      </c>
      <c r="CC28" s="258">
        <v>-5.5E-2</v>
      </c>
      <c r="CD28" s="258">
        <v>5.0000000000000001E-3</v>
      </c>
      <c r="CE28" s="258">
        <v>1.05</v>
      </c>
      <c r="CF28" s="258">
        <v>0</v>
      </c>
      <c r="CG28" s="258">
        <v>5.0000000000000001E-3</v>
      </c>
      <c r="CH28" s="258">
        <v>0</v>
      </c>
      <c r="CI28" s="258">
        <v>2.984</v>
      </c>
      <c r="CJ28" s="258"/>
      <c r="CK28" s="258"/>
      <c r="CL28" s="258"/>
      <c r="CM28" s="258"/>
    </row>
    <row r="29" spans="1:91" x14ac:dyDescent="0.25">
      <c r="A29" s="723"/>
      <c r="B29" s="723"/>
      <c r="D29" s="31">
        <f t="shared" si="47"/>
        <v>37483</v>
      </c>
      <c r="F29" s="28">
        <f t="shared" si="12"/>
        <v>252</v>
      </c>
      <c r="G29" s="28">
        <f t="shared" si="13"/>
        <v>248.53970646484601</v>
      </c>
      <c r="H29" s="52">
        <f t="shared" si="14"/>
        <v>2.9759999999999995</v>
      </c>
      <c r="I29" s="52">
        <f t="shared" si="15"/>
        <v>4.0759999999999996</v>
      </c>
      <c r="K29" s="52">
        <f t="shared" si="16"/>
        <v>33.478890222020631</v>
      </c>
      <c r="L29" s="135">
        <f t="shared" si="17"/>
        <v>3.7135593160542157E-6</v>
      </c>
      <c r="N29" s="131">
        <f t="shared" si="48"/>
        <v>0.55001555741820785</v>
      </c>
      <c r="O29" s="131">
        <f t="shared" si="49"/>
        <v>0.55001555741820785</v>
      </c>
      <c r="P29" s="55">
        <f t="shared" si="50"/>
        <v>1</v>
      </c>
      <c r="Q29" s="135">
        <f>_xll.xSPRDOPT(I29,H29,AQ29,0,O29,N29,P29,D29-$G$5,1,0)*AH29*AU29</f>
        <v>33.478893935579947</v>
      </c>
      <c r="R29" s="135"/>
      <c r="S29" s="181">
        <f>_xll.xSPRDOPT(I29,H29,AQ29,AT29,O29,N29,P29,D29-$G$5,1,2)*AF29*(F29/(1-AR29))*AH29</f>
        <v>-7704.1717459320207</v>
      </c>
      <c r="T29" s="181">
        <f>_xll.xSPRDOPT(I29,H29,AQ29,AT29,O29,N29,P29,D29-$G$5,1,1)*AF29*F29*AH29</f>
        <v>7704.1717459888605</v>
      </c>
      <c r="U29" s="135"/>
      <c r="V29" s="146">
        <f t="shared" si="18"/>
        <v>0</v>
      </c>
      <c r="W29" s="146"/>
      <c r="X29" s="338">
        <f t="shared" si="19"/>
        <v>0</v>
      </c>
      <c r="Y29" s="338">
        <f t="shared" si="20"/>
        <v>0</v>
      </c>
      <c r="Z29" s="338">
        <f t="shared" si="21"/>
        <v>1.4518209398610236</v>
      </c>
      <c r="AA29" s="338">
        <f t="shared" si="22"/>
        <v>-7.543599943136222E-8</v>
      </c>
      <c r="AB29" s="338">
        <f t="shared" si="23"/>
        <v>0</v>
      </c>
      <c r="AC29" s="338">
        <f t="shared" si="24"/>
        <v>1.4594511310838683</v>
      </c>
      <c r="AF29" s="138">
        <f t="shared" si="25"/>
        <v>1</v>
      </c>
      <c r="AG29" s="138">
        <f t="shared" si="26"/>
        <v>8</v>
      </c>
      <c r="AH29" s="138">
        <f t="shared" si="27"/>
        <v>31</v>
      </c>
      <c r="AI29" s="138">
        <f t="shared" si="51"/>
        <v>227</v>
      </c>
      <c r="AJ29" s="138">
        <f t="shared" si="28"/>
        <v>244</v>
      </c>
      <c r="AL29" s="136">
        <f t="shared" si="29"/>
        <v>3.0259999999999998</v>
      </c>
      <c r="AM29" s="258">
        <f t="shared" si="30"/>
        <v>-5.5E-2</v>
      </c>
      <c r="AN29" s="258">
        <f t="shared" si="31"/>
        <v>5.0000000000000001E-3</v>
      </c>
      <c r="AO29" s="258">
        <f t="shared" si="32"/>
        <v>1.05</v>
      </c>
      <c r="AP29" s="258">
        <f t="shared" si="33"/>
        <v>0</v>
      </c>
      <c r="AQ29" s="136">
        <f t="shared" si="34"/>
        <v>5.0000000000000001E-3</v>
      </c>
      <c r="AR29" s="137">
        <f t="shared" si="35"/>
        <v>0</v>
      </c>
      <c r="AS29" s="136">
        <f t="shared" si="36"/>
        <v>2.9759999999999995</v>
      </c>
      <c r="AT29" s="137">
        <f t="shared" si="37"/>
        <v>2.1065008234303999E-2</v>
      </c>
      <c r="AU29" s="137">
        <f t="shared" si="38"/>
        <v>0.98626867644780158</v>
      </c>
      <c r="AV29" s="394">
        <f t="shared" si="39"/>
        <v>0</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4.7020861657522789E-7</v>
      </c>
      <c r="BG29" s="137">
        <f>_xll.xSPRDOPT($BW29,$BV29,$CG29,0,$BY29,$BX29,$BZ29,$AJ29,1,3)*$CB29</f>
        <v>0</v>
      </c>
      <c r="BH29" s="137">
        <f>IF(OR(BF29&lt;&gt;0,BG29&lt;&gt;0),_xll.xSPRDOPT($BW29,$BV29,$CG29,0,$BY29,$BX29,$BZ29,$AJ29,1,12)*$CB29,0)</f>
        <v>0</v>
      </c>
      <c r="BI29" s="137">
        <f>_xll.xSPRDOPT($BW29,$BV29,$CG29,2*LN(1+CA29/2),$BY29,$BX29,$BZ29,$AJ29,1,9)</f>
        <v>2.2626625630834566E-2</v>
      </c>
      <c r="BJ29" s="137">
        <f>_xll.xSPRDOPT($BW29,$BV29,$CG29,0,$BY29,$BX29,$BZ29,$AJ29,1,6)*$CB29</f>
        <v>2.1530872250801919E-7</v>
      </c>
      <c r="BK29" s="137">
        <f>_xll.xSPRDOPT($BW29,$BV29,$CG29,0,$BY29,$BX29,$BZ29,$AJ29,1,5)*$CB29</f>
        <v>-2.9492390885659784E-7</v>
      </c>
      <c r="BL29" s="137">
        <f>_xll.xSPRDOPT(BW29,BV29,CG29,0,BY29,BX29,BZ29,AJ29,1,2)*CB29</f>
        <v>-0.98609904990092956</v>
      </c>
      <c r="BM29" s="137">
        <f>_xll.xSPRDOPT(BW29,BV29,CG29,0,BY29,BX29,BZ29,AJ29,1,1)*CB29</f>
        <v>0.98609904990451691</v>
      </c>
      <c r="BN29" s="137">
        <f>IF(AH29&lt;&gt;0,_xll.xSPRDOPT($BW29,$BV29,$CG29,2*LN(1+CA29/2),$BY29,$BX29,$BZ29,$AJ29,1,8)+(AJ29/365.25)*CH29/AH29,0)</f>
        <v>-0.72133044251503275</v>
      </c>
      <c r="BO29" s="137">
        <f>_xll.xSPRDOPT($BW29,$BV29,$CG29,0,$BY29,$BX29,$BZ29,$AJ29,1,0)</f>
        <v>1.0950001211968414</v>
      </c>
      <c r="BP29" s="137"/>
      <c r="BQ29" s="137"/>
      <c r="BR29" s="137"/>
      <c r="BS29" s="137"/>
      <c r="BV29" s="262">
        <v>2.9759999999999995</v>
      </c>
      <c r="BW29" s="136">
        <v>4.0759999999999996</v>
      </c>
      <c r="BX29" s="137">
        <v>0.54989426867442226</v>
      </c>
      <c r="BY29" s="137">
        <v>0.54989426867442226</v>
      </c>
      <c r="BZ29" s="137">
        <v>1</v>
      </c>
      <c r="CA29" s="137">
        <v>2.1065008234303999E-2</v>
      </c>
      <c r="CB29" s="137">
        <v>0.98609894066797232</v>
      </c>
      <c r="CC29" s="258">
        <v>-5.5E-2</v>
      </c>
      <c r="CD29" s="258">
        <v>5.0000000000000001E-3</v>
      </c>
      <c r="CE29" s="258">
        <v>1.05</v>
      </c>
      <c r="CF29" s="258">
        <v>0</v>
      </c>
      <c r="CG29" s="258">
        <v>5.0000000000000001E-3</v>
      </c>
      <c r="CH29" s="258">
        <v>0</v>
      </c>
      <c r="CI29" s="258">
        <v>3.0259999999999998</v>
      </c>
      <c r="CJ29" s="258"/>
      <c r="CK29" s="258"/>
      <c r="CL29" s="258"/>
      <c r="CM29" s="258"/>
    </row>
    <row r="30" spans="1:91" x14ac:dyDescent="0.25">
      <c r="A30" s="723"/>
      <c r="B30" s="723"/>
      <c r="D30" s="31">
        <f t="shared" si="47"/>
        <v>37514</v>
      </c>
      <c r="F30" s="28">
        <f t="shared" si="12"/>
        <v>252</v>
      </c>
      <c r="G30" s="28">
        <f t="shared" si="13"/>
        <v>247.98176463503074</v>
      </c>
      <c r="H30" s="52">
        <f t="shared" si="14"/>
        <v>2.9629999999999996</v>
      </c>
      <c r="I30" s="52">
        <f t="shared" si="15"/>
        <v>3.7679999999999998</v>
      </c>
      <c r="K30" s="52">
        <f t="shared" si="16"/>
        <v>23.617310917621978</v>
      </c>
      <c r="L30" s="135">
        <f t="shared" si="17"/>
        <v>2.5607039084718508E-6</v>
      </c>
      <c r="N30" s="131">
        <f t="shared" si="48"/>
        <v>0.54862064797509713</v>
      </c>
      <c r="O30" s="131">
        <f t="shared" si="49"/>
        <v>0.54862064797509713</v>
      </c>
      <c r="P30" s="55">
        <f t="shared" si="50"/>
        <v>1</v>
      </c>
      <c r="Q30" s="135">
        <f>_xll.xSPRDOPT(I30,H30,AQ30,0,O30,N30,P30,D30-$G$5,1,0)*AH30*AU30</f>
        <v>23.617313478325887</v>
      </c>
      <c r="R30" s="135"/>
      <c r="S30" s="181">
        <f>_xll.xSPRDOPT(I30,H30,AQ30,AT30,O30,N30,P30,D30-$G$5,1,2)*AF30*(F30/(1-AR30))*AH30</f>
        <v>-7438.8061743778962</v>
      </c>
      <c r="T30" s="181">
        <f>_xll.xSPRDOPT(I30,H30,AQ30,AT30,O30,N30,P30,D30-$G$5,1,1)*AF30*F30*AH30</f>
        <v>7438.8061742953869</v>
      </c>
      <c r="U30" s="135"/>
      <c r="V30" s="146">
        <f t="shared" si="18"/>
        <v>0</v>
      </c>
      <c r="W30" s="146"/>
      <c r="X30" s="338">
        <f t="shared" si="19"/>
        <v>0</v>
      </c>
      <c r="Y30" s="338">
        <f t="shared" si="20"/>
        <v>0</v>
      </c>
      <c r="Z30" s="338">
        <f t="shared" si="21"/>
        <v>1.0549394940759611</v>
      </c>
      <c r="AA30" s="338">
        <f t="shared" si="22"/>
        <v>-4.5840340198847206E-8</v>
      </c>
      <c r="AB30" s="338">
        <f t="shared" si="23"/>
        <v>0</v>
      </c>
      <c r="AC30" s="338">
        <f t="shared" si="24"/>
        <v>1.060651128967339</v>
      </c>
      <c r="AF30" s="138">
        <f t="shared" si="25"/>
        <v>1</v>
      </c>
      <c r="AG30" s="138">
        <f t="shared" si="26"/>
        <v>9</v>
      </c>
      <c r="AH30" s="138">
        <f t="shared" si="27"/>
        <v>30</v>
      </c>
      <c r="AI30" s="138">
        <f t="shared" si="51"/>
        <v>258</v>
      </c>
      <c r="AJ30" s="138">
        <f t="shared" si="28"/>
        <v>275</v>
      </c>
      <c r="AL30" s="136">
        <f t="shared" si="29"/>
        <v>3.0179999999999998</v>
      </c>
      <c r="AM30" s="258">
        <f t="shared" si="30"/>
        <v>-0.06</v>
      </c>
      <c r="AN30" s="258">
        <f t="shared" si="31"/>
        <v>5.0000000000000001E-3</v>
      </c>
      <c r="AO30" s="258">
        <f t="shared" si="32"/>
        <v>0.75</v>
      </c>
      <c r="AP30" s="258">
        <f t="shared" si="33"/>
        <v>0</v>
      </c>
      <c r="AQ30" s="136">
        <f t="shared" si="34"/>
        <v>5.0000000000000001E-3</v>
      </c>
      <c r="AR30" s="137">
        <f t="shared" si="35"/>
        <v>0</v>
      </c>
      <c r="AS30" s="136">
        <f t="shared" si="36"/>
        <v>2.9629999999999996</v>
      </c>
      <c r="AT30" s="137">
        <f t="shared" si="37"/>
        <v>2.1701386796276499E-2</v>
      </c>
      <c r="AU30" s="137">
        <f t="shared" si="38"/>
        <v>0.98405462156758228</v>
      </c>
      <c r="AV30" s="394">
        <f t="shared" si="39"/>
        <v>0</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-7.0372594252200694E-7</v>
      </c>
      <c r="BG30" s="137">
        <f>_xll.xSPRDOPT($BW30,$BV30,$CG30,0,$BY30,$BX30,$BZ30,$AJ30,1,3)*$CB30</f>
        <v>-2.3457531417400232E-7</v>
      </c>
      <c r="BH30" s="137">
        <f>IF(OR(BF30&lt;&gt;0,BG30&lt;&gt;0),_xll.xSPRDOPT($BW30,$BV30,$CG30,0,$BY30,$BX30,$BZ30,$AJ30,1,12)*$CB30,0)</f>
        <v>8.2101359960900816E-7</v>
      </c>
      <c r="BI30" s="137">
        <f>_xll.xSPRDOPT($BW30,$BV30,$CG30,2*LN(1+CA30/2),$BY30,$BX30,$BZ30,$AJ30,1,9)</f>
        <v>1.6989270291501091E-2</v>
      </c>
      <c r="BJ30" s="137">
        <f>_xll.xSPRDOPT($BW30,$BV30,$CG30,0,$BY30,$BX30,$BZ30,$AJ30,1,6)*$CB30</f>
        <v>2.4002465707684712E-7</v>
      </c>
      <c r="BK30" s="137">
        <f>_xll.xSPRDOPT($BW30,$BV30,$CG30,0,$BY30,$BX30,$BZ30,$AJ30,1,5)*$CB30</f>
        <v>-3.0524194409410114E-7</v>
      </c>
      <c r="BL30" s="137">
        <f>_xll.xSPRDOPT(BW30,BV30,CG30,0,BY30,BX30,BZ30,AJ30,1,2)*CB30</f>
        <v>-0.98388028513029868</v>
      </c>
      <c r="BM30" s="137">
        <f>_xll.xSPRDOPT(BW30,BV30,CG30,0,BY30,BX30,BZ30,AJ30,1,1)*CB30</f>
        <v>0.98388028511777104</v>
      </c>
      <c r="BN30" s="137">
        <f>IF(AH30&lt;&gt;0,_xll.xSPRDOPT($BW30,$BV30,$CG30,2*LN(1+CA30/2),$BY30,$BX30,$BZ30,$AJ30,1,8)+(AJ30/365.25)*CH30/AH30,0)</f>
        <v>-0.5926178307899459</v>
      </c>
      <c r="BO30" s="137">
        <f>_xll.xSPRDOPT($BW30,$BV30,$CG30,0,$BY30,$BX30,$BZ30,$AJ30,1,0)</f>
        <v>0.80000008654766874</v>
      </c>
      <c r="BP30" s="137"/>
      <c r="BQ30" s="137"/>
      <c r="BR30" s="137"/>
      <c r="BS30" s="137"/>
      <c r="BV30" s="262">
        <v>2.9629999999999996</v>
      </c>
      <c r="BW30" s="136">
        <v>3.7679999999999998</v>
      </c>
      <c r="BX30" s="137">
        <v>0.54852767359145349</v>
      </c>
      <c r="BY30" s="137">
        <v>0.54852767359145349</v>
      </c>
      <c r="BZ30" s="137">
        <v>1</v>
      </c>
      <c r="CA30" s="137">
        <v>2.1701386796276499E-2</v>
      </c>
      <c r="CB30" s="137">
        <v>0.98388017854127463</v>
      </c>
      <c r="CC30" s="258">
        <v>-0.06</v>
      </c>
      <c r="CD30" s="258">
        <v>5.0000000000000001E-3</v>
      </c>
      <c r="CE30" s="258">
        <v>0.75</v>
      </c>
      <c r="CF30" s="258">
        <v>0</v>
      </c>
      <c r="CG30" s="258">
        <v>5.0000000000000001E-3</v>
      </c>
      <c r="CH30" s="258">
        <v>0</v>
      </c>
      <c r="CI30" s="258">
        <v>3.0179999999999998</v>
      </c>
      <c r="CJ30" s="258"/>
      <c r="CK30" s="258"/>
      <c r="CL30" s="258"/>
      <c r="CM30" s="258"/>
    </row>
    <row r="31" spans="1:91" x14ac:dyDescent="0.25">
      <c r="A31" s="723"/>
      <c r="B31" s="723"/>
      <c r="D31" s="31">
        <f t="shared" si="47"/>
        <v>37544</v>
      </c>
      <c r="F31" s="28">
        <f t="shared" si="12"/>
        <v>396</v>
      </c>
      <c r="G31" s="28">
        <f t="shared" si="13"/>
        <v>388.76997200258472</v>
      </c>
      <c r="H31" s="52">
        <f t="shared" si="14"/>
        <v>3.0601542416452441</v>
      </c>
      <c r="I31" s="52">
        <f t="shared" si="15"/>
        <v>3.4810000000000003</v>
      </c>
      <c r="K31" s="52">
        <f t="shared" si="16"/>
        <v>11.639359166188539</v>
      </c>
      <c r="L31" s="135">
        <f t="shared" si="17"/>
        <v>1.4947707498436102E-6</v>
      </c>
      <c r="N31" s="131">
        <f t="shared" si="48"/>
        <v>0.55129247567847639</v>
      </c>
      <c r="O31" s="131">
        <f t="shared" si="49"/>
        <v>0.55129247567847639</v>
      </c>
      <c r="P31" s="55">
        <f t="shared" si="50"/>
        <v>1</v>
      </c>
      <c r="Q31" s="135">
        <f>_xll.xSPRDOPT(I31,H31,AQ31,0,O31,N31,P31,D31-$G$5,1,0)*AH31*AU31</f>
        <v>11.639360660959289</v>
      </c>
      <c r="R31" s="135"/>
      <c r="S31" s="181">
        <f>_xll.xSPRDOPT(I31,H31,AQ31,AT31,O31,N31,P31,D31-$G$5,1,2)*AF31*(F31/(1-AR31))*AH31</f>
        <v>-12391.386544606376</v>
      </c>
      <c r="T31" s="181">
        <f>_xll.xSPRDOPT(I31,H31,AQ31,AT31,O31,N31,P31,D31-$G$5,1,1)*AF31*F31*AH31</f>
        <v>12050.623414707854</v>
      </c>
      <c r="U31" s="135"/>
      <c r="V31" s="146">
        <f t="shared" si="18"/>
        <v>11.421885063812303</v>
      </c>
      <c r="W31" s="146"/>
      <c r="X31" s="338">
        <f t="shared" si="19"/>
        <v>0</v>
      </c>
      <c r="Y31" s="338">
        <f t="shared" si="20"/>
        <v>0</v>
      </c>
      <c r="Z31" s="338">
        <f t="shared" si="21"/>
        <v>0.84350088214513186</v>
      </c>
      <c r="AA31" s="338">
        <f t="shared" si="22"/>
        <v>1.05632107228971E-6</v>
      </c>
      <c r="AB31" s="338">
        <f t="shared" si="23"/>
        <v>0</v>
      </c>
      <c r="AC31" s="338">
        <f t="shared" si="24"/>
        <v>0.84824417288852016</v>
      </c>
      <c r="AF31" s="138">
        <f t="shared" si="25"/>
        <v>1</v>
      </c>
      <c r="AG31" s="138">
        <f t="shared" si="26"/>
        <v>10</v>
      </c>
      <c r="AH31" s="138">
        <f t="shared" si="27"/>
        <v>31</v>
      </c>
      <c r="AI31" s="138">
        <f t="shared" si="51"/>
        <v>288</v>
      </c>
      <c r="AJ31" s="138">
        <f t="shared" si="28"/>
        <v>305</v>
      </c>
      <c r="AL31" s="136">
        <f t="shared" si="29"/>
        <v>3.0310000000000001</v>
      </c>
      <c r="AM31" s="258">
        <f t="shared" si="30"/>
        <v>-0.06</v>
      </c>
      <c r="AN31" s="258">
        <f t="shared" si="31"/>
        <v>5.0000000000000001E-3</v>
      </c>
      <c r="AO31" s="258">
        <f t="shared" si="32"/>
        <v>0.45</v>
      </c>
      <c r="AP31" s="258">
        <f t="shared" si="33"/>
        <v>0</v>
      </c>
      <c r="AQ31" s="136">
        <f t="shared" si="34"/>
        <v>3.8399999999999997E-2</v>
      </c>
      <c r="AR31" s="137">
        <f t="shared" si="35"/>
        <v>2.75E-2</v>
      </c>
      <c r="AS31" s="136">
        <f t="shared" si="36"/>
        <v>2.976</v>
      </c>
      <c r="AT31" s="137">
        <f t="shared" si="37"/>
        <v>2.2410164045373999E-2</v>
      </c>
      <c r="AU31" s="137">
        <f t="shared" si="38"/>
        <v>0.98174235354188055</v>
      </c>
      <c r="AV31" s="394">
        <f t="shared" si="39"/>
        <v>334.77414255778126</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1.170113883588594E-7</v>
      </c>
      <c r="BG31" s="137">
        <f>_xll.xSPRDOPT($BW31,$BV31,$CG31,0,$BY31,$BX31,$BZ31,$AJ31,1,3)*$CB31</f>
        <v>2.3402277671771879E-7</v>
      </c>
      <c r="BH31" s="137">
        <f>IF(OR(BF31&lt;&gt;0,BG31&lt;&gt;0),_xll.xSPRDOPT($BW31,$BV31,$CG31,0,$BY31,$BX31,$BZ31,$AJ31,1,12)*$CB31,0)</f>
        <v>-4.0953985925600789E-7</v>
      </c>
      <c r="BI31" s="137">
        <f>_xll.xSPRDOPT($BW31,$BV31,$CG31,2*LN(1+CA31/2),$BY31,$BX31,$BZ31,$AJ31,1,9)</f>
        <v>8.3656103291927172E-3</v>
      </c>
      <c r="BJ31" s="137">
        <f>_xll.xSPRDOPT($BW31,$BV31,$CG31,0,$BY31,$BX31,$BZ31,$AJ31,1,6)*$CB31</f>
        <v>-5.7189464127070648E-6</v>
      </c>
      <c r="BK31" s="137">
        <f>_xll.xSPRDOPT($BW31,$BV31,$CG31,0,$BY31,$BX31,$BZ31,$AJ31,1,5)*$CB31</f>
        <v>6.505425043538042E-6</v>
      </c>
      <c r="BL31" s="137">
        <f>_xll.xSPRDOPT(BW31,BV31,CG31,0,BY31,BX31,BZ31,AJ31,1,2)*CB31</f>
        <v>-0.98156235383515433</v>
      </c>
      <c r="BM31" s="137">
        <f>_xll.xSPRDOPT(BW31,BV31,CG31,0,BY31,BX31,BZ31,AJ31,1,1)*CB31</f>
        <v>0.98156235383604706</v>
      </c>
      <c r="BN31" s="137">
        <f>IF(AH31&lt;&gt;0,_xll.xSPRDOPT($BW31,$BV31,$CG31,2*LN(1+CA31/2),$BY31,$BX31,$BZ31,$AJ31,1,8)+(AJ31/365.25)*CH31/AH31,0)</f>
        <v>-5.8570520835092288E-3</v>
      </c>
      <c r="BO31" s="137">
        <f>_xll.xSPRDOPT($BW31,$BV31,$CG31,0,$BY31,$BX31,$BZ31,$AJ31,1,0)</f>
        <v>0.38244580957321339</v>
      </c>
      <c r="BP31" s="137"/>
      <c r="BQ31" s="137"/>
      <c r="BR31" s="137"/>
      <c r="BS31" s="137"/>
      <c r="BV31" s="262">
        <v>3.0601542416452441</v>
      </c>
      <c r="BW31" s="136">
        <v>3.4810000000000003</v>
      </c>
      <c r="BX31" s="137">
        <v>0.55118306690820029</v>
      </c>
      <c r="BY31" s="137">
        <v>0.55118306690820029</v>
      </c>
      <c r="BZ31" s="137">
        <v>1</v>
      </c>
      <c r="CA31" s="137">
        <v>2.2410164045373999E-2</v>
      </c>
      <c r="CB31" s="137">
        <v>0.98156266847823481</v>
      </c>
      <c r="CC31" s="258">
        <v>-0.06</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396</v>
      </c>
      <c r="G32" s="28">
        <f t="shared" si="13"/>
        <v>387.73327194691234</v>
      </c>
      <c r="H32" s="52">
        <f t="shared" si="14"/>
        <v>3.2555269922879173</v>
      </c>
      <c r="I32" s="52">
        <f t="shared" si="15"/>
        <v>3.661</v>
      </c>
      <c r="K32" s="52">
        <f t="shared" si="16"/>
        <v>10.782304418454547</v>
      </c>
      <c r="L32" s="135">
        <f t="shared" si="17"/>
        <v>3.0315010945969334E-6</v>
      </c>
      <c r="N32" s="131">
        <f t="shared" si="48"/>
        <v>0.55763051961597798</v>
      </c>
      <c r="O32" s="131">
        <f t="shared" si="49"/>
        <v>0.55763051961597798</v>
      </c>
      <c r="P32" s="55">
        <f t="shared" si="50"/>
        <v>1.0000000000000002</v>
      </c>
      <c r="Q32" s="135">
        <f>_xll.xSPRDOPT(I32,H32,AQ32,0,O32,N32,P32,D32-$G$5,1,0)*AH32*AU32</f>
        <v>10.782307449955642</v>
      </c>
      <c r="R32" s="135"/>
      <c r="S32" s="181">
        <f>_xll.xSPRDOPT(I32,H32,AQ32,AT32,O32,N32,P32,D32-$G$5,1,2)*AF32*(F32/(1-AR32))*AH32</f>
        <v>-11959.444747030855</v>
      </c>
      <c r="T32" s="181">
        <f>_xll.xSPRDOPT(I32,H32,AQ32,AT32,O32,N32,P32,D32-$G$5,1,1)*AF32*F32*AH32</f>
        <v>11630.56001656314</v>
      </c>
      <c r="U32" s="135"/>
      <c r="V32" s="146">
        <f t="shared" si="18"/>
        <v>11.023961891036077</v>
      </c>
      <c r="W32" s="146"/>
      <c r="X32" s="338">
        <f t="shared" si="19"/>
        <v>0</v>
      </c>
      <c r="Y32" s="338">
        <f t="shared" si="20"/>
        <v>0</v>
      </c>
      <c r="Z32" s="338">
        <f t="shared" si="21"/>
        <v>0.81129226035047786</v>
      </c>
      <c r="AA32" s="338">
        <f t="shared" si="22"/>
        <v>4.1190505940359635E-6</v>
      </c>
      <c r="AB32" s="338">
        <f t="shared" si="23"/>
        <v>0</v>
      </c>
      <c r="AC32" s="338">
        <f t="shared" si="24"/>
        <v>0.81607041637357736</v>
      </c>
      <c r="AF32" s="138">
        <f t="shared" si="25"/>
        <v>1</v>
      </c>
      <c r="AG32" s="138">
        <f t="shared" si="26"/>
        <v>11</v>
      </c>
      <c r="AH32" s="138">
        <f t="shared" si="27"/>
        <v>30</v>
      </c>
      <c r="AI32" s="138">
        <f t="shared" si="51"/>
        <v>319</v>
      </c>
      <c r="AJ32" s="138">
        <f t="shared" si="28"/>
        <v>336</v>
      </c>
      <c r="AL32" s="136">
        <f t="shared" si="29"/>
        <v>3.2109999999999999</v>
      </c>
      <c r="AM32" s="258">
        <f t="shared" si="30"/>
        <v>-5.2499999999999998E-2</v>
      </c>
      <c r="AN32" s="258">
        <f t="shared" si="31"/>
        <v>7.4999999999999997E-3</v>
      </c>
      <c r="AO32" s="258">
        <f t="shared" si="32"/>
        <v>0.45</v>
      </c>
      <c r="AP32" s="258">
        <f t="shared" si="33"/>
        <v>0</v>
      </c>
      <c r="AQ32" s="136">
        <f t="shared" si="34"/>
        <v>3.8399999999999997E-2</v>
      </c>
      <c r="AR32" s="137">
        <f t="shared" si="35"/>
        <v>2.75E-2</v>
      </c>
      <c r="AS32" s="136">
        <f t="shared" si="36"/>
        <v>3.1659999999999995</v>
      </c>
      <c r="AT32" s="137">
        <f t="shared" si="37"/>
        <v>2.3274064967752799E-2</v>
      </c>
      <c r="AU32" s="137">
        <f t="shared" si="38"/>
        <v>0.97912442410836453</v>
      </c>
      <c r="AV32" s="394">
        <f t="shared" si="39"/>
        <v>323.11105995576031</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-7.0019127156312019E-7</v>
      </c>
      <c r="BG32" s="137">
        <f>_xll.xSPRDOPT($BW32,$BV32,$CG32,0,$BY32,$BX32,$BZ32,$AJ32,1,3)*$CB32</f>
        <v>-4.6679418104208011E-7</v>
      </c>
      <c r="BH32" s="137">
        <f>IF(OR(BF32&lt;&gt;0,BG32&lt;&gt;0),_xll.xSPRDOPT($BW32,$BV32,$CG32,0,$BY32,$BX32,$BZ32,$AJ32,1,12)*$CB32,0)</f>
        <v>-1.7504781789078005E-7</v>
      </c>
      <c r="BI32" s="137">
        <f>_xll.xSPRDOPT($BW32,$BV32,$CG32,2*LN(1+CA32/2),$BY32,$BX32,$BZ32,$AJ32,1,9)</f>
        <v>8.314379856706286E-3</v>
      </c>
      <c r="BJ32" s="137">
        <f>_xll.xSPRDOPT($BW32,$BV32,$CG32,0,$BY32,$BX32,$BZ32,$AJ32,1,6)*$CB32</f>
        <v>-1.8019616381953346E-5</v>
      </c>
      <c r="BK32" s="137">
        <f>_xll.xSPRDOPT($BW32,$BV32,$CG32,0,$BY32,$BX32,$BZ32,$AJ32,1,5)*$CB32</f>
        <v>2.0263934485465354E-5</v>
      </c>
      <c r="BL32" s="137">
        <f>_xll.xSPRDOPT(BW32,BV32,CG32,0,BY32,BX32,BZ32,AJ32,1,2)*CB32</f>
        <v>-0.97893725677576526</v>
      </c>
      <c r="BM32" s="137">
        <f>_xll.xSPRDOPT(BW32,BV32,CG32,0,BY32,BX32,BZ32,AJ32,1,1)*CB32</f>
        <v>0.97893725678110732</v>
      </c>
      <c r="BN32" s="137">
        <f>IF(AH32&lt;&gt;0,_xll.xSPRDOPT($BW32,$BV32,$CG32,2*LN(1+CA32/2),$BY32,$BX32,$BZ32,$AJ32,1,8)+(AJ32/365.25)*CH32/AH32,0)</f>
        <v>7.4086615030617975E-3</v>
      </c>
      <c r="BO32" s="137">
        <f>_xll.xSPRDOPT($BW32,$BV32,$CG32,0,$BY32,$BX32,$BZ32,$AJ32,1,0)</f>
        <v>0.36707311631172657</v>
      </c>
      <c r="BP32" s="137"/>
      <c r="BQ32" s="137"/>
      <c r="BR32" s="137"/>
      <c r="BS32" s="137"/>
      <c r="BV32" s="262">
        <v>3.2555269922879173</v>
      </c>
      <c r="BW32" s="136">
        <v>3.661</v>
      </c>
      <c r="BX32" s="137">
        <v>0.55747603107447763</v>
      </c>
      <c r="BY32" s="137">
        <v>0.55747603107447763</v>
      </c>
      <c r="BZ32" s="137">
        <v>1</v>
      </c>
      <c r="CA32" s="137">
        <v>2.3274064967752799E-2</v>
      </c>
      <c r="CB32" s="137">
        <v>0.97893835036076038</v>
      </c>
      <c r="CC32" s="258">
        <v>-5.2499999999999998E-2</v>
      </c>
      <c r="CD32" s="258">
        <v>7.4999999999999997E-3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396</v>
      </c>
      <c r="G33" s="28">
        <f t="shared" si="13"/>
        <v>386.67939527833272</v>
      </c>
      <c r="H33" s="52">
        <f t="shared" si="14"/>
        <v>3.4200514138817475</v>
      </c>
      <c r="I33" s="52">
        <f t="shared" si="15"/>
        <v>3.7709999999999999</v>
      </c>
      <c r="K33" s="52">
        <f t="shared" si="16"/>
        <v>9.460957188218222</v>
      </c>
      <c r="L33" s="135">
        <f t="shared" si="17"/>
        <v>2.2759117586090838E-5</v>
      </c>
      <c r="N33" s="131">
        <f t="shared" si="48"/>
        <v>0.57103652777154523</v>
      </c>
      <c r="O33" s="131">
        <f t="shared" si="49"/>
        <v>0.57103652777154523</v>
      </c>
      <c r="P33" s="55">
        <f t="shared" si="50"/>
        <v>1.0000000000000002</v>
      </c>
      <c r="Q33" s="135">
        <f>_xll.xSPRDOPT(I33,H33,AQ33,0,O33,N33,P33,D33-$G$5,1,0)*AH33*AU33</f>
        <v>9.460979947335808</v>
      </c>
      <c r="R33" s="135"/>
      <c r="S33" s="181">
        <f>_xll.xSPRDOPT(I33,H33,AQ33,AT33,O33,N33,P33,D33-$G$5,1,2)*AF33*(F33/(1-AR33))*AH33</f>
        <v>-12324.140228640066</v>
      </c>
      <c r="T33" s="181">
        <f>_xll.xSPRDOPT(I33,H33,AQ33,AT33,O33,N33,P33,D33-$G$5,1,1)*AF33*F33*AH33</f>
        <v>11985.22637240829</v>
      </c>
      <c r="U33" s="135"/>
      <c r="V33" s="146">
        <f t="shared" si="18"/>
        <v>11.360464869915926</v>
      </c>
      <c r="W33" s="146"/>
      <c r="X33" s="338">
        <f t="shared" si="19"/>
        <v>0</v>
      </c>
      <c r="Y33" s="338">
        <f t="shared" si="20"/>
        <v>0</v>
      </c>
      <c r="Z33" s="338">
        <f t="shared" si="21"/>
        <v>0.73691274491988423</v>
      </c>
      <c r="AA33" s="338">
        <f t="shared" si="22"/>
        <v>4.563743010134489E-5</v>
      </c>
      <c r="AB33" s="338">
        <f t="shared" si="23"/>
        <v>0</v>
      </c>
      <c r="AC33" s="338">
        <f t="shared" si="24"/>
        <v>0.74178129275900206</v>
      </c>
      <c r="AF33" s="138">
        <f t="shared" si="25"/>
        <v>1</v>
      </c>
      <c r="AG33" s="138">
        <f t="shared" si="26"/>
        <v>12</v>
      </c>
      <c r="AH33" s="138">
        <f t="shared" si="27"/>
        <v>31</v>
      </c>
      <c r="AI33" s="138">
        <f t="shared" si="51"/>
        <v>349</v>
      </c>
      <c r="AJ33" s="138">
        <f t="shared" si="28"/>
        <v>366</v>
      </c>
      <c r="AL33" s="136">
        <f t="shared" si="29"/>
        <v>3.371</v>
      </c>
      <c r="AM33" s="258">
        <f t="shared" si="30"/>
        <v>-5.2499999999999998E-2</v>
      </c>
      <c r="AN33" s="258">
        <f t="shared" si="31"/>
        <v>7.4999999999999997E-3</v>
      </c>
      <c r="AO33" s="258">
        <f t="shared" si="32"/>
        <v>0.4</v>
      </c>
      <c r="AP33" s="258">
        <f t="shared" si="33"/>
        <v>0</v>
      </c>
      <c r="AQ33" s="136">
        <f t="shared" si="34"/>
        <v>3.8399999999999997E-2</v>
      </c>
      <c r="AR33" s="137">
        <f t="shared" si="35"/>
        <v>2.75E-2</v>
      </c>
      <c r="AS33" s="136">
        <f t="shared" si="36"/>
        <v>3.3259999999999996</v>
      </c>
      <c r="AT33" s="137">
        <f t="shared" si="37"/>
        <v>2.4110098358835999E-2</v>
      </c>
      <c r="AU33" s="137">
        <f t="shared" si="38"/>
        <v>0.97646311938972907</v>
      </c>
      <c r="AV33" s="394">
        <f t="shared" si="39"/>
        <v>332.97392371189761</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1.0474250714776844E-6</v>
      </c>
      <c r="BG33" s="137">
        <f>_xll.xSPRDOPT($BW33,$BV33,$CG33,0,$BY33,$BX33,$BZ33,$AJ33,1,3)*$CB33</f>
        <v>3.4914169049256147E-7</v>
      </c>
      <c r="BH33" s="137">
        <f>IF(OR(BF33&lt;&gt;0,BG33&lt;&gt;0),_xll.xSPRDOPT($BW33,$BV33,$CG33,0,$BY33,$BX33,$BZ33,$AJ33,1,12)*$CB33,0)</f>
        <v>-2.909514087438012E-7</v>
      </c>
      <c r="BI33" s="137">
        <f>_xll.xSPRDOPT($BW33,$BV33,$CG33,2*LN(1+CA33/2),$BY33,$BX33,$BZ33,$AJ33,1,9)</f>
        <v>7.3084984273375612E-3</v>
      </c>
      <c r="BJ33" s="137">
        <f>_xll.xSPRDOPT($BW33,$BV33,$CG33,0,$BY33,$BX33,$BZ33,$AJ33,1,6)*$CB33</f>
        <v>-1.4695609343470163E-4</v>
      </c>
      <c r="BK33" s="137">
        <f>_xll.xSPRDOPT($BW33,$BV33,$CG33,0,$BY33,$BX33,$BZ33,$AJ33,1,5)*$CB33</f>
        <v>1.6203601395521755E-4</v>
      </c>
      <c r="BL33" s="137">
        <f>_xll.xSPRDOPT(BW33,BV33,CG33,0,BY33,BX33,BZ33,AJ33,1,2)*CB33</f>
        <v>-0.97626144440856466</v>
      </c>
      <c r="BM33" s="137">
        <f>_xll.xSPRDOPT(BW33,BV33,CG33,0,BY33,BX33,BZ33,AJ33,1,1)*CB33</f>
        <v>0.97626144440945262</v>
      </c>
      <c r="BN33" s="137">
        <f>IF(AH33&lt;&gt;0,_xll.xSPRDOPT($BW33,$BV33,$CG33,2*LN(1+CA33/2),$BY33,$BX33,$BZ33,$AJ33,1,8)+(AJ33/365.25)*CH33/AH33,0)</f>
        <v>6.1387408998582138E-2</v>
      </c>
      <c r="BO33" s="137">
        <f>_xll.xSPRDOPT($BW33,$BV33,$CG33,0,$BY33,$BX33,$BZ33,$AJ33,1,0)</f>
        <v>0.31254937054235749</v>
      </c>
      <c r="BP33" s="137"/>
      <c r="BQ33" s="137"/>
      <c r="BR33" s="137"/>
      <c r="BS33" s="137"/>
      <c r="BV33" s="262">
        <v>3.4200514138817475</v>
      </c>
      <c r="BW33" s="136">
        <v>3.7709999999999999</v>
      </c>
      <c r="BX33" s="137">
        <v>0.570790000341453</v>
      </c>
      <c r="BY33" s="137">
        <v>0.570790000341453</v>
      </c>
      <c r="BZ33" s="137">
        <v>1</v>
      </c>
      <c r="CA33" s="137">
        <v>2.4110098358835999E-2</v>
      </c>
      <c r="CB33" s="137">
        <v>0.97627092599980836</v>
      </c>
      <c r="CC33" s="258">
        <v>-5.2499999999999998E-2</v>
      </c>
      <c r="CD33" s="258">
        <v>7.4999999999999997E-3</v>
      </c>
      <c r="CE33" s="258">
        <v>0.4</v>
      </c>
      <c r="CF33" s="258">
        <v>0</v>
      </c>
      <c r="CG33" s="258">
        <v>3.8399999999999997E-2</v>
      </c>
      <c r="CH33" s="258">
        <v>11.358228834359572</v>
      </c>
      <c r="CI33" s="258">
        <v>3.371</v>
      </c>
      <c r="CJ33" s="258"/>
      <c r="CK33" s="258"/>
      <c r="CL33" s="258"/>
      <c r="CM33" s="258"/>
    </row>
    <row r="34" spans="1:91" x14ac:dyDescent="0.25">
      <c r="A34" s="723"/>
      <c r="B34" s="723"/>
      <c r="D34" s="31">
        <f t="shared" si="47"/>
        <v>37636</v>
      </c>
      <c r="F34" s="28">
        <f t="shared" si="12"/>
        <v>396</v>
      </c>
      <c r="G34" s="28">
        <f t="shared" si="13"/>
        <v>385.51210746734887</v>
      </c>
      <c r="H34" s="52">
        <f t="shared" si="14"/>
        <v>3.4971722365038556</v>
      </c>
      <c r="I34" s="52">
        <f t="shared" si="15"/>
        <v>3.7960000000000003</v>
      </c>
      <c r="K34" s="52">
        <f t="shared" si="16"/>
        <v>7.8896227518487541</v>
      </c>
      <c r="L34" s="135">
        <f t="shared" si="17"/>
        <v>1.0243168570234218E-4</v>
      </c>
      <c r="N34" s="131">
        <f t="shared" si="48"/>
        <v>0.5685912571426992</v>
      </c>
      <c r="O34" s="131">
        <f t="shared" si="49"/>
        <v>0.5685912571426992</v>
      </c>
      <c r="P34" s="55">
        <f t="shared" si="50"/>
        <v>0.99999999999999989</v>
      </c>
      <c r="Q34" s="135">
        <f>_xll.xSPRDOPT(I34,H34,AQ34,0,O34,N34,P34,D34-$G$5,1,0)*AH34*AU34</f>
        <v>7.8897251835344564</v>
      </c>
      <c r="R34" s="135"/>
      <c r="S34" s="181">
        <f>_xll.xSPRDOPT(I34,H34,AQ34,AT34,O34,N34,P34,D34-$G$5,1,2)*AF34*(F34/(1-AR34))*AH34</f>
        <v>-12285.901012557331</v>
      </c>
      <c r="T34" s="181">
        <f>_xll.xSPRDOPT(I34,H34,AQ34,AT34,O34,N34,P34,D34-$G$5,1,1)*AF34*F34*AH34</f>
        <v>11948.038734611522</v>
      </c>
      <c r="U34" s="135"/>
      <c r="V34" s="146">
        <f t="shared" si="18"/>
        <v>11.32617048461459</v>
      </c>
      <c r="W34" s="146"/>
      <c r="X34" s="338">
        <f t="shared" si="19"/>
        <v>0</v>
      </c>
      <c r="Y34" s="338">
        <f t="shared" si="20"/>
        <v>0</v>
      </c>
      <c r="Z34" s="338">
        <f t="shared" si="21"/>
        <v>0.63617010282832309</v>
      </c>
      <c r="AA34" s="338">
        <f t="shared" si="22"/>
        <v>2.3790200796551056E-4</v>
      </c>
      <c r="AB34" s="338">
        <f t="shared" si="23"/>
        <v>0</v>
      </c>
      <c r="AC34" s="338">
        <f t="shared" si="24"/>
        <v>0.6424016387150473</v>
      </c>
      <c r="AF34" s="138">
        <f t="shared" si="25"/>
        <v>1</v>
      </c>
      <c r="AG34" s="138">
        <f t="shared" si="26"/>
        <v>1</v>
      </c>
      <c r="AH34" s="138">
        <f t="shared" si="27"/>
        <v>31</v>
      </c>
      <c r="AI34" s="138">
        <f t="shared" si="51"/>
        <v>380</v>
      </c>
      <c r="AJ34" s="138">
        <f t="shared" si="28"/>
        <v>397</v>
      </c>
      <c r="AL34" s="136">
        <f t="shared" si="29"/>
        <v>3.4460000000000002</v>
      </c>
      <c r="AM34" s="258">
        <f t="shared" si="30"/>
        <v>-5.2499999999999998E-2</v>
      </c>
      <c r="AN34" s="258">
        <f t="shared" si="31"/>
        <v>7.4999999999999997E-3</v>
      </c>
      <c r="AO34" s="258">
        <f t="shared" si="32"/>
        <v>0.35</v>
      </c>
      <c r="AP34" s="258">
        <f t="shared" si="33"/>
        <v>0</v>
      </c>
      <c r="AQ34" s="136">
        <f t="shared" si="34"/>
        <v>3.7400000000000003E-2</v>
      </c>
      <c r="AR34" s="137">
        <f t="shared" si="35"/>
        <v>2.75E-2</v>
      </c>
      <c r="AS34" s="136">
        <f t="shared" si="36"/>
        <v>3.4009999999999998</v>
      </c>
      <c r="AT34" s="137">
        <f t="shared" si="37"/>
        <v>2.50384261928196E-2</v>
      </c>
      <c r="AU34" s="137">
        <f t="shared" si="38"/>
        <v>0.97351542289734561</v>
      </c>
      <c r="AV34" s="394">
        <f t="shared" si="39"/>
        <v>331.96875920799488</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-1.5083687565723224E-6</v>
      </c>
      <c r="BG34" s="137">
        <f>_xll.xSPRDOPT($BW34,$BV34,$CG34,0,$BY34,$BX34,$BZ34,$AJ34,1,3)*$CB34</f>
        <v>-1.0442552930116078E-6</v>
      </c>
      <c r="BH34" s="137">
        <f>IF(OR(BF34&lt;&gt;0,BG34&lt;&gt;0),_xll.xSPRDOPT($BW34,$BV34,$CG34,0,$BY34,$BX34,$BZ34,$AJ34,1,12)*$CB34,0)</f>
        <v>1.0442552930116078E-6</v>
      </c>
      <c r="BI34" s="137">
        <f>_xll.xSPRDOPT($BW34,$BV34,$CG34,2*LN(1+CA34/2),$BY34,$BX34,$BZ34,$AJ34,1,9)</f>
        <v>6.3093605424689092E-3</v>
      </c>
      <c r="BJ34" s="137">
        <f>_xll.xSPRDOPT($BW34,$BV34,$CG34,0,$BY34,$BX34,$BZ34,$AJ34,1,6)*$CB34</f>
        <v>-9.9599773586368529E-4</v>
      </c>
      <c r="BK34" s="137">
        <f>_xll.xSPRDOPT($BW34,$BV34,$CG34,0,$BY34,$BX34,$BZ34,$AJ34,1,5)*$CB34</f>
        <v>1.0811041433523476E-3</v>
      </c>
      <c r="BL34" s="137">
        <f>_xll.xSPRDOPT(BW34,BV34,CG34,0,BY34,BX34,BZ34,AJ34,1,2)*CB34</f>
        <v>-0.97324917778866282</v>
      </c>
      <c r="BM34" s="137">
        <f>_xll.xSPRDOPT(BW34,BV34,CG34,0,BY34,BX34,BZ34,AJ34,1,1)*CB34</f>
        <v>0.97324917777892528</v>
      </c>
      <c r="BN34" s="137">
        <f>IF(AH34&lt;&gt;0,_xll.xSPRDOPT($BW34,$BV34,$CG34,2*LN(1+CA34/2),$BY34,$BX34,$BZ34,$AJ34,1,8)+(AJ34/365.25)*CH34/AH34,0)</f>
        <v>0.12046437156587003</v>
      </c>
      <c r="BO34" s="137">
        <f>_xll.xSPRDOPT($BW34,$BV34,$CG34,0,$BY34,$BX34,$BZ34,$AJ34,1,0)</f>
        <v>0.26143132657793972</v>
      </c>
      <c r="BP34" s="137"/>
      <c r="BQ34" s="137"/>
      <c r="BR34" s="137"/>
      <c r="BS34" s="137"/>
      <c r="BV34" s="262">
        <v>3.4971722365038556</v>
      </c>
      <c r="BW34" s="136">
        <v>3.7960000000000003</v>
      </c>
      <c r="BX34" s="137">
        <v>0.56836354878586004</v>
      </c>
      <c r="BY34" s="137">
        <v>0.56836354878586004</v>
      </c>
      <c r="BZ34" s="137">
        <v>1</v>
      </c>
      <c r="CA34" s="137">
        <v>2.50384261928196E-2</v>
      </c>
      <c r="CB34" s="137">
        <v>0.97331647833327972</v>
      </c>
      <c r="CC34" s="258">
        <v>-5.2499999999999998E-2</v>
      </c>
      <c r="CD34" s="258">
        <v>7.4999999999999997E-3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47"/>
        <v>37667</v>
      </c>
      <c r="F35" s="28">
        <f t="shared" si="12"/>
        <v>396</v>
      </c>
      <c r="G35" s="28">
        <f t="shared" si="13"/>
        <v>384.25417401089538</v>
      </c>
      <c r="H35" s="52">
        <f t="shared" si="14"/>
        <v>3.4200514138817475</v>
      </c>
      <c r="I35" s="52">
        <f t="shared" si="15"/>
        <v>3.7210000000000001</v>
      </c>
      <c r="K35" s="52">
        <f t="shared" si="16"/>
        <v>7.1604798979218121</v>
      </c>
      <c r="L35" s="135">
        <f t="shared" si="17"/>
        <v>1.055977708297462E-4</v>
      </c>
      <c r="N35" s="131">
        <f t="shared" si="48"/>
        <v>0.5545383214891465</v>
      </c>
      <c r="O35" s="131">
        <f t="shared" si="49"/>
        <v>0.5545383214891465</v>
      </c>
      <c r="P35" s="55">
        <f t="shared" si="50"/>
        <v>1</v>
      </c>
      <c r="Q35" s="135">
        <f>_xll.xSPRDOPT(I35,H35,AQ35,0,O35,N35,P35,D35-$G$5,1,0)*AH35*AU35</f>
        <v>7.1605854956926418</v>
      </c>
      <c r="R35" s="135"/>
      <c r="S35" s="181">
        <f>_xll.xSPRDOPT(I35,H35,AQ35,AT35,O35,N35,P35,D35-$G$5,1,2)*AF35*(F35/(1-AR35))*AH35</f>
        <v>-11060.447579901185</v>
      </c>
      <c r="T35" s="181">
        <f>_xll.xSPRDOPT(I35,H35,AQ35,AT35,O35,N35,P35,D35-$G$5,1,1)*AF35*F35*AH35</f>
        <v>10756.285271695931</v>
      </c>
      <c r="U35" s="135"/>
      <c r="V35" s="146">
        <f t="shared" si="18"/>
        <v>10.196708490343671</v>
      </c>
      <c r="W35" s="146"/>
      <c r="X35" s="338">
        <f t="shared" si="19"/>
        <v>0</v>
      </c>
      <c r="Y35" s="338">
        <f t="shared" si="20"/>
        <v>0</v>
      </c>
      <c r="Z35" s="338">
        <f t="shared" si="21"/>
        <v>0.60069508218754875</v>
      </c>
      <c r="AA35" s="338">
        <f t="shared" si="22"/>
        <v>1.767187883946614E-4</v>
      </c>
      <c r="AB35" s="338">
        <f t="shared" si="23"/>
        <v>0</v>
      </c>
      <c r="AC35" s="338">
        <f t="shared" si="24"/>
        <v>0.60646653219248126</v>
      </c>
      <c r="AF35" s="138">
        <f t="shared" si="25"/>
        <v>1</v>
      </c>
      <c r="AG35" s="138">
        <f t="shared" si="26"/>
        <v>2</v>
      </c>
      <c r="AH35" s="138">
        <f t="shared" si="27"/>
        <v>28</v>
      </c>
      <c r="AI35" s="138">
        <f t="shared" si="51"/>
        <v>411</v>
      </c>
      <c r="AJ35" s="138">
        <f t="shared" si="28"/>
        <v>428</v>
      </c>
      <c r="AL35" s="136">
        <f t="shared" si="29"/>
        <v>3.371</v>
      </c>
      <c r="AM35" s="258">
        <f t="shared" si="30"/>
        <v>-5.2499999999999998E-2</v>
      </c>
      <c r="AN35" s="258">
        <f t="shared" si="31"/>
        <v>7.4999999999999997E-3</v>
      </c>
      <c r="AO35" s="258">
        <f t="shared" si="32"/>
        <v>0.35</v>
      </c>
      <c r="AP35" s="258">
        <f t="shared" si="33"/>
        <v>0</v>
      </c>
      <c r="AQ35" s="136">
        <f t="shared" si="34"/>
        <v>3.7400000000000003E-2</v>
      </c>
      <c r="AR35" s="137">
        <f t="shared" si="35"/>
        <v>2.75E-2</v>
      </c>
      <c r="AS35" s="136">
        <f t="shared" si="36"/>
        <v>3.3259999999999996</v>
      </c>
      <c r="AT35" s="137">
        <f t="shared" si="37"/>
        <v>2.6044986419747399E-2</v>
      </c>
      <c r="AU35" s="137">
        <f t="shared" si="38"/>
        <v>0.97033882325983689</v>
      </c>
      <c r="AV35" s="394">
        <f t="shared" si="39"/>
        <v>298.86435756402977</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6.93892914141628E-7</v>
      </c>
      <c r="BG35" s="137">
        <f>_xll.xSPRDOPT($BW35,$BV35,$CG35,0,$BY35,$BX35,$BZ35,$AJ35,1,3)*$CB35</f>
        <v>6.93892914141628E-7</v>
      </c>
      <c r="BH35" s="137">
        <f>IF(OR(BF35&lt;&gt;0,BG35&lt;&gt;0),_xll.xSPRDOPT($BW35,$BV35,$CG35,0,$BY35,$BX35,$BZ35,$AJ35,1,12)*$CB35,0)</f>
        <v>-8.0954173316523264E-7</v>
      </c>
      <c r="BI35" s="137">
        <f>_xll.xSPRDOPT($BW35,$BV35,$CG35,2*LN(1+CA35/2),$BY35,$BX35,$BZ35,$AJ35,1,9)</f>
        <v>6.5958357013288296E-3</v>
      </c>
      <c r="BJ35" s="137">
        <f>_xll.xSPRDOPT($BW35,$BV35,$CG35,0,$BY35,$BX35,$BZ35,$AJ35,1,6)*$CB35</f>
        <v>-9.7939776024797169E-4</v>
      </c>
      <c r="BK35" s="137">
        <f>_xll.xSPRDOPT($BW35,$BV35,$CG35,0,$BY35,$BX35,$BZ35,$AJ35,1,5)*$CB35</f>
        <v>1.0655802011201641E-3</v>
      </c>
      <c r="BL35" s="137">
        <f>_xll.xSPRDOPT(BW35,BV35,CG35,0,BY35,BX35,BZ35,AJ35,1,2)*CB35</f>
        <v>-0.97006755016435109</v>
      </c>
      <c r="BM35" s="137">
        <f>_xll.xSPRDOPT(BW35,BV35,CG35,0,BY35,BX35,BZ35,AJ35,1,1)*CB35</f>
        <v>0.97006755018552704</v>
      </c>
      <c r="BN35" s="137">
        <f>IF(AH35&lt;&gt;0,_xll.xSPRDOPT($BW35,$BV35,$CG35,2*LN(1+CA35/2),$BY35,$BX35,$BZ35,$AJ35,1,8)+(AJ35/365.25)*CH35/AH35,0)</f>
        <v>0.1270345806240965</v>
      </c>
      <c r="BO35" s="137">
        <f>_xll.xSPRDOPT($BW35,$BV35,$CG35,0,$BY35,$BX35,$BZ35,$AJ35,1,0)</f>
        <v>0.26355262984737621</v>
      </c>
      <c r="BP35" s="137"/>
      <c r="BQ35" s="137"/>
      <c r="BR35" s="137"/>
      <c r="BS35" s="137"/>
      <c r="BV35" s="262">
        <v>3.4200514138817475</v>
      </c>
      <c r="BW35" s="136">
        <v>3.7210000000000001</v>
      </c>
      <c r="BX35" s="137">
        <v>0.55435339006338402</v>
      </c>
      <c r="BY35" s="137">
        <v>0.55435339006338402</v>
      </c>
      <c r="BZ35" s="137">
        <v>1</v>
      </c>
      <c r="CA35" s="137">
        <v>2.6044986419747399E-2</v>
      </c>
      <c r="CB35" s="137">
        <v>0.97013260845196225</v>
      </c>
      <c r="CC35" s="258">
        <v>-5.2499999999999998E-2</v>
      </c>
      <c r="CD35" s="258">
        <v>7.4999999999999997E-3</v>
      </c>
      <c r="CE35" s="258">
        <v>0.35</v>
      </c>
      <c r="CF35" s="258">
        <v>0</v>
      </c>
      <c r="CG35" s="258">
        <v>3.7400000000000003E-2</v>
      </c>
      <c r="CH35" s="258">
        <v>10.1945415026566</v>
      </c>
      <c r="CI35" s="258">
        <v>3.371</v>
      </c>
      <c r="CJ35" s="258"/>
      <c r="CK35" s="258"/>
      <c r="CL35" s="258"/>
      <c r="CM35" s="258"/>
    </row>
    <row r="36" spans="1:91" x14ac:dyDescent="0.25">
      <c r="A36" s="723"/>
      <c r="B36" s="723"/>
      <c r="D36" s="31">
        <f t="shared" si="47"/>
        <v>37695</v>
      </c>
      <c r="F36" s="28">
        <f t="shared" si="12"/>
        <v>396</v>
      </c>
      <c r="G36" s="28">
        <f t="shared" si="13"/>
        <v>383.06615493251144</v>
      </c>
      <c r="H36" s="52">
        <f t="shared" si="14"/>
        <v>3.3275064267352183</v>
      </c>
      <c r="I36" s="52">
        <f t="shared" si="15"/>
        <v>3.681</v>
      </c>
      <c r="K36" s="52">
        <f t="shared" si="16"/>
        <v>9.4788566691716145</v>
      </c>
      <c r="L36" s="135">
        <f t="shared" si="17"/>
        <v>1.4177995053543668E-5</v>
      </c>
      <c r="N36" s="131">
        <f t="shared" si="48"/>
        <v>0.50303598357381651</v>
      </c>
      <c r="O36" s="131">
        <f t="shared" si="49"/>
        <v>0.50303598357381651</v>
      </c>
      <c r="P36" s="55">
        <f t="shared" si="50"/>
        <v>1</v>
      </c>
      <c r="Q36" s="135">
        <f>_xll.xSPRDOPT(I36,H36,AQ36,0,O36,N36,P36,D36-$G$5,1,0)*AH36*AU36</f>
        <v>9.4788708471666681</v>
      </c>
      <c r="R36" s="135"/>
      <c r="S36" s="181">
        <f>_xll.xSPRDOPT(I36,H36,AQ36,AT36,O36,N36,P36,D36-$G$5,1,2)*AF36*(F36/(1-AR36))*AH36</f>
        <v>-12207.998513093124</v>
      </c>
      <c r="T36" s="181">
        <f>_xll.xSPRDOPT(I36,H36,AQ36,AT36,O36,N36,P36,D36-$G$5,1,1)*AF36*F36*AH36</f>
        <v>11872.278553882577</v>
      </c>
      <c r="U36" s="135"/>
      <c r="V36" s="146">
        <f t="shared" si="18"/>
        <v>11.254309510937674</v>
      </c>
      <c r="W36" s="146"/>
      <c r="X36" s="338">
        <f t="shared" si="19"/>
        <v>0</v>
      </c>
      <c r="Y36" s="338">
        <f t="shared" si="20"/>
        <v>0</v>
      </c>
      <c r="Z36" s="338">
        <f t="shared" si="21"/>
        <v>0.82492724629194281</v>
      </c>
      <c r="AA36" s="338">
        <f t="shared" si="22"/>
        <v>2.1535521475867116E-5</v>
      </c>
      <c r="AB36" s="338">
        <f t="shared" si="23"/>
        <v>0</v>
      </c>
      <c r="AC36" s="338">
        <f t="shared" si="24"/>
        <v>0.83083120645967878</v>
      </c>
      <c r="AF36" s="138">
        <f t="shared" si="25"/>
        <v>1</v>
      </c>
      <c r="AG36" s="138">
        <f t="shared" si="26"/>
        <v>3</v>
      </c>
      <c r="AH36" s="138">
        <f t="shared" si="27"/>
        <v>31</v>
      </c>
      <c r="AI36" s="138">
        <f t="shared" si="51"/>
        <v>439</v>
      </c>
      <c r="AJ36" s="138">
        <f t="shared" si="28"/>
        <v>456</v>
      </c>
      <c r="AL36" s="136">
        <f t="shared" si="29"/>
        <v>3.2810000000000001</v>
      </c>
      <c r="AM36" s="258">
        <f t="shared" si="30"/>
        <v>-5.2499999999999998E-2</v>
      </c>
      <c r="AN36" s="258">
        <f t="shared" si="31"/>
        <v>7.4999999999999997E-3</v>
      </c>
      <c r="AO36" s="258">
        <f t="shared" si="32"/>
        <v>0.4</v>
      </c>
      <c r="AP36" s="258">
        <f t="shared" si="33"/>
        <v>0</v>
      </c>
      <c r="AQ36" s="136">
        <f t="shared" si="34"/>
        <v>3.7400000000000003E-2</v>
      </c>
      <c r="AR36" s="137">
        <f t="shared" si="35"/>
        <v>2.75E-2</v>
      </c>
      <c r="AS36" s="136">
        <f t="shared" si="36"/>
        <v>3.2359999999999998</v>
      </c>
      <c r="AT36" s="137">
        <f t="shared" si="37"/>
        <v>2.6954137886657601E-2</v>
      </c>
      <c r="AU36" s="137">
        <f t="shared" si="38"/>
        <v>0.96733877508209964</v>
      </c>
      <c r="AV36" s="394">
        <f t="shared" si="39"/>
        <v>329.86252230299596</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8.0703288228276672E-7</v>
      </c>
      <c r="BG36" s="137">
        <f>_xll.xSPRDOPT($BW36,$BV36,$CG36,0,$BY36,$BX36,$BZ36,$AJ36,1,3)*$CB36</f>
        <v>2.3058082350936192E-7</v>
      </c>
      <c r="BH36" s="137">
        <f>IF(OR(BF36&lt;&gt;0,BG36&lt;&gt;0),_xll.xSPRDOPT($BW36,$BV36,$CG36,0,$BY36,$BX36,$BZ36,$AJ36,1,12)*$CB36,0)</f>
        <v>-1.1529041175468096E-7</v>
      </c>
      <c r="BI36" s="137">
        <f>_xll.xSPRDOPT($BW36,$BV36,$CG36,2*LN(1+CA36/2),$BY36,$BX36,$BZ36,$AJ36,1,9)</f>
        <v>8.1814021045979162E-3</v>
      </c>
      <c r="BJ36" s="137">
        <f>_xll.xSPRDOPT($BW36,$BV36,$CG36,0,$BY36,$BX36,$BZ36,$AJ36,1,6)*$CB36</f>
        <v>-1.6461991371508232E-4</v>
      </c>
      <c r="BK36" s="137">
        <f>_xll.xSPRDOPT($BW36,$BV36,$CG36,0,$BY36,$BX36,$BZ36,$AJ36,1,5)*$CB36</f>
        <v>1.8210811285657101E-4</v>
      </c>
      <c r="BL36" s="137">
        <f>_xll.xSPRDOPT(BW36,BV36,CG36,0,BY36,BX36,BZ36,AJ36,1,2)*CB36</f>
        <v>-0.96711626869572453</v>
      </c>
      <c r="BM36" s="137">
        <f>_xll.xSPRDOPT(BW36,BV36,CG36,0,BY36,BX36,BZ36,AJ36,1,1)*CB36</f>
        <v>0.96711626868692857</v>
      </c>
      <c r="BN36" s="137">
        <f>IF(AH36&lt;&gt;0,_xll.xSPRDOPT($BW36,$BV36,$CG36,2*LN(1+CA36/2),$BY36,$BX36,$BZ36,$AJ36,1,8)+(AJ36/365.25)*CH36/AH36,0)</f>
        <v>7.1486310675281883E-2</v>
      </c>
      <c r="BO36" s="137">
        <f>_xll.xSPRDOPT($BW36,$BV36,$CG36,0,$BY36,$BX36,$BZ36,$AJ36,1,0)</f>
        <v>0.31609407432401637</v>
      </c>
      <c r="BP36" s="137"/>
      <c r="BQ36" s="137"/>
      <c r="BR36" s="137"/>
      <c r="BS36" s="137"/>
      <c r="BV36" s="262">
        <v>3.3275064267352183</v>
      </c>
      <c r="BW36" s="136">
        <v>3.681</v>
      </c>
      <c r="BX36" s="137">
        <v>0.50293567145062035</v>
      </c>
      <c r="BY36" s="137">
        <v>0.50293567145062035</v>
      </c>
      <c r="BZ36" s="137">
        <v>1</v>
      </c>
      <c r="CA36" s="137">
        <v>2.6954137886657601E-2</v>
      </c>
      <c r="CB36" s="137">
        <v>0.96712607036861076</v>
      </c>
      <c r="CC36" s="258">
        <v>-5.2499999999999998E-2</v>
      </c>
      <c r="CD36" s="258">
        <v>7.4999999999999997E-3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47"/>
        <v>37726</v>
      </c>
      <c r="F37" s="28">
        <f t="shared" si="12"/>
        <v>396</v>
      </c>
      <c r="G37" s="28">
        <f t="shared" si="13"/>
        <v>381.68718288371599</v>
      </c>
      <c r="H37" s="52">
        <f t="shared" si="14"/>
        <v>3.1655526992287912</v>
      </c>
      <c r="I37" s="52">
        <f t="shared" si="15"/>
        <v>3.726</v>
      </c>
      <c r="K37" s="52">
        <f t="shared" si="16"/>
        <v>15.124276571688966</v>
      </c>
      <c r="L37" s="135">
        <f t="shared" si="17"/>
        <v>1.6561929658820418E-6</v>
      </c>
      <c r="N37" s="131">
        <f t="shared" si="48"/>
        <v>0.38888404308877494</v>
      </c>
      <c r="O37" s="131">
        <f t="shared" si="49"/>
        <v>0.38888404308877494</v>
      </c>
      <c r="P37" s="55">
        <f t="shared" si="50"/>
        <v>1.0000000000000002</v>
      </c>
      <c r="Q37" s="135">
        <f>_xll.xSPRDOPT(I37,H37,AQ37,0,O37,N37,P37,D37-$G$5,1,0)*AH37*AU37</f>
        <v>15.124278227881932</v>
      </c>
      <c r="R37" s="135"/>
      <c r="S37" s="181">
        <f>_xll.xSPRDOPT(I37,H37,AQ37,AT37,O37,N37,P37,D37-$G$5,1,2)*AF37*(F37/(1-AR37))*AH37</f>
        <v>-11771.389128787758</v>
      </c>
      <c r="T37" s="181">
        <f>_xll.xSPRDOPT(I37,H37,AQ37,AT37,O37,N37,P37,D37-$G$5,1,1)*AF37*F37*AH37</f>
        <v>11447.675927573218</v>
      </c>
      <c r="U37" s="135"/>
      <c r="V37" s="146">
        <f t="shared" si="18"/>
        <v>10.852060586080198</v>
      </c>
      <c r="W37" s="146"/>
      <c r="X37" s="338">
        <f t="shared" si="19"/>
        <v>0</v>
      </c>
      <c r="Y37" s="338">
        <f t="shared" si="20"/>
        <v>0</v>
      </c>
      <c r="Z37" s="338">
        <f t="shared" si="21"/>
        <v>1.366300128602056</v>
      </c>
      <c r="AA37" s="338">
        <f t="shared" si="22"/>
        <v>-5.5907793891472789E-9</v>
      </c>
      <c r="AB37" s="338">
        <f t="shared" si="23"/>
        <v>0</v>
      </c>
      <c r="AC37" s="338">
        <f t="shared" si="24"/>
        <v>1.3758326367631037</v>
      </c>
      <c r="AF37" s="138">
        <f t="shared" si="25"/>
        <v>1</v>
      </c>
      <c r="AG37" s="138">
        <f t="shared" si="26"/>
        <v>4</v>
      </c>
      <c r="AH37" s="138">
        <f t="shared" si="27"/>
        <v>30</v>
      </c>
      <c r="AI37" s="138">
        <f t="shared" si="51"/>
        <v>470</v>
      </c>
      <c r="AJ37" s="138">
        <f t="shared" si="28"/>
        <v>487</v>
      </c>
      <c r="AL37" s="136">
        <f t="shared" si="29"/>
        <v>3.1259999999999999</v>
      </c>
      <c r="AM37" s="258">
        <f t="shared" si="30"/>
        <v>-5.5E-2</v>
      </c>
      <c r="AN37" s="258">
        <f t="shared" si="31"/>
        <v>7.4999999999999997E-3</v>
      </c>
      <c r="AO37" s="258">
        <f t="shared" si="32"/>
        <v>0.6</v>
      </c>
      <c r="AP37" s="258">
        <f t="shared" si="33"/>
        <v>0</v>
      </c>
      <c r="AQ37" s="136">
        <f t="shared" si="34"/>
        <v>3.7400000000000003E-2</v>
      </c>
      <c r="AR37" s="137">
        <f t="shared" si="35"/>
        <v>2.75E-2</v>
      </c>
      <c r="AS37" s="136">
        <f t="shared" si="36"/>
        <v>3.0784999999999996</v>
      </c>
      <c r="AT37" s="137">
        <f t="shared" si="37"/>
        <v>2.79745964320606E-2</v>
      </c>
      <c r="AU37" s="137">
        <f t="shared" si="38"/>
        <v>0.96385652243362618</v>
      </c>
      <c r="AV37" s="394">
        <f t="shared" si="39"/>
        <v>318.07265240309664</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0</v>
      </c>
      <c r="BG37" s="137">
        <f>_xll.xSPRDOPT($BW37,$BV37,$CG37,0,$BY37,$BX37,$BZ37,$AJ37,1,3)*$CB37</f>
        <v>-4.5949774550929977E-7</v>
      </c>
      <c r="BH37" s="137">
        <f>IF(OR(BF37&lt;&gt;0,BG37&lt;&gt;0),_xll.xSPRDOPT($BW37,$BV37,$CG37,0,$BY37,$BX37,$BZ37,$AJ37,1,12)*$CB37,0)</f>
        <v>6.8924661826394968E-7</v>
      </c>
      <c r="BI37" s="137">
        <f>_xll.xSPRDOPT($BW37,$BV37,$CG37,2*LN(1+CA37/2),$BY37,$BX37,$BZ37,$AJ37,1,9)</f>
        <v>1.4002276149604403E-2</v>
      </c>
      <c r="BJ37" s="137">
        <f>_xll.xSPRDOPT($BW37,$BV37,$CG37,0,$BY37,$BX37,$BZ37,$AJ37,1,6)*$CB37</f>
        <v>3.1301233408178423E-7</v>
      </c>
      <c r="BK37" s="137">
        <f>_xll.xSPRDOPT($BW37,$BV37,$CG37,0,$BY37,$BX37,$BZ37,$AJ37,1,5)*$CB37</f>
        <v>-3.6842048365473896E-7</v>
      </c>
      <c r="BL37" s="137">
        <f>_xll.xSPRDOPT(BW37,BV37,CG37,0,BY37,BX37,BZ37,AJ37,1,2)*CB37</f>
        <v>-0.96363672266494749</v>
      </c>
      <c r="BM37" s="137">
        <f>_xll.xSPRDOPT(BW37,BV37,CG37,0,BY37,BX37,BZ37,AJ37,1,1)*CB37</f>
        <v>0.96363672264216049</v>
      </c>
      <c r="BN37" s="137">
        <f>IF(AH37&lt;&gt;0,_xll.xSPRDOPT($BW37,$BV37,$CG37,2*LN(1+CA37/2),$BY37,$BX37,$BZ37,$AJ37,1,8)+(AJ37/365.25)*CH37/AH37,0)</f>
        <v>-0.18983301875306613</v>
      </c>
      <c r="BO37" s="137">
        <f>_xll.xSPRDOPT($BW37,$BV37,$CG37,0,$BY37,$BX37,$BZ37,$AJ37,1,0)</f>
        <v>0.52304735797942103</v>
      </c>
      <c r="BP37" s="137"/>
      <c r="BQ37" s="137"/>
      <c r="BR37" s="137"/>
      <c r="BS37" s="137"/>
      <c r="BV37" s="262">
        <v>3.1655526992287912</v>
      </c>
      <c r="BW37" s="136">
        <v>3.726</v>
      </c>
      <c r="BX37" s="137">
        <v>0.38887554967527327</v>
      </c>
      <c r="BY37" s="137">
        <v>0.38887554967527327</v>
      </c>
      <c r="BZ37" s="137">
        <v>1</v>
      </c>
      <c r="CA37" s="137">
        <v>2.79745964320606E-2</v>
      </c>
      <c r="CB37" s="137">
        <v>0.96363661599031902</v>
      </c>
      <c r="CC37" s="258">
        <v>-5.5E-2</v>
      </c>
      <c r="CD37" s="258">
        <v>7.4999999999999997E-3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47"/>
        <v>37756</v>
      </c>
      <c r="F38" s="28">
        <f t="shared" si="12"/>
        <v>252</v>
      </c>
      <c r="G38" s="28">
        <f t="shared" si="13"/>
        <v>242.00606906934701</v>
      </c>
      <c r="H38" s="52">
        <f t="shared" si="14"/>
        <v>3.0794999999999995</v>
      </c>
      <c r="I38" s="52">
        <f t="shared" si="15"/>
        <v>3.8769999999999998</v>
      </c>
      <c r="K38" s="52">
        <f t="shared" si="16"/>
        <v>23.622961468263231</v>
      </c>
      <c r="L38" s="135">
        <f t="shared" si="17"/>
        <v>2.6211914132545644E-6</v>
      </c>
      <c r="N38" s="131">
        <f t="shared" si="48"/>
        <v>0.3761805213924197</v>
      </c>
      <c r="O38" s="131">
        <f t="shared" si="49"/>
        <v>0.3761805213924197</v>
      </c>
      <c r="P38" s="55">
        <f t="shared" si="50"/>
        <v>1.0000000000000002</v>
      </c>
      <c r="Q38" s="135">
        <f>_xll.xSPRDOPT(I38,H38,AQ38,0,O38,N38,P38,D38-$G$5,1,0)*AH38*AU38</f>
        <v>23.622964089454644</v>
      </c>
      <c r="R38" s="135"/>
      <c r="S38" s="181">
        <f>_xll.xSPRDOPT(I38,H38,AQ38,AT38,O38,N38,P38,D38-$G$5,1,2)*AF38*(F38/(1-AR38))*AH38</f>
        <v>-7499.9963603420547</v>
      </c>
      <c r="T38" s="181">
        <f>_xll.xSPRDOPT(I38,H38,AQ38,AT38,O38,N38,P38,D38-$G$5,1,1)*AF38*F38*AH38</f>
        <v>7499.9963603562646</v>
      </c>
      <c r="U38" s="135"/>
      <c r="V38" s="146">
        <f t="shared" si="18"/>
        <v>0</v>
      </c>
      <c r="W38" s="146"/>
      <c r="X38" s="338">
        <f t="shared" si="19"/>
        <v>0</v>
      </c>
      <c r="Y38" s="338">
        <f t="shared" si="20"/>
        <v>0</v>
      </c>
      <c r="Z38" s="338">
        <f t="shared" si="21"/>
        <v>1.4056720841948092</v>
      </c>
      <c r="AA38" s="338">
        <f t="shared" si="22"/>
        <v>-1.3482123001578789E-8</v>
      </c>
      <c r="AB38" s="338">
        <f t="shared" si="23"/>
        <v>0</v>
      </c>
      <c r="AC38" s="338">
        <f t="shared" si="24"/>
        <v>1.4158251786393832</v>
      </c>
      <c r="AF38" s="138">
        <f t="shared" si="25"/>
        <v>1</v>
      </c>
      <c r="AG38" s="138">
        <f t="shared" si="26"/>
        <v>5</v>
      </c>
      <c r="AH38" s="138">
        <f t="shared" si="27"/>
        <v>31</v>
      </c>
      <c r="AI38" s="138">
        <f t="shared" si="51"/>
        <v>500</v>
      </c>
      <c r="AJ38" s="138">
        <f t="shared" si="28"/>
        <v>517</v>
      </c>
      <c r="AL38" s="136">
        <f t="shared" si="29"/>
        <v>3.1269999999999998</v>
      </c>
      <c r="AM38" s="258">
        <f t="shared" si="30"/>
        <v>-5.5E-2</v>
      </c>
      <c r="AN38" s="258">
        <f t="shared" si="31"/>
        <v>7.4999999999999997E-3</v>
      </c>
      <c r="AO38" s="258">
        <f t="shared" si="32"/>
        <v>0.75</v>
      </c>
      <c r="AP38" s="258">
        <f t="shared" si="33"/>
        <v>0</v>
      </c>
      <c r="AQ38" s="136">
        <f t="shared" si="34"/>
        <v>4.0000000000000001E-3</v>
      </c>
      <c r="AR38" s="137">
        <f t="shared" si="35"/>
        <v>0</v>
      </c>
      <c r="AS38" s="136">
        <f t="shared" si="36"/>
        <v>3.0794999999999995</v>
      </c>
      <c r="AT38" s="137">
        <f t="shared" si="37"/>
        <v>2.8963180076380102E-2</v>
      </c>
      <c r="AU38" s="137">
        <f t="shared" si="38"/>
        <v>0.96034154392598015</v>
      </c>
      <c r="AV38" s="394">
        <f t="shared" si="39"/>
        <v>0</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-4.5781839031827606E-7</v>
      </c>
      <c r="BH38" s="137">
        <f>IF(OR(BF38&lt;&gt;0,BG38&lt;&gt;0),_xll.xSPRDOPT($BW38,$BV38,$CG38,0,$BY38,$BX38,$BZ38,$AJ38,1,12)*$CB38,0)</f>
        <v>0</v>
      </c>
      <c r="BI38" s="137">
        <f>_xll.xSPRDOPT($BW38,$BV38,$CG38,2*LN(1+CA38/2),$BY38,$BX38,$BZ38,$AJ38,1,9)</f>
        <v>2.1907395833425249E-2</v>
      </c>
      <c r="BJ38" s="137">
        <f>_xll.xSPRDOPT($BW38,$BV38,$CG38,0,$BY38,$BX38,$BZ38,$AJ38,1,6)*$CB38</f>
        <v>3.1448733535730182E-7</v>
      </c>
      <c r="BK38" s="137">
        <f>_xll.xSPRDOPT($BW38,$BV38,$CG38,0,$BY38,$BX38,$BZ38,$AJ38,1,5)*$CB38</f>
        <v>-3.9592620606636061E-7</v>
      </c>
      <c r="BL38" s="137">
        <f>_xll.xSPRDOPT(BW38,BV38,CG38,0,BY38,BX38,BZ38,AJ38,1,2)*CB38</f>
        <v>-0.96011485940105545</v>
      </c>
      <c r="BM38" s="137">
        <f>_xll.xSPRDOPT(BW38,BV38,CG38,0,BY38,BX38,BZ38,AJ38,1,1)*CB38</f>
        <v>0.96011485940978758</v>
      </c>
      <c r="BN38" s="137">
        <f>IF(AH38&lt;&gt;0,_xll.xSPRDOPT($BW38,$BV38,$CG38,2*LN(1+CA38/2),$BY38,$BX38,$BZ38,$AJ38,1,8)+(AJ38/365.25)*CH38/AH38,0)</f>
        <v>-1.0783765635281695</v>
      </c>
      <c r="BO38" s="137">
        <f>_xll.xSPRDOPT($BW38,$BV38,$CG38,0,$BY38,$BX38,$BZ38,$AJ38,1,0)</f>
        <v>0.79350008795555094</v>
      </c>
      <c r="BP38" s="137"/>
      <c r="BQ38" s="137"/>
      <c r="BR38" s="137"/>
      <c r="BS38" s="137"/>
      <c r="BV38" s="262">
        <v>3.0794999999999995</v>
      </c>
      <c r="BW38" s="136">
        <v>3.8769999999999998</v>
      </c>
      <c r="BX38" s="137">
        <v>0.37615932976510713</v>
      </c>
      <c r="BY38" s="137">
        <v>0.37615932976510713</v>
      </c>
      <c r="BZ38" s="137">
        <v>1</v>
      </c>
      <c r="CA38" s="137">
        <v>2.8963180076380102E-2</v>
      </c>
      <c r="CB38" s="137">
        <v>0.96011475289275328</v>
      </c>
      <c r="CC38" s="258">
        <v>-5.5E-2</v>
      </c>
      <c r="CD38" s="258">
        <v>7.4999999999999997E-3</v>
      </c>
      <c r="CE38" s="258">
        <v>0.75</v>
      </c>
      <c r="CF38" s="258">
        <v>0</v>
      </c>
      <c r="CG38" s="258">
        <v>4.0000000000000001E-3</v>
      </c>
      <c r="CH38" s="258">
        <v>0</v>
      </c>
      <c r="CI38" s="258">
        <v>3.1269999999999998</v>
      </c>
      <c r="CJ38" s="258"/>
      <c r="CK38" s="258"/>
      <c r="CL38" s="258"/>
      <c r="CM38" s="258"/>
    </row>
    <row r="39" spans="1:91" x14ac:dyDescent="0.25">
      <c r="A39" s="723"/>
      <c r="B39" s="723"/>
      <c r="D39" s="31">
        <f t="shared" si="47"/>
        <v>37787</v>
      </c>
      <c r="F39" s="28">
        <f t="shared" si="12"/>
        <v>252</v>
      </c>
      <c r="G39" s="28">
        <f t="shared" si="13"/>
        <v>241.05379000288139</v>
      </c>
      <c r="H39" s="52">
        <f t="shared" si="14"/>
        <v>3.1169999999999995</v>
      </c>
      <c r="I39" s="52">
        <f t="shared" si="15"/>
        <v>4.0119999999999996</v>
      </c>
      <c r="K39" s="52">
        <f t="shared" si="16"/>
        <v>25.568919868162773</v>
      </c>
      <c r="L39" s="135">
        <f t="shared" si="17"/>
        <v>2.8075065188204462E-6</v>
      </c>
      <c r="N39" s="131">
        <f t="shared" si="48"/>
        <v>0.37586425134556289</v>
      </c>
      <c r="O39" s="131">
        <f t="shared" si="49"/>
        <v>0.37586425134556289</v>
      </c>
      <c r="P39" s="55">
        <f t="shared" si="50"/>
        <v>0.99999999999999978</v>
      </c>
      <c r="Q39" s="135">
        <f>_xll.xSPRDOPT(I39,H39,AQ39,0,O39,N39,P39,D39-$G$5,1,0)*AH39*AU39</f>
        <v>25.568922675669292</v>
      </c>
      <c r="R39" s="135"/>
      <c r="S39" s="181">
        <f>_xll.xSPRDOPT(I39,H39,AQ39,AT39,O39,N39,P39,D39-$G$5,1,2)*AF39*(F39/(1-AR39))*AH39</f>
        <v>-7229.2134763739887</v>
      </c>
      <c r="T39" s="181">
        <f>_xll.xSPRDOPT(I39,H39,AQ39,AT39,O39,N39,P39,D39-$G$5,1,1)*AF39*F39*AH39</f>
        <v>7229.213476332734</v>
      </c>
      <c r="U39" s="135"/>
      <c r="V39" s="146">
        <f t="shared" si="18"/>
        <v>0</v>
      </c>
      <c r="W39" s="146"/>
      <c r="X39" s="338">
        <f t="shared" si="19"/>
        <v>0</v>
      </c>
      <c r="Y39" s="338">
        <f t="shared" si="20"/>
        <v>0</v>
      </c>
      <c r="Z39" s="338">
        <f t="shared" si="21"/>
        <v>1.5747173090823103</v>
      </c>
      <c r="AA39" s="338">
        <f t="shared" si="22"/>
        <v>-1.3327206467698521E-8</v>
      </c>
      <c r="AB39" s="338">
        <f t="shared" si="23"/>
        <v>0</v>
      </c>
      <c r="AC39" s="338">
        <f t="shared" si="24"/>
        <v>1.5864916408220593</v>
      </c>
      <c r="AF39" s="138">
        <f t="shared" si="25"/>
        <v>1</v>
      </c>
      <c r="AG39" s="138">
        <f t="shared" si="26"/>
        <v>6</v>
      </c>
      <c r="AH39" s="138">
        <f t="shared" si="27"/>
        <v>30</v>
      </c>
      <c r="AI39" s="138">
        <f t="shared" si="51"/>
        <v>531</v>
      </c>
      <c r="AJ39" s="138">
        <f t="shared" si="28"/>
        <v>548</v>
      </c>
      <c r="AL39" s="136">
        <f t="shared" si="29"/>
        <v>3.1619999999999999</v>
      </c>
      <c r="AM39" s="258">
        <f t="shared" si="30"/>
        <v>-5.2499999999999998E-2</v>
      </c>
      <c r="AN39" s="258">
        <f t="shared" si="31"/>
        <v>7.4999999999999997E-3</v>
      </c>
      <c r="AO39" s="258">
        <f t="shared" si="32"/>
        <v>0.85</v>
      </c>
      <c r="AP39" s="258">
        <f t="shared" si="33"/>
        <v>0</v>
      </c>
      <c r="AQ39" s="136">
        <f t="shared" si="34"/>
        <v>4.0000000000000001E-3</v>
      </c>
      <c r="AR39" s="137">
        <f t="shared" si="35"/>
        <v>0</v>
      </c>
      <c r="AS39" s="136">
        <f t="shared" si="36"/>
        <v>3.1169999999999995</v>
      </c>
      <c r="AT39" s="137">
        <f t="shared" si="37"/>
        <v>2.99847168551968E-2</v>
      </c>
      <c r="AU39" s="137">
        <f t="shared" si="38"/>
        <v>0.95656265874159274</v>
      </c>
      <c r="AV39" s="394">
        <f t="shared" si="39"/>
        <v>0</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1.1400328309433846E-6</v>
      </c>
      <c r="BG39" s="137">
        <f>_xll.xSPRDOPT($BW39,$BV39,$CG39,0,$BY39,$BX39,$BZ39,$AJ39,1,3)*$CB39</f>
        <v>4.5601313237735386E-7</v>
      </c>
      <c r="BH39" s="137">
        <f>IF(OR(BF39&lt;&gt;0,BG39&lt;&gt;0),_xll.xSPRDOPT($BW39,$BV39,$CG39,0,$BY39,$BX39,$BZ39,$AJ39,1,12)*$CB39,0)</f>
        <v>1.1400328309433847E-7</v>
      </c>
      <c r="BI39" s="137">
        <f>_xll.xSPRDOPT($BW39,$BV39,$CG39,2*LN(1+CA39/2),$BY39,$BX39,$BZ39,$AJ39,1,9)</f>
        <v>2.5360030738197259E-2</v>
      </c>
      <c r="BJ39" s="137">
        <f>_xll.xSPRDOPT($BW39,$BV39,$CG39,0,$BY39,$BX39,$BZ39,$AJ39,1,6)*$CB39</f>
        <v>3.354866225532001E-7</v>
      </c>
      <c r="BK39" s="137">
        <f>_xll.xSPRDOPT($BW39,$BV39,$CG39,0,$BY39,$BX39,$BZ39,$AJ39,1,5)*$CB39</f>
        <v>-4.3180682695365457E-7</v>
      </c>
      <c r="BL39" s="137">
        <f>_xll.xSPRDOPT(BW39,BV39,CG39,0,BY39,BX39,BZ39,AJ39,1,2)*CB39</f>
        <v>-0.95632895758035674</v>
      </c>
      <c r="BM39" s="137">
        <f>_xll.xSPRDOPT(BW39,BV39,CG39,0,BY39,BX39,BZ39,AJ39,1,1)*CB39</f>
        <v>0.95632895758383585</v>
      </c>
      <c r="BN39" s="137">
        <f>IF(AH39&lt;&gt;0,_xll.xSPRDOPT($BW39,$BV39,$CG39,2*LN(1+CA39/2),$BY39,$BX39,$BZ39,$AJ39,1,8)+(AJ39/365.25)*CH39/AH39,0)</f>
        <v>-1.2784252632854636</v>
      </c>
      <c r="BO39" s="137">
        <f>_xll.xSPRDOPT($BW39,$BV39,$CG39,0,$BY39,$BX39,$BZ39,$AJ39,1,0)</f>
        <v>0.89100009773136468</v>
      </c>
      <c r="BP39" s="137"/>
      <c r="BQ39" s="137"/>
      <c r="BR39" s="137"/>
      <c r="BS39" s="137"/>
      <c r="BV39" s="262">
        <v>3.1169999999999995</v>
      </c>
      <c r="BW39" s="136">
        <v>4.0119999999999996</v>
      </c>
      <c r="BX39" s="137">
        <v>0.37584594928724246</v>
      </c>
      <c r="BY39" s="137">
        <v>0.37584594928724246</v>
      </c>
      <c r="BZ39" s="137">
        <v>1</v>
      </c>
      <c r="CA39" s="137">
        <v>2.99847168551968E-2</v>
      </c>
      <c r="CB39" s="137">
        <v>0.95632885259143241</v>
      </c>
      <c r="CC39" s="258">
        <v>-5.2499999999999998E-2</v>
      </c>
      <c r="CD39" s="258">
        <v>7.4999999999999997E-3</v>
      </c>
      <c r="CE39" s="258">
        <v>0.85</v>
      </c>
      <c r="CF39" s="258">
        <v>0</v>
      </c>
      <c r="CG39" s="258">
        <v>4.0000000000000001E-3</v>
      </c>
      <c r="CH39" s="258">
        <v>0</v>
      </c>
      <c r="CI39" s="258">
        <v>3.1619999999999999</v>
      </c>
      <c r="CJ39" s="258"/>
      <c r="CK39" s="258"/>
      <c r="CL39" s="258"/>
      <c r="CM39" s="258"/>
    </row>
    <row r="40" spans="1:91" x14ac:dyDescent="0.25">
      <c r="A40" s="723"/>
      <c r="B40" s="723"/>
      <c r="D40" s="31">
        <f t="shared" si="47"/>
        <v>37817</v>
      </c>
      <c r="F40" s="28">
        <f t="shared" si="12"/>
        <v>252</v>
      </c>
      <c r="G40" s="28">
        <f t="shared" si="13"/>
        <v>240.09989755803613</v>
      </c>
      <c r="H40" s="52">
        <f t="shared" si="14"/>
        <v>3.1589999999999998</v>
      </c>
      <c r="I40" s="52">
        <f t="shared" si="15"/>
        <v>4.2540000000000004</v>
      </c>
      <c r="K40" s="52">
        <f t="shared" si="16"/>
        <v>32.223883473453753</v>
      </c>
      <c r="L40" s="135">
        <f t="shared" si="17"/>
        <v>3.4947374203397885E-6</v>
      </c>
      <c r="N40" s="131">
        <f t="shared" si="48"/>
        <v>0.37759499646180722</v>
      </c>
      <c r="O40" s="131">
        <f t="shared" si="49"/>
        <v>0.37759499646180722</v>
      </c>
      <c r="P40" s="55">
        <f t="shared" si="50"/>
        <v>1</v>
      </c>
      <c r="Q40" s="135">
        <f>_xll.xSPRDOPT(I40,H40,AQ40,0,O40,N40,P40,D40-$G$5,1,0)*AH40*AU40</f>
        <v>32.223886968191174</v>
      </c>
      <c r="R40" s="135"/>
      <c r="S40" s="181">
        <f>_xll.xSPRDOPT(I40,H40,AQ40,AT40,O40,N40,P40,D40-$G$5,1,2)*AF40*(F40/(1-AR40))*AH40</f>
        <v>-7440.3180070693925</v>
      </c>
      <c r="T40" s="181">
        <f>_xll.xSPRDOPT(I40,H40,AQ40,AT40,O40,N40,P40,D40-$G$5,1,1)*AF40*F40*AH40</f>
        <v>7440.3180070978124</v>
      </c>
      <c r="U40" s="135"/>
      <c r="V40" s="146">
        <f t="shared" si="18"/>
        <v>0</v>
      </c>
      <c r="W40" s="146"/>
      <c r="X40" s="338">
        <f t="shared" si="19"/>
        <v>0</v>
      </c>
      <c r="Y40" s="338">
        <f t="shared" si="20"/>
        <v>0</v>
      </c>
      <c r="Z40" s="338">
        <f t="shared" si="21"/>
        <v>2.0489651260266566</v>
      </c>
      <c r="AA40" s="338">
        <f t="shared" si="22"/>
        <v>-2.5431539646765031E-8</v>
      </c>
      <c r="AB40" s="338">
        <f t="shared" si="23"/>
        <v>0</v>
      </c>
      <c r="AC40" s="338">
        <f t="shared" si="24"/>
        <v>2.0647852448927684</v>
      </c>
      <c r="AF40" s="138">
        <f t="shared" si="25"/>
        <v>1</v>
      </c>
      <c r="AG40" s="138">
        <f t="shared" si="26"/>
        <v>7</v>
      </c>
      <c r="AH40" s="138">
        <f t="shared" si="27"/>
        <v>31</v>
      </c>
      <c r="AI40" s="138">
        <f t="shared" si="51"/>
        <v>561</v>
      </c>
      <c r="AJ40" s="138">
        <f t="shared" si="28"/>
        <v>578</v>
      </c>
      <c r="AL40" s="136">
        <f t="shared" si="29"/>
        <v>3.2040000000000002</v>
      </c>
      <c r="AM40" s="258">
        <f t="shared" si="30"/>
        <v>-5.2499999999999998E-2</v>
      </c>
      <c r="AN40" s="258">
        <f t="shared" si="31"/>
        <v>7.4999999999999997E-3</v>
      </c>
      <c r="AO40" s="258">
        <f t="shared" si="32"/>
        <v>1.05</v>
      </c>
      <c r="AP40" s="258">
        <f t="shared" si="33"/>
        <v>0</v>
      </c>
      <c r="AQ40" s="136">
        <f t="shared" si="34"/>
        <v>4.0000000000000001E-3</v>
      </c>
      <c r="AR40" s="137">
        <f t="shared" si="35"/>
        <v>0</v>
      </c>
      <c r="AS40" s="136">
        <f t="shared" si="36"/>
        <v>3.1589999999999998</v>
      </c>
      <c r="AT40" s="137">
        <f t="shared" si="37"/>
        <v>3.0965279300479799E-2</v>
      </c>
      <c r="AU40" s="137">
        <f t="shared" si="38"/>
        <v>0.9527773712620482</v>
      </c>
      <c r="AV40" s="394">
        <f t="shared" si="39"/>
        <v>0</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-9.0841000919148466E-7</v>
      </c>
      <c r="BG40" s="137">
        <f>_xll.xSPRDOPT($BW40,$BV40,$CG40,0,$BY40,$BX40,$BZ40,$AJ40,1,3)*$CB40</f>
        <v>-9.0841000919148477E-7</v>
      </c>
      <c r="BH40" s="137">
        <f>IF(OR(BF40&lt;&gt;0,BG40&lt;&gt;0),_xll.xSPRDOPT($BW40,$BV40,$CG40,0,$BY40,$BX40,$BZ40,$AJ40,1,12)*$CB40,0)</f>
        <v>6.8130750689361358E-7</v>
      </c>
      <c r="BI40" s="137">
        <f>_xll.xSPRDOPT($BW40,$BV40,$CG40,2*LN(1+CA40/2),$BY40,$BX40,$BZ40,$AJ40,1,9)</f>
        <v>3.1933116243438996E-2</v>
      </c>
      <c r="BJ40" s="137">
        <f>_xll.xSPRDOPT($BW40,$BV40,$CG40,0,$BY40,$BX40,$BZ40,$AJ40,1,6)*$CB40</f>
        <v>3.5846404247782774E-7</v>
      </c>
      <c r="BK40" s="137">
        <f>_xll.xSPRDOPT($BW40,$BV40,$CG40,0,$BY40,$BX40,$BZ40,$AJ40,1,5)*$CB40</f>
        <v>-4.827218278146489E-7</v>
      </c>
      <c r="BL40" s="137">
        <f>_xll.xSPRDOPT(BW40,BV40,CG40,0,BY40,BX40,BZ40,AJ40,1,2)*CB40</f>
        <v>-0.9525370370641838</v>
      </c>
      <c r="BM40" s="137">
        <f>_xll.xSPRDOPT(BW40,BV40,CG40,0,BY40,BX40,BZ40,AJ40,1,1)*CB40</f>
        <v>0.95253703706764914</v>
      </c>
      <c r="BN40" s="137">
        <f>IF(AH40&lt;&gt;0,_xll.xSPRDOPT($BW40,$BV40,$CG40,2*LN(1+CA40/2),$BY40,$BX40,$BZ40,$AJ40,1,8)+(AJ40/365.25)*CH40/AH40,0)</f>
        <v>-1.6445392209558676</v>
      </c>
      <c r="BO40" s="137">
        <f>_xll.xSPRDOPT($BW40,$BV40,$CG40,0,$BY40,$BX40,$BZ40,$AJ40,1,0)</f>
        <v>1.0910001181964688</v>
      </c>
      <c r="BP40" s="137"/>
      <c r="BQ40" s="137"/>
      <c r="BR40" s="137"/>
      <c r="BS40" s="137"/>
      <c r="BV40" s="262">
        <v>3.1589999999999998</v>
      </c>
      <c r="BW40" s="136">
        <v>4.2540000000000004</v>
      </c>
      <c r="BX40" s="137">
        <v>0.37756879733541471</v>
      </c>
      <c r="BY40" s="137">
        <v>0.37756879733541471</v>
      </c>
      <c r="BZ40" s="137">
        <v>1</v>
      </c>
      <c r="CA40" s="137">
        <v>3.0965279300479799E-2</v>
      </c>
      <c r="CB40" s="137">
        <v>0.95253693379797033</v>
      </c>
      <c r="CC40" s="258">
        <v>-5.2499999999999998E-2</v>
      </c>
      <c r="CD40" s="258">
        <v>7.4999999999999997E-3</v>
      </c>
      <c r="CE40" s="258">
        <v>1.05</v>
      </c>
      <c r="CF40" s="258">
        <v>0</v>
      </c>
      <c r="CG40" s="258">
        <v>4.0000000000000001E-3</v>
      </c>
      <c r="CH40" s="258">
        <v>0</v>
      </c>
      <c r="CI40" s="258">
        <v>3.2040000000000002</v>
      </c>
      <c r="CJ40" s="258"/>
      <c r="CK40" s="258"/>
      <c r="CL40" s="258"/>
      <c r="CM40" s="258"/>
    </row>
    <row r="41" spans="1:91" x14ac:dyDescent="0.25">
      <c r="A41" s="723"/>
      <c r="B41" s="723"/>
      <c r="D41" s="31">
        <f t="shared" si="47"/>
        <v>37848</v>
      </c>
      <c r="F41" s="28">
        <f t="shared" si="12"/>
        <v>252</v>
      </c>
      <c r="G41" s="28">
        <f t="shared" si="13"/>
        <v>239.0829830444622</v>
      </c>
      <c r="H41" s="52">
        <f t="shared" si="14"/>
        <v>3.2009999999999996</v>
      </c>
      <c r="I41" s="52">
        <f t="shared" si="15"/>
        <v>4.2960000000000003</v>
      </c>
      <c r="K41" s="52">
        <f t="shared" si="16"/>
        <v>32.087403053756987</v>
      </c>
      <c r="L41" s="135">
        <f t="shared" si="17"/>
        <v>3.434601779872537E-6</v>
      </c>
      <c r="N41" s="131">
        <f t="shared" si="48"/>
        <v>0.37920840226144648</v>
      </c>
      <c r="O41" s="131">
        <f t="shared" si="49"/>
        <v>0.37920840226144648</v>
      </c>
      <c r="P41" s="55">
        <f t="shared" si="50"/>
        <v>1</v>
      </c>
      <c r="Q41" s="135">
        <f>_xll.xSPRDOPT(I41,H41,AQ41,0,O41,N41,P41,D41-$G$5,1,0)*AH41*AU41</f>
        <v>32.087406488358766</v>
      </c>
      <c r="R41" s="135"/>
      <c r="S41" s="181">
        <f>_xll.xSPRDOPT(I41,H41,AQ41,AT41,O41,N41,P41,D41-$G$5,1,2)*AF41*(F41/(1-AR41))*AH41</f>
        <v>-7408.4654860672017</v>
      </c>
      <c r="T41" s="181">
        <f>_xll.xSPRDOPT(I41,H41,AQ41,AT41,O41,N41,P41,D41-$G$5,1,1)*AF41*F41*AH41</f>
        <v>7408.4654860387818</v>
      </c>
      <c r="U41" s="135"/>
      <c r="V41" s="146">
        <f t="shared" si="18"/>
        <v>0</v>
      </c>
      <c r="W41" s="146"/>
      <c r="X41" s="338">
        <f t="shared" si="19"/>
        <v>0</v>
      </c>
      <c r="Y41" s="338">
        <f t="shared" si="20"/>
        <v>0</v>
      </c>
      <c r="Z41" s="338">
        <f t="shared" si="21"/>
        <v>2.1057576267385985</v>
      </c>
      <c r="AA41" s="338">
        <f t="shared" si="22"/>
        <v>-3.337845222288217E-8</v>
      </c>
      <c r="AB41" s="338">
        <f t="shared" si="23"/>
        <v>0</v>
      </c>
      <c r="AC41" s="338">
        <f t="shared" si="24"/>
        <v>2.1225409213976412</v>
      </c>
      <c r="AF41" s="138">
        <f t="shared" si="25"/>
        <v>1</v>
      </c>
      <c r="AG41" s="138">
        <f t="shared" si="26"/>
        <v>8</v>
      </c>
      <c r="AH41" s="138">
        <f t="shared" si="27"/>
        <v>31</v>
      </c>
      <c r="AI41" s="138">
        <f t="shared" si="51"/>
        <v>592</v>
      </c>
      <c r="AJ41" s="138">
        <f t="shared" si="28"/>
        <v>609</v>
      </c>
      <c r="AL41" s="136">
        <f t="shared" si="29"/>
        <v>3.246</v>
      </c>
      <c r="AM41" s="258">
        <f t="shared" si="30"/>
        <v>-5.2499999999999998E-2</v>
      </c>
      <c r="AN41" s="258">
        <f t="shared" si="31"/>
        <v>7.4999999999999997E-3</v>
      </c>
      <c r="AO41" s="258">
        <f t="shared" si="32"/>
        <v>1.05</v>
      </c>
      <c r="AP41" s="258">
        <f t="shared" si="33"/>
        <v>0</v>
      </c>
      <c r="AQ41" s="136">
        <f t="shared" si="34"/>
        <v>4.0000000000000001E-3</v>
      </c>
      <c r="AR41" s="137">
        <f t="shared" si="35"/>
        <v>0</v>
      </c>
      <c r="AS41" s="136">
        <f t="shared" si="36"/>
        <v>3.2009999999999996</v>
      </c>
      <c r="AT41" s="137">
        <f t="shared" si="37"/>
        <v>3.1967083332272501E-2</v>
      </c>
      <c r="AU41" s="137">
        <f t="shared" si="38"/>
        <v>0.94874199620818334</v>
      </c>
      <c r="AV41" s="394">
        <f t="shared" si="39"/>
        <v>0</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9.0455521905734547E-7</v>
      </c>
      <c r="BG41" s="137">
        <f>_xll.xSPRDOPT($BW41,$BV41,$CG41,0,$BY41,$BX41,$BZ41,$AJ41,1,3)*$CB41</f>
        <v>4.5227760952867273E-7</v>
      </c>
      <c r="BH41" s="137">
        <f>IF(OR(BF41&lt;&gt;0,BG41&lt;&gt;0),_xll.xSPRDOPT($BW41,$BV41,$CG41,0,$BY41,$BX41,$BZ41,$AJ41,1,12)*$CB41,0)</f>
        <v>-4.5227760952867273E-7</v>
      </c>
      <c r="BI41" s="137">
        <f>_xll.xSPRDOPT($BW41,$BV41,$CG41,2*LN(1+CA41/2),$BY41,$BX41,$BZ41,$AJ41,1,9)</f>
        <v>3.2818227221636499E-2</v>
      </c>
      <c r="BJ41" s="137">
        <f>_xll.xSPRDOPT($BW41,$BV41,$CG41,0,$BY41,$BX41,$BZ41,$AJ41,1,6)*$CB41</f>
        <v>3.8230576460364838E-7</v>
      </c>
      <c r="BK41" s="137">
        <f>_xll.xSPRDOPT($BW41,$BV41,$CG41,0,$BY41,$BX41,$BZ41,$AJ41,1,5)*$CB41</f>
        <v>-5.1307003894668474E-7</v>
      </c>
      <c r="BL41" s="137">
        <f>_xll.xSPRDOPT(BW41,BV41,CG41,0,BY41,BX41,BZ41,AJ41,1,2)*CB41</f>
        <v>-0.9484949948778012</v>
      </c>
      <c r="BM41" s="137">
        <f>_xll.xSPRDOPT(BW41,BV41,CG41,0,BY41,BX41,BZ41,AJ41,1,1)*CB41</f>
        <v>0.94849499488125177</v>
      </c>
      <c r="BN41" s="137">
        <f>IF(AH41&lt;&gt;0,_xll.xSPRDOPT($BW41,$BV41,$CG41,2*LN(1+CA41/2),$BY41,$BX41,$BZ41,$AJ41,1,8)+(AJ41/365.25)*CH41/AH41,0)</f>
        <v>-1.7253883530388427</v>
      </c>
      <c r="BO41" s="137">
        <f>_xll.xSPRDOPT($BW41,$BV41,$CG41,0,$BY41,$BX41,$BZ41,$AJ41,1,0)</f>
        <v>1.0910001166551972</v>
      </c>
      <c r="BP41" s="137"/>
      <c r="BQ41" s="137"/>
      <c r="BR41" s="137"/>
      <c r="BS41" s="137"/>
      <c r="BV41" s="262">
        <v>3.2009999999999996</v>
      </c>
      <c r="BW41" s="136">
        <v>4.2960000000000003</v>
      </c>
      <c r="BX41" s="137">
        <v>0.37917572731746979</v>
      </c>
      <c r="BY41" s="137">
        <v>0.37917572731746979</v>
      </c>
      <c r="BZ41" s="137">
        <v>1</v>
      </c>
      <c r="CA41" s="137">
        <v>3.1967083332272501E-2</v>
      </c>
      <c r="CB41" s="137">
        <v>0.94849489337827508</v>
      </c>
      <c r="CC41" s="258">
        <v>-5.2499999999999998E-2</v>
      </c>
      <c r="CD41" s="258">
        <v>7.4999999999999997E-3</v>
      </c>
      <c r="CE41" s="258">
        <v>1.05</v>
      </c>
      <c r="CF41" s="258">
        <v>0</v>
      </c>
      <c r="CG41" s="258">
        <v>4.0000000000000001E-3</v>
      </c>
      <c r="CH41" s="258">
        <v>0</v>
      </c>
      <c r="CI41" s="258">
        <v>3.246</v>
      </c>
      <c r="CJ41" s="258"/>
      <c r="CK41" s="258"/>
      <c r="CL41" s="258"/>
      <c r="CM41" s="258"/>
    </row>
    <row r="42" spans="1:91" x14ac:dyDescent="0.25">
      <c r="A42" s="723"/>
      <c r="B42" s="723"/>
      <c r="D42" s="31">
        <f t="shared" si="47"/>
        <v>37879</v>
      </c>
      <c r="F42" s="28">
        <f t="shared" si="12"/>
        <v>252</v>
      </c>
      <c r="G42" s="28">
        <f t="shared" si="13"/>
        <v>238.03072306471134</v>
      </c>
      <c r="H42" s="52">
        <f t="shared" si="14"/>
        <v>3.1909999999999998</v>
      </c>
      <c r="I42" s="52">
        <f t="shared" si="15"/>
        <v>3.9910000000000001</v>
      </c>
      <c r="K42" s="52">
        <f t="shared" si="16"/>
        <v>22.55624470946551</v>
      </c>
      <c r="L42" s="135">
        <f t="shared" si="17"/>
        <v>2.394808355177247E-6</v>
      </c>
      <c r="N42" s="131">
        <f t="shared" si="48"/>
        <v>0.3762850500238793</v>
      </c>
      <c r="O42" s="131">
        <f t="shared" si="49"/>
        <v>0.3762850500238793</v>
      </c>
      <c r="P42" s="55">
        <f t="shared" si="50"/>
        <v>1.0000000000000002</v>
      </c>
      <c r="Q42" s="135">
        <f>_xll.xSPRDOPT(I42,H42,AQ42,0,O42,N42,P42,D42-$G$5,1,0)*AH42*AU42</f>
        <v>22.556247104273865</v>
      </c>
      <c r="R42" s="135"/>
      <c r="S42" s="181">
        <f>_xll.xSPRDOPT(I42,H42,AQ42,AT42,O42,N42,P42,D42-$G$5,1,2)*AF42*(F42/(1-AR42))*AH42</f>
        <v>-7137.5758026541007</v>
      </c>
      <c r="T42" s="181">
        <f>_xll.xSPRDOPT(I42,H42,AQ42,AT42,O42,N42,P42,D42-$G$5,1,1)*AF42*F42*AH42</f>
        <v>7137.5758027778647</v>
      </c>
      <c r="U42" s="135"/>
      <c r="V42" s="146">
        <f t="shared" si="18"/>
        <v>0</v>
      </c>
      <c r="W42" s="146"/>
      <c r="X42" s="338">
        <f t="shared" si="19"/>
        <v>0</v>
      </c>
      <c r="Y42" s="338">
        <f t="shared" si="20"/>
        <v>0</v>
      </c>
      <c r="Z42" s="338">
        <f t="shared" si="21"/>
        <v>1.5262688737327603</v>
      </c>
      <c r="AA42" s="338">
        <f t="shared" si="22"/>
        <v>-2.1863267710934239E-8</v>
      </c>
      <c r="AB42" s="338">
        <f t="shared" si="23"/>
        <v>0</v>
      </c>
      <c r="AC42" s="338">
        <f t="shared" si="24"/>
        <v>1.5388137745510997</v>
      </c>
      <c r="AF42" s="138">
        <f t="shared" si="25"/>
        <v>1</v>
      </c>
      <c r="AG42" s="138">
        <f t="shared" si="26"/>
        <v>9</v>
      </c>
      <c r="AH42" s="138">
        <f t="shared" si="27"/>
        <v>30</v>
      </c>
      <c r="AI42" s="138">
        <f t="shared" si="51"/>
        <v>623</v>
      </c>
      <c r="AJ42" s="138">
        <f t="shared" si="28"/>
        <v>640</v>
      </c>
      <c r="AL42" s="136">
        <f t="shared" si="29"/>
        <v>3.2410000000000001</v>
      </c>
      <c r="AM42" s="258">
        <f t="shared" si="30"/>
        <v>-5.7500000000000002E-2</v>
      </c>
      <c r="AN42" s="258">
        <f t="shared" si="31"/>
        <v>7.4999999999999997E-3</v>
      </c>
      <c r="AO42" s="258">
        <f t="shared" si="32"/>
        <v>0.75</v>
      </c>
      <c r="AP42" s="258">
        <f t="shared" si="33"/>
        <v>0</v>
      </c>
      <c r="AQ42" s="136">
        <f t="shared" si="34"/>
        <v>4.0000000000000001E-3</v>
      </c>
      <c r="AR42" s="137">
        <f t="shared" si="35"/>
        <v>0</v>
      </c>
      <c r="AS42" s="136">
        <f t="shared" si="36"/>
        <v>3.1909999999999998</v>
      </c>
      <c r="AT42" s="137">
        <f t="shared" si="37"/>
        <v>3.2968887702129003E-2</v>
      </c>
      <c r="AU42" s="137">
        <f t="shared" si="38"/>
        <v>0.94456636136790217</v>
      </c>
      <c r="AV42" s="394">
        <f t="shared" si="39"/>
        <v>0</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-2.2514169216940496E-7</v>
      </c>
      <c r="BG42" s="137">
        <f>_xll.xSPRDOPT($BW42,$BV42,$CG42,0,$BY42,$BX42,$BZ42,$AJ42,1,3)*$CB42</f>
        <v>-6.7542507650821494E-7</v>
      </c>
      <c r="BH42" s="137">
        <f>IF(OR(BF42&lt;&gt;0,BG42&lt;&gt;0),_xll.xSPRDOPT($BW42,$BV42,$CG42,0,$BY42,$BX42,$BZ42,$AJ42,1,12)*$CB42,0)</f>
        <v>5.6285423042351238E-7</v>
      </c>
      <c r="BI42" s="137">
        <f>_xll.xSPRDOPT($BW42,$BV42,$CG42,2*LN(1+CA42/2),$BY42,$BX42,$BZ42,$AJ42,1,9)</f>
        <v>2.4579793039280894E-2</v>
      </c>
      <c r="BJ42" s="137">
        <f>_xll.xSPRDOPT($BW42,$BV42,$CG42,0,$BY42,$BX42,$BZ42,$AJ42,1,6)*$CB42</f>
        <v>3.9543381272879562E-7</v>
      </c>
      <c r="BK42" s="137">
        <f>_xll.xSPRDOPT($BW42,$BV42,$CG42,0,$BY42,$BX42,$BZ42,$AJ42,1,5)*$CB42</f>
        <v>-4.9457330650919898E-7</v>
      </c>
      <c r="BL42" s="137">
        <f>_xll.xSPRDOPT(BW42,BV42,CG42,0,BY42,BX42,BZ42,AJ42,1,2)*CB42</f>
        <v>-0.94431280028444298</v>
      </c>
      <c r="BM42" s="137">
        <f>_xll.xSPRDOPT(BW42,BV42,CG42,0,BY42,BX42,BZ42,AJ42,1,1)*CB42</f>
        <v>0.9443128002964668</v>
      </c>
      <c r="BN42" s="137">
        <f>IF(AH42&lt;&gt;0,_xll.xSPRDOPT($BW42,$BV42,$CG42,2*LN(1+CA42/2),$BY42,$BX42,$BZ42,$AJ42,1,8)+(AJ42/365.25)*CH42/AH42,0)</f>
        <v>-1.317099830051135</v>
      </c>
      <c r="BO42" s="137">
        <f>_xll.xSPRDOPT($BW42,$BV42,$CG42,0,$BY42,$BX42,$BZ42,$AJ42,1,0)</f>
        <v>0.79600008442220405</v>
      </c>
      <c r="BP42" s="137"/>
      <c r="BQ42" s="137"/>
      <c r="BR42" s="137"/>
      <c r="BS42" s="137"/>
      <c r="BV42" s="262">
        <v>3.1909999999999998</v>
      </c>
      <c r="BW42" s="136">
        <v>3.9910000000000001</v>
      </c>
      <c r="BX42" s="137">
        <v>0.37625587934206367</v>
      </c>
      <c r="BY42" s="137">
        <v>0.37625587934206367</v>
      </c>
      <c r="BZ42" s="137">
        <v>1</v>
      </c>
      <c r="CA42" s="137">
        <v>3.2968887702129003E-2</v>
      </c>
      <c r="CB42" s="137">
        <v>0.94431270003290391</v>
      </c>
      <c r="CC42" s="258">
        <v>-5.7500000000000002E-2</v>
      </c>
      <c r="CD42" s="258">
        <v>7.4999999999999997E-3</v>
      </c>
      <c r="CE42" s="258">
        <v>0.75</v>
      </c>
      <c r="CF42" s="258">
        <v>0</v>
      </c>
      <c r="CG42" s="258">
        <v>4.0000000000000001E-3</v>
      </c>
      <c r="CH42" s="258">
        <v>0</v>
      </c>
      <c r="CI42" s="258">
        <v>3.2410000000000001</v>
      </c>
      <c r="CJ42" s="258"/>
      <c r="CK42" s="258"/>
      <c r="CL42" s="258"/>
      <c r="CM42" s="258"/>
    </row>
    <row r="43" spans="1:91" x14ac:dyDescent="0.25">
      <c r="A43" s="723"/>
      <c r="B43" s="723"/>
      <c r="D43" s="31">
        <f t="shared" si="47"/>
        <v>37909</v>
      </c>
      <c r="F43" s="28">
        <f t="shared" si="12"/>
        <v>396</v>
      </c>
      <c r="G43" s="28">
        <f t="shared" si="13"/>
        <v>372.41715613115184</v>
      </c>
      <c r="H43" s="52">
        <f t="shared" si="14"/>
        <v>3.3079691516709508</v>
      </c>
      <c r="I43" s="52">
        <f t="shared" si="15"/>
        <v>3.7170000000000001</v>
      </c>
      <c r="K43" s="52">
        <f t="shared" si="16"/>
        <v>10.8344768020825</v>
      </c>
      <c r="L43" s="135">
        <f t="shared" si="17"/>
        <v>1.7148112352316502E-6</v>
      </c>
      <c r="N43" s="131">
        <f t="shared" si="48"/>
        <v>0.3804492507364664</v>
      </c>
      <c r="O43" s="131">
        <f t="shared" si="49"/>
        <v>0.3804492507364664</v>
      </c>
      <c r="P43" s="55">
        <f t="shared" si="50"/>
        <v>1</v>
      </c>
      <c r="Q43" s="135">
        <f>_xll.xSPRDOPT(I43,H43,AQ43,0,O43,N43,P43,D43-$G$5,1,0)*AH43*AU43</f>
        <v>10.834478516893736</v>
      </c>
      <c r="R43" s="135"/>
      <c r="S43" s="181">
        <f>_xll.xSPRDOPT(I43,H43,AQ43,AT43,O43,N43,P43,D43-$G$5,1,2)*AF43*(F43/(1-AR43))*AH43</f>
        <v>-11865.231926863409</v>
      </c>
      <c r="T43" s="181">
        <f>_xll.xSPRDOPT(I43,H43,AQ43,AT43,O43,N43,P43,D43-$G$5,1,1)*AF43*F43*AH43</f>
        <v>11538.938048986314</v>
      </c>
      <c r="U43" s="135"/>
      <c r="V43" s="146">
        <f t="shared" si="18"/>
        <v>10.941446766607728</v>
      </c>
      <c r="W43" s="146"/>
      <c r="X43" s="338">
        <f t="shared" si="19"/>
        <v>0</v>
      </c>
      <c r="Y43" s="338">
        <f t="shared" si="20"/>
        <v>0</v>
      </c>
      <c r="Z43" s="338">
        <f t="shared" si="21"/>
        <v>1.184514273450475</v>
      </c>
      <c r="AA43" s="338">
        <f t="shared" si="22"/>
        <v>4.4047164881194754E-7</v>
      </c>
      <c r="AB43" s="338">
        <f t="shared" si="23"/>
        <v>0</v>
      </c>
      <c r="AC43" s="338">
        <f t="shared" si="24"/>
        <v>1.1945376486748942</v>
      </c>
      <c r="AF43" s="138">
        <f t="shared" si="25"/>
        <v>1</v>
      </c>
      <c r="AG43" s="138">
        <f t="shared" si="26"/>
        <v>10</v>
      </c>
      <c r="AH43" s="138">
        <f t="shared" si="27"/>
        <v>31</v>
      </c>
      <c r="AI43" s="138">
        <f t="shared" si="51"/>
        <v>653</v>
      </c>
      <c r="AJ43" s="138">
        <f t="shared" si="28"/>
        <v>670</v>
      </c>
      <c r="AL43" s="136">
        <f t="shared" si="29"/>
        <v>3.2669999999999999</v>
      </c>
      <c r="AM43" s="258">
        <f t="shared" si="30"/>
        <v>-5.7500000000000002E-2</v>
      </c>
      <c r="AN43" s="258">
        <f t="shared" si="31"/>
        <v>7.4999999999999997E-3</v>
      </c>
      <c r="AO43" s="258">
        <f t="shared" si="32"/>
        <v>0.45</v>
      </c>
      <c r="AP43" s="258">
        <f t="shared" si="33"/>
        <v>0</v>
      </c>
      <c r="AQ43" s="136">
        <f t="shared" si="34"/>
        <v>3.7400000000000003E-2</v>
      </c>
      <c r="AR43" s="137">
        <f t="shared" si="35"/>
        <v>2.75E-2</v>
      </c>
      <c r="AS43" s="136">
        <f t="shared" si="36"/>
        <v>3.2169999999999996</v>
      </c>
      <c r="AT43" s="137">
        <f t="shared" si="37"/>
        <v>3.3906701822071103E-2</v>
      </c>
      <c r="AU43" s="137">
        <f t="shared" si="38"/>
        <v>0.94044736396755513</v>
      </c>
      <c r="AV43" s="394">
        <f t="shared" si="39"/>
        <v>320.69255111293631</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-6.7247463639592143E-7</v>
      </c>
      <c r="BG43" s="137">
        <f>_xll.xSPRDOPT($BW43,$BV43,$CG43,0,$BY43,$BX43,$BZ43,$AJ43,1,3)*$CB43</f>
        <v>-1.1207910606598691E-7</v>
      </c>
      <c r="BH43" s="137">
        <f>IF(OR(BF43&lt;&gt;0,BG43&lt;&gt;0),_xll.xSPRDOPT($BW43,$BV43,$CG43,0,$BY43,$BX43,$BZ43,$AJ43,1,12)*$CB43,0)</f>
        <v>5.6039553032993453E-8</v>
      </c>
      <c r="BI43" s="137">
        <f>_xll.xSPRDOPT($BW43,$BV43,$CG43,2*LN(1+CA43/2),$BY43,$BX43,$BZ43,$AJ43,1,9)</f>
        <v>1.1747687584929565E-2</v>
      </c>
      <c r="BJ43" s="137">
        <f>_xll.xSPRDOPT($BW43,$BV43,$CG43,0,$BY43,$BX43,$BZ43,$AJ43,1,6)*$CB43</f>
        <v>-8.2568368818108635E-6</v>
      </c>
      <c r="BK43" s="137">
        <f>_xll.xSPRDOPT($BW43,$BV43,$CG43,0,$BY43,$BX43,$BZ43,$AJ43,1,5)*$CB43</f>
        <v>9.2777778001312929E-6</v>
      </c>
      <c r="BL43" s="137">
        <f>_xll.xSPRDOPT(BW43,BV43,CG43,0,BY43,BX43,BZ43,AJ43,1,2)*CB43</f>
        <v>-0.9401874063412563</v>
      </c>
      <c r="BM43" s="137">
        <f>_xll.xSPRDOPT(BW43,BV43,CG43,0,BY43,BX43,BZ43,AJ43,1,1)*CB43</f>
        <v>0.94018740634809705</v>
      </c>
      <c r="BN43" s="137">
        <f>IF(AH43&lt;&gt;0,_xll.xSPRDOPT($BW43,$BV43,$CG43,2*LN(1+CA43/2),$BY43,$BX43,$BZ43,$AJ43,1,8)+(AJ43/365.25)*CH43/AH43,0)</f>
        <v>6.3278726996301993E-3</v>
      </c>
      <c r="BO43" s="137">
        <f>_xll.xSPRDOPT($BW43,$BV43,$CG43,0,$BY43,$BX43,$BZ43,$AJ43,1,0)</f>
        <v>0.37163090803879656</v>
      </c>
      <c r="BP43" s="137"/>
      <c r="BQ43" s="137"/>
      <c r="BR43" s="137"/>
      <c r="BS43" s="137"/>
      <c r="BV43" s="262">
        <v>3.3079691516709508</v>
      </c>
      <c r="BW43" s="136">
        <v>3.7170000000000001</v>
      </c>
      <c r="BX43" s="137">
        <v>0.38041410598552006</v>
      </c>
      <c r="BY43" s="137">
        <v>0.38041410598552006</v>
      </c>
      <c r="BZ43" s="137">
        <v>1</v>
      </c>
      <c r="CA43" s="137">
        <v>3.3906701822071103E-2</v>
      </c>
      <c r="CB43" s="137">
        <v>0.94018768577798628</v>
      </c>
      <c r="CC43" s="258">
        <v>-5.7500000000000002E-2</v>
      </c>
      <c r="CD43" s="258">
        <v>7.4999999999999997E-3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47"/>
        <v>37940</v>
      </c>
      <c r="F44" s="28">
        <f t="shared" si="12"/>
        <v>396</v>
      </c>
      <c r="G44" s="28">
        <f t="shared" si="13"/>
        <v>370.7080282759789</v>
      </c>
      <c r="H44" s="52">
        <f t="shared" si="14"/>
        <v>3.4544987146529564</v>
      </c>
      <c r="I44" s="52">
        <f t="shared" si="15"/>
        <v>3.8520000000000003</v>
      </c>
      <c r="K44" s="52">
        <f t="shared" si="16"/>
        <v>10.113063444746082</v>
      </c>
      <c r="L44" s="135">
        <f t="shared" si="17"/>
        <v>2.7881031599008566E-6</v>
      </c>
      <c r="N44" s="131">
        <f t="shared" si="48"/>
        <v>0.38567537328980672</v>
      </c>
      <c r="O44" s="131">
        <f t="shared" si="49"/>
        <v>0.38567537328980672</v>
      </c>
      <c r="P44" s="55">
        <f t="shared" si="50"/>
        <v>0.99999999999999989</v>
      </c>
      <c r="Q44" s="135">
        <f>_xll.xSPRDOPT(I44,H44,AQ44,0,O44,N44,P44,D44-$G$5,1,0)*AH44*AU44</f>
        <v>10.113066232849242</v>
      </c>
      <c r="R44" s="135"/>
      <c r="S44" s="181">
        <f>_xll.xSPRDOPT(I44,H44,AQ44,AT44,O44,N44,P44,D44-$G$5,1,2)*AF44*(F44/(1-AR44))*AH44</f>
        <v>-11429.158002890124</v>
      </c>
      <c r="T44" s="181">
        <f>_xll.xSPRDOPT(I44,H44,AQ44,AT44,O44,N44,P44,D44-$G$5,1,1)*AF44*F44*AH44</f>
        <v>11114.856157659378</v>
      </c>
      <c r="U44" s="135"/>
      <c r="V44" s="146">
        <f t="shared" si="18"/>
        <v>10.539903258482946</v>
      </c>
      <c r="W44" s="146"/>
      <c r="X44" s="338">
        <f t="shared" si="19"/>
        <v>0</v>
      </c>
      <c r="Y44" s="338">
        <f t="shared" si="20"/>
        <v>0</v>
      </c>
      <c r="Z44" s="338">
        <f t="shared" si="21"/>
        <v>1.1356631699609636</v>
      </c>
      <c r="AA44" s="338">
        <f t="shared" si="22"/>
        <v>2.3744120089380581E-6</v>
      </c>
      <c r="AB44" s="338">
        <f t="shared" si="23"/>
        <v>0</v>
      </c>
      <c r="AC44" s="338">
        <f t="shared" si="24"/>
        <v>1.1455553494031054</v>
      </c>
      <c r="AF44" s="138">
        <f t="shared" si="25"/>
        <v>1</v>
      </c>
      <c r="AG44" s="138">
        <f t="shared" si="26"/>
        <v>11</v>
      </c>
      <c r="AH44" s="138">
        <f t="shared" si="27"/>
        <v>30</v>
      </c>
      <c r="AI44" s="138">
        <f t="shared" si="51"/>
        <v>684</v>
      </c>
      <c r="AJ44" s="138">
        <f t="shared" si="28"/>
        <v>701</v>
      </c>
      <c r="AL44" s="136">
        <f t="shared" si="29"/>
        <v>3.4020000000000001</v>
      </c>
      <c r="AM44" s="258">
        <f t="shared" si="30"/>
        <v>-0.05</v>
      </c>
      <c r="AN44" s="258">
        <f t="shared" si="31"/>
        <v>7.4999999999999997E-3</v>
      </c>
      <c r="AO44" s="258">
        <f t="shared" si="32"/>
        <v>0.45</v>
      </c>
      <c r="AP44" s="258">
        <f t="shared" si="33"/>
        <v>0</v>
      </c>
      <c r="AQ44" s="136">
        <f t="shared" si="34"/>
        <v>3.7400000000000003E-2</v>
      </c>
      <c r="AR44" s="137">
        <f t="shared" si="35"/>
        <v>2.75E-2</v>
      </c>
      <c r="AS44" s="136">
        <f t="shared" si="36"/>
        <v>3.3595000000000002</v>
      </c>
      <c r="AT44" s="137">
        <f t="shared" si="37"/>
        <v>3.4836153967131397E-2</v>
      </c>
      <c r="AU44" s="137">
        <f t="shared" si="38"/>
        <v>0.9361313845353002</v>
      </c>
      <c r="AV44" s="394">
        <f t="shared" si="39"/>
        <v>308.92335689664907</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6.6938343591755399E-7</v>
      </c>
      <c r="BG44" s="137">
        <f>_xll.xSPRDOPT($BW44,$BV44,$CG44,0,$BY44,$BX44,$BZ44,$AJ44,1,3)*$CB44</f>
        <v>4.4625562394503596E-7</v>
      </c>
      <c r="BH44" s="137">
        <f>IF(OR(BF44&lt;&gt;0,BG44&lt;&gt;0),_xll.xSPRDOPT($BW44,$BV44,$CG44,0,$BY44,$BX44,$BZ44,$AJ44,1,12)*$CB44,0)</f>
        <v>-2.7890976496564746E-7</v>
      </c>
      <c r="BI44" s="137">
        <f>_xll.xSPRDOPT($BW44,$BV44,$CG44,2*LN(1+CA44/2),$BY44,$BX44,$BZ44,$AJ44,1,9)</f>
        <v>1.1638635601241357E-2</v>
      </c>
      <c r="BJ44" s="137">
        <f>_xll.xSPRDOPT($BW44,$BV44,$CG44,0,$BY44,$BX44,$BZ44,$AJ44,1,6)*$CB44</f>
        <v>-2.6464450214161856E-5</v>
      </c>
      <c r="BK44" s="137">
        <f>_xll.xSPRDOPT($BW44,$BV44,$CG44,0,$BY44,$BX44,$BZ44,$AJ44,1,5)*$CB44</f>
        <v>2.9509660478946459E-5</v>
      </c>
      <c r="BL44" s="137">
        <f>_xll.xSPRDOPT(BW44,BV44,CG44,0,BY44,BX44,BZ44,AJ44,1,2)*CB44</f>
        <v>-0.93586482617102074</v>
      </c>
      <c r="BM44" s="137">
        <f>_xll.xSPRDOPT(BW44,BV44,CG44,0,BY44,BX44,BZ44,AJ44,1,1)*CB44</f>
        <v>0.9358648261608068</v>
      </c>
      <c r="BN44" s="137">
        <f>IF(AH44&lt;&gt;0,_xll.xSPRDOPT($BW44,$BV44,$CG44,2*LN(1+CA44/2),$BY44,$BX44,$BZ44,$AJ44,1,8)+(AJ44/365.25)*CH44/AH44,0)</f>
        <v>2.7298913248623657E-2</v>
      </c>
      <c r="BO44" s="137">
        <f>_xll.xSPRDOPT($BW44,$BV44,$CG44,0,$BY44,$BX44,$BZ44,$AJ44,1,0)</f>
        <v>0.36010138710550044</v>
      </c>
      <c r="BP44" s="137"/>
      <c r="BQ44" s="137"/>
      <c r="BR44" s="137"/>
      <c r="BS44" s="137"/>
      <c r="BV44" s="262">
        <v>3.4544987146529564</v>
      </c>
      <c r="BW44" s="136">
        <v>3.8520000000000003</v>
      </c>
      <c r="BX44" s="137">
        <v>0.38560974027489475</v>
      </c>
      <c r="BY44" s="137">
        <v>0.38560974027489475</v>
      </c>
      <c r="BZ44" s="137">
        <v>1</v>
      </c>
      <c r="CA44" s="137">
        <v>3.4836153967131397E-2</v>
      </c>
      <c r="CB44" s="137">
        <v>0.93586587426758006</v>
      </c>
      <c r="CC44" s="258">
        <v>-0.05</v>
      </c>
      <c r="CD44" s="258">
        <v>7.4999999999999997E-3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47"/>
        <v>37970</v>
      </c>
      <c r="F45" s="28">
        <f t="shared" si="12"/>
        <v>396</v>
      </c>
      <c r="G45" s="28">
        <f t="shared" si="13"/>
        <v>369.00729466734521</v>
      </c>
      <c r="H45" s="52">
        <f t="shared" si="14"/>
        <v>3.5933161953727506</v>
      </c>
      <c r="I45" s="52">
        <f t="shared" si="15"/>
        <v>3.9369999999999998</v>
      </c>
      <c r="K45" s="52">
        <f t="shared" si="16"/>
        <v>8.8476002588980087</v>
      </c>
      <c r="L45" s="135">
        <f t="shared" si="17"/>
        <v>1.5794604038887883E-5</v>
      </c>
      <c r="N45" s="131">
        <f t="shared" si="48"/>
        <v>0.39564204160538236</v>
      </c>
      <c r="O45" s="131">
        <f t="shared" si="49"/>
        <v>0.39564204160538236</v>
      </c>
      <c r="P45" s="55">
        <f t="shared" si="50"/>
        <v>1.0000000000000002</v>
      </c>
      <c r="Q45" s="135">
        <f>_xll.xSPRDOPT(I45,H45,AQ45,0,O45,N45,P45,D45-$G$5,1,0)*AH45*AU45</f>
        <v>8.8476160535020476</v>
      </c>
      <c r="R45" s="135"/>
      <c r="S45" s="181">
        <f>_xll.xSPRDOPT(I45,H45,AQ45,AT45,O45,N45,P45,D45-$G$5,1,2)*AF45*(F45/(1-AR45))*AH45</f>
        <v>-11755.184742666053</v>
      </c>
      <c r="T45" s="181">
        <f>_xll.xSPRDOPT(I45,H45,AQ45,AT45,O45,N45,P45,D45-$G$5,1,1)*AF45*F45*AH45</f>
        <v>11431.917162231573</v>
      </c>
      <c r="U45" s="135"/>
      <c r="V45" s="146">
        <f t="shared" si="18"/>
        <v>10.841266586738119</v>
      </c>
      <c r="W45" s="146"/>
      <c r="X45" s="338">
        <f t="shared" si="19"/>
        <v>0</v>
      </c>
      <c r="Y45" s="338">
        <f t="shared" si="20"/>
        <v>0</v>
      </c>
      <c r="Z45" s="338">
        <f t="shared" si="21"/>
        <v>1.0187959173878718</v>
      </c>
      <c r="AA45" s="338">
        <f t="shared" si="22"/>
        <v>2.6135647679618057E-5</v>
      </c>
      <c r="AB45" s="338">
        <f t="shared" si="23"/>
        <v>0</v>
      </c>
      <c r="AC45" s="338">
        <f t="shared" si="24"/>
        <v>1.0280814670510396</v>
      </c>
      <c r="AF45" s="138">
        <f t="shared" si="25"/>
        <v>1</v>
      </c>
      <c r="AG45" s="138">
        <f t="shared" si="26"/>
        <v>12</v>
      </c>
      <c r="AH45" s="138">
        <f t="shared" si="27"/>
        <v>31</v>
      </c>
      <c r="AI45" s="138">
        <f t="shared" si="51"/>
        <v>714</v>
      </c>
      <c r="AJ45" s="138">
        <f t="shared" si="28"/>
        <v>731</v>
      </c>
      <c r="AL45" s="136">
        <f t="shared" si="29"/>
        <v>3.5369999999999999</v>
      </c>
      <c r="AM45" s="258">
        <f t="shared" si="30"/>
        <v>-0.05</v>
      </c>
      <c r="AN45" s="258">
        <f t="shared" si="31"/>
        <v>7.4999999999999997E-3</v>
      </c>
      <c r="AO45" s="258">
        <f t="shared" si="32"/>
        <v>0.4</v>
      </c>
      <c r="AP45" s="258">
        <f t="shared" si="33"/>
        <v>0</v>
      </c>
      <c r="AQ45" s="136">
        <f t="shared" si="34"/>
        <v>3.7400000000000003E-2</v>
      </c>
      <c r="AR45" s="137">
        <f t="shared" si="35"/>
        <v>2.75E-2</v>
      </c>
      <c r="AS45" s="136">
        <f t="shared" si="36"/>
        <v>3.4944999999999999</v>
      </c>
      <c r="AT45" s="137">
        <f t="shared" si="37"/>
        <v>3.5735624061610197E-2</v>
      </c>
      <c r="AU45" s="137">
        <f t="shared" si="38"/>
        <v>0.93183660269531621</v>
      </c>
      <c r="AV45" s="394">
        <f t="shared" si="39"/>
        <v>317.7562815191028</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7.7735886966819141E-7</v>
      </c>
      <c r="BG45" s="137">
        <f>_xll.xSPRDOPT($BW45,$BV45,$CG45,0,$BY45,$BX45,$BZ45,$AJ45,1,3)*$CB45</f>
        <v>2.2210253419091182E-7</v>
      </c>
      <c r="BH45" s="137">
        <f>IF(OR(BF45&lt;&gt;0,BG45&lt;&gt;0),_xll.xSPRDOPT($BW45,$BV45,$CG45,0,$BY45,$BX45,$BZ45,$AJ45,1,12)*$CB45,0)</f>
        <v>-2.2210253419091182E-7</v>
      </c>
      <c r="BI45" s="137">
        <f>_xll.xSPRDOPT($BW45,$BV45,$CG45,2*LN(1+CA45/2),$BY45,$BX45,$BZ45,$AJ45,1,9)</f>
        <v>1.0104138395403502E-2</v>
      </c>
      <c r="BJ45" s="137">
        <f>_xll.xSPRDOPT($BW45,$BV45,$CG45,0,$BY45,$BX45,$BZ45,$AJ45,1,6)*$CB45</f>
        <v>-2.1902688731410014E-4</v>
      </c>
      <c r="BK45" s="137">
        <f>_xll.xSPRDOPT($BW45,$BV45,$CG45,0,$BY45,$BX45,$BZ45,$AJ45,1,5)*$CB45</f>
        <v>2.3997577827175153E-4</v>
      </c>
      <c r="BL45" s="137">
        <f>_xll.xSPRDOPT(BW45,BV45,CG45,0,BY45,BX45,BZ45,AJ45,1,2)*CB45</f>
        <v>-0.93155600414541118</v>
      </c>
      <c r="BM45" s="137">
        <f>_xll.xSPRDOPT(BW45,BV45,CG45,0,BY45,BX45,BZ45,AJ45,1,1)*CB45</f>
        <v>0.93155600414286943</v>
      </c>
      <c r="BN45" s="137">
        <f>IF(AH45&lt;&gt;0,_xll.xSPRDOPT($BW45,$BV45,$CG45,2*LN(1+CA45/2),$BY45,$BX45,$BZ45,$AJ45,1,8)+(AJ45/365.25)*CH45/AH45,0)</f>
        <v>0.12867318285353768</v>
      </c>
      <c r="BO45" s="137">
        <f>_xll.xSPRDOPT($BW45,$BV45,$CG45,0,$BY45,$BX45,$BZ45,$AJ45,1,0)</f>
        <v>0.30628436742514814</v>
      </c>
      <c r="BP45" s="137"/>
      <c r="BQ45" s="137"/>
      <c r="BR45" s="137"/>
      <c r="BS45" s="137"/>
      <c r="BV45" s="262">
        <v>3.5933161953727506</v>
      </c>
      <c r="BW45" s="136">
        <v>3.9369999999999998</v>
      </c>
      <c r="BX45" s="137">
        <v>0.39554041314388361</v>
      </c>
      <c r="BY45" s="137">
        <v>0.39554041314388361</v>
      </c>
      <c r="BZ45" s="137">
        <v>1</v>
      </c>
      <c r="CA45" s="137">
        <v>3.5735624061610197E-2</v>
      </c>
      <c r="CB45" s="137">
        <v>0.93156554756707821</v>
      </c>
      <c r="CC45" s="258">
        <v>-0.05</v>
      </c>
      <c r="CD45" s="258">
        <v>7.4999999999999997E-3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47"/>
        <v>38001</v>
      </c>
      <c r="F46" s="28">
        <f t="shared" si="12"/>
        <v>396</v>
      </c>
      <c r="G46" s="28">
        <f t="shared" si="13"/>
        <v>367.22909855333404</v>
      </c>
      <c r="H46" s="52">
        <f t="shared" si="14"/>
        <v>3.6550128534704367</v>
      </c>
      <c r="I46" s="52">
        <f t="shared" si="15"/>
        <v>3.9470000000000001</v>
      </c>
      <c r="K46" s="52">
        <f t="shared" si="16"/>
        <v>7.4337941066753652</v>
      </c>
      <c r="L46" s="135">
        <f t="shared" si="17"/>
        <v>2.3726228898901525E-5</v>
      </c>
      <c r="N46" s="131">
        <f t="shared" si="48"/>
        <v>0.39305358955281788</v>
      </c>
      <c r="O46" s="131">
        <f t="shared" si="49"/>
        <v>0.39305358955281788</v>
      </c>
      <c r="P46" s="55">
        <f t="shared" si="50"/>
        <v>1</v>
      </c>
      <c r="Q46" s="135">
        <f>_xll.xSPRDOPT(I46,H46,AQ46,0,O46,N46,P46,D46-$G$5,1,0)*AH46*AU46</f>
        <v>7.4338178329042641</v>
      </c>
      <c r="R46" s="135"/>
      <c r="S46" s="181">
        <f>_xll.xSPRDOPT(I46,H46,AQ46,AT46,O46,N46,P46,D46-$G$5,1,2)*AF46*(F46/(1-AR46))*AH46</f>
        <v>-11697.626305775737</v>
      </c>
      <c r="T46" s="181">
        <f>_xll.xSPRDOPT(I46,H46,AQ46,AT46,O46,N46,P46,D46-$G$5,1,1)*AF46*F46*AH46</f>
        <v>11375.941582428311</v>
      </c>
      <c r="U46" s="135"/>
      <c r="V46" s="146">
        <f t="shared" si="18"/>
        <v>10.789023993179432</v>
      </c>
      <c r="W46" s="146"/>
      <c r="X46" s="338">
        <f t="shared" si="19"/>
        <v>0</v>
      </c>
      <c r="Y46" s="338">
        <f t="shared" si="20"/>
        <v>0</v>
      </c>
      <c r="Z46" s="338">
        <f t="shared" si="21"/>
        <v>0.87693844287087752</v>
      </c>
      <c r="AA46" s="338">
        <f t="shared" si="22"/>
        <v>5.1071730053408819E-5</v>
      </c>
      <c r="AB46" s="338">
        <f t="shared" si="23"/>
        <v>0</v>
      </c>
      <c r="AC46" s="338">
        <f t="shared" si="24"/>
        <v>0.8853979472415191</v>
      </c>
      <c r="AF46" s="138">
        <f t="shared" si="25"/>
        <v>1</v>
      </c>
      <c r="AG46" s="138">
        <f t="shared" si="26"/>
        <v>1</v>
      </c>
      <c r="AH46" s="138">
        <f t="shared" si="27"/>
        <v>31</v>
      </c>
      <c r="AI46" s="138">
        <f t="shared" si="51"/>
        <v>745</v>
      </c>
      <c r="AJ46" s="138">
        <f t="shared" si="28"/>
        <v>762</v>
      </c>
      <c r="AL46" s="136">
        <f t="shared" si="29"/>
        <v>3.597</v>
      </c>
      <c r="AM46" s="258">
        <f t="shared" si="30"/>
        <v>-0.05</v>
      </c>
      <c r="AN46" s="258">
        <f t="shared" si="31"/>
        <v>7.4999999999999997E-3</v>
      </c>
      <c r="AO46" s="258">
        <f t="shared" si="32"/>
        <v>0.35</v>
      </c>
      <c r="AP46" s="258">
        <f t="shared" si="33"/>
        <v>0</v>
      </c>
      <c r="AQ46" s="136">
        <f t="shared" si="34"/>
        <v>3.3399999999999999E-2</v>
      </c>
      <c r="AR46" s="137">
        <f t="shared" si="35"/>
        <v>2.75E-2</v>
      </c>
      <c r="AS46" s="136">
        <f t="shared" si="36"/>
        <v>3.5545</v>
      </c>
      <c r="AT46" s="137">
        <f t="shared" si="37"/>
        <v>3.6629399588957501E-2</v>
      </c>
      <c r="AU46" s="137">
        <f t="shared" si="38"/>
        <v>0.9273462084680153</v>
      </c>
      <c r="AV46" s="394">
        <f t="shared" si="39"/>
        <v>316.2250570875932</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1.3261839505333279E-6</v>
      </c>
      <c r="BG46" s="137">
        <f>_xll.xSPRDOPT($BW46,$BV46,$CG46,0,$BY46,$BX46,$BZ46,$AJ46,1,3)*$CB46</f>
        <v>1.1051532921111066E-6</v>
      </c>
      <c r="BH46" s="137">
        <f>IF(OR(BF46&lt;&gt;0,BG46&lt;&gt;0),_xll.xSPRDOPT($BW46,$BV46,$CG46,0,$BY46,$BX46,$BZ46,$AJ46,1,12)*$CB46,0)</f>
        <v>-5.5257664605555325E-8</v>
      </c>
      <c r="BI46" s="137">
        <f>_xll.xSPRDOPT($BW46,$BV46,$CG46,2*LN(1+CA46/2),$BY46,$BX46,$BZ46,$AJ46,1,9)</f>
        <v>8.6972348826596067E-3</v>
      </c>
      <c r="BJ46" s="137">
        <f>_xll.xSPRDOPT($BW46,$BV46,$CG46,0,$BY46,$BX46,$BZ46,$AJ46,1,6)*$CB46</f>
        <v>-5.9221069329709641E-4</v>
      </c>
      <c r="BK46" s="137">
        <f>_xll.xSPRDOPT($BW46,$BV46,$CG46,0,$BY46,$BX46,$BZ46,$AJ46,1,5)*$CB46</f>
        <v>6.395204874180253E-4</v>
      </c>
      <c r="BL46" s="137">
        <f>_xll.xSPRDOPT(BW46,BV46,CG46,0,BY46,BX46,BZ46,AJ46,1,2)*CB46</f>
        <v>-0.92704350817869563</v>
      </c>
      <c r="BM46" s="137">
        <f>_xll.xSPRDOPT(BW46,BV46,CG46,0,BY46,BX46,BZ46,AJ46,1,1)*CB46</f>
        <v>0.92704350818122516</v>
      </c>
      <c r="BN46" s="137">
        <f>IF(AH46&lt;&gt;0,_xll.xSPRDOPT($BW46,$BV46,$CG46,2*LN(1+CA46/2),$BY46,$BX46,$BZ46,$AJ46,1,8)+(AJ46/365.25)*CH46/AH46,0)</f>
        <v>0.22573175292416092</v>
      </c>
      <c r="BO46" s="137">
        <f>_xll.xSPRDOPT($BW46,$BV46,$CG46,0,$BY46,$BX46,$BZ46,$AJ46,1,0)</f>
        <v>0.25858800696094042</v>
      </c>
      <c r="BP46" s="137"/>
      <c r="BQ46" s="137"/>
      <c r="BR46" s="137"/>
      <c r="BS46" s="137"/>
      <c r="BV46" s="262">
        <v>3.6550128534704367</v>
      </c>
      <c r="BW46" s="136">
        <v>3.9470000000000001</v>
      </c>
      <c r="BX46" s="137">
        <v>0.39296565235306902</v>
      </c>
      <c r="BY46" s="137">
        <v>0.39296565235306902</v>
      </c>
      <c r="BZ46" s="137">
        <v>1</v>
      </c>
      <c r="CA46" s="137">
        <v>3.6629399588957501E-2</v>
      </c>
      <c r="CB46" s="137">
        <v>0.92706977474295649</v>
      </c>
      <c r="CC46" s="258">
        <v>-0.05</v>
      </c>
      <c r="CD46" s="258">
        <v>7.4999999999999997E-3</v>
      </c>
      <c r="CE46" s="258">
        <v>0.35</v>
      </c>
      <c r="CF46" s="258">
        <v>0</v>
      </c>
      <c r="CG46" s="258">
        <v>3.3399999999999999E-2</v>
      </c>
      <c r="CH46" s="258">
        <v>10.78580788029198</v>
      </c>
      <c r="CI46" s="258">
        <v>3.597</v>
      </c>
      <c r="CJ46" s="258"/>
      <c r="CK46" s="258"/>
      <c r="CL46" s="258"/>
      <c r="CM46" s="258"/>
    </row>
    <row r="47" spans="1:91" x14ac:dyDescent="0.25">
      <c r="A47" s="723"/>
      <c r="B47" s="723"/>
      <c r="D47" s="31">
        <f t="shared" si="47"/>
        <v>38032</v>
      </c>
      <c r="F47" s="28">
        <f t="shared" si="12"/>
        <v>396</v>
      </c>
      <c r="G47" s="28">
        <f t="shared" si="13"/>
        <v>365.43484333635422</v>
      </c>
      <c r="H47" s="52">
        <f t="shared" si="14"/>
        <v>3.5676092544987146</v>
      </c>
      <c r="I47" s="52">
        <f t="shared" si="15"/>
        <v>3.8620000000000001</v>
      </c>
      <c r="K47" s="52">
        <f t="shared" si="16"/>
        <v>6.9845410445467593</v>
      </c>
      <c r="L47" s="135">
        <f t="shared" si="17"/>
        <v>2.7934091717085607E-5</v>
      </c>
      <c r="N47" s="131">
        <f t="shared" si="48"/>
        <v>0.39080901832551673</v>
      </c>
      <c r="O47" s="131">
        <f t="shared" si="49"/>
        <v>0.39080901832551673</v>
      </c>
      <c r="P47" s="55">
        <f t="shared" si="50"/>
        <v>1</v>
      </c>
      <c r="Q47" s="135">
        <f>_xll.xSPRDOPT(I47,H47,AQ47,0,O47,N47,P47,D47-$G$5,1,0)*AH47*AU47</f>
        <v>6.9845689786384764</v>
      </c>
      <c r="R47" s="135"/>
      <c r="S47" s="181">
        <f>_xll.xSPRDOPT(I47,H47,AQ47,AT47,O47,N47,P47,D47-$G$5,1,2)*AF47*(F47/(1-AR47))*AH47</f>
        <v>-10888.812018514122</v>
      </c>
      <c r="T47" s="181">
        <f>_xll.xSPRDOPT(I47,H47,AQ47,AT47,O47,N47,P47,D47-$G$5,1,1)*AF47*F47*AH47</f>
        <v>10589.369687900537</v>
      </c>
      <c r="U47" s="135"/>
      <c r="V47" s="146">
        <f t="shared" si="18"/>
        <v>10.043644455605754</v>
      </c>
      <c r="W47" s="146"/>
      <c r="X47" s="338">
        <f t="shared" si="19"/>
        <v>0</v>
      </c>
      <c r="Y47" s="338">
        <f t="shared" si="20"/>
        <v>0</v>
      </c>
      <c r="Z47" s="338">
        <f t="shared" si="21"/>
        <v>0.84304164308325535</v>
      </c>
      <c r="AA47" s="338">
        <f t="shared" si="22"/>
        <v>4.1208395086687788E-5</v>
      </c>
      <c r="AB47" s="338">
        <f t="shared" si="23"/>
        <v>0</v>
      </c>
      <c r="AC47" s="338">
        <f t="shared" si="24"/>
        <v>0.85131896712675059</v>
      </c>
      <c r="AF47" s="138">
        <f t="shared" si="25"/>
        <v>1</v>
      </c>
      <c r="AG47" s="138">
        <f t="shared" si="26"/>
        <v>2</v>
      </c>
      <c r="AH47" s="138">
        <f t="shared" si="27"/>
        <v>29</v>
      </c>
      <c r="AI47" s="138">
        <f t="shared" si="51"/>
        <v>776</v>
      </c>
      <c r="AJ47" s="138">
        <f t="shared" si="28"/>
        <v>793</v>
      </c>
      <c r="AL47" s="136">
        <f t="shared" si="29"/>
        <v>3.512</v>
      </c>
      <c r="AM47" s="258">
        <f t="shared" si="30"/>
        <v>-0.05</v>
      </c>
      <c r="AN47" s="258">
        <f t="shared" si="31"/>
        <v>7.4999999999999997E-3</v>
      </c>
      <c r="AO47" s="258">
        <f t="shared" si="32"/>
        <v>0.35</v>
      </c>
      <c r="AP47" s="258">
        <f t="shared" si="33"/>
        <v>0</v>
      </c>
      <c r="AQ47" s="136">
        <f t="shared" si="34"/>
        <v>3.3399999999999999E-2</v>
      </c>
      <c r="AR47" s="137">
        <f t="shared" si="35"/>
        <v>2.75E-2</v>
      </c>
      <c r="AS47" s="136">
        <f t="shared" si="36"/>
        <v>3.4695</v>
      </c>
      <c r="AT47" s="137">
        <f t="shared" si="37"/>
        <v>3.74851197051385E-2</v>
      </c>
      <c r="AU47" s="137">
        <f t="shared" si="38"/>
        <v>0.92281526095038946</v>
      </c>
      <c r="AV47" s="394">
        <f t="shared" si="39"/>
        <v>294.37806824317425</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1.3196952034416742E-6</v>
      </c>
      <c r="BG47" s="137">
        <f>_xll.xSPRDOPT($BW47,$BV47,$CG47,0,$BY47,$BX47,$BZ47,$AJ47,1,3)*$CB47</f>
        <v>6.5984760172083711E-7</v>
      </c>
      <c r="BH47" s="137">
        <f>IF(OR(BF47&lt;&gt;0,BG47&lt;&gt;0),_xll.xSPRDOPT($BW47,$BV47,$CG47,0,$BY47,$BX47,$BZ47,$AJ47,1,12)*$CB47,0)</f>
        <v>-6.5984760172083711E-7</v>
      </c>
      <c r="BI47" s="137">
        <f>_xll.xSPRDOPT($BW47,$BV47,$CG47,2*LN(1+CA47/2),$BY47,$BX47,$BZ47,$AJ47,1,9)</f>
        <v>8.9376802547358365E-3</v>
      </c>
      <c r="BJ47" s="137">
        <f>_xll.xSPRDOPT($BW47,$BV47,$CG47,0,$BY47,$BX47,$BZ47,$AJ47,1,6)*$CB47</f>
        <v>-5.6780094209361723E-4</v>
      </c>
      <c r="BK47" s="137">
        <f>_xll.xSPRDOPT($BW47,$BV47,$CG47,0,$BY47,$BX47,$BZ47,$AJ47,1,5)*$CB47</f>
        <v>6.1465454206819823E-4</v>
      </c>
      <c r="BL47" s="137">
        <f>_xll.xSPRDOPT(BW47,BV47,CG47,0,BY47,BX47,BZ47,AJ47,1,2)*CB47</f>
        <v>-0.92250856756776967</v>
      </c>
      <c r="BM47" s="137">
        <f>_xll.xSPRDOPT(BW47,BV47,CG47,0,BY47,BX47,BZ47,AJ47,1,1)*CB47</f>
        <v>0.92250856756357447</v>
      </c>
      <c r="BN47" s="137">
        <f>IF(AH47&lt;&gt;0,_xll.xSPRDOPT($BW47,$BV47,$CG47,2*LN(1+CA47/2),$BY47,$BX47,$BZ47,$AJ47,1,8)+(AJ47/365.25)*CH47/AH47,0)</f>
        <v>0.22895100461760021</v>
      </c>
      <c r="BO47" s="137">
        <f>_xll.xSPRDOPT($BW47,$BV47,$CG47,0,$BY47,$BX47,$BZ47,$AJ47,1,0)</f>
        <v>0.2609918230690047</v>
      </c>
      <c r="BP47" s="137"/>
      <c r="BQ47" s="137"/>
      <c r="BR47" s="137"/>
      <c r="BS47" s="137"/>
      <c r="BV47" s="262">
        <v>3.5676092544987146</v>
      </c>
      <c r="BW47" s="136">
        <v>3.8620000000000001</v>
      </c>
      <c r="BX47" s="137">
        <v>0.3907324322965694</v>
      </c>
      <c r="BY47" s="137">
        <v>0.3907324322965694</v>
      </c>
      <c r="BZ47" s="137">
        <v>1</v>
      </c>
      <c r="CA47" s="137">
        <v>3.74851197051385E-2</v>
      </c>
      <c r="CB47" s="137">
        <v>0.92253381176270466</v>
      </c>
      <c r="CC47" s="258">
        <v>-0.05</v>
      </c>
      <c r="CD47" s="258">
        <v>7.4999999999999997E-3</v>
      </c>
      <c r="CE47" s="258">
        <v>0.35</v>
      </c>
      <c r="CF47" s="258">
        <v>0</v>
      </c>
      <c r="CG47" s="258">
        <v>3.3399999999999999E-2</v>
      </c>
      <c r="CH47" s="258">
        <v>10.04058124708175</v>
      </c>
      <c r="CI47" s="258">
        <v>3.512</v>
      </c>
      <c r="CJ47" s="258"/>
      <c r="CK47" s="258"/>
      <c r="CL47" s="258"/>
      <c r="CM47" s="258"/>
    </row>
    <row r="48" spans="1:91" x14ac:dyDescent="0.25">
      <c r="A48" s="723"/>
      <c r="B48" s="723"/>
      <c r="D48" s="31">
        <f t="shared" si="47"/>
        <v>38061</v>
      </c>
      <c r="F48" s="28">
        <f t="shared" si="12"/>
        <v>396</v>
      </c>
      <c r="G48" s="28">
        <f t="shared" si="13"/>
        <v>363.7175819816747</v>
      </c>
      <c r="H48" s="52">
        <f t="shared" si="14"/>
        <v>3.4339331619537274</v>
      </c>
      <c r="I48" s="52">
        <f t="shared" si="15"/>
        <v>3.782</v>
      </c>
      <c r="K48" s="52">
        <f t="shared" si="16"/>
        <v>8.9594588519805427</v>
      </c>
      <c r="L48" s="135">
        <f t="shared" si="17"/>
        <v>4.3108388130264075E-6</v>
      </c>
      <c r="N48" s="131">
        <f t="shared" si="48"/>
        <v>0.36642927609768672</v>
      </c>
      <c r="O48" s="131">
        <f t="shared" si="49"/>
        <v>0.36642927609768672</v>
      </c>
      <c r="P48" s="55">
        <f t="shared" si="50"/>
        <v>0.99999999999999989</v>
      </c>
      <c r="Q48" s="135">
        <f>_xll.xSPRDOPT(I48,H48,AQ48,0,O48,N48,P48,D48-$G$5,1,0)*AH48*AU48</f>
        <v>8.9594631628193557</v>
      </c>
      <c r="R48" s="135"/>
      <c r="S48" s="181">
        <f>_xll.xSPRDOPT(I48,H48,AQ48,AT48,O48,N48,P48,D48-$G$5,1,2)*AF48*(F48/(1-AR48))*AH48</f>
        <v>-11584.638557405347</v>
      </c>
      <c r="T48" s="181">
        <f>_xll.xSPRDOPT(I48,H48,AQ48,AT48,O48,N48,P48,D48-$G$5,1,1)*AF48*F48*AH48</f>
        <v>11266.060997020875</v>
      </c>
      <c r="U48" s="135"/>
      <c r="V48" s="146">
        <f t="shared" si="18"/>
        <v>10.685857232447976</v>
      </c>
      <c r="W48" s="146"/>
      <c r="X48" s="338">
        <f t="shared" si="19"/>
        <v>0</v>
      </c>
      <c r="Y48" s="338">
        <f t="shared" si="20"/>
        <v>0</v>
      </c>
      <c r="Z48" s="338">
        <f t="shared" si="21"/>
        <v>1.1047364735073431</v>
      </c>
      <c r="AA48" s="338">
        <f t="shared" si="22"/>
        <v>4.0603189900413119E-6</v>
      </c>
      <c r="AB48" s="338">
        <f t="shared" si="23"/>
        <v>0</v>
      </c>
      <c r="AC48" s="338">
        <f t="shared" si="24"/>
        <v>1.1153438009431702</v>
      </c>
      <c r="AF48" s="138">
        <f t="shared" si="25"/>
        <v>1</v>
      </c>
      <c r="AG48" s="138">
        <f t="shared" si="26"/>
        <v>3</v>
      </c>
      <c r="AH48" s="138">
        <f t="shared" si="27"/>
        <v>31</v>
      </c>
      <c r="AI48" s="138">
        <f t="shared" si="51"/>
        <v>805</v>
      </c>
      <c r="AJ48" s="138">
        <f t="shared" si="28"/>
        <v>822</v>
      </c>
      <c r="AL48" s="136">
        <f t="shared" si="29"/>
        <v>3.3820000000000001</v>
      </c>
      <c r="AM48" s="258">
        <f t="shared" si="30"/>
        <v>-0.05</v>
      </c>
      <c r="AN48" s="258">
        <f t="shared" si="31"/>
        <v>7.4999999999999997E-3</v>
      </c>
      <c r="AO48" s="258">
        <f t="shared" si="32"/>
        <v>0.4</v>
      </c>
      <c r="AP48" s="258">
        <f t="shared" si="33"/>
        <v>0</v>
      </c>
      <c r="AQ48" s="136">
        <f t="shared" si="34"/>
        <v>3.3399999999999999E-2</v>
      </c>
      <c r="AR48" s="137">
        <f t="shared" si="35"/>
        <v>2.75E-2</v>
      </c>
      <c r="AS48" s="136">
        <f t="shared" si="36"/>
        <v>3.3395000000000001</v>
      </c>
      <c r="AT48" s="137">
        <f t="shared" si="37"/>
        <v>3.8285632294587903E-2</v>
      </c>
      <c r="AU48" s="137">
        <f t="shared" si="38"/>
        <v>0.91847874237796645</v>
      </c>
      <c r="AV48" s="394">
        <f t="shared" si="39"/>
        <v>313.20125115088655</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-1.0945709834505646E-7</v>
      </c>
      <c r="BG48" s="137">
        <f>_xll.xSPRDOPT($BW48,$BV48,$CG48,0,$BY48,$BX48,$BZ48,$AJ48,1,3)*$CB48</f>
        <v>1.0945709834505645E-6</v>
      </c>
      <c r="BH48" s="137">
        <f>IF(OR(BF48&lt;&gt;0,BG48&lt;&gt;0),_xll.xSPRDOPT($BW48,$BV48,$CG48,0,$BY48,$BX48,$BZ48,$AJ48,1,12)*$CB48,0)</f>
        <v>-6.0201404089781047E-7</v>
      </c>
      <c r="BI48" s="137">
        <f>_xll.xSPRDOPT($BW48,$BV48,$CG48,2*LN(1+CA48/2),$BY48,$BX48,$BZ48,$AJ48,1,9)</f>
        <v>1.0956473252648993E-2</v>
      </c>
      <c r="BJ48" s="137">
        <f>_xll.xSPRDOPT($BW48,$BV48,$CG48,0,$BY48,$BX48,$BZ48,$AJ48,1,6)*$CB48</f>
        <v>-7.9608285935061233E-5</v>
      </c>
      <c r="BK48" s="137">
        <f>_xll.xSPRDOPT($BW48,$BV48,$CG48,0,$BY48,$BX48,$BZ48,$AJ48,1,5)*$CB48</f>
        <v>8.7677458548957724E-5</v>
      </c>
      <c r="BL48" s="137">
        <f>_xll.xSPRDOPT(BW48,BV48,CG48,0,BY48,BX48,BZ48,AJ48,1,2)*CB48</f>
        <v>-0.91818947651643623</v>
      </c>
      <c r="BM48" s="137">
        <f>_xll.xSPRDOPT(BW48,BV48,CG48,0,BY48,BX48,BZ48,AJ48,1,1)*CB48</f>
        <v>0.91818947651226079</v>
      </c>
      <c r="BN48" s="137">
        <f>IF(AH48&lt;&gt;0,_xll.xSPRDOPT($BW48,$BV48,$CG48,2*LN(1+CA48/2),$BY48,$BX48,$BZ48,$AJ48,1,8)+(AJ48/365.25)*CH48/AH48,0)</f>
        <v>0.12529233902763981</v>
      </c>
      <c r="BO48" s="137">
        <f>_xll.xSPRDOPT($BW48,$BV48,$CG48,0,$BY48,$BX48,$BZ48,$AJ48,1,0)</f>
        <v>0.31466699498134049</v>
      </c>
      <c r="BP48" s="137"/>
      <c r="BQ48" s="137"/>
      <c r="BR48" s="137"/>
      <c r="BS48" s="137"/>
      <c r="BV48" s="262">
        <v>3.4339331619537274</v>
      </c>
      <c r="BW48" s="136">
        <v>3.782</v>
      </c>
      <c r="BX48" s="137">
        <v>0.3663882864421511</v>
      </c>
      <c r="BY48" s="137">
        <v>0.3663882864421511</v>
      </c>
      <c r="BZ48" s="137">
        <v>1</v>
      </c>
      <c r="CA48" s="137">
        <v>3.8285632294587903E-2</v>
      </c>
      <c r="CB48" s="137">
        <v>0.91819269083412736</v>
      </c>
      <c r="CC48" s="258">
        <v>-0.05</v>
      </c>
      <c r="CD48" s="258">
        <v>7.4999999999999997E-3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47"/>
        <v>38092</v>
      </c>
      <c r="F49" s="28">
        <f t="shared" si="12"/>
        <v>396</v>
      </c>
      <c r="G49" s="28">
        <f t="shared" si="13"/>
        <v>361.88795826479111</v>
      </c>
      <c r="H49" s="52">
        <f t="shared" si="14"/>
        <v>3.2411311053984573</v>
      </c>
      <c r="I49" s="52">
        <f t="shared" si="15"/>
        <v>3.7970000000000002</v>
      </c>
      <c r="K49" s="52">
        <f t="shared" si="16"/>
        <v>14.323878903349597</v>
      </c>
      <c r="L49" s="135">
        <f t="shared" si="17"/>
        <v>1.4908240242306192E-6</v>
      </c>
      <c r="N49" s="131">
        <f t="shared" si="48"/>
        <v>0.3313618943887166</v>
      </c>
      <c r="O49" s="131">
        <f t="shared" si="49"/>
        <v>0.3313618943887166</v>
      </c>
      <c r="P49" s="55">
        <f t="shared" si="50"/>
        <v>1</v>
      </c>
      <c r="Q49" s="135">
        <f>_xll.xSPRDOPT(I49,H49,AQ49,0,O49,N49,P49,D49-$G$5,1,0)*AH49*AU49</f>
        <v>14.323880394173621</v>
      </c>
      <c r="R49" s="135"/>
      <c r="S49" s="181">
        <f>_xll.xSPRDOPT(I49,H49,AQ49,AT49,O49,N49,P49,D49-$G$5,1,2)*AF49*(F49/(1-AR49))*AH49</f>
        <v>-11153.849910762519</v>
      </c>
      <c r="T49" s="181">
        <f>_xll.xSPRDOPT(I49,H49,AQ49,AT49,O49,N49,P49,D49-$G$5,1,1)*AF49*F49*AH49</f>
        <v>10847.11903830299</v>
      </c>
      <c r="U49" s="135"/>
      <c r="V49" s="146">
        <f t="shared" si="18"/>
        <v>10.289132631573947</v>
      </c>
      <c r="W49" s="146"/>
      <c r="X49" s="338">
        <f t="shared" si="19"/>
        <v>0</v>
      </c>
      <c r="Y49" s="338">
        <f t="shared" si="20"/>
        <v>0</v>
      </c>
      <c r="Z49" s="338">
        <f t="shared" si="21"/>
        <v>1.8027955342017923</v>
      </c>
      <c r="AA49" s="338">
        <f t="shared" si="22"/>
        <v>-3.9283389626784075E-9</v>
      </c>
      <c r="AB49" s="338">
        <f t="shared" si="23"/>
        <v>0</v>
      </c>
      <c r="AC49" s="338">
        <f t="shared" si="24"/>
        <v>1.8203536665525477</v>
      </c>
      <c r="AF49" s="138">
        <f t="shared" si="25"/>
        <v>1</v>
      </c>
      <c r="AG49" s="138">
        <f t="shared" si="26"/>
        <v>4</v>
      </c>
      <c r="AH49" s="138">
        <f t="shared" si="27"/>
        <v>30</v>
      </c>
      <c r="AI49" s="138">
        <f t="shared" si="51"/>
        <v>836</v>
      </c>
      <c r="AJ49" s="138">
        <f t="shared" si="28"/>
        <v>853</v>
      </c>
      <c r="AL49" s="136">
        <f t="shared" si="29"/>
        <v>3.1970000000000001</v>
      </c>
      <c r="AM49" s="258">
        <f t="shared" si="30"/>
        <v>-5.2499999999999998E-2</v>
      </c>
      <c r="AN49" s="258">
        <f t="shared" si="31"/>
        <v>7.4999999999999997E-3</v>
      </c>
      <c r="AO49" s="258">
        <f t="shared" si="32"/>
        <v>0.6</v>
      </c>
      <c r="AP49" s="258">
        <f t="shared" si="33"/>
        <v>0</v>
      </c>
      <c r="AQ49" s="136">
        <f t="shared" si="34"/>
        <v>3.3399999999999999E-2</v>
      </c>
      <c r="AR49" s="137">
        <f t="shared" si="35"/>
        <v>2.75E-2</v>
      </c>
      <c r="AS49" s="136">
        <f t="shared" si="36"/>
        <v>3.1519999999999997</v>
      </c>
      <c r="AT49" s="137">
        <f t="shared" si="37"/>
        <v>3.9084714616572501E-2</v>
      </c>
      <c r="AU49" s="137">
        <f t="shared" si="38"/>
        <v>0.9138584804666442</v>
      </c>
      <c r="AV49" s="394">
        <f t="shared" si="39"/>
        <v>301.57329855399257</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0</v>
      </c>
      <c r="BG49" s="137">
        <f>_xll.xSPRDOPT($BW49,$BV49,$CG49,0,$BY49,$BX49,$BZ49,$AJ49,1,3)*$CB49</f>
        <v>-2.1781158103795246E-7</v>
      </c>
      <c r="BH49" s="137">
        <f>IF(OR(BF49&lt;&gt;0,BG49&lt;&gt;0),_xll.xSPRDOPT($BW49,$BV49,$CG49,0,$BY49,$BX49,$BZ49,$AJ49,1,12)*$CB49,0)</f>
        <v>5.4452895259488112E-7</v>
      </c>
      <c r="BI49" s="137">
        <f>_xll.xSPRDOPT($BW49,$BV49,$CG49,2*LN(1+CA49/2),$BY49,$BX49,$BZ49,$AJ49,1,9)</f>
        <v>1.8475619216251529E-2</v>
      </c>
      <c r="BJ49" s="137">
        <f>_xll.xSPRDOPT($BW49,$BV49,$CG49,0,$BY49,$BX49,$BZ49,$AJ49,1,6)*$CB49</f>
        <v>4.0387090096622886E-7</v>
      </c>
      <c r="BK49" s="137">
        <f>_xll.xSPRDOPT($BW49,$BV49,$CG49,0,$BY49,$BX49,$BZ49,$AJ49,1,5)*$CB49</f>
        <v>-4.7312986035805716E-7</v>
      </c>
      <c r="BL49" s="137">
        <f>_xll.xSPRDOPT(BW49,BV49,CG49,0,BY49,BX49,BZ49,AJ49,1,2)*CB49</f>
        <v>-0.91356808011198976</v>
      </c>
      <c r="BM49" s="137">
        <f>_xll.xSPRDOPT(BW49,BV49,CG49,0,BY49,BX49,BZ49,AJ49,1,1)*CB49</f>
        <v>0.91356808011531332</v>
      </c>
      <c r="BN49" s="137">
        <f>IF(AH49&lt;&gt;0,_xll.xSPRDOPT($BW49,$BV49,$CG49,2*LN(1+CA49/2),$BY49,$BX49,$BZ49,$AJ49,1,8)+(AJ49/365.25)*CH49/AH49,0)</f>
        <v>-0.31399003616415655</v>
      </c>
      <c r="BO49" s="137">
        <f>_xll.xSPRDOPT($BW49,$BV49,$CG49,0,$BY49,$BX49,$BZ49,$AJ49,1,0)</f>
        <v>0.52246894893611218</v>
      </c>
      <c r="BP49" s="137"/>
      <c r="BQ49" s="137"/>
      <c r="BR49" s="137"/>
      <c r="BS49" s="137"/>
      <c r="BV49" s="262">
        <v>3.2411311053984573</v>
      </c>
      <c r="BW49" s="136">
        <v>3.7970000000000002</v>
      </c>
      <c r="BX49" s="137">
        <v>0.33135712001344797</v>
      </c>
      <c r="BY49" s="137">
        <v>0.33135712001344797</v>
      </c>
      <c r="BZ49" s="137">
        <v>1</v>
      </c>
      <c r="CA49" s="137">
        <v>3.9084714616572501E-2</v>
      </c>
      <c r="CB49" s="137">
        <v>0.91356798559380814</v>
      </c>
      <c r="CC49" s="258">
        <v>-5.2499999999999998E-2</v>
      </c>
      <c r="CD49" s="258">
        <v>7.4999999999999997E-3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47"/>
        <v>38122</v>
      </c>
      <c r="F50" s="28">
        <f t="shared" si="12"/>
        <v>252</v>
      </c>
      <c r="G50" s="28">
        <f t="shared" si="13"/>
        <v>229.17394291550704</v>
      </c>
      <c r="H50" s="52">
        <f t="shared" si="14"/>
        <v>3.1469999999999998</v>
      </c>
      <c r="I50" s="52">
        <f t="shared" si="15"/>
        <v>3.9420000000000002</v>
      </c>
      <c r="K50" s="52">
        <f t="shared" si="16"/>
        <v>22.412665964891563</v>
      </c>
      <c r="L50" s="135">
        <f t="shared" si="17"/>
        <v>2.3563785980229568E-6</v>
      </c>
      <c r="N50" s="131">
        <f t="shared" si="48"/>
        <v>0.32761016081651256</v>
      </c>
      <c r="O50" s="131">
        <f t="shared" si="49"/>
        <v>0.32761016081651256</v>
      </c>
      <c r="P50" s="55">
        <f t="shared" si="50"/>
        <v>1.0000000000000002</v>
      </c>
      <c r="Q50" s="135">
        <f>_xll.xSPRDOPT(I50,H50,AQ50,0,O50,N50,P50,D50-$G$5,1,0)*AH50*AU50</f>
        <v>22.412668321270161</v>
      </c>
      <c r="R50" s="135"/>
      <c r="S50" s="181">
        <f>_xll.xSPRDOPT(I50,H50,AQ50,AT50,O50,N50,P50,D50-$G$5,1,2)*AF50*(F50/(1-AR50))*AH50</f>
        <v>-7097.7065050602032</v>
      </c>
      <c r="T50" s="181">
        <f>_xll.xSPRDOPT(I50,H50,AQ50,AT50,O50,N50,P50,D50-$G$5,1,1)*AF50*F50*AH50</f>
        <v>7097.7065049749435</v>
      </c>
      <c r="U50" s="135"/>
      <c r="V50" s="146">
        <f t="shared" si="18"/>
        <v>0</v>
      </c>
      <c r="W50" s="146"/>
      <c r="X50" s="338">
        <f t="shared" si="19"/>
        <v>0</v>
      </c>
      <c r="Y50" s="338">
        <f t="shared" si="20"/>
        <v>0</v>
      </c>
      <c r="Z50" s="338">
        <f t="shared" si="21"/>
        <v>1.8275830409837348</v>
      </c>
      <c r="AA50" s="338">
        <f t="shared" si="22"/>
        <v>-7.8425440102108264E-9</v>
      </c>
      <c r="AB50" s="338">
        <f t="shared" si="23"/>
        <v>0</v>
      </c>
      <c r="AC50" s="338">
        <f t="shared" si="24"/>
        <v>1.8457070710042773</v>
      </c>
      <c r="AF50" s="138">
        <f t="shared" si="25"/>
        <v>1</v>
      </c>
      <c r="AG50" s="138">
        <f t="shared" si="26"/>
        <v>5</v>
      </c>
      <c r="AH50" s="138">
        <f t="shared" si="27"/>
        <v>31</v>
      </c>
      <c r="AI50" s="138">
        <f t="shared" si="51"/>
        <v>866</v>
      </c>
      <c r="AJ50" s="138">
        <f t="shared" si="28"/>
        <v>883</v>
      </c>
      <c r="AL50" s="136">
        <f t="shared" si="29"/>
        <v>3.1920000000000002</v>
      </c>
      <c r="AM50" s="258">
        <f t="shared" si="30"/>
        <v>-5.2499999999999998E-2</v>
      </c>
      <c r="AN50" s="258">
        <f t="shared" si="31"/>
        <v>7.4999999999999997E-3</v>
      </c>
      <c r="AO50" s="258">
        <f t="shared" si="32"/>
        <v>0.75</v>
      </c>
      <c r="AP50" s="258">
        <f t="shared" si="33"/>
        <v>0</v>
      </c>
      <c r="AQ50" s="136">
        <f t="shared" si="34"/>
        <v>0</v>
      </c>
      <c r="AR50" s="137">
        <f t="shared" si="35"/>
        <v>0</v>
      </c>
      <c r="AS50" s="136">
        <f t="shared" si="36"/>
        <v>3.1469999999999998</v>
      </c>
      <c r="AT50" s="137">
        <f t="shared" si="37"/>
        <v>3.9799554968306797E-2</v>
      </c>
      <c r="AU50" s="137">
        <f t="shared" si="38"/>
        <v>0.90942040839486926</v>
      </c>
      <c r="AV50" s="394">
        <f t="shared" si="39"/>
        <v>0</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-1.5172678536755255E-6</v>
      </c>
      <c r="BG50" s="137">
        <f>_xll.xSPRDOPT($BW50,$BV50,$CG50,0,$BY50,$BX50,$BZ50,$AJ50,1,3)*$CB50</f>
        <v>-1.5172678536755255E-6</v>
      </c>
      <c r="BH50" s="137">
        <f>IF(OR(BF50&lt;&gt;0,BG50&lt;&gt;0),_xll.xSPRDOPT($BW50,$BV50,$CG50,0,$BY50,$BX50,$BZ50,$AJ50,1,12)*$CB50,0)</f>
        <v>9.7538647736283777E-7</v>
      </c>
      <c r="BI50" s="137">
        <f>_xll.xSPRDOPT($BW50,$BV50,$CG50,2*LN(1+CA50/2),$BY50,$BX50,$BZ50,$AJ50,1,9)</f>
        <v>2.8482877014819476E-2</v>
      </c>
      <c r="BJ50" s="137">
        <f>_xll.xSPRDOPT($BW50,$BV50,$CG50,0,$BY50,$BX50,$BZ50,$AJ50,1,6)*$CB50</f>
        <v>4.506422219345121E-7</v>
      </c>
      <c r="BK50" s="137">
        <f>_xll.xSPRDOPT($BW50,$BV50,$CG50,0,$BY50,$BX50,$BZ50,$AJ50,1,5)*$CB50</f>
        <v>-5.6449187964845521E-7</v>
      </c>
      <c r="BL50" s="137">
        <f>_xll.xSPRDOPT(BW50,BV50,CG50,0,BY50,BX50,BZ50,AJ50,1,2)*CB50</f>
        <v>-0.90912618518973964</v>
      </c>
      <c r="BM50" s="137">
        <f>_xll.xSPRDOPT(BW50,BV50,CG50,0,BY50,BX50,BZ50,AJ50,1,1)*CB50</f>
        <v>0.90912618517651012</v>
      </c>
      <c r="BN50" s="137">
        <f>IF(AH50&lt;&gt;0,_xll.xSPRDOPT($BW50,$BV50,$CG50,2*LN(1+CA50/2),$BY50,$BX50,$BZ50,$AJ50,1,8)+(AJ50/365.25)*CH50/AH50,0)</f>
        <v>-1.7472770570958995</v>
      </c>
      <c r="BO50" s="137">
        <f>_xll.xSPRDOPT($BW50,$BV50,$CG50,0,$BY50,$BX50,$BZ50,$AJ50,1,0)</f>
        <v>0.79500008351454954</v>
      </c>
      <c r="BP50" s="137"/>
      <c r="BQ50" s="137"/>
      <c r="BR50" s="137"/>
      <c r="BS50" s="137"/>
      <c r="BV50" s="262">
        <v>3.1469999999999998</v>
      </c>
      <c r="BW50" s="136">
        <v>3.9420000000000002</v>
      </c>
      <c r="BX50" s="137">
        <v>0.32760134296054622</v>
      </c>
      <c r="BY50" s="137">
        <v>0.32760134296054622</v>
      </c>
      <c r="BZ50" s="137">
        <v>1</v>
      </c>
      <c r="CA50" s="137">
        <v>3.9799554968306797E-2</v>
      </c>
      <c r="CB50" s="137">
        <v>0.90912608967752451</v>
      </c>
      <c r="CC50" s="258">
        <v>-5.2499999999999998E-2</v>
      </c>
      <c r="CD50" s="258">
        <v>7.4999999999999997E-3</v>
      </c>
      <c r="CE50" s="258">
        <v>0.75</v>
      </c>
      <c r="CF50" s="258">
        <v>0</v>
      </c>
      <c r="CG50" s="258">
        <v>0</v>
      </c>
      <c r="CH50" s="258">
        <v>0</v>
      </c>
      <c r="CI50" s="258">
        <v>3.1920000000000002</v>
      </c>
      <c r="CJ50" s="258"/>
      <c r="CK50" s="258"/>
      <c r="CL50" s="258"/>
      <c r="CM50" s="258"/>
    </row>
    <row r="51" spans="1:91" x14ac:dyDescent="0.25">
      <c r="A51" s="723"/>
      <c r="B51" s="723"/>
      <c r="D51" s="31">
        <f t="shared" si="47"/>
        <v>38153</v>
      </c>
      <c r="F51" s="28">
        <f t="shared" si="12"/>
        <v>252</v>
      </c>
      <c r="G51" s="28">
        <f t="shared" si="13"/>
        <v>227.99653694628267</v>
      </c>
      <c r="H51" s="52">
        <f t="shared" si="14"/>
        <v>3.1844999999999999</v>
      </c>
      <c r="I51" s="52">
        <f t="shared" si="15"/>
        <v>4.077</v>
      </c>
      <c r="K51" s="52">
        <f t="shared" si="16"/>
        <v>24.224632050542539</v>
      </c>
      <c r="L51" s="135">
        <f t="shared" si="17"/>
        <v>2.5446571356724235E-6</v>
      </c>
      <c r="N51" s="131">
        <f t="shared" si="48"/>
        <v>0.32256221350143816</v>
      </c>
      <c r="O51" s="131">
        <f t="shared" si="49"/>
        <v>0.32256221350143816</v>
      </c>
      <c r="P51" s="55">
        <f t="shared" si="50"/>
        <v>1</v>
      </c>
      <c r="Q51" s="135">
        <f>_xll.xSPRDOPT(I51,H51,AQ51,0,O51,N51,P51,D51-$G$5,1,0)*AH51*AU51</f>
        <v>24.224634595199674</v>
      </c>
      <c r="R51" s="135"/>
      <c r="S51" s="181">
        <f>_xll.xSPRDOPT(I51,H51,AQ51,AT51,O51,N51,P51,D51-$G$5,1,2)*AF51*(F51/(1-AR51))*AH51</f>
        <v>-6832.9847577953478</v>
      </c>
      <c r="T51" s="181">
        <f>_xll.xSPRDOPT(I51,H51,AQ51,AT51,O51,N51,P51,D51-$G$5,1,1)*AF51*F51*AH51</f>
        <v>6832.9847579053603</v>
      </c>
      <c r="U51" s="135"/>
      <c r="V51" s="146">
        <f t="shared" si="18"/>
        <v>0</v>
      </c>
      <c r="W51" s="146"/>
      <c r="X51" s="338">
        <f t="shared" si="19"/>
        <v>0</v>
      </c>
      <c r="Y51" s="338">
        <f t="shared" si="20"/>
        <v>0</v>
      </c>
      <c r="Z51" s="338">
        <f t="shared" si="21"/>
        <v>2.0116194073996856</v>
      </c>
      <c r="AA51" s="338">
        <f t="shared" si="22"/>
        <v>-8.1960098248179372E-9</v>
      </c>
      <c r="AB51" s="338">
        <f t="shared" si="23"/>
        <v>0</v>
      </c>
      <c r="AC51" s="338">
        <f t="shared" si="24"/>
        <v>2.0319375713619441</v>
      </c>
      <c r="AF51" s="138">
        <f t="shared" si="25"/>
        <v>1</v>
      </c>
      <c r="AG51" s="138">
        <f t="shared" si="26"/>
        <v>6</v>
      </c>
      <c r="AH51" s="138">
        <f t="shared" si="27"/>
        <v>30</v>
      </c>
      <c r="AI51" s="138">
        <f t="shared" si="51"/>
        <v>897</v>
      </c>
      <c r="AJ51" s="138">
        <f t="shared" si="28"/>
        <v>914</v>
      </c>
      <c r="AL51" s="136">
        <f t="shared" si="29"/>
        <v>3.2269999999999999</v>
      </c>
      <c r="AM51" s="258">
        <f t="shared" si="30"/>
        <v>-0.05</v>
      </c>
      <c r="AN51" s="258">
        <f t="shared" si="31"/>
        <v>7.4999999999999997E-3</v>
      </c>
      <c r="AO51" s="258">
        <f t="shared" si="32"/>
        <v>0.85</v>
      </c>
      <c r="AP51" s="258">
        <f t="shared" si="33"/>
        <v>0</v>
      </c>
      <c r="AQ51" s="136">
        <f t="shared" si="34"/>
        <v>0</v>
      </c>
      <c r="AR51" s="137">
        <f t="shared" si="35"/>
        <v>0</v>
      </c>
      <c r="AS51" s="136">
        <f t="shared" si="36"/>
        <v>3.1844999999999999</v>
      </c>
      <c r="AT51" s="137">
        <f t="shared" si="37"/>
        <v>4.0538223511899799E-2</v>
      </c>
      <c r="AU51" s="137">
        <f t="shared" si="38"/>
        <v>0.9047481624852487</v>
      </c>
      <c r="AV51" s="394">
        <f t="shared" si="39"/>
        <v>0</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1.9407391044015693E-6</v>
      </c>
      <c r="BG51" s="137">
        <f>_xll.xSPRDOPT($BW51,$BV51,$CG51,0,$BY51,$BX51,$BZ51,$AJ51,1,3)*$CB51</f>
        <v>4.3127535653368208E-7</v>
      </c>
      <c r="BH51" s="137">
        <f>IF(OR(BF51&lt;&gt;0,BG51&lt;&gt;0),_xll.xSPRDOPT($BW51,$BV51,$CG51,0,$BY51,$BX51,$BZ51,$AJ51,1,12)*$CB51,0)</f>
        <v>-1.1860072304676256E-6</v>
      </c>
      <c r="BI51" s="137">
        <f>_xll.xSPRDOPT($BW51,$BV51,$CG51,2*LN(1+CA51/2),$BY51,$BX51,$BZ51,$AJ51,1,9)</f>
        <v>3.2396119424723771E-2</v>
      </c>
      <c r="BJ51" s="137">
        <f>_xll.xSPRDOPT($BW51,$BV51,$CG51,0,$BY51,$BX51,$BZ51,$AJ51,1,6)*$CB51</f>
        <v>4.6235123312585124E-7</v>
      </c>
      <c r="BK51" s="137">
        <f>_xll.xSPRDOPT($BW51,$BV51,$CG51,0,$BY51,$BX51,$BZ51,$AJ51,1,5)*$CB51</f>
        <v>-5.9191628383586639E-7</v>
      </c>
      <c r="BL51" s="137">
        <f>_xll.xSPRDOPT(BW51,BV51,CG51,0,BY51,BX51,BZ51,AJ51,1,2)*CB51</f>
        <v>-0.90445007143249456</v>
      </c>
      <c r="BM51" s="137">
        <f>_xll.xSPRDOPT(BW51,BV51,CG51,0,BY51,BX51,BZ51,AJ51,1,1)*CB51</f>
        <v>0.90445007144565603</v>
      </c>
      <c r="BN51" s="137">
        <f>IF(AH51&lt;&gt;0,_xll.xSPRDOPT($BW51,$BV51,$CG51,2*LN(1+CA51/2),$BY51,$BX51,$BZ51,$AJ51,1,8)+(AJ51/365.25)*CH51/AH51,0)</f>
        <v>-2.0199880178625547</v>
      </c>
      <c r="BO51" s="137">
        <f>_xll.xSPRDOPT($BW51,$BV51,$CG51,0,$BY51,$BX51,$BZ51,$AJ51,1,0)</f>
        <v>0.89250009367730387</v>
      </c>
      <c r="BP51" s="137"/>
      <c r="BQ51" s="137"/>
      <c r="BR51" s="137"/>
      <c r="BS51" s="137"/>
      <c r="BV51" s="262">
        <v>3.1844999999999999</v>
      </c>
      <c r="BW51" s="136">
        <v>4.077</v>
      </c>
      <c r="BX51" s="137">
        <v>0.32255384605761156</v>
      </c>
      <c r="BY51" s="137">
        <v>0.32255384605761156</v>
      </c>
      <c r="BZ51" s="137">
        <v>1</v>
      </c>
      <c r="CA51" s="137">
        <v>4.0538223511899799E-2</v>
      </c>
      <c r="CB51" s="137">
        <v>0.90444997650532444</v>
      </c>
      <c r="CC51" s="258">
        <v>-0.05</v>
      </c>
      <c r="CD51" s="258">
        <v>7.4999999999999997E-3</v>
      </c>
      <c r="CE51" s="258">
        <v>0.85</v>
      </c>
      <c r="CF51" s="258">
        <v>0</v>
      </c>
      <c r="CG51" s="258">
        <v>0</v>
      </c>
      <c r="CH51" s="258">
        <v>0</v>
      </c>
      <c r="CI51" s="258">
        <v>3.2269999999999999</v>
      </c>
      <c r="CJ51" s="258"/>
      <c r="CK51" s="258"/>
      <c r="CL51" s="258"/>
      <c r="CM51" s="258"/>
    </row>
    <row r="52" spans="1:91" x14ac:dyDescent="0.25">
      <c r="A52" s="723"/>
      <c r="B52" s="723"/>
      <c r="D52" s="31">
        <f t="shared" si="47"/>
        <v>38183</v>
      </c>
      <c r="F52" s="28">
        <f t="shared" si="12"/>
        <v>252</v>
      </c>
      <c r="G52" s="28">
        <f t="shared" si="13"/>
        <v>226.85812198366392</v>
      </c>
      <c r="H52" s="52">
        <f t="shared" si="14"/>
        <v>3.2244999999999999</v>
      </c>
      <c r="I52" s="52">
        <f t="shared" si="15"/>
        <v>4.3170000000000002</v>
      </c>
      <c r="K52" s="52">
        <f t="shared" si="16"/>
        <v>30.488561294768807</v>
      </c>
      <c r="L52" s="135">
        <f t="shared" si="17"/>
        <v>3.1706476697479502E-6</v>
      </c>
      <c r="N52" s="131">
        <f t="shared" si="48"/>
        <v>0.32377055765666068</v>
      </c>
      <c r="O52" s="131">
        <f t="shared" si="49"/>
        <v>0.32377055765666068</v>
      </c>
      <c r="P52" s="55">
        <f t="shared" si="50"/>
        <v>1.0000000000000002</v>
      </c>
      <c r="Q52" s="135">
        <f>_xll.xSPRDOPT(I52,H52,AQ52,0,O52,N52,P52,D52-$G$5,1,0)*AH52*AU52</f>
        <v>30.488564465416477</v>
      </c>
      <c r="R52" s="135"/>
      <c r="S52" s="181">
        <f>_xll.xSPRDOPT(I52,H52,AQ52,AT52,O52,N52,P52,D52-$G$5,1,2)*AF52*(F52/(1-AR52))*AH52</f>
        <v>-7025.0163687851818</v>
      </c>
      <c r="T52" s="181">
        <f>_xll.xSPRDOPT(I52,H52,AQ52,AT52,O52,N52,P52,D52-$G$5,1,1)*AF52*F52*AH52</f>
        <v>7025.0163686004526</v>
      </c>
      <c r="U52" s="135"/>
      <c r="V52" s="146">
        <f t="shared" si="18"/>
        <v>0</v>
      </c>
      <c r="W52" s="146"/>
      <c r="X52" s="338">
        <f t="shared" si="19"/>
        <v>0</v>
      </c>
      <c r="Y52" s="338">
        <f t="shared" si="20"/>
        <v>0</v>
      </c>
      <c r="Z52" s="338">
        <f t="shared" si="21"/>
        <v>2.5736182696145899</v>
      </c>
      <c r="AA52" s="338">
        <f t="shared" si="22"/>
        <v>-1.5193359231230043E-8</v>
      </c>
      <c r="AB52" s="338">
        <f t="shared" si="23"/>
        <v>0</v>
      </c>
      <c r="AC52" s="338">
        <f t="shared" si="24"/>
        <v>2.6000455329579117</v>
      </c>
      <c r="AF52" s="138">
        <f t="shared" si="25"/>
        <v>1</v>
      </c>
      <c r="AG52" s="138">
        <f t="shared" si="26"/>
        <v>7</v>
      </c>
      <c r="AH52" s="138">
        <f t="shared" si="27"/>
        <v>31</v>
      </c>
      <c r="AI52" s="138">
        <f t="shared" si="51"/>
        <v>927</v>
      </c>
      <c r="AJ52" s="138">
        <f t="shared" si="28"/>
        <v>944</v>
      </c>
      <c r="AL52" s="136">
        <f t="shared" si="29"/>
        <v>3.2669999999999999</v>
      </c>
      <c r="AM52" s="258">
        <f t="shared" si="30"/>
        <v>-0.05</v>
      </c>
      <c r="AN52" s="258">
        <f t="shared" si="31"/>
        <v>7.4999999999999997E-3</v>
      </c>
      <c r="AO52" s="258">
        <f t="shared" si="32"/>
        <v>1.05</v>
      </c>
      <c r="AP52" s="258">
        <f t="shared" si="33"/>
        <v>0</v>
      </c>
      <c r="AQ52" s="136">
        <f t="shared" si="34"/>
        <v>0</v>
      </c>
      <c r="AR52" s="137">
        <f t="shared" si="35"/>
        <v>0</v>
      </c>
      <c r="AS52" s="136">
        <f t="shared" si="36"/>
        <v>3.2244999999999999</v>
      </c>
      <c r="AT52" s="137">
        <f t="shared" si="37"/>
        <v>4.12152492802473E-2</v>
      </c>
      <c r="AU52" s="137">
        <f t="shared" si="38"/>
        <v>0.90023064279231713</v>
      </c>
      <c r="AV52" s="394">
        <f t="shared" si="39"/>
        <v>0</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-4.2911960677939093E-7</v>
      </c>
      <c r="BG52" s="137">
        <f>_xll.xSPRDOPT($BW52,$BV52,$CG52,0,$BY52,$BX52,$BZ52,$AJ52,1,3)*$CB52</f>
        <v>-4.2911960677939093E-7</v>
      </c>
      <c r="BH52" s="137">
        <f>IF(OR(BF52&lt;&gt;0,BG52&lt;&gt;0),_xll.xSPRDOPT($BW52,$BV52,$CG52,0,$BY52,$BX52,$BZ52,$AJ52,1,12)*$CB52,0)</f>
        <v>1.0727990169484774E-6</v>
      </c>
      <c r="BI52" s="137">
        <f>_xll.xSPRDOPT($BW52,$BV52,$CG52,2*LN(1+CA52/2),$BY52,$BX52,$BZ52,$AJ52,1,9)</f>
        <v>4.0109834143058923E-2</v>
      </c>
      <c r="BJ52" s="137">
        <f>_xll.xSPRDOPT($BW52,$BV52,$CG52,0,$BY52,$BX52,$BZ52,$AJ52,1,6)*$CB52</f>
        <v>4.8254168132538097E-7</v>
      </c>
      <c r="BK52" s="137">
        <f>_xll.xSPRDOPT($BW52,$BV52,$CG52,0,$BY52,$BX52,$BZ52,$AJ52,1,5)*$CB52</f>
        <v>-6.4605552408990891E-7</v>
      </c>
      <c r="BL52" s="137">
        <f>_xll.xSPRDOPT(BW52,BV52,CG52,0,BY52,BX52,BZ52,AJ52,1,2)*CB52</f>
        <v>-0.89992913511949146</v>
      </c>
      <c r="BM52" s="137">
        <f>_xll.xSPRDOPT(BW52,BV52,CG52,0,BY52,BX52,BZ52,AJ52,1,1)*CB52</f>
        <v>0.89992913509984784</v>
      </c>
      <c r="BN52" s="137">
        <f>IF(AH52&lt;&gt;0,_xll.xSPRDOPT($BW52,$BV52,$CG52,2*LN(1+CA52/2),$BY52,$BX52,$BZ52,$AJ52,1,8)+(AJ52/365.25)*CH52/AH52,0)</f>
        <v>-2.5410401522815547</v>
      </c>
      <c r="BO52" s="137">
        <f>_xll.xSPRDOPT($BW52,$BV52,$CG52,0,$BY52,$BX52,$BZ52,$AJ52,1,0)</f>
        <v>1.0925001135228609</v>
      </c>
      <c r="BP52" s="137"/>
      <c r="BQ52" s="137"/>
      <c r="BR52" s="137"/>
      <c r="BS52" s="137"/>
      <c r="BV52" s="262">
        <v>3.2244999999999999</v>
      </c>
      <c r="BW52" s="136">
        <v>4.3170000000000002</v>
      </c>
      <c r="BX52" s="137">
        <v>0.32375866340709331</v>
      </c>
      <c r="BY52" s="137">
        <v>0.32375866340709331</v>
      </c>
      <c r="BZ52" s="137">
        <v>1</v>
      </c>
      <c r="CA52" s="137">
        <v>4.12152492802473E-2</v>
      </c>
      <c r="CB52" s="137">
        <v>0.89992904159661324</v>
      </c>
      <c r="CC52" s="258">
        <v>-0.05</v>
      </c>
      <c r="CD52" s="258">
        <v>7.4999999999999997E-3</v>
      </c>
      <c r="CE52" s="258">
        <v>1.05</v>
      </c>
      <c r="CF52" s="258">
        <v>0</v>
      </c>
      <c r="CG52" s="258">
        <v>0</v>
      </c>
      <c r="CH52" s="258">
        <v>0</v>
      </c>
      <c r="CI52" s="258">
        <v>3.2669999999999999</v>
      </c>
      <c r="CJ52" s="258"/>
      <c r="CK52" s="258"/>
      <c r="CL52" s="258"/>
      <c r="CM52" s="258"/>
    </row>
    <row r="53" spans="1:91" x14ac:dyDescent="0.25">
      <c r="A53" s="723"/>
      <c r="B53" s="723"/>
      <c r="D53" s="31">
        <f t="shared" si="47"/>
        <v>38214</v>
      </c>
      <c r="F53" s="28">
        <f t="shared" si="12"/>
        <v>252</v>
      </c>
      <c r="G53" s="28">
        <f t="shared" si="13"/>
        <v>225.68642901059366</v>
      </c>
      <c r="H53" s="52">
        <f t="shared" si="14"/>
        <v>3.2645</v>
      </c>
      <c r="I53" s="52">
        <f t="shared" si="15"/>
        <v>4.3570000000000002</v>
      </c>
      <c r="K53" s="52">
        <f t="shared" si="16"/>
        <v>30.331091803636042</v>
      </c>
      <c r="L53" s="135">
        <f t="shared" si="17"/>
        <v>3.1213829458920372E-6</v>
      </c>
      <c r="N53" s="131">
        <f t="shared" si="48"/>
        <v>0.32493996126723368</v>
      </c>
      <c r="O53" s="131">
        <f t="shared" si="49"/>
        <v>0.32493996126723368</v>
      </c>
      <c r="P53" s="55">
        <f t="shared" si="50"/>
        <v>0.99999999999999989</v>
      </c>
      <c r="Q53" s="135">
        <f>_xll.xSPRDOPT(I53,H53,AQ53,0,O53,N53,P53,D53-$G$5,1,0)*AH53*AU53</f>
        <v>30.331094925018988</v>
      </c>
      <c r="R53" s="135"/>
      <c r="S53" s="181">
        <f>_xll.xSPRDOPT(I53,H53,AQ53,AT53,O53,N53,P53,D53-$G$5,1,2)*AF53*(F53/(1-AR53))*AH53</f>
        <v>-6988.235508981903</v>
      </c>
      <c r="T53" s="181">
        <f>_xll.xSPRDOPT(I53,H53,AQ53,AT53,O53,N53,P53,D53-$G$5,1,1)*AF53*F53*AH53</f>
        <v>6988.235508981903</v>
      </c>
      <c r="U53" s="135"/>
      <c r="V53" s="146">
        <f t="shared" si="18"/>
        <v>0</v>
      </c>
      <c r="W53" s="146"/>
      <c r="X53" s="338">
        <f t="shared" si="19"/>
        <v>0</v>
      </c>
      <c r="Y53" s="338">
        <f t="shared" si="20"/>
        <v>0</v>
      </c>
      <c r="Z53" s="338">
        <f t="shared" si="21"/>
        <v>2.6007741533296689</v>
      </c>
      <c r="AA53" s="338">
        <f t="shared" si="22"/>
        <v>-1.9822453359249873E-8</v>
      </c>
      <c r="AB53" s="338">
        <f t="shared" si="23"/>
        <v>0</v>
      </c>
      <c r="AC53" s="338">
        <f t="shared" si="24"/>
        <v>2.6279052591190339</v>
      </c>
      <c r="AF53" s="138">
        <f t="shared" si="25"/>
        <v>1</v>
      </c>
      <c r="AG53" s="138">
        <f t="shared" si="26"/>
        <v>8</v>
      </c>
      <c r="AH53" s="138">
        <f t="shared" si="27"/>
        <v>31</v>
      </c>
      <c r="AI53" s="138">
        <f t="shared" si="51"/>
        <v>958</v>
      </c>
      <c r="AJ53" s="138">
        <f t="shared" si="28"/>
        <v>975</v>
      </c>
      <c r="AL53" s="136">
        <f t="shared" si="29"/>
        <v>3.3069999999999999</v>
      </c>
      <c r="AM53" s="258">
        <f t="shared" si="30"/>
        <v>-0.05</v>
      </c>
      <c r="AN53" s="258">
        <f t="shared" si="31"/>
        <v>7.4999999999999997E-3</v>
      </c>
      <c r="AO53" s="258">
        <f t="shared" si="32"/>
        <v>1.05</v>
      </c>
      <c r="AP53" s="258">
        <f t="shared" si="33"/>
        <v>0</v>
      </c>
      <c r="AQ53" s="136">
        <f t="shared" si="34"/>
        <v>0</v>
      </c>
      <c r="AR53" s="137">
        <f t="shared" si="35"/>
        <v>0</v>
      </c>
      <c r="AS53" s="136">
        <f t="shared" si="36"/>
        <v>3.2645</v>
      </c>
      <c r="AT53" s="137">
        <f t="shared" si="37"/>
        <v>4.1873365630825901E-2</v>
      </c>
      <c r="AU53" s="137">
        <f t="shared" si="38"/>
        <v>0.89558106750235578</v>
      </c>
      <c r="AV53" s="394">
        <f t="shared" si="39"/>
        <v>0</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-4.2690099864601071E-7</v>
      </c>
      <c r="BG53" s="137">
        <f>_xll.xSPRDOPT($BW53,$BV53,$CG53,0,$BY53,$BX53,$BZ53,$AJ53,1,3)*$CB53</f>
        <v>-8.5380199729202141E-7</v>
      </c>
      <c r="BH53" s="137">
        <f>IF(OR(BF53&lt;&gt;0,BG53&lt;&gt;0),_xll.xSPRDOPT($BW53,$BV53,$CG53,0,$BY53,$BX53,$BZ53,$AJ53,1,12)*$CB53,0)</f>
        <v>2.1345049932300535E-7</v>
      </c>
      <c r="BI53" s="137">
        <f>_xll.xSPRDOPT($BW53,$BV53,$CG53,2*LN(1+CA53/2),$BY53,$BX53,$BZ53,$AJ53,1,9)</f>
        <v>4.053305852123492E-2</v>
      </c>
      <c r="BJ53" s="137">
        <f>_xll.xSPRDOPT($BW53,$BV53,$CG53,0,$BY53,$BX53,$BZ53,$AJ53,1,6)*$CB53</f>
        <v>5.0339862802167591E-7</v>
      </c>
      <c r="BK53" s="137">
        <f>_xll.xSPRDOPT($BW53,$BV53,$CG53,0,$BY53,$BX53,$BZ53,$AJ53,1,5)*$CB53</f>
        <v>-6.7187010634166711E-7</v>
      </c>
      <c r="BL53" s="137">
        <f>_xll.xSPRDOPT(BW53,BV53,CG53,0,BY53,BX53,BZ53,AJ53,1,2)*CB53</f>
        <v>-0.89527637516821768</v>
      </c>
      <c r="BM53" s="137">
        <f>_xll.xSPRDOPT(BW53,BV53,CG53,0,BY53,BX53,BZ53,AJ53,1,1)*CB53</f>
        <v>0.89527637516821768</v>
      </c>
      <c r="BN53" s="137">
        <f>IF(AH53&lt;&gt;0,_xll.xSPRDOPT($BW53,$BV53,$CG53,2*LN(1+CA53/2),$BY53,$BX53,$BZ53,$AJ53,1,8)+(AJ53/365.25)*CH53/AH53,0)</f>
        <v>-2.6109163692740447</v>
      </c>
      <c r="BO53" s="137">
        <f>_xll.xSPRDOPT($BW53,$BV53,$CG53,0,$BY53,$BX53,$BZ53,$AJ53,1,0)</f>
        <v>1.092500112338302</v>
      </c>
      <c r="BP53" s="137"/>
      <c r="BQ53" s="137"/>
      <c r="BR53" s="137"/>
      <c r="BS53" s="137"/>
      <c r="BV53" s="262">
        <v>3.2645</v>
      </c>
      <c r="BW53" s="136">
        <v>4.3570000000000002</v>
      </c>
      <c r="BX53" s="137">
        <v>0.32492489974791172</v>
      </c>
      <c r="BY53" s="137">
        <v>0.32492489974791172</v>
      </c>
      <c r="BZ53" s="137">
        <v>1</v>
      </c>
      <c r="CA53" s="137">
        <v>4.1873365630825901E-2</v>
      </c>
      <c r="CB53" s="137">
        <v>0.89527628311247864</v>
      </c>
      <c r="CC53" s="258">
        <v>-0.05</v>
      </c>
      <c r="CD53" s="258">
        <v>7.4999999999999997E-3</v>
      </c>
      <c r="CE53" s="258">
        <v>1.05</v>
      </c>
      <c r="CF53" s="258">
        <v>0</v>
      </c>
      <c r="CG53" s="258">
        <v>0</v>
      </c>
      <c r="CH53" s="258">
        <v>0</v>
      </c>
      <c r="CI53" s="258">
        <v>3.3069999999999999</v>
      </c>
      <c r="CJ53" s="258"/>
      <c r="CK53" s="258"/>
      <c r="CL53" s="258"/>
      <c r="CM53" s="258"/>
    </row>
    <row r="54" spans="1:91" x14ac:dyDescent="0.25">
      <c r="A54" s="723"/>
      <c r="B54" s="723"/>
      <c r="D54" s="31">
        <f t="shared" si="47"/>
        <v>38245</v>
      </c>
      <c r="F54" s="28">
        <f t="shared" ref="F54:F85" si="52">VLOOKUP(AG54,$AL$4:$AS$15,2)</f>
        <v>252</v>
      </c>
      <c r="G54" s="28">
        <f t="shared" ref="G54:G85" si="53">F54*$AU54</f>
        <v>224.49634550982643</v>
      </c>
      <c r="H54" s="52">
        <f t="shared" ref="H54:H85" si="54">(AL54+AM54+AN54)/(1-(AR54))</f>
        <v>3.2544999999999997</v>
      </c>
      <c r="I54" s="52">
        <f t="shared" ref="I54:I85" si="55">(AL54+AO54+AP54)</f>
        <v>4.0519999999999996</v>
      </c>
      <c r="K54" s="52">
        <f t="shared" ref="K54:K85" si="56">MAX(((I54-H54)-AQ54)*AU54*AH54,0)</f>
        <v>21.313789945724587</v>
      </c>
      <c r="L54" s="135">
        <f t="shared" ref="L54:L85" si="57">MAX(Q54-K54,0)</f>
        <v>2.1755895396324831E-6</v>
      </c>
      <c r="N54" s="131">
        <f t="shared" si="48"/>
        <v>0.32463755456303778</v>
      </c>
      <c r="O54" s="131">
        <f t="shared" si="49"/>
        <v>0.32463755456303778</v>
      </c>
      <c r="P54" s="55">
        <f t="shared" si="50"/>
        <v>0.99999999999999989</v>
      </c>
      <c r="Q54" s="135">
        <f>_xll.xSPRDOPT(I54,H54,AQ54,0,O54,N54,P54,D54-$G$5,1,0)*AH54*AU54</f>
        <v>21.313792121314126</v>
      </c>
      <c r="R54" s="135"/>
      <c r="S54" s="181">
        <f>_xll.xSPRDOPT(I54,H54,AQ54,AT54,O54,N54,P54,D54-$G$5,1,2)*AF54*(F54/(1-AR54))*AH54</f>
        <v>-6726.6490403602074</v>
      </c>
      <c r="T54" s="181">
        <f>_xll.xSPRDOPT(I54,H54,AQ54,AT54,O54,N54,P54,D54-$G$5,1,1)*AF54*F54*AH54</f>
        <v>6726.6490403877106</v>
      </c>
      <c r="U54" s="135"/>
      <c r="V54" s="146">
        <f t="shared" ref="V54:V85" si="58">VLOOKUP($AG54,$AL$4:$AS$15,8)*AH54*AU54</f>
        <v>0</v>
      </c>
      <c r="W54" s="146"/>
      <c r="X54" s="338">
        <f t="shared" ref="X54:X85" si="59">((BM54*BC54)+(BL54*BB54))*AH54*F54</f>
        <v>0</v>
      </c>
      <c r="Y54" s="338">
        <f t="shared" ref="Y54:Y85" si="60">($F54*$AH54)*((($BG54/2)*($BC54)^2)+(($BF54/2)*($BB54)^2)+($BH54*$BC54*$BB54))</f>
        <v>0</v>
      </c>
      <c r="Z54" s="338">
        <f t="shared" ref="Z54:Z85" si="61">($BI54*$F54*$AH54*($G$5-$BV$5))/365.25</f>
        <v>1.8559890256982239</v>
      </c>
      <c r="AA54" s="338">
        <f t="shared" ref="AA54:AA85" si="62">(($BK54*$BE54)+($BJ54*$BD54))*$F54*$AH54*$AF54</f>
        <v>-1.3069655767537249E-8</v>
      </c>
      <c r="AB54" s="338">
        <f t="shared" ref="AB54:AB85" si="63">BN54*(AT54-CA54)*F54*AH54</f>
        <v>0</v>
      </c>
      <c r="AC54" s="338">
        <f t="shared" ref="AC54:AC85" si="64">BO54*CB54*F54*AH54*CA54*($G$5-$BV$5)/365.25</f>
        <v>1.8756538389595094</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-5.5E-2</v>
      </c>
      <c r="AN54" s="258">
        <f t="shared" ref="AN54:AN85" si="71">VLOOKUP($D54,CurveTbl,$AH$4)+VLOOKUP($AG54,$AL$3:$AS$15,6)</f>
        <v>7.4999999999999997E-3</v>
      </c>
      <c r="AO54" s="258">
        <f t="shared" ref="AO54:AO85" si="72">VLOOKUP($D54,CurveTbl,$AH$5)</f>
        <v>0.75</v>
      </c>
      <c r="AP54" s="258">
        <f t="shared" ref="AP54:AP85" si="73">VLOOKUP($D54,CurveTbl,$AH$6)+VLOOKUP($AG54,$AL$3:$AS$15,7)</f>
        <v>0</v>
      </c>
      <c r="AQ54" s="136">
        <f t="shared" ref="AQ54:AQ85" si="74">VLOOKUP($AG54,$AL$4:$AS$15,3)+VLOOKUP($AG54,$AL$4:$AS$15,5)+($AH$10*VLOOKUP(D54,GRITable,2))</f>
        <v>0</v>
      </c>
      <c r="AR54" s="137">
        <f t="shared" ref="AR54:AR85" si="75">VLOOKUP($AG54,$AL$4:$AS$15,4)</f>
        <v>0</v>
      </c>
      <c r="AS54" s="136">
        <f t="shared" ref="AS54:AS85" si="76">(AL54+AM54+AN54)</f>
        <v>3.2544999999999997</v>
      </c>
      <c r="AT54" s="137">
        <f t="shared" ref="AT54:AT85" si="77">VLOOKUP(D54,CurveTbl,$AK$6)</f>
        <v>4.2531482126591399E-2</v>
      </c>
      <c r="AU54" s="137">
        <f t="shared" ref="AU54:AU85" si="78">(1+$AT54/2)^(-2*($D54-$G$5)/365.25)*$AF54</f>
        <v>0.89085851392788262</v>
      </c>
      <c r="AV54" s="394">
        <f t="shared" ref="AV54:AV85" si="79">ROUND((F54/(1-AR54))-F54,0)*AF54*AH54*AU54</f>
        <v>0</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-1.0616190699775236E-6</v>
      </c>
      <c r="BG54" s="137">
        <f>_xll.xSPRDOPT($BW54,$BV54,$CG54,0,$BY54,$BX54,$BZ54,$AJ54,1,3)*$CB54</f>
        <v>-6.3697144198651413E-7</v>
      </c>
      <c r="BH54" s="137">
        <f>IF(OR(BF54&lt;&gt;0,BG54&lt;&gt;0),_xll.xSPRDOPT($BW54,$BV54,$CG54,0,$BY54,$BX54,$BZ54,$AJ54,1,12)*$CB54,0)</f>
        <v>6.3697144198651413E-7</v>
      </c>
      <c r="BI54" s="137">
        <f>_xll.xSPRDOPT($BW54,$BV54,$CG54,2*LN(1+CA54/2),$BY54,$BX54,$BZ54,$AJ54,1,9)</f>
        <v>2.9889770354333167E-2</v>
      </c>
      <c r="BJ54" s="137">
        <f>_xll.xSPRDOPT($BW54,$BV54,$CG54,0,$BY54,$BX54,$BZ54,$AJ54,1,6)*$CB54</f>
        <v>5.1432980907535811E-7</v>
      </c>
      <c r="BK54" s="137">
        <f>_xll.xSPRDOPT($BW54,$BV54,$CG54,0,$BY54,$BX54,$BZ54,$AJ54,1,5)*$CB54</f>
        <v>-6.4035736467085525E-7</v>
      </c>
      <c r="BL54" s="137">
        <f>_xll.xSPRDOPT(BW54,BV54,CG54,0,BY54,BX54,BZ54,AJ54,1,2)*CB54</f>
        <v>-0.8905507131693744</v>
      </c>
      <c r="BM54" s="137">
        <f>_xll.xSPRDOPT(BW54,BV54,CG54,0,BY54,BX54,BZ54,AJ54,1,1)*CB54</f>
        <v>0.89055071317099432</v>
      </c>
      <c r="BN54" s="137">
        <f>IF(AH54&lt;&gt;0,_xll.xSPRDOPT($BW54,$BV54,$CG54,2*LN(1+CA54/2),$BY54,$BX54,$BZ54,$AJ54,1,8)+(AJ54/365.25)*CH54/AH54,0)</f>
        <v>-1.9561272523237137</v>
      </c>
      <c r="BO54" s="137">
        <f>_xll.xSPRDOPT($BW54,$BV54,$CG54,0,$BY54,$BX54,$BZ54,$AJ54,1,0)</f>
        <v>0.79750008133766082</v>
      </c>
      <c r="BP54" s="137"/>
      <c r="BQ54" s="137"/>
      <c r="BR54" s="137"/>
      <c r="BS54" s="137"/>
      <c r="BV54" s="262">
        <v>3.2544999999999997</v>
      </c>
      <c r="BW54" s="136">
        <v>4.0519999999999996</v>
      </c>
      <c r="BX54" s="137">
        <v>0.32462383700391134</v>
      </c>
      <c r="BY54" s="137">
        <v>0.32462383700391134</v>
      </c>
      <c r="BZ54" s="137">
        <v>1</v>
      </c>
      <c r="CA54" s="137">
        <v>4.2531482126591399E-2</v>
      </c>
      <c r="CB54" s="137">
        <v>0.89055062233660143</v>
      </c>
      <c r="CC54" s="258">
        <v>-5.5E-2</v>
      </c>
      <c r="CD54" s="258">
        <v>7.4999999999999997E-3</v>
      </c>
      <c r="CE54" s="258">
        <v>0.75</v>
      </c>
      <c r="CF54" s="258">
        <v>0</v>
      </c>
      <c r="CG54" s="258">
        <v>0</v>
      </c>
      <c r="CH54" s="258">
        <v>0</v>
      </c>
      <c r="CI54" s="258">
        <v>3.302</v>
      </c>
      <c r="CJ54" s="258"/>
      <c r="CK54" s="258"/>
      <c r="CL54" s="258"/>
      <c r="CM54" s="258"/>
    </row>
    <row r="55" spans="1:91" x14ac:dyDescent="0.25">
      <c r="A55" s="723"/>
      <c r="B55" s="723"/>
      <c r="D55" s="31">
        <f t="shared" ref="D55:D86" si="87">D54+AH54</f>
        <v>38275</v>
      </c>
      <c r="F55" s="28">
        <f t="shared" si="52"/>
        <v>396</v>
      </c>
      <c r="G55" s="28">
        <f t="shared" si="53"/>
        <v>350.97743448329402</v>
      </c>
      <c r="H55" s="52">
        <f t="shared" si="54"/>
        <v>3.3722365038560405</v>
      </c>
      <c r="I55" s="52">
        <f t="shared" si="55"/>
        <v>3.7770000000000001</v>
      </c>
      <c r="K55" s="52">
        <f t="shared" si="56"/>
        <v>10.203400053681724</v>
      </c>
      <c r="L55" s="135">
        <f t="shared" si="57"/>
        <v>1.8540626314234032E-6</v>
      </c>
      <c r="N55" s="131">
        <f t="shared" si="48"/>
        <v>0.3259749105978777</v>
      </c>
      <c r="O55" s="131">
        <f t="shared" si="49"/>
        <v>0.3259749105978777</v>
      </c>
      <c r="P55" s="55">
        <f t="shared" si="50"/>
        <v>1</v>
      </c>
      <c r="Q55" s="135">
        <f>_xll.xSPRDOPT(I55,H55,AQ55,0,O55,N55,P55,D55-$G$5,1,0)*AH55*AU55</f>
        <v>10.203401907744356</v>
      </c>
      <c r="R55" s="135"/>
      <c r="S55" s="181">
        <f>_xll.xSPRDOPT(I55,H55,AQ55,AT55,O55,N55,P55,D55-$G$5,1,2)*AF55*(F55/(1-AR55))*AH55</f>
        <v>-11173.458514843875</v>
      </c>
      <c r="T55" s="181">
        <f>_xll.xSPRDOPT(I55,H55,AQ55,AT55,O55,N55,P55,D55-$G$5,1,1)*AF55*F55*AH55</f>
        <v>10866.188405707999</v>
      </c>
      <c r="U55" s="135"/>
      <c r="V55" s="146">
        <f t="shared" si="58"/>
        <v>10.311557489921688</v>
      </c>
      <c r="W55" s="146"/>
      <c r="X55" s="338">
        <f t="shared" si="59"/>
        <v>0</v>
      </c>
      <c r="Y55" s="338">
        <f t="shared" si="60"/>
        <v>0</v>
      </c>
      <c r="Z55" s="338">
        <f t="shared" si="61"/>
        <v>1.415736647638334</v>
      </c>
      <c r="AA55" s="338">
        <f t="shared" si="62"/>
        <v>6.9814295682333752E-7</v>
      </c>
      <c r="AB55" s="338">
        <f t="shared" si="63"/>
        <v>0</v>
      </c>
      <c r="AC55" s="338">
        <f t="shared" si="64"/>
        <v>1.4309680995689298</v>
      </c>
      <c r="AF55" s="138">
        <f t="shared" si="65"/>
        <v>1</v>
      </c>
      <c r="AG55" s="138">
        <f t="shared" si="66"/>
        <v>10</v>
      </c>
      <c r="AH55" s="138">
        <f t="shared" si="67"/>
        <v>31</v>
      </c>
      <c r="AI55" s="138">
        <f t="shared" ref="AI55:AI86" si="88">AI54+AH54</f>
        <v>1019</v>
      </c>
      <c r="AJ55" s="138">
        <f t="shared" si="68"/>
        <v>1036</v>
      </c>
      <c r="AL55" s="136">
        <f t="shared" si="69"/>
        <v>3.327</v>
      </c>
      <c r="AM55" s="258">
        <f t="shared" si="70"/>
        <v>-5.5E-2</v>
      </c>
      <c r="AN55" s="258">
        <f t="shared" si="71"/>
        <v>7.4999999999999997E-3</v>
      </c>
      <c r="AO55" s="258">
        <f t="shared" si="72"/>
        <v>0.45</v>
      </c>
      <c r="AP55" s="258">
        <f t="shared" si="73"/>
        <v>0</v>
      </c>
      <c r="AQ55" s="136">
        <f t="shared" si="74"/>
        <v>3.3399999999999999E-2</v>
      </c>
      <c r="AR55" s="137">
        <f t="shared" si="75"/>
        <v>2.75E-2</v>
      </c>
      <c r="AS55" s="136">
        <f t="shared" si="76"/>
        <v>3.2794999999999996</v>
      </c>
      <c r="AT55" s="137">
        <f t="shared" si="77"/>
        <v>4.3133129078657198E-2</v>
      </c>
      <c r="AU55" s="137">
        <f t="shared" si="78"/>
        <v>0.88630665273559095</v>
      </c>
      <c r="AV55" s="394">
        <f t="shared" si="79"/>
        <v>302.2305685828365</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-3.1685687821726172E-7</v>
      </c>
      <c r="BG55" s="137">
        <f>_xll.xSPRDOPT($BW55,$BV55,$CG55,0,$BY55,$BX55,$BZ55,$AJ55,1,3)*$CB55</f>
        <v>1.161808553463293E-6</v>
      </c>
      <c r="BH55" s="137">
        <f>IF(OR(BF55&lt;&gt;0,BG55&lt;&gt;0),_xll.xSPRDOPT($BW55,$BV55,$CG55,0,$BY55,$BX55,$BZ55,$AJ55,1,12)*$CB55,0)</f>
        <v>-4.2247583762301565E-7</v>
      </c>
      <c r="BI55" s="137">
        <f>_xll.xSPRDOPT($BW55,$BV55,$CG55,2*LN(1+CA55/2),$BY55,$BX55,$BZ55,$AJ55,1,9)</f>
        <v>1.4040887654770868E-2</v>
      </c>
      <c r="BJ55" s="137">
        <f>_xll.xSPRDOPT($BW55,$BV55,$CG55,0,$BY55,$BX55,$BZ55,$AJ55,1,6)*$CB55</f>
        <v>-2.7677505325575413E-5</v>
      </c>
      <c r="BK55" s="137">
        <f>_xll.xSPRDOPT($BW55,$BV55,$CG55,0,$BY55,$BX55,$BZ55,$AJ55,1,5)*$CB55</f>
        <v>3.0999584943954736E-5</v>
      </c>
      <c r="BL55" s="137">
        <f>_xll.xSPRDOPT(BW55,BV55,CG55,0,BY55,BX55,BZ55,AJ55,1,2)*CB55</f>
        <v>-0.88599513012027942</v>
      </c>
      <c r="BM55" s="137">
        <f>_xll.xSPRDOPT(BW55,BV55,CG55,0,BY55,BX55,BZ55,AJ55,1,1)*CB55</f>
        <v>0.88599513012189102</v>
      </c>
      <c r="BN55" s="137">
        <f>IF(AH55&lt;&gt;0,_xll.xSPRDOPT($BW55,$BV55,$CG55,2*LN(1+CA55/2),$BY55,$BX55,$BZ55,$AJ55,1,8)+(AJ55/365.25)*CH55/AH55,0)</f>
        <v>9.8924613721637078E-3</v>
      </c>
      <c r="BO55" s="137">
        <f>_xll.xSPRDOPT($BW55,$BV55,$CG55,0,$BY55,$BX55,$BZ55,$AJ55,1,0)</f>
        <v>0.37136356533448228</v>
      </c>
      <c r="BP55" s="137"/>
      <c r="BQ55" s="137"/>
      <c r="BR55" s="137"/>
      <c r="BS55" s="137"/>
      <c r="BV55" s="262">
        <v>3.3722365038560405</v>
      </c>
      <c r="BW55" s="136">
        <v>3.7770000000000001</v>
      </c>
      <c r="BX55" s="137">
        <v>0.32595779163522209</v>
      </c>
      <c r="BY55" s="137">
        <v>0.32595779163522209</v>
      </c>
      <c r="BZ55" s="137">
        <v>1</v>
      </c>
      <c r="CA55" s="137">
        <v>4.3133129078657198E-2</v>
      </c>
      <c r="CB55" s="137">
        <v>0.88599604782278252</v>
      </c>
      <c r="CC55" s="258">
        <v>-5.5E-2</v>
      </c>
      <c r="CD55" s="258">
        <v>7.4999999999999997E-3</v>
      </c>
      <c r="CE55" s="258">
        <v>0.45</v>
      </c>
      <c r="CF55" s="258">
        <v>0</v>
      </c>
      <c r="CG55" s="258">
        <v>3.3399999999999999E-2</v>
      </c>
      <c r="CH55" s="258">
        <v>10.307943819184599</v>
      </c>
      <c r="CI55" s="258">
        <v>3.327</v>
      </c>
      <c r="CJ55" s="258"/>
      <c r="CK55" s="258"/>
      <c r="CL55" s="258"/>
      <c r="CM55" s="258"/>
    </row>
    <row r="56" spans="1:91" x14ac:dyDescent="0.25">
      <c r="A56" s="723"/>
      <c r="B56" s="723"/>
      <c r="D56" s="31">
        <f t="shared" si="87"/>
        <v>38306</v>
      </c>
      <c r="F56" s="28">
        <f t="shared" si="52"/>
        <v>396</v>
      </c>
      <c r="G56" s="28">
        <f t="shared" si="53"/>
        <v>349.1228852865458</v>
      </c>
      <c r="H56" s="52">
        <f t="shared" si="54"/>
        <v>3.5362467866323906</v>
      </c>
      <c r="I56" s="52">
        <f t="shared" si="55"/>
        <v>3.9290000000000003</v>
      </c>
      <c r="K56" s="52">
        <f t="shared" si="56"/>
        <v>9.5044265672645167</v>
      </c>
      <c r="L56" s="135">
        <f t="shared" si="57"/>
        <v>3.0929116707767434E-6</v>
      </c>
      <c r="N56" s="131">
        <f t="shared" si="48"/>
        <v>0.33162000992991286</v>
      </c>
      <c r="O56" s="131">
        <f t="shared" si="49"/>
        <v>0.33162000992991286</v>
      </c>
      <c r="P56" s="55">
        <f t="shared" si="50"/>
        <v>1</v>
      </c>
      <c r="Q56" s="135">
        <f>_xll.xSPRDOPT(I56,H56,AQ56,0,O56,N56,P56,D56-$G$5,1,0)*AH56*AU56</f>
        <v>9.5044296601761875</v>
      </c>
      <c r="R56" s="135"/>
      <c r="S56" s="181">
        <f>_xll.xSPRDOPT(I56,H56,AQ56,AT56,O56,N56,P56,D56-$G$5,1,2)*AF56*(F56/(1-AR56))*AH56</f>
        <v>-10755.079845518643</v>
      </c>
      <c r="T56" s="181">
        <f>_xll.xSPRDOPT(I56,H56,AQ56,AT56,O56,N56,P56,D56-$G$5,1,1)*AF56*F56*AH56</f>
        <v>10459.315149896538</v>
      </c>
      <c r="U56" s="135"/>
      <c r="V56" s="146">
        <f t="shared" si="58"/>
        <v>9.9261983975788368</v>
      </c>
      <c r="W56" s="146"/>
      <c r="X56" s="338">
        <f t="shared" si="59"/>
        <v>0</v>
      </c>
      <c r="Y56" s="338">
        <f t="shared" si="60"/>
        <v>0</v>
      </c>
      <c r="Z56" s="338">
        <f t="shared" si="61"/>
        <v>1.3365282644837664</v>
      </c>
      <c r="AA56" s="338">
        <f t="shared" si="62"/>
        <v>1.1366968875362929E-6</v>
      </c>
      <c r="AB56" s="338">
        <f t="shared" si="63"/>
        <v>0</v>
      </c>
      <c r="AC56" s="338">
        <f t="shared" si="64"/>
        <v>1.3511008928844619</v>
      </c>
      <c r="AF56" s="138">
        <f t="shared" si="65"/>
        <v>1</v>
      </c>
      <c r="AG56" s="138">
        <f t="shared" si="66"/>
        <v>11</v>
      </c>
      <c r="AH56" s="138">
        <f t="shared" si="67"/>
        <v>30</v>
      </c>
      <c r="AI56" s="138">
        <f t="shared" si="88"/>
        <v>1050</v>
      </c>
      <c r="AJ56" s="138">
        <f t="shared" si="68"/>
        <v>1067</v>
      </c>
      <c r="AL56" s="136">
        <f t="shared" si="69"/>
        <v>3.4790000000000001</v>
      </c>
      <c r="AM56" s="258">
        <f t="shared" si="70"/>
        <v>-4.7500000000000001E-2</v>
      </c>
      <c r="AN56" s="258">
        <f t="shared" si="71"/>
        <v>7.4999999999999997E-3</v>
      </c>
      <c r="AO56" s="258">
        <f t="shared" si="72"/>
        <v>0.45</v>
      </c>
      <c r="AP56" s="258">
        <f t="shared" si="73"/>
        <v>0</v>
      </c>
      <c r="AQ56" s="136">
        <f t="shared" si="74"/>
        <v>3.3399999999999999E-2</v>
      </c>
      <c r="AR56" s="137">
        <f t="shared" si="75"/>
        <v>2.75E-2</v>
      </c>
      <c r="AS56" s="136">
        <f t="shared" si="76"/>
        <v>3.4390000000000001</v>
      </c>
      <c r="AT56" s="137">
        <f t="shared" si="77"/>
        <v>4.37209690349563E-2</v>
      </c>
      <c r="AU56" s="137">
        <f t="shared" si="78"/>
        <v>0.88162344769329748</v>
      </c>
      <c r="AV56" s="394">
        <f t="shared" si="79"/>
        <v>290.93573773878819</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-5.2530188514857819E-7</v>
      </c>
      <c r="BG56" s="137">
        <f>_xll.xSPRDOPT($BW56,$BV56,$CG56,0,$BY56,$BX56,$BZ56,$AJ56,1,3)*$CB56</f>
        <v>0</v>
      </c>
      <c r="BH56" s="137">
        <f>IF(OR(BF56&lt;&gt;0,BG56&lt;&gt;0),_xll.xSPRDOPT($BW56,$BV56,$CG56,0,$BY56,$BX56,$BZ56,$AJ56,1,12)*$CB56,0)</f>
        <v>-4.7277169663372033E-7</v>
      </c>
      <c r="BI56" s="137">
        <f>_xll.xSPRDOPT($BW56,$BV56,$CG56,2*LN(1+CA56/2),$BY56,$BX56,$BZ56,$AJ56,1,9)</f>
        <v>1.36971646633753E-2</v>
      </c>
      <c r="BJ56" s="137">
        <f>_xll.xSPRDOPT($BW56,$BV56,$CG56,0,$BY56,$BX56,$BZ56,$AJ56,1,6)*$CB56</f>
        <v>-2.6862772349235299E-5</v>
      </c>
      <c r="BK56" s="137">
        <f>_xll.xSPRDOPT($BW56,$BV56,$CG56,0,$BY56,$BX56,$BZ56,$AJ56,1,5)*$CB56</f>
        <v>2.9846279205207293E-5</v>
      </c>
      <c r="BL56" s="137">
        <f>_xll.xSPRDOPT(BW56,BV56,CG56,0,BY56,BX56,BZ56,AJ56,1,2)*CB56</f>
        <v>-0.88130948892470784</v>
      </c>
      <c r="BM56" s="137">
        <f>_xll.xSPRDOPT(BW56,BV56,CG56,0,BY56,BX56,BZ56,AJ56,1,1)*CB56</f>
        <v>0.88130948893753269</v>
      </c>
      <c r="BN56" s="137">
        <f>IF(AH56&lt;&gt;0,_xll.xSPRDOPT($BW56,$BV56,$CG56,2*LN(1+CA56/2),$BY56,$BX56,$BZ56,$AJ56,1,8)+(AJ56/365.25)*CH56/AH56,0)</f>
        <v>4.1055657213136643E-2</v>
      </c>
      <c r="BO56" s="137">
        <f>_xll.xSPRDOPT($BW56,$BV56,$CG56,0,$BY56,$BX56,$BZ56,$AJ56,1,0)</f>
        <v>0.35935333178105955</v>
      </c>
      <c r="BP56" s="137"/>
      <c r="BQ56" s="137"/>
      <c r="BR56" s="137"/>
      <c r="BS56" s="137"/>
      <c r="BV56" s="262">
        <v>3.5362467866323906</v>
      </c>
      <c r="BW56" s="136">
        <v>3.9290000000000003</v>
      </c>
      <c r="BX56" s="137">
        <v>0.33158793976523454</v>
      </c>
      <c r="BY56" s="137">
        <v>0.33158793976523454</v>
      </c>
      <c r="BZ56" s="137">
        <v>1</v>
      </c>
      <c r="CA56" s="137">
        <v>4.37209690349563E-2</v>
      </c>
      <c r="CB56" s="137">
        <v>0.88131031923448877</v>
      </c>
      <c r="CC56" s="258">
        <v>-4.7500000000000001E-2</v>
      </c>
      <c r="CD56" s="258">
        <v>7.4999999999999997E-3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87"/>
        <v>38336</v>
      </c>
      <c r="F57" s="28">
        <f t="shared" si="52"/>
        <v>396</v>
      </c>
      <c r="G57" s="28">
        <f t="shared" si="53"/>
        <v>347.30535797211274</v>
      </c>
      <c r="H57" s="52">
        <f t="shared" si="54"/>
        <v>3.6832904884318762</v>
      </c>
      <c r="I57" s="52">
        <f t="shared" si="55"/>
        <v>4.0220000000000002</v>
      </c>
      <c r="K57" s="52">
        <f t="shared" si="56"/>
        <v>8.3007689531091025</v>
      </c>
      <c r="L57" s="135">
        <f t="shared" si="57"/>
        <v>1.5891745730911566E-5</v>
      </c>
      <c r="N57" s="131">
        <f t="shared" si="48"/>
        <v>0.33926384180861408</v>
      </c>
      <c r="O57" s="131">
        <f t="shared" si="49"/>
        <v>0.33926384180861408</v>
      </c>
      <c r="P57" s="55">
        <f t="shared" si="50"/>
        <v>0.99999999999999978</v>
      </c>
      <c r="Q57" s="135">
        <f>_xll.xSPRDOPT(I57,H57,AQ57,0,O57,N57,P57,D57-$G$5,1,0)*AH57*AU57</f>
        <v>8.3007848448548334</v>
      </c>
      <c r="R57" s="135"/>
      <c r="S57" s="181">
        <f>_xll.xSPRDOPT(I57,H57,AQ57,AT57,O57,N57,P57,D57-$G$5,1,2)*AF57*(F57/(1-AR57))*AH57</f>
        <v>-11054.802650099127</v>
      </c>
      <c r="T57" s="181">
        <f>_xll.xSPRDOPT(I57,H57,AQ57,AT57,O57,N57,P57,D57-$G$5,1,1)*AF57*F57*AH57</f>
        <v>10750.795577266061</v>
      </c>
      <c r="U57" s="135"/>
      <c r="V57" s="146">
        <f t="shared" si="58"/>
        <v>10.203673551148869</v>
      </c>
      <c r="W57" s="146"/>
      <c r="X57" s="338">
        <f t="shared" si="59"/>
        <v>0</v>
      </c>
      <c r="Y57" s="338">
        <f t="shared" si="60"/>
        <v>0</v>
      </c>
      <c r="Z57" s="338">
        <f t="shared" si="61"/>
        <v>1.1821818702574574</v>
      </c>
      <c r="AA57" s="338">
        <f t="shared" si="62"/>
        <v>1.3226799945021455E-5</v>
      </c>
      <c r="AB57" s="338">
        <f t="shared" si="63"/>
        <v>0</v>
      </c>
      <c r="AC57" s="338">
        <f t="shared" si="64"/>
        <v>1.1953450851932603</v>
      </c>
      <c r="AF57" s="138">
        <f t="shared" si="65"/>
        <v>1</v>
      </c>
      <c r="AG57" s="138">
        <f t="shared" si="66"/>
        <v>12</v>
      </c>
      <c r="AH57" s="138">
        <f t="shared" si="67"/>
        <v>31</v>
      </c>
      <c r="AI57" s="138">
        <f t="shared" si="88"/>
        <v>1080</v>
      </c>
      <c r="AJ57" s="138">
        <f t="shared" si="68"/>
        <v>1097</v>
      </c>
      <c r="AL57" s="136">
        <f t="shared" si="69"/>
        <v>3.6219999999999999</v>
      </c>
      <c r="AM57" s="258">
        <f t="shared" si="70"/>
        <v>-4.7500000000000001E-2</v>
      </c>
      <c r="AN57" s="258">
        <f t="shared" si="71"/>
        <v>7.4999999999999997E-3</v>
      </c>
      <c r="AO57" s="258">
        <f t="shared" si="72"/>
        <v>0.4</v>
      </c>
      <c r="AP57" s="258">
        <f t="shared" si="73"/>
        <v>0</v>
      </c>
      <c r="AQ57" s="136">
        <f t="shared" si="74"/>
        <v>3.3399999999999999E-2</v>
      </c>
      <c r="AR57" s="137">
        <f t="shared" si="75"/>
        <v>2.75E-2</v>
      </c>
      <c r="AS57" s="136">
        <f t="shared" si="76"/>
        <v>3.5819999999999999</v>
      </c>
      <c r="AT57" s="137">
        <f t="shared" si="77"/>
        <v>4.4289846522210997E-2</v>
      </c>
      <c r="AU57" s="137">
        <f t="shared" si="78"/>
        <v>0.87703373225281001</v>
      </c>
      <c r="AV57" s="394">
        <f t="shared" si="79"/>
        <v>299.06850269820819</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1.0451295681577057E-6</v>
      </c>
      <c r="BG57" s="137">
        <f>_xll.xSPRDOPT($BW57,$BV57,$CG57,0,$BY57,$BX57,$BZ57,$AJ57,1,3)*$CB57</f>
        <v>1.1496425249734762E-6</v>
      </c>
      <c r="BH57" s="137">
        <f>IF(OR(BF57&lt;&gt;0,BG57&lt;&gt;0),_xll.xSPRDOPT($BW57,$BV57,$CG57,0,$BY57,$BX57,$BZ57,$AJ57,1,12)*$CB57,0)</f>
        <v>-1.0451295681577057E-6</v>
      </c>
      <c r="BI57" s="137">
        <f>_xll.xSPRDOPT($BW57,$BV57,$CG57,2*LN(1+CA57/2),$BY57,$BX57,$BZ57,$AJ57,1,9)</f>
        <v>1.1724555449971117E-2</v>
      </c>
      <c r="BJ57" s="137">
        <f>_xll.xSPRDOPT($BW57,$BV57,$CG57,0,$BY57,$BX57,$BZ57,$AJ57,1,6)*$CB57</f>
        <v>-2.2920170763215185E-4</v>
      </c>
      <c r="BK57" s="137">
        <f>_xll.xSPRDOPT($BW57,$BV57,$CG57,0,$BY57,$BX57,$BZ57,$AJ57,1,5)*$CB57</f>
        <v>2.5027873707697811E-4</v>
      </c>
      <c r="BL57" s="137">
        <f>_xll.xSPRDOPT(BW57,BV57,CG57,0,BY57,BX57,BZ57,AJ57,1,2)*CB57</f>
        <v>-0.87671032466839438</v>
      </c>
      <c r="BM57" s="137">
        <f>_xll.xSPRDOPT(BW57,BV57,CG57,0,BY57,BX57,BZ57,AJ57,1,1)*CB57</f>
        <v>0.87671032467078647</v>
      </c>
      <c r="BN57" s="137">
        <f>IF(AH57&lt;&gt;0,_xll.xSPRDOPT($BW57,$BV57,$CG57,2*LN(1+CA57/2),$BY57,$BX57,$BZ57,$AJ57,1,8)+(AJ57/365.25)*CH57/AH57,0)</f>
        <v>0.18429424497251801</v>
      </c>
      <c r="BO57" s="137">
        <f>_xll.xSPRDOPT($BW57,$BV57,$CG57,0,$BY57,$BX57,$BZ57,$AJ57,1,0)</f>
        <v>0.30531010602687358</v>
      </c>
      <c r="BP57" s="137"/>
      <c r="BQ57" s="137"/>
      <c r="BR57" s="137"/>
      <c r="BS57" s="137"/>
      <c r="BV57" s="262">
        <v>3.6832904884318762</v>
      </c>
      <c r="BW57" s="136">
        <v>4.0220000000000002</v>
      </c>
      <c r="BX57" s="137">
        <v>0.33921272208431497</v>
      </c>
      <c r="BY57" s="137">
        <v>0.33921272208431497</v>
      </c>
      <c r="BZ57" s="137">
        <v>1</v>
      </c>
      <c r="CA57" s="137">
        <v>4.4289846522210997E-2</v>
      </c>
      <c r="CB57" s="137">
        <v>0.8767182256484275</v>
      </c>
      <c r="CC57" s="258">
        <v>-4.7500000000000001E-2</v>
      </c>
      <c r="CD57" s="258">
        <v>7.4999999999999997E-3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87"/>
        <v>38367</v>
      </c>
      <c r="F58" s="28">
        <f t="shared" si="52"/>
        <v>396</v>
      </c>
      <c r="G58" s="28">
        <f t="shared" si="53"/>
        <v>345.42790186306053</v>
      </c>
      <c r="H58" s="52">
        <f t="shared" si="54"/>
        <v>3.7449871465295628</v>
      </c>
      <c r="I58" s="52">
        <f t="shared" si="55"/>
        <v>4.032</v>
      </c>
      <c r="K58" s="52">
        <f t="shared" si="56"/>
        <v>6.8579637162972364</v>
      </c>
      <c r="L58" s="135">
        <f t="shared" si="57"/>
        <v>5.2624860602534795E-5</v>
      </c>
      <c r="N58" s="131">
        <f t="shared" si="48"/>
        <v>0.33874838161277315</v>
      </c>
      <c r="O58" s="131">
        <f t="shared" si="49"/>
        <v>0.33874838161277315</v>
      </c>
      <c r="P58" s="55">
        <f t="shared" si="50"/>
        <v>1</v>
      </c>
      <c r="Q58" s="135">
        <f>_xll.xSPRDOPT(I58,H58,AQ58,0,O58,N58,P58,D58-$G$5,1,0)*AH58*AU58</f>
        <v>6.858016341157839</v>
      </c>
      <c r="R58" s="135"/>
      <c r="S58" s="181">
        <f>_xll.xSPRDOPT(I58,H58,AQ58,AT58,O58,N58,P58,D58-$G$5,1,2)*AF58*(F58/(1-AR58))*AH58</f>
        <v>-10993.519929141381</v>
      </c>
      <c r="T58" s="181">
        <f>_xll.xSPRDOPT(I58,H58,AQ58,AT58,O58,N58,P58,D58-$G$5,1,1)*AF58*F58*AH58</f>
        <v>10691.198131062079</v>
      </c>
      <c r="U58" s="135"/>
      <c r="V58" s="146">
        <f t="shared" si="58"/>
        <v>10.148514744054054</v>
      </c>
      <c r="W58" s="146"/>
      <c r="X58" s="338">
        <f t="shared" si="59"/>
        <v>0</v>
      </c>
      <c r="Y58" s="338">
        <f t="shared" si="60"/>
        <v>0</v>
      </c>
      <c r="Z58" s="338">
        <f t="shared" si="61"/>
        <v>0.9884494937935997</v>
      </c>
      <c r="AA58" s="338">
        <f t="shared" si="62"/>
        <v>7.263186381654381E-5</v>
      </c>
      <c r="AB58" s="338">
        <f t="shared" si="63"/>
        <v>0</v>
      </c>
      <c r="AC58" s="338">
        <f t="shared" si="64"/>
        <v>1.0001758546504533</v>
      </c>
      <c r="AF58" s="138">
        <f t="shared" si="65"/>
        <v>1</v>
      </c>
      <c r="AG58" s="138">
        <f t="shared" si="66"/>
        <v>1</v>
      </c>
      <c r="AH58" s="138">
        <f t="shared" si="67"/>
        <v>31</v>
      </c>
      <c r="AI58" s="138">
        <f t="shared" si="88"/>
        <v>1111</v>
      </c>
      <c r="AJ58" s="138">
        <f t="shared" si="68"/>
        <v>1128</v>
      </c>
      <c r="AL58" s="136">
        <f t="shared" si="69"/>
        <v>3.6819999999999999</v>
      </c>
      <c r="AM58" s="258">
        <f t="shared" si="70"/>
        <v>-4.7500000000000001E-2</v>
      </c>
      <c r="AN58" s="258">
        <f t="shared" si="71"/>
        <v>7.4999999999999997E-3</v>
      </c>
      <c r="AO58" s="258">
        <f t="shared" si="72"/>
        <v>0.35</v>
      </c>
      <c r="AP58" s="258">
        <f t="shared" si="73"/>
        <v>0</v>
      </c>
      <c r="AQ58" s="136">
        <f t="shared" si="74"/>
        <v>3.3399999999999999E-2</v>
      </c>
      <c r="AR58" s="137">
        <f t="shared" si="75"/>
        <v>2.75E-2</v>
      </c>
      <c r="AS58" s="136">
        <f t="shared" si="76"/>
        <v>3.6419999999999999</v>
      </c>
      <c r="AT58" s="137">
        <f t="shared" si="77"/>
        <v>4.4854887495736399E-2</v>
      </c>
      <c r="AU58" s="137">
        <f t="shared" si="78"/>
        <v>0.87229268147237504</v>
      </c>
      <c r="AV58" s="394">
        <f t="shared" si="79"/>
        <v>297.4518043820799</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0</v>
      </c>
      <c r="BG58" s="137">
        <f>_xll.xSPRDOPT($BW58,$BV58,$CG58,0,$BY58,$BX58,$BZ58,$AJ58,1,3)*$CB58</f>
        <v>-3.1184253280529592E-7</v>
      </c>
      <c r="BH58" s="137">
        <f>IF(OR(BF58&lt;&gt;0,BG58&lt;&gt;0),_xll.xSPRDOPT($BW58,$BV58,$CG58,0,$BY58,$BX58,$BZ58,$AJ58,1,12)*$CB58,0)</f>
        <v>-4.6776379920794391E-7</v>
      </c>
      <c r="BI58" s="137">
        <f>_xll.xSPRDOPT($BW58,$BV58,$CG58,2*LN(1+CA58/2),$BY58,$BX58,$BZ58,$AJ58,1,9)</f>
        <v>9.803170891933102E-3</v>
      </c>
      <c r="BJ58" s="137">
        <f>_xll.xSPRDOPT($BW58,$BV58,$CG58,0,$BY58,$BX58,$BZ58,$AJ58,1,6)*$CB58</f>
        <v>-1.5943258627819812E-3</v>
      </c>
      <c r="BK58" s="137">
        <f>_xll.xSPRDOPT($BW58,$BV58,$CG58,0,$BY58,$BX58,$BZ58,$AJ58,1,5)*$CB58</f>
        <v>1.7165137421027072E-3</v>
      </c>
      <c r="BL58" s="137">
        <f>_xll.xSPRDOPT(BW58,BV58,CG58,0,BY58,BX58,BZ58,AJ58,1,2)*CB58</f>
        <v>-0.87191527727378704</v>
      </c>
      <c r="BM58" s="137">
        <f>_xll.xSPRDOPT(BW58,BV58,CG58,0,BY58,BX58,BZ58,AJ58,1,1)*CB58</f>
        <v>0.8719152772706148</v>
      </c>
      <c r="BN58" s="137">
        <f>IF(AH58&lt;&gt;0,_xll.xSPRDOPT($BW58,$BV58,$CG58,2*LN(1+CA58/2),$BY58,$BX58,$BZ58,$AJ58,1,8)+(AJ58/365.25)*CH58/AH58,0)</f>
        <v>0.32768791872272263</v>
      </c>
      <c r="BO58" s="137">
        <f>_xll.xSPRDOPT($BW58,$BV58,$CG58,0,$BY58,$BX58,$BZ58,$AJ58,1,0)</f>
        <v>0.25361485603434247</v>
      </c>
      <c r="BP58" s="137"/>
      <c r="BQ58" s="137"/>
      <c r="BR58" s="137"/>
      <c r="BS58" s="137"/>
      <c r="BV58" s="262">
        <v>3.7449871465295628</v>
      </c>
      <c r="BW58" s="136">
        <v>4.032</v>
      </c>
      <c r="BX58" s="137">
        <v>0.33869995967316402</v>
      </c>
      <c r="BY58" s="137">
        <v>0.33869995967316402</v>
      </c>
      <c r="BZ58" s="137">
        <v>1</v>
      </c>
      <c r="CA58" s="137">
        <v>4.4854887495736399E-2</v>
      </c>
      <c r="CB58" s="137">
        <v>0.87197492181025593</v>
      </c>
      <c r="CC58" s="258">
        <v>-4.7500000000000001E-2</v>
      </c>
      <c r="CD58" s="258">
        <v>7.4999999999999997E-3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87"/>
        <v>38398</v>
      </c>
      <c r="F59" s="28">
        <f t="shared" si="52"/>
        <v>396</v>
      </c>
      <c r="G59" s="28">
        <f t="shared" si="53"/>
        <v>343.54848986802619</v>
      </c>
      <c r="H59" s="52">
        <f t="shared" si="54"/>
        <v>3.6575835475578407</v>
      </c>
      <c r="I59" s="52">
        <f t="shared" si="55"/>
        <v>3.9470000000000001</v>
      </c>
      <c r="K59" s="52">
        <f t="shared" si="56"/>
        <v>6.2189743366172978</v>
      </c>
      <c r="L59" s="135">
        <f t="shared" si="57"/>
        <v>4.4409970829661916E-5</v>
      </c>
      <c r="N59" s="131">
        <f t="shared" si="48"/>
        <v>0.33420972413423633</v>
      </c>
      <c r="O59" s="131">
        <f t="shared" si="49"/>
        <v>0.33420972413423633</v>
      </c>
      <c r="P59" s="55">
        <f t="shared" si="50"/>
        <v>1.0000000000000002</v>
      </c>
      <c r="Q59" s="135">
        <f>_xll.xSPRDOPT(I59,H59,AQ59,0,O59,N59,P59,D59-$G$5,1,0)*AH59*AU59</f>
        <v>6.2190187465881275</v>
      </c>
      <c r="R59" s="135"/>
      <c r="S59" s="181">
        <f>_xll.xSPRDOPT(I59,H59,AQ59,AT59,O59,N59,P59,D59-$G$5,1,2)*AF59*(F59/(1-AR59))*AH59</f>
        <v>-9875.2416014961709</v>
      </c>
      <c r="T59" s="181">
        <f>_xll.xSPRDOPT(I59,H59,AQ59,AT59,O59,N59,P59,D59-$G$5,1,1)*AF59*F59*AH59</f>
        <v>9603.672457424771</v>
      </c>
      <c r="U59" s="135"/>
      <c r="V59" s="146">
        <f t="shared" si="58"/>
        <v>9.1165276538615316</v>
      </c>
      <c r="W59" s="146"/>
      <c r="X59" s="338">
        <f t="shared" si="59"/>
        <v>0</v>
      </c>
      <c r="Y59" s="338">
        <f t="shared" si="60"/>
        <v>0</v>
      </c>
      <c r="Z59" s="338">
        <f t="shared" si="61"/>
        <v>0.90752904404991364</v>
      </c>
      <c r="AA59" s="338">
        <f t="shared" si="62"/>
        <v>4.0296694242615261E-5</v>
      </c>
      <c r="AB59" s="338">
        <f t="shared" si="63"/>
        <v>0</v>
      </c>
      <c r="AC59" s="338">
        <f t="shared" si="64"/>
        <v>0.9180257419909843</v>
      </c>
      <c r="AF59" s="138">
        <f t="shared" si="65"/>
        <v>1</v>
      </c>
      <c r="AG59" s="138">
        <f t="shared" si="66"/>
        <v>2</v>
      </c>
      <c r="AH59" s="138">
        <f t="shared" si="67"/>
        <v>28</v>
      </c>
      <c r="AI59" s="138">
        <f t="shared" si="88"/>
        <v>1142</v>
      </c>
      <c r="AJ59" s="138">
        <f t="shared" si="68"/>
        <v>1159</v>
      </c>
      <c r="AL59" s="136">
        <f t="shared" si="69"/>
        <v>3.597</v>
      </c>
      <c r="AM59" s="258">
        <f t="shared" si="70"/>
        <v>-4.7500000000000001E-2</v>
      </c>
      <c r="AN59" s="258">
        <f t="shared" si="71"/>
        <v>7.4999999999999997E-3</v>
      </c>
      <c r="AO59" s="258">
        <f t="shared" si="72"/>
        <v>0.35</v>
      </c>
      <c r="AP59" s="258">
        <f t="shared" si="73"/>
        <v>0</v>
      </c>
      <c r="AQ59" s="136">
        <f t="shared" si="74"/>
        <v>3.3399999999999999E-2</v>
      </c>
      <c r="AR59" s="137">
        <f t="shared" si="75"/>
        <v>2.75E-2</v>
      </c>
      <c r="AS59" s="136">
        <f t="shared" si="76"/>
        <v>3.5569999999999999</v>
      </c>
      <c r="AT59" s="137">
        <f t="shared" si="77"/>
        <v>4.5401152752323697E-2</v>
      </c>
      <c r="AU59" s="137">
        <f t="shared" si="78"/>
        <v>0.86754669158592468</v>
      </c>
      <c r="AV59" s="394">
        <f t="shared" si="79"/>
        <v>267.20438100846479</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1.0338149733486821E-6</v>
      </c>
      <c r="BG59" s="137">
        <f>_xll.xSPRDOPT($BW59,$BV59,$CG59,0,$BY59,$BX59,$BZ59,$AJ59,1,3)*$CB59</f>
        <v>1.0338149733486822E-7</v>
      </c>
      <c r="BH59" s="137">
        <f>IF(OR(BF59&lt;&gt;0,BG59&lt;&gt;0),_xll.xSPRDOPT($BW59,$BV59,$CG59,0,$BY59,$BX59,$BZ59,$AJ59,1,12)*$CB59,0)</f>
        <v>-2.5845374333717053E-7</v>
      </c>
      <c r="BI59" s="137">
        <f>_xll.xSPRDOPT($BW59,$BV59,$CG59,2*LN(1+CA59/2),$BY59,$BX59,$BZ59,$AJ59,1,9)</f>
        <v>9.9649766516122819E-3</v>
      </c>
      <c r="BJ59" s="137">
        <f>_xll.xSPRDOPT($BW59,$BV59,$CG59,0,$BY59,$BX59,$BZ59,$AJ59,1,6)*$CB59</f>
        <v>-9.7831534981044949E-4</v>
      </c>
      <c r="BK59" s="137">
        <f>_xll.xSPRDOPT($BW59,$BV59,$CG59,0,$BY59,$BX59,$BZ59,$AJ59,1,5)*$CB59</f>
        <v>1.0644894144316015E-3</v>
      </c>
      <c r="BL59" s="137">
        <f>_xll.xSPRDOPT(BW59,BV59,CG59,0,BY59,BX59,BZ59,AJ59,1,2)*CB59</f>
        <v>-0.86720503163828144</v>
      </c>
      <c r="BM59" s="137">
        <f>_xll.xSPRDOPT(BW59,BV59,CG59,0,BY59,BX59,BZ59,AJ59,1,1)*CB59</f>
        <v>0.8672050316327603</v>
      </c>
      <c r="BN59" s="137">
        <f>IF(AH59&lt;&gt;0,_xll.xSPRDOPT($BW59,$BV59,$CG59,2*LN(1+CA59/2),$BY59,$BX59,$BZ59,$AJ59,1,8)+(AJ59/365.25)*CH59/AH59,0)</f>
        <v>0.32824622536128933</v>
      </c>
      <c r="BO59" s="137">
        <f>_xll.xSPRDOPT($BW59,$BV59,$CG59,0,$BY59,$BX59,$BZ59,$AJ59,1,0)</f>
        <v>0.25601830248090096</v>
      </c>
      <c r="BP59" s="137"/>
      <c r="BQ59" s="137"/>
      <c r="BR59" s="137"/>
      <c r="BS59" s="137"/>
      <c r="BV59" s="262">
        <v>3.6575835475578407</v>
      </c>
      <c r="BW59" s="136">
        <v>3.9470000000000001</v>
      </c>
      <c r="BX59" s="137">
        <v>0.33416755063618625</v>
      </c>
      <c r="BY59" s="137">
        <v>0.33416755063618625</v>
      </c>
      <c r="BZ59" s="137">
        <v>1</v>
      </c>
      <c r="CA59" s="137">
        <v>4.5401152752323697E-2</v>
      </c>
      <c r="CB59" s="137">
        <v>0.86722685559525425</v>
      </c>
      <c r="CC59" s="258">
        <v>-4.7500000000000001E-2</v>
      </c>
      <c r="CD59" s="258">
        <v>7.4999999999999997E-3</v>
      </c>
      <c r="CE59" s="258">
        <v>0.35</v>
      </c>
      <c r="CF59" s="258">
        <v>0</v>
      </c>
      <c r="CG59" s="258">
        <v>3.3399999999999999E-2</v>
      </c>
      <c r="CH59" s="258">
        <v>9.1131666893371701</v>
      </c>
      <c r="CI59" s="258">
        <v>3.597</v>
      </c>
      <c r="CJ59" s="258"/>
      <c r="CK59" s="258"/>
      <c r="CL59" s="258"/>
      <c r="CM59" s="258"/>
    </row>
    <row r="60" spans="1:91" x14ac:dyDescent="0.25">
      <c r="A60" s="723"/>
      <c r="B60" s="723"/>
      <c r="D60" s="31">
        <f t="shared" si="87"/>
        <v>38426</v>
      </c>
      <c r="F60" s="28">
        <f t="shared" si="52"/>
        <v>396</v>
      </c>
      <c r="G60" s="28">
        <f t="shared" si="53"/>
        <v>341.83323867718309</v>
      </c>
      <c r="H60" s="52">
        <f t="shared" si="54"/>
        <v>3.5239074550128535</v>
      </c>
      <c r="I60" s="52">
        <f t="shared" si="55"/>
        <v>3.867</v>
      </c>
      <c r="K60" s="52">
        <f t="shared" si="56"/>
        <v>8.2872711491444448</v>
      </c>
      <c r="L60" s="135">
        <f t="shared" si="57"/>
        <v>8.3801122787718896E-6</v>
      </c>
      <c r="N60" s="131">
        <f t="shared" si="48"/>
        <v>0.31729237574852004</v>
      </c>
      <c r="O60" s="131">
        <f t="shared" si="49"/>
        <v>0.31729237574852004</v>
      </c>
      <c r="P60" s="55">
        <f t="shared" si="50"/>
        <v>0.99999999999999989</v>
      </c>
      <c r="Q60" s="135">
        <f>_xll.xSPRDOPT(I60,H60,AQ60,0,O60,N60,P60,D60-$G$5,1,0)*AH60*AU60</f>
        <v>8.2872795292567236</v>
      </c>
      <c r="R60" s="135"/>
      <c r="S60" s="181">
        <f>_xll.xSPRDOPT(I60,H60,AQ60,AT60,O60,N60,P60,D60-$G$5,1,2)*AF60*(F60/(1-AR60))*AH60</f>
        <v>-10878.073246854656</v>
      </c>
      <c r="T60" s="181">
        <f>_xll.xSPRDOPT(I60,H60,AQ60,AT60,O60,N60,P60,D60-$G$5,1,1)*AF60*F60*AH60</f>
        <v>10578.926232554988</v>
      </c>
      <c r="U60" s="135"/>
      <c r="V60" s="146">
        <f t="shared" si="58"/>
        <v>10.042905173590787</v>
      </c>
      <c r="W60" s="146"/>
      <c r="X60" s="338">
        <f t="shared" si="59"/>
        <v>0</v>
      </c>
      <c r="Y60" s="338">
        <f t="shared" si="60"/>
        <v>0</v>
      </c>
      <c r="Z60" s="338">
        <f t="shared" si="61"/>
        <v>1.2225331469688347</v>
      </c>
      <c r="AA60" s="338">
        <f t="shared" si="62"/>
        <v>6.9935893959624861E-6</v>
      </c>
      <c r="AB60" s="338">
        <f t="shared" si="63"/>
        <v>0</v>
      </c>
      <c r="AC60" s="338">
        <f t="shared" si="64"/>
        <v>1.2366235387410365</v>
      </c>
      <c r="AF60" s="138">
        <f t="shared" si="65"/>
        <v>1</v>
      </c>
      <c r="AG60" s="138">
        <f t="shared" si="66"/>
        <v>3</v>
      </c>
      <c r="AH60" s="138">
        <f t="shared" si="67"/>
        <v>31</v>
      </c>
      <c r="AI60" s="138">
        <f t="shared" si="88"/>
        <v>1170</v>
      </c>
      <c r="AJ60" s="138">
        <f t="shared" si="68"/>
        <v>1187</v>
      </c>
      <c r="AL60" s="136">
        <f t="shared" si="69"/>
        <v>3.4670000000000001</v>
      </c>
      <c r="AM60" s="258">
        <f t="shared" si="70"/>
        <v>-4.7500000000000001E-2</v>
      </c>
      <c r="AN60" s="258">
        <f t="shared" si="71"/>
        <v>7.4999999999999997E-3</v>
      </c>
      <c r="AO60" s="258">
        <f t="shared" si="72"/>
        <v>0.4</v>
      </c>
      <c r="AP60" s="258">
        <f t="shared" si="73"/>
        <v>0</v>
      </c>
      <c r="AQ60" s="136">
        <f t="shared" si="74"/>
        <v>3.3399999999999999E-2</v>
      </c>
      <c r="AR60" s="137">
        <f t="shared" si="75"/>
        <v>2.75E-2</v>
      </c>
      <c r="AS60" s="136">
        <f t="shared" si="76"/>
        <v>3.427</v>
      </c>
      <c r="AT60" s="137">
        <f t="shared" si="77"/>
        <v>4.5894553715070799E-2</v>
      </c>
      <c r="AU60" s="137">
        <f t="shared" si="78"/>
        <v>0.86321524918480574</v>
      </c>
      <c r="AV60" s="394">
        <f t="shared" si="79"/>
        <v>294.35639997201878</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6.1718959174647789E-7</v>
      </c>
      <c r="BG60" s="137">
        <f>_xll.xSPRDOPT($BW60,$BV60,$CG60,0,$BY60,$BX60,$BZ60,$AJ60,1,3)*$CB60</f>
        <v>9.2578438761971694E-7</v>
      </c>
      <c r="BH60" s="137">
        <f>IF(OR(BF60&lt;&gt;0,BG60&lt;&gt;0),_xll.xSPRDOPT($BW60,$BV60,$CG60,0,$BY60,$BX60,$BZ60,$AJ60,1,12)*$CB60,0)</f>
        <v>-6.6862205772535106E-7</v>
      </c>
      <c r="BI60" s="137">
        <f>_xll.xSPRDOPT($BW60,$BV60,$CG60,2*LN(1+CA60/2),$BY60,$BX60,$BZ60,$AJ60,1,9)</f>
        <v>1.2124748341760803E-2</v>
      </c>
      <c r="BJ60" s="137">
        <f>_xll.xSPRDOPT($BW60,$BV60,$CG60,0,$BY60,$BX60,$BZ60,$AJ60,1,6)*$CB60</f>
        <v>-2.4042727211312929E-4</v>
      </c>
      <c r="BK60" s="137">
        <f>_xll.xSPRDOPT($BW60,$BV60,$CG60,0,$BY60,$BX60,$BZ60,$AJ60,1,5)*$CB60</f>
        <v>2.6383559866179258E-4</v>
      </c>
      <c r="BL60" s="137">
        <f>_xll.xSPRDOPT(BW60,BV60,CG60,0,BY60,BX60,BZ60,AJ60,1,2)*CB60</f>
        <v>-0.86288523235994452</v>
      </c>
      <c r="BM60" s="137">
        <f>_xll.xSPRDOPT(BW60,BV60,CG60,0,BY60,BX60,BZ60,AJ60,1,1)*CB60</f>
        <v>0.86288523236229897</v>
      </c>
      <c r="BN60" s="137">
        <f>IF(AH60&lt;&gt;0,_xll.xSPRDOPT($BW60,$BV60,$CG60,2*LN(1+CA60/2),$BY60,$BX60,$BZ60,$AJ60,1,8)+(AJ60/365.25)*CH60/AH60,0)</f>
        <v>0.18397922635799047</v>
      </c>
      <c r="BO60" s="137">
        <f>_xll.xSPRDOPT($BW60,$BV60,$CG60,0,$BY60,$BX60,$BZ60,$AJ60,1,0)</f>
        <v>0.30969286838783777</v>
      </c>
      <c r="BP60" s="137"/>
      <c r="BQ60" s="137"/>
      <c r="BR60" s="137"/>
      <c r="BS60" s="137"/>
      <c r="BV60" s="262">
        <v>3.5239074550128535</v>
      </c>
      <c r="BW60" s="136">
        <v>3.867</v>
      </c>
      <c r="BX60" s="137">
        <v>0.31726803842117157</v>
      </c>
      <c r="BY60" s="137">
        <v>0.31726803842117157</v>
      </c>
      <c r="BZ60" s="137">
        <v>1</v>
      </c>
      <c r="CA60" s="137">
        <v>4.5894553715070799E-2</v>
      </c>
      <c r="CB60" s="137">
        <v>0.86289359114020647</v>
      </c>
      <c r="CC60" s="258">
        <v>-4.7500000000000001E-2</v>
      </c>
      <c r="CD60" s="258">
        <v>7.4999999999999997E-3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87"/>
        <v>38457</v>
      </c>
      <c r="F61" s="28">
        <f t="shared" si="52"/>
        <v>396</v>
      </c>
      <c r="G61" s="28">
        <f t="shared" si="53"/>
        <v>339.95896898713619</v>
      </c>
      <c r="H61" s="52">
        <f t="shared" si="54"/>
        <v>3.3285347043701794</v>
      </c>
      <c r="I61" s="52">
        <f t="shared" si="55"/>
        <v>3.8820000000000001</v>
      </c>
      <c r="K61" s="52">
        <f t="shared" si="56"/>
        <v>13.394004674871518</v>
      </c>
      <c r="L61" s="135">
        <f t="shared" si="57"/>
        <v>1.3771326923261995E-6</v>
      </c>
      <c r="N61" s="131">
        <f t="shared" si="48"/>
        <v>0.29897853273193292</v>
      </c>
      <c r="O61" s="131">
        <f t="shared" si="49"/>
        <v>0.29897853273193292</v>
      </c>
      <c r="P61" s="55">
        <f t="shared" si="50"/>
        <v>0.99999999999999989</v>
      </c>
      <c r="Q61" s="135">
        <f>_xll.xSPRDOPT(I61,H61,AQ61,0,O61,N61,P61,D61-$G$5,1,0)*AH61*AU61</f>
        <v>13.39400605200421</v>
      </c>
      <c r="R61" s="135"/>
      <c r="S61" s="181">
        <f>_xll.xSPRDOPT(I61,H61,AQ61,AT61,O61,N61,P61,D61-$G$5,1,2)*AF61*(F61/(1-AR61))*AH61</f>
        <v>-10468.691103321125</v>
      </c>
      <c r="T61" s="181">
        <f>_xll.xSPRDOPT(I61,H61,AQ61,AT61,O61,N61,P61,D61-$G$5,1,1)*AF61*F61*AH61</f>
        <v>10180.802098120257</v>
      </c>
      <c r="U61" s="135"/>
      <c r="V61" s="146">
        <f t="shared" si="58"/>
        <v>9.6656515955206217</v>
      </c>
      <c r="W61" s="146"/>
      <c r="X61" s="338">
        <f t="shared" si="59"/>
        <v>0</v>
      </c>
      <c r="Y61" s="338">
        <f t="shared" si="60"/>
        <v>0</v>
      </c>
      <c r="Z61" s="338">
        <f t="shared" si="61"/>
        <v>1.9976114712699844</v>
      </c>
      <c r="AA61" s="338">
        <f t="shared" si="62"/>
        <v>1.3064686745881798E-9</v>
      </c>
      <c r="AB61" s="338">
        <f t="shared" si="63"/>
        <v>0</v>
      </c>
      <c r="AC61" s="338">
        <f t="shared" si="64"/>
        <v>2.0206958464826532</v>
      </c>
      <c r="AF61" s="138">
        <f t="shared" si="65"/>
        <v>1</v>
      </c>
      <c r="AG61" s="138">
        <f t="shared" si="66"/>
        <v>4</v>
      </c>
      <c r="AH61" s="138">
        <f t="shared" si="67"/>
        <v>30</v>
      </c>
      <c r="AI61" s="138">
        <f t="shared" si="88"/>
        <v>1201</v>
      </c>
      <c r="AJ61" s="138">
        <f t="shared" si="68"/>
        <v>1218</v>
      </c>
      <c r="AL61" s="136">
        <f t="shared" si="69"/>
        <v>3.282</v>
      </c>
      <c r="AM61" s="258">
        <f t="shared" si="70"/>
        <v>-5.2499999999999998E-2</v>
      </c>
      <c r="AN61" s="258">
        <f t="shared" si="71"/>
        <v>7.4999999999999997E-3</v>
      </c>
      <c r="AO61" s="258">
        <f t="shared" si="72"/>
        <v>0.6</v>
      </c>
      <c r="AP61" s="258">
        <f t="shared" si="73"/>
        <v>0</v>
      </c>
      <c r="AQ61" s="136">
        <f t="shared" si="74"/>
        <v>3.3399999999999999E-2</v>
      </c>
      <c r="AR61" s="137">
        <f t="shared" si="75"/>
        <v>2.75E-2</v>
      </c>
      <c r="AS61" s="136">
        <f t="shared" si="76"/>
        <v>3.2369999999999997</v>
      </c>
      <c r="AT61" s="137">
        <f t="shared" si="77"/>
        <v>4.6401056415071598E-2</v>
      </c>
      <c r="AU61" s="137">
        <f t="shared" si="78"/>
        <v>0.85848224491701053</v>
      </c>
      <c r="AV61" s="394">
        <f t="shared" si="79"/>
        <v>283.29914082261348</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-6.1380304880042548E-7</v>
      </c>
      <c r="BG61" s="137">
        <f>_xll.xSPRDOPT($BW61,$BV61,$CG61,0,$BY61,$BX61,$BZ61,$AJ61,1,3)*$CB61</f>
        <v>-2.0460101626680849E-7</v>
      </c>
      <c r="BH61" s="137">
        <f>IF(OR(BF61&lt;&gt;0,BG61&lt;&gt;0),_xll.xSPRDOPT($BW61,$BV61,$CG61,0,$BY61,$BX61,$BZ61,$AJ61,1,12)*$CB61,0)</f>
        <v>3.0690152440021274E-7</v>
      </c>
      <c r="BI61" s="137">
        <f>_xll.xSPRDOPT($BW61,$BV61,$CG61,2*LN(1+CA61/2),$BY61,$BX61,$BZ61,$AJ61,1,9)</f>
        <v>2.0472154598242476E-2</v>
      </c>
      <c r="BJ61" s="137">
        <f>_xll.xSPRDOPT($BW61,$BV61,$CG61,0,$BY61,$BX61,$BZ61,$AJ61,1,6)*$CB61</f>
        <v>-1.8214336590871134E-7</v>
      </c>
      <c r="BK61" s="137">
        <f>_xll.xSPRDOPT($BW61,$BV61,$CG61,0,$BY61,$BX61,$BZ61,$AJ61,1,5)*$CB61</f>
        <v>2.1244085344124698E-7</v>
      </c>
      <c r="BL61" s="137">
        <f>_xll.xSPRDOPT(BW61,BV61,CG61,0,BY61,BX61,BZ61,AJ61,1,2)*CB61</f>
        <v>-0.85815892597493271</v>
      </c>
      <c r="BM61" s="137">
        <f>_xll.xSPRDOPT(BW61,BV61,CG61,0,BY61,BX61,BZ61,AJ61,1,1)*CB61</f>
        <v>0.85815892597961563</v>
      </c>
      <c r="BN61" s="137">
        <f>IF(AH61&lt;&gt;0,_xll.xSPRDOPT($BW61,$BV61,$CG61,2*LN(1+CA61/2),$BY61,$BX61,$BZ61,$AJ61,1,8)+(AJ61/365.25)*CH61/AH61,0)</f>
        <v>-0.4142756208785916</v>
      </c>
      <c r="BO61" s="137">
        <f>_xll.xSPRDOPT($BW61,$BV61,$CG61,0,$BY61,$BX61,$BZ61,$AJ61,1,0)</f>
        <v>0.52006534911441971</v>
      </c>
      <c r="BP61" s="137"/>
      <c r="BQ61" s="137"/>
      <c r="BR61" s="137"/>
      <c r="BS61" s="137"/>
      <c r="BV61" s="262">
        <v>3.3285347043701794</v>
      </c>
      <c r="BW61" s="136">
        <v>3.8820000000000001</v>
      </c>
      <c r="BX61" s="137">
        <v>0.29897490298835971</v>
      </c>
      <c r="BY61" s="137">
        <v>0.29897490298835971</v>
      </c>
      <c r="BZ61" s="137">
        <v>1</v>
      </c>
      <c r="CA61" s="137">
        <v>4.6401056415071598E-2</v>
      </c>
      <c r="CB61" s="137">
        <v>0.85815886093193994</v>
      </c>
      <c r="CC61" s="258">
        <v>-5.2499999999999998E-2</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87"/>
        <v>38487</v>
      </c>
      <c r="F62" s="28">
        <f t="shared" si="52"/>
        <v>252</v>
      </c>
      <c r="G62" s="28">
        <f t="shared" si="53"/>
        <v>215.19713485646483</v>
      </c>
      <c r="H62" s="52">
        <f t="shared" si="54"/>
        <v>3.2319999999999998</v>
      </c>
      <c r="I62" s="52">
        <f t="shared" si="55"/>
        <v>4.0270000000000001</v>
      </c>
      <c r="K62" s="52">
        <f t="shared" si="56"/>
        <v>21.045767414831658</v>
      </c>
      <c r="L62" s="135">
        <f t="shared" si="57"/>
        <v>2.1434751040771971E-6</v>
      </c>
      <c r="N62" s="131">
        <f t="shared" si="48"/>
        <v>0.29252740451228487</v>
      </c>
      <c r="O62" s="131">
        <f t="shared" si="49"/>
        <v>0.29252740451228487</v>
      </c>
      <c r="P62" s="55">
        <f t="shared" si="50"/>
        <v>0.99999999999999989</v>
      </c>
      <c r="Q62" s="135">
        <f>_xll.xSPRDOPT(I62,H62,AQ62,0,O62,N62,P62,D62-$G$5,1,0)*AH62*AU62</f>
        <v>21.045769558306763</v>
      </c>
      <c r="R62" s="135"/>
      <c r="S62" s="181">
        <f>_xll.xSPRDOPT(I62,H62,AQ62,AT62,O62,N62,P62,D62-$G$5,1,2)*AF62*(F62/(1-AR62))*AH62</f>
        <v>-6658.8334405508576</v>
      </c>
      <c r="T62" s="181">
        <f>_xll.xSPRDOPT(I62,H62,AQ62,AT62,O62,N62,P62,D62-$G$5,1,1)*AF62*F62*AH62</f>
        <v>6658.8334404229681</v>
      </c>
      <c r="U62" s="135"/>
      <c r="V62" s="146">
        <f t="shared" si="58"/>
        <v>0</v>
      </c>
      <c r="W62" s="146"/>
      <c r="X62" s="338">
        <f t="shared" si="59"/>
        <v>0</v>
      </c>
      <c r="Y62" s="338">
        <f t="shared" si="60"/>
        <v>0</v>
      </c>
      <c r="Z62" s="338">
        <f t="shared" si="61"/>
        <v>2.0168068565992634</v>
      </c>
      <c r="AA62" s="338">
        <f t="shared" si="62"/>
        <v>-6.3531315133158497E-9</v>
      </c>
      <c r="AB62" s="338">
        <f t="shared" si="63"/>
        <v>0</v>
      </c>
      <c r="AC62" s="338">
        <f t="shared" si="64"/>
        <v>2.0403405148028226</v>
      </c>
      <c r="AF62" s="138">
        <f t="shared" si="65"/>
        <v>1</v>
      </c>
      <c r="AG62" s="138">
        <f t="shared" si="66"/>
        <v>5</v>
      </c>
      <c r="AH62" s="138">
        <f t="shared" si="67"/>
        <v>31</v>
      </c>
      <c r="AI62" s="138">
        <f t="shared" si="88"/>
        <v>1231</v>
      </c>
      <c r="AJ62" s="138">
        <f t="shared" si="68"/>
        <v>1248</v>
      </c>
      <c r="AL62" s="136">
        <f t="shared" si="69"/>
        <v>3.2770000000000001</v>
      </c>
      <c r="AM62" s="258">
        <f t="shared" si="70"/>
        <v>-5.2499999999999998E-2</v>
      </c>
      <c r="AN62" s="258">
        <f t="shared" si="71"/>
        <v>7.4999999999999997E-3</v>
      </c>
      <c r="AO62" s="258">
        <f t="shared" si="72"/>
        <v>0.75</v>
      </c>
      <c r="AP62" s="258">
        <f t="shared" si="73"/>
        <v>0</v>
      </c>
      <c r="AQ62" s="136">
        <f t="shared" si="74"/>
        <v>0</v>
      </c>
      <c r="AR62" s="137">
        <f t="shared" si="75"/>
        <v>0</v>
      </c>
      <c r="AS62" s="136">
        <f t="shared" si="76"/>
        <v>3.2319999999999998</v>
      </c>
      <c r="AT62" s="137">
        <f t="shared" si="77"/>
        <v>4.6856677050253197E-2</v>
      </c>
      <c r="AU62" s="137">
        <f t="shared" si="78"/>
        <v>0.85395688435105088</v>
      </c>
      <c r="AV62" s="394">
        <f t="shared" si="79"/>
        <v>0</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3.1431929696743514E-2</v>
      </c>
      <c r="BJ62" s="137">
        <f>_xll.xSPRDOPT($BW62,$BV62,$CG62,0,$BY62,$BX62,$BZ62,$AJ62,1,6)*$CB62</f>
        <v>5.4725773225887775E-7</v>
      </c>
      <c r="BK62" s="137">
        <f>_xll.xSPRDOPT($BW62,$BV62,$CG62,0,$BY62,$BX62,$BZ62,$AJ62,1,5)*$CB62</f>
        <v>-6.8185664982974952E-7</v>
      </c>
      <c r="BL62" s="137">
        <f>_xll.xSPRDOPT(BW62,BV62,CG62,0,BY62,BX62,BZ62,AJ62,1,2)*CB62</f>
        <v>-0.85363217018873117</v>
      </c>
      <c r="BM62" s="137">
        <f>_xll.xSPRDOPT(BW62,BV62,CG62,0,BY62,BX62,BZ62,AJ62,1,1)*CB62</f>
        <v>0.85363217017786186</v>
      </c>
      <c r="BN62" s="137">
        <f>IF(AH62&lt;&gt;0,_xll.xSPRDOPT($BW62,$BV62,$CG62,2*LN(1+CA62/2),$BY62,$BX62,$BZ62,$AJ62,1,8)+(AJ62/365.25)*CH62/AH62,0)</f>
        <v>-2.3187945077718446</v>
      </c>
      <c r="BO62" s="137">
        <f>_xll.xSPRDOPT($BW62,$BV62,$CG62,0,$BY62,$BX62,$BZ62,$AJ62,1,0)</f>
        <v>0.79500008091488605</v>
      </c>
      <c r="BP62" s="137"/>
      <c r="BQ62" s="137"/>
      <c r="BR62" s="137"/>
      <c r="BS62" s="137"/>
      <c r="BV62" s="262">
        <v>3.2319999999999998</v>
      </c>
      <c r="BW62" s="136">
        <v>4.0270000000000001</v>
      </c>
      <c r="BX62" s="137">
        <v>0.2925213624660592</v>
      </c>
      <c r="BY62" s="137">
        <v>0.2925213624660592</v>
      </c>
      <c r="BZ62" s="137">
        <v>1</v>
      </c>
      <c r="CA62" s="137">
        <v>4.6856677050253197E-2</v>
      </c>
      <c r="CB62" s="137">
        <v>0.85363208329541629</v>
      </c>
      <c r="CC62" s="258">
        <v>-5.2499999999999998E-2</v>
      </c>
      <c r="CD62" s="258">
        <v>7.4999999999999997E-3</v>
      </c>
      <c r="CE62" s="258">
        <v>0.75</v>
      </c>
      <c r="CF62" s="258">
        <v>0</v>
      </c>
      <c r="CG62" s="258">
        <v>0</v>
      </c>
      <c r="CH62" s="258">
        <v>0</v>
      </c>
      <c r="CI62" s="258">
        <v>3.2770000000000001</v>
      </c>
      <c r="CJ62" s="258"/>
      <c r="CK62" s="258"/>
      <c r="CL62" s="258"/>
      <c r="CM62" s="258"/>
    </row>
    <row r="63" spans="1:91" x14ac:dyDescent="0.25">
      <c r="A63" s="723"/>
      <c r="B63" s="723"/>
      <c r="D63" s="31">
        <f t="shared" si="87"/>
        <v>38518</v>
      </c>
      <c r="F63" s="28">
        <f t="shared" si="52"/>
        <v>252</v>
      </c>
      <c r="G63" s="28">
        <f t="shared" si="53"/>
        <v>214.00867912521102</v>
      </c>
      <c r="H63" s="52">
        <f t="shared" si="54"/>
        <v>3.2694999999999999</v>
      </c>
      <c r="I63" s="52">
        <f t="shared" si="55"/>
        <v>4.1619999999999999</v>
      </c>
      <c r="K63" s="52">
        <f t="shared" si="56"/>
        <v>22.738422157053673</v>
      </c>
      <c r="L63" s="135">
        <f t="shared" si="57"/>
        <v>2.3001276829859307E-6</v>
      </c>
      <c r="N63" s="131">
        <f t="shared" si="48"/>
        <v>0.29238802915440232</v>
      </c>
      <c r="O63" s="131">
        <f t="shared" si="49"/>
        <v>0.29238802915440232</v>
      </c>
      <c r="P63" s="55">
        <f t="shared" si="50"/>
        <v>0.99999999999999978</v>
      </c>
      <c r="Q63" s="135">
        <f>_xll.xSPRDOPT(I63,H63,AQ63,0,O63,N63,P63,D63-$G$5,1,0)*AH63*AU63</f>
        <v>22.738424457181356</v>
      </c>
      <c r="R63" s="135"/>
      <c r="S63" s="181">
        <f>_xll.xSPRDOPT(I63,H63,AQ63,AT63,O63,N63,P63,D63-$G$5,1,2)*AF63*(F63/(1-AR63))*AH63</f>
        <v>-6407.9078902259062</v>
      </c>
      <c r="T63" s="181">
        <f>_xll.xSPRDOPT(I63,H63,AQ63,AT63,O63,N63,P63,D63-$G$5,1,1)*AF63*F63*AH63</f>
        <v>6407.9078902121546</v>
      </c>
      <c r="U63" s="135"/>
      <c r="V63" s="146">
        <f t="shared" si="58"/>
        <v>0</v>
      </c>
      <c r="W63" s="146"/>
      <c r="X63" s="338">
        <f t="shared" si="59"/>
        <v>0</v>
      </c>
      <c r="Y63" s="338">
        <f t="shared" si="60"/>
        <v>0</v>
      </c>
      <c r="Z63" s="338">
        <f t="shared" si="61"/>
        <v>2.2006452158910537</v>
      </c>
      <c r="AA63" s="338">
        <f t="shared" si="62"/>
        <v>-6.4847498531649952E-9</v>
      </c>
      <c r="AB63" s="338">
        <f t="shared" si="63"/>
        <v>0</v>
      </c>
      <c r="AC63" s="338">
        <f t="shared" si="64"/>
        <v>2.2265810687761154</v>
      </c>
      <c r="AF63" s="138">
        <f t="shared" si="65"/>
        <v>1</v>
      </c>
      <c r="AG63" s="138">
        <f t="shared" si="66"/>
        <v>6</v>
      </c>
      <c r="AH63" s="138">
        <f t="shared" si="67"/>
        <v>30</v>
      </c>
      <c r="AI63" s="138">
        <f t="shared" si="88"/>
        <v>1262</v>
      </c>
      <c r="AJ63" s="138">
        <f t="shared" si="68"/>
        <v>1279</v>
      </c>
      <c r="AL63" s="136">
        <f t="shared" si="69"/>
        <v>3.3119999999999998</v>
      </c>
      <c r="AM63" s="258">
        <f t="shared" si="70"/>
        <v>-0.05</v>
      </c>
      <c r="AN63" s="258">
        <f t="shared" si="71"/>
        <v>7.4999999999999997E-3</v>
      </c>
      <c r="AO63" s="258">
        <f t="shared" si="72"/>
        <v>0.85</v>
      </c>
      <c r="AP63" s="258">
        <f t="shared" si="73"/>
        <v>0</v>
      </c>
      <c r="AQ63" s="136">
        <f t="shared" si="74"/>
        <v>0</v>
      </c>
      <c r="AR63" s="137">
        <f t="shared" si="75"/>
        <v>0</v>
      </c>
      <c r="AS63" s="136">
        <f t="shared" si="76"/>
        <v>3.2694999999999999</v>
      </c>
      <c r="AT63" s="137">
        <f t="shared" si="77"/>
        <v>4.7327485112866399E-2</v>
      </c>
      <c r="AU63" s="137">
        <f t="shared" si="78"/>
        <v>0.84924079017940879</v>
      </c>
      <c r="AV63" s="394">
        <f t="shared" si="79"/>
        <v>0</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4.0479401380330218E-7</v>
      </c>
      <c r="BG63" s="137">
        <f>_xll.xSPRDOPT($BW63,$BV63,$CG63,0,$BY63,$BX63,$BZ63,$AJ63,1,3)*$CB63</f>
        <v>-8.0958802760660437E-7</v>
      </c>
      <c r="BH63" s="137">
        <f>IF(OR(BF63&lt;&gt;0,BG63&lt;&gt;0),_xll.xSPRDOPT($BW63,$BV63,$CG63,0,$BY63,$BX63,$BZ63,$AJ63,1,12)*$CB63,0)</f>
        <v>6.0719102070495325E-7</v>
      </c>
      <c r="BI63" s="137">
        <f>_xll.xSPRDOPT($BW63,$BV63,$CG63,2*LN(1+CA63/2),$BY63,$BX63,$BZ63,$AJ63,1,9)</f>
        <v>3.5440285057504732E-2</v>
      </c>
      <c r="BJ63" s="137">
        <f>_xll.xSPRDOPT($BW63,$BV63,$CG63,0,$BY63,$BX63,$BZ63,$AJ63,1,6)*$CB63</f>
        <v>5.6370300853796482E-7</v>
      </c>
      <c r="BK63" s="137">
        <f>_xll.xSPRDOPT($BW63,$BV63,$CG63,0,$BY63,$BX63,$BZ63,$AJ63,1,5)*$CB63</f>
        <v>-7.1758702994327959E-7</v>
      </c>
      <c r="BL63" s="137">
        <f>_xll.xSPRDOPT(BW63,BV63,CG63,0,BY63,BX63,BZ63,AJ63,1,2)*CB63</f>
        <v>-0.84891466144496175</v>
      </c>
      <c r="BM63" s="137">
        <f>_xll.xSPRDOPT(BW63,BV63,CG63,0,BY63,BX63,BZ63,AJ63,1,1)*CB63</f>
        <v>0.84891466144805006</v>
      </c>
      <c r="BN63" s="137">
        <f>IF(AH63&lt;&gt;0,_xll.xSPRDOPT($BW63,$BV63,$CG63,2*LN(1+CA63/2),$BY63,$BX63,$BZ63,$AJ63,1,8)+(AJ63/365.25)*CH63/AH63,0)</f>
        <v>-2.6530936424515521</v>
      </c>
      <c r="BO63" s="137">
        <f>_xll.xSPRDOPT($BW63,$BV63,$CG63,0,$BY63,$BX63,$BZ63,$AJ63,1,0)</f>
        <v>0.89250009022057497</v>
      </c>
      <c r="BP63" s="137"/>
      <c r="BQ63" s="137"/>
      <c r="BR63" s="137"/>
      <c r="BS63" s="137"/>
      <c r="BV63" s="262">
        <v>3.2694999999999999</v>
      </c>
      <c r="BW63" s="136">
        <v>4.1619999999999999</v>
      </c>
      <c r="BX63" s="137">
        <v>0.29238245501397653</v>
      </c>
      <c r="BY63" s="137">
        <v>0.29238245501397653</v>
      </c>
      <c r="BZ63" s="137">
        <v>1</v>
      </c>
      <c r="CA63" s="137">
        <v>4.7327485112866399E-2</v>
      </c>
      <c r="CB63" s="137">
        <v>0.84891457563562278</v>
      </c>
      <c r="CC63" s="258">
        <v>-0.05</v>
      </c>
      <c r="CD63" s="258">
        <v>7.4999999999999997E-3</v>
      </c>
      <c r="CE63" s="258">
        <v>0.85</v>
      </c>
      <c r="CF63" s="258">
        <v>0</v>
      </c>
      <c r="CG63" s="258">
        <v>0</v>
      </c>
      <c r="CH63" s="258">
        <v>0</v>
      </c>
      <c r="CI63" s="258">
        <v>3.3119999999999998</v>
      </c>
      <c r="CJ63" s="258"/>
      <c r="CK63" s="258"/>
      <c r="CL63" s="258"/>
      <c r="CM63" s="258"/>
    </row>
    <row r="64" spans="1:91" x14ac:dyDescent="0.25">
      <c r="A64" s="723"/>
      <c r="B64" s="723"/>
      <c r="D64" s="31">
        <f t="shared" si="87"/>
        <v>38548</v>
      </c>
      <c r="F64" s="28">
        <f t="shared" si="52"/>
        <v>252</v>
      </c>
      <c r="G64" s="28">
        <f t="shared" si="53"/>
        <v>212.86588066675878</v>
      </c>
      <c r="H64" s="52">
        <f t="shared" si="54"/>
        <v>3.3094999999999999</v>
      </c>
      <c r="I64" s="52">
        <f t="shared" si="55"/>
        <v>4.4020000000000001</v>
      </c>
      <c r="K64" s="52">
        <f t="shared" si="56"/>
        <v>28.608076243974025</v>
      </c>
      <c r="L64" s="135">
        <f t="shared" si="57"/>
        <v>2.896934326201972E-6</v>
      </c>
      <c r="N64" s="131">
        <f t="shared" si="48"/>
        <v>0.28848877686763669</v>
      </c>
      <c r="O64" s="131">
        <f t="shared" si="49"/>
        <v>0.28848877686763669</v>
      </c>
      <c r="P64" s="55">
        <f t="shared" si="50"/>
        <v>1.0000000000000002</v>
      </c>
      <c r="Q64" s="135">
        <f>_xll.xSPRDOPT(I64,H64,AQ64,0,O64,N64,P64,D64-$G$5,1,0)*AH64*AU64</f>
        <v>28.608079140908352</v>
      </c>
      <c r="R64" s="135"/>
      <c r="S64" s="181">
        <f>_xll.xSPRDOPT(I64,H64,AQ64,AT64,O64,N64,P64,D64-$G$5,1,2)*AF64*(F64/(1-AR64))*AH64</f>
        <v>-6585.6112532759289</v>
      </c>
      <c r="T64" s="181">
        <f>_xll.xSPRDOPT(I64,H64,AQ64,AT64,O64,N64,P64,D64-$G$5,1,1)*AF64*F64*AH64</f>
        <v>6585.611253261719</v>
      </c>
      <c r="U64" s="135"/>
      <c r="V64" s="146">
        <f t="shared" si="58"/>
        <v>0</v>
      </c>
      <c r="W64" s="146"/>
      <c r="X64" s="338">
        <f t="shared" si="59"/>
        <v>0</v>
      </c>
      <c r="Y64" s="338">
        <f t="shared" si="60"/>
        <v>0</v>
      </c>
      <c r="Z64" s="338">
        <f t="shared" si="61"/>
        <v>2.7937401853478332</v>
      </c>
      <c r="AA64" s="338">
        <f t="shared" si="62"/>
        <v>-1.1732578233295609E-8</v>
      </c>
      <c r="AB64" s="338">
        <f t="shared" si="63"/>
        <v>0</v>
      </c>
      <c r="AC64" s="338">
        <f t="shared" si="64"/>
        <v>2.8269660820265585</v>
      </c>
      <c r="AF64" s="138">
        <f t="shared" si="65"/>
        <v>1</v>
      </c>
      <c r="AG64" s="138">
        <f t="shared" si="66"/>
        <v>7</v>
      </c>
      <c r="AH64" s="138">
        <f t="shared" si="67"/>
        <v>31</v>
      </c>
      <c r="AI64" s="138">
        <f t="shared" si="88"/>
        <v>1292</v>
      </c>
      <c r="AJ64" s="138">
        <f t="shared" si="68"/>
        <v>1309</v>
      </c>
      <c r="AL64" s="136">
        <f t="shared" si="69"/>
        <v>3.3519999999999999</v>
      </c>
      <c r="AM64" s="258">
        <f t="shared" si="70"/>
        <v>-0.05</v>
      </c>
      <c r="AN64" s="258">
        <f t="shared" si="71"/>
        <v>7.4999999999999997E-3</v>
      </c>
      <c r="AO64" s="258">
        <f t="shared" si="72"/>
        <v>1.05</v>
      </c>
      <c r="AP64" s="258">
        <f t="shared" si="73"/>
        <v>0</v>
      </c>
      <c r="AQ64" s="136">
        <f t="shared" si="74"/>
        <v>0</v>
      </c>
      <c r="AR64" s="137">
        <f t="shared" si="75"/>
        <v>0</v>
      </c>
      <c r="AS64" s="136">
        <f t="shared" si="76"/>
        <v>3.3094999999999999</v>
      </c>
      <c r="AT64" s="137">
        <f t="shared" si="77"/>
        <v>4.7760481058800999E-2</v>
      </c>
      <c r="AU64" s="137">
        <f t="shared" si="78"/>
        <v>0.84470587566174116</v>
      </c>
      <c r="AV64" s="394">
        <f t="shared" si="79"/>
        <v>0</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-4.0263103000573931E-7</v>
      </c>
      <c r="BG64" s="137">
        <f>_xll.xSPRDOPT($BW64,$BV64,$CG64,0,$BY64,$BX64,$BZ64,$AJ64,1,3)*$CB64</f>
        <v>4.0263103000573937E-7</v>
      </c>
      <c r="BH64" s="137">
        <f>IF(OR(BF64&lt;&gt;0,BG64&lt;&gt;0),_xll.xSPRDOPT($BW64,$BV64,$CG64,0,$BY64,$BX64,$BZ64,$AJ64,1,12)*$CB64,0)</f>
        <v>-4.0263103000573937E-7</v>
      </c>
      <c r="BI64" s="137">
        <f>_xll.xSPRDOPT($BW64,$BV64,$CG64,2*LN(1+CA64/2),$BY64,$BX64,$BZ64,$AJ64,1,9)</f>
        <v>4.3540433636213349E-2</v>
      </c>
      <c r="BJ64" s="137">
        <f>_xll.xSPRDOPT($BW64,$BV64,$CG64,0,$BY64,$BX64,$BZ64,$AJ64,1,6)*$CB64</f>
        <v>5.73151860828597E-7</v>
      </c>
      <c r="BK64" s="137">
        <f>_xll.xSPRDOPT($BW64,$BV64,$CG64,0,$BY64,$BX64,$BZ64,$AJ64,1,5)*$CB64</f>
        <v>-7.6234344782473559E-7</v>
      </c>
      <c r="BL64" s="137">
        <f>_xll.xSPRDOPT(BW64,BV64,CG64,0,BY64,BX64,BZ64,AJ64,1,2)*CB64</f>
        <v>-0.8443785552938623</v>
      </c>
      <c r="BM64" s="137">
        <f>_xll.xSPRDOPT(BW64,BV64,CG64,0,BY64,BX64,BZ64,AJ64,1,1)*CB64</f>
        <v>0.84437855528771866</v>
      </c>
      <c r="BN64" s="137">
        <f>IF(AH64&lt;&gt;0,_xll.xSPRDOPT($BW64,$BV64,$CG64,2*LN(1+CA64/2),$BY64,$BX64,$BZ64,$AJ64,1,8)+(AJ64/365.25)*CH64/AH64,0)</f>
        <v>-3.3060396859439241</v>
      </c>
      <c r="BO64" s="137">
        <f>_xll.xSPRDOPT($BW64,$BV64,$CG64,0,$BY64,$BX64,$BZ64,$AJ64,1,0)</f>
        <v>1.0925001105573264</v>
      </c>
      <c r="BP64" s="137"/>
      <c r="BQ64" s="137"/>
      <c r="BR64" s="137"/>
      <c r="BS64" s="137"/>
      <c r="BV64" s="262">
        <v>3.3094999999999999</v>
      </c>
      <c r="BW64" s="136">
        <v>4.4020000000000001</v>
      </c>
      <c r="BX64" s="137">
        <v>0.28848083853297213</v>
      </c>
      <c r="BY64" s="137">
        <v>0.28848083853297213</v>
      </c>
      <c r="BZ64" s="137">
        <v>1</v>
      </c>
      <c r="CA64" s="137">
        <v>4.7760481058800999E-2</v>
      </c>
      <c r="CB64" s="137">
        <v>0.84437846983859632</v>
      </c>
      <c r="CC64" s="258">
        <v>-0.05</v>
      </c>
      <c r="CD64" s="258">
        <v>7.4999999999999997E-3</v>
      </c>
      <c r="CE64" s="258">
        <v>1.05</v>
      </c>
      <c r="CF64" s="258">
        <v>0</v>
      </c>
      <c r="CG64" s="258">
        <v>0</v>
      </c>
      <c r="CH64" s="258">
        <v>0</v>
      </c>
      <c r="CI64" s="258">
        <v>3.3519999999999999</v>
      </c>
      <c r="CJ64" s="258"/>
      <c r="CK64" s="258"/>
      <c r="CL64" s="258"/>
      <c r="CM64" s="258"/>
    </row>
    <row r="65" spans="1:91" x14ac:dyDescent="0.25">
      <c r="A65" s="723"/>
      <c r="B65" s="723"/>
      <c r="D65" s="31">
        <f t="shared" si="87"/>
        <v>38579</v>
      </c>
      <c r="F65" s="28">
        <f t="shared" si="52"/>
        <v>252</v>
      </c>
      <c r="G65" s="28">
        <f t="shared" si="53"/>
        <v>211.69249118997502</v>
      </c>
      <c r="H65" s="52">
        <f t="shared" si="54"/>
        <v>3.3494999999999999</v>
      </c>
      <c r="I65" s="52">
        <f t="shared" si="55"/>
        <v>4.4420000000000002</v>
      </c>
      <c r="K65" s="52">
        <f t="shared" si="56"/>
        <v>28.450378751493968</v>
      </c>
      <c r="L65" s="135">
        <f t="shared" si="57"/>
        <v>2.8552364348399806E-6</v>
      </c>
      <c r="N65" s="131">
        <f t="shared" si="48"/>
        <v>0.28946051993952615</v>
      </c>
      <c r="O65" s="131">
        <f t="shared" si="49"/>
        <v>0.28946051993952615</v>
      </c>
      <c r="P65" s="55">
        <f t="shared" si="50"/>
        <v>0.99999999999999989</v>
      </c>
      <c r="Q65" s="135">
        <f>_xll.xSPRDOPT(I65,H65,AQ65,0,O65,N65,P65,D65-$G$5,1,0)*AH65*AU65</f>
        <v>28.450381606730403</v>
      </c>
      <c r="R65" s="135"/>
      <c r="S65" s="181">
        <f>_xll.xSPRDOPT(I65,H65,AQ65,AT65,O65,N65,P65,D65-$G$5,1,2)*AF65*(F65/(1-AR65))*AH65</f>
        <v>-6548.7580559844719</v>
      </c>
      <c r="T65" s="181">
        <f>_xll.xSPRDOPT(I65,H65,AQ65,AT65,O65,N65,P65,D65-$G$5,1,1)*AF65*F65*AH65</f>
        <v>6548.7580559134221</v>
      </c>
      <c r="U65" s="135"/>
      <c r="V65" s="146">
        <f t="shared" si="58"/>
        <v>0</v>
      </c>
      <c r="W65" s="146"/>
      <c r="X65" s="338">
        <f t="shared" si="59"/>
        <v>0</v>
      </c>
      <c r="Y65" s="338">
        <f t="shared" si="60"/>
        <v>0</v>
      </c>
      <c r="Z65" s="338">
        <f t="shared" si="61"/>
        <v>2.8027999084017576</v>
      </c>
      <c r="AA65" s="338">
        <f t="shared" si="62"/>
        <v>-1.4934467356163216E-8</v>
      </c>
      <c r="AB65" s="338">
        <f t="shared" si="63"/>
        <v>0</v>
      </c>
      <c r="AC65" s="338">
        <f t="shared" si="64"/>
        <v>2.8364294724809951</v>
      </c>
      <c r="AF65" s="138">
        <f t="shared" si="65"/>
        <v>1</v>
      </c>
      <c r="AG65" s="138">
        <f t="shared" si="66"/>
        <v>8</v>
      </c>
      <c r="AH65" s="138">
        <f t="shared" si="67"/>
        <v>31</v>
      </c>
      <c r="AI65" s="138">
        <f t="shared" si="88"/>
        <v>1323</v>
      </c>
      <c r="AJ65" s="138">
        <f t="shared" si="68"/>
        <v>1340</v>
      </c>
      <c r="AL65" s="136">
        <f t="shared" si="69"/>
        <v>3.3919999999999999</v>
      </c>
      <c r="AM65" s="258">
        <f t="shared" si="70"/>
        <v>-0.05</v>
      </c>
      <c r="AN65" s="258">
        <f t="shared" si="71"/>
        <v>7.4999999999999997E-3</v>
      </c>
      <c r="AO65" s="258">
        <f t="shared" si="72"/>
        <v>1.05</v>
      </c>
      <c r="AP65" s="258">
        <f t="shared" si="73"/>
        <v>0</v>
      </c>
      <c r="AQ65" s="136">
        <f t="shared" si="74"/>
        <v>0</v>
      </c>
      <c r="AR65" s="137">
        <f t="shared" si="75"/>
        <v>0</v>
      </c>
      <c r="AS65" s="136">
        <f t="shared" si="76"/>
        <v>3.3494999999999999</v>
      </c>
      <c r="AT65" s="137">
        <f t="shared" si="77"/>
        <v>4.81861434694211E-2</v>
      </c>
      <c r="AU65" s="137">
        <f t="shared" si="78"/>
        <v>0.84004956821418653</v>
      </c>
      <c r="AV65" s="394">
        <f t="shared" si="79"/>
        <v>0</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1.6016408922134832E-6</v>
      </c>
      <c r="BG65" s="137">
        <f>_xll.xSPRDOPT($BW65,$BV65,$CG65,0,$BY65,$BX65,$BZ65,$AJ65,1,3)*$CB65</f>
        <v>1.6016408922134832E-6</v>
      </c>
      <c r="BH65" s="137">
        <f>IF(OR(BF65&lt;&gt;0,BG65&lt;&gt;0),_xll.xSPRDOPT($BW65,$BV65,$CG65,0,$BY65,$BX65,$BZ65,$AJ65,1,12)*$CB65,0)</f>
        <v>-1.2012306691601123E-6</v>
      </c>
      <c r="BI65" s="137">
        <f>_xll.xSPRDOPT($BW65,$BV65,$CG65,2*LN(1+CA65/2),$BY65,$BX65,$BZ65,$AJ65,1,9)</f>
        <v>4.3681629396814387E-2</v>
      </c>
      <c r="BJ65" s="137">
        <f>_xll.xSPRDOPT($BW65,$BV65,$CG65,0,$BY65,$BX65,$BZ65,$AJ65,1,6)*$CB65</f>
        <v>5.9219481677086633E-7</v>
      </c>
      <c r="BK65" s="137">
        <f>_xll.xSPRDOPT($BW65,$BV65,$CG65,0,$BY65,$BX65,$BZ65,$AJ65,1,5)*$CB65</f>
        <v>-7.8533078513375423E-7</v>
      </c>
      <c r="BL65" s="137">
        <f>_xll.xSPRDOPT(BW65,BV65,CG65,0,BY65,BX65,BZ65,AJ65,1,2)*CB65</f>
        <v>-0.83972118432923748</v>
      </c>
      <c r="BM65" s="137">
        <f>_xll.xSPRDOPT(BW65,BV65,CG65,0,BY65,BX65,BZ65,AJ65,1,1)*CB65</f>
        <v>0.8397211843231277</v>
      </c>
      <c r="BN65" s="137">
        <f>IF(AH65&lt;&gt;0,_xll.xSPRDOPT($BW65,$BV65,$CG65,2*LN(1+CA65/2),$BY65,$BX65,$BZ65,$AJ65,1,8)+(AJ65/365.25)*CH65/AH65,0)</f>
        <v>-3.3656668796086908</v>
      </c>
      <c r="BO65" s="137">
        <f>_xll.xSPRDOPT($BW65,$BV65,$CG65,0,$BY65,$BX65,$BZ65,$AJ65,1,0)</f>
        <v>1.0925001095693667</v>
      </c>
      <c r="BP65" s="137"/>
      <c r="BQ65" s="137"/>
      <c r="BR65" s="137"/>
      <c r="BS65" s="137"/>
      <c r="BV65" s="262">
        <v>3.3494999999999999</v>
      </c>
      <c r="BW65" s="136">
        <v>4.4420000000000002</v>
      </c>
      <c r="BX65" s="137">
        <v>0.28945062155452422</v>
      </c>
      <c r="BY65" s="137">
        <v>0.28945062155452422</v>
      </c>
      <c r="BZ65" s="137">
        <v>1</v>
      </c>
      <c r="CA65" s="137">
        <v>4.81861434694211E-2</v>
      </c>
      <c r="CB65" s="137">
        <v>0.83972110009682266</v>
      </c>
      <c r="CC65" s="258">
        <v>-0.05</v>
      </c>
      <c r="CD65" s="258">
        <v>7.4999999999999997E-3</v>
      </c>
      <c r="CE65" s="258">
        <v>1.05</v>
      </c>
      <c r="CF65" s="258">
        <v>0</v>
      </c>
      <c r="CG65" s="258">
        <v>0</v>
      </c>
      <c r="CH65" s="258">
        <v>0</v>
      </c>
      <c r="CI65" s="258">
        <v>3.3919999999999999</v>
      </c>
      <c r="CJ65" s="258"/>
      <c r="CK65" s="258"/>
      <c r="CL65" s="258"/>
      <c r="CM65" s="258"/>
    </row>
    <row r="66" spans="1:91" x14ac:dyDescent="0.25">
      <c r="A66" s="723"/>
      <c r="B66" s="723"/>
      <c r="D66" s="31">
        <f t="shared" si="87"/>
        <v>38610</v>
      </c>
      <c r="F66" s="28">
        <f t="shared" si="52"/>
        <v>252</v>
      </c>
      <c r="G66" s="28">
        <f t="shared" si="53"/>
        <v>210.51078326192061</v>
      </c>
      <c r="H66" s="52">
        <f t="shared" si="54"/>
        <v>3.3394999999999997</v>
      </c>
      <c r="I66" s="52">
        <f t="shared" si="55"/>
        <v>4.1370000000000005</v>
      </c>
      <c r="K66" s="52">
        <f t="shared" si="56"/>
        <v>19.985994006116886</v>
      </c>
      <c r="L66" s="135">
        <f t="shared" si="57"/>
        <v>1.9926993459762343E-6</v>
      </c>
      <c r="N66" s="131">
        <f t="shared" si="48"/>
        <v>0.28922221332025494</v>
      </c>
      <c r="O66" s="131">
        <f t="shared" si="49"/>
        <v>0.28922221332025494</v>
      </c>
      <c r="P66" s="55">
        <f t="shared" si="50"/>
        <v>0.99999999999999989</v>
      </c>
      <c r="Q66" s="135">
        <f>_xll.xSPRDOPT(I66,H66,AQ66,0,O66,N66,P66,D66-$G$5,1,0)*AH66*AU66</f>
        <v>19.985995998816232</v>
      </c>
      <c r="R66" s="135"/>
      <c r="S66" s="181">
        <f>_xll.xSPRDOPT(I66,H66,AQ66,AT66,O66,N66,P66,D66-$G$5,1,2)*AF66*(F66/(1-AR66))*AH66</f>
        <v>-6301.5876535955613</v>
      </c>
      <c r="T66" s="181">
        <f>_xll.xSPRDOPT(I66,H66,AQ66,AT66,O66,N66,P66,D66-$G$5,1,1)*AF66*F66*AH66</f>
        <v>6301.5876534717972</v>
      </c>
      <c r="U66" s="135"/>
      <c r="V66" s="146">
        <f t="shared" si="58"/>
        <v>0</v>
      </c>
      <c r="W66" s="146"/>
      <c r="X66" s="338">
        <f t="shared" si="59"/>
        <v>0</v>
      </c>
      <c r="Y66" s="338">
        <f t="shared" si="60"/>
        <v>0</v>
      </c>
      <c r="Z66" s="338">
        <f t="shared" si="61"/>
        <v>1.9861067809505286</v>
      </c>
      <c r="AA66" s="338">
        <f t="shared" si="62"/>
        <v>-9.9280488787879478E-9</v>
      </c>
      <c r="AB66" s="338">
        <f t="shared" si="63"/>
        <v>0</v>
      </c>
      <c r="AC66" s="338">
        <f t="shared" si="64"/>
        <v>2.0101468845210198</v>
      </c>
      <c r="AF66" s="138">
        <f t="shared" si="65"/>
        <v>1</v>
      </c>
      <c r="AG66" s="138">
        <f t="shared" si="66"/>
        <v>9</v>
      </c>
      <c r="AH66" s="138">
        <f t="shared" si="67"/>
        <v>30</v>
      </c>
      <c r="AI66" s="138">
        <f t="shared" si="88"/>
        <v>1354</v>
      </c>
      <c r="AJ66" s="138">
        <f t="shared" si="68"/>
        <v>1371</v>
      </c>
      <c r="AL66" s="136">
        <f t="shared" si="69"/>
        <v>3.387</v>
      </c>
      <c r="AM66" s="258">
        <f t="shared" si="70"/>
        <v>-5.5E-2</v>
      </c>
      <c r="AN66" s="258">
        <f t="shared" si="71"/>
        <v>7.4999999999999997E-3</v>
      </c>
      <c r="AO66" s="258">
        <f t="shared" si="72"/>
        <v>0.75</v>
      </c>
      <c r="AP66" s="258">
        <f t="shared" si="73"/>
        <v>0</v>
      </c>
      <c r="AQ66" s="136">
        <f t="shared" si="74"/>
        <v>0</v>
      </c>
      <c r="AR66" s="137">
        <f t="shared" si="75"/>
        <v>0</v>
      </c>
      <c r="AS66" s="136">
        <f t="shared" si="76"/>
        <v>3.3394999999999997</v>
      </c>
      <c r="AT66" s="137">
        <f t="shared" si="77"/>
        <v>4.8611805940590898E-2</v>
      </c>
      <c r="AU66" s="137">
        <f t="shared" si="78"/>
        <v>0.83536025103936751</v>
      </c>
      <c r="AV66" s="394">
        <f t="shared" si="79"/>
        <v>0</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-5.972605462310922E-7</v>
      </c>
      <c r="BG66" s="137">
        <f>_xll.xSPRDOPT($BW66,$BV66,$CG66,0,$BY66,$BX66,$BZ66,$AJ66,1,3)*$CB66</f>
        <v>-1.9908684874369736E-7</v>
      </c>
      <c r="BH66" s="137">
        <f>IF(OR(BF66&lt;&gt;0,BG66&lt;&gt;0),_xll.xSPRDOPT($BW66,$BV66,$CG66,0,$BY66,$BX66,$BZ66,$AJ66,1,12)*$CB66,0)</f>
        <v>-1.9908684874369738E-7</v>
      </c>
      <c r="BI66" s="137">
        <f>_xll.xSPRDOPT($BW66,$BV66,$CG66,2*LN(1+CA66/2),$BY66,$BX66,$BZ66,$AJ66,1,9)</f>
        <v>3.1985251399567045E-2</v>
      </c>
      <c r="BJ66" s="137">
        <f>_xll.xSPRDOPT($BW66,$BV66,$CG66,0,$BY66,$BX66,$BZ66,$AJ66,1,6)*$CB66</f>
        <v>5.9997776570714026E-7</v>
      </c>
      <c r="BK66" s="137">
        <f>_xll.xSPRDOPT($BW66,$BV66,$CG66,0,$BY66,$BX66,$BZ66,$AJ66,1,5)*$CB66</f>
        <v>-7.4326568204933508E-7</v>
      </c>
      <c r="BL66" s="137">
        <f>_xll.xSPRDOPT(BW66,BV66,CG66,0,BY66,BX66,BZ66,AJ66,1,2)*CB66</f>
        <v>-0.83503084924516624</v>
      </c>
      <c r="BM66" s="137">
        <f>_xll.xSPRDOPT(BW66,BV66,CG66,0,BY66,BX66,BZ66,AJ66,1,1)*CB66</f>
        <v>0.83503084923149595</v>
      </c>
      <c r="BN66" s="137">
        <f>IF(AH66&lt;&gt;0,_xll.xSPRDOPT($BW66,$BV66,$CG66,2*LN(1+CA66/2),$BY66,$BX66,$BZ66,$AJ66,1,8)+(AJ66/365.25)*CH66/AH66,0)</f>
        <v>-2.4996571312925062</v>
      </c>
      <c r="BO66" s="137">
        <f>_xll.xSPRDOPT($BW66,$BV66,$CG66,0,$BY66,$BX66,$BZ66,$AJ66,1,0)</f>
        <v>0.79750007946184465</v>
      </c>
      <c r="BP66" s="137"/>
      <c r="BQ66" s="137"/>
      <c r="BR66" s="137"/>
      <c r="BS66" s="137"/>
      <c r="BV66" s="262">
        <v>3.3394999999999997</v>
      </c>
      <c r="BW66" s="136">
        <v>4.1370000000000005</v>
      </c>
      <c r="BX66" s="137">
        <v>0.28921304831868189</v>
      </c>
      <c r="BY66" s="137">
        <v>0.28921304831868189</v>
      </c>
      <c r="BZ66" s="137">
        <v>1</v>
      </c>
      <c r="CA66" s="137">
        <v>4.8611805940590898E-2</v>
      </c>
      <c r="CB66" s="137">
        <v>0.8350307660330849</v>
      </c>
      <c r="CC66" s="258">
        <v>-5.5E-2</v>
      </c>
      <c r="CD66" s="258">
        <v>7.4999999999999997E-3</v>
      </c>
      <c r="CE66" s="258">
        <v>0.75</v>
      </c>
      <c r="CF66" s="258">
        <v>0</v>
      </c>
      <c r="CG66" s="258">
        <v>0</v>
      </c>
      <c r="CH66" s="258">
        <v>0</v>
      </c>
      <c r="CI66" s="258">
        <v>3.387</v>
      </c>
      <c r="CJ66" s="258"/>
      <c r="CK66" s="258"/>
      <c r="CL66" s="258"/>
      <c r="CM66" s="258"/>
    </row>
    <row r="67" spans="1:91" x14ac:dyDescent="0.25">
      <c r="A67" s="723"/>
      <c r="B67" s="723"/>
      <c r="D67" s="31">
        <f t="shared" si="87"/>
        <v>38640</v>
      </c>
      <c r="F67" s="28">
        <f t="shared" si="52"/>
        <v>396</v>
      </c>
      <c r="G67" s="28">
        <f t="shared" si="53"/>
        <v>329.01139470216054</v>
      </c>
      <c r="H67" s="52">
        <f t="shared" si="54"/>
        <v>3.459640102827763</v>
      </c>
      <c r="I67" s="52">
        <f t="shared" si="55"/>
        <v>3.8620000000000001</v>
      </c>
      <c r="K67" s="52">
        <f t="shared" si="56"/>
        <v>9.5029099017472394</v>
      </c>
      <c r="L67" s="135">
        <f t="shared" si="57"/>
        <v>2.8860735952207506E-6</v>
      </c>
      <c r="N67" s="131">
        <f t="shared" si="48"/>
        <v>0.29036621737544821</v>
      </c>
      <c r="O67" s="131">
        <f t="shared" si="49"/>
        <v>0.29036621737544821</v>
      </c>
      <c r="P67" s="55">
        <f t="shared" si="50"/>
        <v>0.99999999999999989</v>
      </c>
      <c r="Q67" s="135">
        <f>_xll.xSPRDOPT(I67,H67,AQ67,0,O67,N67,P67,D67-$G$5,1,0)*AH67*AU67</f>
        <v>9.5029127878208346</v>
      </c>
      <c r="R67" s="135"/>
      <c r="S67" s="181">
        <f>_xll.xSPRDOPT(I67,H67,AQ67,AT67,O67,N67,P67,D67-$G$5,1,2)*AF67*(F67/(1-AR67))*AH67</f>
        <v>-10464.066221726707</v>
      </c>
      <c r="T67" s="181">
        <f>_xll.xSPRDOPT(I67,H67,AQ67,AT67,O67,N67,P67,D67-$G$5,1,1)*AF67*F67*AH67</f>
        <v>10176.304400718542</v>
      </c>
      <c r="U67" s="135"/>
      <c r="V67" s="146">
        <f t="shared" si="58"/>
        <v>9.6662052257155224</v>
      </c>
      <c r="W67" s="146"/>
      <c r="X67" s="338">
        <f t="shared" si="59"/>
        <v>0</v>
      </c>
      <c r="Y67" s="338">
        <f t="shared" si="60"/>
        <v>0</v>
      </c>
      <c r="Z67" s="338">
        <f t="shared" si="61"/>
        <v>1.4959471520764962</v>
      </c>
      <c r="AA67" s="338">
        <f t="shared" si="62"/>
        <v>4.5646773439266165E-7</v>
      </c>
      <c r="AB67" s="338">
        <f t="shared" si="63"/>
        <v>0</v>
      </c>
      <c r="AC67" s="338">
        <f t="shared" si="64"/>
        <v>1.5142146035832773</v>
      </c>
      <c r="AF67" s="138">
        <f t="shared" si="65"/>
        <v>1</v>
      </c>
      <c r="AG67" s="138">
        <f t="shared" si="66"/>
        <v>10</v>
      </c>
      <c r="AH67" s="138">
        <f t="shared" si="67"/>
        <v>31</v>
      </c>
      <c r="AI67" s="138">
        <f t="shared" si="88"/>
        <v>1384</v>
      </c>
      <c r="AJ67" s="138">
        <f t="shared" si="68"/>
        <v>1401</v>
      </c>
      <c r="AL67" s="136">
        <f t="shared" si="69"/>
        <v>3.4119999999999999</v>
      </c>
      <c r="AM67" s="258">
        <f t="shared" si="70"/>
        <v>-5.5E-2</v>
      </c>
      <c r="AN67" s="258">
        <f t="shared" si="71"/>
        <v>7.4999999999999997E-3</v>
      </c>
      <c r="AO67" s="258">
        <f t="shared" si="72"/>
        <v>0.45</v>
      </c>
      <c r="AP67" s="258">
        <f t="shared" si="73"/>
        <v>0</v>
      </c>
      <c r="AQ67" s="136">
        <f t="shared" si="74"/>
        <v>3.3399999999999999E-2</v>
      </c>
      <c r="AR67" s="137">
        <f t="shared" si="75"/>
        <v>2.75E-2</v>
      </c>
      <c r="AS67" s="136">
        <f t="shared" si="76"/>
        <v>3.3644999999999996</v>
      </c>
      <c r="AT67" s="137">
        <f t="shared" si="77"/>
        <v>4.9009151354921801E-2</v>
      </c>
      <c r="AU67" s="137">
        <f t="shared" si="78"/>
        <v>0.83083685530848617</v>
      </c>
      <c r="AV67" s="394">
        <f t="shared" si="79"/>
        <v>283.31536766019377</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-1.9800818170205257E-7</v>
      </c>
      <c r="BG67" s="137">
        <f>_xll.xSPRDOPT($BW67,$BV67,$CG67,0,$BY67,$BX67,$BZ67,$AJ67,1,3)*$CB67</f>
        <v>0</v>
      </c>
      <c r="BH67" s="137">
        <f>IF(OR(BF67&lt;&gt;0,BG67&lt;&gt;0),_xll.xSPRDOPT($BW67,$BV67,$CG67,0,$BY67,$BX67,$BZ67,$AJ67,1,12)*$CB67,0)</f>
        <v>-4.9502045425513141E-7</v>
      </c>
      <c r="BI67" s="137">
        <f>_xll.xSPRDOPT($BW67,$BV67,$CG67,2*LN(1+CA67/2),$BY67,$BX67,$BZ67,$AJ67,1,9)</f>
        <v>1.4836393431517873E-2</v>
      </c>
      <c r="BJ67" s="137">
        <f>_xll.xSPRDOPT($BW67,$BV67,$CG67,0,$BY67,$BX67,$BZ67,$AJ67,1,6)*$CB67</f>
        <v>-2.8112999025508764E-5</v>
      </c>
      <c r="BK67" s="137">
        <f>_xll.xSPRDOPT($BW67,$BV67,$CG67,0,$BY67,$BX67,$BZ67,$AJ67,1,5)*$CB67</f>
        <v>3.1382562536569029E-5</v>
      </c>
      <c r="BL67" s="137">
        <f>_xll.xSPRDOPT(BW67,BV67,CG67,0,BY67,BX67,BZ67,AJ67,1,2)*CB67</f>
        <v>-0.8305057340904658</v>
      </c>
      <c r="BM67" s="137">
        <f>_xll.xSPRDOPT(BW67,BV67,CG67,0,BY67,BX67,BZ67,AJ67,1,1)*CB67</f>
        <v>0.8305057340980192</v>
      </c>
      <c r="BN67" s="137">
        <f>IF(AH67&lt;&gt;0,_xll.xSPRDOPT($BW67,$BV67,$CG67,2*LN(1+CA67/2),$BY67,$BX67,$BZ67,$AJ67,1,8)+(AJ67/365.25)*CH67/AH67,0)</f>
        <v>2.019665727731712E-2</v>
      </c>
      <c r="BO67" s="137">
        <f>_xll.xSPRDOPT($BW67,$BV67,$CG67,0,$BY67,$BX67,$BZ67,$AJ67,1,0)</f>
        <v>0.36896001040839133</v>
      </c>
      <c r="BP67" s="137"/>
      <c r="BQ67" s="137"/>
      <c r="BR67" s="137"/>
      <c r="BS67" s="137"/>
      <c r="BV67" s="262">
        <v>3.459640102827763</v>
      </c>
      <c r="BW67" s="136">
        <v>3.8620000000000001</v>
      </c>
      <c r="BX67" s="137">
        <v>0.29035484467953515</v>
      </c>
      <c r="BY67" s="137">
        <v>0.29035484467953515</v>
      </c>
      <c r="BZ67" s="137">
        <v>1</v>
      </c>
      <c r="CA67" s="137">
        <v>4.9009151354921801E-2</v>
      </c>
      <c r="CB67" s="137">
        <v>0.83050650854564589</v>
      </c>
      <c r="CC67" s="258">
        <v>-5.5E-2</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87"/>
        <v>38671</v>
      </c>
      <c r="F68" s="28">
        <f t="shared" si="52"/>
        <v>396</v>
      </c>
      <c r="G68" s="28">
        <f t="shared" si="53"/>
        <v>327.18344276912677</v>
      </c>
      <c r="H68" s="52">
        <f t="shared" si="54"/>
        <v>3.6287917737789206</v>
      </c>
      <c r="I68" s="52">
        <f t="shared" si="55"/>
        <v>4.0140000000000002</v>
      </c>
      <c r="K68" s="52">
        <f t="shared" si="56"/>
        <v>8.720138382538833</v>
      </c>
      <c r="L68" s="135">
        <f t="shared" si="57"/>
        <v>5.7375970410333821E-6</v>
      </c>
      <c r="N68" s="131">
        <f t="shared" si="48"/>
        <v>0.29510383973065518</v>
      </c>
      <c r="O68" s="131">
        <f t="shared" si="49"/>
        <v>0.29510383973065518</v>
      </c>
      <c r="P68" s="55">
        <f t="shared" si="50"/>
        <v>0.99999999999999989</v>
      </c>
      <c r="Q68" s="135">
        <f>_xll.xSPRDOPT(I68,H68,AQ68,0,O68,N68,P68,D68-$G$5,1,0)*AH68*AU68</f>
        <v>8.720144120135874</v>
      </c>
      <c r="R68" s="135"/>
      <c r="S68" s="181">
        <f>_xll.xSPRDOPT(I68,H68,AQ68,AT68,O68,N68,P68,D68-$G$5,1,2)*AF68*(F68/(1-AR68))*AH68</f>
        <v>-10069.366257422938</v>
      </c>
      <c r="T68" s="181">
        <f>_xll.xSPRDOPT(I68,H68,AQ68,AT68,O68,N68,P68,D68-$G$5,1,1)*AF68*F68*AH68</f>
        <v>9792.4586853005894</v>
      </c>
      <c r="U68" s="135"/>
      <c r="V68" s="146">
        <f t="shared" si="58"/>
        <v>9.3024201569131257</v>
      </c>
      <c r="W68" s="146"/>
      <c r="X68" s="338">
        <f t="shared" si="59"/>
        <v>0</v>
      </c>
      <c r="Y68" s="338">
        <f t="shared" si="60"/>
        <v>0</v>
      </c>
      <c r="Z68" s="338">
        <f t="shared" si="61"/>
        <v>1.3832920410184546</v>
      </c>
      <c r="AA68" s="338">
        <f t="shared" si="62"/>
        <v>2.2360589497967816E-6</v>
      </c>
      <c r="AB68" s="338">
        <f t="shared" si="63"/>
        <v>0</v>
      </c>
      <c r="AC68" s="338">
        <f t="shared" si="64"/>
        <v>1.400337138785418</v>
      </c>
      <c r="AF68" s="138">
        <f t="shared" si="65"/>
        <v>1</v>
      </c>
      <c r="AG68" s="138">
        <f t="shared" si="66"/>
        <v>11</v>
      </c>
      <c r="AH68" s="138">
        <f t="shared" si="67"/>
        <v>30</v>
      </c>
      <c r="AI68" s="138">
        <f t="shared" si="88"/>
        <v>1415</v>
      </c>
      <c r="AJ68" s="138">
        <f t="shared" si="68"/>
        <v>1432</v>
      </c>
      <c r="AL68" s="136">
        <f t="shared" si="69"/>
        <v>3.5640000000000001</v>
      </c>
      <c r="AM68" s="258">
        <f t="shared" si="70"/>
        <v>-4.7500000000000001E-2</v>
      </c>
      <c r="AN68" s="258">
        <f t="shared" si="71"/>
        <v>1.2500000000000001E-2</v>
      </c>
      <c r="AO68" s="258">
        <f t="shared" si="72"/>
        <v>0.45</v>
      </c>
      <c r="AP68" s="258">
        <f t="shared" si="73"/>
        <v>0</v>
      </c>
      <c r="AQ68" s="136">
        <f t="shared" si="74"/>
        <v>3.3399999999999999E-2</v>
      </c>
      <c r="AR68" s="137">
        <f t="shared" si="75"/>
        <v>2.75E-2</v>
      </c>
      <c r="AS68" s="136">
        <f t="shared" si="76"/>
        <v>3.5290000000000004</v>
      </c>
      <c r="AT68" s="137">
        <f t="shared" si="77"/>
        <v>4.9392017987160801E-2</v>
      </c>
      <c r="AU68" s="137">
        <f t="shared" si="78"/>
        <v>0.82622081507355238</v>
      </c>
      <c r="AV68" s="394">
        <f t="shared" si="79"/>
        <v>272.65286897427228</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2.9536119778044776E-7</v>
      </c>
      <c r="BG68" s="137">
        <f>_xll.xSPRDOPT($BW68,$BV68,$CG68,0,$BY68,$BX68,$BZ68,$AJ68,1,3)*$CB68</f>
        <v>-1.9690746518696518E-7</v>
      </c>
      <c r="BH68" s="137">
        <f>IF(OR(BF68&lt;&gt;0,BG68&lt;&gt;0),_xll.xSPRDOPT($BW68,$BV68,$CG68,0,$BY68,$BX68,$BZ68,$AJ68,1,12)*$CB68,0)</f>
        <v>6.8917612815437812E-7</v>
      </c>
      <c r="BI68" s="137">
        <f>_xll.xSPRDOPT($BW68,$BV68,$CG68,2*LN(1+CA68/2),$BY68,$BX68,$BZ68,$AJ68,1,9)</f>
        <v>1.4176414645959329E-2</v>
      </c>
      <c r="BJ68" s="137">
        <f>_xll.xSPRDOPT($BW68,$BV68,$CG68,0,$BY68,$BX68,$BZ68,$AJ68,1,6)*$CB68</f>
        <v>-8.5281656607487795E-5</v>
      </c>
      <c r="BK68" s="137">
        <f>_xll.xSPRDOPT($BW68,$BV68,$CG68,0,$BY68,$BX68,$BZ68,$AJ68,1,5)*$CB68</f>
        <v>9.4334585558032192E-5</v>
      </c>
      <c r="BL68" s="137">
        <f>_xll.xSPRDOPT(BW68,BV68,CG68,0,BY68,BX68,BZ68,AJ68,1,2)*CB68</f>
        <v>-0.82588732304709789</v>
      </c>
      <c r="BM68" s="137">
        <f>_xll.xSPRDOPT(BW68,BV68,CG68,0,BY68,BX68,BZ68,AJ68,1,1)*CB68</f>
        <v>0.82588732304484447</v>
      </c>
      <c r="BN68" s="137">
        <f>IF(AH68&lt;&gt;0,_xll.xSPRDOPT($BW68,$BV68,$CG68,2*LN(1+CA68/2),$BY68,$BX68,$BZ68,$AJ68,1,8)+(AJ68/365.25)*CH68/AH68,0)</f>
        <v>7.606525955669885E-2</v>
      </c>
      <c r="BO68" s="137">
        <f>_xll.xSPRDOPT($BW68,$BV68,$CG68,0,$BY68,$BX68,$BZ68,$AJ68,1,0)</f>
        <v>0.35180846086702783</v>
      </c>
      <c r="BP68" s="137"/>
      <c r="BQ68" s="137"/>
      <c r="BR68" s="137"/>
      <c r="BS68" s="137"/>
      <c r="BV68" s="262">
        <v>3.6287917737789206</v>
      </c>
      <c r="BW68" s="136">
        <v>4.0140000000000002</v>
      </c>
      <c r="BX68" s="137">
        <v>0.29508304861969564</v>
      </c>
      <c r="BY68" s="137">
        <v>0.29508304861969564</v>
      </c>
      <c r="BZ68" s="137">
        <v>1</v>
      </c>
      <c r="CA68" s="137">
        <v>4.9392017987160801E-2</v>
      </c>
      <c r="CB68" s="137">
        <v>0.82588976886354881</v>
      </c>
      <c r="CC68" s="258">
        <v>-4.7500000000000001E-2</v>
      </c>
      <c r="CD68" s="258">
        <v>1.2500000000000001E-2</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87"/>
        <v>38701</v>
      </c>
      <c r="F69" s="28">
        <f t="shared" si="52"/>
        <v>396</v>
      </c>
      <c r="G69" s="28">
        <f t="shared" si="53"/>
        <v>325.40456071067217</v>
      </c>
      <c r="H69" s="52">
        <f t="shared" si="54"/>
        <v>3.7758354755784063</v>
      </c>
      <c r="I69" s="52">
        <f t="shared" si="55"/>
        <v>4.1070000000000002</v>
      </c>
      <c r="K69" s="52">
        <f t="shared" si="56"/>
        <v>7.5851312176857606</v>
      </c>
      <c r="L69" s="135">
        <f t="shared" si="57"/>
        <v>2.7161927819818743E-5</v>
      </c>
      <c r="N69" s="131">
        <f t="shared" si="48"/>
        <v>0.30162191373118435</v>
      </c>
      <c r="O69" s="131">
        <f t="shared" si="49"/>
        <v>0.30162191373118435</v>
      </c>
      <c r="P69" s="55">
        <f t="shared" si="50"/>
        <v>1</v>
      </c>
      <c r="Q69" s="135">
        <f>_xll.xSPRDOPT(I69,H69,AQ69,0,O69,N69,P69,D69-$G$5,1,0)*AH69*AU69</f>
        <v>7.5851583796135804</v>
      </c>
      <c r="R69" s="135"/>
      <c r="S69" s="181">
        <f>_xll.xSPRDOPT(I69,H69,AQ69,AT69,O69,N69,P69,D69-$G$5,1,2)*AF69*(F69/(1-AR69))*AH69</f>
        <v>-10347.338415931357</v>
      </c>
      <c r="T69" s="181">
        <f>_xll.xSPRDOPT(I69,H69,AQ69,AT69,O69,N69,P69,D69-$G$5,1,1)*AF69*F69*AH69</f>
        <v>10062.786609303441</v>
      </c>
      <c r="U69" s="135"/>
      <c r="V69" s="146">
        <f t="shared" si="58"/>
        <v>9.5602380825155908</v>
      </c>
      <c r="W69" s="146"/>
      <c r="X69" s="338">
        <f t="shared" si="59"/>
        <v>0</v>
      </c>
      <c r="Y69" s="338">
        <f t="shared" si="60"/>
        <v>0</v>
      </c>
      <c r="Z69" s="338">
        <f t="shared" si="61"/>
        <v>1.2119726920910778</v>
      </c>
      <c r="AA69" s="338">
        <f t="shared" si="62"/>
        <v>2.3165132275927319E-5</v>
      </c>
      <c r="AB69" s="338">
        <f t="shared" si="63"/>
        <v>0</v>
      </c>
      <c r="AC69" s="338">
        <f t="shared" si="64"/>
        <v>1.2272076397881897</v>
      </c>
      <c r="AF69" s="138">
        <f t="shared" si="65"/>
        <v>1</v>
      </c>
      <c r="AG69" s="138">
        <f t="shared" si="66"/>
        <v>12</v>
      </c>
      <c r="AH69" s="138">
        <f t="shared" si="67"/>
        <v>31</v>
      </c>
      <c r="AI69" s="138">
        <f t="shared" si="88"/>
        <v>1445</v>
      </c>
      <c r="AJ69" s="138">
        <f t="shared" si="68"/>
        <v>1462</v>
      </c>
      <c r="AL69" s="136">
        <f t="shared" si="69"/>
        <v>3.7069999999999999</v>
      </c>
      <c r="AM69" s="258">
        <f t="shared" si="70"/>
        <v>-4.7500000000000001E-2</v>
      </c>
      <c r="AN69" s="258">
        <f t="shared" si="71"/>
        <v>1.2500000000000001E-2</v>
      </c>
      <c r="AO69" s="258">
        <f t="shared" si="72"/>
        <v>0.4</v>
      </c>
      <c r="AP69" s="258">
        <f t="shared" si="73"/>
        <v>0</v>
      </c>
      <c r="AQ69" s="136">
        <f t="shared" si="74"/>
        <v>3.3399999999999999E-2</v>
      </c>
      <c r="AR69" s="137">
        <f t="shared" si="75"/>
        <v>2.75E-2</v>
      </c>
      <c r="AS69" s="136">
        <f t="shared" si="76"/>
        <v>3.6720000000000002</v>
      </c>
      <c r="AT69" s="137">
        <f t="shared" si="77"/>
        <v>4.97625341294907E-2</v>
      </c>
      <c r="AU69" s="137">
        <f t="shared" si="78"/>
        <v>0.82172868866331361</v>
      </c>
      <c r="AV69" s="394">
        <f t="shared" si="79"/>
        <v>280.20948283418994</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-3.9167261270509512E-7</v>
      </c>
      <c r="BG69" s="137">
        <f>_xll.xSPRDOPT($BW69,$BV69,$CG69,0,$BY69,$BX69,$BZ69,$AJ69,1,3)*$CB69</f>
        <v>-8.8126337858646398E-7</v>
      </c>
      <c r="BH69" s="137">
        <f>IF(OR(BF69&lt;&gt;0,BG69&lt;&gt;0),_xll.xSPRDOPT($BW69,$BV69,$CG69,0,$BY69,$BX69,$BZ69,$AJ69,1,12)*$CB69,0)</f>
        <v>1.4198132210559698E-6</v>
      </c>
      <c r="BI69" s="137">
        <f>_xll.xSPRDOPT($BW69,$BV69,$CG69,2*LN(1+CA69/2),$BY69,$BX69,$BZ69,$AJ69,1,9)</f>
        <v>1.2020012647612311E-2</v>
      </c>
      <c r="BJ69" s="137">
        <f>_xll.xSPRDOPT($BW69,$BV69,$CG69,0,$BY69,$BX69,$BZ69,$AJ69,1,6)*$CB69</f>
        <v>-6.4930446421027944E-4</v>
      </c>
      <c r="BK69" s="137">
        <f>_xll.xSPRDOPT($BW69,$BV69,$CG69,0,$BY69,$BX69,$BZ69,$AJ69,1,5)*$CB69</f>
        <v>7.0625254610841119E-4</v>
      </c>
      <c r="BL69" s="137">
        <f>_xll.xSPRDOPT(BW69,BV69,CG69,0,BY69,BX69,BZ69,AJ69,1,2)*CB69</f>
        <v>-0.82137704189134797</v>
      </c>
      <c r="BM69" s="137">
        <f>_xll.xSPRDOPT(BW69,BV69,CG69,0,BY69,BX69,BZ69,AJ69,1,1)*CB69</f>
        <v>0.82137704187640681</v>
      </c>
      <c r="BN69" s="137">
        <f>IF(AH69&lt;&gt;0,_xll.xSPRDOPT($BW69,$BV69,$CG69,2*LN(1+CA69/2),$BY69,$BX69,$BZ69,$AJ69,1,8)+(AJ69/365.25)*CH69/AH69,0)</f>
        <v>0.25492042686455763</v>
      </c>
      <c r="BO69" s="137">
        <f>_xll.xSPRDOPT($BW69,$BV69,$CG69,0,$BY69,$BX69,$BZ69,$AJ69,1,0)</f>
        <v>0.29776560989011436</v>
      </c>
      <c r="BP69" s="137"/>
      <c r="BQ69" s="137"/>
      <c r="BR69" s="137"/>
      <c r="BS69" s="137"/>
      <c r="BV69" s="262">
        <v>3.7758354755784063</v>
      </c>
      <c r="BW69" s="136">
        <v>4.1070000000000002</v>
      </c>
      <c r="BX69" s="137">
        <v>0.30158877782867977</v>
      </c>
      <c r="BY69" s="137">
        <v>0.30158877782867977</v>
      </c>
      <c r="BZ69" s="137">
        <v>1</v>
      </c>
      <c r="CA69" s="137">
        <v>4.97625341294907E-2</v>
      </c>
      <c r="CB69" s="137">
        <v>0.82139700307971564</v>
      </c>
      <c r="CC69" s="258">
        <v>-4.7500000000000001E-2</v>
      </c>
      <c r="CD69" s="258">
        <v>1.2500000000000001E-2</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87"/>
        <v>38732</v>
      </c>
      <c r="F70" s="28">
        <f t="shared" si="52"/>
        <v>396</v>
      </c>
      <c r="G70" s="28">
        <f t="shared" si="53"/>
        <v>323.58417309631301</v>
      </c>
      <c r="H70" s="52">
        <f t="shared" si="54"/>
        <v>3.8323907455012853</v>
      </c>
      <c r="I70" s="52">
        <f t="shared" si="55"/>
        <v>4.1120000000000001</v>
      </c>
      <c r="K70" s="52">
        <f t="shared" si="56"/>
        <v>6.2367473706929673</v>
      </c>
      <c r="L70" s="135">
        <f t="shared" si="57"/>
        <v>8.9083167259751406E-5</v>
      </c>
      <c r="N70" s="131">
        <f t="shared" si="48"/>
        <v>0.30128576852292338</v>
      </c>
      <c r="O70" s="131">
        <f t="shared" si="49"/>
        <v>0.30128576852292338</v>
      </c>
      <c r="P70" s="55">
        <f t="shared" si="50"/>
        <v>0.99999999999999978</v>
      </c>
      <c r="Q70" s="135">
        <f>_xll.xSPRDOPT(I70,H70,AQ70,0,O70,N70,P70,D70-$G$5,1,0)*AH70*AU70</f>
        <v>6.236836453860227</v>
      </c>
      <c r="R70" s="135"/>
      <c r="S70" s="181">
        <f>_xll.xSPRDOPT(I70,H70,AQ70,AT70,O70,N70,P70,D70-$G$5,1,2)*AF70*(F70/(1-AR70))*AH70</f>
        <v>-10288.135666135562</v>
      </c>
      <c r="T70" s="181">
        <f>_xll.xSPRDOPT(I70,H70,AQ70,AT70,O70,N70,P70,D70-$G$5,1,1)*AF70*F70*AH70</f>
        <v>10005.211935428484</v>
      </c>
      <c r="U70" s="135"/>
      <c r="V70" s="146">
        <f t="shared" si="58"/>
        <v>9.5067559218546336</v>
      </c>
      <c r="W70" s="146"/>
      <c r="X70" s="338">
        <f t="shared" si="59"/>
        <v>0</v>
      </c>
      <c r="Y70" s="338">
        <f t="shared" si="60"/>
        <v>0</v>
      </c>
      <c r="Z70" s="338">
        <f t="shared" si="61"/>
        <v>1.0034064580192139</v>
      </c>
      <c r="AA70" s="338">
        <f t="shared" si="62"/>
        <v>4.7503253518059785E-5</v>
      </c>
      <c r="AB70" s="338">
        <f t="shared" si="63"/>
        <v>0</v>
      </c>
      <c r="AC70" s="338">
        <f t="shared" si="64"/>
        <v>1.0163858707677071</v>
      </c>
      <c r="AF70" s="138">
        <f t="shared" si="65"/>
        <v>1</v>
      </c>
      <c r="AG70" s="138">
        <f t="shared" si="66"/>
        <v>1</v>
      </c>
      <c r="AH70" s="138">
        <f t="shared" si="67"/>
        <v>31</v>
      </c>
      <c r="AI70" s="138">
        <f t="shared" si="88"/>
        <v>1476</v>
      </c>
      <c r="AJ70" s="138">
        <f t="shared" si="68"/>
        <v>1493</v>
      </c>
      <c r="AL70" s="136">
        <f t="shared" si="69"/>
        <v>3.762</v>
      </c>
      <c r="AM70" s="258">
        <f t="shared" si="70"/>
        <v>-4.7500000000000001E-2</v>
      </c>
      <c r="AN70" s="258">
        <f t="shared" si="71"/>
        <v>1.2500000000000001E-2</v>
      </c>
      <c r="AO70" s="258">
        <f t="shared" si="72"/>
        <v>0.35</v>
      </c>
      <c r="AP70" s="258">
        <f t="shared" si="73"/>
        <v>0</v>
      </c>
      <c r="AQ70" s="136">
        <f t="shared" si="74"/>
        <v>3.3399999999999999E-2</v>
      </c>
      <c r="AR70" s="137">
        <f t="shared" si="75"/>
        <v>2.75E-2</v>
      </c>
      <c r="AS70" s="136">
        <f t="shared" si="76"/>
        <v>3.7270000000000003</v>
      </c>
      <c r="AT70" s="137">
        <f t="shared" si="77"/>
        <v>5.0123867010087399E-2</v>
      </c>
      <c r="AU70" s="137">
        <f t="shared" si="78"/>
        <v>0.81713175024321461</v>
      </c>
      <c r="AV70" s="394">
        <f t="shared" si="79"/>
        <v>278.64192683293618</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4.8685047335697554E-7</v>
      </c>
      <c r="BG70" s="137">
        <f>_xll.xSPRDOPT($BW70,$BV70,$CG70,0,$BY70,$BX70,$BZ70,$AJ70,1,3)*$CB70</f>
        <v>4.8685047335697554E-8</v>
      </c>
      <c r="BH70" s="137">
        <f>IF(OR(BF70&lt;&gt;0,BG70&lt;&gt;0),_xll.xSPRDOPT($BW70,$BV70,$CG70,0,$BY70,$BX70,$BZ70,$AJ70,1,12)*$CB70,0)</f>
        <v>-9.7370094671395108E-8</v>
      </c>
      <c r="BI70" s="137">
        <f>_xll.xSPRDOPT($BW70,$BV70,$CG70,2*LN(1+CA70/2),$BY70,$BX70,$BZ70,$AJ70,1,9)</f>
        <v>9.9515099595828688E-3</v>
      </c>
      <c r="BJ70" s="137">
        <f>_xll.xSPRDOPT($BW70,$BV70,$CG70,0,$BY70,$BX70,$BZ70,$AJ70,1,6)*$CB70</f>
        <v>-1.6673526913931014E-3</v>
      </c>
      <c r="BK70" s="137">
        <f>_xll.xSPRDOPT($BW70,$BV70,$CG70,0,$BY70,$BX70,$BZ70,$AJ70,1,5)*$CB70</f>
        <v>1.7890018802166777E-3</v>
      </c>
      <c r="BL70" s="137">
        <f>_xll.xSPRDOPT(BW70,BV70,CG70,0,BY70,BX70,BZ70,AJ70,1,2)*CB70</f>
        <v>-0.81674674661990143</v>
      </c>
      <c r="BM70" s="137">
        <f>_xll.xSPRDOPT(BW70,BV70,CG70,0,BY70,BX70,BZ70,AJ70,1,1)*CB70</f>
        <v>0.81674674662844449</v>
      </c>
      <c r="BN70" s="137">
        <f>IF(AH70&lt;&gt;0,_xll.xSPRDOPT($BW70,$BV70,$CG70,2*LN(1+CA70/2),$BY70,$BX70,$BZ70,$AJ70,1,8)+(AJ70/365.25)*CH70/AH70,0)</f>
        <v>0.43099101575393128</v>
      </c>
      <c r="BO70" s="137">
        <f>_xll.xSPRDOPT($BW70,$BV70,$CG70,0,$BY70,$BX70,$BZ70,$AJ70,1,0)</f>
        <v>0.2462128116614454</v>
      </c>
      <c r="BP70" s="137"/>
      <c r="BQ70" s="137"/>
      <c r="BR70" s="137"/>
      <c r="BS70" s="137"/>
      <c r="BV70" s="262">
        <v>3.8323907455012853</v>
      </c>
      <c r="BW70" s="136">
        <v>4.1120000000000001</v>
      </c>
      <c r="BX70" s="137">
        <v>0.30125395899246143</v>
      </c>
      <c r="BY70" s="137">
        <v>0.30125395899246143</v>
      </c>
      <c r="BZ70" s="137">
        <v>1</v>
      </c>
      <c r="CA70" s="137">
        <v>5.0123867010087399E-2</v>
      </c>
      <c r="CB70" s="137">
        <v>0.81679955512122238</v>
      </c>
      <c r="CC70" s="258">
        <v>-4.7500000000000001E-2</v>
      </c>
      <c r="CD70" s="258">
        <v>1.2500000000000001E-2</v>
      </c>
      <c r="CE70" s="258">
        <v>0.35</v>
      </c>
      <c r="CF70" s="258">
        <v>0</v>
      </c>
      <c r="CG70" s="258">
        <v>3.3399999999999999E-2</v>
      </c>
      <c r="CH70" s="258">
        <v>9.5028910641468389</v>
      </c>
      <c r="CI70" s="258">
        <v>3.762</v>
      </c>
      <c r="CJ70" s="258"/>
      <c r="CK70" s="258"/>
      <c r="CL70" s="258"/>
      <c r="CM70" s="258"/>
    </row>
    <row r="71" spans="1:91" x14ac:dyDescent="0.25">
      <c r="A71" s="723"/>
      <c r="B71" s="723"/>
      <c r="D71" s="31">
        <f t="shared" si="87"/>
        <v>38763</v>
      </c>
      <c r="F71" s="28">
        <f t="shared" si="52"/>
        <v>396</v>
      </c>
      <c r="G71" s="28">
        <f t="shared" si="53"/>
        <v>321.80597002401754</v>
      </c>
      <c r="H71" s="52">
        <f t="shared" si="54"/>
        <v>3.7449871465295632</v>
      </c>
      <c r="I71" s="52">
        <f t="shared" si="55"/>
        <v>4.0270000000000001</v>
      </c>
      <c r="K71" s="52">
        <f t="shared" si="56"/>
        <v>5.6569262959641433</v>
      </c>
      <c r="L71" s="135">
        <f t="shared" si="57"/>
        <v>6.4419561685902238E-5</v>
      </c>
      <c r="N71" s="131">
        <f t="shared" si="48"/>
        <v>0.29475895276765796</v>
      </c>
      <c r="O71" s="131">
        <f t="shared" si="49"/>
        <v>0.29475895276765796</v>
      </c>
      <c r="P71" s="55">
        <f t="shared" si="50"/>
        <v>1</v>
      </c>
      <c r="Q71" s="135">
        <f>_xll.xSPRDOPT(I71,H71,AQ71,0,O71,N71,P71,D71-$G$5,1,0)*AH71*AU71</f>
        <v>5.6569907155258292</v>
      </c>
      <c r="R71" s="135"/>
      <c r="S71" s="181">
        <f>_xll.xSPRDOPT(I71,H71,AQ71,AT71,O71,N71,P71,D71-$G$5,1,2)*AF71*(F71/(1-AR71))*AH71</f>
        <v>-9240.6381988083158</v>
      </c>
      <c r="T71" s="181">
        <f>_xll.xSPRDOPT(I71,H71,AQ71,AT71,O71,N71,P71,D71-$G$5,1,1)*AF71*F71*AH71</f>
        <v>8986.5206482604117</v>
      </c>
      <c r="U71" s="135"/>
      <c r="V71" s="146">
        <f t="shared" si="58"/>
        <v>8.539560240910065</v>
      </c>
      <c r="W71" s="146"/>
      <c r="X71" s="338">
        <f t="shared" si="59"/>
        <v>0</v>
      </c>
      <c r="Y71" s="338">
        <f t="shared" si="60"/>
        <v>0</v>
      </c>
      <c r="Z71" s="338">
        <f t="shared" si="61"/>
        <v>0.91589914920707349</v>
      </c>
      <c r="AA71" s="338">
        <f t="shared" si="62"/>
        <v>3.9780126626763778E-5</v>
      </c>
      <c r="AB71" s="338">
        <f t="shared" si="63"/>
        <v>0</v>
      </c>
      <c r="AC71" s="338">
        <f t="shared" si="64"/>
        <v>0.92781456001667406</v>
      </c>
      <c r="AF71" s="138">
        <f t="shared" si="65"/>
        <v>1</v>
      </c>
      <c r="AG71" s="138">
        <f t="shared" si="66"/>
        <v>2</v>
      </c>
      <c r="AH71" s="138">
        <f t="shared" si="67"/>
        <v>28</v>
      </c>
      <c r="AI71" s="138">
        <f t="shared" si="88"/>
        <v>1507</v>
      </c>
      <c r="AJ71" s="138">
        <f t="shared" si="68"/>
        <v>1524</v>
      </c>
      <c r="AL71" s="136">
        <f t="shared" si="69"/>
        <v>3.677</v>
      </c>
      <c r="AM71" s="258">
        <f t="shared" si="70"/>
        <v>-4.7500000000000001E-2</v>
      </c>
      <c r="AN71" s="258">
        <f t="shared" si="71"/>
        <v>1.2500000000000001E-2</v>
      </c>
      <c r="AO71" s="258">
        <f t="shared" si="72"/>
        <v>0.35</v>
      </c>
      <c r="AP71" s="258">
        <f t="shared" si="73"/>
        <v>0</v>
      </c>
      <c r="AQ71" s="136">
        <f t="shared" si="74"/>
        <v>3.3399999999999999E-2</v>
      </c>
      <c r="AR71" s="137">
        <f t="shared" si="75"/>
        <v>2.75E-2</v>
      </c>
      <c r="AS71" s="136">
        <f t="shared" si="76"/>
        <v>3.6420000000000003</v>
      </c>
      <c r="AT71" s="137">
        <f t="shared" si="77"/>
        <v>5.0446047479093502E-2</v>
      </c>
      <c r="AU71" s="137">
        <f t="shared" si="78"/>
        <v>0.81264133844448871</v>
      </c>
      <c r="AV71" s="394">
        <f t="shared" si="79"/>
        <v>250.29353224090252</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0</v>
      </c>
      <c r="BG71" s="137">
        <f>_xll.xSPRDOPT($BW71,$BV71,$CG71,0,$BY71,$BX71,$BZ71,$AJ71,1,3)*$CB71</f>
        <v>8.7151287173544402E-7</v>
      </c>
      <c r="BH71" s="137">
        <f>IF(OR(BF71&lt;&gt;0,BG71&lt;&gt;0),_xll.xSPRDOPT($BW71,$BV71,$CG71,0,$BY71,$BX71,$BZ71,$AJ71,1,12)*$CB71,0)</f>
        <v>0</v>
      </c>
      <c r="BI71" s="137">
        <f>_xll.xSPRDOPT($BW71,$BV71,$CG71,2*LN(1+CA71/2),$BY71,$BX71,$BZ71,$AJ71,1,9)</f>
        <v>1.0056883244585245E-2</v>
      </c>
      <c r="BJ71" s="137">
        <f>_xll.xSPRDOPT($BW71,$BV71,$CG71,0,$BY71,$BX71,$BZ71,$AJ71,1,6)*$CB71</f>
        <v>-1.6818718663169166E-3</v>
      </c>
      <c r="BK71" s="137">
        <f>_xll.xSPRDOPT($BW71,$BV71,$CG71,0,$BY71,$BX71,$BZ71,$AJ71,1,5)*$CB71</f>
        <v>1.8085237053191976E-3</v>
      </c>
      <c r="BL71" s="137">
        <f>_xll.xSPRDOPT(BW71,BV71,CG71,0,BY71,BX71,BZ71,AJ71,1,2)*CB71</f>
        <v>-0.81225482796446835</v>
      </c>
      <c r="BM71" s="137">
        <f>_xll.xSPRDOPT(BW71,BV71,CG71,0,BY71,BX71,BZ71,AJ71,1,1)*CB71</f>
        <v>0.8122548279511701</v>
      </c>
      <c r="BN71" s="137">
        <f>IF(AH71&lt;&gt;0,_xll.xSPRDOPT($BW71,$BV71,$CG71,2*LN(1+CA71/2),$BY71,$BX71,$BZ71,$AJ71,1,8)+(AJ71/365.25)*CH71/AH71,0)</f>
        <v>0.42937687182703288</v>
      </c>
      <c r="BO71" s="137">
        <f>_xll.xSPRDOPT($BW71,$BV71,$CG71,0,$BY71,$BX71,$BZ71,$AJ71,1,0)</f>
        <v>0.24861572548841915</v>
      </c>
      <c r="BP71" s="137"/>
      <c r="BQ71" s="137"/>
      <c r="BR71" s="137"/>
      <c r="BS71" s="137"/>
      <c r="BV71" s="262">
        <v>3.7449871465295632</v>
      </c>
      <c r="BW71" s="136">
        <v>4.0270000000000001</v>
      </c>
      <c r="BX71" s="137">
        <v>0.29473062571148501</v>
      </c>
      <c r="BY71" s="137">
        <v>0.29473062571148501</v>
      </c>
      <c r="BZ71" s="137">
        <v>1</v>
      </c>
      <c r="CA71" s="137">
        <v>5.0446047479093502E-2</v>
      </c>
      <c r="CB71" s="137">
        <v>0.81230887199365776</v>
      </c>
      <c r="CC71" s="258">
        <v>-4.7500000000000001E-2</v>
      </c>
      <c r="CD71" s="258">
        <v>1.2500000000000001E-2</v>
      </c>
      <c r="CE71" s="258">
        <v>0.35</v>
      </c>
      <c r="CF71" s="258">
        <v>0</v>
      </c>
      <c r="CG71" s="258">
        <v>3.3399999999999999E-2</v>
      </c>
      <c r="CH71" s="258">
        <v>8.5360665504581537</v>
      </c>
      <c r="CI71" s="258">
        <v>3.677</v>
      </c>
      <c r="CJ71" s="258"/>
      <c r="CK71" s="258"/>
      <c r="CL71" s="258"/>
      <c r="CM71" s="258"/>
    </row>
    <row r="72" spans="1:91" x14ac:dyDescent="0.25">
      <c r="A72" s="723"/>
      <c r="B72" s="723"/>
      <c r="D72" s="31">
        <f t="shared" si="87"/>
        <v>38791</v>
      </c>
      <c r="F72" s="28">
        <f t="shared" si="52"/>
        <v>396</v>
      </c>
      <c r="G72" s="28">
        <f t="shared" si="53"/>
        <v>320.19362693829174</v>
      </c>
      <c r="H72" s="52">
        <f t="shared" si="54"/>
        <v>3.6113110539845761</v>
      </c>
      <c r="I72" s="52">
        <f t="shared" si="55"/>
        <v>3.9470000000000001</v>
      </c>
      <c r="K72" s="52">
        <f t="shared" si="56"/>
        <v>7.5770727632550363</v>
      </c>
      <c r="L72" s="135">
        <f t="shared" si="57"/>
        <v>1.0799426738650197E-5</v>
      </c>
      <c r="N72" s="131">
        <f t="shared" si="48"/>
        <v>0.27891651287520841</v>
      </c>
      <c r="O72" s="131">
        <f t="shared" si="49"/>
        <v>0.27891651287520841</v>
      </c>
      <c r="P72" s="55">
        <f t="shared" si="50"/>
        <v>1.0000000000000002</v>
      </c>
      <c r="Q72" s="135">
        <f>_xll.xSPRDOPT(I72,H72,AQ72,0,O72,N72,P72,D72-$G$5,1,0)*AH72*AU72</f>
        <v>7.577083562681775</v>
      </c>
      <c r="R72" s="135"/>
      <c r="S72" s="181">
        <f>_xll.xSPRDOPT(I72,H72,AQ72,AT72,O72,N72,P72,D72-$G$5,1,2)*AF72*(F72/(1-AR72))*AH72</f>
        <v>-10179.230729885767</v>
      </c>
      <c r="T72" s="181">
        <f>_xll.xSPRDOPT(I72,H72,AQ72,AT72,O72,N72,P72,D72-$G$5,1,1)*AF72*F72*AH72</f>
        <v>9899.3018848083266</v>
      </c>
      <c r="U72" s="135"/>
      <c r="V72" s="146">
        <f t="shared" si="58"/>
        <v>9.4071432168893132</v>
      </c>
      <c r="W72" s="146"/>
      <c r="X72" s="338">
        <f t="shared" si="59"/>
        <v>0</v>
      </c>
      <c r="Y72" s="338">
        <f t="shared" si="60"/>
        <v>0</v>
      </c>
      <c r="Z72" s="338">
        <f t="shared" si="61"/>
        <v>1.2342275456074931</v>
      </c>
      <c r="AA72" s="338">
        <f t="shared" si="62"/>
        <v>5.0379200584342359E-6</v>
      </c>
      <c r="AB72" s="338">
        <f t="shared" si="63"/>
        <v>0</v>
      </c>
      <c r="AC72" s="338">
        <f t="shared" si="64"/>
        <v>1.2498986039269993</v>
      </c>
      <c r="AF72" s="138">
        <f t="shared" si="65"/>
        <v>1</v>
      </c>
      <c r="AG72" s="138">
        <f t="shared" si="66"/>
        <v>3</v>
      </c>
      <c r="AH72" s="138">
        <f t="shared" si="67"/>
        <v>31</v>
      </c>
      <c r="AI72" s="138">
        <f t="shared" si="88"/>
        <v>1535</v>
      </c>
      <c r="AJ72" s="138">
        <f t="shared" si="68"/>
        <v>1552</v>
      </c>
      <c r="AL72" s="136">
        <f t="shared" si="69"/>
        <v>3.5470000000000002</v>
      </c>
      <c r="AM72" s="258">
        <f t="shared" si="70"/>
        <v>-4.7500000000000001E-2</v>
      </c>
      <c r="AN72" s="258">
        <f t="shared" si="71"/>
        <v>1.2500000000000001E-2</v>
      </c>
      <c r="AO72" s="258">
        <f t="shared" si="72"/>
        <v>0.4</v>
      </c>
      <c r="AP72" s="258">
        <f t="shared" si="73"/>
        <v>0</v>
      </c>
      <c r="AQ72" s="136">
        <f t="shared" si="74"/>
        <v>3.3399999999999999E-2</v>
      </c>
      <c r="AR72" s="137">
        <f t="shared" si="75"/>
        <v>2.75E-2</v>
      </c>
      <c r="AS72" s="136">
        <f t="shared" si="76"/>
        <v>3.5120000000000005</v>
      </c>
      <c r="AT72" s="137">
        <f t="shared" si="77"/>
        <v>5.0737049222817202E-2</v>
      </c>
      <c r="AU72" s="137">
        <f t="shared" si="78"/>
        <v>0.80856976499568622</v>
      </c>
      <c r="AV72" s="394">
        <f t="shared" si="79"/>
        <v>275.722289863529</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-9.6349368112641296E-8</v>
      </c>
      <c r="BG72" s="137">
        <f>_xll.xSPRDOPT($BW72,$BV72,$CG72,0,$BY72,$BX72,$BZ72,$AJ72,1,3)*$CB72</f>
        <v>-3.8539747245056519E-7</v>
      </c>
      <c r="BH72" s="137">
        <f>IF(OR(BF72&lt;&gt;0,BG72&lt;&gt;0),_xll.xSPRDOPT($BW72,$BV72,$CG72,0,$BY72,$BX72,$BZ72,$AJ72,1,12)*$CB72,0)</f>
        <v>2.4087342028160323E-7</v>
      </c>
      <c r="BI72" s="137">
        <f>_xll.xSPRDOPT($BW72,$BV72,$CG72,2*LN(1+CA72/2),$BY72,$BX72,$BZ72,$AJ72,1,9)</f>
        <v>1.2240730179025112E-2</v>
      </c>
      <c r="BJ72" s="137">
        <f>_xll.xSPRDOPT($BW72,$BV72,$CG72,0,$BY72,$BX72,$BZ72,$AJ72,1,6)*$CB72</f>
        <v>-2.6055661406831611E-4</v>
      </c>
      <c r="BK72" s="137">
        <f>_xll.xSPRDOPT($BW72,$BV72,$CG72,0,$BY72,$BX72,$BZ72,$AJ72,1,5)*$CB72</f>
        <v>2.8477661128189634E-4</v>
      </c>
      <c r="BL72" s="137">
        <f>_xll.xSPRDOPT(BW72,BV72,CG72,0,BY72,BX72,BZ72,AJ72,1,2)*CB72</f>
        <v>-0.8082293551029478</v>
      </c>
      <c r="BM72" s="137">
        <f>_xll.xSPRDOPT(BW72,BV72,CG72,0,BY72,BX72,BZ72,AJ72,1,1)*CB72</f>
        <v>0.80822935509927241</v>
      </c>
      <c r="BN72" s="137">
        <f>IF(AH72&lt;&gt;0,_xll.xSPRDOPT($BW72,$BV72,$CG72,2*LN(1+CA72/2),$BY72,$BX72,$BZ72,$AJ72,1,8)+(AJ72/365.25)*CH72/AH72,0)</f>
        <v>0.25074153104888142</v>
      </c>
      <c r="BO72" s="137">
        <f>_xll.xSPRDOPT($BW72,$BV72,$CG72,0,$BY72,$BX72,$BZ72,$AJ72,1,0)</f>
        <v>0.30228938444361264</v>
      </c>
      <c r="BP72" s="137"/>
      <c r="BQ72" s="137"/>
      <c r="BR72" s="137"/>
      <c r="BS72" s="137"/>
      <c r="BV72" s="262">
        <v>3.6113110539845761</v>
      </c>
      <c r="BW72" s="136">
        <v>3.9470000000000001</v>
      </c>
      <c r="BX72" s="137">
        <v>0.27889956870508348</v>
      </c>
      <c r="BY72" s="137">
        <v>0.27889956870508348</v>
      </c>
      <c r="BZ72" s="137">
        <v>1</v>
      </c>
      <c r="CA72" s="137">
        <v>5.0737049222817202E-2</v>
      </c>
      <c r="CB72" s="137">
        <v>0.80823708014464768</v>
      </c>
      <c r="CC72" s="258">
        <v>-4.7500000000000001E-2</v>
      </c>
      <c r="CD72" s="258">
        <v>1.2500000000000001E-2</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87"/>
        <v>38822</v>
      </c>
      <c r="F73" s="28">
        <f t="shared" si="52"/>
        <v>396</v>
      </c>
      <c r="G73" s="28">
        <f t="shared" si="53"/>
        <v>318.40185663738367</v>
      </c>
      <c r="H73" s="52">
        <f t="shared" si="54"/>
        <v>3.4133676092544984</v>
      </c>
      <c r="I73" s="52">
        <f t="shared" si="55"/>
        <v>3.9620000000000002</v>
      </c>
      <c r="K73" s="52">
        <f t="shared" si="56"/>
        <v>12.428102258567097</v>
      </c>
      <c r="L73" s="135">
        <f t="shared" si="57"/>
        <v>1.2782749099216062E-6</v>
      </c>
      <c r="N73" s="131">
        <f t="shared" si="48"/>
        <v>0.25184329937151428</v>
      </c>
      <c r="O73" s="131">
        <f t="shared" si="49"/>
        <v>0.25184329937151428</v>
      </c>
      <c r="P73" s="55">
        <f t="shared" si="50"/>
        <v>1</v>
      </c>
      <c r="Q73" s="135">
        <f>_xll.xSPRDOPT(I73,H73,AQ73,0,O73,N73,P73,D73-$G$5,1,0)*AH73*AU73</f>
        <v>12.428103536842007</v>
      </c>
      <c r="R73" s="135"/>
      <c r="S73" s="181">
        <f>_xll.xSPRDOPT(I73,H73,AQ73,AT73,O73,N73,P73,D73-$G$5,1,2)*AF73*(F73/(1-AR73))*AH73</f>
        <v>-9794.9738436590123</v>
      </c>
      <c r="T73" s="181">
        <f>_xll.xSPRDOPT(I73,H73,AQ73,AT73,O73,N73,P73,D73-$G$5,1,1)*AF73*F73*AH73</f>
        <v>9525.6120629691941</v>
      </c>
      <c r="U73" s="135"/>
      <c r="V73" s="146">
        <f t="shared" si="58"/>
        <v>9.0527436966674308</v>
      </c>
      <c r="W73" s="146"/>
      <c r="X73" s="338">
        <f t="shared" si="59"/>
        <v>0</v>
      </c>
      <c r="Y73" s="338">
        <f t="shared" si="60"/>
        <v>0</v>
      </c>
      <c r="Z73" s="338">
        <f t="shared" si="61"/>
        <v>2.0372293388472591</v>
      </c>
      <c r="AA73" s="338">
        <f t="shared" si="62"/>
        <v>-2.3554805684088379E-9</v>
      </c>
      <c r="AB73" s="338">
        <f t="shared" si="63"/>
        <v>0</v>
      </c>
      <c r="AC73" s="338">
        <f t="shared" si="64"/>
        <v>2.0631247564595263</v>
      </c>
      <c r="AF73" s="138">
        <f t="shared" si="65"/>
        <v>1</v>
      </c>
      <c r="AG73" s="138">
        <f t="shared" si="66"/>
        <v>4</v>
      </c>
      <c r="AH73" s="138">
        <f t="shared" si="67"/>
        <v>30</v>
      </c>
      <c r="AI73" s="138">
        <f t="shared" si="88"/>
        <v>1566</v>
      </c>
      <c r="AJ73" s="138">
        <f t="shared" si="68"/>
        <v>1583</v>
      </c>
      <c r="AL73" s="136">
        <f t="shared" si="69"/>
        <v>3.3620000000000001</v>
      </c>
      <c r="AM73" s="258">
        <f t="shared" si="70"/>
        <v>-5.2499999999999998E-2</v>
      </c>
      <c r="AN73" s="258">
        <f t="shared" si="71"/>
        <v>0.01</v>
      </c>
      <c r="AO73" s="258">
        <f t="shared" si="72"/>
        <v>0.6</v>
      </c>
      <c r="AP73" s="258">
        <f t="shared" si="73"/>
        <v>0</v>
      </c>
      <c r="AQ73" s="136">
        <f t="shared" si="74"/>
        <v>3.3399999999999999E-2</v>
      </c>
      <c r="AR73" s="137">
        <f t="shared" si="75"/>
        <v>2.75E-2</v>
      </c>
      <c r="AS73" s="136">
        <f t="shared" si="76"/>
        <v>3.3194999999999997</v>
      </c>
      <c r="AT73" s="137">
        <f t="shared" si="77"/>
        <v>5.10592297577648E-2</v>
      </c>
      <c r="AU73" s="137">
        <f t="shared" si="78"/>
        <v>0.80404509251864564</v>
      </c>
      <c r="AV73" s="394">
        <f t="shared" si="79"/>
        <v>265.33488053115309</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-9.5809959804586134E-7</v>
      </c>
      <c r="BG73" s="137">
        <f>_xll.xSPRDOPT($BW73,$BV73,$CG73,0,$BY73,$BX73,$BZ73,$AJ73,1,3)*$CB73</f>
        <v>0</v>
      </c>
      <c r="BH73" s="137">
        <f>IF(OR(BF73&lt;&gt;0,BG73&lt;&gt;0),_xll.xSPRDOPT($BW73,$BV73,$CG73,0,$BY73,$BX73,$BZ73,$AJ73,1,12)*$CB73,0)</f>
        <v>2.8742987941375829E-7</v>
      </c>
      <c r="BI73" s="137">
        <f>_xll.xSPRDOPT($BW73,$BV73,$CG73,2*LN(1+CA73/2),$BY73,$BX73,$BZ73,$AJ73,1,9)</f>
        <v>2.0878171044162779E-2</v>
      </c>
      <c r="BJ73" s="137">
        <f>_xll.xSPRDOPT($BW73,$BV73,$CG73,0,$BY73,$BX73,$BZ73,$AJ73,1,6)*$CB73</f>
        <v>3.5462611472173589E-7</v>
      </c>
      <c r="BK73" s="137">
        <f>_xll.xSPRDOPT($BW73,$BV73,$CG73,0,$BY73,$BX73,$BZ73,$AJ73,1,5)*$CB73</f>
        <v>-4.1162815488553389E-7</v>
      </c>
      <c r="BL73" s="137">
        <f>_xll.xSPRDOPT(BW73,BV73,CG73,0,BY73,BX73,BZ73,AJ73,1,2)*CB73</f>
        <v>-0.80371227271513401</v>
      </c>
      <c r="BM73" s="137">
        <f>_xll.xSPRDOPT(BW73,BV73,CG73,0,BY73,BX73,BZ73,AJ73,1,1)*CB73</f>
        <v>0.8037122727180579</v>
      </c>
      <c r="BN73" s="137">
        <f>IF(AH73&lt;&gt;0,_xll.xSPRDOPT($BW73,$BV73,$CG73,2*LN(1+CA73/2),$BY73,$BX73,$BZ73,$AJ73,1,8)+(AJ73/365.25)*CH73/AH73,0)</f>
        <v>-0.4874270950404187</v>
      </c>
      <c r="BO73" s="137">
        <f>_xll.xSPRDOPT($BW73,$BV73,$CG73,0,$BY73,$BX73,$BZ73,$AJ73,1,0)</f>
        <v>0.51523244372234456</v>
      </c>
      <c r="BP73" s="137"/>
      <c r="BQ73" s="137"/>
      <c r="BR73" s="137"/>
      <c r="BS73" s="137"/>
      <c r="BV73" s="262">
        <v>3.4133676092544984</v>
      </c>
      <c r="BW73" s="136">
        <v>3.9620000000000002</v>
      </c>
      <c r="BX73" s="137">
        <v>0.2518398210262735</v>
      </c>
      <c r="BY73" s="137">
        <v>0.2518398210262735</v>
      </c>
      <c r="BZ73" s="137">
        <v>1</v>
      </c>
      <c r="CA73" s="137">
        <v>5.10592297577648E-2</v>
      </c>
      <c r="CB73" s="137">
        <v>0.80371219529642934</v>
      </c>
      <c r="CC73" s="258">
        <v>-5.2499999999999998E-2</v>
      </c>
      <c r="CD73" s="258">
        <v>0.01</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87"/>
        <v>38852</v>
      </c>
      <c r="F74" s="28">
        <f t="shared" si="52"/>
        <v>252</v>
      </c>
      <c r="G74" s="28">
        <f t="shared" si="53"/>
        <v>201.51181142337512</v>
      </c>
      <c r="H74" s="52">
        <f t="shared" si="54"/>
        <v>3.3144999999999998</v>
      </c>
      <c r="I74" s="52">
        <f t="shared" si="55"/>
        <v>4.1070000000000002</v>
      </c>
      <c r="K74" s="52">
        <f t="shared" si="56"/>
        <v>19.645402488665759</v>
      </c>
      <c r="L74" s="135">
        <f t="shared" si="57"/>
        <v>2.0419267166005284E-6</v>
      </c>
      <c r="N74" s="131">
        <f t="shared" si="48"/>
        <v>0.24778090519241153</v>
      </c>
      <c r="O74" s="131">
        <f t="shared" si="49"/>
        <v>0.24778090519241153</v>
      </c>
      <c r="P74" s="55">
        <f t="shared" si="50"/>
        <v>1</v>
      </c>
      <c r="Q74" s="135">
        <f>_xll.xSPRDOPT(I74,H74,AQ74,0,O74,N74,P74,D74-$G$5,1,0)*AH74*AU74</f>
        <v>19.645404530592476</v>
      </c>
      <c r="R74" s="135"/>
      <c r="S74" s="181">
        <f>_xll.xSPRDOPT(I74,H74,AQ74,AT74,O74,N74,P74,D74-$G$5,1,2)*AF74*(F74/(1-AR74))*AH74</f>
        <v>-6229.0308969787511</v>
      </c>
      <c r="T74" s="181">
        <f>_xll.xSPRDOPT(I74,H74,AQ74,AT74,O74,N74,P74,D74-$G$5,1,1)*AF74*F74*AH74</f>
        <v>6229.0308969361213</v>
      </c>
      <c r="U74" s="135"/>
      <c r="V74" s="146">
        <f t="shared" si="58"/>
        <v>0</v>
      </c>
      <c r="W74" s="146"/>
      <c r="X74" s="338">
        <f t="shared" si="59"/>
        <v>0</v>
      </c>
      <c r="Y74" s="338">
        <f t="shared" si="60"/>
        <v>0</v>
      </c>
      <c r="Z74" s="338">
        <f t="shared" si="61"/>
        <v>2.0616317114888196</v>
      </c>
      <c r="AA74" s="338">
        <f t="shared" si="62"/>
        <v>-5.5295469401423431E-9</v>
      </c>
      <c r="AB74" s="338">
        <f t="shared" si="63"/>
        <v>0</v>
      </c>
      <c r="AC74" s="338">
        <f t="shared" si="64"/>
        <v>2.0879965763612174</v>
      </c>
      <c r="AF74" s="138">
        <f t="shared" si="65"/>
        <v>1</v>
      </c>
      <c r="AG74" s="138">
        <f t="shared" si="66"/>
        <v>5</v>
      </c>
      <c r="AH74" s="138">
        <f t="shared" si="67"/>
        <v>31</v>
      </c>
      <c r="AI74" s="138">
        <f t="shared" si="88"/>
        <v>1596</v>
      </c>
      <c r="AJ74" s="138">
        <f t="shared" si="68"/>
        <v>1613</v>
      </c>
      <c r="AL74" s="136">
        <f t="shared" si="69"/>
        <v>3.3570000000000002</v>
      </c>
      <c r="AM74" s="258">
        <f t="shared" si="70"/>
        <v>-5.2499999999999998E-2</v>
      </c>
      <c r="AN74" s="258">
        <f t="shared" si="71"/>
        <v>0.01</v>
      </c>
      <c r="AO74" s="258">
        <f t="shared" si="72"/>
        <v>0.75</v>
      </c>
      <c r="AP74" s="258">
        <f t="shared" si="73"/>
        <v>0</v>
      </c>
      <c r="AQ74" s="136">
        <f t="shared" si="74"/>
        <v>0</v>
      </c>
      <c r="AR74" s="137">
        <f t="shared" si="75"/>
        <v>0</v>
      </c>
      <c r="AS74" s="136">
        <f t="shared" si="76"/>
        <v>3.3144999999999998</v>
      </c>
      <c r="AT74" s="137">
        <f t="shared" si="77"/>
        <v>5.1371017405212001E-2</v>
      </c>
      <c r="AU74" s="137">
        <f t="shared" si="78"/>
        <v>0.79965004533085371</v>
      </c>
      <c r="AV74" s="394">
        <f t="shared" si="79"/>
        <v>0</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0</v>
      </c>
      <c r="BG74" s="137">
        <f>_xll.xSPRDOPT($BW74,$BV74,$CG74,0,$BY74,$BX74,$BZ74,$AJ74,1,3)*$CB74</f>
        <v>3.8114403339844605E-7</v>
      </c>
      <c r="BH74" s="137">
        <f>IF(OR(BF74&lt;&gt;0,BG74&lt;&gt;0),_xll.xSPRDOPT($BW74,$BV74,$CG74,0,$BY74,$BX74,$BZ74,$AJ74,1,12)*$CB74,0)</f>
        <v>-3.8114403339844605E-7</v>
      </c>
      <c r="BI74" s="137">
        <f>_xll.xSPRDOPT($BW74,$BV74,$CG74,2*LN(1+CA74/2),$BY74,$BX74,$BZ74,$AJ74,1,9)</f>
        <v>3.213052494543827E-2</v>
      </c>
      <c r="BJ74" s="137">
        <f>_xll.xSPRDOPT($BW74,$BV74,$CG74,0,$BY74,$BX74,$BZ74,$AJ74,1,6)*$CB74</f>
        <v>5.7609547240222563E-7</v>
      </c>
      <c r="BK74" s="137">
        <f>_xll.xSPRDOPT($BW74,$BV74,$CG74,0,$BY74,$BX74,$BZ74,$AJ74,1,5)*$CB74</f>
        <v>-7.1384730423604057E-7</v>
      </c>
      <c r="BL74" s="137">
        <f>_xll.xSPRDOPT(BW74,BV74,CG74,0,BY74,BX74,BZ74,AJ74,1,2)*CB74</f>
        <v>-0.79931705497773664</v>
      </c>
      <c r="BM74" s="137">
        <f>_xll.xSPRDOPT(BW74,BV74,CG74,0,BY74,BX74,BZ74,AJ74,1,1)*CB74</f>
        <v>0.79931705496610506</v>
      </c>
      <c r="BN74" s="137">
        <f>IF(AH74&lt;&gt;0,_xll.xSPRDOPT($BW74,$BV74,$CG74,2*LN(1+CA74/2),$BY74,$BX74,$BZ74,$AJ74,1,8)+(AJ74/365.25)*CH74/AH74,0)</f>
        <v>-2.7974510326127535</v>
      </c>
      <c r="BO74" s="137">
        <f>_xll.xSPRDOPT($BW74,$BV74,$CG74,0,$BY74,$BX74,$BZ74,$AJ74,1,0)</f>
        <v>0.79250008233296354</v>
      </c>
      <c r="BP74" s="137"/>
      <c r="BQ74" s="137"/>
      <c r="BR74" s="137"/>
      <c r="BS74" s="137"/>
      <c r="BV74" s="262">
        <v>3.3144999999999998</v>
      </c>
      <c r="BW74" s="136">
        <v>4.1070000000000002</v>
      </c>
      <c r="BX74" s="137">
        <v>0.24777576676848015</v>
      </c>
      <c r="BY74" s="137">
        <v>0.24777576676848015</v>
      </c>
      <c r="BZ74" s="137">
        <v>1</v>
      </c>
      <c r="CA74" s="137">
        <v>5.1371017405212001E-2</v>
      </c>
      <c r="CB74" s="137">
        <v>0.79931697192961793</v>
      </c>
      <c r="CC74" s="258">
        <v>-5.2499999999999998E-2</v>
      </c>
      <c r="CD74" s="258">
        <v>0.01</v>
      </c>
      <c r="CE74" s="258">
        <v>0.75</v>
      </c>
      <c r="CF74" s="258">
        <v>0</v>
      </c>
      <c r="CG74" s="258">
        <v>0</v>
      </c>
      <c r="CH74" s="258">
        <v>0</v>
      </c>
      <c r="CI74" s="258">
        <v>3.3570000000000002</v>
      </c>
      <c r="CJ74" s="258"/>
      <c r="CK74" s="258"/>
      <c r="CL74" s="258"/>
      <c r="CM74" s="258"/>
    </row>
    <row r="75" spans="1:91" x14ac:dyDescent="0.25">
      <c r="A75" s="723"/>
      <c r="B75" s="723"/>
      <c r="D75" s="31">
        <f t="shared" si="87"/>
        <v>38883</v>
      </c>
      <c r="F75" s="28">
        <f t="shared" si="52"/>
        <v>252</v>
      </c>
      <c r="G75" s="28">
        <f t="shared" si="53"/>
        <v>200.3632325042484</v>
      </c>
      <c r="H75" s="52">
        <f t="shared" si="54"/>
        <v>3.3519999999999999</v>
      </c>
      <c r="I75" s="52">
        <f t="shared" si="55"/>
        <v>4.242</v>
      </c>
      <c r="K75" s="52">
        <f t="shared" si="56"/>
        <v>21.228961539140609</v>
      </c>
      <c r="L75" s="135">
        <f t="shared" si="57"/>
        <v>2.1846259485869268E-6</v>
      </c>
      <c r="N75" s="131">
        <f t="shared" si="48"/>
        <v>0.2500930627639058</v>
      </c>
      <c r="O75" s="131">
        <f t="shared" si="49"/>
        <v>0.2500930627639058</v>
      </c>
      <c r="P75" s="55">
        <f t="shared" si="50"/>
        <v>1</v>
      </c>
      <c r="Q75" s="135">
        <f>_xll.xSPRDOPT(I75,H75,AQ75,0,O75,N75,P75,D75-$G$5,1,0)*AH75*AU75</f>
        <v>21.228963723766558</v>
      </c>
      <c r="R75" s="135"/>
      <c r="S75" s="181">
        <f>_xll.xSPRDOPT(I75,H75,AQ75,AT75,O75,N75,P75,D75-$G$5,1,2)*AF75*(F75/(1-AR75))*AH75</f>
        <v>-5993.1875374983792</v>
      </c>
      <c r="T75" s="181">
        <f>_xll.xSPRDOPT(I75,H75,AQ75,AT75,O75,N75,P75,D75-$G$5,1,1)*AF75*F75*AH75</f>
        <v>5993.1875374983792</v>
      </c>
      <c r="U75" s="135"/>
      <c r="V75" s="146">
        <f t="shared" si="58"/>
        <v>0</v>
      </c>
      <c r="W75" s="146"/>
      <c r="X75" s="338">
        <f t="shared" si="59"/>
        <v>0</v>
      </c>
      <c r="Y75" s="338">
        <f t="shared" si="60"/>
        <v>0</v>
      </c>
      <c r="Z75" s="338">
        <f t="shared" si="61"/>
        <v>2.2416033771835329</v>
      </c>
      <c r="AA75" s="338">
        <f t="shared" si="62"/>
        <v>-5.6243722666704587E-9</v>
      </c>
      <c r="AB75" s="338">
        <f t="shared" si="63"/>
        <v>0</v>
      </c>
      <c r="AC75" s="338">
        <f t="shared" si="64"/>
        <v>2.2704488084947152</v>
      </c>
      <c r="AF75" s="138">
        <f t="shared" si="65"/>
        <v>1</v>
      </c>
      <c r="AG75" s="138">
        <f t="shared" si="66"/>
        <v>6</v>
      </c>
      <c r="AH75" s="138">
        <f t="shared" si="67"/>
        <v>30</v>
      </c>
      <c r="AI75" s="138">
        <f t="shared" si="88"/>
        <v>1627</v>
      </c>
      <c r="AJ75" s="138">
        <f t="shared" si="68"/>
        <v>1644</v>
      </c>
      <c r="AL75" s="136">
        <f t="shared" si="69"/>
        <v>3.3919999999999999</v>
      </c>
      <c r="AM75" s="258">
        <f t="shared" si="70"/>
        <v>-0.05</v>
      </c>
      <c r="AN75" s="258">
        <f t="shared" si="71"/>
        <v>0.01</v>
      </c>
      <c r="AO75" s="258">
        <f t="shared" si="72"/>
        <v>0.85</v>
      </c>
      <c r="AP75" s="258">
        <f t="shared" si="73"/>
        <v>0</v>
      </c>
      <c r="AQ75" s="136">
        <f t="shared" si="74"/>
        <v>0</v>
      </c>
      <c r="AR75" s="137">
        <f t="shared" si="75"/>
        <v>0</v>
      </c>
      <c r="AS75" s="136">
        <f t="shared" si="76"/>
        <v>3.3519999999999999</v>
      </c>
      <c r="AT75" s="137">
        <f t="shared" si="77"/>
        <v>5.1693198008315698E-2</v>
      </c>
      <c r="AU75" s="137">
        <f t="shared" si="78"/>
        <v>0.79509219247717622</v>
      </c>
      <c r="AV75" s="394">
        <f t="shared" si="79"/>
        <v>0</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5.6845591108390283E-7</v>
      </c>
      <c r="BG75" s="137">
        <f>_xll.xSPRDOPT($BW75,$BV75,$CG75,0,$BY75,$BX75,$BZ75,$AJ75,1,3)*$CB75</f>
        <v>5.6845591108390283E-7</v>
      </c>
      <c r="BH75" s="137">
        <f>IF(OR(BF75&lt;&gt;0,BG75&lt;&gt;0),_xll.xSPRDOPT($BW75,$BV75,$CG75,0,$BY75,$BX75,$BZ75,$AJ75,1,12)*$CB75,0)</f>
        <v>-4.7371325923658577E-7</v>
      </c>
      <c r="BI75" s="137">
        <f>_xll.xSPRDOPT($BW75,$BV75,$CG75,2*LN(1+CA75/2),$BY75,$BX75,$BZ75,$AJ75,1,9)</f>
        <v>3.6099895657684539E-2</v>
      </c>
      <c r="BJ75" s="137">
        <f>_xll.xSPRDOPT($BW75,$BV75,$CG75,0,$BY75,$BX75,$BZ75,$AJ75,1,6)*$CB75</f>
        <v>5.9551899887785885E-7</v>
      </c>
      <c r="BK75" s="137">
        <f>_xll.xSPRDOPT($BW75,$BV75,$CG75,0,$BY75,$BX75,$BZ75,$AJ75,1,5)*$CB75</f>
        <v>-7.5365731877962061E-7</v>
      </c>
      <c r="BL75" s="137">
        <f>_xll.xSPRDOPT(BW75,BV75,CG75,0,BY75,BX75,BZ75,AJ75,1,2)*CB75</f>
        <v>-0.79475904896657623</v>
      </c>
      <c r="BM75" s="137">
        <f>_xll.xSPRDOPT(BW75,BV75,CG75,0,BY75,BX75,BZ75,AJ75,1,1)*CB75</f>
        <v>0.79475904896657623</v>
      </c>
      <c r="BN75" s="137">
        <f>IF(AH75&lt;&gt;0,_xll.xSPRDOPT($BW75,$BV75,$CG75,2*LN(1+CA75/2),$BY75,$BX75,$BZ75,$AJ75,1,8)+(AJ75/365.25)*CH75/AH75,0)</f>
        <v>-3.183736208344957</v>
      </c>
      <c r="BO75" s="137">
        <f>_xll.xSPRDOPT($BW75,$BV75,$CG75,0,$BY75,$BX75,$BZ75,$AJ75,1,0)</f>
        <v>0.89000009154348703</v>
      </c>
      <c r="BP75" s="137"/>
      <c r="BQ75" s="137"/>
      <c r="BR75" s="137"/>
      <c r="BS75" s="137"/>
      <c r="BV75" s="262">
        <v>3.3519999999999999</v>
      </c>
      <c r="BW75" s="136">
        <v>4.242</v>
      </c>
      <c r="BX75" s="137">
        <v>0.25008835824582315</v>
      </c>
      <c r="BY75" s="137">
        <v>0.25008835824582315</v>
      </c>
      <c r="BZ75" s="137">
        <v>1</v>
      </c>
      <c r="CA75" s="137">
        <v>5.1693198008315698E-2</v>
      </c>
      <c r="CB75" s="137">
        <v>0.79475896722761941</v>
      </c>
      <c r="CC75" s="258">
        <v>-0.05</v>
      </c>
      <c r="CD75" s="258">
        <v>0.01</v>
      </c>
      <c r="CE75" s="258">
        <v>0.85</v>
      </c>
      <c r="CF75" s="258">
        <v>0</v>
      </c>
      <c r="CG75" s="258">
        <v>0</v>
      </c>
      <c r="CH75" s="258">
        <v>0</v>
      </c>
      <c r="CI75" s="258">
        <v>3.3919999999999999</v>
      </c>
      <c r="CJ75" s="258"/>
      <c r="CK75" s="258"/>
      <c r="CL75" s="258"/>
      <c r="CM75" s="258"/>
    </row>
    <row r="76" spans="1:91" x14ac:dyDescent="0.25">
      <c r="A76" s="723"/>
      <c r="B76" s="723"/>
      <c r="D76" s="31">
        <f t="shared" si="87"/>
        <v>38913</v>
      </c>
      <c r="F76" s="28">
        <f t="shared" si="52"/>
        <v>252</v>
      </c>
      <c r="G76" s="28">
        <f t="shared" si="53"/>
        <v>199.24786624447466</v>
      </c>
      <c r="H76" s="52">
        <f t="shared" si="54"/>
        <v>3.3919999999999999</v>
      </c>
      <c r="I76" s="52">
        <f t="shared" si="55"/>
        <v>4.4820000000000002</v>
      </c>
      <c r="K76" s="52">
        <f t="shared" si="56"/>
        <v>26.716608731749211</v>
      </c>
      <c r="L76" s="135">
        <f t="shared" si="57"/>
        <v>2.7301536071888677E-6</v>
      </c>
      <c r="N76" s="131">
        <f t="shared" si="48"/>
        <v>0.25100885381510452</v>
      </c>
      <c r="O76" s="131">
        <f t="shared" si="49"/>
        <v>0.25100885381510452</v>
      </c>
      <c r="P76" s="55">
        <f t="shared" si="50"/>
        <v>0.99999999999999978</v>
      </c>
      <c r="Q76" s="135">
        <f>_xll.xSPRDOPT(I76,H76,AQ76,0,O76,N76,P76,D76-$G$5,1,0)*AH76*AU76</f>
        <v>26.716611461902819</v>
      </c>
      <c r="R76" s="135"/>
      <c r="S76" s="181">
        <f>_xll.xSPRDOPT(I76,H76,AQ76,AT76,O76,N76,P76,D76-$G$5,1,2)*AF76*(F76/(1-AR76))*AH76</f>
        <v>-6157.931804730797</v>
      </c>
      <c r="T76" s="181">
        <f>_xll.xSPRDOPT(I76,H76,AQ76,AT76,O76,N76,P76,D76-$G$5,1,1)*AF76*F76*AH76</f>
        <v>6157.9318046881672</v>
      </c>
      <c r="U76" s="135"/>
      <c r="V76" s="146">
        <f t="shared" si="58"/>
        <v>0</v>
      </c>
      <c r="W76" s="146"/>
      <c r="X76" s="338">
        <f t="shared" si="59"/>
        <v>0</v>
      </c>
      <c r="Y76" s="338">
        <f t="shared" si="60"/>
        <v>0</v>
      </c>
      <c r="Z76" s="338">
        <f t="shared" si="61"/>
        <v>2.8378452637350664</v>
      </c>
      <c r="AA76" s="338">
        <f t="shared" si="62"/>
        <v>-9.5874920102079032E-9</v>
      </c>
      <c r="AB76" s="338">
        <f t="shared" si="63"/>
        <v>0</v>
      </c>
      <c r="AC76" s="338">
        <f t="shared" si="64"/>
        <v>2.8745825887013585</v>
      </c>
      <c r="AF76" s="138">
        <f t="shared" si="65"/>
        <v>1</v>
      </c>
      <c r="AG76" s="138">
        <f t="shared" si="66"/>
        <v>7</v>
      </c>
      <c r="AH76" s="138">
        <f t="shared" si="67"/>
        <v>31</v>
      </c>
      <c r="AI76" s="138">
        <f t="shared" si="88"/>
        <v>1657</v>
      </c>
      <c r="AJ76" s="138">
        <f t="shared" si="68"/>
        <v>1674</v>
      </c>
      <c r="AL76" s="136">
        <f t="shared" si="69"/>
        <v>3.4319999999999999</v>
      </c>
      <c r="AM76" s="258">
        <f t="shared" si="70"/>
        <v>-0.05</v>
      </c>
      <c r="AN76" s="258">
        <f t="shared" si="71"/>
        <v>0.01</v>
      </c>
      <c r="AO76" s="258">
        <f t="shared" si="72"/>
        <v>1.05</v>
      </c>
      <c r="AP76" s="258">
        <f t="shared" si="73"/>
        <v>0</v>
      </c>
      <c r="AQ76" s="136">
        <f t="shared" si="74"/>
        <v>0</v>
      </c>
      <c r="AR76" s="137">
        <f t="shared" si="75"/>
        <v>0</v>
      </c>
      <c r="AS76" s="136">
        <f t="shared" si="76"/>
        <v>3.3919999999999999</v>
      </c>
      <c r="AT76" s="137">
        <f t="shared" si="77"/>
        <v>5.2004985721710598E-2</v>
      </c>
      <c r="AU76" s="137">
        <f t="shared" si="78"/>
        <v>0.7906661358907725</v>
      </c>
      <c r="AV76" s="394">
        <f t="shared" si="79"/>
        <v>0</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0</v>
      </c>
      <c r="BH76" s="137">
        <f>IF(OR(BF76&lt;&gt;0,BG76&lt;&gt;0),_xll.xSPRDOPT($BW76,$BV76,$CG76,0,$BY76,$BX76,$BZ76,$AJ76,1,12)*$CB76,0)</f>
        <v>-3.7686004295529476E-7</v>
      </c>
      <c r="BI76" s="137">
        <f>_xll.xSPRDOPT($BW76,$BV76,$CG76,2*LN(1+CA76/2),$BY76,$BX76,$BZ76,$AJ76,1,9)</f>
        <v>4.4227811169962154E-2</v>
      </c>
      <c r="BJ76" s="137">
        <f>_xll.xSPRDOPT($BW76,$BV76,$CG76,0,$BY76,$BX76,$BZ76,$AJ76,1,6)*$CB76</f>
        <v>6.1215344908420953E-7</v>
      </c>
      <c r="BK76" s="137">
        <f>_xll.xSPRDOPT($BW76,$BV76,$CG76,0,$BY76,$BX76,$BZ76,$AJ76,1,5)*$CB76</f>
        <v>-8.0887024664930227E-7</v>
      </c>
      <c r="BL76" s="137">
        <f>_xll.xSPRDOPT(BW76,BV76,CG76,0,BY76,BX76,BZ76,AJ76,1,2)*CB76</f>
        <v>-0.79033287352253878</v>
      </c>
      <c r="BM76" s="137">
        <f>_xll.xSPRDOPT(BW76,BV76,CG76,0,BY76,BX76,BZ76,AJ76,1,1)*CB76</f>
        <v>0.79033287352253878</v>
      </c>
      <c r="BN76" s="137">
        <f>IF(AH76&lt;&gt;0,_xll.xSPRDOPT($BW76,$BV76,$CG76,2*LN(1+CA76/2),$BY76,$BX76,$BZ76,$AJ76,1,8)+(AJ76/365.25)*CH76/AH76,0)</f>
        <v>-3.9482239042066398</v>
      </c>
      <c r="BO76" s="137">
        <f>_xll.xSPRDOPT($BW76,$BV76,$CG76,0,$BY76,$BX76,$BZ76,$AJ76,1,0)</f>
        <v>1.0900001113319897</v>
      </c>
      <c r="BP76" s="137"/>
      <c r="BQ76" s="137"/>
      <c r="BR76" s="137"/>
      <c r="BS76" s="137"/>
      <c r="BV76" s="262">
        <v>3.3919999999999999</v>
      </c>
      <c r="BW76" s="136">
        <v>4.4820000000000002</v>
      </c>
      <c r="BX76" s="137">
        <v>0.25100261501120846</v>
      </c>
      <c r="BY76" s="137">
        <v>0.25100261501120846</v>
      </c>
      <c r="BZ76" s="137">
        <v>1</v>
      </c>
      <c r="CA76" s="137">
        <v>5.2004985721710598E-2</v>
      </c>
      <c r="CB76" s="137">
        <v>0.79033279280378232</v>
      </c>
      <c r="CC76" s="258">
        <v>-0.05</v>
      </c>
      <c r="CD76" s="258">
        <v>0.01</v>
      </c>
      <c r="CE76" s="258">
        <v>1.05</v>
      </c>
      <c r="CF76" s="258">
        <v>0</v>
      </c>
      <c r="CG76" s="258">
        <v>0</v>
      </c>
      <c r="CH76" s="258">
        <v>0</v>
      </c>
      <c r="CI76" s="258">
        <v>3.4319999999999999</v>
      </c>
      <c r="CJ76" s="258"/>
      <c r="CK76" s="258"/>
      <c r="CL76" s="258"/>
      <c r="CM76" s="258"/>
    </row>
    <row r="77" spans="1:91" x14ac:dyDescent="0.25">
      <c r="A77" s="723"/>
      <c r="B77" s="723"/>
      <c r="D77" s="31">
        <f t="shared" si="87"/>
        <v>38944</v>
      </c>
      <c r="F77" s="28">
        <f t="shared" si="52"/>
        <v>252</v>
      </c>
      <c r="G77" s="28">
        <f t="shared" si="53"/>
        <v>198.09149863357263</v>
      </c>
      <c r="H77" s="52">
        <f t="shared" si="54"/>
        <v>3.4319999999999999</v>
      </c>
      <c r="I77" s="52">
        <f t="shared" si="55"/>
        <v>4.5220000000000002</v>
      </c>
      <c r="K77" s="52">
        <f t="shared" si="56"/>
        <v>26.561554519160399</v>
      </c>
      <c r="L77" s="135">
        <f t="shared" si="57"/>
        <v>2.6947384519360185E-6</v>
      </c>
      <c r="N77" s="131">
        <f t="shared" si="48"/>
        <v>0.25189542698197026</v>
      </c>
      <c r="O77" s="131">
        <f t="shared" si="49"/>
        <v>0.25189542698197026</v>
      </c>
      <c r="P77" s="55">
        <f t="shared" si="50"/>
        <v>1</v>
      </c>
      <c r="Q77" s="135">
        <f>_xll.xSPRDOPT(I77,H77,AQ77,0,O77,N77,P77,D77-$G$5,1,0)*AH77*AU77</f>
        <v>26.561557213898851</v>
      </c>
      <c r="R77" s="135"/>
      <c r="S77" s="181">
        <f>_xll.xSPRDOPT(I77,H77,AQ77,AT77,O77,N77,P77,D77-$G$5,1,2)*AF77*(F77/(1-AR77))*AH77</f>
        <v>-6121.6142693426373</v>
      </c>
      <c r="T77" s="181">
        <f>_xll.xSPRDOPT(I77,H77,AQ77,AT77,O77,N77,P77,D77-$G$5,1,1)*AF77*F77*AH77</f>
        <v>6121.6142693568472</v>
      </c>
      <c r="U77" s="135"/>
      <c r="V77" s="146">
        <f t="shared" si="58"/>
        <v>0</v>
      </c>
      <c r="W77" s="146"/>
      <c r="X77" s="338">
        <f t="shared" si="59"/>
        <v>0</v>
      </c>
      <c r="Y77" s="338">
        <f t="shared" si="60"/>
        <v>0</v>
      </c>
      <c r="Z77" s="338">
        <f t="shared" si="61"/>
        <v>2.8386232017555431</v>
      </c>
      <c r="AA77" s="338">
        <f t="shared" si="62"/>
        <v>-1.1955497468329714E-8</v>
      </c>
      <c r="AB77" s="338">
        <f t="shared" si="63"/>
        <v>0</v>
      </c>
      <c r="AC77" s="338">
        <f t="shared" si="64"/>
        <v>2.8755972847869846</v>
      </c>
      <c r="AF77" s="138">
        <f t="shared" si="65"/>
        <v>1</v>
      </c>
      <c r="AG77" s="138">
        <f t="shared" si="66"/>
        <v>8</v>
      </c>
      <c r="AH77" s="138">
        <f t="shared" si="67"/>
        <v>31</v>
      </c>
      <c r="AI77" s="138">
        <f t="shared" si="88"/>
        <v>1688</v>
      </c>
      <c r="AJ77" s="138">
        <f t="shared" si="68"/>
        <v>1705</v>
      </c>
      <c r="AL77" s="136">
        <f t="shared" si="69"/>
        <v>3.472</v>
      </c>
      <c r="AM77" s="258">
        <f t="shared" si="70"/>
        <v>-0.05</v>
      </c>
      <c r="AN77" s="258">
        <f t="shared" si="71"/>
        <v>0.01</v>
      </c>
      <c r="AO77" s="258">
        <f t="shared" si="72"/>
        <v>1.05</v>
      </c>
      <c r="AP77" s="258">
        <f t="shared" si="73"/>
        <v>0</v>
      </c>
      <c r="AQ77" s="136">
        <f t="shared" si="74"/>
        <v>0</v>
      </c>
      <c r="AR77" s="137">
        <f t="shared" si="75"/>
        <v>0</v>
      </c>
      <c r="AS77" s="136">
        <f t="shared" si="76"/>
        <v>3.4319999999999999</v>
      </c>
      <c r="AT77" s="137">
        <f t="shared" si="77"/>
        <v>5.2327166392949202E-2</v>
      </c>
      <c r="AU77" s="137">
        <f t="shared" si="78"/>
        <v>0.78607737553005008</v>
      </c>
      <c r="AV77" s="394">
        <f t="shared" si="79"/>
        <v>0</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1.1240157231811157E-6</v>
      </c>
      <c r="BG77" s="137">
        <f>_xll.xSPRDOPT($BW77,$BV77,$CG77,0,$BY77,$BX77,$BZ77,$AJ77,1,3)*$CB77</f>
        <v>1.1240157231811157E-6</v>
      </c>
      <c r="BH77" s="137">
        <f>IF(OR(BF77&lt;&gt;0,BG77&lt;&gt;0),_xll.xSPRDOPT($BW77,$BV77,$CG77,0,$BY77,$BX77,$BZ77,$AJ77,1,12)*$CB77,0)</f>
        <v>-1.311351677044635E-6</v>
      </c>
      <c r="BI77" s="137">
        <f>_xll.xSPRDOPT($BW77,$BV77,$CG77,2*LN(1+CA77/2),$BY77,$BX77,$BZ77,$AJ77,1,9)</f>
        <v>4.4239935332019635E-2</v>
      </c>
      <c r="BJ77" s="137">
        <f>_xll.xSPRDOPT($BW77,$BV77,$CG77,0,$BY77,$BX77,$BZ77,$AJ77,1,6)*$CB77</f>
        <v>6.2911006434711783E-7</v>
      </c>
      <c r="BK77" s="137">
        <f>_xll.xSPRDOPT($BW77,$BV77,$CG77,0,$BY77,$BX77,$BZ77,$AJ77,1,5)*$CB77</f>
        <v>-8.2890685129078418E-7</v>
      </c>
      <c r="BL77" s="137">
        <f>_xll.xSPRDOPT(BW77,BV77,CG77,0,BY77,BX77,BZ77,AJ77,1,2)*CB77</f>
        <v>-0.78574402031767254</v>
      </c>
      <c r="BM77" s="137">
        <f>_xll.xSPRDOPT(BW77,BV77,CG77,0,BY77,BX77,BZ77,AJ77,1,1)*CB77</f>
        <v>0.78574402032053103</v>
      </c>
      <c r="BN77" s="137">
        <f>IF(AH77&lt;&gt;0,_xll.xSPRDOPT($BW77,$BV77,$CG77,2*LN(1+CA77/2),$BY77,$BX77,$BZ77,$AJ77,1,8)+(AJ77/365.25)*CH77/AH77,0)</f>
        <v>-3.9979903478311476</v>
      </c>
      <c r="BO77" s="137">
        <f>_xll.xSPRDOPT($BW77,$BV77,$CG77,0,$BY77,$BX77,$BZ77,$AJ77,1,0)</f>
        <v>1.090000110528915</v>
      </c>
      <c r="BP77" s="137"/>
      <c r="BQ77" s="137"/>
      <c r="BR77" s="137"/>
      <c r="BS77" s="137"/>
      <c r="BV77" s="262">
        <v>3.4319999999999999</v>
      </c>
      <c r="BW77" s="136">
        <v>4.5220000000000002</v>
      </c>
      <c r="BX77" s="137">
        <v>0.25188776719101436</v>
      </c>
      <c r="BY77" s="137">
        <v>0.25188776719101436</v>
      </c>
      <c r="BZ77" s="137">
        <v>1</v>
      </c>
      <c r="CA77" s="137">
        <v>5.2327166392949202E-2</v>
      </c>
      <c r="CB77" s="137">
        <v>0.78574394063357444</v>
      </c>
      <c r="CC77" s="258">
        <v>-0.05</v>
      </c>
      <c r="CD77" s="258">
        <v>0.01</v>
      </c>
      <c r="CE77" s="258">
        <v>1.05</v>
      </c>
      <c r="CF77" s="258">
        <v>0</v>
      </c>
      <c r="CG77" s="258">
        <v>0</v>
      </c>
      <c r="CH77" s="258">
        <v>0</v>
      </c>
      <c r="CI77" s="258">
        <v>3.472</v>
      </c>
      <c r="CJ77" s="258"/>
      <c r="CK77" s="258"/>
      <c r="CL77" s="258"/>
      <c r="CM77" s="258"/>
    </row>
    <row r="78" spans="1:91" x14ac:dyDescent="0.25">
      <c r="A78" s="723"/>
      <c r="B78" s="723"/>
      <c r="D78" s="31">
        <f t="shared" si="87"/>
        <v>38975</v>
      </c>
      <c r="F78" s="28">
        <f t="shared" si="52"/>
        <v>252</v>
      </c>
      <c r="G78" s="28">
        <f t="shared" si="53"/>
        <v>196.93139170451232</v>
      </c>
      <c r="H78" s="52">
        <f t="shared" si="54"/>
        <v>3.4219999999999997</v>
      </c>
      <c r="I78" s="52">
        <f t="shared" si="55"/>
        <v>4.2170000000000005</v>
      </c>
      <c r="K78" s="52">
        <f t="shared" si="56"/>
        <v>18.638149572034219</v>
      </c>
      <c r="L78" s="135">
        <f t="shared" si="57"/>
        <v>1.8818813174448223E-6</v>
      </c>
      <c r="N78" s="131">
        <f t="shared" si="48"/>
        <v>0.251680618344995</v>
      </c>
      <c r="O78" s="131">
        <f t="shared" si="49"/>
        <v>0.251680618344995</v>
      </c>
      <c r="P78" s="55">
        <f t="shared" si="50"/>
        <v>1</v>
      </c>
      <c r="Q78" s="135">
        <f>_xll.xSPRDOPT(I78,H78,AQ78,0,O78,N78,P78,D78-$G$5,1,0)*AH78*AU78</f>
        <v>18.638151453915537</v>
      </c>
      <c r="R78" s="135"/>
      <c r="S78" s="181">
        <f>_xll.xSPRDOPT(I78,H78,AQ78,AT78,O78,N78,P78,D78-$G$5,1,2)*AF78*(F78/(1-AR78))*AH78</f>
        <v>-5888.8820530876546</v>
      </c>
      <c r="T78" s="181">
        <f>_xll.xSPRDOPT(I78,H78,AQ78,AT78,O78,N78,P78,D78-$G$5,1,1)*AF78*F78*AH78</f>
        <v>5888.8820530739031</v>
      </c>
      <c r="U78" s="135"/>
      <c r="V78" s="146">
        <f t="shared" si="58"/>
        <v>0</v>
      </c>
      <c r="W78" s="146"/>
      <c r="X78" s="338">
        <f t="shared" si="59"/>
        <v>0</v>
      </c>
      <c r="Y78" s="338">
        <f t="shared" si="60"/>
        <v>0</v>
      </c>
      <c r="Z78" s="338">
        <f t="shared" si="61"/>
        <v>2.0039527209540129</v>
      </c>
      <c r="AA78" s="338">
        <f t="shared" si="62"/>
        <v>-7.9759693078794346E-9</v>
      </c>
      <c r="AB78" s="338">
        <f t="shared" si="63"/>
        <v>0</v>
      </c>
      <c r="AC78" s="338">
        <f t="shared" si="64"/>
        <v>2.0302149485175827</v>
      </c>
      <c r="AF78" s="138">
        <f t="shared" si="65"/>
        <v>1</v>
      </c>
      <c r="AG78" s="138">
        <f t="shared" si="66"/>
        <v>9</v>
      </c>
      <c r="AH78" s="138">
        <f t="shared" si="67"/>
        <v>30</v>
      </c>
      <c r="AI78" s="138">
        <f t="shared" si="88"/>
        <v>1719</v>
      </c>
      <c r="AJ78" s="138">
        <f t="shared" si="68"/>
        <v>1736</v>
      </c>
      <c r="AL78" s="136">
        <f t="shared" si="69"/>
        <v>3.4670000000000001</v>
      </c>
      <c r="AM78" s="258">
        <f t="shared" si="70"/>
        <v>-5.5E-2</v>
      </c>
      <c r="AN78" s="258">
        <f t="shared" si="71"/>
        <v>0.01</v>
      </c>
      <c r="AO78" s="258">
        <f t="shared" si="72"/>
        <v>0.75</v>
      </c>
      <c r="AP78" s="258">
        <f t="shared" si="73"/>
        <v>0</v>
      </c>
      <c r="AQ78" s="136">
        <f t="shared" si="74"/>
        <v>0</v>
      </c>
      <c r="AR78" s="137">
        <f t="shared" si="75"/>
        <v>0</v>
      </c>
      <c r="AS78" s="136">
        <f t="shared" si="76"/>
        <v>3.4219999999999997</v>
      </c>
      <c r="AT78" s="137">
        <f t="shared" si="77"/>
        <v>5.2649347098806303E-2</v>
      </c>
      <c r="AU78" s="137">
        <f t="shared" si="78"/>
        <v>0.78147377660520767</v>
      </c>
      <c r="AV78" s="394">
        <f t="shared" si="79"/>
        <v>0</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5.5871506706106341E-7</v>
      </c>
      <c r="BG78" s="137">
        <f>_xll.xSPRDOPT($BW78,$BV78,$CG78,0,$BY78,$BX78,$BZ78,$AJ78,1,3)*$CB78</f>
        <v>5.5871506706106341E-7</v>
      </c>
      <c r="BH78" s="137">
        <f>IF(OR(BF78&lt;&gt;0,BG78&lt;&gt;0),_xll.xSPRDOPT($BW78,$BV78,$CG78,0,$BY78,$BX78,$BZ78,$AJ78,1,12)*$CB78,0)</f>
        <v>-2.7935753353053171E-7</v>
      </c>
      <c r="BI78" s="137">
        <f>_xll.xSPRDOPT($BW78,$BV78,$CG78,2*LN(1+CA78/2),$BY78,$BX78,$BZ78,$AJ78,1,9)</f>
        <v>3.227265129314167E-2</v>
      </c>
      <c r="BJ78" s="137">
        <f>_xll.xSPRDOPT($BW78,$BV78,$CG78,0,$BY78,$BX78,$BZ78,$AJ78,1,6)*$CB78</f>
        <v>6.342021759175684E-7</v>
      </c>
      <c r="BK78" s="137">
        <f>_xll.xSPRDOPT($BW78,$BV78,$CG78,0,$BY78,$BX78,$BZ78,$AJ78,1,5)*$CB78</f>
        <v>-7.8154045588019562E-7</v>
      </c>
      <c r="BL78" s="137">
        <f>_xll.xSPRDOPT(BW78,BV78,CG78,0,BY78,BX78,BZ78,AJ78,1,2)*CB78</f>
        <v>-0.78114035903656132</v>
      </c>
      <c r="BM78" s="137">
        <f>_xll.xSPRDOPT(BW78,BV78,CG78,0,BY78,BX78,BZ78,AJ78,1,1)*CB78</f>
        <v>0.78114035903798218</v>
      </c>
      <c r="BN78" s="137">
        <f>IF(AH78&lt;&gt;0,_xll.xSPRDOPT($BW78,$BV78,$CG78,2*LN(1+CA78/2),$BY78,$BX78,$BZ78,$AJ78,1,8)+(AJ78/365.25)*CH78/AH78,0)</f>
        <v>-2.951587768168165</v>
      </c>
      <c r="BO78" s="137">
        <f>_xll.xSPRDOPT($BW78,$BV78,$CG78,0,$BY78,$BX78,$BZ78,$AJ78,1,0)</f>
        <v>0.79500008023094149</v>
      </c>
      <c r="BP78" s="137"/>
      <c r="BQ78" s="137"/>
      <c r="BR78" s="137"/>
      <c r="BS78" s="137"/>
      <c r="BV78" s="262">
        <v>3.4219999999999997</v>
      </c>
      <c r="BW78" s="136">
        <v>4.2170000000000005</v>
      </c>
      <c r="BX78" s="137">
        <v>0.25167345779991812</v>
      </c>
      <c r="BY78" s="137">
        <v>0.25167345779991812</v>
      </c>
      <c r="BZ78" s="137">
        <v>1</v>
      </c>
      <c r="CA78" s="137">
        <v>5.2649347098806303E-2</v>
      </c>
      <c r="CB78" s="137">
        <v>0.78114028021149551</v>
      </c>
      <c r="CC78" s="258">
        <v>-5.5E-2</v>
      </c>
      <c r="CD78" s="258">
        <v>0.01</v>
      </c>
      <c r="CE78" s="258">
        <v>0.75</v>
      </c>
      <c r="CF78" s="258">
        <v>0</v>
      </c>
      <c r="CG78" s="258">
        <v>0</v>
      </c>
      <c r="CH78" s="258">
        <v>0</v>
      </c>
      <c r="CI78" s="258">
        <v>3.4670000000000001</v>
      </c>
      <c r="CJ78" s="258"/>
      <c r="CK78" s="258"/>
      <c r="CL78" s="258"/>
      <c r="CM78" s="258"/>
    </row>
    <row r="79" spans="1:91" x14ac:dyDescent="0.25">
      <c r="A79" s="723"/>
      <c r="B79" s="723"/>
      <c r="D79" s="31">
        <f t="shared" si="87"/>
        <v>39005</v>
      </c>
      <c r="F79" s="28">
        <f t="shared" si="52"/>
        <v>396</v>
      </c>
      <c r="G79" s="28">
        <f t="shared" si="53"/>
        <v>307.69402054993424</v>
      </c>
      <c r="H79" s="52">
        <f t="shared" si="54"/>
        <v>3.5444730077120816</v>
      </c>
      <c r="I79" s="52">
        <f t="shared" si="55"/>
        <v>3.9420000000000002</v>
      </c>
      <c r="K79" s="52">
        <f t="shared" si="56"/>
        <v>8.7707844587943473</v>
      </c>
      <c r="L79" s="135">
        <f t="shared" si="57"/>
        <v>2.1747963803164794E-6</v>
      </c>
      <c r="N79" s="131">
        <f t="shared" si="48"/>
        <v>0.25274596357326584</v>
      </c>
      <c r="O79" s="131">
        <f t="shared" si="49"/>
        <v>0.25274596357326584</v>
      </c>
      <c r="P79" s="55">
        <f t="shared" si="50"/>
        <v>1.0000000000000002</v>
      </c>
      <c r="Q79" s="135">
        <f>_xll.xSPRDOPT(I79,H79,AQ79,0,O79,N79,P79,D79-$G$5,1,0)*AH79*AU79</f>
        <v>8.7707866335907276</v>
      </c>
      <c r="R79" s="135"/>
      <c r="S79" s="181">
        <f>_xll.xSPRDOPT(I79,H79,AQ79,AT79,O79,N79,P79,D79-$G$5,1,2)*AF79*(F79/(1-AR79))*AH79</f>
        <v>-9775.6626532725022</v>
      </c>
      <c r="T79" s="181">
        <f>_xll.xSPRDOPT(I79,H79,AQ79,AT79,O79,N79,P79,D79-$G$5,1,1)*AF79*F79*AH79</f>
        <v>9506.8319303521675</v>
      </c>
      <c r="U79" s="135"/>
      <c r="V79" s="146">
        <f t="shared" si="58"/>
        <v>9.0399104628386375</v>
      </c>
      <c r="W79" s="146"/>
      <c r="X79" s="338">
        <f t="shared" si="59"/>
        <v>0</v>
      </c>
      <c r="Y79" s="338">
        <f t="shared" si="60"/>
        <v>0</v>
      </c>
      <c r="Z79" s="338">
        <f t="shared" si="61"/>
        <v>1.4905449779378064</v>
      </c>
      <c r="AA79" s="338">
        <f t="shared" si="62"/>
        <v>3.9083007834406778E-7</v>
      </c>
      <c r="AB79" s="338">
        <f t="shared" si="63"/>
        <v>0</v>
      </c>
      <c r="AC79" s="338">
        <f t="shared" si="64"/>
        <v>1.5102038972828631</v>
      </c>
      <c r="AF79" s="138">
        <f t="shared" si="65"/>
        <v>1</v>
      </c>
      <c r="AG79" s="138">
        <f t="shared" si="66"/>
        <v>10</v>
      </c>
      <c r="AH79" s="138">
        <f t="shared" si="67"/>
        <v>31</v>
      </c>
      <c r="AI79" s="138">
        <f t="shared" si="88"/>
        <v>1749</v>
      </c>
      <c r="AJ79" s="138">
        <f t="shared" si="68"/>
        <v>1766</v>
      </c>
      <c r="AL79" s="136">
        <f t="shared" si="69"/>
        <v>3.492</v>
      </c>
      <c r="AM79" s="258">
        <f t="shared" si="70"/>
        <v>-5.5E-2</v>
      </c>
      <c r="AN79" s="258">
        <f t="shared" si="71"/>
        <v>0.01</v>
      </c>
      <c r="AO79" s="258">
        <f t="shared" si="72"/>
        <v>0.45</v>
      </c>
      <c r="AP79" s="258">
        <f t="shared" si="73"/>
        <v>0</v>
      </c>
      <c r="AQ79" s="136">
        <f t="shared" si="74"/>
        <v>3.3399999999999999E-2</v>
      </c>
      <c r="AR79" s="137">
        <f t="shared" si="75"/>
        <v>2.75E-2</v>
      </c>
      <c r="AS79" s="136">
        <f t="shared" si="76"/>
        <v>3.4469999999999996</v>
      </c>
      <c r="AT79" s="137">
        <f t="shared" si="77"/>
        <v>5.2961134911624401E-2</v>
      </c>
      <c r="AU79" s="137">
        <f t="shared" si="78"/>
        <v>0.77700510239882381</v>
      </c>
      <c r="AV79" s="394">
        <f t="shared" si="79"/>
        <v>264.95873991799891</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-9.2586466696211999E-7</v>
      </c>
      <c r="BG79" s="137">
        <f>_xll.xSPRDOPT($BW79,$BV79,$CG79,0,$BY79,$BX79,$BZ79,$AJ79,1,3)*$CB79</f>
        <v>1.8517293339242399E-7</v>
      </c>
      <c r="BH79" s="137">
        <f>IF(OR(BF79&lt;&gt;0,BG79&lt;&gt;0),_xll.xSPRDOPT($BW79,$BV79,$CG79,0,$BY79,$BX79,$BZ79,$AJ79,1,12)*$CB79,0)</f>
        <v>-1.3887970004431799E-7</v>
      </c>
      <c r="BI79" s="137">
        <f>_xll.xSPRDOPT($BW79,$BV79,$CG79,2*LN(1+CA79/2),$BY79,$BX79,$BZ79,$AJ79,1,9)</f>
        <v>1.4782816150531763E-2</v>
      </c>
      <c r="BJ79" s="137">
        <f>_xll.xSPRDOPT($BW79,$BV79,$CG79,0,$BY79,$BX79,$BZ79,$AJ79,1,6)*$CB79</f>
        <v>-3.2214621458726074E-5</v>
      </c>
      <c r="BK79" s="137">
        <f>_xll.xSPRDOPT($BW79,$BV79,$CG79,0,$BY79,$BX79,$BZ79,$AJ79,1,5)*$CB79</f>
        <v>3.5827613937225054E-5</v>
      </c>
      <c r="BL79" s="137">
        <f>_xll.xSPRDOPT(BW79,BV79,CG79,0,BY79,BX79,BZ79,AJ79,1,2)*CB79</f>
        <v>-0.77667079920820348</v>
      </c>
      <c r="BM79" s="137">
        <f>_xll.xSPRDOPT(BW79,BV79,CG79,0,BY79,BX79,BZ79,AJ79,1,1)*CB79</f>
        <v>0.77667079921032256</v>
      </c>
      <c r="BN79" s="137">
        <f>IF(AH79&lt;&gt;0,_xll.xSPRDOPT($BW79,$BV79,$CG79,2*LN(1+CA79/2),$BY79,$BX79,$BZ79,$AJ79,1,8)+(AJ79/365.25)*CH79/AH79,0)</f>
        <v>4.1957000927624666E-2</v>
      </c>
      <c r="BO79" s="137">
        <f>_xll.xSPRDOPT($BW79,$BV79,$CG79,0,$BY79,$BX79,$BZ79,$AJ79,1,0)</f>
        <v>0.36412708353568946</v>
      </c>
      <c r="BP79" s="137"/>
      <c r="BQ79" s="137"/>
      <c r="BR79" s="137"/>
      <c r="BS79" s="137"/>
      <c r="BV79" s="262">
        <v>3.5444730077120816</v>
      </c>
      <c r="BW79" s="136">
        <v>3.9420000000000002</v>
      </c>
      <c r="BX79" s="137">
        <v>0.25273715178521644</v>
      </c>
      <c r="BY79" s="137">
        <v>0.25273715178521644</v>
      </c>
      <c r="BZ79" s="137">
        <v>1</v>
      </c>
      <c r="CA79" s="137">
        <v>5.2961134911624401E-2</v>
      </c>
      <c r="CB79" s="137">
        <v>0.77667157521957753</v>
      </c>
      <c r="CC79" s="258">
        <v>-5.5E-2</v>
      </c>
      <c r="CD79" s="258">
        <v>0.01</v>
      </c>
      <c r="CE79" s="258">
        <v>0.45</v>
      </c>
      <c r="CF79" s="258">
        <v>0</v>
      </c>
      <c r="CG79" s="258">
        <v>3.3399999999999999E-2</v>
      </c>
      <c r="CH79" s="258">
        <v>9.0360301075771314</v>
      </c>
      <c r="CI79" s="258">
        <v>3.492</v>
      </c>
      <c r="CJ79" s="258"/>
      <c r="CK79" s="258"/>
      <c r="CL79" s="258"/>
      <c r="CM79" s="258"/>
    </row>
    <row r="80" spans="1:91" x14ac:dyDescent="0.25">
      <c r="A80" s="723"/>
      <c r="B80" s="723"/>
      <c r="D80" s="31">
        <f t="shared" si="87"/>
        <v>39036</v>
      </c>
      <c r="F80" s="28">
        <f t="shared" si="52"/>
        <v>396</v>
      </c>
      <c r="G80" s="28">
        <f t="shared" si="53"/>
        <v>305.86010722399305</v>
      </c>
      <c r="H80" s="52">
        <f t="shared" si="54"/>
        <v>3.7136246786632392</v>
      </c>
      <c r="I80" s="52">
        <f t="shared" si="55"/>
        <v>4.0940000000000003</v>
      </c>
      <c r="K80" s="52">
        <f t="shared" si="56"/>
        <v>8.0398415900106972</v>
      </c>
      <c r="L80" s="135">
        <f t="shared" si="57"/>
        <v>3.8671474325013833E-6</v>
      </c>
      <c r="N80" s="131">
        <f t="shared" si="48"/>
        <v>0.25708471122670462</v>
      </c>
      <c r="O80" s="131">
        <f t="shared" si="49"/>
        <v>0.25708471122670462</v>
      </c>
      <c r="P80" s="55">
        <f t="shared" si="50"/>
        <v>1</v>
      </c>
      <c r="Q80" s="135">
        <f>_xll.xSPRDOPT(I80,H80,AQ80,0,O80,N80,P80,D80-$G$5,1,0)*AH80*AU80</f>
        <v>8.0398454571581297</v>
      </c>
      <c r="R80" s="135"/>
      <c r="S80" s="181">
        <f>_xll.xSPRDOPT(I80,H80,AQ80,AT80,O80,N80,P80,D80-$G$5,1,2)*AF80*(F80/(1-AR80))*AH80</f>
        <v>-9402.9780114073328</v>
      </c>
      <c r="T80" s="181">
        <f>_xll.xSPRDOPT(I80,H80,AQ80,AT80,O80,N80,P80,D80-$G$5,1,1)*AF80*F80*AH80</f>
        <v>9144.3961161260449</v>
      </c>
      <c r="U80" s="135"/>
      <c r="V80" s="146">
        <f t="shared" si="58"/>
        <v>8.6961589576639859</v>
      </c>
      <c r="W80" s="146"/>
      <c r="X80" s="338">
        <f t="shared" si="59"/>
        <v>0</v>
      </c>
      <c r="Y80" s="338">
        <f t="shared" si="60"/>
        <v>0</v>
      </c>
      <c r="Z80" s="338">
        <f t="shared" si="61"/>
        <v>1.3745090083786831</v>
      </c>
      <c r="AA80" s="338">
        <f t="shared" si="62"/>
        <v>1.8614704681342868E-6</v>
      </c>
      <c r="AB80" s="338">
        <f t="shared" si="63"/>
        <v>0</v>
      </c>
      <c r="AC80" s="338">
        <f t="shared" si="64"/>
        <v>1.3927641611125239</v>
      </c>
      <c r="AF80" s="138">
        <f t="shared" si="65"/>
        <v>1</v>
      </c>
      <c r="AG80" s="138">
        <f t="shared" si="66"/>
        <v>11</v>
      </c>
      <c r="AH80" s="138">
        <f t="shared" si="67"/>
        <v>30</v>
      </c>
      <c r="AI80" s="138">
        <f t="shared" si="88"/>
        <v>1780</v>
      </c>
      <c r="AJ80" s="138">
        <f t="shared" si="68"/>
        <v>1797</v>
      </c>
      <c r="AL80" s="136">
        <f t="shared" si="69"/>
        <v>3.6440000000000001</v>
      </c>
      <c r="AM80" s="258">
        <f t="shared" si="70"/>
        <v>-4.4999999999999998E-2</v>
      </c>
      <c r="AN80" s="258">
        <f t="shared" si="71"/>
        <v>1.2500000000000001E-2</v>
      </c>
      <c r="AO80" s="258">
        <f t="shared" si="72"/>
        <v>0.45</v>
      </c>
      <c r="AP80" s="258">
        <f t="shared" si="73"/>
        <v>0</v>
      </c>
      <c r="AQ80" s="136">
        <f t="shared" si="74"/>
        <v>3.3399999999999999E-2</v>
      </c>
      <c r="AR80" s="137">
        <f t="shared" si="75"/>
        <v>2.75E-2</v>
      </c>
      <c r="AS80" s="136">
        <f t="shared" si="76"/>
        <v>3.6115000000000004</v>
      </c>
      <c r="AT80" s="137">
        <f t="shared" si="77"/>
        <v>5.3283315685584802E-2</v>
      </c>
      <c r="AU80" s="137">
        <f t="shared" si="78"/>
        <v>0.77237400814139667</v>
      </c>
      <c r="AV80" s="394">
        <f t="shared" si="79"/>
        <v>254.88342268666091</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-3.6813758787767732E-7</v>
      </c>
      <c r="BG80" s="137">
        <f>_xll.xSPRDOPT($BW80,$BV80,$CG80,0,$BY80,$BX80,$BZ80,$AJ80,1,3)*$CB80</f>
        <v>-2.7610319090825799E-7</v>
      </c>
      <c r="BH80" s="137">
        <f>IF(OR(BF80&lt;&gt;0,BG80&lt;&gt;0),_xll.xSPRDOPT($BW80,$BV80,$CG80,0,$BY80,$BX80,$BZ80,$AJ80,1,12)*$CB80,0)</f>
        <v>4.6017198484709665E-8</v>
      </c>
      <c r="BI80" s="137">
        <f>_xll.xSPRDOPT($BW80,$BV80,$CG80,2*LN(1+CA80/2),$BY80,$BX80,$BZ80,$AJ80,1,9)</f>
        <v>1.408640334765191E-2</v>
      </c>
      <c r="BJ80" s="137">
        <f>_xll.xSPRDOPT($BW80,$BV80,$CG80,0,$BY80,$BX80,$BZ80,$AJ80,1,6)*$CB80</f>
        <v>-9.7470730667656858E-5</v>
      </c>
      <c r="BK80" s="137">
        <f>_xll.xSPRDOPT($BW80,$BV80,$CG80,0,$BY80,$BX80,$BZ80,$AJ80,1,5)*$CB80</f>
        <v>1.0745434995652726E-4</v>
      </c>
      <c r="BL80" s="137">
        <f>_xll.xSPRDOPT(BW80,BV80,CG80,0,BY80,BX80,BZ80,AJ80,1,2)*CB80</f>
        <v>-0.77203803100845603</v>
      </c>
      <c r="BM80" s="137">
        <f>_xll.xSPRDOPT(BW80,BV80,CG80,0,BY80,BX80,BZ80,AJ80,1,1)*CB80</f>
        <v>0.77203803101126467</v>
      </c>
      <c r="BN80" s="137">
        <f>IF(AH80&lt;&gt;0,_xll.xSPRDOPT($BW80,$BV80,$CG80,2*LN(1+CA80/2),$BY80,$BX80,$BZ80,$AJ80,1,8)+(AJ80/365.25)*CH80/AH80,0)</f>
        <v>0.10758712865724962</v>
      </c>
      <c r="BO80" s="137">
        <f>_xll.xSPRDOPT($BW80,$BV80,$CG80,0,$BY80,$BX80,$BZ80,$AJ80,1,0)</f>
        <v>0.34697549080701312</v>
      </c>
      <c r="BP80" s="137"/>
      <c r="BQ80" s="137"/>
      <c r="BR80" s="137"/>
      <c r="BS80" s="137"/>
      <c r="BV80" s="262">
        <v>3.7136246786632392</v>
      </c>
      <c r="BW80" s="136">
        <v>4.0940000000000003</v>
      </c>
      <c r="BX80" s="137">
        <v>0.25706901657441361</v>
      </c>
      <c r="BY80" s="137">
        <v>0.25706901657441361</v>
      </c>
      <c r="BZ80" s="137">
        <v>1</v>
      </c>
      <c r="CA80" s="137">
        <v>5.3283315685584802E-2</v>
      </c>
      <c r="CB80" s="137">
        <v>0.77204047869284675</v>
      </c>
      <c r="CC80" s="258">
        <v>-4.4999999999999998E-2</v>
      </c>
      <c r="CD80" s="258">
        <v>1.2500000000000001E-2</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87"/>
        <v>39066</v>
      </c>
      <c r="F81" s="28">
        <f t="shared" si="52"/>
        <v>396</v>
      </c>
      <c r="G81" s="28">
        <f t="shared" si="53"/>
        <v>304.08040688444532</v>
      </c>
      <c r="H81" s="52">
        <f t="shared" si="54"/>
        <v>3.8606683804627249</v>
      </c>
      <c r="I81" s="52">
        <f t="shared" si="55"/>
        <v>4.1870000000000003</v>
      </c>
      <c r="K81" s="52">
        <f t="shared" si="56"/>
        <v>6.9730246156682867</v>
      </c>
      <c r="L81" s="135">
        <f t="shared" si="57"/>
        <v>1.6838135900698603E-5</v>
      </c>
      <c r="N81" s="131">
        <f t="shared" si="48"/>
        <v>0.26311016393816972</v>
      </c>
      <c r="O81" s="131">
        <f t="shared" si="49"/>
        <v>0.26311016393816972</v>
      </c>
      <c r="P81" s="55">
        <f t="shared" si="50"/>
        <v>0.99999999999999978</v>
      </c>
      <c r="Q81" s="135">
        <f>_xll.xSPRDOPT(I81,H81,AQ81,0,O81,N81,P81,D81-$G$5,1,0)*AH81*AU81</f>
        <v>6.9730414538041874</v>
      </c>
      <c r="R81" s="135"/>
      <c r="S81" s="181">
        <f>_xll.xSPRDOPT(I81,H81,AQ81,AT81,O81,N81,P81,D81-$G$5,1,2)*AF81*(F81/(1-AR81))*AH81</f>
        <v>-9658.872946028192</v>
      </c>
      <c r="T81" s="181">
        <f>_xll.xSPRDOPT(I81,H81,AQ81,AT81,O81,N81,P81,D81-$G$5,1,1)*AF81*F81*AH81</f>
        <v>9393.2539399621746</v>
      </c>
      <c r="U81" s="135"/>
      <c r="V81" s="146">
        <f t="shared" si="58"/>
        <v>8.9337441358982392</v>
      </c>
      <c r="W81" s="146"/>
      <c r="X81" s="338">
        <f t="shared" si="59"/>
        <v>0</v>
      </c>
      <c r="Y81" s="338">
        <f t="shared" si="60"/>
        <v>0</v>
      </c>
      <c r="Z81" s="338">
        <f t="shared" si="61"/>
        <v>1.1989687708789822</v>
      </c>
      <c r="AA81" s="338">
        <f t="shared" si="62"/>
        <v>6.9838383884038347E-6</v>
      </c>
      <c r="AB81" s="338">
        <f t="shared" si="63"/>
        <v>0</v>
      </c>
      <c r="AC81" s="338">
        <f t="shared" si="64"/>
        <v>1.2150241876805528</v>
      </c>
      <c r="AF81" s="138">
        <f t="shared" si="65"/>
        <v>1</v>
      </c>
      <c r="AG81" s="138">
        <f t="shared" si="66"/>
        <v>12</v>
      </c>
      <c r="AH81" s="138">
        <f t="shared" si="67"/>
        <v>31</v>
      </c>
      <c r="AI81" s="138">
        <f t="shared" si="88"/>
        <v>1810</v>
      </c>
      <c r="AJ81" s="138">
        <f t="shared" si="68"/>
        <v>1827</v>
      </c>
      <c r="AL81" s="136">
        <f t="shared" si="69"/>
        <v>3.7869999999999999</v>
      </c>
      <c r="AM81" s="258">
        <f t="shared" si="70"/>
        <v>-4.4999999999999998E-2</v>
      </c>
      <c r="AN81" s="258">
        <f t="shared" si="71"/>
        <v>1.2500000000000001E-2</v>
      </c>
      <c r="AO81" s="258">
        <f t="shared" si="72"/>
        <v>0.4</v>
      </c>
      <c r="AP81" s="258">
        <f t="shared" si="73"/>
        <v>0</v>
      </c>
      <c r="AQ81" s="136">
        <f t="shared" si="74"/>
        <v>3.3399999999999999E-2</v>
      </c>
      <c r="AR81" s="137">
        <f t="shared" si="75"/>
        <v>2.75E-2</v>
      </c>
      <c r="AS81" s="136">
        <f t="shared" si="76"/>
        <v>3.7545000000000002</v>
      </c>
      <c r="AT81" s="137">
        <f t="shared" si="77"/>
        <v>5.3595103564298502E-2</v>
      </c>
      <c r="AU81" s="137">
        <f t="shared" si="78"/>
        <v>0.76787981536476091</v>
      </c>
      <c r="AV81" s="394">
        <f t="shared" si="79"/>
        <v>261.84701703938345</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-7.319892045665859E-7</v>
      </c>
      <c r="BG81" s="137">
        <f>_xll.xSPRDOPT($BW81,$BV81,$CG81,0,$BY81,$BX81,$BZ81,$AJ81,1,3)*$CB81</f>
        <v>-1.8299730114164648E-7</v>
      </c>
      <c r="BH81" s="137">
        <f>IF(OR(BF81&lt;&gt;0,BG81&lt;&gt;0),_xll.xSPRDOPT($BW81,$BV81,$CG81,0,$BY81,$BX81,$BZ81,$AJ81,1,12)*$CB81,0)</f>
        <v>4.574932528541162E-7</v>
      </c>
      <c r="BI81" s="137">
        <f>_xll.xSPRDOPT($BW81,$BV81,$CG81,2*LN(1+CA81/2),$BY81,$BX81,$BZ81,$AJ81,1,9)</f>
        <v>1.1891043324740639E-2</v>
      </c>
      <c r="BJ81" s="137">
        <f>_xll.xSPRDOPT($BW81,$BV81,$CG81,0,$BY81,$BX81,$BZ81,$AJ81,1,6)*$CB81</f>
        <v>-2.708099090171163E-4</v>
      </c>
      <c r="BK81" s="137">
        <f>_xll.xSPRDOPT($BW81,$BV81,$CG81,0,$BY81,$BX81,$BZ81,$AJ81,1,5)*$CB81</f>
        <v>2.9370072113127349E-4</v>
      </c>
      <c r="BL81" s="137">
        <f>_xll.xSPRDOPT(BW81,BV81,CG81,0,BY81,BX81,BZ81,AJ81,1,2)*CB81</f>
        <v>-0.76753941164461448</v>
      </c>
      <c r="BM81" s="137">
        <f>_xll.xSPRDOPT(BW81,BV81,CG81,0,BY81,BX81,BZ81,AJ81,1,1)*CB81</f>
        <v>0.76753941164321837</v>
      </c>
      <c r="BN81" s="137">
        <f>IF(AH81&lt;&gt;0,_xll.xSPRDOPT($BW81,$BV81,$CG81,2*LN(1+CA81/2),$BY81,$BX81,$BZ81,$AJ81,1,8)+(AJ81/365.25)*CH81/AH81,0)</f>
        <v>0.31623481400519138</v>
      </c>
      <c r="BO81" s="137">
        <f>_xll.xSPRDOPT($BW81,$BV81,$CG81,0,$BY81,$BX81,$BZ81,$AJ81,1,0)</f>
        <v>0.29293233260404716</v>
      </c>
      <c r="BP81" s="137"/>
      <c r="BQ81" s="137"/>
      <c r="BR81" s="137"/>
      <c r="BS81" s="137"/>
      <c r="BV81" s="262">
        <v>3.8606683804627249</v>
      </c>
      <c r="BW81" s="136">
        <v>4.1870000000000003</v>
      </c>
      <c r="BX81" s="137">
        <v>0.26308531109379124</v>
      </c>
      <c r="BY81" s="137">
        <v>0.26308531109379124</v>
      </c>
      <c r="BZ81" s="137">
        <v>1</v>
      </c>
      <c r="CA81" s="137">
        <v>5.3595103564298502E-2</v>
      </c>
      <c r="CB81" s="137">
        <v>0.76754631216761238</v>
      </c>
      <c r="CC81" s="258">
        <v>-4.4999999999999998E-2</v>
      </c>
      <c r="CD81" s="258">
        <v>1.2500000000000001E-2</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87"/>
        <v>39097</v>
      </c>
      <c r="F82" s="28">
        <f t="shared" si="52"/>
        <v>396</v>
      </c>
      <c r="G82" s="28">
        <f t="shared" si="53"/>
        <v>302.32977541164911</v>
      </c>
      <c r="H82" s="52">
        <f t="shared" si="54"/>
        <v>3.9146529562982009</v>
      </c>
      <c r="I82" s="52">
        <f t="shared" si="55"/>
        <v>4.1894999999999998</v>
      </c>
      <c r="K82" s="52">
        <f t="shared" si="56"/>
        <v>5.7143826903568602</v>
      </c>
      <c r="L82" s="135">
        <f t="shared" si="57"/>
        <v>6.192759745182741E-5</v>
      </c>
      <c r="N82" s="131">
        <f t="shared" si="48"/>
        <v>0.26285711475899531</v>
      </c>
      <c r="O82" s="131">
        <f t="shared" si="49"/>
        <v>0.26285711475899531</v>
      </c>
      <c r="P82" s="55">
        <f t="shared" si="50"/>
        <v>1.0000000000000002</v>
      </c>
      <c r="Q82" s="135">
        <f>_xll.xSPRDOPT(I82,H82,AQ82,0,O82,N82,P82,D82-$G$5,1,0)*AH82*AU82</f>
        <v>5.714444617954312</v>
      </c>
      <c r="R82" s="135"/>
      <c r="S82" s="181">
        <f>_xll.xSPRDOPT(I82,H82,AQ82,AT82,O82,N82,P82,D82-$G$5,1,2)*AF82*(F82/(1-AR82))*AH82</f>
        <v>-9601.7811192956979</v>
      </c>
      <c r="T82" s="181">
        <f>_xll.xSPRDOPT(I82,H82,AQ82,AT82,O82,N82,P82,D82-$G$5,1,1)*AF82*F82*AH82</f>
        <v>9337.7321383643357</v>
      </c>
      <c r="U82" s="135"/>
      <c r="V82" s="146">
        <f t="shared" si="58"/>
        <v>8.8823113789690655</v>
      </c>
      <c r="W82" s="146"/>
      <c r="X82" s="338">
        <f t="shared" si="59"/>
        <v>0</v>
      </c>
      <c r="Y82" s="338">
        <f t="shared" si="60"/>
        <v>0</v>
      </c>
      <c r="Z82" s="338">
        <f t="shared" si="61"/>
        <v>0.98696372587949999</v>
      </c>
      <c r="AA82" s="338">
        <f t="shared" si="62"/>
        <v>3.9167610837961226E-5</v>
      </c>
      <c r="AB82" s="338">
        <f t="shared" si="63"/>
        <v>0</v>
      </c>
      <c r="AC82" s="338">
        <f t="shared" si="64"/>
        <v>1.0005432359312103</v>
      </c>
      <c r="AF82" s="138">
        <f t="shared" si="65"/>
        <v>1</v>
      </c>
      <c r="AG82" s="138">
        <f t="shared" si="66"/>
        <v>1</v>
      </c>
      <c r="AH82" s="138">
        <f t="shared" si="67"/>
        <v>31</v>
      </c>
      <c r="AI82" s="138">
        <f t="shared" si="88"/>
        <v>1841</v>
      </c>
      <c r="AJ82" s="138">
        <f t="shared" si="68"/>
        <v>1858</v>
      </c>
      <c r="AL82" s="136">
        <f t="shared" si="69"/>
        <v>3.8395000000000001</v>
      </c>
      <c r="AM82" s="258">
        <f t="shared" si="70"/>
        <v>-4.4999999999999998E-2</v>
      </c>
      <c r="AN82" s="258">
        <f t="shared" si="71"/>
        <v>1.2500000000000001E-2</v>
      </c>
      <c r="AO82" s="258">
        <f t="shared" si="72"/>
        <v>0.35</v>
      </c>
      <c r="AP82" s="258">
        <f t="shared" si="73"/>
        <v>0</v>
      </c>
      <c r="AQ82" s="136">
        <f t="shared" si="74"/>
        <v>3.3399999999999999E-2</v>
      </c>
      <c r="AR82" s="137">
        <f t="shared" si="75"/>
        <v>2.75E-2</v>
      </c>
      <c r="AS82" s="136">
        <f t="shared" si="76"/>
        <v>3.8070000000000004</v>
      </c>
      <c r="AT82" s="137">
        <f t="shared" si="77"/>
        <v>5.38548873933569E-2</v>
      </c>
      <c r="AU82" s="137">
        <f t="shared" si="78"/>
        <v>0.76345902881729577</v>
      </c>
      <c r="AV82" s="394">
        <f t="shared" si="79"/>
        <v>260.33952882669786</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1.0461744533859029E-6</v>
      </c>
      <c r="BG82" s="137">
        <f>_xll.xSPRDOPT($BW82,$BV82,$CG82,0,$BY82,$BX82,$BZ82,$AJ82,1,3)*$CB82</f>
        <v>9.5520276178712881E-7</v>
      </c>
      <c r="BH82" s="137">
        <f>IF(OR(BF82&lt;&gt;0,BG82&lt;&gt;0),_xll.xSPRDOPT($BW82,$BV82,$CG82,0,$BY82,$BX82,$BZ82,$AJ82,1,12)*$CB82,0)</f>
        <v>-6.8228768699080631E-8</v>
      </c>
      <c r="BI82" s="137">
        <f>_xll.xSPRDOPT($BW82,$BV82,$CG82,2*LN(1+CA82/2),$BY82,$BX82,$BZ82,$AJ82,1,9)</f>
        <v>9.7884354533910971E-3</v>
      </c>
      <c r="BJ82" s="137">
        <f>_xll.xSPRDOPT($BW82,$BV82,$CG82,0,$BY82,$BX82,$BZ82,$AJ82,1,6)*$CB82</f>
        <v>-1.8892673386943849E-3</v>
      </c>
      <c r="BK82" s="137">
        <f>_xll.xSPRDOPT($BW82,$BV82,$CG82,0,$BY82,$BX82,$BZ82,$AJ82,1,5)*$CB82</f>
        <v>2.0219124312750351E-3</v>
      </c>
      <c r="BL82" s="137">
        <f>_xll.xSPRDOPT(BW82,BV82,CG82,0,BY82,BX82,BZ82,AJ82,1,2)*CB82</f>
        <v>-0.76307314612272936</v>
      </c>
      <c r="BM82" s="137">
        <f>_xll.xSPRDOPT(BW82,BV82,CG82,0,BY82,BX82,BZ82,AJ82,1,1)*CB82</f>
        <v>0.76307314611127741</v>
      </c>
      <c r="BN82" s="137">
        <f>IF(AH82&lt;&gt;0,_xll.xSPRDOPT($BW82,$BV82,$CG82,2*LN(1+CA82/2),$BY82,$BX82,$BZ82,$AJ82,1,8)+(AJ82/365.25)*CH82/AH82,0)</f>
        <v>0.51960225502085855</v>
      </c>
      <c r="BO82" s="137">
        <f>_xll.xSPRDOPT($BW82,$BV82,$CG82,0,$BY82,$BX82,$BZ82,$AJ82,1,0)</f>
        <v>0.24144969304499389</v>
      </c>
      <c r="BP82" s="137"/>
      <c r="BQ82" s="137"/>
      <c r="BR82" s="137"/>
      <c r="BS82" s="137"/>
      <c r="BV82" s="262">
        <v>3.9146529562982009</v>
      </c>
      <c r="BW82" s="136">
        <v>4.1894999999999998</v>
      </c>
      <c r="BX82" s="137">
        <v>0.26283306121828259</v>
      </c>
      <c r="BY82" s="137">
        <v>0.26283306121828259</v>
      </c>
      <c r="BZ82" s="137">
        <v>1</v>
      </c>
      <c r="CA82" s="137">
        <v>5.38548873933569E-2</v>
      </c>
      <c r="CB82" s="137">
        <v>0.76312585991900983</v>
      </c>
      <c r="CC82" s="258">
        <v>-4.4999999999999998E-2</v>
      </c>
      <c r="CD82" s="258">
        <v>1.2500000000000001E-2</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87"/>
        <v>39128</v>
      </c>
      <c r="F83" s="28">
        <f t="shared" si="52"/>
        <v>396</v>
      </c>
      <c r="G83" s="28">
        <f t="shared" si="53"/>
        <v>0</v>
      </c>
      <c r="H83" s="52">
        <f t="shared" si="54"/>
        <v>3.8272493573264783</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-4.4999999999999998E-2</v>
      </c>
      <c r="AN83" s="258">
        <f t="shared" si="71"/>
        <v>1.2500000000000001E-2</v>
      </c>
      <c r="AO83" s="258">
        <f t="shared" si="72"/>
        <v>0.35</v>
      </c>
      <c r="AP83" s="258">
        <f t="shared" si="73"/>
        <v>0</v>
      </c>
      <c r="AQ83" s="136">
        <f t="shared" si="74"/>
        <v>3.3399999999999999E-2</v>
      </c>
      <c r="AR83" s="137">
        <f t="shared" si="75"/>
        <v>2.75E-2</v>
      </c>
      <c r="AS83" s="136">
        <f t="shared" si="76"/>
        <v>3.7220000000000004</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-2.9834014907667412E-2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1.3287891955131295</v>
      </c>
      <c r="BP83" s="137"/>
      <c r="BQ83" s="137"/>
      <c r="BR83" s="137"/>
      <c r="BS83" s="137"/>
      <c r="BV83" s="262">
        <v>3.8272493573264783</v>
      </c>
      <c r="BW83" s="136">
        <v>4.1044999999999998</v>
      </c>
      <c r="BX83" s="137">
        <v>0.24249999999999999</v>
      </c>
      <c r="BY83" s="137">
        <v>0.24249999999999999</v>
      </c>
      <c r="BZ83" s="137">
        <v>0</v>
      </c>
      <c r="CA83" s="137">
        <v>5.4038903438607302E-2</v>
      </c>
      <c r="CB83" s="137">
        <v>0</v>
      </c>
      <c r="CC83" s="258">
        <v>-4.4999999999999998E-2</v>
      </c>
      <c r="CD83" s="258">
        <v>1.2500000000000001E-2</v>
      </c>
      <c r="CE83" s="258">
        <v>0.35</v>
      </c>
      <c r="CF83" s="258">
        <v>0</v>
      </c>
      <c r="CG83" s="258">
        <v>3.3399999999999999E-2</v>
      </c>
      <c r="CH83" s="258">
        <v>0</v>
      </c>
      <c r="CI83" s="258">
        <v>3.7545000000000002</v>
      </c>
      <c r="CJ83" s="258"/>
      <c r="CK83" s="258"/>
      <c r="CL83" s="258"/>
      <c r="CM83" s="258"/>
    </row>
    <row r="84" spans="1:91" x14ac:dyDescent="0.25">
      <c r="A84" s="723"/>
      <c r="B84" s="723"/>
      <c r="D84" s="31">
        <f t="shared" si="87"/>
        <v>39128</v>
      </c>
      <c r="F84" s="28">
        <f t="shared" si="52"/>
        <v>396</v>
      </c>
      <c r="G84" s="28">
        <f t="shared" si="53"/>
        <v>0</v>
      </c>
      <c r="H84" s="52">
        <f t="shared" si="54"/>
        <v>3.8272493573264783</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-4.4999999999999998E-2</v>
      </c>
      <c r="AN84" s="258">
        <f t="shared" si="71"/>
        <v>1.2500000000000001E-2</v>
      </c>
      <c r="AO84" s="258">
        <f t="shared" si="72"/>
        <v>0.35</v>
      </c>
      <c r="AP84" s="258">
        <f t="shared" si="73"/>
        <v>0</v>
      </c>
      <c r="AQ84" s="136">
        <f t="shared" si="74"/>
        <v>3.3399999999999999E-2</v>
      </c>
      <c r="AR84" s="137">
        <f t="shared" si="75"/>
        <v>2.75E-2</v>
      </c>
      <c r="AS84" s="136">
        <f t="shared" si="76"/>
        <v>3.7220000000000004</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-2.9834014907667412E-2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1.3287891955131295</v>
      </c>
      <c r="BP84" s="137"/>
      <c r="BQ84" s="137"/>
      <c r="BR84" s="137"/>
      <c r="BS84" s="137"/>
      <c r="BV84" s="262">
        <v>3.8272493573264783</v>
      </c>
      <c r="BW84" s="136">
        <v>4.1044999999999998</v>
      </c>
      <c r="BX84" s="137">
        <v>0.24249999999999999</v>
      </c>
      <c r="BY84" s="137">
        <v>0.24249999999999999</v>
      </c>
      <c r="BZ84" s="137">
        <v>0</v>
      </c>
      <c r="CA84" s="137">
        <v>5.4038903438607302E-2</v>
      </c>
      <c r="CB84" s="137">
        <v>0</v>
      </c>
      <c r="CC84" s="258">
        <v>-4.4999999999999998E-2</v>
      </c>
      <c r="CD84" s="258">
        <v>1.2500000000000001E-2</v>
      </c>
      <c r="CE84" s="258">
        <v>0.35</v>
      </c>
      <c r="CF84" s="258">
        <v>0</v>
      </c>
      <c r="CG84" s="258">
        <v>3.3399999999999999E-2</v>
      </c>
      <c r="CH84" s="258">
        <v>0</v>
      </c>
      <c r="CI84" s="258">
        <v>3.7545000000000002</v>
      </c>
      <c r="CJ84" s="258"/>
      <c r="CK84" s="258"/>
      <c r="CL84" s="258"/>
      <c r="CM84" s="258"/>
    </row>
    <row r="85" spans="1:91" x14ac:dyDescent="0.25">
      <c r="A85" s="723"/>
      <c r="B85" s="723"/>
      <c r="D85" s="31">
        <f t="shared" si="87"/>
        <v>39128</v>
      </c>
      <c r="F85" s="28">
        <f t="shared" si="52"/>
        <v>396</v>
      </c>
      <c r="G85" s="28">
        <f t="shared" si="53"/>
        <v>0</v>
      </c>
      <c r="H85" s="52">
        <f t="shared" si="54"/>
        <v>3.8272493573264783</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-4.4999999999999998E-2</v>
      </c>
      <c r="AN85" s="258">
        <f t="shared" si="71"/>
        <v>1.2500000000000001E-2</v>
      </c>
      <c r="AO85" s="258">
        <f t="shared" si="72"/>
        <v>0.35</v>
      </c>
      <c r="AP85" s="258">
        <f t="shared" si="73"/>
        <v>0</v>
      </c>
      <c r="AQ85" s="136">
        <f t="shared" si="74"/>
        <v>3.3399999999999999E-2</v>
      </c>
      <c r="AR85" s="137">
        <f t="shared" si="75"/>
        <v>2.75E-2</v>
      </c>
      <c r="AS85" s="136">
        <f t="shared" si="76"/>
        <v>3.7220000000000004</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-2.9834014907667412E-2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1.3287891955131295</v>
      </c>
      <c r="BP85" s="137"/>
      <c r="BQ85" s="137"/>
      <c r="BR85" s="137"/>
      <c r="BS85" s="137"/>
      <c r="BV85" s="262">
        <v>3.8272493573264783</v>
      </c>
      <c r="BW85" s="136">
        <v>4.1044999999999998</v>
      </c>
      <c r="BX85" s="137">
        <v>0.24249999999999999</v>
      </c>
      <c r="BY85" s="137">
        <v>0.24249999999999999</v>
      </c>
      <c r="BZ85" s="137">
        <v>0</v>
      </c>
      <c r="CA85" s="137">
        <v>5.4038903438607302E-2</v>
      </c>
      <c r="CB85" s="137">
        <v>0</v>
      </c>
      <c r="CC85" s="258">
        <v>-4.4999999999999998E-2</v>
      </c>
      <c r="CD85" s="258">
        <v>1.2500000000000001E-2</v>
      </c>
      <c r="CE85" s="258">
        <v>0.35</v>
      </c>
      <c r="CF85" s="258">
        <v>0</v>
      </c>
      <c r="CG85" s="258">
        <v>3.3399999999999999E-2</v>
      </c>
      <c r="CH85" s="258">
        <v>0</v>
      </c>
      <c r="CI85" s="258">
        <v>3.7545000000000002</v>
      </c>
      <c r="CJ85" s="258"/>
      <c r="CK85" s="258"/>
      <c r="CL85" s="258"/>
      <c r="CM85" s="258"/>
    </row>
    <row r="86" spans="1:91" x14ac:dyDescent="0.25">
      <c r="A86" s="723"/>
      <c r="B86" s="723"/>
      <c r="D86" s="31">
        <f t="shared" si="87"/>
        <v>39128</v>
      </c>
      <c r="F86" s="28">
        <f>VLOOKUP(AG86,$AL$4:$AS$15,2)</f>
        <v>396</v>
      </c>
      <c r="G86" s="28">
        <f>F86*$AU86</f>
        <v>0</v>
      </c>
      <c r="H86" s="52">
        <f>(AL86+AM86+AN86)/(1-(AR86))</f>
        <v>3.8272493573264783</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-4.4999999999999998E-2</v>
      </c>
      <c r="AN86" s="258">
        <f>VLOOKUP($D86,CurveTbl,$AH$4)+VLOOKUP($AG86,$AL$3:$AS$15,6)</f>
        <v>1.2500000000000001E-2</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3.7220000000000004</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-2.9834014907667412E-2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1.3287891955131295</v>
      </c>
      <c r="BP86" s="137"/>
      <c r="BQ86" s="137"/>
      <c r="BR86" s="137"/>
      <c r="BS86" s="137"/>
      <c r="BV86" s="262">
        <v>3.8272493573264783</v>
      </c>
      <c r="BW86" s="136">
        <v>4.1044999999999998</v>
      </c>
      <c r="BX86" s="137">
        <v>0.24249999999999999</v>
      </c>
      <c r="BY86" s="137">
        <v>0.24249999999999999</v>
      </c>
      <c r="BZ86" s="137">
        <v>0</v>
      </c>
      <c r="CA86" s="137">
        <v>5.4038903438607302E-2</v>
      </c>
      <c r="CB86" s="137">
        <v>0</v>
      </c>
      <c r="CC86" s="258">
        <v>-4.4999999999999998E-2</v>
      </c>
      <c r="CD86" s="258">
        <v>1.2500000000000001E-2</v>
      </c>
      <c r="CE86" s="258">
        <v>0.35</v>
      </c>
      <c r="CF86" s="258">
        <v>0</v>
      </c>
      <c r="CG86" s="258">
        <v>3.3399999999999999E-2</v>
      </c>
      <c r="CH86" s="258">
        <v>0</v>
      </c>
      <c r="CI86" s="258">
        <v>3.7545000000000002</v>
      </c>
      <c r="CJ86" s="258"/>
      <c r="CK86" s="258"/>
      <c r="CL86" s="258"/>
      <c r="CM86" s="258"/>
    </row>
    <row r="87" spans="1:91" x14ac:dyDescent="0.25">
      <c r="A87" s="723"/>
      <c r="B87" s="723"/>
      <c r="D87" s="31">
        <f>D86+AH86</f>
        <v>39128</v>
      </c>
      <c r="F87" s="28">
        <f>VLOOKUP(AG87,$AL$4:$AS$15,2)</f>
        <v>396</v>
      </c>
      <c r="G87" s="28">
        <f>F87*$AU87</f>
        <v>0</v>
      </c>
      <c r="H87" s="52">
        <f>(AL87+AM87+AN87)/(1-(AR87))</f>
        <v>3.8272493573264783</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-4.4999999999999998E-2</v>
      </c>
      <c r="AN87" s="258">
        <f>VLOOKUP($D87,CurveTbl,$AH$4)+VLOOKUP($AG87,$AL$3:$AS$15,6)</f>
        <v>1.2500000000000001E-2</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3.7220000000000004</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-2.9834014907667412E-2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1.3287891955131295</v>
      </c>
      <c r="BP87" s="137"/>
      <c r="BQ87" s="137"/>
      <c r="BR87" s="137"/>
      <c r="BS87" s="137"/>
      <c r="BV87" s="262">
        <v>3.8272493573264783</v>
      </c>
      <c r="BW87" s="136">
        <v>4.1044999999999998</v>
      </c>
      <c r="BX87" s="137">
        <v>0.24249999999999999</v>
      </c>
      <c r="BY87" s="137">
        <v>0.24249999999999999</v>
      </c>
      <c r="BZ87" s="137">
        <v>0</v>
      </c>
      <c r="CA87" s="137">
        <v>5.4038903438607302E-2</v>
      </c>
      <c r="CB87" s="137">
        <v>0</v>
      </c>
      <c r="CC87" s="258">
        <v>-4.4999999999999998E-2</v>
      </c>
      <c r="CD87" s="258">
        <v>1.2500000000000001E-2</v>
      </c>
      <c r="CE87" s="258">
        <v>0.35</v>
      </c>
      <c r="CF87" s="258">
        <v>0</v>
      </c>
      <c r="CG87" s="258">
        <v>3.3399999999999999E-2</v>
      </c>
      <c r="CH87" s="258">
        <v>0</v>
      </c>
      <c r="CI87" s="258">
        <v>3.7545000000000002</v>
      </c>
      <c r="CJ87" s="258"/>
      <c r="CK87" s="258"/>
      <c r="CL87" s="258"/>
      <c r="CM87" s="258"/>
    </row>
    <row r="88" spans="1:91" x14ac:dyDescent="0.25">
      <c r="A88" s="723"/>
      <c r="B88" s="723"/>
      <c r="D88" s="31">
        <f>D87+AH87</f>
        <v>39128</v>
      </c>
      <c r="F88" s="28">
        <f>VLOOKUP(AG88,$AL$4:$AS$15,2)</f>
        <v>396</v>
      </c>
      <c r="G88" s="28">
        <f>F88*$AU88</f>
        <v>0</v>
      </c>
      <c r="H88" s="52">
        <f>(AL88+AM88+AN88)/(1-(AR88))</f>
        <v>3.8272493573264783</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-4.4999999999999998E-2</v>
      </c>
      <c r="AN88" s="258">
        <f>VLOOKUP($D88,CurveTbl,$AH$4)+VLOOKUP($AG88,$AL$3:$AS$15,6)</f>
        <v>1.2500000000000001E-2</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3.7220000000000004</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-2.9834014907667412E-2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1.3287891955131295</v>
      </c>
      <c r="BP88" s="137"/>
      <c r="BQ88" s="137"/>
      <c r="BR88" s="137"/>
      <c r="BS88" s="137"/>
      <c r="BV88" s="262">
        <v>3.8272493573264783</v>
      </c>
      <c r="BW88" s="136">
        <v>4.1044999999999998</v>
      </c>
      <c r="BX88" s="137">
        <v>0.24249999999999999</v>
      </c>
      <c r="BY88" s="137">
        <v>0.24249999999999999</v>
      </c>
      <c r="BZ88" s="137">
        <v>0</v>
      </c>
      <c r="CA88" s="137">
        <v>5.4038903438607302E-2</v>
      </c>
      <c r="CB88" s="137">
        <v>0</v>
      </c>
      <c r="CC88" s="258">
        <v>-4.4999999999999998E-2</v>
      </c>
      <c r="CD88" s="258">
        <v>1.2500000000000001E-2</v>
      </c>
      <c r="CE88" s="258">
        <v>0.35</v>
      </c>
      <c r="CF88" s="258">
        <v>0</v>
      </c>
      <c r="CG88" s="258">
        <v>3.3399999999999999E-2</v>
      </c>
      <c r="CH88" s="258">
        <v>0</v>
      </c>
      <c r="CI88" s="258">
        <v>3.7545000000000002</v>
      </c>
      <c r="CJ88" s="258"/>
      <c r="CK88" s="258"/>
      <c r="CL88" s="258"/>
      <c r="CM88" s="258"/>
    </row>
    <row r="89" spans="1:91" x14ac:dyDescent="0.25">
      <c r="A89" s="723"/>
      <c r="B89" s="723"/>
      <c r="D89" s="31">
        <f>D88+AH88</f>
        <v>39128</v>
      </c>
      <c r="F89" s="28">
        <f>VLOOKUP(AG89,$AL$4:$AS$15,2)</f>
        <v>396</v>
      </c>
      <c r="G89" s="28">
        <f>F89*$AU89</f>
        <v>0</v>
      </c>
      <c r="H89" s="52">
        <f>(AL89+AM89+AN89)/(1-(AR89))</f>
        <v>3.8272493573264783</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-4.4999999999999998E-2</v>
      </c>
      <c r="AN89" s="258">
        <f>VLOOKUP($D89,CurveTbl,$AH$4)+VLOOKUP($AG89,$AL$3:$AS$15,6)</f>
        <v>1.2500000000000001E-2</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3.7220000000000004</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-2.9834014907667412E-2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1.3287891955131295</v>
      </c>
      <c r="BP89" s="137"/>
      <c r="BQ89" s="137"/>
      <c r="BR89" s="137"/>
      <c r="BS89" s="137"/>
      <c r="BV89" s="262">
        <v>3.8272493573264783</v>
      </c>
      <c r="BW89" s="136">
        <v>4.1044999999999998</v>
      </c>
      <c r="BX89" s="137">
        <v>0.24249999999999999</v>
      </c>
      <c r="BY89" s="137">
        <v>0.24249999999999999</v>
      </c>
      <c r="BZ89" s="137">
        <v>0</v>
      </c>
      <c r="CA89" s="137">
        <v>5.4038903438607302E-2</v>
      </c>
      <c r="CB89" s="137">
        <v>0</v>
      </c>
      <c r="CC89" s="258">
        <v>-4.4999999999999998E-2</v>
      </c>
      <c r="CD89" s="258">
        <v>1.2500000000000001E-2</v>
      </c>
      <c r="CE89" s="258">
        <v>0.35</v>
      </c>
      <c r="CF89" s="258">
        <v>0</v>
      </c>
      <c r="CG89" s="258">
        <v>3.3399999999999999E-2</v>
      </c>
      <c r="CH89" s="258">
        <v>0</v>
      </c>
      <c r="CI89" s="258">
        <v>3.7545000000000002</v>
      </c>
      <c r="CJ89" s="258"/>
      <c r="CK89" s="258"/>
      <c r="CL89" s="258"/>
      <c r="CM89" s="258"/>
    </row>
    <row r="90" spans="1:91" x14ac:dyDescent="0.25">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5">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5">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5">
      <c r="A93" s="723"/>
      <c r="B93" s="723"/>
      <c r="K93" s="52"/>
      <c r="L93" s="135"/>
      <c r="N93" s="131"/>
      <c r="O93" s="131"/>
      <c r="P93" s="55"/>
      <c r="Q93" s="135"/>
      <c r="R93" s="135"/>
      <c r="U93" s="135"/>
      <c r="V93" s="146"/>
      <c r="W93" s="146"/>
      <c r="X93" s="338"/>
      <c r="Y93" s="338"/>
      <c r="Z93" s="338"/>
      <c r="AA93" s="338"/>
      <c r="AB93" s="338"/>
      <c r="AC93" s="338"/>
      <c r="AF93" s="138"/>
      <c r="AG93" s="138"/>
      <c r="AH93" s="138"/>
      <c r="AI93" s="138"/>
      <c r="AJ93" s="138"/>
      <c r="AM93" s="258"/>
      <c r="AN93" s="258"/>
      <c r="AO93" s="258"/>
      <c r="AP93" s="258"/>
      <c r="AR93" s="137"/>
      <c r="AT93" s="137"/>
      <c r="AV93" s="394"/>
      <c r="AW93" s="137"/>
      <c r="AX93" s="137"/>
      <c r="AY93" s="137"/>
      <c r="AZ93" s="137"/>
      <c r="BA93" s="264"/>
      <c r="BB93" s="258"/>
      <c r="BC93" s="258"/>
      <c r="BD93" s="137"/>
      <c r="BE93" s="137"/>
      <c r="BF93" s="137"/>
      <c r="BG93" s="137"/>
      <c r="BH93" s="137"/>
      <c r="BI93" s="137"/>
      <c r="BJ93" s="137"/>
      <c r="BK93" s="137"/>
      <c r="BL93" s="137"/>
      <c r="BM93" s="137"/>
      <c r="BN93" s="137"/>
      <c r="BO93" s="137"/>
      <c r="BP93" s="137"/>
      <c r="BQ93" s="137"/>
      <c r="BR93" s="137"/>
      <c r="BS93" s="137"/>
      <c r="BV93" s="262"/>
      <c r="BW93" s="136"/>
      <c r="BX93" s="137"/>
      <c r="BY93" s="137"/>
      <c r="BZ93" s="137"/>
      <c r="CA93" s="137"/>
      <c r="CB93" s="137"/>
      <c r="CC93" s="258"/>
      <c r="CD93" s="258"/>
      <c r="CE93" s="258"/>
      <c r="CF93" s="258"/>
      <c r="CG93" s="258"/>
      <c r="CH93" s="258"/>
      <c r="CI93" s="258"/>
      <c r="CJ93" s="258"/>
      <c r="CK93" s="258"/>
      <c r="CL93" s="258"/>
      <c r="CM93" s="258"/>
    </row>
    <row r="94" spans="1:91" x14ac:dyDescent="0.25">
      <c r="A94" s="723"/>
      <c r="B94" s="723"/>
      <c r="K94" s="52"/>
      <c r="L94" s="135"/>
      <c r="N94" s="131"/>
      <c r="O94" s="131"/>
      <c r="P94" s="55"/>
      <c r="Q94" s="135"/>
      <c r="R94" s="135"/>
      <c r="U94" s="135"/>
      <c r="V94" s="146"/>
      <c r="W94" s="146"/>
      <c r="X94" s="338"/>
      <c r="Y94" s="338"/>
      <c r="Z94" s="338"/>
      <c r="AA94" s="338"/>
      <c r="AB94" s="338"/>
      <c r="AC94" s="338"/>
      <c r="AF94" s="138"/>
      <c r="AG94" s="138"/>
      <c r="AH94" s="138"/>
      <c r="AI94" s="138"/>
      <c r="AJ94" s="138"/>
      <c r="AM94" s="258"/>
      <c r="AN94" s="258"/>
      <c r="AO94" s="258"/>
      <c r="AP94" s="258"/>
      <c r="AR94" s="137"/>
      <c r="AT94" s="137"/>
      <c r="AV94" s="394"/>
      <c r="AW94" s="137"/>
      <c r="AX94" s="137"/>
      <c r="AY94" s="137"/>
      <c r="AZ94" s="137"/>
      <c r="BA94" s="264"/>
      <c r="BB94" s="258"/>
      <c r="BC94" s="258"/>
      <c r="BD94" s="137"/>
      <c r="BE94" s="137"/>
      <c r="BF94" s="137"/>
      <c r="BG94" s="137"/>
      <c r="BH94" s="137"/>
      <c r="BI94" s="137"/>
      <c r="BJ94" s="137"/>
      <c r="BK94" s="137"/>
      <c r="BL94" s="137"/>
      <c r="BM94" s="137"/>
      <c r="BN94" s="137"/>
      <c r="BO94" s="137"/>
      <c r="BP94" s="137"/>
      <c r="BQ94" s="137"/>
      <c r="BR94" s="137"/>
      <c r="BS94" s="137"/>
      <c r="BV94" s="262"/>
      <c r="BW94" s="136"/>
      <c r="BX94" s="137"/>
      <c r="BY94" s="137"/>
      <c r="BZ94" s="137"/>
      <c r="CA94" s="137"/>
      <c r="CB94" s="137"/>
      <c r="CC94" s="258"/>
      <c r="CD94" s="258"/>
      <c r="CE94" s="258"/>
      <c r="CF94" s="258"/>
      <c r="CG94" s="258"/>
      <c r="CH94" s="258"/>
      <c r="CI94" s="258"/>
      <c r="CJ94" s="258"/>
      <c r="CK94" s="258"/>
      <c r="CL94" s="258"/>
      <c r="CM94" s="258"/>
    </row>
    <row r="95" spans="1:91" x14ac:dyDescent="0.25">
      <c r="A95" s="723"/>
      <c r="B95" s="723"/>
      <c r="K95" s="52"/>
      <c r="L95" s="135"/>
      <c r="N95" s="131"/>
      <c r="O95" s="131"/>
      <c r="P95" s="55"/>
      <c r="Q95" s="135"/>
      <c r="R95" s="135"/>
      <c r="U95" s="135"/>
      <c r="V95" s="146"/>
      <c r="W95" s="146"/>
      <c r="X95" s="338"/>
      <c r="Y95" s="338"/>
      <c r="Z95" s="338"/>
      <c r="AA95" s="338"/>
      <c r="AB95" s="338"/>
      <c r="AC95" s="338"/>
      <c r="AF95" s="138"/>
      <c r="AG95" s="138"/>
      <c r="AH95" s="138"/>
      <c r="AI95" s="138"/>
      <c r="AJ95" s="138"/>
      <c r="AM95" s="258"/>
      <c r="AN95" s="258"/>
      <c r="AO95" s="258"/>
      <c r="AP95" s="258"/>
      <c r="AR95" s="137"/>
      <c r="AT95" s="137"/>
      <c r="AV95" s="394"/>
      <c r="AW95" s="137"/>
      <c r="AX95" s="137"/>
      <c r="AY95" s="137"/>
      <c r="AZ95" s="137"/>
      <c r="BA95" s="264"/>
      <c r="BB95" s="258"/>
      <c r="BC95" s="258"/>
      <c r="BD95" s="137"/>
      <c r="BE95" s="137"/>
      <c r="BF95" s="137"/>
      <c r="BG95" s="137"/>
      <c r="BH95" s="137"/>
      <c r="BI95" s="137"/>
      <c r="BJ95" s="137"/>
      <c r="BK95" s="137"/>
      <c r="BL95" s="137"/>
      <c r="BM95" s="137"/>
      <c r="BN95" s="137"/>
      <c r="BO95" s="137"/>
      <c r="BP95" s="137"/>
      <c r="BQ95" s="137"/>
      <c r="BR95" s="137"/>
      <c r="BS95" s="137"/>
      <c r="BV95" s="262"/>
      <c r="BW95" s="136"/>
      <c r="BX95" s="137"/>
      <c r="BY95" s="137"/>
      <c r="BZ95" s="137"/>
      <c r="CA95" s="137"/>
      <c r="CB95" s="137"/>
      <c r="CC95" s="258"/>
      <c r="CD95" s="258"/>
      <c r="CE95" s="258"/>
      <c r="CF95" s="258"/>
      <c r="CG95" s="258"/>
      <c r="CH95" s="258"/>
      <c r="CI95" s="258"/>
      <c r="CJ95" s="258"/>
      <c r="CK95" s="258"/>
      <c r="CL95" s="258"/>
      <c r="CM95" s="258"/>
    </row>
    <row r="96" spans="1:91" x14ac:dyDescent="0.25">
      <c r="A96" s="723"/>
      <c r="B96" s="723"/>
      <c r="K96" s="52"/>
      <c r="L96" s="135"/>
      <c r="N96" s="131"/>
      <c r="O96" s="131"/>
      <c r="P96" s="55"/>
      <c r="Q96" s="135"/>
      <c r="R96" s="135"/>
      <c r="U96" s="135"/>
      <c r="V96" s="146"/>
      <c r="W96" s="146"/>
      <c r="X96" s="338"/>
      <c r="Y96" s="338"/>
      <c r="Z96" s="338"/>
      <c r="AA96" s="338"/>
      <c r="AB96" s="338"/>
      <c r="AC96" s="338"/>
      <c r="AF96" s="138"/>
      <c r="AG96" s="138"/>
      <c r="AH96" s="138"/>
      <c r="AI96" s="138"/>
      <c r="AJ96" s="138"/>
      <c r="AM96" s="258"/>
      <c r="AN96" s="258"/>
      <c r="AO96" s="258"/>
      <c r="AP96" s="258"/>
      <c r="AR96" s="137"/>
      <c r="AT96" s="137"/>
      <c r="AV96" s="394"/>
      <c r="AW96" s="137"/>
      <c r="AX96" s="137"/>
      <c r="AY96" s="137"/>
      <c r="AZ96" s="137"/>
      <c r="BA96" s="264"/>
      <c r="BB96" s="258"/>
      <c r="BC96" s="258"/>
      <c r="BD96" s="137"/>
      <c r="BE96" s="137"/>
      <c r="BF96" s="137"/>
      <c r="BG96" s="137"/>
      <c r="BH96" s="137"/>
      <c r="BI96" s="137"/>
      <c r="BJ96" s="137"/>
      <c r="BK96" s="137"/>
      <c r="BL96" s="137"/>
      <c r="BM96" s="137"/>
      <c r="BN96" s="137"/>
      <c r="BO96" s="137"/>
      <c r="BP96" s="137"/>
      <c r="BQ96" s="137"/>
      <c r="BR96" s="137"/>
      <c r="BS96" s="137"/>
      <c r="BV96" s="262"/>
      <c r="BW96" s="136"/>
      <c r="BX96" s="137"/>
      <c r="BY96" s="137"/>
      <c r="BZ96" s="137"/>
      <c r="CA96" s="137"/>
      <c r="CB96" s="137"/>
      <c r="CC96" s="258"/>
      <c r="CD96" s="258"/>
      <c r="CE96" s="258"/>
      <c r="CF96" s="258"/>
      <c r="CG96" s="258"/>
      <c r="CH96" s="258"/>
      <c r="CI96" s="258"/>
      <c r="CJ96" s="258"/>
      <c r="CK96" s="258"/>
      <c r="CL96" s="258"/>
      <c r="CM96" s="258"/>
    </row>
    <row r="97" spans="1:91" x14ac:dyDescent="0.25">
      <c r="A97" s="723"/>
      <c r="B97" s="723"/>
      <c r="K97" s="52"/>
      <c r="L97" s="135"/>
      <c r="N97" s="131"/>
      <c r="O97" s="131"/>
      <c r="P97" s="55"/>
      <c r="Q97" s="135"/>
      <c r="R97" s="135"/>
      <c r="U97" s="135"/>
      <c r="V97" s="146"/>
      <c r="W97" s="146"/>
      <c r="X97" s="338"/>
      <c r="Y97" s="338"/>
      <c r="Z97" s="338"/>
      <c r="AA97" s="338"/>
      <c r="AB97" s="338"/>
      <c r="AC97" s="338"/>
      <c r="AF97" s="138"/>
      <c r="AG97" s="138"/>
      <c r="AH97" s="138"/>
      <c r="AI97" s="138"/>
      <c r="AJ97" s="138"/>
      <c r="AM97" s="258"/>
      <c r="AN97" s="258"/>
      <c r="AO97" s="258"/>
      <c r="AP97" s="258"/>
      <c r="AR97" s="137"/>
      <c r="AT97" s="137"/>
      <c r="AV97" s="394"/>
      <c r="AW97" s="137"/>
      <c r="AX97" s="137"/>
      <c r="AY97" s="137"/>
      <c r="AZ97" s="137"/>
      <c r="BA97" s="264"/>
      <c r="BB97" s="258"/>
      <c r="BC97" s="258"/>
      <c r="BD97" s="137"/>
      <c r="BE97" s="137"/>
      <c r="BF97" s="137"/>
      <c r="BG97" s="137"/>
      <c r="BH97" s="137"/>
      <c r="BI97" s="137"/>
      <c r="BJ97" s="137"/>
      <c r="BK97" s="137"/>
      <c r="BL97" s="137"/>
      <c r="BM97" s="137"/>
      <c r="BN97" s="137"/>
      <c r="BO97" s="137"/>
      <c r="BP97" s="137"/>
      <c r="BQ97" s="137"/>
      <c r="BR97" s="137"/>
      <c r="BS97" s="137"/>
      <c r="BV97" s="262"/>
      <c r="BW97" s="136"/>
      <c r="BX97" s="137"/>
      <c r="BY97" s="137"/>
      <c r="BZ97" s="137"/>
      <c r="CA97" s="137"/>
      <c r="CB97" s="137"/>
      <c r="CC97" s="258"/>
      <c r="CD97" s="258"/>
      <c r="CE97" s="258"/>
      <c r="CF97" s="258"/>
      <c r="CG97" s="258"/>
      <c r="CH97" s="258"/>
      <c r="CI97" s="258"/>
      <c r="CJ97" s="258"/>
      <c r="CK97" s="258"/>
      <c r="CL97" s="258"/>
      <c r="CM97" s="258"/>
    </row>
    <row r="98" spans="1:91" x14ac:dyDescent="0.25">
      <c r="A98" s="723"/>
      <c r="B98" s="723"/>
      <c r="K98" s="52"/>
      <c r="L98" s="135"/>
      <c r="N98" s="131"/>
      <c r="O98" s="131"/>
      <c r="P98" s="55"/>
      <c r="Q98" s="135"/>
      <c r="R98" s="135"/>
      <c r="U98" s="135"/>
      <c r="V98" s="146"/>
      <c r="W98" s="146"/>
      <c r="X98" s="338"/>
      <c r="Y98" s="338"/>
      <c r="Z98" s="338"/>
      <c r="AA98" s="338"/>
      <c r="AB98" s="338"/>
      <c r="AC98" s="338"/>
      <c r="AF98" s="138"/>
      <c r="AG98" s="138"/>
      <c r="AH98" s="138"/>
      <c r="AI98" s="138"/>
      <c r="AJ98" s="138"/>
      <c r="AM98" s="258"/>
      <c r="AN98" s="258"/>
      <c r="AO98" s="258"/>
      <c r="AP98" s="258"/>
      <c r="AR98" s="137"/>
      <c r="AT98" s="137"/>
      <c r="AV98" s="394"/>
      <c r="AW98" s="137"/>
      <c r="AX98" s="137"/>
      <c r="AY98" s="137"/>
      <c r="AZ98" s="137"/>
      <c r="BA98" s="264"/>
      <c r="BB98" s="258"/>
      <c r="BC98" s="258"/>
      <c r="BD98" s="137"/>
      <c r="BE98" s="137"/>
      <c r="BF98" s="137"/>
      <c r="BG98" s="137"/>
      <c r="BH98" s="137"/>
      <c r="BI98" s="137"/>
      <c r="BJ98" s="137"/>
      <c r="BK98" s="137"/>
      <c r="BL98" s="137"/>
      <c r="BM98" s="137"/>
      <c r="BN98" s="137"/>
      <c r="BO98" s="137"/>
      <c r="BP98" s="137"/>
      <c r="BQ98" s="137"/>
      <c r="BR98" s="137"/>
      <c r="BS98" s="137"/>
      <c r="BV98" s="262"/>
      <c r="BW98" s="136"/>
      <c r="BX98" s="137"/>
      <c r="BY98" s="137"/>
      <c r="BZ98" s="137"/>
      <c r="CA98" s="137"/>
      <c r="CB98" s="137"/>
      <c r="CC98" s="258"/>
      <c r="CD98" s="258"/>
      <c r="CE98" s="258"/>
      <c r="CF98" s="258"/>
      <c r="CG98" s="258"/>
      <c r="CH98" s="258"/>
      <c r="CI98" s="258"/>
      <c r="CJ98" s="258"/>
      <c r="CK98" s="258"/>
      <c r="CL98" s="258"/>
      <c r="CM98" s="258"/>
    </row>
    <row r="99" spans="1:91" x14ac:dyDescent="0.25">
      <c r="A99" s="723"/>
      <c r="B99" s="723"/>
      <c r="K99" s="52"/>
      <c r="L99" s="135"/>
      <c r="N99" s="131"/>
      <c r="O99" s="131"/>
      <c r="P99" s="55"/>
      <c r="Q99" s="135"/>
      <c r="R99" s="135"/>
      <c r="U99" s="135"/>
      <c r="V99" s="146"/>
      <c r="W99" s="146"/>
      <c r="X99" s="338"/>
      <c r="Y99" s="338"/>
      <c r="Z99" s="338"/>
      <c r="AA99" s="338"/>
      <c r="AB99" s="338"/>
      <c r="AC99" s="338"/>
      <c r="AF99" s="138"/>
      <c r="AG99" s="138"/>
      <c r="AH99" s="138"/>
      <c r="AI99" s="138"/>
      <c r="AJ99" s="138"/>
      <c r="AM99" s="258"/>
      <c r="AN99" s="258"/>
      <c r="AO99" s="258"/>
      <c r="AP99" s="258"/>
      <c r="AR99" s="137"/>
      <c r="AT99" s="137"/>
      <c r="AV99" s="394"/>
      <c r="AW99" s="137"/>
      <c r="AX99" s="137"/>
      <c r="AY99" s="137"/>
      <c r="AZ99" s="137"/>
      <c r="BA99" s="264"/>
      <c r="BB99" s="258"/>
      <c r="BC99" s="258"/>
      <c r="BD99" s="137"/>
      <c r="BE99" s="137"/>
      <c r="BF99" s="137"/>
      <c r="BG99" s="137"/>
      <c r="BH99" s="137"/>
      <c r="BI99" s="137"/>
      <c r="BJ99" s="137"/>
      <c r="BK99" s="137"/>
      <c r="BL99" s="137"/>
      <c r="BM99" s="137"/>
      <c r="BN99" s="137"/>
      <c r="BO99" s="137"/>
      <c r="BP99" s="137"/>
      <c r="BQ99" s="137"/>
      <c r="BR99" s="137"/>
      <c r="BS99" s="137"/>
      <c r="BV99" s="262"/>
      <c r="BW99" s="136"/>
      <c r="BX99" s="137"/>
      <c r="BY99" s="137"/>
      <c r="BZ99" s="137"/>
      <c r="CA99" s="137"/>
      <c r="CB99" s="137"/>
      <c r="CC99" s="258"/>
      <c r="CD99" s="258"/>
      <c r="CE99" s="258"/>
      <c r="CF99" s="258"/>
      <c r="CG99" s="258"/>
      <c r="CH99" s="258"/>
      <c r="CI99" s="258"/>
      <c r="CJ99" s="258"/>
      <c r="CK99" s="258"/>
      <c r="CL99" s="258"/>
      <c r="CM99" s="258"/>
    </row>
    <row r="100" spans="1:91" x14ac:dyDescent="0.25">
      <c r="A100" s="723"/>
      <c r="B100" s="723"/>
      <c r="K100" s="52"/>
      <c r="L100" s="135"/>
      <c r="N100" s="131"/>
      <c r="O100" s="131"/>
      <c r="P100" s="55"/>
      <c r="Q100" s="135"/>
      <c r="R100" s="135"/>
      <c r="U100" s="135"/>
      <c r="V100" s="146"/>
      <c r="W100" s="146"/>
      <c r="X100" s="338"/>
      <c r="Y100" s="338"/>
      <c r="Z100" s="338"/>
      <c r="AA100" s="338"/>
      <c r="AB100" s="338"/>
      <c r="AC100" s="338"/>
      <c r="AF100" s="138"/>
      <c r="AG100" s="138"/>
      <c r="AH100" s="138"/>
      <c r="AI100" s="138"/>
      <c r="AJ100" s="138"/>
      <c r="AM100" s="258"/>
      <c r="AN100" s="258"/>
      <c r="AO100" s="258"/>
      <c r="AP100" s="258"/>
      <c r="AR100" s="137"/>
      <c r="AT100" s="137"/>
      <c r="AV100" s="394"/>
      <c r="AW100" s="137"/>
      <c r="AX100" s="137"/>
      <c r="AY100" s="137"/>
      <c r="AZ100" s="137"/>
      <c r="BA100" s="264"/>
      <c r="BB100" s="258"/>
      <c r="BC100" s="258"/>
      <c r="BD100" s="137"/>
      <c r="BE100" s="137"/>
      <c r="BF100" s="137"/>
      <c r="BG100" s="137"/>
      <c r="BH100" s="137"/>
      <c r="BI100" s="137"/>
      <c r="BJ100" s="137"/>
      <c r="BK100" s="137"/>
      <c r="BL100" s="137"/>
      <c r="BM100" s="137"/>
      <c r="BN100" s="137"/>
      <c r="BO100" s="137"/>
      <c r="BP100" s="137"/>
      <c r="BQ100" s="137"/>
      <c r="BR100" s="137"/>
      <c r="BS100" s="137"/>
      <c r="BV100" s="262"/>
      <c r="BW100" s="136"/>
      <c r="BX100" s="137"/>
      <c r="BY100" s="137"/>
      <c r="BZ100" s="137"/>
      <c r="CA100" s="137"/>
      <c r="CB100" s="137"/>
      <c r="CC100" s="258"/>
      <c r="CD100" s="258"/>
      <c r="CE100" s="258"/>
      <c r="CF100" s="258"/>
      <c r="CG100" s="258"/>
      <c r="CH100" s="258"/>
      <c r="CI100" s="258"/>
      <c r="CJ100" s="258"/>
      <c r="CK100" s="258"/>
      <c r="CL100" s="258"/>
      <c r="CM100" s="258"/>
    </row>
    <row r="101" spans="1:91" x14ac:dyDescent="0.25">
      <c r="A101" s="723"/>
      <c r="B101" s="723"/>
      <c r="K101" s="52"/>
      <c r="L101" s="135"/>
      <c r="N101" s="131"/>
      <c r="O101" s="131"/>
      <c r="P101" s="55"/>
      <c r="Q101" s="135"/>
      <c r="R101" s="135"/>
      <c r="U101" s="135"/>
      <c r="V101" s="146"/>
      <c r="W101" s="146"/>
      <c r="X101" s="338"/>
      <c r="Y101" s="338"/>
      <c r="Z101" s="338"/>
      <c r="AA101" s="338"/>
      <c r="AB101" s="338"/>
      <c r="AC101" s="338"/>
      <c r="AF101" s="138"/>
      <c r="AG101" s="138"/>
      <c r="AH101" s="138"/>
      <c r="AI101" s="138"/>
      <c r="AJ101" s="138"/>
      <c r="AM101" s="258"/>
      <c r="AN101" s="258"/>
      <c r="AO101" s="258"/>
      <c r="AP101" s="258"/>
      <c r="AR101" s="137"/>
      <c r="AT101" s="137"/>
      <c r="AV101" s="394"/>
      <c r="AW101" s="137"/>
      <c r="AX101" s="137"/>
      <c r="AY101" s="137"/>
      <c r="AZ101" s="137"/>
      <c r="BA101" s="264"/>
      <c r="BB101" s="258"/>
      <c r="BC101" s="258"/>
      <c r="BD101" s="137"/>
      <c r="BE101" s="137"/>
      <c r="BF101" s="137"/>
      <c r="BG101" s="137"/>
      <c r="BH101" s="137"/>
      <c r="BI101" s="137"/>
      <c r="BJ101" s="137"/>
      <c r="BK101" s="137"/>
      <c r="BL101" s="137"/>
      <c r="BM101" s="137"/>
      <c r="BN101" s="137"/>
      <c r="BO101" s="137"/>
      <c r="BP101" s="137"/>
      <c r="BQ101" s="137"/>
      <c r="BR101" s="137"/>
      <c r="BS101" s="137"/>
      <c r="BV101" s="262"/>
      <c r="BW101" s="136"/>
      <c r="BX101" s="137"/>
      <c r="BY101" s="137"/>
      <c r="BZ101" s="137"/>
      <c r="CA101" s="137"/>
      <c r="CB101" s="137"/>
      <c r="CC101" s="258"/>
      <c r="CD101" s="258"/>
      <c r="CE101" s="258"/>
      <c r="CF101" s="258"/>
      <c r="CG101" s="258"/>
      <c r="CH101" s="258"/>
      <c r="CI101" s="258"/>
      <c r="CJ101" s="258"/>
      <c r="CK101" s="258"/>
      <c r="CL101" s="258"/>
      <c r="CM101" s="258"/>
    </row>
    <row r="102" spans="1:91" x14ac:dyDescent="0.25">
      <c r="A102" s="723"/>
      <c r="B102" s="723"/>
      <c r="K102" s="52"/>
      <c r="L102" s="135"/>
      <c r="N102" s="131"/>
      <c r="O102" s="131"/>
      <c r="P102" s="55"/>
      <c r="Q102" s="135"/>
      <c r="R102" s="135"/>
      <c r="U102" s="135"/>
      <c r="V102" s="146"/>
      <c r="W102" s="146"/>
      <c r="X102" s="338"/>
      <c r="Y102" s="338"/>
      <c r="Z102" s="338"/>
      <c r="AA102" s="338"/>
      <c r="AB102" s="338"/>
      <c r="AC102" s="338"/>
      <c r="AF102" s="138"/>
      <c r="AG102" s="138"/>
      <c r="AH102" s="138"/>
      <c r="AI102" s="138"/>
      <c r="AJ102" s="138"/>
      <c r="AM102" s="258"/>
      <c r="AN102" s="258"/>
      <c r="AO102" s="258"/>
      <c r="AP102" s="258"/>
      <c r="AR102" s="137"/>
      <c r="AT102" s="137"/>
      <c r="AV102" s="394"/>
      <c r="AW102" s="137"/>
      <c r="AX102" s="137"/>
      <c r="AY102" s="137"/>
      <c r="AZ102" s="137"/>
      <c r="BA102" s="264"/>
      <c r="BB102" s="258"/>
      <c r="BC102" s="258"/>
      <c r="BD102" s="137"/>
      <c r="BE102" s="137"/>
      <c r="BF102" s="137"/>
      <c r="BG102" s="137"/>
      <c r="BH102" s="137"/>
      <c r="BI102" s="137"/>
      <c r="BJ102" s="137"/>
      <c r="BK102" s="137"/>
      <c r="BL102" s="137"/>
      <c r="BM102" s="137"/>
      <c r="BN102" s="137"/>
      <c r="BO102" s="137"/>
      <c r="BP102" s="137"/>
      <c r="BQ102" s="137"/>
      <c r="BR102" s="137"/>
      <c r="BS102" s="137"/>
      <c r="BV102" s="262"/>
      <c r="BW102" s="136"/>
      <c r="BX102" s="137"/>
      <c r="BY102" s="137"/>
      <c r="BZ102" s="137"/>
      <c r="CA102" s="137"/>
      <c r="CB102" s="137"/>
      <c r="CC102" s="258"/>
      <c r="CD102" s="258"/>
      <c r="CE102" s="258"/>
      <c r="CF102" s="258"/>
      <c r="CG102" s="258"/>
      <c r="CH102" s="258"/>
      <c r="CI102" s="258"/>
      <c r="CJ102" s="258"/>
      <c r="CK102" s="258"/>
      <c r="CL102" s="258"/>
      <c r="CM102" s="258"/>
    </row>
    <row r="103" spans="1:91" x14ac:dyDescent="0.25">
      <c r="A103" s="723"/>
      <c r="B103" s="723"/>
      <c r="K103" s="52"/>
      <c r="L103" s="135"/>
      <c r="N103" s="131"/>
      <c r="O103" s="131"/>
      <c r="P103" s="55"/>
      <c r="Q103" s="135"/>
      <c r="R103" s="135"/>
      <c r="U103" s="135"/>
      <c r="V103" s="146"/>
      <c r="W103" s="146"/>
      <c r="X103" s="338"/>
      <c r="Y103" s="338"/>
      <c r="Z103" s="338"/>
      <c r="AA103" s="338"/>
      <c r="AB103" s="338"/>
      <c r="AC103" s="338"/>
      <c r="AF103" s="138"/>
      <c r="AG103" s="138"/>
      <c r="AH103" s="138"/>
      <c r="AI103" s="138"/>
      <c r="AJ103" s="138"/>
      <c r="AM103" s="258"/>
      <c r="AN103" s="258"/>
      <c r="AO103" s="258"/>
      <c r="AP103" s="258"/>
      <c r="AR103" s="137"/>
      <c r="AT103" s="137"/>
      <c r="AV103" s="394"/>
      <c r="AW103" s="137"/>
      <c r="AX103" s="137"/>
      <c r="AY103" s="137"/>
      <c r="AZ103" s="137"/>
      <c r="BA103" s="264"/>
      <c r="BB103" s="258"/>
      <c r="BC103" s="258"/>
      <c r="BD103" s="137"/>
      <c r="BE103" s="137"/>
      <c r="BF103" s="137"/>
      <c r="BG103" s="137"/>
      <c r="BH103" s="137"/>
      <c r="BI103" s="137"/>
      <c r="BJ103" s="137"/>
      <c r="BK103" s="137"/>
      <c r="BL103" s="137"/>
      <c r="BM103" s="137"/>
      <c r="BN103" s="137"/>
      <c r="BO103" s="137"/>
      <c r="BP103" s="137"/>
      <c r="BQ103" s="137"/>
      <c r="BR103" s="137"/>
      <c r="BS103" s="137"/>
      <c r="BV103" s="262"/>
      <c r="BW103" s="136"/>
      <c r="BX103" s="137"/>
      <c r="BY103" s="137"/>
      <c r="BZ103" s="137"/>
      <c r="CA103" s="137"/>
      <c r="CB103" s="137"/>
      <c r="CC103" s="258"/>
      <c r="CD103" s="258"/>
      <c r="CE103" s="258"/>
      <c r="CF103" s="258"/>
      <c r="CG103" s="258"/>
      <c r="CH103" s="258"/>
      <c r="CI103" s="258"/>
      <c r="CJ103" s="258"/>
      <c r="CK103" s="258"/>
      <c r="CL103" s="258"/>
      <c r="CM103" s="258"/>
    </row>
    <row r="104" spans="1:91" x14ac:dyDescent="0.25">
      <c r="A104" s="723"/>
      <c r="B104" s="723"/>
      <c r="K104" s="52"/>
      <c r="L104" s="135"/>
      <c r="N104" s="131"/>
      <c r="O104" s="131"/>
      <c r="P104" s="55"/>
      <c r="Q104" s="135"/>
      <c r="R104" s="135"/>
      <c r="U104" s="135"/>
      <c r="V104" s="146"/>
      <c r="W104" s="146"/>
      <c r="X104" s="338"/>
      <c r="Y104" s="338"/>
      <c r="Z104" s="338"/>
      <c r="AA104" s="338"/>
      <c r="AB104" s="338"/>
      <c r="AC104" s="338"/>
      <c r="AF104" s="138"/>
      <c r="AG104" s="138"/>
      <c r="AH104" s="138"/>
      <c r="AI104" s="138"/>
      <c r="AJ104" s="138"/>
      <c r="AM104" s="258"/>
      <c r="AN104" s="258"/>
      <c r="AO104" s="258"/>
      <c r="AP104" s="258"/>
      <c r="AR104" s="137"/>
      <c r="AT104" s="137"/>
      <c r="AV104" s="394"/>
      <c r="AW104" s="137"/>
      <c r="AX104" s="137"/>
      <c r="AY104" s="137"/>
      <c r="AZ104" s="137"/>
      <c r="BA104" s="264"/>
      <c r="BB104" s="258"/>
      <c r="BC104" s="258"/>
      <c r="BD104" s="137"/>
      <c r="BE104" s="137"/>
      <c r="BF104" s="137"/>
      <c r="BG104" s="137"/>
      <c r="BH104" s="137"/>
      <c r="BI104" s="137"/>
      <c r="BJ104" s="137"/>
      <c r="BK104" s="137"/>
      <c r="BL104" s="137"/>
      <c r="BM104" s="137"/>
      <c r="BN104" s="137"/>
      <c r="BO104" s="137"/>
      <c r="BP104" s="137"/>
      <c r="BQ104" s="137"/>
      <c r="BR104" s="137"/>
      <c r="BS104" s="137"/>
      <c r="BV104" s="262"/>
      <c r="BW104" s="136"/>
      <c r="BX104" s="137"/>
      <c r="BY104" s="137"/>
      <c r="BZ104" s="137"/>
      <c r="CA104" s="137"/>
      <c r="CB104" s="137"/>
      <c r="CC104" s="258"/>
      <c r="CD104" s="258"/>
      <c r="CE104" s="258"/>
      <c r="CF104" s="258"/>
      <c r="CG104" s="258"/>
      <c r="CH104" s="258"/>
      <c r="CI104" s="258"/>
      <c r="CJ104" s="258"/>
      <c r="CK104" s="258"/>
      <c r="CL104" s="258"/>
      <c r="CM104" s="258"/>
    </row>
    <row r="105" spans="1:91" x14ac:dyDescent="0.25">
      <c r="A105" s="723"/>
      <c r="B105" s="723"/>
      <c r="K105" s="52"/>
      <c r="L105" s="135"/>
      <c r="N105" s="131"/>
      <c r="O105" s="131"/>
      <c r="P105" s="55"/>
      <c r="Q105" s="135"/>
      <c r="R105" s="135"/>
      <c r="U105" s="135"/>
      <c r="V105" s="146"/>
      <c r="W105" s="146"/>
      <c r="X105" s="338"/>
      <c r="Y105" s="338"/>
      <c r="Z105" s="338"/>
      <c r="AA105" s="338"/>
      <c r="AB105" s="338"/>
      <c r="AC105" s="338"/>
      <c r="AF105" s="138"/>
      <c r="AG105" s="138"/>
      <c r="AH105" s="138"/>
      <c r="AI105" s="138"/>
      <c r="AJ105" s="138"/>
      <c r="AM105" s="258"/>
      <c r="AN105" s="258"/>
      <c r="AO105" s="258"/>
      <c r="AP105" s="258"/>
      <c r="AR105" s="137"/>
      <c r="AT105" s="137"/>
      <c r="AV105" s="394"/>
      <c r="AW105" s="137"/>
      <c r="AX105" s="137"/>
      <c r="AY105" s="137"/>
      <c r="AZ105" s="137"/>
      <c r="BA105" s="264"/>
      <c r="BB105" s="258"/>
      <c r="BC105" s="258"/>
      <c r="BD105" s="137"/>
      <c r="BE105" s="137"/>
      <c r="BF105" s="137"/>
      <c r="BG105" s="137"/>
      <c r="BH105" s="137"/>
      <c r="BI105" s="137"/>
      <c r="BJ105" s="137"/>
      <c r="BK105" s="137"/>
      <c r="BL105" s="137"/>
      <c r="BM105" s="137"/>
      <c r="BN105" s="137"/>
      <c r="BO105" s="137"/>
      <c r="BP105" s="137"/>
      <c r="BQ105" s="137"/>
      <c r="BR105" s="137"/>
      <c r="BS105" s="137"/>
      <c r="BV105" s="262"/>
      <c r="BW105" s="136"/>
      <c r="BX105" s="137"/>
      <c r="BY105" s="137"/>
      <c r="BZ105" s="137"/>
      <c r="CA105" s="137"/>
      <c r="CB105" s="137"/>
      <c r="CC105" s="258"/>
      <c r="CD105" s="258"/>
      <c r="CE105" s="258"/>
      <c r="CF105" s="258"/>
      <c r="CG105" s="258"/>
      <c r="CH105" s="258"/>
      <c r="CI105" s="258"/>
      <c r="CJ105" s="258"/>
      <c r="CK105" s="258"/>
      <c r="CL105" s="258"/>
      <c r="CM105" s="258"/>
    </row>
    <row r="106" spans="1:91" x14ac:dyDescent="0.25">
      <c r="A106" s="723"/>
      <c r="B106" s="723"/>
      <c r="K106" s="52"/>
      <c r="L106" s="135"/>
      <c r="N106" s="131"/>
      <c r="O106" s="131"/>
      <c r="P106" s="55"/>
      <c r="Q106" s="135"/>
      <c r="R106" s="135"/>
      <c r="U106" s="135"/>
      <c r="V106" s="146"/>
      <c r="W106" s="146"/>
      <c r="X106" s="338"/>
      <c r="Y106" s="338"/>
      <c r="Z106" s="338"/>
      <c r="AA106" s="338"/>
      <c r="AB106" s="338"/>
      <c r="AC106" s="338"/>
      <c r="AF106" s="138"/>
      <c r="AG106" s="138"/>
      <c r="AH106" s="138"/>
      <c r="AI106" s="138"/>
      <c r="AJ106" s="138"/>
      <c r="AM106" s="258"/>
      <c r="AN106" s="258"/>
      <c r="AO106" s="258"/>
      <c r="AP106" s="258"/>
      <c r="AR106" s="137"/>
      <c r="AT106" s="137"/>
      <c r="AV106" s="394"/>
      <c r="AW106" s="137"/>
      <c r="AX106" s="137"/>
      <c r="AY106" s="137"/>
      <c r="AZ106" s="137"/>
      <c r="BA106" s="264"/>
      <c r="BB106" s="258"/>
      <c r="BC106" s="258"/>
      <c r="BD106" s="137"/>
      <c r="BE106" s="137"/>
      <c r="BF106" s="137"/>
      <c r="BG106" s="137"/>
      <c r="BH106" s="137"/>
      <c r="BI106" s="137"/>
      <c r="BJ106" s="137"/>
      <c r="BK106" s="137"/>
      <c r="BL106" s="137"/>
      <c r="BM106" s="137"/>
      <c r="BN106" s="137"/>
      <c r="BO106" s="137"/>
      <c r="BP106" s="137"/>
      <c r="BQ106" s="137"/>
      <c r="BR106" s="137"/>
      <c r="BS106" s="137"/>
      <c r="BV106" s="262"/>
      <c r="BW106" s="136"/>
      <c r="BX106" s="137"/>
      <c r="BY106" s="137"/>
      <c r="BZ106" s="137"/>
      <c r="CA106" s="137"/>
      <c r="CB106" s="137"/>
      <c r="CC106" s="258"/>
      <c r="CD106" s="258"/>
      <c r="CE106" s="258"/>
      <c r="CF106" s="258"/>
      <c r="CG106" s="258"/>
      <c r="CH106" s="258"/>
      <c r="CI106" s="258"/>
      <c r="CJ106" s="258"/>
      <c r="CK106" s="258"/>
      <c r="CL106" s="258"/>
      <c r="CM106" s="258"/>
    </row>
    <row r="107" spans="1:91" x14ac:dyDescent="0.25">
      <c r="A107" s="723"/>
      <c r="B107" s="723"/>
      <c r="K107" s="52"/>
      <c r="L107" s="135"/>
      <c r="N107" s="131"/>
      <c r="O107" s="131"/>
      <c r="P107" s="55"/>
      <c r="Q107" s="135"/>
      <c r="R107" s="135"/>
      <c r="U107" s="135"/>
      <c r="V107" s="146"/>
      <c r="W107" s="146"/>
      <c r="X107" s="338"/>
      <c r="Y107" s="338"/>
      <c r="Z107" s="338"/>
      <c r="AA107" s="338"/>
      <c r="AB107" s="338"/>
      <c r="AC107" s="338"/>
      <c r="AF107" s="138"/>
      <c r="AG107" s="138"/>
      <c r="AH107" s="138"/>
      <c r="AI107" s="138"/>
      <c r="AJ107" s="138"/>
      <c r="AM107" s="258"/>
      <c r="AN107" s="258"/>
      <c r="AO107" s="258"/>
      <c r="AP107" s="258"/>
      <c r="AR107" s="137"/>
      <c r="AT107" s="137"/>
      <c r="AV107" s="394"/>
      <c r="AW107" s="137"/>
      <c r="AX107" s="137"/>
      <c r="AY107" s="137"/>
      <c r="AZ107" s="137"/>
      <c r="BA107" s="264"/>
      <c r="BB107" s="258"/>
      <c r="BC107" s="258"/>
      <c r="BD107" s="137"/>
      <c r="BE107" s="137"/>
      <c r="BF107" s="137"/>
      <c r="BG107" s="137"/>
      <c r="BH107" s="137"/>
      <c r="BI107" s="137"/>
      <c r="BJ107" s="137"/>
      <c r="BK107" s="137"/>
      <c r="BL107" s="137"/>
      <c r="BM107" s="137"/>
      <c r="BN107" s="137"/>
      <c r="BO107" s="137"/>
      <c r="BP107" s="137"/>
      <c r="BQ107" s="137"/>
      <c r="BR107" s="137"/>
      <c r="BS107" s="137"/>
      <c r="BV107" s="262"/>
      <c r="BW107" s="136"/>
      <c r="BX107" s="137"/>
      <c r="BY107" s="137"/>
      <c r="BZ107" s="137"/>
      <c r="CA107" s="137"/>
      <c r="CB107" s="137"/>
      <c r="CC107" s="258"/>
      <c r="CD107" s="258"/>
      <c r="CE107" s="258"/>
      <c r="CF107" s="258"/>
      <c r="CG107" s="258"/>
      <c r="CH107" s="258"/>
      <c r="CI107" s="258"/>
      <c r="CJ107" s="258"/>
      <c r="CK107" s="258"/>
      <c r="CL107" s="258"/>
      <c r="CM107" s="258"/>
    </row>
    <row r="108" spans="1:91" x14ac:dyDescent="0.25">
      <c r="A108" s="723"/>
      <c r="B108" s="723"/>
      <c r="K108" s="52"/>
      <c r="L108" s="135"/>
      <c r="N108" s="131"/>
      <c r="O108" s="131"/>
      <c r="P108" s="55"/>
      <c r="Q108" s="135"/>
      <c r="R108" s="135"/>
      <c r="U108" s="135"/>
      <c r="V108" s="146"/>
      <c r="W108" s="146"/>
      <c r="X108" s="338"/>
      <c r="Y108" s="338"/>
      <c r="Z108" s="338"/>
      <c r="AA108" s="338"/>
      <c r="AB108" s="338"/>
      <c r="AC108" s="338"/>
      <c r="AF108" s="138"/>
      <c r="AG108" s="138"/>
      <c r="AH108" s="138"/>
      <c r="AI108" s="138"/>
      <c r="AJ108" s="138"/>
      <c r="AM108" s="258"/>
      <c r="AN108" s="258"/>
      <c r="AO108" s="258"/>
      <c r="AP108" s="258"/>
      <c r="AR108" s="137"/>
      <c r="AT108" s="137"/>
      <c r="AV108" s="394"/>
      <c r="AW108" s="137"/>
      <c r="AX108" s="137"/>
      <c r="AY108" s="137"/>
      <c r="AZ108" s="137"/>
      <c r="BA108" s="264"/>
      <c r="BB108" s="258"/>
      <c r="BC108" s="258"/>
      <c r="BD108" s="137"/>
      <c r="BE108" s="137"/>
      <c r="BF108" s="137"/>
      <c r="BG108" s="137"/>
      <c r="BH108" s="137"/>
      <c r="BI108" s="137"/>
      <c r="BJ108" s="137"/>
      <c r="BK108" s="137"/>
      <c r="BL108" s="137"/>
      <c r="BM108" s="137"/>
      <c r="BN108" s="137"/>
      <c r="BO108" s="137"/>
      <c r="BP108" s="137"/>
      <c r="BQ108" s="137"/>
      <c r="BR108" s="137"/>
      <c r="BS108" s="137"/>
      <c r="BV108" s="262"/>
      <c r="BW108" s="136"/>
      <c r="BX108" s="137"/>
      <c r="BY108" s="137"/>
      <c r="BZ108" s="137"/>
      <c r="CA108" s="137"/>
      <c r="CB108" s="137"/>
      <c r="CC108" s="258"/>
      <c r="CD108" s="258"/>
      <c r="CE108" s="258"/>
      <c r="CF108" s="258"/>
      <c r="CG108" s="258"/>
      <c r="CH108" s="258"/>
      <c r="CI108" s="258"/>
      <c r="CJ108" s="258"/>
      <c r="CK108" s="258"/>
      <c r="CL108" s="258"/>
      <c r="CM108" s="258"/>
    </row>
    <row r="109" spans="1:91" x14ac:dyDescent="0.25">
      <c r="A109" s="723"/>
      <c r="B109" s="723"/>
      <c r="K109" s="52"/>
      <c r="L109" s="135"/>
      <c r="N109" s="131"/>
      <c r="O109" s="131"/>
      <c r="P109" s="55"/>
      <c r="Q109" s="135"/>
      <c r="R109" s="135"/>
      <c r="U109" s="135"/>
      <c r="V109" s="146"/>
      <c r="W109" s="146"/>
      <c r="X109" s="338"/>
      <c r="Y109" s="338"/>
      <c r="Z109" s="338"/>
      <c r="AA109" s="338"/>
      <c r="AB109" s="338"/>
      <c r="AC109" s="338"/>
      <c r="AF109" s="138"/>
      <c r="AG109" s="138"/>
      <c r="AH109" s="138"/>
      <c r="AI109" s="138"/>
      <c r="AJ109" s="138"/>
      <c r="AM109" s="258"/>
      <c r="AN109" s="258"/>
      <c r="AO109" s="258"/>
      <c r="AP109" s="258"/>
      <c r="AR109" s="137"/>
      <c r="AT109" s="137"/>
      <c r="AV109" s="394"/>
      <c r="AW109" s="137"/>
      <c r="AX109" s="137"/>
      <c r="AY109" s="137"/>
      <c r="AZ109" s="137"/>
      <c r="BA109" s="264"/>
      <c r="BB109" s="258"/>
      <c r="BC109" s="258"/>
      <c r="BD109" s="137"/>
      <c r="BE109" s="137"/>
      <c r="BF109" s="137"/>
      <c r="BG109" s="137"/>
      <c r="BH109" s="137"/>
      <c r="BI109" s="137"/>
      <c r="BJ109" s="137"/>
      <c r="BK109" s="137"/>
      <c r="BL109" s="137"/>
      <c r="BM109" s="137"/>
      <c r="BN109" s="137"/>
      <c r="BO109" s="137"/>
      <c r="BP109" s="137"/>
      <c r="BQ109" s="137"/>
      <c r="BR109" s="137"/>
      <c r="BS109" s="137"/>
      <c r="BV109" s="262"/>
      <c r="BW109" s="136"/>
      <c r="BX109" s="137"/>
      <c r="BY109" s="137"/>
      <c r="BZ109" s="137"/>
      <c r="CA109" s="137"/>
      <c r="CB109" s="137"/>
      <c r="CC109" s="258"/>
      <c r="CD109" s="258"/>
      <c r="CE109" s="258"/>
      <c r="CF109" s="258"/>
      <c r="CG109" s="258"/>
      <c r="CH109" s="258"/>
      <c r="CI109" s="258"/>
      <c r="CJ109" s="258"/>
      <c r="CK109" s="258"/>
      <c r="CL109" s="258"/>
      <c r="CM109" s="258"/>
    </row>
    <row r="110" spans="1:91" x14ac:dyDescent="0.25">
      <c r="A110" s="723"/>
      <c r="B110" s="723"/>
      <c r="K110" s="52"/>
      <c r="L110" s="135"/>
      <c r="N110" s="131"/>
      <c r="O110" s="131"/>
      <c r="P110" s="55"/>
      <c r="Q110" s="135"/>
      <c r="R110" s="135"/>
      <c r="U110" s="135"/>
      <c r="V110" s="146"/>
      <c r="W110" s="146"/>
      <c r="X110" s="338"/>
      <c r="Y110" s="338"/>
      <c r="Z110" s="338"/>
      <c r="AA110" s="338"/>
      <c r="AB110" s="338"/>
      <c r="AC110" s="338"/>
      <c r="AF110" s="138"/>
      <c r="AG110" s="138"/>
      <c r="AH110" s="138"/>
      <c r="AI110" s="138"/>
      <c r="AJ110" s="138"/>
      <c r="AM110" s="258"/>
      <c r="AN110" s="258"/>
      <c r="AO110" s="258"/>
      <c r="AP110" s="258"/>
      <c r="AR110" s="137"/>
      <c r="AT110" s="137"/>
      <c r="AV110" s="394"/>
      <c r="AW110" s="137"/>
      <c r="AX110" s="137"/>
      <c r="AY110" s="137"/>
      <c r="AZ110" s="137"/>
      <c r="BA110" s="264"/>
      <c r="BB110" s="258"/>
      <c r="BC110" s="258"/>
      <c r="BD110" s="137"/>
      <c r="BE110" s="137"/>
      <c r="BF110" s="137"/>
      <c r="BG110" s="137"/>
      <c r="BH110" s="137"/>
      <c r="BI110" s="137"/>
      <c r="BJ110" s="137"/>
      <c r="BK110" s="137"/>
      <c r="BL110" s="137"/>
      <c r="BM110" s="137"/>
      <c r="BN110" s="137"/>
      <c r="BO110" s="137"/>
      <c r="BP110" s="137"/>
      <c r="BQ110" s="137"/>
      <c r="BR110" s="137"/>
      <c r="BS110" s="137"/>
      <c r="BV110" s="262"/>
      <c r="BW110" s="136"/>
      <c r="BX110" s="137"/>
      <c r="BY110" s="137"/>
      <c r="BZ110" s="137"/>
      <c r="CA110" s="137"/>
      <c r="CB110" s="137"/>
      <c r="CC110" s="258"/>
      <c r="CD110" s="258"/>
      <c r="CE110" s="258"/>
      <c r="CF110" s="258"/>
      <c r="CG110" s="258"/>
      <c r="CH110" s="258"/>
      <c r="CI110" s="258"/>
      <c r="CJ110" s="258"/>
      <c r="CK110" s="258"/>
      <c r="CL110" s="258"/>
      <c r="CM110" s="258"/>
    </row>
    <row r="111" spans="1:91" x14ac:dyDescent="0.25">
      <c r="A111" s="723"/>
      <c r="B111" s="723"/>
      <c r="K111" s="52"/>
      <c r="L111" s="135"/>
      <c r="N111" s="131"/>
      <c r="O111" s="131"/>
      <c r="P111" s="55"/>
      <c r="Q111" s="135"/>
      <c r="R111" s="135"/>
      <c r="U111" s="135"/>
      <c r="V111" s="146"/>
      <c r="W111" s="146"/>
      <c r="X111" s="338"/>
      <c r="Y111" s="338"/>
      <c r="Z111" s="338"/>
      <c r="AA111" s="338"/>
      <c r="AB111" s="338"/>
      <c r="AC111" s="338"/>
      <c r="AF111" s="138"/>
      <c r="AG111" s="138"/>
      <c r="AH111" s="138"/>
      <c r="AI111" s="138"/>
      <c r="AJ111" s="138"/>
      <c r="AM111" s="258"/>
      <c r="AN111" s="258"/>
      <c r="AO111" s="258"/>
      <c r="AP111" s="258"/>
      <c r="AR111" s="137"/>
      <c r="AT111" s="137"/>
      <c r="AV111" s="394"/>
      <c r="AW111" s="137"/>
      <c r="AX111" s="137"/>
      <c r="AY111" s="137"/>
      <c r="AZ111" s="137"/>
      <c r="BA111" s="264"/>
      <c r="BB111" s="258"/>
      <c r="BC111" s="258"/>
      <c r="BD111" s="137"/>
      <c r="BE111" s="137"/>
      <c r="BF111" s="137"/>
      <c r="BG111" s="137"/>
      <c r="BH111" s="137"/>
      <c r="BI111" s="137"/>
      <c r="BJ111" s="137"/>
      <c r="BK111" s="137"/>
      <c r="BL111" s="137"/>
      <c r="BM111" s="137"/>
      <c r="BN111" s="137"/>
      <c r="BO111" s="137"/>
      <c r="BP111" s="137"/>
      <c r="BQ111" s="137"/>
      <c r="BR111" s="137"/>
      <c r="BS111" s="137"/>
      <c r="BV111" s="262"/>
      <c r="BW111" s="136"/>
      <c r="BX111" s="137"/>
      <c r="BY111" s="137"/>
      <c r="BZ111" s="137"/>
      <c r="CA111" s="137"/>
      <c r="CB111" s="137"/>
      <c r="CC111" s="258"/>
      <c r="CD111" s="258"/>
      <c r="CE111" s="258"/>
      <c r="CF111" s="258"/>
      <c r="CG111" s="258"/>
      <c r="CH111" s="258"/>
      <c r="CI111" s="258"/>
      <c r="CJ111" s="258"/>
      <c r="CK111" s="258"/>
      <c r="CL111" s="258"/>
      <c r="CM111" s="258"/>
    </row>
    <row r="112" spans="1:91" x14ac:dyDescent="0.25">
      <c r="A112" s="723"/>
      <c r="B112" s="723"/>
      <c r="K112" s="52"/>
      <c r="L112" s="135"/>
      <c r="N112" s="131"/>
      <c r="O112" s="131"/>
      <c r="P112" s="55"/>
      <c r="Q112" s="135"/>
      <c r="R112" s="135"/>
      <c r="U112" s="135"/>
      <c r="V112" s="146"/>
      <c r="W112" s="146"/>
      <c r="X112" s="338"/>
      <c r="Y112" s="338"/>
      <c r="Z112" s="338"/>
      <c r="AA112" s="338"/>
      <c r="AB112" s="338"/>
      <c r="AC112" s="338"/>
      <c r="AF112" s="138"/>
      <c r="AG112" s="138"/>
      <c r="AH112" s="138"/>
      <c r="AI112" s="138"/>
      <c r="AJ112" s="138"/>
      <c r="AM112" s="258"/>
      <c r="AN112" s="258"/>
      <c r="AO112" s="258"/>
      <c r="AP112" s="258"/>
      <c r="AR112" s="137"/>
      <c r="AT112" s="137"/>
      <c r="AV112" s="394"/>
      <c r="AW112" s="137"/>
      <c r="AX112" s="137"/>
      <c r="AY112" s="137"/>
      <c r="AZ112" s="137"/>
      <c r="BA112" s="264"/>
      <c r="BB112" s="258"/>
      <c r="BC112" s="258"/>
      <c r="BD112" s="137"/>
      <c r="BE112" s="137"/>
      <c r="BF112" s="137"/>
      <c r="BG112" s="137"/>
      <c r="BH112" s="137"/>
      <c r="BI112" s="137"/>
      <c r="BJ112" s="137"/>
      <c r="BK112" s="137"/>
      <c r="BL112" s="137"/>
      <c r="BM112" s="137"/>
      <c r="BN112" s="137"/>
      <c r="BO112" s="137"/>
      <c r="BP112" s="137"/>
      <c r="BQ112" s="137"/>
      <c r="BR112" s="137"/>
      <c r="BS112" s="137"/>
      <c r="BV112" s="262"/>
      <c r="BW112" s="136"/>
      <c r="BX112" s="137"/>
      <c r="BY112" s="137"/>
      <c r="BZ112" s="137"/>
      <c r="CA112" s="137"/>
      <c r="CB112" s="137"/>
      <c r="CC112" s="258"/>
      <c r="CD112" s="258"/>
      <c r="CE112" s="258"/>
      <c r="CF112" s="258"/>
      <c r="CG112" s="258"/>
      <c r="CH112" s="258"/>
      <c r="CI112" s="258"/>
      <c r="CJ112" s="258"/>
      <c r="CK112" s="258"/>
      <c r="CL112" s="258"/>
      <c r="CM112" s="258"/>
    </row>
    <row r="113" spans="1:91" x14ac:dyDescent="0.25">
      <c r="A113" s="723"/>
      <c r="B113" s="723"/>
      <c r="K113" s="52"/>
      <c r="L113" s="135"/>
      <c r="N113" s="131"/>
      <c r="O113" s="131"/>
      <c r="P113" s="55"/>
      <c r="Q113" s="135"/>
      <c r="R113" s="135"/>
      <c r="U113" s="135"/>
      <c r="V113" s="146"/>
      <c r="W113" s="146"/>
      <c r="X113" s="338"/>
      <c r="Y113" s="338"/>
      <c r="Z113" s="338"/>
      <c r="AA113" s="338"/>
      <c r="AB113" s="338"/>
      <c r="AC113" s="338"/>
      <c r="AF113" s="138"/>
      <c r="AG113" s="138"/>
      <c r="AH113" s="138"/>
      <c r="AI113" s="138"/>
      <c r="AJ113" s="138"/>
      <c r="AM113" s="258"/>
      <c r="AN113" s="258"/>
      <c r="AO113" s="258"/>
      <c r="AP113" s="258"/>
      <c r="AR113" s="137"/>
      <c r="AT113" s="137"/>
      <c r="AV113" s="394"/>
      <c r="AW113" s="137"/>
      <c r="AX113" s="137"/>
      <c r="AY113" s="137"/>
      <c r="AZ113" s="137"/>
      <c r="BA113" s="264"/>
      <c r="BB113" s="258"/>
      <c r="BC113" s="258"/>
      <c r="BD113" s="137"/>
      <c r="BE113" s="137"/>
      <c r="BF113" s="137"/>
      <c r="BG113" s="137"/>
      <c r="BH113" s="137"/>
      <c r="BI113" s="137"/>
      <c r="BJ113" s="137"/>
      <c r="BK113" s="137"/>
      <c r="BL113" s="137"/>
      <c r="BM113" s="137"/>
      <c r="BN113" s="137"/>
      <c r="BO113" s="137"/>
      <c r="BP113" s="137"/>
      <c r="BQ113" s="137"/>
      <c r="BR113" s="137"/>
      <c r="BS113" s="137"/>
      <c r="BV113" s="262"/>
      <c r="BW113" s="136"/>
      <c r="BX113" s="137"/>
      <c r="BY113" s="137"/>
      <c r="BZ113" s="137"/>
      <c r="CA113" s="137"/>
      <c r="CB113" s="137"/>
      <c r="CC113" s="258"/>
      <c r="CD113" s="258"/>
      <c r="CE113" s="258"/>
      <c r="CF113" s="258"/>
      <c r="CG113" s="258"/>
      <c r="CH113" s="258"/>
      <c r="CI113" s="258"/>
      <c r="CJ113" s="258"/>
      <c r="CK113" s="258"/>
      <c r="CL113" s="258"/>
      <c r="CM113" s="258"/>
    </row>
    <row r="114" spans="1:91" x14ac:dyDescent="0.25">
      <c r="A114" s="723"/>
      <c r="B114" s="723"/>
      <c r="K114" s="52"/>
      <c r="L114" s="135"/>
      <c r="N114" s="131"/>
      <c r="O114" s="131"/>
      <c r="P114" s="55"/>
      <c r="Q114" s="135"/>
      <c r="R114" s="135"/>
      <c r="U114" s="135"/>
      <c r="V114" s="146"/>
      <c r="W114" s="146"/>
      <c r="X114" s="338"/>
      <c r="Y114" s="338"/>
      <c r="Z114" s="338"/>
      <c r="AA114" s="338"/>
      <c r="AB114" s="338"/>
      <c r="AC114" s="338"/>
      <c r="AF114" s="138"/>
      <c r="AG114" s="138"/>
      <c r="AH114" s="138"/>
      <c r="AI114" s="138"/>
      <c r="AJ114" s="138"/>
      <c r="AM114" s="258"/>
      <c r="AN114" s="258"/>
      <c r="AO114" s="258"/>
      <c r="AP114" s="258"/>
      <c r="AR114" s="137"/>
      <c r="AT114" s="137"/>
      <c r="AV114" s="394"/>
      <c r="AW114" s="137"/>
      <c r="AX114" s="137"/>
      <c r="AY114" s="137"/>
      <c r="AZ114" s="137"/>
      <c r="BA114" s="264"/>
      <c r="BB114" s="258"/>
      <c r="BC114" s="258"/>
      <c r="BD114" s="137"/>
      <c r="BE114" s="137"/>
      <c r="BF114" s="137"/>
      <c r="BG114" s="137"/>
      <c r="BH114" s="137"/>
      <c r="BI114" s="137"/>
      <c r="BJ114" s="137"/>
      <c r="BK114" s="137"/>
      <c r="BL114" s="137"/>
      <c r="BM114" s="137"/>
      <c r="BN114" s="137"/>
      <c r="BO114" s="137"/>
      <c r="BP114" s="137"/>
      <c r="BQ114" s="137"/>
      <c r="BR114" s="137"/>
      <c r="BS114" s="137"/>
      <c r="BV114" s="262"/>
      <c r="BW114" s="136"/>
      <c r="BX114" s="137"/>
      <c r="BY114" s="137"/>
      <c r="BZ114" s="137"/>
      <c r="CA114" s="137"/>
      <c r="CB114" s="137"/>
      <c r="CC114" s="258"/>
      <c r="CD114" s="258"/>
      <c r="CE114" s="258"/>
      <c r="CF114" s="258"/>
      <c r="CG114" s="258"/>
      <c r="CH114" s="258"/>
      <c r="CI114" s="258"/>
      <c r="CJ114" s="258"/>
      <c r="CK114" s="258"/>
      <c r="CL114" s="258"/>
      <c r="CM114" s="258"/>
    </row>
    <row r="115" spans="1:91" x14ac:dyDescent="0.25">
      <c r="A115" s="723"/>
      <c r="B115" s="723"/>
      <c r="K115" s="52"/>
      <c r="L115" s="135"/>
      <c r="N115" s="131"/>
      <c r="O115" s="131"/>
      <c r="P115" s="55"/>
      <c r="Q115" s="135"/>
      <c r="R115" s="135"/>
      <c r="U115" s="135"/>
      <c r="V115" s="146"/>
      <c r="W115" s="146"/>
      <c r="X115" s="338"/>
      <c r="Y115" s="338"/>
      <c r="Z115" s="338"/>
      <c r="AA115" s="338"/>
      <c r="AB115" s="338"/>
      <c r="AC115" s="338"/>
      <c r="AF115" s="138"/>
      <c r="AG115" s="138"/>
      <c r="AH115" s="138"/>
      <c r="AI115" s="138"/>
      <c r="AJ115" s="138"/>
      <c r="AM115" s="258"/>
      <c r="AN115" s="258"/>
      <c r="AO115" s="258"/>
      <c r="AP115" s="258"/>
      <c r="AR115" s="137"/>
      <c r="AT115" s="137"/>
      <c r="AV115" s="394"/>
      <c r="AW115" s="137"/>
      <c r="AX115" s="137"/>
      <c r="AY115" s="137"/>
      <c r="AZ115" s="137"/>
      <c r="BA115" s="264"/>
      <c r="BB115" s="258"/>
      <c r="BC115" s="258"/>
      <c r="BD115" s="137"/>
      <c r="BE115" s="137"/>
      <c r="BF115" s="137"/>
      <c r="BG115" s="137"/>
      <c r="BH115" s="137"/>
      <c r="BI115" s="137"/>
      <c r="BJ115" s="137"/>
      <c r="BK115" s="137"/>
      <c r="BL115" s="137"/>
      <c r="BM115" s="137"/>
      <c r="BN115" s="137"/>
      <c r="BO115" s="137"/>
      <c r="BP115" s="137"/>
      <c r="BQ115" s="137"/>
      <c r="BR115" s="137"/>
      <c r="BS115" s="137"/>
      <c r="BV115" s="262"/>
      <c r="BW115" s="136"/>
      <c r="BX115" s="137"/>
      <c r="BY115" s="137"/>
      <c r="BZ115" s="137"/>
      <c r="CA115" s="137"/>
      <c r="CB115" s="137"/>
      <c r="CC115" s="258"/>
      <c r="CD115" s="258"/>
      <c r="CE115" s="258"/>
      <c r="CF115" s="258"/>
      <c r="CG115" s="258"/>
      <c r="CH115" s="258"/>
      <c r="CI115" s="258"/>
      <c r="CJ115" s="258"/>
      <c r="CK115" s="258"/>
      <c r="CL115" s="258"/>
      <c r="CM115" s="258"/>
    </row>
    <row r="116" spans="1:91" x14ac:dyDescent="0.25">
      <c r="A116" s="723"/>
      <c r="B116" s="723"/>
      <c r="K116" s="52"/>
      <c r="L116" s="135"/>
      <c r="N116" s="131"/>
      <c r="O116" s="131"/>
      <c r="P116" s="55"/>
      <c r="Q116" s="135"/>
      <c r="R116" s="135"/>
      <c r="U116" s="135"/>
      <c r="V116" s="146"/>
      <c r="W116" s="146"/>
      <c r="X116" s="338"/>
      <c r="Y116" s="338"/>
      <c r="Z116" s="338"/>
      <c r="AA116" s="338"/>
      <c r="AB116" s="338"/>
      <c r="AC116" s="338"/>
      <c r="AF116" s="138"/>
      <c r="AG116" s="138"/>
      <c r="AH116" s="138"/>
      <c r="AI116" s="138"/>
      <c r="AJ116" s="138"/>
      <c r="AM116" s="258"/>
      <c r="AN116" s="258"/>
      <c r="AO116" s="258"/>
      <c r="AP116" s="258"/>
      <c r="AR116" s="137"/>
      <c r="AT116" s="137"/>
      <c r="AV116" s="394"/>
      <c r="AW116" s="137"/>
      <c r="AX116" s="137"/>
      <c r="AY116" s="137"/>
      <c r="AZ116" s="137"/>
      <c r="BA116" s="264"/>
      <c r="BB116" s="258"/>
      <c r="BC116" s="258"/>
      <c r="BD116" s="137"/>
      <c r="BE116" s="137"/>
      <c r="BF116" s="137"/>
      <c r="BG116" s="137"/>
      <c r="BH116" s="137"/>
      <c r="BI116" s="137"/>
      <c r="BJ116" s="137"/>
      <c r="BK116" s="137"/>
      <c r="BL116" s="137"/>
      <c r="BM116" s="137"/>
      <c r="BN116" s="137"/>
      <c r="BO116" s="137"/>
      <c r="BP116" s="137"/>
      <c r="BQ116" s="137"/>
      <c r="BR116" s="137"/>
      <c r="BS116" s="137"/>
      <c r="BV116" s="262"/>
      <c r="BW116" s="136"/>
      <c r="BX116" s="137"/>
      <c r="BY116" s="137"/>
      <c r="BZ116" s="137"/>
      <c r="CA116" s="137"/>
      <c r="CB116" s="137"/>
      <c r="CC116" s="258"/>
      <c r="CD116" s="258"/>
      <c r="CE116" s="258"/>
      <c r="CF116" s="258"/>
      <c r="CG116" s="258"/>
      <c r="CH116" s="258"/>
      <c r="CI116" s="258"/>
      <c r="CJ116" s="258"/>
      <c r="CK116" s="258"/>
      <c r="CL116" s="258"/>
      <c r="CM116" s="258"/>
    </row>
    <row r="117" spans="1:91" x14ac:dyDescent="0.25">
      <c r="A117" s="723"/>
      <c r="B117" s="723"/>
      <c r="K117" s="52"/>
      <c r="L117" s="135"/>
      <c r="N117" s="131"/>
      <c r="O117" s="131"/>
      <c r="P117" s="55"/>
      <c r="Q117" s="135"/>
      <c r="R117" s="135"/>
      <c r="U117" s="135"/>
      <c r="V117" s="146"/>
      <c r="W117" s="146"/>
      <c r="X117" s="338"/>
      <c r="Y117" s="338"/>
      <c r="Z117" s="338"/>
      <c r="AA117" s="338"/>
      <c r="AB117" s="338"/>
      <c r="AC117" s="338"/>
      <c r="AF117" s="138"/>
      <c r="AG117" s="138"/>
      <c r="AH117" s="138"/>
      <c r="AI117" s="138"/>
      <c r="AJ117" s="138"/>
      <c r="AM117" s="258"/>
      <c r="AN117" s="258"/>
      <c r="AO117" s="258"/>
      <c r="AP117" s="258"/>
      <c r="AR117" s="137"/>
      <c r="AT117" s="137"/>
      <c r="AV117" s="394"/>
      <c r="AW117" s="137"/>
      <c r="AX117" s="137"/>
      <c r="AY117" s="137"/>
      <c r="AZ117" s="137"/>
      <c r="BA117" s="264"/>
      <c r="BB117" s="258"/>
      <c r="BC117" s="258"/>
      <c r="BD117" s="137"/>
      <c r="BE117" s="137"/>
      <c r="BF117" s="137"/>
      <c r="BG117" s="137"/>
      <c r="BH117" s="137"/>
      <c r="BI117" s="137"/>
      <c r="BJ117" s="137"/>
      <c r="BK117" s="137"/>
      <c r="BL117" s="137"/>
      <c r="BM117" s="137"/>
      <c r="BN117" s="137"/>
      <c r="BO117" s="137"/>
      <c r="BP117" s="137"/>
      <c r="BQ117" s="137"/>
      <c r="BR117" s="137"/>
      <c r="BS117" s="137"/>
      <c r="BV117" s="262"/>
      <c r="BW117" s="136"/>
      <c r="BX117" s="137"/>
      <c r="BY117" s="137"/>
      <c r="BZ117" s="137"/>
      <c r="CA117" s="137"/>
      <c r="CB117" s="137"/>
      <c r="CC117" s="258"/>
      <c r="CD117" s="258"/>
      <c r="CE117" s="258"/>
      <c r="CF117" s="258"/>
      <c r="CG117" s="258"/>
      <c r="CH117" s="258"/>
      <c r="CI117" s="258"/>
      <c r="CJ117" s="258"/>
      <c r="CK117" s="258"/>
      <c r="CL117" s="258"/>
      <c r="CM117" s="258"/>
    </row>
    <row r="118" spans="1:91" x14ac:dyDescent="0.25">
      <c r="A118" s="723"/>
      <c r="B118" s="723"/>
      <c r="K118" s="52"/>
      <c r="L118" s="135"/>
      <c r="N118" s="131"/>
      <c r="O118" s="131"/>
      <c r="P118" s="55"/>
      <c r="Q118" s="135"/>
      <c r="R118" s="135"/>
      <c r="U118" s="135"/>
      <c r="V118" s="146"/>
      <c r="W118" s="146"/>
      <c r="X118" s="338"/>
      <c r="Y118" s="338"/>
      <c r="Z118" s="338"/>
      <c r="AA118" s="338"/>
      <c r="AB118" s="338"/>
      <c r="AC118" s="338"/>
      <c r="AF118" s="138"/>
      <c r="AG118" s="138"/>
      <c r="AH118" s="138"/>
      <c r="AI118" s="138"/>
      <c r="AJ118" s="138"/>
      <c r="AM118" s="258"/>
      <c r="AN118" s="258"/>
      <c r="AO118" s="258"/>
      <c r="AP118" s="258"/>
      <c r="AR118" s="137"/>
      <c r="AT118" s="137"/>
      <c r="AV118" s="394"/>
      <c r="AW118" s="137"/>
      <c r="AX118" s="137"/>
      <c r="AY118" s="137"/>
      <c r="AZ118" s="137"/>
      <c r="BA118" s="264"/>
      <c r="BB118" s="258"/>
      <c r="BC118" s="258"/>
      <c r="BD118" s="137"/>
      <c r="BE118" s="137"/>
      <c r="BF118" s="137"/>
      <c r="BG118" s="137"/>
      <c r="BH118" s="137"/>
      <c r="BI118" s="137"/>
      <c r="BJ118" s="137"/>
      <c r="BK118" s="137"/>
      <c r="BL118" s="137"/>
      <c r="BM118" s="137"/>
      <c r="BN118" s="137"/>
      <c r="BO118" s="137"/>
      <c r="BP118" s="137"/>
      <c r="BQ118" s="137"/>
      <c r="BR118" s="137"/>
      <c r="BS118" s="137"/>
      <c r="BV118" s="262"/>
      <c r="BW118" s="136"/>
      <c r="BX118" s="137"/>
      <c r="BY118" s="137"/>
      <c r="BZ118" s="137"/>
      <c r="CA118" s="137"/>
      <c r="CB118" s="137"/>
      <c r="CC118" s="258"/>
      <c r="CD118" s="258"/>
      <c r="CE118" s="258"/>
      <c r="CF118" s="258"/>
      <c r="CG118" s="258"/>
      <c r="CH118" s="258"/>
      <c r="CI118" s="258"/>
      <c r="CJ118" s="258"/>
      <c r="CK118" s="258"/>
      <c r="CL118" s="258"/>
      <c r="CM118" s="258"/>
    </row>
    <row r="119" spans="1:91" x14ac:dyDescent="0.25">
      <c r="A119" s="723"/>
      <c r="B119" s="723"/>
      <c r="K119" s="52"/>
      <c r="L119" s="135"/>
      <c r="N119" s="131"/>
      <c r="O119" s="131"/>
      <c r="P119" s="55"/>
      <c r="Q119" s="135"/>
      <c r="R119" s="135"/>
      <c r="U119" s="135"/>
      <c r="V119" s="146"/>
      <c r="W119" s="146"/>
      <c r="X119" s="338"/>
      <c r="Y119" s="338"/>
      <c r="Z119" s="338"/>
      <c r="AA119" s="338"/>
      <c r="AB119" s="338"/>
      <c r="AC119" s="338"/>
      <c r="AF119" s="138"/>
      <c r="AG119" s="138"/>
      <c r="AH119" s="138"/>
      <c r="AI119" s="138"/>
      <c r="AJ119" s="138"/>
      <c r="AM119" s="258"/>
      <c r="AN119" s="258"/>
      <c r="AO119" s="258"/>
      <c r="AP119" s="258"/>
      <c r="AR119" s="137"/>
      <c r="AT119" s="137"/>
      <c r="AV119" s="394"/>
      <c r="AW119" s="137"/>
      <c r="AX119" s="137"/>
      <c r="AY119" s="137"/>
      <c r="AZ119" s="137"/>
      <c r="BA119" s="264"/>
      <c r="BB119" s="258"/>
      <c r="BC119" s="258"/>
      <c r="BD119" s="137"/>
      <c r="BE119" s="137"/>
      <c r="BF119" s="137"/>
      <c r="BG119" s="137"/>
      <c r="BH119" s="137"/>
      <c r="BI119" s="137"/>
      <c r="BJ119" s="137"/>
      <c r="BK119" s="137"/>
      <c r="BL119" s="137"/>
      <c r="BM119" s="137"/>
      <c r="BN119" s="137"/>
      <c r="BO119" s="137"/>
      <c r="BP119" s="137"/>
      <c r="BQ119" s="137"/>
      <c r="BR119" s="137"/>
      <c r="BS119" s="137"/>
      <c r="BV119" s="262"/>
      <c r="BW119" s="136"/>
      <c r="BX119" s="137"/>
      <c r="BY119" s="137"/>
      <c r="BZ119" s="137"/>
      <c r="CA119" s="137"/>
      <c r="CB119" s="137"/>
      <c r="CC119" s="258"/>
      <c r="CD119" s="258"/>
      <c r="CE119" s="258"/>
      <c r="CF119" s="258"/>
      <c r="CG119" s="258"/>
      <c r="CH119" s="258"/>
      <c r="CI119" s="258"/>
      <c r="CJ119" s="258"/>
      <c r="CK119" s="258"/>
      <c r="CL119" s="258"/>
      <c r="CM119" s="258"/>
    </row>
    <row r="120" spans="1:91" x14ac:dyDescent="0.25">
      <c r="A120" s="723"/>
      <c r="B120" s="723"/>
      <c r="K120" s="52"/>
      <c r="L120" s="135"/>
      <c r="N120" s="131"/>
      <c r="O120" s="131"/>
      <c r="P120" s="55"/>
      <c r="Q120" s="135"/>
      <c r="R120" s="135"/>
      <c r="U120" s="135"/>
      <c r="V120" s="146"/>
      <c r="W120" s="146"/>
      <c r="X120" s="338"/>
      <c r="Y120" s="338"/>
      <c r="Z120" s="338"/>
      <c r="AA120" s="338"/>
      <c r="AB120" s="338"/>
      <c r="AC120" s="338"/>
      <c r="AF120" s="138"/>
      <c r="AG120" s="138"/>
      <c r="AH120" s="138"/>
      <c r="AI120" s="138"/>
      <c r="AJ120" s="138"/>
      <c r="AM120" s="258"/>
      <c r="AN120" s="258"/>
      <c r="AO120" s="258"/>
      <c r="AP120" s="258"/>
      <c r="AR120" s="137"/>
      <c r="AT120" s="137"/>
      <c r="AV120" s="394"/>
      <c r="AW120" s="137"/>
      <c r="AX120" s="137"/>
      <c r="AY120" s="137"/>
      <c r="AZ120" s="137"/>
      <c r="BA120" s="264"/>
      <c r="BB120" s="258"/>
      <c r="BC120" s="258"/>
      <c r="BD120" s="137"/>
      <c r="BE120" s="137"/>
      <c r="BF120" s="137"/>
      <c r="BG120" s="137"/>
      <c r="BH120" s="137"/>
      <c r="BI120" s="137"/>
      <c r="BJ120" s="137"/>
      <c r="BK120" s="137"/>
      <c r="BL120" s="137"/>
      <c r="BM120" s="137"/>
      <c r="BN120" s="137"/>
      <c r="BO120" s="137"/>
      <c r="BP120" s="137"/>
      <c r="BQ120" s="137"/>
      <c r="BR120" s="137"/>
      <c r="BS120" s="137"/>
      <c r="BV120" s="262"/>
      <c r="BW120" s="136"/>
      <c r="BX120" s="137"/>
      <c r="BY120" s="137"/>
      <c r="BZ120" s="137"/>
      <c r="CA120" s="137"/>
      <c r="CB120" s="137"/>
      <c r="CC120" s="258"/>
      <c r="CD120" s="258"/>
      <c r="CE120" s="258"/>
      <c r="CF120" s="258"/>
      <c r="CG120" s="258"/>
      <c r="CH120" s="258"/>
      <c r="CI120" s="258"/>
      <c r="CJ120" s="258"/>
      <c r="CK120" s="258"/>
      <c r="CL120" s="258"/>
      <c r="CM120" s="258"/>
    </row>
    <row r="121" spans="1:91" x14ac:dyDescent="0.25">
      <c r="A121" s="723"/>
      <c r="B121" s="723"/>
      <c r="K121" s="52"/>
      <c r="L121" s="135"/>
      <c r="N121" s="131"/>
      <c r="O121" s="131"/>
      <c r="P121" s="55"/>
      <c r="Q121" s="135"/>
      <c r="R121" s="135"/>
      <c r="U121" s="135"/>
      <c r="V121" s="146"/>
      <c r="W121" s="146"/>
      <c r="X121" s="338"/>
      <c r="Y121" s="338"/>
      <c r="Z121" s="338"/>
      <c r="AA121" s="338"/>
      <c r="AB121" s="338"/>
      <c r="AC121" s="338"/>
      <c r="AF121" s="138"/>
      <c r="AG121" s="138"/>
      <c r="AH121" s="138"/>
      <c r="AI121" s="138"/>
      <c r="AJ121" s="138"/>
      <c r="AM121" s="258"/>
      <c r="AN121" s="258"/>
      <c r="AO121" s="258"/>
      <c r="AP121" s="258"/>
      <c r="AR121" s="137"/>
      <c r="AT121" s="137"/>
      <c r="AV121" s="394"/>
      <c r="AW121" s="137"/>
      <c r="AX121" s="137"/>
      <c r="AY121" s="137"/>
      <c r="AZ121" s="137"/>
      <c r="BA121" s="264"/>
      <c r="BB121" s="258"/>
      <c r="BC121" s="258"/>
      <c r="BD121" s="137"/>
      <c r="BE121" s="137"/>
      <c r="BF121" s="137"/>
      <c r="BG121" s="137"/>
      <c r="BH121" s="137"/>
      <c r="BI121" s="137"/>
      <c r="BJ121" s="137"/>
      <c r="BK121" s="137"/>
      <c r="BL121" s="137"/>
      <c r="BM121" s="137"/>
      <c r="BN121" s="137"/>
      <c r="BO121" s="137"/>
      <c r="BP121" s="137"/>
      <c r="BQ121" s="137"/>
      <c r="BR121" s="137"/>
      <c r="BS121" s="137"/>
      <c r="BV121" s="262"/>
      <c r="BW121" s="136"/>
      <c r="BX121" s="137"/>
      <c r="BY121" s="137"/>
      <c r="BZ121" s="137"/>
      <c r="CA121" s="137"/>
      <c r="CB121" s="137"/>
      <c r="CC121" s="258"/>
      <c r="CD121" s="258"/>
      <c r="CE121" s="258"/>
      <c r="CF121" s="258"/>
      <c r="CG121" s="258"/>
      <c r="CH121" s="258"/>
      <c r="CI121" s="258"/>
      <c r="CJ121" s="258"/>
      <c r="CK121" s="258"/>
      <c r="CL121" s="258"/>
      <c r="CM121" s="258"/>
    </row>
    <row r="122" spans="1:91" x14ac:dyDescent="0.25">
      <c r="A122" s="723"/>
      <c r="B122" s="723"/>
      <c r="K122" s="52"/>
      <c r="L122" s="135"/>
      <c r="N122" s="131"/>
      <c r="O122" s="131"/>
      <c r="P122" s="55"/>
      <c r="Q122" s="135"/>
      <c r="R122" s="135"/>
      <c r="U122" s="135"/>
      <c r="V122" s="146"/>
      <c r="W122" s="146"/>
      <c r="X122" s="338"/>
      <c r="Y122" s="338"/>
      <c r="Z122" s="338"/>
      <c r="AA122" s="338"/>
      <c r="AB122" s="338"/>
      <c r="AC122" s="338"/>
      <c r="AF122" s="138"/>
      <c r="AG122" s="138"/>
      <c r="AH122" s="138"/>
      <c r="AI122" s="138"/>
      <c r="AJ122" s="138"/>
      <c r="AM122" s="258"/>
      <c r="AN122" s="258"/>
      <c r="AO122" s="258"/>
      <c r="AP122" s="258"/>
      <c r="AR122" s="137"/>
      <c r="AT122" s="137"/>
      <c r="AV122" s="394"/>
      <c r="AW122" s="137"/>
      <c r="AX122" s="137"/>
      <c r="AY122" s="137"/>
      <c r="AZ122" s="137"/>
      <c r="BA122" s="264"/>
      <c r="BB122" s="258"/>
      <c r="BC122" s="258"/>
      <c r="BD122" s="137"/>
      <c r="BE122" s="137"/>
      <c r="BF122" s="137"/>
      <c r="BG122" s="137"/>
      <c r="BH122" s="137"/>
      <c r="BI122" s="137"/>
      <c r="BJ122" s="137"/>
      <c r="BK122" s="137"/>
      <c r="BL122" s="137"/>
      <c r="BM122" s="137"/>
      <c r="BN122" s="137"/>
      <c r="BO122" s="137"/>
      <c r="BP122" s="137"/>
      <c r="BQ122" s="137"/>
      <c r="BR122" s="137"/>
      <c r="BS122" s="137"/>
      <c r="BV122" s="262"/>
      <c r="BW122" s="136"/>
      <c r="BX122" s="137"/>
      <c r="BY122" s="137"/>
      <c r="BZ122" s="137"/>
      <c r="CA122" s="137"/>
      <c r="CB122" s="137"/>
      <c r="CC122" s="258"/>
      <c r="CD122" s="258"/>
      <c r="CE122" s="258"/>
      <c r="CF122" s="258"/>
      <c r="CG122" s="258"/>
      <c r="CH122" s="258"/>
      <c r="CI122" s="258"/>
      <c r="CJ122" s="258"/>
      <c r="CK122" s="258"/>
      <c r="CL122" s="258"/>
      <c r="CM122" s="258"/>
    </row>
    <row r="123" spans="1:91" x14ac:dyDescent="0.25">
      <c r="A123" s="723"/>
      <c r="B123" s="723"/>
      <c r="K123" s="52"/>
      <c r="L123" s="135"/>
      <c r="N123" s="131"/>
      <c r="O123" s="131"/>
      <c r="P123" s="55"/>
      <c r="Q123" s="135"/>
      <c r="R123" s="135"/>
      <c r="U123" s="135"/>
      <c r="V123" s="146"/>
      <c r="W123" s="146"/>
      <c r="X123" s="338"/>
      <c r="Y123" s="338"/>
      <c r="Z123" s="338"/>
      <c r="AA123" s="338"/>
      <c r="AB123" s="338"/>
      <c r="AC123" s="338"/>
      <c r="AF123" s="138"/>
      <c r="AG123" s="138"/>
      <c r="AH123" s="138"/>
      <c r="AI123" s="138"/>
      <c r="AJ123" s="138"/>
      <c r="AM123" s="258"/>
      <c r="AN123" s="258"/>
      <c r="AO123" s="258"/>
      <c r="AP123" s="258"/>
      <c r="AR123" s="137"/>
      <c r="AT123" s="137"/>
      <c r="AV123" s="394"/>
      <c r="AW123" s="137"/>
      <c r="AX123" s="137"/>
      <c r="AY123" s="137"/>
      <c r="AZ123" s="137"/>
      <c r="BA123" s="264"/>
      <c r="BB123" s="258"/>
      <c r="BC123" s="258"/>
      <c r="BD123" s="137"/>
      <c r="BE123" s="137"/>
      <c r="BF123" s="137"/>
      <c r="BG123" s="137"/>
      <c r="BH123" s="137"/>
      <c r="BI123" s="137"/>
      <c r="BJ123" s="137"/>
      <c r="BK123" s="137"/>
      <c r="BL123" s="137"/>
      <c r="BM123" s="137"/>
      <c r="BN123" s="137"/>
      <c r="BO123" s="137"/>
      <c r="BP123" s="137"/>
      <c r="BQ123" s="137"/>
      <c r="BR123" s="137"/>
      <c r="BS123" s="137"/>
      <c r="BV123" s="262"/>
      <c r="BW123" s="136"/>
      <c r="BX123" s="137"/>
      <c r="BY123" s="137"/>
      <c r="BZ123" s="137"/>
      <c r="CA123" s="137"/>
      <c r="CB123" s="137"/>
      <c r="CC123" s="258"/>
      <c r="CD123" s="258"/>
      <c r="CE123" s="258"/>
      <c r="CF123" s="258"/>
      <c r="CG123" s="258"/>
      <c r="CH123" s="258"/>
      <c r="CI123" s="258"/>
      <c r="CJ123" s="258"/>
      <c r="CK123" s="258"/>
      <c r="CL123" s="258"/>
      <c r="CM123" s="258"/>
    </row>
    <row r="124" spans="1:91" x14ac:dyDescent="0.25">
      <c r="A124" s="723"/>
      <c r="B124" s="723"/>
      <c r="K124" s="52"/>
      <c r="L124" s="135"/>
      <c r="N124" s="131"/>
      <c r="O124" s="131"/>
      <c r="P124" s="55"/>
      <c r="Q124" s="135"/>
      <c r="R124" s="135"/>
      <c r="U124" s="135"/>
      <c r="V124" s="146"/>
      <c r="W124" s="146"/>
      <c r="X124" s="338"/>
      <c r="Y124" s="338"/>
      <c r="Z124" s="338"/>
      <c r="AA124" s="338"/>
      <c r="AB124" s="338"/>
      <c r="AC124" s="338"/>
      <c r="AF124" s="138"/>
      <c r="AG124" s="138"/>
      <c r="AH124" s="138"/>
      <c r="AI124" s="138"/>
      <c r="AJ124" s="138"/>
      <c r="AM124" s="258"/>
      <c r="AN124" s="258"/>
      <c r="AO124" s="258"/>
      <c r="AP124" s="258"/>
      <c r="AR124" s="137"/>
      <c r="AT124" s="137"/>
      <c r="AV124" s="394"/>
      <c r="AW124" s="137"/>
      <c r="AX124" s="137"/>
      <c r="AY124" s="137"/>
      <c r="AZ124" s="137"/>
      <c r="BA124" s="264"/>
      <c r="BB124" s="258"/>
      <c r="BC124" s="258"/>
      <c r="BD124" s="137"/>
      <c r="BE124" s="137"/>
      <c r="BF124" s="137"/>
      <c r="BG124" s="137"/>
      <c r="BH124" s="137"/>
      <c r="BI124" s="137"/>
      <c r="BJ124" s="137"/>
      <c r="BK124" s="137"/>
      <c r="BL124" s="137"/>
      <c r="BM124" s="137"/>
      <c r="BN124" s="137"/>
      <c r="BO124" s="137"/>
      <c r="BP124" s="137"/>
      <c r="BQ124" s="137"/>
      <c r="BR124" s="137"/>
      <c r="BS124" s="137"/>
      <c r="BV124" s="262"/>
      <c r="BW124" s="136"/>
      <c r="BX124" s="137"/>
      <c r="BY124" s="137"/>
      <c r="BZ124" s="137"/>
      <c r="CA124" s="137"/>
      <c r="CB124" s="137"/>
      <c r="CC124" s="258"/>
      <c r="CD124" s="258"/>
      <c r="CE124" s="258"/>
      <c r="CF124" s="258"/>
      <c r="CG124" s="258"/>
      <c r="CH124" s="258"/>
      <c r="CI124" s="258"/>
      <c r="CJ124" s="258"/>
      <c r="CK124" s="258"/>
      <c r="CL124" s="258"/>
      <c r="CM124" s="258"/>
    </row>
    <row r="125" spans="1:91" x14ac:dyDescent="0.25">
      <c r="A125" s="723"/>
      <c r="B125" s="723"/>
      <c r="K125" s="52"/>
      <c r="L125" s="135"/>
      <c r="N125" s="131"/>
      <c r="O125" s="131"/>
      <c r="P125" s="55"/>
      <c r="Q125" s="135"/>
      <c r="R125" s="135"/>
      <c r="U125" s="135"/>
      <c r="V125" s="146"/>
      <c r="W125" s="146"/>
      <c r="X125" s="338"/>
      <c r="Y125" s="338"/>
      <c r="Z125" s="338"/>
      <c r="AA125" s="338"/>
      <c r="AB125" s="338"/>
      <c r="AC125" s="338"/>
      <c r="AF125" s="138"/>
      <c r="AG125" s="138"/>
      <c r="AH125" s="138"/>
      <c r="AI125" s="138"/>
      <c r="AJ125" s="138"/>
      <c r="AM125" s="258"/>
      <c r="AN125" s="258"/>
      <c r="AO125" s="258"/>
      <c r="AP125" s="258"/>
      <c r="AR125" s="137"/>
      <c r="AT125" s="137"/>
      <c r="AV125" s="394"/>
      <c r="AW125" s="137"/>
      <c r="AX125" s="137"/>
      <c r="AY125" s="137"/>
      <c r="AZ125" s="137"/>
      <c r="BA125" s="264"/>
      <c r="BB125" s="258"/>
      <c r="BC125" s="258"/>
      <c r="BD125" s="137"/>
      <c r="BE125" s="137"/>
      <c r="BF125" s="137"/>
      <c r="BG125" s="137"/>
      <c r="BH125" s="137"/>
      <c r="BI125" s="137"/>
      <c r="BJ125" s="137"/>
      <c r="BK125" s="137"/>
      <c r="BL125" s="137"/>
      <c r="BM125" s="137"/>
      <c r="BN125" s="137"/>
      <c r="BO125" s="137"/>
      <c r="BP125" s="137"/>
      <c r="BQ125" s="137"/>
      <c r="BR125" s="137"/>
      <c r="BS125" s="137"/>
      <c r="BV125" s="262"/>
      <c r="BW125" s="136"/>
      <c r="BX125" s="137"/>
      <c r="BY125" s="137"/>
      <c r="BZ125" s="137"/>
      <c r="CA125" s="137"/>
      <c r="CB125" s="137"/>
      <c r="CC125" s="258"/>
      <c r="CD125" s="258"/>
      <c r="CE125" s="258"/>
      <c r="CF125" s="258"/>
      <c r="CG125" s="258"/>
      <c r="CH125" s="258"/>
      <c r="CI125" s="258"/>
      <c r="CJ125" s="258"/>
      <c r="CK125" s="258"/>
      <c r="CL125" s="258"/>
      <c r="CM125" s="258"/>
    </row>
    <row r="126" spans="1:91" x14ac:dyDescent="0.25">
      <c r="A126" s="723"/>
      <c r="B126" s="723"/>
      <c r="K126" s="52"/>
      <c r="L126" s="135"/>
      <c r="N126" s="131"/>
      <c r="O126" s="131"/>
      <c r="P126" s="55"/>
      <c r="Q126" s="135"/>
      <c r="R126" s="135"/>
      <c r="U126" s="135"/>
      <c r="V126" s="146"/>
      <c r="W126" s="146"/>
      <c r="X126" s="338"/>
      <c r="Y126" s="338"/>
      <c r="Z126" s="338"/>
      <c r="AA126" s="338"/>
      <c r="AB126" s="338"/>
      <c r="AC126" s="338"/>
      <c r="AF126" s="138"/>
      <c r="AG126" s="138"/>
      <c r="AH126" s="138"/>
      <c r="AI126" s="138"/>
      <c r="AJ126" s="138"/>
      <c r="AM126" s="258"/>
      <c r="AN126" s="258"/>
      <c r="AO126" s="258"/>
      <c r="AP126" s="258"/>
      <c r="AR126" s="137"/>
      <c r="AT126" s="137"/>
      <c r="AV126" s="394"/>
      <c r="AW126" s="137"/>
      <c r="AX126" s="137"/>
      <c r="AY126" s="137"/>
      <c r="AZ126" s="137"/>
      <c r="BA126" s="264"/>
      <c r="BB126" s="258"/>
      <c r="BC126" s="258"/>
      <c r="BD126" s="137"/>
      <c r="BE126" s="137"/>
      <c r="BF126" s="137"/>
      <c r="BG126" s="137"/>
      <c r="BH126" s="137"/>
      <c r="BI126" s="137"/>
      <c r="BJ126" s="137"/>
      <c r="BK126" s="137"/>
      <c r="BL126" s="137"/>
      <c r="BM126" s="137"/>
      <c r="BN126" s="137"/>
      <c r="BO126" s="137"/>
      <c r="BP126" s="137"/>
      <c r="BQ126" s="137"/>
      <c r="BR126" s="137"/>
      <c r="BS126" s="137"/>
      <c r="BV126" s="262"/>
      <c r="BW126" s="136"/>
      <c r="BX126" s="137"/>
      <c r="BY126" s="137"/>
      <c r="BZ126" s="137"/>
      <c r="CA126" s="137"/>
      <c r="CB126" s="137"/>
      <c r="CC126" s="258"/>
      <c r="CD126" s="258"/>
      <c r="CE126" s="258"/>
      <c r="CF126" s="258"/>
      <c r="CG126" s="258"/>
      <c r="CH126" s="258"/>
      <c r="CI126" s="258"/>
      <c r="CJ126" s="258"/>
      <c r="CK126" s="258"/>
      <c r="CL126" s="258"/>
      <c r="CM126" s="258"/>
    </row>
    <row r="127" spans="1:91" x14ac:dyDescent="0.25">
      <c r="A127" s="723"/>
      <c r="B127" s="723"/>
      <c r="K127" s="52"/>
      <c r="L127" s="135"/>
      <c r="N127" s="131"/>
      <c r="O127" s="131"/>
      <c r="P127" s="55"/>
      <c r="Q127" s="135"/>
      <c r="R127" s="135"/>
      <c r="U127" s="135"/>
      <c r="V127" s="146"/>
      <c r="W127" s="146"/>
      <c r="X127" s="338"/>
      <c r="Y127" s="338"/>
      <c r="Z127" s="338"/>
      <c r="AA127" s="338"/>
      <c r="AB127" s="338"/>
      <c r="AC127" s="338"/>
      <c r="AF127" s="138"/>
      <c r="AG127" s="138"/>
      <c r="AH127" s="138"/>
      <c r="AI127" s="138"/>
      <c r="AJ127" s="138"/>
      <c r="AM127" s="258"/>
      <c r="AN127" s="258"/>
      <c r="AO127" s="258"/>
      <c r="AP127" s="258"/>
      <c r="AR127" s="137"/>
      <c r="AT127" s="137"/>
      <c r="AV127" s="394"/>
      <c r="AW127" s="137"/>
      <c r="AX127" s="137"/>
      <c r="AY127" s="137"/>
      <c r="AZ127" s="137"/>
      <c r="BA127" s="264"/>
      <c r="BB127" s="258"/>
      <c r="BC127" s="258"/>
      <c r="BD127" s="137"/>
      <c r="BE127" s="137"/>
      <c r="BF127" s="137"/>
      <c r="BG127" s="137"/>
      <c r="BH127" s="137"/>
      <c r="BI127" s="137"/>
      <c r="BJ127" s="137"/>
      <c r="BK127" s="137"/>
      <c r="BL127" s="137"/>
      <c r="BM127" s="137"/>
      <c r="BN127" s="137"/>
      <c r="BO127" s="137"/>
      <c r="BP127" s="137"/>
      <c r="BQ127" s="137"/>
      <c r="BR127" s="137"/>
      <c r="BS127" s="137"/>
      <c r="BV127" s="262"/>
      <c r="BW127" s="136"/>
      <c r="BX127" s="137"/>
      <c r="BY127" s="137"/>
      <c r="BZ127" s="137"/>
      <c r="CA127" s="137"/>
      <c r="CB127" s="137"/>
      <c r="CC127" s="258"/>
      <c r="CD127" s="258"/>
      <c r="CE127" s="258"/>
      <c r="CF127" s="258"/>
      <c r="CG127" s="258"/>
      <c r="CH127" s="258"/>
      <c r="CI127" s="258"/>
      <c r="CJ127" s="258"/>
      <c r="CK127" s="258"/>
      <c r="CL127" s="258"/>
      <c r="CM127" s="258"/>
    </row>
    <row r="128" spans="1:91" x14ac:dyDescent="0.25">
      <c r="A128" s="723"/>
      <c r="B128" s="723"/>
      <c r="K128" s="52"/>
      <c r="L128" s="135"/>
      <c r="N128" s="131"/>
      <c r="O128" s="131"/>
      <c r="P128" s="55"/>
      <c r="Q128" s="135"/>
      <c r="R128" s="135"/>
      <c r="U128" s="135"/>
      <c r="V128" s="146"/>
      <c r="W128" s="146"/>
      <c r="X128" s="338"/>
      <c r="Y128" s="338"/>
      <c r="Z128" s="338"/>
      <c r="AA128" s="338"/>
      <c r="AB128" s="338"/>
      <c r="AC128" s="338"/>
      <c r="AF128" s="138"/>
      <c r="AG128" s="138"/>
      <c r="AH128" s="138"/>
      <c r="AI128" s="138"/>
      <c r="AJ128" s="138"/>
      <c r="AM128" s="258"/>
      <c r="AN128" s="258"/>
      <c r="AO128" s="258"/>
      <c r="AP128" s="258"/>
      <c r="AR128" s="137"/>
      <c r="AT128" s="137"/>
      <c r="AV128" s="394"/>
      <c r="AW128" s="137"/>
      <c r="AX128" s="137"/>
      <c r="AY128" s="137"/>
      <c r="AZ128" s="137"/>
      <c r="BA128" s="264"/>
      <c r="BB128" s="258"/>
      <c r="BC128" s="258"/>
      <c r="BD128" s="137"/>
      <c r="BE128" s="137"/>
      <c r="BF128" s="137"/>
      <c r="BG128" s="137"/>
      <c r="BH128" s="137"/>
      <c r="BI128" s="137"/>
      <c r="BJ128" s="137"/>
      <c r="BK128" s="137"/>
      <c r="BL128" s="137"/>
      <c r="BM128" s="137"/>
      <c r="BN128" s="137"/>
      <c r="BO128" s="137"/>
      <c r="BP128" s="137"/>
      <c r="BQ128" s="137"/>
      <c r="BR128" s="137"/>
      <c r="BS128" s="137"/>
      <c r="BV128" s="262"/>
      <c r="BW128" s="136"/>
      <c r="BX128" s="137"/>
      <c r="BY128" s="137"/>
      <c r="BZ128" s="137"/>
      <c r="CA128" s="137"/>
      <c r="CB128" s="137"/>
      <c r="CC128" s="258"/>
      <c r="CD128" s="258"/>
      <c r="CE128" s="258"/>
      <c r="CF128" s="258"/>
      <c r="CG128" s="258"/>
      <c r="CH128" s="258"/>
      <c r="CI128" s="258"/>
      <c r="CJ128" s="258"/>
      <c r="CK128" s="258"/>
      <c r="CL128" s="258"/>
      <c r="CM128" s="258"/>
    </row>
    <row r="129" spans="1:91" x14ac:dyDescent="0.25">
      <c r="A129" s="723"/>
      <c r="B129" s="723"/>
      <c r="K129" s="52"/>
      <c r="L129" s="135"/>
      <c r="N129" s="131"/>
      <c r="O129" s="131"/>
      <c r="P129" s="55"/>
      <c r="Q129" s="135"/>
      <c r="R129" s="135"/>
      <c r="U129" s="135"/>
      <c r="V129" s="146"/>
      <c r="W129" s="146"/>
      <c r="X129" s="338"/>
      <c r="Y129" s="338"/>
      <c r="Z129" s="338"/>
      <c r="AA129" s="338"/>
      <c r="AB129" s="338"/>
      <c r="AC129" s="338"/>
      <c r="AF129" s="138"/>
      <c r="AG129" s="138"/>
      <c r="AH129" s="138"/>
      <c r="AI129" s="138"/>
      <c r="AJ129" s="138"/>
      <c r="AM129" s="258"/>
      <c r="AN129" s="258"/>
      <c r="AO129" s="258"/>
      <c r="AP129" s="258"/>
      <c r="AR129" s="137"/>
      <c r="AT129" s="137"/>
      <c r="AV129" s="394"/>
      <c r="AW129" s="137"/>
      <c r="AX129" s="137"/>
      <c r="AY129" s="137"/>
      <c r="AZ129" s="137"/>
      <c r="BA129" s="264"/>
      <c r="BB129" s="258"/>
      <c r="BC129" s="258"/>
      <c r="BD129" s="137"/>
      <c r="BE129" s="137"/>
      <c r="BF129" s="137"/>
      <c r="BG129" s="137"/>
      <c r="BH129" s="137"/>
      <c r="BI129" s="137"/>
      <c r="BJ129" s="137"/>
      <c r="BK129" s="137"/>
      <c r="BL129" s="137"/>
      <c r="BM129" s="137"/>
      <c r="BN129" s="137"/>
      <c r="BO129" s="137"/>
      <c r="BP129" s="137"/>
      <c r="BQ129" s="137"/>
      <c r="BR129" s="137"/>
      <c r="BS129" s="137"/>
      <c r="BV129" s="262"/>
      <c r="BW129" s="136"/>
      <c r="BX129" s="137"/>
      <c r="BY129" s="137"/>
      <c r="BZ129" s="137"/>
      <c r="CA129" s="137"/>
      <c r="CB129" s="137"/>
      <c r="CC129" s="258"/>
      <c r="CD129" s="258"/>
      <c r="CE129" s="258"/>
      <c r="CF129" s="258"/>
      <c r="CG129" s="258"/>
      <c r="CH129" s="258"/>
      <c r="CI129" s="258"/>
      <c r="CJ129" s="258"/>
      <c r="CK129" s="258"/>
      <c r="CL129" s="258"/>
      <c r="CM129" s="258"/>
    </row>
    <row r="130" spans="1:91" x14ac:dyDescent="0.25">
      <c r="A130" s="723"/>
      <c r="B130" s="723"/>
      <c r="K130" s="52"/>
      <c r="L130" s="135"/>
      <c r="N130" s="131"/>
      <c r="O130" s="131"/>
      <c r="P130" s="55"/>
      <c r="Q130" s="135"/>
      <c r="R130" s="135"/>
      <c r="U130" s="135"/>
      <c r="V130" s="146"/>
      <c r="W130" s="146"/>
      <c r="X130" s="338"/>
      <c r="Y130" s="338"/>
      <c r="Z130" s="338"/>
      <c r="AA130" s="338"/>
      <c r="AB130" s="338"/>
      <c r="AC130" s="338"/>
      <c r="AF130" s="138"/>
      <c r="AG130" s="138"/>
      <c r="AH130" s="138"/>
      <c r="AI130" s="138"/>
      <c r="AJ130" s="138"/>
      <c r="AM130" s="258"/>
      <c r="AN130" s="258"/>
      <c r="AO130" s="258"/>
      <c r="AP130" s="258"/>
      <c r="AR130" s="137"/>
      <c r="AT130" s="137"/>
      <c r="AV130" s="394"/>
      <c r="AW130" s="137"/>
      <c r="AX130" s="137"/>
      <c r="AY130" s="137"/>
      <c r="AZ130" s="137"/>
      <c r="BA130" s="264"/>
      <c r="BB130" s="258"/>
      <c r="BC130" s="258"/>
      <c r="BD130" s="137"/>
      <c r="BE130" s="137"/>
      <c r="BF130" s="137"/>
      <c r="BG130" s="137"/>
      <c r="BH130" s="137"/>
      <c r="BI130" s="137"/>
      <c r="BJ130" s="137"/>
      <c r="BK130" s="137"/>
      <c r="BL130" s="137"/>
      <c r="BM130" s="137"/>
      <c r="BN130" s="137"/>
      <c r="BO130" s="137"/>
      <c r="BP130" s="137"/>
      <c r="BQ130" s="137"/>
      <c r="BR130" s="137"/>
      <c r="BS130" s="137"/>
      <c r="BV130" s="262"/>
      <c r="BW130" s="136"/>
      <c r="BX130" s="137"/>
      <c r="BY130" s="137"/>
      <c r="BZ130" s="137"/>
      <c r="CA130" s="137"/>
      <c r="CB130" s="137"/>
      <c r="CC130" s="258"/>
      <c r="CD130" s="258"/>
      <c r="CE130" s="258"/>
      <c r="CF130" s="258"/>
      <c r="CG130" s="258"/>
      <c r="CH130" s="258"/>
      <c r="CI130" s="258"/>
      <c r="CJ130" s="258"/>
      <c r="CK130" s="258"/>
      <c r="CL130" s="258"/>
      <c r="CM130" s="258"/>
    </row>
    <row r="131" spans="1:91" x14ac:dyDescent="0.25">
      <c r="A131" s="723"/>
      <c r="B131" s="723"/>
      <c r="K131" s="52"/>
      <c r="L131" s="135"/>
      <c r="N131" s="131"/>
      <c r="O131" s="131"/>
      <c r="P131" s="55"/>
      <c r="Q131" s="135"/>
      <c r="R131" s="135"/>
      <c r="U131" s="135"/>
      <c r="V131" s="146"/>
      <c r="W131" s="146"/>
      <c r="X131" s="338"/>
      <c r="Y131" s="338"/>
      <c r="Z131" s="338"/>
      <c r="AA131" s="338"/>
      <c r="AB131" s="338"/>
      <c r="AC131" s="338"/>
      <c r="AF131" s="138"/>
      <c r="AG131" s="138"/>
      <c r="AH131" s="138"/>
      <c r="AI131" s="138"/>
      <c r="AJ131" s="138"/>
      <c r="AM131" s="258"/>
      <c r="AN131" s="258"/>
      <c r="AO131" s="258"/>
      <c r="AP131" s="258"/>
      <c r="AR131" s="137"/>
      <c r="AT131" s="137"/>
      <c r="AV131" s="394"/>
      <c r="AW131" s="137"/>
      <c r="AX131" s="137"/>
      <c r="AY131" s="137"/>
      <c r="AZ131" s="137"/>
      <c r="BA131" s="264"/>
      <c r="BB131" s="258"/>
      <c r="BC131" s="258"/>
      <c r="BD131" s="137"/>
      <c r="BE131" s="137"/>
      <c r="BF131" s="137"/>
      <c r="BG131" s="137"/>
      <c r="BH131" s="137"/>
      <c r="BI131" s="137"/>
      <c r="BJ131" s="137"/>
      <c r="BK131" s="137"/>
      <c r="BL131" s="137"/>
      <c r="BM131" s="137"/>
      <c r="BN131" s="137"/>
      <c r="BO131" s="137"/>
      <c r="BP131" s="137"/>
      <c r="BQ131" s="137"/>
      <c r="BR131" s="137"/>
      <c r="BS131" s="137"/>
      <c r="BV131" s="262"/>
      <c r="BW131" s="136"/>
      <c r="BX131" s="137"/>
      <c r="BY131" s="137"/>
      <c r="BZ131" s="137"/>
      <c r="CA131" s="137"/>
      <c r="CB131" s="137"/>
      <c r="CC131" s="258"/>
      <c r="CD131" s="258"/>
      <c r="CE131" s="258"/>
      <c r="CF131" s="258"/>
      <c r="CG131" s="258"/>
      <c r="CH131" s="258"/>
      <c r="CI131" s="258"/>
      <c r="CJ131" s="258"/>
      <c r="CK131" s="258"/>
      <c r="CL131" s="258"/>
      <c r="CM131" s="258"/>
    </row>
    <row r="132" spans="1:91" x14ac:dyDescent="0.25">
      <c r="A132" s="723"/>
      <c r="B132" s="723"/>
      <c r="K132" s="52"/>
      <c r="L132" s="135"/>
      <c r="N132" s="131"/>
      <c r="O132" s="131"/>
      <c r="P132" s="55"/>
      <c r="Q132" s="135"/>
      <c r="R132" s="135"/>
      <c r="U132" s="135"/>
      <c r="V132" s="146"/>
      <c r="W132" s="146"/>
      <c r="X132" s="338"/>
      <c r="Y132" s="338"/>
      <c r="Z132" s="338"/>
      <c r="AA132" s="338"/>
      <c r="AB132" s="338"/>
      <c r="AC132" s="338"/>
      <c r="AF132" s="138"/>
      <c r="AG132" s="138"/>
      <c r="AH132" s="138"/>
      <c r="AI132" s="138"/>
      <c r="AJ132" s="138"/>
      <c r="AM132" s="258"/>
      <c r="AN132" s="258"/>
      <c r="AO132" s="258"/>
      <c r="AP132" s="258"/>
      <c r="AR132" s="137"/>
      <c r="AT132" s="137"/>
      <c r="AV132" s="394"/>
      <c r="AW132" s="137"/>
      <c r="AX132" s="137"/>
      <c r="AY132" s="137"/>
      <c r="AZ132" s="137"/>
      <c r="BA132" s="264"/>
      <c r="BB132" s="258"/>
      <c r="BC132" s="258"/>
      <c r="BD132" s="137"/>
      <c r="BE132" s="137"/>
      <c r="BF132" s="137"/>
      <c r="BG132" s="137"/>
      <c r="BH132" s="137"/>
      <c r="BI132" s="137"/>
      <c r="BJ132" s="137"/>
      <c r="BK132" s="137"/>
      <c r="BL132" s="137"/>
      <c r="BM132" s="137"/>
      <c r="BN132" s="137"/>
      <c r="BO132" s="137"/>
      <c r="BP132" s="137"/>
      <c r="BQ132" s="137"/>
      <c r="BR132" s="137"/>
      <c r="BS132" s="137"/>
      <c r="BV132" s="262"/>
      <c r="BW132" s="136"/>
      <c r="BX132" s="137"/>
      <c r="BY132" s="137"/>
      <c r="BZ132" s="137"/>
      <c r="CA132" s="137"/>
      <c r="CB132" s="137"/>
      <c r="CC132" s="258"/>
      <c r="CD132" s="258"/>
      <c r="CE132" s="258"/>
      <c r="CF132" s="258"/>
      <c r="CG132" s="258"/>
      <c r="CH132" s="258"/>
      <c r="CI132" s="258"/>
      <c r="CJ132" s="258"/>
      <c r="CK132" s="258"/>
      <c r="CL132" s="258"/>
      <c r="CM132" s="258"/>
    </row>
    <row r="133" spans="1:91" x14ac:dyDescent="0.25">
      <c r="A133" s="723"/>
      <c r="B133" s="723"/>
      <c r="K133" s="52"/>
      <c r="L133" s="135"/>
      <c r="N133" s="131"/>
      <c r="O133" s="131"/>
      <c r="P133" s="55"/>
      <c r="Q133" s="135"/>
      <c r="R133" s="135"/>
      <c r="U133" s="135"/>
      <c r="V133" s="146"/>
      <c r="W133" s="146"/>
      <c r="X133" s="338"/>
      <c r="Y133" s="338"/>
      <c r="Z133" s="338"/>
      <c r="AA133" s="338"/>
      <c r="AB133" s="338"/>
      <c r="AC133" s="338"/>
      <c r="AF133" s="138"/>
      <c r="AG133" s="138"/>
      <c r="AH133" s="138"/>
      <c r="AI133" s="138"/>
      <c r="AJ133" s="138"/>
      <c r="AM133" s="258"/>
      <c r="AN133" s="258"/>
      <c r="AO133" s="258"/>
      <c r="AP133" s="258"/>
      <c r="AR133" s="137"/>
      <c r="AT133" s="137"/>
      <c r="AV133" s="394"/>
      <c r="AW133" s="137"/>
      <c r="AX133" s="137"/>
      <c r="AY133" s="137"/>
      <c r="AZ133" s="137"/>
      <c r="BA133" s="264"/>
      <c r="BB133" s="258"/>
      <c r="BC133" s="258"/>
      <c r="BD133" s="137"/>
      <c r="BE133" s="137"/>
      <c r="BF133" s="137"/>
      <c r="BG133" s="137"/>
      <c r="BH133" s="137"/>
      <c r="BI133" s="137"/>
      <c r="BJ133" s="137"/>
      <c r="BK133" s="137"/>
      <c r="BL133" s="137"/>
      <c r="BM133" s="137"/>
      <c r="BN133" s="137"/>
      <c r="BO133" s="137"/>
      <c r="BP133" s="137"/>
      <c r="BQ133" s="137"/>
      <c r="BR133" s="137"/>
      <c r="BS133" s="137"/>
      <c r="BV133" s="262"/>
      <c r="BW133" s="136"/>
      <c r="BX133" s="137"/>
      <c r="BY133" s="137"/>
      <c r="BZ133" s="137"/>
      <c r="CA133" s="137"/>
      <c r="CB133" s="137"/>
      <c r="CC133" s="258"/>
      <c r="CD133" s="258"/>
      <c r="CE133" s="258"/>
      <c r="CF133" s="258"/>
      <c r="CG133" s="258"/>
      <c r="CH133" s="258"/>
      <c r="CI133" s="258"/>
      <c r="CJ133" s="258"/>
      <c r="CK133" s="258"/>
      <c r="CL133" s="258"/>
      <c r="CM133" s="258"/>
    </row>
    <row r="134" spans="1:91" x14ac:dyDescent="0.25">
      <c r="A134" s="723"/>
      <c r="B134" s="723"/>
      <c r="K134" s="52"/>
      <c r="L134" s="135"/>
      <c r="N134" s="131"/>
      <c r="O134" s="131"/>
      <c r="P134" s="55"/>
      <c r="Q134" s="135"/>
      <c r="R134" s="135"/>
      <c r="U134" s="135"/>
      <c r="V134" s="146"/>
      <c r="W134" s="146"/>
      <c r="X134" s="338"/>
      <c r="Y134" s="338"/>
      <c r="Z134" s="338"/>
      <c r="AA134" s="338"/>
      <c r="AB134" s="338"/>
      <c r="AC134" s="338"/>
      <c r="AF134" s="138"/>
      <c r="AG134" s="138"/>
      <c r="AH134" s="138"/>
      <c r="AI134" s="138"/>
      <c r="AJ134" s="138"/>
      <c r="AM134" s="258"/>
      <c r="AN134" s="258"/>
      <c r="AO134" s="258"/>
      <c r="AP134" s="258"/>
      <c r="AR134" s="137"/>
      <c r="AT134" s="137"/>
      <c r="AV134" s="394"/>
      <c r="AW134" s="137"/>
      <c r="AX134" s="137"/>
      <c r="AY134" s="137"/>
      <c r="AZ134" s="137"/>
      <c r="BA134" s="264"/>
      <c r="BB134" s="258"/>
      <c r="BC134" s="258"/>
      <c r="BD134" s="137"/>
      <c r="BE134" s="137"/>
      <c r="BF134" s="137"/>
      <c r="BG134" s="137"/>
      <c r="BH134" s="137"/>
      <c r="BI134" s="137"/>
      <c r="BJ134" s="137"/>
      <c r="BK134" s="137"/>
      <c r="BL134" s="137"/>
      <c r="BM134" s="137"/>
      <c r="BN134" s="137"/>
      <c r="BO134" s="137"/>
      <c r="BP134" s="137"/>
      <c r="BQ134" s="137"/>
      <c r="BR134" s="137"/>
      <c r="BS134" s="137"/>
      <c r="BV134" s="262"/>
      <c r="BW134" s="136"/>
      <c r="BX134" s="137"/>
      <c r="BY134" s="137"/>
      <c r="BZ134" s="137"/>
      <c r="CA134" s="137"/>
      <c r="CB134" s="137"/>
      <c r="CC134" s="258"/>
      <c r="CD134" s="258"/>
      <c r="CE134" s="258"/>
      <c r="CF134" s="258"/>
      <c r="CG134" s="258"/>
      <c r="CH134" s="258"/>
      <c r="CI134" s="258"/>
      <c r="CJ134" s="258"/>
      <c r="CK134" s="258"/>
      <c r="CL134" s="258"/>
      <c r="CM134" s="258"/>
    </row>
    <row r="135" spans="1:91" x14ac:dyDescent="0.25">
      <c r="A135" s="723"/>
      <c r="B135" s="723"/>
      <c r="K135" s="52"/>
      <c r="L135" s="135"/>
      <c r="N135" s="131"/>
      <c r="O135" s="131"/>
      <c r="P135" s="55"/>
      <c r="Q135" s="135"/>
      <c r="R135" s="135"/>
      <c r="U135" s="135"/>
      <c r="V135" s="146"/>
      <c r="W135" s="146"/>
      <c r="X135" s="338"/>
      <c r="Y135" s="338"/>
      <c r="Z135" s="338"/>
      <c r="AA135" s="338"/>
      <c r="AB135" s="338"/>
      <c r="AC135" s="338"/>
      <c r="AF135" s="138"/>
      <c r="AG135" s="138"/>
      <c r="AH135" s="138"/>
      <c r="AI135" s="138"/>
      <c r="AJ135" s="138"/>
      <c r="AM135" s="258"/>
      <c r="AN135" s="258"/>
      <c r="AO135" s="258"/>
      <c r="AP135" s="258"/>
      <c r="AR135" s="137"/>
      <c r="AT135" s="137"/>
      <c r="AV135" s="394"/>
      <c r="AW135" s="137"/>
      <c r="AX135" s="137"/>
      <c r="AY135" s="137"/>
      <c r="AZ135" s="137"/>
      <c r="BA135" s="264"/>
      <c r="BB135" s="258"/>
      <c r="BC135" s="258"/>
      <c r="BD135" s="137"/>
      <c r="BE135" s="137"/>
      <c r="BF135" s="137"/>
      <c r="BG135" s="137"/>
      <c r="BH135" s="137"/>
      <c r="BI135" s="137"/>
      <c r="BJ135" s="137"/>
      <c r="BK135" s="137"/>
      <c r="BL135" s="137"/>
      <c r="BM135" s="137"/>
      <c r="BN135" s="137"/>
      <c r="BO135" s="137"/>
      <c r="BP135" s="137"/>
      <c r="BQ135" s="137"/>
      <c r="BR135" s="137"/>
      <c r="BS135" s="137"/>
      <c r="BV135" s="262"/>
      <c r="BW135" s="136"/>
      <c r="BX135" s="137"/>
      <c r="BY135" s="137"/>
      <c r="BZ135" s="137"/>
      <c r="CA135" s="137"/>
      <c r="CB135" s="137"/>
      <c r="CC135" s="258"/>
      <c r="CD135" s="258"/>
      <c r="CE135" s="258"/>
      <c r="CF135" s="258"/>
      <c r="CG135" s="258"/>
      <c r="CH135" s="258"/>
      <c r="CI135" s="258"/>
      <c r="CJ135" s="258"/>
      <c r="CK135" s="258"/>
      <c r="CL135" s="258"/>
      <c r="CM135" s="258"/>
    </row>
    <row r="136" spans="1:91" x14ac:dyDescent="0.25">
      <c r="A136" s="723"/>
      <c r="B136" s="723"/>
      <c r="K136" s="52"/>
      <c r="L136" s="135"/>
      <c r="N136" s="131"/>
      <c r="O136" s="131"/>
      <c r="P136" s="55"/>
      <c r="Q136" s="135"/>
      <c r="R136" s="135"/>
      <c r="U136" s="135"/>
      <c r="V136" s="146"/>
      <c r="W136" s="146"/>
      <c r="X136" s="338"/>
      <c r="Y136" s="338"/>
      <c r="Z136" s="338"/>
      <c r="AA136" s="338"/>
      <c r="AB136" s="338"/>
      <c r="AC136" s="338"/>
      <c r="AF136" s="138"/>
      <c r="AG136" s="138"/>
      <c r="AH136" s="138"/>
      <c r="AI136" s="138"/>
      <c r="AJ136" s="138"/>
      <c r="AM136" s="258"/>
      <c r="AN136" s="258"/>
      <c r="AO136" s="258"/>
      <c r="AP136" s="258"/>
      <c r="AR136" s="137"/>
      <c r="AT136" s="137"/>
      <c r="AV136" s="394"/>
      <c r="AW136" s="137"/>
      <c r="AX136" s="137"/>
      <c r="AY136" s="137"/>
      <c r="AZ136" s="137"/>
      <c r="BA136" s="264"/>
      <c r="BB136" s="258"/>
      <c r="BC136" s="258"/>
      <c r="BD136" s="137"/>
      <c r="BE136" s="137"/>
      <c r="BF136" s="137"/>
      <c r="BG136" s="137"/>
      <c r="BH136" s="137"/>
      <c r="BI136" s="137"/>
      <c r="BJ136" s="137"/>
      <c r="BK136" s="137"/>
      <c r="BL136" s="137"/>
      <c r="BM136" s="137"/>
      <c r="BN136" s="137"/>
      <c r="BO136" s="137"/>
      <c r="BP136" s="137"/>
      <c r="BQ136" s="137"/>
      <c r="BR136" s="137"/>
      <c r="BS136" s="137"/>
      <c r="BV136" s="262"/>
      <c r="BW136" s="136"/>
      <c r="BX136" s="137"/>
      <c r="BY136" s="137"/>
      <c r="BZ136" s="137"/>
      <c r="CA136" s="137"/>
      <c r="CB136" s="137"/>
      <c r="CC136" s="258"/>
      <c r="CD136" s="258"/>
      <c r="CE136" s="258"/>
      <c r="CF136" s="258"/>
      <c r="CG136" s="258"/>
      <c r="CH136" s="258"/>
      <c r="CI136" s="258"/>
      <c r="CJ136" s="258"/>
      <c r="CK136" s="258"/>
      <c r="CL136" s="258"/>
      <c r="CM136" s="258"/>
    </row>
    <row r="137" spans="1:91" x14ac:dyDescent="0.25">
      <c r="A137" s="723"/>
      <c r="B137" s="723"/>
      <c r="K137" s="52"/>
      <c r="L137" s="135"/>
      <c r="N137" s="131"/>
      <c r="O137" s="131"/>
      <c r="P137" s="55"/>
      <c r="Q137" s="135"/>
      <c r="R137" s="135"/>
      <c r="U137" s="135"/>
      <c r="V137" s="146"/>
      <c r="W137" s="146"/>
      <c r="X137" s="338"/>
      <c r="Y137" s="338"/>
      <c r="Z137" s="338"/>
      <c r="AA137" s="338"/>
      <c r="AB137" s="338"/>
      <c r="AC137" s="338"/>
      <c r="AF137" s="138"/>
      <c r="AG137" s="138"/>
      <c r="AH137" s="138"/>
      <c r="AI137" s="138"/>
      <c r="AJ137" s="138"/>
      <c r="AM137" s="258"/>
      <c r="AN137" s="258"/>
      <c r="AO137" s="258"/>
      <c r="AP137" s="258"/>
      <c r="AR137" s="137"/>
      <c r="AT137" s="137"/>
      <c r="AV137" s="394"/>
      <c r="AW137" s="137"/>
      <c r="AX137" s="137"/>
      <c r="AY137" s="137"/>
      <c r="AZ137" s="137"/>
      <c r="BA137" s="264"/>
      <c r="BB137" s="258"/>
      <c r="BC137" s="258"/>
      <c r="BD137" s="137"/>
      <c r="BE137" s="137"/>
      <c r="BF137" s="137"/>
      <c r="BG137" s="137"/>
      <c r="BH137" s="137"/>
      <c r="BI137" s="137"/>
      <c r="BJ137" s="137"/>
      <c r="BK137" s="137"/>
      <c r="BL137" s="137"/>
      <c r="BM137" s="137"/>
      <c r="BN137" s="137"/>
      <c r="BO137" s="137"/>
      <c r="BP137" s="137"/>
      <c r="BQ137" s="137"/>
      <c r="BR137" s="137"/>
      <c r="BS137" s="137"/>
      <c r="BV137" s="262"/>
      <c r="BW137" s="136"/>
      <c r="BX137" s="137"/>
      <c r="BY137" s="137"/>
      <c r="BZ137" s="137"/>
      <c r="CA137" s="137"/>
      <c r="CB137" s="137"/>
      <c r="CC137" s="258"/>
      <c r="CD137" s="258"/>
      <c r="CE137" s="258"/>
      <c r="CF137" s="258"/>
      <c r="CG137" s="258"/>
      <c r="CH137" s="258"/>
      <c r="CI137" s="258"/>
      <c r="CJ137" s="258"/>
      <c r="CK137" s="258"/>
      <c r="CL137" s="258"/>
      <c r="CM137" s="258"/>
    </row>
    <row r="138" spans="1:91" x14ac:dyDescent="0.25">
      <c r="A138" s="723"/>
      <c r="B138" s="723"/>
      <c r="K138" s="52"/>
      <c r="L138" s="135"/>
      <c r="N138" s="131"/>
      <c r="O138" s="131"/>
      <c r="P138" s="55"/>
      <c r="Q138" s="135"/>
      <c r="R138" s="135"/>
      <c r="U138" s="135"/>
      <c r="V138" s="146"/>
      <c r="W138" s="146"/>
      <c r="X138" s="338"/>
      <c r="Y138" s="338"/>
      <c r="Z138" s="338"/>
      <c r="AA138" s="338"/>
      <c r="AB138" s="338"/>
      <c r="AC138" s="338"/>
      <c r="AF138" s="138"/>
      <c r="AG138" s="138"/>
      <c r="AH138" s="138"/>
      <c r="AI138" s="138"/>
      <c r="AJ138" s="138"/>
      <c r="AM138" s="258"/>
      <c r="AN138" s="258"/>
      <c r="AO138" s="258"/>
      <c r="AP138" s="258"/>
      <c r="AR138" s="137"/>
      <c r="AT138" s="137"/>
      <c r="AV138" s="394"/>
      <c r="AW138" s="137"/>
      <c r="AX138" s="137"/>
      <c r="AY138" s="137"/>
      <c r="AZ138" s="137"/>
      <c r="BA138" s="264"/>
      <c r="BB138" s="258"/>
      <c r="BC138" s="258"/>
      <c r="BD138" s="137"/>
      <c r="BE138" s="137"/>
      <c r="BF138" s="137"/>
      <c r="BG138" s="137"/>
      <c r="BH138" s="137"/>
      <c r="BI138" s="137"/>
      <c r="BJ138" s="137"/>
      <c r="BK138" s="137"/>
      <c r="BL138" s="137"/>
      <c r="BM138" s="137"/>
      <c r="BN138" s="137"/>
      <c r="BO138" s="137"/>
      <c r="BP138" s="137"/>
      <c r="BQ138" s="137"/>
      <c r="BR138" s="137"/>
      <c r="BS138" s="137"/>
      <c r="BV138" s="262"/>
      <c r="BW138" s="136"/>
      <c r="BX138" s="137"/>
      <c r="BY138" s="137"/>
      <c r="BZ138" s="137"/>
      <c r="CA138" s="137"/>
      <c r="CB138" s="137"/>
      <c r="CC138" s="258"/>
      <c r="CD138" s="258"/>
      <c r="CE138" s="258"/>
      <c r="CF138" s="258"/>
      <c r="CG138" s="258"/>
      <c r="CH138" s="258"/>
      <c r="CI138" s="258"/>
      <c r="CJ138" s="258"/>
      <c r="CK138" s="258"/>
      <c r="CL138" s="258"/>
      <c r="CM138" s="258"/>
    </row>
    <row r="139" spans="1:91" x14ac:dyDescent="0.25">
      <c r="A139" s="723"/>
      <c r="B139" s="723"/>
      <c r="K139" s="52"/>
      <c r="L139" s="135"/>
      <c r="N139" s="131"/>
      <c r="O139" s="131"/>
      <c r="P139" s="55"/>
      <c r="Q139" s="135"/>
      <c r="R139" s="135"/>
      <c r="U139" s="135"/>
      <c r="V139" s="146"/>
      <c r="W139" s="146"/>
      <c r="X139" s="338"/>
      <c r="Y139" s="338"/>
      <c r="Z139" s="338"/>
      <c r="AA139" s="338"/>
      <c r="AB139" s="338"/>
      <c r="AC139" s="338"/>
      <c r="AF139" s="138"/>
      <c r="AG139" s="138"/>
      <c r="AH139" s="138"/>
      <c r="AI139" s="138"/>
      <c r="AJ139" s="138"/>
      <c r="AM139" s="258"/>
      <c r="AN139" s="258"/>
      <c r="AO139" s="258"/>
      <c r="AP139" s="258"/>
      <c r="AR139" s="137"/>
      <c r="AT139" s="137"/>
      <c r="AV139" s="394"/>
      <c r="AW139" s="137"/>
      <c r="AX139" s="137"/>
      <c r="AY139" s="137"/>
      <c r="AZ139" s="137"/>
      <c r="BA139" s="264"/>
      <c r="BB139" s="258"/>
      <c r="BC139" s="258"/>
      <c r="BD139" s="137"/>
      <c r="BE139" s="137"/>
      <c r="BF139" s="137"/>
      <c r="BG139" s="137"/>
      <c r="BH139" s="137"/>
      <c r="BI139" s="137"/>
      <c r="BJ139" s="137"/>
      <c r="BK139" s="137"/>
      <c r="BL139" s="137"/>
      <c r="BM139" s="137"/>
      <c r="BN139" s="137"/>
      <c r="BO139" s="137"/>
      <c r="BP139" s="137"/>
      <c r="BQ139" s="137"/>
      <c r="BR139" s="137"/>
      <c r="BS139" s="137"/>
      <c r="BV139" s="262"/>
      <c r="BW139" s="136"/>
      <c r="BX139" s="137"/>
      <c r="BY139" s="137"/>
      <c r="BZ139" s="137"/>
      <c r="CA139" s="137"/>
      <c r="CB139" s="137"/>
      <c r="CC139" s="258"/>
      <c r="CD139" s="258"/>
      <c r="CE139" s="258"/>
      <c r="CF139" s="258"/>
      <c r="CG139" s="258"/>
      <c r="CH139" s="258"/>
      <c r="CI139" s="258"/>
      <c r="CJ139" s="258"/>
      <c r="CK139" s="258"/>
      <c r="CL139" s="258"/>
      <c r="CM139" s="258"/>
    </row>
    <row r="140" spans="1:91" x14ac:dyDescent="0.25">
      <c r="A140" s="723"/>
      <c r="B140" s="723"/>
      <c r="K140" s="52"/>
      <c r="L140" s="135"/>
      <c r="N140" s="131"/>
      <c r="O140" s="131"/>
      <c r="P140" s="55"/>
      <c r="Q140" s="135"/>
      <c r="R140" s="135"/>
      <c r="U140" s="135"/>
      <c r="V140" s="146"/>
      <c r="W140" s="146"/>
      <c r="X140" s="338"/>
      <c r="Y140" s="338"/>
      <c r="Z140" s="338"/>
      <c r="AA140" s="338"/>
      <c r="AB140" s="338"/>
      <c r="AC140" s="338"/>
      <c r="AF140" s="138"/>
      <c r="AG140" s="138"/>
      <c r="AH140" s="138"/>
      <c r="AI140" s="138"/>
      <c r="AJ140" s="138"/>
      <c r="AM140" s="258"/>
      <c r="AN140" s="258"/>
      <c r="AO140" s="258"/>
      <c r="AP140" s="258"/>
      <c r="AR140" s="137"/>
      <c r="AT140" s="137"/>
      <c r="AV140" s="394"/>
      <c r="AW140" s="137"/>
      <c r="AX140" s="137"/>
      <c r="AY140" s="137"/>
      <c r="AZ140" s="137"/>
      <c r="BA140" s="264"/>
      <c r="BB140" s="258"/>
      <c r="BC140" s="258"/>
      <c r="BD140" s="137"/>
      <c r="BE140" s="137"/>
      <c r="BF140" s="137"/>
      <c r="BG140" s="137"/>
      <c r="BH140" s="137"/>
      <c r="BI140" s="137"/>
      <c r="BJ140" s="137"/>
      <c r="BK140" s="137"/>
      <c r="BL140" s="137"/>
      <c r="BM140" s="137"/>
      <c r="BN140" s="137"/>
      <c r="BO140" s="137"/>
      <c r="BP140" s="137"/>
      <c r="BQ140" s="137"/>
      <c r="BR140" s="137"/>
      <c r="BS140" s="137"/>
      <c r="BV140" s="262"/>
      <c r="BW140" s="136"/>
      <c r="BX140" s="137"/>
      <c r="BY140" s="137"/>
      <c r="BZ140" s="137"/>
      <c r="CA140" s="137"/>
      <c r="CB140" s="137"/>
      <c r="CC140" s="258"/>
      <c r="CD140" s="258"/>
      <c r="CE140" s="258"/>
      <c r="CF140" s="258"/>
      <c r="CG140" s="258"/>
      <c r="CH140" s="258"/>
      <c r="CI140" s="258"/>
      <c r="CJ140" s="258"/>
      <c r="CK140" s="258"/>
      <c r="CL140" s="258"/>
      <c r="CM140" s="258"/>
    </row>
    <row r="141" spans="1:91" x14ac:dyDescent="0.25">
      <c r="A141" s="723"/>
      <c r="B141" s="723"/>
      <c r="K141" s="52"/>
      <c r="L141" s="135"/>
      <c r="N141" s="131"/>
      <c r="O141" s="131"/>
      <c r="P141" s="55"/>
      <c r="Q141" s="135"/>
      <c r="R141" s="135"/>
      <c r="U141" s="135"/>
      <c r="V141" s="146"/>
      <c r="W141" s="146"/>
      <c r="X141" s="338"/>
      <c r="Y141" s="338"/>
      <c r="Z141" s="338"/>
      <c r="AA141" s="338"/>
      <c r="AB141" s="338"/>
      <c r="AC141" s="338"/>
      <c r="AF141" s="138"/>
      <c r="AG141" s="138"/>
      <c r="AH141" s="138"/>
      <c r="AI141" s="138"/>
      <c r="AJ141" s="138"/>
      <c r="AM141" s="258"/>
      <c r="AN141" s="258"/>
      <c r="AO141" s="258"/>
      <c r="AP141" s="258"/>
      <c r="AR141" s="137"/>
      <c r="AT141" s="137"/>
      <c r="AV141" s="394"/>
      <c r="AW141" s="137"/>
      <c r="AX141" s="137"/>
      <c r="AY141" s="137"/>
      <c r="AZ141" s="137"/>
      <c r="BA141" s="264"/>
      <c r="BB141" s="258"/>
      <c r="BC141" s="258"/>
      <c r="BD141" s="137"/>
      <c r="BE141" s="137"/>
      <c r="BF141" s="137"/>
      <c r="BG141" s="137"/>
      <c r="BH141" s="137"/>
      <c r="BI141" s="137"/>
      <c r="BJ141" s="137"/>
      <c r="BK141" s="137"/>
      <c r="BL141" s="137"/>
      <c r="BM141" s="137"/>
      <c r="BN141" s="137"/>
      <c r="BO141" s="137"/>
      <c r="BP141" s="137"/>
      <c r="BQ141" s="137"/>
      <c r="BR141" s="137"/>
      <c r="BS141" s="137"/>
      <c r="BV141" s="262"/>
      <c r="BW141" s="136"/>
      <c r="BX141" s="137"/>
      <c r="BY141" s="137"/>
      <c r="BZ141" s="137"/>
      <c r="CA141" s="137"/>
      <c r="CB141" s="137"/>
      <c r="CC141" s="258"/>
      <c r="CD141" s="258"/>
      <c r="CE141" s="258"/>
      <c r="CF141" s="258"/>
      <c r="CG141" s="258"/>
      <c r="CH141" s="258"/>
      <c r="CI141" s="258"/>
      <c r="CJ141" s="258"/>
      <c r="CK141" s="258"/>
      <c r="CL141" s="258"/>
      <c r="CM141" s="258"/>
    </row>
    <row r="142" spans="1:91" x14ac:dyDescent="0.25">
      <c r="A142" s="723"/>
      <c r="B142" s="723"/>
      <c r="K142" s="52"/>
      <c r="L142" s="135"/>
      <c r="N142" s="131"/>
      <c r="O142" s="131"/>
      <c r="P142" s="55"/>
      <c r="Q142" s="135"/>
      <c r="R142" s="135"/>
      <c r="U142" s="135"/>
      <c r="V142" s="146"/>
      <c r="W142" s="146"/>
      <c r="X142" s="338"/>
      <c r="Y142" s="338"/>
      <c r="Z142" s="338"/>
      <c r="AA142" s="338"/>
      <c r="AB142" s="338"/>
      <c r="AC142" s="338"/>
      <c r="AF142" s="138"/>
      <c r="AG142" s="138"/>
      <c r="AH142" s="138"/>
      <c r="AI142" s="138"/>
      <c r="AJ142" s="138"/>
      <c r="AM142" s="258"/>
      <c r="AN142" s="258"/>
      <c r="AO142" s="258"/>
      <c r="AP142" s="258"/>
      <c r="AR142" s="137"/>
      <c r="AT142" s="137"/>
      <c r="AV142" s="394"/>
      <c r="AW142" s="137"/>
      <c r="AX142" s="137"/>
      <c r="AY142" s="137"/>
      <c r="AZ142" s="137"/>
      <c r="BA142" s="264"/>
      <c r="BB142" s="258"/>
      <c r="BC142" s="258"/>
      <c r="BD142" s="137"/>
      <c r="BE142" s="137"/>
      <c r="BF142" s="137"/>
      <c r="BG142" s="137"/>
      <c r="BH142" s="137"/>
      <c r="BI142" s="137"/>
      <c r="BJ142" s="137"/>
      <c r="BK142" s="137"/>
      <c r="BL142" s="137"/>
      <c r="BM142" s="137"/>
      <c r="BN142" s="137"/>
      <c r="BO142" s="137"/>
      <c r="BP142" s="137"/>
      <c r="BQ142" s="137"/>
      <c r="BR142" s="137"/>
      <c r="BS142" s="137"/>
      <c r="BV142" s="262"/>
      <c r="BW142" s="136"/>
      <c r="BX142" s="137"/>
      <c r="BY142" s="137"/>
      <c r="BZ142" s="137"/>
      <c r="CA142" s="137"/>
      <c r="CB142" s="137"/>
      <c r="CC142" s="258"/>
      <c r="CD142" s="258"/>
      <c r="CE142" s="258"/>
      <c r="CF142" s="258"/>
      <c r="CG142" s="258"/>
      <c r="CH142" s="258"/>
      <c r="CI142" s="258"/>
      <c r="CJ142" s="258"/>
      <c r="CK142" s="258"/>
      <c r="CL142" s="258"/>
      <c r="CM142" s="258"/>
    </row>
    <row r="143" spans="1:91" x14ac:dyDescent="0.25">
      <c r="A143" s="723"/>
      <c r="B143" s="723"/>
      <c r="K143" s="52"/>
      <c r="L143" s="135"/>
      <c r="N143" s="131"/>
      <c r="O143" s="131"/>
      <c r="P143" s="55"/>
      <c r="Q143" s="135"/>
      <c r="R143" s="135"/>
      <c r="U143" s="135"/>
      <c r="V143" s="146"/>
      <c r="W143" s="146"/>
      <c r="X143" s="338"/>
      <c r="Y143" s="338"/>
      <c r="Z143" s="338"/>
      <c r="AA143" s="338"/>
      <c r="AB143" s="338"/>
      <c r="AC143" s="338"/>
      <c r="AF143" s="138"/>
      <c r="AG143" s="138"/>
      <c r="AH143" s="138"/>
      <c r="AI143" s="138"/>
      <c r="AJ143" s="138"/>
      <c r="AM143" s="258"/>
      <c r="AN143" s="258"/>
      <c r="AO143" s="258"/>
      <c r="AP143" s="258"/>
      <c r="AR143" s="137"/>
      <c r="AT143" s="137"/>
      <c r="AV143" s="394"/>
      <c r="AW143" s="137"/>
      <c r="AX143" s="137"/>
      <c r="AY143" s="137"/>
      <c r="AZ143" s="137"/>
      <c r="BA143" s="264"/>
      <c r="BB143" s="258"/>
      <c r="BC143" s="258"/>
      <c r="BD143" s="137"/>
      <c r="BE143" s="137"/>
      <c r="BF143" s="137"/>
      <c r="BG143" s="137"/>
      <c r="BH143" s="137"/>
      <c r="BI143" s="137"/>
      <c r="BJ143" s="137"/>
      <c r="BK143" s="137"/>
      <c r="BL143" s="137"/>
      <c r="BM143" s="137"/>
      <c r="BN143" s="137"/>
      <c r="BO143" s="137"/>
      <c r="BP143" s="137"/>
      <c r="BQ143" s="137"/>
      <c r="BR143" s="137"/>
      <c r="BS143" s="137"/>
      <c r="BV143" s="262"/>
      <c r="BW143" s="136"/>
      <c r="BX143" s="137"/>
      <c r="BY143" s="137"/>
      <c r="BZ143" s="137"/>
      <c r="CA143" s="137"/>
      <c r="CB143" s="137"/>
      <c r="CC143" s="258"/>
      <c r="CD143" s="258"/>
      <c r="CE143" s="258"/>
      <c r="CF143" s="258"/>
      <c r="CG143" s="258"/>
      <c r="CH143" s="258"/>
      <c r="CI143" s="258"/>
      <c r="CJ143" s="258"/>
      <c r="CK143" s="258"/>
      <c r="CL143" s="258"/>
      <c r="CM143" s="258"/>
    </row>
    <row r="144" spans="1:91" x14ac:dyDescent="0.25">
      <c r="A144" s="723"/>
      <c r="B144" s="723"/>
      <c r="K144" s="52"/>
      <c r="L144" s="135"/>
      <c r="N144" s="131"/>
      <c r="O144" s="131"/>
      <c r="P144" s="55"/>
      <c r="Q144" s="135"/>
      <c r="R144" s="135"/>
      <c r="U144" s="135"/>
      <c r="V144" s="146"/>
      <c r="W144" s="146"/>
      <c r="X144" s="338"/>
      <c r="Y144" s="338"/>
      <c r="Z144" s="338"/>
      <c r="AA144" s="338"/>
      <c r="AB144" s="338"/>
      <c r="AC144" s="338"/>
      <c r="AF144" s="138"/>
      <c r="AG144" s="138"/>
      <c r="AH144" s="138"/>
      <c r="AI144" s="138"/>
      <c r="AJ144" s="138"/>
      <c r="AM144" s="258"/>
      <c r="AN144" s="258"/>
      <c r="AO144" s="258"/>
      <c r="AP144" s="258"/>
      <c r="AR144" s="137"/>
      <c r="AT144" s="137"/>
      <c r="AV144" s="394"/>
      <c r="AW144" s="137"/>
      <c r="AX144" s="137"/>
      <c r="AY144" s="137"/>
      <c r="AZ144" s="137"/>
      <c r="BA144" s="264"/>
      <c r="BB144" s="258"/>
      <c r="BC144" s="258"/>
      <c r="BD144" s="137"/>
      <c r="BE144" s="137"/>
      <c r="BF144" s="137"/>
      <c r="BG144" s="137"/>
      <c r="BH144" s="137"/>
      <c r="BI144" s="137"/>
      <c r="BJ144" s="137"/>
      <c r="BK144" s="137"/>
      <c r="BL144" s="137"/>
      <c r="BM144" s="137"/>
      <c r="BN144" s="137"/>
      <c r="BO144" s="137"/>
      <c r="BP144" s="137"/>
      <c r="BQ144" s="137"/>
      <c r="BR144" s="137"/>
      <c r="BS144" s="137"/>
      <c r="BV144" s="262"/>
      <c r="BW144" s="136"/>
      <c r="BX144" s="137"/>
      <c r="BY144" s="137"/>
      <c r="BZ144" s="137"/>
      <c r="CA144" s="137"/>
      <c r="CB144" s="137"/>
      <c r="CC144" s="258"/>
      <c r="CD144" s="258"/>
      <c r="CE144" s="258"/>
      <c r="CF144" s="258"/>
      <c r="CG144" s="258"/>
      <c r="CH144" s="258"/>
      <c r="CI144" s="258"/>
      <c r="CJ144" s="258"/>
      <c r="CK144" s="258"/>
      <c r="CL144" s="258"/>
      <c r="CM144" s="258"/>
    </row>
    <row r="145" spans="1:91" x14ac:dyDescent="0.25">
      <c r="A145" s="723"/>
      <c r="B145" s="723"/>
      <c r="K145" s="52"/>
      <c r="L145" s="135"/>
      <c r="N145" s="131"/>
      <c r="O145" s="131"/>
      <c r="P145" s="55"/>
      <c r="Q145" s="135"/>
      <c r="R145" s="135"/>
      <c r="U145" s="135"/>
      <c r="V145" s="146"/>
      <c r="W145" s="146"/>
      <c r="X145" s="338"/>
      <c r="Y145" s="338"/>
      <c r="Z145" s="338"/>
      <c r="AA145" s="338"/>
      <c r="AB145" s="338"/>
      <c r="AC145" s="338"/>
      <c r="AF145" s="138"/>
      <c r="AG145" s="138"/>
      <c r="AH145" s="138"/>
      <c r="AI145" s="138"/>
      <c r="AJ145" s="138"/>
      <c r="AM145" s="258"/>
      <c r="AN145" s="258"/>
      <c r="AO145" s="258"/>
      <c r="AP145" s="258"/>
      <c r="AR145" s="137"/>
      <c r="AT145" s="137"/>
      <c r="AV145" s="394"/>
      <c r="AW145" s="137"/>
      <c r="AX145" s="137"/>
      <c r="AY145" s="137"/>
      <c r="AZ145" s="137"/>
      <c r="BA145" s="264"/>
      <c r="BB145" s="258"/>
      <c r="BC145" s="258"/>
      <c r="BD145" s="137"/>
      <c r="BE145" s="137"/>
      <c r="BF145" s="137"/>
      <c r="BG145" s="137"/>
      <c r="BH145" s="137"/>
      <c r="BI145" s="137"/>
      <c r="BJ145" s="137"/>
      <c r="BK145" s="137"/>
      <c r="BL145" s="137"/>
      <c r="BM145" s="137"/>
      <c r="BN145" s="137"/>
      <c r="BO145" s="137"/>
      <c r="BP145" s="137"/>
      <c r="BQ145" s="137"/>
      <c r="BR145" s="137"/>
      <c r="BS145" s="137"/>
      <c r="BV145" s="262"/>
      <c r="BW145" s="136"/>
      <c r="BX145" s="137"/>
      <c r="BY145" s="137"/>
      <c r="BZ145" s="137"/>
      <c r="CA145" s="137"/>
      <c r="CB145" s="137"/>
      <c r="CC145" s="258"/>
      <c r="CD145" s="258"/>
      <c r="CE145" s="258"/>
      <c r="CF145" s="258"/>
      <c r="CG145" s="258"/>
      <c r="CH145" s="258"/>
      <c r="CI145" s="258"/>
      <c r="CJ145" s="258"/>
      <c r="CK145" s="258"/>
      <c r="CL145" s="258"/>
      <c r="CM145" s="258"/>
    </row>
    <row r="146" spans="1:91" x14ac:dyDescent="0.25">
      <c r="A146" s="723"/>
      <c r="B146" s="723"/>
      <c r="K146" s="52"/>
      <c r="L146" s="135"/>
      <c r="N146" s="131"/>
      <c r="O146" s="131"/>
      <c r="P146" s="55"/>
      <c r="Q146" s="135"/>
      <c r="R146" s="135"/>
      <c r="U146" s="135"/>
      <c r="V146" s="146"/>
      <c r="W146" s="146"/>
      <c r="X146" s="338"/>
      <c r="Y146" s="338"/>
      <c r="Z146" s="338"/>
      <c r="AA146" s="338"/>
      <c r="AB146" s="338"/>
      <c r="AC146" s="338"/>
      <c r="AF146" s="138"/>
      <c r="AG146" s="138"/>
      <c r="AH146" s="138"/>
      <c r="AI146" s="138"/>
      <c r="AJ146" s="138"/>
      <c r="AM146" s="258"/>
      <c r="AN146" s="258"/>
      <c r="AO146" s="258"/>
      <c r="AP146" s="258"/>
      <c r="AR146" s="137"/>
      <c r="AT146" s="137"/>
      <c r="AV146" s="394"/>
      <c r="AW146" s="137"/>
      <c r="AX146" s="137"/>
      <c r="AY146" s="137"/>
      <c r="AZ146" s="137"/>
      <c r="BA146" s="264"/>
      <c r="BB146" s="258"/>
      <c r="BC146" s="258"/>
      <c r="BD146" s="137"/>
      <c r="BE146" s="137"/>
      <c r="BF146" s="137"/>
      <c r="BG146" s="137"/>
      <c r="BH146" s="137"/>
      <c r="BI146" s="137"/>
      <c r="BJ146" s="137"/>
      <c r="BK146" s="137"/>
      <c r="BL146" s="137"/>
      <c r="BM146" s="137"/>
      <c r="BN146" s="137"/>
      <c r="BO146" s="137"/>
      <c r="BP146" s="137"/>
      <c r="BQ146" s="137"/>
      <c r="BR146" s="137"/>
      <c r="BS146" s="137"/>
      <c r="BV146" s="262"/>
      <c r="BW146" s="136"/>
      <c r="BX146" s="137"/>
      <c r="BY146" s="137"/>
      <c r="BZ146" s="137"/>
      <c r="CA146" s="137"/>
      <c r="CB146" s="137"/>
      <c r="CC146" s="258"/>
      <c r="CD146" s="258"/>
      <c r="CE146" s="258"/>
      <c r="CF146" s="258"/>
      <c r="CG146" s="258"/>
      <c r="CH146" s="258"/>
      <c r="CI146" s="258"/>
      <c r="CJ146" s="258"/>
      <c r="CK146" s="258"/>
      <c r="CL146" s="258"/>
      <c r="CM146" s="258"/>
    </row>
    <row r="147" spans="1:91" x14ac:dyDescent="0.25">
      <c r="A147" s="723"/>
      <c r="B147" s="723"/>
      <c r="K147" s="52"/>
      <c r="L147" s="135"/>
      <c r="N147" s="131"/>
      <c r="O147" s="131"/>
      <c r="P147" s="55"/>
      <c r="Q147" s="135"/>
      <c r="R147" s="135"/>
      <c r="U147" s="135"/>
      <c r="V147" s="146"/>
      <c r="W147" s="146"/>
      <c r="X147" s="338"/>
      <c r="Y147" s="338"/>
      <c r="Z147" s="338"/>
      <c r="AA147" s="338"/>
      <c r="AB147" s="338"/>
      <c r="AC147" s="338"/>
      <c r="AF147" s="138"/>
      <c r="AG147" s="138"/>
      <c r="AH147" s="138"/>
      <c r="AI147" s="138"/>
      <c r="AJ147" s="138"/>
      <c r="AM147" s="258"/>
      <c r="AN147" s="258"/>
      <c r="AO147" s="258"/>
      <c r="AP147" s="258"/>
      <c r="AR147" s="137"/>
      <c r="AT147" s="137"/>
      <c r="AV147" s="394"/>
      <c r="AW147" s="137"/>
      <c r="AX147" s="137"/>
      <c r="AY147" s="137"/>
      <c r="AZ147" s="137"/>
      <c r="BA147" s="264"/>
      <c r="BB147" s="258"/>
      <c r="BC147" s="258"/>
      <c r="BD147" s="137"/>
      <c r="BE147" s="137"/>
      <c r="BF147" s="137"/>
      <c r="BG147" s="137"/>
      <c r="BH147" s="137"/>
      <c r="BI147" s="137"/>
      <c r="BJ147" s="137"/>
      <c r="BK147" s="137"/>
      <c r="BL147" s="137"/>
      <c r="BM147" s="137"/>
      <c r="BN147" s="137"/>
      <c r="BO147" s="137"/>
      <c r="BP147" s="137"/>
      <c r="BQ147" s="137"/>
      <c r="BR147" s="137"/>
      <c r="BS147" s="137"/>
      <c r="BV147" s="262"/>
      <c r="BW147" s="136"/>
      <c r="BX147" s="137"/>
      <c r="BY147" s="137"/>
      <c r="BZ147" s="137"/>
      <c r="CA147" s="137"/>
      <c r="CB147" s="137"/>
      <c r="CC147" s="258"/>
      <c r="CD147" s="258"/>
      <c r="CE147" s="258"/>
      <c r="CF147" s="258"/>
      <c r="CG147" s="258"/>
      <c r="CH147" s="258"/>
      <c r="CI147" s="258"/>
      <c r="CJ147" s="258"/>
      <c r="CK147" s="258"/>
      <c r="CL147" s="258"/>
      <c r="CM147" s="258"/>
    </row>
    <row r="148" spans="1:91" x14ac:dyDescent="0.25">
      <c r="A148" s="723"/>
      <c r="B148" s="723"/>
      <c r="K148" s="52"/>
      <c r="L148" s="135"/>
      <c r="N148" s="131"/>
      <c r="O148" s="131"/>
      <c r="P148" s="55"/>
      <c r="Q148" s="135"/>
      <c r="R148" s="135"/>
      <c r="U148" s="135"/>
      <c r="V148" s="146"/>
      <c r="W148" s="146"/>
      <c r="X148" s="338"/>
      <c r="Y148" s="338"/>
      <c r="Z148" s="338"/>
      <c r="AA148" s="338"/>
      <c r="AB148" s="338"/>
      <c r="AC148" s="338"/>
      <c r="AF148" s="138"/>
      <c r="AG148" s="138"/>
      <c r="AH148" s="138"/>
      <c r="AI148" s="138"/>
      <c r="AJ148" s="138"/>
      <c r="AM148" s="258"/>
      <c r="AN148" s="258"/>
      <c r="AO148" s="258"/>
      <c r="AP148" s="258"/>
      <c r="AR148" s="137"/>
      <c r="AT148" s="137"/>
      <c r="AV148" s="394"/>
      <c r="AW148" s="137"/>
      <c r="AX148" s="137"/>
      <c r="AY148" s="137"/>
      <c r="AZ148" s="137"/>
      <c r="BA148" s="264"/>
      <c r="BB148" s="258"/>
      <c r="BC148" s="258"/>
      <c r="BD148" s="137"/>
      <c r="BE148" s="137"/>
      <c r="BF148" s="137"/>
      <c r="BG148" s="137"/>
      <c r="BH148" s="137"/>
      <c r="BI148" s="137"/>
      <c r="BJ148" s="137"/>
      <c r="BK148" s="137"/>
      <c r="BL148" s="137"/>
      <c r="BM148" s="137"/>
      <c r="BN148" s="137"/>
      <c r="BO148" s="137"/>
      <c r="BP148" s="137"/>
      <c r="BQ148" s="137"/>
      <c r="BR148" s="137"/>
      <c r="BS148" s="137"/>
      <c r="BV148" s="262"/>
      <c r="BW148" s="136"/>
      <c r="BX148" s="137"/>
      <c r="BY148" s="137"/>
      <c r="BZ148" s="137"/>
      <c r="CA148" s="137"/>
      <c r="CB148" s="137"/>
      <c r="CC148" s="258"/>
      <c r="CD148" s="258"/>
      <c r="CE148" s="258"/>
      <c r="CF148" s="258"/>
      <c r="CG148" s="258"/>
      <c r="CH148" s="258"/>
      <c r="CI148" s="258"/>
      <c r="CJ148" s="258"/>
      <c r="CK148" s="258"/>
      <c r="CL148" s="258"/>
      <c r="CM148" s="258"/>
    </row>
    <row r="149" spans="1:91" x14ac:dyDescent="0.25">
      <c r="A149" s="723"/>
      <c r="B149" s="723"/>
      <c r="K149" s="52"/>
      <c r="L149" s="135"/>
      <c r="N149" s="131"/>
      <c r="O149" s="131"/>
      <c r="P149" s="55"/>
      <c r="Q149" s="135"/>
      <c r="R149" s="135"/>
      <c r="U149" s="135"/>
      <c r="V149" s="146"/>
      <c r="W149" s="146"/>
      <c r="X149" s="338"/>
      <c r="Y149" s="338"/>
      <c r="Z149" s="338"/>
      <c r="AA149" s="338"/>
      <c r="AB149" s="338"/>
      <c r="AC149" s="338"/>
      <c r="AF149" s="138"/>
      <c r="AG149" s="138"/>
      <c r="AH149" s="138"/>
      <c r="AI149" s="138"/>
      <c r="AJ149" s="138"/>
      <c r="AM149" s="258"/>
      <c r="AN149" s="258"/>
      <c r="AO149" s="258"/>
      <c r="AP149" s="258"/>
      <c r="AR149" s="137"/>
      <c r="AT149" s="137"/>
      <c r="AV149" s="394"/>
      <c r="AW149" s="137"/>
      <c r="AX149" s="137"/>
      <c r="AY149" s="137"/>
      <c r="AZ149" s="137"/>
      <c r="BA149" s="264"/>
      <c r="BB149" s="258"/>
      <c r="BC149" s="258"/>
      <c r="BD149" s="137"/>
      <c r="BE149" s="137"/>
      <c r="BF149" s="137"/>
      <c r="BG149" s="137"/>
      <c r="BH149" s="137"/>
      <c r="BI149" s="137"/>
      <c r="BJ149" s="137"/>
      <c r="BK149" s="137"/>
      <c r="BL149" s="137"/>
      <c r="BM149" s="137"/>
      <c r="BN149" s="137"/>
      <c r="BO149" s="137"/>
      <c r="BP149" s="137"/>
      <c r="BQ149" s="137"/>
      <c r="BR149" s="137"/>
      <c r="BS149" s="137"/>
      <c r="BV149" s="262"/>
      <c r="BW149" s="136"/>
      <c r="BX149" s="137"/>
      <c r="BY149" s="137"/>
      <c r="BZ149" s="137"/>
      <c r="CA149" s="137"/>
      <c r="CB149" s="137"/>
      <c r="CC149" s="258"/>
      <c r="CD149" s="258"/>
      <c r="CE149" s="258"/>
      <c r="CF149" s="258"/>
      <c r="CG149" s="258"/>
      <c r="CH149" s="258"/>
      <c r="CI149" s="258"/>
      <c r="CJ149" s="258"/>
      <c r="CK149" s="258"/>
      <c r="CL149" s="258"/>
      <c r="CM149" s="258"/>
    </row>
    <row r="150" spans="1:91" x14ac:dyDescent="0.25">
      <c r="A150" s="723"/>
      <c r="B150" s="723"/>
      <c r="K150" s="52"/>
      <c r="L150" s="135"/>
      <c r="N150" s="131"/>
      <c r="O150" s="131"/>
      <c r="P150" s="55"/>
      <c r="Q150" s="135"/>
      <c r="R150" s="135"/>
      <c r="U150" s="135"/>
      <c r="V150" s="146"/>
      <c r="W150" s="146"/>
      <c r="X150" s="338"/>
      <c r="Y150" s="338"/>
      <c r="Z150" s="338"/>
      <c r="AA150" s="338"/>
      <c r="AB150" s="338"/>
      <c r="AC150" s="338"/>
      <c r="AF150" s="138"/>
      <c r="AG150" s="138"/>
      <c r="AH150" s="138"/>
      <c r="AI150" s="138"/>
      <c r="AJ150" s="138"/>
      <c r="AM150" s="258"/>
      <c r="AN150" s="258"/>
      <c r="AO150" s="258"/>
      <c r="AP150" s="258"/>
      <c r="AR150" s="137"/>
      <c r="AT150" s="137"/>
      <c r="AV150" s="394"/>
      <c r="AW150" s="137"/>
      <c r="AX150" s="137"/>
      <c r="AY150" s="137"/>
      <c r="AZ150" s="137"/>
      <c r="BA150" s="264"/>
      <c r="BB150" s="258"/>
      <c r="BC150" s="258"/>
      <c r="BD150" s="137"/>
      <c r="BE150" s="137"/>
      <c r="BF150" s="137"/>
      <c r="BG150" s="137"/>
      <c r="BH150" s="137"/>
      <c r="BI150" s="137"/>
      <c r="BJ150" s="137"/>
      <c r="BK150" s="137"/>
      <c r="BL150" s="137"/>
      <c r="BM150" s="137"/>
      <c r="BN150" s="137"/>
      <c r="BO150" s="137"/>
      <c r="BP150" s="137"/>
      <c r="BQ150" s="137"/>
      <c r="BR150" s="137"/>
      <c r="BS150" s="137"/>
      <c r="BV150" s="262"/>
      <c r="BW150" s="136"/>
      <c r="BX150" s="137"/>
      <c r="BY150" s="137"/>
      <c r="BZ150" s="137"/>
      <c r="CA150" s="137"/>
      <c r="CB150" s="137"/>
      <c r="CC150" s="258"/>
      <c r="CD150" s="258"/>
      <c r="CE150" s="258"/>
      <c r="CF150" s="258"/>
      <c r="CG150" s="258"/>
      <c r="CH150" s="258"/>
      <c r="CI150" s="258"/>
      <c r="CJ150" s="258"/>
      <c r="CK150" s="258"/>
      <c r="CL150" s="258"/>
      <c r="CM150" s="258"/>
    </row>
    <row r="151" spans="1:91" x14ac:dyDescent="0.25">
      <c r="A151" s="723"/>
      <c r="B151" s="723"/>
      <c r="K151" s="52"/>
      <c r="L151" s="135"/>
      <c r="N151" s="131"/>
      <c r="O151" s="131"/>
      <c r="P151" s="55"/>
      <c r="Q151" s="135"/>
      <c r="R151" s="135"/>
      <c r="U151" s="135"/>
      <c r="V151" s="146"/>
      <c r="W151" s="146"/>
      <c r="X151" s="338"/>
      <c r="Y151" s="338"/>
      <c r="Z151" s="338"/>
      <c r="AA151" s="338"/>
      <c r="AB151" s="338"/>
      <c r="AC151" s="338"/>
      <c r="AF151" s="138"/>
      <c r="AG151" s="138"/>
      <c r="AH151" s="138"/>
      <c r="AI151" s="138"/>
      <c r="AJ151" s="138"/>
      <c r="AM151" s="258"/>
      <c r="AN151" s="258"/>
      <c r="AO151" s="258"/>
      <c r="AP151" s="258"/>
      <c r="AR151" s="137"/>
      <c r="AT151" s="137"/>
      <c r="AV151" s="394"/>
      <c r="AW151" s="137"/>
      <c r="AX151" s="137"/>
      <c r="AY151" s="137"/>
      <c r="AZ151" s="137"/>
      <c r="BA151" s="264"/>
      <c r="BB151" s="258"/>
      <c r="BC151" s="258"/>
      <c r="BD151" s="137"/>
      <c r="BE151" s="137"/>
      <c r="BF151" s="137"/>
      <c r="BG151" s="137"/>
      <c r="BH151" s="137"/>
      <c r="BI151" s="137"/>
      <c r="BJ151" s="137"/>
      <c r="BK151" s="137"/>
      <c r="BL151" s="137"/>
      <c r="BM151" s="137"/>
      <c r="BN151" s="137"/>
      <c r="BO151" s="137"/>
      <c r="BP151" s="137"/>
      <c r="BQ151" s="137"/>
      <c r="BR151" s="137"/>
      <c r="BS151" s="137"/>
      <c r="BV151" s="262"/>
      <c r="BW151" s="136"/>
      <c r="BX151" s="137"/>
      <c r="BY151" s="137"/>
      <c r="BZ151" s="137"/>
      <c r="CA151" s="137"/>
      <c r="CB151" s="137"/>
      <c r="CC151" s="258"/>
      <c r="CD151" s="258"/>
      <c r="CE151" s="258"/>
      <c r="CF151" s="258"/>
      <c r="CG151" s="258"/>
      <c r="CH151" s="258"/>
      <c r="CI151" s="258"/>
      <c r="CJ151" s="258"/>
      <c r="CK151" s="258"/>
      <c r="CL151" s="258"/>
      <c r="CM151" s="258"/>
    </row>
    <row r="152" spans="1:91" x14ac:dyDescent="0.25">
      <c r="A152" s="723"/>
      <c r="B152" s="723"/>
      <c r="K152" s="52"/>
      <c r="L152" s="135"/>
      <c r="N152" s="131"/>
      <c r="O152" s="131"/>
      <c r="P152" s="55"/>
      <c r="Q152" s="135"/>
      <c r="R152" s="135"/>
      <c r="U152" s="135"/>
      <c r="V152" s="146"/>
      <c r="W152" s="146"/>
      <c r="X152" s="338"/>
      <c r="Y152" s="338"/>
      <c r="Z152" s="338"/>
      <c r="AA152" s="338"/>
      <c r="AB152" s="338"/>
      <c r="AC152" s="338"/>
      <c r="AF152" s="138"/>
      <c r="AG152" s="138"/>
      <c r="AH152" s="138"/>
      <c r="AI152" s="138"/>
      <c r="AJ152" s="138"/>
      <c r="AM152" s="258"/>
      <c r="AN152" s="258"/>
      <c r="AO152" s="258"/>
      <c r="AP152" s="258"/>
      <c r="AR152" s="137"/>
      <c r="AT152" s="137"/>
      <c r="AV152" s="394"/>
      <c r="AW152" s="137"/>
      <c r="AX152" s="137"/>
      <c r="AY152" s="137"/>
      <c r="AZ152" s="137"/>
      <c r="BA152" s="264"/>
      <c r="BB152" s="258"/>
      <c r="BC152" s="258"/>
      <c r="BD152" s="137"/>
      <c r="BE152" s="137"/>
      <c r="BF152" s="137"/>
      <c r="BG152" s="137"/>
      <c r="BH152" s="137"/>
      <c r="BI152" s="137"/>
      <c r="BJ152" s="137"/>
      <c r="BK152" s="137"/>
      <c r="BL152" s="137"/>
      <c r="BM152" s="137"/>
      <c r="BN152" s="137"/>
      <c r="BO152" s="137"/>
      <c r="BP152" s="137"/>
      <c r="BQ152" s="137"/>
      <c r="BR152" s="137"/>
      <c r="BS152" s="137"/>
      <c r="BV152" s="262"/>
      <c r="BW152" s="136"/>
      <c r="BX152" s="137"/>
      <c r="BY152" s="137"/>
      <c r="BZ152" s="137"/>
      <c r="CA152" s="137"/>
      <c r="CB152" s="137"/>
      <c r="CC152" s="258"/>
      <c r="CD152" s="258"/>
      <c r="CE152" s="258"/>
      <c r="CF152" s="258"/>
      <c r="CG152" s="258"/>
      <c r="CH152" s="258"/>
      <c r="CI152" s="258"/>
      <c r="CJ152" s="258"/>
      <c r="CK152" s="258"/>
      <c r="CL152" s="258"/>
      <c r="CM152" s="258"/>
    </row>
    <row r="153" spans="1:91" x14ac:dyDescent="0.25">
      <c r="A153" s="723"/>
      <c r="B153" s="723"/>
      <c r="K153" s="52"/>
      <c r="L153" s="135"/>
      <c r="N153" s="131"/>
      <c r="O153" s="131"/>
      <c r="P153" s="55"/>
      <c r="Q153" s="135"/>
      <c r="R153" s="135"/>
      <c r="U153" s="135"/>
      <c r="V153" s="146"/>
      <c r="W153" s="146"/>
      <c r="X153" s="338"/>
      <c r="Y153" s="338"/>
      <c r="Z153" s="338"/>
      <c r="AA153" s="338"/>
      <c r="AB153" s="338"/>
      <c r="AC153" s="338"/>
      <c r="AF153" s="138"/>
      <c r="AG153" s="138"/>
      <c r="AH153" s="138"/>
      <c r="AI153" s="138"/>
      <c r="AJ153" s="138"/>
      <c r="AM153" s="258"/>
      <c r="AN153" s="258"/>
      <c r="AO153" s="258"/>
      <c r="AP153" s="258"/>
      <c r="AR153" s="137"/>
      <c r="AT153" s="137"/>
      <c r="AV153" s="394"/>
      <c r="AW153" s="137"/>
      <c r="AX153" s="137"/>
      <c r="AY153" s="137"/>
      <c r="AZ153" s="137"/>
      <c r="BA153" s="264"/>
      <c r="BB153" s="258"/>
      <c r="BC153" s="258"/>
      <c r="BD153" s="137"/>
      <c r="BE153" s="137"/>
      <c r="BF153" s="137"/>
      <c r="BG153" s="137"/>
      <c r="BH153" s="137"/>
      <c r="BI153" s="137"/>
      <c r="BJ153" s="137"/>
      <c r="BK153" s="137"/>
      <c r="BL153" s="137"/>
      <c r="BM153" s="137"/>
      <c r="BN153" s="137"/>
      <c r="BO153" s="137"/>
      <c r="BP153" s="137"/>
      <c r="BQ153" s="137"/>
      <c r="BR153" s="137"/>
      <c r="BS153" s="137"/>
      <c r="BV153" s="262"/>
      <c r="BW153" s="136"/>
      <c r="BX153" s="137"/>
      <c r="BY153" s="137"/>
      <c r="BZ153" s="137"/>
      <c r="CA153" s="137"/>
      <c r="CB153" s="137"/>
      <c r="CC153" s="258"/>
      <c r="CD153" s="258"/>
      <c r="CE153" s="258"/>
      <c r="CF153" s="258"/>
      <c r="CG153" s="258"/>
      <c r="CH153" s="258"/>
      <c r="CI153" s="258"/>
      <c r="CJ153" s="258"/>
      <c r="CK153" s="258"/>
      <c r="CL153" s="258"/>
      <c r="CM153" s="258"/>
    </row>
    <row r="154" spans="1:91" x14ac:dyDescent="0.25">
      <c r="A154" s="723"/>
      <c r="B154" s="723"/>
      <c r="K154" s="52"/>
      <c r="L154" s="135"/>
      <c r="N154" s="131"/>
      <c r="O154" s="131"/>
      <c r="P154" s="55"/>
      <c r="Q154" s="135"/>
      <c r="R154" s="135"/>
      <c r="U154" s="135"/>
      <c r="V154" s="146"/>
      <c r="W154" s="146"/>
      <c r="X154" s="338"/>
      <c r="Y154" s="338"/>
      <c r="Z154" s="338"/>
      <c r="AA154" s="338"/>
      <c r="AB154" s="338"/>
      <c r="AC154" s="338"/>
      <c r="AF154" s="138"/>
      <c r="AG154" s="138"/>
      <c r="AH154" s="138"/>
      <c r="AI154" s="138"/>
      <c r="AJ154" s="138"/>
      <c r="AM154" s="258"/>
      <c r="AN154" s="258"/>
      <c r="AO154" s="258"/>
      <c r="AP154" s="258"/>
      <c r="AR154" s="137"/>
      <c r="AT154" s="137"/>
      <c r="AV154" s="394"/>
      <c r="AW154" s="137"/>
      <c r="AX154" s="137"/>
      <c r="AY154" s="137"/>
      <c r="AZ154" s="137"/>
      <c r="BA154" s="264"/>
      <c r="BB154" s="258"/>
      <c r="BC154" s="258"/>
      <c r="BD154" s="137"/>
      <c r="BE154" s="137"/>
      <c r="BF154" s="137"/>
      <c r="BG154" s="137"/>
      <c r="BH154" s="137"/>
      <c r="BI154" s="137"/>
      <c r="BJ154" s="137"/>
      <c r="BK154" s="137"/>
      <c r="BL154" s="137"/>
      <c r="BM154" s="137"/>
      <c r="BN154" s="137"/>
      <c r="BO154" s="137"/>
      <c r="BP154" s="137"/>
      <c r="BQ154" s="137"/>
      <c r="BR154" s="137"/>
      <c r="BS154" s="137"/>
      <c r="BV154" s="262"/>
      <c r="BW154" s="136"/>
      <c r="BX154" s="137"/>
      <c r="BY154" s="137"/>
      <c r="BZ154" s="137"/>
      <c r="CA154" s="137"/>
      <c r="CB154" s="137"/>
      <c r="CC154" s="258"/>
      <c r="CD154" s="258"/>
      <c r="CE154" s="258"/>
      <c r="CF154" s="258"/>
      <c r="CG154" s="258"/>
      <c r="CH154" s="258"/>
      <c r="CI154" s="258"/>
      <c r="CJ154" s="258"/>
      <c r="CK154" s="258"/>
      <c r="CL154" s="258"/>
      <c r="CM154" s="258"/>
    </row>
    <row r="155" spans="1:91" x14ac:dyDescent="0.25">
      <c r="A155" s="723"/>
      <c r="B155" s="723"/>
      <c r="K155" s="52"/>
      <c r="L155" s="135"/>
      <c r="N155" s="131"/>
      <c r="O155" s="131"/>
      <c r="P155" s="55"/>
      <c r="Q155" s="135"/>
      <c r="R155" s="135"/>
      <c r="U155" s="135"/>
      <c r="V155" s="146"/>
      <c r="W155" s="146"/>
      <c r="X155" s="338"/>
      <c r="Y155" s="338"/>
      <c r="Z155" s="338"/>
      <c r="AA155" s="338"/>
      <c r="AB155" s="338"/>
      <c r="AC155" s="338"/>
      <c r="AF155" s="138"/>
      <c r="AG155" s="138"/>
      <c r="AH155" s="138"/>
      <c r="AI155" s="138"/>
      <c r="AJ155" s="138"/>
      <c r="AM155" s="258"/>
      <c r="AN155" s="258"/>
      <c r="AO155" s="258"/>
      <c r="AP155" s="258"/>
      <c r="AR155" s="137"/>
      <c r="AT155" s="137"/>
      <c r="AV155" s="394"/>
      <c r="AW155" s="137"/>
      <c r="AX155" s="137"/>
      <c r="AY155" s="137"/>
      <c r="AZ155" s="137"/>
      <c r="BA155" s="264"/>
      <c r="BB155" s="258"/>
      <c r="BC155" s="258"/>
      <c r="BD155" s="137"/>
      <c r="BE155" s="137"/>
      <c r="BF155" s="137"/>
      <c r="BG155" s="137"/>
      <c r="BH155" s="137"/>
      <c r="BI155" s="137"/>
      <c r="BJ155" s="137"/>
      <c r="BK155" s="137"/>
      <c r="BL155" s="137"/>
      <c r="BM155" s="137"/>
      <c r="BN155" s="137"/>
      <c r="BO155" s="137"/>
      <c r="BP155" s="137"/>
      <c r="BQ155" s="137"/>
      <c r="BR155" s="137"/>
      <c r="BS155" s="137"/>
      <c r="BV155" s="262"/>
      <c r="BW155" s="136"/>
      <c r="BX155" s="137"/>
      <c r="BY155" s="137"/>
      <c r="BZ155" s="137"/>
      <c r="CA155" s="137"/>
      <c r="CB155" s="137"/>
      <c r="CC155" s="258"/>
      <c r="CD155" s="258"/>
      <c r="CE155" s="258"/>
      <c r="CF155" s="258"/>
      <c r="CG155" s="258"/>
      <c r="CH155" s="258"/>
      <c r="CI155" s="258"/>
      <c r="CJ155" s="258"/>
      <c r="CK155" s="258"/>
      <c r="CL155" s="258"/>
      <c r="CM155" s="258"/>
    </row>
    <row r="156" spans="1:91" x14ac:dyDescent="0.25">
      <c r="A156" s="723"/>
      <c r="B156" s="723"/>
      <c r="K156" s="52"/>
      <c r="L156" s="135"/>
      <c r="N156" s="131"/>
      <c r="O156" s="131"/>
      <c r="P156" s="55"/>
      <c r="Q156" s="135"/>
      <c r="R156" s="135"/>
      <c r="U156" s="135"/>
      <c r="V156" s="146"/>
      <c r="W156" s="146"/>
      <c r="X156" s="338"/>
      <c r="Y156" s="338"/>
      <c r="Z156" s="338"/>
      <c r="AA156" s="338"/>
      <c r="AB156" s="338"/>
      <c r="AC156" s="338"/>
      <c r="AF156" s="138"/>
      <c r="AG156" s="138"/>
      <c r="AH156" s="138"/>
      <c r="AI156" s="138"/>
      <c r="AJ156" s="138"/>
      <c r="AM156" s="258"/>
      <c r="AN156" s="258"/>
      <c r="AO156" s="258"/>
      <c r="AP156" s="258"/>
      <c r="AR156" s="137"/>
      <c r="AT156" s="137"/>
      <c r="AV156" s="394"/>
      <c r="AW156" s="137"/>
      <c r="AX156" s="137"/>
      <c r="AY156" s="137"/>
      <c r="AZ156" s="137"/>
      <c r="BA156" s="264"/>
      <c r="BB156" s="258"/>
      <c r="BC156" s="258"/>
      <c r="BD156" s="137"/>
      <c r="BE156" s="137"/>
      <c r="BF156" s="137"/>
      <c r="BG156" s="137"/>
      <c r="BH156" s="137"/>
      <c r="BI156" s="137"/>
      <c r="BJ156" s="137"/>
      <c r="BK156" s="137"/>
      <c r="BL156" s="137"/>
      <c r="BM156" s="137"/>
      <c r="BN156" s="137"/>
      <c r="BO156" s="137"/>
      <c r="BP156" s="137"/>
      <c r="BQ156" s="137"/>
      <c r="BR156" s="137"/>
      <c r="BS156" s="137"/>
      <c r="BV156" s="262"/>
      <c r="BW156" s="136"/>
      <c r="BX156" s="137"/>
      <c r="BY156" s="137"/>
      <c r="BZ156" s="137"/>
      <c r="CA156" s="137"/>
      <c r="CB156" s="137"/>
      <c r="CC156" s="258"/>
      <c r="CD156" s="258"/>
      <c r="CE156" s="258"/>
      <c r="CF156" s="258"/>
      <c r="CG156" s="258"/>
      <c r="CH156" s="258"/>
      <c r="CI156" s="258"/>
      <c r="CJ156" s="258"/>
      <c r="CK156" s="258"/>
      <c r="CL156" s="258"/>
      <c r="CM156" s="258"/>
    </row>
    <row r="157" spans="1:91" x14ac:dyDescent="0.25">
      <c r="A157" s="723"/>
      <c r="B157" s="723"/>
      <c r="K157" s="52"/>
      <c r="L157" s="135"/>
      <c r="N157" s="131"/>
      <c r="O157" s="131"/>
      <c r="P157" s="55"/>
      <c r="Q157" s="135"/>
      <c r="R157" s="135"/>
      <c r="U157" s="135"/>
      <c r="V157" s="146"/>
      <c r="W157" s="146"/>
      <c r="X157" s="338"/>
      <c r="Y157" s="338"/>
      <c r="Z157" s="338"/>
      <c r="AA157" s="338"/>
      <c r="AB157" s="338"/>
      <c r="AC157" s="338"/>
      <c r="AF157" s="138"/>
      <c r="AG157" s="138"/>
      <c r="AH157" s="138"/>
      <c r="AI157" s="138"/>
      <c r="AJ157" s="138"/>
      <c r="AM157" s="258"/>
      <c r="AN157" s="258"/>
      <c r="AO157" s="258"/>
      <c r="AP157" s="258"/>
      <c r="AR157" s="137"/>
      <c r="AT157" s="137"/>
      <c r="AV157" s="394"/>
      <c r="AW157" s="137"/>
      <c r="AX157" s="137"/>
      <c r="AY157" s="137"/>
      <c r="AZ157" s="137"/>
      <c r="BA157" s="264"/>
      <c r="BB157" s="258"/>
      <c r="BC157" s="258"/>
      <c r="BD157" s="137"/>
      <c r="BE157" s="137"/>
      <c r="BF157" s="137"/>
      <c r="BG157" s="137"/>
      <c r="BH157" s="137"/>
      <c r="BI157" s="137"/>
      <c r="BJ157" s="137"/>
      <c r="BK157" s="137"/>
      <c r="BL157" s="137"/>
      <c r="BM157" s="137"/>
      <c r="BN157" s="137"/>
      <c r="BO157" s="137"/>
      <c r="BP157" s="137"/>
      <c r="BQ157" s="137"/>
      <c r="BR157" s="137"/>
      <c r="BS157" s="137"/>
      <c r="BV157" s="262"/>
      <c r="BW157" s="136"/>
      <c r="BX157" s="137"/>
      <c r="BY157" s="137"/>
      <c r="BZ157" s="137"/>
      <c r="CA157" s="137"/>
      <c r="CB157" s="137"/>
      <c r="CC157" s="258"/>
      <c r="CD157" s="258"/>
      <c r="CE157" s="258"/>
      <c r="CF157" s="258"/>
      <c r="CG157" s="258"/>
      <c r="CH157" s="258"/>
      <c r="CI157" s="258"/>
      <c r="CJ157" s="258"/>
      <c r="CK157" s="258"/>
      <c r="CL157" s="258"/>
      <c r="CM157" s="258"/>
    </row>
    <row r="158" spans="1:91" x14ac:dyDescent="0.25">
      <c r="A158" s="723"/>
      <c r="B158" s="723"/>
      <c r="K158" s="52"/>
      <c r="L158" s="135"/>
      <c r="N158" s="131"/>
      <c r="O158" s="131"/>
      <c r="P158" s="55"/>
      <c r="Q158" s="135"/>
      <c r="R158" s="135"/>
      <c r="U158" s="135"/>
      <c r="V158" s="146"/>
      <c r="W158" s="146"/>
      <c r="X158" s="338"/>
      <c r="Y158" s="338"/>
      <c r="Z158" s="338"/>
      <c r="AA158" s="338"/>
      <c r="AB158" s="338"/>
      <c r="AC158" s="338"/>
      <c r="AF158" s="138"/>
      <c r="AG158" s="138"/>
      <c r="AH158" s="138"/>
      <c r="AI158" s="138"/>
      <c r="AJ158" s="138"/>
      <c r="AM158" s="258"/>
      <c r="AN158" s="258"/>
      <c r="AO158" s="258"/>
      <c r="AP158" s="258"/>
      <c r="AR158" s="137"/>
      <c r="AT158" s="137"/>
      <c r="AV158" s="394"/>
      <c r="AW158" s="137"/>
      <c r="AX158" s="137"/>
      <c r="AY158" s="137"/>
      <c r="AZ158" s="137"/>
      <c r="BA158" s="264"/>
      <c r="BB158" s="258"/>
      <c r="BC158" s="258"/>
      <c r="BD158" s="137"/>
      <c r="BE158" s="137"/>
      <c r="BF158" s="137"/>
      <c r="BG158" s="137"/>
      <c r="BH158" s="137"/>
      <c r="BI158" s="137"/>
      <c r="BJ158" s="137"/>
      <c r="BK158" s="137"/>
      <c r="BL158" s="137"/>
      <c r="BM158" s="137"/>
      <c r="BN158" s="137"/>
      <c r="BO158" s="137"/>
      <c r="BP158" s="137"/>
      <c r="BQ158" s="137"/>
      <c r="BR158" s="137"/>
      <c r="BS158" s="137"/>
      <c r="BV158" s="262"/>
      <c r="BW158" s="136"/>
      <c r="BX158" s="137"/>
      <c r="BY158" s="137"/>
      <c r="BZ158" s="137"/>
      <c r="CA158" s="137"/>
      <c r="CB158" s="137"/>
      <c r="CC158" s="258"/>
      <c r="CD158" s="258"/>
      <c r="CE158" s="258"/>
      <c r="CF158" s="258"/>
      <c r="CG158" s="258"/>
      <c r="CH158" s="258"/>
      <c r="CI158" s="258"/>
      <c r="CJ158" s="258"/>
      <c r="CK158" s="258"/>
      <c r="CL158" s="258"/>
      <c r="CM158" s="258"/>
    </row>
    <row r="159" spans="1:91" x14ac:dyDescent="0.25">
      <c r="A159" s="723"/>
      <c r="B159" s="723"/>
      <c r="K159" s="52"/>
      <c r="L159" s="135"/>
      <c r="N159" s="131"/>
      <c r="O159" s="131"/>
      <c r="P159" s="55"/>
      <c r="Q159" s="135"/>
      <c r="R159" s="135"/>
      <c r="U159" s="135"/>
      <c r="V159" s="146"/>
      <c r="W159" s="146"/>
      <c r="X159" s="338"/>
      <c r="Y159" s="338"/>
      <c r="Z159" s="338"/>
      <c r="AA159" s="338"/>
      <c r="AB159" s="338"/>
      <c r="AC159" s="338"/>
      <c r="AF159" s="138"/>
      <c r="AG159" s="138"/>
      <c r="AH159" s="138"/>
      <c r="AI159" s="138"/>
      <c r="AJ159" s="138"/>
      <c r="AM159" s="258"/>
      <c r="AN159" s="258"/>
      <c r="AO159" s="258"/>
      <c r="AP159" s="258"/>
      <c r="AR159" s="137"/>
      <c r="AT159" s="137"/>
      <c r="AV159" s="394"/>
      <c r="AW159" s="137"/>
      <c r="AX159" s="137"/>
      <c r="AY159" s="137"/>
      <c r="AZ159" s="137"/>
      <c r="BA159" s="264"/>
      <c r="BB159" s="258"/>
      <c r="BC159" s="258"/>
      <c r="BD159" s="137"/>
      <c r="BE159" s="137"/>
      <c r="BF159" s="137"/>
      <c r="BG159" s="137"/>
      <c r="BH159" s="137"/>
      <c r="BI159" s="137"/>
      <c r="BJ159" s="137"/>
      <c r="BK159" s="137"/>
      <c r="BL159" s="137"/>
      <c r="BM159" s="137"/>
      <c r="BN159" s="137"/>
      <c r="BO159" s="137"/>
      <c r="BP159" s="137"/>
      <c r="BQ159" s="137"/>
      <c r="BR159" s="137"/>
      <c r="BS159" s="137"/>
      <c r="BV159" s="262"/>
      <c r="BW159" s="136"/>
      <c r="BX159" s="137"/>
      <c r="BY159" s="137"/>
      <c r="BZ159" s="137"/>
      <c r="CA159" s="137"/>
      <c r="CB159" s="137"/>
      <c r="CC159" s="258"/>
      <c r="CD159" s="258"/>
      <c r="CE159" s="258"/>
      <c r="CF159" s="258"/>
      <c r="CG159" s="258"/>
      <c r="CH159" s="258"/>
      <c r="CI159" s="258"/>
      <c r="CJ159" s="258"/>
      <c r="CK159" s="258"/>
      <c r="CL159" s="258"/>
      <c r="CM159" s="258"/>
    </row>
    <row r="160" spans="1:91" x14ac:dyDescent="0.25">
      <c r="A160" s="723"/>
      <c r="B160" s="723"/>
      <c r="K160" s="52"/>
      <c r="L160" s="135"/>
      <c r="N160" s="131"/>
      <c r="O160" s="131"/>
      <c r="P160" s="55"/>
      <c r="Q160" s="135"/>
      <c r="R160" s="135"/>
      <c r="U160" s="135"/>
      <c r="V160" s="146"/>
      <c r="W160" s="146"/>
      <c r="X160" s="338"/>
      <c r="Y160" s="338"/>
      <c r="Z160" s="338"/>
      <c r="AA160" s="338"/>
      <c r="AB160" s="338"/>
      <c r="AC160" s="338"/>
      <c r="AF160" s="138"/>
      <c r="AG160" s="138"/>
      <c r="AH160" s="138"/>
      <c r="AI160" s="138"/>
      <c r="AJ160" s="138"/>
      <c r="AM160" s="258"/>
      <c r="AN160" s="258"/>
      <c r="AO160" s="258"/>
      <c r="AP160" s="258"/>
      <c r="AR160" s="137"/>
      <c r="AT160" s="137"/>
      <c r="AV160" s="394"/>
      <c r="AW160" s="137"/>
      <c r="AX160" s="137"/>
      <c r="AY160" s="137"/>
      <c r="AZ160" s="137"/>
      <c r="BA160" s="264"/>
      <c r="BB160" s="258"/>
      <c r="BC160" s="258"/>
      <c r="BD160" s="137"/>
      <c r="BE160" s="137"/>
      <c r="BF160" s="137"/>
      <c r="BG160" s="137"/>
      <c r="BH160" s="137"/>
      <c r="BI160" s="137"/>
      <c r="BJ160" s="137"/>
      <c r="BK160" s="137"/>
      <c r="BL160" s="137"/>
      <c r="BM160" s="137"/>
      <c r="BN160" s="137"/>
      <c r="BO160" s="137"/>
      <c r="BP160" s="137"/>
      <c r="BQ160" s="137"/>
      <c r="BR160" s="137"/>
      <c r="BS160" s="137"/>
      <c r="BV160" s="262"/>
      <c r="BW160" s="136"/>
      <c r="BX160" s="137"/>
      <c r="BY160" s="137"/>
      <c r="BZ160" s="137"/>
      <c r="CA160" s="137"/>
      <c r="CB160" s="137"/>
      <c r="CC160" s="258"/>
      <c r="CD160" s="258"/>
      <c r="CE160" s="258"/>
      <c r="CF160" s="258"/>
      <c r="CG160" s="258"/>
      <c r="CH160" s="258"/>
      <c r="CI160" s="258"/>
      <c r="CJ160" s="258"/>
      <c r="CK160" s="258"/>
      <c r="CL160" s="258"/>
      <c r="CM160" s="258"/>
    </row>
    <row r="161" spans="1:91" x14ac:dyDescent="0.25">
      <c r="A161" s="723"/>
      <c r="B161" s="723"/>
      <c r="K161" s="52"/>
      <c r="L161" s="135"/>
      <c r="N161" s="131"/>
      <c r="O161" s="131"/>
      <c r="P161" s="55"/>
      <c r="Q161" s="135"/>
      <c r="R161" s="135"/>
      <c r="U161" s="135"/>
      <c r="V161" s="146"/>
      <c r="W161" s="146"/>
      <c r="X161" s="338"/>
      <c r="Y161" s="338"/>
      <c r="Z161" s="338"/>
      <c r="AA161" s="338"/>
      <c r="AB161" s="338"/>
      <c r="AC161" s="338"/>
      <c r="AF161" s="138"/>
      <c r="AG161" s="138"/>
      <c r="AH161" s="138"/>
      <c r="AI161" s="138"/>
      <c r="AJ161" s="138"/>
      <c r="AM161" s="258"/>
      <c r="AN161" s="258"/>
      <c r="AO161" s="258"/>
      <c r="AP161" s="258"/>
      <c r="AR161" s="137"/>
      <c r="AT161" s="137"/>
      <c r="AV161" s="394"/>
      <c r="AW161" s="137"/>
      <c r="AX161" s="137"/>
      <c r="AY161" s="137"/>
      <c r="AZ161" s="137"/>
      <c r="BA161" s="264"/>
      <c r="BB161" s="258"/>
      <c r="BC161" s="258"/>
      <c r="BD161" s="137"/>
      <c r="BE161" s="137"/>
      <c r="BF161" s="137"/>
      <c r="BG161" s="137"/>
      <c r="BH161" s="137"/>
      <c r="BI161" s="137"/>
      <c r="BJ161" s="137"/>
      <c r="BK161" s="137"/>
      <c r="BL161" s="137"/>
      <c r="BM161" s="137"/>
      <c r="BN161" s="137"/>
      <c r="BO161" s="137"/>
      <c r="BP161" s="137"/>
      <c r="BQ161" s="137"/>
      <c r="BR161" s="137"/>
      <c r="BS161" s="137"/>
      <c r="BV161" s="262"/>
      <c r="BW161" s="136"/>
      <c r="BX161" s="137"/>
      <c r="BY161" s="137"/>
      <c r="BZ161" s="137"/>
      <c r="CA161" s="137"/>
      <c r="CB161" s="137"/>
      <c r="CC161" s="258"/>
      <c r="CD161" s="258"/>
      <c r="CE161" s="258"/>
      <c r="CF161" s="258"/>
      <c r="CG161" s="258"/>
      <c r="CH161" s="258"/>
      <c r="CI161" s="258"/>
      <c r="CJ161" s="258"/>
      <c r="CK161" s="258"/>
      <c r="CL161" s="258"/>
      <c r="CM161" s="258"/>
    </row>
    <row r="162" spans="1:91" x14ac:dyDescent="0.25">
      <c r="A162" s="723"/>
      <c r="B162" s="723"/>
      <c r="K162" s="52"/>
      <c r="L162" s="135"/>
      <c r="N162" s="131"/>
      <c r="O162" s="131"/>
      <c r="P162" s="55"/>
      <c r="Q162" s="135"/>
      <c r="R162" s="135"/>
      <c r="U162" s="135"/>
      <c r="V162" s="146"/>
      <c r="W162" s="146"/>
      <c r="X162" s="338"/>
      <c r="Y162" s="338"/>
      <c r="Z162" s="338"/>
      <c r="AA162" s="338"/>
      <c r="AB162" s="338"/>
      <c r="AC162" s="338"/>
      <c r="AF162" s="138"/>
      <c r="AG162" s="138"/>
      <c r="AH162" s="138"/>
      <c r="AI162" s="138"/>
      <c r="AJ162" s="138"/>
      <c r="AM162" s="258"/>
      <c r="AN162" s="258"/>
      <c r="AO162" s="258"/>
      <c r="AP162" s="258"/>
      <c r="AR162" s="137"/>
      <c r="AT162" s="137"/>
      <c r="AV162" s="394"/>
      <c r="AW162" s="137"/>
      <c r="AX162" s="137"/>
      <c r="AY162" s="137"/>
      <c r="AZ162" s="137"/>
      <c r="BA162" s="264"/>
      <c r="BB162" s="258"/>
      <c r="BC162" s="258"/>
      <c r="BD162" s="137"/>
      <c r="BE162" s="137"/>
      <c r="BF162" s="137"/>
      <c r="BG162" s="137"/>
      <c r="BH162" s="137"/>
      <c r="BI162" s="137"/>
      <c r="BJ162" s="137"/>
      <c r="BK162" s="137"/>
      <c r="BL162" s="137"/>
      <c r="BM162" s="137"/>
      <c r="BN162" s="137"/>
      <c r="BO162" s="137"/>
      <c r="BP162" s="137"/>
      <c r="BQ162" s="137"/>
      <c r="BR162" s="137"/>
      <c r="BS162" s="137"/>
      <c r="BV162" s="262"/>
      <c r="BW162" s="136"/>
      <c r="BX162" s="137"/>
      <c r="BY162" s="137"/>
      <c r="BZ162" s="137"/>
      <c r="CA162" s="137"/>
      <c r="CB162" s="137"/>
      <c r="CC162" s="258"/>
      <c r="CD162" s="258"/>
      <c r="CE162" s="258"/>
      <c r="CF162" s="258"/>
      <c r="CG162" s="258"/>
      <c r="CH162" s="258"/>
      <c r="CI162" s="258"/>
      <c r="CJ162" s="258"/>
      <c r="CK162" s="258"/>
      <c r="CL162" s="258"/>
      <c r="CM162" s="258"/>
    </row>
    <row r="163" spans="1:91" x14ac:dyDescent="0.25">
      <c r="A163" s="723"/>
      <c r="B163" s="723"/>
      <c r="K163" s="52"/>
      <c r="L163" s="135"/>
      <c r="N163" s="131"/>
      <c r="O163" s="131"/>
      <c r="P163" s="55"/>
      <c r="Q163" s="135"/>
      <c r="R163" s="135"/>
      <c r="U163" s="135"/>
      <c r="V163" s="146"/>
      <c r="W163" s="146"/>
      <c r="X163" s="338"/>
      <c r="Y163" s="338"/>
      <c r="Z163" s="338"/>
      <c r="AA163" s="338"/>
      <c r="AB163" s="338"/>
      <c r="AC163" s="338"/>
      <c r="AF163" s="138"/>
      <c r="AG163" s="138"/>
      <c r="AH163" s="138"/>
      <c r="AI163" s="138"/>
      <c r="AJ163" s="138"/>
      <c r="AM163" s="258"/>
      <c r="AN163" s="258"/>
      <c r="AO163" s="258"/>
      <c r="AP163" s="258"/>
      <c r="AR163" s="137"/>
      <c r="AT163" s="137"/>
      <c r="AV163" s="394"/>
      <c r="AW163" s="137"/>
      <c r="AX163" s="137"/>
      <c r="AY163" s="137"/>
      <c r="AZ163" s="137"/>
      <c r="BA163" s="264"/>
      <c r="BB163" s="258"/>
      <c r="BC163" s="258"/>
      <c r="BD163" s="137"/>
      <c r="BE163" s="137"/>
      <c r="BF163" s="137"/>
      <c r="BG163" s="137"/>
      <c r="BH163" s="137"/>
      <c r="BI163" s="137"/>
      <c r="BJ163" s="137"/>
      <c r="BK163" s="137"/>
      <c r="BL163" s="137"/>
      <c r="BM163" s="137"/>
      <c r="BN163" s="137"/>
      <c r="BO163" s="137"/>
      <c r="BP163" s="137"/>
      <c r="BQ163" s="137"/>
      <c r="BR163" s="137"/>
      <c r="BS163" s="137"/>
      <c r="BV163" s="262"/>
      <c r="BW163" s="136"/>
      <c r="BX163" s="137"/>
      <c r="BY163" s="137"/>
      <c r="BZ163" s="137"/>
      <c r="CA163" s="137"/>
      <c r="CB163" s="137"/>
      <c r="CC163" s="258"/>
      <c r="CD163" s="258"/>
      <c r="CE163" s="258"/>
      <c r="CF163" s="258"/>
      <c r="CG163" s="258"/>
      <c r="CH163" s="258"/>
      <c r="CI163" s="258"/>
      <c r="CJ163" s="258"/>
      <c r="CK163" s="258"/>
      <c r="CL163" s="258"/>
      <c r="CM163" s="258"/>
    </row>
    <row r="164" spans="1:91" x14ac:dyDescent="0.25">
      <c r="A164" s="723"/>
      <c r="B164" s="723"/>
      <c r="K164" s="52"/>
      <c r="L164" s="135"/>
      <c r="N164" s="131"/>
      <c r="O164" s="131"/>
      <c r="P164" s="55"/>
      <c r="Q164" s="135"/>
      <c r="R164" s="135"/>
      <c r="U164" s="135"/>
      <c r="V164" s="146"/>
      <c r="W164" s="146"/>
      <c r="X164" s="338"/>
      <c r="Y164" s="338"/>
      <c r="Z164" s="338"/>
      <c r="AA164" s="338"/>
      <c r="AB164" s="338"/>
      <c r="AC164" s="338"/>
      <c r="AF164" s="138"/>
      <c r="AG164" s="138"/>
      <c r="AH164" s="138"/>
      <c r="AI164" s="138"/>
      <c r="AJ164" s="138"/>
      <c r="AM164" s="258"/>
      <c r="AN164" s="258"/>
      <c r="AO164" s="258"/>
      <c r="AP164" s="258"/>
      <c r="AR164" s="137"/>
      <c r="AT164" s="137"/>
      <c r="AV164" s="394"/>
      <c r="AW164" s="137"/>
      <c r="AX164" s="137"/>
      <c r="AY164" s="137"/>
      <c r="AZ164" s="137"/>
      <c r="BA164" s="264"/>
      <c r="BB164" s="258"/>
      <c r="BC164" s="258"/>
      <c r="BD164" s="137"/>
      <c r="BE164" s="137"/>
      <c r="BF164" s="137"/>
      <c r="BG164" s="137"/>
      <c r="BH164" s="137"/>
      <c r="BI164" s="137"/>
      <c r="BJ164" s="137"/>
      <c r="BK164" s="137"/>
      <c r="BL164" s="137"/>
      <c r="BM164" s="137"/>
      <c r="BN164" s="137"/>
      <c r="BO164" s="137"/>
      <c r="BP164" s="137"/>
      <c r="BQ164" s="137"/>
      <c r="BR164" s="137"/>
      <c r="BS164" s="137"/>
      <c r="BV164" s="262"/>
      <c r="BW164" s="136"/>
      <c r="BX164" s="137"/>
      <c r="BY164" s="137"/>
      <c r="BZ164" s="137"/>
      <c r="CA164" s="137"/>
      <c r="CB164" s="137"/>
      <c r="CC164" s="258"/>
      <c r="CD164" s="258"/>
      <c r="CE164" s="258"/>
      <c r="CF164" s="258"/>
      <c r="CG164" s="258"/>
      <c r="CH164" s="258"/>
      <c r="CI164" s="258"/>
      <c r="CJ164" s="258"/>
      <c r="CK164" s="258"/>
      <c r="CL164" s="258"/>
      <c r="CM164" s="258"/>
    </row>
    <row r="165" spans="1:91" x14ac:dyDescent="0.25">
      <c r="A165" s="723"/>
      <c r="B165" s="723"/>
      <c r="K165" s="52"/>
      <c r="L165" s="135"/>
      <c r="N165" s="131"/>
      <c r="O165" s="131"/>
      <c r="P165" s="55"/>
      <c r="Q165" s="135"/>
      <c r="R165" s="135"/>
      <c r="U165" s="135"/>
      <c r="V165" s="146"/>
      <c r="W165" s="146"/>
      <c r="X165" s="338"/>
      <c r="Y165" s="338"/>
      <c r="Z165" s="338"/>
      <c r="AA165" s="338"/>
      <c r="AB165" s="338"/>
      <c r="AC165" s="338"/>
      <c r="AF165" s="138"/>
      <c r="AG165" s="138"/>
      <c r="AH165" s="138"/>
      <c r="AI165" s="138"/>
      <c r="AJ165" s="138"/>
      <c r="AM165" s="258"/>
      <c r="AN165" s="258"/>
      <c r="AO165" s="258"/>
      <c r="AP165" s="258"/>
      <c r="AR165" s="137"/>
      <c r="AT165" s="137"/>
      <c r="AV165" s="394"/>
      <c r="AW165" s="137"/>
      <c r="AX165" s="137"/>
      <c r="AY165" s="137"/>
      <c r="AZ165" s="137"/>
      <c r="BA165" s="264"/>
      <c r="BB165" s="258"/>
      <c r="BC165" s="258"/>
      <c r="BD165" s="137"/>
      <c r="BE165" s="137"/>
      <c r="BF165" s="137"/>
      <c r="BG165" s="137"/>
      <c r="BH165" s="137"/>
      <c r="BI165" s="137"/>
      <c r="BJ165" s="137"/>
      <c r="BK165" s="137"/>
      <c r="BL165" s="137"/>
      <c r="BM165" s="137"/>
      <c r="BN165" s="137"/>
      <c r="BO165" s="137"/>
      <c r="BP165" s="137"/>
      <c r="BQ165" s="137"/>
      <c r="BR165" s="137"/>
      <c r="BS165" s="137"/>
      <c r="BV165" s="262"/>
      <c r="BW165" s="136"/>
      <c r="BX165" s="137"/>
      <c r="BY165" s="137"/>
      <c r="BZ165" s="137"/>
      <c r="CA165" s="137"/>
      <c r="CB165" s="137"/>
      <c r="CC165" s="258"/>
      <c r="CD165" s="258"/>
      <c r="CE165" s="258"/>
      <c r="CF165" s="258"/>
      <c r="CG165" s="258"/>
      <c r="CH165" s="258"/>
      <c r="CI165" s="258"/>
      <c r="CJ165" s="258"/>
      <c r="CK165" s="258"/>
      <c r="CL165" s="258"/>
      <c r="CM165" s="258"/>
    </row>
    <row r="166" spans="1:91" x14ac:dyDescent="0.25">
      <c r="A166" s="723"/>
      <c r="B166" s="723"/>
      <c r="K166" s="52"/>
      <c r="L166" s="135"/>
      <c r="N166" s="131"/>
      <c r="O166" s="131"/>
      <c r="P166" s="55"/>
      <c r="Q166" s="135"/>
      <c r="R166" s="135"/>
      <c r="U166" s="135"/>
      <c r="V166" s="146"/>
      <c r="W166" s="146"/>
      <c r="X166" s="338"/>
      <c r="Y166" s="338"/>
      <c r="Z166" s="338"/>
      <c r="AA166" s="338"/>
      <c r="AB166" s="338"/>
      <c r="AC166" s="338"/>
      <c r="AF166" s="138"/>
      <c r="AG166" s="138"/>
      <c r="AH166" s="138"/>
      <c r="AI166" s="138"/>
      <c r="AJ166" s="138"/>
      <c r="AM166" s="258"/>
      <c r="AN166" s="258"/>
      <c r="AO166" s="258"/>
      <c r="AP166" s="258"/>
      <c r="AR166" s="137"/>
      <c r="AT166" s="137"/>
      <c r="AV166" s="394"/>
      <c r="AW166" s="137"/>
      <c r="AX166" s="137"/>
      <c r="AY166" s="137"/>
      <c r="AZ166" s="137"/>
      <c r="BA166" s="264"/>
      <c r="BB166" s="258"/>
      <c r="BC166" s="258"/>
      <c r="BD166" s="137"/>
      <c r="BE166" s="137"/>
      <c r="BF166" s="137"/>
      <c r="BG166" s="137"/>
      <c r="BH166" s="137"/>
      <c r="BI166" s="137"/>
      <c r="BJ166" s="137"/>
      <c r="BK166" s="137"/>
      <c r="BL166" s="137"/>
      <c r="BM166" s="137"/>
      <c r="BN166" s="137"/>
      <c r="BO166" s="137"/>
      <c r="BP166" s="137"/>
      <c r="BQ166" s="137"/>
      <c r="BR166" s="137"/>
      <c r="BS166" s="137"/>
      <c r="BV166" s="262"/>
      <c r="BW166" s="136"/>
      <c r="BX166" s="137"/>
      <c r="BY166" s="137"/>
      <c r="BZ166" s="137"/>
      <c r="CA166" s="137"/>
      <c r="CB166" s="137"/>
      <c r="CC166" s="258"/>
      <c r="CD166" s="258"/>
      <c r="CE166" s="258"/>
      <c r="CF166" s="258"/>
      <c r="CG166" s="258"/>
      <c r="CH166" s="258"/>
      <c r="CI166" s="258"/>
      <c r="CJ166" s="258"/>
      <c r="CK166" s="258"/>
      <c r="CL166" s="258"/>
      <c r="CM166" s="258"/>
    </row>
    <row r="167" spans="1:91" x14ac:dyDescent="0.25">
      <c r="A167" s="723"/>
      <c r="B167" s="723"/>
      <c r="K167" s="52"/>
      <c r="L167" s="135"/>
      <c r="N167" s="131"/>
      <c r="O167" s="131"/>
      <c r="P167" s="55"/>
      <c r="Q167" s="135"/>
      <c r="R167" s="135"/>
      <c r="U167" s="135"/>
      <c r="V167" s="146"/>
      <c r="W167" s="146"/>
      <c r="X167" s="338"/>
      <c r="Y167" s="338"/>
      <c r="Z167" s="338"/>
      <c r="AA167" s="338"/>
      <c r="AB167" s="338"/>
      <c r="AC167" s="338"/>
      <c r="AF167" s="138"/>
      <c r="AG167" s="138"/>
      <c r="AH167" s="138"/>
      <c r="AI167" s="138"/>
      <c r="AJ167" s="138"/>
      <c r="AM167" s="258"/>
      <c r="AN167" s="258"/>
      <c r="AO167" s="258"/>
      <c r="AP167" s="258"/>
      <c r="AR167" s="137"/>
      <c r="AT167" s="137"/>
      <c r="AV167" s="394"/>
      <c r="AW167" s="137"/>
      <c r="AX167" s="137"/>
      <c r="AY167" s="137"/>
      <c r="AZ167" s="137"/>
      <c r="BA167" s="264"/>
      <c r="BB167" s="258"/>
      <c r="BC167" s="258"/>
      <c r="BD167" s="137"/>
      <c r="BE167" s="137"/>
      <c r="BF167" s="137"/>
      <c r="BG167" s="137"/>
      <c r="BH167" s="137"/>
      <c r="BI167" s="137"/>
      <c r="BJ167" s="137"/>
      <c r="BK167" s="137"/>
      <c r="BL167" s="137"/>
      <c r="BM167" s="137"/>
      <c r="BN167" s="137"/>
      <c r="BO167" s="137"/>
      <c r="BP167" s="137"/>
      <c r="BQ167" s="137"/>
      <c r="BR167" s="137"/>
      <c r="BS167" s="137"/>
      <c r="BV167" s="262"/>
      <c r="BW167" s="136"/>
      <c r="BX167" s="137"/>
      <c r="BY167" s="137"/>
      <c r="BZ167" s="137"/>
      <c r="CA167" s="137"/>
      <c r="CB167" s="137"/>
      <c r="CC167" s="258"/>
      <c r="CD167" s="258"/>
      <c r="CE167" s="258"/>
      <c r="CF167" s="258"/>
      <c r="CG167" s="258"/>
      <c r="CH167" s="258"/>
      <c r="CI167" s="258"/>
      <c r="CJ167" s="258"/>
      <c r="CK167" s="258"/>
      <c r="CL167" s="258"/>
      <c r="CM167" s="258"/>
    </row>
    <row r="168" spans="1:91" x14ac:dyDescent="0.25">
      <c r="A168" s="723"/>
      <c r="B168" s="723"/>
      <c r="K168" s="52"/>
      <c r="L168" s="135"/>
      <c r="N168" s="131"/>
      <c r="O168" s="131"/>
      <c r="P168" s="55"/>
      <c r="Q168" s="135"/>
      <c r="R168" s="135"/>
      <c r="U168" s="135"/>
      <c r="V168" s="146"/>
      <c r="W168" s="146"/>
      <c r="X168" s="338"/>
      <c r="Y168" s="338"/>
      <c r="Z168" s="338"/>
      <c r="AA168" s="338"/>
      <c r="AB168" s="338"/>
      <c r="AC168" s="338"/>
      <c r="AF168" s="138"/>
      <c r="AG168" s="138"/>
      <c r="AH168" s="138"/>
      <c r="AI168" s="138"/>
      <c r="AJ168" s="138"/>
      <c r="AM168" s="258"/>
      <c r="AN168" s="258"/>
      <c r="AO168" s="258"/>
      <c r="AP168" s="258"/>
      <c r="AR168" s="137"/>
      <c r="AT168" s="137"/>
      <c r="AV168" s="394"/>
      <c r="AW168" s="137"/>
      <c r="AX168" s="137"/>
      <c r="AY168" s="137"/>
      <c r="AZ168" s="137"/>
      <c r="BA168" s="264"/>
      <c r="BB168" s="258"/>
      <c r="BC168" s="258"/>
      <c r="BD168" s="137"/>
      <c r="BE168" s="137"/>
      <c r="BF168" s="137"/>
      <c r="BG168" s="137"/>
      <c r="BH168" s="137"/>
      <c r="BI168" s="137"/>
      <c r="BJ168" s="137"/>
      <c r="BK168" s="137"/>
      <c r="BL168" s="137"/>
      <c r="BM168" s="137"/>
      <c r="BN168" s="137"/>
      <c r="BO168" s="137"/>
      <c r="BP168" s="137"/>
      <c r="BQ168" s="137"/>
      <c r="BR168" s="137"/>
      <c r="BS168" s="137"/>
      <c r="BV168" s="262"/>
      <c r="BW168" s="136"/>
      <c r="BX168" s="137"/>
      <c r="BY168" s="137"/>
      <c r="BZ168" s="137"/>
      <c r="CA168" s="137"/>
      <c r="CB168" s="137"/>
      <c r="CC168" s="258"/>
      <c r="CD168" s="258"/>
      <c r="CE168" s="258"/>
      <c r="CF168" s="258"/>
      <c r="CG168" s="258"/>
      <c r="CH168" s="258"/>
      <c r="CI168" s="258"/>
      <c r="CJ168" s="258"/>
      <c r="CK168" s="258"/>
      <c r="CL168" s="258"/>
      <c r="CM168" s="258"/>
    </row>
    <row r="169" spans="1:91" x14ac:dyDescent="0.25">
      <c r="A169" s="723"/>
      <c r="B169" s="723"/>
      <c r="K169" s="52"/>
      <c r="L169" s="135"/>
      <c r="N169" s="131"/>
      <c r="O169" s="131"/>
      <c r="P169" s="55"/>
      <c r="Q169" s="135"/>
      <c r="R169" s="135"/>
      <c r="U169" s="135"/>
      <c r="V169" s="146"/>
      <c r="W169" s="146"/>
      <c r="X169" s="338"/>
      <c r="Y169" s="338"/>
      <c r="Z169" s="338"/>
      <c r="AA169" s="338"/>
      <c r="AB169" s="338"/>
      <c r="AC169" s="338"/>
      <c r="AF169" s="138"/>
      <c r="AG169" s="138"/>
      <c r="AH169" s="138"/>
      <c r="AI169" s="138"/>
      <c r="AJ169" s="138"/>
      <c r="AM169" s="258"/>
      <c r="AN169" s="258"/>
      <c r="AO169" s="258"/>
      <c r="AP169" s="258"/>
      <c r="AR169" s="137"/>
      <c r="AT169" s="137"/>
      <c r="AV169" s="394"/>
      <c r="AW169" s="137"/>
      <c r="AX169" s="137"/>
      <c r="AY169" s="137"/>
      <c r="AZ169" s="137"/>
      <c r="BA169" s="264"/>
      <c r="BB169" s="258"/>
      <c r="BC169" s="258"/>
      <c r="BD169" s="137"/>
      <c r="BE169" s="137"/>
      <c r="BF169" s="137"/>
      <c r="BG169" s="137"/>
      <c r="BH169" s="137"/>
      <c r="BI169" s="137"/>
      <c r="BJ169" s="137"/>
      <c r="BK169" s="137"/>
      <c r="BL169" s="137"/>
      <c r="BM169" s="137"/>
      <c r="BN169" s="137"/>
      <c r="BO169" s="137"/>
      <c r="BP169" s="137"/>
      <c r="BQ169" s="137"/>
      <c r="BR169" s="137"/>
      <c r="BS169" s="137"/>
      <c r="BV169" s="262"/>
      <c r="BW169" s="136"/>
      <c r="BX169" s="137"/>
      <c r="BY169" s="137"/>
      <c r="BZ169" s="137"/>
      <c r="CA169" s="137"/>
      <c r="CB169" s="137"/>
      <c r="CC169" s="258"/>
      <c r="CD169" s="258"/>
      <c r="CE169" s="258"/>
      <c r="CF169" s="258"/>
      <c r="CG169" s="258"/>
      <c r="CH169" s="258"/>
      <c r="CI169" s="258"/>
      <c r="CJ169" s="258"/>
      <c r="CK169" s="258"/>
      <c r="CL169" s="258"/>
      <c r="CM169" s="258"/>
    </row>
    <row r="170" spans="1:91" x14ac:dyDescent="0.25">
      <c r="A170" s="723"/>
      <c r="B170" s="723"/>
      <c r="K170" s="52"/>
      <c r="L170" s="135"/>
      <c r="N170" s="131"/>
      <c r="O170" s="131"/>
      <c r="P170" s="55"/>
      <c r="Q170" s="135"/>
      <c r="R170" s="135"/>
      <c r="U170" s="135"/>
      <c r="V170" s="146"/>
      <c r="W170" s="146"/>
      <c r="X170" s="338"/>
      <c r="Y170" s="338"/>
      <c r="Z170" s="338"/>
      <c r="AA170" s="338"/>
      <c r="AB170" s="338"/>
      <c r="AC170" s="338"/>
      <c r="AF170" s="138"/>
      <c r="AG170" s="138"/>
      <c r="AH170" s="138"/>
      <c r="AI170" s="138"/>
      <c r="AJ170" s="138"/>
      <c r="AM170" s="258"/>
      <c r="AN170" s="258"/>
      <c r="AO170" s="258"/>
      <c r="AP170" s="258"/>
      <c r="AR170" s="137"/>
      <c r="AT170" s="137"/>
      <c r="AV170" s="394"/>
      <c r="AW170" s="137"/>
      <c r="AX170" s="137"/>
      <c r="AY170" s="137"/>
      <c r="AZ170" s="137"/>
      <c r="BA170" s="264"/>
      <c r="BB170" s="258"/>
      <c r="BC170" s="258"/>
      <c r="BD170" s="137"/>
      <c r="BE170" s="137"/>
      <c r="BF170" s="137"/>
      <c r="BG170" s="137"/>
      <c r="BH170" s="137"/>
      <c r="BI170" s="137"/>
      <c r="BJ170" s="137"/>
      <c r="BK170" s="137"/>
      <c r="BL170" s="137"/>
      <c r="BM170" s="137"/>
      <c r="BN170" s="137"/>
      <c r="BO170" s="137"/>
      <c r="BP170" s="137"/>
      <c r="BQ170" s="137"/>
      <c r="BR170" s="137"/>
      <c r="BS170" s="137"/>
      <c r="BV170" s="262"/>
      <c r="BW170" s="136"/>
      <c r="BX170" s="137"/>
      <c r="BY170" s="137"/>
      <c r="BZ170" s="137"/>
      <c r="CA170" s="137"/>
      <c r="CB170" s="137"/>
      <c r="CC170" s="258"/>
      <c r="CD170" s="258"/>
      <c r="CE170" s="258"/>
      <c r="CF170" s="258"/>
      <c r="CG170" s="258"/>
      <c r="CH170" s="258"/>
      <c r="CI170" s="258"/>
      <c r="CJ170" s="258"/>
      <c r="CK170" s="258"/>
      <c r="CL170" s="258"/>
      <c r="CM170" s="258"/>
    </row>
    <row r="171" spans="1:91" x14ac:dyDescent="0.25">
      <c r="A171" s="723"/>
      <c r="B171" s="723"/>
      <c r="K171" s="52"/>
      <c r="L171" s="135"/>
      <c r="N171" s="131"/>
      <c r="O171" s="131"/>
      <c r="P171" s="55"/>
      <c r="Q171" s="135"/>
      <c r="R171" s="135"/>
      <c r="U171" s="135"/>
      <c r="V171" s="146"/>
      <c r="W171" s="146"/>
      <c r="X171" s="338"/>
      <c r="Y171" s="338"/>
      <c r="Z171" s="338"/>
      <c r="AA171" s="338"/>
      <c r="AB171" s="338"/>
      <c r="AC171" s="338"/>
      <c r="AF171" s="138"/>
      <c r="AG171" s="138"/>
      <c r="AH171" s="138"/>
      <c r="AI171" s="138"/>
      <c r="AJ171" s="138"/>
      <c r="AM171" s="258"/>
      <c r="AN171" s="258"/>
      <c r="AO171" s="258"/>
      <c r="AP171" s="258"/>
      <c r="AR171" s="137"/>
      <c r="AT171" s="137"/>
      <c r="AV171" s="394"/>
      <c r="AW171" s="137"/>
      <c r="AX171" s="137"/>
      <c r="AY171" s="137"/>
      <c r="AZ171" s="137"/>
      <c r="BA171" s="264"/>
      <c r="BB171" s="258"/>
      <c r="BC171" s="258"/>
      <c r="BD171" s="137"/>
      <c r="BE171" s="137"/>
      <c r="BF171" s="137"/>
      <c r="BG171" s="137"/>
      <c r="BH171" s="137"/>
      <c r="BI171" s="137"/>
      <c r="BJ171" s="137"/>
      <c r="BK171" s="137"/>
      <c r="BL171" s="137"/>
      <c r="BM171" s="137"/>
      <c r="BN171" s="137"/>
      <c r="BO171" s="137"/>
      <c r="BP171" s="137"/>
      <c r="BQ171" s="137"/>
      <c r="BR171" s="137"/>
      <c r="BS171" s="137"/>
      <c r="BV171" s="262"/>
      <c r="BW171" s="136"/>
      <c r="BX171" s="137"/>
      <c r="BY171" s="137"/>
      <c r="BZ171" s="137"/>
      <c r="CA171" s="137"/>
      <c r="CB171" s="137"/>
      <c r="CC171" s="258"/>
      <c r="CD171" s="258"/>
      <c r="CE171" s="258"/>
      <c r="CF171" s="258"/>
      <c r="CG171" s="258"/>
      <c r="CH171" s="258"/>
      <c r="CI171" s="258"/>
      <c r="CJ171" s="258"/>
      <c r="CK171" s="258"/>
      <c r="CL171" s="258"/>
      <c r="CM171" s="258"/>
    </row>
    <row r="172" spans="1:91" x14ac:dyDescent="0.25">
      <c r="A172" s="723"/>
      <c r="B172" s="723"/>
      <c r="K172" s="52"/>
      <c r="L172" s="135"/>
      <c r="N172" s="131"/>
      <c r="O172" s="131"/>
      <c r="P172" s="55"/>
      <c r="Q172" s="135"/>
      <c r="R172" s="135"/>
      <c r="U172" s="135"/>
      <c r="V172" s="146"/>
      <c r="W172" s="146"/>
      <c r="X172" s="338"/>
      <c r="Y172" s="338"/>
      <c r="Z172" s="338"/>
      <c r="AA172" s="338"/>
      <c r="AB172" s="338"/>
      <c r="AC172" s="338"/>
      <c r="AF172" s="138"/>
      <c r="AG172" s="138"/>
      <c r="AH172" s="138"/>
      <c r="AI172" s="138"/>
      <c r="AJ172" s="138"/>
      <c r="AM172" s="258"/>
      <c r="AN172" s="258"/>
      <c r="AO172" s="258"/>
      <c r="AP172" s="258"/>
      <c r="AR172" s="137"/>
      <c r="AT172" s="137"/>
      <c r="AV172" s="394"/>
      <c r="AW172" s="137"/>
      <c r="AX172" s="137"/>
      <c r="AY172" s="137"/>
      <c r="AZ172" s="137"/>
      <c r="BA172" s="264"/>
      <c r="BB172" s="258"/>
      <c r="BC172" s="258"/>
      <c r="BD172" s="137"/>
      <c r="BE172" s="137"/>
      <c r="BF172" s="137"/>
      <c r="BG172" s="137"/>
      <c r="BH172" s="137"/>
      <c r="BI172" s="137"/>
      <c r="BJ172" s="137"/>
      <c r="BK172" s="137"/>
      <c r="BL172" s="137"/>
      <c r="BM172" s="137"/>
      <c r="BN172" s="137"/>
      <c r="BO172" s="137"/>
      <c r="BP172" s="137"/>
      <c r="BQ172" s="137"/>
      <c r="BR172" s="137"/>
      <c r="BS172" s="137"/>
      <c r="BV172" s="262"/>
      <c r="BW172" s="136"/>
      <c r="BX172" s="137"/>
      <c r="BY172" s="137"/>
      <c r="BZ172" s="137"/>
      <c r="CA172" s="137"/>
      <c r="CB172" s="137"/>
      <c r="CC172" s="258"/>
      <c r="CD172" s="258"/>
      <c r="CE172" s="258"/>
      <c r="CF172" s="258"/>
      <c r="CG172" s="258"/>
      <c r="CH172" s="258"/>
      <c r="CI172" s="258"/>
      <c r="CJ172" s="258"/>
      <c r="CK172" s="258"/>
      <c r="CL172" s="258"/>
      <c r="CM172" s="258"/>
    </row>
    <row r="173" spans="1:91" x14ac:dyDescent="0.25">
      <c r="A173" s="723"/>
      <c r="B173" s="723"/>
      <c r="K173" s="52"/>
      <c r="L173" s="135"/>
      <c r="N173" s="131"/>
      <c r="O173" s="131"/>
      <c r="P173" s="55"/>
      <c r="Q173" s="135"/>
      <c r="R173" s="135"/>
      <c r="U173" s="135"/>
      <c r="V173" s="146"/>
      <c r="W173" s="146"/>
      <c r="X173" s="338"/>
      <c r="Y173" s="338"/>
      <c r="Z173" s="338"/>
      <c r="AA173" s="338"/>
      <c r="AB173" s="338"/>
      <c r="AC173" s="338"/>
      <c r="AF173" s="138"/>
      <c r="AG173" s="138"/>
      <c r="AH173" s="138"/>
      <c r="AI173" s="138"/>
      <c r="AJ173" s="138"/>
      <c r="AM173" s="258"/>
      <c r="AN173" s="258"/>
      <c r="AO173" s="258"/>
      <c r="AP173" s="258"/>
      <c r="AR173" s="137"/>
      <c r="AT173" s="137"/>
      <c r="AV173" s="394"/>
      <c r="AW173" s="137"/>
      <c r="AX173" s="137"/>
      <c r="AY173" s="137"/>
      <c r="AZ173" s="137"/>
      <c r="BA173" s="264"/>
      <c r="BB173" s="258"/>
      <c r="BC173" s="258"/>
      <c r="BD173" s="137"/>
      <c r="BE173" s="137"/>
      <c r="BF173" s="137"/>
      <c r="BG173" s="137"/>
      <c r="BH173" s="137"/>
      <c r="BI173" s="137"/>
      <c r="BJ173" s="137"/>
      <c r="BK173" s="137"/>
      <c r="BL173" s="137"/>
      <c r="BM173" s="137"/>
      <c r="BN173" s="137"/>
      <c r="BO173" s="137"/>
      <c r="BP173" s="137"/>
      <c r="BQ173" s="137"/>
      <c r="BR173" s="137"/>
      <c r="BS173" s="137"/>
      <c r="BV173" s="262"/>
      <c r="BW173" s="136"/>
      <c r="BX173" s="137"/>
      <c r="BY173" s="137"/>
      <c r="BZ173" s="137"/>
      <c r="CA173" s="137"/>
      <c r="CB173" s="137"/>
      <c r="CC173" s="258"/>
      <c r="CD173" s="258"/>
      <c r="CE173" s="258"/>
      <c r="CF173" s="258"/>
      <c r="CG173" s="258"/>
      <c r="CH173" s="258"/>
      <c r="CI173" s="258"/>
      <c r="CJ173" s="258"/>
      <c r="CK173" s="258"/>
      <c r="CL173" s="258"/>
      <c r="CM173" s="258"/>
    </row>
    <row r="174" spans="1:91" x14ac:dyDescent="0.25">
      <c r="A174" s="723"/>
      <c r="B174" s="723"/>
      <c r="K174" s="52"/>
      <c r="L174" s="135"/>
      <c r="N174" s="131"/>
      <c r="O174" s="131"/>
      <c r="P174" s="55"/>
      <c r="Q174" s="135"/>
      <c r="R174" s="135"/>
      <c r="U174" s="135"/>
      <c r="V174" s="146"/>
      <c r="W174" s="146"/>
      <c r="X174" s="338"/>
      <c r="Y174" s="338"/>
      <c r="Z174" s="338"/>
      <c r="AA174" s="338"/>
      <c r="AB174" s="338"/>
      <c r="AC174" s="338"/>
      <c r="AF174" s="138"/>
      <c r="AG174" s="138"/>
      <c r="AH174" s="138"/>
      <c r="AI174" s="138"/>
      <c r="AJ174" s="138"/>
      <c r="AM174" s="258"/>
      <c r="AN174" s="258"/>
      <c r="AO174" s="258"/>
      <c r="AP174" s="258"/>
      <c r="AR174" s="137"/>
      <c r="AT174" s="137"/>
      <c r="AV174" s="394"/>
      <c r="AW174" s="137"/>
      <c r="AX174" s="137"/>
      <c r="AY174" s="137"/>
      <c r="AZ174" s="137"/>
      <c r="BA174" s="264"/>
      <c r="BB174" s="258"/>
      <c r="BC174" s="258"/>
      <c r="BD174" s="137"/>
      <c r="BE174" s="137"/>
      <c r="BF174" s="137"/>
      <c r="BG174" s="137"/>
      <c r="BH174" s="137"/>
      <c r="BI174" s="137"/>
      <c r="BJ174" s="137"/>
      <c r="BK174" s="137"/>
      <c r="BL174" s="137"/>
      <c r="BM174" s="137"/>
      <c r="BN174" s="137"/>
      <c r="BO174" s="137"/>
      <c r="BP174" s="137"/>
      <c r="BQ174" s="137"/>
      <c r="BR174" s="137"/>
      <c r="BS174" s="137"/>
      <c r="BV174" s="262"/>
      <c r="BW174" s="136"/>
      <c r="BX174" s="137"/>
      <c r="BY174" s="137"/>
      <c r="BZ174" s="137"/>
      <c r="CA174" s="137"/>
      <c r="CB174" s="137"/>
      <c r="CC174" s="258"/>
      <c r="CD174" s="258"/>
      <c r="CE174" s="258"/>
      <c r="CF174" s="258"/>
      <c r="CG174" s="258"/>
      <c r="CH174" s="258"/>
      <c r="CI174" s="258"/>
      <c r="CJ174" s="258"/>
      <c r="CK174" s="258"/>
      <c r="CL174" s="258"/>
      <c r="CM174" s="258"/>
    </row>
    <row r="175" spans="1:91" x14ac:dyDescent="0.25">
      <c r="A175" s="723"/>
      <c r="B175" s="723"/>
      <c r="K175" s="52"/>
      <c r="L175" s="135"/>
      <c r="N175" s="131"/>
      <c r="O175" s="131"/>
      <c r="P175" s="55"/>
      <c r="Q175" s="135"/>
      <c r="R175" s="135"/>
      <c r="U175" s="135"/>
      <c r="V175" s="146"/>
      <c r="W175" s="146"/>
      <c r="X175" s="338"/>
      <c r="Y175" s="338"/>
      <c r="Z175" s="338"/>
      <c r="AA175" s="338"/>
      <c r="AB175" s="338"/>
      <c r="AC175" s="338"/>
      <c r="AF175" s="138"/>
      <c r="AG175" s="138"/>
      <c r="AH175" s="138"/>
      <c r="AI175" s="138"/>
      <c r="AJ175" s="138"/>
      <c r="AM175" s="258"/>
      <c r="AN175" s="258"/>
      <c r="AO175" s="258"/>
      <c r="AP175" s="258"/>
      <c r="AR175" s="137"/>
      <c r="AT175" s="137"/>
      <c r="AV175" s="394"/>
      <c r="AW175" s="137"/>
      <c r="AX175" s="137"/>
      <c r="AY175" s="137"/>
      <c r="AZ175" s="137"/>
      <c r="BA175" s="264"/>
      <c r="BB175" s="258"/>
      <c r="BC175" s="258"/>
      <c r="BD175" s="137"/>
      <c r="BE175" s="137"/>
      <c r="BF175" s="137"/>
      <c r="BG175" s="137"/>
      <c r="BH175" s="137"/>
      <c r="BI175" s="137"/>
      <c r="BJ175" s="137"/>
      <c r="BK175" s="137"/>
      <c r="BL175" s="137"/>
      <c r="BM175" s="137"/>
      <c r="BN175" s="137"/>
      <c r="BO175" s="137"/>
      <c r="BP175" s="137"/>
      <c r="BQ175" s="137"/>
      <c r="BR175" s="137"/>
      <c r="BS175" s="137"/>
      <c r="BV175" s="262"/>
      <c r="BW175" s="136"/>
      <c r="BX175" s="137"/>
      <c r="BY175" s="137"/>
      <c r="BZ175" s="137"/>
      <c r="CA175" s="137"/>
      <c r="CB175" s="137"/>
      <c r="CC175" s="258"/>
      <c r="CD175" s="258"/>
      <c r="CE175" s="258"/>
      <c r="CF175" s="258"/>
      <c r="CG175" s="258"/>
      <c r="CH175" s="258"/>
      <c r="CI175" s="258"/>
      <c r="CJ175" s="258"/>
      <c r="CK175" s="258"/>
      <c r="CL175" s="258"/>
      <c r="CM175" s="258"/>
    </row>
    <row r="176" spans="1:91" x14ac:dyDescent="0.25">
      <c r="A176" s="723"/>
      <c r="B176" s="723"/>
      <c r="K176" s="52"/>
      <c r="L176" s="135"/>
      <c r="N176" s="131"/>
      <c r="O176" s="131"/>
      <c r="P176" s="55"/>
      <c r="Q176" s="135"/>
      <c r="R176" s="135"/>
      <c r="U176" s="135"/>
      <c r="V176" s="146"/>
      <c r="W176" s="146"/>
      <c r="X176" s="338"/>
      <c r="Y176" s="338"/>
      <c r="Z176" s="338"/>
      <c r="AA176" s="338"/>
      <c r="AB176" s="338"/>
      <c r="AC176" s="338"/>
      <c r="AF176" s="138"/>
      <c r="AG176" s="138"/>
      <c r="AH176" s="138"/>
      <c r="AI176" s="138"/>
      <c r="AJ176" s="138"/>
      <c r="AM176" s="258"/>
      <c r="AN176" s="258"/>
      <c r="AO176" s="258"/>
      <c r="AP176" s="258"/>
      <c r="AR176" s="137"/>
      <c r="AT176" s="137"/>
      <c r="AV176" s="394"/>
      <c r="AW176" s="137"/>
      <c r="AX176" s="137"/>
      <c r="AY176" s="137"/>
      <c r="AZ176" s="137"/>
      <c r="BA176" s="264"/>
      <c r="BB176" s="258"/>
      <c r="BC176" s="258"/>
      <c r="BD176" s="137"/>
      <c r="BE176" s="137"/>
      <c r="BF176" s="137"/>
      <c r="BG176" s="137"/>
      <c r="BH176" s="137"/>
      <c r="BI176" s="137"/>
      <c r="BJ176" s="137"/>
      <c r="BK176" s="137"/>
      <c r="BL176" s="137"/>
      <c r="BM176" s="137"/>
      <c r="BN176" s="137"/>
      <c r="BO176" s="137"/>
      <c r="BP176" s="137"/>
      <c r="BQ176" s="137"/>
      <c r="BR176" s="137"/>
      <c r="BS176" s="137"/>
      <c r="BV176" s="262"/>
      <c r="BW176" s="136"/>
      <c r="BX176" s="137"/>
      <c r="BY176" s="137"/>
      <c r="BZ176" s="137"/>
      <c r="CA176" s="137"/>
      <c r="CB176" s="137"/>
      <c r="CC176" s="258"/>
      <c r="CD176" s="258"/>
      <c r="CE176" s="258"/>
      <c r="CF176" s="258"/>
      <c r="CG176" s="258"/>
      <c r="CH176" s="258"/>
      <c r="CI176" s="258"/>
      <c r="CJ176" s="258"/>
      <c r="CK176" s="258"/>
      <c r="CL176" s="258"/>
      <c r="CM176" s="258"/>
    </row>
    <row r="177" spans="1:91" x14ac:dyDescent="0.25">
      <c r="A177" s="723"/>
      <c r="B177" s="723"/>
      <c r="K177" s="52"/>
      <c r="L177" s="135"/>
      <c r="N177" s="131"/>
      <c r="O177" s="131"/>
      <c r="P177" s="55"/>
      <c r="Q177" s="135"/>
      <c r="R177" s="135"/>
      <c r="U177" s="135"/>
      <c r="V177" s="146"/>
      <c r="W177" s="146"/>
      <c r="X177" s="338"/>
      <c r="Y177" s="338"/>
      <c r="Z177" s="338"/>
      <c r="AA177" s="338"/>
      <c r="AB177" s="338"/>
      <c r="AC177" s="338"/>
      <c r="AF177" s="138"/>
      <c r="AG177" s="138"/>
      <c r="AH177" s="138"/>
      <c r="AI177" s="138"/>
      <c r="AJ177" s="138"/>
      <c r="AM177" s="258"/>
      <c r="AN177" s="258"/>
      <c r="AO177" s="258"/>
      <c r="AP177" s="258"/>
      <c r="AR177" s="137"/>
      <c r="AT177" s="137"/>
      <c r="AV177" s="394"/>
      <c r="AW177" s="137"/>
      <c r="AX177" s="137"/>
      <c r="AY177" s="137"/>
      <c r="AZ177" s="137"/>
      <c r="BA177" s="264"/>
      <c r="BB177" s="258"/>
      <c r="BC177" s="258"/>
      <c r="BD177" s="137"/>
      <c r="BE177" s="137"/>
      <c r="BF177" s="137"/>
      <c r="BG177" s="137"/>
      <c r="BH177" s="137"/>
      <c r="BI177" s="137"/>
      <c r="BJ177" s="137"/>
      <c r="BK177" s="137"/>
      <c r="BL177" s="137"/>
      <c r="BM177" s="137"/>
      <c r="BN177" s="137"/>
      <c r="BO177" s="137"/>
      <c r="BP177" s="137"/>
      <c r="BQ177" s="137"/>
      <c r="BR177" s="137"/>
      <c r="BS177" s="137"/>
      <c r="BV177" s="262"/>
      <c r="BW177" s="136"/>
      <c r="BX177" s="137"/>
      <c r="BY177" s="137"/>
      <c r="BZ177" s="137"/>
      <c r="CA177" s="137"/>
      <c r="CB177" s="137"/>
      <c r="CC177" s="258"/>
      <c r="CD177" s="258"/>
      <c r="CE177" s="258"/>
      <c r="CF177" s="258"/>
      <c r="CG177" s="258"/>
      <c r="CH177" s="258"/>
      <c r="CI177" s="258"/>
      <c r="CJ177" s="258"/>
      <c r="CK177" s="258"/>
      <c r="CL177" s="258"/>
      <c r="CM177" s="258"/>
    </row>
    <row r="178" spans="1:91" x14ac:dyDescent="0.25">
      <c r="A178" s="723"/>
      <c r="B178" s="723"/>
      <c r="K178" s="52"/>
      <c r="L178" s="135"/>
      <c r="N178" s="131"/>
      <c r="O178" s="131"/>
      <c r="P178" s="55"/>
      <c r="Q178" s="135"/>
      <c r="R178" s="135"/>
      <c r="U178" s="135"/>
      <c r="V178" s="146"/>
      <c r="W178" s="146"/>
      <c r="X178" s="338"/>
      <c r="Y178" s="338"/>
      <c r="Z178" s="338"/>
      <c r="AA178" s="338"/>
      <c r="AB178" s="338"/>
      <c r="AC178" s="338"/>
      <c r="AF178" s="138"/>
      <c r="AG178" s="138"/>
      <c r="AH178" s="138"/>
      <c r="AI178" s="138"/>
      <c r="AJ178" s="138"/>
      <c r="AM178" s="258"/>
      <c r="AN178" s="258"/>
      <c r="AO178" s="258"/>
      <c r="AP178" s="258"/>
      <c r="AR178" s="137"/>
      <c r="AT178" s="137"/>
      <c r="AV178" s="394"/>
      <c r="AW178" s="137"/>
      <c r="AX178" s="137"/>
      <c r="AY178" s="137"/>
      <c r="AZ178" s="137"/>
      <c r="BA178" s="264"/>
      <c r="BB178" s="258"/>
      <c r="BC178" s="258"/>
      <c r="BD178" s="137"/>
      <c r="BE178" s="137"/>
      <c r="BF178" s="137"/>
      <c r="BG178" s="137"/>
      <c r="BH178" s="137"/>
      <c r="BI178" s="137"/>
      <c r="BJ178" s="137"/>
      <c r="BK178" s="137"/>
      <c r="BL178" s="137"/>
      <c r="BM178" s="137"/>
      <c r="BN178" s="137"/>
      <c r="BO178" s="137"/>
      <c r="BP178" s="137"/>
      <c r="BQ178" s="137"/>
      <c r="BR178" s="137"/>
      <c r="BS178" s="137"/>
      <c r="BV178" s="262"/>
      <c r="BW178" s="136"/>
      <c r="BX178" s="137"/>
      <c r="BY178" s="137"/>
      <c r="BZ178" s="137"/>
      <c r="CA178" s="137"/>
      <c r="CB178" s="137"/>
      <c r="CC178" s="258"/>
      <c r="CD178" s="258"/>
      <c r="CE178" s="258"/>
      <c r="CF178" s="258"/>
      <c r="CG178" s="258"/>
      <c r="CH178" s="258"/>
      <c r="CI178" s="258"/>
      <c r="CJ178" s="258"/>
      <c r="CK178" s="258"/>
      <c r="CL178" s="258"/>
      <c r="CM178" s="258"/>
    </row>
    <row r="179" spans="1:91" x14ac:dyDescent="0.25">
      <c r="A179" s="723"/>
      <c r="B179" s="723"/>
      <c r="K179" s="52"/>
      <c r="L179" s="135"/>
      <c r="N179" s="131"/>
      <c r="O179" s="131"/>
      <c r="P179" s="55"/>
      <c r="Q179" s="135"/>
      <c r="R179" s="135"/>
      <c r="U179" s="135"/>
      <c r="V179" s="146"/>
      <c r="W179" s="146"/>
      <c r="X179" s="338"/>
      <c r="Y179" s="338"/>
      <c r="Z179" s="338"/>
      <c r="AA179" s="338"/>
      <c r="AB179" s="338"/>
      <c r="AC179" s="338"/>
      <c r="AF179" s="138"/>
      <c r="AG179" s="138"/>
      <c r="AH179" s="138"/>
      <c r="AI179" s="138"/>
      <c r="AJ179" s="138"/>
      <c r="AM179" s="258"/>
      <c r="AN179" s="258"/>
      <c r="AO179" s="258"/>
      <c r="AP179" s="258"/>
      <c r="AR179" s="137"/>
      <c r="AT179" s="137"/>
      <c r="AV179" s="394"/>
      <c r="AW179" s="137"/>
      <c r="AX179" s="137"/>
      <c r="AY179" s="137"/>
      <c r="AZ179" s="137"/>
      <c r="BA179" s="264"/>
      <c r="BB179" s="258"/>
      <c r="BC179" s="258"/>
      <c r="BD179" s="137"/>
      <c r="BE179" s="137"/>
      <c r="BF179" s="137"/>
      <c r="BG179" s="137"/>
      <c r="BH179" s="137"/>
      <c r="BI179" s="137"/>
      <c r="BJ179" s="137"/>
      <c r="BK179" s="137"/>
      <c r="BL179" s="137"/>
      <c r="BM179" s="137"/>
      <c r="BN179" s="137"/>
      <c r="BO179" s="137"/>
      <c r="BP179" s="137"/>
      <c r="BQ179" s="137"/>
      <c r="BR179" s="137"/>
      <c r="BS179" s="137"/>
      <c r="BV179" s="262"/>
      <c r="BW179" s="136"/>
      <c r="BX179" s="137"/>
      <c r="BY179" s="137"/>
      <c r="BZ179" s="137"/>
      <c r="CA179" s="137"/>
      <c r="CB179" s="137"/>
      <c r="CC179" s="258"/>
      <c r="CD179" s="258"/>
      <c r="CE179" s="258"/>
      <c r="CF179" s="258"/>
      <c r="CG179" s="258"/>
      <c r="CH179" s="258"/>
      <c r="CI179" s="258"/>
      <c r="CJ179" s="258"/>
      <c r="CK179" s="258"/>
      <c r="CL179" s="258"/>
      <c r="CM179" s="258"/>
    </row>
    <row r="180" spans="1:91" x14ac:dyDescent="0.25">
      <c r="A180" s="723"/>
      <c r="B180" s="723"/>
      <c r="K180" s="52"/>
      <c r="L180" s="135"/>
      <c r="N180" s="131"/>
      <c r="O180" s="131"/>
      <c r="P180" s="55"/>
      <c r="Q180" s="135"/>
      <c r="R180" s="135"/>
      <c r="U180" s="135"/>
      <c r="V180" s="146"/>
      <c r="W180" s="146"/>
      <c r="X180" s="338"/>
      <c r="Y180" s="338"/>
      <c r="Z180" s="338"/>
      <c r="AA180" s="338"/>
      <c r="AB180" s="338"/>
      <c r="AC180" s="338"/>
      <c r="AF180" s="138"/>
      <c r="AG180" s="138"/>
      <c r="AH180" s="138"/>
      <c r="AI180" s="138"/>
      <c r="AJ180" s="138"/>
      <c r="AM180" s="258"/>
      <c r="AN180" s="258"/>
      <c r="AO180" s="258"/>
      <c r="AP180" s="258"/>
      <c r="AR180" s="137"/>
      <c r="AT180" s="137"/>
      <c r="AV180" s="394"/>
      <c r="AW180" s="137"/>
      <c r="AX180" s="137"/>
      <c r="AY180" s="137"/>
      <c r="AZ180" s="137"/>
      <c r="BA180" s="264"/>
      <c r="BB180" s="258"/>
      <c r="BC180" s="258"/>
      <c r="BD180" s="137"/>
      <c r="BE180" s="137"/>
      <c r="BF180" s="137"/>
      <c r="BG180" s="137"/>
      <c r="BH180" s="137"/>
      <c r="BI180" s="137"/>
      <c r="BJ180" s="137"/>
      <c r="BK180" s="137"/>
      <c r="BL180" s="137"/>
      <c r="BM180" s="137"/>
      <c r="BN180" s="137"/>
      <c r="BO180" s="137"/>
      <c r="BP180" s="137"/>
      <c r="BQ180" s="137"/>
      <c r="BR180" s="137"/>
      <c r="BS180" s="137"/>
      <c r="BV180" s="262"/>
      <c r="BW180" s="136"/>
      <c r="BX180" s="137"/>
      <c r="BY180" s="137"/>
      <c r="BZ180" s="137"/>
      <c r="CA180" s="137"/>
      <c r="CB180" s="137"/>
      <c r="CC180" s="258"/>
      <c r="CD180" s="258"/>
      <c r="CE180" s="258"/>
      <c r="CF180" s="258"/>
      <c r="CG180" s="258"/>
      <c r="CH180" s="258"/>
      <c r="CI180" s="258"/>
      <c r="CJ180" s="258"/>
      <c r="CK180" s="258"/>
      <c r="CL180" s="258"/>
      <c r="CM180" s="258"/>
    </row>
    <row r="181" spans="1:91" x14ac:dyDescent="0.25">
      <c r="A181" s="723"/>
      <c r="B181" s="723"/>
      <c r="K181" s="52"/>
      <c r="L181" s="135"/>
      <c r="N181" s="131"/>
      <c r="O181" s="131"/>
      <c r="P181" s="55"/>
      <c r="Q181" s="135"/>
      <c r="R181" s="135"/>
      <c r="U181" s="135"/>
      <c r="V181" s="146"/>
      <c r="W181" s="146"/>
      <c r="X181" s="338"/>
      <c r="Y181" s="338"/>
      <c r="Z181" s="338"/>
      <c r="AA181" s="338"/>
      <c r="AB181" s="338"/>
      <c r="AC181" s="338"/>
      <c r="AF181" s="138"/>
      <c r="AG181" s="138"/>
      <c r="AH181" s="138"/>
      <c r="AI181" s="138"/>
      <c r="AJ181" s="138"/>
      <c r="AM181" s="258"/>
      <c r="AN181" s="258"/>
      <c r="AO181" s="258"/>
      <c r="AP181" s="258"/>
      <c r="AR181" s="137"/>
      <c r="AT181" s="137"/>
      <c r="AV181" s="394"/>
      <c r="AW181" s="137"/>
      <c r="AX181" s="137"/>
      <c r="AY181" s="137"/>
      <c r="AZ181" s="137"/>
      <c r="BA181" s="264"/>
      <c r="BB181" s="258"/>
      <c r="BC181" s="258"/>
      <c r="BD181" s="137"/>
      <c r="BE181" s="137"/>
      <c r="BF181" s="137"/>
      <c r="BG181" s="137"/>
      <c r="BH181" s="137"/>
      <c r="BI181" s="137"/>
      <c r="BJ181" s="137"/>
      <c r="BK181" s="137"/>
      <c r="BL181" s="137"/>
      <c r="BM181" s="137"/>
      <c r="BN181" s="137"/>
      <c r="BO181" s="137"/>
      <c r="BP181" s="137"/>
      <c r="BQ181" s="137"/>
      <c r="BR181" s="137"/>
      <c r="BS181" s="137"/>
      <c r="BV181" s="262"/>
      <c r="BW181" s="136"/>
      <c r="BX181" s="137"/>
      <c r="BY181" s="137"/>
      <c r="BZ181" s="137"/>
      <c r="CA181" s="137"/>
      <c r="CB181" s="137"/>
      <c r="CC181" s="258"/>
      <c r="CD181" s="258"/>
      <c r="CE181" s="258"/>
      <c r="CF181" s="258"/>
      <c r="CG181" s="258"/>
      <c r="CH181" s="258"/>
      <c r="CI181" s="258"/>
      <c r="CJ181" s="258"/>
      <c r="CK181" s="258"/>
      <c r="CL181" s="258"/>
      <c r="CM181" s="258"/>
    </row>
    <row r="182" spans="1:91" x14ac:dyDescent="0.25">
      <c r="A182" s="723"/>
      <c r="B182" s="723"/>
      <c r="K182" s="52"/>
      <c r="L182" s="135"/>
      <c r="N182" s="131"/>
      <c r="O182" s="131"/>
      <c r="P182" s="55"/>
      <c r="Q182" s="135"/>
      <c r="R182" s="135"/>
      <c r="U182" s="135"/>
      <c r="V182" s="146"/>
      <c r="W182" s="146"/>
      <c r="X182" s="338"/>
      <c r="Y182" s="338"/>
      <c r="Z182" s="338"/>
      <c r="AA182" s="338"/>
      <c r="AB182" s="338"/>
      <c r="AC182" s="338"/>
      <c r="AF182" s="138"/>
      <c r="AG182" s="138"/>
      <c r="AH182" s="138"/>
      <c r="AI182" s="138"/>
      <c r="AJ182" s="138"/>
      <c r="AM182" s="258"/>
      <c r="AN182" s="258"/>
      <c r="AO182" s="258"/>
      <c r="AP182" s="258"/>
      <c r="AR182" s="137"/>
      <c r="AT182" s="137"/>
      <c r="AV182" s="394"/>
      <c r="AW182" s="137"/>
      <c r="AX182" s="137"/>
      <c r="AY182" s="137"/>
      <c r="AZ182" s="137"/>
      <c r="BA182" s="264"/>
      <c r="BB182" s="258"/>
      <c r="BC182" s="258"/>
      <c r="BD182" s="137"/>
      <c r="BE182" s="137"/>
      <c r="BF182" s="137"/>
      <c r="BG182" s="137"/>
      <c r="BH182" s="137"/>
      <c r="BI182" s="137"/>
      <c r="BJ182" s="137"/>
      <c r="BK182" s="137"/>
      <c r="BL182" s="137"/>
      <c r="BM182" s="137"/>
      <c r="BN182" s="137"/>
      <c r="BO182" s="137"/>
      <c r="BP182" s="137"/>
      <c r="BQ182" s="137"/>
      <c r="BR182" s="137"/>
      <c r="BS182" s="137"/>
      <c r="BV182" s="262"/>
      <c r="BW182" s="136"/>
      <c r="BX182" s="137"/>
      <c r="BY182" s="137"/>
      <c r="BZ182" s="137"/>
      <c r="CA182" s="137"/>
      <c r="CB182" s="137"/>
      <c r="CC182" s="258"/>
      <c r="CD182" s="258"/>
      <c r="CE182" s="258"/>
      <c r="CF182" s="258"/>
      <c r="CG182" s="258"/>
      <c r="CH182" s="258"/>
      <c r="CI182" s="258"/>
      <c r="CJ182" s="258"/>
      <c r="CK182" s="258"/>
      <c r="CL182" s="258"/>
      <c r="CM182" s="258"/>
    </row>
    <row r="183" spans="1:91" x14ac:dyDescent="0.25">
      <c r="A183" s="723"/>
      <c r="B183" s="723"/>
      <c r="K183" s="52"/>
      <c r="L183" s="135"/>
      <c r="N183" s="131"/>
      <c r="O183" s="131"/>
      <c r="P183" s="55"/>
      <c r="Q183" s="135"/>
      <c r="R183" s="135"/>
      <c r="U183" s="135"/>
      <c r="V183" s="146"/>
      <c r="W183" s="146"/>
      <c r="X183" s="338"/>
      <c r="Y183" s="338"/>
      <c r="Z183" s="338"/>
      <c r="AA183" s="338"/>
      <c r="AB183" s="338"/>
      <c r="AC183" s="338"/>
      <c r="AF183" s="138"/>
      <c r="AG183" s="138"/>
      <c r="AH183" s="138"/>
      <c r="AI183" s="138"/>
      <c r="AJ183" s="138"/>
      <c r="AM183" s="258"/>
      <c r="AN183" s="258"/>
      <c r="AO183" s="258"/>
      <c r="AP183" s="258"/>
      <c r="AR183" s="137"/>
      <c r="AT183" s="137"/>
      <c r="AV183" s="394"/>
      <c r="AW183" s="137"/>
      <c r="AX183" s="137"/>
      <c r="AY183" s="137"/>
      <c r="AZ183" s="137"/>
      <c r="BA183" s="264"/>
      <c r="BB183" s="258"/>
      <c r="BC183" s="258"/>
      <c r="BD183" s="137"/>
      <c r="BE183" s="137"/>
      <c r="BF183" s="137"/>
      <c r="BG183" s="137"/>
      <c r="BH183" s="137"/>
      <c r="BI183" s="137"/>
      <c r="BJ183" s="137"/>
      <c r="BK183" s="137"/>
      <c r="BL183" s="137"/>
      <c r="BM183" s="137"/>
      <c r="BN183" s="137"/>
      <c r="BO183" s="137"/>
      <c r="BP183" s="137"/>
      <c r="BQ183" s="137"/>
      <c r="BR183" s="137"/>
      <c r="BS183" s="137"/>
      <c r="BV183" s="262"/>
      <c r="BW183" s="136"/>
      <c r="BX183" s="137"/>
      <c r="BY183" s="137"/>
      <c r="BZ183" s="137"/>
      <c r="CA183" s="137"/>
      <c r="CB183" s="137"/>
      <c r="CC183" s="258"/>
      <c r="CD183" s="258"/>
      <c r="CE183" s="258"/>
      <c r="CF183" s="258"/>
      <c r="CG183" s="258"/>
      <c r="CH183" s="258"/>
      <c r="CI183" s="258"/>
      <c r="CJ183" s="258"/>
      <c r="CK183" s="258"/>
      <c r="CL183" s="258"/>
      <c r="CM183" s="258"/>
    </row>
    <row r="184" spans="1:91" x14ac:dyDescent="0.25">
      <c r="A184" s="723"/>
      <c r="B184" s="723"/>
      <c r="K184" s="52"/>
      <c r="L184" s="135"/>
      <c r="N184" s="131"/>
      <c r="O184" s="131"/>
      <c r="P184" s="55"/>
      <c r="Q184" s="135"/>
      <c r="R184" s="135"/>
      <c r="U184" s="135"/>
      <c r="V184" s="146"/>
      <c r="W184" s="146"/>
      <c r="X184" s="338"/>
      <c r="Y184" s="338"/>
      <c r="Z184" s="338"/>
      <c r="AA184" s="338"/>
      <c r="AB184" s="338"/>
      <c r="AC184" s="338"/>
      <c r="AF184" s="138"/>
      <c r="AG184" s="138"/>
      <c r="AH184" s="138"/>
      <c r="AI184" s="138"/>
      <c r="AJ184" s="138"/>
      <c r="AM184" s="258"/>
      <c r="AN184" s="258"/>
      <c r="AO184" s="258"/>
      <c r="AP184" s="258"/>
      <c r="AR184" s="137"/>
      <c r="AT184" s="137"/>
      <c r="AV184" s="394"/>
      <c r="AW184" s="137"/>
      <c r="AX184" s="137"/>
      <c r="AY184" s="137"/>
      <c r="AZ184" s="137"/>
      <c r="BA184" s="264"/>
      <c r="BB184" s="258"/>
      <c r="BC184" s="258"/>
      <c r="BD184" s="137"/>
      <c r="BE184" s="137"/>
      <c r="BF184" s="137"/>
      <c r="BG184" s="137"/>
      <c r="BH184" s="137"/>
      <c r="BI184" s="137"/>
      <c r="BJ184" s="137"/>
      <c r="BK184" s="137"/>
      <c r="BL184" s="137"/>
      <c r="BM184" s="137"/>
      <c r="BN184" s="137"/>
      <c r="BO184" s="137"/>
      <c r="BP184" s="137"/>
      <c r="BQ184" s="137"/>
      <c r="BR184" s="137"/>
      <c r="BS184" s="137"/>
      <c r="BV184" s="262"/>
      <c r="BW184" s="136"/>
      <c r="BX184" s="137"/>
      <c r="BY184" s="137"/>
      <c r="BZ184" s="137"/>
      <c r="CA184" s="137"/>
      <c r="CB184" s="137"/>
      <c r="CC184" s="258"/>
      <c r="CD184" s="258"/>
      <c r="CE184" s="258"/>
      <c r="CF184" s="258"/>
      <c r="CG184" s="258"/>
      <c r="CH184" s="258"/>
      <c r="CI184" s="258"/>
      <c r="CJ184" s="258"/>
      <c r="CK184" s="258"/>
      <c r="CL184" s="258"/>
      <c r="CM184" s="258"/>
    </row>
    <row r="185" spans="1:91" x14ac:dyDescent="0.25">
      <c r="A185" s="723"/>
      <c r="B185" s="723"/>
      <c r="K185" s="52"/>
      <c r="L185" s="135"/>
      <c r="N185" s="131"/>
      <c r="O185" s="131"/>
      <c r="P185" s="55"/>
      <c r="Q185" s="135"/>
      <c r="R185" s="135"/>
      <c r="U185" s="135"/>
      <c r="V185" s="146"/>
      <c r="W185" s="146"/>
      <c r="X185" s="338"/>
      <c r="Y185" s="338"/>
      <c r="Z185" s="338"/>
      <c r="AA185" s="338"/>
      <c r="AB185" s="338"/>
      <c r="AC185" s="338"/>
      <c r="AF185" s="138"/>
      <c r="AG185" s="138"/>
      <c r="AH185" s="138"/>
      <c r="AI185" s="138"/>
      <c r="AJ185" s="138"/>
      <c r="AM185" s="258"/>
      <c r="AN185" s="258"/>
      <c r="AO185" s="258"/>
      <c r="AP185" s="258"/>
      <c r="AR185" s="137"/>
      <c r="AT185" s="137"/>
      <c r="AV185" s="394"/>
      <c r="AW185" s="137"/>
      <c r="AX185" s="137"/>
      <c r="AY185" s="137"/>
      <c r="AZ185" s="137"/>
      <c r="BA185" s="264"/>
      <c r="BB185" s="258"/>
      <c r="BC185" s="258"/>
      <c r="BD185" s="137"/>
      <c r="BE185" s="137"/>
      <c r="BF185" s="137"/>
      <c r="BG185" s="137"/>
      <c r="BH185" s="137"/>
      <c r="BI185" s="137"/>
      <c r="BJ185" s="137"/>
      <c r="BK185" s="137"/>
      <c r="BL185" s="137"/>
      <c r="BM185" s="137"/>
      <c r="BN185" s="137"/>
      <c r="BO185" s="137"/>
      <c r="BP185" s="137"/>
      <c r="BQ185" s="137"/>
      <c r="BR185" s="137"/>
      <c r="BS185" s="137"/>
      <c r="BV185" s="262"/>
      <c r="BW185" s="136"/>
      <c r="BX185" s="137"/>
      <c r="BY185" s="137"/>
      <c r="BZ185" s="137"/>
      <c r="CA185" s="137"/>
      <c r="CB185" s="137"/>
      <c r="CC185" s="258"/>
      <c r="CD185" s="258"/>
      <c r="CE185" s="258"/>
      <c r="CF185" s="258"/>
      <c r="CG185" s="258"/>
      <c r="CH185" s="258"/>
      <c r="CI185" s="258"/>
      <c r="CJ185" s="258"/>
      <c r="CK185" s="258"/>
      <c r="CL185" s="258"/>
      <c r="CM185" s="258"/>
    </row>
    <row r="186" spans="1:91" x14ac:dyDescent="0.25">
      <c r="A186" s="723"/>
      <c r="B186" s="723"/>
      <c r="K186" s="52"/>
      <c r="L186" s="135"/>
      <c r="N186" s="131"/>
      <c r="O186" s="131"/>
      <c r="P186" s="55"/>
      <c r="Q186" s="135"/>
      <c r="R186" s="135"/>
      <c r="U186" s="135"/>
      <c r="V186" s="146"/>
      <c r="W186" s="146"/>
      <c r="X186" s="338"/>
      <c r="Y186" s="338"/>
      <c r="Z186" s="338"/>
      <c r="AA186" s="338"/>
      <c r="AB186" s="338"/>
      <c r="AC186" s="338"/>
      <c r="AF186" s="138"/>
      <c r="AG186" s="138"/>
      <c r="AH186" s="138"/>
      <c r="AI186" s="138"/>
      <c r="AJ186" s="138"/>
      <c r="AM186" s="258"/>
      <c r="AN186" s="258"/>
      <c r="AO186" s="258"/>
      <c r="AP186" s="258"/>
      <c r="AR186" s="137"/>
      <c r="AT186" s="137"/>
      <c r="AV186" s="394"/>
      <c r="AW186" s="137"/>
      <c r="AX186" s="137"/>
      <c r="AY186" s="137"/>
      <c r="AZ186" s="137"/>
      <c r="BA186" s="264"/>
      <c r="BB186" s="258"/>
      <c r="BC186" s="258"/>
      <c r="BD186" s="137"/>
      <c r="BE186" s="137"/>
      <c r="BF186" s="137"/>
      <c r="BG186" s="137"/>
      <c r="BH186" s="137"/>
      <c r="BI186" s="137"/>
      <c r="BJ186" s="137"/>
      <c r="BK186" s="137"/>
      <c r="BL186" s="137"/>
      <c r="BM186" s="137"/>
      <c r="BN186" s="137"/>
      <c r="BO186" s="137"/>
      <c r="BP186" s="137"/>
      <c r="BQ186" s="137"/>
      <c r="BR186" s="137"/>
      <c r="BS186" s="137"/>
      <c r="BV186" s="262"/>
      <c r="BW186" s="136"/>
      <c r="BX186" s="137"/>
      <c r="BY186" s="137"/>
      <c r="BZ186" s="137"/>
      <c r="CA186" s="137"/>
      <c r="CB186" s="137"/>
      <c r="CC186" s="258"/>
      <c r="CD186" s="258"/>
      <c r="CE186" s="258"/>
      <c r="CF186" s="258"/>
      <c r="CG186" s="258"/>
      <c r="CH186" s="258"/>
      <c r="CI186" s="258"/>
      <c r="CJ186" s="258"/>
      <c r="CK186" s="258"/>
      <c r="CL186" s="258"/>
      <c r="CM186" s="258"/>
    </row>
    <row r="187" spans="1:91" x14ac:dyDescent="0.25">
      <c r="A187" s="723"/>
      <c r="B187" s="723"/>
      <c r="K187" s="52"/>
      <c r="L187" s="135"/>
      <c r="N187" s="131"/>
      <c r="O187" s="131"/>
      <c r="P187" s="55"/>
      <c r="Q187" s="135"/>
      <c r="R187" s="135"/>
      <c r="U187" s="135"/>
      <c r="V187" s="146"/>
      <c r="W187" s="146"/>
      <c r="X187" s="338"/>
      <c r="Y187" s="338"/>
      <c r="Z187" s="338"/>
      <c r="AA187" s="338"/>
      <c r="AB187" s="338"/>
      <c r="AC187" s="338"/>
      <c r="AF187" s="138"/>
      <c r="AG187" s="138"/>
      <c r="AH187" s="138"/>
      <c r="AI187" s="138"/>
      <c r="AJ187" s="138"/>
      <c r="AM187" s="258"/>
      <c r="AN187" s="258"/>
      <c r="AO187" s="258"/>
      <c r="AP187" s="258"/>
      <c r="AR187" s="137"/>
      <c r="AT187" s="137"/>
      <c r="AV187" s="394"/>
      <c r="AW187" s="137"/>
      <c r="AX187" s="137"/>
      <c r="AY187" s="137"/>
      <c r="AZ187" s="137"/>
      <c r="BA187" s="264"/>
      <c r="BB187" s="258"/>
      <c r="BC187" s="258"/>
      <c r="BD187" s="137"/>
      <c r="BE187" s="137"/>
      <c r="BF187" s="137"/>
      <c r="BG187" s="137"/>
      <c r="BH187" s="137"/>
      <c r="BI187" s="137"/>
      <c r="BJ187" s="137"/>
      <c r="BK187" s="137"/>
      <c r="BL187" s="137"/>
      <c r="BM187" s="137"/>
      <c r="BN187" s="137"/>
      <c r="BO187" s="137"/>
      <c r="BP187" s="137"/>
      <c r="BQ187" s="137"/>
      <c r="BR187" s="137"/>
      <c r="BS187" s="137"/>
      <c r="BV187" s="262"/>
      <c r="BW187" s="136"/>
      <c r="BX187" s="137"/>
      <c r="BY187" s="137"/>
      <c r="BZ187" s="137"/>
      <c r="CA187" s="137"/>
      <c r="CB187" s="137"/>
      <c r="CC187" s="258"/>
      <c r="CD187" s="258"/>
      <c r="CE187" s="258"/>
      <c r="CF187" s="258"/>
      <c r="CG187" s="258"/>
      <c r="CH187" s="258"/>
      <c r="CI187" s="258"/>
      <c r="CJ187" s="258"/>
      <c r="CK187" s="258"/>
      <c r="CL187" s="258"/>
      <c r="CM187" s="258"/>
    </row>
    <row r="188" spans="1:91" x14ac:dyDescent="0.25">
      <c r="A188" s="723"/>
      <c r="B188" s="723"/>
      <c r="K188" s="52"/>
      <c r="L188" s="135"/>
      <c r="N188" s="131"/>
      <c r="O188" s="131"/>
      <c r="P188" s="55"/>
      <c r="Q188" s="135"/>
      <c r="R188" s="135"/>
      <c r="U188" s="135"/>
      <c r="V188" s="146"/>
      <c r="W188" s="146"/>
      <c r="X188" s="338"/>
      <c r="Y188" s="338"/>
      <c r="Z188" s="338"/>
      <c r="AA188" s="338"/>
      <c r="AB188" s="338"/>
      <c r="AC188" s="338"/>
      <c r="AF188" s="138"/>
      <c r="AG188" s="138"/>
      <c r="AH188" s="138"/>
      <c r="AI188" s="138"/>
      <c r="AJ188" s="138"/>
      <c r="AM188" s="258"/>
      <c r="AN188" s="258"/>
      <c r="AO188" s="258"/>
      <c r="AP188" s="258"/>
      <c r="AR188" s="137"/>
      <c r="AT188" s="137"/>
      <c r="AV188" s="394"/>
      <c r="AW188" s="137"/>
      <c r="AX188" s="137"/>
      <c r="AY188" s="137"/>
      <c r="AZ188" s="137"/>
      <c r="BA188" s="264"/>
      <c r="BB188" s="258"/>
      <c r="BC188" s="258"/>
      <c r="BD188" s="137"/>
      <c r="BE188" s="137"/>
      <c r="BF188" s="137"/>
      <c r="BG188" s="137"/>
      <c r="BH188" s="137"/>
      <c r="BI188" s="137"/>
      <c r="BJ188" s="137"/>
      <c r="BK188" s="137"/>
      <c r="BL188" s="137"/>
      <c r="BM188" s="137"/>
      <c r="BN188" s="137"/>
      <c r="BO188" s="137"/>
      <c r="BP188" s="137"/>
      <c r="BQ188" s="137"/>
      <c r="BR188" s="137"/>
      <c r="BS188" s="137"/>
      <c r="BV188" s="262"/>
      <c r="BW188" s="136"/>
      <c r="BX188" s="137"/>
      <c r="BY188" s="137"/>
      <c r="BZ188" s="137"/>
      <c r="CA188" s="137"/>
      <c r="CB188" s="137"/>
      <c r="CC188" s="258"/>
      <c r="CD188" s="258"/>
      <c r="CE188" s="258"/>
      <c r="CF188" s="258"/>
      <c r="CG188" s="258"/>
      <c r="CH188" s="258"/>
      <c r="CI188" s="258"/>
      <c r="CJ188" s="258"/>
      <c r="CK188" s="258"/>
      <c r="CL188" s="258"/>
      <c r="CM188" s="258"/>
    </row>
    <row r="189" spans="1:91" x14ac:dyDescent="0.25">
      <c r="A189" s="723"/>
      <c r="B189" s="723"/>
      <c r="K189" s="52"/>
      <c r="L189" s="135"/>
      <c r="N189" s="131"/>
      <c r="O189" s="131"/>
      <c r="P189" s="55"/>
      <c r="Q189" s="135"/>
      <c r="R189" s="135"/>
      <c r="U189" s="135"/>
      <c r="V189" s="146"/>
      <c r="W189" s="146"/>
      <c r="X189" s="338"/>
      <c r="Y189" s="338"/>
      <c r="Z189" s="338"/>
      <c r="AA189" s="338"/>
      <c r="AB189" s="338"/>
      <c r="AC189" s="338"/>
      <c r="AF189" s="138"/>
      <c r="AG189" s="138"/>
      <c r="AH189" s="138"/>
      <c r="AI189" s="138"/>
      <c r="AJ189" s="138"/>
      <c r="AM189" s="258"/>
      <c r="AN189" s="258"/>
      <c r="AO189" s="258"/>
      <c r="AP189" s="258"/>
      <c r="AR189" s="137"/>
      <c r="AT189" s="137"/>
      <c r="AV189" s="394"/>
      <c r="AW189" s="137"/>
      <c r="AX189" s="137"/>
      <c r="AY189" s="137"/>
      <c r="AZ189" s="137"/>
      <c r="BA189" s="264"/>
      <c r="BB189" s="258"/>
      <c r="BC189" s="258"/>
      <c r="BD189" s="137"/>
      <c r="BE189" s="137"/>
      <c r="BF189" s="137"/>
      <c r="BG189" s="137"/>
      <c r="BH189" s="137"/>
      <c r="BI189" s="137"/>
      <c r="BJ189" s="137"/>
      <c r="BK189" s="137"/>
      <c r="BL189" s="137"/>
      <c r="BM189" s="137"/>
      <c r="BN189" s="137"/>
      <c r="BO189" s="137"/>
      <c r="BP189" s="137"/>
      <c r="BQ189" s="137"/>
      <c r="BR189" s="137"/>
      <c r="BS189" s="137"/>
      <c r="BV189" s="262"/>
      <c r="BW189" s="136"/>
      <c r="BX189" s="137"/>
      <c r="BY189" s="137"/>
      <c r="BZ189" s="137"/>
      <c r="CA189" s="137"/>
      <c r="CB189" s="137"/>
      <c r="CC189" s="258"/>
      <c r="CD189" s="258"/>
      <c r="CE189" s="258"/>
      <c r="CF189" s="258"/>
      <c r="CG189" s="258"/>
      <c r="CH189" s="258"/>
      <c r="CI189" s="258"/>
      <c r="CJ189" s="258"/>
      <c r="CK189" s="258"/>
      <c r="CL189" s="258"/>
      <c r="CM189" s="258"/>
    </row>
    <row r="190" spans="1:91" x14ac:dyDescent="0.25">
      <c r="A190" s="723"/>
      <c r="B190" s="723"/>
      <c r="K190" s="52"/>
      <c r="L190" s="135"/>
      <c r="N190" s="131"/>
      <c r="O190" s="131"/>
      <c r="P190" s="55"/>
      <c r="Q190" s="135"/>
      <c r="R190" s="135"/>
      <c r="U190" s="135"/>
      <c r="V190" s="146"/>
      <c r="W190" s="146"/>
      <c r="X190" s="338"/>
      <c r="Y190" s="338"/>
      <c r="Z190" s="338"/>
      <c r="AA190" s="338"/>
      <c r="AB190" s="338"/>
      <c r="AC190" s="338"/>
      <c r="AF190" s="138"/>
      <c r="AG190" s="138"/>
      <c r="AH190" s="138"/>
      <c r="AI190" s="138"/>
      <c r="AJ190" s="138"/>
      <c r="AM190" s="258"/>
      <c r="AN190" s="258"/>
      <c r="AO190" s="258"/>
      <c r="AP190" s="258"/>
      <c r="AR190" s="137"/>
      <c r="AT190" s="137"/>
      <c r="AV190" s="394"/>
      <c r="AW190" s="137"/>
      <c r="AX190" s="137"/>
      <c r="AY190" s="137"/>
      <c r="AZ190" s="137"/>
      <c r="BA190" s="264"/>
      <c r="BB190" s="258"/>
      <c r="BC190" s="258"/>
      <c r="BD190" s="137"/>
      <c r="BE190" s="137"/>
      <c r="BF190" s="137"/>
      <c r="BG190" s="137"/>
      <c r="BH190" s="137"/>
      <c r="BI190" s="137"/>
      <c r="BJ190" s="137"/>
      <c r="BK190" s="137"/>
      <c r="BL190" s="137"/>
      <c r="BM190" s="137"/>
      <c r="BN190" s="137"/>
      <c r="BO190" s="137"/>
      <c r="BP190" s="137"/>
      <c r="BQ190" s="137"/>
      <c r="BR190" s="137"/>
      <c r="BS190" s="137"/>
      <c r="BV190" s="262"/>
      <c r="BW190" s="136"/>
      <c r="BX190" s="137"/>
      <c r="BY190" s="137"/>
      <c r="BZ190" s="137"/>
      <c r="CA190" s="137"/>
      <c r="CB190" s="137"/>
      <c r="CC190" s="258"/>
      <c r="CD190" s="258"/>
      <c r="CE190" s="258"/>
      <c r="CF190" s="258"/>
      <c r="CG190" s="258"/>
      <c r="CH190" s="258"/>
      <c r="CI190" s="258"/>
      <c r="CJ190" s="258"/>
      <c r="CK190" s="258"/>
      <c r="CL190" s="258"/>
      <c r="CM190" s="258"/>
    </row>
    <row r="191" spans="1:91" x14ac:dyDescent="0.25">
      <c r="A191" s="723"/>
      <c r="B191" s="723"/>
      <c r="K191" s="52"/>
      <c r="L191" s="135"/>
      <c r="N191" s="131"/>
      <c r="O191" s="131"/>
      <c r="P191" s="55"/>
      <c r="Q191" s="135"/>
      <c r="R191" s="135"/>
      <c r="U191" s="135"/>
      <c r="V191" s="146"/>
      <c r="W191" s="146"/>
      <c r="X191" s="338"/>
      <c r="Y191" s="338"/>
      <c r="Z191" s="338"/>
      <c r="AA191" s="338"/>
      <c r="AB191" s="338"/>
      <c r="AC191" s="338"/>
      <c r="AF191" s="138"/>
      <c r="AG191" s="138"/>
      <c r="AH191" s="138"/>
      <c r="AI191" s="138"/>
      <c r="AJ191" s="138"/>
      <c r="AM191" s="258"/>
      <c r="AN191" s="258"/>
      <c r="AO191" s="258"/>
      <c r="AP191" s="258"/>
      <c r="AR191" s="137"/>
      <c r="AT191" s="137"/>
      <c r="AV191" s="394"/>
      <c r="AW191" s="137"/>
      <c r="AX191" s="137"/>
      <c r="AY191" s="137"/>
      <c r="AZ191" s="137"/>
      <c r="BA191" s="264"/>
      <c r="BB191" s="258"/>
      <c r="BC191" s="258"/>
      <c r="BD191" s="137"/>
      <c r="BE191" s="137"/>
      <c r="BF191" s="137"/>
      <c r="BG191" s="137"/>
      <c r="BH191" s="137"/>
      <c r="BI191" s="137"/>
      <c r="BJ191" s="137"/>
      <c r="BK191" s="137"/>
      <c r="BL191" s="137"/>
      <c r="BM191" s="137"/>
      <c r="BN191" s="137"/>
      <c r="BO191" s="137"/>
      <c r="BP191" s="137"/>
      <c r="BQ191" s="137"/>
      <c r="BR191" s="137"/>
      <c r="BS191" s="137"/>
      <c r="BV191" s="262"/>
      <c r="BW191" s="136"/>
      <c r="BX191" s="137"/>
      <c r="BY191" s="137"/>
      <c r="BZ191" s="137"/>
      <c r="CA191" s="137"/>
      <c r="CB191" s="137"/>
      <c r="CC191" s="258"/>
      <c r="CD191" s="258"/>
      <c r="CE191" s="258"/>
      <c r="CF191" s="258"/>
      <c r="CG191" s="258"/>
      <c r="CH191" s="258"/>
      <c r="CI191" s="258"/>
      <c r="CJ191" s="258"/>
      <c r="CK191" s="258"/>
      <c r="CL191" s="258"/>
      <c r="CM191" s="258"/>
    </row>
    <row r="192" spans="1:91" x14ac:dyDescent="0.25">
      <c r="A192" s="723"/>
      <c r="B192" s="723"/>
      <c r="K192" s="52"/>
      <c r="L192" s="135"/>
      <c r="N192" s="131"/>
      <c r="O192" s="131"/>
      <c r="P192" s="55"/>
      <c r="Q192" s="135"/>
      <c r="R192" s="135"/>
      <c r="U192" s="135"/>
      <c r="V192" s="146"/>
      <c r="W192" s="146"/>
      <c r="X192" s="338"/>
      <c r="Y192" s="338"/>
      <c r="Z192" s="338"/>
      <c r="AA192" s="338"/>
      <c r="AB192" s="338"/>
      <c r="AC192" s="338"/>
      <c r="AF192" s="138"/>
      <c r="AG192" s="138"/>
      <c r="AH192" s="138"/>
      <c r="AI192" s="138"/>
      <c r="AJ192" s="138"/>
      <c r="AM192" s="258"/>
      <c r="AN192" s="258"/>
      <c r="AO192" s="258"/>
      <c r="AP192" s="258"/>
      <c r="AR192" s="137"/>
      <c r="AT192" s="137"/>
      <c r="AV192" s="394"/>
      <c r="AW192" s="137"/>
      <c r="AX192" s="137"/>
      <c r="AY192" s="137"/>
      <c r="AZ192" s="137"/>
      <c r="BA192" s="264"/>
      <c r="BB192" s="258"/>
      <c r="BC192" s="258"/>
      <c r="BD192" s="137"/>
      <c r="BE192" s="137"/>
      <c r="BF192" s="137"/>
      <c r="BG192" s="137"/>
      <c r="BH192" s="137"/>
      <c r="BI192" s="137"/>
      <c r="BJ192" s="137"/>
      <c r="BK192" s="137"/>
      <c r="BL192" s="137"/>
      <c r="BM192" s="137"/>
      <c r="BN192" s="137"/>
      <c r="BO192" s="137"/>
      <c r="BP192" s="137"/>
      <c r="BQ192" s="137"/>
      <c r="BR192" s="137"/>
      <c r="BS192" s="137"/>
      <c r="BV192" s="262"/>
      <c r="BW192" s="136"/>
      <c r="BX192" s="137"/>
      <c r="BY192" s="137"/>
      <c r="BZ192" s="137"/>
      <c r="CA192" s="137"/>
      <c r="CB192" s="137"/>
      <c r="CC192" s="258"/>
      <c r="CD192" s="258"/>
      <c r="CE192" s="258"/>
      <c r="CF192" s="258"/>
      <c r="CG192" s="258"/>
      <c r="CH192" s="258"/>
      <c r="CI192" s="258"/>
      <c r="CJ192" s="258"/>
      <c r="CK192" s="258"/>
      <c r="CL192" s="258"/>
      <c r="CM192" s="258"/>
    </row>
    <row r="193" spans="1:91" x14ac:dyDescent="0.25">
      <c r="A193" s="723"/>
      <c r="B193" s="723"/>
      <c r="K193" s="52"/>
      <c r="L193" s="135"/>
      <c r="N193" s="131"/>
      <c r="O193" s="131"/>
      <c r="P193" s="55"/>
      <c r="Q193" s="135"/>
      <c r="R193" s="135"/>
      <c r="U193" s="135"/>
      <c r="V193" s="146"/>
      <c r="W193" s="146"/>
      <c r="X193" s="338"/>
      <c r="Y193" s="338"/>
      <c r="Z193" s="338"/>
      <c r="AA193" s="338"/>
      <c r="AB193" s="338"/>
      <c r="AC193" s="338"/>
      <c r="AF193" s="138"/>
      <c r="AG193" s="138"/>
      <c r="AH193" s="138"/>
      <c r="AI193" s="138"/>
      <c r="AJ193" s="138"/>
      <c r="AM193" s="258"/>
      <c r="AN193" s="258"/>
      <c r="AO193" s="258"/>
      <c r="AP193" s="258"/>
      <c r="AR193" s="137"/>
      <c r="AT193" s="137"/>
      <c r="AV193" s="394"/>
      <c r="AW193" s="137"/>
      <c r="AX193" s="137"/>
      <c r="AY193" s="137"/>
      <c r="AZ193" s="137"/>
      <c r="BA193" s="264"/>
      <c r="BB193" s="258"/>
      <c r="BC193" s="258"/>
      <c r="BD193" s="137"/>
      <c r="BE193" s="137"/>
      <c r="BF193" s="137"/>
      <c r="BG193" s="137"/>
      <c r="BH193" s="137"/>
      <c r="BI193" s="137"/>
      <c r="BJ193" s="137"/>
      <c r="BK193" s="137"/>
      <c r="BL193" s="137"/>
      <c r="BM193" s="137"/>
      <c r="BN193" s="137"/>
      <c r="BO193" s="137"/>
      <c r="BP193" s="137"/>
      <c r="BQ193" s="137"/>
      <c r="BR193" s="137"/>
      <c r="BS193" s="137"/>
      <c r="BV193" s="262"/>
      <c r="BW193" s="136"/>
      <c r="BX193" s="137"/>
      <c r="BY193" s="137"/>
      <c r="BZ193" s="137"/>
      <c r="CA193" s="137"/>
      <c r="CB193" s="137"/>
      <c r="CC193" s="258"/>
      <c r="CD193" s="258"/>
      <c r="CE193" s="258"/>
      <c r="CF193" s="258"/>
      <c r="CG193" s="258"/>
      <c r="CH193" s="258"/>
      <c r="CI193" s="258"/>
      <c r="CJ193" s="258"/>
      <c r="CK193" s="258"/>
      <c r="CL193" s="258"/>
      <c r="CM193" s="258"/>
    </row>
    <row r="194" spans="1:91" x14ac:dyDescent="0.25">
      <c r="A194" s="723"/>
      <c r="B194" s="723"/>
      <c r="K194" s="52"/>
      <c r="L194" s="135"/>
      <c r="N194" s="131"/>
      <c r="O194" s="131"/>
      <c r="P194" s="55"/>
      <c r="Q194" s="135"/>
      <c r="R194" s="135"/>
      <c r="U194" s="135"/>
      <c r="V194" s="146"/>
      <c r="W194" s="146"/>
      <c r="X194" s="338"/>
      <c r="Y194" s="338"/>
      <c r="Z194" s="338"/>
      <c r="AA194" s="338"/>
      <c r="AB194" s="338"/>
      <c r="AC194" s="338"/>
      <c r="AF194" s="138"/>
      <c r="AG194" s="138"/>
      <c r="AH194" s="138"/>
      <c r="AI194" s="138"/>
      <c r="AJ194" s="138"/>
      <c r="AM194" s="258"/>
      <c r="AN194" s="258"/>
      <c r="AO194" s="258"/>
      <c r="AP194" s="258"/>
      <c r="AR194" s="137"/>
      <c r="AT194" s="137"/>
      <c r="AV194" s="394"/>
      <c r="AW194" s="137"/>
      <c r="AX194" s="137"/>
      <c r="AY194" s="137"/>
      <c r="AZ194" s="137"/>
      <c r="BA194" s="264"/>
      <c r="BB194" s="258"/>
      <c r="BC194" s="258"/>
      <c r="BD194" s="137"/>
      <c r="BE194" s="137"/>
      <c r="BF194" s="137"/>
      <c r="BG194" s="137"/>
      <c r="BH194" s="137"/>
      <c r="BI194" s="137"/>
      <c r="BJ194" s="137"/>
      <c r="BK194" s="137"/>
      <c r="BL194" s="137"/>
      <c r="BM194" s="137"/>
      <c r="BN194" s="137"/>
      <c r="BO194" s="137"/>
      <c r="BP194" s="137"/>
      <c r="BQ194" s="137"/>
      <c r="BR194" s="137"/>
      <c r="BS194" s="137"/>
      <c r="BV194" s="262"/>
      <c r="BW194" s="136"/>
      <c r="BX194" s="137"/>
      <c r="BY194" s="137"/>
      <c r="BZ194" s="137"/>
      <c r="CA194" s="137"/>
      <c r="CB194" s="137"/>
      <c r="CC194" s="258"/>
      <c r="CD194" s="258"/>
      <c r="CE194" s="258"/>
      <c r="CF194" s="258"/>
      <c r="CG194" s="258"/>
      <c r="CH194" s="258"/>
      <c r="CI194" s="258"/>
      <c r="CJ194" s="258"/>
      <c r="CK194" s="258"/>
      <c r="CL194" s="258"/>
      <c r="CM194" s="258"/>
    </row>
    <row r="195" spans="1:91" x14ac:dyDescent="0.25">
      <c r="A195" s="723"/>
      <c r="B195" s="723"/>
      <c r="K195" s="52"/>
      <c r="L195" s="135"/>
      <c r="N195" s="131"/>
      <c r="O195" s="131"/>
      <c r="P195" s="55"/>
      <c r="Q195" s="135"/>
      <c r="R195" s="135"/>
      <c r="U195" s="135"/>
      <c r="V195" s="146"/>
      <c r="W195" s="146"/>
      <c r="X195" s="338"/>
      <c r="Y195" s="338"/>
      <c r="Z195" s="338"/>
      <c r="AA195" s="338"/>
      <c r="AB195" s="338"/>
      <c r="AC195" s="338"/>
      <c r="AF195" s="138"/>
      <c r="AG195" s="138"/>
      <c r="AH195" s="138"/>
      <c r="AI195" s="138"/>
      <c r="AJ195" s="138"/>
      <c r="AM195" s="258"/>
      <c r="AN195" s="258"/>
      <c r="AO195" s="258"/>
      <c r="AP195" s="258"/>
      <c r="AR195" s="137"/>
      <c r="AT195" s="137"/>
      <c r="AV195" s="394"/>
      <c r="AW195" s="137"/>
      <c r="AX195" s="137"/>
      <c r="AY195" s="137"/>
      <c r="AZ195" s="137"/>
      <c r="BA195" s="264"/>
      <c r="BB195" s="258"/>
      <c r="BC195" s="258"/>
      <c r="BD195" s="137"/>
      <c r="BE195" s="137"/>
      <c r="BF195" s="137"/>
      <c r="BG195" s="137"/>
      <c r="BH195" s="137"/>
      <c r="BI195" s="137"/>
      <c r="BJ195" s="137"/>
      <c r="BK195" s="137"/>
      <c r="BL195" s="137"/>
      <c r="BM195" s="137"/>
      <c r="BN195" s="137"/>
      <c r="BO195" s="137"/>
      <c r="BP195" s="137"/>
      <c r="BQ195" s="137"/>
      <c r="BR195" s="137"/>
      <c r="BS195" s="137"/>
      <c r="BV195" s="262"/>
      <c r="BW195" s="136"/>
      <c r="BX195" s="137"/>
      <c r="BY195" s="137"/>
      <c r="BZ195" s="137"/>
      <c r="CA195" s="137"/>
      <c r="CB195" s="137"/>
      <c r="CC195" s="258"/>
      <c r="CD195" s="258"/>
      <c r="CE195" s="258"/>
      <c r="CF195" s="258"/>
      <c r="CG195" s="258"/>
      <c r="CH195" s="258"/>
      <c r="CI195" s="258"/>
      <c r="CJ195" s="258"/>
      <c r="CK195" s="258"/>
      <c r="CL195" s="258"/>
      <c r="CM195" s="258"/>
    </row>
    <row r="196" spans="1:91" x14ac:dyDescent="0.25">
      <c r="A196" s="723"/>
      <c r="B196" s="723"/>
      <c r="K196" s="52"/>
      <c r="L196" s="135"/>
      <c r="N196" s="131"/>
      <c r="O196" s="131"/>
      <c r="P196" s="55"/>
      <c r="Q196" s="135"/>
      <c r="R196" s="135"/>
      <c r="U196" s="135"/>
      <c r="V196" s="146"/>
      <c r="W196" s="146"/>
      <c r="X196" s="338"/>
      <c r="Y196" s="338"/>
      <c r="Z196" s="338"/>
      <c r="AA196" s="338"/>
      <c r="AB196" s="338"/>
      <c r="AC196" s="338"/>
      <c r="AF196" s="138"/>
      <c r="AG196" s="138"/>
      <c r="AH196" s="138"/>
      <c r="AI196" s="138"/>
      <c r="AJ196" s="138"/>
      <c r="AM196" s="258"/>
      <c r="AN196" s="258"/>
      <c r="AO196" s="258"/>
      <c r="AP196" s="258"/>
      <c r="AR196" s="137"/>
      <c r="AT196" s="137"/>
      <c r="AV196" s="394"/>
      <c r="AW196" s="137"/>
      <c r="AX196" s="137"/>
      <c r="AY196" s="137"/>
      <c r="AZ196" s="137"/>
      <c r="BA196" s="264"/>
      <c r="BB196" s="258"/>
      <c r="BC196" s="258"/>
      <c r="BD196" s="137"/>
      <c r="BE196" s="137"/>
      <c r="BF196" s="137"/>
      <c r="BG196" s="137"/>
      <c r="BH196" s="137"/>
      <c r="BI196" s="137"/>
      <c r="BJ196" s="137"/>
      <c r="BK196" s="137"/>
      <c r="BL196" s="137"/>
      <c r="BM196" s="137"/>
      <c r="BN196" s="137"/>
      <c r="BO196" s="137"/>
      <c r="BP196" s="137"/>
      <c r="BQ196" s="137"/>
      <c r="BR196" s="137"/>
      <c r="BS196" s="137"/>
      <c r="BV196" s="262"/>
      <c r="BW196" s="136"/>
      <c r="BX196" s="137"/>
      <c r="BY196" s="137"/>
      <c r="BZ196" s="137"/>
      <c r="CA196" s="137"/>
      <c r="CB196" s="137"/>
      <c r="CC196" s="258"/>
      <c r="CD196" s="258"/>
      <c r="CE196" s="258"/>
      <c r="CF196" s="258"/>
      <c r="CG196" s="258"/>
      <c r="CH196" s="258"/>
      <c r="CI196" s="258"/>
      <c r="CJ196" s="258"/>
      <c r="CK196" s="258"/>
      <c r="CL196" s="258"/>
      <c r="CM196" s="258"/>
    </row>
    <row r="197" spans="1:91" x14ac:dyDescent="0.25">
      <c r="A197" s="723"/>
      <c r="B197" s="723"/>
      <c r="K197" s="52"/>
      <c r="L197" s="135"/>
      <c r="N197" s="131"/>
      <c r="O197" s="131"/>
      <c r="P197" s="55"/>
      <c r="Q197" s="135"/>
      <c r="R197" s="135"/>
      <c r="U197" s="135"/>
      <c r="V197" s="146"/>
      <c r="W197" s="146"/>
      <c r="X197" s="338"/>
      <c r="Y197" s="338"/>
      <c r="Z197" s="338"/>
      <c r="AA197" s="338"/>
      <c r="AB197" s="338"/>
      <c r="AC197" s="338"/>
      <c r="AF197" s="138"/>
      <c r="AG197" s="138"/>
      <c r="AH197" s="138"/>
      <c r="AI197" s="138"/>
      <c r="AJ197" s="138"/>
      <c r="AM197" s="258"/>
      <c r="AN197" s="258"/>
      <c r="AO197" s="258"/>
      <c r="AP197" s="258"/>
      <c r="AR197" s="137"/>
      <c r="AT197" s="137"/>
      <c r="AV197" s="394"/>
      <c r="AW197" s="137"/>
      <c r="AX197" s="137"/>
      <c r="AY197" s="137"/>
      <c r="AZ197" s="137"/>
      <c r="BA197" s="264"/>
      <c r="BB197" s="258"/>
      <c r="BC197" s="258"/>
      <c r="BD197" s="137"/>
      <c r="BE197" s="137"/>
      <c r="BF197" s="137"/>
      <c r="BG197" s="137"/>
      <c r="BH197" s="137"/>
      <c r="BI197" s="137"/>
      <c r="BJ197" s="137"/>
      <c r="BK197" s="137"/>
      <c r="BL197" s="137"/>
      <c r="BM197" s="137"/>
      <c r="BN197" s="137"/>
      <c r="BO197" s="137"/>
      <c r="BP197" s="137"/>
      <c r="BQ197" s="137"/>
      <c r="BR197" s="137"/>
      <c r="BS197" s="137"/>
      <c r="BV197" s="262"/>
      <c r="BW197" s="136"/>
      <c r="BX197" s="137"/>
      <c r="BY197" s="137"/>
      <c r="BZ197" s="137"/>
      <c r="CA197" s="137"/>
      <c r="CB197" s="137"/>
      <c r="CC197" s="258"/>
      <c r="CD197" s="258"/>
      <c r="CE197" s="258"/>
      <c r="CF197" s="258"/>
      <c r="CG197" s="258"/>
      <c r="CH197" s="258"/>
      <c r="CI197" s="258"/>
      <c r="CJ197" s="258"/>
      <c r="CK197" s="258"/>
      <c r="CL197" s="258"/>
      <c r="CM197" s="258"/>
    </row>
    <row r="198" spans="1:91" x14ac:dyDescent="0.25">
      <c r="A198" s="723"/>
      <c r="B198" s="723"/>
      <c r="K198" s="52"/>
      <c r="L198" s="135"/>
      <c r="N198" s="131"/>
      <c r="O198" s="131"/>
      <c r="P198" s="55"/>
      <c r="Q198" s="135"/>
      <c r="R198" s="135"/>
      <c r="U198" s="135"/>
      <c r="V198" s="146"/>
      <c r="W198" s="146"/>
      <c r="X198" s="338"/>
      <c r="Y198" s="338"/>
      <c r="Z198" s="338"/>
      <c r="AA198" s="338"/>
      <c r="AB198" s="338"/>
      <c r="AC198" s="338"/>
      <c r="AF198" s="138"/>
      <c r="AG198" s="138"/>
      <c r="AH198" s="138"/>
      <c r="AI198" s="138"/>
      <c r="AJ198" s="138"/>
      <c r="AM198" s="258"/>
      <c r="AN198" s="258"/>
      <c r="AO198" s="258"/>
      <c r="AP198" s="258"/>
      <c r="AR198" s="137"/>
      <c r="AT198" s="137"/>
      <c r="AV198" s="394"/>
      <c r="AW198" s="137"/>
      <c r="AX198" s="137"/>
      <c r="AY198" s="137"/>
      <c r="AZ198" s="137"/>
      <c r="BA198" s="264"/>
      <c r="BB198" s="258"/>
      <c r="BC198" s="258"/>
      <c r="BD198" s="137"/>
      <c r="BE198" s="137"/>
      <c r="BF198" s="137"/>
      <c r="BG198" s="137"/>
      <c r="BH198" s="137"/>
      <c r="BI198" s="137"/>
      <c r="BJ198" s="137"/>
      <c r="BK198" s="137"/>
      <c r="BL198" s="137"/>
      <c r="BM198" s="137"/>
      <c r="BN198" s="137"/>
      <c r="BO198" s="137"/>
      <c r="BP198" s="137"/>
      <c r="BQ198" s="137"/>
      <c r="BR198" s="137"/>
      <c r="BS198" s="137"/>
      <c r="BV198" s="262"/>
      <c r="BW198" s="136"/>
      <c r="BX198" s="137"/>
      <c r="BY198" s="137"/>
      <c r="BZ198" s="137"/>
      <c r="CA198" s="137"/>
      <c r="CB198" s="137"/>
      <c r="CC198" s="258"/>
      <c r="CD198" s="258"/>
      <c r="CE198" s="258"/>
      <c r="CF198" s="258"/>
      <c r="CG198" s="258"/>
      <c r="CH198" s="258"/>
      <c r="CI198" s="258"/>
      <c r="CJ198" s="258"/>
      <c r="CK198" s="258"/>
      <c r="CL198" s="258"/>
      <c r="CM198" s="258"/>
    </row>
    <row r="199" spans="1:91" x14ac:dyDescent="0.25">
      <c r="A199" s="723"/>
      <c r="B199" s="723"/>
      <c r="K199" s="52"/>
      <c r="L199" s="135"/>
      <c r="N199" s="131"/>
      <c r="O199" s="131"/>
      <c r="P199" s="55"/>
      <c r="Q199" s="135"/>
      <c r="R199" s="135"/>
      <c r="U199" s="135"/>
      <c r="V199" s="146"/>
      <c r="W199" s="146"/>
      <c r="X199" s="338"/>
      <c r="Y199" s="338"/>
      <c r="Z199" s="338"/>
      <c r="AA199" s="338"/>
      <c r="AB199" s="338"/>
      <c r="AC199" s="338"/>
      <c r="AF199" s="138"/>
      <c r="AG199" s="138"/>
      <c r="AH199" s="138"/>
      <c r="AI199" s="138"/>
      <c r="AJ199" s="138"/>
      <c r="AM199" s="258"/>
      <c r="AN199" s="258"/>
      <c r="AO199" s="258"/>
      <c r="AP199" s="258"/>
      <c r="AR199" s="137"/>
      <c r="AT199" s="137"/>
      <c r="AV199" s="394"/>
      <c r="AW199" s="137"/>
      <c r="AX199" s="137"/>
      <c r="AY199" s="137"/>
      <c r="AZ199" s="137"/>
      <c r="BA199" s="264"/>
      <c r="BB199" s="258"/>
      <c r="BC199" s="258"/>
      <c r="BD199" s="137"/>
      <c r="BE199" s="137"/>
      <c r="BF199" s="137"/>
      <c r="BG199" s="137"/>
      <c r="BH199" s="137"/>
      <c r="BI199" s="137"/>
      <c r="BJ199" s="137"/>
      <c r="BK199" s="137"/>
      <c r="BL199" s="137"/>
      <c r="BM199" s="137"/>
      <c r="BN199" s="137"/>
      <c r="BO199" s="137"/>
      <c r="BP199" s="137"/>
      <c r="BQ199" s="137"/>
      <c r="BR199" s="137"/>
      <c r="BS199" s="137"/>
      <c r="BV199" s="262"/>
      <c r="BW199" s="136"/>
      <c r="BX199" s="137"/>
      <c r="BY199" s="137"/>
      <c r="BZ199" s="137"/>
      <c r="CA199" s="137"/>
      <c r="CB199" s="137"/>
      <c r="CC199" s="258"/>
      <c r="CD199" s="258"/>
      <c r="CE199" s="258"/>
      <c r="CF199" s="258"/>
      <c r="CG199" s="258"/>
      <c r="CH199" s="258"/>
      <c r="CI199" s="258"/>
      <c r="CJ199" s="258"/>
      <c r="CK199" s="258"/>
      <c r="CL199" s="258"/>
      <c r="CM199" s="258"/>
    </row>
    <row r="200" spans="1:91" x14ac:dyDescent="0.25">
      <c r="A200" s="723"/>
      <c r="B200" s="723"/>
      <c r="K200" s="52"/>
      <c r="L200" s="135"/>
      <c r="N200" s="131"/>
      <c r="O200" s="131"/>
      <c r="P200" s="55"/>
      <c r="Q200" s="135"/>
      <c r="R200" s="135"/>
      <c r="U200" s="135"/>
      <c r="V200" s="146"/>
      <c r="W200" s="146"/>
      <c r="X200" s="338"/>
      <c r="Y200" s="338"/>
      <c r="Z200" s="338"/>
      <c r="AA200" s="338"/>
      <c r="AB200" s="338"/>
      <c r="AC200" s="338"/>
      <c r="AF200" s="138"/>
      <c r="AG200" s="138"/>
      <c r="AH200" s="138"/>
      <c r="AI200" s="138"/>
      <c r="AJ200" s="138"/>
      <c r="AM200" s="258"/>
      <c r="AN200" s="258"/>
      <c r="AO200" s="258"/>
      <c r="AP200" s="258"/>
      <c r="AR200" s="137"/>
      <c r="AT200" s="137"/>
      <c r="AV200" s="394"/>
      <c r="AW200" s="137"/>
      <c r="AX200" s="137"/>
      <c r="AY200" s="137"/>
      <c r="AZ200" s="137"/>
      <c r="BA200" s="264"/>
      <c r="BB200" s="258"/>
      <c r="BC200" s="258"/>
      <c r="BD200" s="137"/>
      <c r="BE200" s="137"/>
      <c r="BF200" s="137"/>
      <c r="BG200" s="137"/>
      <c r="BH200" s="137"/>
      <c r="BI200" s="137"/>
      <c r="BJ200" s="137"/>
      <c r="BK200" s="137"/>
      <c r="BL200" s="137"/>
      <c r="BM200" s="137"/>
      <c r="BN200" s="137"/>
      <c r="BO200" s="137"/>
      <c r="BP200" s="137"/>
      <c r="BQ200" s="137"/>
      <c r="BR200" s="137"/>
      <c r="BS200" s="137"/>
      <c r="BV200" s="262"/>
      <c r="BW200" s="136"/>
      <c r="BX200" s="137"/>
      <c r="BY200" s="137"/>
      <c r="BZ200" s="137"/>
      <c r="CA200" s="137"/>
      <c r="CB200" s="137"/>
      <c r="CC200" s="258"/>
      <c r="CD200" s="258"/>
      <c r="CE200" s="258"/>
      <c r="CF200" s="258"/>
      <c r="CG200" s="258"/>
      <c r="CH200" s="258"/>
      <c r="CI200" s="258"/>
      <c r="CJ200" s="258"/>
      <c r="CK200" s="258"/>
      <c r="CL200" s="258"/>
      <c r="CM200" s="258"/>
    </row>
    <row r="201" spans="1:91" x14ac:dyDescent="0.25">
      <c r="A201" s="723"/>
      <c r="B201" s="723"/>
      <c r="K201" s="52"/>
      <c r="L201" s="135"/>
      <c r="N201" s="131"/>
      <c r="O201" s="131"/>
      <c r="P201" s="55"/>
      <c r="Q201" s="135"/>
      <c r="R201" s="135"/>
      <c r="U201" s="135"/>
      <c r="V201" s="146"/>
      <c r="W201" s="146"/>
      <c r="X201" s="338"/>
      <c r="Y201" s="338"/>
      <c r="Z201" s="338"/>
      <c r="AA201" s="338"/>
      <c r="AB201" s="338"/>
      <c r="AC201" s="338"/>
      <c r="AF201" s="138"/>
      <c r="AG201" s="138"/>
      <c r="AH201" s="138"/>
      <c r="AI201" s="138"/>
      <c r="AJ201" s="138"/>
      <c r="AM201" s="258"/>
      <c r="AN201" s="258"/>
      <c r="AO201" s="258"/>
      <c r="AP201" s="258"/>
      <c r="AR201" s="137"/>
      <c r="AT201" s="137"/>
      <c r="AV201" s="394"/>
      <c r="AW201" s="137"/>
      <c r="AX201" s="137"/>
      <c r="AY201" s="137"/>
      <c r="AZ201" s="137"/>
      <c r="BA201" s="264"/>
      <c r="BB201" s="258"/>
      <c r="BC201" s="258"/>
      <c r="BD201" s="137"/>
      <c r="BE201" s="137"/>
      <c r="BF201" s="137"/>
      <c r="BG201" s="137"/>
      <c r="BH201" s="137"/>
      <c r="BI201" s="137"/>
      <c r="BJ201" s="137"/>
      <c r="BK201" s="137"/>
      <c r="BL201" s="137"/>
      <c r="BM201" s="137"/>
      <c r="BN201" s="137"/>
      <c r="BO201" s="137"/>
      <c r="BP201" s="137"/>
      <c r="BQ201" s="137"/>
      <c r="BR201" s="137"/>
      <c r="BS201" s="137"/>
      <c r="BV201" s="262"/>
      <c r="BW201" s="136"/>
      <c r="BX201" s="137"/>
      <c r="BY201" s="137"/>
      <c r="BZ201" s="137"/>
      <c r="CA201" s="137"/>
      <c r="CB201" s="137"/>
      <c r="CC201" s="258"/>
      <c r="CD201" s="258"/>
      <c r="CE201" s="258"/>
      <c r="CF201" s="258"/>
      <c r="CG201" s="258"/>
      <c r="CH201" s="258"/>
      <c r="CI201" s="258"/>
      <c r="CJ201" s="258"/>
      <c r="CK201" s="258"/>
      <c r="CL201" s="258"/>
      <c r="CM201" s="258"/>
    </row>
    <row r="202" spans="1:91" x14ac:dyDescent="0.25">
      <c r="A202" s="723"/>
      <c r="B202" s="723"/>
      <c r="K202" s="52"/>
      <c r="L202" s="135"/>
      <c r="N202" s="131"/>
      <c r="O202" s="131"/>
      <c r="P202" s="55"/>
      <c r="Q202" s="135"/>
      <c r="R202" s="135"/>
      <c r="U202" s="135"/>
      <c r="V202" s="146"/>
      <c r="W202" s="146"/>
      <c r="X202" s="338"/>
      <c r="Y202" s="338"/>
      <c r="Z202" s="338"/>
      <c r="AA202" s="338"/>
      <c r="AB202" s="338"/>
      <c r="AC202" s="338"/>
      <c r="AF202" s="138"/>
      <c r="AG202" s="138"/>
      <c r="AH202" s="138"/>
      <c r="AI202" s="138"/>
      <c r="AJ202" s="138"/>
      <c r="AM202" s="258"/>
      <c r="AN202" s="258"/>
      <c r="AO202" s="258"/>
      <c r="AP202" s="258"/>
      <c r="AR202" s="137"/>
      <c r="AT202" s="137"/>
      <c r="AV202" s="394"/>
      <c r="AW202" s="137"/>
      <c r="AX202" s="137"/>
      <c r="AY202" s="137"/>
      <c r="AZ202" s="137"/>
      <c r="BA202" s="264"/>
      <c r="BB202" s="258"/>
      <c r="BC202" s="258"/>
      <c r="BD202" s="137"/>
      <c r="BE202" s="137"/>
      <c r="BF202" s="137"/>
      <c r="BG202" s="137"/>
      <c r="BH202" s="137"/>
      <c r="BI202" s="137"/>
      <c r="BJ202" s="137"/>
      <c r="BK202" s="137"/>
      <c r="BL202" s="137"/>
      <c r="BM202" s="137"/>
      <c r="BN202" s="137"/>
      <c r="BO202" s="137"/>
      <c r="BP202" s="137"/>
      <c r="BQ202" s="137"/>
      <c r="BR202" s="137"/>
      <c r="BS202" s="137"/>
      <c r="BV202" s="262"/>
      <c r="BW202" s="136"/>
      <c r="BX202" s="137"/>
      <c r="BY202" s="137"/>
      <c r="BZ202" s="137"/>
      <c r="CA202" s="137"/>
      <c r="CB202" s="137"/>
      <c r="CC202" s="258"/>
      <c r="CD202" s="258"/>
      <c r="CE202" s="258"/>
      <c r="CF202" s="258"/>
      <c r="CG202" s="258"/>
      <c r="CH202" s="258"/>
      <c r="CI202" s="258"/>
      <c r="CJ202" s="258"/>
      <c r="CK202" s="258"/>
      <c r="CL202" s="258"/>
      <c r="CM202" s="258"/>
    </row>
    <row r="203" spans="1:91" x14ac:dyDescent="0.25">
      <c r="A203" s="723"/>
      <c r="B203" s="723"/>
      <c r="K203" s="52"/>
      <c r="L203" s="135"/>
      <c r="N203" s="131"/>
      <c r="O203" s="131"/>
      <c r="P203" s="55"/>
      <c r="Q203" s="135"/>
      <c r="R203" s="135"/>
      <c r="U203" s="135"/>
      <c r="V203" s="146"/>
      <c r="W203" s="146"/>
      <c r="X203" s="338"/>
      <c r="Y203" s="338"/>
      <c r="Z203" s="338"/>
      <c r="AA203" s="338"/>
      <c r="AB203" s="338"/>
      <c r="AC203" s="338"/>
      <c r="AF203" s="138"/>
      <c r="AG203" s="138"/>
      <c r="AH203" s="138"/>
      <c r="AI203" s="138"/>
      <c r="AJ203" s="138"/>
      <c r="AM203" s="258"/>
      <c r="AN203" s="258"/>
      <c r="AO203" s="258"/>
      <c r="AP203" s="258"/>
      <c r="AR203" s="137"/>
      <c r="AT203" s="137"/>
      <c r="AV203" s="394"/>
      <c r="AW203" s="137"/>
      <c r="AX203" s="137"/>
      <c r="AY203" s="137"/>
      <c r="AZ203" s="137"/>
      <c r="BA203" s="264"/>
      <c r="BB203" s="258"/>
      <c r="BC203" s="258"/>
      <c r="BD203" s="137"/>
      <c r="BE203" s="137"/>
      <c r="BF203" s="137"/>
      <c r="BG203" s="137"/>
      <c r="BH203" s="137"/>
      <c r="BI203" s="137"/>
      <c r="BJ203" s="137"/>
      <c r="BK203" s="137"/>
      <c r="BL203" s="137"/>
      <c r="BM203" s="137"/>
      <c r="BN203" s="137"/>
      <c r="BO203" s="137"/>
      <c r="BP203" s="137"/>
      <c r="BQ203" s="137"/>
      <c r="BR203" s="137"/>
      <c r="BS203" s="137"/>
      <c r="BV203" s="262"/>
      <c r="BW203" s="136"/>
      <c r="BX203" s="137"/>
      <c r="BY203" s="137"/>
      <c r="BZ203" s="137"/>
      <c r="CA203" s="137"/>
      <c r="CB203" s="137"/>
      <c r="CC203" s="258"/>
      <c r="CD203" s="258"/>
      <c r="CE203" s="258"/>
      <c r="CF203" s="258"/>
      <c r="CG203" s="258"/>
      <c r="CH203" s="258"/>
      <c r="CI203" s="258"/>
      <c r="CJ203" s="258"/>
      <c r="CK203" s="258"/>
      <c r="CL203" s="258"/>
      <c r="CM203" s="258"/>
    </row>
    <row r="204" spans="1:91" x14ac:dyDescent="0.25">
      <c r="A204" s="723"/>
      <c r="B204" s="723"/>
      <c r="K204" s="52"/>
      <c r="L204" s="135"/>
      <c r="N204" s="131"/>
      <c r="O204" s="131"/>
      <c r="P204" s="55"/>
      <c r="Q204" s="135"/>
      <c r="R204" s="135"/>
      <c r="U204" s="135"/>
      <c r="V204" s="146"/>
      <c r="W204" s="146"/>
      <c r="X204" s="338"/>
      <c r="Y204" s="338"/>
      <c r="Z204" s="338"/>
      <c r="AA204" s="338"/>
      <c r="AB204" s="338"/>
      <c r="AC204" s="338"/>
      <c r="AF204" s="138"/>
      <c r="AG204" s="138"/>
      <c r="AH204" s="138"/>
      <c r="AI204" s="138"/>
      <c r="AJ204" s="138"/>
      <c r="AM204" s="258"/>
      <c r="AN204" s="258"/>
      <c r="AO204" s="258"/>
      <c r="AP204" s="258"/>
      <c r="AR204" s="137"/>
      <c r="AT204" s="137"/>
      <c r="AV204" s="394"/>
      <c r="AW204" s="137"/>
      <c r="AX204" s="137"/>
      <c r="AY204" s="137"/>
      <c r="AZ204" s="137"/>
      <c r="BA204" s="264"/>
      <c r="BB204" s="258"/>
      <c r="BC204" s="258"/>
      <c r="BD204" s="137"/>
      <c r="BE204" s="137"/>
      <c r="BF204" s="137"/>
      <c r="BG204" s="137"/>
      <c r="BH204" s="137"/>
      <c r="BI204" s="137"/>
      <c r="BJ204" s="137"/>
      <c r="BK204" s="137"/>
      <c r="BL204" s="137"/>
      <c r="BM204" s="137"/>
      <c r="BN204" s="137"/>
      <c r="BO204" s="137"/>
      <c r="BP204" s="137"/>
      <c r="BQ204" s="137"/>
      <c r="BR204" s="137"/>
      <c r="BS204" s="137"/>
      <c r="BV204" s="262"/>
      <c r="BW204" s="136"/>
      <c r="BX204" s="137"/>
      <c r="BY204" s="137"/>
      <c r="BZ204" s="137"/>
      <c r="CA204" s="137"/>
      <c r="CB204" s="137"/>
      <c r="CC204" s="258"/>
      <c r="CD204" s="258"/>
      <c r="CE204" s="258"/>
      <c r="CF204" s="258"/>
      <c r="CG204" s="258"/>
      <c r="CH204" s="258"/>
      <c r="CI204" s="258"/>
      <c r="CJ204" s="258"/>
      <c r="CK204" s="258"/>
      <c r="CL204" s="258"/>
      <c r="CM204" s="258"/>
    </row>
    <row r="205" spans="1:91" x14ac:dyDescent="0.25">
      <c r="A205" s="723"/>
      <c r="B205" s="723"/>
      <c r="K205" s="52"/>
      <c r="L205" s="135"/>
      <c r="N205" s="131"/>
      <c r="O205" s="131"/>
      <c r="P205" s="55"/>
      <c r="Q205" s="135"/>
      <c r="R205" s="135"/>
      <c r="U205" s="135"/>
      <c r="V205" s="146"/>
      <c r="W205" s="146"/>
      <c r="X205" s="338"/>
      <c r="Y205" s="338"/>
      <c r="Z205" s="338"/>
      <c r="AA205" s="338"/>
      <c r="AB205" s="338"/>
      <c r="AC205" s="338"/>
      <c r="AF205" s="138"/>
      <c r="AG205" s="138"/>
      <c r="AH205" s="138"/>
      <c r="AI205" s="138"/>
      <c r="AJ205" s="138"/>
      <c r="AM205" s="258"/>
      <c r="AN205" s="258"/>
      <c r="AO205" s="258"/>
      <c r="AP205" s="258"/>
      <c r="AR205" s="137"/>
      <c r="AT205" s="137"/>
      <c r="AV205" s="394"/>
      <c r="AW205" s="137"/>
      <c r="AX205" s="137"/>
      <c r="AY205" s="137"/>
      <c r="AZ205" s="137"/>
      <c r="BA205" s="264"/>
      <c r="BB205" s="258"/>
      <c r="BC205" s="258"/>
      <c r="BD205" s="137"/>
      <c r="BE205" s="137"/>
      <c r="BF205" s="137"/>
      <c r="BG205" s="137"/>
      <c r="BH205" s="137"/>
      <c r="BI205" s="137"/>
      <c r="BJ205" s="137"/>
      <c r="BK205" s="137"/>
      <c r="BL205" s="137"/>
      <c r="BM205" s="137"/>
      <c r="BN205" s="137"/>
      <c r="BO205" s="137"/>
      <c r="BP205" s="137"/>
      <c r="BQ205" s="137"/>
      <c r="BR205" s="137"/>
      <c r="BS205" s="137"/>
      <c r="BV205" s="262"/>
      <c r="BW205" s="136"/>
      <c r="BX205" s="137"/>
      <c r="BY205" s="137"/>
      <c r="BZ205" s="137"/>
      <c r="CA205" s="137"/>
      <c r="CB205" s="137"/>
      <c r="CC205" s="258"/>
      <c r="CD205" s="258"/>
      <c r="CE205" s="258"/>
      <c r="CF205" s="258"/>
      <c r="CG205" s="258"/>
      <c r="CH205" s="258"/>
      <c r="CI205" s="258"/>
      <c r="CJ205" s="258"/>
      <c r="CK205" s="258"/>
      <c r="CL205" s="258"/>
      <c r="CM205" s="258"/>
    </row>
    <row r="206" spans="1:91" x14ac:dyDescent="0.25">
      <c r="A206" s="723"/>
      <c r="B206" s="723"/>
      <c r="K206" s="52"/>
      <c r="L206" s="135"/>
      <c r="N206" s="131"/>
      <c r="O206" s="131"/>
      <c r="P206" s="55"/>
      <c r="Q206" s="135"/>
      <c r="R206" s="135"/>
      <c r="U206" s="135"/>
      <c r="V206" s="146"/>
      <c r="W206" s="146"/>
      <c r="X206" s="338"/>
      <c r="Y206" s="338"/>
      <c r="Z206" s="338"/>
      <c r="AA206" s="338"/>
      <c r="AB206" s="338"/>
      <c r="AC206" s="338"/>
      <c r="AF206" s="138"/>
      <c r="AG206" s="138"/>
      <c r="AH206" s="138"/>
      <c r="AI206" s="138"/>
      <c r="AJ206" s="138"/>
      <c r="AM206" s="258"/>
      <c r="AN206" s="258"/>
      <c r="AO206" s="258"/>
      <c r="AP206" s="258"/>
      <c r="AR206" s="137"/>
      <c r="AT206" s="137"/>
      <c r="AV206" s="394"/>
      <c r="AW206" s="137"/>
      <c r="AX206" s="137"/>
      <c r="AY206" s="137"/>
      <c r="AZ206" s="137"/>
      <c r="BA206" s="264"/>
      <c r="BB206" s="258"/>
      <c r="BC206" s="258"/>
      <c r="BD206" s="137"/>
      <c r="BE206" s="137"/>
      <c r="BF206" s="137"/>
      <c r="BG206" s="137"/>
      <c r="BH206" s="137"/>
      <c r="BI206" s="137"/>
      <c r="BJ206" s="137"/>
      <c r="BK206" s="137"/>
      <c r="BL206" s="137"/>
      <c r="BM206" s="137"/>
      <c r="BN206" s="137"/>
      <c r="BO206" s="137"/>
      <c r="BP206" s="137"/>
      <c r="BQ206" s="137"/>
      <c r="BR206" s="137"/>
      <c r="BS206" s="137"/>
      <c r="BV206" s="262"/>
      <c r="BW206" s="136"/>
      <c r="BX206" s="137"/>
      <c r="BY206" s="137"/>
      <c r="BZ206" s="137"/>
      <c r="CA206" s="137"/>
      <c r="CB206" s="137"/>
      <c r="CC206" s="258"/>
      <c r="CD206" s="258"/>
      <c r="CE206" s="258"/>
      <c r="CF206" s="258"/>
      <c r="CG206" s="258"/>
      <c r="CH206" s="258"/>
      <c r="CI206" s="258"/>
      <c r="CJ206" s="258"/>
      <c r="CK206" s="258"/>
      <c r="CL206" s="258"/>
      <c r="CM206" s="258"/>
    </row>
    <row r="207" spans="1:91" x14ac:dyDescent="0.25">
      <c r="A207" s="723"/>
      <c r="B207" s="723"/>
      <c r="K207" s="52"/>
      <c r="L207" s="135"/>
      <c r="N207" s="131"/>
      <c r="O207" s="131"/>
      <c r="P207" s="55"/>
      <c r="Q207" s="135"/>
      <c r="R207" s="135"/>
      <c r="U207" s="135"/>
      <c r="V207" s="146"/>
      <c r="W207" s="146"/>
      <c r="X207" s="338"/>
      <c r="Y207" s="338"/>
      <c r="Z207" s="338"/>
      <c r="AA207" s="338"/>
      <c r="AB207" s="338"/>
      <c r="AC207" s="338"/>
      <c r="AF207" s="138"/>
      <c r="AG207" s="138"/>
      <c r="AH207" s="138"/>
      <c r="AI207" s="138"/>
      <c r="AJ207" s="138"/>
      <c r="AM207" s="258"/>
      <c r="AN207" s="258"/>
      <c r="AO207" s="258"/>
      <c r="AP207" s="258"/>
      <c r="AR207" s="137"/>
      <c r="AT207" s="137"/>
      <c r="AV207" s="394"/>
      <c r="AW207" s="137"/>
      <c r="AX207" s="137"/>
      <c r="AY207" s="137"/>
      <c r="AZ207" s="137"/>
      <c r="BA207" s="264"/>
      <c r="BB207" s="258"/>
      <c r="BC207" s="258"/>
      <c r="BD207" s="137"/>
      <c r="BE207" s="137"/>
      <c r="BF207" s="137"/>
      <c r="BG207" s="137"/>
      <c r="BH207" s="137"/>
      <c r="BI207" s="137"/>
      <c r="BJ207" s="137"/>
      <c r="BK207" s="137"/>
      <c r="BL207" s="137"/>
      <c r="BM207" s="137"/>
      <c r="BN207" s="137"/>
      <c r="BO207" s="137"/>
      <c r="BP207" s="137"/>
      <c r="BQ207" s="137"/>
      <c r="BR207" s="137"/>
      <c r="BS207" s="137"/>
      <c r="BV207" s="262"/>
      <c r="BW207" s="136"/>
      <c r="BX207" s="137"/>
      <c r="BY207" s="137"/>
      <c r="BZ207" s="137"/>
      <c r="CA207" s="137"/>
      <c r="CB207" s="137"/>
      <c r="CC207" s="258"/>
      <c r="CD207" s="258"/>
      <c r="CE207" s="258"/>
      <c r="CF207" s="258"/>
      <c r="CG207" s="258"/>
      <c r="CH207" s="258"/>
      <c r="CI207" s="258"/>
      <c r="CJ207" s="258"/>
      <c r="CK207" s="258"/>
      <c r="CL207" s="258"/>
      <c r="CM207" s="258"/>
    </row>
    <row r="208" spans="1:91" x14ac:dyDescent="0.25">
      <c r="A208" s="723"/>
      <c r="B208" s="723"/>
      <c r="K208" s="52"/>
      <c r="L208" s="135"/>
      <c r="N208" s="131"/>
      <c r="O208" s="131"/>
      <c r="P208" s="55"/>
      <c r="Q208" s="135"/>
      <c r="R208" s="135"/>
      <c r="U208" s="135"/>
      <c r="V208" s="146"/>
      <c r="W208" s="146"/>
      <c r="X208" s="338"/>
      <c r="Y208" s="338"/>
      <c r="Z208" s="338"/>
      <c r="AA208" s="338"/>
      <c r="AB208" s="338"/>
      <c r="AC208" s="338"/>
      <c r="AF208" s="138"/>
      <c r="AG208" s="138"/>
      <c r="AH208" s="138"/>
      <c r="AI208" s="138"/>
      <c r="AJ208" s="138"/>
      <c r="AM208" s="258"/>
      <c r="AN208" s="258"/>
      <c r="AO208" s="258"/>
      <c r="AP208" s="258"/>
      <c r="AR208" s="137"/>
      <c r="AT208" s="137"/>
      <c r="AV208" s="394"/>
      <c r="AW208" s="137"/>
      <c r="AX208" s="137"/>
      <c r="AY208" s="137"/>
      <c r="AZ208" s="137"/>
      <c r="BA208" s="264"/>
      <c r="BB208" s="258"/>
      <c r="BC208" s="258"/>
      <c r="BD208" s="137"/>
      <c r="BE208" s="137"/>
      <c r="BF208" s="137"/>
      <c r="BG208" s="137"/>
      <c r="BH208" s="137"/>
      <c r="BI208" s="137"/>
      <c r="BJ208" s="137"/>
      <c r="BK208" s="137"/>
      <c r="BL208" s="137"/>
      <c r="BM208" s="137"/>
      <c r="BN208" s="137"/>
      <c r="BO208" s="137"/>
      <c r="BP208" s="137"/>
      <c r="BQ208" s="137"/>
      <c r="BR208" s="137"/>
      <c r="BS208" s="137"/>
      <c r="BV208" s="262"/>
      <c r="BW208" s="136"/>
      <c r="BX208" s="137"/>
      <c r="BY208" s="137"/>
      <c r="BZ208" s="137"/>
      <c r="CA208" s="137"/>
      <c r="CB208" s="137"/>
      <c r="CC208" s="258"/>
      <c r="CD208" s="258"/>
      <c r="CE208" s="258"/>
      <c r="CF208" s="258"/>
      <c r="CG208" s="258"/>
      <c r="CH208" s="258"/>
      <c r="CI208" s="258"/>
      <c r="CJ208" s="258"/>
      <c r="CK208" s="258"/>
      <c r="CL208" s="258"/>
      <c r="CM208" s="258"/>
    </row>
    <row r="209" spans="1:91" x14ac:dyDescent="0.25">
      <c r="A209" s="723"/>
      <c r="B209" s="723"/>
      <c r="K209" s="52"/>
      <c r="L209" s="135"/>
      <c r="N209" s="131"/>
      <c r="O209" s="131"/>
      <c r="P209" s="55"/>
      <c r="Q209" s="135"/>
      <c r="R209" s="135"/>
      <c r="U209" s="135"/>
      <c r="V209" s="146"/>
      <c r="W209" s="146"/>
      <c r="X209" s="338"/>
      <c r="Y209" s="338"/>
      <c r="Z209" s="338"/>
      <c r="AA209" s="338"/>
      <c r="AB209" s="338"/>
      <c r="AC209" s="338"/>
      <c r="AF209" s="138"/>
      <c r="AG209" s="138"/>
      <c r="AH209" s="138"/>
      <c r="AI209" s="138"/>
      <c r="AJ209" s="138"/>
      <c r="AM209" s="258"/>
      <c r="AN209" s="258"/>
      <c r="AO209" s="258"/>
      <c r="AP209" s="258"/>
      <c r="AR209" s="137"/>
      <c r="AT209" s="137"/>
      <c r="AV209" s="394"/>
      <c r="AW209" s="137"/>
      <c r="AX209" s="137"/>
      <c r="AY209" s="137"/>
      <c r="AZ209" s="137"/>
      <c r="BA209" s="264"/>
      <c r="BB209" s="258"/>
      <c r="BC209" s="258"/>
      <c r="BD209" s="137"/>
      <c r="BE209" s="137"/>
      <c r="BF209" s="137"/>
      <c r="BG209" s="137"/>
      <c r="BH209" s="137"/>
      <c r="BI209" s="137"/>
      <c r="BJ209" s="137"/>
      <c r="BK209" s="137"/>
      <c r="BL209" s="137"/>
      <c r="BM209" s="137"/>
      <c r="BN209" s="137"/>
      <c r="BO209" s="137"/>
      <c r="BP209" s="137"/>
      <c r="BQ209" s="137"/>
      <c r="BR209" s="137"/>
      <c r="BS209" s="137"/>
      <c r="BV209" s="262"/>
      <c r="BW209" s="136"/>
      <c r="BX209" s="137"/>
      <c r="BY209" s="137"/>
      <c r="BZ209" s="137"/>
      <c r="CA209" s="137"/>
      <c r="CB209" s="137"/>
      <c r="CC209" s="258"/>
      <c r="CD209" s="258"/>
      <c r="CE209" s="258"/>
      <c r="CF209" s="258"/>
      <c r="CG209" s="258"/>
      <c r="CH209" s="258"/>
      <c r="CI209" s="258"/>
      <c r="CJ209" s="258"/>
      <c r="CK209" s="258"/>
      <c r="CL209" s="258"/>
      <c r="CM209" s="258"/>
    </row>
    <row r="210" spans="1:91" x14ac:dyDescent="0.25">
      <c r="A210" s="723"/>
      <c r="B210" s="723"/>
      <c r="K210" s="52"/>
      <c r="L210" s="135"/>
      <c r="N210" s="131"/>
      <c r="O210" s="131"/>
      <c r="P210" s="55"/>
      <c r="Q210" s="135"/>
      <c r="R210" s="135"/>
      <c r="U210" s="135"/>
      <c r="V210" s="146"/>
      <c r="W210" s="146"/>
      <c r="X210" s="338"/>
      <c r="Y210" s="338"/>
      <c r="Z210" s="338"/>
      <c r="AA210" s="338"/>
      <c r="AB210" s="338"/>
      <c r="AC210" s="338"/>
      <c r="AF210" s="138"/>
      <c r="AG210" s="138"/>
      <c r="AH210" s="138"/>
      <c r="AI210" s="138"/>
      <c r="AJ210" s="138"/>
      <c r="AM210" s="258"/>
      <c r="AN210" s="258"/>
      <c r="AO210" s="258"/>
      <c r="AP210" s="258"/>
      <c r="AR210" s="137"/>
      <c r="AT210" s="137"/>
      <c r="AV210" s="394"/>
      <c r="AW210" s="137"/>
      <c r="AX210" s="137"/>
      <c r="AY210" s="137"/>
      <c r="AZ210" s="137"/>
      <c r="BA210" s="264"/>
      <c r="BB210" s="258"/>
      <c r="BC210" s="258"/>
      <c r="BD210" s="137"/>
      <c r="BE210" s="137"/>
      <c r="BF210" s="137"/>
      <c r="BG210" s="137"/>
      <c r="BH210" s="137"/>
      <c r="BI210" s="137"/>
      <c r="BJ210" s="137"/>
      <c r="BK210" s="137"/>
      <c r="BL210" s="137"/>
      <c r="BM210" s="137"/>
      <c r="BN210" s="137"/>
      <c r="BO210" s="137"/>
      <c r="BP210" s="137"/>
      <c r="BQ210" s="137"/>
      <c r="BR210" s="137"/>
      <c r="BS210" s="137"/>
      <c r="BV210" s="262"/>
      <c r="BW210" s="136"/>
      <c r="BX210" s="137"/>
      <c r="BY210" s="137"/>
      <c r="BZ210" s="137"/>
      <c r="CA210" s="137"/>
      <c r="CB210" s="137"/>
      <c r="CC210" s="258"/>
      <c r="CD210" s="258"/>
      <c r="CE210" s="258"/>
      <c r="CF210" s="258"/>
      <c r="CG210" s="258"/>
      <c r="CH210" s="258"/>
      <c r="CI210" s="258"/>
      <c r="CJ210" s="258"/>
      <c r="CK210" s="258"/>
      <c r="CL210" s="258"/>
      <c r="CM210" s="258"/>
    </row>
    <row r="211" spans="1:91" x14ac:dyDescent="0.25">
      <c r="A211" s="723"/>
      <c r="B211" s="723"/>
      <c r="K211" s="52"/>
      <c r="L211" s="135"/>
      <c r="N211" s="131"/>
      <c r="O211" s="131"/>
      <c r="P211" s="55"/>
      <c r="Q211" s="135"/>
      <c r="R211" s="135"/>
      <c r="U211" s="135"/>
      <c r="V211" s="146"/>
      <c r="W211" s="146"/>
      <c r="X211" s="338"/>
      <c r="Y211" s="338"/>
      <c r="Z211" s="338"/>
      <c r="AA211" s="338"/>
      <c r="AB211" s="338"/>
      <c r="AC211" s="338"/>
      <c r="AF211" s="138"/>
      <c r="AG211" s="138"/>
      <c r="AH211" s="138"/>
      <c r="AI211" s="138"/>
      <c r="AJ211" s="138"/>
      <c r="AM211" s="258"/>
      <c r="AN211" s="258"/>
      <c r="AO211" s="258"/>
      <c r="AP211" s="258"/>
      <c r="AR211" s="137"/>
      <c r="AT211" s="137"/>
      <c r="AV211" s="394"/>
      <c r="AW211" s="137"/>
      <c r="AX211" s="137"/>
      <c r="AY211" s="137"/>
      <c r="AZ211" s="137"/>
      <c r="BA211" s="264"/>
      <c r="BB211" s="258"/>
      <c r="BC211" s="258"/>
      <c r="BD211" s="137"/>
      <c r="BE211" s="137"/>
      <c r="BF211" s="137"/>
      <c r="BG211" s="137"/>
      <c r="BH211" s="137"/>
      <c r="BI211" s="137"/>
      <c r="BJ211" s="137"/>
      <c r="BK211" s="137"/>
      <c r="BL211" s="137"/>
      <c r="BM211" s="137"/>
      <c r="BN211" s="137"/>
      <c r="BO211" s="137"/>
      <c r="BP211" s="137"/>
      <c r="BQ211" s="137"/>
      <c r="BR211" s="137"/>
      <c r="BS211" s="137"/>
      <c r="BV211" s="262"/>
      <c r="BW211" s="136"/>
      <c r="BX211" s="137"/>
      <c r="BY211" s="137"/>
      <c r="BZ211" s="137"/>
      <c r="CA211" s="137"/>
      <c r="CB211" s="137"/>
      <c r="CC211" s="258"/>
      <c r="CD211" s="258"/>
      <c r="CE211" s="258"/>
      <c r="CF211" s="258"/>
      <c r="CG211" s="258"/>
      <c r="CH211" s="258"/>
      <c r="CI211" s="258"/>
      <c r="CJ211" s="258"/>
      <c r="CK211" s="258"/>
      <c r="CL211" s="258"/>
      <c r="CM211" s="258"/>
    </row>
    <row r="212" spans="1:91" x14ac:dyDescent="0.25">
      <c r="A212" s="723"/>
      <c r="B212" s="723"/>
      <c r="K212" s="52"/>
      <c r="L212" s="135"/>
      <c r="N212" s="131"/>
      <c r="O212" s="131"/>
      <c r="P212" s="55"/>
      <c r="Q212" s="135"/>
      <c r="R212" s="135"/>
      <c r="U212" s="135"/>
      <c r="V212" s="146"/>
      <c r="W212" s="146"/>
      <c r="X212" s="338"/>
      <c r="Y212" s="338"/>
      <c r="Z212" s="338"/>
      <c r="AA212" s="338"/>
      <c r="AB212" s="338"/>
      <c r="AC212" s="338"/>
      <c r="AF212" s="138"/>
      <c r="AG212" s="138"/>
      <c r="AH212" s="138"/>
      <c r="AI212" s="138"/>
      <c r="AJ212" s="138"/>
      <c r="AM212" s="258"/>
      <c r="AN212" s="258"/>
      <c r="AO212" s="258"/>
      <c r="AP212" s="258"/>
      <c r="AR212" s="137"/>
      <c r="AT212" s="137"/>
      <c r="AV212" s="394"/>
      <c r="AW212" s="137"/>
      <c r="AX212" s="137"/>
      <c r="AY212" s="137"/>
      <c r="AZ212" s="137"/>
      <c r="BA212" s="264"/>
      <c r="BB212" s="258"/>
      <c r="BC212" s="258"/>
      <c r="BD212" s="137"/>
      <c r="BE212" s="137"/>
      <c r="BF212" s="137"/>
      <c r="BG212" s="137"/>
      <c r="BH212" s="137"/>
      <c r="BI212" s="137"/>
      <c r="BJ212" s="137"/>
      <c r="BK212" s="137"/>
      <c r="BL212" s="137"/>
      <c r="BM212" s="137"/>
      <c r="BN212" s="137"/>
      <c r="BO212" s="137"/>
      <c r="BP212" s="137"/>
      <c r="BQ212" s="137"/>
      <c r="BR212" s="137"/>
      <c r="BS212" s="137"/>
      <c r="BV212" s="262"/>
      <c r="BW212" s="136"/>
      <c r="BX212" s="137"/>
      <c r="BY212" s="137"/>
      <c r="BZ212" s="137"/>
      <c r="CA212" s="137"/>
      <c r="CB212" s="137"/>
      <c r="CC212" s="258"/>
      <c r="CD212" s="258"/>
      <c r="CE212" s="258"/>
      <c r="CF212" s="258"/>
      <c r="CG212" s="258"/>
      <c r="CH212" s="258"/>
      <c r="CI212" s="258"/>
      <c r="CJ212" s="258"/>
      <c r="CK212" s="258"/>
      <c r="CL212" s="258"/>
      <c r="CM212" s="258"/>
    </row>
    <row r="213" spans="1:91" x14ac:dyDescent="0.25">
      <c r="A213" s="723"/>
      <c r="B213" s="723"/>
      <c r="K213" s="52"/>
      <c r="L213" s="135"/>
      <c r="N213" s="131"/>
      <c r="O213" s="131"/>
      <c r="P213" s="55"/>
      <c r="Q213" s="135"/>
      <c r="R213" s="135"/>
      <c r="U213" s="135"/>
      <c r="V213" s="146"/>
      <c r="W213" s="146"/>
      <c r="X213" s="338"/>
      <c r="Y213" s="338"/>
      <c r="Z213" s="338"/>
      <c r="AA213" s="338"/>
      <c r="AB213" s="338"/>
      <c r="AC213" s="338"/>
      <c r="AF213" s="138"/>
      <c r="AG213" s="138"/>
      <c r="AH213" s="138"/>
      <c r="AI213" s="138"/>
      <c r="AJ213" s="138"/>
      <c r="AM213" s="258"/>
      <c r="AN213" s="258"/>
      <c r="AO213" s="258"/>
      <c r="AP213" s="258"/>
      <c r="AR213" s="137"/>
      <c r="AT213" s="137"/>
      <c r="AV213" s="394"/>
      <c r="AW213" s="137"/>
      <c r="AX213" s="137"/>
      <c r="AY213" s="137"/>
      <c r="AZ213" s="137"/>
      <c r="BA213" s="264"/>
      <c r="BB213" s="258"/>
      <c r="BC213" s="258"/>
      <c r="BD213" s="137"/>
      <c r="BE213" s="137"/>
      <c r="BF213" s="137"/>
      <c r="BG213" s="137"/>
      <c r="BH213" s="137"/>
      <c r="BI213" s="137"/>
      <c r="BJ213" s="137"/>
      <c r="BK213" s="137"/>
      <c r="BL213" s="137"/>
      <c r="BM213" s="137"/>
      <c r="BN213" s="137"/>
      <c r="BO213" s="137"/>
      <c r="BP213" s="137"/>
      <c r="BQ213" s="137"/>
      <c r="BR213" s="137"/>
      <c r="BS213" s="137"/>
      <c r="BV213" s="262"/>
      <c r="BW213" s="136"/>
      <c r="BX213" s="137"/>
      <c r="BY213" s="137"/>
      <c r="BZ213" s="137"/>
      <c r="CA213" s="137"/>
      <c r="CB213" s="137"/>
      <c r="CC213" s="258"/>
      <c r="CD213" s="258"/>
      <c r="CE213" s="258"/>
      <c r="CF213" s="258"/>
      <c r="CG213" s="258"/>
      <c r="CH213" s="258"/>
      <c r="CI213" s="258"/>
      <c r="CJ213" s="258"/>
      <c r="CK213" s="258"/>
      <c r="CL213" s="258"/>
      <c r="CM213" s="258"/>
    </row>
    <row r="214" spans="1:91" x14ac:dyDescent="0.25">
      <c r="A214" s="723"/>
      <c r="B214" s="723"/>
      <c r="K214" s="52"/>
      <c r="L214" s="135"/>
      <c r="N214" s="131"/>
      <c r="O214" s="131"/>
      <c r="P214" s="55"/>
      <c r="Q214" s="135"/>
      <c r="R214" s="135"/>
      <c r="U214" s="135"/>
      <c r="V214" s="146"/>
      <c r="W214" s="146"/>
      <c r="X214" s="338"/>
      <c r="Y214" s="338"/>
      <c r="Z214" s="338"/>
      <c r="AA214" s="338"/>
      <c r="AB214" s="338"/>
      <c r="AC214" s="338"/>
      <c r="AF214" s="138"/>
      <c r="AG214" s="138"/>
      <c r="AH214" s="138"/>
      <c r="AI214" s="138"/>
      <c r="AJ214" s="138"/>
      <c r="AM214" s="258"/>
      <c r="AN214" s="258"/>
      <c r="AO214" s="258"/>
      <c r="AP214" s="258"/>
      <c r="AR214" s="137"/>
      <c r="AT214" s="137"/>
      <c r="AV214" s="394"/>
      <c r="AW214" s="137"/>
      <c r="AX214" s="137"/>
      <c r="AY214" s="137"/>
      <c r="AZ214" s="137"/>
      <c r="BA214" s="264"/>
      <c r="BB214" s="258"/>
      <c r="BC214" s="258"/>
      <c r="BD214" s="137"/>
      <c r="BE214" s="137"/>
      <c r="BF214" s="137"/>
      <c r="BG214" s="137"/>
      <c r="BH214" s="137"/>
      <c r="BI214" s="137"/>
      <c r="BJ214" s="137"/>
      <c r="BK214" s="137"/>
      <c r="BL214" s="137"/>
      <c r="BM214" s="137"/>
      <c r="BN214" s="137"/>
      <c r="BO214" s="137"/>
      <c r="BP214" s="137"/>
      <c r="BQ214" s="137"/>
      <c r="BR214" s="137"/>
      <c r="BS214" s="137"/>
      <c r="BV214" s="262"/>
      <c r="BW214" s="136"/>
      <c r="BX214" s="137"/>
      <c r="BY214" s="137"/>
      <c r="BZ214" s="137"/>
      <c r="CA214" s="137"/>
      <c r="CB214" s="137"/>
      <c r="CC214" s="258"/>
      <c r="CD214" s="258"/>
      <c r="CE214" s="258"/>
      <c r="CF214" s="258"/>
      <c r="CG214" s="258"/>
      <c r="CH214" s="258"/>
      <c r="CI214" s="258"/>
      <c r="CJ214" s="258"/>
      <c r="CK214" s="258"/>
      <c r="CL214" s="258"/>
      <c r="CM214" s="258"/>
    </row>
    <row r="215" spans="1:91" x14ac:dyDescent="0.25">
      <c r="A215" s="723"/>
      <c r="B215" s="723"/>
      <c r="K215" s="52"/>
      <c r="L215" s="135"/>
      <c r="N215" s="131"/>
      <c r="O215" s="131"/>
      <c r="P215" s="55"/>
      <c r="Q215" s="135"/>
      <c r="R215" s="135"/>
      <c r="U215" s="135"/>
      <c r="V215" s="146"/>
      <c r="W215" s="146"/>
      <c r="X215" s="338"/>
      <c r="Y215" s="338"/>
      <c r="Z215" s="338"/>
      <c r="AA215" s="338"/>
      <c r="AB215" s="338"/>
      <c r="AC215" s="338"/>
      <c r="AF215" s="138"/>
      <c r="AG215" s="138"/>
      <c r="AH215" s="138"/>
      <c r="AI215" s="138"/>
      <c r="AJ215" s="138"/>
      <c r="AM215" s="258"/>
      <c r="AN215" s="258"/>
      <c r="AO215" s="258"/>
      <c r="AP215" s="258"/>
      <c r="AR215" s="137"/>
      <c r="AT215" s="137"/>
      <c r="AV215" s="394"/>
      <c r="AW215" s="137"/>
      <c r="AX215" s="137"/>
      <c r="AY215" s="137"/>
      <c r="AZ215" s="137"/>
      <c r="BA215" s="264"/>
      <c r="BB215" s="258"/>
      <c r="BC215" s="258"/>
      <c r="BD215" s="137"/>
      <c r="BE215" s="137"/>
      <c r="BF215" s="137"/>
      <c r="BG215" s="137"/>
      <c r="BH215" s="137"/>
      <c r="BI215" s="137"/>
      <c r="BJ215" s="137"/>
      <c r="BK215" s="137"/>
      <c r="BL215" s="137"/>
      <c r="BM215" s="137"/>
      <c r="BN215" s="137"/>
      <c r="BO215" s="137"/>
      <c r="BP215" s="137"/>
      <c r="BQ215" s="137"/>
      <c r="BR215" s="137"/>
      <c r="BS215" s="137"/>
      <c r="BV215" s="262"/>
      <c r="BW215" s="136"/>
      <c r="BX215" s="137"/>
      <c r="BY215" s="137"/>
      <c r="BZ215" s="137"/>
      <c r="CA215" s="137"/>
      <c r="CB215" s="137"/>
      <c r="CC215" s="258"/>
      <c r="CD215" s="258"/>
      <c r="CE215" s="258"/>
      <c r="CF215" s="258"/>
      <c r="CG215" s="258"/>
      <c r="CH215" s="258"/>
      <c r="CI215" s="258"/>
      <c r="CJ215" s="258"/>
      <c r="CK215" s="258"/>
      <c r="CL215" s="258"/>
      <c r="CM215" s="258"/>
    </row>
    <row r="216" spans="1:91" x14ac:dyDescent="0.25">
      <c r="A216" s="723"/>
      <c r="B216" s="723"/>
      <c r="K216" s="52"/>
      <c r="L216" s="135"/>
      <c r="N216" s="131"/>
      <c r="O216" s="131"/>
      <c r="P216" s="55"/>
      <c r="Q216" s="135"/>
      <c r="R216" s="135"/>
      <c r="U216" s="135"/>
      <c r="V216" s="146"/>
      <c r="W216" s="146"/>
      <c r="X216" s="338"/>
      <c r="Y216" s="338"/>
      <c r="Z216" s="338"/>
      <c r="AA216" s="338"/>
      <c r="AB216" s="338"/>
      <c r="AC216" s="338"/>
      <c r="AF216" s="138"/>
      <c r="AG216" s="138"/>
      <c r="AH216" s="138"/>
      <c r="AI216" s="138"/>
      <c r="AJ216" s="138"/>
      <c r="AM216" s="258"/>
      <c r="AN216" s="258"/>
      <c r="AO216" s="258"/>
      <c r="AP216" s="258"/>
      <c r="AR216" s="137"/>
      <c r="AT216" s="137"/>
      <c r="AV216" s="394"/>
      <c r="AW216" s="137"/>
      <c r="AX216" s="137"/>
      <c r="AY216" s="137"/>
      <c r="AZ216" s="137"/>
      <c r="BA216" s="264"/>
      <c r="BB216" s="258"/>
      <c r="BC216" s="258"/>
      <c r="BD216" s="137"/>
      <c r="BE216" s="137"/>
      <c r="BF216" s="137"/>
      <c r="BG216" s="137"/>
      <c r="BH216" s="137"/>
      <c r="BI216" s="137"/>
      <c r="BJ216" s="137"/>
      <c r="BK216" s="137"/>
      <c r="BL216" s="137"/>
      <c r="BM216" s="137"/>
      <c r="BN216" s="137"/>
      <c r="BO216" s="137"/>
      <c r="BP216" s="137"/>
      <c r="BQ216" s="137"/>
      <c r="BR216" s="137"/>
      <c r="BS216" s="137"/>
      <c r="BV216" s="262"/>
      <c r="BW216" s="136"/>
      <c r="BX216" s="137"/>
      <c r="BY216" s="137"/>
      <c r="BZ216" s="137"/>
      <c r="CA216" s="137"/>
      <c r="CB216" s="137"/>
      <c r="CC216" s="258"/>
      <c r="CD216" s="258"/>
      <c r="CE216" s="258"/>
      <c r="CF216" s="258"/>
      <c r="CG216" s="258"/>
      <c r="CH216" s="258"/>
      <c r="CI216" s="258"/>
      <c r="CJ216" s="258"/>
      <c r="CK216" s="258"/>
      <c r="CL216" s="258"/>
      <c r="CM216" s="258"/>
    </row>
    <row r="217" spans="1:91" x14ac:dyDescent="0.25">
      <c r="A217" s="723"/>
      <c r="B217" s="723"/>
      <c r="K217" s="52"/>
      <c r="L217" s="135"/>
      <c r="N217" s="131"/>
      <c r="O217" s="131"/>
      <c r="P217" s="55"/>
      <c r="Q217" s="135"/>
      <c r="R217" s="135"/>
      <c r="U217" s="135"/>
      <c r="V217" s="146"/>
      <c r="W217" s="146"/>
      <c r="X217" s="338"/>
      <c r="Y217" s="338"/>
      <c r="Z217" s="338"/>
      <c r="AA217" s="338"/>
      <c r="AB217" s="338"/>
      <c r="AC217" s="338"/>
      <c r="AF217" s="138"/>
      <c r="AG217" s="138"/>
      <c r="AH217" s="138"/>
      <c r="AI217" s="138"/>
      <c r="AJ217" s="138"/>
      <c r="AM217" s="258"/>
      <c r="AN217" s="258"/>
      <c r="AO217" s="258"/>
      <c r="AP217" s="258"/>
      <c r="AR217" s="137"/>
      <c r="AT217" s="137"/>
      <c r="AV217" s="394"/>
      <c r="AW217" s="137"/>
      <c r="AX217" s="137"/>
      <c r="AY217" s="137"/>
      <c r="AZ217" s="137"/>
      <c r="BA217" s="264"/>
      <c r="BB217" s="258"/>
      <c r="BC217" s="258"/>
      <c r="BD217" s="137"/>
      <c r="BE217" s="137"/>
      <c r="BF217" s="137"/>
      <c r="BG217" s="137"/>
      <c r="BH217" s="137"/>
      <c r="BI217" s="137"/>
      <c r="BJ217" s="137"/>
      <c r="BK217" s="137"/>
      <c r="BL217" s="137"/>
      <c r="BM217" s="137"/>
      <c r="BN217" s="137"/>
      <c r="BO217" s="137"/>
      <c r="BP217" s="137"/>
      <c r="BQ217" s="137"/>
      <c r="BR217" s="137"/>
      <c r="BS217" s="137"/>
      <c r="BV217" s="262"/>
      <c r="BW217" s="136"/>
      <c r="BX217" s="137"/>
      <c r="BY217" s="137"/>
      <c r="BZ217" s="137"/>
      <c r="CA217" s="137"/>
      <c r="CB217" s="137"/>
      <c r="CC217" s="258"/>
      <c r="CD217" s="258"/>
      <c r="CE217" s="258"/>
      <c r="CF217" s="258"/>
      <c r="CG217" s="258"/>
      <c r="CH217" s="258"/>
      <c r="CI217" s="258"/>
      <c r="CJ217" s="258"/>
      <c r="CK217" s="258"/>
      <c r="CL217" s="258"/>
      <c r="CM217" s="258"/>
    </row>
    <row r="218" spans="1:91" x14ac:dyDescent="0.25">
      <c r="A218" s="723"/>
      <c r="B218" s="723"/>
      <c r="K218" s="52"/>
      <c r="L218" s="135"/>
      <c r="N218" s="131"/>
      <c r="O218" s="131"/>
      <c r="P218" s="55"/>
      <c r="Q218" s="135"/>
      <c r="R218" s="135"/>
      <c r="U218" s="135"/>
      <c r="V218" s="146"/>
      <c r="W218" s="146"/>
      <c r="X218" s="338"/>
      <c r="Y218" s="338"/>
      <c r="Z218" s="338"/>
      <c r="AA218" s="338"/>
      <c r="AB218" s="338"/>
      <c r="AC218" s="338"/>
      <c r="AF218" s="138"/>
      <c r="AG218" s="138"/>
      <c r="AH218" s="138"/>
      <c r="AI218" s="138"/>
      <c r="AJ218" s="138"/>
      <c r="AM218" s="258"/>
      <c r="AN218" s="258"/>
      <c r="AO218" s="258"/>
      <c r="AP218" s="258"/>
      <c r="AR218" s="137"/>
      <c r="AT218" s="137"/>
      <c r="AV218" s="394"/>
      <c r="AW218" s="137"/>
      <c r="AX218" s="137"/>
      <c r="AY218" s="137"/>
      <c r="AZ218" s="137"/>
      <c r="BA218" s="264"/>
      <c r="BB218" s="258"/>
      <c r="BC218" s="258"/>
      <c r="BD218" s="137"/>
      <c r="BE218" s="137"/>
      <c r="BF218" s="137"/>
      <c r="BG218" s="137"/>
      <c r="BH218" s="137"/>
      <c r="BI218" s="137"/>
      <c r="BJ218" s="137"/>
      <c r="BK218" s="137"/>
      <c r="BL218" s="137"/>
      <c r="BM218" s="137"/>
      <c r="BN218" s="137"/>
      <c r="BO218" s="137"/>
      <c r="BP218" s="137"/>
      <c r="BQ218" s="137"/>
      <c r="BR218" s="137"/>
      <c r="BS218" s="137"/>
      <c r="BV218" s="262"/>
      <c r="BW218" s="136"/>
      <c r="BX218" s="137"/>
      <c r="BY218" s="137"/>
      <c r="BZ218" s="137"/>
      <c r="CA218" s="137"/>
      <c r="CB218" s="137"/>
      <c r="CC218" s="258"/>
      <c r="CD218" s="258"/>
      <c r="CE218" s="258"/>
      <c r="CF218" s="258"/>
      <c r="CG218" s="258"/>
      <c r="CH218" s="258"/>
      <c r="CI218" s="258"/>
      <c r="CJ218" s="258"/>
      <c r="CK218" s="258"/>
      <c r="CL218" s="258"/>
      <c r="CM218" s="258"/>
    </row>
    <row r="219" spans="1:91" x14ac:dyDescent="0.25">
      <c r="A219" s="723"/>
      <c r="B219" s="723"/>
      <c r="K219" s="52"/>
      <c r="L219" s="135"/>
      <c r="N219" s="131"/>
      <c r="O219" s="131"/>
      <c r="P219" s="55"/>
      <c r="Q219" s="135"/>
      <c r="R219" s="135"/>
      <c r="U219" s="135"/>
      <c r="V219" s="146"/>
      <c r="W219" s="146"/>
      <c r="X219" s="338"/>
      <c r="Y219" s="338"/>
      <c r="Z219" s="338"/>
      <c r="AA219" s="338"/>
      <c r="AB219" s="338"/>
      <c r="AC219" s="338"/>
      <c r="AF219" s="138"/>
      <c r="AG219" s="138"/>
      <c r="AH219" s="138"/>
      <c r="AI219" s="138"/>
      <c r="AJ219" s="138"/>
      <c r="AM219" s="258"/>
      <c r="AN219" s="258"/>
      <c r="AO219" s="258"/>
      <c r="AP219" s="258"/>
      <c r="AR219" s="137"/>
      <c r="AT219" s="137"/>
      <c r="AV219" s="394"/>
      <c r="AW219" s="137"/>
      <c r="AX219" s="137"/>
      <c r="AY219" s="137"/>
      <c r="AZ219" s="137"/>
      <c r="BA219" s="264"/>
      <c r="BB219" s="258"/>
      <c r="BC219" s="258"/>
      <c r="BD219" s="137"/>
      <c r="BE219" s="137"/>
      <c r="BF219" s="137"/>
      <c r="BG219" s="137"/>
      <c r="BH219" s="137"/>
      <c r="BI219" s="137"/>
      <c r="BJ219" s="137"/>
      <c r="BK219" s="137"/>
      <c r="BL219" s="137"/>
      <c r="BM219" s="137"/>
      <c r="BN219" s="137"/>
      <c r="BO219" s="137"/>
      <c r="BP219" s="137"/>
      <c r="BQ219" s="137"/>
      <c r="BR219" s="137"/>
      <c r="BS219" s="137"/>
      <c r="BV219" s="262"/>
      <c r="BW219" s="136"/>
      <c r="BX219" s="137"/>
      <c r="BY219" s="137"/>
      <c r="BZ219" s="137"/>
      <c r="CA219" s="137"/>
      <c r="CB219" s="137"/>
      <c r="CC219" s="258"/>
      <c r="CD219" s="258"/>
      <c r="CE219" s="258"/>
      <c r="CF219" s="258"/>
      <c r="CG219" s="258"/>
      <c r="CH219" s="258"/>
      <c r="CI219" s="258"/>
      <c r="CJ219" s="258"/>
      <c r="CK219" s="258"/>
      <c r="CL219" s="258"/>
      <c r="CM219" s="258"/>
    </row>
    <row r="220" spans="1:91" x14ac:dyDescent="0.25">
      <c r="A220" s="723"/>
      <c r="B220" s="723"/>
      <c r="K220" s="52"/>
      <c r="L220" s="135"/>
      <c r="N220" s="131"/>
      <c r="O220" s="131"/>
      <c r="P220" s="55"/>
      <c r="Q220" s="135"/>
      <c r="R220" s="135"/>
      <c r="U220" s="135"/>
      <c r="V220" s="146"/>
      <c r="W220" s="146"/>
      <c r="X220" s="338"/>
      <c r="Y220" s="338"/>
      <c r="Z220" s="338"/>
      <c r="AA220" s="338"/>
      <c r="AB220" s="338"/>
      <c r="AC220" s="338"/>
      <c r="AF220" s="138"/>
      <c r="AG220" s="138"/>
      <c r="AH220" s="138"/>
      <c r="AI220" s="138"/>
      <c r="AJ220" s="138"/>
      <c r="AM220" s="258"/>
      <c r="AN220" s="258"/>
      <c r="AO220" s="258"/>
      <c r="AP220" s="258"/>
      <c r="AR220" s="137"/>
      <c r="AT220" s="137"/>
      <c r="AV220" s="394"/>
      <c r="AW220" s="137"/>
      <c r="AX220" s="137"/>
      <c r="AY220" s="137"/>
      <c r="AZ220" s="137"/>
      <c r="BA220" s="264"/>
      <c r="BB220" s="258"/>
      <c r="BC220" s="258"/>
      <c r="BD220" s="137"/>
      <c r="BE220" s="137"/>
      <c r="BF220" s="137"/>
      <c r="BG220" s="137"/>
      <c r="BH220" s="137"/>
      <c r="BI220" s="137"/>
      <c r="BJ220" s="137"/>
      <c r="BK220" s="137"/>
      <c r="BL220" s="137"/>
      <c r="BM220" s="137"/>
      <c r="BN220" s="137"/>
      <c r="BO220" s="137"/>
      <c r="BP220" s="137"/>
      <c r="BQ220" s="137"/>
      <c r="BR220" s="137"/>
      <c r="BS220" s="137"/>
      <c r="BV220" s="262"/>
      <c r="BW220" s="136"/>
      <c r="BX220" s="137"/>
      <c r="BY220" s="137"/>
      <c r="BZ220" s="137"/>
      <c r="CA220" s="137"/>
      <c r="CB220" s="137"/>
      <c r="CC220" s="258"/>
      <c r="CD220" s="258"/>
      <c r="CE220" s="258"/>
      <c r="CF220" s="258"/>
      <c r="CG220" s="258"/>
      <c r="CH220" s="258"/>
      <c r="CI220" s="258"/>
      <c r="CJ220" s="258"/>
      <c r="CK220" s="258"/>
      <c r="CL220" s="258"/>
      <c r="CM220" s="258"/>
    </row>
    <row r="221" spans="1:91" x14ac:dyDescent="0.25">
      <c r="A221" s="723"/>
      <c r="B221" s="723"/>
      <c r="K221" s="52"/>
      <c r="L221" s="135"/>
      <c r="N221" s="131"/>
      <c r="O221" s="131"/>
      <c r="P221" s="55"/>
      <c r="Q221" s="135"/>
      <c r="R221" s="135"/>
      <c r="U221" s="135"/>
      <c r="V221" s="146"/>
      <c r="W221" s="146"/>
      <c r="X221" s="338"/>
      <c r="Y221" s="338"/>
      <c r="Z221" s="338"/>
      <c r="AA221" s="338"/>
      <c r="AB221" s="338"/>
      <c r="AC221" s="338"/>
      <c r="AF221" s="138"/>
      <c r="AG221" s="138"/>
      <c r="AH221" s="138"/>
      <c r="AI221" s="138"/>
      <c r="AJ221" s="138"/>
      <c r="AM221" s="258"/>
      <c r="AN221" s="258"/>
      <c r="AO221" s="258"/>
      <c r="AP221" s="258"/>
      <c r="AR221" s="137"/>
      <c r="AT221" s="137"/>
      <c r="AV221" s="394"/>
      <c r="AW221" s="137"/>
      <c r="AX221" s="137"/>
      <c r="AY221" s="137"/>
      <c r="AZ221" s="137"/>
      <c r="BA221" s="264"/>
      <c r="BB221" s="258"/>
      <c r="BC221" s="258"/>
      <c r="BD221" s="137"/>
      <c r="BE221" s="137"/>
      <c r="BF221" s="137"/>
      <c r="BG221" s="137"/>
      <c r="BH221" s="137"/>
      <c r="BI221" s="137"/>
      <c r="BJ221" s="137"/>
      <c r="BK221" s="137"/>
      <c r="BL221" s="137"/>
      <c r="BM221" s="137"/>
      <c r="BN221" s="137"/>
      <c r="BO221" s="137"/>
      <c r="BP221" s="137"/>
      <c r="BQ221" s="137"/>
      <c r="BR221" s="137"/>
      <c r="BS221" s="137"/>
      <c r="BV221" s="262"/>
      <c r="BW221" s="136"/>
      <c r="BX221" s="137"/>
      <c r="BY221" s="137"/>
      <c r="BZ221" s="137"/>
      <c r="CA221" s="137"/>
      <c r="CB221" s="137"/>
      <c r="CC221" s="258"/>
      <c r="CD221" s="258"/>
      <c r="CE221" s="258"/>
      <c r="CF221" s="258"/>
      <c r="CG221" s="258"/>
      <c r="CH221" s="258"/>
      <c r="CI221" s="258"/>
      <c r="CJ221" s="258"/>
      <c r="CK221" s="258"/>
      <c r="CL221" s="258"/>
      <c r="CM221" s="258"/>
    </row>
    <row r="222" spans="1:91" x14ac:dyDescent="0.25">
      <c r="A222" s="723"/>
      <c r="B222" s="723"/>
      <c r="K222" s="52"/>
      <c r="L222" s="135"/>
      <c r="N222" s="131"/>
      <c r="O222" s="131"/>
      <c r="P222" s="55"/>
      <c r="Q222" s="135"/>
      <c r="R222" s="135"/>
      <c r="U222" s="135"/>
      <c r="V222" s="146"/>
      <c r="W222" s="146"/>
      <c r="X222" s="338"/>
      <c r="Y222" s="338"/>
      <c r="Z222" s="338"/>
      <c r="AA222" s="338"/>
      <c r="AB222" s="338"/>
      <c r="AC222" s="338"/>
      <c r="AF222" s="138"/>
      <c r="AG222" s="138"/>
      <c r="AH222" s="138"/>
      <c r="AI222" s="138"/>
      <c r="AJ222" s="138"/>
      <c r="AM222" s="258"/>
      <c r="AN222" s="258"/>
      <c r="AO222" s="258"/>
      <c r="AP222" s="258"/>
      <c r="AR222" s="137"/>
      <c r="AT222" s="137"/>
      <c r="AV222" s="394"/>
      <c r="AW222" s="137"/>
      <c r="AX222" s="137"/>
      <c r="AY222" s="137"/>
      <c r="AZ222" s="137"/>
      <c r="BA222" s="264"/>
      <c r="BB222" s="258"/>
      <c r="BC222" s="258"/>
      <c r="BD222" s="137"/>
      <c r="BE222" s="137"/>
      <c r="BF222" s="137"/>
      <c r="BG222" s="137"/>
      <c r="BH222" s="137"/>
      <c r="BI222" s="137"/>
      <c r="BJ222" s="137"/>
      <c r="BK222" s="137"/>
      <c r="BL222" s="137"/>
      <c r="BM222" s="137"/>
      <c r="BN222" s="137"/>
      <c r="BO222" s="137"/>
      <c r="BP222" s="137"/>
      <c r="BQ222" s="137"/>
      <c r="BR222" s="137"/>
      <c r="BS222" s="137"/>
      <c r="BV222" s="262"/>
      <c r="BW222" s="136"/>
      <c r="BX222" s="137"/>
      <c r="BY222" s="137"/>
      <c r="BZ222" s="137"/>
      <c r="CA222" s="137"/>
      <c r="CB222" s="137"/>
      <c r="CC222" s="258"/>
      <c r="CD222" s="258"/>
      <c r="CE222" s="258"/>
      <c r="CF222" s="258"/>
      <c r="CG222" s="258"/>
      <c r="CH222" s="258"/>
      <c r="CI222" s="258"/>
      <c r="CJ222" s="258"/>
      <c r="CK222" s="258"/>
      <c r="CL222" s="258"/>
      <c r="CM222" s="258"/>
    </row>
    <row r="223" spans="1:91" x14ac:dyDescent="0.25">
      <c r="A223" s="723"/>
      <c r="B223" s="723"/>
      <c r="K223" s="52"/>
      <c r="L223" s="135"/>
      <c r="N223" s="131"/>
      <c r="O223" s="131"/>
      <c r="P223" s="55"/>
      <c r="Q223" s="135"/>
      <c r="R223" s="135"/>
      <c r="U223" s="135"/>
      <c r="V223" s="146"/>
      <c r="W223" s="146"/>
      <c r="X223" s="338"/>
      <c r="Y223" s="338"/>
      <c r="Z223" s="338"/>
      <c r="AA223" s="338"/>
      <c r="AB223" s="338"/>
      <c r="AC223" s="338"/>
      <c r="AF223" s="138"/>
      <c r="AG223" s="138"/>
      <c r="AH223" s="138"/>
      <c r="AI223" s="138"/>
      <c r="AJ223" s="138"/>
      <c r="AM223" s="258"/>
      <c r="AN223" s="258"/>
      <c r="AO223" s="258"/>
      <c r="AP223" s="258"/>
      <c r="AR223" s="137"/>
      <c r="AT223" s="137"/>
      <c r="AV223" s="394"/>
      <c r="AW223" s="137"/>
      <c r="AX223" s="137"/>
      <c r="AY223" s="137"/>
      <c r="AZ223" s="137"/>
      <c r="BA223" s="264"/>
      <c r="BB223" s="258"/>
      <c r="BC223" s="258"/>
      <c r="BD223" s="137"/>
      <c r="BE223" s="137"/>
      <c r="BF223" s="137"/>
      <c r="BG223" s="137"/>
      <c r="BH223" s="137"/>
      <c r="BI223" s="137"/>
      <c r="BJ223" s="137"/>
      <c r="BK223" s="137"/>
      <c r="BL223" s="137"/>
      <c r="BM223" s="137"/>
      <c r="BN223" s="137"/>
      <c r="BO223" s="137"/>
      <c r="BP223" s="137"/>
      <c r="BQ223" s="137"/>
      <c r="BR223" s="137"/>
      <c r="BS223" s="137"/>
      <c r="BV223" s="262"/>
      <c r="BW223" s="136"/>
      <c r="BX223" s="137"/>
      <c r="BY223" s="137"/>
      <c r="BZ223" s="137"/>
      <c r="CA223" s="137"/>
      <c r="CB223" s="137"/>
      <c r="CC223" s="258"/>
      <c r="CD223" s="258"/>
      <c r="CE223" s="258"/>
      <c r="CF223" s="258"/>
      <c r="CG223" s="258"/>
      <c r="CH223" s="258"/>
      <c r="CI223" s="258"/>
      <c r="CJ223" s="258"/>
      <c r="CK223" s="258"/>
      <c r="CL223" s="258"/>
      <c r="CM223" s="258"/>
    </row>
    <row r="224" spans="1:91" x14ac:dyDescent="0.25">
      <c r="A224" s="723"/>
      <c r="B224" s="723"/>
      <c r="K224" s="52"/>
      <c r="L224" s="135"/>
      <c r="N224" s="131"/>
      <c r="O224" s="131"/>
      <c r="P224" s="55"/>
      <c r="Q224" s="135"/>
      <c r="R224" s="135"/>
      <c r="U224" s="135"/>
      <c r="V224" s="146"/>
      <c r="W224" s="146"/>
      <c r="X224" s="338"/>
      <c r="Y224" s="338"/>
      <c r="Z224" s="338"/>
      <c r="AA224" s="338"/>
      <c r="AB224" s="338"/>
      <c r="AC224" s="338"/>
      <c r="AF224" s="138"/>
      <c r="AG224" s="138"/>
      <c r="AH224" s="138"/>
      <c r="AI224" s="138"/>
      <c r="AJ224" s="138"/>
      <c r="AM224" s="258"/>
      <c r="AN224" s="258"/>
      <c r="AO224" s="258"/>
      <c r="AP224" s="258"/>
      <c r="AR224" s="137"/>
      <c r="AT224" s="137"/>
      <c r="AV224" s="394"/>
      <c r="AW224" s="137"/>
      <c r="AX224" s="137"/>
      <c r="AY224" s="137"/>
      <c r="AZ224" s="137"/>
      <c r="BA224" s="264"/>
      <c r="BB224" s="258"/>
      <c r="BC224" s="258"/>
      <c r="BD224" s="137"/>
      <c r="BE224" s="137"/>
      <c r="BF224" s="137"/>
      <c r="BG224" s="137"/>
      <c r="BH224" s="137"/>
      <c r="BI224" s="137"/>
      <c r="BJ224" s="137"/>
      <c r="BK224" s="137"/>
      <c r="BL224" s="137"/>
      <c r="BM224" s="137"/>
      <c r="BN224" s="137"/>
      <c r="BO224" s="137"/>
      <c r="BP224" s="137"/>
      <c r="BQ224" s="137"/>
      <c r="BR224" s="137"/>
      <c r="BS224" s="137"/>
      <c r="BV224" s="262"/>
      <c r="BW224" s="136"/>
      <c r="BX224" s="137"/>
      <c r="BY224" s="137"/>
      <c r="BZ224" s="137"/>
      <c r="CA224" s="137"/>
      <c r="CB224" s="137"/>
      <c r="CC224" s="258"/>
      <c r="CD224" s="258"/>
      <c r="CE224" s="258"/>
      <c r="CF224" s="258"/>
      <c r="CG224" s="258"/>
      <c r="CH224" s="258"/>
      <c r="CI224" s="258"/>
      <c r="CJ224" s="258"/>
      <c r="CK224" s="258"/>
      <c r="CL224" s="258"/>
      <c r="CM224" s="258"/>
    </row>
    <row r="225" spans="1:91" x14ac:dyDescent="0.25">
      <c r="A225" s="723"/>
      <c r="B225" s="723"/>
      <c r="K225" s="52"/>
      <c r="L225" s="135"/>
      <c r="N225" s="131"/>
      <c r="O225" s="131"/>
      <c r="P225" s="55"/>
      <c r="Q225" s="135"/>
      <c r="R225" s="135"/>
      <c r="U225" s="135"/>
      <c r="V225" s="146"/>
      <c r="W225" s="146"/>
      <c r="X225" s="338"/>
      <c r="Y225" s="338"/>
      <c r="Z225" s="338"/>
      <c r="AA225" s="338"/>
      <c r="AB225" s="338"/>
      <c r="AC225" s="338"/>
      <c r="AF225" s="138"/>
      <c r="AG225" s="138"/>
      <c r="AH225" s="138"/>
      <c r="AI225" s="138"/>
      <c r="AJ225" s="138"/>
      <c r="AM225" s="258"/>
      <c r="AN225" s="258"/>
      <c r="AO225" s="258"/>
      <c r="AP225" s="258"/>
      <c r="AR225" s="137"/>
      <c r="AT225" s="137"/>
      <c r="AV225" s="394"/>
      <c r="AW225" s="137"/>
      <c r="AX225" s="137"/>
      <c r="AY225" s="137"/>
      <c r="AZ225" s="137"/>
      <c r="BA225" s="264"/>
      <c r="BB225" s="258"/>
      <c r="BC225" s="258"/>
      <c r="BD225" s="137"/>
      <c r="BE225" s="137"/>
      <c r="BF225" s="137"/>
      <c r="BG225" s="137"/>
      <c r="BH225" s="137"/>
      <c r="BI225" s="137"/>
      <c r="BJ225" s="137"/>
      <c r="BK225" s="137"/>
      <c r="BL225" s="137"/>
      <c r="BM225" s="137"/>
      <c r="BN225" s="137"/>
      <c r="BO225" s="137"/>
      <c r="BP225" s="137"/>
      <c r="BQ225" s="137"/>
      <c r="BR225" s="137"/>
      <c r="BS225" s="137"/>
      <c r="BV225" s="262"/>
      <c r="BW225" s="136"/>
      <c r="BX225" s="137"/>
      <c r="BY225" s="137"/>
      <c r="BZ225" s="137"/>
      <c r="CA225" s="137"/>
      <c r="CB225" s="137"/>
      <c r="CC225" s="258"/>
      <c r="CD225" s="258"/>
      <c r="CE225" s="258"/>
      <c r="CF225" s="258"/>
      <c r="CG225" s="258"/>
      <c r="CH225" s="258"/>
      <c r="CI225" s="258"/>
      <c r="CJ225" s="258"/>
      <c r="CK225" s="258"/>
      <c r="CL225" s="258"/>
      <c r="CM225" s="258"/>
    </row>
    <row r="226" spans="1:91" x14ac:dyDescent="0.25">
      <c r="A226" s="723"/>
      <c r="B226" s="723"/>
      <c r="K226" s="52"/>
      <c r="L226" s="135"/>
      <c r="N226" s="131"/>
      <c r="O226" s="131"/>
      <c r="P226" s="55"/>
      <c r="Q226" s="135"/>
      <c r="R226" s="135"/>
      <c r="U226" s="135"/>
      <c r="V226" s="146"/>
      <c r="W226" s="146"/>
      <c r="X226" s="338"/>
      <c r="Y226" s="338"/>
      <c r="Z226" s="338"/>
      <c r="AA226" s="338"/>
      <c r="AB226" s="338"/>
      <c r="AC226" s="338"/>
      <c r="AF226" s="138"/>
      <c r="AG226" s="138"/>
      <c r="AH226" s="138"/>
      <c r="AI226" s="138"/>
      <c r="AJ226" s="138"/>
      <c r="AM226" s="258"/>
      <c r="AN226" s="258"/>
      <c r="AO226" s="258"/>
      <c r="AP226" s="258"/>
      <c r="AR226" s="137"/>
      <c r="AT226" s="137"/>
      <c r="AV226" s="394"/>
      <c r="AW226" s="137"/>
      <c r="AX226" s="137"/>
      <c r="AY226" s="137"/>
      <c r="AZ226" s="137"/>
      <c r="BA226" s="264"/>
      <c r="BB226" s="258"/>
      <c r="BC226" s="258"/>
      <c r="BD226" s="137"/>
      <c r="BE226" s="137"/>
      <c r="BF226" s="137"/>
      <c r="BG226" s="137"/>
      <c r="BH226" s="137"/>
      <c r="BI226" s="137"/>
      <c r="BJ226" s="137"/>
      <c r="BK226" s="137"/>
      <c r="BL226" s="137"/>
      <c r="BM226" s="137"/>
      <c r="BN226" s="137"/>
      <c r="BO226" s="137"/>
      <c r="BP226" s="137"/>
      <c r="BQ226" s="137"/>
      <c r="BR226" s="137"/>
      <c r="BS226" s="137"/>
      <c r="BV226" s="262"/>
      <c r="BW226" s="136"/>
      <c r="BX226" s="137"/>
      <c r="BY226" s="137"/>
      <c r="BZ226" s="137"/>
      <c r="CA226" s="137"/>
      <c r="CB226" s="137"/>
      <c r="CC226" s="258"/>
      <c r="CD226" s="258"/>
      <c r="CE226" s="258"/>
      <c r="CF226" s="258"/>
      <c r="CG226" s="258"/>
      <c r="CH226" s="258"/>
      <c r="CI226" s="258"/>
      <c r="CJ226" s="258"/>
      <c r="CK226" s="258"/>
      <c r="CL226" s="258"/>
      <c r="CM226" s="258"/>
    </row>
    <row r="227" spans="1:91" x14ac:dyDescent="0.25">
      <c r="A227" s="723"/>
      <c r="B227" s="723"/>
      <c r="K227" s="52"/>
      <c r="L227" s="135"/>
      <c r="N227" s="131"/>
      <c r="O227" s="131"/>
      <c r="P227" s="55"/>
      <c r="Q227" s="135"/>
      <c r="R227" s="135"/>
      <c r="U227" s="135"/>
      <c r="V227" s="146"/>
      <c r="W227" s="146"/>
      <c r="X227" s="338"/>
      <c r="Y227" s="338"/>
      <c r="Z227" s="338"/>
      <c r="AA227" s="338"/>
      <c r="AB227" s="338"/>
      <c r="AC227" s="338"/>
      <c r="AF227" s="138"/>
      <c r="AG227" s="138"/>
      <c r="AH227" s="138"/>
      <c r="AI227" s="138"/>
      <c r="AJ227" s="138"/>
      <c r="AM227" s="258"/>
      <c r="AN227" s="258"/>
      <c r="AO227" s="258"/>
      <c r="AP227" s="258"/>
      <c r="AR227" s="137"/>
      <c r="AT227" s="137"/>
      <c r="AV227" s="394"/>
      <c r="AW227" s="137"/>
      <c r="AX227" s="137"/>
      <c r="AY227" s="137"/>
      <c r="AZ227" s="137"/>
      <c r="BA227" s="264"/>
      <c r="BB227" s="258"/>
      <c r="BC227" s="258"/>
      <c r="BD227" s="137"/>
      <c r="BE227" s="137"/>
      <c r="BF227" s="137"/>
      <c r="BG227" s="137"/>
      <c r="BH227" s="137"/>
      <c r="BI227" s="137"/>
      <c r="BJ227" s="137"/>
      <c r="BK227" s="137"/>
      <c r="BL227" s="137"/>
      <c r="BM227" s="137"/>
      <c r="BN227" s="137"/>
      <c r="BO227" s="137"/>
      <c r="BP227" s="137"/>
      <c r="BQ227" s="137"/>
      <c r="BR227" s="137"/>
      <c r="BS227" s="137"/>
      <c r="BV227" s="262"/>
      <c r="BW227" s="136"/>
      <c r="BX227" s="137"/>
      <c r="BY227" s="137"/>
      <c r="BZ227" s="137"/>
      <c r="CA227" s="137"/>
      <c r="CB227" s="137"/>
      <c r="CC227" s="258"/>
      <c r="CD227" s="258"/>
      <c r="CE227" s="258"/>
      <c r="CF227" s="258"/>
      <c r="CG227" s="258"/>
      <c r="CH227" s="258"/>
      <c r="CI227" s="258"/>
      <c r="CJ227" s="258"/>
      <c r="CK227" s="258"/>
      <c r="CL227" s="258"/>
      <c r="CM227" s="258"/>
    </row>
    <row r="228" spans="1:91" x14ac:dyDescent="0.25">
      <c r="A228" s="723"/>
      <c r="B228" s="723"/>
      <c r="K228" s="52"/>
      <c r="L228" s="135"/>
      <c r="N228" s="131"/>
      <c r="O228" s="131"/>
      <c r="P228" s="55"/>
      <c r="Q228" s="135"/>
      <c r="R228" s="135"/>
      <c r="U228" s="135"/>
      <c r="V228" s="146"/>
      <c r="W228" s="146"/>
      <c r="X228" s="338"/>
      <c r="Y228" s="338"/>
      <c r="Z228" s="338"/>
      <c r="AA228" s="338"/>
      <c r="AB228" s="338"/>
      <c r="AC228" s="338"/>
      <c r="AF228" s="138"/>
      <c r="AG228" s="138"/>
      <c r="AH228" s="138"/>
      <c r="AI228" s="138"/>
      <c r="AJ228" s="138"/>
      <c r="AM228" s="258"/>
      <c r="AN228" s="258"/>
      <c r="AO228" s="258"/>
      <c r="AP228" s="258"/>
      <c r="AR228" s="137"/>
      <c r="AT228" s="137"/>
      <c r="AV228" s="394"/>
      <c r="AW228" s="137"/>
      <c r="AX228" s="137"/>
      <c r="AY228" s="137"/>
      <c r="AZ228" s="137"/>
      <c r="BA228" s="264"/>
      <c r="BB228" s="258"/>
      <c r="BC228" s="258"/>
      <c r="BD228" s="137"/>
      <c r="BE228" s="137"/>
      <c r="BF228" s="137"/>
      <c r="BG228" s="137"/>
      <c r="BH228" s="137"/>
      <c r="BI228" s="137"/>
      <c r="BJ228" s="137"/>
      <c r="BK228" s="137"/>
      <c r="BL228" s="137"/>
      <c r="BM228" s="137"/>
      <c r="BN228" s="137"/>
      <c r="BO228" s="137"/>
      <c r="BP228" s="137"/>
      <c r="BQ228" s="137"/>
      <c r="BR228" s="137"/>
      <c r="BS228" s="137"/>
      <c r="BV228" s="262"/>
      <c r="BW228" s="136"/>
      <c r="BX228" s="137"/>
      <c r="BY228" s="137"/>
      <c r="BZ228" s="137"/>
      <c r="CA228" s="137"/>
      <c r="CB228" s="137"/>
      <c r="CC228" s="258"/>
      <c r="CD228" s="258"/>
      <c r="CE228" s="258"/>
      <c r="CF228" s="258"/>
      <c r="CG228" s="258"/>
      <c r="CH228" s="258"/>
      <c r="CI228" s="258"/>
      <c r="CJ228" s="258"/>
      <c r="CK228" s="258"/>
      <c r="CL228" s="258"/>
      <c r="CM228" s="258"/>
    </row>
    <row r="229" spans="1:91" x14ac:dyDescent="0.25">
      <c r="A229" s="723"/>
      <c r="B229" s="723"/>
      <c r="K229" s="52"/>
      <c r="L229" s="135"/>
      <c r="N229" s="131"/>
      <c r="O229" s="131"/>
      <c r="P229" s="55"/>
      <c r="Q229" s="135"/>
      <c r="R229" s="135"/>
      <c r="U229" s="135"/>
      <c r="V229" s="146"/>
      <c r="W229" s="146"/>
      <c r="X229" s="338"/>
      <c r="Y229" s="338"/>
      <c r="Z229" s="338"/>
      <c r="AA229" s="338"/>
      <c r="AB229" s="338"/>
      <c r="AC229" s="338"/>
      <c r="AF229" s="138"/>
      <c r="AG229" s="138"/>
      <c r="AH229" s="138"/>
      <c r="AI229" s="138"/>
      <c r="AJ229" s="138"/>
      <c r="AM229" s="258"/>
      <c r="AN229" s="258"/>
      <c r="AO229" s="258"/>
      <c r="AP229" s="258"/>
      <c r="AR229" s="137"/>
      <c r="AT229" s="137"/>
      <c r="AV229" s="394"/>
      <c r="AW229" s="137"/>
      <c r="AX229" s="137"/>
      <c r="AY229" s="137"/>
      <c r="AZ229" s="137"/>
      <c r="BA229" s="264"/>
      <c r="BB229" s="258"/>
      <c r="BC229" s="258"/>
      <c r="BD229" s="137"/>
      <c r="BE229" s="137"/>
      <c r="BF229" s="137"/>
      <c r="BG229" s="137"/>
      <c r="BH229" s="137"/>
      <c r="BI229" s="137"/>
      <c r="BJ229" s="137"/>
      <c r="BK229" s="137"/>
      <c r="BL229" s="137"/>
      <c r="BM229" s="137"/>
      <c r="BN229" s="137"/>
      <c r="BO229" s="137"/>
      <c r="BP229" s="137"/>
      <c r="BQ229" s="137"/>
      <c r="BR229" s="137"/>
      <c r="BS229" s="137"/>
      <c r="BV229" s="262"/>
      <c r="BW229" s="136"/>
      <c r="BX229" s="137"/>
      <c r="BY229" s="137"/>
      <c r="BZ229" s="137"/>
      <c r="CA229" s="137"/>
      <c r="CB229" s="137"/>
      <c r="CC229" s="258"/>
      <c r="CD229" s="258"/>
      <c r="CE229" s="258"/>
      <c r="CF229" s="258"/>
      <c r="CG229" s="258"/>
      <c r="CH229" s="258"/>
      <c r="CI229" s="258"/>
      <c r="CJ229" s="258"/>
      <c r="CK229" s="258"/>
      <c r="CL229" s="258"/>
      <c r="CM229" s="258"/>
    </row>
    <row r="230" spans="1:91" x14ac:dyDescent="0.25">
      <c r="A230" s="723"/>
      <c r="B230" s="723"/>
      <c r="K230" s="52"/>
      <c r="L230" s="135"/>
      <c r="N230" s="131"/>
      <c r="O230" s="131"/>
      <c r="P230" s="55"/>
      <c r="Q230" s="135"/>
      <c r="R230" s="135"/>
      <c r="U230" s="135"/>
      <c r="V230" s="146"/>
      <c r="W230" s="146"/>
      <c r="X230" s="338"/>
      <c r="Y230" s="338"/>
      <c r="Z230" s="338"/>
      <c r="AA230" s="338"/>
      <c r="AB230" s="338"/>
      <c r="AC230" s="338"/>
      <c r="AF230" s="138"/>
      <c r="AG230" s="138"/>
      <c r="AH230" s="138"/>
      <c r="AI230" s="138"/>
      <c r="AJ230" s="138"/>
      <c r="AM230" s="258"/>
      <c r="AN230" s="258"/>
      <c r="AO230" s="258"/>
      <c r="AP230" s="258"/>
      <c r="AR230" s="137"/>
      <c r="AT230" s="137"/>
      <c r="AV230" s="394"/>
      <c r="AW230" s="137"/>
      <c r="AX230" s="137"/>
      <c r="AY230" s="137"/>
      <c r="AZ230" s="137"/>
      <c r="BA230" s="264"/>
      <c r="BB230" s="258"/>
      <c r="BC230" s="258"/>
      <c r="BD230" s="137"/>
      <c r="BE230" s="137"/>
      <c r="BF230" s="137"/>
      <c r="BG230" s="137"/>
      <c r="BH230" s="137"/>
      <c r="BI230" s="137"/>
      <c r="BJ230" s="137"/>
      <c r="BK230" s="137"/>
      <c r="BL230" s="137"/>
      <c r="BM230" s="137"/>
      <c r="BN230" s="137"/>
      <c r="BO230" s="137"/>
      <c r="BP230" s="137"/>
      <c r="BQ230" s="137"/>
      <c r="BR230" s="137"/>
      <c r="BS230" s="137"/>
      <c r="BV230" s="262"/>
      <c r="BW230" s="136"/>
      <c r="BX230" s="137"/>
      <c r="BY230" s="137"/>
      <c r="BZ230" s="137"/>
      <c r="CA230" s="137"/>
      <c r="CB230" s="137"/>
      <c r="CC230" s="258"/>
      <c r="CD230" s="258"/>
      <c r="CE230" s="258"/>
      <c r="CF230" s="258"/>
      <c r="CG230" s="258"/>
      <c r="CH230" s="258"/>
      <c r="CI230" s="258"/>
      <c r="CJ230" s="258"/>
      <c r="CK230" s="258"/>
      <c r="CL230" s="258"/>
      <c r="CM230" s="258"/>
    </row>
    <row r="231" spans="1:91" x14ac:dyDescent="0.25">
      <c r="A231" s="723"/>
      <c r="B231" s="723"/>
      <c r="K231" s="52"/>
      <c r="L231" s="135"/>
      <c r="N231" s="131"/>
      <c r="O231" s="131"/>
      <c r="P231" s="55"/>
      <c r="Q231" s="135"/>
      <c r="R231" s="135"/>
      <c r="U231" s="135"/>
      <c r="V231" s="146"/>
      <c r="W231" s="146"/>
      <c r="X231" s="338"/>
      <c r="Y231" s="338"/>
      <c r="Z231" s="338"/>
      <c r="AA231" s="338"/>
      <c r="AB231" s="338"/>
      <c r="AC231" s="338"/>
      <c r="AF231" s="138"/>
      <c r="AG231" s="138"/>
      <c r="AH231" s="138"/>
      <c r="AI231" s="138"/>
      <c r="AJ231" s="138"/>
      <c r="AM231" s="258"/>
      <c r="AN231" s="258"/>
      <c r="AO231" s="258"/>
      <c r="AP231" s="258"/>
      <c r="AR231" s="137"/>
      <c r="AT231" s="137"/>
      <c r="AV231" s="394"/>
      <c r="AW231" s="137"/>
      <c r="AX231" s="137"/>
      <c r="AY231" s="137"/>
      <c r="AZ231" s="137"/>
      <c r="BA231" s="264"/>
      <c r="BB231" s="258"/>
      <c r="BC231" s="258"/>
      <c r="BD231" s="137"/>
      <c r="BE231" s="137"/>
      <c r="BF231" s="137"/>
      <c r="BG231" s="137"/>
      <c r="BH231" s="137"/>
      <c r="BI231" s="137"/>
      <c r="BJ231" s="137"/>
      <c r="BK231" s="137"/>
      <c r="BL231" s="137"/>
      <c r="BM231" s="137"/>
      <c r="BN231" s="137"/>
      <c r="BO231" s="137"/>
      <c r="BP231" s="137"/>
      <c r="BQ231" s="137"/>
      <c r="BR231" s="137"/>
      <c r="BS231" s="137"/>
      <c r="BV231" s="262"/>
      <c r="BW231" s="136"/>
      <c r="BX231" s="137"/>
      <c r="BY231" s="137"/>
      <c r="BZ231" s="137"/>
      <c r="CA231" s="137"/>
      <c r="CB231" s="137"/>
      <c r="CC231" s="258"/>
      <c r="CD231" s="258"/>
      <c r="CE231" s="258"/>
      <c r="CF231" s="258"/>
      <c r="CG231" s="258"/>
      <c r="CH231" s="258"/>
      <c r="CI231" s="258"/>
      <c r="CJ231" s="258"/>
      <c r="CK231" s="258"/>
      <c r="CL231" s="258"/>
      <c r="CM231" s="258"/>
    </row>
    <row r="232" spans="1:91" x14ac:dyDescent="0.25">
      <c r="A232" s="723"/>
      <c r="B232" s="723"/>
      <c r="K232" s="52"/>
      <c r="L232" s="135"/>
      <c r="N232" s="131"/>
      <c r="O232" s="131"/>
      <c r="P232" s="55"/>
      <c r="Q232" s="135"/>
      <c r="R232" s="135"/>
      <c r="U232" s="135"/>
      <c r="V232" s="146"/>
      <c r="W232" s="146"/>
      <c r="X232" s="338"/>
      <c r="Y232" s="338"/>
      <c r="Z232" s="338"/>
      <c r="AA232" s="338"/>
      <c r="AB232" s="338"/>
      <c r="AC232" s="338"/>
      <c r="AF232" s="138"/>
      <c r="AG232" s="138"/>
      <c r="AH232" s="138"/>
      <c r="AI232" s="138"/>
      <c r="AJ232" s="138"/>
      <c r="AM232" s="258"/>
      <c r="AN232" s="258"/>
      <c r="AO232" s="258"/>
      <c r="AP232" s="258"/>
      <c r="AR232" s="137"/>
      <c r="AT232" s="137"/>
      <c r="AV232" s="394"/>
      <c r="AW232" s="137"/>
      <c r="AX232" s="137"/>
      <c r="AY232" s="137"/>
      <c r="AZ232" s="137"/>
      <c r="BA232" s="264"/>
      <c r="BB232" s="258"/>
      <c r="BC232" s="258"/>
      <c r="BD232" s="137"/>
      <c r="BE232" s="137"/>
      <c r="BF232" s="137"/>
      <c r="BG232" s="137"/>
      <c r="BH232" s="137"/>
      <c r="BI232" s="137"/>
      <c r="BJ232" s="137"/>
      <c r="BK232" s="137"/>
      <c r="BL232" s="137"/>
      <c r="BM232" s="137"/>
      <c r="BN232" s="137"/>
      <c r="BO232" s="137"/>
      <c r="BP232" s="137"/>
      <c r="BQ232" s="137"/>
      <c r="BR232" s="137"/>
      <c r="BS232" s="137"/>
      <c r="BV232" s="262"/>
      <c r="BW232" s="136"/>
      <c r="BX232" s="137"/>
      <c r="BY232" s="137"/>
      <c r="BZ232" s="137"/>
      <c r="CA232" s="137"/>
      <c r="CB232" s="137"/>
      <c r="CC232" s="258"/>
      <c r="CD232" s="258"/>
      <c r="CE232" s="258"/>
      <c r="CF232" s="258"/>
      <c r="CG232" s="258"/>
      <c r="CH232" s="258"/>
      <c r="CI232" s="258"/>
      <c r="CJ232" s="258"/>
      <c r="CK232" s="258"/>
      <c r="CL232" s="258"/>
      <c r="CM232" s="258"/>
    </row>
    <row r="233" spans="1:91" x14ac:dyDescent="0.25">
      <c r="A233" s="723"/>
      <c r="B233" s="723"/>
      <c r="K233" s="52"/>
      <c r="L233" s="135"/>
      <c r="N233" s="131"/>
      <c r="O233" s="131"/>
      <c r="P233" s="55"/>
      <c r="Q233" s="135"/>
      <c r="R233" s="135"/>
      <c r="U233" s="135"/>
      <c r="V233" s="146"/>
      <c r="W233" s="146"/>
      <c r="X233" s="338"/>
      <c r="Y233" s="338"/>
      <c r="Z233" s="338"/>
      <c r="AA233" s="338"/>
      <c r="AB233" s="338"/>
      <c r="AC233" s="338"/>
      <c r="AF233" s="138"/>
      <c r="AG233" s="138"/>
      <c r="AH233" s="138"/>
      <c r="AI233" s="138"/>
      <c r="AJ233" s="138"/>
      <c r="AM233" s="258"/>
      <c r="AN233" s="258"/>
      <c r="AO233" s="258"/>
      <c r="AP233" s="258"/>
      <c r="AR233" s="137"/>
      <c r="AT233" s="137"/>
      <c r="AV233" s="394"/>
      <c r="AW233" s="137"/>
      <c r="AX233" s="137"/>
      <c r="AY233" s="137"/>
      <c r="AZ233" s="137"/>
      <c r="BA233" s="264"/>
      <c r="BB233" s="258"/>
      <c r="BC233" s="258"/>
      <c r="BD233" s="137"/>
      <c r="BE233" s="137"/>
      <c r="BF233" s="137"/>
      <c r="BG233" s="137"/>
      <c r="BH233" s="137"/>
      <c r="BI233" s="137"/>
      <c r="BJ233" s="137"/>
      <c r="BK233" s="137"/>
      <c r="BL233" s="137"/>
      <c r="BM233" s="137"/>
      <c r="BN233" s="137"/>
      <c r="BO233" s="137"/>
      <c r="BP233" s="137"/>
      <c r="BQ233" s="137"/>
      <c r="BR233" s="137"/>
      <c r="BS233" s="137"/>
      <c r="BV233" s="262"/>
      <c r="BW233" s="136"/>
      <c r="BX233" s="137"/>
      <c r="BY233" s="137"/>
      <c r="BZ233" s="137"/>
      <c r="CA233" s="137"/>
      <c r="CB233" s="137"/>
      <c r="CC233" s="258"/>
      <c r="CD233" s="258"/>
      <c r="CE233" s="258"/>
      <c r="CF233" s="258"/>
      <c r="CG233" s="258"/>
      <c r="CH233" s="258"/>
      <c r="CI233" s="258"/>
      <c r="CJ233" s="258"/>
      <c r="CK233" s="258"/>
      <c r="CL233" s="258"/>
      <c r="CM233" s="258"/>
    </row>
    <row r="234" spans="1:91" x14ac:dyDescent="0.25">
      <c r="A234" s="723"/>
      <c r="B234" s="723"/>
      <c r="K234" s="52"/>
      <c r="L234" s="135"/>
      <c r="N234" s="131"/>
      <c r="O234" s="131"/>
      <c r="P234" s="55"/>
      <c r="Q234" s="135"/>
      <c r="R234" s="135"/>
      <c r="U234" s="135"/>
      <c r="V234" s="146"/>
      <c r="W234" s="146"/>
      <c r="X234" s="338"/>
      <c r="Y234" s="338"/>
      <c r="Z234" s="338"/>
      <c r="AA234" s="338"/>
      <c r="AB234" s="338"/>
      <c r="AC234" s="338"/>
      <c r="AF234" s="138"/>
      <c r="AG234" s="138"/>
      <c r="AH234" s="138"/>
      <c r="AI234" s="138"/>
      <c r="AJ234" s="138"/>
      <c r="AM234" s="258"/>
      <c r="AN234" s="258"/>
      <c r="AO234" s="258"/>
      <c r="AP234" s="258"/>
      <c r="AR234" s="137"/>
      <c r="AT234" s="137"/>
      <c r="AV234" s="394"/>
      <c r="AW234" s="137"/>
      <c r="AX234" s="137"/>
      <c r="AY234" s="137"/>
      <c r="AZ234" s="137"/>
      <c r="BA234" s="264"/>
      <c r="BB234" s="258"/>
      <c r="BC234" s="258"/>
      <c r="BD234" s="137"/>
      <c r="BE234" s="137"/>
      <c r="BF234" s="137"/>
      <c r="BG234" s="137"/>
      <c r="BH234" s="137"/>
      <c r="BI234" s="137"/>
      <c r="BJ234" s="137"/>
      <c r="BK234" s="137"/>
      <c r="BL234" s="137"/>
      <c r="BM234" s="137"/>
      <c r="BN234" s="137"/>
      <c r="BO234" s="137"/>
      <c r="BP234" s="137"/>
      <c r="BQ234" s="137"/>
      <c r="BR234" s="137"/>
      <c r="BS234" s="137"/>
      <c r="BV234" s="262"/>
      <c r="BW234" s="136"/>
      <c r="BX234" s="137"/>
      <c r="BY234" s="137"/>
      <c r="BZ234" s="137"/>
      <c r="CA234" s="137"/>
      <c r="CB234" s="137"/>
      <c r="CC234" s="258"/>
      <c r="CD234" s="258"/>
      <c r="CE234" s="258"/>
      <c r="CF234" s="258"/>
      <c r="CG234" s="258"/>
      <c r="CH234" s="258"/>
      <c r="CI234" s="258"/>
      <c r="CJ234" s="258"/>
      <c r="CK234" s="258"/>
      <c r="CL234" s="258"/>
      <c r="CM234" s="258"/>
    </row>
    <row r="235" spans="1:91" x14ac:dyDescent="0.25">
      <c r="A235" s="723"/>
      <c r="B235" s="723"/>
      <c r="K235" s="52"/>
      <c r="L235" s="135"/>
      <c r="N235" s="131"/>
      <c r="O235" s="131"/>
      <c r="P235" s="55"/>
      <c r="Q235" s="135"/>
      <c r="R235" s="135"/>
      <c r="U235" s="135"/>
      <c r="V235" s="146"/>
      <c r="W235" s="146"/>
      <c r="X235" s="338"/>
      <c r="Y235" s="338"/>
      <c r="Z235" s="338"/>
      <c r="AA235" s="338"/>
      <c r="AB235" s="338"/>
      <c r="AC235" s="338"/>
      <c r="AF235" s="138"/>
      <c r="AG235" s="138"/>
      <c r="AH235" s="138"/>
      <c r="AI235" s="138"/>
      <c r="AJ235" s="138"/>
      <c r="AM235" s="258"/>
      <c r="AN235" s="258"/>
      <c r="AO235" s="258"/>
      <c r="AP235" s="258"/>
      <c r="AR235" s="137"/>
      <c r="AT235" s="137"/>
      <c r="AV235" s="394"/>
      <c r="AW235" s="137"/>
      <c r="AX235" s="137"/>
      <c r="AY235" s="137"/>
      <c r="AZ235" s="137"/>
      <c r="BA235" s="264"/>
      <c r="BB235" s="258"/>
      <c r="BC235" s="258"/>
      <c r="BD235" s="137"/>
      <c r="BE235" s="137"/>
      <c r="BF235" s="137"/>
      <c r="BG235" s="137"/>
      <c r="BH235" s="137"/>
      <c r="BI235" s="137"/>
      <c r="BJ235" s="137"/>
      <c r="BK235" s="137"/>
      <c r="BL235" s="137"/>
      <c r="BM235" s="137"/>
      <c r="BN235" s="137"/>
      <c r="BO235" s="137"/>
      <c r="BP235" s="137"/>
      <c r="BQ235" s="137"/>
      <c r="BR235" s="137"/>
      <c r="BS235" s="137"/>
      <c r="BV235" s="262"/>
      <c r="BW235" s="136"/>
      <c r="BX235" s="137"/>
      <c r="BY235" s="137"/>
      <c r="BZ235" s="137"/>
      <c r="CA235" s="137"/>
      <c r="CB235" s="137"/>
      <c r="CC235" s="258"/>
      <c r="CD235" s="258"/>
      <c r="CE235" s="258"/>
      <c r="CF235" s="258"/>
      <c r="CG235" s="258"/>
      <c r="CH235" s="258"/>
      <c r="CI235" s="258"/>
      <c r="CJ235" s="258"/>
      <c r="CK235" s="258"/>
      <c r="CL235" s="258"/>
      <c r="CM235" s="258"/>
    </row>
    <row r="236" spans="1:91" x14ac:dyDescent="0.25">
      <c r="A236" s="723"/>
      <c r="B236" s="723"/>
      <c r="K236" s="52"/>
      <c r="L236" s="135"/>
      <c r="N236" s="131"/>
      <c r="O236" s="131"/>
      <c r="P236" s="55"/>
      <c r="Q236" s="135"/>
      <c r="R236" s="135"/>
      <c r="U236" s="135"/>
      <c r="V236" s="146"/>
      <c r="W236" s="146"/>
      <c r="X236" s="338"/>
      <c r="Y236" s="338"/>
      <c r="Z236" s="338"/>
      <c r="AA236" s="338"/>
      <c r="AB236" s="338"/>
      <c r="AC236" s="338"/>
      <c r="AF236" s="138"/>
      <c r="AG236" s="138"/>
      <c r="AH236" s="138"/>
      <c r="AI236" s="138"/>
      <c r="AJ236" s="138"/>
      <c r="AM236" s="258"/>
      <c r="AN236" s="258"/>
      <c r="AO236" s="258"/>
      <c r="AP236" s="258"/>
      <c r="AR236" s="137"/>
      <c r="AT236" s="137"/>
      <c r="AV236" s="394"/>
      <c r="AW236" s="137"/>
      <c r="AX236" s="137"/>
      <c r="AY236" s="137"/>
      <c r="AZ236" s="137"/>
      <c r="BA236" s="264"/>
      <c r="BB236" s="258"/>
      <c r="BC236" s="258"/>
      <c r="BD236" s="137"/>
      <c r="BE236" s="137"/>
      <c r="BF236" s="137"/>
      <c r="BG236" s="137"/>
      <c r="BH236" s="137"/>
      <c r="BI236" s="137"/>
      <c r="BJ236" s="137"/>
      <c r="BK236" s="137"/>
      <c r="BL236" s="137"/>
      <c r="BM236" s="137"/>
      <c r="BN236" s="137"/>
      <c r="BO236" s="137"/>
      <c r="BP236" s="137"/>
      <c r="BQ236" s="137"/>
      <c r="BR236" s="137"/>
      <c r="BS236" s="137"/>
      <c r="BV236" s="262"/>
      <c r="BW236" s="136"/>
      <c r="BX236" s="137"/>
      <c r="BY236" s="137"/>
      <c r="BZ236" s="137"/>
      <c r="CA236" s="137"/>
      <c r="CB236" s="137"/>
      <c r="CC236" s="258"/>
      <c r="CD236" s="258"/>
      <c r="CE236" s="258"/>
      <c r="CF236" s="258"/>
      <c r="CG236" s="258"/>
      <c r="CH236" s="258"/>
      <c r="CI236" s="258"/>
      <c r="CJ236" s="258"/>
      <c r="CK236" s="258"/>
      <c r="CL236" s="258"/>
      <c r="CM236" s="258"/>
    </row>
    <row r="237" spans="1:91" x14ac:dyDescent="0.25">
      <c r="A237" s="723"/>
      <c r="B237" s="723"/>
      <c r="K237" s="52"/>
      <c r="L237" s="135"/>
      <c r="N237" s="131"/>
      <c r="O237" s="131"/>
      <c r="P237" s="55"/>
      <c r="Q237" s="135"/>
      <c r="R237" s="135"/>
      <c r="U237" s="135"/>
      <c r="V237" s="146"/>
      <c r="W237" s="146"/>
      <c r="X237" s="338"/>
      <c r="Y237" s="338"/>
      <c r="Z237" s="338"/>
      <c r="AA237" s="338"/>
      <c r="AB237" s="338"/>
      <c r="AC237" s="338"/>
      <c r="AF237" s="138"/>
      <c r="AG237" s="138"/>
      <c r="AH237" s="138"/>
      <c r="AI237" s="138"/>
      <c r="AJ237" s="138"/>
      <c r="AM237" s="258"/>
      <c r="AN237" s="258"/>
      <c r="AO237" s="258"/>
      <c r="AP237" s="258"/>
      <c r="AR237" s="137"/>
      <c r="AT237" s="137"/>
      <c r="AV237" s="394"/>
      <c r="AW237" s="137"/>
      <c r="AX237" s="137"/>
      <c r="AY237" s="137"/>
      <c r="AZ237" s="137"/>
      <c r="BA237" s="264"/>
      <c r="BB237" s="258"/>
      <c r="BC237" s="258"/>
      <c r="BD237" s="137"/>
      <c r="BE237" s="137"/>
      <c r="BF237" s="137"/>
      <c r="BG237" s="137"/>
      <c r="BH237" s="137"/>
      <c r="BI237" s="137"/>
      <c r="BJ237" s="137"/>
      <c r="BK237" s="137"/>
      <c r="BL237" s="137"/>
      <c r="BM237" s="137"/>
      <c r="BN237" s="137"/>
      <c r="BO237" s="137"/>
      <c r="BP237" s="137"/>
      <c r="BQ237" s="137"/>
      <c r="BR237" s="137"/>
      <c r="BS237" s="137"/>
      <c r="BV237" s="262"/>
      <c r="BW237" s="136"/>
      <c r="BX237" s="137"/>
      <c r="BY237" s="137"/>
      <c r="BZ237" s="137"/>
      <c r="CA237" s="137"/>
      <c r="CB237" s="137"/>
      <c r="CC237" s="258"/>
      <c r="CD237" s="258"/>
      <c r="CE237" s="258"/>
      <c r="CF237" s="258"/>
      <c r="CG237" s="258"/>
      <c r="CH237" s="258"/>
      <c r="CI237" s="258"/>
      <c r="CJ237" s="258"/>
      <c r="CK237" s="258"/>
      <c r="CL237" s="258"/>
      <c r="CM237" s="258"/>
    </row>
    <row r="238" spans="1:91" x14ac:dyDescent="0.25">
      <c r="A238" s="723"/>
      <c r="B238" s="723"/>
      <c r="K238" s="52"/>
      <c r="L238" s="135"/>
      <c r="N238" s="131"/>
      <c r="O238" s="131"/>
      <c r="P238" s="55"/>
      <c r="Q238" s="135"/>
      <c r="R238" s="135"/>
      <c r="U238" s="135"/>
      <c r="V238" s="146"/>
      <c r="W238" s="146"/>
      <c r="X238" s="338"/>
      <c r="Y238" s="338"/>
      <c r="Z238" s="338"/>
      <c r="AA238" s="338"/>
      <c r="AB238" s="338"/>
      <c r="AC238" s="338"/>
      <c r="AF238" s="138"/>
      <c r="AG238" s="138"/>
      <c r="AH238" s="138"/>
      <c r="AI238" s="138"/>
      <c r="AJ238" s="138"/>
      <c r="AM238" s="258"/>
      <c r="AN238" s="258"/>
      <c r="AO238" s="258"/>
      <c r="AP238" s="258"/>
      <c r="AR238" s="137"/>
      <c r="AT238" s="137"/>
      <c r="AV238" s="394"/>
      <c r="AW238" s="137"/>
      <c r="AX238" s="137"/>
      <c r="AY238" s="137"/>
      <c r="AZ238" s="137"/>
      <c r="BA238" s="264"/>
      <c r="BB238" s="258"/>
      <c r="BC238" s="258"/>
      <c r="BD238" s="137"/>
      <c r="BE238" s="137"/>
      <c r="BF238" s="137"/>
      <c r="BG238" s="137"/>
      <c r="BH238" s="137"/>
      <c r="BI238" s="137"/>
      <c r="BJ238" s="137"/>
      <c r="BK238" s="137"/>
      <c r="BL238" s="137"/>
      <c r="BM238" s="137"/>
      <c r="BN238" s="137"/>
      <c r="BO238" s="137"/>
      <c r="BP238" s="137"/>
      <c r="BQ238" s="137"/>
      <c r="BR238" s="137"/>
      <c r="BS238" s="137"/>
      <c r="BV238" s="262"/>
      <c r="BW238" s="136"/>
      <c r="BX238" s="137"/>
      <c r="BY238" s="137"/>
      <c r="BZ238" s="137"/>
      <c r="CA238" s="137"/>
      <c r="CB238" s="137"/>
      <c r="CC238" s="258"/>
      <c r="CD238" s="258"/>
      <c r="CE238" s="258"/>
      <c r="CF238" s="258"/>
      <c r="CG238" s="258"/>
      <c r="CH238" s="258"/>
      <c r="CI238" s="258"/>
      <c r="CJ238" s="258"/>
      <c r="CK238" s="258"/>
      <c r="CL238" s="258"/>
      <c r="CM238" s="258"/>
    </row>
    <row r="239" spans="1:91" x14ac:dyDescent="0.25">
      <c r="A239" s="723"/>
      <c r="B239" s="723"/>
      <c r="K239" s="52"/>
      <c r="L239" s="135"/>
      <c r="N239" s="131"/>
      <c r="O239" s="131"/>
      <c r="P239" s="55"/>
      <c r="Q239" s="135"/>
      <c r="R239" s="135"/>
      <c r="U239" s="135"/>
      <c r="V239" s="146"/>
      <c r="W239" s="146"/>
      <c r="X239" s="338"/>
      <c r="Y239" s="338"/>
      <c r="Z239" s="338"/>
      <c r="AA239" s="338"/>
      <c r="AB239" s="338"/>
      <c r="AC239" s="338"/>
      <c r="AF239" s="138"/>
      <c r="AG239" s="138"/>
      <c r="AH239" s="138"/>
      <c r="AI239" s="138"/>
      <c r="AJ239" s="138"/>
      <c r="AM239" s="258"/>
      <c r="AN239" s="258"/>
      <c r="AO239" s="258"/>
      <c r="AP239" s="258"/>
      <c r="AR239" s="137"/>
      <c r="AT239" s="137"/>
      <c r="AV239" s="394"/>
      <c r="AW239" s="137"/>
      <c r="AX239" s="137"/>
      <c r="AY239" s="137"/>
      <c r="AZ239" s="137"/>
      <c r="BA239" s="264"/>
      <c r="BB239" s="258"/>
      <c r="BC239" s="258"/>
      <c r="BD239" s="137"/>
      <c r="BE239" s="137"/>
      <c r="BF239" s="137"/>
      <c r="BG239" s="137"/>
      <c r="BH239" s="137"/>
      <c r="BI239" s="137"/>
      <c r="BJ239" s="137"/>
      <c r="BK239" s="137"/>
      <c r="BL239" s="137"/>
      <c r="BM239" s="137"/>
      <c r="BN239" s="137"/>
      <c r="BO239" s="137"/>
      <c r="BP239" s="137"/>
      <c r="BQ239" s="137"/>
      <c r="BR239" s="137"/>
      <c r="BS239" s="137"/>
      <c r="BV239" s="262"/>
      <c r="BW239" s="136"/>
      <c r="BX239" s="137"/>
      <c r="BY239" s="137"/>
      <c r="BZ239" s="137"/>
      <c r="CA239" s="137"/>
      <c r="CB239" s="137"/>
      <c r="CC239" s="258"/>
      <c r="CD239" s="258"/>
      <c r="CE239" s="258"/>
      <c r="CF239" s="258"/>
      <c r="CG239" s="258"/>
      <c r="CH239" s="258"/>
      <c r="CI239" s="258"/>
      <c r="CJ239" s="258"/>
      <c r="CK239" s="258"/>
      <c r="CL239" s="258"/>
      <c r="CM239" s="258"/>
    </row>
    <row r="240" spans="1:91" x14ac:dyDescent="0.25">
      <c r="A240" s="723"/>
      <c r="B240" s="723"/>
      <c r="K240" s="52"/>
      <c r="L240" s="135"/>
      <c r="N240" s="131"/>
      <c r="O240" s="131"/>
      <c r="P240" s="55"/>
      <c r="Q240" s="135"/>
      <c r="R240" s="135"/>
      <c r="U240" s="135"/>
      <c r="V240" s="146"/>
      <c r="W240" s="146"/>
      <c r="X240" s="338"/>
      <c r="Y240" s="338"/>
      <c r="Z240" s="338"/>
      <c r="AA240" s="338"/>
      <c r="AB240" s="338"/>
      <c r="AC240" s="338"/>
      <c r="AF240" s="138"/>
      <c r="AG240" s="138"/>
      <c r="AH240" s="138"/>
      <c r="AI240" s="138"/>
      <c r="AJ240" s="138"/>
      <c r="AM240" s="258"/>
      <c r="AN240" s="258"/>
      <c r="AO240" s="258"/>
      <c r="AP240" s="258"/>
      <c r="AR240" s="137"/>
      <c r="AT240" s="137"/>
      <c r="AV240" s="394"/>
      <c r="AW240" s="137"/>
      <c r="AX240" s="137"/>
      <c r="AY240" s="137"/>
      <c r="AZ240" s="137"/>
      <c r="BA240" s="264"/>
      <c r="BB240" s="258"/>
      <c r="BC240" s="258"/>
      <c r="BD240" s="137"/>
      <c r="BE240" s="137"/>
      <c r="BF240" s="137"/>
      <c r="BG240" s="137"/>
      <c r="BH240" s="137"/>
      <c r="BI240" s="137"/>
      <c r="BJ240" s="137"/>
      <c r="BK240" s="137"/>
      <c r="BL240" s="137"/>
      <c r="BM240" s="137"/>
      <c r="BN240" s="137"/>
      <c r="BO240" s="137"/>
      <c r="BP240" s="137"/>
      <c r="BQ240" s="137"/>
      <c r="BR240" s="137"/>
      <c r="BS240" s="137"/>
      <c r="BV240" s="262"/>
      <c r="BW240" s="136"/>
      <c r="BX240" s="137"/>
      <c r="BY240" s="137"/>
      <c r="BZ240" s="137"/>
      <c r="CA240" s="137"/>
      <c r="CB240" s="137"/>
      <c r="CC240" s="258"/>
      <c r="CD240" s="258"/>
      <c r="CE240" s="258"/>
      <c r="CF240" s="258"/>
      <c r="CG240" s="258"/>
      <c r="CH240" s="258"/>
      <c r="CI240" s="258"/>
      <c r="CJ240" s="258"/>
      <c r="CK240" s="258"/>
      <c r="CL240" s="258"/>
      <c r="CM240" s="258"/>
    </row>
    <row r="241" spans="1:91" x14ac:dyDescent="0.25">
      <c r="A241" s="723"/>
      <c r="B241" s="723"/>
      <c r="K241" s="52"/>
      <c r="L241" s="135"/>
      <c r="N241" s="131"/>
      <c r="O241" s="131"/>
      <c r="P241" s="55"/>
      <c r="Q241" s="135"/>
      <c r="R241" s="135"/>
      <c r="U241" s="135"/>
      <c r="V241" s="146"/>
      <c r="W241" s="146"/>
      <c r="X241" s="338"/>
      <c r="Y241" s="338"/>
      <c r="Z241" s="338"/>
      <c r="AA241" s="338"/>
      <c r="AB241" s="338"/>
      <c r="AC241" s="338"/>
      <c r="AF241" s="138"/>
      <c r="AG241" s="138"/>
      <c r="AH241" s="138"/>
      <c r="AI241" s="138"/>
      <c r="AJ241" s="138"/>
      <c r="AM241" s="258"/>
      <c r="AN241" s="258"/>
      <c r="AO241" s="258"/>
      <c r="AP241" s="258"/>
      <c r="AR241" s="137"/>
      <c r="AT241" s="137"/>
      <c r="AV241" s="394"/>
      <c r="AW241" s="137"/>
      <c r="AX241" s="137"/>
      <c r="AY241" s="137"/>
      <c r="AZ241" s="137"/>
      <c r="BA241" s="264"/>
      <c r="BB241" s="258"/>
      <c r="BC241" s="258"/>
      <c r="BD241" s="137"/>
      <c r="BE241" s="137"/>
      <c r="BF241" s="137"/>
      <c r="BG241" s="137"/>
      <c r="BH241" s="137"/>
      <c r="BI241" s="137"/>
      <c r="BJ241" s="137"/>
      <c r="BK241" s="137"/>
      <c r="BL241" s="137"/>
      <c r="BM241" s="137"/>
      <c r="BN241" s="137"/>
      <c r="BO241" s="137"/>
      <c r="BP241" s="137"/>
      <c r="BQ241" s="137"/>
      <c r="BR241" s="137"/>
      <c r="BS241" s="137"/>
      <c r="BV241" s="262"/>
      <c r="BW241" s="136"/>
      <c r="BX241" s="137"/>
      <c r="BY241" s="137"/>
      <c r="BZ241" s="137"/>
      <c r="CA241" s="137"/>
      <c r="CB241" s="137"/>
      <c r="CC241" s="258"/>
      <c r="CD241" s="258"/>
      <c r="CE241" s="258"/>
      <c r="CF241" s="258"/>
      <c r="CG241" s="258"/>
      <c r="CH241" s="258"/>
      <c r="CI241" s="258"/>
      <c r="CJ241" s="258"/>
      <c r="CK241" s="258"/>
      <c r="CL241" s="258"/>
      <c r="CM241" s="258"/>
    </row>
    <row r="242" spans="1:91" x14ac:dyDescent="0.25">
      <c r="A242" s="723"/>
      <c r="B242" s="723"/>
      <c r="K242" s="52"/>
      <c r="L242" s="135"/>
      <c r="N242" s="131"/>
      <c r="O242" s="131"/>
      <c r="P242" s="55"/>
      <c r="Q242" s="135"/>
      <c r="R242" s="135"/>
      <c r="U242" s="135"/>
      <c r="V242" s="146"/>
      <c r="W242" s="146"/>
      <c r="X242" s="338"/>
      <c r="Y242" s="338"/>
      <c r="Z242" s="338"/>
      <c r="AA242" s="338"/>
      <c r="AB242" s="338"/>
      <c r="AC242" s="338"/>
      <c r="AF242" s="138"/>
      <c r="AG242" s="138"/>
      <c r="AH242" s="138"/>
      <c r="AI242" s="138"/>
      <c r="AJ242" s="138"/>
      <c r="AM242" s="258"/>
      <c r="AN242" s="258"/>
      <c r="AO242" s="258"/>
      <c r="AP242" s="258"/>
      <c r="AR242" s="137"/>
      <c r="AT242" s="137"/>
      <c r="AV242" s="394"/>
      <c r="AW242" s="137"/>
      <c r="AX242" s="137"/>
      <c r="AY242" s="137"/>
      <c r="AZ242" s="137"/>
      <c r="BA242" s="264"/>
      <c r="BB242" s="258"/>
      <c r="BC242" s="258"/>
      <c r="BD242" s="137"/>
      <c r="BE242" s="137"/>
      <c r="BF242" s="137"/>
      <c r="BG242" s="137"/>
      <c r="BH242" s="137"/>
      <c r="BI242" s="137"/>
      <c r="BJ242" s="137"/>
      <c r="BK242" s="137"/>
      <c r="BL242" s="137"/>
      <c r="BM242" s="137"/>
      <c r="BN242" s="137"/>
      <c r="BO242" s="137"/>
      <c r="BP242" s="137"/>
      <c r="BQ242" s="137"/>
      <c r="BR242" s="137"/>
      <c r="BS242" s="137"/>
      <c r="BV242" s="262"/>
      <c r="BW242" s="136"/>
      <c r="BX242" s="137"/>
      <c r="BY242" s="137"/>
      <c r="BZ242" s="137"/>
      <c r="CA242" s="137"/>
      <c r="CB242" s="137"/>
      <c r="CC242" s="258"/>
      <c r="CD242" s="258"/>
      <c r="CE242" s="258"/>
      <c r="CF242" s="258"/>
      <c r="CG242" s="258"/>
      <c r="CH242" s="258"/>
      <c r="CI242" s="258"/>
      <c r="CJ242" s="258"/>
      <c r="CK242" s="258"/>
      <c r="CL242" s="258"/>
      <c r="CM242" s="258"/>
    </row>
    <row r="243" spans="1:91" x14ac:dyDescent="0.25">
      <c r="A243" s="723"/>
      <c r="B243" s="723"/>
      <c r="K243" s="52"/>
      <c r="L243" s="135"/>
      <c r="N243" s="131"/>
      <c r="O243" s="131"/>
      <c r="P243" s="55"/>
      <c r="Q243" s="135"/>
      <c r="R243" s="135"/>
      <c r="U243" s="135"/>
      <c r="V243" s="146"/>
      <c r="W243" s="146"/>
      <c r="X243" s="338"/>
      <c r="Y243" s="338"/>
      <c r="Z243" s="338"/>
      <c r="AA243" s="338"/>
      <c r="AB243" s="338"/>
      <c r="AC243" s="338"/>
      <c r="AF243" s="138"/>
      <c r="AG243" s="138"/>
      <c r="AH243" s="138"/>
      <c r="AI243" s="138"/>
      <c r="AJ243" s="138"/>
      <c r="AM243" s="258"/>
      <c r="AN243" s="258"/>
      <c r="AO243" s="258"/>
      <c r="AP243" s="258"/>
      <c r="AR243" s="137"/>
      <c r="AT243" s="137"/>
      <c r="AV243" s="394"/>
      <c r="AW243" s="137"/>
      <c r="AX243" s="137"/>
      <c r="AY243" s="137"/>
      <c r="AZ243" s="137"/>
      <c r="BA243" s="264"/>
      <c r="BB243" s="258"/>
      <c r="BC243" s="258"/>
      <c r="BD243" s="137"/>
      <c r="BE243" s="137"/>
      <c r="BF243" s="137"/>
      <c r="BG243" s="137"/>
      <c r="BH243" s="137"/>
      <c r="BI243" s="137"/>
      <c r="BJ243" s="137"/>
      <c r="BK243" s="137"/>
      <c r="BL243" s="137"/>
      <c r="BM243" s="137"/>
      <c r="BN243" s="137"/>
      <c r="BO243" s="137"/>
      <c r="BP243" s="137"/>
      <c r="BQ243" s="137"/>
      <c r="BR243" s="137"/>
      <c r="BS243" s="137"/>
      <c r="BV243" s="262"/>
      <c r="BW243" s="136"/>
      <c r="BX243" s="137"/>
      <c r="BY243" s="137"/>
      <c r="BZ243" s="137"/>
      <c r="CA243" s="137"/>
      <c r="CB243" s="137"/>
      <c r="CC243" s="258"/>
      <c r="CD243" s="258"/>
      <c r="CE243" s="258"/>
      <c r="CF243" s="258"/>
      <c r="CG243" s="258"/>
      <c r="CH243" s="258"/>
      <c r="CI243" s="258"/>
      <c r="CJ243" s="258"/>
      <c r="CK243" s="258"/>
      <c r="CL243" s="258"/>
      <c r="CM243" s="258"/>
    </row>
    <row r="244" spans="1:91" x14ac:dyDescent="0.25">
      <c r="A244" s="723"/>
      <c r="B244" s="723"/>
      <c r="K244" s="52"/>
      <c r="L244" s="135"/>
      <c r="N244" s="131"/>
      <c r="O244" s="131"/>
      <c r="P244" s="55"/>
      <c r="Q244" s="135"/>
      <c r="R244" s="135"/>
      <c r="U244" s="135"/>
      <c r="V244" s="146"/>
      <c r="W244" s="146"/>
      <c r="X244" s="338"/>
      <c r="Y244" s="338"/>
      <c r="Z244" s="338"/>
      <c r="AA244" s="338"/>
      <c r="AB244" s="338"/>
      <c r="AC244" s="338"/>
      <c r="AF244" s="138"/>
      <c r="AG244" s="138"/>
      <c r="AH244" s="138"/>
      <c r="AI244" s="138"/>
      <c r="AJ244" s="138"/>
      <c r="AM244" s="258"/>
      <c r="AN244" s="258"/>
      <c r="AO244" s="258"/>
      <c r="AP244" s="258"/>
      <c r="AR244" s="137"/>
      <c r="AT244" s="137"/>
      <c r="AV244" s="394"/>
      <c r="AW244" s="137"/>
      <c r="AX244" s="137"/>
      <c r="AY244" s="137"/>
      <c r="AZ244" s="137"/>
      <c r="BA244" s="264"/>
      <c r="BB244" s="258"/>
      <c r="BC244" s="258"/>
      <c r="BD244" s="137"/>
      <c r="BE244" s="137"/>
      <c r="BF244" s="137"/>
      <c r="BG244" s="137"/>
      <c r="BH244" s="137"/>
      <c r="BI244" s="137"/>
      <c r="BJ244" s="137"/>
      <c r="BK244" s="137"/>
      <c r="BL244" s="137"/>
      <c r="BM244" s="137"/>
      <c r="BN244" s="137"/>
      <c r="BO244" s="137"/>
      <c r="BP244" s="137"/>
      <c r="BQ244" s="137"/>
      <c r="BR244" s="137"/>
      <c r="BS244" s="137"/>
      <c r="BV244" s="262"/>
      <c r="BW244" s="136"/>
      <c r="BX244" s="137"/>
      <c r="BY244" s="137"/>
      <c r="BZ244" s="137"/>
      <c r="CA244" s="137"/>
      <c r="CB244" s="137"/>
      <c r="CC244" s="258"/>
      <c r="CD244" s="258"/>
      <c r="CE244" s="258"/>
      <c r="CF244" s="258"/>
      <c r="CG244" s="258"/>
      <c r="CH244" s="258"/>
      <c r="CI244" s="258"/>
      <c r="CJ244" s="258"/>
      <c r="CK244" s="258"/>
      <c r="CL244" s="258"/>
      <c r="CM244" s="258"/>
    </row>
    <row r="245" spans="1:91" x14ac:dyDescent="0.25">
      <c r="A245" s="723"/>
      <c r="B245" s="723"/>
      <c r="K245" s="52"/>
      <c r="L245" s="135"/>
      <c r="N245" s="131"/>
      <c r="O245" s="131"/>
      <c r="P245" s="55"/>
      <c r="Q245" s="135"/>
      <c r="R245" s="135"/>
      <c r="U245" s="135"/>
      <c r="V245" s="146"/>
      <c r="W245" s="146"/>
      <c r="X245" s="338"/>
      <c r="Y245" s="338"/>
      <c r="Z245" s="338"/>
      <c r="AA245" s="338"/>
      <c r="AB245" s="338"/>
      <c r="AC245" s="338"/>
      <c r="AF245" s="138"/>
      <c r="AG245" s="138"/>
      <c r="AH245" s="138"/>
      <c r="AI245" s="138"/>
      <c r="AJ245" s="138"/>
      <c r="AM245" s="258"/>
      <c r="AN245" s="258"/>
      <c r="AO245" s="258"/>
      <c r="AP245" s="258"/>
      <c r="AR245" s="137"/>
      <c r="AT245" s="137"/>
      <c r="AV245" s="394"/>
      <c r="AW245" s="137"/>
      <c r="AX245" s="137"/>
      <c r="AY245" s="137"/>
      <c r="AZ245" s="137"/>
      <c r="BA245" s="264"/>
      <c r="BB245" s="258"/>
      <c r="BC245" s="258"/>
      <c r="BD245" s="137"/>
      <c r="BE245" s="137"/>
      <c r="BF245" s="137"/>
      <c r="BG245" s="137"/>
      <c r="BH245" s="137"/>
      <c r="BI245" s="137"/>
      <c r="BJ245" s="137"/>
      <c r="BK245" s="137"/>
      <c r="BL245" s="137"/>
      <c r="BM245" s="137"/>
      <c r="BN245" s="137"/>
      <c r="BO245" s="137"/>
      <c r="BP245" s="137"/>
      <c r="BQ245" s="137"/>
      <c r="BR245" s="137"/>
      <c r="BS245" s="137"/>
      <c r="BV245" s="262"/>
      <c r="BW245" s="136"/>
      <c r="BX245" s="137"/>
      <c r="BY245" s="137"/>
      <c r="BZ245" s="137"/>
      <c r="CA245" s="137"/>
      <c r="CB245" s="137"/>
      <c r="CC245" s="258"/>
      <c r="CD245" s="258"/>
      <c r="CE245" s="258"/>
      <c r="CF245" s="258"/>
      <c r="CG245" s="258"/>
      <c r="CH245" s="258"/>
      <c r="CI245" s="258"/>
      <c r="CJ245" s="258"/>
      <c r="CK245" s="258"/>
      <c r="CL245" s="258"/>
      <c r="CM245" s="258"/>
    </row>
    <row r="246" spans="1:91" x14ac:dyDescent="0.25">
      <c r="A246" s="723"/>
      <c r="B246" s="723"/>
      <c r="K246" s="52"/>
      <c r="L246" s="135"/>
      <c r="N246" s="131"/>
      <c r="O246" s="131"/>
      <c r="P246" s="55"/>
      <c r="Q246" s="135"/>
      <c r="R246" s="135"/>
      <c r="U246" s="135"/>
      <c r="V246" s="146"/>
      <c r="W246" s="146"/>
      <c r="X246" s="338"/>
      <c r="Y246" s="338"/>
      <c r="Z246" s="338"/>
      <c r="AA246" s="338"/>
      <c r="AB246" s="338"/>
      <c r="AC246" s="338"/>
      <c r="AF246" s="138"/>
      <c r="AG246" s="138"/>
      <c r="AH246" s="138"/>
      <c r="AI246" s="138"/>
      <c r="AJ246" s="138"/>
      <c r="AM246" s="258"/>
      <c r="AN246" s="258"/>
      <c r="AO246" s="258"/>
      <c r="AP246" s="258"/>
      <c r="AR246" s="137"/>
      <c r="AT246" s="137"/>
      <c r="AV246" s="394"/>
      <c r="AW246" s="137"/>
      <c r="AX246" s="137"/>
      <c r="AY246" s="137"/>
      <c r="AZ246" s="137"/>
      <c r="BA246" s="264"/>
      <c r="BB246" s="258"/>
      <c r="BC246" s="258"/>
      <c r="BD246" s="137"/>
      <c r="BE246" s="137"/>
      <c r="BF246" s="137"/>
      <c r="BG246" s="137"/>
      <c r="BH246" s="137"/>
      <c r="BI246" s="137"/>
      <c r="BJ246" s="137"/>
      <c r="BK246" s="137"/>
      <c r="BL246" s="137"/>
      <c r="BM246" s="137"/>
      <c r="BN246" s="137"/>
      <c r="BO246" s="137"/>
      <c r="BP246" s="137"/>
      <c r="BQ246" s="137"/>
      <c r="BR246" s="137"/>
      <c r="BS246" s="137"/>
      <c r="BV246" s="262"/>
      <c r="BW246" s="136"/>
      <c r="BX246" s="137"/>
      <c r="BY246" s="137"/>
      <c r="BZ246" s="137"/>
      <c r="CA246" s="137"/>
      <c r="CB246" s="137"/>
      <c r="CC246" s="258"/>
      <c r="CD246" s="258"/>
      <c r="CE246" s="258"/>
      <c r="CF246" s="258"/>
      <c r="CG246" s="258"/>
      <c r="CH246" s="258"/>
      <c r="CI246" s="258"/>
      <c r="CJ246" s="258"/>
      <c r="CK246" s="258"/>
      <c r="CL246" s="258"/>
      <c r="CM246" s="258"/>
    </row>
    <row r="247" spans="1:91" x14ac:dyDescent="0.25">
      <c r="A247" s="723"/>
      <c r="B247" s="723"/>
      <c r="K247" s="52"/>
      <c r="L247" s="135"/>
      <c r="N247" s="131"/>
      <c r="O247" s="131"/>
      <c r="P247" s="55"/>
      <c r="Q247" s="135"/>
      <c r="R247" s="135"/>
      <c r="U247" s="135"/>
      <c r="V247" s="146"/>
      <c r="W247" s="146"/>
      <c r="X247" s="338"/>
      <c r="Y247" s="338"/>
      <c r="Z247" s="338"/>
      <c r="AA247" s="338"/>
      <c r="AB247" s="338"/>
      <c r="AC247" s="338"/>
      <c r="AF247" s="138"/>
      <c r="AG247" s="138"/>
      <c r="AH247" s="138"/>
      <c r="AI247" s="138"/>
      <c r="AJ247" s="138"/>
      <c r="AM247" s="258"/>
      <c r="AN247" s="258"/>
      <c r="AO247" s="258"/>
      <c r="AP247" s="258"/>
      <c r="AR247" s="137"/>
      <c r="AT247" s="137"/>
      <c r="AV247" s="394"/>
      <c r="AW247" s="137"/>
      <c r="AX247" s="137"/>
      <c r="AY247" s="137"/>
      <c r="AZ247" s="137"/>
      <c r="BA247" s="264"/>
      <c r="BB247" s="258"/>
      <c r="BC247" s="258"/>
      <c r="BD247" s="137"/>
      <c r="BE247" s="137"/>
      <c r="BF247" s="137"/>
      <c r="BG247" s="137"/>
      <c r="BH247" s="137"/>
      <c r="BI247" s="137"/>
      <c r="BJ247" s="137"/>
      <c r="BK247" s="137"/>
      <c r="BL247" s="137"/>
      <c r="BM247" s="137"/>
      <c r="BN247" s="137"/>
      <c r="BO247" s="137"/>
      <c r="BP247" s="137"/>
      <c r="BQ247" s="137"/>
      <c r="BR247" s="137"/>
      <c r="BS247" s="137"/>
      <c r="BV247" s="262"/>
      <c r="BW247" s="136"/>
      <c r="BX247" s="137"/>
      <c r="BY247" s="137"/>
      <c r="BZ247" s="137"/>
      <c r="CA247" s="137"/>
      <c r="CB247" s="137"/>
      <c r="CC247" s="258"/>
      <c r="CD247" s="258"/>
      <c r="CE247" s="258"/>
      <c r="CF247" s="258"/>
      <c r="CG247" s="258"/>
      <c r="CH247" s="258"/>
      <c r="CI247" s="258"/>
      <c r="CJ247" s="258"/>
      <c r="CK247" s="258"/>
      <c r="CL247" s="258"/>
      <c r="CM247" s="258"/>
    </row>
    <row r="248" spans="1:91" x14ac:dyDescent="0.25">
      <c r="A248" s="723"/>
      <c r="B248" s="723"/>
      <c r="K248" s="52"/>
      <c r="L248" s="135"/>
      <c r="N248" s="131"/>
      <c r="O248" s="131"/>
      <c r="P248" s="55"/>
      <c r="Q248" s="135"/>
      <c r="R248" s="135"/>
      <c r="U248" s="135"/>
      <c r="V248" s="146"/>
      <c r="W248" s="146"/>
      <c r="X248" s="338"/>
      <c r="Y248" s="338"/>
      <c r="Z248" s="338"/>
      <c r="AA248" s="338"/>
      <c r="AB248" s="338"/>
      <c r="AC248" s="338"/>
      <c r="AF248" s="138"/>
      <c r="AG248" s="138"/>
      <c r="AH248" s="138"/>
      <c r="AI248" s="138"/>
      <c r="AJ248" s="138"/>
      <c r="AM248" s="258"/>
      <c r="AN248" s="258"/>
      <c r="AO248" s="258"/>
      <c r="AP248" s="258"/>
      <c r="AR248" s="137"/>
      <c r="AT248" s="137"/>
      <c r="AV248" s="394"/>
      <c r="AW248" s="137"/>
      <c r="AX248" s="137"/>
      <c r="AY248" s="137"/>
      <c r="AZ248" s="137"/>
      <c r="BA248" s="264"/>
      <c r="BB248" s="258"/>
      <c r="BC248" s="258"/>
      <c r="BD248" s="137"/>
      <c r="BE248" s="137"/>
      <c r="BF248" s="137"/>
      <c r="BG248" s="137"/>
      <c r="BH248" s="137"/>
      <c r="BI248" s="137"/>
      <c r="BJ248" s="137"/>
      <c r="BK248" s="137"/>
      <c r="BL248" s="137"/>
      <c r="BM248" s="137"/>
      <c r="BN248" s="137"/>
      <c r="BO248" s="137"/>
      <c r="BP248" s="137"/>
      <c r="BQ248" s="137"/>
      <c r="BR248" s="137"/>
      <c r="BS248" s="137"/>
      <c r="BV248" s="262"/>
      <c r="BW248" s="136"/>
      <c r="BX248" s="137"/>
      <c r="BY248" s="137"/>
      <c r="BZ248" s="137"/>
      <c r="CA248" s="137"/>
      <c r="CB248" s="137"/>
      <c r="CC248" s="258"/>
      <c r="CD248" s="258"/>
      <c r="CE248" s="258"/>
      <c r="CF248" s="258"/>
      <c r="CG248" s="258"/>
      <c r="CH248" s="258"/>
      <c r="CI248" s="258"/>
      <c r="CJ248" s="258"/>
      <c r="CK248" s="258"/>
      <c r="CL248" s="258"/>
      <c r="CM248" s="258"/>
    </row>
    <row r="249" spans="1:91" x14ac:dyDescent="0.25">
      <c r="A249" s="723"/>
      <c r="B249" s="723"/>
      <c r="K249" s="52"/>
      <c r="L249" s="135"/>
      <c r="N249" s="131"/>
      <c r="O249" s="131"/>
      <c r="P249" s="55"/>
      <c r="Q249" s="135"/>
      <c r="R249" s="135"/>
      <c r="U249" s="135"/>
      <c r="V249" s="146"/>
      <c r="W249" s="146"/>
      <c r="X249" s="338"/>
      <c r="Y249" s="338"/>
      <c r="Z249" s="338"/>
      <c r="AA249" s="338"/>
      <c r="AB249" s="338"/>
      <c r="AC249" s="338"/>
      <c r="AF249" s="138"/>
      <c r="AG249" s="138"/>
      <c r="AH249" s="138"/>
      <c r="AI249" s="138"/>
      <c r="AJ249" s="138"/>
      <c r="AM249" s="258"/>
      <c r="AN249" s="258"/>
      <c r="AO249" s="258"/>
      <c r="AP249" s="258"/>
      <c r="AR249" s="137"/>
      <c r="AT249" s="137"/>
      <c r="AV249" s="394"/>
      <c r="AW249" s="137"/>
      <c r="AX249" s="137"/>
      <c r="AY249" s="137"/>
      <c r="AZ249" s="137"/>
      <c r="BA249" s="264"/>
      <c r="BB249" s="258"/>
      <c r="BC249" s="258"/>
      <c r="BD249" s="137"/>
      <c r="BE249" s="137"/>
      <c r="BF249" s="137"/>
      <c r="BG249" s="137"/>
      <c r="BH249" s="137"/>
      <c r="BI249" s="137"/>
      <c r="BJ249" s="137"/>
      <c r="BK249" s="137"/>
      <c r="BL249" s="137"/>
      <c r="BM249" s="137"/>
      <c r="BN249" s="137"/>
      <c r="BO249" s="137"/>
      <c r="BP249" s="137"/>
      <c r="BQ249" s="137"/>
      <c r="BR249" s="137"/>
      <c r="BS249" s="137"/>
      <c r="BV249" s="262"/>
      <c r="BW249" s="136"/>
      <c r="BX249" s="137"/>
      <c r="BY249" s="137"/>
      <c r="BZ249" s="137"/>
      <c r="CA249" s="137"/>
      <c r="CB249" s="137"/>
      <c r="CC249" s="258"/>
      <c r="CD249" s="258"/>
      <c r="CE249" s="258"/>
      <c r="CF249" s="258"/>
      <c r="CG249" s="258"/>
      <c r="CH249" s="258"/>
      <c r="CI249" s="258"/>
      <c r="CJ249" s="258"/>
      <c r="CK249" s="258"/>
      <c r="CL249" s="258"/>
      <c r="CM249" s="258"/>
    </row>
    <row r="250" spans="1:91" x14ac:dyDescent="0.25">
      <c r="A250" s="723"/>
      <c r="B250" s="723"/>
      <c r="K250" s="52"/>
      <c r="L250" s="135"/>
      <c r="N250" s="131"/>
      <c r="O250" s="131"/>
      <c r="P250" s="55"/>
      <c r="Q250" s="135"/>
      <c r="R250" s="135"/>
      <c r="U250" s="135"/>
      <c r="V250" s="146"/>
      <c r="W250" s="146"/>
      <c r="X250" s="338"/>
      <c r="Y250" s="338"/>
      <c r="Z250" s="338"/>
      <c r="AA250" s="338"/>
      <c r="AB250" s="338"/>
      <c r="AC250" s="338"/>
      <c r="AF250" s="138"/>
      <c r="AG250" s="138"/>
      <c r="AH250" s="138"/>
      <c r="AI250" s="138"/>
      <c r="AJ250" s="138"/>
      <c r="AM250" s="258"/>
      <c r="AN250" s="258"/>
      <c r="AO250" s="258"/>
      <c r="AP250" s="258"/>
      <c r="AR250" s="137"/>
      <c r="AT250" s="137"/>
      <c r="AV250" s="394"/>
      <c r="AW250" s="137"/>
      <c r="AX250" s="137"/>
      <c r="AY250" s="137"/>
      <c r="AZ250" s="137"/>
      <c r="BA250" s="264"/>
      <c r="BB250" s="258"/>
      <c r="BC250" s="258"/>
      <c r="BD250" s="137"/>
      <c r="BE250" s="137"/>
      <c r="BF250" s="137"/>
      <c r="BG250" s="137"/>
      <c r="BH250" s="137"/>
      <c r="BI250" s="137"/>
      <c r="BJ250" s="137"/>
      <c r="BK250" s="137"/>
      <c r="BL250" s="137"/>
      <c r="BM250" s="137"/>
      <c r="BN250" s="137"/>
      <c r="BO250" s="137"/>
      <c r="BP250" s="137"/>
      <c r="BQ250" s="137"/>
      <c r="BR250" s="137"/>
      <c r="BS250" s="137"/>
      <c r="BV250" s="262"/>
      <c r="BW250" s="136"/>
      <c r="BX250" s="137"/>
      <c r="BY250" s="137"/>
      <c r="BZ250" s="137"/>
      <c r="CA250" s="137"/>
      <c r="CB250" s="137"/>
      <c r="CC250" s="258"/>
      <c r="CD250" s="258"/>
      <c r="CE250" s="258"/>
      <c r="CF250" s="258"/>
      <c r="CG250" s="258"/>
      <c r="CH250" s="258"/>
      <c r="CI250" s="258"/>
      <c r="CJ250" s="258"/>
      <c r="CK250" s="258"/>
      <c r="CL250" s="258"/>
      <c r="CM250" s="258"/>
    </row>
    <row r="251" spans="1:91" x14ac:dyDescent="0.25">
      <c r="A251" s="723"/>
      <c r="B251" s="723"/>
      <c r="K251" s="52"/>
      <c r="L251" s="135"/>
      <c r="N251" s="131"/>
      <c r="O251" s="131"/>
      <c r="P251" s="55"/>
      <c r="Q251" s="135"/>
      <c r="R251" s="135"/>
      <c r="U251" s="135"/>
      <c r="V251" s="146"/>
      <c r="W251" s="146"/>
      <c r="X251" s="338"/>
      <c r="Y251" s="338"/>
      <c r="Z251" s="338"/>
      <c r="AA251" s="338"/>
      <c r="AB251" s="338"/>
      <c r="AC251" s="338"/>
      <c r="AF251" s="138"/>
      <c r="AG251" s="138"/>
      <c r="AH251" s="138"/>
      <c r="AI251" s="138"/>
      <c r="AJ251" s="138"/>
      <c r="AM251" s="258"/>
      <c r="AN251" s="258"/>
      <c r="AO251" s="258"/>
      <c r="AP251" s="258"/>
      <c r="AR251" s="137"/>
      <c r="AT251" s="137"/>
      <c r="AV251" s="394"/>
      <c r="AW251" s="137"/>
      <c r="AX251" s="137"/>
      <c r="AY251" s="137"/>
      <c r="AZ251" s="137"/>
      <c r="BA251" s="264"/>
      <c r="BB251" s="258"/>
      <c r="BC251" s="258"/>
      <c r="BD251" s="137"/>
      <c r="BE251" s="137"/>
      <c r="BF251" s="137"/>
      <c r="BG251" s="137"/>
      <c r="BH251" s="137"/>
      <c r="BI251" s="137"/>
      <c r="BJ251" s="137"/>
      <c r="BK251" s="137"/>
      <c r="BL251" s="137"/>
      <c r="BM251" s="137"/>
      <c r="BN251" s="137"/>
      <c r="BO251" s="137"/>
      <c r="BP251" s="137"/>
      <c r="BQ251" s="137"/>
      <c r="BR251" s="137"/>
      <c r="BS251" s="137"/>
      <c r="BV251" s="262"/>
      <c r="BW251" s="136"/>
      <c r="BX251" s="137"/>
      <c r="BY251" s="137"/>
      <c r="BZ251" s="137"/>
      <c r="CA251" s="137"/>
      <c r="CB251" s="137"/>
      <c r="CC251" s="258"/>
      <c r="CD251" s="258"/>
      <c r="CE251" s="258"/>
      <c r="CF251" s="258"/>
      <c r="CG251" s="258"/>
      <c r="CH251" s="258"/>
      <c r="CI251" s="258"/>
      <c r="CJ251" s="258"/>
      <c r="CK251" s="258"/>
      <c r="CL251" s="258"/>
      <c r="CM251" s="258"/>
    </row>
    <row r="252" spans="1:91" x14ac:dyDescent="0.25">
      <c r="A252" s="723"/>
      <c r="B252" s="723"/>
      <c r="K252" s="52"/>
      <c r="L252" s="135"/>
      <c r="N252" s="131"/>
      <c r="O252" s="131"/>
      <c r="P252" s="55"/>
      <c r="Q252" s="135"/>
      <c r="R252" s="135"/>
      <c r="U252" s="135"/>
      <c r="V252" s="146"/>
      <c r="W252" s="146"/>
      <c r="X252" s="338"/>
      <c r="Y252" s="338"/>
      <c r="Z252" s="338"/>
      <c r="AA252" s="338"/>
      <c r="AB252" s="338"/>
      <c r="AC252" s="338"/>
      <c r="AF252" s="138"/>
      <c r="AG252" s="138"/>
      <c r="AH252" s="138"/>
      <c r="AI252" s="138"/>
      <c r="AJ252" s="138"/>
      <c r="AM252" s="258"/>
      <c r="AN252" s="258"/>
      <c r="AO252" s="258"/>
      <c r="AP252" s="258"/>
      <c r="AR252" s="137"/>
      <c r="AT252" s="137"/>
      <c r="AV252" s="394"/>
      <c r="AW252" s="137"/>
      <c r="AX252" s="137"/>
      <c r="AY252" s="137"/>
      <c r="AZ252" s="137"/>
      <c r="BA252" s="264"/>
      <c r="BB252" s="258"/>
      <c r="BC252" s="258"/>
      <c r="BD252" s="137"/>
      <c r="BE252" s="137"/>
      <c r="BF252" s="137"/>
      <c r="BG252" s="137"/>
      <c r="BH252" s="137"/>
      <c r="BI252" s="137"/>
      <c r="BJ252" s="137"/>
      <c r="BK252" s="137"/>
      <c r="BL252" s="137"/>
      <c r="BM252" s="137"/>
      <c r="BN252" s="137"/>
      <c r="BO252" s="137"/>
      <c r="BP252" s="137"/>
      <c r="BQ252" s="137"/>
      <c r="BR252" s="137"/>
      <c r="BS252" s="137"/>
      <c r="BV252" s="262"/>
      <c r="BW252" s="136"/>
      <c r="BX252" s="137"/>
      <c r="BY252" s="137"/>
      <c r="BZ252" s="137"/>
      <c r="CA252" s="137"/>
      <c r="CB252" s="137"/>
      <c r="CC252" s="258"/>
      <c r="CD252" s="258"/>
      <c r="CE252" s="258"/>
      <c r="CF252" s="258"/>
      <c r="CG252" s="258"/>
      <c r="CH252" s="258"/>
      <c r="CI252" s="258"/>
      <c r="CJ252" s="258"/>
      <c r="CK252" s="258"/>
      <c r="CL252" s="258"/>
      <c r="CM252" s="258"/>
    </row>
    <row r="253" spans="1:91" x14ac:dyDescent="0.25">
      <c r="A253" s="723"/>
      <c r="B253" s="723"/>
      <c r="K253" s="52"/>
      <c r="L253" s="135"/>
      <c r="N253" s="131"/>
      <c r="O253" s="131"/>
      <c r="P253" s="55"/>
      <c r="Q253" s="135"/>
      <c r="R253" s="135"/>
      <c r="U253" s="135"/>
      <c r="V253" s="146"/>
      <c r="W253" s="146"/>
      <c r="X253" s="338"/>
      <c r="Y253" s="338"/>
      <c r="Z253" s="338"/>
      <c r="AA253" s="338"/>
      <c r="AB253" s="338"/>
      <c r="AC253" s="338"/>
      <c r="AF253" s="138"/>
      <c r="AG253" s="138"/>
      <c r="AH253" s="138"/>
      <c r="AI253" s="138"/>
      <c r="AJ253" s="138"/>
      <c r="AM253" s="258"/>
      <c r="AN253" s="258"/>
      <c r="AO253" s="258"/>
      <c r="AP253" s="258"/>
      <c r="AR253" s="137"/>
      <c r="AT253" s="137"/>
      <c r="AV253" s="394"/>
      <c r="AW253" s="137"/>
      <c r="AX253" s="137"/>
      <c r="AY253" s="137"/>
      <c r="AZ253" s="137"/>
      <c r="BA253" s="264"/>
      <c r="BB253" s="258"/>
      <c r="BC253" s="258"/>
      <c r="BD253" s="137"/>
      <c r="BE253" s="137"/>
      <c r="BF253" s="137"/>
      <c r="BG253" s="137"/>
      <c r="BH253" s="137"/>
      <c r="BI253" s="137"/>
      <c r="BJ253" s="137"/>
      <c r="BK253" s="137"/>
      <c r="BL253" s="137"/>
      <c r="BM253" s="137"/>
      <c r="BN253" s="137"/>
      <c r="BO253" s="137"/>
      <c r="BP253" s="137"/>
      <c r="BQ253" s="137"/>
      <c r="BR253" s="137"/>
      <c r="BS253" s="137"/>
      <c r="BV253" s="262"/>
      <c r="BW253" s="136"/>
      <c r="BX253" s="137"/>
      <c r="BY253" s="137"/>
      <c r="BZ253" s="137"/>
      <c r="CA253" s="137"/>
      <c r="CB253" s="137"/>
      <c r="CC253" s="258"/>
      <c r="CD253" s="258"/>
      <c r="CE253" s="258"/>
      <c r="CF253" s="258"/>
      <c r="CG253" s="258"/>
      <c r="CH253" s="258"/>
      <c r="CI253" s="258"/>
      <c r="CJ253" s="258"/>
      <c r="CK253" s="258"/>
      <c r="CL253" s="258"/>
      <c r="CM253" s="258"/>
    </row>
    <row r="254" spans="1:91" x14ac:dyDescent="0.25">
      <c r="A254" s="723"/>
      <c r="B254" s="723"/>
      <c r="K254" s="52"/>
      <c r="L254" s="135"/>
      <c r="N254" s="131"/>
      <c r="O254" s="131"/>
      <c r="P254" s="55"/>
      <c r="Q254" s="135"/>
      <c r="R254" s="135"/>
      <c r="U254" s="135"/>
      <c r="V254" s="146"/>
      <c r="W254" s="146"/>
      <c r="X254" s="338"/>
      <c r="Y254" s="338"/>
      <c r="Z254" s="338"/>
      <c r="AA254" s="338"/>
      <c r="AB254" s="338"/>
      <c r="AC254" s="338"/>
      <c r="AF254" s="138"/>
      <c r="AG254" s="138"/>
      <c r="AH254" s="138"/>
      <c r="AI254" s="138"/>
      <c r="AJ254" s="138"/>
      <c r="AM254" s="258"/>
      <c r="AN254" s="258"/>
      <c r="AO254" s="258"/>
      <c r="AP254" s="258"/>
      <c r="AR254" s="137"/>
      <c r="AT254" s="137"/>
      <c r="AV254" s="394"/>
      <c r="AW254" s="137"/>
      <c r="AX254" s="137"/>
      <c r="AY254" s="137"/>
      <c r="AZ254" s="137"/>
      <c r="BA254" s="264"/>
      <c r="BB254" s="258"/>
      <c r="BC254" s="258"/>
      <c r="BD254" s="137"/>
      <c r="BE254" s="137"/>
      <c r="BF254" s="137"/>
      <c r="BG254" s="137"/>
      <c r="BH254" s="137"/>
      <c r="BI254" s="137"/>
      <c r="BJ254" s="137"/>
      <c r="BK254" s="137"/>
      <c r="BL254" s="137"/>
      <c r="BM254" s="137"/>
      <c r="BN254" s="137"/>
      <c r="BO254" s="137"/>
      <c r="BP254" s="137"/>
      <c r="BQ254" s="137"/>
      <c r="BR254" s="137"/>
      <c r="BS254" s="137"/>
      <c r="BV254" s="262"/>
      <c r="BW254" s="136"/>
      <c r="BX254" s="137"/>
      <c r="BY254" s="137"/>
      <c r="BZ254" s="137"/>
      <c r="CA254" s="137"/>
      <c r="CB254" s="137"/>
      <c r="CC254" s="258"/>
      <c r="CD254" s="258"/>
      <c r="CE254" s="258"/>
      <c r="CF254" s="258"/>
      <c r="CG254" s="258"/>
      <c r="CH254" s="258"/>
      <c r="CI254" s="258"/>
      <c r="CJ254" s="258"/>
      <c r="CK254" s="258"/>
      <c r="CL254" s="258"/>
      <c r="CM254" s="258"/>
    </row>
    <row r="255" spans="1:91" x14ac:dyDescent="0.25">
      <c r="A255" s="723"/>
      <c r="B255" s="723"/>
      <c r="K255" s="52"/>
      <c r="L255" s="135"/>
      <c r="N255" s="131"/>
      <c r="O255" s="131"/>
      <c r="P255" s="55"/>
      <c r="Q255" s="135"/>
      <c r="R255" s="135"/>
      <c r="U255" s="135"/>
      <c r="V255" s="146"/>
      <c r="W255" s="146"/>
      <c r="X255" s="338"/>
      <c r="Y255" s="338"/>
      <c r="Z255" s="338"/>
      <c r="AA255" s="338"/>
      <c r="AB255" s="338"/>
      <c r="AC255" s="338"/>
      <c r="AF255" s="138"/>
      <c r="AG255" s="138"/>
      <c r="AH255" s="138"/>
      <c r="AI255" s="138"/>
      <c r="AJ255" s="138"/>
      <c r="AM255" s="258"/>
      <c r="AN255" s="258"/>
      <c r="AO255" s="258"/>
      <c r="AP255" s="258"/>
      <c r="AR255" s="137"/>
      <c r="AT255" s="137"/>
      <c r="AV255" s="394"/>
      <c r="AW255" s="137"/>
      <c r="AX255" s="137"/>
      <c r="AY255" s="137"/>
      <c r="AZ255" s="137"/>
      <c r="BA255" s="264"/>
      <c r="BB255" s="258"/>
      <c r="BC255" s="258"/>
      <c r="BD255" s="137"/>
      <c r="BE255" s="137"/>
      <c r="BF255" s="137"/>
      <c r="BG255" s="137"/>
      <c r="BH255" s="137"/>
      <c r="BI255" s="137"/>
      <c r="BJ255" s="137"/>
      <c r="BK255" s="137"/>
      <c r="BL255" s="137"/>
      <c r="BM255" s="137"/>
      <c r="BN255" s="137"/>
      <c r="BO255" s="137"/>
      <c r="BP255" s="137"/>
      <c r="BQ255" s="137"/>
      <c r="BR255" s="137"/>
      <c r="BS255" s="137"/>
      <c r="BV255" s="262"/>
      <c r="BW255" s="136"/>
      <c r="BX255" s="137"/>
      <c r="BY255" s="137"/>
      <c r="BZ255" s="137"/>
      <c r="CA255" s="137"/>
      <c r="CB255" s="137"/>
      <c r="CC255" s="258"/>
      <c r="CD255" s="258"/>
      <c r="CE255" s="258"/>
      <c r="CF255" s="258"/>
      <c r="CG255" s="258"/>
      <c r="CH255" s="258"/>
      <c r="CI255" s="258"/>
      <c r="CJ255" s="258"/>
      <c r="CK255" s="258"/>
      <c r="CL255" s="258"/>
      <c r="CM255" s="258"/>
    </row>
    <row r="256" spans="1:91" x14ac:dyDescent="0.25">
      <c r="A256" s="723"/>
      <c r="B256" s="723"/>
      <c r="K256" s="52"/>
      <c r="L256" s="135"/>
      <c r="N256" s="131"/>
      <c r="O256" s="131"/>
      <c r="P256" s="55"/>
      <c r="Q256" s="135"/>
      <c r="R256" s="135"/>
      <c r="U256" s="135"/>
      <c r="V256" s="146"/>
      <c r="W256" s="146"/>
      <c r="X256" s="338"/>
      <c r="Y256" s="338"/>
      <c r="Z256" s="338"/>
      <c r="AA256" s="338"/>
      <c r="AB256" s="338"/>
      <c r="AC256" s="338"/>
      <c r="AF256" s="138"/>
      <c r="AG256" s="138"/>
      <c r="AH256" s="138"/>
      <c r="AI256" s="138"/>
      <c r="AJ256" s="138"/>
      <c r="AM256" s="258"/>
      <c r="AN256" s="258"/>
      <c r="AO256" s="258"/>
      <c r="AP256" s="258"/>
      <c r="AR256" s="137"/>
      <c r="AT256" s="137"/>
      <c r="AV256" s="394"/>
      <c r="AW256" s="137"/>
      <c r="AX256" s="137"/>
      <c r="AY256" s="137"/>
      <c r="AZ256" s="137"/>
      <c r="BA256" s="264"/>
      <c r="BB256" s="258"/>
      <c r="BC256" s="258"/>
      <c r="BD256" s="137"/>
      <c r="BE256" s="137"/>
      <c r="BF256" s="137"/>
      <c r="BG256" s="137"/>
      <c r="BH256" s="137"/>
      <c r="BI256" s="137"/>
      <c r="BJ256" s="137"/>
      <c r="BK256" s="137"/>
      <c r="BL256" s="137"/>
      <c r="BM256" s="137"/>
      <c r="BN256" s="137"/>
      <c r="BO256" s="137"/>
      <c r="BP256" s="137"/>
      <c r="BQ256" s="137"/>
      <c r="BR256" s="137"/>
      <c r="BS256" s="137"/>
      <c r="BV256" s="262"/>
      <c r="BW256" s="136"/>
      <c r="BX256" s="137"/>
      <c r="BY256" s="137"/>
      <c r="BZ256" s="137"/>
      <c r="CA256" s="137"/>
      <c r="CB256" s="137"/>
      <c r="CC256" s="258"/>
      <c r="CD256" s="258"/>
      <c r="CE256" s="258"/>
      <c r="CF256" s="258"/>
      <c r="CG256" s="258"/>
      <c r="CH256" s="258"/>
      <c r="CI256" s="258"/>
      <c r="CJ256" s="258"/>
      <c r="CK256" s="258"/>
      <c r="CL256" s="258"/>
      <c r="CM256" s="258"/>
    </row>
    <row r="257" spans="1:91" x14ac:dyDescent="0.25">
      <c r="A257" s="723"/>
      <c r="B257" s="723"/>
      <c r="K257" s="52"/>
      <c r="L257" s="135"/>
      <c r="N257" s="131"/>
      <c r="O257" s="131"/>
      <c r="P257" s="55"/>
      <c r="Q257" s="135"/>
      <c r="R257" s="135"/>
      <c r="U257" s="135"/>
      <c r="V257" s="146"/>
      <c r="W257" s="146"/>
      <c r="X257" s="338"/>
      <c r="Y257" s="338"/>
      <c r="Z257" s="338"/>
      <c r="AA257" s="338"/>
      <c r="AB257" s="338"/>
      <c r="AC257" s="338"/>
      <c r="AF257" s="138"/>
      <c r="AG257" s="138"/>
      <c r="AH257" s="138"/>
      <c r="AI257" s="138"/>
      <c r="AJ257" s="138"/>
      <c r="AM257" s="258"/>
      <c r="AN257" s="258"/>
      <c r="AO257" s="258"/>
      <c r="AP257" s="258"/>
      <c r="AR257" s="137"/>
      <c r="AT257" s="137"/>
      <c r="AV257" s="394"/>
      <c r="AW257" s="137"/>
      <c r="AX257" s="137"/>
      <c r="AY257" s="137"/>
      <c r="AZ257" s="137"/>
      <c r="BA257" s="264"/>
      <c r="BB257" s="258"/>
      <c r="BC257" s="258"/>
      <c r="BD257" s="137"/>
      <c r="BE257" s="137"/>
      <c r="BF257" s="137"/>
      <c r="BG257" s="137"/>
      <c r="BH257" s="137"/>
      <c r="BI257" s="137"/>
      <c r="BJ257" s="137"/>
      <c r="BK257" s="137"/>
      <c r="BL257" s="137"/>
      <c r="BM257" s="137"/>
      <c r="BN257" s="137"/>
      <c r="BO257" s="137"/>
      <c r="BP257" s="137"/>
      <c r="BQ257" s="137"/>
      <c r="BR257" s="137"/>
      <c r="BS257" s="137"/>
      <c r="BV257" s="262"/>
      <c r="BW257" s="136"/>
      <c r="BX257" s="137"/>
      <c r="BY257" s="137"/>
      <c r="BZ257" s="137"/>
      <c r="CA257" s="137"/>
      <c r="CB257" s="137"/>
      <c r="CC257" s="258"/>
      <c r="CD257" s="258"/>
      <c r="CE257" s="258"/>
      <c r="CF257" s="258"/>
      <c r="CG257" s="258"/>
      <c r="CH257" s="258"/>
      <c r="CI257" s="258"/>
      <c r="CJ257" s="258"/>
      <c r="CK257" s="258"/>
      <c r="CL257" s="258"/>
      <c r="CM257" s="258"/>
    </row>
    <row r="258" spans="1:91" x14ac:dyDescent="0.25">
      <c r="A258" s="723"/>
      <c r="B258" s="723"/>
      <c r="K258" s="52"/>
      <c r="L258" s="135"/>
      <c r="N258" s="131"/>
      <c r="O258" s="131"/>
      <c r="P258" s="55"/>
      <c r="Q258" s="135"/>
      <c r="R258" s="135"/>
      <c r="U258" s="135"/>
      <c r="V258" s="146"/>
      <c r="W258" s="146"/>
      <c r="X258" s="338"/>
      <c r="Y258" s="338"/>
      <c r="Z258" s="338"/>
      <c r="AA258" s="338"/>
      <c r="AB258" s="338"/>
      <c r="AC258" s="338"/>
      <c r="AF258" s="138"/>
      <c r="AG258" s="138"/>
      <c r="AH258" s="138"/>
      <c r="AI258" s="138"/>
      <c r="AJ258" s="138"/>
      <c r="AM258" s="258"/>
      <c r="AN258" s="258"/>
      <c r="AO258" s="258"/>
      <c r="AP258" s="258"/>
      <c r="AR258" s="137"/>
      <c r="AT258" s="137"/>
      <c r="AV258" s="394"/>
      <c r="AW258" s="137"/>
      <c r="AX258" s="137"/>
      <c r="AY258" s="137"/>
      <c r="AZ258" s="137"/>
      <c r="BA258" s="264"/>
      <c r="BB258" s="258"/>
      <c r="BC258" s="258"/>
      <c r="BD258" s="137"/>
      <c r="BE258" s="137"/>
      <c r="BF258" s="137"/>
      <c r="BG258" s="137"/>
      <c r="BH258" s="137"/>
      <c r="BI258" s="137"/>
      <c r="BJ258" s="137"/>
      <c r="BK258" s="137"/>
      <c r="BL258" s="137"/>
      <c r="BM258" s="137"/>
      <c r="BN258" s="137"/>
      <c r="BO258" s="137"/>
      <c r="BP258" s="137"/>
      <c r="BQ258" s="137"/>
      <c r="BR258" s="137"/>
      <c r="BS258" s="137"/>
      <c r="BV258" s="262"/>
      <c r="BW258" s="136"/>
      <c r="BX258" s="137"/>
      <c r="BY258" s="137"/>
      <c r="BZ258" s="137"/>
      <c r="CA258" s="137"/>
      <c r="CB258" s="137"/>
      <c r="CC258" s="258"/>
      <c r="CD258" s="258"/>
      <c r="CE258" s="258"/>
      <c r="CF258" s="258"/>
      <c r="CG258" s="258"/>
      <c r="CH258" s="258"/>
      <c r="CI258" s="258"/>
      <c r="CJ258" s="258"/>
      <c r="CK258" s="258"/>
      <c r="CL258" s="258"/>
      <c r="CM258" s="258"/>
    </row>
    <row r="259" spans="1:91" x14ac:dyDescent="0.25">
      <c r="A259" s="723"/>
      <c r="B259" s="723"/>
      <c r="K259" s="52"/>
      <c r="L259" s="135"/>
      <c r="N259" s="131"/>
      <c r="O259" s="131"/>
      <c r="P259" s="55"/>
      <c r="Q259" s="135"/>
      <c r="R259" s="135"/>
      <c r="U259" s="135"/>
      <c r="V259" s="146"/>
      <c r="W259" s="146"/>
      <c r="X259" s="338"/>
      <c r="Y259" s="338"/>
      <c r="Z259" s="338"/>
      <c r="AA259" s="338"/>
      <c r="AB259" s="338"/>
      <c r="AC259" s="338"/>
      <c r="AF259" s="138"/>
      <c r="AG259" s="138"/>
      <c r="AH259" s="138"/>
      <c r="AI259" s="138"/>
      <c r="AJ259" s="138"/>
      <c r="AM259" s="258"/>
      <c r="AN259" s="258"/>
      <c r="AO259" s="258"/>
      <c r="AP259" s="258"/>
      <c r="AR259" s="137"/>
      <c r="AT259" s="137"/>
      <c r="AV259" s="394"/>
      <c r="AW259" s="137"/>
      <c r="AX259" s="137"/>
      <c r="AY259" s="137"/>
      <c r="AZ259" s="137"/>
      <c r="BA259" s="264"/>
      <c r="BB259" s="258"/>
      <c r="BC259" s="258"/>
      <c r="BD259" s="137"/>
      <c r="BE259" s="137"/>
      <c r="BF259" s="137"/>
      <c r="BG259" s="137"/>
      <c r="BH259" s="137"/>
      <c r="BI259" s="137"/>
      <c r="BJ259" s="137"/>
      <c r="BK259" s="137"/>
      <c r="BL259" s="137"/>
      <c r="BM259" s="137"/>
      <c r="BN259" s="137"/>
      <c r="BO259" s="137"/>
      <c r="BP259" s="137"/>
      <c r="BQ259" s="137"/>
      <c r="BR259" s="137"/>
      <c r="BS259" s="137"/>
      <c r="BV259" s="262"/>
      <c r="BW259" s="136"/>
      <c r="BX259" s="137"/>
      <c r="BY259" s="137"/>
      <c r="BZ259" s="137"/>
      <c r="CA259" s="137"/>
      <c r="CB259" s="137"/>
      <c r="CC259" s="258"/>
      <c r="CD259" s="258"/>
      <c r="CE259" s="258"/>
      <c r="CF259" s="258"/>
      <c r="CG259" s="258"/>
      <c r="CH259" s="258"/>
      <c r="CI259" s="258"/>
      <c r="CJ259" s="258"/>
      <c r="CK259" s="258"/>
      <c r="CL259" s="258"/>
      <c r="CM259" s="258"/>
    </row>
    <row r="260" spans="1:91" x14ac:dyDescent="0.25">
      <c r="A260" s="723"/>
      <c r="B260" s="723"/>
      <c r="K260" s="52"/>
      <c r="L260" s="135"/>
      <c r="N260" s="131"/>
      <c r="O260" s="131"/>
      <c r="P260" s="55"/>
      <c r="Q260" s="135"/>
      <c r="R260" s="135"/>
      <c r="U260" s="135"/>
      <c r="V260" s="146"/>
      <c r="W260" s="146"/>
      <c r="X260" s="338"/>
      <c r="Y260" s="338"/>
      <c r="Z260" s="338"/>
      <c r="AA260" s="338"/>
      <c r="AB260" s="338"/>
      <c r="AC260" s="338"/>
      <c r="AF260" s="138"/>
      <c r="AG260" s="138"/>
      <c r="AH260" s="138"/>
      <c r="AI260" s="138"/>
      <c r="AJ260" s="138"/>
      <c r="AM260" s="258"/>
      <c r="AN260" s="258"/>
      <c r="AO260" s="258"/>
      <c r="AP260" s="258"/>
      <c r="AR260" s="137"/>
      <c r="AT260" s="137"/>
      <c r="AV260" s="394"/>
      <c r="AW260" s="137"/>
      <c r="AX260" s="137"/>
      <c r="AY260" s="137"/>
      <c r="AZ260" s="137"/>
      <c r="BA260" s="264"/>
      <c r="BB260" s="258"/>
      <c r="BC260" s="258"/>
      <c r="BD260" s="137"/>
      <c r="BE260" s="137"/>
      <c r="BF260" s="137"/>
      <c r="BG260" s="137"/>
      <c r="BH260" s="137"/>
      <c r="BI260" s="137"/>
      <c r="BJ260" s="137"/>
      <c r="BK260" s="137"/>
      <c r="BL260" s="137"/>
      <c r="BM260" s="137"/>
      <c r="BN260" s="137"/>
      <c r="BO260" s="137"/>
      <c r="BP260" s="137"/>
      <c r="BQ260" s="137"/>
      <c r="BR260" s="137"/>
      <c r="BS260" s="137"/>
      <c r="BV260" s="262"/>
      <c r="BW260" s="136"/>
      <c r="BX260" s="137"/>
      <c r="BY260" s="137"/>
      <c r="BZ260" s="137"/>
      <c r="CA260" s="137"/>
      <c r="CB260" s="137"/>
      <c r="CC260" s="258"/>
      <c r="CD260" s="258"/>
      <c r="CE260" s="258"/>
      <c r="CF260" s="258"/>
      <c r="CG260" s="258"/>
      <c r="CH260" s="258"/>
      <c r="CI260" s="258"/>
      <c r="CJ260" s="258"/>
      <c r="CK260" s="258"/>
      <c r="CL260" s="258"/>
      <c r="CM260" s="258"/>
    </row>
    <row r="261" spans="1:91" x14ac:dyDescent="0.25">
      <c r="A261" s="723"/>
      <c r="B261" s="723"/>
      <c r="K261" s="52"/>
      <c r="L261" s="135"/>
      <c r="N261" s="131"/>
      <c r="O261" s="131"/>
      <c r="P261" s="55"/>
      <c r="Q261" s="135"/>
      <c r="R261" s="135"/>
      <c r="U261" s="135"/>
      <c r="V261" s="146"/>
      <c r="W261" s="146"/>
      <c r="X261" s="338"/>
      <c r="Y261" s="338"/>
      <c r="Z261" s="338"/>
      <c r="AA261" s="338"/>
      <c r="AB261" s="338"/>
      <c r="AC261" s="338"/>
      <c r="AF261" s="138"/>
      <c r="AG261" s="138"/>
      <c r="AH261" s="138"/>
      <c r="AI261" s="138"/>
      <c r="AJ261" s="138"/>
      <c r="AM261" s="258"/>
      <c r="AN261" s="258"/>
      <c r="AO261" s="258"/>
      <c r="AP261" s="258"/>
      <c r="AR261" s="137"/>
      <c r="AT261" s="137"/>
      <c r="AV261" s="394"/>
      <c r="AW261" s="137"/>
      <c r="AX261" s="137"/>
      <c r="AY261" s="137"/>
      <c r="AZ261" s="137"/>
      <c r="BA261" s="264"/>
      <c r="BB261" s="258"/>
      <c r="BC261" s="258"/>
      <c r="BD261" s="137"/>
      <c r="BE261" s="137"/>
      <c r="BF261" s="137"/>
      <c r="BG261" s="137"/>
      <c r="BH261" s="137"/>
      <c r="BI261" s="137"/>
      <c r="BJ261" s="137"/>
      <c r="BK261" s="137"/>
      <c r="BL261" s="137"/>
      <c r="BM261" s="137"/>
      <c r="BN261" s="137"/>
      <c r="BO261" s="137"/>
      <c r="BP261" s="137"/>
      <c r="BQ261" s="137"/>
      <c r="BR261" s="137"/>
      <c r="BS261" s="137"/>
      <c r="BV261" s="262"/>
      <c r="BW261" s="136"/>
      <c r="BX261" s="137"/>
      <c r="BY261" s="137"/>
      <c r="BZ261" s="137"/>
      <c r="CA261" s="137"/>
      <c r="CB261" s="137"/>
      <c r="CC261" s="258"/>
      <c r="CD261" s="258"/>
      <c r="CE261" s="258"/>
      <c r="CF261" s="258"/>
      <c r="CG261" s="258"/>
      <c r="CH261" s="258"/>
      <c r="CI261" s="258"/>
      <c r="CJ261" s="258"/>
      <c r="CK261" s="258"/>
      <c r="CL261" s="258"/>
      <c r="CM261" s="258"/>
    </row>
    <row r="262" spans="1:91" x14ac:dyDescent="0.25">
      <c r="A262" s="723"/>
      <c r="B262" s="723"/>
    </row>
    <row r="263" spans="1:91" x14ac:dyDescent="0.25">
      <c r="A263" s="723"/>
      <c r="B263" s="723"/>
    </row>
    <row r="264" spans="1:91" x14ac:dyDescent="0.25">
      <c r="A264" s="723"/>
      <c r="B264" s="723"/>
    </row>
    <row r="265" spans="1:91" x14ac:dyDescent="0.25">
      <c r="A265" s="723"/>
      <c r="B265" s="723"/>
    </row>
    <row r="266" spans="1:91" x14ac:dyDescent="0.25">
      <c r="A266" s="723"/>
      <c r="B266" s="723"/>
    </row>
    <row r="267" spans="1:91" x14ac:dyDescent="0.25">
      <c r="A267" s="723"/>
      <c r="B267" s="723"/>
    </row>
    <row r="268" spans="1:91" x14ac:dyDescent="0.25">
      <c r="A268" s="723"/>
      <c r="B268" s="723"/>
    </row>
    <row r="269" spans="1:91" x14ac:dyDescent="0.25">
      <c r="A269" s="723"/>
      <c r="B269" s="723"/>
    </row>
    <row r="270" spans="1:91" x14ac:dyDescent="0.25">
      <c r="A270" s="723"/>
      <c r="B270" s="723"/>
    </row>
  </sheetData>
  <sheetCalcPr fullCalcOnLoad="1"/>
  <mergeCells count="274">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31:B31"/>
    <mergeCell ref="A24:B24"/>
    <mergeCell ref="A25:B25"/>
    <mergeCell ref="A26:B26"/>
    <mergeCell ref="L18:M18"/>
    <mergeCell ref="L19:M19"/>
    <mergeCell ref="A22:B22"/>
    <mergeCell ref="A23:B23"/>
    <mergeCell ref="A34:B34"/>
    <mergeCell ref="A35:B35"/>
    <mergeCell ref="A36:B36"/>
    <mergeCell ref="A37:B37"/>
    <mergeCell ref="A27:C27"/>
    <mergeCell ref="A32:B32"/>
    <mergeCell ref="A33:B33"/>
    <mergeCell ref="A28:B28"/>
    <mergeCell ref="A29:B29"/>
    <mergeCell ref="A30:B30"/>
    <mergeCell ref="A42:B42"/>
    <mergeCell ref="A43:B43"/>
    <mergeCell ref="A44:B44"/>
    <mergeCell ref="A45:B45"/>
    <mergeCell ref="A38:B38"/>
    <mergeCell ref="A39:B39"/>
    <mergeCell ref="A40:B40"/>
    <mergeCell ref="A41:B41"/>
    <mergeCell ref="A50:B50"/>
    <mergeCell ref="A51:B51"/>
    <mergeCell ref="A52:B52"/>
    <mergeCell ref="A53:B53"/>
    <mergeCell ref="A46:B46"/>
    <mergeCell ref="A47:B47"/>
    <mergeCell ref="A48:B48"/>
    <mergeCell ref="A49:B49"/>
    <mergeCell ref="A58:B58"/>
    <mergeCell ref="A59:B59"/>
    <mergeCell ref="A60:B60"/>
    <mergeCell ref="A61:B61"/>
    <mergeCell ref="A54:B54"/>
    <mergeCell ref="A55:B55"/>
    <mergeCell ref="A56:B56"/>
    <mergeCell ref="A57:B57"/>
    <mergeCell ref="A66:B66"/>
    <mergeCell ref="A67:B67"/>
    <mergeCell ref="A68:B68"/>
    <mergeCell ref="A69:B69"/>
    <mergeCell ref="A62:B62"/>
    <mergeCell ref="A63:B63"/>
    <mergeCell ref="A64:B64"/>
    <mergeCell ref="A65:B65"/>
    <mergeCell ref="A74:B74"/>
    <mergeCell ref="A75:B75"/>
    <mergeCell ref="A76:B76"/>
    <mergeCell ref="A77:B77"/>
    <mergeCell ref="A70:B70"/>
    <mergeCell ref="A71:B71"/>
    <mergeCell ref="A72:B72"/>
    <mergeCell ref="A73:B73"/>
    <mergeCell ref="A82:B82"/>
    <mergeCell ref="A83:B83"/>
    <mergeCell ref="A84:B84"/>
    <mergeCell ref="A85:B85"/>
    <mergeCell ref="A78:B78"/>
    <mergeCell ref="A79:B79"/>
    <mergeCell ref="A80:B80"/>
    <mergeCell ref="A81:B81"/>
    <mergeCell ref="A90:B90"/>
    <mergeCell ref="A91:B91"/>
    <mergeCell ref="A92:B92"/>
    <mergeCell ref="A93:B93"/>
    <mergeCell ref="A86:B86"/>
    <mergeCell ref="A87:B87"/>
    <mergeCell ref="A88:B88"/>
    <mergeCell ref="A89:B89"/>
    <mergeCell ref="A98:B98"/>
    <mergeCell ref="A99:B99"/>
    <mergeCell ref="A100:B100"/>
    <mergeCell ref="A101:B101"/>
    <mergeCell ref="A94:B94"/>
    <mergeCell ref="A95:B95"/>
    <mergeCell ref="A96:B96"/>
    <mergeCell ref="A97:B97"/>
    <mergeCell ref="A106:B106"/>
    <mergeCell ref="A107:B107"/>
    <mergeCell ref="A108:B108"/>
    <mergeCell ref="A109:B109"/>
    <mergeCell ref="A102:B102"/>
    <mergeCell ref="A103:B103"/>
    <mergeCell ref="A104:B104"/>
    <mergeCell ref="A105:B105"/>
    <mergeCell ref="A114:B114"/>
    <mergeCell ref="A115:B115"/>
    <mergeCell ref="A116:B116"/>
    <mergeCell ref="A117:B117"/>
    <mergeCell ref="A110:B110"/>
    <mergeCell ref="A111:B111"/>
    <mergeCell ref="A112:B112"/>
    <mergeCell ref="A113:B113"/>
    <mergeCell ref="A122:B122"/>
    <mergeCell ref="A123:B123"/>
    <mergeCell ref="A124:B124"/>
    <mergeCell ref="A125:B125"/>
    <mergeCell ref="A118:B118"/>
    <mergeCell ref="A119:B119"/>
    <mergeCell ref="A120:B120"/>
    <mergeCell ref="A121:B121"/>
    <mergeCell ref="A130:B130"/>
    <mergeCell ref="A131:B131"/>
    <mergeCell ref="A132:B132"/>
    <mergeCell ref="A133:B133"/>
    <mergeCell ref="A126:B126"/>
    <mergeCell ref="A127:B127"/>
    <mergeCell ref="A128:B128"/>
    <mergeCell ref="A129:B129"/>
    <mergeCell ref="A138:B138"/>
    <mergeCell ref="A139:B139"/>
    <mergeCell ref="A140:B140"/>
    <mergeCell ref="A141:B141"/>
    <mergeCell ref="A134:B134"/>
    <mergeCell ref="A135:B135"/>
    <mergeCell ref="A136:B136"/>
    <mergeCell ref="A137:B137"/>
    <mergeCell ref="A146:B146"/>
    <mergeCell ref="A147:B147"/>
    <mergeCell ref="A148:B148"/>
    <mergeCell ref="A149:B149"/>
    <mergeCell ref="A142:B142"/>
    <mergeCell ref="A143:B143"/>
    <mergeCell ref="A144:B144"/>
    <mergeCell ref="A145:B145"/>
    <mergeCell ref="A154:B154"/>
    <mergeCell ref="A155:B155"/>
    <mergeCell ref="A156:B156"/>
    <mergeCell ref="A157:B157"/>
    <mergeCell ref="A150:B150"/>
    <mergeCell ref="A151:B151"/>
    <mergeCell ref="A152:B152"/>
    <mergeCell ref="A153:B153"/>
    <mergeCell ref="A162:B162"/>
    <mergeCell ref="A163:B163"/>
    <mergeCell ref="A164:B164"/>
    <mergeCell ref="A165:B165"/>
    <mergeCell ref="A158:B158"/>
    <mergeCell ref="A159:B159"/>
    <mergeCell ref="A160:B160"/>
    <mergeCell ref="A161:B161"/>
    <mergeCell ref="A170:B170"/>
    <mergeCell ref="A171:B171"/>
    <mergeCell ref="A172:B172"/>
    <mergeCell ref="A173:B173"/>
    <mergeCell ref="A166:B166"/>
    <mergeCell ref="A167:B167"/>
    <mergeCell ref="A168:B168"/>
    <mergeCell ref="A169:B169"/>
    <mergeCell ref="A178:B178"/>
    <mergeCell ref="A179:B179"/>
    <mergeCell ref="A180:B180"/>
    <mergeCell ref="A181:B181"/>
    <mergeCell ref="A174:B174"/>
    <mergeCell ref="A175:B175"/>
    <mergeCell ref="A176:B176"/>
    <mergeCell ref="A177:B177"/>
    <mergeCell ref="A186:B186"/>
    <mergeCell ref="A187:B187"/>
    <mergeCell ref="A188:B188"/>
    <mergeCell ref="A189:B189"/>
    <mergeCell ref="A182:B182"/>
    <mergeCell ref="A183:B183"/>
    <mergeCell ref="A184:B184"/>
    <mergeCell ref="A185:B185"/>
    <mergeCell ref="A194:B194"/>
    <mergeCell ref="A195:B195"/>
    <mergeCell ref="A196:B196"/>
    <mergeCell ref="A197:B197"/>
    <mergeCell ref="A190:B190"/>
    <mergeCell ref="A191:B191"/>
    <mergeCell ref="A192:B192"/>
    <mergeCell ref="A193:B193"/>
    <mergeCell ref="A202:B202"/>
    <mergeCell ref="A203:B203"/>
    <mergeCell ref="A204:B204"/>
    <mergeCell ref="A205:B205"/>
    <mergeCell ref="A198:B198"/>
    <mergeCell ref="A199:B199"/>
    <mergeCell ref="A200:B200"/>
    <mergeCell ref="A201:B201"/>
    <mergeCell ref="A210:B210"/>
    <mergeCell ref="A211:B211"/>
    <mergeCell ref="A212:B212"/>
    <mergeCell ref="A213:B213"/>
    <mergeCell ref="A206:B206"/>
    <mergeCell ref="A207:B207"/>
    <mergeCell ref="A208:B208"/>
    <mergeCell ref="A209:B209"/>
    <mergeCell ref="A218:B218"/>
    <mergeCell ref="A219:B219"/>
    <mergeCell ref="A220:B220"/>
    <mergeCell ref="A221:B221"/>
    <mergeCell ref="A214:B214"/>
    <mergeCell ref="A215:B215"/>
    <mergeCell ref="A216:B216"/>
    <mergeCell ref="A217:B217"/>
    <mergeCell ref="A226:B226"/>
    <mergeCell ref="A227:B227"/>
    <mergeCell ref="A228:B228"/>
    <mergeCell ref="A229:B229"/>
    <mergeCell ref="A222:B222"/>
    <mergeCell ref="A223:B223"/>
    <mergeCell ref="A224:B224"/>
    <mergeCell ref="A225:B225"/>
    <mergeCell ref="A234:B234"/>
    <mergeCell ref="A235:B235"/>
    <mergeCell ref="A236:B236"/>
    <mergeCell ref="A237:B237"/>
    <mergeCell ref="A230:B230"/>
    <mergeCell ref="A231:B231"/>
    <mergeCell ref="A232:B232"/>
    <mergeCell ref="A233:B233"/>
    <mergeCell ref="A242:B242"/>
    <mergeCell ref="A243:B243"/>
    <mergeCell ref="A244:B244"/>
    <mergeCell ref="A245:B245"/>
    <mergeCell ref="A238:B238"/>
    <mergeCell ref="A239:B239"/>
    <mergeCell ref="A240:B240"/>
    <mergeCell ref="A241:B241"/>
    <mergeCell ref="A250:B250"/>
    <mergeCell ref="A251:B251"/>
    <mergeCell ref="A252:B252"/>
    <mergeCell ref="A253:B253"/>
    <mergeCell ref="A246:B246"/>
    <mergeCell ref="A247:B247"/>
    <mergeCell ref="A248:B248"/>
    <mergeCell ref="A249:B249"/>
    <mergeCell ref="A258:B258"/>
    <mergeCell ref="A259:B259"/>
    <mergeCell ref="A260:B260"/>
    <mergeCell ref="A261:B261"/>
    <mergeCell ref="A254:B254"/>
    <mergeCell ref="A255:B255"/>
    <mergeCell ref="A256:B256"/>
    <mergeCell ref="A257:B257"/>
    <mergeCell ref="A270:B270"/>
    <mergeCell ref="A266:B266"/>
    <mergeCell ref="A267:B267"/>
    <mergeCell ref="A268:B268"/>
    <mergeCell ref="A269:B269"/>
    <mergeCell ref="A262:B262"/>
    <mergeCell ref="A263:B263"/>
    <mergeCell ref="A264:B264"/>
    <mergeCell ref="A265:B26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595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595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3">
    <pageSetUpPr autoPageBreaks="0"/>
  </sheetPr>
  <dimension ref="A1:CX96"/>
  <sheetViews>
    <sheetView topLeftCell="K1"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LongTerm54</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54</v>
      </c>
      <c r="F2" s="178" t="str">
        <f>GetRcptPoint($AH$12,$AH$13)</f>
        <v>FGT/Zone 2</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285058.340144291</v>
      </c>
      <c r="O4" s="352">
        <v>284972.79999999999</v>
      </c>
      <c r="P4" s="354">
        <f ca="1">N4-O4</f>
        <v>85.540144291007891</v>
      </c>
      <c r="S4" s="427" t="s">
        <v>635</v>
      </c>
      <c r="T4" s="422">
        <f ca="1">SUMPRODUCT(INDIRECT(CONCATENATE(V4,":",W4)),INDIRECT(CONCATENATE(AV2,":",AW2)),INDIRECT(CONCATENATE(AV3,":",AW3)))</f>
        <v>285054.39851641853</v>
      </c>
      <c r="V4" s="30" t="str">
        <f>ADDRESS(ROW(K22),COLUMN(K22))</f>
        <v>$K$22</v>
      </c>
      <c r="W4" s="30" t="str">
        <f ca="1">GetEnd($AV$1,V4)</f>
        <v>$K$89</v>
      </c>
      <c r="AF4" s="28"/>
      <c r="AG4" s="103" t="s">
        <v>32</v>
      </c>
      <c r="AH4" s="104">
        <f>GetRcptIndexCol($AH$12,$AH$13)</f>
        <v>109</v>
      </c>
      <c r="AI4" s="29"/>
      <c r="AJ4" s="103" t="s">
        <v>72</v>
      </c>
      <c r="AK4" s="104">
        <f>GetNymexCol(AK3)</f>
        <v>3</v>
      </c>
      <c r="AL4" s="34">
        <v>1</v>
      </c>
      <c r="AM4" s="45">
        <f t="shared" ref="AM4:AM15" si="0">GetVolume($AH$12,$AH$13,AT4)</f>
        <v>474</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250798.26617531697</v>
      </c>
      <c r="O5" s="352">
        <v>250721.61</v>
      </c>
      <c r="P5" s="355">
        <f ca="1">N5-O5</f>
        <v>76.656175316980807</v>
      </c>
      <c r="S5" s="428" t="s">
        <v>636</v>
      </c>
      <c r="T5" s="423">
        <f ca="1">SUMPRODUCT(INDIRECT(CONCATENATE(V5,":",W5)),INDIRECT(CONCATENATE(AV2,":",AW2)),INDIRECT(CONCATENATE(AV3,":",AW3)))</f>
        <v>3.9416278724351255</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474</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34260.073968974029</v>
      </c>
      <c r="O6" s="357">
        <v>34251.18</v>
      </c>
      <c r="P6" s="358">
        <f ca="1">N6-O6</f>
        <v>8.8939689740291215</v>
      </c>
      <c r="S6" s="428" t="s">
        <v>637</v>
      </c>
      <c r="T6" s="424">
        <f ca="1">SUMPRODUCT(INDIRECT(CONCATENATE(V6,":",W6)),INDIRECT(CONCATENATE(AV3,":",AW3)),INDIRECT(CONCATENATE(AX3,":",AY3)))</f>
        <v>668260.76785322942</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474</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709.58</v>
      </c>
      <c r="P7" s="355">
        <f ca="1">N7</f>
        <v>0</v>
      </c>
      <c r="S7" s="428" t="s">
        <v>638</v>
      </c>
      <c r="T7" s="425">
        <f ca="1">T5/T6</f>
        <v>5.89833798727629E-6</v>
      </c>
      <c r="AF7" s="28"/>
      <c r="AG7" s="103" t="s">
        <v>76</v>
      </c>
      <c r="AH7" s="104">
        <f>GetRcptOmicronCol($AH$12,$AH$13)</f>
        <v>17</v>
      </c>
      <c r="AI7" s="29"/>
      <c r="AJ7" s="103" t="s">
        <v>80</v>
      </c>
      <c r="AK7" s="104" t="str">
        <f>Configuration!$D$8</f>
        <v>Nymex Vol</v>
      </c>
      <c r="AL7" s="34">
        <v>4</v>
      </c>
      <c r="AM7" s="37">
        <f t="shared" si="0"/>
        <v>474</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-449.22</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300</v>
      </c>
      <c r="AN8" s="38">
        <f t="shared" si="1"/>
        <v>3.3399999999999999E-2</v>
      </c>
      <c r="AO8" s="39">
        <f t="shared" si="2"/>
        <v>2.75E-2</v>
      </c>
      <c r="AP8" s="38">
        <f t="shared" si="3"/>
        <v>0</v>
      </c>
      <c r="AQ8" s="38">
        <f t="shared" si="4"/>
        <v>0</v>
      </c>
      <c r="AR8" s="133">
        <f t="shared" si="5"/>
        <v>0</v>
      </c>
      <c r="AS8" s="40">
        <f t="shared" si="6"/>
        <v>0.37530000000000002</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300</v>
      </c>
      <c r="AN9" s="38">
        <f t="shared" si="1"/>
        <v>3.3399999999999999E-2</v>
      </c>
      <c r="AO9" s="39">
        <f t="shared" si="2"/>
        <v>2.75E-2</v>
      </c>
      <c r="AP9" s="38">
        <f t="shared" si="3"/>
        <v>0</v>
      </c>
      <c r="AQ9" s="38">
        <f t="shared" si="4"/>
        <v>0</v>
      </c>
      <c r="AR9" s="133">
        <f t="shared" si="5"/>
        <v>0</v>
      </c>
      <c r="AS9" s="40">
        <f t="shared" si="6"/>
        <v>0.37530000000000002</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2.8395479460178343</v>
      </c>
      <c r="L10" s="706" t="s">
        <v>628</v>
      </c>
      <c r="M10" s="707"/>
      <c r="N10" s="352">
        <f ca="1">-SUMPRODUCT(INDIRECT(CONCATENATE(AV10,":",AW10)),INDIRECT(CONCATENATE($AX$7,":",$AY$7)),INDIRECT(CONCATENATE($AV$3,":",$AW$3)))</f>
        <v>-60896.067769303714</v>
      </c>
      <c r="O10" s="352">
        <v>-60877.11</v>
      </c>
      <c r="P10" s="355">
        <f t="shared" ref="P10:P19" ca="1" si="10">N10-O10</f>
        <v>-18.957769303713576</v>
      </c>
      <c r="AF10" s="28"/>
      <c r="AG10" s="103" t="s">
        <v>142</v>
      </c>
      <c r="AH10" s="119" t="b">
        <f>GetGRIFactor($AH$12,$AH$13)</f>
        <v>1</v>
      </c>
      <c r="AI10" s="29"/>
      <c r="AJ10" s="29"/>
      <c r="AK10" s="29"/>
      <c r="AL10" s="34">
        <v>7</v>
      </c>
      <c r="AM10" s="37">
        <f t="shared" si="0"/>
        <v>300</v>
      </c>
      <c r="AN10" s="38">
        <f t="shared" si="1"/>
        <v>3.3399999999999999E-2</v>
      </c>
      <c r="AO10" s="39">
        <f t="shared" si="2"/>
        <v>2.75E-2</v>
      </c>
      <c r="AP10" s="38">
        <f t="shared" si="3"/>
        <v>0</v>
      </c>
      <c r="AQ10" s="38">
        <f t="shared" si="4"/>
        <v>0</v>
      </c>
      <c r="AR10" s="133">
        <f t="shared" si="5"/>
        <v>0</v>
      </c>
      <c r="AS10" s="40">
        <f t="shared" si="6"/>
        <v>0.37530000000000002</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64269.465569444976</v>
      </c>
      <c r="L11" s="704" t="s">
        <v>629</v>
      </c>
      <c r="M11" s="705"/>
      <c r="N11" s="356">
        <f ca="1">-SUMPRODUCT(INDIRECT(CONCATENATE(AV11,":",AW11)),INDIRECT(CONCATENATE($AV$2,":",$AW$2)),INDIRECT(CONCATENATE($AV$3,":",$AW$3)),INDIRECT(CONCATENATE(AX3,":",AY3)))</f>
        <v>-26270.899200000007</v>
      </c>
      <c r="O11" s="357">
        <v>-26270.9</v>
      </c>
      <c r="P11" s="358">
        <f t="shared" ca="1" si="10"/>
        <v>7.9999999434221536E-4</v>
      </c>
      <c r="AL11" s="34">
        <v>8</v>
      </c>
      <c r="AM11" s="37">
        <f t="shared" si="0"/>
        <v>300</v>
      </c>
      <c r="AN11" s="38">
        <f t="shared" si="1"/>
        <v>3.3399999999999999E-2</v>
      </c>
      <c r="AO11" s="39">
        <f t="shared" si="2"/>
        <v>2.75E-2</v>
      </c>
      <c r="AP11" s="38">
        <f t="shared" si="3"/>
        <v>0</v>
      </c>
      <c r="AQ11" s="38">
        <f t="shared" si="4"/>
        <v>0</v>
      </c>
      <c r="AR11" s="133">
        <f t="shared" si="5"/>
        <v>0</v>
      </c>
      <c r="AS11" s="40">
        <f t="shared" si="6"/>
        <v>0.37530000000000002</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-1200.71</v>
      </c>
      <c r="P12" s="355">
        <f t="shared" ca="1" si="10"/>
        <v>1200.71</v>
      </c>
      <c r="AG12" s="248" t="s">
        <v>185</v>
      </c>
      <c r="AH12" s="119" t="str">
        <f>GetDBPage($D$2)</f>
        <v>Contract DB (East)</v>
      </c>
      <c r="AL12" s="34">
        <v>9</v>
      </c>
      <c r="AM12" s="37">
        <f t="shared" si="0"/>
        <v>300</v>
      </c>
      <c r="AN12" s="38">
        <f t="shared" si="1"/>
        <v>3.3399999999999999E-2</v>
      </c>
      <c r="AO12" s="39">
        <f t="shared" si="2"/>
        <v>2.75E-2</v>
      </c>
      <c r="AP12" s="38">
        <f t="shared" si="3"/>
        <v>0</v>
      </c>
      <c r="AQ12" s="38">
        <f t="shared" si="4"/>
        <v>0</v>
      </c>
      <c r="AR12" s="133">
        <f t="shared" si="5"/>
        <v>0</v>
      </c>
      <c r="AS12" s="40">
        <f t="shared" si="6"/>
        <v>0.37530000000000002</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0.15</v>
      </c>
      <c r="P13" s="355">
        <f t="shared" ca="1" si="10"/>
        <v>-0.15</v>
      </c>
      <c r="AG13" s="248" t="s">
        <v>186</v>
      </c>
      <c r="AH13" s="119">
        <f>GetRecNdx($AH$12,$D$2)</f>
        <v>10</v>
      </c>
      <c r="AL13" s="34">
        <v>10</v>
      </c>
      <c r="AM13" s="37">
        <f t="shared" si="0"/>
        <v>474</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85.723472503513008</v>
      </c>
      <c r="O14" s="352">
        <v>28.23</v>
      </c>
      <c r="P14" s="355">
        <f t="shared" ca="1" si="10"/>
        <v>57.493472503513004</v>
      </c>
      <c r="S14" s="181">
        <f>F22/(1-AR22)*AH22*AU22</f>
        <v>15087.120426887799</v>
      </c>
      <c r="T14" s="181">
        <f>F22*AH22*AU22</f>
        <v>14672.224615148385</v>
      </c>
      <c r="AL14" s="34">
        <v>11</v>
      </c>
      <c r="AM14" s="37">
        <f t="shared" si="0"/>
        <v>474</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0.11502748780458964</v>
      </c>
      <c r="O15" s="352">
        <v>0.1</v>
      </c>
      <c r="P15" s="355">
        <f t="shared" ca="1" si="10"/>
        <v>1.5027487804589637E-2</v>
      </c>
      <c r="AL15" s="34">
        <v>12</v>
      </c>
      <c r="AM15" s="41">
        <f t="shared" si="0"/>
        <v>474</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-76.89</v>
      </c>
      <c r="P16" s="355">
        <f t="shared" ca="1" si="10"/>
        <v>76.89</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87.606397311645537</v>
      </c>
      <c r="O17" s="357">
        <v>28.79</v>
      </c>
      <c r="P17" s="358">
        <f t="shared" ca="1" si="10"/>
        <v>58.816397311645538</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285054.39851641853</v>
      </c>
      <c r="O18" s="352">
        <v>284967.65999999997</v>
      </c>
      <c r="P18" s="355">
        <f t="shared" ca="1" si="10"/>
        <v>86.738516418554354</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3.9416278724351255</v>
      </c>
      <c r="O19" s="359">
        <v>5.13</v>
      </c>
      <c r="P19" s="360">
        <f t="shared" ca="1" si="10"/>
        <v>-1.1883721275648744</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FGT/Zone 2</v>
      </c>
      <c r="AN20" s="703"/>
      <c r="AO20" s="702" t="str">
        <f>GetDelPoint($AH$12,$AH$13)</f>
        <v>FGT/MKT</v>
      </c>
      <c r="AP20" s="703"/>
      <c r="AQ20" s="137"/>
      <c r="AS20" s="137"/>
      <c r="AU20" s="136" t="s">
        <v>576</v>
      </c>
      <c r="AV20" s="353">
        <f ca="1">SUMPRODUCT(INDIRECT(CONCATENATE(AV8,":",AW8)),INDIRECT(CONCATENATE($AV$2,":",$AW$2)),INDIRECT(CONCATENATE($AV$3,":",$AW$3)),INDIRECT(CONCATENATE(AX3,":",AY3)))</f>
        <v>5071.9079999999976</v>
      </c>
      <c r="AW20" s="353">
        <f ca="1">SUMPRODUCT(INDIRECT(CONCATENATE(AX8,":",AY8)),INDIRECT(CONCATENATE($AV$2,":",$AW$2)),INDIRECT(CONCATENATE($AV$3,":",$AW$3)),INDIRECT(CONCATENATE(AX3,":",AY3)))</f>
        <v>425266.79999999993</v>
      </c>
      <c r="AX20" s="353">
        <f ca="1">SUMPRODUCT(INDIRECT(CONCATENATE(AV9,":",AW9)),INDIRECT(CONCATENATE($AV$2,":",$AW$2)),INDIRECT(CONCATENATE($AV$3,":",$AW$3)),INDIRECT(CONCATENATE(AX3,":",AY3)))</f>
        <v>4623.704999999999</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53" si="12">VLOOKUP(AG22,$AL$4:$AS$15,2)</f>
        <v>474</v>
      </c>
      <c r="G22" s="28">
        <f t="shared" ref="G22:G53" si="13">F22*$AU22</f>
        <v>473.29756823059307</v>
      </c>
      <c r="H22" s="52">
        <f t="shared" ref="H22:H53" si="14">(AL22+AM22+AN22)/(1-(AR22))</f>
        <v>2.9136246786632394</v>
      </c>
      <c r="I22" s="52">
        <f t="shared" ref="I22:I53" si="15">(AL22+AO22+AP22)</f>
        <v>3.1960000000000002</v>
      </c>
      <c r="K22" s="52">
        <f t="shared" ref="K22:K53" si="16">MAX(((I22-H22)-AQ22)*AU22*AH22,0)</f>
        <v>7.552026825329027</v>
      </c>
      <c r="L22" s="135">
        <f t="shared" ref="L22:L53" si="17">MAX(Q22-K22,0)</f>
        <v>3.5874890775300372E-4</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7.55238557423678</v>
      </c>
      <c r="R22" s="135"/>
      <c r="S22" s="181">
        <f>_xll.xSPRDOPT(I22,H22,AQ22,AT22,O22,N22,P22,D22-$G$5,1,2)*AF22*(F22/(1-AR22))*AH22</f>
        <v>-15077.930871735771</v>
      </c>
      <c r="T22" s="181">
        <f>_xll.xSPRDOPT(I22,H22,AQ22,AT22,O22,N22,P22,D22-$G$5,1,1)*AF22*F22*AH22</f>
        <v>14664.002339675188</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0.26890667772060101</v>
      </c>
      <c r="AA22" s="338">
        <f t="shared" ref="AA22:AA53" si="22">(($BK22*$BE22)+($BJ22*$BD22))*$F22*$AH22*$AF22</f>
        <v>4.8502328676220452E-2</v>
      </c>
      <c r="AB22" s="338">
        <f t="shared" ref="AB22:AB53" si="23">BN22*(AT22-CA22)*F22*AH22</f>
        <v>0</v>
      </c>
      <c r="AC22" s="338">
        <f t="shared" ref="AC22:AC53" si="24">BO22*CB22*F22*AH22*CA22*($G$5-$BV$5)/365.25</f>
        <v>0.55174655713787102</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-0.01</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2.8335000000000004</v>
      </c>
      <c r="AT22" s="137">
        <f t="shared" ref="AT22:AT53" si="37">VLOOKUP(D22,CurveTbl,$AK$6)</f>
        <v>1.8765908157160699E-2</v>
      </c>
      <c r="AU22" s="137">
        <f t="shared" ref="AU22:AU53" si="38">(1+$AT22/2)^(-2*($D22-$G$5)/365.25)*$AF22</f>
        <v>0.99851807643585033</v>
      </c>
      <c r="AV22" s="394">
        <f t="shared" ref="AV22:AV53" si="39">ROUND((F22/(1-AR22))-F22,0)*AF22*AH22*AU22</f>
        <v>402.40278480364771</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6.4713866641377391E-2</v>
      </c>
      <c r="BG22" s="137">
        <f>_xll.xSPRDOPT($BW22,$BV22,$CG22,0,$BY22,$BX22,$BZ22,$AJ22,1,3)*$CB22</f>
        <v>5.5342189157570568E-2</v>
      </c>
      <c r="BH22" s="137">
        <f>IF(OR(BF22&lt;&gt;0,BG22&lt;&gt;0),_xll.xSPRDOPT($BW22,$BV22,$CG22,0,$BY22,$BX22,$BZ22,$AJ22,1,12)*$CB22,0)</f>
        <v>-5.9844138847701157E-2</v>
      </c>
      <c r="BI22" s="137">
        <f>_xll.xSPRDOPT($BW22,$BV22,$CG22,2*LN(1+CA22/2),$BY22,$BX22,$BZ22,$AJ22,1,9)</f>
        <v>2.2280786724161684E-3</v>
      </c>
      <c r="BJ22" s="137">
        <f>_xll.xSPRDOPT($BW22,$BV22,$CG22,0,$BY22,$BX22,$BZ22,$AJ22,1,6)*$CB22</f>
        <v>-4.5052072146425042E-4</v>
      </c>
      <c r="BK22" s="137">
        <f>_xll.xSPRDOPT($BW22,$BV22,$CG22,0,$BY22,$BX22,$BZ22,$AJ22,1,5)*$CB22</f>
        <v>8.7774478319024667E-4</v>
      </c>
      <c r="BL22" s="137">
        <f>_xll.xSPRDOPT(BW22,BV22,CG22,0,BY22,BX22,BZ22,AJ22,1,2)*CB22</f>
        <v>-0.99678036944841275</v>
      </c>
      <c r="BM22" s="137">
        <f>_xll.xSPRDOPT(BW22,BV22,CG22,0,BY22,BX22,BZ22,AJ22,1,1)*CB22</f>
        <v>0.99691053419312836</v>
      </c>
      <c r="BN22" s="137">
        <f>IF(AH22&lt;&gt;0,_xll.xSPRDOPT($BW22,$BV22,$CG22,2*LN(1+CA22/2),$BY22,$BX22,$BZ22,$AJ22,1,8)+(AJ22/365.25)*CH22/AH22,0)</f>
        <v>1.1483569242706E-2</v>
      </c>
      <c r="BO22" s="137">
        <f>_xll.xSPRDOPT($BW22,$BV22,$CG22,0,$BY22,$BX22,$BZ22,$AJ22,1,0)</f>
        <v>0.2440111524667492</v>
      </c>
      <c r="BP22" s="137"/>
      <c r="BQ22" s="137"/>
      <c r="BR22" s="137"/>
      <c r="BS22" s="137"/>
      <c r="BV22" s="262">
        <v>2.9136246786632394</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54" si="47">D22+AH22</f>
        <v>37302</v>
      </c>
      <c r="F23" s="28">
        <f t="shared" si="12"/>
        <v>474</v>
      </c>
      <c r="G23" s="28">
        <f t="shared" si="13"/>
        <v>472.50476400784925</v>
      </c>
      <c r="H23" s="52">
        <f t="shared" si="14"/>
        <v>2.9773778920308485</v>
      </c>
      <c r="I23" s="52">
        <f t="shared" si="15"/>
        <v>3.258</v>
      </c>
      <c r="K23" s="52">
        <f t="shared" si="16"/>
        <v>6.7608244704146339</v>
      </c>
      <c r="L23" s="135">
        <f t="shared" si="17"/>
        <v>5.4519122900380523E-3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6.7662763827046719</v>
      </c>
      <c r="R23" s="135"/>
      <c r="S23" s="181">
        <f>_xll.xSPRDOPT(I23,H23,AQ23,AT23,O23,N23,P23,D23-$G$5,1,2)*AF23*(F23/(1-AR23))*AH23</f>
        <v>-13515.713269816464</v>
      </c>
      <c r="T23" s="181">
        <f>_xll.xSPRDOPT(I23,H23,AQ23,AT23,O23,N23,P23,D23-$G$5,1,1)*AF23*F23*AH23</f>
        <v>13151.050318509839</v>
      </c>
      <c r="U23" s="135"/>
      <c r="V23" s="146">
        <f t="shared" si="18"/>
        <v>10.475251185865154</v>
      </c>
      <c r="W23" s="146"/>
      <c r="X23" s="338">
        <f t="shared" si="19"/>
        <v>0</v>
      </c>
      <c r="Y23" s="338">
        <f t="shared" si="20"/>
        <v>0</v>
      </c>
      <c r="Z23" s="338">
        <f t="shared" si="21"/>
        <v>-0.16517055793104307</v>
      </c>
      <c r="AA23" s="338">
        <f t="shared" si="22"/>
        <v>6.3485576822576759E-2</v>
      </c>
      <c r="AB23" s="338">
        <f t="shared" si="23"/>
        <v>0</v>
      </c>
      <c r="AC23" s="338">
        <f t="shared" si="24"/>
        <v>0.50914794876920888</v>
      </c>
      <c r="AF23" s="138">
        <f t="shared" si="25"/>
        <v>1</v>
      </c>
      <c r="AG23" s="138">
        <f t="shared" si="26"/>
        <v>2</v>
      </c>
      <c r="AH23" s="138">
        <f t="shared" si="27"/>
        <v>28</v>
      </c>
      <c r="AI23" s="138">
        <f t="shared" ref="AI23:AI54" si="51">AI22+AH22</f>
        <v>46</v>
      </c>
      <c r="AJ23" s="138">
        <f t="shared" si="28"/>
        <v>63</v>
      </c>
      <c r="AL23" s="136">
        <f t="shared" si="29"/>
        <v>2.9079999999999999</v>
      </c>
      <c r="AM23" s="258">
        <f t="shared" si="30"/>
        <v>-0.01</v>
      </c>
      <c r="AN23" s="258">
        <f t="shared" si="31"/>
        <v>-2.5000000000000001E-3</v>
      </c>
      <c r="AO23" s="258">
        <f t="shared" si="32"/>
        <v>0.35</v>
      </c>
      <c r="AP23" s="258">
        <f t="shared" si="33"/>
        <v>0</v>
      </c>
      <c r="AQ23" s="136">
        <f t="shared" si="34"/>
        <v>3.8399999999999997E-2</v>
      </c>
      <c r="AR23" s="137">
        <f t="shared" si="35"/>
        <v>2.75E-2</v>
      </c>
      <c r="AS23" s="136">
        <f t="shared" si="36"/>
        <v>2.8955000000000002</v>
      </c>
      <c r="AT23" s="137">
        <f t="shared" si="37"/>
        <v>1.9326187282006298E-2</v>
      </c>
      <c r="AU23" s="137">
        <f t="shared" si="38"/>
        <v>0.99684549368744568</v>
      </c>
      <c r="AV23" s="394">
        <f t="shared" si="39"/>
        <v>362.85175970223025</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0.22762953558709442</v>
      </c>
      <c r="BG23" s="137">
        <f>_xll.xSPRDOPT($BW23,$BV23,$CG23,0,$BY23,$BX23,$BZ23,$AJ23,1,3)*$CB23</f>
        <v>0.19567774973923965</v>
      </c>
      <c r="BH23" s="137">
        <f>IF(OR(BF23&lt;&gt;0,BG23&lt;&gt;0),_xll.xSPRDOPT($BW23,$BV23,$CG23,0,$BY23,$BX23,$BZ23,$AJ23,1,12)*$CB23,0)</f>
        <v>-0.2110438491922606</v>
      </c>
      <c r="BI23" s="137">
        <f>_xll.xSPRDOPT($BW23,$BV23,$CG23,2*LN(1+CA23/2),$BY23,$BX23,$BZ23,$AJ23,1,9)</f>
        <v>-1.5151835012134187E-3</v>
      </c>
      <c r="BJ23" s="137">
        <f>_xll.xSPRDOPT($BW23,$BV23,$CG23,0,$BY23,$BX23,$BZ23,$AJ23,1,6)*$CB23</f>
        <v>-3.4536860084919798E-3</v>
      </c>
      <c r="BK23" s="137">
        <f>_xll.xSPRDOPT($BW23,$BV23,$CG23,0,$BY23,$BX23,$BZ23,$AJ23,1,5)*$CB23</f>
        <v>5.798367067946314E-3</v>
      </c>
      <c r="BL23" s="137">
        <f>_xll.xSPRDOPT(BW23,BV23,CG23,0,BY23,BX23,BZ23,AJ23,1,2)*CB23</f>
        <v>-0.98866333335127987</v>
      </c>
      <c r="BM23" s="137">
        <f>_xll.xSPRDOPT(BW23,BV23,CG23,0,BY23,BX23,BZ23,AJ23,1,1)*CB23</f>
        <v>0.98932333053951094</v>
      </c>
      <c r="BN23" s="137">
        <f>IF(AH23&lt;&gt;0,_xll.xSPRDOPT($BW23,$BV23,$CG23,2*LN(1+CA23/2),$BY23,$BX23,$BZ23,$AJ23,1,8)+(AJ23/365.25)*CH23/AH23,0)</f>
        <v>2.2833985588369479E-2</v>
      </c>
      <c r="BO23" s="137">
        <f>_xll.xSPRDOPT($BW23,$BV23,$CG23,0,$BY23,$BX23,$BZ23,$AJ23,1,0)</f>
        <v>0.24247734555231074</v>
      </c>
      <c r="BP23" s="137"/>
      <c r="BQ23" s="137"/>
      <c r="BR23" s="137"/>
      <c r="BS23" s="137"/>
      <c r="BV23" s="262">
        <v>2.9773778920308485</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474</v>
      </c>
      <c r="G24" s="28">
        <f t="shared" si="13"/>
        <v>471.81457076873255</v>
      </c>
      <c r="H24" s="52">
        <f t="shared" si="14"/>
        <v>2.9712082262210799</v>
      </c>
      <c r="I24" s="52">
        <f t="shared" si="15"/>
        <v>3.302</v>
      </c>
      <c r="K24" s="52">
        <f t="shared" si="16"/>
        <v>9.0223537478820592</v>
      </c>
      <c r="L24" s="135">
        <f t="shared" si="17"/>
        <v>8.4012005027389591E-5</v>
      </c>
      <c r="N24" s="131">
        <f t="shared" si="48"/>
        <v>0.79</v>
      </c>
      <c r="O24" s="131">
        <f t="shared" si="49"/>
        <v>0.79</v>
      </c>
      <c r="P24" s="55">
        <f t="shared" si="50"/>
        <v>0.99793296089385497</v>
      </c>
      <c r="Q24" s="135">
        <f>_xll.xSPRDOPT(I24,H24,AQ24,0,O24,N24,P24,D24-$G$5,1,0)*AH24*AU24</f>
        <v>9.0224377598870866</v>
      </c>
      <c r="R24" s="135"/>
      <c r="S24" s="181">
        <f>_xll.xSPRDOPT(I24,H24,AQ24,AT24,O24,N24,P24,D24-$G$5,1,2)*AF24*(F24/(1-AR24))*AH24</f>
        <v>-15037.386100225609</v>
      </c>
      <c r="T24" s="181">
        <f>_xll.xSPRDOPT(I24,H24,AQ24,AT24,O24,N24,P24,D24-$G$5,1,1)*AF24*F24*AH24</f>
        <v>14624.041257516101</v>
      </c>
      <c r="U24" s="135"/>
      <c r="V24" s="146">
        <f t="shared" si="18"/>
        <v>11.580658777836847</v>
      </c>
      <c r="W24" s="146"/>
      <c r="X24" s="338">
        <f t="shared" si="19"/>
        <v>0</v>
      </c>
      <c r="Y24" s="338">
        <f t="shared" si="20"/>
        <v>0</v>
      </c>
      <c r="Z24" s="338">
        <f t="shared" si="21"/>
        <v>0.65991410973586451</v>
      </c>
      <c r="AA24" s="338">
        <f t="shared" si="22"/>
        <v>0</v>
      </c>
      <c r="AB24" s="338">
        <f t="shared" si="23"/>
        <v>0</v>
      </c>
      <c r="AC24" s="338">
        <f t="shared" si="24"/>
        <v>0.67689231939926009</v>
      </c>
      <c r="AF24" s="138">
        <f t="shared" si="25"/>
        <v>1</v>
      </c>
      <c r="AG24" s="138">
        <f t="shared" si="26"/>
        <v>3</v>
      </c>
      <c r="AH24" s="138">
        <f t="shared" si="27"/>
        <v>31</v>
      </c>
      <c r="AI24" s="138">
        <f t="shared" si="51"/>
        <v>74</v>
      </c>
      <c r="AJ24" s="138">
        <f t="shared" si="28"/>
        <v>91</v>
      </c>
      <c r="AL24" s="136">
        <f t="shared" si="29"/>
        <v>2.9020000000000001</v>
      </c>
      <c r="AM24" s="258">
        <f t="shared" si="30"/>
        <v>-0.01</v>
      </c>
      <c r="AN24" s="258">
        <f t="shared" si="31"/>
        <v>-2.5000000000000001E-3</v>
      </c>
      <c r="AO24" s="258">
        <f t="shared" si="32"/>
        <v>0.4</v>
      </c>
      <c r="AP24" s="258">
        <f t="shared" si="33"/>
        <v>0</v>
      </c>
      <c r="AQ24" s="136">
        <f t="shared" si="34"/>
        <v>3.8399999999999997E-2</v>
      </c>
      <c r="AR24" s="137">
        <f t="shared" si="35"/>
        <v>2.75E-2</v>
      </c>
      <c r="AS24" s="136">
        <f t="shared" si="36"/>
        <v>2.8895000000000004</v>
      </c>
      <c r="AT24" s="137">
        <f t="shared" si="37"/>
        <v>1.9273175363903501E-2</v>
      </c>
      <c r="AU24" s="137">
        <f t="shared" si="38"/>
        <v>0.99538938980745262</v>
      </c>
      <c r="AV24" s="394">
        <f t="shared" si="39"/>
        <v>401.14192409240343</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8.8923803099618618E-3</v>
      </c>
      <c r="BG24" s="137">
        <f>_xll.xSPRDOPT($BW24,$BV24,$CG24,0,$BY24,$BX24,$BZ24,$AJ24,1,3)*$CB24</f>
        <v>7.4654399523659881E-3</v>
      </c>
      <c r="BH24" s="137">
        <f>IF(OR(BF24&lt;&gt;0,BG24&lt;&gt;0),_xll.xSPRDOPT($BW24,$BV24,$CG24,0,$BY24,$BX24,$BZ24,$AJ24,1,12)*$CB24,0)</f>
        <v>-8.1481810520143364E-3</v>
      </c>
      <c r="BI24" s="137">
        <f>_xll.xSPRDOPT($BW24,$BV24,$CG24,2*LN(1+CA24/2),$BY24,$BX24,$BZ24,$AJ24,1,9)</f>
        <v>5.4678469348265618E-3</v>
      </c>
      <c r="BJ24" s="137">
        <f>_xll.xSPRDOPT($BW24,$BV24,$CG24,0,$BY24,$BX24,$BZ24,$AJ24,1,6)*$CB24</f>
        <v>-2.4881435275855558E-4</v>
      </c>
      <c r="BK24" s="137">
        <f>_xll.xSPRDOPT($BW24,$BV24,$CG24,0,$BY24,$BX24,$BZ24,$AJ24,1,5)*$CB24</f>
        <v>3.2060927973525072E-4</v>
      </c>
      <c r="BL24" s="137">
        <f>_xll.xSPRDOPT(BW24,BV24,CG24,0,BY24,BX24,BZ24,AJ24,1,2)*CB24</f>
        <v>-0.99504685096766288</v>
      </c>
      <c r="BM24" s="137">
        <f>_xll.xSPRDOPT(BW24,BV24,CG24,0,BY24,BX24,BZ24,AJ24,1,1)*CB24</f>
        <v>0.99506335597399986</v>
      </c>
      <c r="BN24" s="137">
        <f>IF(AH24&lt;&gt;0,_xll.xSPRDOPT($BW24,$BV24,$CG24,2*LN(1+CA24/2),$BY24,$BX24,$BZ24,$AJ24,1,8)+(AJ24/365.25)*CH24/AH24,0)</f>
        <v>2.0556725800303238E-2</v>
      </c>
      <c r="BO24" s="137">
        <f>_xll.xSPRDOPT($BW24,$BV24,$CG24,0,$BY24,$BX24,$BZ24,$AJ24,1,0)</f>
        <v>0.29239548397265552</v>
      </c>
      <c r="BP24" s="137"/>
      <c r="BQ24" s="137"/>
      <c r="BR24" s="137"/>
      <c r="BS24" s="137"/>
      <c r="BV24" s="262">
        <v>2.9712082262210799</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474</v>
      </c>
      <c r="G25" s="28">
        <f t="shared" si="13"/>
        <v>471.02438812816462</v>
      </c>
      <c r="H25" s="52">
        <f t="shared" si="14"/>
        <v>2.943958868894601</v>
      </c>
      <c r="I25" s="52">
        <f t="shared" si="15"/>
        <v>3.448</v>
      </c>
      <c r="K25" s="52">
        <f t="shared" si="16"/>
        <v>13.881539801659939</v>
      </c>
      <c r="L25" s="135">
        <f t="shared" si="17"/>
        <v>1.6416600221447197E-6</v>
      </c>
      <c r="N25" s="131">
        <f t="shared" si="48"/>
        <v>0.60058305004387191</v>
      </c>
      <c r="O25" s="131">
        <f t="shared" si="49"/>
        <v>0.60058305004387191</v>
      </c>
      <c r="P25" s="55">
        <f t="shared" si="50"/>
        <v>1</v>
      </c>
      <c r="Q25" s="135">
        <f>_xll.xSPRDOPT(I25,H25,AQ25,0,O25,N25,P25,D25-$G$5,1,0)*AH25*AU25</f>
        <v>13.881541443319961</v>
      </c>
      <c r="R25" s="135"/>
      <c r="S25" s="181">
        <f>_xll.xSPRDOPT(I25,H25,AQ25,AT25,O25,N25,P25,D25-$G$5,1,2)*AF25*(F25/(1-AR25))*AH25</f>
        <v>-14529.873457926349</v>
      </c>
      <c r="T25" s="181">
        <f>_xll.xSPRDOPT(I25,H25,AQ25,AT25,O25,N25,P25,D25-$G$5,1,1)*AF25*F25*AH25</f>
        <v>14130.30193798857</v>
      </c>
      <c r="U25" s="135"/>
      <c r="V25" s="146">
        <f t="shared" si="18"/>
        <v>11.188319801550644</v>
      </c>
      <c r="W25" s="146"/>
      <c r="X25" s="338">
        <f t="shared" si="19"/>
        <v>0</v>
      </c>
      <c r="Y25" s="338">
        <f t="shared" si="20"/>
        <v>0</v>
      </c>
      <c r="Z25" s="338">
        <f t="shared" si="21"/>
        <v>1.0444483313641097</v>
      </c>
      <c r="AA25" s="338">
        <f t="shared" si="22"/>
        <v>6.6527068431556781E-8</v>
      </c>
      <c r="AB25" s="338">
        <f t="shared" si="23"/>
        <v>0</v>
      </c>
      <c r="AC25" s="338">
        <f t="shared" si="24"/>
        <v>1.0495095157795626</v>
      </c>
      <c r="AF25" s="138">
        <f t="shared" si="25"/>
        <v>1</v>
      </c>
      <c r="AG25" s="138">
        <f t="shared" si="26"/>
        <v>4</v>
      </c>
      <c r="AH25" s="138">
        <f t="shared" si="27"/>
        <v>30</v>
      </c>
      <c r="AI25" s="138">
        <f t="shared" si="51"/>
        <v>105</v>
      </c>
      <c r="AJ25" s="138">
        <f t="shared" si="28"/>
        <v>122</v>
      </c>
      <c r="AL25" s="136">
        <f t="shared" si="29"/>
        <v>2.8479999999999999</v>
      </c>
      <c r="AM25" s="258">
        <f t="shared" si="30"/>
        <v>0.01</v>
      </c>
      <c r="AN25" s="258">
        <f t="shared" si="31"/>
        <v>5.0000000000000001E-3</v>
      </c>
      <c r="AO25" s="258">
        <f t="shared" si="32"/>
        <v>0.6</v>
      </c>
      <c r="AP25" s="258">
        <f t="shared" si="33"/>
        <v>0</v>
      </c>
      <c r="AQ25" s="136">
        <f t="shared" si="34"/>
        <v>3.8399999999999997E-2</v>
      </c>
      <c r="AR25" s="137">
        <f t="shared" si="35"/>
        <v>2.75E-2</v>
      </c>
      <c r="AS25" s="136">
        <f t="shared" si="36"/>
        <v>2.8629999999999995</v>
      </c>
      <c r="AT25" s="137">
        <f t="shared" si="37"/>
        <v>1.9422640119623601E-2</v>
      </c>
      <c r="AU25" s="137">
        <f t="shared" si="38"/>
        <v>0.99372233782313213</v>
      </c>
      <c r="AV25" s="394">
        <f t="shared" si="39"/>
        <v>387.55171175102151</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1.0659791576564126E-6</v>
      </c>
      <c r="BG25" s="137">
        <f>_xll.xSPRDOPT($BW25,$BV25,$CG25,0,$BY25,$BX25,$BZ25,$AJ25,1,3)*$CB25</f>
        <v>8.2909490039943189E-7</v>
      </c>
      <c r="BH25" s="137">
        <f>IF(OR(BF25&lt;&gt;0,BG25&lt;&gt;0),_xll.xSPRDOPT($BW25,$BV25,$CG25,0,$BY25,$BX25,$BZ25,$AJ25,1,12)*$CB25,0)</f>
        <v>-3.5532638588547083E-7</v>
      </c>
      <c r="BI25" s="137">
        <f>_xll.xSPRDOPT($BW25,$BV25,$CG25,2*LN(1+CA25/2),$BY25,$BX25,$BZ25,$AJ25,1,9)</f>
        <v>8.9424461563699254E-3</v>
      </c>
      <c r="BJ25" s="137">
        <f>_xll.xSPRDOPT($BW25,$BV25,$CG25,0,$BY25,$BX25,$BZ25,$AJ25,1,6)*$CB25</f>
        <v>1.1803576163195543E-7</v>
      </c>
      <c r="BK25" s="137">
        <f>_xll.xSPRDOPT($BW25,$BV25,$CG25,0,$BY25,$BX25,$BZ25,$AJ25,1,5)*$CB25</f>
        <v>-1.3825033281183052E-7</v>
      </c>
      <c r="BL25" s="137">
        <f>_xll.xSPRDOPT(BW25,BV25,CG25,0,BY25,BX25,BZ25,AJ25,1,2)*CB25</f>
        <v>-0.99356470591650048</v>
      </c>
      <c r="BM25" s="137">
        <f>_xll.xSPRDOPT(BW25,BV25,CG25,0,BY25,BX25,BZ25,AJ25,1,1)*CB25</f>
        <v>0.99356470592192236</v>
      </c>
      <c r="BN25" s="137">
        <f>IF(AH25&lt;&gt;0,_xll.xSPRDOPT($BW25,$BV25,$CG25,2*LN(1+CA25/2),$BY25,$BX25,$BZ25,$AJ25,1,8)+(AJ25/365.25)*CH25/AH25,0)</f>
        <v>-2.9981371651335256E-2</v>
      </c>
      <c r="BO25" s="137">
        <f>_xll.xSPRDOPT($BW25,$BV25,$CG25,0,$BY25,$BX25,$BZ25,$AJ25,1,0)</f>
        <v>0.46564118601821697</v>
      </c>
      <c r="BP25" s="137"/>
      <c r="BQ25" s="137"/>
      <c r="BR25" s="137"/>
      <c r="BS25" s="137"/>
      <c r="BV25" s="262">
        <v>2.943958868894601</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300</v>
      </c>
      <c r="G26" s="28">
        <f t="shared" si="13"/>
        <v>297.60897802537875</v>
      </c>
      <c r="H26" s="52">
        <f t="shared" si="14"/>
        <v>2.9933161953727501</v>
      </c>
      <c r="I26" s="52">
        <f t="shared" si="15"/>
        <v>3.6459999999999999</v>
      </c>
      <c r="K26" s="52">
        <f t="shared" si="16"/>
        <v>18.891025448974581</v>
      </c>
      <c r="L26" s="135">
        <f t="shared" si="17"/>
        <v>2.2009423226165836E-6</v>
      </c>
      <c r="N26" s="131">
        <f t="shared" si="48"/>
        <v>0.57775797476853397</v>
      </c>
      <c r="O26" s="131">
        <f t="shared" si="49"/>
        <v>0.57775797476853397</v>
      </c>
      <c r="P26" s="55">
        <f t="shared" si="50"/>
        <v>0.99999999999999989</v>
      </c>
      <c r="Q26" s="135">
        <f>_xll.xSPRDOPT(I26,H26,AQ26,0,O26,N26,P26,D26-$G$5,1,0)*AH26*AU26</f>
        <v>18.891027649916904</v>
      </c>
      <c r="R26" s="135"/>
      <c r="S26" s="181">
        <f>_xll.xSPRDOPT(I26,H26,AQ26,AT26,O26,N26,P26,D26-$G$5,1,2)*AF26*(F26/(1-AR26))*AH26</f>
        <v>-9486.3919673933378</v>
      </c>
      <c r="T26" s="181">
        <f>_xll.xSPRDOPT(I26,H26,AQ26,AT26,O26,N26,P26,D26-$G$5,1,1)*AF26*F26*AH26</f>
        <v>9225.5161882900211</v>
      </c>
      <c r="U26" s="135"/>
      <c r="V26" s="146">
        <f t="shared" si="18"/>
        <v>11.541573776802213</v>
      </c>
      <c r="W26" s="146"/>
      <c r="X26" s="338">
        <f t="shared" si="19"/>
        <v>0</v>
      </c>
      <c r="Y26" s="338">
        <f t="shared" si="20"/>
        <v>0</v>
      </c>
      <c r="Z26" s="338">
        <f t="shared" si="21"/>
        <v>0.91293826240475229</v>
      </c>
      <c r="AA26" s="338">
        <f t="shared" si="22"/>
        <v>-1.4659164795527433E-9</v>
      </c>
      <c r="AB26" s="338">
        <f t="shared" si="23"/>
        <v>0</v>
      </c>
      <c r="AC26" s="338">
        <f t="shared" si="24"/>
        <v>0.9174282386469248</v>
      </c>
      <c r="AF26" s="138">
        <f t="shared" si="25"/>
        <v>1</v>
      </c>
      <c r="AG26" s="138">
        <f t="shared" si="26"/>
        <v>5</v>
      </c>
      <c r="AH26" s="138">
        <f t="shared" si="27"/>
        <v>31</v>
      </c>
      <c r="AI26" s="138">
        <f t="shared" si="51"/>
        <v>135</v>
      </c>
      <c r="AJ26" s="138">
        <f t="shared" si="28"/>
        <v>152</v>
      </c>
      <c r="AL26" s="136">
        <f t="shared" si="29"/>
        <v>2.8959999999999999</v>
      </c>
      <c r="AM26" s="258">
        <f t="shared" si="30"/>
        <v>0.01</v>
      </c>
      <c r="AN26" s="258">
        <f t="shared" si="31"/>
        <v>5.0000000000000001E-3</v>
      </c>
      <c r="AO26" s="258">
        <f t="shared" si="32"/>
        <v>0.75</v>
      </c>
      <c r="AP26" s="258">
        <f t="shared" si="33"/>
        <v>0</v>
      </c>
      <c r="AQ26" s="136">
        <f t="shared" si="34"/>
        <v>3.8399999999999997E-2</v>
      </c>
      <c r="AR26" s="137">
        <f t="shared" si="35"/>
        <v>2.75E-2</v>
      </c>
      <c r="AS26" s="136">
        <f t="shared" si="36"/>
        <v>2.9109999999999996</v>
      </c>
      <c r="AT26" s="137">
        <f t="shared" si="37"/>
        <v>1.9712159578257001E-2</v>
      </c>
      <c r="AU26" s="137">
        <f t="shared" si="38"/>
        <v>0.99202992675126245</v>
      </c>
      <c r="AV26" s="394">
        <f t="shared" si="39"/>
        <v>246.0234218343131</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1.1951638005137483E-2</v>
      </c>
      <c r="BJ26" s="137">
        <f>_xll.xSPRDOPT($BW26,$BV26,$CG26,0,$BY26,$BX26,$BZ26,$AJ26,1,6)*$CB26</f>
        <v>1.4331787239127977E-7</v>
      </c>
      <c r="BK26" s="137">
        <f>_xll.xSPRDOPT($BW26,$BV26,$CG26,0,$BY26,$BX26,$BZ26,$AJ26,1,5)*$CB26</f>
        <v>-1.7458811472671625E-7</v>
      </c>
      <c r="BL26" s="137">
        <f>_xll.xSPRDOPT(BW26,BV26,CG26,0,BY26,BX26,BZ26,AJ26,1,2)*CB26</f>
        <v>-0.9918702256731885</v>
      </c>
      <c r="BM26" s="137">
        <f>_xll.xSPRDOPT(BW26,BV26,CG26,0,BY26,BX26,BZ26,AJ26,1,1)*CB26</f>
        <v>0.99187022568040528</v>
      </c>
      <c r="BN26" s="137">
        <f>IF(AH26&lt;&gt;0,_xll.xSPRDOPT($BW26,$BV26,$CG26,2*LN(1+CA26/2),$BY26,$BX26,$BZ26,$AJ26,1,8)+(AJ26/365.25)*CH26/AH26,0)</f>
        <v>-9.864538376188553E-2</v>
      </c>
      <c r="BO26" s="137">
        <f>_xll.xSPRDOPT($BW26,$BV26,$CG26,0,$BY26,$BX26,$BZ26,$AJ26,1,0)</f>
        <v>0.6142838760162842</v>
      </c>
      <c r="BP26" s="137"/>
      <c r="BQ26" s="137"/>
      <c r="BR26" s="137"/>
      <c r="BS26" s="137"/>
      <c r="BV26" s="262">
        <v>2.9933161953727501</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3.8399999999999997E-2</v>
      </c>
      <c r="CH26" s="258">
        <v>11.539714415446454</v>
      </c>
      <c r="CI26" s="258">
        <v>2.8959999999999999</v>
      </c>
      <c r="CJ26" s="258"/>
      <c r="CK26" s="258"/>
      <c r="CL26" s="258"/>
      <c r="CM26" s="258"/>
    </row>
    <row r="27" spans="1:91" x14ac:dyDescent="0.25">
      <c r="A27" s="726"/>
      <c r="B27" s="726"/>
      <c r="C27" s="726"/>
      <c r="D27" s="31">
        <f t="shared" si="47"/>
        <v>37422</v>
      </c>
      <c r="F27" s="28">
        <f t="shared" si="12"/>
        <v>300</v>
      </c>
      <c r="G27" s="28">
        <f t="shared" si="13"/>
        <v>297.07054590693946</v>
      </c>
      <c r="H27" s="52">
        <f t="shared" si="14"/>
        <v>3.0473007712082265</v>
      </c>
      <c r="I27" s="52">
        <f t="shared" si="15"/>
        <v>3.7960000000000003</v>
      </c>
      <c r="K27" s="52">
        <f t="shared" si="16"/>
        <v>21.100897965445032</v>
      </c>
      <c r="L27" s="135">
        <f t="shared" si="17"/>
        <v>2.4317353286562593E-6</v>
      </c>
      <c r="N27" s="131">
        <f t="shared" si="48"/>
        <v>0.5502663217587267</v>
      </c>
      <c r="O27" s="131">
        <f t="shared" si="49"/>
        <v>0.5502663217587267</v>
      </c>
      <c r="P27" s="55">
        <f t="shared" si="50"/>
        <v>0.99999999999999978</v>
      </c>
      <c r="Q27" s="135">
        <f>_xll.xSPRDOPT(I27,H27,AQ27,0,O27,N27,P27,D27-$G$5,1,0)*AH27*AU27</f>
        <v>21.100900397180361</v>
      </c>
      <c r="R27" s="135"/>
      <c r="S27" s="181">
        <f>_xll.xSPRDOPT(I27,H27,AQ27,AT27,O27,N27,P27,D27-$G$5,1,2)*AF27*(F27/(1-AR27))*AH27</f>
        <v>-9163.6818866419017</v>
      </c>
      <c r="T27" s="181">
        <f>_xll.xSPRDOPT(I27,H27,AQ27,AT27,O27,N27,P27,D27-$G$5,1,1)*AF27*F27*AH27</f>
        <v>8911.6806347428792</v>
      </c>
      <c r="U27" s="135"/>
      <c r="V27" s="146">
        <f t="shared" si="18"/>
        <v>11.149057587887439</v>
      </c>
      <c r="W27" s="146"/>
      <c r="X27" s="338">
        <f t="shared" si="19"/>
        <v>0</v>
      </c>
      <c r="Y27" s="338">
        <f t="shared" si="20"/>
        <v>0</v>
      </c>
      <c r="Z27" s="338">
        <f t="shared" si="21"/>
        <v>1.0351307066525219</v>
      </c>
      <c r="AA27" s="338">
        <f t="shared" si="22"/>
        <v>-1.6595438642200149E-8</v>
      </c>
      <c r="AB27" s="338">
        <f t="shared" si="23"/>
        <v>0</v>
      </c>
      <c r="AC27" s="338">
        <f t="shared" si="24"/>
        <v>1.0402990267444026</v>
      </c>
      <c r="AF27" s="138">
        <f t="shared" si="25"/>
        <v>1</v>
      </c>
      <c r="AG27" s="138">
        <f t="shared" si="26"/>
        <v>6</v>
      </c>
      <c r="AH27" s="138">
        <f t="shared" si="27"/>
        <v>30</v>
      </c>
      <c r="AI27" s="138">
        <f t="shared" si="51"/>
        <v>166</v>
      </c>
      <c r="AJ27" s="138">
        <f t="shared" si="28"/>
        <v>183</v>
      </c>
      <c r="AL27" s="136">
        <f t="shared" si="29"/>
        <v>2.9460000000000002</v>
      </c>
      <c r="AM27" s="258">
        <f t="shared" si="30"/>
        <v>1.2500000000000001E-2</v>
      </c>
      <c r="AN27" s="258">
        <f t="shared" si="31"/>
        <v>5.0000000000000001E-3</v>
      </c>
      <c r="AO27" s="258">
        <f t="shared" si="32"/>
        <v>0.85</v>
      </c>
      <c r="AP27" s="258">
        <f t="shared" si="33"/>
        <v>0</v>
      </c>
      <c r="AQ27" s="136">
        <f t="shared" si="34"/>
        <v>3.8399999999999997E-2</v>
      </c>
      <c r="AR27" s="137">
        <f t="shared" si="35"/>
        <v>2.75E-2</v>
      </c>
      <c r="AS27" s="136">
        <f t="shared" si="36"/>
        <v>2.9635000000000002</v>
      </c>
      <c r="AT27" s="137">
        <f t="shared" si="37"/>
        <v>2.0011329715354399E-2</v>
      </c>
      <c r="AU27" s="137">
        <f t="shared" si="38"/>
        <v>0.99023515302313159</v>
      </c>
      <c r="AV27" s="394">
        <f t="shared" si="39"/>
        <v>237.65643672555157</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2.596570343062469E-6</v>
      </c>
      <c r="BG27" s="137">
        <f>_xll.xSPRDOPT($BW27,$BV27,$CG27,0,$BY27,$BX27,$BZ27,$AJ27,1,3)*$CB27</f>
        <v>1.4163110962158923E-6</v>
      </c>
      <c r="BH27" s="137">
        <f>IF(OR(BF27&lt;&gt;0,BG27&lt;&gt;0),_xll.xSPRDOPT($BW27,$BV27,$CG27,0,$BY27,$BX27,$BZ27,$AJ27,1,12)*$CB27,0)</f>
        <v>-5.9012962342328848E-7</v>
      </c>
      <c r="BI27" s="137">
        <f>_xll.xSPRDOPT($BW27,$BV27,$CG27,2*LN(1+CA27/2),$BY27,$BX27,$BZ27,$AJ27,1,9)</f>
        <v>1.4003018170549393E-2</v>
      </c>
      <c r="BJ27" s="137">
        <f>_xll.xSPRDOPT($BW27,$BV27,$CG27,0,$BY27,$BX27,$BZ27,$AJ27,1,6)*$CB27</f>
        <v>1.6682608471657733E-7</v>
      </c>
      <c r="BK27" s="137">
        <f>_xll.xSPRDOPT($BW27,$BV27,$CG27,0,$BY27,$BX27,$BZ27,$AJ27,1,5)*$CB27</f>
        <v>-2.07810181929089E-7</v>
      </c>
      <c r="BL27" s="137">
        <f>_xll.xSPRDOPT(BW27,BV27,CG27,0,BY27,BX27,BZ27,AJ27,1,2)*CB27</f>
        <v>-0.99007333067889935</v>
      </c>
      <c r="BM27" s="137">
        <f>_xll.xSPRDOPT(BW27,BV27,CG27,0,BY27,BX27,BZ27,AJ27,1,1)*CB27</f>
        <v>0.99007333066989467</v>
      </c>
      <c r="BN27" s="137">
        <f>IF(AH27&lt;&gt;0,_xll.xSPRDOPT($BW27,$BV27,$CG27,2*LN(1+CA27/2),$BY27,$BX27,$BZ27,$AJ27,1,8)+(AJ27/365.25)*CH27/AH27,0)</f>
        <v>-0.16617744989859934</v>
      </c>
      <c r="BO27" s="137">
        <f>_xll.xSPRDOPT($BW27,$BV27,$CG27,0,$BY27,$BX27,$BZ27,$AJ27,1,0)</f>
        <v>0.7102993104640547</v>
      </c>
      <c r="BP27" s="137"/>
      <c r="BQ27" s="137"/>
      <c r="BR27" s="137"/>
      <c r="BS27" s="137"/>
      <c r="BV27" s="262">
        <v>3.0473007712082265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3.8399999999999997E-2</v>
      </c>
      <c r="CH27" s="258">
        <v>11.14723433913672</v>
      </c>
      <c r="CI27" s="258">
        <v>2.9460000000000002</v>
      </c>
      <c r="CJ27" s="258"/>
      <c r="CK27" s="258"/>
      <c r="CL27" s="258"/>
      <c r="CM27" s="258"/>
    </row>
    <row r="28" spans="1:91" x14ac:dyDescent="0.25">
      <c r="A28" s="723"/>
      <c r="B28" s="723"/>
      <c r="D28" s="31">
        <f t="shared" si="47"/>
        <v>37452</v>
      </c>
      <c r="F28" s="28">
        <f t="shared" si="12"/>
        <v>300</v>
      </c>
      <c r="G28" s="28">
        <f t="shared" si="13"/>
        <v>296.51465430540765</v>
      </c>
      <c r="H28" s="52">
        <f t="shared" si="14"/>
        <v>3.0863753213367611</v>
      </c>
      <c r="I28" s="52">
        <f t="shared" si="15"/>
        <v>4.0339999999999998</v>
      </c>
      <c r="K28" s="52">
        <f t="shared" si="16"/>
        <v>27.858505598910146</v>
      </c>
      <c r="L28" s="135">
        <f t="shared" si="17"/>
        <v>3.144731437032533E-6</v>
      </c>
      <c r="N28" s="131">
        <f t="shared" si="48"/>
        <v>0.54938596714727361</v>
      </c>
      <c r="O28" s="131">
        <f t="shared" si="49"/>
        <v>0.54938596714727361</v>
      </c>
      <c r="P28" s="55">
        <f t="shared" si="50"/>
        <v>0.99999999999999978</v>
      </c>
      <c r="Q28" s="135">
        <f>_xll.xSPRDOPT(I28,H28,AQ28,0,O28,N28,P28,D28-$G$5,1,0)*AH28*AU28</f>
        <v>27.858508743641583</v>
      </c>
      <c r="R28" s="135"/>
      <c r="S28" s="181">
        <f>_xll.xSPRDOPT(I28,H28,AQ28,AT28,O28,N28,P28,D28-$G$5,1,2)*AF28*(F28/(1-AR28))*AH28</f>
        <v>-9451.3189558992526</v>
      </c>
      <c r="T28" s="181">
        <f>_xll.xSPRDOPT(I28,H28,AQ28,AT28,O28,N28,P28,D28-$G$5,1,1)*AF28*F28*AH28</f>
        <v>9191.4076846966054</v>
      </c>
      <c r="U28" s="135"/>
      <c r="V28" s="146">
        <f t="shared" si="18"/>
        <v>11.499134808618015</v>
      </c>
      <c r="W28" s="146"/>
      <c r="X28" s="338">
        <f t="shared" si="19"/>
        <v>0</v>
      </c>
      <c r="Y28" s="338">
        <f t="shared" si="20"/>
        <v>0</v>
      </c>
      <c r="Z28" s="338">
        <f t="shared" si="21"/>
        <v>1.3949830527876106</v>
      </c>
      <c r="AA28" s="338">
        <f t="shared" si="22"/>
        <v>-5.3484845469447761E-8</v>
      </c>
      <c r="AB28" s="338">
        <f t="shared" si="23"/>
        <v>0</v>
      </c>
      <c r="AC28" s="338">
        <f t="shared" si="24"/>
        <v>1.4020932129797887</v>
      </c>
      <c r="AF28" s="138">
        <f t="shared" si="25"/>
        <v>1</v>
      </c>
      <c r="AG28" s="138">
        <f t="shared" si="26"/>
        <v>7</v>
      </c>
      <c r="AH28" s="138">
        <f t="shared" si="27"/>
        <v>31</v>
      </c>
      <c r="AI28" s="138">
        <f t="shared" si="51"/>
        <v>196</v>
      </c>
      <c r="AJ28" s="138">
        <f t="shared" si="28"/>
        <v>213</v>
      </c>
      <c r="AL28" s="136">
        <f t="shared" si="29"/>
        <v>2.984</v>
      </c>
      <c r="AM28" s="258">
        <f t="shared" si="30"/>
        <v>1.2500000000000001E-2</v>
      </c>
      <c r="AN28" s="258">
        <f t="shared" si="31"/>
        <v>5.0000000000000001E-3</v>
      </c>
      <c r="AO28" s="258">
        <f t="shared" si="32"/>
        <v>1.05</v>
      </c>
      <c r="AP28" s="258">
        <f t="shared" si="33"/>
        <v>0</v>
      </c>
      <c r="AQ28" s="136">
        <f t="shared" si="34"/>
        <v>3.8399999999999997E-2</v>
      </c>
      <c r="AR28" s="137">
        <f t="shared" si="35"/>
        <v>2.75E-2</v>
      </c>
      <c r="AS28" s="136">
        <f t="shared" si="36"/>
        <v>3.0015000000000001</v>
      </c>
      <c r="AT28" s="137">
        <f t="shared" si="37"/>
        <v>2.0428629809483099E-2</v>
      </c>
      <c r="AU28" s="137">
        <f t="shared" si="38"/>
        <v>0.98838218101802544</v>
      </c>
      <c r="AV28" s="394">
        <f t="shared" si="39"/>
        <v>245.11878089247031</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4.7121867837940615E-7</v>
      </c>
      <c r="BG28" s="137">
        <f>_xll.xSPRDOPT($BW28,$BV28,$CG28,0,$BY28,$BX28,$BZ28,$AJ28,1,3)*$CB28</f>
        <v>9.424373567588123E-7</v>
      </c>
      <c r="BH28" s="137">
        <f>IF(OR(BF28&lt;&gt;0,BG28&lt;&gt;0),_xll.xSPRDOPT($BW28,$BV28,$CG28,0,$BY28,$BX28,$BZ28,$AJ28,1,12)*$CB28,0)</f>
        <v>-1.1780466959485154E-6</v>
      </c>
      <c r="BI28" s="137">
        <f>_xll.xSPRDOPT($BW28,$BV28,$CG28,2*LN(1+CA28/2),$BY28,$BX28,$BZ28,$AJ28,1,9)</f>
        <v>1.8262278137300171E-2</v>
      </c>
      <c r="BJ28" s="137">
        <f>_xll.xSPRDOPT($BW28,$BV28,$CG28,0,$BY28,$BX28,$BZ28,$AJ28,1,6)*$CB28</f>
        <v>1.9552854250430593E-7</v>
      </c>
      <c r="BK28" s="137">
        <f>_xll.xSPRDOPT($BW28,$BV28,$CG28,0,$BY28,$BX28,$BZ28,$AJ28,1,5)*$CB28</f>
        <v>-2.5561565485140043E-7</v>
      </c>
      <c r="BL28" s="137">
        <f>_xll.xSPRDOPT(BW28,BV28,CG28,0,BY28,BX28,BZ28,AJ28,1,2)*CB28</f>
        <v>-0.98821730583164613</v>
      </c>
      <c r="BM28" s="137">
        <f>_xll.xSPRDOPT(BW28,BV28,CG28,0,BY28,BX28,BZ28,AJ28,1,1)*CB28</f>
        <v>0.98821730583703882</v>
      </c>
      <c r="BN28" s="137">
        <f>IF(AH28&lt;&gt;0,_xll.xSPRDOPT($BW28,$BV28,$CG28,2*LN(1+CA28/2),$BY28,$BX28,$BZ28,$AJ28,1,8)+(AJ28/365.25)*CH28/AH28,0)</f>
        <v>-0.30769600877433162</v>
      </c>
      <c r="BO28" s="137">
        <f>_xll.xSPRDOPT($BW28,$BV28,$CG28,0,$BY28,$BX28,$BZ28,$AJ28,1,0)</f>
        <v>0.90922478106926996</v>
      </c>
      <c r="BP28" s="137"/>
      <c r="BQ28" s="137"/>
      <c r="BR28" s="137"/>
      <c r="BS28" s="137"/>
      <c r="BV28" s="262">
        <v>3.0863753213367611</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3.8399999999999997E-2</v>
      </c>
      <c r="CH28" s="258">
        <v>11.497215297835815</v>
      </c>
      <c r="CI28" s="258">
        <v>2.984</v>
      </c>
      <c r="CJ28" s="258"/>
      <c r="CK28" s="258"/>
      <c r="CL28" s="258"/>
      <c r="CM28" s="258"/>
    </row>
    <row r="29" spans="1:91" x14ac:dyDescent="0.25">
      <c r="A29" s="723"/>
      <c r="B29" s="723"/>
      <c r="D29" s="31">
        <f t="shared" si="47"/>
        <v>37483</v>
      </c>
      <c r="F29" s="28">
        <f t="shared" si="12"/>
        <v>300</v>
      </c>
      <c r="G29" s="28">
        <f t="shared" si="13"/>
        <v>295.88060293434046</v>
      </c>
      <c r="H29" s="52">
        <f t="shared" si="14"/>
        <v>3.1295629820051412</v>
      </c>
      <c r="I29" s="52">
        <f t="shared" si="15"/>
        <v>4.0759999999999996</v>
      </c>
      <c r="K29" s="52">
        <f t="shared" si="16"/>
        <v>27.762622505005325</v>
      </c>
      <c r="L29" s="135">
        <f t="shared" si="17"/>
        <v>3.0584371693009871E-6</v>
      </c>
      <c r="N29" s="131">
        <f t="shared" si="48"/>
        <v>0.55001555741820785</v>
      </c>
      <c r="O29" s="131">
        <f t="shared" si="49"/>
        <v>0.55001555741820785</v>
      </c>
      <c r="P29" s="55">
        <f t="shared" si="50"/>
        <v>1</v>
      </c>
      <c r="Q29" s="135">
        <f>_xll.xSPRDOPT(I29,H29,AQ29,0,O29,N29,P29,D29-$G$5,1,0)*AH29*AU29</f>
        <v>27.762625563442494</v>
      </c>
      <c r="R29" s="135"/>
      <c r="S29" s="181">
        <f>_xll.xSPRDOPT(I29,H29,AQ29,AT29,O29,N29,P29,D29-$G$5,1,2)*AF29*(F29/(1-AR29))*AH29</f>
        <v>-9430.9851216665338</v>
      </c>
      <c r="T29" s="181">
        <f>_xll.xSPRDOPT(I29,H29,AQ29,AT29,O29,N29,P29,D29-$G$5,1,1)*AF29*F29*AH29</f>
        <v>9171.63303083762</v>
      </c>
      <c r="U29" s="135"/>
      <c r="V29" s="146">
        <f t="shared" si="18"/>
        <v>11.474545662396659</v>
      </c>
      <c r="W29" s="146"/>
      <c r="X29" s="338">
        <f t="shared" si="19"/>
        <v>0</v>
      </c>
      <c r="Y29" s="338">
        <f t="shared" si="20"/>
        <v>0</v>
      </c>
      <c r="Z29" s="338">
        <f t="shared" si="21"/>
        <v>1.43325421659492</v>
      </c>
      <c r="AA29" s="338">
        <f t="shared" si="22"/>
        <v>-7.7264148216210272E-8</v>
      </c>
      <c r="AB29" s="338">
        <f t="shared" si="23"/>
        <v>0</v>
      </c>
      <c r="AC29" s="338">
        <f t="shared" si="24"/>
        <v>1.4407867492513287</v>
      </c>
      <c r="AF29" s="138">
        <f t="shared" si="25"/>
        <v>1</v>
      </c>
      <c r="AG29" s="138">
        <f t="shared" si="26"/>
        <v>8</v>
      </c>
      <c r="AH29" s="138">
        <f t="shared" si="27"/>
        <v>31</v>
      </c>
      <c r="AI29" s="138">
        <f t="shared" si="51"/>
        <v>227</v>
      </c>
      <c r="AJ29" s="138">
        <f t="shared" si="28"/>
        <v>244</v>
      </c>
      <c r="AL29" s="136">
        <f t="shared" si="29"/>
        <v>3.0259999999999998</v>
      </c>
      <c r="AM29" s="258">
        <f t="shared" si="30"/>
        <v>1.2500000000000001E-2</v>
      </c>
      <c r="AN29" s="258">
        <f t="shared" si="31"/>
        <v>5.0000000000000001E-3</v>
      </c>
      <c r="AO29" s="258">
        <f t="shared" si="32"/>
        <v>1.05</v>
      </c>
      <c r="AP29" s="258">
        <f t="shared" si="33"/>
        <v>0</v>
      </c>
      <c r="AQ29" s="136">
        <f t="shared" si="34"/>
        <v>3.8399999999999997E-2</v>
      </c>
      <c r="AR29" s="137">
        <f t="shared" si="35"/>
        <v>2.75E-2</v>
      </c>
      <c r="AS29" s="136">
        <f t="shared" si="36"/>
        <v>3.0434999999999999</v>
      </c>
      <c r="AT29" s="137">
        <f t="shared" si="37"/>
        <v>2.1065008234303999E-2</v>
      </c>
      <c r="AU29" s="137">
        <f t="shared" si="38"/>
        <v>0.98626867644780158</v>
      </c>
      <c r="AV29" s="394">
        <f t="shared" si="39"/>
        <v>244.59463175905481</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-7.0531292486284189E-7</v>
      </c>
      <c r="BG29" s="137">
        <f>_xll.xSPRDOPT($BW29,$BV29,$CG29,0,$BY29,$BX29,$BZ29,$AJ29,1,3)*$CB29</f>
        <v>-2.3510430828761395E-7</v>
      </c>
      <c r="BH29" s="137">
        <f>IF(OR(BF29&lt;&gt;0,BG29&lt;&gt;0),_xll.xSPRDOPT($BW29,$BV29,$CG29,0,$BY29,$BX29,$BZ29,$AJ29,1,12)*$CB29,0)</f>
        <v>0</v>
      </c>
      <c r="BI29" s="137">
        <f>_xll.xSPRDOPT($BW29,$BV29,$CG29,2*LN(1+CA29/2),$BY29,$BX29,$BZ29,$AJ29,1,9)</f>
        <v>1.8763301168863603E-2</v>
      </c>
      <c r="BJ29" s="137">
        <f>_xll.xSPRDOPT($BW29,$BV29,$CG29,0,$BY29,$BX29,$BZ29,$AJ29,1,6)*$CB29</f>
        <v>2.2642036001701088E-7</v>
      </c>
      <c r="BK29" s="137">
        <f>_xll.xSPRDOPT($BW29,$BV29,$CG29,0,$BY29,$BX29,$BZ29,$AJ29,1,5)*$CB29</f>
        <v>-2.9491783692353282E-7</v>
      </c>
      <c r="BL29" s="137">
        <f>_xll.xSPRDOPT(BW29,BV29,CG29,0,BY29,BX29,BZ29,AJ29,1,2)*CB29</f>
        <v>-0.98609904990451691</v>
      </c>
      <c r="BM29" s="137">
        <f>_xll.xSPRDOPT(BW29,BV29,CG29,0,BY29,BX29,BZ29,AJ29,1,1)*CB29</f>
        <v>0.98609904990092956</v>
      </c>
      <c r="BN29" s="137">
        <f>IF(AH29&lt;&gt;0,_xll.xSPRDOPT($BW29,$BV29,$CG29,2*LN(1+CA29/2),$BY29,$BX29,$BZ29,$AJ29,1,8)+(AJ29/365.25)*CH29/AH29,0)</f>
        <v>-0.35094014465289441</v>
      </c>
      <c r="BO29" s="137">
        <f>_xll.xSPRDOPT($BW29,$BV29,$CG29,0,$BY29,$BX29,$BZ29,$AJ29,1,0)</f>
        <v>0.90803711780124785</v>
      </c>
      <c r="BP29" s="137"/>
      <c r="BQ29" s="137"/>
      <c r="BR29" s="137"/>
      <c r="BS29" s="137"/>
      <c r="BV29" s="262">
        <v>3.1295629820051412</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3.8399999999999997E-2</v>
      </c>
      <c r="CH29" s="258">
        <v>11.472570905413392</v>
      </c>
      <c r="CI29" s="258">
        <v>3.0259999999999998</v>
      </c>
      <c r="CJ29" s="258"/>
      <c r="CK29" s="258"/>
      <c r="CL29" s="258"/>
      <c r="CM29" s="258"/>
    </row>
    <row r="30" spans="1:91" x14ac:dyDescent="0.25">
      <c r="A30" s="723"/>
      <c r="B30" s="723"/>
      <c r="D30" s="31">
        <f t="shared" si="47"/>
        <v>37514</v>
      </c>
      <c r="F30" s="28">
        <f t="shared" si="12"/>
        <v>300</v>
      </c>
      <c r="G30" s="28">
        <f t="shared" si="13"/>
        <v>295.2163864702747</v>
      </c>
      <c r="H30" s="52">
        <f t="shared" si="14"/>
        <v>3.1161953727506422</v>
      </c>
      <c r="I30" s="52">
        <f t="shared" si="15"/>
        <v>3.7679999999999998</v>
      </c>
      <c r="K30" s="52">
        <f t="shared" si="16"/>
        <v>18.108709750070112</v>
      </c>
      <c r="L30" s="135">
        <f t="shared" si="17"/>
        <v>1.940728797222846E-6</v>
      </c>
      <c r="N30" s="131">
        <f t="shared" si="48"/>
        <v>0.54862064797509713</v>
      </c>
      <c r="O30" s="131">
        <f t="shared" si="49"/>
        <v>0.54862064797509713</v>
      </c>
      <c r="P30" s="55">
        <f t="shared" si="50"/>
        <v>1</v>
      </c>
      <c r="Q30" s="135">
        <f>_xll.xSPRDOPT(I30,H30,AQ30,0,O30,N30,P30,D30-$G$5,1,0)*AH30*AU30</f>
        <v>18.108711690798909</v>
      </c>
      <c r="R30" s="135"/>
      <c r="S30" s="181">
        <f>_xll.xSPRDOPT(I30,H30,AQ30,AT30,O30,N30,P30,D30-$G$5,1,2)*AF30*(F30/(1-AR30))*AH30</f>
        <v>-9106.1404987333663</v>
      </c>
      <c r="T30" s="181">
        <f>_xll.xSPRDOPT(I30,H30,AQ30,AT30,O30,N30,P30,D30-$G$5,1,1)*AF30*F30*AH30</f>
        <v>8855.721635165537</v>
      </c>
      <c r="U30" s="135"/>
      <c r="V30" s="146">
        <f t="shared" si="18"/>
        <v>11.07947098422941</v>
      </c>
      <c r="W30" s="146"/>
      <c r="X30" s="338">
        <f t="shared" si="19"/>
        <v>0</v>
      </c>
      <c r="Y30" s="338">
        <f t="shared" si="20"/>
        <v>0</v>
      </c>
      <c r="Z30" s="338">
        <f t="shared" si="21"/>
        <v>0.96295354868835092</v>
      </c>
      <c r="AA30" s="338">
        <f t="shared" si="22"/>
        <v>-4.2695975191658445E-8</v>
      </c>
      <c r="AB30" s="338">
        <f t="shared" si="23"/>
        <v>0</v>
      </c>
      <c r="AC30" s="338">
        <f t="shared" si="24"/>
        <v>0.9681671273599356</v>
      </c>
      <c r="AF30" s="138">
        <f t="shared" si="25"/>
        <v>1</v>
      </c>
      <c r="AG30" s="138">
        <f t="shared" si="26"/>
        <v>9</v>
      </c>
      <c r="AH30" s="138">
        <f t="shared" si="27"/>
        <v>30</v>
      </c>
      <c r="AI30" s="138">
        <f t="shared" si="51"/>
        <v>258</v>
      </c>
      <c r="AJ30" s="138">
        <f t="shared" si="28"/>
        <v>275</v>
      </c>
      <c r="AL30" s="136">
        <f t="shared" si="29"/>
        <v>3.0179999999999998</v>
      </c>
      <c r="AM30" s="258">
        <f t="shared" si="30"/>
        <v>7.4999999999999997E-3</v>
      </c>
      <c r="AN30" s="258">
        <f t="shared" si="31"/>
        <v>5.0000000000000001E-3</v>
      </c>
      <c r="AO30" s="258">
        <f t="shared" si="32"/>
        <v>0.75</v>
      </c>
      <c r="AP30" s="258">
        <f t="shared" si="33"/>
        <v>0</v>
      </c>
      <c r="AQ30" s="136">
        <f t="shared" si="34"/>
        <v>3.8399999999999997E-2</v>
      </c>
      <c r="AR30" s="137">
        <f t="shared" si="35"/>
        <v>2.75E-2</v>
      </c>
      <c r="AS30" s="136">
        <f t="shared" si="36"/>
        <v>3.0304999999999995</v>
      </c>
      <c r="AT30" s="137">
        <f t="shared" si="37"/>
        <v>2.1701386796276499E-2</v>
      </c>
      <c r="AU30" s="137">
        <f t="shared" si="38"/>
        <v>0.98405462156758228</v>
      </c>
      <c r="AV30" s="394">
        <f t="shared" si="39"/>
        <v>236.17310917621975</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0</v>
      </c>
      <c r="BG30" s="137">
        <f>_xll.xSPRDOPT($BW30,$BV30,$CG30,0,$BY30,$BX30,$BZ30,$AJ30,1,3)*$CB30</f>
        <v>2.3457531417400232E-7</v>
      </c>
      <c r="BH30" s="137">
        <f>IF(OR(BF30&lt;&gt;0,BG30&lt;&gt;0),_xll.xSPRDOPT($BW30,$BV30,$CG30,0,$BY30,$BX30,$BZ30,$AJ30,1,12)*$CB30,0)</f>
        <v>-2.3457531417400232E-7</v>
      </c>
      <c r="BI30" s="137">
        <f>_xll.xSPRDOPT($BW30,$BV30,$CG30,2*LN(1+CA30/2),$BY30,$BX30,$BZ30,$AJ30,1,9)</f>
        <v>1.3026621616978526E-2</v>
      </c>
      <c r="BJ30" s="137">
        <f>_xll.xSPRDOPT($BW30,$BV30,$CG30,0,$BY30,$BX30,$BZ30,$AJ30,1,6)*$CB30</f>
        <v>2.4391002819377537E-7</v>
      </c>
      <c r="BK30" s="137">
        <f>_xll.xSPRDOPT($BW30,$BV30,$CG30,0,$BY30,$BX30,$BZ30,$AJ30,1,5)*$CB30</f>
        <v>-2.9493480574649116E-7</v>
      </c>
      <c r="BL30" s="137">
        <f>_xll.xSPRDOPT(BW30,BV30,CG30,0,BY30,BX30,BZ30,AJ30,1,2)*CB30</f>
        <v>-0.98388028461129506</v>
      </c>
      <c r="BM30" s="137">
        <f>_xll.xSPRDOPT(BW30,BV30,CG30,0,BY30,BX30,BZ30,AJ30,1,1)*CB30</f>
        <v>0.98388028462561239</v>
      </c>
      <c r="BN30" s="137">
        <f>IF(AH30&lt;&gt;0,_xll.xSPRDOPT($BW30,$BV30,$CG30,2*LN(1+CA30/2),$BY30,$BX30,$BZ30,$AJ30,1,8)+(AJ30/365.25)*CH30/AH30,0)</f>
        <v>-0.17638133913088666</v>
      </c>
      <c r="BO30" s="137">
        <f>_xll.xSPRDOPT($BW30,$BV30,$CG30,0,$BY30,$BX30,$BZ30,$AJ30,1,0)</f>
        <v>0.61340469283722576</v>
      </c>
      <c r="BP30" s="137"/>
      <c r="BQ30" s="137"/>
      <c r="BR30" s="137"/>
      <c r="BS30" s="137"/>
      <c r="BV30" s="262">
        <v>3.1161953727506422</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3.8399999999999997E-2</v>
      </c>
      <c r="CH30" s="258">
        <v>11.077506930196211</v>
      </c>
      <c r="CI30" s="258">
        <v>3.0179999999999998</v>
      </c>
      <c r="CJ30" s="258"/>
      <c r="CK30" s="258"/>
      <c r="CL30" s="258"/>
      <c r="CM30" s="258"/>
    </row>
    <row r="31" spans="1:91" x14ac:dyDescent="0.25">
      <c r="A31" s="723"/>
      <c r="B31" s="723"/>
      <c r="D31" s="31">
        <f t="shared" si="47"/>
        <v>37544</v>
      </c>
      <c r="F31" s="28">
        <f t="shared" si="12"/>
        <v>474</v>
      </c>
      <c r="G31" s="28">
        <f t="shared" si="13"/>
        <v>465.34587557885141</v>
      </c>
      <c r="H31" s="52">
        <f t="shared" si="14"/>
        <v>3.1295629820051412</v>
      </c>
      <c r="I31" s="52">
        <f t="shared" si="15"/>
        <v>3.4810000000000003</v>
      </c>
      <c r="K31" s="52">
        <f t="shared" si="16"/>
        <v>9.526972662552156</v>
      </c>
      <c r="L31" s="135">
        <f t="shared" si="17"/>
        <v>2.8574436701234163E-6</v>
      </c>
      <c r="N31" s="131">
        <f t="shared" si="48"/>
        <v>0.55129247567847639</v>
      </c>
      <c r="O31" s="131">
        <f t="shared" si="49"/>
        <v>0.55129247567847639</v>
      </c>
      <c r="P31" s="55">
        <f t="shared" si="50"/>
        <v>1</v>
      </c>
      <c r="Q31" s="135">
        <f>_xll.xSPRDOPT(I31,H31,AQ31,0,O31,N31,P31,D31-$G$5,1,0)*AH31*AU31</f>
        <v>9.5269755199958261</v>
      </c>
      <c r="R31" s="135"/>
      <c r="S31" s="181">
        <f>_xll.xSPRDOPT(I31,H31,AQ31,AT31,O31,N31,P31,D31-$G$5,1,2)*AF31*(F31/(1-AR31))*AH31</f>
        <v>-14832.099288517404</v>
      </c>
      <c r="T31" s="181">
        <f>_xll.xSPRDOPT(I31,H31,AQ31,AT31,O31,N31,P31,D31-$G$5,1,1)*AF31*F31*AH31</f>
        <v>14424.216557989625</v>
      </c>
      <c r="U31" s="135"/>
      <c r="V31" s="146">
        <f t="shared" si="18"/>
        <v>11.421885063812303</v>
      </c>
      <c r="W31" s="146"/>
      <c r="X31" s="338">
        <f t="shared" si="19"/>
        <v>0</v>
      </c>
      <c r="Y31" s="338">
        <f t="shared" si="20"/>
        <v>0</v>
      </c>
      <c r="Z31" s="338">
        <f t="shared" si="21"/>
        <v>0.82634791732408419</v>
      </c>
      <c r="AA31" s="338">
        <f t="shared" si="22"/>
        <v>3.4686604602872535E-6</v>
      </c>
      <c r="AB31" s="338">
        <f t="shared" si="23"/>
        <v>0</v>
      </c>
      <c r="AC31" s="338">
        <f t="shared" si="24"/>
        <v>0.83105538882788732</v>
      </c>
      <c r="AF31" s="138">
        <f t="shared" si="25"/>
        <v>1</v>
      </c>
      <c r="AG31" s="138">
        <f t="shared" si="26"/>
        <v>10</v>
      </c>
      <c r="AH31" s="138">
        <f t="shared" si="27"/>
        <v>31</v>
      </c>
      <c r="AI31" s="138">
        <f t="shared" si="51"/>
        <v>288</v>
      </c>
      <c r="AJ31" s="138">
        <f t="shared" si="28"/>
        <v>305</v>
      </c>
      <c r="AL31" s="136">
        <f t="shared" si="29"/>
        <v>3.0310000000000001</v>
      </c>
      <c r="AM31" s="258">
        <f t="shared" si="30"/>
        <v>7.4999999999999997E-3</v>
      </c>
      <c r="AN31" s="258">
        <f t="shared" si="31"/>
        <v>5.0000000000000001E-3</v>
      </c>
      <c r="AO31" s="258">
        <f t="shared" si="32"/>
        <v>0.45</v>
      </c>
      <c r="AP31" s="258">
        <f t="shared" si="33"/>
        <v>0</v>
      </c>
      <c r="AQ31" s="136">
        <f t="shared" si="34"/>
        <v>3.8399999999999997E-2</v>
      </c>
      <c r="AR31" s="137">
        <f t="shared" si="35"/>
        <v>2.75E-2</v>
      </c>
      <c r="AS31" s="136">
        <f t="shared" si="36"/>
        <v>3.0434999999999999</v>
      </c>
      <c r="AT31" s="137">
        <f t="shared" si="37"/>
        <v>2.2410164045373999E-2</v>
      </c>
      <c r="AU31" s="137">
        <f t="shared" si="38"/>
        <v>0.98174235354188055</v>
      </c>
      <c r="AV31" s="394">
        <f t="shared" si="39"/>
        <v>395.64216847737788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-8.1907971851201578E-7</v>
      </c>
      <c r="BG31" s="137">
        <f>_xll.xSPRDOPT($BW31,$BV31,$CG31,0,$BY31,$BX31,$BZ31,$AJ31,1,3)*$CB31</f>
        <v>-1.170113883588594E-7</v>
      </c>
      <c r="BH31" s="137">
        <f>IF(OR(BF31&lt;&gt;0,BG31&lt;&gt;0),_xll.xSPRDOPT($BW31,$BV31,$CG31,0,$BY31,$BX31,$BZ31,$AJ31,1,12)*$CB31,0)</f>
        <v>9.9459680105030477E-7</v>
      </c>
      <c r="BI31" s="137">
        <f>_xll.xSPRDOPT($BW31,$BV31,$CG31,2*LN(1+CA31/2),$BY31,$BX31,$BZ31,$AJ31,1,9)</f>
        <v>6.8468666758001399E-3</v>
      </c>
      <c r="BJ31" s="137">
        <f>_xll.xSPRDOPT($BW31,$BV31,$CG31,0,$BY31,$BX31,$BZ31,$AJ31,1,6)*$CB31</f>
        <v>-1.9213606678731609E-5</v>
      </c>
      <c r="BK31" s="137">
        <f>_xll.xSPRDOPT($BW31,$BV31,$CG31,0,$BY31,$BX31,$BZ31,$AJ31,1,5)*$CB31</f>
        <v>2.1371200141294084E-5</v>
      </c>
      <c r="BL31" s="137">
        <f>_xll.xSPRDOPT(BW31,BV31,CG31,0,BY31,BX31,BZ31,AJ31,1,2)*CB31</f>
        <v>-0.9815613783980397</v>
      </c>
      <c r="BM31" s="137">
        <f>_xll.xSPRDOPT(BW31,BV31,CG31,0,BY31,BX31,BZ31,AJ31,1,1)*CB31</f>
        <v>0.98156137839000512</v>
      </c>
      <c r="BN31" s="137">
        <f>IF(AH31&lt;&gt;0,_xll.xSPRDOPT($BW31,$BV31,$CG31,2*LN(1+CA31/2),$BY31,$BX31,$BZ31,$AJ31,1,8)+(AJ31/365.25)*CH31/AH31,0)</f>
        <v>5.1033677996626281E-2</v>
      </c>
      <c r="BO31" s="137">
        <f>_xll.xSPRDOPT($BW31,$BV31,$CG31,0,$BY31,$BX31,$BZ31,$AJ31,1,0)</f>
        <v>0.31303711765150027</v>
      </c>
      <c r="BP31" s="137"/>
      <c r="BQ31" s="137"/>
      <c r="BR31" s="137"/>
      <c r="BS31" s="137"/>
      <c r="BV31" s="262">
        <v>3.1295629820051412</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474</v>
      </c>
      <c r="G32" s="28">
        <f t="shared" si="13"/>
        <v>464.10497702736478</v>
      </c>
      <c r="H32" s="52">
        <f t="shared" si="14"/>
        <v>3.3120822622107964</v>
      </c>
      <c r="I32" s="52">
        <f t="shared" si="15"/>
        <v>3.661</v>
      </c>
      <c r="K32" s="52">
        <f t="shared" si="16"/>
        <v>9.1210650356485861</v>
      </c>
      <c r="L32" s="135">
        <f t="shared" si="17"/>
        <v>7.4844496804615801E-6</v>
      </c>
      <c r="N32" s="131">
        <f t="shared" si="48"/>
        <v>0.55763051961597798</v>
      </c>
      <c r="O32" s="131">
        <f t="shared" si="49"/>
        <v>0.55763051961597798</v>
      </c>
      <c r="P32" s="55">
        <f t="shared" si="50"/>
        <v>1.0000000000000002</v>
      </c>
      <c r="Q32" s="135">
        <f>_xll.xSPRDOPT(I32,H32,AQ32,0,O32,N32,P32,D32-$G$5,1,0)*AH32*AU32</f>
        <v>9.1210725200982665</v>
      </c>
      <c r="R32" s="135"/>
      <c r="S32" s="181">
        <f>_xll.xSPRDOPT(I32,H32,AQ32,AT32,O32,N32,P32,D32-$G$5,1,2)*AF32*(F32/(1-AR32))*AH32</f>
        <v>-14315.054714002756</v>
      </c>
      <c r="T32" s="181">
        <f>_xll.xSPRDOPT(I32,H32,AQ32,AT32,O32,N32,P32,D32-$G$5,1,1)*AF32*F32*AH32</f>
        <v>13921.390709147818</v>
      </c>
      <c r="U32" s="135"/>
      <c r="V32" s="146">
        <f t="shared" si="18"/>
        <v>11.023961891036077</v>
      </c>
      <c r="W32" s="146"/>
      <c r="X32" s="338">
        <f t="shared" si="19"/>
        <v>0</v>
      </c>
      <c r="Y32" s="338">
        <f t="shared" si="20"/>
        <v>0</v>
      </c>
      <c r="Z32" s="338">
        <f t="shared" si="21"/>
        <v>0.82133404194057924</v>
      </c>
      <c r="AA32" s="338">
        <f t="shared" si="22"/>
        <v>1.2961679222030594E-5</v>
      </c>
      <c r="AB32" s="338">
        <f t="shared" si="23"/>
        <v>0</v>
      </c>
      <c r="AC32" s="338">
        <f t="shared" si="24"/>
        <v>0.8263137909263093</v>
      </c>
      <c r="AF32" s="138">
        <f t="shared" si="25"/>
        <v>1</v>
      </c>
      <c r="AG32" s="138">
        <f t="shared" si="26"/>
        <v>11</v>
      </c>
      <c r="AH32" s="138">
        <f t="shared" si="27"/>
        <v>30</v>
      </c>
      <c r="AI32" s="138">
        <f t="shared" si="51"/>
        <v>319</v>
      </c>
      <c r="AJ32" s="138">
        <f t="shared" si="28"/>
        <v>336</v>
      </c>
      <c r="AL32" s="136">
        <f t="shared" si="29"/>
        <v>3.2109999999999999</v>
      </c>
      <c r="AM32" s="258">
        <f t="shared" si="30"/>
        <v>5.0000000000000001E-3</v>
      </c>
      <c r="AN32" s="258">
        <f t="shared" si="31"/>
        <v>5.0000000000000001E-3</v>
      </c>
      <c r="AO32" s="258">
        <f t="shared" si="32"/>
        <v>0.45</v>
      </c>
      <c r="AP32" s="258">
        <f t="shared" si="33"/>
        <v>0</v>
      </c>
      <c r="AQ32" s="136">
        <f t="shared" si="34"/>
        <v>3.8399999999999997E-2</v>
      </c>
      <c r="AR32" s="137">
        <f t="shared" si="35"/>
        <v>2.75E-2</v>
      </c>
      <c r="AS32" s="136">
        <f t="shared" si="36"/>
        <v>3.2209999999999996</v>
      </c>
      <c r="AT32" s="137">
        <f t="shared" si="37"/>
        <v>2.3274064967752799E-2</v>
      </c>
      <c r="AU32" s="137">
        <f t="shared" si="38"/>
        <v>0.97912442410836453</v>
      </c>
      <c r="AV32" s="394">
        <f t="shared" si="39"/>
        <v>381.85852540226216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-2.3339709052104005E-7</v>
      </c>
      <c r="BG32" s="137">
        <f>_xll.xSPRDOPT($BW32,$BV32,$CG32,0,$BY32,$BX32,$BZ32,$AJ32,1,3)*$CB32</f>
        <v>5.8349272630260017E-7</v>
      </c>
      <c r="BH32" s="137">
        <f>IF(OR(BF32&lt;&gt;0,BG32&lt;&gt;0),_xll.xSPRDOPT($BW32,$BV32,$CG32,0,$BY32,$BX32,$BZ32,$AJ32,1,12)*$CB32,0)</f>
        <v>-2.9174636315130009E-7</v>
      </c>
      <c r="BI32" s="137">
        <f>_xll.xSPRDOPT($BW32,$BV32,$CG32,2*LN(1+CA32/2),$BY32,$BX32,$BZ32,$AJ32,1,9)</f>
        <v>7.0321673422127657E-3</v>
      </c>
      <c r="BJ32" s="137">
        <f>_xll.xSPRDOPT($BW32,$BV32,$CG32,0,$BY32,$BX32,$BZ32,$AJ32,1,6)*$CB32</f>
        <v>-5.6007205253902078E-5</v>
      </c>
      <c r="BK32" s="137">
        <f>_xll.xSPRDOPT($BW32,$BV32,$CG32,0,$BY32,$BX32,$BZ32,$AJ32,1,5)*$CB32</f>
        <v>6.1907387137693134E-5</v>
      </c>
      <c r="BL32" s="137">
        <f>_xll.xSPRDOPT(BW32,BV32,CG32,0,BY32,BX32,BZ32,AJ32,1,2)*CB32</f>
        <v>-0.97893466842870602</v>
      </c>
      <c r="BM32" s="137">
        <f>_xll.xSPRDOPT(BW32,BV32,CG32,0,BY32,BX32,BZ32,AJ32,1,1)*CB32</f>
        <v>0.9789346684180219</v>
      </c>
      <c r="BN32" s="137">
        <f>IF(AH32&lt;&gt;0,_xll.xSPRDOPT($BW32,$BV32,$CG32,2*LN(1+CA32/2),$BY32,$BX32,$BZ32,$AJ32,1,8)+(AJ32/365.25)*CH32/AH32,0)</f>
        <v>5.8338962544345452E-2</v>
      </c>
      <c r="BO32" s="137">
        <f>_xll.xSPRDOPT($BW32,$BV32,$CG32,0,$BY32,$BX32,$BZ32,$AJ32,1,0)</f>
        <v>0.3105180067683555</v>
      </c>
      <c r="BP32" s="137"/>
      <c r="BQ32" s="137"/>
      <c r="BR32" s="137"/>
      <c r="BS32" s="137"/>
      <c r="BV32" s="262">
        <v>3.3120822622107964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474</v>
      </c>
      <c r="G33" s="28">
        <f t="shared" si="13"/>
        <v>462.84351859073161</v>
      </c>
      <c r="H33" s="52">
        <f t="shared" si="14"/>
        <v>3.476606683804627</v>
      </c>
      <c r="I33" s="52">
        <f t="shared" si="15"/>
        <v>3.7709999999999999</v>
      </c>
      <c r="K33" s="52">
        <f t="shared" si="16"/>
        <v>7.7490089943267071</v>
      </c>
      <c r="L33" s="135">
        <f t="shared" si="17"/>
        <v>7.5864284950988292E-5</v>
      </c>
      <c r="N33" s="131">
        <f t="shared" si="48"/>
        <v>0.57103652777154523</v>
      </c>
      <c r="O33" s="131">
        <f t="shared" si="49"/>
        <v>0.57103652777154523</v>
      </c>
      <c r="P33" s="55">
        <f t="shared" si="50"/>
        <v>1.0000000000000002</v>
      </c>
      <c r="Q33" s="135">
        <f>_xll.xSPRDOPT(I33,H33,AQ33,0,O33,N33,P33,D33-$G$5,1,0)*AH33*AU33</f>
        <v>7.7490848586116581</v>
      </c>
      <c r="R33" s="135"/>
      <c r="S33" s="181">
        <f>_xll.xSPRDOPT(I33,H33,AQ33,AT33,O33,N33,P33,D33-$G$5,1,2)*AF33*(F33/(1-AR33))*AH33</f>
        <v>-14750.646233001706</v>
      </c>
      <c r="T33" s="181">
        <f>_xll.xSPRDOPT(I33,H33,AQ33,AT33,O33,N33,P33,D33-$G$5,1,1)*AF33*F33*AH33</f>
        <v>14345.003461627568</v>
      </c>
      <c r="U33" s="135"/>
      <c r="V33" s="146">
        <f t="shared" si="18"/>
        <v>11.360464869915926</v>
      </c>
      <c r="W33" s="146"/>
      <c r="X33" s="338">
        <f t="shared" si="19"/>
        <v>0</v>
      </c>
      <c r="Y33" s="338">
        <f t="shared" si="20"/>
        <v>0</v>
      </c>
      <c r="Z33" s="338">
        <f t="shared" si="21"/>
        <v>0.71987562981067732</v>
      </c>
      <c r="AA33" s="338">
        <f t="shared" si="22"/>
        <v>3.1709378178675557E-4</v>
      </c>
      <c r="AB33" s="338">
        <f t="shared" si="23"/>
        <v>0</v>
      </c>
      <c r="AC33" s="338">
        <f t="shared" si="24"/>
        <v>0.72723304095009467</v>
      </c>
      <c r="AF33" s="138">
        <f t="shared" si="25"/>
        <v>1</v>
      </c>
      <c r="AG33" s="138">
        <f t="shared" si="26"/>
        <v>12</v>
      </c>
      <c r="AH33" s="138">
        <f t="shared" si="27"/>
        <v>31</v>
      </c>
      <c r="AI33" s="138">
        <f t="shared" si="51"/>
        <v>349</v>
      </c>
      <c r="AJ33" s="138">
        <f t="shared" si="28"/>
        <v>366</v>
      </c>
      <c r="AL33" s="136">
        <f t="shared" si="29"/>
        <v>3.371</v>
      </c>
      <c r="AM33" s="258">
        <f t="shared" si="30"/>
        <v>5.0000000000000001E-3</v>
      </c>
      <c r="AN33" s="258">
        <f t="shared" si="31"/>
        <v>5.0000000000000001E-3</v>
      </c>
      <c r="AO33" s="258">
        <f t="shared" si="32"/>
        <v>0.4</v>
      </c>
      <c r="AP33" s="258">
        <f t="shared" si="33"/>
        <v>0</v>
      </c>
      <c r="AQ33" s="136">
        <f t="shared" si="34"/>
        <v>3.8399999999999997E-2</v>
      </c>
      <c r="AR33" s="137">
        <f t="shared" si="35"/>
        <v>2.75E-2</v>
      </c>
      <c r="AS33" s="136">
        <f t="shared" si="36"/>
        <v>3.3809999999999998</v>
      </c>
      <c r="AT33" s="137">
        <f t="shared" si="37"/>
        <v>2.4110098358835999E-2</v>
      </c>
      <c r="AU33" s="137">
        <f t="shared" si="38"/>
        <v>0.97646311938972907</v>
      </c>
      <c r="AV33" s="394">
        <f t="shared" si="39"/>
        <v>393.5146371140608</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1.5129473254677663E-6</v>
      </c>
      <c r="BG33" s="137">
        <f>_xll.xSPRDOPT($BW33,$BV33,$CG33,0,$BY33,$BX33,$BZ33,$AJ33,1,3)*$CB33</f>
        <v>8.1466394448264348E-7</v>
      </c>
      <c r="BH33" s="137">
        <f>IF(OR(BF33&lt;&gt;0,BG33&lt;&gt;0),_xll.xSPRDOPT($BW33,$BV33,$CG33,0,$BY33,$BX33,$BZ33,$AJ33,1,12)*$CB33,0)</f>
        <v>-5.2371253573884218E-7</v>
      </c>
      <c r="BI33" s="137">
        <f>_xll.xSPRDOPT($BW33,$BV33,$CG33,2*LN(1+CA33/2),$BY33,$BX33,$BZ33,$AJ33,1,9)</f>
        <v>5.9646697923948526E-3</v>
      </c>
      <c r="BJ33" s="137">
        <f>_xll.xSPRDOPT($BW33,$BV33,$CG33,0,$BY33,$BX33,$BZ33,$AJ33,1,6)*$CB33</f>
        <v>-1.0337368709311383E-3</v>
      </c>
      <c r="BK33" s="137">
        <f>_xll.xSPRDOPT($BW33,$BV33,$CG33,0,$BY33,$BX33,$BZ33,$AJ33,1,5)*$CB33</f>
        <v>1.1212720131376483E-3</v>
      </c>
      <c r="BL33" s="137">
        <f>_xll.xSPRDOPT(BW33,BV33,CG33,0,BY33,BX33,BZ33,AJ33,1,2)*CB33</f>
        <v>-0.97619737799338924</v>
      </c>
      <c r="BM33" s="137">
        <f>_xll.xSPRDOPT(BW33,BV33,CG33,0,BY33,BX33,BZ33,AJ33,1,1)*CB33</f>
        <v>0.9761973779978288</v>
      </c>
      <c r="BN33" s="137">
        <f>IF(AH33&lt;&gt;0,_xll.xSPRDOPT($BW33,$BV33,$CG33,2*LN(1+CA33/2),$BY33,$BX33,$BZ33,$AJ33,1,8)+(AJ33/365.25)*CH33/AH33,0)</f>
        <v>0.11671217978889759</v>
      </c>
      <c r="BO33" s="137">
        <f>_xll.xSPRDOPT($BW33,$BV33,$CG33,0,$BY33,$BX33,$BZ33,$AJ33,1,0)</f>
        <v>0.25599601133848121</v>
      </c>
      <c r="BP33" s="137"/>
      <c r="BQ33" s="137"/>
      <c r="BR33" s="137"/>
      <c r="BS33" s="137"/>
      <c r="BV33" s="262">
        <v>3.476606683804627</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3.8399999999999997E-2</v>
      </c>
      <c r="CH33" s="258">
        <v>11.358228834359572</v>
      </c>
      <c r="CI33" s="258">
        <v>3.371</v>
      </c>
      <c r="CJ33" s="258"/>
      <c r="CK33" s="258"/>
      <c r="CL33" s="258"/>
      <c r="CM33" s="258"/>
    </row>
    <row r="34" spans="1:91" x14ac:dyDescent="0.25">
      <c r="A34" s="723"/>
      <c r="B34" s="723"/>
      <c r="D34" s="31">
        <f t="shared" si="47"/>
        <v>37636</v>
      </c>
      <c r="F34" s="28">
        <f t="shared" si="12"/>
        <v>474</v>
      </c>
      <c r="G34" s="28">
        <f t="shared" si="13"/>
        <v>461.44631045334182</v>
      </c>
      <c r="H34" s="52">
        <f t="shared" si="14"/>
        <v>3.5537275064267351</v>
      </c>
      <c r="I34" s="52">
        <f t="shared" si="15"/>
        <v>3.7960000000000003</v>
      </c>
      <c r="K34" s="52">
        <f t="shared" si="16"/>
        <v>6.1828424988513406</v>
      </c>
      <c r="L34" s="135">
        <f t="shared" si="17"/>
        <v>3.3270661631590315E-4</v>
      </c>
      <c r="N34" s="131">
        <f t="shared" si="48"/>
        <v>0.5685912571426992</v>
      </c>
      <c r="O34" s="131">
        <f t="shared" si="49"/>
        <v>0.5685912571426992</v>
      </c>
      <c r="P34" s="55">
        <f t="shared" si="50"/>
        <v>0.99999999999999989</v>
      </c>
      <c r="Q34" s="135">
        <f>_xll.xSPRDOPT(I34,H34,AQ34,0,O34,N34,P34,D34-$G$5,1,0)*AH34*AU34</f>
        <v>6.1831752054676565</v>
      </c>
      <c r="R34" s="135"/>
      <c r="S34" s="181">
        <f>_xll.xSPRDOPT(I34,H34,AQ34,AT34,O34,N34,P34,D34-$G$5,1,2)*AF34*(F34/(1-AR34))*AH34</f>
        <v>-14704.247807136144</v>
      </c>
      <c r="T34" s="181">
        <f>_xll.xSPRDOPT(I34,H34,AQ34,AT34,O34,N34,P34,D34-$G$5,1,1)*AF34*F34*AH34</f>
        <v>14299.880992620316</v>
      </c>
      <c r="U34" s="135"/>
      <c r="V34" s="146">
        <f t="shared" si="18"/>
        <v>11.32617048461459</v>
      </c>
      <c r="W34" s="146"/>
      <c r="X34" s="338">
        <f t="shared" si="19"/>
        <v>0</v>
      </c>
      <c r="Y34" s="338">
        <f t="shared" si="20"/>
        <v>0</v>
      </c>
      <c r="Z34" s="338">
        <f t="shared" si="21"/>
        <v>0.5936051907533102</v>
      </c>
      <c r="AA34" s="338">
        <f t="shared" si="22"/>
        <v>5.5868148614735284E-4</v>
      </c>
      <c r="AB34" s="338">
        <f t="shared" si="23"/>
        <v>0</v>
      </c>
      <c r="AC34" s="338">
        <f t="shared" si="24"/>
        <v>0.60261493984076031</v>
      </c>
      <c r="AF34" s="138">
        <f t="shared" si="25"/>
        <v>1</v>
      </c>
      <c r="AG34" s="138">
        <f t="shared" si="26"/>
        <v>1</v>
      </c>
      <c r="AH34" s="138">
        <f t="shared" si="27"/>
        <v>31</v>
      </c>
      <c r="AI34" s="138">
        <f t="shared" si="51"/>
        <v>380</v>
      </c>
      <c r="AJ34" s="138">
        <f t="shared" si="28"/>
        <v>397</v>
      </c>
      <c r="AL34" s="136">
        <f t="shared" si="29"/>
        <v>3.4460000000000002</v>
      </c>
      <c r="AM34" s="258">
        <f t="shared" si="30"/>
        <v>5.0000000000000001E-3</v>
      </c>
      <c r="AN34" s="258">
        <f t="shared" si="31"/>
        <v>5.0000000000000001E-3</v>
      </c>
      <c r="AO34" s="258">
        <f t="shared" si="32"/>
        <v>0.35</v>
      </c>
      <c r="AP34" s="258">
        <f t="shared" si="33"/>
        <v>0</v>
      </c>
      <c r="AQ34" s="136">
        <f t="shared" si="34"/>
        <v>3.7400000000000003E-2</v>
      </c>
      <c r="AR34" s="137">
        <f t="shared" si="35"/>
        <v>2.75E-2</v>
      </c>
      <c r="AS34" s="136">
        <f t="shared" si="36"/>
        <v>3.456</v>
      </c>
      <c r="AT34" s="137">
        <f t="shared" si="37"/>
        <v>2.50384261928196E-2</v>
      </c>
      <c r="AU34" s="137">
        <f t="shared" si="38"/>
        <v>0.97351542289734561</v>
      </c>
      <c r="AV34" s="394">
        <f t="shared" si="39"/>
        <v>392.32671542763029</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2.9007091472544659E-7</v>
      </c>
      <c r="BG34" s="137">
        <f>_xll.xSPRDOPT($BW34,$BV34,$CG34,0,$BY34,$BX34,$BZ34,$AJ34,1,3)*$CB34</f>
        <v>-5.8014182945089324E-8</v>
      </c>
      <c r="BH34" s="137">
        <f>IF(OR(BF34&lt;&gt;0,BG34&lt;&gt;0),_xll.xSPRDOPT($BW34,$BV34,$CG34,0,$BY34,$BX34,$BZ34,$AJ34,1,12)*$CB34,0)</f>
        <v>-1.7404254883526797E-7</v>
      </c>
      <c r="BI34" s="137">
        <f>_xll.xSPRDOPT($BW34,$BV34,$CG34,2*LN(1+CA34/2),$BY34,$BX34,$BZ34,$AJ34,1,9)</f>
        <v>4.9184314668718884E-3</v>
      </c>
      <c r="BJ34" s="137">
        <f>_xll.xSPRDOPT($BW34,$BV34,$CG34,0,$BY34,$BX34,$BZ34,$AJ34,1,6)*$CB34</f>
        <v>-2.4492058733850261E-3</v>
      </c>
      <c r="BK34" s="137">
        <f>_xll.xSPRDOPT($BW34,$BV34,$CG34,0,$BY34,$BX34,$BZ34,$AJ34,1,5)*$CB34</f>
        <v>2.6161784983863698E-3</v>
      </c>
      <c r="BL34" s="137">
        <f>_xll.xSPRDOPT(BW34,BV34,CG34,0,BY34,BX34,BZ34,AJ34,1,2)*CB34</f>
        <v>-0.97314384377607666</v>
      </c>
      <c r="BM34" s="137">
        <f>_xll.xSPRDOPT(BW34,BV34,CG34,0,BY34,BX34,BZ34,AJ34,1,1)*CB34</f>
        <v>0.97314384379024021</v>
      </c>
      <c r="BN34" s="137">
        <f>IF(AH34&lt;&gt;0,_xll.xSPRDOPT($BW34,$BV34,$CG34,2*LN(1+CA34/2),$BY34,$BX34,$BZ34,$AJ34,1,8)+(AJ34/365.25)*CH34/AH34,0)</f>
        <v>0.18028728947614889</v>
      </c>
      <c r="BO34" s="137">
        <f>_xll.xSPRDOPT($BW34,$BV34,$CG34,0,$BY34,$BX34,$BZ34,$AJ34,1,0)</f>
        <v>0.20488384939332213</v>
      </c>
      <c r="BP34" s="137"/>
      <c r="BQ34" s="137"/>
      <c r="BR34" s="137"/>
      <c r="BS34" s="137"/>
      <c r="BV34" s="262">
        <v>3.5537275064267351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47"/>
        <v>37667</v>
      </c>
      <c r="F35" s="28">
        <f t="shared" si="12"/>
        <v>474</v>
      </c>
      <c r="G35" s="28">
        <f t="shared" si="13"/>
        <v>459.94060222516271</v>
      </c>
      <c r="H35" s="52">
        <f t="shared" si="14"/>
        <v>3.476606683804627</v>
      </c>
      <c r="I35" s="52">
        <f t="shared" si="15"/>
        <v>3.7210000000000001</v>
      </c>
      <c r="K35" s="52">
        <f t="shared" si="16"/>
        <v>5.6239022240707506</v>
      </c>
      <c r="L35" s="135">
        <f t="shared" si="17"/>
        <v>3.3558216350648706E-4</v>
      </c>
      <c r="N35" s="131">
        <f t="shared" si="48"/>
        <v>0.5545383214891465</v>
      </c>
      <c r="O35" s="131">
        <f t="shared" si="49"/>
        <v>0.5545383214891465</v>
      </c>
      <c r="P35" s="55">
        <f t="shared" si="50"/>
        <v>1</v>
      </c>
      <c r="Q35" s="135">
        <f>_xll.xSPRDOPT(I35,H35,AQ35,0,O35,N35,P35,D35-$G$5,1,0)*AH35*AU35</f>
        <v>5.6242378062342571</v>
      </c>
      <c r="R35" s="135"/>
      <c r="S35" s="181">
        <f>_xll.xSPRDOPT(I35,H35,AQ35,AT35,O35,N35,P35,D35-$G$5,1,2)*AF35*(F35/(1-AR35))*AH35</f>
        <v>-13234.331456412292</v>
      </c>
      <c r="T35" s="181">
        <f>_xll.xSPRDOPT(I35,H35,AQ35,AT35,O35,N35,P35,D35-$G$5,1,1)*AF35*F35*AH35</f>
        <v>12870.387341391131</v>
      </c>
      <c r="U35" s="135"/>
      <c r="V35" s="146">
        <f t="shared" si="18"/>
        <v>10.196708490343671</v>
      </c>
      <c r="W35" s="146"/>
      <c r="X35" s="338">
        <f t="shared" si="19"/>
        <v>0</v>
      </c>
      <c r="Y35" s="338">
        <f t="shared" si="20"/>
        <v>0</v>
      </c>
      <c r="Z35" s="338">
        <f t="shared" si="21"/>
        <v>0.55648602517703194</v>
      </c>
      <c r="AA35" s="338">
        <f t="shared" si="22"/>
        <v>9.5243701249761838E-4</v>
      </c>
      <c r="AB35" s="338">
        <f t="shared" si="23"/>
        <v>0</v>
      </c>
      <c r="AC35" s="338">
        <f t="shared" si="24"/>
        <v>0.57017262274869096</v>
      </c>
      <c r="AF35" s="138">
        <f t="shared" si="25"/>
        <v>1</v>
      </c>
      <c r="AG35" s="138">
        <f t="shared" si="26"/>
        <v>2</v>
      </c>
      <c r="AH35" s="138">
        <f t="shared" si="27"/>
        <v>28</v>
      </c>
      <c r="AI35" s="138">
        <f t="shared" si="51"/>
        <v>411</v>
      </c>
      <c r="AJ35" s="138">
        <f t="shared" si="28"/>
        <v>428</v>
      </c>
      <c r="AL35" s="136">
        <f t="shared" si="29"/>
        <v>3.371</v>
      </c>
      <c r="AM35" s="258">
        <f t="shared" si="30"/>
        <v>5.0000000000000001E-3</v>
      </c>
      <c r="AN35" s="258">
        <f t="shared" si="31"/>
        <v>5.0000000000000001E-3</v>
      </c>
      <c r="AO35" s="258">
        <f t="shared" si="32"/>
        <v>0.35</v>
      </c>
      <c r="AP35" s="258">
        <f t="shared" si="33"/>
        <v>0</v>
      </c>
      <c r="AQ35" s="136">
        <f t="shared" si="34"/>
        <v>3.7400000000000003E-2</v>
      </c>
      <c r="AR35" s="137">
        <f t="shared" si="35"/>
        <v>2.75E-2</v>
      </c>
      <c r="AS35" s="136">
        <f t="shared" si="36"/>
        <v>3.3809999999999998</v>
      </c>
      <c r="AT35" s="137">
        <f t="shared" si="37"/>
        <v>2.6044986419747399E-2</v>
      </c>
      <c r="AU35" s="137">
        <f t="shared" si="38"/>
        <v>0.97033882325983689</v>
      </c>
      <c r="AV35" s="394">
        <f t="shared" si="39"/>
        <v>353.20333166658065</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1.1564881902360466E-7</v>
      </c>
      <c r="BG35" s="137">
        <f>_xll.xSPRDOPT($BW35,$BV35,$CG35,0,$BY35,$BX35,$BZ35,$AJ35,1,3)*$CB35</f>
        <v>-7.5171732365343032E-7</v>
      </c>
      <c r="BH35" s="137">
        <f>IF(OR(BF35&lt;&gt;0,BG35&lt;&gt;0),_xll.xSPRDOPT($BW35,$BV35,$CG35,0,$BY35,$BX35,$BZ35,$AJ35,1,12)*$CB35,0)</f>
        <v>2.0238543329130816E-7</v>
      </c>
      <c r="BI35" s="137">
        <f>_xll.xSPRDOPT($BW35,$BV35,$CG35,2*LN(1+CA35/2),$BY35,$BX35,$BZ35,$AJ35,1,9)</f>
        <v>5.1048955368673621E-3</v>
      </c>
      <c r="BJ35" s="137">
        <f>_xll.xSPRDOPT($BW35,$BV35,$CG35,0,$BY35,$BX35,$BZ35,$AJ35,1,6)*$CB35</f>
        <v>-5.5202075191395916E-3</v>
      </c>
      <c r="BK35" s="137">
        <f>_xll.xSPRDOPT($BW35,$BV35,$CG35,0,$BY35,$BX35,$BZ35,$AJ35,1,5)*$CB35</f>
        <v>5.9082588463458931E-3</v>
      </c>
      <c r="BL35" s="137">
        <f>_xll.xSPRDOPT(BW35,BV35,CG35,0,BY35,BX35,BZ35,AJ35,1,2)*CB35</f>
        <v>-0.96972626210183221</v>
      </c>
      <c r="BM35" s="137">
        <f>_xll.xSPRDOPT(BW35,BV35,CG35,0,BY35,BX35,BZ35,AJ35,1,1)*CB35</f>
        <v>0.96972626210403801</v>
      </c>
      <c r="BN35" s="137">
        <f>IF(AH35&lt;&gt;0,_xll.xSPRDOPT($BW35,$BV35,$CG35,2*LN(1+CA35/2),$BY35,$BX35,$BZ35,$AJ35,1,8)+(AJ35/365.25)*CH35/AH35,0)</f>
        <v>0.19131644965499897</v>
      </c>
      <c r="BO35" s="137">
        <f>_xll.xSPRDOPT($BW35,$BV35,$CG35,0,$BY35,$BX35,$BZ35,$AJ35,1,0)</f>
        <v>0.20700637466702837</v>
      </c>
      <c r="BP35" s="137"/>
      <c r="BQ35" s="137"/>
      <c r="BR35" s="137"/>
      <c r="BS35" s="137"/>
      <c r="BV35" s="262">
        <v>3.476606683804627</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3.7400000000000003E-2</v>
      </c>
      <c r="CH35" s="258">
        <v>10.1945415026566</v>
      </c>
      <c r="CI35" s="258">
        <v>3.371</v>
      </c>
      <c r="CJ35" s="258"/>
      <c r="CK35" s="258"/>
      <c r="CL35" s="258"/>
      <c r="CM35" s="258"/>
    </row>
    <row r="36" spans="1:91" x14ac:dyDescent="0.25">
      <c r="A36" s="723"/>
      <c r="B36" s="723"/>
      <c r="D36" s="31">
        <f t="shared" si="47"/>
        <v>37695</v>
      </c>
      <c r="F36" s="28">
        <f t="shared" si="12"/>
        <v>474</v>
      </c>
      <c r="G36" s="28">
        <f t="shared" si="13"/>
        <v>458.51857938891521</v>
      </c>
      <c r="H36" s="52">
        <f t="shared" si="14"/>
        <v>3.3840616966580974</v>
      </c>
      <c r="I36" s="52">
        <f t="shared" si="15"/>
        <v>3.681</v>
      </c>
      <c r="K36" s="52">
        <f t="shared" si="16"/>
        <v>7.7829053976909179</v>
      </c>
      <c r="L36" s="135">
        <f t="shared" si="17"/>
        <v>4.6324611380654801E-5</v>
      </c>
      <c r="N36" s="131">
        <f t="shared" si="48"/>
        <v>0.50303598357381651</v>
      </c>
      <c r="O36" s="131">
        <f t="shared" si="49"/>
        <v>0.50303598357381651</v>
      </c>
      <c r="P36" s="55">
        <f t="shared" si="50"/>
        <v>1</v>
      </c>
      <c r="Q36" s="135">
        <f>_xll.xSPRDOPT(I36,H36,AQ36,0,O36,N36,P36,D36-$G$5,1,0)*AH36*AU36</f>
        <v>7.7829517223022986</v>
      </c>
      <c r="R36" s="135"/>
      <c r="S36" s="181">
        <f>_xll.xSPRDOPT(I36,H36,AQ36,AT36,O36,N36,P36,D36-$G$5,1,2)*AF36*(F36/(1-AR36))*AH36</f>
        <v>-14612.326279978086</v>
      </c>
      <c r="T36" s="181">
        <f>_xll.xSPRDOPT(I36,H36,AQ36,AT36,O36,N36,P36,D36-$G$5,1,1)*AF36*F36*AH36</f>
        <v>14210.487307318779</v>
      </c>
      <c r="U36" s="135"/>
      <c r="V36" s="146">
        <f t="shared" si="18"/>
        <v>11.254309510937674</v>
      </c>
      <c r="W36" s="146"/>
      <c r="X36" s="338">
        <f t="shared" si="19"/>
        <v>0</v>
      </c>
      <c r="Y36" s="338">
        <f t="shared" si="20"/>
        <v>0</v>
      </c>
      <c r="Z36" s="338">
        <f t="shared" si="21"/>
        <v>0.81013280737185711</v>
      </c>
      <c r="AA36" s="338">
        <f t="shared" si="22"/>
        <v>5.8548004790550866E-5</v>
      </c>
      <c r="AB36" s="338">
        <f t="shared" si="23"/>
        <v>0</v>
      </c>
      <c r="AC36" s="338">
        <f t="shared" si="24"/>
        <v>0.81655182808308113</v>
      </c>
      <c r="AF36" s="138">
        <f t="shared" si="25"/>
        <v>1</v>
      </c>
      <c r="AG36" s="138">
        <f t="shared" si="26"/>
        <v>3</v>
      </c>
      <c r="AH36" s="138">
        <f t="shared" si="27"/>
        <v>31</v>
      </c>
      <c r="AI36" s="138">
        <f t="shared" si="51"/>
        <v>439</v>
      </c>
      <c r="AJ36" s="138">
        <f t="shared" si="28"/>
        <v>456</v>
      </c>
      <c r="AL36" s="136">
        <f t="shared" si="29"/>
        <v>3.2810000000000001</v>
      </c>
      <c r="AM36" s="258">
        <f t="shared" si="30"/>
        <v>5.0000000000000001E-3</v>
      </c>
      <c r="AN36" s="258">
        <f t="shared" si="31"/>
        <v>5.0000000000000001E-3</v>
      </c>
      <c r="AO36" s="258">
        <f t="shared" si="32"/>
        <v>0.4</v>
      </c>
      <c r="AP36" s="258">
        <f t="shared" si="33"/>
        <v>0</v>
      </c>
      <c r="AQ36" s="136">
        <f t="shared" si="34"/>
        <v>3.7400000000000003E-2</v>
      </c>
      <c r="AR36" s="137">
        <f t="shared" si="35"/>
        <v>2.75E-2</v>
      </c>
      <c r="AS36" s="136">
        <f t="shared" si="36"/>
        <v>3.2909999999999999</v>
      </c>
      <c r="AT36" s="137">
        <f t="shared" si="37"/>
        <v>2.6954137886657601E-2</v>
      </c>
      <c r="AU36" s="137">
        <f t="shared" si="38"/>
        <v>0.96733877508209964</v>
      </c>
      <c r="AV36" s="394">
        <f t="shared" si="39"/>
        <v>389.83752635808617</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-4.6116164701872385E-7</v>
      </c>
      <c r="BG36" s="137">
        <f>_xll.xSPRDOPT($BW36,$BV36,$CG36,0,$BY36,$BX36,$BZ36,$AJ36,1,3)*$CB36</f>
        <v>-8.0703288228276672E-7</v>
      </c>
      <c r="BH36" s="137">
        <f>IF(OR(BF36&lt;&gt;0,BG36&lt;&gt;0),_xll.xSPRDOPT($BW36,$BV36,$CG36,0,$BY36,$BX36,$BZ36,$AJ36,1,12)*$CB36,0)</f>
        <v>5.7645205877340477E-7</v>
      </c>
      <c r="BI36" s="137">
        <f>_xll.xSPRDOPT($BW36,$BV36,$CG36,2*LN(1+CA36/2),$BY36,$BX36,$BZ36,$AJ36,1,9)</f>
        <v>6.7125132229157222E-3</v>
      </c>
      <c r="BJ36" s="137">
        <f>_xll.xSPRDOPT($BW36,$BV36,$CG36,0,$BY36,$BX36,$BZ36,$AJ36,1,6)*$CB36</f>
        <v>-4.5267940065989068E-4</v>
      </c>
      <c r="BK36" s="137">
        <f>_xll.xSPRDOPT($BW36,$BV36,$CG36,0,$BY36,$BX36,$BZ36,$AJ36,1,5)*$CB36</f>
        <v>4.9240026052910885E-4</v>
      </c>
      <c r="BL36" s="137">
        <f>_xll.xSPRDOPT(BW36,BV36,CG36,0,BY36,BX36,BZ36,AJ36,1,2)*CB36</f>
        <v>-0.96709800128217227</v>
      </c>
      <c r="BM36" s="137">
        <f>_xll.xSPRDOPT(BW36,BV36,CG36,0,BY36,BX36,BZ36,AJ36,1,1)*CB36</f>
        <v>0.96709800128129264</v>
      </c>
      <c r="BN36" s="137">
        <f>IF(AH36&lt;&gt;0,_xll.xSPRDOPT($BW36,$BV36,$CG36,2*LN(1+CA36/2),$BY36,$BX36,$BZ36,$AJ36,1,8)+(AJ36/365.25)*CH36/AH36,0)</f>
        <v>0.13977083370258131</v>
      </c>
      <c r="BO36" s="137">
        <f>_xll.xSPRDOPT($BW36,$BV36,$CG36,0,$BY36,$BX36,$BZ36,$AJ36,1,0)</f>
        <v>0.25953991231755319</v>
      </c>
      <c r="BP36" s="137"/>
      <c r="BQ36" s="137"/>
      <c r="BR36" s="137"/>
      <c r="BS36" s="137"/>
      <c r="BV36" s="262">
        <v>3.3840616966580974</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47"/>
        <v>37726</v>
      </c>
      <c r="F37" s="28">
        <f t="shared" si="12"/>
        <v>474</v>
      </c>
      <c r="G37" s="28">
        <f t="shared" si="13"/>
        <v>456.86799163353879</v>
      </c>
      <c r="H37" s="52">
        <f t="shared" si="14"/>
        <v>3.2298200514138813</v>
      </c>
      <c r="I37" s="52">
        <f t="shared" si="15"/>
        <v>3.726</v>
      </c>
      <c r="K37" s="52">
        <f t="shared" si="16"/>
        <v>13.265941374194826</v>
      </c>
      <c r="L37" s="135">
        <f t="shared" si="17"/>
        <v>1.4508742012253606E-6</v>
      </c>
      <c r="N37" s="131">
        <f t="shared" si="48"/>
        <v>0.38888404308877494</v>
      </c>
      <c r="O37" s="131">
        <f t="shared" si="49"/>
        <v>0.38888404308877494</v>
      </c>
      <c r="P37" s="55">
        <f t="shared" si="50"/>
        <v>1.0000000000000002</v>
      </c>
      <c r="Q37" s="135">
        <f>_xll.xSPRDOPT(I37,H37,AQ37,0,O37,N37,P37,D37-$G$5,1,0)*AH37*AU37</f>
        <v>13.265942825069027</v>
      </c>
      <c r="R37" s="135"/>
      <c r="S37" s="181">
        <f>_xll.xSPRDOPT(I37,H37,AQ37,AT37,O37,N37,P37,D37-$G$5,1,2)*AF37*(F37/(1-AR37))*AH37</f>
        <v>-14089.996071455533</v>
      </c>
      <c r="T37" s="181">
        <f>_xll.xSPRDOPT(I37,H37,AQ37,AT37,O37,N37,P37,D37-$G$5,1,1)*AF37*F37*AH37</f>
        <v>13702.52117951637</v>
      </c>
      <c r="U37" s="135"/>
      <c r="V37" s="146">
        <f t="shared" si="18"/>
        <v>10.852060586080198</v>
      </c>
      <c r="W37" s="146"/>
      <c r="X37" s="338">
        <f t="shared" si="19"/>
        <v>0</v>
      </c>
      <c r="Y37" s="338">
        <f t="shared" si="20"/>
        <v>0</v>
      </c>
      <c r="Z37" s="338">
        <f t="shared" si="21"/>
        <v>1.4344741352224788</v>
      </c>
      <c r="AA37" s="338">
        <f t="shared" si="22"/>
        <v>-5.7294252291934317E-9</v>
      </c>
      <c r="AB37" s="338">
        <f t="shared" si="23"/>
        <v>0</v>
      </c>
      <c r="AC37" s="338">
        <f t="shared" si="24"/>
        <v>1.4444823053814047</v>
      </c>
      <c r="AF37" s="138">
        <f t="shared" si="25"/>
        <v>1</v>
      </c>
      <c r="AG37" s="138">
        <f t="shared" si="26"/>
        <v>4</v>
      </c>
      <c r="AH37" s="138">
        <f t="shared" si="27"/>
        <v>30</v>
      </c>
      <c r="AI37" s="138">
        <f t="shared" si="51"/>
        <v>470</v>
      </c>
      <c r="AJ37" s="138">
        <f t="shared" si="28"/>
        <v>487</v>
      </c>
      <c r="AL37" s="136">
        <f t="shared" si="29"/>
        <v>3.1259999999999999</v>
      </c>
      <c r="AM37" s="258">
        <f t="shared" si="30"/>
        <v>0.01</v>
      </c>
      <c r="AN37" s="258">
        <f t="shared" si="31"/>
        <v>5.0000000000000001E-3</v>
      </c>
      <c r="AO37" s="258">
        <f t="shared" si="32"/>
        <v>0.6</v>
      </c>
      <c r="AP37" s="258">
        <f t="shared" si="33"/>
        <v>0</v>
      </c>
      <c r="AQ37" s="136">
        <f t="shared" si="34"/>
        <v>3.7400000000000003E-2</v>
      </c>
      <c r="AR37" s="137">
        <f t="shared" si="35"/>
        <v>2.75E-2</v>
      </c>
      <c r="AS37" s="136">
        <f t="shared" si="36"/>
        <v>3.1409999999999996</v>
      </c>
      <c r="AT37" s="137">
        <f t="shared" si="37"/>
        <v>2.79745964320606E-2</v>
      </c>
      <c r="AU37" s="137">
        <f t="shared" si="38"/>
        <v>0.96385652243362618</v>
      </c>
      <c r="AV37" s="394">
        <f t="shared" si="39"/>
        <v>375.90404374911424</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5.7437218188662469E-7</v>
      </c>
      <c r="BG37" s="137">
        <f>_xll.xSPRDOPT($BW37,$BV37,$CG37,0,$BY37,$BX37,$BZ37,$AJ37,1,3)*$CB37</f>
        <v>6.8924661826394968E-7</v>
      </c>
      <c r="BH37" s="137">
        <f>IF(OR(BF37&lt;&gt;0,BG37&lt;&gt;0),_xll.xSPRDOPT($BW37,$BV37,$CG37,0,$BY37,$BX37,$BZ37,$AJ37,1,12)*$CB37,0)</f>
        <v>-3.4462330913197484E-7</v>
      </c>
      <c r="BI37" s="137">
        <f>_xll.xSPRDOPT($BW37,$BV37,$CG37,2*LN(1+CA37/2),$BY37,$BX37,$BZ37,$AJ37,1,9)</f>
        <v>1.2281802107126356E-2</v>
      </c>
      <c r="BJ37" s="137">
        <f>_xll.xSPRDOPT($BW37,$BV37,$CG37,0,$BY37,$BX37,$BZ37,$AJ37,1,6)*$CB37</f>
        <v>3.0877177319492711E-7</v>
      </c>
      <c r="BK37" s="137">
        <f>_xll.xSPRDOPT($BW37,$BV37,$CG37,0,$BY37,$BX37,$BZ37,$AJ37,1,5)*$CB37</f>
        <v>-3.5621008130631905E-7</v>
      </c>
      <c r="BL37" s="137">
        <f>_xll.xSPRDOPT(BW37,BV37,CG37,0,BY37,BX37,BZ37,AJ37,1,2)*CB37</f>
        <v>-0.9636367221916794</v>
      </c>
      <c r="BM37" s="137">
        <f>_xll.xSPRDOPT(BW37,BV37,CG37,0,BY37,BX37,BZ37,AJ37,1,1)*CB37</f>
        <v>0.96363672219430863</v>
      </c>
      <c r="BN37" s="137">
        <f>IF(AH37&lt;&gt;0,_xll.xSPRDOPT($BW37,$BV37,$CG37,2*LN(1+CA37/2),$BY37,$BX37,$BZ37,$AJ37,1,8)+(AJ37/365.25)*CH37/AH37,0)</f>
        <v>-0.10725917793814421</v>
      </c>
      <c r="BO37" s="137">
        <f>_xll.xSPRDOPT($BW37,$BV37,$CG37,0,$BY37,$BX37,$BZ37,$AJ37,1,0)</f>
        <v>0.45877999870359432</v>
      </c>
      <c r="BP37" s="137"/>
      <c r="BQ37" s="137"/>
      <c r="BR37" s="137"/>
      <c r="BS37" s="137"/>
      <c r="BV37" s="262">
        <v>3.2298200514138813</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47"/>
        <v>37756</v>
      </c>
      <c r="F38" s="28">
        <f t="shared" si="12"/>
        <v>300</v>
      </c>
      <c r="G38" s="28">
        <f t="shared" si="13"/>
        <v>288.10246317779405</v>
      </c>
      <c r="H38" s="52">
        <f t="shared" si="14"/>
        <v>3.2308483290488423</v>
      </c>
      <c r="I38" s="52">
        <f t="shared" si="15"/>
        <v>3.8769999999999998</v>
      </c>
      <c r="K38" s="52">
        <f t="shared" si="16"/>
        <v>18.122895106011399</v>
      </c>
      <c r="L38" s="135">
        <f t="shared" si="17"/>
        <v>1.9904243941937239E-6</v>
      </c>
      <c r="N38" s="131">
        <f t="shared" si="48"/>
        <v>0.3761805213924197</v>
      </c>
      <c r="O38" s="131">
        <f t="shared" si="49"/>
        <v>0.3761805213924197</v>
      </c>
      <c r="P38" s="55">
        <f t="shared" si="50"/>
        <v>1.0000000000000002</v>
      </c>
      <c r="Q38" s="135">
        <f>_xll.xSPRDOPT(I38,H38,AQ38,0,O38,N38,P38,D38-$G$5,1,0)*AH38*AU38</f>
        <v>18.122897096435793</v>
      </c>
      <c r="R38" s="135"/>
      <c r="S38" s="181">
        <f>_xll.xSPRDOPT(I38,H38,AQ38,AT38,O38,N38,P38,D38-$G$5,1,2)*AF38*(F38/(1-AR38))*AH38</f>
        <v>-9181.0458567394708</v>
      </c>
      <c r="T38" s="181">
        <f>_xll.xSPRDOPT(I38,H38,AQ38,AT38,O38,N38,P38,D38-$G$5,1,1)*AF38*F38*AH38</f>
        <v>8928.5670955099704</v>
      </c>
      <c r="U38" s="135"/>
      <c r="V38" s="146">
        <f t="shared" si="18"/>
        <v>11.172901624498031</v>
      </c>
      <c r="W38" s="146"/>
      <c r="X38" s="338">
        <f t="shared" si="19"/>
        <v>0</v>
      </c>
      <c r="Y38" s="338">
        <f t="shared" si="20"/>
        <v>0</v>
      </c>
      <c r="Z38" s="338">
        <f t="shared" si="21"/>
        <v>1.2838018000243716</v>
      </c>
      <c r="AA38" s="338">
        <f t="shared" si="22"/>
        <v>-1.2978069329718537E-8</v>
      </c>
      <c r="AB38" s="338">
        <f t="shared" si="23"/>
        <v>0</v>
      </c>
      <c r="AC38" s="338">
        <f t="shared" si="24"/>
        <v>1.2930745976115514</v>
      </c>
      <c r="AF38" s="138">
        <f t="shared" si="25"/>
        <v>1</v>
      </c>
      <c r="AG38" s="138">
        <f t="shared" si="26"/>
        <v>5</v>
      </c>
      <c r="AH38" s="138">
        <f t="shared" si="27"/>
        <v>31</v>
      </c>
      <c r="AI38" s="138">
        <f t="shared" si="51"/>
        <v>500</v>
      </c>
      <c r="AJ38" s="138">
        <f t="shared" si="28"/>
        <v>517</v>
      </c>
      <c r="AL38" s="136">
        <f t="shared" si="29"/>
        <v>3.1269999999999998</v>
      </c>
      <c r="AM38" s="258">
        <f t="shared" si="30"/>
        <v>0.01</v>
      </c>
      <c r="AN38" s="258">
        <f t="shared" si="31"/>
        <v>5.0000000000000001E-3</v>
      </c>
      <c r="AO38" s="258">
        <f t="shared" si="32"/>
        <v>0.75</v>
      </c>
      <c r="AP38" s="258">
        <f t="shared" si="33"/>
        <v>0</v>
      </c>
      <c r="AQ38" s="136">
        <f t="shared" si="34"/>
        <v>3.7400000000000003E-2</v>
      </c>
      <c r="AR38" s="137">
        <f t="shared" si="35"/>
        <v>2.75E-2</v>
      </c>
      <c r="AS38" s="136">
        <f t="shared" si="36"/>
        <v>3.1419999999999995</v>
      </c>
      <c r="AT38" s="137">
        <f t="shared" si="37"/>
        <v>2.8963180076380102E-2</v>
      </c>
      <c r="AU38" s="137">
        <f t="shared" si="38"/>
        <v>0.96034154392598015</v>
      </c>
      <c r="AV38" s="394">
        <f t="shared" si="39"/>
        <v>238.16470289364307</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0</v>
      </c>
      <c r="BH38" s="137">
        <f>IF(OR(BF38&lt;&gt;0,BG38&lt;&gt;0),_xll.xSPRDOPT($BW38,$BV38,$CG38,0,$BY38,$BX38,$BZ38,$AJ38,1,12)*$CB38,0)</f>
        <v>6.8672758547741406E-7</v>
      </c>
      <c r="BI38" s="137">
        <f>_xll.xSPRDOPT($BW38,$BV38,$CG38,2*LN(1+CA38/2),$BY38,$BX38,$BZ38,$AJ38,1,9)</f>
        <v>1.6806760123974973E-2</v>
      </c>
      <c r="BJ38" s="137">
        <f>_xll.xSPRDOPT($BW38,$BV38,$CG38,0,$BY38,$BX38,$BZ38,$AJ38,1,6)*$CB38</f>
        <v>3.2932826202114347E-7</v>
      </c>
      <c r="BK38" s="137">
        <f>_xll.xSPRDOPT($BW38,$BV38,$CG38,0,$BY38,$BX38,$BZ38,$AJ38,1,5)*$CB38</f>
        <v>-3.9517933165318885E-7</v>
      </c>
      <c r="BL38" s="137">
        <f>_xll.xSPRDOPT(BW38,BV38,CG38,0,BY38,BX38,BZ38,AJ38,1,2)*CB38</f>
        <v>-0.96011485940629471</v>
      </c>
      <c r="BM38" s="137">
        <f>_xll.xSPRDOPT(BW38,BV38,CG38,0,BY38,BX38,BZ38,AJ38,1,1)*CB38</f>
        <v>0.96011485938708385</v>
      </c>
      <c r="BN38" s="137">
        <f>IF(AH38&lt;&gt;0,_xll.xSPRDOPT($BW38,$BV38,$CG38,2*LN(1+CA38/2),$BY38,$BX38,$BZ38,$AJ38,1,8)+(AJ38/365.25)*CH38/AH38,0)</f>
        <v>-0.31726383715795559</v>
      </c>
      <c r="BO38" s="137">
        <f>_xll.xSPRDOPT($BW38,$BV38,$CG38,0,$BY38,$BX38,$BZ38,$AJ38,1,0)</f>
        <v>0.60875173773648794</v>
      </c>
      <c r="BP38" s="137"/>
      <c r="BQ38" s="137"/>
      <c r="BR38" s="137"/>
      <c r="BS38" s="137"/>
      <c r="BV38" s="262">
        <v>3.2308483290488423</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3.7400000000000003E-2</v>
      </c>
      <c r="CH38" s="258">
        <v>11.170263069580161</v>
      </c>
      <c r="CI38" s="258">
        <v>3.1269999999999998</v>
      </c>
      <c r="CJ38" s="258"/>
      <c r="CK38" s="258"/>
      <c r="CL38" s="258"/>
      <c r="CM38" s="258"/>
    </row>
    <row r="39" spans="1:91" x14ac:dyDescent="0.25">
      <c r="A39" s="723"/>
      <c r="B39" s="723"/>
      <c r="D39" s="31">
        <f t="shared" si="47"/>
        <v>37787</v>
      </c>
      <c r="F39" s="28">
        <f t="shared" si="12"/>
        <v>300</v>
      </c>
      <c r="G39" s="28">
        <f t="shared" si="13"/>
        <v>286.96879762247784</v>
      </c>
      <c r="H39" s="52">
        <f t="shared" si="14"/>
        <v>3.2694087403598973</v>
      </c>
      <c r="I39" s="52">
        <f t="shared" si="15"/>
        <v>4.0119999999999996</v>
      </c>
      <c r="K39" s="52">
        <f t="shared" si="16"/>
        <v>20.236788787280073</v>
      </c>
      <c r="L39" s="135">
        <f t="shared" si="17"/>
        <v>2.2011843263669562E-6</v>
      </c>
      <c r="N39" s="131">
        <f t="shared" si="48"/>
        <v>0.37586425134556289</v>
      </c>
      <c r="O39" s="131">
        <f t="shared" si="49"/>
        <v>0.37586425134556289</v>
      </c>
      <c r="P39" s="55">
        <f t="shared" si="50"/>
        <v>0.99999999999999978</v>
      </c>
      <c r="Q39" s="135">
        <f>_xll.xSPRDOPT(I39,H39,AQ39,0,O39,N39,P39,D39-$G$5,1,0)*AH39*AU39</f>
        <v>20.236790988464399</v>
      </c>
      <c r="R39" s="135"/>
      <c r="S39" s="181">
        <f>_xll.xSPRDOPT(I39,H39,AQ39,AT39,O39,N39,P39,D39-$G$5,1,2)*AF39*(F39/(1-AR39))*AH39</f>
        <v>-8849.5696858538231</v>
      </c>
      <c r="T39" s="181">
        <f>_xll.xSPRDOPT(I39,H39,AQ39,AT39,O39,N39,P39,D39-$G$5,1,1)*AF39*F39*AH39</f>
        <v>8606.20651960744</v>
      </c>
      <c r="U39" s="135"/>
      <c r="V39" s="146">
        <f t="shared" si="18"/>
        <v>10.769938974771593</v>
      </c>
      <c r="W39" s="146"/>
      <c r="X39" s="338">
        <f t="shared" si="19"/>
        <v>0</v>
      </c>
      <c r="Y39" s="338">
        <f t="shared" si="20"/>
        <v>0</v>
      </c>
      <c r="Z39" s="338">
        <f t="shared" si="21"/>
        <v>1.4837220179072037</v>
      </c>
      <c r="AA39" s="338">
        <f t="shared" si="22"/>
        <v>-1.3161135479934716E-8</v>
      </c>
      <c r="AB39" s="338">
        <f t="shared" si="23"/>
        <v>0</v>
      </c>
      <c r="AC39" s="338">
        <f t="shared" si="24"/>
        <v>1.4948159337304243</v>
      </c>
      <c r="AF39" s="138">
        <f t="shared" si="25"/>
        <v>1</v>
      </c>
      <c r="AG39" s="138">
        <f t="shared" si="26"/>
        <v>6</v>
      </c>
      <c r="AH39" s="138">
        <f t="shared" si="27"/>
        <v>30</v>
      </c>
      <c r="AI39" s="138">
        <f t="shared" si="51"/>
        <v>531</v>
      </c>
      <c r="AJ39" s="138">
        <f t="shared" si="28"/>
        <v>548</v>
      </c>
      <c r="AL39" s="136">
        <f t="shared" si="29"/>
        <v>3.1619999999999999</v>
      </c>
      <c r="AM39" s="258">
        <f t="shared" si="30"/>
        <v>1.2500000000000001E-2</v>
      </c>
      <c r="AN39" s="258">
        <f t="shared" si="31"/>
        <v>5.0000000000000001E-3</v>
      </c>
      <c r="AO39" s="258">
        <f t="shared" si="32"/>
        <v>0.85</v>
      </c>
      <c r="AP39" s="258">
        <f t="shared" si="33"/>
        <v>0</v>
      </c>
      <c r="AQ39" s="136">
        <f t="shared" si="34"/>
        <v>3.7400000000000003E-2</v>
      </c>
      <c r="AR39" s="137">
        <f t="shared" si="35"/>
        <v>2.75E-2</v>
      </c>
      <c r="AS39" s="136">
        <f t="shared" si="36"/>
        <v>3.1795</v>
      </c>
      <c r="AT39" s="137">
        <f t="shared" si="37"/>
        <v>2.99847168551968E-2</v>
      </c>
      <c r="AU39" s="137">
        <f t="shared" si="38"/>
        <v>0.95656265874159274</v>
      </c>
      <c r="AV39" s="394">
        <f t="shared" si="39"/>
        <v>229.57503809798226</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4.5601313237735386E-7</v>
      </c>
      <c r="BG39" s="137">
        <f>_xll.xSPRDOPT($BW39,$BV39,$CG39,0,$BY39,$BX39,$BZ39,$AJ39,1,3)*$CB39</f>
        <v>-4.5601313237735386E-7</v>
      </c>
      <c r="BH39" s="137">
        <f>IF(OR(BF39&lt;&gt;0,BG39&lt;&gt;0),_xll.xSPRDOPT($BW39,$BV39,$CG39,0,$BY39,$BX39,$BZ39,$AJ39,1,12)*$CB39,0)</f>
        <v>-4.5601313237735386E-7</v>
      </c>
      <c r="BI39" s="137">
        <f>_xll.xSPRDOPT($BW39,$BV39,$CG39,2*LN(1+CA39/2),$BY39,$BX39,$BZ39,$AJ39,1,9)</f>
        <v>2.0071461742244674E-2</v>
      </c>
      <c r="BJ39" s="137">
        <f>_xll.xSPRDOPT($BW39,$BV39,$CG39,0,$BY39,$BX39,$BZ39,$AJ39,1,6)*$CB39</f>
        <v>3.5179221929984427E-7</v>
      </c>
      <c r="BK39" s="137">
        <f>_xll.xSPRDOPT($BW39,$BV39,$CG39,0,$BY39,$BX39,$BZ39,$AJ39,1,5)*$CB39</f>
        <v>-4.3169298024469763E-7</v>
      </c>
      <c r="BL39" s="137">
        <f>_xll.xSPRDOPT(BW39,BV39,CG39,0,BY39,BX39,BZ39,AJ39,1,2)*CB39</f>
        <v>-0.95632895757339853</v>
      </c>
      <c r="BM39" s="137">
        <f>_xll.xSPRDOPT(BW39,BV39,CG39,0,BY39,BX39,BZ39,AJ39,1,1)*CB39</f>
        <v>0.95632895758383585</v>
      </c>
      <c r="BN39" s="137">
        <f>IF(AH39&lt;&gt;0,_xll.xSPRDOPT($BW39,$BV39,$CG39,2*LN(1+CA39/2),$BY39,$BX39,$BZ39,$AJ39,1,8)+(AJ39/365.25)*CH39/AH39,0)</f>
        <v>-0.47333487334964031</v>
      </c>
      <c r="BO39" s="137">
        <f>_xll.xSPRDOPT($BW39,$BV39,$CG39,0,$BY39,$BX39,$BZ39,$AJ39,1,0)</f>
        <v>0.70519133626032005</v>
      </c>
      <c r="BP39" s="137"/>
      <c r="BQ39" s="137"/>
      <c r="BR39" s="137"/>
      <c r="BS39" s="137"/>
      <c r="BV39" s="262">
        <v>3.2694087403598973</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3.7400000000000003E-2</v>
      </c>
      <c r="CH39" s="258">
        <v>10.767306551326937</v>
      </c>
      <c r="CI39" s="258">
        <v>3.1619999999999999</v>
      </c>
      <c r="CJ39" s="258"/>
      <c r="CK39" s="258"/>
      <c r="CL39" s="258"/>
      <c r="CM39" s="258"/>
    </row>
    <row r="40" spans="1:91" x14ac:dyDescent="0.25">
      <c r="A40" s="723"/>
      <c r="B40" s="723"/>
      <c r="D40" s="31">
        <f t="shared" si="47"/>
        <v>37817</v>
      </c>
      <c r="F40" s="28">
        <f t="shared" si="12"/>
        <v>300</v>
      </c>
      <c r="G40" s="28">
        <f t="shared" si="13"/>
        <v>285.83321137861446</v>
      </c>
      <c r="H40" s="52">
        <f t="shared" si="14"/>
        <v>3.3125964010282778</v>
      </c>
      <c r="I40" s="52">
        <f t="shared" si="15"/>
        <v>4.2540000000000004</v>
      </c>
      <c r="K40" s="52">
        <f t="shared" si="16"/>
        <v>26.700739351830972</v>
      </c>
      <c r="L40" s="135">
        <f t="shared" si="17"/>
        <v>2.8730013035271895E-6</v>
      </c>
      <c r="N40" s="131">
        <f t="shared" si="48"/>
        <v>0.37759499646180722</v>
      </c>
      <c r="O40" s="131">
        <f t="shared" si="49"/>
        <v>0.37759499646180722</v>
      </c>
      <c r="P40" s="55">
        <f t="shared" si="50"/>
        <v>1</v>
      </c>
      <c r="Q40" s="135">
        <f>_xll.xSPRDOPT(I40,H40,AQ40,0,O40,N40,P40,D40-$G$5,1,0)*AH40*AU40</f>
        <v>26.700742224832275</v>
      </c>
      <c r="R40" s="135"/>
      <c r="S40" s="181">
        <f>_xll.xSPRDOPT(I40,H40,AQ40,AT40,O40,N40,P40,D40-$G$5,1,2)*AF40*(F40/(1-AR40))*AH40</f>
        <v>-9107.9911948282297</v>
      </c>
      <c r="T40" s="181">
        <f>_xll.xSPRDOPT(I40,H40,AQ40,AT40,O40,N40,P40,D40-$G$5,1,1)*AF40*F40*AH40</f>
        <v>8857.521436987372</v>
      </c>
      <c r="U40" s="135"/>
      <c r="V40" s="146">
        <f t="shared" si="18"/>
        <v>11.084897770474049</v>
      </c>
      <c r="W40" s="146"/>
      <c r="X40" s="338">
        <f t="shared" si="19"/>
        <v>0</v>
      </c>
      <c r="Y40" s="338">
        <f t="shared" si="20"/>
        <v>0</v>
      </c>
      <c r="Z40" s="338">
        <f t="shared" si="21"/>
        <v>2.0211600080422198</v>
      </c>
      <c r="AA40" s="338">
        <f t="shared" si="22"/>
        <v>-2.6026972682514353E-8</v>
      </c>
      <c r="AB40" s="338">
        <f t="shared" si="23"/>
        <v>0</v>
      </c>
      <c r="AC40" s="338">
        <f t="shared" si="24"/>
        <v>2.0367654084162559</v>
      </c>
      <c r="AF40" s="138">
        <f t="shared" si="25"/>
        <v>1</v>
      </c>
      <c r="AG40" s="138">
        <f t="shared" si="26"/>
        <v>7</v>
      </c>
      <c r="AH40" s="138">
        <f t="shared" si="27"/>
        <v>31</v>
      </c>
      <c r="AI40" s="138">
        <f t="shared" si="51"/>
        <v>561</v>
      </c>
      <c r="AJ40" s="138">
        <f t="shared" si="28"/>
        <v>578</v>
      </c>
      <c r="AL40" s="136">
        <f t="shared" si="29"/>
        <v>3.2040000000000002</v>
      </c>
      <c r="AM40" s="258">
        <f t="shared" si="30"/>
        <v>1.2500000000000001E-2</v>
      </c>
      <c r="AN40" s="258">
        <f t="shared" si="31"/>
        <v>5.0000000000000001E-3</v>
      </c>
      <c r="AO40" s="258">
        <f t="shared" si="32"/>
        <v>1.05</v>
      </c>
      <c r="AP40" s="258">
        <f t="shared" si="33"/>
        <v>0</v>
      </c>
      <c r="AQ40" s="136">
        <f t="shared" si="34"/>
        <v>3.7400000000000003E-2</v>
      </c>
      <c r="AR40" s="137">
        <f t="shared" si="35"/>
        <v>2.75E-2</v>
      </c>
      <c r="AS40" s="136">
        <f t="shared" si="36"/>
        <v>3.2215000000000003</v>
      </c>
      <c r="AT40" s="137">
        <f t="shared" si="37"/>
        <v>3.0965279300479799E-2</v>
      </c>
      <c r="AU40" s="137">
        <f t="shared" si="38"/>
        <v>0.9527773712620482</v>
      </c>
      <c r="AV40" s="394">
        <f t="shared" si="39"/>
        <v>236.28878807298796</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-1.3626150137872272E-6</v>
      </c>
      <c r="BG40" s="137">
        <f>_xll.xSPRDOPT($BW40,$BV40,$CG40,0,$BY40,$BX40,$BZ40,$AJ40,1,3)*$CB40</f>
        <v>-1.3626150137872272E-6</v>
      </c>
      <c r="BH40" s="137">
        <f>IF(OR(BF40&lt;&gt;0,BG40&lt;&gt;0),_xll.xSPRDOPT($BW40,$BV40,$CG40,0,$BY40,$BX40,$BZ40,$AJ40,1,12)*$CB40,0)</f>
        <v>9.0841000919148477E-7</v>
      </c>
      <c r="BI40" s="137">
        <f>_xll.xSPRDOPT($BW40,$BV40,$CG40,2*LN(1+CA40/2),$BY40,$BX40,$BZ40,$AJ40,1,9)</f>
        <v>2.6459809782703254E-2</v>
      </c>
      <c r="BJ40" s="137">
        <f>_xll.xSPRDOPT($BW40,$BV40,$CG40,0,$BY40,$BX40,$BZ40,$AJ40,1,6)*$CB40</f>
        <v>3.7589563688375476E-7</v>
      </c>
      <c r="BK40" s="137">
        <f>_xll.xSPRDOPT($BW40,$BV40,$CG40,0,$BY40,$BX40,$BZ40,$AJ40,1,5)*$CB40</f>
        <v>-4.8271596254062274E-7</v>
      </c>
      <c r="BL40" s="137">
        <f>_xll.xSPRDOPT(BW40,BV40,CG40,0,BY40,BX40,BZ40,AJ40,1,2)*CB40</f>
        <v>-0.95253703709017368</v>
      </c>
      <c r="BM40" s="137">
        <f>_xll.xSPRDOPT(BW40,BV40,CG40,0,BY40,BX40,BZ40,AJ40,1,1)*CB40</f>
        <v>0.95253703708497572</v>
      </c>
      <c r="BN40" s="137">
        <f>IF(AH40&lt;&gt;0,_xll.xSPRDOPT($BW40,$BV40,$CG40,2*LN(1+CA40/2),$BY40,$BX40,$BZ40,$AJ40,1,8)+(AJ40/365.25)*CH40/AH40,0)</f>
        <v>-0.79695130189046681</v>
      </c>
      <c r="BO40" s="137">
        <f>_xll.xSPRDOPT($BW40,$BV40,$CG40,0,$BY40,$BX40,$BZ40,$AJ40,1,0)</f>
        <v>0.90400369613560172</v>
      </c>
      <c r="BP40" s="137"/>
      <c r="BQ40" s="137"/>
      <c r="BR40" s="137"/>
      <c r="BS40" s="137"/>
      <c r="BV40" s="262">
        <v>3.3125964010282778</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3.7400000000000003E-2</v>
      </c>
      <c r="CH40" s="258">
        <v>11.082100448885727</v>
      </c>
      <c r="CI40" s="258">
        <v>3.2040000000000002</v>
      </c>
      <c r="CJ40" s="258"/>
      <c r="CK40" s="258"/>
      <c r="CL40" s="258"/>
      <c r="CM40" s="258"/>
    </row>
    <row r="41" spans="1:91" x14ac:dyDescent="0.25">
      <c r="A41" s="723"/>
      <c r="B41" s="723"/>
      <c r="D41" s="31">
        <f t="shared" si="47"/>
        <v>37848</v>
      </c>
      <c r="F41" s="28">
        <f t="shared" si="12"/>
        <v>300</v>
      </c>
      <c r="G41" s="28">
        <f t="shared" si="13"/>
        <v>284.62259886245499</v>
      </c>
      <c r="H41" s="52">
        <f t="shared" si="14"/>
        <v>3.3557840616966579</v>
      </c>
      <c r="I41" s="52">
        <f t="shared" si="15"/>
        <v>4.2960000000000003</v>
      </c>
      <c r="K41" s="52">
        <f t="shared" si="16"/>
        <v>26.55272126094879</v>
      </c>
      <c r="L41" s="135">
        <f t="shared" si="17"/>
        <v>2.8181206701560768E-6</v>
      </c>
      <c r="N41" s="131">
        <f t="shared" si="48"/>
        <v>0.37920840226144648</v>
      </c>
      <c r="O41" s="131">
        <f t="shared" si="49"/>
        <v>0.37920840226144648</v>
      </c>
      <c r="P41" s="55">
        <f t="shared" si="50"/>
        <v>1</v>
      </c>
      <c r="Q41" s="135">
        <f>_xll.xSPRDOPT(I41,H41,AQ41,0,O41,N41,P41,D41-$G$5,1,0)*AH41*AU41</f>
        <v>26.55272407906946</v>
      </c>
      <c r="R41" s="135"/>
      <c r="S41" s="181">
        <f>_xll.xSPRDOPT(I41,H41,AQ41,AT41,O41,N41,P41,D41-$G$5,1,2)*AF41*(F41/(1-AR41))*AH41</f>
        <v>-9068.999248373304</v>
      </c>
      <c r="T41" s="181">
        <f>_xll.xSPRDOPT(I41,H41,AQ41,AT41,O41,N41,P41,D41-$G$5,1,1)*AF41*F41*AH41</f>
        <v>8819.6017691107045</v>
      </c>
      <c r="U41" s="135"/>
      <c r="V41" s="146">
        <f t="shared" si="18"/>
        <v>11.037949006484869</v>
      </c>
      <c r="W41" s="146"/>
      <c r="X41" s="338">
        <f t="shared" si="19"/>
        <v>0</v>
      </c>
      <c r="Y41" s="338">
        <f t="shared" si="20"/>
        <v>0</v>
      </c>
      <c r="Z41" s="338">
        <f t="shared" si="21"/>
        <v>2.0744528590692632</v>
      </c>
      <c r="AA41" s="338">
        <f t="shared" si="22"/>
        <v>-3.4112042759163855E-8</v>
      </c>
      <c r="AB41" s="338">
        <f t="shared" si="23"/>
        <v>0</v>
      </c>
      <c r="AC41" s="338">
        <f t="shared" si="24"/>
        <v>2.0909866131931247</v>
      </c>
      <c r="AF41" s="138">
        <f t="shared" si="25"/>
        <v>1</v>
      </c>
      <c r="AG41" s="138">
        <f t="shared" si="26"/>
        <v>8</v>
      </c>
      <c r="AH41" s="138">
        <f t="shared" si="27"/>
        <v>31</v>
      </c>
      <c r="AI41" s="138">
        <f t="shared" si="51"/>
        <v>592</v>
      </c>
      <c r="AJ41" s="138">
        <f t="shared" si="28"/>
        <v>609</v>
      </c>
      <c r="AL41" s="136">
        <f t="shared" si="29"/>
        <v>3.246</v>
      </c>
      <c r="AM41" s="258">
        <f t="shared" si="30"/>
        <v>1.2500000000000001E-2</v>
      </c>
      <c r="AN41" s="258">
        <f t="shared" si="31"/>
        <v>5.0000000000000001E-3</v>
      </c>
      <c r="AO41" s="258">
        <f t="shared" si="32"/>
        <v>1.05</v>
      </c>
      <c r="AP41" s="258">
        <f t="shared" si="33"/>
        <v>0</v>
      </c>
      <c r="AQ41" s="136">
        <f t="shared" si="34"/>
        <v>3.7400000000000003E-2</v>
      </c>
      <c r="AR41" s="137">
        <f t="shared" si="35"/>
        <v>2.75E-2</v>
      </c>
      <c r="AS41" s="136">
        <f t="shared" si="36"/>
        <v>3.2635000000000001</v>
      </c>
      <c r="AT41" s="137">
        <f t="shared" si="37"/>
        <v>3.1967083332272501E-2</v>
      </c>
      <c r="AU41" s="137">
        <f t="shared" si="38"/>
        <v>0.94874199620818334</v>
      </c>
      <c r="AV41" s="394">
        <f t="shared" si="39"/>
        <v>235.28801505962946</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-1.3568328285860182E-6</v>
      </c>
      <c r="BG41" s="137">
        <f>_xll.xSPRDOPT($BW41,$BV41,$CG41,0,$BY41,$BX41,$BZ41,$AJ41,1,3)*$CB41</f>
        <v>-9.0455521905734547E-7</v>
      </c>
      <c r="BH41" s="137">
        <f>IF(OR(BF41&lt;&gt;0,BG41&lt;&gt;0),_xll.xSPRDOPT($BW41,$BV41,$CG41,0,$BY41,$BX41,$BZ41,$AJ41,1,12)*$CB41,0)</f>
        <v>1.1306940238216818E-7</v>
      </c>
      <c r="BI41" s="137">
        <f>_xll.xSPRDOPT($BW41,$BV41,$CG41,2*LN(1+CA41/2),$BY41,$BX41,$BZ41,$AJ41,1,9)</f>
        <v>2.7157487698030409E-2</v>
      </c>
      <c r="BJ41" s="137">
        <f>_xll.xSPRDOPT($BW41,$BV41,$CG41,0,$BY41,$BX41,$BZ41,$AJ41,1,6)*$CB41</f>
        <v>4.0071271146772866E-7</v>
      </c>
      <c r="BK41" s="137">
        <f>_xll.xSPRDOPT($BW41,$BV41,$CG41,0,$BY41,$BX41,$BZ41,$AJ41,1,5)*$CB41</f>
        <v>-5.1296880560591986E-7</v>
      </c>
      <c r="BL41" s="137">
        <f>_xll.xSPRDOPT(BW41,BV41,CG41,0,BY41,BX41,BZ41,AJ41,1,2)*CB41</f>
        <v>-0.94849499488297706</v>
      </c>
      <c r="BM41" s="137">
        <f>_xll.xSPRDOPT(BW41,BV41,CG41,0,BY41,BX41,BZ41,AJ41,1,1)*CB41</f>
        <v>0.94849499488297706</v>
      </c>
      <c r="BN41" s="137">
        <f>IF(AH41&lt;&gt;0,_xll.xSPRDOPT($BW41,$BV41,$CG41,2*LN(1+CA41/2),$BY41,$BX41,$BZ41,$AJ41,1,8)+(AJ41/365.25)*CH41/AH41,0)</f>
        <v>-0.83425290908449312</v>
      </c>
      <c r="BO41" s="137">
        <f>_xll.xSPRDOPT($BW41,$BV41,$CG41,0,$BY41,$BX41,$BZ41,$AJ41,1,0)</f>
        <v>0.90281603401523003</v>
      </c>
      <c r="BP41" s="137"/>
      <c r="BQ41" s="137"/>
      <c r="BR41" s="137"/>
      <c r="BS41" s="137"/>
      <c r="BV41" s="262">
        <v>3.3557840616966579</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3.7400000000000003E-2</v>
      </c>
      <c r="CH41" s="258">
        <v>11.035074138030867</v>
      </c>
      <c r="CI41" s="258">
        <v>3.246</v>
      </c>
      <c r="CJ41" s="258"/>
      <c r="CK41" s="258"/>
      <c r="CL41" s="258"/>
      <c r="CM41" s="258"/>
    </row>
    <row r="42" spans="1:91" x14ac:dyDescent="0.25">
      <c r="A42" s="723"/>
      <c r="B42" s="723"/>
      <c r="D42" s="31">
        <f t="shared" si="47"/>
        <v>37879</v>
      </c>
      <c r="F42" s="28">
        <f t="shared" si="12"/>
        <v>300</v>
      </c>
      <c r="G42" s="28">
        <f t="shared" si="13"/>
        <v>283.36990841037067</v>
      </c>
      <c r="H42" s="52">
        <f t="shared" si="14"/>
        <v>3.3455012853470434</v>
      </c>
      <c r="I42" s="52">
        <f t="shared" si="15"/>
        <v>3.9910000000000001</v>
      </c>
      <c r="K42" s="52">
        <f t="shared" si="16"/>
        <v>17.231687707567247</v>
      </c>
      <c r="L42" s="135">
        <f t="shared" si="17"/>
        <v>1.8068927793990497E-6</v>
      </c>
      <c r="N42" s="131">
        <f t="shared" si="48"/>
        <v>0.3762850500238793</v>
      </c>
      <c r="O42" s="131">
        <f t="shared" si="49"/>
        <v>0.3762850500238793</v>
      </c>
      <c r="P42" s="55">
        <f t="shared" si="50"/>
        <v>1.0000000000000002</v>
      </c>
      <c r="Q42" s="135">
        <f>_xll.xSPRDOPT(I42,H42,AQ42,0,O42,N42,P42,D42-$G$5,1,0)*AH42*AU42</f>
        <v>17.231689514460026</v>
      </c>
      <c r="R42" s="135"/>
      <c r="S42" s="181">
        <f>_xll.xSPRDOPT(I42,H42,AQ42,AT42,O42,N42,P42,D42-$G$5,1,2)*AF42*(F42/(1-AR42))*AH42</f>
        <v>-8737.3923227261457</v>
      </c>
      <c r="T42" s="181">
        <f>_xll.xSPRDOPT(I42,H42,AQ42,AT42,O42,N42,P42,D42-$G$5,1,1)*AF42*F42*AH42</f>
        <v>8497.1140338839177</v>
      </c>
      <c r="U42" s="135"/>
      <c r="V42" s="146">
        <f t="shared" si="18"/>
        <v>10.634872662641211</v>
      </c>
      <c r="W42" s="146"/>
      <c r="X42" s="338">
        <f t="shared" si="19"/>
        <v>0</v>
      </c>
      <c r="Y42" s="338">
        <f t="shared" si="20"/>
        <v>0</v>
      </c>
      <c r="Z42" s="338">
        <f t="shared" si="21"/>
        <v>1.3880744652244985</v>
      </c>
      <c r="AA42" s="338">
        <f t="shared" si="22"/>
        <v>-1.844684590273211E-8</v>
      </c>
      <c r="AB42" s="338">
        <f t="shared" si="23"/>
        <v>0</v>
      </c>
      <c r="AC42" s="338">
        <f t="shared" si="24"/>
        <v>1.3994835444707703</v>
      </c>
      <c r="AF42" s="138">
        <f t="shared" si="25"/>
        <v>1</v>
      </c>
      <c r="AG42" s="138">
        <f t="shared" si="26"/>
        <v>9</v>
      </c>
      <c r="AH42" s="138">
        <f t="shared" si="27"/>
        <v>30</v>
      </c>
      <c r="AI42" s="138">
        <f t="shared" si="51"/>
        <v>623</v>
      </c>
      <c r="AJ42" s="138">
        <f t="shared" si="28"/>
        <v>640</v>
      </c>
      <c r="AL42" s="136">
        <f t="shared" si="29"/>
        <v>3.2410000000000001</v>
      </c>
      <c r="AM42" s="258">
        <f t="shared" si="30"/>
        <v>7.4999999999999997E-3</v>
      </c>
      <c r="AN42" s="258">
        <f t="shared" si="31"/>
        <v>5.0000000000000001E-3</v>
      </c>
      <c r="AO42" s="258">
        <f t="shared" si="32"/>
        <v>0.75</v>
      </c>
      <c r="AP42" s="258">
        <f t="shared" si="33"/>
        <v>0</v>
      </c>
      <c r="AQ42" s="136">
        <f t="shared" si="34"/>
        <v>3.7400000000000003E-2</v>
      </c>
      <c r="AR42" s="137">
        <f t="shared" si="35"/>
        <v>2.75E-2</v>
      </c>
      <c r="AS42" s="136">
        <f t="shared" si="36"/>
        <v>3.2534999999999998</v>
      </c>
      <c r="AT42" s="137">
        <f t="shared" si="37"/>
        <v>3.2968887702129003E-2</v>
      </c>
      <c r="AU42" s="137">
        <f t="shared" si="38"/>
        <v>0.94456636136790217</v>
      </c>
      <c r="AV42" s="394">
        <f t="shared" si="39"/>
        <v>226.69592672829651</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-6.7542507650821494E-7</v>
      </c>
      <c r="BG42" s="137">
        <f>_xll.xSPRDOPT($BW42,$BV42,$CG42,0,$BY42,$BX42,$BZ42,$AJ42,1,3)*$CB42</f>
        <v>-4.5028338433880992E-7</v>
      </c>
      <c r="BH42" s="137">
        <f>IF(OR(BF42&lt;&gt;0,BG42&lt;&gt;0),_xll.xSPRDOPT($BW42,$BV42,$CG42,0,$BY42,$BX42,$BZ42,$AJ42,1,12)*$CB42,0)</f>
        <v>1.3508501530164299E-6</v>
      </c>
      <c r="BI42" s="137">
        <f>_xll.xSPRDOPT($BW42,$BV42,$CG42,2*LN(1+CA42/2),$BY42,$BX42,$BZ42,$AJ42,1,9)</f>
        <v>1.8777562904564744E-2</v>
      </c>
      <c r="BJ42" s="137">
        <f>_xll.xSPRDOPT($BW42,$BV42,$CG42,0,$BY42,$BX42,$BZ42,$AJ42,1,6)*$CB42</f>
        <v>3.6414721041006112E-7</v>
      </c>
      <c r="BK42" s="137">
        <f>_xll.xSPRDOPT($BW42,$BV42,$CG42,0,$BY42,$BX42,$BZ42,$AJ42,1,5)*$CB42</f>
        <v>-4.3441123638322208E-7</v>
      </c>
      <c r="BL42" s="137">
        <f>_xll.xSPRDOPT(BW42,BV42,CG42,0,BY42,BX42,BZ42,AJ42,1,2)*CB42</f>
        <v>-0.94431279842246174</v>
      </c>
      <c r="BM42" s="137">
        <f>_xll.xSPRDOPT(BW42,BV42,CG42,0,BY42,BX42,BZ42,AJ42,1,1)*CB42</f>
        <v>0.94431279842074412</v>
      </c>
      <c r="BN42" s="137">
        <f>IF(AH42&lt;&gt;0,_xll.xSPRDOPT($BW42,$BV42,$CG42,2*LN(1+CA42/2),$BY42,$BX42,$BZ42,$AJ42,1,8)+(AJ42/365.25)*CH42/AH42,0)</f>
        <v>-0.38519999860141396</v>
      </c>
      <c r="BO42" s="137">
        <f>_xll.xSPRDOPT($BW42,$BV42,$CG42,0,$BY42,$BX42,$BZ42,$AJ42,1,0)</f>
        <v>0.60809877835399484</v>
      </c>
      <c r="BP42" s="137"/>
      <c r="BQ42" s="137"/>
      <c r="BR42" s="137"/>
      <c r="BS42" s="137"/>
      <c r="BV42" s="262">
        <v>3.3455012853470434</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3.7400000000000003E-2</v>
      </c>
      <c r="CH42" s="258">
        <v>10.632016689670465</v>
      </c>
      <c r="CI42" s="258">
        <v>3.2410000000000001</v>
      </c>
      <c r="CJ42" s="258"/>
      <c r="CK42" s="258"/>
      <c r="CL42" s="258"/>
      <c r="CM42" s="258"/>
    </row>
    <row r="43" spans="1:91" x14ac:dyDescent="0.25">
      <c r="A43" s="723"/>
      <c r="B43" s="723"/>
      <c r="D43" s="31">
        <f t="shared" si="47"/>
        <v>37909</v>
      </c>
      <c r="F43" s="28">
        <f t="shared" si="12"/>
        <v>474</v>
      </c>
      <c r="G43" s="28">
        <f t="shared" si="13"/>
        <v>445.77205052062112</v>
      </c>
      <c r="H43" s="52">
        <f t="shared" si="14"/>
        <v>3.3722365038560405</v>
      </c>
      <c r="I43" s="52">
        <f t="shared" si="15"/>
        <v>3.7170000000000001</v>
      </c>
      <c r="K43" s="52">
        <f t="shared" si="16"/>
        <v>8.9608348815815972</v>
      </c>
      <c r="L43" s="135">
        <f t="shared" si="17"/>
        <v>3.4356138787217105E-6</v>
      </c>
      <c r="N43" s="131">
        <f t="shared" si="48"/>
        <v>0.3804492507364664</v>
      </c>
      <c r="O43" s="131">
        <f t="shared" si="49"/>
        <v>0.3804492507364664</v>
      </c>
      <c r="P43" s="55">
        <f t="shared" si="50"/>
        <v>1</v>
      </c>
      <c r="Q43" s="135">
        <f>_xll.xSPRDOPT(I43,H43,AQ43,0,O43,N43,P43,D43-$G$5,1,0)*AH43*AU43</f>
        <v>8.960838317195476</v>
      </c>
      <c r="R43" s="135"/>
      <c r="S43" s="181">
        <f>_xll.xSPRDOPT(I43,H43,AQ43,AT43,O43,N43,P43,D43-$G$5,1,2)*AF43*(F43/(1-AR43))*AH43</f>
        <v>-14202.30963988754</v>
      </c>
      <c r="T43" s="181">
        <f>_xll.xSPRDOPT(I43,H43,AQ43,AT43,O43,N43,P43,D43-$G$5,1,1)*AF43*F43*AH43</f>
        <v>13811.746124910911</v>
      </c>
      <c r="U43" s="135"/>
      <c r="V43" s="146">
        <f t="shared" si="18"/>
        <v>10.941446766607728</v>
      </c>
      <c r="W43" s="146"/>
      <c r="X43" s="338">
        <f t="shared" si="19"/>
        <v>0</v>
      </c>
      <c r="Y43" s="338">
        <f t="shared" si="20"/>
        <v>0</v>
      </c>
      <c r="Z43" s="338">
        <f t="shared" si="21"/>
        <v>1.1726133183995828</v>
      </c>
      <c r="AA43" s="338">
        <f t="shared" si="22"/>
        <v>1.4680831463885533E-6</v>
      </c>
      <c r="AB43" s="338">
        <f t="shared" si="23"/>
        <v>0</v>
      </c>
      <c r="AC43" s="338">
        <f t="shared" si="24"/>
        <v>1.1825612087673751</v>
      </c>
      <c r="AF43" s="138">
        <f t="shared" si="25"/>
        <v>1</v>
      </c>
      <c r="AG43" s="138">
        <f t="shared" si="26"/>
        <v>10</v>
      </c>
      <c r="AH43" s="138">
        <f t="shared" si="27"/>
        <v>31</v>
      </c>
      <c r="AI43" s="138">
        <f t="shared" si="51"/>
        <v>653</v>
      </c>
      <c r="AJ43" s="138">
        <f t="shared" si="28"/>
        <v>670</v>
      </c>
      <c r="AL43" s="136">
        <f t="shared" si="29"/>
        <v>3.2669999999999999</v>
      </c>
      <c r="AM43" s="258">
        <f t="shared" si="30"/>
        <v>7.4999999999999997E-3</v>
      </c>
      <c r="AN43" s="258">
        <f t="shared" si="31"/>
        <v>5.0000000000000001E-3</v>
      </c>
      <c r="AO43" s="258">
        <f t="shared" si="32"/>
        <v>0.45</v>
      </c>
      <c r="AP43" s="258">
        <f t="shared" si="33"/>
        <v>0</v>
      </c>
      <c r="AQ43" s="136">
        <f t="shared" si="34"/>
        <v>3.7400000000000003E-2</v>
      </c>
      <c r="AR43" s="137">
        <f t="shared" si="35"/>
        <v>2.75E-2</v>
      </c>
      <c r="AS43" s="136">
        <f t="shared" si="36"/>
        <v>3.2794999999999996</v>
      </c>
      <c r="AT43" s="137">
        <f t="shared" si="37"/>
        <v>3.3906701822071103E-2</v>
      </c>
      <c r="AU43" s="137">
        <f t="shared" si="38"/>
        <v>0.94044736396755513</v>
      </c>
      <c r="AV43" s="394">
        <f t="shared" si="39"/>
        <v>379.00028767892474</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-3.3623731819796072E-7</v>
      </c>
      <c r="BG43" s="137">
        <f>_xll.xSPRDOPT($BW43,$BV43,$CG43,0,$BY43,$BX43,$BZ43,$AJ43,1,3)*$CB43</f>
        <v>-7.8455374246190834E-7</v>
      </c>
      <c r="BH43" s="137">
        <f>IF(OR(BF43&lt;&gt;0,BG43&lt;&gt;0),_xll.xSPRDOPT($BW43,$BV43,$CG43,0,$BY43,$BX43,$BZ43,$AJ43,1,12)*$CB43,0)</f>
        <v>5.0435597729694102E-7</v>
      </c>
      <c r="BI43" s="137">
        <f>_xll.xSPRDOPT($BW43,$BV43,$CG43,2*LN(1+CA43/2),$BY43,$BX43,$BZ43,$AJ43,1,9)</f>
        <v>9.7159161232577389E-3</v>
      </c>
      <c r="BJ43" s="137">
        <f>_xll.xSPRDOPT($BW43,$BV43,$CG43,0,$BY43,$BX43,$BZ43,$AJ43,1,6)*$CB43</f>
        <v>-2.7806720295509589E-5</v>
      </c>
      <c r="BK43" s="137">
        <f>_xll.xSPRDOPT($BW43,$BV43,$CG43,0,$BY43,$BX43,$BZ43,$AJ43,1,5)*$CB43</f>
        <v>3.0649545435890651E-5</v>
      </c>
      <c r="BL43" s="137">
        <f>_xll.xSPRDOPT(BW43,BV43,CG43,0,BY43,BX43,BZ43,AJ43,1,2)*CB43</f>
        <v>-0.94018652237579581</v>
      </c>
      <c r="BM43" s="137">
        <f>_xll.xSPRDOPT(BW43,BV43,CG43,0,BY43,BX43,BZ43,AJ43,1,1)*CB43</f>
        <v>0.94018652238691203</v>
      </c>
      <c r="BN43" s="137">
        <f>IF(AH43&lt;&gt;0,_xll.xSPRDOPT($BW43,$BV43,$CG43,2*LN(1+CA43/2),$BY43,$BX43,$BZ43,$AJ43,1,8)+(AJ43/365.25)*CH43/AH43,0)</f>
        <v>0.11716598853803395</v>
      </c>
      <c r="BO43" s="137">
        <f>_xll.xSPRDOPT($BW43,$BV43,$CG43,0,$BY43,$BX43,$BZ43,$AJ43,1,0)</f>
        <v>0.3073636164668006</v>
      </c>
      <c r="BP43" s="137"/>
      <c r="BQ43" s="137"/>
      <c r="BR43" s="137"/>
      <c r="BS43" s="137"/>
      <c r="BV43" s="262">
        <v>3.3722365038560405</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47"/>
        <v>37940</v>
      </c>
      <c r="F44" s="28">
        <f t="shared" si="12"/>
        <v>474</v>
      </c>
      <c r="G44" s="28">
        <f t="shared" si="13"/>
        <v>443.7262762697323</v>
      </c>
      <c r="H44" s="52">
        <f t="shared" si="14"/>
        <v>3.5110539845758351</v>
      </c>
      <c r="I44" s="52">
        <f t="shared" si="15"/>
        <v>3.8520000000000003</v>
      </c>
      <c r="K44" s="52">
        <f t="shared" si="16"/>
        <v>8.5247685506759225</v>
      </c>
      <c r="L44" s="135">
        <f t="shared" si="17"/>
        <v>6.974411157045779E-6</v>
      </c>
      <c r="N44" s="131">
        <f t="shared" si="48"/>
        <v>0.38567537328980672</v>
      </c>
      <c r="O44" s="131">
        <f t="shared" si="49"/>
        <v>0.38567537328980672</v>
      </c>
      <c r="P44" s="55">
        <f t="shared" si="50"/>
        <v>0.99999999999999989</v>
      </c>
      <c r="Q44" s="135">
        <f>_xll.xSPRDOPT(I44,H44,AQ44,0,O44,N44,P44,D44-$G$5,1,0)*AH44*AU44</f>
        <v>8.5247755250870796</v>
      </c>
      <c r="R44" s="135"/>
      <c r="S44" s="181">
        <f>_xll.xSPRDOPT(I44,H44,AQ44,AT44,O44,N44,P44,D44-$G$5,1,2)*AF44*(F44/(1-AR44))*AH44</f>
        <v>-13680.319364774286</v>
      </c>
      <c r="T44" s="181">
        <f>_xll.xSPRDOPT(I44,H44,AQ44,AT44,O44,N44,P44,D44-$G$5,1,1)*AF44*F44*AH44</f>
        <v>13304.110582307658</v>
      </c>
      <c r="U44" s="135"/>
      <c r="V44" s="146">
        <f t="shared" si="18"/>
        <v>10.539903258482946</v>
      </c>
      <c r="W44" s="146"/>
      <c r="X44" s="338">
        <f t="shared" si="19"/>
        <v>0</v>
      </c>
      <c r="Y44" s="338">
        <f t="shared" si="20"/>
        <v>0</v>
      </c>
      <c r="Z44" s="338">
        <f t="shared" si="21"/>
        <v>1.1457997902051276</v>
      </c>
      <c r="AA44" s="338">
        <f t="shared" si="22"/>
        <v>7.4462483145343851E-6</v>
      </c>
      <c r="AB44" s="338">
        <f t="shared" si="23"/>
        <v>0</v>
      </c>
      <c r="AC44" s="338">
        <f t="shared" si="24"/>
        <v>1.1558443119929827</v>
      </c>
      <c r="AF44" s="138">
        <f t="shared" si="25"/>
        <v>1</v>
      </c>
      <c r="AG44" s="138">
        <f t="shared" si="26"/>
        <v>11</v>
      </c>
      <c r="AH44" s="138">
        <f t="shared" si="27"/>
        <v>30</v>
      </c>
      <c r="AI44" s="138">
        <f t="shared" si="51"/>
        <v>684</v>
      </c>
      <c r="AJ44" s="138">
        <f t="shared" si="28"/>
        <v>701</v>
      </c>
      <c r="AL44" s="136">
        <f t="shared" si="29"/>
        <v>3.4020000000000001</v>
      </c>
      <c r="AM44" s="258">
        <f t="shared" si="30"/>
        <v>5.0000000000000001E-3</v>
      </c>
      <c r="AN44" s="258">
        <f t="shared" si="31"/>
        <v>7.4999999999999997E-3</v>
      </c>
      <c r="AO44" s="258">
        <f t="shared" si="32"/>
        <v>0.45</v>
      </c>
      <c r="AP44" s="258">
        <f t="shared" si="33"/>
        <v>0</v>
      </c>
      <c r="AQ44" s="136">
        <f t="shared" si="34"/>
        <v>3.7400000000000003E-2</v>
      </c>
      <c r="AR44" s="137">
        <f t="shared" si="35"/>
        <v>2.75E-2</v>
      </c>
      <c r="AS44" s="136">
        <f t="shared" si="36"/>
        <v>3.4144999999999999</v>
      </c>
      <c r="AT44" s="137">
        <f t="shared" si="37"/>
        <v>3.4836153967131397E-2</v>
      </c>
      <c r="AU44" s="137">
        <f t="shared" si="38"/>
        <v>0.9361313845353002</v>
      </c>
      <c r="AV44" s="394">
        <f t="shared" si="39"/>
        <v>365.09123996876707</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-2.2312781197251798E-7</v>
      </c>
      <c r="BG44" s="137">
        <f>_xll.xSPRDOPT($BW44,$BV44,$CG44,0,$BY44,$BX44,$BZ44,$AJ44,1,3)*$CB44</f>
        <v>6.6938343591755399E-7</v>
      </c>
      <c r="BH44" s="137">
        <f>IF(OR(BF44&lt;&gt;0,BG44&lt;&gt;0),_xll.xSPRDOPT($BW44,$BV44,$CG44,0,$BY44,$BX44,$BZ44,$AJ44,1,12)*$CB44,0)</f>
        <v>-1.673458589793885E-7</v>
      </c>
      <c r="BI44" s="137">
        <f>_xll.xSPRDOPT($BW44,$BV44,$CG44,2*LN(1+CA44/2),$BY44,$BX44,$BZ44,$AJ44,1,9)</f>
        <v>9.8102056580502296E-3</v>
      </c>
      <c r="BJ44" s="137">
        <f>_xll.xSPRDOPT($BW44,$BV44,$CG44,0,$BY44,$BX44,$BZ44,$AJ44,1,6)*$CB44</f>
        <v>-8.216127220512155E-5</v>
      </c>
      <c r="BK44" s="137">
        <f>_xll.xSPRDOPT($BW44,$BV44,$CG44,0,$BY44,$BX44,$BZ44,$AJ44,1,5)*$CB44</f>
        <v>9.0139667758482175E-5</v>
      </c>
      <c r="BL44" s="137">
        <f>_xll.xSPRDOPT(BW44,BV44,CG44,0,BY44,BX44,BZ44,AJ44,1,2)*CB44</f>
        <v>-0.9358623462463096</v>
      </c>
      <c r="BM44" s="137">
        <f>_xll.xSPRDOPT(BW44,BV44,CG44,0,BY44,BX44,BZ44,AJ44,1,1)*CB44</f>
        <v>0.93586234625567233</v>
      </c>
      <c r="BN44" s="137">
        <f>IF(AH44&lt;&gt;0,_xll.xSPRDOPT($BW44,$BV44,$CG44,2*LN(1+CA44/2),$BY44,$BX44,$BZ44,$AJ44,1,8)+(AJ44/365.25)*CH44/AH44,0)</f>
        <v>0.12888010615863887</v>
      </c>
      <c r="BO44" s="137">
        <f>_xll.xSPRDOPT($BW44,$BV44,$CG44,0,$BY44,$BX44,$BZ44,$AJ44,1,0)</f>
        <v>0.30354627026477365</v>
      </c>
      <c r="BP44" s="137"/>
      <c r="BQ44" s="137"/>
      <c r="BR44" s="137"/>
      <c r="BS44" s="137"/>
      <c r="BV44" s="262">
        <v>3.5110539845758351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47"/>
        <v>37970</v>
      </c>
      <c r="F45" s="28">
        <f t="shared" si="12"/>
        <v>474</v>
      </c>
      <c r="G45" s="28">
        <f t="shared" si="13"/>
        <v>441.6905496775799</v>
      </c>
      <c r="H45" s="52">
        <f t="shared" si="14"/>
        <v>3.6498714652956292</v>
      </c>
      <c r="I45" s="52">
        <f t="shared" si="15"/>
        <v>3.9369999999999998</v>
      </c>
      <c r="K45" s="52">
        <f t="shared" si="16"/>
        <v>7.2138918706250026</v>
      </c>
      <c r="L45" s="135">
        <f t="shared" si="17"/>
        <v>5.1199714430794074E-5</v>
      </c>
      <c r="N45" s="131">
        <f t="shared" si="48"/>
        <v>0.39564204160538236</v>
      </c>
      <c r="O45" s="131">
        <f t="shared" si="49"/>
        <v>0.39564204160538236</v>
      </c>
      <c r="P45" s="55">
        <f t="shared" si="50"/>
        <v>1.0000000000000002</v>
      </c>
      <c r="Q45" s="135">
        <f>_xll.xSPRDOPT(I45,H45,AQ45,0,O45,N45,P45,D45-$G$5,1,0)*AH45*AU45</f>
        <v>7.2139430703394334</v>
      </c>
      <c r="R45" s="135"/>
      <c r="S45" s="181">
        <f>_xll.xSPRDOPT(I45,H45,AQ45,AT45,O45,N45,P45,D45-$G$5,1,2)*AF45*(F45/(1-AR45))*AH45</f>
        <v>-14070.33040227641</v>
      </c>
      <c r="T45" s="181">
        <f>_xll.xSPRDOPT(I45,H45,AQ45,AT45,O45,N45,P45,D45-$G$5,1,1)*AF45*F45*AH45</f>
        <v>13683.396316334083</v>
      </c>
      <c r="U45" s="135"/>
      <c r="V45" s="146">
        <f t="shared" si="18"/>
        <v>10.841266586738119</v>
      </c>
      <c r="W45" s="146"/>
      <c r="X45" s="338">
        <f t="shared" si="19"/>
        <v>0</v>
      </c>
      <c r="Y45" s="338">
        <f t="shared" si="20"/>
        <v>0</v>
      </c>
      <c r="Z45" s="338">
        <f t="shared" si="21"/>
        <v>0.99393828067953049</v>
      </c>
      <c r="AA45" s="338">
        <f t="shared" si="22"/>
        <v>7.0625933500984516E-5</v>
      </c>
      <c r="AB45" s="338">
        <f t="shared" si="23"/>
        <v>0</v>
      </c>
      <c r="AC45" s="338">
        <f t="shared" si="24"/>
        <v>1.0033608907868783</v>
      </c>
      <c r="AF45" s="138">
        <f t="shared" si="25"/>
        <v>1</v>
      </c>
      <c r="AG45" s="138">
        <f t="shared" si="26"/>
        <v>12</v>
      </c>
      <c r="AH45" s="138">
        <f t="shared" si="27"/>
        <v>31</v>
      </c>
      <c r="AI45" s="138">
        <f t="shared" si="51"/>
        <v>714</v>
      </c>
      <c r="AJ45" s="138">
        <f t="shared" si="28"/>
        <v>731</v>
      </c>
      <c r="AL45" s="136">
        <f t="shared" si="29"/>
        <v>3.5369999999999999</v>
      </c>
      <c r="AM45" s="258">
        <f t="shared" si="30"/>
        <v>5.0000000000000001E-3</v>
      </c>
      <c r="AN45" s="258">
        <f t="shared" si="31"/>
        <v>7.4999999999999997E-3</v>
      </c>
      <c r="AO45" s="258">
        <f t="shared" si="32"/>
        <v>0.4</v>
      </c>
      <c r="AP45" s="258">
        <f t="shared" si="33"/>
        <v>0</v>
      </c>
      <c r="AQ45" s="136">
        <f t="shared" si="34"/>
        <v>3.7400000000000003E-2</v>
      </c>
      <c r="AR45" s="137">
        <f t="shared" si="35"/>
        <v>2.75E-2</v>
      </c>
      <c r="AS45" s="136">
        <f t="shared" si="36"/>
        <v>3.5494999999999997</v>
      </c>
      <c r="AT45" s="137">
        <f t="shared" si="37"/>
        <v>3.5735624061610197E-2</v>
      </c>
      <c r="AU45" s="137">
        <f t="shared" si="38"/>
        <v>0.93183660269531621</v>
      </c>
      <c r="AV45" s="394">
        <f t="shared" si="39"/>
        <v>375.53015088621243</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-1.4436664722409268E-6</v>
      </c>
      <c r="BG45" s="137">
        <f>_xll.xSPRDOPT($BW45,$BV45,$CG45,0,$BY45,$BX45,$BZ45,$AJ45,1,3)*$CB45</f>
        <v>-6.1078196902500755E-7</v>
      </c>
      <c r="BH45" s="137">
        <f>IF(OR(BF45&lt;&gt;0,BG45&lt;&gt;0),_xll.xSPRDOPT($BW45,$BV45,$CG45,0,$BY45,$BX45,$BZ45,$AJ45,1,12)*$CB45,0)</f>
        <v>-5.5525633547727955E-8</v>
      </c>
      <c r="BI45" s="137">
        <f>_xll.xSPRDOPT($BW45,$BV45,$CG45,2*LN(1+CA45/2),$BY45,$BX45,$BZ45,$AJ45,1,9)</f>
        <v>8.2354692849280556E-3</v>
      </c>
      <c r="BJ45" s="137">
        <f>_xll.xSPRDOPT($BW45,$BV45,$CG45,0,$BY45,$BX45,$BZ45,$AJ45,1,6)*$CB45</f>
        <v>-6.0118768326013379E-4</v>
      </c>
      <c r="BK45" s="137">
        <f>_xll.xSPRDOPT($BW45,$BV45,$CG45,0,$BY45,$BX45,$BZ45,$AJ45,1,5)*$CB45</f>
        <v>6.484819846441284E-4</v>
      </c>
      <c r="BL45" s="137">
        <f>_xll.xSPRDOPT(BW45,BV45,CG45,0,BY45,BX45,BZ45,AJ45,1,2)*CB45</f>
        <v>-0.93153823446760675</v>
      </c>
      <c r="BM45" s="137">
        <f>_xll.xSPRDOPT(BW45,BV45,CG45,0,BY45,BX45,BZ45,AJ45,1,1)*CB45</f>
        <v>0.93153823447735018</v>
      </c>
      <c r="BN45" s="137">
        <f>IF(AH45&lt;&gt;0,_xll.xSPRDOPT($BW45,$BV45,$CG45,2*LN(1+CA45/2),$BY45,$BX45,$BZ45,$AJ45,1,8)+(AJ45/365.25)*CH45/AH45,0)</f>
        <v>0.23411286393070485</v>
      </c>
      <c r="BO45" s="137">
        <f>_xll.xSPRDOPT($BW45,$BV45,$CG45,0,$BY45,$BX45,$BZ45,$AJ45,1,0)</f>
        <v>0.24973034329477226</v>
      </c>
      <c r="BP45" s="137"/>
      <c r="BQ45" s="137"/>
      <c r="BR45" s="137"/>
      <c r="BS45" s="137"/>
      <c r="BV45" s="262">
        <v>3.6498714652956292</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47"/>
        <v>38001</v>
      </c>
      <c r="F46" s="28">
        <f t="shared" si="12"/>
        <v>474</v>
      </c>
      <c r="G46" s="28">
        <f t="shared" si="13"/>
        <v>439.56210281383926</v>
      </c>
      <c r="H46" s="52">
        <f t="shared" si="14"/>
        <v>3.7115681233933158</v>
      </c>
      <c r="I46" s="52">
        <f t="shared" si="15"/>
        <v>3.9470000000000001</v>
      </c>
      <c r="K46" s="52">
        <f t="shared" si="16"/>
        <v>5.8079583375874853</v>
      </c>
      <c r="L46" s="135">
        <f t="shared" si="17"/>
        <v>1.0214610869052621E-4</v>
      </c>
      <c r="N46" s="131">
        <f t="shared" si="48"/>
        <v>0.39305358955281788</v>
      </c>
      <c r="O46" s="131">
        <f t="shared" si="49"/>
        <v>0.39305358955281788</v>
      </c>
      <c r="P46" s="55">
        <f t="shared" si="50"/>
        <v>1</v>
      </c>
      <c r="Q46" s="135">
        <f>_xll.xSPRDOPT(I46,H46,AQ46,0,O46,N46,P46,D46-$G$5,1,0)*AH46*AU46</f>
        <v>5.8080604836961758</v>
      </c>
      <c r="R46" s="135"/>
      <c r="S46" s="181">
        <f>_xll.xSPRDOPT(I46,H46,AQ46,AT46,O46,N46,P46,D46-$G$5,1,2)*AF46*(F46/(1-AR46))*AH46</f>
        <v>-14001.02723493249</v>
      </c>
      <c r="T46" s="181">
        <f>_xll.xSPRDOPT(I46,H46,AQ46,AT46,O46,N46,P46,D46-$G$5,1,1)*AF46*F46*AH46</f>
        <v>13615.998985677836</v>
      </c>
      <c r="U46" s="135"/>
      <c r="V46" s="146">
        <f t="shared" si="18"/>
        <v>10.789023993179432</v>
      </c>
      <c r="W46" s="146"/>
      <c r="X46" s="338">
        <f t="shared" si="19"/>
        <v>0</v>
      </c>
      <c r="Y46" s="338">
        <f t="shared" si="20"/>
        <v>0</v>
      </c>
      <c r="Z46" s="338">
        <f t="shared" si="21"/>
        <v>0.81942310673373264</v>
      </c>
      <c r="AA46" s="338">
        <f t="shared" si="22"/>
        <v>1.25733792173781E-4</v>
      </c>
      <c r="AB46" s="338">
        <f t="shared" si="23"/>
        <v>0</v>
      </c>
      <c r="AC46" s="338">
        <f t="shared" si="24"/>
        <v>0.82802028941486161</v>
      </c>
      <c r="AF46" s="138">
        <f t="shared" si="25"/>
        <v>1</v>
      </c>
      <c r="AG46" s="138">
        <f t="shared" si="26"/>
        <v>1</v>
      </c>
      <c r="AH46" s="138">
        <f t="shared" si="27"/>
        <v>31</v>
      </c>
      <c r="AI46" s="138">
        <f t="shared" si="51"/>
        <v>745</v>
      </c>
      <c r="AJ46" s="138">
        <f t="shared" si="28"/>
        <v>762</v>
      </c>
      <c r="AL46" s="136">
        <f t="shared" si="29"/>
        <v>3.597</v>
      </c>
      <c r="AM46" s="258">
        <f t="shared" si="30"/>
        <v>5.0000000000000001E-3</v>
      </c>
      <c r="AN46" s="258">
        <f t="shared" si="31"/>
        <v>7.4999999999999997E-3</v>
      </c>
      <c r="AO46" s="258">
        <f t="shared" si="32"/>
        <v>0.35</v>
      </c>
      <c r="AP46" s="258">
        <f t="shared" si="33"/>
        <v>0</v>
      </c>
      <c r="AQ46" s="136">
        <f t="shared" si="34"/>
        <v>3.3399999999999999E-2</v>
      </c>
      <c r="AR46" s="137">
        <f t="shared" si="35"/>
        <v>2.75E-2</v>
      </c>
      <c r="AS46" s="136">
        <f t="shared" si="36"/>
        <v>3.6094999999999997</v>
      </c>
      <c r="AT46" s="137">
        <f t="shared" si="37"/>
        <v>3.6629399588957501E-2</v>
      </c>
      <c r="AU46" s="137">
        <f t="shared" si="38"/>
        <v>0.9273462084680153</v>
      </c>
      <c r="AV46" s="394">
        <f t="shared" si="39"/>
        <v>373.72052201261016</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5.5257664605555325E-8</v>
      </c>
      <c r="BG46" s="137">
        <f>_xll.xSPRDOPT($BW46,$BV46,$CG46,0,$BY46,$BX46,$BZ46,$AJ46,1,3)*$CB46</f>
        <v>-6.0783431066110855E-7</v>
      </c>
      <c r="BH46" s="137">
        <f>IF(OR(BF46&lt;&gt;0,BG46&lt;&gt;0),_xll.xSPRDOPT($BW46,$BV46,$CG46,0,$BY46,$BX46,$BZ46,$AJ46,1,12)*$CB46,0)</f>
        <v>4.1443248454166491E-7</v>
      </c>
      <c r="BI46" s="137">
        <f>_xll.xSPRDOPT($BW46,$BV46,$CG46,2*LN(1+CA46/2),$BY46,$BX46,$BZ46,$AJ46,1,9)</f>
        <v>6.7894898084137718E-3</v>
      </c>
      <c r="BJ46" s="137">
        <f>_xll.xSPRDOPT($BW46,$BV46,$CG46,0,$BY46,$BX46,$BZ46,$AJ46,1,6)*$CB46</f>
        <v>-1.5340218249177151E-3</v>
      </c>
      <c r="BK46" s="137">
        <f>_xll.xSPRDOPT($BW46,$BV46,$CG46,0,$BY46,$BX46,$BZ46,$AJ46,1,5)*$CB46</f>
        <v>1.631327763657696E-3</v>
      </c>
      <c r="BL46" s="137">
        <f>_xll.xSPRDOPT(BW46,BV46,CG46,0,BY46,BX46,BZ46,AJ46,1,2)*CB46</f>
        <v>-0.9269988586463267</v>
      </c>
      <c r="BM46" s="137">
        <f>_xll.xSPRDOPT(BW46,BV46,CG46,0,BY46,BX46,BZ46,AJ46,1,1)*CB46</f>
        <v>0.92699885862524756</v>
      </c>
      <c r="BN46" s="137">
        <f>IF(AH46&lt;&gt;0,_xll.xSPRDOPT($BW46,$BV46,$CG46,2*LN(1+CA46/2),$BY46,$BX46,$BZ46,$AJ46,1,8)+(AJ46/365.25)*CH46/AH46,0)</f>
        <v>0.33510951048342197</v>
      </c>
      <c r="BO46" s="137">
        <f>_xll.xSPRDOPT($BW46,$BV46,$CG46,0,$BY46,$BX46,$BZ46,$AJ46,1,0)</f>
        <v>0.20203550199203099</v>
      </c>
      <c r="BP46" s="137"/>
      <c r="BQ46" s="137"/>
      <c r="BR46" s="137"/>
      <c r="BS46" s="137"/>
      <c r="BV46" s="262">
        <v>3.7115681233933158</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3.3399999999999999E-2</v>
      </c>
      <c r="CH46" s="258">
        <v>10.78580788029198</v>
      </c>
      <c r="CI46" s="258">
        <v>3.597</v>
      </c>
      <c r="CJ46" s="258"/>
      <c r="CK46" s="258"/>
      <c r="CL46" s="258"/>
      <c r="CM46" s="258"/>
    </row>
    <row r="47" spans="1:91" x14ac:dyDescent="0.25">
      <c r="A47" s="723"/>
      <c r="B47" s="723"/>
      <c r="D47" s="31">
        <f t="shared" si="47"/>
        <v>38032</v>
      </c>
      <c r="F47" s="28">
        <f t="shared" si="12"/>
        <v>474</v>
      </c>
      <c r="G47" s="28">
        <f t="shared" si="13"/>
        <v>437.4144336904846</v>
      </c>
      <c r="H47" s="52">
        <f t="shared" si="14"/>
        <v>3.6241645244215936</v>
      </c>
      <c r="I47" s="52">
        <f t="shared" si="15"/>
        <v>3.8620000000000001</v>
      </c>
      <c r="K47" s="52">
        <f t="shared" si="16"/>
        <v>5.4710291255587196</v>
      </c>
      <c r="L47" s="135">
        <f t="shared" si="17"/>
        <v>1.0598218139534765E-4</v>
      </c>
      <c r="N47" s="131">
        <f t="shared" si="48"/>
        <v>0.39080901832551673</v>
      </c>
      <c r="O47" s="131">
        <f t="shared" si="49"/>
        <v>0.39080901832551673</v>
      </c>
      <c r="P47" s="55">
        <f t="shared" si="50"/>
        <v>1</v>
      </c>
      <c r="Q47" s="135">
        <f>_xll.xSPRDOPT(I47,H47,AQ47,0,O47,N47,P47,D47-$G$5,1,0)*AH47*AU47</f>
        <v>5.4711351077401149</v>
      </c>
      <c r="R47" s="135"/>
      <c r="S47" s="181">
        <f>_xll.xSPRDOPT(I47,H47,AQ47,AT47,O47,N47,P47,D47-$G$5,1,2)*AF47*(F47/(1-AR47))*AH47</f>
        <v>-13032.967573585684</v>
      </c>
      <c r="T47" s="181">
        <f>_xll.xSPRDOPT(I47,H47,AQ47,AT47,O47,N47,P47,D47-$G$5,1,1)*AF47*F47*AH47</f>
        <v>12674.560965362085</v>
      </c>
      <c r="U47" s="135"/>
      <c r="V47" s="146">
        <f t="shared" si="18"/>
        <v>10.043644455605754</v>
      </c>
      <c r="W47" s="146"/>
      <c r="X47" s="338">
        <f t="shared" si="19"/>
        <v>0</v>
      </c>
      <c r="Y47" s="338">
        <f t="shared" si="20"/>
        <v>0</v>
      </c>
      <c r="Z47" s="338">
        <f t="shared" si="21"/>
        <v>0.78983212418839499</v>
      </c>
      <c r="AA47" s="338">
        <f t="shared" si="22"/>
        <v>1.0185191168545888E-4</v>
      </c>
      <c r="AB47" s="338">
        <f t="shared" si="23"/>
        <v>0</v>
      </c>
      <c r="AC47" s="338">
        <f t="shared" si="24"/>
        <v>0.79820305565039706</v>
      </c>
      <c r="AF47" s="138">
        <f t="shared" si="25"/>
        <v>1</v>
      </c>
      <c r="AG47" s="138">
        <f t="shared" si="26"/>
        <v>2</v>
      </c>
      <c r="AH47" s="138">
        <f t="shared" si="27"/>
        <v>29</v>
      </c>
      <c r="AI47" s="138">
        <f t="shared" si="51"/>
        <v>776</v>
      </c>
      <c r="AJ47" s="138">
        <f t="shared" si="28"/>
        <v>793</v>
      </c>
      <c r="AL47" s="136">
        <f t="shared" si="29"/>
        <v>3.512</v>
      </c>
      <c r="AM47" s="258">
        <f t="shared" si="30"/>
        <v>5.0000000000000001E-3</v>
      </c>
      <c r="AN47" s="258">
        <f t="shared" si="31"/>
        <v>7.4999999999999997E-3</v>
      </c>
      <c r="AO47" s="258">
        <f t="shared" si="32"/>
        <v>0.35</v>
      </c>
      <c r="AP47" s="258">
        <f t="shared" si="33"/>
        <v>0</v>
      </c>
      <c r="AQ47" s="136">
        <f t="shared" si="34"/>
        <v>3.3399999999999999E-2</v>
      </c>
      <c r="AR47" s="137">
        <f t="shared" si="35"/>
        <v>2.75E-2</v>
      </c>
      <c r="AS47" s="136">
        <f t="shared" si="36"/>
        <v>3.5244999999999997</v>
      </c>
      <c r="AT47" s="137">
        <f t="shared" si="37"/>
        <v>3.74851197051385E-2</v>
      </c>
      <c r="AU47" s="137">
        <f t="shared" si="38"/>
        <v>0.92281526095038946</v>
      </c>
      <c r="AV47" s="394">
        <f t="shared" si="39"/>
        <v>347.90135337829685</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-7.148349018642402E-7</v>
      </c>
      <c r="BG47" s="137">
        <f>_xll.xSPRDOPT($BW47,$BV47,$CG47,0,$BY47,$BX47,$BZ47,$AJ47,1,3)*$CB47</f>
        <v>7.698222020076433E-7</v>
      </c>
      <c r="BH47" s="137">
        <f>IF(OR(BF47&lt;&gt;0,BG47&lt;&gt;0),_xll.xSPRDOPT($BW47,$BV47,$CG47,0,$BY47,$BX47,$BZ47,$AJ47,1,12)*$CB47,0)</f>
        <v>-3.574174509321201E-7</v>
      </c>
      <c r="BI47" s="137">
        <f>_xll.xSPRDOPT($BW47,$BV47,$CG47,2*LN(1+CA47/2),$BY47,$BX47,$BZ47,$AJ47,1,9)</f>
        <v>6.9956395402253086E-3</v>
      </c>
      <c r="BJ47" s="137">
        <f>_xll.xSPRDOPT($BW47,$BV47,$CG47,0,$BY47,$BX47,$BZ47,$AJ47,1,6)*$CB47</f>
        <v>-1.474261664710957E-3</v>
      </c>
      <c r="BK47" s="137">
        <f>_xll.xSPRDOPT($BW47,$BV47,$CG47,0,$BY47,$BX47,$BZ47,$AJ47,1,5)*$CB47</f>
        <v>1.5710099538083873E-3</v>
      </c>
      <c r="BL47" s="137">
        <f>_xll.xSPRDOPT(BW47,BV47,CG47,0,BY47,BX47,BZ47,AJ47,1,2)*CB47</f>
        <v>-0.92246552496771994</v>
      </c>
      <c r="BM47" s="137">
        <f>_xll.xSPRDOPT(BW47,BV47,CG47,0,BY47,BX47,BZ47,AJ47,1,1)*CB47</f>
        <v>0.92246552497065659</v>
      </c>
      <c r="BN47" s="137">
        <f>IF(AH47&lt;&gt;0,_xll.xSPRDOPT($BW47,$BV47,$CG47,2*LN(1+CA47/2),$BY47,$BX47,$BZ47,$AJ47,1,8)+(AJ47/365.25)*CH47/AH47,0)</f>
        <v>0.34222120337362205</v>
      </c>
      <c r="BO47" s="137">
        <f>_xll.xSPRDOPT($BW47,$BV47,$CG47,0,$BY47,$BX47,$BZ47,$AJ47,1,0)</f>
        <v>0.20443950550203108</v>
      </c>
      <c r="BP47" s="137"/>
      <c r="BQ47" s="137"/>
      <c r="BR47" s="137"/>
      <c r="BS47" s="137"/>
      <c r="BV47" s="262">
        <v>3.6241645244215936</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3.3399999999999999E-2</v>
      </c>
      <c r="CH47" s="258">
        <v>10.04058124708175</v>
      </c>
      <c r="CI47" s="258">
        <v>3.512</v>
      </c>
      <c r="CJ47" s="258"/>
      <c r="CK47" s="258"/>
      <c r="CL47" s="258"/>
      <c r="CM47" s="258"/>
    </row>
    <row r="48" spans="1:91" x14ac:dyDescent="0.25">
      <c r="A48" s="723"/>
      <c r="B48" s="723"/>
      <c r="D48" s="31">
        <f t="shared" si="47"/>
        <v>38061</v>
      </c>
      <c r="F48" s="28">
        <f t="shared" si="12"/>
        <v>474</v>
      </c>
      <c r="G48" s="28">
        <f t="shared" si="13"/>
        <v>435.3589238871561</v>
      </c>
      <c r="H48" s="52">
        <f t="shared" si="14"/>
        <v>3.4904884318766065</v>
      </c>
      <c r="I48" s="52">
        <f t="shared" si="15"/>
        <v>3.782</v>
      </c>
      <c r="K48" s="52">
        <f t="shared" si="16"/>
        <v>7.3491696429785582</v>
      </c>
      <c r="L48" s="135">
        <f t="shared" si="17"/>
        <v>1.4536453627478352E-5</v>
      </c>
      <c r="N48" s="131">
        <f t="shared" si="48"/>
        <v>0.36642927609768672</v>
      </c>
      <c r="O48" s="131">
        <f t="shared" si="49"/>
        <v>0.36642927609768672</v>
      </c>
      <c r="P48" s="55">
        <f t="shared" si="50"/>
        <v>0.99999999999999989</v>
      </c>
      <c r="Q48" s="135">
        <f>_xll.xSPRDOPT(I48,H48,AQ48,0,O48,N48,P48,D48-$G$5,1,0)*AH48*AU48</f>
        <v>7.3491841794321857</v>
      </c>
      <c r="R48" s="135"/>
      <c r="S48" s="181">
        <f>_xll.xSPRDOPT(I48,H48,AQ48,AT48,O48,N48,P48,D48-$G$5,1,2)*AF48*(F48/(1-AR48))*AH48</f>
        <v>-13866.360876660538</v>
      </c>
      <c r="T48" s="181">
        <f>_xll.xSPRDOPT(I48,H48,AQ48,AT48,O48,N48,P48,D48-$G$5,1,1)*AF48*F48*AH48</f>
        <v>13485.035952786244</v>
      </c>
      <c r="U48" s="135"/>
      <c r="V48" s="146">
        <f t="shared" si="18"/>
        <v>10.685857232447976</v>
      </c>
      <c r="W48" s="146"/>
      <c r="X48" s="338">
        <f t="shared" si="19"/>
        <v>0</v>
      </c>
      <c r="Y48" s="338">
        <f t="shared" si="20"/>
        <v>0</v>
      </c>
      <c r="Z48" s="338">
        <f t="shared" si="21"/>
        <v>1.0845481011365883</v>
      </c>
      <c r="AA48" s="338">
        <f t="shared" si="22"/>
        <v>1.1670836856938895E-5</v>
      </c>
      <c r="AB48" s="338">
        <f t="shared" si="23"/>
        <v>0</v>
      </c>
      <c r="AC48" s="338">
        <f t="shared" si="24"/>
        <v>1.0950881300647664</v>
      </c>
      <c r="AF48" s="138">
        <f t="shared" si="25"/>
        <v>1</v>
      </c>
      <c r="AG48" s="138">
        <f t="shared" si="26"/>
        <v>3</v>
      </c>
      <c r="AH48" s="138">
        <f t="shared" si="27"/>
        <v>31</v>
      </c>
      <c r="AI48" s="138">
        <f t="shared" si="51"/>
        <v>805</v>
      </c>
      <c r="AJ48" s="138">
        <f t="shared" si="28"/>
        <v>822</v>
      </c>
      <c r="AL48" s="136">
        <f t="shared" si="29"/>
        <v>3.3820000000000001</v>
      </c>
      <c r="AM48" s="258">
        <f t="shared" si="30"/>
        <v>5.0000000000000001E-3</v>
      </c>
      <c r="AN48" s="258">
        <f t="shared" si="31"/>
        <v>7.4999999999999997E-3</v>
      </c>
      <c r="AO48" s="258">
        <f t="shared" si="32"/>
        <v>0.4</v>
      </c>
      <c r="AP48" s="258">
        <f t="shared" si="33"/>
        <v>0</v>
      </c>
      <c r="AQ48" s="136">
        <f t="shared" si="34"/>
        <v>3.3399999999999999E-2</v>
      </c>
      <c r="AR48" s="137">
        <f t="shared" si="35"/>
        <v>2.75E-2</v>
      </c>
      <c r="AS48" s="136">
        <f t="shared" si="36"/>
        <v>3.3944999999999999</v>
      </c>
      <c r="AT48" s="137">
        <f t="shared" si="37"/>
        <v>3.8285632294587903E-2</v>
      </c>
      <c r="AU48" s="137">
        <f t="shared" si="38"/>
        <v>0.91847874237796645</v>
      </c>
      <c r="AV48" s="394">
        <f t="shared" si="39"/>
        <v>370.14693317832047</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-1.8607706718659597E-6</v>
      </c>
      <c r="BG48" s="137">
        <f>_xll.xSPRDOPT($BW48,$BV48,$CG48,0,$BY48,$BX48,$BZ48,$AJ48,1,3)*$CB48</f>
        <v>-8.7565678676045166E-7</v>
      </c>
      <c r="BH48" s="137">
        <f>IF(OR(BF48&lt;&gt;0,BG48&lt;&gt;0),_xll.xSPRDOPT($BW48,$BV48,$CG48,0,$BY48,$BX48,$BZ48,$AJ48,1,12)*$CB48,0)</f>
        <v>-1.0945709834505646E-7</v>
      </c>
      <c r="BI48" s="137">
        <f>_xll.xSPRDOPT($BW48,$BV48,$CG48,2*LN(1+CA48/2),$BY48,$BX48,$BZ48,$AJ48,1,9)</f>
        <v>8.986234606872168E-3</v>
      </c>
      <c r="BJ48" s="137">
        <f>_xll.xSPRDOPT($BW48,$BV48,$CG48,0,$BY48,$BX48,$BZ48,$AJ48,1,6)*$CB48</f>
        <v>-2.3201608834111454E-4</v>
      </c>
      <c r="BK48" s="137">
        <f>_xll.xSPRDOPT($BW48,$BV48,$CG48,0,$BY48,$BX48,$BZ48,$AJ48,1,5)*$CB48</f>
        <v>2.5139313986536678E-4</v>
      </c>
      <c r="BL48" s="137">
        <f>_xll.xSPRDOPT(BW48,BV48,CG48,0,BY48,BX48,BZ48,AJ48,1,2)*CB48</f>
        <v>-0.91818285384005427</v>
      </c>
      <c r="BM48" s="137">
        <f>_xll.xSPRDOPT(BW48,BV48,CG48,0,BY48,BX48,BZ48,AJ48,1,1)*CB48</f>
        <v>0.91818285385592091</v>
      </c>
      <c r="BN48" s="137">
        <f>IF(AH48&lt;&gt;0,_xll.xSPRDOPT($BW48,$BV48,$CG48,2*LN(1+CA48/2),$BY48,$BX48,$BZ48,$AJ48,1,8)+(AJ48/365.25)*CH48/AH48,0)</f>
        <v>0.24215766810891748</v>
      </c>
      <c r="BO48" s="137">
        <f>_xll.xSPRDOPT($BW48,$BV48,$CG48,0,$BY48,$BX48,$BZ48,$AJ48,1,0)</f>
        <v>0.25811209194669327</v>
      </c>
      <c r="BP48" s="137"/>
      <c r="BQ48" s="137"/>
      <c r="BR48" s="137"/>
      <c r="BS48" s="137"/>
      <c r="BV48" s="262">
        <v>3.4904884318766065</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47"/>
        <v>38092</v>
      </c>
      <c r="F49" s="28">
        <f t="shared" si="12"/>
        <v>474</v>
      </c>
      <c r="G49" s="28">
        <f t="shared" si="13"/>
        <v>433.16891974118937</v>
      </c>
      <c r="H49" s="52">
        <f t="shared" si="14"/>
        <v>3.3028277634961434</v>
      </c>
      <c r="I49" s="52">
        <f t="shared" si="15"/>
        <v>3.7970000000000002</v>
      </c>
      <c r="K49" s="52">
        <f t="shared" si="16"/>
        <v>12.632418476778954</v>
      </c>
      <c r="L49" s="135">
        <f t="shared" si="17"/>
        <v>1.3233409088542203E-6</v>
      </c>
      <c r="N49" s="131">
        <f t="shared" si="48"/>
        <v>0.3313618943887166</v>
      </c>
      <c r="O49" s="131">
        <f t="shared" si="49"/>
        <v>0.3313618943887166</v>
      </c>
      <c r="P49" s="55">
        <f t="shared" si="50"/>
        <v>1</v>
      </c>
      <c r="Q49" s="135">
        <f>_xll.xSPRDOPT(I49,H49,AQ49,0,O49,N49,P49,D49-$G$5,1,0)*AH49*AU49</f>
        <v>12.632419800119862</v>
      </c>
      <c r="R49" s="135"/>
      <c r="S49" s="181">
        <f>_xll.xSPRDOPT(I49,H49,AQ49,AT49,O49,N49,P49,D49-$G$5,1,2)*AF49*(F49/(1-AR49))*AH49</f>
        <v>-13350.820265996903</v>
      </c>
      <c r="T49" s="181">
        <f>_xll.xSPRDOPT(I49,H49,AQ49,AT49,O49,N49,P49,D49-$G$5,1,1)*AF49*F49*AH49</f>
        <v>12983.672708643189</v>
      </c>
      <c r="U49" s="135"/>
      <c r="V49" s="146">
        <f t="shared" si="18"/>
        <v>10.289132631573947</v>
      </c>
      <c r="W49" s="146"/>
      <c r="X49" s="338">
        <f t="shared" si="19"/>
        <v>0</v>
      </c>
      <c r="Y49" s="338">
        <f t="shared" si="20"/>
        <v>0</v>
      </c>
      <c r="Z49" s="338">
        <f t="shared" si="21"/>
        <v>1.9030730026204432</v>
      </c>
      <c r="AA49" s="338">
        <f t="shared" si="22"/>
        <v>-2.5370425780671482E-9</v>
      </c>
      <c r="AB49" s="338">
        <f t="shared" si="23"/>
        <v>0</v>
      </c>
      <c r="AC49" s="338">
        <f t="shared" si="24"/>
        <v>1.9216079746946848</v>
      </c>
      <c r="AF49" s="138">
        <f t="shared" si="25"/>
        <v>1</v>
      </c>
      <c r="AG49" s="138">
        <f t="shared" si="26"/>
        <v>4</v>
      </c>
      <c r="AH49" s="138">
        <f t="shared" si="27"/>
        <v>30</v>
      </c>
      <c r="AI49" s="138">
        <f t="shared" si="51"/>
        <v>836</v>
      </c>
      <c r="AJ49" s="138">
        <f t="shared" si="28"/>
        <v>853</v>
      </c>
      <c r="AL49" s="136">
        <f t="shared" si="29"/>
        <v>3.1970000000000001</v>
      </c>
      <c r="AM49" s="258">
        <f t="shared" si="30"/>
        <v>0.01</v>
      </c>
      <c r="AN49" s="258">
        <f t="shared" si="31"/>
        <v>5.0000000000000001E-3</v>
      </c>
      <c r="AO49" s="258">
        <f t="shared" si="32"/>
        <v>0.6</v>
      </c>
      <c r="AP49" s="258">
        <f t="shared" si="33"/>
        <v>0</v>
      </c>
      <c r="AQ49" s="136">
        <f t="shared" si="34"/>
        <v>3.3399999999999999E-2</v>
      </c>
      <c r="AR49" s="137">
        <f t="shared" si="35"/>
        <v>2.75E-2</v>
      </c>
      <c r="AS49" s="136">
        <f t="shared" si="36"/>
        <v>3.2119999999999997</v>
      </c>
      <c r="AT49" s="137">
        <f t="shared" si="37"/>
        <v>3.9084714616572501E-2</v>
      </c>
      <c r="AU49" s="137">
        <f t="shared" si="38"/>
        <v>0.9138584804666442</v>
      </c>
      <c r="AV49" s="394">
        <f t="shared" si="39"/>
        <v>356.40480738199125</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2.1781158103795246E-7</v>
      </c>
      <c r="BG49" s="137">
        <f>_xll.xSPRDOPT($BW49,$BV49,$CG49,0,$BY49,$BX49,$BZ49,$AJ49,1,3)*$CB49</f>
        <v>0</v>
      </c>
      <c r="BH49" s="137">
        <f>IF(OR(BF49&lt;&gt;0,BG49&lt;&gt;0),_xll.xSPRDOPT($BW49,$BV49,$CG49,0,$BY49,$BX49,$BZ49,$AJ49,1,12)*$CB49,0)</f>
        <v>1.6335868577846436E-7</v>
      </c>
      <c r="BI49" s="137">
        <f>_xll.xSPRDOPT($BW49,$BV49,$CG49,2*LN(1+CA49/2),$BY49,$BX49,$BZ49,$AJ49,1,9)</f>
        <v>1.6293891566036497E-2</v>
      </c>
      <c r="BJ49" s="137">
        <f>_xll.xSPRDOPT($BW49,$BV49,$CG49,0,$BY49,$BX49,$BZ49,$AJ49,1,6)*$CB49</f>
        <v>2.4974834009737643E-7</v>
      </c>
      <c r="BK49" s="137">
        <f>_xll.xSPRDOPT($BW49,$BV49,$CG49,0,$BY49,$BX49,$BZ49,$AJ49,1,5)*$CB49</f>
        <v>-2.8711735140666133E-7</v>
      </c>
      <c r="BL49" s="137">
        <f>_xll.xSPRDOPT(BW49,BV49,CG49,0,BY49,BX49,BZ49,AJ49,1,2)*CB49</f>
        <v>-0.91356807455419842</v>
      </c>
      <c r="BM49" s="137">
        <f>_xll.xSPRDOPT(BW49,BV49,CG49,0,BY49,BX49,BZ49,AJ49,1,1)*CB49</f>
        <v>0.91356807454256606</v>
      </c>
      <c r="BN49" s="137">
        <f>IF(AH49&lt;&gt;0,_xll.xSPRDOPT($BW49,$BV49,$CG49,2*LN(1+CA49/2),$BY49,$BX49,$BZ49,$AJ49,1,8)+(AJ49/365.25)*CH49/AH49,0)</f>
        <v>-0.18235807195459652</v>
      </c>
      <c r="BO49" s="137">
        <f>_xll.xSPRDOPT($BW49,$BV49,$CG49,0,$BY49,$BX49,$BZ49,$AJ49,1,0)</f>
        <v>0.46077228474964393</v>
      </c>
      <c r="BP49" s="137"/>
      <c r="BQ49" s="137"/>
      <c r="BR49" s="137"/>
      <c r="BS49" s="137"/>
      <c r="BV49" s="262">
        <v>3.3028277634961434</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47"/>
        <v>38122</v>
      </c>
      <c r="F50" s="28">
        <f t="shared" si="12"/>
        <v>300</v>
      </c>
      <c r="G50" s="28">
        <f t="shared" si="13"/>
        <v>272.82612251846081</v>
      </c>
      <c r="H50" s="52">
        <f t="shared" si="14"/>
        <v>3.2976863753213363</v>
      </c>
      <c r="I50" s="52">
        <f t="shared" si="15"/>
        <v>3.9420000000000002</v>
      </c>
      <c r="K50" s="52">
        <f t="shared" si="16"/>
        <v>17.222896859527072</v>
      </c>
      <c r="L50" s="135">
        <f t="shared" si="17"/>
        <v>1.7872465107870994E-6</v>
      </c>
      <c r="N50" s="131">
        <f t="shared" si="48"/>
        <v>0.32761016081651256</v>
      </c>
      <c r="O50" s="131">
        <f t="shared" si="49"/>
        <v>0.32761016081651256</v>
      </c>
      <c r="P50" s="55">
        <f t="shared" si="50"/>
        <v>1.0000000000000002</v>
      </c>
      <c r="Q50" s="135">
        <f>_xll.xSPRDOPT(I50,H50,AQ50,0,O50,N50,P50,D50-$G$5,1,0)*AH50*AU50</f>
        <v>17.222898646773583</v>
      </c>
      <c r="R50" s="135"/>
      <c r="S50" s="181">
        <f>_xll.xSPRDOPT(I50,H50,AQ50,AT50,O50,N50,P50,D50-$G$5,1,2)*AF50*(F50/(1-AR50))*AH50</f>
        <v>-8688.5867327938231</v>
      </c>
      <c r="T50" s="181">
        <f>_xll.xSPRDOPT(I50,H50,AQ50,AT50,O50,N50,P50,D50-$G$5,1,1)*AF50*F50*AH50</f>
        <v>8449.6505976758272</v>
      </c>
      <c r="U50" s="135"/>
      <c r="V50" s="146">
        <f t="shared" si="18"/>
        <v>10.580469857388429</v>
      </c>
      <c r="W50" s="146"/>
      <c r="X50" s="338">
        <f t="shared" si="19"/>
        <v>0</v>
      </c>
      <c r="Y50" s="338">
        <f t="shared" si="20"/>
        <v>0</v>
      </c>
      <c r="Z50" s="338">
        <f t="shared" si="21"/>
        <v>1.6719008490293996</v>
      </c>
      <c r="AA50" s="338">
        <f t="shared" si="22"/>
        <v>-7.3709409007261716E-9</v>
      </c>
      <c r="AB50" s="338">
        <f t="shared" si="23"/>
        <v>0</v>
      </c>
      <c r="AC50" s="338">
        <f t="shared" si="24"/>
        <v>1.6884809752935701</v>
      </c>
      <c r="AF50" s="138">
        <f t="shared" si="25"/>
        <v>1</v>
      </c>
      <c r="AG50" s="138">
        <f t="shared" si="26"/>
        <v>5</v>
      </c>
      <c r="AH50" s="138">
        <f t="shared" si="27"/>
        <v>31</v>
      </c>
      <c r="AI50" s="138">
        <f t="shared" si="51"/>
        <v>866</v>
      </c>
      <c r="AJ50" s="138">
        <f t="shared" si="28"/>
        <v>883</v>
      </c>
      <c r="AL50" s="136">
        <f t="shared" si="29"/>
        <v>3.1920000000000002</v>
      </c>
      <c r="AM50" s="258">
        <f t="shared" si="30"/>
        <v>0.01</v>
      </c>
      <c r="AN50" s="258">
        <f t="shared" si="31"/>
        <v>5.0000000000000001E-3</v>
      </c>
      <c r="AO50" s="258">
        <f t="shared" si="32"/>
        <v>0.75</v>
      </c>
      <c r="AP50" s="258">
        <f t="shared" si="33"/>
        <v>0</v>
      </c>
      <c r="AQ50" s="136">
        <f t="shared" si="34"/>
        <v>3.3399999999999999E-2</v>
      </c>
      <c r="AR50" s="137">
        <f t="shared" si="35"/>
        <v>2.75E-2</v>
      </c>
      <c r="AS50" s="136">
        <f t="shared" si="36"/>
        <v>3.2069999999999999</v>
      </c>
      <c r="AT50" s="137">
        <f t="shared" si="37"/>
        <v>3.9799554968306797E-2</v>
      </c>
      <c r="AU50" s="137">
        <f t="shared" si="38"/>
        <v>0.90942040839486926</v>
      </c>
      <c r="AV50" s="394">
        <f t="shared" si="39"/>
        <v>225.53626128192758</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2.1887519179497786E-2</v>
      </c>
      <c r="BJ50" s="137">
        <f>_xll.xSPRDOPT($BW50,$BV50,$CG50,0,$BY50,$BX50,$BZ50,$AJ50,1,6)*$CB50</f>
        <v>4.6006547224928789E-7</v>
      </c>
      <c r="BK50" s="137">
        <f>_xll.xSPRDOPT($BW50,$BV50,$CG50,0,$BY50,$BX50,$BZ50,$AJ50,1,5)*$CB50</f>
        <v>-5.4994835233095777E-7</v>
      </c>
      <c r="BL50" s="137">
        <f>_xll.xSPRDOPT(BW50,BV50,CG50,0,BY50,BX50,BZ50,AJ50,1,2)*CB50</f>
        <v>-0.90912618479120022</v>
      </c>
      <c r="BM50" s="137">
        <f>_xll.xSPRDOPT(BW50,BV50,CG50,0,BY50,BX50,BZ50,AJ50,1,1)*CB50</f>
        <v>0.90912618480112228</v>
      </c>
      <c r="BN50" s="137">
        <f>IF(AH50&lt;&gt;0,_xll.xSPRDOPT($BW50,$BV50,$CG50,2*LN(1+CA50/2),$BY50,$BX50,$BZ50,$AJ50,1,8)+(AJ50/365.25)*CH50/AH50,0)</f>
        <v>-0.51783943165773239</v>
      </c>
      <c r="BO50" s="137">
        <f>_xll.xSPRDOPT($BW50,$BV50,$CG50,0,$BY50,$BX50,$BZ50,$AJ50,1,0)</f>
        <v>0.61091368801995793</v>
      </c>
      <c r="BP50" s="137"/>
      <c r="BQ50" s="137"/>
      <c r="BR50" s="137"/>
      <c r="BS50" s="137"/>
      <c r="BV50" s="262">
        <v>3.2976863753213363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3.3399999999999999E-2</v>
      </c>
      <c r="CH50" s="258">
        <v>10.577045665135225</v>
      </c>
      <c r="CI50" s="258">
        <v>3.1920000000000002</v>
      </c>
      <c r="CJ50" s="258"/>
      <c r="CK50" s="258"/>
      <c r="CL50" s="258"/>
      <c r="CM50" s="258"/>
    </row>
    <row r="51" spans="1:91" x14ac:dyDescent="0.25">
      <c r="A51" s="723"/>
      <c r="B51" s="723"/>
      <c r="D51" s="31">
        <f t="shared" si="47"/>
        <v>38153</v>
      </c>
      <c r="F51" s="28">
        <f t="shared" si="12"/>
        <v>300</v>
      </c>
      <c r="G51" s="28">
        <f t="shared" si="13"/>
        <v>271.42444874557464</v>
      </c>
      <c r="H51" s="52">
        <f t="shared" si="14"/>
        <v>3.3362467866323904</v>
      </c>
      <c r="I51" s="52">
        <f t="shared" si="15"/>
        <v>4.077</v>
      </c>
      <c r="K51" s="52">
        <f t="shared" si="16"/>
        <v>19.199295600671427</v>
      </c>
      <c r="L51" s="135">
        <f t="shared" si="17"/>
        <v>1.9933271637739836E-6</v>
      </c>
      <c r="N51" s="131">
        <f t="shared" si="48"/>
        <v>0.32256221350143816</v>
      </c>
      <c r="O51" s="131">
        <f t="shared" si="49"/>
        <v>0.32256221350143816</v>
      </c>
      <c r="P51" s="55">
        <f t="shared" si="50"/>
        <v>1</v>
      </c>
      <c r="Q51" s="135">
        <f>_xll.xSPRDOPT(I51,H51,AQ51,0,O51,N51,P51,D51-$G$5,1,0)*AH51*AU51</f>
        <v>19.19929759399859</v>
      </c>
      <c r="R51" s="135"/>
      <c r="S51" s="181">
        <f>_xll.xSPRDOPT(I51,H51,AQ51,AT51,O51,N51,P51,D51-$G$5,1,2)*AF51*(F51/(1-AR51))*AH51</f>
        <v>-8364.5302449767678</v>
      </c>
      <c r="T51" s="181">
        <f>_xll.xSPRDOPT(I51,H51,AQ51,AT51,O51,N51,P51,D51-$G$5,1,1)*AF51*F51*AH51</f>
        <v>8134.5056633545028</v>
      </c>
      <c r="U51" s="135"/>
      <c r="V51" s="146">
        <f t="shared" si="18"/>
        <v>10.186559561421417</v>
      </c>
      <c r="W51" s="146"/>
      <c r="X51" s="338">
        <f t="shared" si="19"/>
        <v>0</v>
      </c>
      <c r="Y51" s="338">
        <f t="shared" si="20"/>
        <v>0</v>
      </c>
      <c r="Z51" s="338">
        <f t="shared" si="21"/>
        <v>1.8979931510056336</v>
      </c>
      <c r="AA51" s="338">
        <f t="shared" si="22"/>
        <v>-8.0545384931588707E-9</v>
      </c>
      <c r="AB51" s="338">
        <f t="shared" si="23"/>
        <v>0</v>
      </c>
      <c r="AC51" s="338">
        <f t="shared" si="24"/>
        <v>1.9171636237227447</v>
      </c>
      <c r="AF51" s="138">
        <f t="shared" si="25"/>
        <v>1</v>
      </c>
      <c r="AG51" s="138">
        <f t="shared" si="26"/>
        <v>6</v>
      </c>
      <c r="AH51" s="138">
        <f t="shared" si="27"/>
        <v>30</v>
      </c>
      <c r="AI51" s="138">
        <f t="shared" si="51"/>
        <v>897</v>
      </c>
      <c r="AJ51" s="138">
        <f t="shared" si="28"/>
        <v>914</v>
      </c>
      <c r="AL51" s="136">
        <f t="shared" si="29"/>
        <v>3.2269999999999999</v>
      </c>
      <c r="AM51" s="258">
        <f t="shared" si="30"/>
        <v>1.2500000000000001E-2</v>
      </c>
      <c r="AN51" s="258">
        <f t="shared" si="31"/>
        <v>5.0000000000000001E-3</v>
      </c>
      <c r="AO51" s="258">
        <f t="shared" si="32"/>
        <v>0.85</v>
      </c>
      <c r="AP51" s="258">
        <f t="shared" si="33"/>
        <v>0</v>
      </c>
      <c r="AQ51" s="136">
        <f t="shared" si="34"/>
        <v>3.3399999999999999E-2</v>
      </c>
      <c r="AR51" s="137">
        <f t="shared" si="35"/>
        <v>2.75E-2</v>
      </c>
      <c r="AS51" s="136">
        <f t="shared" si="36"/>
        <v>3.2444999999999999</v>
      </c>
      <c r="AT51" s="137">
        <f t="shared" si="37"/>
        <v>4.0538223511899799E-2</v>
      </c>
      <c r="AU51" s="137">
        <f t="shared" si="38"/>
        <v>0.90474816248524881</v>
      </c>
      <c r="AV51" s="394">
        <f t="shared" si="39"/>
        <v>217.13955899645973</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1.2938260696010463E-6</v>
      </c>
      <c r="BG51" s="137">
        <f>_xll.xSPRDOPT($BW51,$BV51,$CG51,0,$BY51,$BX51,$BZ51,$AJ51,1,3)*$CB51</f>
        <v>8.6255071306736416E-7</v>
      </c>
      <c r="BH51" s="137">
        <f>IF(OR(BF51&lt;&gt;0,BG51&lt;&gt;0),_xll.xSPRDOPT($BW51,$BV51,$CG51,0,$BY51,$BX51,$BZ51,$AJ51,1,12)*$CB51,0)</f>
        <v>-7.5473187393394366E-7</v>
      </c>
      <c r="BI51" s="137">
        <f>_xll.xSPRDOPT($BW51,$BV51,$CG51,2*LN(1+CA51/2),$BY51,$BX51,$BZ51,$AJ51,1,9)</f>
        <v>2.567562957054843E-2</v>
      </c>
      <c r="BJ51" s="137">
        <f>_xll.xSPRDOPT($BW51,$BV51,$CG51,0,$BY51,$BX51,$BZ51,$AJ51,1,6)*$CB51</f>
        <v>4.8168927268865359E-7</v>
      </c>
      <c r="BK51" s="137">
        <f>_xll.xSPRDOPT($BW51,$BV51,$CG51,0,$BY51,$BX51,$BZ51,$AJ51,1,5)*$CB51</f>
        <v>-5.8864532043856797E-7</v>
      </c>
      <c r="BL51" s="137">
        <f>_xll.xSPRDOPT(BW51,BV51,CG51,0,BY51,BX51,BZ51,AJ51,1,2)*CB51</f>
        <v>-0.90445007134036415</v>
      </c>
      <c r="BM51" s="137">
        <f>_xll.xSPRDOPT(BW51,BV51,CG51,0,BY51,BX51,BZ51,AJ51,1,1)*CB51</f>
        <v>0.90445007135517086</v>
      </c>
      <c r="BN51" s="137">
        <f>IF(AH51&lt;&gt;0,_xll.xSPRDOPT($BW51,$BV51,$CG51,2*LN(1+CA51/2),$BY51,$BX51,$BZ51,$AJ51,1,8)+(AJ51/365.25)*CH51/AH51,0)</f>
        <v>-0.75153343430378694</v>
      </c>
      <c r="BO51" s="137">
        <f>_xll.xSPRDOPT($BW51,$BV51,$CG51,0,$BY51,$BX51,$BZ51,$AJ51,1,0)</f>
        <v>0.70735328674548326</v>
      </c>
      <c r="BP51" s="137"/>
      <c r="BQ51" s="137"/>
      <c r="BR51" s="137"/>
      <c r="BS51" s="137"/>
      <c r="BV51" s="262">
        <v>3.3362467866323904</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3.3399999999999999E-2</v>
      </c>
      <c r="CH51" s="258">
        <v>10.183202285473449</v>
      </c>
      <c r="CI51" s="258">
        <v>3.2269999999999999</v>
      </c>
      <c r="CJ51" s="258"/>
      <c r="CK51" s="258"/>
      <c r="CL51" s="258"/>
      <c r="CM51" s="258"/>
    </row>
    <row r="52" spans="1:91" x14ac:dyDescent="0.25">
      <c r="A52" s="723"/>
      <c r="B52" s="723"/>
      <c r="D52" s="31">
        <f t="shared" si="47"/>
        <v>38183</v>
      </c>
      <c r="F52" s="28">
        <f t="shared" si="12"/>
        <v>300</v>
      </c>
      <c r="G52" s="28">
        <f t="shared" si="13"/>
        <v>270.06919283769514</v>
      </c>
      <c r="H52" s="52">
        <f t="shared" si="14"/>
        <v>3.3773778920308484</v>
      </c>
      <c r="I52" s="52">
        <f t="shared" si="15"/>
        <v>4.3170000000000002</v>
      </c>
      <c r="K52" s="52">
        <f t="shared" si="16"/>
        <v>25.29007623386002</v>
      </c>
      <c r="L52" s="135">
        <f t="shared" si="17"/>
        <v>2.6047686390029412E-6</v>
      </c>
      <c r="N52" s="131">
        <f t="shared" si="48"/>
        <v>0.32377055765666068</v>
      </c>
      <c r="O52" s="131">
        <f t="shared" si="49"/>
        <v>0.32377055765666068</v>
      </c>
      <c r="P52" s="55">
        <f t="shared" si="50"/>
        <v>1.0000000000000002</v>
      </c>
      <c r="Q52" s="135">
        <f>_xll.xSPRDOPT(I52,H52,AQ52,0,O52,N52,P52,D52-$G$5,1,0)*AH52*AU52</f>
        <v>25.290078838628659</v>
      </c>
      <c r="R52" s="135"/>
      <c r="S52" s="181">
        <f>_xll.xSPRDOPT(I52,H52,AQ52,AT52,O52,N52,P52,D52-$G$5,1,2)*AF52*(F52/(1-AR52))*AH52</f>
        <v>-8599.6038297059276</v>
      </c>
      <c r="T52" s="181">
        <f>_xll.xSPRDOPT(I52,H52,AQ52,AT52,O52,N52,P52,D52-$G$5,1,1)*AF52*F52*AH52</f>
        <v>8363.1147245750981</v>
      </c>
      <c r="U52" s="135"/>
      <c r="V52" s="146">
        <f t="shared" si="18"/>
        <v>10.473553367438656</v>
      </c>
      <c r="W52" s="146"/>
      <c r="X52" s="338">
        <f t="shared" si="19"/>
        <v>0</v>
      </c>
      <c r="Y52" s="338">
        <f t="shared" si="20"/>
        <v>0</v>
      </c>
      <c r="Z52" s="338">
        <f t="shared" si="21"/>
        <v>2.5414294351939111</v>
      </c>
      <c r="AA52" s="338">
        <f t="shared" si="22"/>
        <v>-1.553842509451046E-8</v>
      </c>
      <c r="AB52" s="338">
        <f t="shared" si="23"/>
        <v>0</v>
      </c>
      <c r="AC52" s="338">
        <f t="shared" si="24"/>
        <v>2.5675261428920377</v>
      </c>
      <c r="AF52" s="138">
        <f t="shared" si="25"/>
        <v>1</v>
      </c>
      <c r="AG52" s="138">
        <f t="shared" si="26"/>
        <v>7</v>
      </c>
      <c r="AH52" s="138">
        <f t="shared" si="27"/>
        <v>31</v>
      </c>
      <c r="AI52" s="138">
        <f t="shared" si="51"/>
        <v>927</v>
      </c>
      <c r="AJ52" s="138">
        <f t="shared" si="28"/>
        <v>944</v>
      </c>
      <c r="AL52" s="136">
        <f t="shared" si="29"/>
        <v>3.2669999999999999</v>
      </c>
      <c r="AM52" s="258">
        <f t="shared" si="30"/>
        <v>1.2500000000000001E-2</v>
      </c>
      <c r="AN52" s="258">
        <f t="shared" si="31"/>
        <v>5.0000000000000001E-3</v>
      </c>
      <c r="AO52" s="258">
        <f t="shared" si="32"/>
        <v>1.05</v>
      </c>
      <c r="AP52" s="258">
        <f t="shared" si="33"/>
        <v>0</v>
      </c>
      <c r="AQ52" s="136">
        <f t="shared" si="34"/>
        <v>3.3399999999999999E-2</v>
      </c>
      <c r="AR52" s="137">
        <f t="shared" si="35"/>
        <v>2.75E-2</v>
      </c>
      <c r="AS52" s="136">
        <f t="shared" si="36"/>
        <v>3.2845</v>
      </c>
      <c r="AT52" s="137">
        <f t="shared" si="37"/>
        <v>4.12152492802473E-2</v>
      </c>
      <c r="AU52" s="137">
        <f t="shared" si="38"/>
        <v>0.90023064279231713</v>
      </c>
      <c r="AV52" s="394">
        <f t="shared" si="39"/>
        <v>223.25719941249466</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-1.0727990169484774E-6</v>
      </c>
      <c r="BG52" s="137">
        <f>_xll.xSPRDOPT($BW52,$BV52,$CG52,0,$BY52,$BX52,$BZ52,$AJ52,1,3)*$CB52</f>
        <v>2.1455980338969546E-7</v>
      </c>
      <c r="BH52" s="137">
        <f>IF(OR(BF52&lt;&gt;0,BG52&lt;&gt;0),_xll.xSPRDOPT($BW52,$BV52,$CG52,0,$BY52,$BX52,$BZ52,$AJ52,1,12)*$CB52,0)</f>
        <v>2.1455980338969546E-7</v>
      </c>
      <c r="BI52" s="137">
        <f>_xll.xSPRDOPT($BW52,$BV52,$CG52,2*LN(1+CA52/2),$BY52,$BX52,$BZ52,$AJ52,1,9)</f>
        <v>3.3270863842457921E-2</v>
      </c>
      <c r="BJ52" s="137">
        <f>_xll.xSPRDOPT($BW52,$BV52,$CG52,0,$BY52,$BX52,$BZ52,$AJ52,1,6)*$CB52</f>
        <v>5.0491760978827793E-7</v>
      </c>
      <c r="BK52" s="137">
        <f>_xll.xSPRDOPT($BW52,$BV52,$CG52,0,$BY52,$BX52,$BZ52,$AJ52,1,5)*$CB52</f>
        <v>-6.4538871624979768E-7</v>
      </c>
      <c r="BL52" s="137">
        <f>_xll.xSPRDOPT(BW52,BV52,CG52,0,BY52,BX52,BZ52,AJ52,1,2)*CB52</f>
        <v>-0.89992913508511518</v>
      </c>
      <c r="BM52" s="137">
        <f>_xll.xSPRDOPT(BW52,BV52,CG52,0,BY52,BX52,BZ52,AJ52,1,1)*CB52</f>
        <v>0.89992913509166306</v>
      </c>
      <c r="BN52" s="137">
        <f>IF(AH52&lt;&gt;0,_xll.xSPRDOPT($BW52,$BV52,$CG52,2*LN(1+CA52/2),$BY52,$BX52,$BZ52,$AJ52,1,8)+(AJ52/365.25)*CH52/AH52,0)</f>
        <v>-1.2348690991957212</v>
      </c>
      <c r="BO52" s="137">
        <f>_xll.xSPRDOPT($BW52,$BV52,$CG52,0,$BY52,$BX52,$BZ52,$AJ52,1,0)</f>
        <v>0.90622220122766273</v>
      </c>
      <c r="BP52" s="137"/>
      <c r="BQ52" s="137"/>
      <c r="BR52" s="137"/>
      <c r="BS52" s="137"/>
      <c r="BV52" s="262">
        <v>3.3773778920308484</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3.3399999999999999E-2</v>
      </c>
      <c r="CH52" s="258">
        <v>10.470044448647478</v>
      </c>
      <c r="CI52" s="258">
        <v>3.2669999999999999</v>
      </c>
      <c r="CJ52" s="258"/>
      <c r="CK52" s="258"/>
      <c r="CL52" s="258"/>
      <c r="CM52" s="258"/>
    </row>
    <row r="53" spans="1:91" x14ac:dyDescent="0.25">
      <c r="A53" s="723"/>
      <c r="B53" s="723"/>
      <c r="D53" s="31">
        <f t="shared" si="47"/>
        <v>38214</v>
      </c>
      <c r="F53" s="28">
        <f t="shared" si="12"/>
        <v>300</v>
      </c>
      <c r="G53" s="28">
        <f t="shared" si="13"/>
        <v>268.67432025070673</v>
      </c>
      <c r="H53" s="52">
        <f t="shared" si="14"/>
        <v>3.4185089974293059</v>
      </c>
      <c r="I53" s="52">
        <f t="shared" si="15"/>
        <v>4.3570000000000002</v>
      </c>
      <c r="K53" s="52">
        <f t="shared" si="16"/>
        <v>25.128053354340235</v>
      </c>
      <c r="L53" s="135">
        <f t="shared" si="17"/>
        <v>2.5598250985581217E-6</v>
      </c>
      <c r="N53" s="131">
        <f t="shared" si="48"/>
        <v>0.32493996126723368</v>
      </c>
      <c r="O53" s="131">
        <f t="shared" si="49"/>
        <v>0.32493996126723368</v>
      </c>
      <c r="P53" s="55">
        <f t="shared" si="50"/>
        <v>0.99999999999999989</v>
      </c>
      <c r="Q53" s="135">
        <f>_xll.xSPRDOPT(I53,H53,AQ53,0,O53,N53,P53,D53-$G$5,1,0)*AH53*AU53</f>
        <v>25.128055914165333</v>
      </c>
      <c r="R53" s="135"/>
      <c r="S53" s="181">
        <f>_xll.xSPRDOPT(I53,H53,AQ53,AT53,O53,N53,P53,D53-$G$5,1,2)*AF53*(F53/(1-AR53))*AH53</f>
        <v>-8554.5789066990237</v>
      </c>
      <c r="T53" s="181">
        <f>_xll.xSPRDOPT(I53,H53,AQ53,AT53,O53,N53,P53,D53-$G$5,1,1)*AF53*F53*AH53</f>
        <v>8319.3279868663012</v>
      </c>
      <c r="U53" s="135"/>
      <c r="V53" s="146">
        <f t="shared" si="18"/>
        <v>10.41945881364266</v>
      </c>
      <c r="W53" s="146"/>
      <c r="X53" s="338">
        <f t="shared" si="19"/>
        <v>0</v>
      </c>
      <c r="Y53" s="338">
        <f t="shared" si="20"/>
        <v>0</v>
      </c>
      <c r="Z53" s="338">
        <f t="shared" si="21"/>
        <v>2.5650401059114656</v>
      </c>
      <c r="AA53" s="338">
        <f t="shared" si="22"/>
        <v>-2.025490180602844E-8</v>
      </c>
      <c r="AB53" s="338">
        <f t="shared" si="23"/>
        <v>0</v>
      </c>
      <c r="AC53" s="338">
        <f t="shared" si="24"/>
        <v>2.5917984125075026</v>
      </c>
      <c r="AF53" s="138">
        <f t="shared" si="25"/>
        <v>1</v>
      </c>
      <c r="AG53" s="138">
        <f t="shared" si="26"/>
        <v>8</v>
      </c>
      <c r="AH53" s="138">
        <f t="shared" si="27"/>
        <v>31</v>
      </c>
      <c r="AI53" s="138">
        <f t="shared" si="51"/>
        <v>958</v>
      </c>
      <c r="AJ53" s="138">
        <f t="shared" si="28"/>
        <v>975</v>
      </c>
      <c r="AL53" s="136">
        <f t="shared" si="29"/>
        <v>3.3069999999999999</v>
      </c>
      <c r="AM53" s="258">
        <f t="shared" si="30"/>
        <v>1.2500000000000001E-2</v>
      </c>
      <c r="AN53" s="258">
        <f t="shared" si="31"/>
        <v>5.0000000000000001E-3</v>
      </c>
      <c r="AO53" s="258">
        <f t="shared" si="32"/>
        <v>1.05</v>
      </c>
      <c r="AP53" s="258">
        <f t="shared" si="33"/>
        <v>0</v>
      </c>
      <c r="AQ53" s="136">
        <f t="shared" si="34"/>
        <v>3.3399999999999999E-2</v>
      </c>
      <c r="AR53" s="137">
        <f t="shared" si="35"/>
        <v>2.75E-2</v>
      </c>
      <c r="AS53" s="136">
        <f t="shared" si="36"/>
        <v>3.3245</v>
      </c>
      <c r="AT53" s="137">
        <f t="shared" si="37"/>
        <v>4.1873365630825901E-2</v>
      </c>
      <c r="AU53" s="137">
        <f t="shared" si="38"/>
        <v>0.89558106750235578</v>
      </c>
      <c r="AV53" s="394">
        <f t="shared" si="39"/>
        <v>222.10410474058423</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-6.4035149796901603E-7</v>
      </c>
      <c r="BG53" s="137">
        <f>_xll.xSPRDOPT($BW53,$BV53,$CG53,0,$BY53,$BX53,$BZ53,$AJ53,1,3)*$CB53</f>
        <v>-1.0672524966150268E-6</v>
      </c>
      <c r="BH53" s="137">
        <f>IF(OR(BF53&lt;&gt;0,BG53&lt;&gt;0),_xll.xSPRDOPT($BW53,$BV53,$CG53,0,$BY53,$BX53,$BZ53,$AJ53,1,12)*$CB53,0)</f>
        <v>8.5380199729202141E-7</v>
      </c>
      <c r="BI53" s="137">
        <f>_xll.xSPRDOPT($BW53,$BV53,$CG53,2*LN(1+CA53/2),$BY53,$BX53,$BZ53,$AJ53,1,9)</f>
        <v>3.3579960526314082E-2</v>
      </c>
      <c r="BJ53" s="137">
        <f>_xll.xSPRDOPT($BW53,$BV53,$CG53,0,$BY53,$BX53,$BZ53,$AJ53,1,6)*$CB53</f>
        <v>5.2665666668898381E-7</v>
      </c>
      <c r="BK53" s="137">
        <f>_xll.xSPRDOPT($BW53,$BV53,$CG53,0,$BY53,$BX53,$BZ53,$AJ53,1,5)*$CB53</f>
        <v>-6.7126003532661253E-7</v>
      </c>
      <c r="BL53" s="137">
        <f>_xll.xSPRDOPT(BW53,BV53,CG53,0,BY53,BX53,BZ53,AJ53,1,2)*CB53</f>
        <v>-0.89527637514379022</v>
      </c>
      <c r="BM53" s="137">
        <f>_xll.xSPRDOPT(BW53,BV53,CG53,0,BY53,BX53,BZ53,AJ53,1,1)*CB53</f>
        <v>0.89527637515356118</v>
      </c>
      <c r="BN53" s="137">
        <f>IF(AH53&lt;&gt;0,_xll.xSPRDOPT($BW53,$BV53,$CG53,2*LN(1+CA53/2),$BY53,$BX53,$BZ53,$AJ53,1,8)+(AJ53/365.25)*CH53/AH53,0)</f>
        <v>-1.2661236605957558</v>
      </c>
      <c r="BO53" s="137">
        <f>_xll.xSPRDOPT($BW53,$BV53,$CG53,0,$BY53,$BX53,$BZ53,$AJ53,1,0)</f>
        <v>0.90509109469509752</v>
      </c>
      <c r="BP53" s="137"/>
      <c r="BQ53" s="137"/>
      <c r="BR53" s="137"/>
      <c r="BS53" s="137"/>
      <c r="BV53" s="262">
        <v>3.4185089974293059</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3.3399999999999999E-2</v>
      </c>
      <c r="CH53" s="258">
        <v>10.415912860615512</v>
      </c>
      <c r="CI53" s="258">
        <v>3.3069999999999999</v>
      </c>
      <c r="CJ53" s="258"/>
      <c r="CK53" s="258"/>
      <c r="CL53" s="258"/>
      <c r="CM53" s="258"/>
    </row>
    <row r="54" spans="1:91" x14ac:dyDescent="0.25">
      <c r="A54" s="723"/>
      <c r="B54" s="723"/>
      <c r="D54" s="31">
        <f t="shared" si="47"/>
        <v>38245</v>
      </c>
      <c r="F54" s="28">
        <f t="shared" ref="F54:F85" si="52">VLOOKUP(AG54,$AL$4:$AS$15,2)</f>
        <v>300</v>
      </c>
      <c r="G54" s="28">
        <f t="shared" ref="G54:G85" si="53">F54*$AU54</f>
        <v>267.25755417836479</v>
      </c>
      <c r="H54" s="52">
        <f t="shared" ref="H54:H85" si="54">(AL54+AM54+AN54)/(1-(AR54))</f>
        <v>3.408226221079691</v>
      </c>
      <c r="I54" s="52">
        <f t="shared" ref="I54:I85" si="55">(AL54+AO54+AP54)</f>
        <v>4.0519999999999996</v>
      </c>
      <c r="K54" s="52">
        <f t="shared" ref="K54:K85" si="56">MAX(((I54-H54)-AQ54)*AU54*AH54,0)</f>
        <v>16.312700328884763</v>
      </c>
      <c r="L54" s="135">
        <f t="shared" ref="L54:L85" si="57">MAX(Q54-K54,0)</f>
        <v>1.6454767788331992E-6</v>
      </c>
      <c r="N54" s="131">
        <f t="shared" si="48"/>
        <v>0.32463755456303778</v>
      </c>
      <c r="O54" s="131">
        <f t="shared" si="49"/>
        <v>0.32463755456303778</v>
      </c>
      <c r="P54" s="55">
        <f t="shared" si="50"/>
        <v>0.99999999999999989</v>
      </c>
      <c r="Q54" s="135">
        <f>_xll.xSPRDOPT(I54,H54,AQ54,0,O54,N54,P54,D54-$G$5,1,0)*AH54*AU54</f>
        <v>16.312701974361541</v>
      </c>
      <c r="R54" s="135"/>
      <c r="S54" s="181">
        <f>_xll.xSPRDOPT(I54,H54,AQ54,AT54,O54,N54,P54,D54-$G$5,1,2)*AF54*(F54/(1-AR54))*AH54</f>
        <v>-8234.3603816090035</v>
      </c>
      <c r="T54" s="181">
        <f>_xll.xSPRDOPT(I54,H54,AQ54,AT54,O54,N54,P54,D54-$G$5,1,1)*AF54*F54*AH54</f>
        <v>8007.9154711147567</v>
      </c>
      <c r="U54" s="135"/>
      <c r="V54" s="146">
        <f t="shared" ref="V54:V85" si="58">VLOOKUP($AG54,$AL$4:$AS$15,8)*AH54*AU54</f>
        <v>10.030176008314031</v>
      </c>
      <c r="W54" s="146"/>
      <c r="X54" s="338">
        <f t="shared" ref="X54:X85" si="59">((BM54*BC54)+(BL54*BB54))*AH54*F54</f>
        <v>0</v>
      </c>
      <c r="Y54" s="338">
        <f t="shared" ref="Y54:Y85" si="60">($F54*$AH54)*((($BG54/2)*($BC54)^2)+(($BF54/2)*($BB54)^2)+($BH54*$BC54*$BB54))</f>
        <v>0</v>
      </c>
      <c r="Z54" s="338">
        <f t="shared" ref="Z54:Z85" si="61">($BI54*$F54*$AH54*($G$5-$BV$5))/365.25</f>
        <v>1.6910687286439712</v>
      </c>
      <c r="AA54" s="338">
        <f t="shared" ref="AA54:AA85" si="62">(($BK54*$BE54)+($BJ54*$BD54))*$F54*$AH54*$AF54</f>
        <v>-8.0083807789991203E-9</v>
      </c>
      <c r="AB54" s="338">
        <f t="shared" ref="AB54:AB85" si="63">BN54*(AT54-CA54)*F54*AH54</f>
        <v>0</v>
      </c>
      <c r="AC54" s="338">
        <f t="shared" ref="AC54:AC85" si="64">BO54*CB54*F54*AH54*CA54*($G$5-$BV$5)/365.25</f>
        <v>1.7089862968888268</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7.4999999999999997E-3</v>
      </c>
      <c r="AN54" s="258">
        <f t="shared" ref="AN54:AN85" si="71">VLOOKUP($D54,CurveTbl,$AH$4)+VLOOKUP($AG54,$AL$3:$AS$15,6)</f>
        <v>5.0000000000000001E-3</v>
      </c>
      <c r="AO54" s="258">
        <f t="shared" ref="AO54:AO85" si="72">VLOOKUP($D54,CurveTbl,$AH$5)</f>
        <v>0.75</v>
      </c>
      <c r="AP54" s="258">
        <f t="shared" ref="AP54:AP85" si="73">VLOOKUP($D54,CurveTbl,$AH$6)+VLOOKUP($AG54,$AL$3:$AS$15,7)</f>
        <v>0</v>
      </c>
      <c r="AQ54" s="136">
        <f t="shared" ref="AQ54:AQ85" si="74">VLOOKUP($AG54,$AL$4:$AS$15,3)+VLOOKUP($AG54,$AL$4:$AS$15,5)+($AH$10*VLOOKUP(D54,GRITable,2))</f>
        <v>3.3399999999999999E-2</v>
      </c>
      <c r="AR54" s="137">
        <f t="shared" ref="AR54:AR85" si="75">VLOOKUP($AG54,$AL$4:$AS$15,4)</f>
        <v>2.75E-2</v>
      </c>
      <c r="AS54" s="136">
        <f t="shared" ref="AS54:AS85" si="76">(AL54+AM54+AN54)</f>
        <v>3.3144999999999998</v>
      </c>
      <c r="AT54" s="137">
        <f t="shared" ref="AT54:AT85" si="77">VLOOKUP(D54,CurveTbl,$AK$6)</f>
        <v>4.2531482126591399E-2</v>
      </c>
      <c r="AU54" s="137">
        <f t="shared" ref="AU54:AU85" si="78">(1+$AT54/2)^(-2*($D54-$G$5)/365.25)*$AF54</f>
        <v>0.89085851392788262</v>
      </c>
      <c r="AV54" s="394">
        <f t="shared" ref="AV54:AV85" si="79">ROUND((F54/(1-AR54))-F54,0)*AF54*AH54*AU54</f>
        <v>213.80604334269182</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1.6985905119640378E-6</v>
      </c>
      <c r="BG54" s="137">
        <f>_xll.xSPRDOPT($BW54,$BV54,$CG54,0,$BY54,$BX54,$BZ54,$AJ54,1,3)*$CB54</f>
        <v>2.1232381399550472E-7</v>
      </c>
      <c r="BH54" s="137">
        <f>IF(OR(BF54&lt;&gt;0,BG54&lt;&gt;0),_xll.xSPRDOPT($BW54,$BV54,$CG54,0,$BY54,$BX54,$BZ54,$AJ54,1,12)*$CB54,0)</f>
        <v>-7.4313334898426656E-7</v>
      </c>
      <c r="BI54" s="137">
        <f>_xll.xSPRDOPT($BW54,$BV54,$CG54,2*LN(1+CA54/2),$BY54,$BX54,$BZ54,$AJ54,1,9)</f>
        <v>2.2876401968044833E-2</v>
      </c>
      <c r="BJ54" s="137">
        <f>_xll.xSPRDOPT($BW54,$BV54,$CG54,0,$BY54,$BX54,$BZ54,$AJ54,1,6)*$CB54</f>
        <v>3.4343550782158105E-7</v>
      </c>
      <c r="BK54" s="137">
        <f>_xll.xSPRDOPT($BW54,$BV54,$CG54,0,$BY54,$BX54,$BZ54,$AJ54,1,5)*$CB54</f>
        <v>-4.083027395465478E-7</v>
      </c>
      <c r="BL54" s="137">
        <f>_xll.xSPRDOPT(BW54,BV54,CG54,0,BY54,BX54,BZ54,AJ54,1,2)*CB54</f>
        <v>-0.89055070727455055</v>
      </c>
      <c r="BM54" s="137">
        <f>_xll.xSPRDOPT(BW54,BV54,CG54,0,BY54,BX54,BZ54,AJ54,1,1)*CB54</f>
        <v>0.89055070727617047</v>
      </c>
      <c r="BN54" s="137">
        <f>IF(AH54&lt;&gt;0,_xll.xSPRDOPT($BW54,$BV54,$CG54,2*LN(1+CA54/2),$BY54,$BX54,$BZ54,$AJ54,1,8)+(AJ54/365.25)*CH54/AH54,0)</f>
        <v>-0.57659473194189592</v>
      </c>
      <c r="BO54" s="137">
        <f>_xll.xSPRDOPT($BW54,$BV54,$CG54,0,$BY54,$BX54,$BZ54,$AJ54,1,0)</f>
        <v>0.61037384045505394</v>
      </c>
      <c r="BP54" s="137"/>
      <c r="BQ54" s="137"/>
      <c r="BR54" s="137"/>
      <c r="BS54" s="137"/>
      <c r="BV54" s="262">
        <v>3.408226221079691</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3.3399999999999999E-2</v>
      </c>
      <c r="CH54" s="258">
        <v>10.026709456887795</v>
      </c>
      <c r="CI54" s="258">
        <v>3.302</v>
      </c>
      <c r="CJ54" s="258"/>
      <c r="CK54" s="258"/>
      <c r="CL54" s="258"/>
      <c r="CM54" s="258"/>
    </row>
    <row r="55" spans="1:91" x14ac:dyDescent="0.25">
      <c r="A55" s="723"/>
      <c r="B55" s="723"/>
      <c r="D55" s="31">
        <f t="shared" ref="D55:D86" si="87">D54+AH54</f>
        <v>38275</v>
      </c>
      <c r="F55" s="28">
        <f t="shared" si="52"/>
        <v>474</v>
      </c>
      <c r="G55" s="28">
        <f t="shared" si="53"/>
        <v>420.10935339667009</v>
      </c>
      <c r="H55" s="52">
        <f t="shared" si="54"/>
        <v>3.433933161953727</v>
      </c>
      <c r="I55" s="52">
        <f t="shared" si="55"/>
        <v>3.7770000000000001</v>
      </c>
      <c r="K55" s="52">
        <f t="shared" si="56"/>
        <v>8.5082531394522078</v>
      </c>
      <c r="L55" s="135">
        <f t="shared" si="57"/>
        <v>4.5628179368151223E-6</v>
      </c>
      <c r="N55" s="131">
        <f t="shared" si="48"/>
        <v>0.3259749105978777</v>
      </c>
      <c r="O55" s="131">
        <f t="shared" si="49"/>
        <v>0.3259749105978777</v>
      </c>
      <c r="P55" s="55">
        <f t="shared" si="50"/>
        <v>1</v>
      </c>
      <c r="Q55" s="135">
        <f>_xll.xSPRDOPT(I55,H55,AQ55,0,O55,N55,P55,D55-$G$5,1,0)*AH55*AU55</f>
        <v>8.5082577022701447</v>
      </c>
      <c r="R55" s="135"/>
      <c r="S55" s="181">
        <f>_xll.xSPRDOPT(I55,H55,AQ55,AT55,O55,N55,P55,D55-$G$5,1,2)*AF55*(F55/(1-AR55))*AH55</f>
        <v>-13374.258016247299</v>
      </c>
      <c r="T55" s="181">
        <f>_xll.xSPRDOPT(I55,H55,AQ55,AT55,O55,N55,P55,D55-$G$5,1,1)*AF55*F55*AH55</f>
        <v>13006.465920920775</v>
      </c>
      <c r="U55" s="135"/>
      <c r="V55" s="146">
        <f t="shared" si="58"/>
        <v>10.311557489921688</v>
      </c>
      <c r="W55" s="146"/>
      <c r="X55" s="338">
        <f t="shared" si="59"/>
        <v>0</v>
      </c>
      <c r="Y55" s="338">
        <f t="shared" si="60"/>
        <v>0</v>
      </c>
      <c r="Z55" s="338">
        <f t="shared" si="61"/>
        <v>1.4130214699901775</v>
      </c>
      <c r="AA55" s="338">
        <f t="shared" si="62"/>
        <v>2.1739080700221447E-6</v>
      </c>
      <c r="AB55" s="338">
        <f t="shared" si="63"/>
        <v>0</v>
      </c>
      <c r="AC55" s="338">
        <f t="shared" si="64"/>
        <v>1.4282648692052575</v>
      </c>
      <c r="AF55" s="138">
        <f t="shared" si="65"/>
        <v>1</v>
      </c>
      <c r="AG55" s="138">
        <f t="shared" si="66"/>
        <v>10</v>
      </c>
      <c r="AH55" s="138">
        <f t="shared" si="67"/>
        <v>31</v>
      </c>
      <c r="AI55" s="138">
        <f t="shared" ref="AI55:AI86" si="88">AI54+AH54</f>
        <v>1019</v>
      </c>
      <c r="AJ55" s="138">
        <f t="shared" si="68"/>
        <v>1036</v>
      </c>
      <c r="AL55" s="136">
        <f t="shared" si="69"/>
        <v>3.327</v>
      </c>
      <c r="AM55" s="258">
        <f t="shared" si="70"/>
        <v>7.4999999999999997E-3</v>
      </c>
      <c r="AN55" s="258">
        <f t="shared" si="71"/>
        <v>5.0000000000000001E-3</v>
      </c>
      <c r="AO55" s="258">
        <f t="shared" si="72"/>
        <v>0.45</v>
      </c>
      <c r="AP55" s="258">
        <f t="shared" si="73"/>
        <v>0</v>
      </c>
      <c r="AQ55" s="136">
        <f t="shared" si="74"/>
        <v>3.3399999999999999E-2</v>
      </c>
      <c r="AR55" s="137">
        <f t="shared" si="75"/>
        <v>2.75E-2</v>
      </c>
      <c r="AS55" s="136">
        <f t="shared" si="76"/>
        <v>3.3394999999999997</v>
      </c>
      <c r="AT55" s="137">
        <f t="shared" si="77"/>
        <v>4.3133129078657198E-2</v>
      </c>
      <c r="AU55" s="137">
        <f t="shared" si="78"/>
        <v>0.88630665273559095</v>
      </c>
      <c r="AV55" s="394">
        <f t="shared" si="79"/>
        <v>357.18158105244316</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3.1685687821726172E-7</v>
      </c>
      <c r="BG55" s="137">
        <f>_xll.xSPRDOPT($BW55,$BV55,$CG55,0,$BY55,$BX55,$BZ55,$AJ55,1,3)*$CB55</f>
        <v>-2.1123791881150783E-7</v>
      </c>
      <c r="BH55" s="137">
        <f>IF(OR(BF55&lt;&gt;0,BG55&lt;&gt;0),_xll.xSPRDOPT($BW55,$BV55,$CG55,0,$BY55,$BX55,$BZ55,$AJ55,1,12)*$CB55,0)</f>
        <v>-1.0561895940575391E-7</v>
      </c>
      <c r="BI55" s="137">
        <f>_xll.xSPRDOPT($BW55,$BV55,$CG55,2*LN(1+CA55/2),$BY55,$BX55,$BZ55,$AJ55,1,9)</f>
        <v>1.1707864704730101E-2</v>
      </c>
      <c r="BJ55" s="137">
        <f>_xll.xSPRDOPT($BW55,$BV55,$CG55,0,$BY55,$BX55,$BZ55,$AJ55,1,6)*$CB55</f>
        <v>-8.6504163041486979E-5</v>
      </c>
      <c r="BK55" s="137">
        <f>_xll.xSPRDOPT($BW55,$BV55,$CG55,0,$BY55,$BX55,$BZ55,$AJ55,1,5)*$CB55</f>
        <v>9.5146350744736776E-5</v>
      </c>
      <c r="BL55" s="137">
        <f>_xll.xSPRDOPT(BW55,BV55,CG55,0,BY55,BX55,BZ55,AJ55,1,2)*CB55</f>
        <v>-0.8859929360844655</v>
      </c>
      <c r="BM55" s="137">
        <f>_xll.xSPRDOPT(BW55,BV55,CG55,0,BY55,BX55,BZ55,AJ55,1,1)*CB55</f>
        <v>0.88599293609171781</v>
      </c>
      <c r="BN55" s="137">
        <f>IF(AH55&lt;&gt;0,_xll.xSPRDOPT($BW55,$BV55,$CG55,2*LN(1+CA55/2),$BY55,$BX55,$BZ55,$AJ55,1,8)+(AJ55/365.25)*CH55/AH55,0)</f>
        <v>0.16493905975913048</v>
      </c>
      <c r="BO55" s="137">
        <f>_xll.xSPRDOPT($BW55,$BV55,$CG55,0,$BY55,$BX55,$BZ55,$AJ55,1,0)</f>
        <v>0.30966700856263485</v>
      </c>
      <c r="BP55" s="137"/>
      <c r="BQ55" s="137"/>
      <c r="BR55" s="137"/>
      <c r="BS55" s="137"/>
      <c r="BV55" s="262">
        <v>3.433933161953727</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3.3399999999999999E-2</v>
      </c>
      <c r="CH55" s="258">
        <v>10.307943819184599</v>
      </c>
      <c r="CI55" s="258">
        <v>3.327</v>
      </c>
      <c r="CJ55" s="258"/>
      <c r="CK55" s="258"/>
      <c r="CL55" s="258"/>
      <c r="CM55" s="258"/>
    </row>
    <row r="56" spans="1:91" x14ac:dyDescent="0.25">
      <c r="A56" s="723"/>
      <c r="B56" s="723"/>
      <c r="D56" s="31">
        <f t="shared" si="87"/>
        <v>38306</v>
      </c>
      <c r="F56" s="28">
        <f t="shared" si="52"/>
        <v>474</v>
      </c>
      <c r="G56" s="28">
        <f t="shared" si="53"/>
        <v>417.88951420662301</v>
      </c>
      <c r="H56" s="52">
        <f t="shared" si="54"/>
        <v>3.5902313624678661</v>
      </c>
      <c r="I56" s="52">
        <f t="shared" si="55"/>
        <v>3.9290000000000003</v>
      </c>
      <c r="K56" s="52">
        <f t="shared" si="56"/>
        <v>8.0766045311545511</v>
      </c>
      <c r="L56" s="135">
        <f t="shared" si="57"/>
        <v>7.388503355798548E-6</v>
      </c>
      <c r="N56" s="131">
        <f t="shared" si="48"/>
        <v>0.33162000992991286</v>
      </c>
      <c r="O56" s="131">
        <f t="shared" si="49"/>
        <v>0.33162000992991286</v>
      </c>
      <c r="P56" s="55">
        <f t="shared" si="50"/>
        <v>1</v>
      </c>
      <c r="Q56" s="135">
        <f>_xll.xSPRDOPT(I56,H56,AQ56,0,O56,N56,P56,D56-$G$5,1,0)*AH56*AU56</f>
        <v>8.0766119196579069</v>
      </c>
      <c r="R56" s="135"/>
      <c r="S56" s="181">
        <f>_xll.xSPRDOPT(I56,H56,AQ56,AT56,O56,N56,P56,D56-$G$5,1,2)*AF56*(F56/(1-AR56))*AH56</f>
        <v>-12873.475188975612</v>
      </c>
      <c r="T56" s="181">
        <f>_xll.xSPRDOPT(I56,H56,AQ56,AT56,O56,N56,P56,D56-$G$5,1,1)*AF56*F56*AH56</f>
        <v>12519.454621278783</v>
      </c>
      <c r="U56" s="135"/>
      <c r="V56" s="146">
        <f t="shared" si="58"/>
        <v>9.9261983975788368</v>
      </c>
      <c r="W56" s="146"/>
      <c r="X56" s="338">
        <f t="shared" si="59"/>
        <v>0</v>
      </c>
      <c r="Y56" s="338">
        <f t="shared" si="60"/>
        <v>0</v>
      </c>
      <c r="Z56" s="338">
        <f t="shared" si="61"/>
        <v>1.3593189376419517</v>
      </c>
      <c r="AA56" s="338">
        <f t="shared" si="62"/>
        <v>7.0223233179714895E-6</v>
      </c>
      <c r="AB56" s="338">
        <f t="shared" si="63"/>
        <v>0</v>
      </c>
      <c r="AC56" s="338">
        <f t="shared" si="64"/>
        <v>1.3742764380292163</v>
      </c>
      <c r="AF56" s="138">
        <f t="shared" si="65"/>
        <v>1</v>
      </c>
      <c r="AG56" s="138">
        <f t="shared" si="66"/>
        <v>11</v>
      </c>
      <c r="AH56" s="138">
        <f t="shared" si="67"/>
        <v>30</v>
      </c>
      <c r="AI56" s="138">
        <f t="shared" si="88"/>
        <v>1050</v>
      </c>
      <c r="AJ56" s="138">
        <f t="shared" si="68"/>
        <v>1067</v>
      </c>
      <c r="AL56" s="136">
        <f t="shared" si="69"/>
        <v>3.4790000000000001</v>
      </c>
      <c r="AM56" s="258">
        <f t="shared" si="70"/>
        <v>5.0000000000000001E-3</v>
      </c>
      <c r="AN56" s="258">
        <f t="shared" si="71"/>
        <v>7.4999999999999997E-3</v>
      </c>
      <c r="AO56" s="258">
        <f t="shared" si="72"/>
        <v>0.45</v>
      </c>
      <c r="AP56" s="258">
        <f t="shared" si="73"/>
        <v>0</v>
      </c>
      <c r="AQ56" s="136">
        <f t="shared" si="74"/>
        <v>3.3399999999999999E-2</v>
      </c>
      <c r="AR56" s="137">
        <f t="shared" si="75"/>
        <v>2.75E-2</v>
      </c>
      <c r="AS56" s="136">
        <f t="shared" si="76"/>
        <v>3.4914999999999998</v>
      </c>
      <c r="AT56" s="137">
        <f t="shared" si="77"/>
        <v>4.37209690349563E-2</v>
      </c>
      <c r="AU56" s="137">
        <f t="shared" si="78"/>
        <v>0.88162344769329748</v>
      </c>
      <c r="AV56" s="394">
        <f t="shared" si="79"/>
        <v>343.83314460038599</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-9.4554339326744066E-7</v>
      </c>
      <c r="BG56" s="137">
        <f>_xll.xSPRDOPT($BW56,$BV56,$CG56,0,$BY56,$BX56,$BZ56,$AJ56,1,3)*$CB56</f>
        <v>-8.4048301623772504E-7</v>
      </c>
      <c r="BH56" s="137">
        <f>IF(OR(BF56&lt;&gt;0,BG56&lt;&gt;0),_xll.xSPRDOPT($BW56,$BV56,$CG56,0,$BY56,$BX56,$BZ56,$AJ56,1,12)*$CB56,0)</f>
        <v>5.2530188514857819E-7</v>
      </c>
      <c r="BI56" s="137">
        <f>_xll.xSPRDOPT($BW56,$BV56,$CG56,2*LN(1+CA56/2),$BY56,$BX56,$BZ56,$AJ56,1,9)</f>
        <v>1.1638331973129931E-2</v>
      </c>
      <c r="BJ56" s="137">
        <f>_xll.xSPRDOPT($BW56,$BV56,$CG56,0,$BY56,$BX56,$BZ56,$AJ56,1,6)*$CB56</f>
        <v>-2.1817255788261219E-4</v>
      </c>
      <c r="BK56" s="137">
        <f>_xll.xSPRDOPT($BW56,$BV56,$CG56,0,$BY56,$BX56,$BZ56,$AJ56,1,5)*$CB56</f>
        <v>2.3357111522876004E-4</v>
      </c>
      <c r="BL56" s="137">
        <f>_xll.xSPRDOPT(BW56,BV56,CG56,0,BY56,BX56,BZ56,AJ56,1,2)*CB56</f>
        <v>-0.88130157857293823</v>
      </c>
      <c r="BM56" s="137">
        <f>_xll.xSPRDOPT(BW56,BV56,CG56,0,BY56,BX56,BZ56,AJ56,1,1)*CB56</f>
        <v>0.88130157856893054</v>
      </c>
      <c r="BN56" s="137">
        <f>IF(AH56&lt;&gt;0,_xll.xSPRDOPT($BW56,$BV56,$CG56,2*LN(1+CA56/2),$BY56,$BX56,$BZ56,$AJ56,1,8)+(AJ56/365.25)*CH56/AH56,0)</f>
        <v>0.18004176299876318</v>
      </c>
      <c r="BO56" s="137">
        <f>_xll.xSPRDOPT($BW56,$BV56,$CG56,0,$BY56,$BX56,$BZ56,$AJ56,1,0)</f>
        <v>0.30536892460180226</v>
      </c>
      <c r="BP56" s="137"/>
      <c r="BQ56" s="137"/>
      <c r="BR56" s="137"/>
      <c r="BS56" s="137"/>
      <c r="BV56" s="262">
        <v>3.5902313624678661</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87"/>
        <v>38336</v>
      </c>
      <c r="F57" s="28">
        <f t="shared" si="52"/>
        <v>474</v>
      </c>
      <c r="G57" s="28">
        <f t="shared" si="53"/>
        <v>415.71398908783192</v>
      </c>
      <c r="H57" s="52">
        <f t="shared" si="54"/>
        <v>3.7372750642673518</v>
      </c>
      <c r="I57" s="52">
        <f t="shared" si="55"/>
        <v>4.0220000000000002</v>
      </c>
      <c r="K57" s="52">
        <f t="shared" si="56"/>
        <v>6.8330338382078706</v>
      </c>
      <c r="L57" s="135">
        <f t="shared" si="57"/>
        <v>4.6602799014472396E-5</v>
      </c>
      <c r="N57" s="131">
        <f t="shared" si="48"/>
        <v>0.33926384180861408</v>
      </c>
      <c r="O57" s="131">
        <f t="shared" si="49"/>
        <v>0.33926384180861408</v>
      </c>
      <c r="P57" s="55">
        <f t="shared" si="50"/>
        <v>0.99999999999999978</v>
      </c>
      <c r="Q57" s="135">
        <f>_xll.xSPRDOPT(I57,H57,AQ57,0,O57,N57,P57,D57-$G$5,1,0)*AH57*AU57</f>
        <v>6.8330804410068851</v>
      </c>
      <c r="R57" s="135"/>
      <c r="S57" s="181">
        <f>_xll.xSPRDOPT(I57,H57,AQ57,AT57,O57,N57,P57,D57-$G$5,1,2)*AF57*(F57/(1-AR57))*AH57</f>
        <v>-13232.038615998352</v>
      </c>
      <c r="T57" s="181">
        <f>_xll.xSPRDOPT(I57,H57,AQ57,AT57,O57,N57,P57,D57-$G$5,1,1)*AF57*F57*AH57</f>
        <v>12868.157554185358</v>
      </c>
      <c r="U57" s="135"/>
      <c r="V57" s="146">
        <f t="shared" si="58"/>
        <v>10.203673551148869</v>
      </c>
      <c r="W57" s="146"/>
      <c r="X57" s="338">
        <f t="shared" si="59"/>
        <v>0</v>
      </c>
      <c r="Y57" s="338">
        <f t="shared" si="60"/>
        <v>0</v>
      </c>
      <c r="Z57" s="338">
        <f t="shared" si="61"/>
        <v>1.1646257969623446</v>
      </c>
      <c r="AA57" s="338">
        <f t="shared" si="62"/>
        <v>3.6219754396354156E-5</v>
      </c>
      <c r="AB57" s="338">
        <f t="shared" si="63"/>
        <v>0</v>
      </c>
      <c r="AC57" s="338">
        <f t="shared" si="64"/>
        <v>1.1778062576529504</v>
      </c>
      <c r="AF57" s="138">
        <f t="shared" si="65"/>
        <v>1</v>
      </c>
      <c r="AG57" s="138">
        <f t="shared" si="66"/>
        <v>12</v>
      </c>
      <c r="AH57" s="138">
        <f t="shared" si="67"/>
        <v>31</v>
      </c>
      <c r="AI57" s="138">
        <f t="shared" si="88"/>
        <v>1080</v>
      </c>
      <c r="AJ57" s="138">
        <f t="shared" si="68"/>
        <v>1097</v>
      </c>
      <c r="AL57" s="136">
        <f t="shared" si="69"/>
        <v>3.6219999999999999</v>
      </c>
      <c r="AM57" s="258">
        <f t="shared" si="70"/>
        <v>5.0000000000000001E-3</v>
      </c>
      <c r="AN57" s="258">
        <f t="shared" si="71"/>
        <v>7.4999999999999997E-3</v>
      </c>
      <c r="AO57" s="258">
        <f t="shared" si="72"/>
        <v>0.4</v>
      </c>
      <c r="AP57" s="258">
        <f t="shared" si="73"/>
        <v>0</v>
      </c>
      <c r="AQ57" s="136">
        <f t="shared" si="74"/>
        <v>3.3399999999999999E-2</v>
      </c>
      <c r="AR57" s="137">
        <f t="shared" si="75"/>
        <v>2.75E-2</v>
      </c>
      <c r="AS57" s="136">
        <f t="shared" si="76"/>
        <v>3.6344999999999996</v>
      </c>
      <c r="AT57" s="137">
        <f t="shared" si="77"/>
        <v>4.4289846522210997E-2</v>
      </c>
      <c r="AU57" s="137">
        <f t="shared" si="78"/>
        <v>0.87703373225281001</v>
      </c>
      <c r="AV57" s="394">
        <f t="shared" si="79"/>
        <v>353.44459409788243</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-4.1805182726308226E-7</v>
      </c>
      <c r="BG57" s="137">
        <f>_xll.xSPRDOPT($BW57,$BV57,$CG57,0,$BY57,$BX57,$BZ57,$AJ57,1,3)*$CB57</f>
        <v>7.3159069771039398E-7</v>
      </c>
      <c r="BH57" s="137">
        <f>IF(OR(BF57&lt;&gt;0,BG57&lt;&gt;0),_xll.xSPRDOPT($BW57,$BV57,$CG57,0,$BY57,$BX57,$BZ57,$AJ57,1,12)*$CB57,0)</f>
        <v>-1.0973860465655909E-6</v>
      </c>
      <c r="BI57" s="137">
        <f>_xll.xSPRDOPT($BW57,$BV57,$CG57,2*LN(1+CA57/2),$BY57,$BX57,$BZ57,$AJ57,1,9)</f>
        <v>9.6497339580893862E-3</v>
      </c>
      <c r="BJ57" s="137">
        <f>_xll.xSPRDOPT($BW57,$BV57,$CG57,0,$BY57,$BX57,$BZ57,$AJ57,1,6)*$CB57</f>
        <v>-6.3291662364605133E-4</v>
      </c>
      <c r="BK57" s="137">
        <f>_xll.xSPRDOPT($BW57,$BV57,$CG57,0,$BY57,$BX57,$BZ57,$AJ57,1,5)*$CB57</f>
        <v>6.8113548632970429E-4</v>
      </c>
      <c r="BL57" s="137">
        <f>_xll.xSPRDOPT(BW57,BV57,CG57,0,BY57,BX57,BZ57,AJ57,1,2)*CB57</f>
        <v>-0.87669545074641841</v>
      </c>
      <c r="BM57" s="137">
        <f>_xll.xSPRDOPT(BW57,BV57,CG57,0,BY57,BX57,BZ57,AJ57,1,1)*CB57</f>
        <v>0.87669545075279742</v>
      </c>
      <c r="BN57" s="137">
        <f>IF(AH57&lt;&gt;0,_xll.xSPRDOPT($BW57,$BV57,$CG57,2*LN(1+CA57/2),$BY57,$BX57,$BZ57,$AJ57,1,8)+(AJ57/365.25)*CH57/AH57,0)</f>
        <v>0.32644099708008079</v>
      </c>
      <c r="BO57" s="137">
        <f>_xll.xSPRDOPT($BW57,$BV57,$CG57,0,$BY57,$BX57,$BZ57,$AJ57,1,0)</f>
        <v>0.25132667257719643</v>
      </c>
      <c r="BP57" s="137"/>
      <c r="BQ57" s="137"/>
      <c r="BR57" s="137"/>
      <c r="BS57" s="137"/>
      <c r="BV57" s="262">
        <v>3.7372750642673518</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87"/>
        <v>38367</v>
      </c>
      <c r="F58" s="28">
        <f t="shared" si="52"/>
        <v>474</v>
      </c>
      <c r="G58" s="28">
        <f t="shared" si="53"/>
        <v>413.46673101790577</v>
      </c>
      <c r="H58" s="52">
        <f t="shared" si="54"/>
        <v>3.7989717223650379</v>
      </c>
      <c r="I58" s="52">
        <f t="shared" si="55"/>
        <v>4.032</v>
      </c>
      <c r="K58" s="52">
        <f t="shared" si="56"/>
        <v>5.3981628534733002</v>
      </c>
      <c r="L58" s="135">
        <f t="shared" si="57"/>
        <v>2.026383302089485E-4</v>
      </c>
      <c r="N58" s="131">
        <f t="shared" si="48"/>
        <v>0.33874838161277315</v>
      </c>
      <c r="O58" s="131">
        <f t="shared" si="49"/>
        <v>0.33874838161277315</v>
      </c>
      <c r="P58" s="55">
        <f t="shared" si="50"/>
        <v>1</v>
      </c>
      <c r="Q58" s="135">
        <f>_xll.xSPRDOPT(I58,H58,AQ58,0,O58,N58,P58,D58-$G$5,1,0)*AH58*AU58</f>
        <v>5.3983654918035091</v>
      </c>
      <c r="R58" s="135"/>
      <c r="S58" s="181">
        <f>_xll.xSPRDOPT(I58,H58,AQ58,AT58,O58,N58,P58,D58-$G$5,1,2)*AF58*(F58/(1-AR58))*AH58</f>
        <v>-13157.496269931498</v>
      </c>
      <c r="T58" s="181">
        <f>_xll.xSPRDOPT(I58,H58,AQ58,AT58,O58,N58,P58,D58-$G$5,1,1)*AF58*F58*AH58</f>
        <v>12795.66512246829</v>
      </c>
      <c r="U58" s="135"/>
      <c r="V58" s="146">
        <f t="shared" si="58"/>
        <v>10.148514744054054</v>
      </c>
      <c r="W58" s="146"/>
      <c r="X58" s="338">
        <f t="shared" si="59"/>
        <v>0</v>
      </c>
      <c r="Y58" s="338">
        <f t="shared" si="60"/>
        <v>0</v>
      </c>
      <c r="Z58" s="338">
        <f t="shared" si="61"/>
        <v>0.93037233744005288</v>
      </c>
      <c r="AA58" s="338">
        <f t="shared" si="62"/>
        <v>1.7092147633711091E-4</v>
      </c>
      <c r="AB58" s="338">
        <f t="shared" si="63"/>
        <v>0</v>
      </c>
      <c r="AC58" s="338">
        <f t="shared" si="64"/>
        <v>0.94237430417503709</v>
      </c>
      <c r="AF58" s="138">
        <f t="shared" si="65"/>
        <v>1</v>
      </c>
      <c r="AG58" s="138">
        <f t="shared" si="66"/>
        <v>1</v>
      </c>
      <c r="AH58" s="138">
        <f t="shared" si="67"/>
        <v>31</v>
      </c>
      <c r="AI58" s="138">
        <f t="shared" si="88"/>
        <v>1111</v>
      </c>
      <c r="AJ58" s="138">
        <f t="shared" si="68"/>
        <v>1128</v>
      </c>
      <c r="AL58" s="136">
        <f t="shared" si="69"/>
        <v>3.6819999999999999</v>
      </c>
      <c r="AM58" s="258">
        <f t="shared" si="70"/>
        <v>5.0000000000000001E-3</v>
      </c>
      <c r="AN58" s="258">
        <f t="shared" si="71"/>
        <v>7.4999999999999997E-3</v>
      </c>
      <c r="AO58" s="258">
        <f t="shared" si="72"/>
        <v>0.35</v>
      </c>
      <c r="AP58" s="258">
        <f t="shared" si="73"/>
        <v>0</v>
      </c>
      <c r="AQ58" s="136">
        <f t="shared" si="74"/>
        <v>3.3399999999999999E-2</v>
      </c>
      <c r="AR58" s="137">
        <f t="shared" si="75"/>
        <v>2.75E-2</v>
      </c>
      <c r="AS58" s="136">
        <f t="shared" si="76"/>
        <v>3.6944999999999997</v>
      </c>
      <c r="AT58" s="137">
        <f t="shared" si="77"/>
        <v>4.4854887495736399E-2</v>
      </c>
      <c r="AU58" s="137">
        <f t="shared" si="78"/>
        <v>0.87229268147237504</v>
      </c>
      <c r="AV58" s="394">
        <f t="shared" si="79"/>
        <v>351.53395063336717</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4.6776379920794391E-7</v>
      </c>
      <c r="BG58" s="137">
        <f>_xll.xSPRDOPT($BW58,$BV58,$CG58,0,$BY58,$BX58,$BZ58,$AJ58,1,3)*$CB58</f>
        <v>1.0394751093509864E-7</v>
      </c>
      <c r="BH58" s="137">
        <f>IF(OR(BF58&lt;&gt;0,BG58&lt;&gt;0),_xll.xSPRDOPT($BW58,$BV58,$CG58,0,$BY58,$BX58,$BZ58,$AJ58,1,12)*$CB58,0)</f>
        <v>1.0394751093509864E-7</v>
      </c>
      <c r="BI58" s="137">
        <f>_xll.xSPRDOPT($BW58,$BV58,$CG58,2*LN(1+CA58/2),$BY58,$BX58,$BZ58,$AJ58,1,9)</f>
        <v>7.7087812769379635E-3</v>
      </c>
      <c r="BJ58" s="137">
        <f>_xll.xSPRDOPT($BW58,$BV58,$CG58,0,$BY58,$BX58,$BZ58,$AJ58,1,6)*$CB58</f>
        <v>-3.9162629483004679E-3</v>
      </c>
      <c r="BK58" s="137">
        <f>_xll.xSPRDOPT($BW58,$BV58,$CG58,0,$BY58,$BX58,$BZ58,$AJ58,1,5)*$CB58</f>
        <v>4.1564858552836891E-3</v>
      </c>
      <c r="BL58" s="137">
        <f>_xll.xSPRDOPT(BW58,BV58,CG58,0,BY58,BX58,BZ58,AJ58,1,2)*CB58</f>
        <v>-0.87182183221975151</v>
      </c>
      <c r="BM58" s="137">
        <f>_xll.xSPRDOPT(BW58,BV58,CG58,0,BY58,BX58,BZ58,AJ58,1,1)*CB58</f>
        <v>0.87182183221340703</v>
      </c>
      <c r="BN58" s="137">
        <f>IF(AH58&lt;&gt;0,_xll.xSPRDOPT($BW58,$BV58,$CG58,2*LN(1+CA58/2),$BY58,$BX58,$BZ58,$AJ58,1,8)+(AJ58/365.25)*CH58/AH58,0)</f>
        <v>0.47304878174838216</v>
      </c>
      <c r="BO58" s="137">
        <f>_xll.xSPRDOPT($BW58,$BV58,$CG58,0,$BY58,$BX58,$BZ58,$AJ58,1,0)</f>
        <v>0.19963588234133645</v>
      </c>
      <c r="BP58" s="137"/>
      <c r="BQ58" s="137"/>
      <c r="BR58" s="137"/>
      <c r="BS58" s="137"/>
      <c r="BV58" s="262">
        <v>3.7989717223650379</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87"/>
        <v>38398</v>
      </c>
      <c r="F59" s="28">
        <f t="shared" si="52"/>
        <v>474</v>
      </c>
      <c r="G59" s="28">
        <f t="shared" si="53"/>
        <v>411.21713181172828</v>
      </c>
      <c r="H59" s="52">
        <f t="shared" si="54"/>
        <v>3.7115681233933158</v>
      </c>
      <c r="I59" s="52">
        <f t="shared" si="55"/>
        <v>3.9470000000000001</v>
      </c>
      <c r="K59" s="52">
        <f t="shared" si="56"/>
        <v>4.9076184120606925</v>
      </c>
      <c r="L59" s="135">
        <f t="shared" si="57"/>
        <v>1.7198880548363604E-4</v>
      </c>
      <c r="N59" s="131">
        <f t="shared" si="48"/>
        <v>0.33420972413423633</v>
      </c>
      <c r="O59" s="131">
        <f t="shared" si="49"/>
        <v>0.33420972413423633</v>
      </c>
      <c r="P59" s="55">
        <f t="shared" si="50"/>
        <v>1.0000000000000002</v>
      </c>
      <c r="Q59" s="135">
        <f>_xll.xSPRDOPT(I59,H59,AQ59,0,O59,N59,P59,D59-$G$5,1,0)*AH59*AU59</f>
        <v>4.9077904008661761</v>
      </c>
      <c r="R59" s="135"/>
      <c r="S59" s="181">
        <f>_xll.xSPRDOPT(I59,H59,AQ59,AT59,O59,N59,P59,D59-$G$5,1,2)*AF59*(F59/(1-AR59))*AH59</f>
        <v>-11818.58285139932</v>
      </c>
      <c r="T59" s="181">
        <f>_xll.xSPRDOPT(I59,H59,AQ59,AT59,O59,N59,P59,D59-$G$5,1,1)*AF59*F59*AH59</f>
        <v>11493.571822744419</v>
      </c>
      <c r="U59" s="135"/>
      <c r="V59" s="146">
        <f t="shared" si="58"/>
        <v>9.1165276538615316</v>
      </c>
      <c r="W59" s="146"/>
      <c r="X59" s="338">
        <f t="shared" si="59"/>
        <v>0</v>
      </c>
      <c r="Y59" s="338">
        <f t="shared" si="60"/>
        <v>0</v>
      </c>
      <c r="Z59" s="338">
        <f t="shared" si="61"/>
        <v>0.85606594150038839</v>
      </c>
      <c r="AA59" s="338">
        <f t="shared" si="62"/>
        <v>1.3692586831250199E-4</v>
      </c>
      <c r="AB59" s="338">
        <f t="shared" si="63"/>
        <v>0</v>
      </c>
      <c r="AC59" s="338">
        <f t="shared" si="64"/>
        <v>0.86716622847398217</v>
      </c>
      <c r="AF59" s="138">
        <f t="shared" si="65"/>
        <v>1</v>
      </c>
      <c r="AG59" s="138">
        <f t="shared" si="66"/>
        <v>2</v>
      </c>
      <c r="AH59" s="138">
        <f t="shared" si="67"/>
        <v>28</v>
      </c>
      <c r="AI59" s="138">
        <f t="shared" si="88"/>
        <v>1142</v>
      </c>
      <c r="AJ59" s="138">
        <f t="shared" si="68"/>
        <v>1159</v>
      </c>
      <c r="AL59" s="136">
        <f t="shared" si="69"/>
        <v>3.597</v>
      </c>
      <c r="AM59" s="258">
        <f t="shared" si="70"/>
        <v>5.0000000000000001E-3</v>
      </c>
      <c r="AN59" s="258">
        <f t="shared" si="71"/>
        <v>7.4999999999999997E-3</v>
      </c>
      <c r="AO59" s="258">
        <f t="shared" si="72"/>
        <v>0.35</v>
      </c>
      <c r="AP59" s="258">
        <f t="shared" si="73"/>
        <v>0</v>
      </c>
      <c r="AQ59" s="136">
        <f t="shared" si="74"/>
        <v>3.3399999999999999E-2</v>
      </c>
      <c r="AR59" s="137">
        <f t="shared" si="75"/>
        <v>2.75E-2</v>
      </c>
      <c r="AS59" s="136">
        <f t="shared" si="76"/>
        <v>3.6094999999999997</v>
      </c>
      <c r="AT59" s="137">
        <f t="shared" si="77"/>
        <v>4.5401152752323697E-2</v>
      </c>
      <c r="AU59" s="137">
        <f t="shared" si="78"/>
        <v>0.86754669158592468</v>
      </c>
      <c r="AV59" s="394">
        <f t="shared" si="79"/>
        <v>315.78699573727658</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0</v>
      </c>
      <c r="BG59" s="137">
        <f>_xll.xSPRDOPT($BW59,$BV59,$CG59,0,$BY59,$BX59,$BZ59,$AJ59,1,3)*$CB59</f>
        <v>-8.2705197867894578E-7</v>
      </c>
      <c r="BH59" s="137">
        <f>IF(OR(BF59&lt;&gt;0,BG59&lt;&gt;0),_xll.xSPRDOPT($BW59,$BV59,$CG59,0,$BY59,$BX59,$BZ59,$AJ59,1,12)*$CB59,0)</f>
        <v>7.495158556777946E-7</v>
      </c>
      <c r="BI59" s="137">
        <f>_xll.xSPRDOPT($BW59,$BV59,$CG59,2*LN(1+CA59/2),$BY59,$BX59,$BZ59,$AJ59,1,9)</f>
        <v>7.853076279209786E-3</v>
      </c>
      <c r="BJ59" s="137">
        <f>_xll.xSPRDOPT($BW59,$BV59,$CG59,0,$BY59,$BX59,$BZ59,$AJ59,1,6)*$CB59</f>
        <v>-3.8565741379387886E-3</v>
      </c>
      <c r="BK59" s="137">
        <f>_xll.xSPRDOPT($BW59,$BV59,$CG59,0,$BY59,$BX59,$BZ59,$AJ59,1,5)*$CB59</f>
        <v>4.1012040199872972E-3</v>
      </c>
      <c r="BL59" s="137">
        <f>_xll.xSPRDOPT(BW59,BV59,CG59,0,BY59,BX59,BZ59,AJ59,1,2)*CB59</f>
        <v>-0.86707462863920626</v>
      </c>
      <c r="BM59" s="137">
        <f>_xll.xSPRDOPT(BW59,BV59,CG59,0,BY59,BX59,BZ59,AJ59,1,1)*CB59</f>
        <v>0.86707462862027651</v>
      </c>
      <c r="BN59" s="137">
        <f>IF(AH59&lt;&gt;0,_xll.xSPRDOPT($BW59,$BV59,$CG59,2*LN(1+CA59/2),$BY59,$BX59,$BZ59,$AJ59,1,8)+(AJ59/365.25)*CH59/AH59,0)</f>
        <v>0.47678938493390433</v>
      </c>
      <c r="BO59" s="137">
        <f>_xll.xSPRDOPT($BW59,$BV59,$CG59,0,$BY59,$BX59,$BZ59,$AJ59,1,0)</f>
        <v>0.20203906720052706</v>
      </c>
      <c r="BP59" s="137"/>
      <c r="BQ59" s="137"/>
      <c r="BR59" s="137"/>
      <c r="BS59" s="137"/>
      <c r="BV59" s="262">
        <v>3.7115681233933158</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3.3399999999999999E-2</v>
      </c>
      <c r="CH59" s="258">
        <v>9.1131666893371701</v>
      </c>
      <c r="CI59" s="258">
        <v>3.597</v>
      </c>
      <c r="CJ59" s="258"/>
      <c r="CK59" s="258"/>
      <c r="CL59" s="258"/>
      <c r="CM59" s="258"/>
    </row>
    <row r="60" spans="1:91" x14ac:dyDescent="0.25">
      <c r="A60" s="723"/>
      <c r="B60" s="723"/>
      <c r="D60" s="31">
        <f t="shared" si="87"/>
        <v>38426</v>
      </c>
      <c r="F60" s="28">
        <f t="shared" si="52"/>
        <v>474</v>
      </c>
      <c r="G60" s="28">
        <f t="shared" si="53"/>
        <v>409.16402811359791</v>
      </c>
      <c r="H60" s="52">
        <f t="shared" si="54"/>
        <v>3.5778920308483286</v>
      </c>
      <c r="I60" s="52">
        <f t="shared" si="55"/>
        <v>3.867</v>
      </c>
      <c r="K60" s="52">
        <f t="shared" si="56"/>
        <v>6.8426615676038196</v>
      </c>
      <c r="L60" s="135">
        <f t="shared" si="57"/>
        <v>2.8623285180273683E-5</v>
      </c>
      <c r="N60" s="131">
        <f t="shared" si="48"/>
        <v>0.31729237574852004</v>
      </c>
      <c r="O60" s="131">
        <f t="shared" si="49"/>
        <v>0.31729237574852004</v>
      </c>
      <c r="P60" s="55">
        <f t="shared" si="50"/>
        <v>0.99999999999999989</v>
      </c>
      <c r="Q60" s="135">
        <f>_xll.xSPRDOPT(I60,H60,AQ60,0,O60,N60,P60,D60-$G$5,1,0)*AH60*AU60</f>
        <v>6.8426901908889999</v>
      </c>
      <c r="R60" s="135"/>
      <c r="S60" s="181">
        <f>_xll.xSPRDOPT(I60,H60,AQ60,AT60,O60,N60,P60,D60-$G$5,1,2)*AF60*(F60/(1-AR60))*AH60</f>
        <v>-13020.48738858308</v>
      </c>
      <c r="T60" s="181">
        <f>_xll.xSPRDOPT(I60,H60,AQ60,AT60,O60,N60,P60,D60-$G$5,1,1)*AF60*F60*AH60</f>
        <v>12662.423985457184</v>
      </c>
      <c r="U60" s="135"/>
      <c r="V60" s="146">
        <f t="shared" si="58"/>
        <v>10.042905173590787</v>
      </c>
      <c r="W60" s="146"/>
      <c r="X60" s="338">
        <f t="shared" si="59"/>
        <v>0</v>
      </c>
      <c r="Y60" s="338">
        <f t="shared" si="60"/>
        <v>0</v>
      </c>
      <c r="Z60" s="338">
        <f t="shared" si="61"/>
        <v>1.2080541866878456</v>
      </c>
      <c r="AA60" s="338">
        <f t="shared" si="62"/>
        <v>1.9120837913143811E-5</v>
      </c>
      <c r="AB60" s="338">
        <f t="shared" si="63"/>
        <v>0</v>
      </c>
      <c r="AC60" s="338">
        <f t="shared" si="64"/>
        <v>1.2221811453643407</v>
      </c>
      <c r="AF60" s="138">
        <f t="shared" si="65"/>
        <v>1</v>
      </c>
      <c r="AG60" s="138">
        <f t="shared" si="66"/>
        <v>3</v>
      </c>
      <c r="AH60" s="138">
        <f t="shared" si="67"/>
        <v>31</v>
      </c>
      <c r="AI60" s="138">
        <f t="shared" si="88"/>
        <v>1170</v>
      </c>
      <c r="AJ60" s="138">
        <f t="shared" si="68"/>
        <v>1187</v>
      </c>
      <c r="AL60" s="136">
        <f t="shared" si="69"/>
        <v>3.4670000000000001</v>
      </c>
      <c r="AM60" s="258">
        <f t="shared" si="70"/>
        <v>5.0000000000000001E-3</v>
      </c>
      <c r="AN60" s="258">
        <f t="shared" si="71"/>
        <v>7.4999999999999997E-3</v>
      </c>
      <c r="AO60" s="258">
        <f t="shared" si="72"/>
        <v>0.4</v>
      </c>
      <c r="AP60" s="258">
        <f t="shared" si="73"/>
        <v>0</v>
      </c>
      <c r="AQ60" s="136">
        <f t="shared" si="74"/>
        <v>3.3399999999999999E-2</v>
      </c>
      <c r="AR60" s="137">
        <f t="shared" si="75"/>
        <v>2.75E-2</v>
      </c>
      <c r="AS60" s="136">
        <f t="shared" si="76"/>
        <v>3.4794999999999998</v>
      </c>
      <c r="AT60" s="137">
        <f t="shared" si="77"/>
        <v>4.5894553715070799E-2</v>
      </c>
      <c r="AU60" s="137">
        <f t="shared" si="78"/>
        <v>0.86321524918480574</v>
      </c>
      <c r="AV60" s="394">
        <f t="shared" si="79"/>
        <v>347.87574542147672</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6.1718959174647789E-7</v>
      </c>
      <c r="BG60" s="137">
        <f>_xll.xSPRDOPT($BW60,$BV60,$CG60,0,$BY60,$BX60,$BZ60,$AJ60,1,3)*$CB60</f>
        <v>2.0572986391549265E-7</v>
      </c>
      <c r="BH60" s="137">
        <f>IF(OR(BF60&lt;&gt;0,BG60&lt;&gt;0),_xll.xSPRDOPT($BW60,$BV60,$CG60,0,$BY60,$BX60,$BZ60,$AJ60,1,12)*$CB60,0)</f>
        <v>-2.0572986391549265E-7</v>
      </c>
      <c r="BI60" s="137">
        <f>_xll.xSPRDOPT($BW60,$BV60,$CG60,2*LN(1+CA60/2),$BY60,$BX60,$BZ60,$AJ60,1,9)</f>
        <v>1.0009568342809664E-2</v>
      </c>
      <c r="BJ60" s="137">
        <f>_xll.xSPRDOPT($BW60,$BV60,$CG60,0,$BY60,$BX60,$BZ60,$AJ60,1,6)*$CB60</f>
        <v>-6.617002197121881E-4</v>
      </c>
      <c r="BK60" s="137">
        <f>_xll.xSPRDOPT($BW60,$BV60,$CG60,0,$BY60,$BX60,$BZ60,$AJ60,1,5)*$CB60</f>
        <v>7.1516822728473429E-4</v>
      </c>
      <c r="BL60" s="137">
        <f>_xll.xSPRDOPT(BW60,BV60,CG60,0,BY60,BX60,BZ60,AJ60,1,2)*CB60</f>
        <v>-0.86286959362160687</v>
      </c>
      <c r="BM60" s="137">
        <f>_xll.xSPRDOPT(BW60,BV60,CG60,0,BY60,BX60,BZ60,AJ60,1,1)*CB60</f>
        <v>0.86286959362474602</v>
      </c>
      <c r="BN60" s="137">
        <f>IF(AH60&lt;&gt;0,_xll.xSPRDOPT($BW60,$BV60,$CG60,2*LN(1+CA60/2),$BY60,$BX60,$BZ60,$AJ60,1,8)+(AJ60/365.25)*CH60/AH60,0)</f>
        <v>0.33536366670948026</v>
      </c>
      <c r="BO60" s="137">
        <f>_xll.xSPRDOPT($BW60,$BV60,$CG60,0,$BY60,$BX60,$BZ60,$AJ60,1,0)</f>
        <v>0.25570906217893496</v>
      </c>
      <c r="BP60" s="137"/>
      <c r="BQ60" s="137"/>
      <c r="BR60" s="137"/>
      <c r="BS60" s="137"/>
      <c r="BV60" s="262">
        <v>3.5778920308483286</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87"/>
        <v>38457</v>
      </c>
      <c r="F61" s="28">
        <f t="shared" si="52"/>
        <v>474</v>
      </c>
      <c r="G61" s="28">
        <f t="shared" si="53"/>
        <v>406.920584090663</v>
      </c>
      <c r="H61" s="52">
        <f t="shared" si="54"/>
        <v>3.3928020565552695</v>
      </c>
      <c r="I61" s="52">
        <f t="shared" si="55"/>
        <v>3.8820000000000001</v>
      </c>
      <c r="K61" s="52">
        <f t="shared" si="56"/>
        <v>11.738833251509671</v>
      </c>
      <c r="L61" s="135">
        <f t="shared" si="57"/>
        <v>1.3116162023152356E-6</v>
      </c>
      <c r="N61" s="131">
        <f t="shared" si="48"/>
        <v>0.29897853273193292</v>
      </c>
      <c r="O61" s="131">
        <f t="shared" si="49"/>
        <v>0.29897853273193292</v>
      </c>
      <c r="P61" s="55">
        <f t="shared" si="50"/>
        <v>0.99999999999999989</v>
      </c>
      <c r="Q61" s="135">
        <f>_xll.xSPRDOPT(I61,H61,AQ61,0,O61,N61,P61,D61-$G$5,1,0)*AH61*AU61</f>
        <v>11.738834563125874</v>
      </c>
      <c r="R61" s="135"/>
      <c r="S61" s="181">
        <f>_xll.xSPRDOPT(I61,H61,AQ61,AT61,O61,N61,P61,D61-$G$5,1,2)*AF61*(F61/(1-AR61))*AH61</f>
        <v>-12530.705128418685</v>
      </c>
      <c r="T61" s="181">
        <f>_xll.xSPRDOPT(I61,H61,AQ61,AT61,O61,N61,P61,D61-$G$5,1,1)*AF61*F61*AH61</f>
        <v>12186.110737413037</v>
      </c>
      <c r="U61" s="135"/>
      <c r="V61" s="146">
        <f t="shared" si="58"/>
        <v>9.6656515955206217</v>
      </c>
      <c r="W61" s="146"/>
      <c r="X61" s="338">
        <f t="shared" si="59"/>
        <v>0</v>
      </c>
      <c r="Y61" s="338">
        <f t="shared" si="60"/>
        <v>0</v>
      </c>
      <c r="Z61" s="338">
        <f t="shared" si="61"/>
        <v>2.0955998442280324</v>
      </c>
      <c r="AA61" s="338">
        <f t="shared" si="62"/>
        <v>1.625365501858161E-8</v>
      </c>
      <c r="AB61" s="338">
        <f t="shared" si="63"/>
        <v>0</v>
      </c>
      <c r="AC61" s="338">
        <f t="shared" si="64"/>
        <v>2.119818099326733</v>
      </c>
      <c r="AF61" s="138">
        <f t="shared" si="65"/>
        <v>1</v>
      </c>
      <c r="AG61" s="138">
        <f t="shared" si="66"/>
        <v>4</v>
      </c>
      <c r="AH61" s="138">
        <f t="shared" si="67"/>
        <v>30</v>
      </c>
      <c r="AI61" s="138">
        <f t="shared" si="88"/>
        <v>1201</v>
      </c>
      <c r="AJ61" s="138">
        <f t="shared" si="68"/>
        <v>1218</v>
      </c>
      <c r="AL61" s="136">
        <f t="shared" si="69"/>
        <v>3.282</v>
      </c>
      <c r="AM61" s="258">
        <f t="shared" si="70"/>
        <v>0.01</v>
      </c>
      <c r="AN61" s="258">
        <f t="shared" si="71"/>
        <v>7.4999999999999997E-3</v>
      </c>
      <c r="AO61" s="258">
        <f t="shared" si="72"/>
        <v>0.6</v>
      </c>
      <c r="AP61" s="258">
        <f t="shared" si="73"/>
        <v>0</v>
      </c>
      <c r="AQ61" s="136">
        <f t="shared" si="74"/>
        <v>3.3399999999999999E-2</v>
      </c>
      <c r="AR61" s="137">
        <f t="shared" si="75"/>
        <v>2.75E-2</v>
      </c>
      <c r="AS61" s="136">
        <f t="shared" si="76"/>
        <v>3.2994999999999997</v>
      </c>
      <c r="AT61" s="137">
        <f t="shared" si="77"/>
        <v>4.6401056415071598E-2</v>
      </c>
      <c r="AU61" s="137">
        <f t="shared" si="78"/>
        <v>0.85848224491701053</v>
      </c>
      <c r="AV61" s="394">
        <f t="shared" si="79"/>
        <v>334.80807551763411</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-9.2070457320063828E-7</v>
      </c>
      <c r="BG61" s="137">
        <f>_xll.xSPRDOPT($BW61,$BV61,$CG61,0,$BY61,$BX61,$BZ61,$AJ61,1,3)*$CB61</f>
        <v>-1.0230050813340425E-7</v>
      </c>
      <c r="BH61" s="137">
        <f>IF(OR(BF61&lt;&gt;0,BG61&lt;&gt;0),_xll.xSPRDOPT($BW61,$BV61,$CG61,0,$BY61,$BX61,$BZ61,$AJ61,1,12)*$CB61,0)</f>
        <v>2.0460101626680849E-7</v>
      </c>
      <c r="BI61" s="137">
        <f>_xll.xSPRDOPT($BW61,$BV61,$CG61,2*LN(1+CA61/2),$BY61,$BX61,$BZ61,$AJ61,1,9)</f>
        <v>1.7942284179659838E-2</v>
      </c>
      <c r="BJ61" s="137">
        <f>_xll.xSPRDOPT($BW61,$BV61,$CG61,0,$BY61,$BX61,$BZ61,$AJ61,1,6)*$CB61</f>
        <v>-2.1839722218227359E-6</v>
      </c>
      <c r="BK61" s="137">
        <f>_xll.xSPRDOPT($BW61,$BV61,$CG61,0,$BY61,$BX61,$BZ61,$AJ61,1,5)*$CB61</f>
        <v>2.4988742779414514E-6</v>
      </c>
      <c r="BL61" s="137">
        <f>_xll.xSPRDOPT(BW61,BV61,CG61,0,BY61,BX61,BZ61,AJ61,1,2)*CB61</f>
        <v>-0.85815886529176233</v>
      </c>
      <c r="BM61" s="137">
        <f>_xll.xSPRDOPT(BW61,BV61,CG61,0,BY61,BX61,BZ61,AJ61,1,1)*CB61</f>
        <v>0.85815886528942087</v>
      </c>
      <c r="BN61" s="137">
        <f>IF(AH61&lt;&gt;0,_xll.xSPRDOPT($BW61,$BV61,$CG61,2*LN(1+CA61/2),$BY61,$BX61,$BZ61,$AJ61,1,8)+(AJ61/365.25)*CH61/AH61,0)</f>
        <v>-0.23036145636864447</v>
      </c>
      <c r="BO61" s="137">
        <f>_xll.xSPRDOPT($BW61,$BV61,$CG61,0,$BY61,$BX61,$BZ61,$AJ61,1,0)</f>
        <v>0.45579799450662345</v>
      </c>
      <c r="BP61" s="137"/>
      <c r="BQ61" s="137"/>
      <c r="BR61" s="137"/>
      <c r="BS61" s="137"/>
      <c r="BV61" s="262">
        <v>3.3928020565552695</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87"/>
        <v>38487</v>
      </c>
      <c r="F62" s="28">
        <f t="shared" si="52"/>
        <v>300</v>
      </c>
      <c r="G62" s="28">
        <f t="shared" si="53"/>
        <v>256.18706530531529</v>
      </c>
      <c r="H62" s="52">
        <f t="shared" si="54"/>
        <v>3.3876606683804624</v>
      </c>
      <c r="I62" s="52">
        <f t="shared" si="55"/>
        <v>4.0270000000000001</v>
      </c>
      <c r="K62" s="52">
        <f t="shared" si="56"/>
        <v>16.040827975802937</v>
      </c>
      <c r="L62" s="135">
        <f t="shared" si="57"/>
        <v>1.616249150515614E-6</v>
      </c>
      <c r="N62" s="131">
        <f t="shared" si="48"/>
        <v>0.29252740451228487</v>
      </c>
      <c r="O62" s="131">
        <f t="shared" si="49"/>
        <v>0.29252740451228487</v>
      </c>
      <c r="P62" s="55">
        <f t="shared" si="50"/>
        <v>0.99999999999999989</v>
      </c>
      <c r="Q62" s="135">
        <f>_xll.xSPRDOPT(I62,H62,AQ62,0,O62,N62,P62,D62-$G$5,1,0)*AH62*AU62</f>
        <v>16.040829592052088</v>
      </c>
      <c r="R62" s="135"/>
      <c r="S62" s="181">
        <f>_xll.xSPRDOPT(I62,H62,AQ62,AT62,O62,N62,P62,D62-$G$5,1,2)*AF62*(F62/(1-AR62))*AH62</f>
        <v>-8151.3445916938972</v>
      </c>
      <c r="T62" s="181">
        <f>_xll.xSPRDOPT(I62,H62,AQ62,AT62,O62,N62,P62,D62-$G$5,1,1)*AF62*F62*AH62</f>
        <v>7927.1826152869835</v>
      </c>
      <c r="U62" s="135"/>
      <c r="V62" s="146">
        <f t="shared" si="58"/>
        <v>9.9351905796054325</v>
      </c>
      <c r="W62" s="146"/>
      <c r="X62" s="338">
        <f t="shared" si="59"/>
        <v>0</v>
      </c>
      <c r="Y62" s="338">
        <f t="shared" si="60"/>
        <v>0</v>
      </c>
      <c r="Z62" s="338">
        <f t="shared" si="61"/>
        <v>1.8299828174015629</v>
      </c>
      <c r="AA62" s="338">
        <f t="shared" si="62"/>
        <v>-3.9100068378747362E-9</v>
      </c>
      <c r="AB62" s="338">
        <f t="shared" si="63"/>
        <v>0</v>
      </c>
      <c r="AC62" s="338">
        <f t="shared" si="64"/>
        <v>1.8513365775619299</v>
      </c>
      <c r="AF62" s="138">
        <f t="shared" si="65"/>
        <v>1</v>
      </c>
      <c r="AG62" s="138">
        <f t="shared" si="66"/>
        <v>5</v>
      </c>
      <c r="AH62" s="138">
        <f t="shared" si="67"/>
        <v>31</v>
      </c>
      <c r="AI62" s="138">
        <f t="shared" si="88"/>
        <v>1231</v>
      </c>
      <c r="AJ62" s="138">
        <f t="shared" si="68"/>
        <v>1248</v>
      </c>
      <c r="AL62" s="136">
        <f t="shared" si="69"/>
        <v>3.2770000000000001</v>
      </c>
      <c r="AM62" s="258">
        <f t="shared" si="70"/>
        <v>0.01</v>
      </c>
      <c r="AN62" s="258">
        <f t="shared" si="71"/>
        <v>7.4999999999999997E-3</v>
      </c>
      <c r="AO62" s="258">
        <f t="shared" si="72"/>
        <v>0.75</v>
      </c>
      <c r="AP62" s="258">
        <f t="shared" si="73"/>
        <v>0</v>
      </c>
      <c r="AQ62" s="136">
        <f t="shared" si="74"/>
        <v>3.3399999999999999E-2</v>
      </c>
      <c r="AR62" s="137">
        <f t="shared" si="75"/>
        <v>2.75E-2</v>
      </c>
      <c r="AS62" s="136">
        <f t="shared" si="76"/>
        <v>3.2944999999999998</v>
      </c>
      <c r="AT62" s="137">
        <f t="shared" si="77"/>
        <v>4.6856677050253197E-2</v>
      </c>
      <c r="AU62" s="137">
        <f t="shared" si="78"/>
        <v>0.85395688435105088</v>
      </c>
      <c r="AV62" s="394">
        <f t="shared" si="79"/>
        <v>211.78130731906063</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2.035217483747998E-7</v>
      </c>
      <c r="BG62" s="137">
        <f>_xll.xSPRDOPT($BW62,$BV62,$CG62,0,$BY62,$BX62,$BZ62,$AJ62,1,3)*$CB62</f>
        <v>4.0704349674959959E-7</v>
      </c>
      <c r="BH62" s="137">
        <f>IF(OR(BF62&lt;&gt;0,BG62&lt;&gt;0),_xll.xSPRDOPT($BW62,$BV62,$CG62,0,$BY62,$BX62,$BZ62,$AJ62,1,12)*$CB62,0)</f>
        <v>0</v>
      </c>
      <c r="BI62" s="137">
        <f>_xll.xSPRDOPT($BW62,$BV62,$CG62,2*LN(1+CA62/2),$BY62,$BX62,$BZ62,$AJ62,1,9)</f>
        <v>2.39570331202839E-2</v>
      </c>
      <c r="BJ62" s="137">
        <f>_xll.xSPRDOPT($BW62,$BV62,$CG62,0,$BY62,$BX62,$BZ62,$AJ62,1,6)*$CB62</f>
        <v>3.687970393831558E-7</v>
      </c>
      <c r="BK62" s="137">
        <f>_xll.xSPRDOPT($BW62,$BV62,$CG62,0,$BY62,$BX62,$BZ62,$AJ62,1,5)*$CB62</f>
        <v>-4.3838122114524441E-7</v>
      </c>
      <c r="BL62" s="137">
        <f>_xll.xSPRDOPT(BW62,BV62,CG62,0,BY62,BX62,BZ62,AJ62,1,2)*CB62</f>
        <v>-0.85363216461126135</v>
      </c>
      <c r="BM62" s="137">
        <f>_xll.xSPRDOPT(BW62,BV62,CG62,0,BY62,BX62,BZ62,AJ62,1,1)*CB62</f>
        <v>0.85363216460039204</v>
      </c>
      <c r="BN62" s="137">
        <f>IF(AH62&lt;&gt;0,_xll.xSPRDOPT($BW62,$BV62,$CG62,2*LN(1+CA62/2),$BY62,$BX62,$BZ62,$AJ62,1,8)+(AJ62/365.25)*CH62/AH62,0)</f>
        <v>-0.67271107233776517</v>
      </c>
      <c r="BO62" s="137">
        <f>_xll.xSPRDOPT($BW62,$BV62,$CG62,0,$BY62,$BX62,$BZ62,$AJ62,1,0)</f>
        <v>0.60593939264491492</v>
      </c>
      <c r="BP62" s="137"/>
      <c r="BQ62" s="137"/>
      <c r="BR62" s="137"/>
      <c r="BS62" s="137"/>
      <c r="BV62" s="262">
        <v>3.3876606683804624</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3.3399999999999999E-2</v>
      </c>
      <c r="CH62" s="258">
        <v>9.9314117466838621</v>
      </c>
      <c r="CI62" s="258">
        <v>3.2770000000000001</v>
      </c>
      <c r="CJ62" s="258"/>
      <c r="CK62" s="258"/>
      <c r="CL62" s="258"/>
      <c r="CM62" s="258"/>
    </row>
    <row r="63" spans="1:91" x14ac:dyDescent="0.25">
      <c r="A63" s="723"/>
      <c r="B63" s="723"/>
      <c r="D63" s="31">
        <f t="shared" si="87"/>
        <v>38518</v>
      </c>
      <c r="F63" s="28">
        <f t="shared" si="52"/>
        <v>300</v>
      </c>
      <c r="G63" s="28">
        <f t="shared" si="53"/>
        <v>254.77223705382264</v>
      </c>
      <c r="H63" s="52">
        <f t="shared" si="54"/>
        <v>3.4262210796915165</v>
      </c>
      <c r="I63" s="52">
        <f t="shared" si="55"/>
        <v>4.1619999999999999</v>
      </c>
      <c r="K63" s="52">
        <f t="shared" si="56"/>
        <v>17.894664878644097</v>
      </c>
      <c r="L63" s="135">
        <f t="shared" si="57"/>
        <v>1.7875489426444346E-6</v>
      </c>
      <c r="N63" s="131">
        <f t="shared" si="48"/>
        <v>0.29238802915440232</v>
      </c>
      <c r="O63" s="131">
        <f t="shared" si="49"/>
        <v>0.29238802915440232</v>
      </c>
      <c r="P63" s="55">
        <f t="shared" si="50"/>
        <v>0.99999999999999978</v>
      </c>
      <c r="Q63" s="135">
        <f>_xll.xSPRDOPT(I63,H63,AQ63,0,O63,N63,P63,D63-$G$5,1,0)*AH63*AU63</f>
        <v>17.894666666193039</v>
      </c>
      <c r="R63" s="135"/>
      <c r="S63" s="181">
        <f>_xll.xSPRDOPT(I63,H63,AQ63,AT63,O63,N63,P63,D63-$G$5,1,2)*AF63*(F63/(1-AR63))*AH63</f>
        <v>-7844.176619844633</v>
      </c>
      <c r="T63" s="181">
        <f>_xll.xSPRDOPT(I63,H63,AQ63,AT63,O63,N63,P63,D63-$G$5,1,1)*AF63*F63*AH63</f>
        <v>7628.4617627989064</v>
      </c>
      <c r="U63" s="135"/>
      <c r="V63" s="146">
        <f t="shared" si="58"/>
        <v>9.5616020566299635</v>
      </c>
      <c r="W63" s="146"/>
      <c r="X63" s="338">
        <f t="shared" si="59"/>
        <v>0</v>
      </c>
      <c r="Y63" s="338">
        <f t="shared" si="60"/>
        <v>0</v>
      </c>
      <c r="Z63" s="338">
        <f t="shared" si="61"/>
        <v>2.0617404262615624</v>
      </c>
      <c r="AA63" s="338">
        <f t="shared" si="62"/>
        <v>-5.8358682285572835E-9</v>
      </c>
      <c r="AB63" s="338">
        <f t="shared" si="63"/>
        <v>0</v>
      </c>
      <c r="AC63" s="338">
        <f t="shared" si="64"/>
        <v>2.0860392224824391</v>
      </c>
      <c r="AF63" s="138">
        <f t="shared" si="65"/>
        <v>1</v>
      </c>
      <c r="AG63" s="138">
        <f t="shared" si="66"/>
        <v>6</v>
      </c>
      <c r="AH63" s="138">
        <f t="shared" si="67"/>
        <v>30</v>
      </c>
      <c r="AI63" s="138">
        <f t="shared" si="88"/>
        <v>1262</v>
      </c>
      <c r="AJ63" s="138">
        <f t="shared" si="68"/>
        <v>1279</v>
      </c>
      <c r="AL63" s="136">
        <f t="shared" si="69"/>
        <v>3.3119999999999998</v>
      </c>
      <c r="AM63" s="258">
        <f t="shared" si="70"/>
        <v>1.2500000000000001E-2</v>
      </c>
      <c r="AN63" s="258">
        <f t="shared" si="71"/>
        <v>7.4999999999999997E-3</v>
      </c>
      <c r="AO63" s="258">
        <f t="shared" si="72"/>
        <v>0.85</v>
      </c>
      <c r="AP63" s="258">
        <f t="shared" si="73"/>
        <v>0</v>
      </c>
      <c r="AQ63" s="136">
        <f t="shared" si="74"/>
        <v>3.3399999999999999E-2</v>
      </c>
      <c r="AR63" s="137">
        <f t="shared" si="75"/>
        <v>2.75E-2</v>
      </c>
      <c r="AS63" s="136">
        <f t="shared" si="76"/>
        <v>3.3319999999999999</v>
      </c>
      <c r="AT63" s="137">
        <f t="shared" si="77"/>
        <v>4.7327485112866399E-2</v>
      </c>
      <c r="AU63" s="137">
        <f t="shared" si="78"/>
        <v>0.84924079017940879</v>
      </c>
      <c r="AV63" s="394">
        <f t="shared" si="79"/>
        <v>203.81778964305812</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-1.0119850345082555E-6</v>
      </c>
      <c r="BG63" s="137">
        <f>_xll.xSPRDOPT($BW63,$BV63,$CG63,0,$BY63,$BX63,$BZ63,$AJ63,1,3)*$CB63</f>
        <v>-6.0719102070495325E-7</v>
      </c>
      <c r="BH63" s="137">
        <f>IF(OR(BF63&lt;&gt;0,BG63&lt;&gt;0),_xll.xSPRDOPT($BW63,$BV63,$CG63,0,$BY63,$BX63,$BZ63,$AJ63,1,12)*$CB63,0)</f>
        <v>3.0359551035247662E-7</v>
      </c>
      <c r="BI63" s="137">
        <f>_xll.xSPRDOPT($BW63,$BV63,$CG63,2*LN(1+CA63/2),$BY63,$BX63,$BZ63,$AJ63,1,9)</f>
        <v>2.789076632192725E-2</v>
      </c>
      <c r="BJ63" s="137">
        <f>_xll.xSPRDOPT($BW63,$BV63,$CG63,0,$BY63,$BX63,$BZ63,$AJ63,1,6)*$CB63</f>
        <v>5.4164589804995142E-7</v>
      </c>
      <c r="BK63" s="137">
        <f>_xll.xSPRDOPT($BW63,$BV63,$CG63,0,$BY63,$BX63,$BZ63,$AJ63,1,5)*$CB63</f>
        <v>-6.5797411256225401E-7</v>
      </c>
      <c r="BL63" s="137">
        <f>_xll.xSPRDOPT(BW63,BV63,CG63,0,BY63,BX63,BZ63,AJ63,1,2)*CB63</f>
        <v>-0.84891466019264261</v>
      </c>
      <c r="BM63" s="137">
        <f>_xll.xSPRDOPT(BW63,BV63,CG63,0,BY63,BX63,BZ63,AJ63,1,1)*CB63</f>
        <v>0.84891466019573092</v>
      </c>
      <c r="BN63" s="137">
        <f>IF(AH63&lt;&gt;0,_xll.xSPRDOPT($BW63,$BV63,$CG63,2*LN(1+CA63/2),$BY63,$BX63,$BZ63,$AJ63,1,8)+(AJ63/365.25)*CH63/AH63,0)</f>
        <v>-0.97229255165823281</v>
      </c>
      <c r="BO63" s="137">
        <f>_xll.xSPRDOPT($BW63,$BV63,$CG63,0,$BY63,$BX63,$BZ63,$AJ63,1,0)</f>
        <v>0.70237899042489749</v>
      </c>
      <c r="BP63" s="137"/>
      <c r="BQ63" s="137"/>
      <c r="BR63" s="137"/>
      <c r="BS63" s="137"/>
      <c r="BV63" s="262">
        <v>3.4262210796915165</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3.3399999999999999E-2</v>
      </c>
      <c r="CH63" s="258">
        <v>9.557929207081477</v>
      </c>
      <c r="CI63" s="258">
        <v>3.3119999999999998</v>
      </c>
      <c r="CJ63" s="258"/>
      <c r="CK63" s="258"/>
      <c r="CL63" s="258"/>
      <c r="CM63" s="258"/>
    </row>
    <row r="64" spans="1:91" x14ac:dyDescent="0.25">
      <c r="A64" s="723"/>
      <c r="B64" s="723"/>
      <c r="D64" s="31">
        <f t="shared" si="87"/>
        <v>38548</v>
      </c>
      <c r="F64" s="28">
        <f t="shared" si="52"/>
        <v>300</v>
      </c>
      <c r="G64" s="28">
        <f t="shared" si="53"/>
        <v>253.41176269852235</v>
      </c>
      <c r="H64" s="52">
        <f t="shared" si="54"/>
        <v>3.467352185089974</v>
      </c>
      <c r="I64" s="52">
        <f t="shared" si="55"/>
        <v>4.4020000000000001</v>
      </c>
      <c r="K64" s="52">
        <f t="shared" si="56"/>
        <v>23.599969065135937</v>
      </c>
      <c r="L64" s="135">
        <f t="shared" si="57"/>
        <v>2.3638780533019599E-6</v>
      </c>
      <c r="N64" s="131">
        <f t="shared" si="48"/>
        <v>0.28848877686763669</v>
      </c>
      <c r="O64" s="131">
        <f t="shared" si="49"/>
        <v>0.28848877686763669</v>
      </c>
      <c r="P64" s="55">
        <f t="shared" si="50"/>
        <v>1.0000000000000002</v>
      </c>
      <c r="Q64" s="135">
        <f>_xll.xSPRDOPT(I64,H64,AQ64,0,O64,N64,P64,D64-$G$5,1,0)*AH64*AU64</f>
        <v>23.599971429013991</v>
      </c>
      <c r="R64" s="135"/>
      <c r="S64" s="181">
        <f>_xll.xSPRDOPT(I64,H64,AQ64,AT64,O64,N64,P64,D64-$G$5,1,2)*AF64*(F64/(1-AR64))*AH64</f>
        <v>-8061.710433213686</v>
      </c>
      <c r="T64" s="181">
        <f>_xll.xSPRDOPT(I64,H64,AQ64,AT64,O64,N64,P64,D64-$G$5,1,1)*AF64*F64*AH64</f>
        <v>7840.0133961649772</v>
      </c>
      <c r="U64" s="135"/>
      <c r="V64" s="146">
        <f t="shared" si="58"/>
        <v>9.8275615692113956</v>
      </c>
      <c r="W64" s="146"/>
      <c r="X64" s="338">
        <f t="shared" si="59"/>
        <v>0</v>
      </c>
      <c r="Y64" s="338">
        <f t="shared" si="60"/>
        <v>0</v>
      </c>
      <c r="Z64" s="338">
        <f t="shared" si="61"/>
        <v>2.7436550604977699</v>
      </c>
      <c r="AA64" s="338">
        <f t="shared" si="62"/>
        <v>-1.1899837450638457E-8</v>
      </c>
      <c r="AB64" s="338">
        <f t="shared" si="63"/>
        <v>0</v>
      </c>
      <c r="AC64" s="338">
        <f t="shared" si="64"/>
        <v>2.7762852799904878</v>
      </c>
      <c r="AF64" s="138">
        <f t="shared" si="65"/>
        <v>1</v>
      </c>
      <c r="AG64" s="138">
        <f t="shared" si="66"/>
        <v>7</v>
      </c>
      <c r="AH64" s="138">
        <f t="shared" si="67"/>
        <v>31</v>
      </c>
      <c r="AI64" s="138">
        <f t="shared" si="88"/>
        <v>1292</v>
      </c>
      <c r="AJ64" s="138">
        <f t="shared" si="68"/>
        <v>1309</v>
      </c>
      <c r="AL64" s="136">
        <f t="shared" si="69"/>
        <v>3.3519999999999999</v>
      </c>
      <c r="AM64" s="258">
        <f t="shared" si="70"/>
        <v>1.2500000000000001E-2</v>
      </c>
      <c r="AN64" s="258">
        <f t="shared" si="71"/>
        <v>7.4999999999999997E-3</v>
      </c>
      <c r="AO64" s="258">
        <f t="shared" si="72"/>
        <v>1.05</v>
      </c>
      <c r="AP64" s="258">
        <f t="shared" si="73"/>
        <v>0</v>
      </c>
      <c r="AQ64" s="136">
        <f t="shared" si="74"/>
        <v>3.3399999999999999E-2</v>
      </c>
      <c r="AR64" s="137">
        <f t="shared" si="75"/>
        <v>2.75E-2</v>
      </c>
      <c r="AS64" s="136">
        <f t="shared" si="76"/>
        <v>3.3719999999999999</v>
      </c>
      <c r="AT64" s="137">
        <f t="shared" si="77"/>
        <v>4.7760481058800999E-2</v>
      </c>
      <c r="AU64" s="137">
        <f t="shared" si="78"/>
        <v>0.84470587566174116</v>
      </c>
      <c r="AV64" s="394">
        <f t="shared" si="79"/>
        <v>209.4870571641118</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1.6105241200229575E-6</v>
      </c>
      <c r="BG64" s="137">
        <f>_xll.xSPRDOPT($BW64,$BV64,$CG64,0,$BY64,$BX64,$BZ64,$AJ64,1,3)*$CB64</f>
        <v>6.0394654500860905E-7</v>
      </c>
      <c r="BH64" s="137">
        <f>IF(OR(BF64&lt;&gt;0,BG64&lt;&gt;0),_xll.xSPRDOPT($BW64,$BV64,$CG64,0,$BY64,$BX64,$BZ64,$AJ64,1,12)*$CB64,0)</f>
        <v>-3.0197327250430452E-7</v>
      </c>
      <c r="BI64" s="137">
        <f>_xll.xSPRDOPT($BW64,$BV64,$CG64,2*LN(1+CA64/2),$BY64,$BX64,$BZ64,$AJ64,1,9)</f>
        <v>3.5918279958667039E-2</v>
      </c>
      <c r="BJ64" s="137">
        <f>_xll.xSPRDOPT($BW64,$BV64,$CG64,0,$BY64,$BX64,$BZ64,$AJ64,1,6)*$CB64</f>
        <v>5.9801830846903344E-7</v>
      </c>
      <c r="BK64" s="137">
        <f>_xll.xSPRDOPT($BW64,$BV64,$CG64,0,$BY64,$BX64,$BZ64,$AJ64,1,5)*$CB64</f>
        <v>-7.5920481270647308E-7</v>
      </c>
      <c r="BL64" s="137">
        <f>_xll.xSPRDOPT(BW64,BV64,CG64,0,BY64,BX64,BZ64,AJ64,1,2)*CB64</f>
        <v>-0.8443785552293539</v>
      </c>
      <c r="BM64" s="137">
        <f>_xll.xSPRDOPT(BW64,BV64,CG64,0,BY64,BX64,BZ64,AJ64,1,1)*CB64</f>
        <v>0.84437855522013838</v>
      </c>
      <c r="BN64" s="137">
        <f>IF(AH64&lt;&gt;0,_xll.xSPRDOPT($BW64,$BV64,$CG64,2*LN(1+CA64/2),$BY64,$BX64,$BZ64,$AJ64,1,8)+(AJ64/365.25)*CH64/AH64,0)</f>
        <v>-1.5915830399170141</v>
      </c>
      <c r="BO64" s="137">
        <f>_xll.xSPRDOPT($BW64,$BV64,$CG64,0,$BY64,$BX64,$BZ64,$AJ64,1,0)</f>
        <v>0.9012479051214255</v>
      </c>
      <c r="BP64" s="137"/>
      <c r="BQ64" s="137"/>
      <c r="BR64" s="137"/>
      <c r="BS64" s="137"/>
      <c r="BV64" s="262">
        <v>3.467352185089974</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3.3399999999999999E-2</v>
      </c>
      <c r="CH64" s="258">
        <v>9.8237524316431823</v>
      </c>
      <c r="CI64" s="258">
        <v>3.3519999999999999</v>
      </c>
      <c r="CJ64" s="258"/>
      <c r="CK64" s="258"/>
      <c r="CL64" s="258"/>
      <c r="CM64" s="258"/>
    </row>
    <row r="65" spans="1:91" x14ac:dyDescent="0.25">
      <c r="A65" s="723"/>
      <c r="B65" s="723"/>
      <c r="D65" s="31">
        <f t="shared" si="87"/>
        <v>38579</v>
      </c>
      <c r="F65" s="28">
        <f t="shared" si="52"/>
        <v>300</v>
      </c>
      <c r="G65" s="28">
        <f t="shared" si="53"/>
        <v>252.01487046425595</v>
      </c>
      <c r="H65" s="52">
        <f t="shared" si="54"/>
        <v>3.5084832904884315</v>
      </c>
      <c r="I65" s="52">
        <f t="shared" si="55"/>
        <v>4.4420000000000002</v>
      </c>
      <c r="K65" s="52">
        <f t="shared" si="56"/>
        <v>23.440422248194594</v>
      </c>
      <c r="L65" s="135">
        <f t="shared" si="57"/>
        <v>2.3259699339917006E-6</v>
      </c>
      <c r="N65" s="131">
        <f t="shared" si="48"/>
        <v>0.28946051993952615</v>
      </c>
      <c r="O65" s="131">
        <f t="shared" si="49"/>
        <v>0.28946051993952615</v>
      </c>
      <c r="P65" s="55">
        <f t="shared" si="50"/>
        <v>0.99999999999999989</v>
      </c>
      <c r="Q65" s="135">
        <f>_xll.xSPRDOPT(I65,H65,AQ65,0,O65,N65,P65,D65-$G$5,1,0)*AH65*AU65</f>
        <v>23.440424574164528</v>
      </c>
      <c r="R65" s="135"/>
      <c r="S65" s="181">
        <f>_xll.xSPRDOPT(I65,H65,AQ65,AT65,O65,N65,P65,D65-$G$5,1,2)*AF65*(F65/(1-AR65))*AH65</f>
        <v>-8016.5969585387238</v>
      </c>
      <c r="T65" s="181">
        <f>_xll.xSPRDOPT(I65,H65,AQ65,AT65,O65,N65,P65,D65-$G$5,1,1)*AF65*F65*AH65</f>
        <v>7796.1405422465759</v>
      </c>
      <c r="U65" s="135"/>
      <c r="V65" s="146">
        <f t="shared" si="58"/>
        <v>9.7733886914743113</v>
      </c>
      <c r="W65" s="146"/>
      <c r="X65" s="338">
        <f t="shared" si="59"/>
        <v>0</v>
      </c>
      <c r="Y65" s="338">
        <f t="shared" si="60"/>
        <v>0</v>
      </c>
      <c r="Z65" s="338">
        <f t="shared" si="61"/>
        <v>2.7490977839504209</v>
      </c>
      <c r="AA65" s="338">
        <f t="shared" si="62"/>
        <v>-1.4920073716490315E-8</v>
      </c>
      <c r="AB65" s="338">
        <f t="shared" si="63"/>
        <v>0</v>
      </c>
      <c r="AC65" s="338">
        <f t="shared" si="64"/>
        <v>2.7820829907861246</v>
      </c>
      <c r="AF65" s="138">
        <f t="shared" si="65"/>
        <v>1</v>
      </c>
      <c r="AG65" s="138">
        <f t="shared" si="66"/>
        <v>8</v>
      </c>
      <c r="AH65" s="138">
        <f t="shared" si="67"/>
        <v>31</v>
      </c>
      <c r="AI65" s="138">
        <f t="shared" si="88"/>
        <v>1323</v>
      </c>
      <c r="AJ65" s="138">
        <f t="shared" si="68"/>
        <v>1340</v>
      </c>
      <c r="AL65" s="136">
        <f t="shared" si="69"/>
        <v>3.3919999999999999</v>
      </c>
      <c r="AM65" s="258">
        <f t="shared" si="70"/>
        <v>1.2500000000000001E-2</v>
      </c>
      <c r="AN65" s="258">
        <f t="shared" si="71"/>
        <v>7.4999999999999997E-3</v>
      </c>
      <c r="AO65" s="258">
        <f t="shared" si="72"/>
        <v>1.05</v>
      </c>
      <c r="AP65" s="258">
        <f t="shared" si="73"/>
        <v>0</v>
      </c>
      <c r="AQ65" s="136">
        <f t="shared" si="74"/>
        <v>3.3399999999999999E-2</v>
      </c>
      <c r="AR65" s="137">
        <f t="shared" si="75"/>
        <v>2.75E-2</v>
      </c>
      <c r="AS65" s="136">
        <f t="shared" si="76"/>
        <v>3.4119999999999999</v>
      </c>
      <c r="AT65" s="137">
        <f t="shared" si="77"/>
        <v>4.81861434694211E-2</v>
      </c>
      <c r="AU65" s="137">
        <f t="shared" si="78"/>
        <v>0.84004956821418653</v>
      </c>
      <c r="AV65" s="394">
        <f t="shared" si="79"/>
        <v>208.33229291711825</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-2.002051115266854E-7</v>
      </c>
      <c r="BG65" s="137">
        <f>_xll.xSPRDOPT($BW65,$BV65,$CG65,0,$BY65,$BX65,$BZ65,$AJ65,1,3)*$CB65</f>
        <v>8.0082044610674158E-7</v>
      </c>
      <c r="BH65" s="137">
        <f>IF(OR(BF65&lt;&gt;0,BG65&lt;&gt;0),_xll.xSPRDOPT($BW65,$BV65,$CG65,0,$BY65,$BX65,$BZ65,$AJ65,1,12)*$CB65,0)</f>
        <v>5.005127788167135E-7</v>
      </c>
      <c r="BI65" s="137">
        <f>_xll.xSPRDOPT($BW65,$BV65,$CG65,2*LN(1+CA65/2),$BY65,$BX65,$BZ65,$AJ65,1,9)</f>
        <v>3.5989532816770295E-2</v>
      </c>
      <c r="BJ65" s="137">
        <f>_xll.xSPRDOPT($BW65,$BV65,$CG65,0,$BY65,$BX65,$BZ65,$AJ65,1,6)*$CB65</f>
        <v>6.0914579080974804E-7</v>
      </c>
      <c r="BK65" s="137">
        <f>_xll.xSPRDOPT($BW65,$BV65,$CG65,0,$BY65,$BX65,$BZ65,$AJ65,1,5)*$CB65</f>
        <v>-7.7122364507190911E-7</v>
      </c>
      <c r="BL65" s="137">
        <f>_xll.xSPRDOPT(BW65,BV65,CG65,0,BY65,BX65,BZ65,AJ65,1,2)*CB65</f>
        <v>-0.83972118404513296</v>
      </c>
      <c r="BM65" s="137">
        <f>_xll.xSPRDOPT(BW65,BV65,CG65,0,BY65,BX65,BZ65,AJ65,1,1)*CB65</f>
        <v>0.83972118404666041</v>
      </c>
      <c r="BN65" s="137">
        <f>IF(AH65&lt;&gt;0,_xll.xSPRDOPT($BW65,$BV65,$CG65,2*LN(1+CA65/2),$BY65,$BX65,$BZ65,$AJ65,1,8)+(AJ65/365.25)*CH65/AH65,0)</f>
        <v>-1.6168039728380572</v>
      </c>
      <c r="BO65" s="137">
        <f>_xll.xSPRDOPT($BW65,$BV65,$CG65,0,$BY65,$BX65,$BZ65,$AJ65,1,0)</f>
        <v>0.90011679876860873</v>
      </c>
      <c r="BP65" s="137"/>
      <c r="BQ65" s="137"/>
      <c r="BR65" s="137"/>
      <c r="BS65" s="137"/>
      <c r="BV65" s="262">
        <v>3.5084832904884315</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3.3399999999999999E-2</v>
      </c>
      <c r="CH65" s="258">
        <v>9.7695671948564655</v>
      </c>
      <c r="CI65" s="258">
        <v>3.3919999999999999</v>
      </c>
      <c r="CJ65" s="258"/>
      <c r="CK65" s="258"/>
      <c r="CL65" s="258"/>
      <c r="CM65" s="258"/>
    </row>
    <row r="66" spans="1:91" x14ac:dyDescent="0.25">
      <c r="A66" s="723"/>
      <c r="B66" s="723"/>
      <c r="D66" s="31">
        <f t="shared" si="87"/>
        <v>38610</v>
      </c>
      <c r="F66" s="28">
        <f t="shared" si="52"/>
        <v>300</v>
      </c>
      <c r="G66" s="28">
        <f t="shared" si="53"/>
        <v>250.60807531181021</v>
      </c>
      <c r="H66" s="52">
        <f t="shared" si="54"/>
        <v>3.4982005141388171</v>
      </c>
      <c r="I66" s="52">
        <f t="shared" si="55"/>
        <v>4.1370000000000005</v>
      </c>
      <c r="K66" s="52">
        <f t="shared" si="56"/>
        <v>15.171799994643065</v>
      </c>
      <c r="L66" s="135">
        <f t="shared" si="57"/>
        <v>1.5087026969951012E-6</v>
      </c>
      <c r="N66" s="131">
        <f t="shared" si="48"/>
        <v>0.28922221332025494</v>
      </c>
      <c r="O66" s="131">
        <f t="shared" si="49"/>
        <v>0.28922221332025494</v>
      </c>
      <c r="P66" s="55">
        <f t="shared" si="50"/>
        <v>0.99999999999999989</v>
      </c>
      <c r="Q66" s="135">
        <f>_xll.xSPRDOPT(I66,H66,AQ66,0,O66,N66,P66,D66-$G$5,1,0)*AH66*AU66</f>
        <v>15.171801503345762</v>
      </c>
      <c r="R66" s="135"/>
      <c r="S66" s="181">
        <f>_xll.xSPRDOPT(I66,H66,AQ66,AT66,O66,N66,P66,D66-$G$5,1,2)*AF66*(F66/(1-AR66))*AH66</f>
        <v>-7714.0255910806045</v>
      </c>
      <c r="T66" s="181">
        <f>_xll.xSPRDOPT(I66,H66,AQ66,AT66,O66,N66,P66,D66-$G$5,1,1)*AF66*F66*AH66</f>
        <v>7501.889887440484</v>
      </c>
      <c r="U66" s="135"/>
      <c r="V66" s="146">
        <f t="shared" si="58"/>
        <v>9.4053210664522382</v>
      </c>
      <c r="W66" s="146"/>
      <c r="X66" s="338">
        <f t="shared" si="59"/>
        <v>0</v>
      </c>
      <c r="Y66" s="338">
        <f t="shared" si="60"/>
        <v>0</v>
      </c>
      <c r="Z66" s="338">
        <f t="shared" si="61"/>
        <v>1.7948765104560038</v>
      </c>
      <c r="AA66" s="338">
        <f t="shared" si="62"/>
        <v>1.8198790601703918E-9</v>
      </c>
      <c r="AB66" s="338">
        <f t="shared" si="63"/>
        <v>0</v>
      </c>
      <c r="AC66" s="338">
        <f t="shared" si="64"/>
        <v>1.8166023140330891</v>
      </c>
      <c r="AF66" s="138">
        <f t="shared" si="65"/>
        <v>1</v>
      </c>
      <c r="AG66" s="138">
        <f t="shared" si="66"/>
        <v>9</v>
      </c>
      <c r="AH66" s="138">
        <f t="shared" si="67"/>
        <v>30</v>
      </c>
      <c r="AI66" s="138">
        <f t="shared" si="88"/>
        <v>1354</v>
      </c>
      <c r="AJ66" s="138">
        <f t="shared" si="68"/>
        <v>1371</v>
      </c>
      <c r="AL66" s="136">
        <f t="shared" si="69"/>
        <v>3.387</v>
      </c>
      <c r="AM66" s="258">
        <f t="shared" si="70"/>
        <v>7.4999999999999997E-3</v>
      </c>
      <c r="AN66" s="258">
        <f t="shared" si="71"/>
        <v>7.4999999999999997E-3</v>
      </c>
      <c r="AO66" s="258">
        <f t="shared" si="72"/>
        <v>0.75</v>
      </c>
      <c r="AP66" s="258">
        <f t="shared" si="73"/>
        <v>0</v>
      </c>
      <c r="AQ66" s="136">
        <f t="shared" si="74"/>
        <v>3.3399999999999999E-2</v>
      </c>
      <c r="AR66" s="137">
        <f t="shared" si="75"/>
        <v>2.75E-2</v>
      </c>
      <c r="AS66" s="136">
        <f t="shared" si="76"/>
        <v>3.4019999999999997</v>
      </c>
      <c r="AT66" s="137">
        <f t="shared" si="77"/>
        <v>4.8611805940590898E-2</v>
      </c>
      <c r="AU66" s="137">
        <f t="shared" si="78"/>
        <v>0.8353602510393674</v>
      </c>
      <c r="AV66" s="394">
        <f t="shared" si="79"/>
        <v>200.48646024944819</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-1.990868487436972E-7</v>
      </c>
      <c r="BG66" s="137">
        <f>_xll.xSPRDOPT($BW66,$BV66,$CG66,0,$BY66,$BX66,$BZ66,$AJ66,1,3)*$CB66</f>
        <v>-5.9726054623109199E-7</v>
      </c>
      <c r="BH66" s="137">
        <f>IF(OR(BF66&lt;&gt;0,BG66&lt;&gt;0),_xll.xSPRDOPT($BW66,$BV66,$CG66,0,$BY66,$BX66,$BZ66,$AJ66,1,12)*$CB66,0)</f>
        <v>1.9908684874369738E-7</v>
      </c>
      <c r="BI66" s="137">
        <f>_xll.xSPRDOPT($BW66,$BV66,$CG66,2*LN(1+CA66/2),$BY66,$BX66,$BZ66,$AJ66,1,9)</f>
        <v>2.428069057200205E-2</v>
      </c>
      <c r="BJ66" s="137">
        <f>_xll.xSPRDOPT($BW66,$BV66,$CG66,0,$BY66,$BX66,$BZ66,$AJ66,1,6)*$CB66</f>
        <v>-1.2086656158711905E-7</v>
      </c>
      <c r="BK66" s="137">
        <f>_xll.xSPRDOPT($BW66,$BV66,$CG66,0,$BY66,$BX66,$BZ66,$AJ66,1,5)*$CB66</f>
        <v>1.4292970940565514E-7</v>
      </c>
      <c r="BL66" s="137">
        <f>_xll.xSPRDOPT(BW66,BV66,CG66,0,BY66,BX66,BZ66,AJ66,1,2)*CB66</f>
        <v>-0.83503082965879449</v>
      </c>
      <c r="BM66" s="137">
        <f>_xll.xSPRDOPT(BW66,BV66,CG66,0,BY66,BX66,BZ66,AJ66,1,1)*CB66</f>
        <v>0.83503082966790798</v>
      </c>
      <c r="BN66" s="137">
        <f>IF(AH66&lt;&gt;0,_xll.xSPRDOPT($BW66,$BV66,$CG66,2*LN(1+CA66/2),$BY66,$BX66,$BZ66,$AJ66,1,8)+(AJ66/365.25)*CH66/AH66,0)</f>
        <v>-0.72121619302144913</v>
      </c>
      <c r="BO66" s="137">
        <f>_xll.xSPRDOPT($BW66,$BV66,$CG66,0,$BY66,$BX66,$BZ66,$AJ66,1,0)</f>
        <v>0.60539954607109248</v>
      </c>
      <c r="BP66" s="137"/>
      <c r="BQ66" s="137"/>
      <c r="BR66" s="137"/>
      <c r="BS66" s="137"/>
      <c r="BV66" s="262">
        <v>3.4982005141388171</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3.3399999999999999E-2</v>
      </c>
      <c r="CH66" s="258">
        <v>9.401611394766503</v>
      </c>
      <c r="CI66" s="258">
        <v>3.387</v>
      </c>
      <c r="CJ66" s="258"/>
      <c r="CK66" s="258"/>
      <c r="CL66" s="258"/>
      <c r="CM66" s="258"/>
    </row>
    <row r="67" spans="1:91" x14ac:dyDescent="0.25">
      <c r="A67" s="723"/>
      <c r="B67" s="723"/>
      <c r="D67" s="31">
        <f t="shared" si="87"/>
        <v>38640</v>
      </c>
      <c r="F67" s="28">
        <f t="shared" si="52"/>
        <v>474</v>
      </c>
      <c r="G67" s="28">
        <f t="shared" si="53"/>
        <v>393.81666941622245</v>
      </c>
      <c r="H67" s="52">
        <f t="shared" si="54"/>
        <v>3.5239074550128531</v>
      </c>
      <c r="I67" s="52">
        <f t="shared" si="55"/>
        <v>3.8620000000000001</v>
      </c>
      <c r="K67" s="52">
        <f t="shared" si="56"/>
        <v>7.8476436733048818</v>
      </c>
      <c r="L67" s="135">
        <f t="shared" si="57"/>
        <v>8.0848012631307142E-6</v>
      </c>
      <c r="N67" s="131">
        <f t="shared" si="48"/>
        <v>0.29036621737544821</v>
      </c>
      <c r="O67" s="131">
        <f t="shared" si="49"/>
        <v>0.29036621737544821</v>
      </c>
      <c r="P67" s="55">
        <f t="shared" si="50"/>
        <v>0.99999999999999989</v>
      </c>
      <c r="Q67" s="135">
        <f>_xll.xSPRDOPT(I67,H67,AQ67,0,O67,N67,P67,D67-$G$5,1,0)*AH67*AU67</f>
        <v>7.8476517581061449</v>
      </c>
      <c r="R67" s="135"/>
      <c r="S67" s="181">
        <f>_xll.xSPRDOPT(I67,H67,AQ67,AT67,O67,N67,P67,D67-$G$5,1,2)*AF67*(F67/(1-AR67))*AH67</f>
        <v>-12525.058414635489</v>
      </c>
      <c r="T67" s="181">
        <f>_xll.xSPRDOPT(I67,H67,AQ67,AT67,O67,N67,P67,D67-$G$5,1,1)*AF67*F67*AH67</f>
        <v>12180.619308086007</v>
      </c>
      <c r="U67" s="135"/>
      <c r="V67" s="146">
        <f t="shared" si="58"/>
        <v>9.6662052257155224</v>
      </c>
      <c r="W67" s="146"/>
      <c r="X67" s="338">
        <f t="shared" si="59"/>
        <v>0</v>
      </c>
      <c r="Y67" s="338">
        <f t="shared" si="60"/>
        <v>0</v>
      </c>
      <c r="Z67" s="338">
        <f t="shared" si="61"/>
        <v>1.4786085042046988</v>
      </c>
      <c r="AA67" s="338">
        <f t="shared" si="62"/>
        <v>4.0879697805282417E-6</v>
      </c>
      <c r="AB67" s="338">
        <f t="shared" si="63"/>
        <v>0</v>
      </c>
      <c r="AC67" s="338">
        <f t="shared" si="64"/>
        <v>1.4967648531875091</v>
      </c>
      <c r="AF67" s="138">
        <f t="shared" si="65"/>
        <v>1</v>
      </c>
      <c r="AG67" s="138">
        <f t="shared" si="66"/>
        <v>10</v>
      </c>
      <c r="AH67" s="138">
        <f t="shared" si="67"/>
        <v>31</v>
      </c>
      <c r="AI67" s="138">
        <f t="shared" si="88"/>
        <v>1384</v>
      </c>
      <c r="AJ67" s="138">
        <f t="shared" si="68"/>
        <v>1401</v>
      </c>
      <c r="AL67" s="136">
        <f t="shared" si="69"/>
        <v>3.4119999999999999</v>
      </c>
      <c r="AM67" s="258">
        <f t="shared" si="70"/>
        <v>7.4999999999999997E-3</v>
      </c>
      <c r="AN67" s="258">
        <f t="shared" si="71"/>
        <v>7.4999999999999997E-3</v>
      </c>
      <c r="AO67" s="258">
        <f t="shared" si="72"/>
        <v>0.45</v>
      </c>
      <c r="AP67" s="258">
        <f t="shared" si="73"/>
        <v>0</v>
      </c>
      <c r="AQ67" s="136">
        <f t="shared" si="74"/>
        <v>3.3399999999999999E-2</v>
      </c>
      <c r="AR67" s="137">
        <f t="shared" si="75"/>
        <v>2.75E-2</v>
      </c>
      <c r="AS67" s="136">
        <f t="shared" si="76"/>
        <v>3.4269999999999996</v>
      </c>
      <c r="AT67" s="137">
        <f t="shared" si="77"/>
        <v>4.9009151354921801E-2</v>
      </c>
      <c r="AU67" s="137">
        <f t="shared" si="78"/>
        <v>0.83083685530848617</v>
      </c>
      <c r="AV67" s="394">
        <f t="shared" si="79"/>
        <v>334.82725268931995</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-7.9203272680821027E-7</v>
      </c>
      <c r="BG67" s="137">
        <f>_xll.xSPRDOPT($BW67,$BV67,$CG67,0,$BY67,$BX67,$BZ67,$AJ67,1,3)*$CB67</f>
        <v>-7.9203272680821027E-7</v>
      </c>
      <c r="BH67" s="137">
        <f>IF(OR(BF67&lt;&gt;0,BG67&lt;&gt;0),_xll.xSPRDOPT($BW67,$BV67,$CG67,0,$BY67,$BX67,$BZ67,$AJ67,1,12)*$CB67,0)</f>
        <v>1.0890449993612891E-6</v>
      </c>
      <c r="BI67" s="137">
        <f>_xll.xSPRDOPT($BW67,$BV67,$CG67,2*LN(1+CA67/2),$BY67,$BX67,$BZ67,$AJ67,1,9)</f>
        <v>1.2251298855786177E-2</v>
      </c>
      <c r="BJ67" s="137">
        <f>_xll.xSPRDOPT($BW67,$BV67,$CG67,0,$BY67,$BX67,$BZ67,$AJ67,1,6)*$CB67</f>
        <v>-2.5497242359590592E-4</v>
      </c>
      <c r="BK67" s="137">
        <f>_xll.xSPRDOPT($BW67,$BV67,$CG67,0,$BY67,$BX67,$BZ67,$AJ67,1,5)*$CB67</f>
        <v>2.794351137307269E-4</v>
      </c>
      <c r="BL67" s="137">
        <f>_xll.xSPRDOPT(BW67,BV67,CG67,0,BY67,BX67,BZ67,AJ67,1,2)*CB67</f>
        <v>-0.83049834290317237</v>
      </c>
      <c r="BM67" s="137">
        <f>_xll.xSPRDOPT(BW67,BV67,CG67,0,BY67,BX67,BZ67,AJ67,1,1)*CB67</f>
        <v>0.83049834289259761</v>
      </c>
      <c r="BN67" s="137">
        <f>IF(AH67&lt;&gt;0,_xll.xSPRDOPT($BW67,$BV67,$CG67,2*LN(1+CA67/2),$BY67,$BX67,$BZ67,$AJ67,1,8)+(AJ67/365.25)*CH67/AH67,0)</f>
        <v>0.22492592949429002</v>
      </c>
      <c r="BO67" s="137">
        <f>_xll.xSPRDOPT($BW67,$BV67,$CG67,0,$BY67,$BX67,$BZ67,$AJ67,1,0)</f>
        <v>0.30469286772577214</v>
      </c>
      <c r="BP67" s="137"/>
      <c r="BQ67" s="137"/>
      <c r="BR67" s="137"/>
      <c r="BS67" s="137"/>
      <c r="BV67" s="262">
        <v>3.5239074550128531</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87"/>
        <v>38671</v>
      </c>
      <c r="F68" s="28">
        <f t="shared" si="52"/>
        <v>474</v>
      </c>
      <c r="G68" s="28">
        <f t="shared" si="53"/>
        <v>391.6286663448638</v>
      </c>
      <c r="H68" s="52">
        <f t="shared" si="54"/>
        <v>3.6776349614395882</v>
      </c>
      <c r="I68" s="52">
        <f t="shared" si="55"/>
        <v>4.0140000000000002</v>
      </c>
      <c r="K68" s="52">
        <f t="shared" si="56"/>
        <v>7.5094806329452162</v>
      </c>
      <c r="L68" s="135">
        <f t="shared" si="57"/>
        <v>1.3824892826974633E-5</v>
      </c>
      <c r="N68" s="131">
        <f t="shared" si="48"/>
        <v>0.29510383973065518</v>
      </c>
      <c r="O68" s="131">
        <f t="shared" si="49"/>
        <v>0.29510383973065518</v>
      </c>
      <c r="P68" s="55">
        <f t="shared" si="50"/>
        <v>0.99999999999999989</v>
      </c>
      <c r="Q68" s="135">
        <f>_xll.xSPRDOPT(I68,H68,AQ68,0,O68,N68,P68,D68-$G$5,1,0)*AH68*AU68</f>
        <v>7.5094944578380431</v>
      </c>
      <c r="R68" s="135"/>
      <c r="S68" s="181">
        <f>_xll.xSPRDOPT(I68,H68,AQ68,AT68,O68,N68,P68,D68-$G$5,1,2)*AF68*(F68/(1-AR68))*AH68</f>
        <v>-12052.651378687071</v>
      </c>
      <c r="T68" s="181">
        <f>_xll.xSPRDOPT(I68,H68,AQ68,AT68,O68,N68,P68,D68-$G$5,1,1)*AF68*F68*AH68</f>
        <v>11721.20346574731</v>
      </c>
      <c r="U68" s="135"/>
      <c r="V68" s="146">
        <f t="shared" si="58"/>
        <v>9.3024201569131257</v>
      </c>
      <c r="W68" s="146"/>
      <c r="X68" s="338">
        <f t="shared" si="59"/>
        <v>0</v>
      </c>
      <c r="Y68" s="338">
        <f t="shared" si="60"/>
        <v>0</v>
      </c>
      <c r="Z68" s="338">
        <f t="shared" si="61"/>
        <v>1.4258173237616532</v>
      </c>
      <c r="AA68" s="338">
        <f t="shared" si="62"/>
        <v>6.7642480037338788E-6</v>
      </c>
      <c r="AB68" s="338">
        <f t="shared" si="63"/>
        <v>0</v>
      </c>
      <c r="AC68" s="338">
        <f t="shared" si="64"/>
        <v>1.4434535360699088</v>
      </c>
      <c r="AF68" s="138">
        <f t="shared" si="65"/>
        <v>1</v>
      </c>
      <c r="AG68" s="138">
        <f t="shared" si="66"/>
        <v>11</v>
      </c>
      <c r="AH68" s="138">
        <f t="shared" si="67"/>
        <v>30</v>
      </c>
      <c r="AI68" s="138">
        <f t="shared" si="88"/>
        <v>1415</v>
      </c>
      <c r="AJ68" s="138">
        <f t="shared" si="68"/>
        <v>1432</v>
      </c>
      <c r="AL68" s="136">
        <f t="shared" si="69"/>
        <v>3.5640000000000001</v>
      </c>
      <c r="AM68" s="258">
        <f t="shared" si="70"/>
        <v>5.0000000000000001E-3</v>
      </c>
      <c r="AN68" s="258">
        <f t="shared" si="71"/>
        <v>7.4999999999999997E-3</v>
      </c>
      <c r="AO68" s="258">
        <f t="shared" si="72"/>
        <v>0.45</v>
      </c>
      <c r="AP68" s="258">
        <f t="shared" si="73"/>
        <v>0</v>
      </c>
      <c r="AQ68" s="136">
        <f t="shared" si="74"/>
        <v>3.3399999999999999E-2</v>
      </c>
      <c r="AR68" s="137">
        <f t="shared" si="75"/>
        <v>2.75E-2</v>
      </c>
      <c r="AS68" s="136">
        <f t="shared" si="76"/>
        <v>3.5764999999999998</v>
      </c>
      <c r="AT68" s="137">
        <f t="shared" si="77"/>
        <v>4.9392017987160801E-2</v>
      </c>
      <c r="AU68" s="137">
        <f t="shared" si="78"/>
        <v>0.82622081507355238</v>
      </c>
      <c r="AV68" s="394">
        <f t="shared" si="79"/>
        <v>322.22611787868544</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-1.181444791121791E-6</v>
      </c>
      <c r="BG68" s="137">
        <f>_xll.xSPRDOPT($BW68,$BV68,$CG68,0,$BY68,$BX68,$BZ68,$AJ68,1,3)*$CB68</f>
        <v>0</v>
      </c>
      <c r="BH68" s="137">
        <f>IF(OR(BF68&lt;&gt;0,BG68&lt;&gt;0),_xll.xSPRDOPT($BW68,$BV68,$CG68,0,$BY68,$BX68,$BZ68,$AJ68,1,12)*$CB68,0)</f>
        <v>1.4768059889022388E-7</v>
      </c>
      <c r="BI68" s="137">
        <f>_xll.xSPRDOPT($BW68,$BV68,$CG68,2*LN(1+CA68/2),$BY68,$BX68,$BZ68,$AJ68,1,9)</f>
        <v>1.2207683485793338E-2</v>
      </c>
      <c r="BJ68" s="137">
        <f>_xll.xSPRDOPT($BW68,$BV68,$CG68,0,$BY68,$BX68,$BZ68,$AJ68,1,6)*$CB68</f>
        <v>-2.501497173076837E-4</v>
      </c>
      <c r="BK68" s="137">
        <f>_xll.xSPRDOPT($BW68,$BV68,$CG68,0,$BY68,$BX68,$BZ68,$AJ68,1,5)*$CB68</f>
        <v>2.7302899078901678E-4</v>
      </c>
      <c r="BL68" s="137">
        <f>_xll.xSPRDOPT(BW68,BV68,CG68,0,BY68,BX68,BZ68,AJ68,1,2)*CB68</f>
        <v>-0.82588220359722231</v>
      </c>
      <c r="BM68" s="137">
        <f>_xll.xSPRDOPT(BW68,BV68,CG68,0,BY68,BX68,BZ68,AJ68,1,1)*CB68</f>
        <v>0.82588220359496889</v>
      </c>
      <c r="BN68" s="137">
        <f>IF(AH68&lt;&gt;0,_xll.xSPRDOPT($BW68,$BV68,$CG68,2*LN(1+CA68/2),$BY68,$BX68,$BZ68,$AJ68,1,8)+(AJ68/365.25)*CH68/AH68,0)</f>
        <v>0.23421771350364062</v>
      </c>
      <c r="BO68" s="137">
        <f>_xll.xSPRDOPT($BW68,$BV68,$CG68,0,$BY68,$BX68,$BZ68,$AJ68,1,0)</f>
        <v>0.30296560431829245</v>
      </c>
      <c r="BP68" s="137"/>
      <c r="BQ68" s="137"/>
      <c r="BR68" s="137"/>
      <c r="BS68" s="137"/>
      <c r="BV68" s="262">
        <v>3.6776349614395882</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87"/>
        <v>38701</v>
      </c>
      <c r="F69" s="28">
        <f t="shared" si="52"/>
        <v>474</v>
      </c>
      <c r="G69" s="28">
        <f t="shared" si="53"/>
        <v>389.49939842641066</v>
      </c>
      <c r="H69" s="52">
        <f t="shared" si="54"/>
        <v>3.8246786632390739</v>
      </c>
      <c r="I69" s="52">
        <f t="shared" si="55"/>
        <v>4.1070000000000002</v>
      </c>
      <c r="K69" s="52">
        <f t="shared" si="56"/>
        <v>6.3409199127431268</v>
      </c>
      <c r="L69" s="135">
        <f t="shared" si="57"/>
        <v>7.4182032525627051E-5</v>
      </c>
      <c r="N69" s="131">
        <f t="shared" si="48"/>
        <v>0.30162191373118435</v>
      </c>
      <c r="O69" s="131">
        <f t="shared" si="49"/>
        <v>0.30162191373118435</v>
      </c>
      <c r="P69" s="55">
        <f t="shared" si="50"/>
        <v>1</v>
      </c>
      <c r="Q69" s="135">
        <f>_xll.xSPRDOPT(I69,H69,AQ69,0,O69,N69,P69,D69-$G$5,1,0)*AH69*AU69</f>
        <v>6.3409940947756525</v>
      </c>
      <c r="R69" s="135"/>
      <c r="S69" s="181">
        <f>_xll.xSPRDOPT(I69,H69,AQ69,AT69,O69,N69,P69,D69-$G$5,1,2)*AF69*(F69/(1-AR69))*AH69</f>
        <v>-12384.930856778496</v>
      </c>
      <c r="T69" s="181">
        <f>_xll.xSPRDOPT(I69,H69,AQ69,AT69,O69,N69,P69,D69-$G$5,1,1)*AF69*F69*AH69</f>
        <v>12044.345258197041</v>
      </c>
      <c r="U69" s="135"/>
      <c r="V69" s="146">
        <f t="shared" si="58"/>
        <v>9.5602380825155908</v>
      </c>
      <c r="W69" s="146"/>
      <c r="X69" s="338">
        <f t="shared" si="59"/>
        <v>0</v>
      </c>
      <c r="Y69" s="338">
        <f t="shared" si="60"/>
        <v>0</v>
      </c>
      <c r="Z69" s="338">
        <f t="shared" si="61"/>
        <v>1.21239132008231</v>
      </c>
      <c r="AA69" s="338">
        <f t="shared" si="62"/>
        <v>6.0826821691230496E-5</v>
      </c>
      <c r="AB69" s="338">
        <f t="shared" si="63"/>
        <v>0</v>
      </c>
      <c r="AC69" s="338">
        <f t="shared" si="64"/>
        <v>1.2279875022081725</v>
      </c>
      <c r="AF69" s="138">
        <f t="shared" si="65"/>
        <v>1</v>
      </c>
      <c r="AG69" s="138">
        <f t="shared" si="66"/>
        <v>12</v>
      </c>
      <c r="AH69" s="138">
        <f t="shared" si="67"/>
        <v>31</v>
      </c>
      <c r="AI69" s="138">
        <f t="shared" si="88"/>
        <v>1445</v>
      </c>
      <c r="AJ69" s="138">
        <f t="shared" si="68"/>
        <v>1462</v>
      </c>
      <c r="AL69" s="136">
        <f t="shared" si="69"/>
        <v>3.7069999999999999</v>
      </c>
      <c r="AM69" s="258">
        <f t="shared" si="70"/>
        <v>5.0000000000000001E-3</v>
      </c>
      <c r="AN69" s="258">
        <f t="shared" si="71"/>
        <v>7.4999999999999997E-3</v>
      </c>
      <c r="AO69" s="258">
        <f t="shared" si="72"/>
        <v>0.4</v>
      </c>
      <c r="AP69" s="258">
        <f t="shared" si="73"/>
        <v>0</v>
      </c>
      <c r="AQ69" s="136">
        <f t="shared" si="74"/>
        <v>3.3399999999999999E-2</v>
      </c>
      <c r="AR69" s="137">
        <f t="shared" si="75"/>
        <v>2.75E-2</v>
      </c>
      <c r="AS69" s="136">
        <f t="shared" si="76"/>
        <v>3.7194999999999996</v>
      </c>
      <c r="AT69" s="137">
        <f t="shared" si="77"/>
        <v>4.97625341294907E-2</v>
      </c>
      <c r="AU69" s="137">
        <f t="shared" si="78"/>
        <v>0.82172868866331361</v>
      </c>
      <c r="AV69" s="394">
        <f t="shared" si="79"/>
        <v>331.15666153131536</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-7.3438614882205337E-7</v>
      </c>
      <c r="BG69" s="137">
        <f>_xll.xSPRDOPT($BW69,$BV69,$CG69,0,$BY69,$BX69,$BZ69,$AJ69,1,3)*$CB69</f>
        <v>1.4687722976441066E-7</v>
      </c>
      <c r="BH69" s="137">
        <f>IF(OR(BF69&lt;&gt;0,BG69&lt;&gt;0),_xll.xSPRDOPT($BW69,$BV69,$CG69,0,$BY69,$BX69,$BZ69,$AJ69,1,12)*$CB69,0)</f>
        <v>-2.4479538294068446E-7</v>
      </c>
      <c r="BI69" s="137">
        <f>_xll.xSPRDOPT($BW69,$BV69,$CG69,2*LN(1+CA69/2),$BY69,$BX69,$BZ69,$AJ69,1,9)</f>
        <v>1.0045504506602779E-2</v>
      </c>
      <c r="BJ69" s="137">
        <f>_xll.xSPRDOPT($BW69,$BV69,$CG69,0,$BY69,$BX69,$BZ69,$AJ69,1,6)*$CB69</f>
        <v>-1.6924176150494455E-3</v>
      </c>
      <c r="BK69" s="137">
        <f>_xll.xSPRDOPT($BW69,$BV69,$CG69,0,$BY69,$BX69,$BZ69,$AJ69,1,5)*$CB69</f>
        <v>1.8173446076339024E-3</v>
      </c>
      <c r="BL69" s="137">
        <f>_xll.xSPRDOPT(BW69,BV69,CG69,0,BY69,BX69,BZ69,AJ69,1,2)*CB69</f>
        <v>-0.82134265325476519</v>
      </c>
      <c r="BM69" s="137">
        <f>_xll.xSPRDOPT(BW69,BV69,CG69,0,BY69,BX69,BZ69,AJ69,1,1)*CB69</f>
        <v>0.82134265325252398</v>
      </c>
      <c r="BN69" s="137">
        <f>IF(AH69&lt;&gt;0,_xll.xSPRDOPT($BW69,$BV69,$CG69,2*LN(1+CA69/2),$BY69,$BX69,$BZ69,$AJ69,1,8)+(AJ69/365.25)*CH69/AH69,0)</f>
        <v>0.41550271621578805</v>
      </c>
      <c r="BO69" s="137">
        <f>_xll.xSPRDOPT($BW69,$BV69,$CG69,0,$BY69,$BX69,$BZ69,$AJ69,1,0)</f>
        <v>0.24892429097175214</v>
      </c>
      <c r="BP69" s="137"/>
      <c r="BQ69" s="137"/>
      <c r="BR69" s="137"/>
      <c r="BS69" s="137"/>
      <c r="BV69" s="262">
        <v>3.8246786632390739</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87"/>
        <v>38732</v>
      </c>
      <c r="F70" s="28">
        <f t="shared" si="52"/>
        <v>474</v>
      </c>
      <c r="G70" s="28">
        <f t="shared" si="53"/>
        <v>387.32044961528374</v>
      </c>
      <c r="H70" s="52">
        <f t="shared" si="54"/>
        <v>3.8812339331619534</v>
      </c>
      <c r="I70" s="52">
        <f t="shared" si="55"/>
        <v>4.1120000000000001</v>
      </c>
      <c r="K70" s="52">
        <f t="shared" si="56"/>
        <v>4.9994964686537635</v>
      </c>
      <c r="L70" s="135">
        <f t="shared" si="57"/>
        <v>2.5379446900153368E-4</v>
      </c>
      <c r="N70" s="131">
        <f t="shared" si="48"/>
        <v>0.30128576852292338</v>
      </c>
      <c r="O70" s="131">
        <f t="shared" si="49"/>
        <v>0.30128576852292338</v>
      </c>
      <c r="P70" s="55">
        <f t="shared" si="50"/>
        <v>0.99999999999999978</v>
      </c>
      <c r="Q70" s="135">
        <f>_xll.xSPRDOPT(I70,H70,AQ70,0,O70,N70,P70,D70-$G$5,1,0)*AH70*AU70</f>
        <v>4.999750263122765</v>
      </c>
      <c r="R70" s="135"/>
      <c r="S70" s="181">
        <f>_xll.xSPRDOPT(I70,H70,AQ70,AT70,O70,N70,P70,D70-$G$5,1,2)*AF70*(F70/(1-AR70))*AH70</f>
        <v>-12313.330121063274</v>
      </c>
      <c r="T70" s="181">
        <f>_xll.xSPRDOPT(I70,H70,AQ70,AT70,O70,N70,P70,D70-$G$5,1,1)*AF70*F70*AH70</f>
        <v>11974.713542787495</v>
      </c>
      <c r="U70" s="135"/>
      <c r="V70" s="146">
        <f t="shared" si="58"/>
        <v>9.5067559218546336</v>
      </c>
      <c r="W70" s="146"/>
      <c r="X70" s="338">
        <f t="shared" si="59"/>
        <v>0</v>
      </c>
      <c r="Y70" s="338">
        <f t="shared" si="60"/>
        <v>0</v>
      </c>
      <c r="Z70" s="338">
        <f t="shared" si="61"/>
        <v>0.96216666926033823</v>
      </c>
      <c r="AA70" s="338">
        <f t="shared" si="62"/>
        <v>1.140140007769503E-4</v>
      </c>
      <c r="AB70" s="338">
        <f t="shared" si="63"/>
        <v>0</v>
      </c>
      <c r="AC70" s="338">
        <f t="shared" si="64"/>
        <v>0.9752721843246438</v>
      </c>
      <c r="AF70" s="138">
        <f t="shared" si="65"/>
        <v>1</v>
      </c>
      <c r="AG70" s="138">
        <f t="shared" si="66"/>
        <v>1</v>
      </c>
      <c r="AH70" s="138">
        <f t="shared" si="67"/>
        <v>31</v>
      </c>
      <c r="AI70" s="138">
        <f t="shared" si="88"/>
        <v>1476</v>
      </c>
      <c r="AJ70" s="138">
        <f t="shared" si="68"/>
        <v>1493</v>
      </c>
      <c r="AL70" s="136">
        <f t="shared" si="69"/>
        <v>3.762</v>
      </c>
      <c r="AM70" s="258">
        <f t="shared" si="70"/>
        <v>5.0000000000000001E-3</v>
      </c>
      <c r="AN70" s="258">
        <f t="shared" si="71"/>
        <v>7.4999999999999997E-3</v>
      </c>
      <c r="AO70" s="258">
        <f t="shared" si="72"/>
        <v>0.35</v>
      </c>
      <c r="AP70" s="258">
        <f t="shared" si="73"/>
        <v>0</v>
      </c>
      <c r="AQ70" s="136">
        <f t="shared" si="74"/>
        <v>3.3399999999999999E-2</v>
      </c>
      <c r="AR70" s="137">
        <f t="shared" si="75"/>
        <v>2.75E-2</v>
      </c>
      <c r="AS70" s="136">
        <f t="shared" si="76"/>
        <v>3.7744999999999997</v>
      </c>
      <c r="AT70" s="137">
        <f t="shared" si="77"/>
        <v>5.0123867010087399E-2</v>
      </c>
      <c r="AU70" s="137">
        <f t="shared" si="78"/>
        <v>0.81713175024321461</v>
      </c>
      <c r="AV70" s="394">
        <f t="shared" si="79"/>
        <v>329.30409534801549</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7.7896075737116087E-7</v>
      </c>
      <c r="BG70" s="137">
        <f>_xll.xSPRDOPT($BW70,$BV70,$CG70,0,$BY70,$BX70,$BZ70,$AJ70,1,3)*$CB70</f>
        <v>-9.7370094671395108E-8</v>
      </c>
      <c r="BH70" s="137">
        <f>IF(OR(BF70&lt;&gt;0,BG70&lt;&gt;0),_xll.xSPRDOPT($BW70,$BV70,$CG70,0,$BY70,$BX70,$BZ70,$AJ70,1,12)*$CB70,0)</f>
        <v>-1.9474018934279022E-7</v>
      </c>
      <c r="BI70" s="137">
        <f>_xll.xSPRDOPT($BW70,$BV70,$CG70,2*LN(1+CA70/2),$BY70,$BX70,$BZ70,$AJ70,1,9)</f>
        <v>7.9722194080880764E-3</v>
      </c>
      <c r="BJ70" s="137">
        <f>_xll.xSPRDOPT($BW70,$BV70,$CG70,0,$BY70,$BX70,$BZ70,$AJ70,1,6)*$CB70</f>
        <v>-4.1025961873361145E-3</v>
      </c>
      <c r="BK70" s="137">
        <f>_xll.xSPRDOPT($BW70,$BV70,$CG70,0,$BY70,$BX70,$BZ70,$AJ70,1,5)*$CB70</f>
        <v>4.3465237584484938E-3</v>
      </c>
      <c r="BL70" s="137">
        <f>_xll.xSPRDOPT(BW70,BV70,CG70,0,BY70,BX70,BZ70,AJ70,1,2)*CB70</f>
        <v>-0.81666357922853394</v>
      </c>
      <c r="BM70" s="137">
        <f>_xll.xSPRDOPT(BW70,BV70,CG70,0,BY70,BX70,BZ70,AJ70,1,1)*CB70</f>
        <v>0.81666357922890542</v>
      </c>
      <c r="BN70" s="137">
        <f>IF(AH70&lt;&gt;0,_xll.xSPRDOPT($BW70,$BV70,$CG70,2*LN(1+CA70/2),$BY70,$BX70,$BZ70,$AJ70,1,8)+(AJ70/365.25)*CH70/AH70,0)</f>
        <v>0.59404480427995643</v>
      </c>
      <c r="BO70" s="137">
        <f>_xll.xSPRDOPT($BW70,$BV70,$CG70,0,$BY70,$BX70,$BZ70,$AJ70,1,0)</f>
        <v>0.1973761669533084</v>
      </c>
      <c r="BP70" s="137"/>
      <c r="BQ70" s="137"/>
      <c r="BR70" s="137"/>
      <c r="BS70" s="137"/>
      <c r="BV70" s="262">
        <v>3.8812339331619534</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3.3399999999999999E-2</v>
      </c>
      <c r="CH70" s="258">
        <v>9.5028910641468389</v>
      </c>
      <c r="CI70" s="258">
        <v>3.762</v>
      </c>
      <c r="CJ70" s="258"/>
      <c r="CK70" s="258"/>
      <c r="CL70" s="258"/>
      <c r="CM70" s="258"/>
    </row>
    <row r="71" spans="1:91" x14ac:dyDescent="0.25">
      <c r="A71" s="723"/>
      <c r="B71" s="723"/>
      <c r="D71" s="31">
        <f t="shared" si="87"/>
        <v>38763</v>
      </c>
      <c r="F71" s="28">
        <f t="shared" si="52"/>
        <v>474</v>
      </c>
      <c r="G71" s="28">
        <f t="shared" si="53"/>
        <v>385.19199442268763</v>
      </c>
      <c r="H71" s="52">
        <f t="shared" si="54"/>
        <v>3.7938303341902309</v>
      </c>
      <c r="I71" s="52">
        <f t="shared" si="55"/>
        <v>4.0270000000000001</v>
      </c>
      <c r="K71" s="52">
        <f t="shared" si="56"/>
        <v>4.545550480919256</v>
      </c>
      <c r="L71" s="135">
        <f t="shared" si="57"/>
        <v>1.9465468848700596E-4</v>
      </c>
      <c r="N71" s="131">
        <f t="shared" si="48"/>
        <v>0.29475895276765796</v>
      </c>
      <c r="O71" s="131">
        <f t="shared" si="49"/>
        <v>0.29475895276765796</v>
      </c>
      <c r="P71" s="55">
        <f t="shared" si="50"/>
        <v>1</v>
      </c>
      <c r="Q71" s="135">
        <f>_xll.xSPRDOPT(I71,H71,AQ71,0,O71,N71,P71,D71-$G$5,1,0)*AH71*AU71</f>
        <v>4.545745135607743</v>
      </c>
      <c r="R71" s="135"/>
      <c r="S71" s="181">
        <f>_xll.xSPRDOPT(I71,H71,AQ71,AT71,O71,N71,P71,D71-$G$5,1,2)*AF71*(F71/(1-AR71))*AH71</f>
        <v>-11059.605663900638</v>
      </c>
      <c r="T71" s="181">
        <f>_xll.xSPRDOPT(I71,H71,AQ71,AT71,O71,N71,P71,D71-$G$5,1,1)*AF71*F71*AH71</f>
        <v>10755.466508221831</v>
      </c>
      <c r="U71" s="135"/>
      <c r="V71" s="146">
        <f t="shared" si="58"/>
        <v>8.539560240910065</v>
      </c>
      <c r="W71" s="146"/>
      <c r="X71" s="338">
        <f t="shared" si="59"/>
        <v>0</v>
      </c>
      <c r="Y71" s="338">
        <f t="shared" si="60"/>
        <v>0</v>
      </c>
      <c r="Z71" s="338">
        <f t="shared" si="61"/>
        <v>0.88036250096338786</v>
      </c>
      <c r="AA71" s="338">
        <f t="shared" si="62"/>
        <v>9.5487449702645418E-5</v>
      </c>
      <c r="AB71" s="338">
        <f t="shared" si="63"/>
        <v>0</v>
      </c>
      <c r="AC71" s="338">
        <f t="shared" si="64"/>
        <v>0.892409249180518</v>
      </c>
      <c r="AF71" s="138">
        <f t="shared" si="65"/>
        <v>1</v>
      </c>
      <c r="AG71" s="138">
        <f t="shared" si="66"/>
        <v>2</v>
      </c>
      <c r="AH71" s="138">
        <f t="shared" si="67"/>
        <v>28</v>
      </c>
      <c r="AI71" s="138">
        <f t="shared" si="88"/>
        <v>1507</v>
      </c>
      <c r="AJ71" s="138">
        <f t="shared" si="68"/>
        <v>1524</v>
      </c>
      <c r="AL71" s="136">
        <f t="shared" si="69"/>
        <v>3.677</v>
      </c>
      <c r="AM71" s="258">
        <f t="shared" si="70"/>
        <v>5.0000000000000001E-3</v>
      </c>
      <c r="AN71" s="258">
        <f t="shared" si="71"/>
        <v>7.4999999999999997E-3</v>
      </c>
      <c r="AO71" s="258">
        <f t="shared" si="72"/>
        <v>0.35</v>
      </c>
      <c r="AP71" s="258">
        <f t="shared" si="73"/>
        <v>0</v>
      </c>
      <c r="AQ71" s="136">
        <f t="shared" si="74"/>
        <v>3.3399999999999999E-2</v>
      </c>
      <c r="AR71" s="137">
        <f t="shared" si="75"/>
        <v>2.75E-2</v>
      </c>
      <c r="AS71" s="136">
        <f t="shared" si="76"/>
        <v>3.6894999999999998</v>
      </c>
      <c r="AT71" s="137">
        <f t="shared" si="77"/>
        <v>5.0446047479093502E-2</v>
      </c>
      <c r="AU71" s="137">
        <f t="shared" si="78"/>
        <v>0.81264133844448871</v>
      </c>
      <c r="AV71" s="394">
        <f t="shared" si="79"/>
        <v>295.80144719379388</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9.6834763526160449E-8</v>
      </c>
      <c r="BG71" s="137">
        <f>_xll.xSPRDOPT($BW71,$BV71,$CG71,0,$BY71,$BX71,$BZ71,$AJ71,1,3)*$CB71</f>
        <v>-7.2626072644620338E-7</v>
      </c>
      <c r="BH71" s="137">
        <f>IF(OR(BF71&lt;&gt;0,BG71&lt;&gt;0),_xll.xSPRDOPT($BW71,$BV71,$CG71,0,$BY71,$BX71,$BZ71,$AJ71,1,12)*$CB71,0)</f>
        <v>2.4208690881540111E-7</v>
      </c>
      <c r="BI71" s="137">
        <f>_xll.xSPRDOPT($BW71,$BV71,$CG71,2*LN(1+CA71/2),$BY71,$BX71,$BZ71,$AJ71,1,9)</f>
        <v>8.0759595006248096E-3</v>
      </c>
      <c r="BJ71" s="137">
        <f>_xll.xSPRDOPT($BW71,$BV71,$CG71,0,$BY71,$BX71,$BZ71,$AJ71,1,6)*$CB71</f>
        <v>-4.1325139349825887E-3</v>
      </c>
      <c r="BK71" s="137">
        <f>_xll.xSPRDOPT($BW71,$BV71,$CG71,0,$BY71,$BX71,$BZ71,$AJ71,1,5)*$CB71</f>
        <v>4.3864991741405391E-3</v>
      </c>
      <c r="BL71" s="137">
        <f>_xll.xSPRDOPT(BW71,BV71,CG71,0,BY71,BX71,BZ71,AJ71,1,2)*CB71</f>
        <v>-0.81216993959996786</v>
      </c>
      <c r="BM71" s="137">
        <f>_xll.xSPRDOPT(BW71,BV71,CG71,0,BY71,BX71,BZ71,AJ71,1,1)*CB71</f>
        <v>0.81216993960883344</v>
      </c>
      <c r="BN71" s="137">
        <f>IF(AH71&lt;&gt;0,_xll.xSPRDOPT($BW71,$BV71,$CG71,2*LN(1+CA71/2),$BY71,$BX71,$BZ71,$AJ71,1,8)+(AJ71/365.25)*CH71/AH71,0)</f>
        <v>0.59490380854118752</v>
      </c>
      <c r="BO71" s="137">
        <f>_xll.xSPRDOPT($BW71,$BV71,$CG71,0,$BY71,$BX71,$BZ71,$AJ71,1,0)</f>
        <v>0.19977830254915066</v>
      </c>
      <c r="BP71" s="137"/>
      <c r="BQ71" s="137"/>
      <c r="BR71" s="137"/>
      <c r="BS71" s="137"/>
      <c r="BV71" s="262">
        <v>3.7938303341902309</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3.3399999999999999E-2</v>
      </c>
      <c r="CH71" s="258">
        <v>8.5360665504581537</v>
      </c>
      <c r="CI71" s="258">
        <v>3.677</v>
      </c>
      <c r="CJ71" s="258"/>
      <c r="CK71" s="258"/>
      <c r="CL71" s="258"/>
      <c r="CM71" s="258"/>
    </row>
    <row r="72" spans="1:91" x14ac:dyDescent="0.25">
      <c r="A72" s="723"/>
      <c r="B72" s="723"/>
      <c r="D72" s="31">
        <f t="shared" si="87"/>
        <v>38791</v>
      </c>
      <c r="F72" s="28">
        <f t="shared" si="52"/>
        <v>474</v>
      </c>
      <c r="G72" s="28">
        <f t="shared" si="53"/>
        <v>383.26206860795526</v>
      </c>
      <c r="H72" s="52">
        <f t="shared" si="54"/>
        <v>3.6652956298200512</v>
      </c>
      <c r="I72" s="52">
        <f t="shared" si="55"/>
        <v>3.9470000000000001</v>
      </c>
      <c r="K72" s="52">
        <f t="shared" si="56"/>
        <v>6.2239135935578975</v>
      </c>
      <c r="L72" s="135">
        <f t="shared" si="57"/>
        <v>3.4596101407657898E-5</v>
      </c>
      <c r="N72" s="131">
        <f t="shared" si="48"/>
        <v>0.27891651287520841</v>
      </c>
      <c r="O72" s="131">
        <f t="shared" si="49"/>
        <v>0.27891651287520841</v>
      </c>
      <c r="P72" s="55">
        <f t="shared" si="50"/>
        <v>1.0000000000000002</v>
      </c>
      <c r="Q72" s="135">
        <f>_xll.xSPRDOPT(I72,H72,AQ72,0,O72,N72,P72,D72-$G$5,1,0)*AH72*AU72</f>
        <v>6.2239481896593052</v>
      </c>
      <c r="R72" s="135"/>
      <c r="S72" s="181">
        <f>_xll.xSPRDOPT(I72,H72,AQ72,AT72,O72,N72,P72,D72-$G$5,1,2)*AF72*(F72/(1-AR72))*AH72</f>
        <v>-12184.01211703184</v>
      </c>
      <c r="T72" s="181">
        <f>_xll.xSPRDOPT(I72,H72,AQ72,AT72,O72,N72,P72,D72-$G$5,1,1)*AF72*F72*AH72</f>
        <v>11848.951783987197</v>
      </c>
      <c r="U72" s="135"/>
      <c r="V72" s="146">
        <f t="shared" si="58"/>
        <v>9.4071432168893132</v>
      </c>
      <c r="W72" s="146"/>
      <c r="X72" s="338">
        <f t="shared" si="59"/>
        <v>0</v>
      </c>
      <c r="Y72" s="338">
        <f t="shared" si="60"/>
        <v>0</v>
      </c>
      <c r="Z72" s="338">
        <f t="shared" si="61"/>
        <v>1.2133674635552065</v>
      </c>
      <c r="AA72" s="338">
        <f t="shared" si="62"/>
        <v>1.3727388877980264E-5</v>
      </c>
      <c r="AB72" s="338">
        <f t="shared" si="63"/>
        <v>0</v>
      </c>
      <c r="AC72" s="338">
        <f t="shared" si="64"/>
        <v>1.2289150134774263</v>
      </c>
      <c r="AF72" s="138">
        <f t="shared" si="65"/>
        <v>1</v>
      </c>
      <c r="AG72" s="138">
        <f t="shared" si="66"/>
        <v>3</v>
      </c>
      <c r="AH72" s="138">
        <f t="shared" si="67"/>
        <v>31</v>
      </c>
      <c r="AI72" s="138">
        <f t="shared" si="88"/>
        <v>1535</v>
      </c>
      <c r="AJ72" s="138">
        <f t="shared" si="68"/>
        <v>1552</v>
      </c>
      <c r="AL72" s="136">
        <f t="shared" si="69"/>
        <v>3.5470000000000002</v>
      </c>
      <c r="AM72" s="258">
        <f t="shared" si="70"/>
        <v>0.01</v>
      </c>
      <c r="AN72" s="258">
        <f t="shared" si="71"/>
        <v>7.4999999999999997E-3</v>
      </c>
      <c r="AO72" s="258">
        <f t="shared" si="72"/>
        <v>0.4</v>
      </c>
      <c r="AP72" s="258">
        <f t="shared" si="73"/>
        <v>0</v>
      </c>
      <c r="AQ72" s="136">
        <f t="shared" si="74"/>
        <v>3.3399999999999999E-2</v>
      </c>
      <c r="AR72" s="137">
        <f t="shared" si="75"/>
        <v>2.75E-2</v>
      </c>
      <c r="AS72" s="136">
        <f t="shared" si="76"/>
        <v>3.5644999999999998</v>
      </c>
      <c r="AT72" s="137">
        <f t="shared" si="77"/>
        <v>5.0737049222817202E-2</v>
      </c>
      <c r="AU72" s="137">
        <f t="shared" si="78"/>
        <v>0.80856976499568622</v>
      </c>
      <c r="AV72" s="394">
        <f t="shared" si="79"/>
        <v>325.85361529326156</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-1.0116683651827337E-6</v>
      </c>
      <c r="BG72" s="137">
        <f>_xll.xSPRDOPT($BW72,$BV72,$CG72,0,$BY72,$BX72,$BZ72,$AJ72,1,3)*$CB72</f>
        <v>-4.8174684056320648E-8</v>
      </c>
      <c r="BH72" s="137">
        <f>IF(OR(BF72&lt;&gt;0,BG72&lt;&gt;0),_xll.xSPRDOPT($BW72,$BV72,$CG72,0,$BY72,$BX72,$BZ72,$AJ72,1,12)*$CB72,0)</f>
        <v>-2.1678607825344291E-7</v>
      </c>
      <c r="BI72" s="137">
        <f>_xll.xSPRDOPT($BW72,$BV72,$CG72,2*LN(1+CA72/2),$BY72,$BX72,$BZ72,$AJ72,1,9)</f>
        <v>1.0053592533540656E-2</v>
      </c>
      <c r="BJ72" s="137">
        <f>_xll.xSPRDOPT($BW72,$BV72,$CG72,0,$BY72,$BX72,$BZ72,$AJ72,1,6)*$CB72</f>
        <v>-7.1736975602238362E-4</v>
      </c>
      <c r="BK72" s="137">
        <f>_xll.xSPRDOPT($BW72,$BV72,$CG72,0,$BY72,$BX72,$BZ72,$AJ72,1,5)*$CB72</f>
        <v>7.7250478384527669E-4</v>
      </c>
      <c r="BL72" s="137">
        <f>_xll.xSPRDOPT(BW72,BV72,CG72,0,BY72,BX72,BZ72,AJ72,1,2)*CB72</f>
        <v>-0.80821488540884412</v>
      </c>
      <c r="BM72" s="137">
        <f>_xll.xSPRDOPT(BW72,BV72,CG72,0,BY72,BX72,BZ72,AJ72,1,1)*CB72</f>
        <v>0.80821488541729769</v>
      </c>
      <c r="BN72" s="137">
        <f>IF(AH72&lt;&gt;0,_xll.xSPRDOPT($BW72,$BV72,$CG72,2*LN(1+CA72/2),$BY72,$BX72,$BZ72,$AJ72,1,8)+(AJ72/365.25)*CH72/AH72,0)</f>
        <v>0.43613833425226123</v>
      </c>
      <c r="BO72" s="137">
        <f>_xll.xSPRDOPT($BW72,$BV72,$CG72,0,$BY72,$BX72,$BZ72,$AJ72,1,0)</f>
        <v>0.24830576765925796</v>
      </c>
      <c r="BP72" s="137"/>
      <c r="BQ72" s="137"/>
      <c r="BR72" s="137"/>
      <c r="BS72" s="137"/>
      <c r="BV72" s="262">
        <v>3.6652956298200512</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87"/>
        <v>38822</v>
      </c>
      <c r="F73" s="28">
        <f t="shared" si="52"/>
        <v>474</v>
      </c>
      <c r="G73" s="28">
        <f t="shared" si="53"/>
        <v>381.11737385383805</v>
      </c>
      <c r="H73" s="52">
        <f t="shared" si="54"/>
        <v>3.4776349614395881</v>
      </c>
      <c r="I73" s="52">
        <f t="shared" si="55"/>
        <v>3.9620000000000002</v>
      </c>
      <c r="K73" s="52">
        <f t="shared" si="56"/>
        <v>10.877886784559434</v>
      </c>
      <c r="L73" s="135">
        <f t="shared" si="57"/>
        <v>1.1518627101025913E-6</v>
      </c>
      <c r="N73" s="131">
        <f t="shared" si="48"/>
        <v>0.25184329937151428</v>
      </c>
      <c r="O73" s="131">
        <f t="shared" si="49"/>
        <v>0.25184329937151428</v>
      </c>
      <c r="P73" s="55">
        <f t="shared" si="50"/>
        <v>1</v>
      </c>
      <c r="Q73" s="135">
        <f>_xll.xSPRDOPT(I73,H73,AQ73,0,O73,N73,P73,D73-$G$5,1,0)*AH73*AU73</f>
        <v>10.877887936422145</v>
      </c>
      <c r="R73" s="135"/>
      <c r="S73" s="181">
        <f>_xll.xSPRDOPT(I73,H73,AQ73,AT73,O73,N73,P73,D73-$G$5,1,2)*AF73*(F73/(1-AR73))*AH73</f>
        <v>-11724.286620422406</v>
      </c>
      <c r="T73" s="181">
        <f>_xll.xSPRDOPT(I73,H73,AQ73,AT73,O73,N73,P73,D73-$G$5,1,1)*AF73*F73*AH73</f>
        <v>11401.868738309058</v>
      </c>
      <c r="U73" s="135"/>
      <c r="V73" s="146">
        <f t="shared" si="58"/>
        <v>9.0527436966674308</v>
      </c>
      <c r="W73" s="146"/>
      <c r="X73" s="338">
        <f t="shared" si="59"/>
        <v>0</v>
      </c>
      <c r="Y73" s="338">
        <f t="shared" si="60"/>
        <v>0</v>
      </c>
      <c r="Z73" s="338">
        <f t="shared" si="61"/>
        <v>2.1343357027603322</v>
      </c>
      <c r="AA73" s="338">
        <f t="shared" si="62"/>
        <v>2.2853655266601173E-9</v>
      </c>
      <c r="AB73" s="338">
        <f t="shared" si="63"/>
        <v>0</v>
      </c>
      <c r="AC73" s="338">
        <f t="shared" si="64"/>
        <v>2.1614657785848035</v>
      </c>
      <c r="AF73" s="138">
        <f t="shared" si="65"/>
        <v>1</v>
      </c>
      <c r="AG73" s="138">
        <f t="shared" si="66"/>
        <v>4</v>
      </c>
      <c r="AH73" s="138">
        <f t="shared" si="67"/>
        <v>30</v>
      </c>
      <c r="AI73" s="138">
        <f t="shared" si="88"/>
        <v>1566</v>
      </c>
      <c r="AJ73" s="138">
        <f t="shared" si="68"/>
        <v>1583</v>
      </c>
      <c r="AL73" s="136">
        <f t="shared" si="69"/>
        <v>3.3620000000000001</v>
      </c>
      <c r="AM73" s="258">
        <f t="shared" si="70"/>
        <v>0.01</v>
      </c>
      <c r="AN73" s="258">
        <f t="shared" si="71"/>
        <v>0.01</v>
      </c>
      <c r="AO73" s="258">
        <f t="shared" si="72"/>
        <v>0.6</v>
      </c>
      <c r="AP73" s="258">
        <f t="shared" si="73"/>
        <v>0</v>
      </c>
      <c r="AQ73" s="136">
        <f t="shared" si="74"/>
        <v>3.3399999999999999E-2</v>
      </c>
      <c r="AR73" s="137">
        <f t="shared" si="75"/>
        <v>2.75E-2</v>
      </c>
      <c r="AS73" s="136">
        <f t="shared" si="76"/>
        <v>3.3819999999999997</v>
      </c>
      <c r="AT73" s="137">
        <f t="shared" si="77"/>
        <v>5.10592297577648E-2</v>
      </c>
      <c r="AU73" s="137">
        <f t="shared" si="78"/>
        <v>0.80404509251864564</v>
      </c>
      <c r="AV73" s="394">
        <f t="shared" si="79"/>
        <v>313.57758608227181</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-8.6228963824127488E-7</v>
      </c>
      <c r="BG73" s="137">
        <f>_xll.xSPRDOPT($BW73,$BV73,$CG73,0,$BY73,$BX73,$BZ73,$AJ73,1,3)*$CB73</f>
        <v>-3.8323983921834438E-7</v>
      </c>
      <c r="BH73" s="137">
        <f>IF(OR(BF73&lt;&gt;0,BG73&lt;&gt;0),_xll.xSPRDOPT($BW73,$BV73,$CG73,0,$BY73,$BX73,$BZ73,$AJ73,1,12)*$CB73,0)</f>
        <v>3.8323983921834438E-7</v>
      </c>
      <c r="BI73" s="137">
        <f>_xll.xSPRDOPT($BW73,$BV73,$CG73,2*LN(1+CA73/2),$BY73,$BX73,$BZ73,$AJ73,1,9)</f>
        <v>1.8273936132986668E-2</v>
      </c>
      <c r="BJ73" s="137">
        <f>_xll.xSPRDOPT($BW73,$BV73,$CG73,0,$BY73,$BX73,$BZ73,$AJ73,1,6)*$CB73</f>
        <v>-3.3182084466300478E-7</v>
      </c>
      <c r="BK73" s="137">
        <f>_xll.xSPRDOPT($BW73,$BV73,$CG73,0,$BY73,$BX73,$BZ73,$AJ73,1,5)*$CB73</f>
        <v>3.7802525054206014E-7</v>
      </c>
      <c r="BL73" s="137">
        <f>_xll.xSPRDOPT(BW73,BV73,CG73,0,BY73,BX73,BZ73,AJ73,1,2)*CB73</f>
        <v>-0.80371225541229618</v>
      </c>
      <c r="BM73" s="137">
        <f>_xll.xSPRDOPT(BW73,BV73,CG73,0,BY73,BX73,BZ73,AJ73,1,1)*CB73</f>
        <v>0.80371225541010327</v>
      </c>
      <c r="BN73" s="137">
        <f>IF(AH73&lt;&gt;0,_xll.xSPRDOPT($BW73,$BV73,$CG73,2*LN(1+CA73/2),$BY73,$BX73,$BZ73,$AJ73,1,8)+(AJ73/365.25)*CH73/AH73,0)</f>
        <v>-0.26356441896668259</v>
      </c>
      <c r="BO73" s="137">
        <f>_xll.xSPRDOPT($BW73,$BV73,$CG73,0,$BY73,$BX73,$BZ73,$AJ73,1,0)</f>
        <v>0.45096508632682669</v>
      </c>
      <c r="BP73" s="137"/>
      <c r="BQ73" s="137"/>
      <c r="BR73" s="137"/>
      <c r="BS73" s="137"/>
      <c r="BV73" s="262">
        <v>3.4776349614395881</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87"/>
        <v>38852</v>
      </c>
      <c r="F74" s="28">
        <f t="shared" si="52"/>
        <v>300</v>
      </c>
      <c r="G74" s="28">
        <f t="shared" si="53"/>
        <v>239.89501359925612</v>
      </c>
      <c r="H74" s="52">
        <f t="shared" si="54"/>
        <v>3.475064267352185</v>
      </c>
      <c r="I74" s="52">
        <f t="shared" si="55"/>
        <v>4.1070000000000002</v>
      </c>
      <c r="K74" s="52">
        <f t="shared" si="56"/>
        <v>14.837192898062797</v>
      </c>
      <c r="L74" s="135">
        <f t="shared" si="57"/>
        <v>1.5222585858509774E-6</v>
      </c>
      <c r="N74" s="131">
        <f t="shared" si="48"/>
        <v>0.24778090519241153</v>
      </c>
      <c r="O74" s="131">
        <f t="shared" si="49"/>
        <v>0.24778090519241153</v>
      </c>
      <c r="P74" s="55">
        <f t="shared" si="50"/>
        <v>1</v>
      </c>
      <c r="Q74" s="135">
        <f>_xll.xSPRDOPT(I74,H74,AQ74,0,O74,N74,P74,D74-$G$5,1,0)*AH74*AU74</f>
        <v>14.837194420321383</v>
      </c>
      <c r="R74" s="135"/>
      <c r="S74" s="181">
        <f>_xll.xSPRDOPT(I74,H74,AQ74,AT74,O74,N74,P74,D74-$G$5,1,2)*AF74*(F74/(1-AR74))*AH74</f>
        <v>-7625.206128220917</v>
      </c>
      <c r="T74" s="181">
        <f>_xll.xSPRDOPT(I74,H74,AQ74,AT74,O74,N74,P74,D74-$G$5,1,1)*AF74*F74*AH74</f>
        <v>7415.5129597540508</v>
      </c>
      <c r="U74" s="135"/>
      <c r="V74" s="146">
        <f t="shared" si="58"/>
        <v>9.303368522392752</v>
      </c>
      <c r="W74" s="146"/>
      <c r="X74" s="338">
        <f t="shared" si="59"/>
        <v>0</v>
      </c>
      <c r="Y74" s="338">
        <f t="shared" si="60"/>
        <v>0</v>
      </c>
      <c r="Z74" s="338">
        <f t="shared" si="61"/>
        <v>1.8536281166851338</v>
      </c>
      <c r="AA74" s="338">
        <f t="shared" si="62"/>
        <v>-4.7142037277705084E-9</v>
      </c>
      <c r="AB74" s="338">
        <f t="shared" si="63"/>
        <v>0</v>
      </c>
      <c r="AC74" s="338">
        <f t="shared" si="64"/>
        <v>1.8773329711956095</v>
      </c>
      <c r="AF74" s="138">
        <f t="shared" si="65"/>
        <v>1</v>
      </c>
      <c r="AG74" s="138">
        <f t="shared" si="66"/>
        <v>5</v>
      </c>
      <c r="AH74" s="138">
        <f t="shared" si="67"/>
        <v>31</v>
      </c>
      <c r="AI74" s="138">
        <f t="shared" si="88"/>
        <v>1596</v>
      </c>
      <c r="AJ74" s="138">
        <f t="shared" si="68"/>
        <v>1613</v>
      </c>
      <c r="AL74" s="136">
        <f t="shared" si="69"/>
        <v>3.3570000000000002</v>
      </c>
      <c r="AM74" s="258">
        <f t="shared" si="70"/>
        <v>1.2500000000000001E-2</v>
      </c>
      <c r="AN74" s="258">
        <f t="shared" si="71"/>
        <v>0.01</v>
      </c>
      <c r="AO74" s="258">
        <f t="shared" si="72"/>
        <v>0.75</v>
      </c>
      <c r="AP74" s="258">
        <f t="shared" si="73"/>
        <v>0</v>
      </c>
      <c r="AQ74" s="136">
        <f t="shared" si="74"/>
        <v>3.3399999999999999E-2</v>
      </c>
      <c r="AR74" s="137">
        <f t="shared" si="75"/>
        <v>2.75E-2</v>
      </c>
      <c r="AS74" s="136">
        <f t="shared" si="76"/>
        <v>3.3795000000000002</v>
      </c>
      <c r="AT74" s="137">
        <f t="shared" si="77"/>
        <v>5.1371017405212001E-2</v>
      </c>
      <c r="AU74" s="137">
        <f t="shared" si="78"/>
        <v>0.79965004533085371</v>
      </c>
      <c r="AV74" s="394">
        <f t="shared" si="79"/>
        <v>198.31321124205172</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1.5245761335937842E-6</v>
      </c>
      <c r="BG74" s="137">
        <f>_xll.xSPRDOPT($BW74,$BV74,$CG74,0,$BY74,$BX74,$BZ74,$AJ74,1,3)*$CB74</f>
        <v>0</v>
      </c>
      <c r="BH74" s="137">
        <f>IF(OR(BF74&lt;&gt;0,BG74&lt;&gt;0),_xll.xSPRDOPT($BW74,$BV74,$CG74,0,$BY74,$BX74,$BZ74,$AJ74,1,12)*$CB74,0)</f>
        <v>-1.9057201669922302E-7</v>
      </c>
      <c r="BI74" s="137">
        <f>_xll.xSPRDOPT($BW74,$BV74,$CG74,2*LN(1+CA74/2),$BY74,$BX74,$BZ74,$AJ74,1,9)</f>
        <v>2.4266583140474734E-2</v>
      </c>
      <c r="BJ74" s="137">
        <f>_xll.xSPRDOPT($BW74,$BV74,$CG74,0,$BY74,$BX74,$BZ74,$AJ74,1,6)*$CB74</f>
        <v>5.4243188041758874E-7</v>
      </c>
      <c r="BK74" s="137">
        <f>_xll.xSPRDOPT($BW74,$BV74,$CG74,0,$BY74,$BX74,$BZ74,$AJ74,1,5)*$CB74</f>
        <v>-6.4108151178540468E-7</v>
      </c>
      <c r="BL74" s="137">
        <f>_xll.xSPRDOPT(BW74,BV74,CG74,0,BY74,BX74,BZ74,AJ74,1,2)*CB74</f>
        <v>-0.79931705358194549</v>
      </c>
      <c r="BM74" s="137">
        <f>_xll.xSPRDOPT(BW74,BV74,CG74,0,BY74,BX74,BZ74,AJ74,1,1)*CB74</f>
        <v>0.79931705358630745</v>
      </c>
      <c r="BN74" s="137">
        <f>IF(AH74&lt;&gt;0,_xll.xSPRDOPT($BW74,$BV74,$CG74,2*LN(1+CA74/2),$BY74,$BX74,$BZ74,$AJ74,1,8)+(AJ74/365.25)*CH74/AH74,0)</f>
        <v>-0.78800143551045609</v>
      </c>
      <c r="BO74" s="137">
        <f>_xll.xSPRDOPT($BW74,$BV74,$CG74,0,$BY74,$BX74,$BZ74,$AJ74,1,0)</f>
        <v>0.59853579402827561</v>
      </c>
      <c r="BP74" s="137"/>
      <c r="BQ74" s="137"/>
      <c r="BR74" s="137"/>
      <c r="BS74" s="137"/>
      <c r="BV74" s="262">
        <v>3.475064267352185</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3.3399999999999999E-2</v>
      </c>
      <c r="CH74" s="258">
        <v>9.2994934465207546</v>
      </c>
      <c r="CI74" s="258">
        <v>3.3570000000000002</v>
      </c>
      <c r="CJ74" s="258"/>
      <c r="CK74" s="258"/>
      <c r="CL74" s="258"/>
      <c r="CM74" s="258"/>
    </row>
    <row r="75" spans="1:91" x14ac:dyDescent="0.25">
      <c r="A75" s="723"/>
      <c r="B75" s="723"/>
      <c r="D75" s="31">
        <f t="shared" si="87"/>
        <v>38883</v>
      </c>
      <c r="F75" s="28">
        <f t="shared" si="52"/>
        <v>300</v>
      </c>
      <c r="G75" s="28">
        <f t="shared" si="53"/>
        <v>238.52765774315287</v>
      </c>
      <c r="H75" s="52">
        <f t="shared" si="54"/>
        <v>3.5110539845758351</v>
      </c>
      <c r="I75" s="52">
        <f t="shared" si="55"/>
        <v>4.242</v>
      </c>
      <c r="K75" s="52">
        <f t="shared" si="56"/>
        <v>16.638401722719525</v>
      </c>
      <c r="L75" s="135">
        <f t="shared" si="57"/>
        <v>1.6906282027662201E-6</v>
      </c>
      <c r="N75" s="131">
        <f t="shared" si="48"/>
        <v>0.2500930627639058</v>
      </c>
      <c r="O75" s="131">
        <f t="shared" si="49"/>
        <v>0.2500930627639058</v>
      </c>
      <c r="P75" s="55">
        <f t="shared" si="50"/>
        <v>1</v>
      </c>
      <c r="Q75" s="135">
        <f>_xll.xSPRDOPT(I75,H75,AQ75,0,O75,N75,P75,D75-$G$5,1,0)*AH75*AU75</f>
        <v>16.638403413347728</v>
      </c>
      <c r="R75" s="135"/>
      <c r="S75" s="181">
        <f>_xll.xSPRDOPT(I75,H75,AQ75,AT75,O75,N75,P75,D75-$G$5,1,2)*AF75*(F75/(1-AR75))*AH75</f>
        <v>-7336.5008389513823</v>
      </c>
      <c r="T75" s="181">
        <f>_xll.xSPRDOPT(I75,H75,AQ75,AT75,O75,N75,P75,D75-$G$5,1,1)*AF75*F75*AH75</f>
        <v>7134.7470658965904</v>
      </c>
      <c r="U75" s="135"/>
      <c r="V75" s="146">
        <f t="shared" si="58"/>
        <v>8.9519429951005272</v>
      </c>
      <c r="W75" s="146"/>
      <c r="X75" s="338">
        <f t="shared" si="59"/>
        <v>0</v>
      </c>
      <c r="Y75" s="338">
        <f t="shared" si="60"/>
        <v>0</v>
      </c>
      <c r="Z75" s="338">
        <f t="shared" si="61"/>
        <v>2.0915215450574305</v>
      </c>
      <c r="AA75" s="338">
        <f t="shared" si="62"/>
        <v>-5.3797243133417399E-9</v>
      </c>
      <c r="AB75" s="338">
        <f t="shared" si="63"/>
        <v>0</v>
      </c>
      <c r="AC75" s="338">
        <f t="shared" si="64"/>
        <v>2.1184356842331042</v>
      </c>
      <c r="AF75" s="138">
        <f t="shared" si="65"/>
        <v>1</v>
      </c>
      <c r="AG75" s="138">
        <f t="shared" si="66"/>
        <v>6</v>
      </c>
      <c r="AH75" s="138">
        <f t="shared" si="67"/>
        <v>30</v>
      </c>
      <c r="AI75" s="138">
        <f t="shared" si="88"/>
        <v>1627</v>
      </c>
      <c r="AJ75" s="138">
        <f t="shared" si="68"/>
        <v>1644</v>
      </c>
      <c r="AL75" s="136">
        <f t="shared" si="69"/>
        <v>3.3919999999999999</v>
      </c>
      <c r="AM75" s="258">
        <f t="shared" si="70"/>
        <v>1.2500000000000001E-2</v>
      </c>
      <c r="AN75" s="258">
        <f t="shared" si="71"/>
        <v>0.01</v>
      </c>
      <c r="AO75" s="258">
        <f t="shared" si="72"/>
        <v>0.85</v>
      </c>
      <c r="AP75" s="258">
        <f t="shared" si="73"/>
        <v>0</v>
      </c>
      <c r="AQ75" s="136">
        <f t="shared" si="74"/>
        <v>3.3399999999999999E-2</v>
      </c>
      <c r="AR75" s="137">
        <f t="shared" si="75"/>
        <v>2.75E-2</v>
      </c>
      <c r="AS75" s="136">
        <f t="shared" si="76"/>
        <v>3.4144999999999999</v>
      </c>
      <c r="AT75" s="137">
        <f t="shared" si="77"/>
        <v>5.1693198008315698E-2</v>
      </c>
      <c r="AU75" s="137">
        <f t="shared" si="78"/>
        <v>0.79509219247717622</v>
      </c>
      <c r="AV75" s="394">
        <f t="shared" si="79"/>
        <v>190.8221261945223</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-9.4742651847317153E-7</v>
      </c>
      <c r="BG75" s="137">
        <f>_xll.xSPRDOPT($BW75,$BV75,$CG75,0,$BY75,$BX75,$BZ75,$AJ75,1,3)*$CB75</f>
        <v>-9.4742651847317153E-7</v>
      </c>
      <c r="BH75" s="137">
        <f>IF(OR(BF75&lt;&gt;0,BG75&lt;&gt;0),_xll.xSPRDOPT($BW75,$BV75,$CG75,0,$BY75,$BX75,$BZ75,$AJ75,1,12)*$CB75,0)</f>
        <v>7.5794121477853718E-7</v>
      </c>
      <c r="BI75" s="137">
        <f>_xll.xSPRDOPT($BW75,$BV75,$CG75,2*LN(1+CA75/2),$BY75,$BX75,$BZ75,$AJ75,1,9)</f>
        <v>2.8293638678971351E-2</v>
      </c>
      <c r="BJ75" s="137">
        <f>_xll.xSPRDOPT($BW75,$BV75,$CG75,0,$BY75,$BX75,$BZ75,$AJ75,1,6)*$CB75</f>
        <v>6.1021656613196557E-7</v>
      </c>
      <c r="BK75" s="137">
        <f>_xll.xSPRDOPT($BW75,$BV75,$CG75,0,$BY75,$BX75,$BZ75,$AJ75,1,5)*$CB75</f>
        <v>-7.3727466973045361E-7</v>
      </c>
      <c r="BL75" s="137">
        <f>_xll.xSPRDOPT(BW75,BV75,CG75,0,BY75,BX75,BZ75,AJ75,1,2)*CB75</f>
        <v>-0.79475904868322733</v>
      </c>
      <c r="BM75" s="137">
        <f>_xll.xSPRDOPT(BW75,BV75,CG75,0,BY75,BX75,BZ75,AJ75,1,1)*CB75</f>
        <v>0.79475904868322733</v>
      </c>
      <c r="BN75" s="137">
        <f>IF(AH75&lt;&gt;0,_xll.xSPRDOPT($BW75,$BV75,$CG75,2*LN(1+CA75/2),$BY75,$BX75,$BZ75,$AJ75,1,8)+(AJ75/365.25)*CH75/AH75,0)</f>
        <v>-1.1527487947372947</v>
      </c>
      <c r="BO75" s="137">
        <f>_xll.xSPRDOPT($BW75,$BV75,$CG75,0,$BY75,$BX75,$BZ75,$AJ75,1,0)</f>
        <v>0.69754608626610082</v>
      </c>
      <c r="BP75" s="137"/>
      <c r="BQ75" s="137"/>
      <c r="BR75" s="137"/>
      <c r="BS75" s="137"/>
      <c r="BV75" s="262">
        <v>3.5110539845758351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3.3399999999999999E-2</v>
      </c>
      <c r="CH75" s="258">
        <v>8.9481912120157663</v>
      </c>
      <c r="CI75" s="258">
        <v>3.3919999999999999</v>
      </c>
      <c r="CJ75" s="258"/>
      <c r="CK75" s="258"/>
      <c r="CL75" s="258"/>
      <c r="CM75" s="258"/>
    </row>
    <row r="76" spans="1:91" x14ac:dyDescent="0.25">
      <c r="A76" s="723"/>
      <c r="B76" s="723"/>
      <c r="D76" s="31">
        <f t="shared" si="87"/>
        <v>38913</v>
      </c>
      <c r="F76" s="28">
        <f t="shared" si="52"/>
        <v>300</v>
      </c>
      <c r="G76" s="28">
        <f t="shared" si="53"/>
        <v>237.19984076723176</v>
      </c>
      <c r="H76" s="52">
        <f t="shared" si="54"/>
        <v>3.5521850899742931</v>
      </c>
      <c r="I76" s="52">
        <f t="shared" si="55"/>
        <v>4.4820000000000002</v>
      </c>
      <c r="K76" s="52">
        <f t="shared" si="56"/>
        <v>21.971712305011913</v>
      </c>
      <c r="L76" s="135">
        <f t="shared" si="57"/>
        <v>2.2216886890191745E-6</v>
      </c>
      <c r="N76" s="131">
        <f t="shared" si="48"/>
        <v>0.25100885381510452</v>
      </c>
      <c r="O76" s="131">
        <f t="shared" si="49"/>
        <v>0.25100885381510452</v>
      </c>
      <c r="P76" s="55">
        <f t="shared" si="50"/>
        <v>0.99999999999999978</v>
      </c>
      <c r="Q76" s="135">
        <f>_xll.xSPRDOPT(I76,H76,AQ76,0,O76,N76,P76,D76-$G$5,1,0)*AH76*AU76</f>
        <v>21.971714526700602</v>
      </c>
      <c r="R76" s="135"/>
      <c r="S76" s="181">
        <f>_xll.xSPRDOPT(I76,H76,AQ76,AT76,O76,N76,P76,D76-$G$5,1,2)*AF76*(F76/(1-AR76))*AH76</f>
        <v>-7538.1708953234884</v>
      </c>
      <c r="T76" s="181">
        <f>_xll.xSPRDOPT(I76,H76,AQ76,AT76,O76,N76,P76,D76-$G$5,1,1)*AF76*F76*AH76</f>
        <v>7330.8711957020932</v>
      </c>
      <c r="U76" s="135"/>
      <c r="V76" s="146">
        <f t="shared" si="58"/>
        <v>9.1988470247940164</v>
      </c>
      <c r="W76" s="146"/>
      <c r="X76" s="338">
        <f t="shared" si="59"/>
        <v>0</v>
      </c>
      <c r="Y76" s="338">
        <f t="shared" si="60"/>
        <v>0</v>
      </c>
      <c r="Z76" s="338">
        <f t="shared" si="61"/>
        <v>2.7783822788471881</v>
      </c>
      <c r="AA76" s="338">
        <f t="shared" si="62"/>
        <v>-9.6937416075232765E-9</v>
      </c>
      <c r="AB76" s="338">
        <f t="shared" si="63"/>
        <v>0</v>
      </c>
      <c r="AC76" s="338">
        <f t="shared" si="64"/>
        <v>2.8143498141565542</v>
      </c>
      <c r="AF76" s="138">
        <f t="shared" si="65"/>
        <v>1</v>
      </c>
      <c r="AG76" s="138">
        <f t="shared" si="66"/>
        <v>7</v>
      </c>
      <c r="AH76" s="138">
        <f t="shared" si="67"/>
        <v>31</v>
      </c>
      <c r="AI76" s="138">
        <f t="shared" si="88"/>
        <v>1657</v>
      </c>
      <c r="AJ76" s="138">
        <f t="shared" si="68"/>
        <v>1674</v>
      </c>
      <c r="AL76" s="136">
        <f t="shared" si="69"/>
        <v>3.4319999999999999</v>
      </c>
      <c r="AM76" s="258">
        <f t="shared" si="70"/>
        <v>1.2500000000000001E-2</v>
      </c>
      <c r="AN76" s="258">
        <f t="shared" si="71"/>
        <v>0.01</v>
      </c>
      <c r="AO76" s="258">
        <f t="shared" si="72"/>
        <v>1.05</v>
      </c>
      <c r="AP76" s="258">
        <f t="shared" si="73"/>
        <v>0</v>
      </c>
      <c r="AQ76" s="136">
        <f t="shared" si="74"/>
        <v>3.3399999999999999E-2</v>
      </c>
      <c r="AR76" s="137">
        <f t="shared" si="75"/>
        <v>2.75E-2</v>
      </c>
      <c r="AS76" s="136">
        <f t="shared" si="76"/>
        <v>3.4544999999999999</v>
      </c>
      <c r="AT76" s="137">
        <f t="shared" si="77"/>
        <v>5.2004985721710598E-2</v>
      </c>
      <c r="AU76" s="137">
        <f t="shared" si="78"/>
        <v>0.7906661358907725</v>
      </c>
      <c r="AV76" s="394">
        <f t="shared" si="79"/>
        <v>196.08520170091157</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1.8843002147764738E-7</v>
      </c>
      <c r="BH76" s="137">
        <f>IF(OR(BF76&lt;&gt;0,BG76&lt;&gt;0),_xll.xSPRDOPT($BW76,$BV76,$CG76,0,$BY76,$BX76,$BZ76,$AJ76,1,12)*$CB76,0)</f>
        <v>-2.8264503221647106E-7</v>
      </c>
      <c r="BI76" s="137">
        <f>_xll.xSPRDOPT($BW76,$BV76,$CG76,2*LN(1+CA76/2),$BY76,$BX76,$BZ76,$AJ76,1,9)</f>
        <v>3.6372907790284431E-2</v>
      </c>
      <c r="BJ76" s="137">
        <f>_xll.xSPRDOPT($BW76,$BV76,$CG76,0,$BY76,$BX76,$BZ76,$AJ76,1,6)*$CB76</f>
        <v>6.3822489720297269E-7</v>
      </c>
      <c r="BK76" s="137">
        <f>_xll.xSPRDOPT($BW76,$BV76,$CG76,0,$BY76,$BX76,$BZ76,$AJ76,1,5)*$CB76</f>
        <v>-8.0529823764248804E-7</v>
      </c>
      <c r="BL76" s="137">
        <f>_xll.xSPRDOPT(BW76,BV76,CG76,0,BY76,BX76,BZ76,AJ76,1,2)*CB76</f>
        <v>-0.79033287347509773</v>
      </c>
      <c r="BM76" s="137">
        <f>_xll.xSPRDOPT(BW76,BV76,CG76,0,BY76,BX76,BZ76,AJ76,1,1)*CB76</f>
        <v>0.7903328734736601</v>
      </c>
      <c r="BN76" s="137">
        <f>IF(AH76&lt;&gt;0,_xll.xSPRDOPT($BW76,$BV76,$CG76,2*LN(1+CA76/2),$BY76,$BX76,$BZ76,$AJ76,1,8)+(AJ76/365.25)*CH76/AH76,0)</f>
        <v>-1.8875949469208906</v>
      </c>
      <c r="BO76" s="137">
        <f>_xll.xSPRDOPT($BW76,$BV76,$CG76,0,$BY76,$BX76,$BZ76,$AJ76,1,0)</f>
        <v>0.89641500062124879</v>
      </c>
      <c r="BP76" s="137"/>
      <c r="BQ76" s="137"/>
      <c r="BR76" s="137"/>
      <c r="BS76" s="137"/>
      <c r="BV76" s="262">
        <v>3.5521850899742931</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3.3399999999999999E-2</v>
      </c>
      <c r="CH76" s="258">
        <v>9.1949688113170467</v>
      </c>
      <c r="CI76" s="258">
        <v>3.4319999999999999</v>
      </c>
      <c r="CJ76" s="258"/>
      <c r="CK76" s="258"/>
      <c r="CL76" s="258"/>
      <c r="CM76" s="258"/>
    </row>
    <row r="77" spans="1:91" x14ac:dyDescent="0.25">
      <c r="A77" s="723"/>
      <c r="B77" s="723"/>
      <c r="D77" s="31">
        <f t="shared" si="87"/>
        <v>38944</v>
      </c>
      <c r="F77" s="28">
        <f t="shared" si="52"/>
        <v>300</v>
      </c>
      <c r="G77" s="28">
        <f t="shared" si="53"/>
        <v>235.82321265901501</v>
      </c>
      <c r="H77" s="52">
        <f t="shared" si="54"/>
        <v>3.5881748071979431</v>
      </c>
      <c r="I77" s="52">
        <f t="shared" si="55"/>
        <v>4.5220000000000002</v>
      </c>
      <c r="K77" s="52">
        <f t="shared" si="56"/>
        <v>21.941920044988393</v>
      </c>
      <c r="L77" s="135">
        <f t="shared" si="57"/>
        <v>2.2020802674660445E-6</v>
      </c>
      <c r="N77" s="131">
        <f t="shared" si="48"/>
        <v>0.25189542698197026</v>
      </c>
      <c r="O77" s="131">
        <f t="shared" si="49"/>
        <v>0.25189542698197026</v>
      </c>
      <c r="P77" s="55">
        <f t="shared" si="50"/>
        <v>1</v>
      </c>
      <c r="Q77" s="135">
        <f>_xll.xSPRDOPT(I77,H77,AQ77,0,O77,N77,P77,D77-$G$5,1,0)*AH77*AU77</f>
        <v>21.941922247068661</v>
      </c>
      <c r="R77" s="135"/>
      <c r="S77" s="181">
        <f>_xll.xSPRDOPT(I77,H77,AQ77,AT77,O77,N77,P77,D77-$G$5,1,2)*AF77*(F77/(1-AR77))*AH77</f>
        <v>-7493.7131460244691</v>
      </c>
      <c r="T77" s="181">
        <f>_xll.xSPRDOPT(I77,H77,AQ77,AT77,O77,N77,P77,D77-$G$5,1,1)*AF77*F77*AH77</f>
        <v>7287.636034424213</v>
      </c>
      <c r="U77" s="135"/>
      <c r="V77" s="146">
        <f t="shared" si="58"/>
        <v>9.1454600101292627</v>
      </c>
      <c r="W77" s="146"/>
      <c r="X77" s="338">
        <f t="shared" si="59"/>
        <v>0</v>
      </c>
      <c r="Y77" s="338">
        <f t="shared" si="60"/>
        <v>0</v>
      </c>
      <c r="Z77" s="338">
        <f t="shared" si="61"/>
        <v>2.7915769452974741</v>
      </c>
      <c r="AA77" s="338">
        <f t="shared" si="62"/>
        <v>-1.2142044341387886E-8</v>
      </c>
      <c r="AB77" s="338">
        <f t="shared" si="63"/>
        <v>0</v>
      </c>
      <c r="AC77" s="338">
        <f t="shared" si="64"/>
        <v>2.8279382227401557</v>
      </c>
      <c r="AF77" s="138">
        <f t="shared" si="65"/>
        <v>1</v>
      </c>
      <c r="AG77" s="138">
        <f t="shared" si="66"/>
        <v>8</v>
      </c>
      <c r="AH77" s="138">
        <f t="shared" si="67"/>
        <v>31</v>
      </c>
      <c r="AI77" s="138">
        <f t="shared" si="88"/>
        <v>1688</v>
      </c>
      <c r="AJ77" s="138">
        <f t="shared" si="68"/>
        <v>1705</v>
      </c>
      <c r="AL77" s="136">
        <f t="shared" si="69"/>
        <v>3.472</v>
      </c>
      <c r="AM77" s="258">
        <f t="shared" si="70"/>
        <v>7.4999999999999997E-3</v>
      </c>
      <c r="AN77" s="258">
        <f t="shared" si="71"/>
        <v>0.01</v>
      </c>
      <c r="AO77" s="258">
        <f t="shared" si="72"/>
        <v>1.05</v>
      </c>
      <c r="AP77" s="258">
        <f t="shared" si="73"/>
        <v>0</v>
      </c>
      <c r="AQ77" s="136">
        <f t="shared" si="74"/>
        <v>3.3399999999999999E-2</v>
      </c>
      <c r="AR77" s="137">
        <f t="shared" si="75"/>
        <v>2.75E-2</v>
      </c>
      <c r="AS77" s="136">
        <f t="shared" si="76"/>
        <v>3.4894999999999996</v>
      </c>
      <c r="AT77" s="137">
        <f t="shared" si="77"/>
        <v>5.2327166392949202E-2</v>
      </c>
      <c r="AU77" s="137">
        <f t="shared" si="78"/>
        <v>0.78607737553005008</v>
      </c>
      <c r="AV77" s="394">
        <f t="shared" si="79"/>
        <v>194.94718913145243</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1.1240157231811157E-6</v>
      </c>
      <c r="BG77" s="137">
        <f>_xll.xSPRDOPT($BW77,$BV77,$CG77,0,$BY77,$BX77,$BZ77,$AJ77,1,3)*$CB77</f>
        <v>9.3667976931759654E-7</v>
      </c>
      <c r="BH77" s="137">
        <f>IF(OR(BF77&lt;&gt;0,BG77&lt;&gt;0),_xll.xSPRDOPT($BW77,$BV77,$CG77,0,$BY77,$BX77,$BZ77,$AJ77,1,12)*$CB77,0)</f>
        <v>-8.4301179238583687E-7</v>
      </c>
      <c r="BI77" s="137">
        <f>_xll.xSPRDOPT($BW77,$BV77,$CG77,2*LN(1+CA77/2),$BY77,$BX77,$BZ77,$AJ77,1,9)</f>
        <v>3.6545644418276076E-2</v>
      </c>
      <c r="BJ77" s="137">
        <f>_xll.xSPRDOPT($BW77,$BV77,$CG77,0,$BY77,$BX77,$BZ77,$AJ77,1,6)*$CB77</f>
        <v>6.5498497878235818E-7</v>
      </c>
      <c r="BK77" s="137">
        <f>_xll.xSPRDOPT($BW77,$BV77,$CG77,0,$BY77,$BX77,$BZ77,$AJ77,1,5)*$CB77</f>
        <v>-8.2543299404237304E-7</v>
      </c>
      <c r="BL77" s="137">
        <f>_xll.xSPRDOPT(BW77,BV77,CG77,0,BY77,BX77,BZ77,AJ77,1,2)*CB77</f>
        <v>-0.78574402027050694</v>
      </c>
      <c r="BM77" s="137">
        <f>_xll.xSPRDOPT(BW77,BV77,CG77,0,BY77,BX77,BZ77,AJ77,1,1)*CB77</f>
        <v>0.78574402026050205</v>
      </c>
      <c r="BN77" s="137">
        <f>IF(AH77&lt;&gt;0,_xll.xSPRDOPT($BW77,$BV77,$CG77,2*LN(1+CA77/2),$BY77,$BX77,$BZ77,$AJ77,1,8)+(AJ77/365.25)*CH77/AH77,0)</f>
        <v>-1.9260968811320518</v>
      </c>
      <c r="BO77" s="137">
        <f>_xll.xSPRDOPT($BW77,$BV77,$CG77,0,$BY77,$BX77,$BZ77,$AJ77,1,0)</f>
        <v>0.90042528312186931</v>
      </c>
      <c r="BP77" s="137"/>
      <c r="BQ77" s="137"/>
      <c r="BR77" s="137"/>
      <c r="BS77" s="137"/>
      <c r="BV77" s="262">
        <v>3.5881748071979431</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3.3399999999999999E-2</v>
      </c>
      <c r="CH77" s="258">
        <v>9.1415807285131958</v>
      </c>
      <c r="CI77" s="258">
        <v>3.472</v>
      </c>
      <c r="CJ77" s="258"/>
      <c r="CK77" s="258"/>
      <c r="CL77" s="258"/>
      <c r="CM77" s="258"/>
    </row>
    <row r="78" spans="1:91" x14ac:dyDescent="0.25">
      <c r="A78" s="723"/>
      <c r="B78" s="723"/>
      <c r="D78" s="31">
        <f t="shared" si="87"/>
        <v>38975</v>
      </c>
      <c r="F78" s="28">
        <f t="shared" si="52"/>
        <v>300</v>
      </c>
      <c r="G78" s="28">
        <f t="shared" si="53"/>
        <v>234.44213298156237</v>
      </c>
      <c r="H78" s="52">
        <f t="shared" si="54"/>
        <v>3.5830334190231357</v>
      </c>
      <c r="I78" s="52">
        <f t="shared" si="55"/>
        <v>4.2170000000000005</v>
      </c>
      <c r="K78" s="52">
        <f t="shared" si="56"/>
        <v>14.079811024166041</v>
      </c>
      <c r="L78" s="135">
        <f t="shared" si="57"/>
        <v>1.4108320058880963E-6</v>
      </c>
      <c r="N78" s="131">
        <f t="shared" si="48"/>
        <v>0.251680618344995</v>
      </c>
      <c r="O78" s="131">
        <f t="shared" si="49"/>
        <v>0.251680618344995</v>
      </c>
      <c r="P78" s="55">
        <f t="shared" si="50"/>
        <v>1</v>
      </c>
      <c r="Q78" s="135">
        <f>_xll.xSPRDOPT(I78,H78,AQ78,0,O78,N78,P78,D78-$G$5,1,0)*AH78*AU78</f>
        <v>14.079812434998047</v>
      </c>
      <c r="R78" s="135"/>
      <c r="S78" s="181">
        <f>_xll.xSPRDOPT(I78,H78,AQ78,AT78,O78,N78,P78,D78-$G$5,1,2)*AF78*(F78/(1-AR78))*AH78</f>
        <v>-7208.8162766033029</v>
      </c>
      <c r="T78" s="181">
        <f>_xll.xSPRDOPT(I78,H78,AQ78,AT78,O78,N78,P78,D78-$G$5,1,1)*AF78*F78*AH78</f>
        <v>7010.5738289475994</v>
      </c>
      <c r="U78" s="135"/>
      <c r="V78" s="146">
        <f t="shared" si="58"/>
        <v>8.7986132507980361</v>
      </c>
      <c r="W78" s="146"/>
      <c r="X78" s="338">
        <f t="shared" si="59"/>
        <v>0</v>
      </c>
      <c r="Y78" s="338">
        <f t="shared" si="60"/>
        <v>0</v>
      </c>
      <c r="Z78" s="338">
        <f t="shared" si="61"/>
        <v>1.8021967502097753</v>
      </c>
      <c r="AA78" s="338">
        <f t="shared" si="62"/>
        <v>-5.0245618084956077E-9</v>
      </c>
      <c r="AB78" s="338">
        <f t="shared" si="63"/>
        <v>0</v>
      </c>
      <c r="AC78" s="338">
        <f t="shared" si="64"/>
        <v>1.8258149885633359</v>
      </c>
      <c r="AF78" s="138">
        <f t="shared" si="65"/>
        <v>1</v>
      </c>
      <c r="AG78" s="138">
        <f t="shared" si="66"/>
        <v>9</v>
      </c>
      <c r="AH78" s="138">
        <f t="shared" si="67"/>
        <v>30</v>
      </c>
      <c r="AI78" s="138">
        <f t="shared" si="88"/>
        <v>1719</v>
      </c>
      <c r="AJ78" s="138">
        <f t="shared" si="68"/>
        <v>1736</v>
      </c>
      <c r="AL78" s="136">
        <f t="shared" si="69"/>
        <v>3.4670000000000001</v>
      </c>
      <c r="AM78" s="258">
        <f t="shared" si="70"/>
        <v>7.4999999999999997E-3</v>
      </c>
      <c r="AN78" s="258">
        <f t="shared" si="71"/>
        <v>0.01</v>
      </c>
      <c r="AO78" s="258">
        <f t="shared" si="72"/>
        <v>0.75</v>
      </c>
      <c r="AP78" s="258">
        <f t="shared" si="73"/>
        <v>0</v>
      </c>
      <c r="AQ78" s="136">
        <f t="shared" si="74"/>
        <v>3.3399999999999999E-2</v>
      </c>
      <c r="AR78" s="137">
        <f t="shared" si="75"/>
        <v>2.75E-2</v>
      </c>
      <c r="AS78" s="136">
        <f t="shared" si="76"/>
        <v>3.4844999999999997</v>
      </c>
      <c r="AT78" s="137">
        <f t="shared" si="77"/>
        <v>5.2649347098806303E-2</v>
      </c>
      <c r="AU78" s="137">
        <f t="shared" si="78"/>
        <v>0.78147377660520789</v>
      </c>
      <c r="AV78" s="394">
        <f t="shared" si="79"/>
        <v>187.55370638524988</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9.3119177843510569E-8</v>
      </c>
      <c r="BI78" s="137">
        <f>_xll.xSPRDOPT($BW78,$BV78,$CG78,2*LN(1+CA78/2),$BY78,$BX78,$BZ78,$AJ78,1,9)</f>
        <v>2.4379717148671126E-2</v>
      </c>
      <c r="BJ78" s="137">
        <f>_xll.xSPRDOPT($BW78,$BV78,$CG78,0,$BY78,$BX78,$BZ78,$AJ78,1,6)*$CB78</f>
        <v>4.4062157389130368E-7</v>
      </c>
      <c r="BK78" s="137">
        <f>_xll.xSPRDOPT($BW78,$BV78,$CG78,0,$BY78,$BX78,$BZ78,$AJ78,1,5)*$CB78</f>
        <v>-5.1858835426827577E-7</v>
      </c>
      <c r="BL78" s="137">
        <f>_xll.xSPRDOPT(BW78,BV78,CG78,0,BY78,BX78,BZ78,AJ78,1,2)*CB78</f>
        <v>-0.78114035417571059</v>
      </c>
      <c r="BM78" s="137">
        <f>_xll.xSPRDOPT(BW78,BV78,CG78,0,BY78,BX78,BZ78,AJ78,1,1)*CB78</f>
        <v>0.78114035417428973</v>
      </c>
      <c r="BN78" s="137">
        <f>IF(AH78&lt;&gt;0,_xll.xSPRDOPT($BW78,$BV78,$CG78,2*LN(1+CA78/2),$BY78,$BX78,$BZ78,$AJ78,1,8)+(AJ78/365.25)*CH78/AH78,0)</f>
        <v>-0.83634489993353234</v>
      </c>
      <c r="BO78" s="137">
        <f>_xll.xSPRDOPT($BW78,$BV78,$CG78,0,$BY78,$BX78,$BZ78,$AJ78,1,0)</f>
        <v>0.60056664113415426</v>
      </c>
      <c r="BP78" s="137"/>
      <c r="BQ78" s="137"/>
      <c r="BR78" s="137"/>
      <c r="BS78" s="137"/>
      <c r="BV78" s="262">
        <v>3.5830334190231357</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3.3399999999999999E-2</v>
      </c>
      <c r="CH78" s="258">
        <v>8.7948584149012277</v>
      </c>
      <c r="CI78" s="258">
        <v>3.4670000000000001</v>
      </c>
      <c r="CJ78" s="258"/>
      <c r="CK78" s="258"/>
      <c r="CL78" s="258"/>
      <c r="CM78" s="258"/>
    </row>
    <row r="79" spans="1:91" x14ac:dyDescent="0.25">
      <c r="A79" s="723"/>
      <c r="B79" s="723"/>
      <c r="D79" s="31">
        <f t="shared" si="87"/>
        <v>39005</v>
      </c>
      <c r="F79" s="28">
        <f t="shared" si="52"/>
        <v>474</v>
      </c>
      <c r="G79" s="28">
        <f t="shared" si="53"/>
        <v>368.3004185370425</v>
      </c>
      <c r="H79" s="52">
        <f t="shared" si="54"/>
        <v>3.6061696658097682</v>
      </c>
      <c r="I79" s="52">
        <f t="shared" si="55"/>
        <v>3.9420000000000002</v>
      </c>
      <c r="K79" s="52">
        <f t="shared" si="56"/>
        <v>7.2846872963657443</v>
      </c>
      <c r="L79" s="135">
        <f t="shared" si="57"/>
        <v>5.5698973078222025E-6</v>
      </c>
      <c r="N79" s="131">
        <f t="shared" si="48"/>
        <v>0.25274596357326584</v>
      </c>
      <c r="O79" s="131">
        <f t="shared" si="49"/>
        <v>0.25274596357326584</v>
      </c>
      <c r="P79" s="55">
        <f t="shared" si="50"/>
        <v>1.0000000000000002</v>
      </c>
      <c r="Q79" s="135">
        <f>_xll.xSPRDOPT(I79,H79,AQ79,0,O79,N79,P79,D79-$G$5,1,0)*AH79*AU79</f>
        <v>7.2846928662630521</v>
      </c>
      <c r="R79" s="135"/>
      <c r="S79" s="181">
        <f>_xll.xSPRDOPT(I79,H79,AQ79,AT79,O79,N79,P79,D79-$G$5,1,2)*AF79*(F79/(1-AR79))*AH79</f>
        <v>-11701.143817468674</v>
      </c>
      <c r="T79" s="181">
        <f>_xll.xSPRDOPT(I79,H79,AQ79,AT79,O79,N79,P79,D79-$G$5,1,1)*AF79*F79*AH79</f>
        <v>11379.36236244151</v>
      </c>
      <c r="U79" s="135"/>
      <c r="V79" s="146">
        <f t="shared" si="58"/>
        <v>9.0399104628386375</v>
      </c>
      <c r="W79" s="146"/>
      <c r="X79" s="338">
        <f t="shared" si="59"/>
        <v>0</v>
      </c>
      <c r="Y79" s="338">
        <f t="shared" si="60"/>
        <v>0</v>
      </c>
      <c r="Z79" s="338">
        <f t="shared" si="61"/>
        <v>1.4818185858878312</v>
      </c>
      <c r="AA79" s="338">
        <f t="shared" si="62"/>
        <v>1.2157253895704385E-6</v>
      </c>
      <c r="AB79" s="338">
        <f t="shared" si="63"/>
        <v>0</v>
      </c>
      <c r="AC79" s="338">
        <f t="shared" si="64"/>
        <v>1.5013828294948306</v>
      </c>
      <c r="AF79" s="138">
        <f t="shared" si="65"/>
        <v>1</v>
      </c>
      <c r="AG79" s="138">
        <f t="shared" si="66"/>
        <v>10</v>
      </c>
      <c r="AH79" s="138">
        <f t="shared" si="67"/>
        <v>31</v>
      </c>
      <c r="AI79" s="138">
        <f t="shared" si="88"/>
        <v>1749</v>
      </c>
      <c r="AJ79" s="138">
        <f t="shared" si="68"/>
        <v>1766</v>
      </c>
      <c r="AL79" s="136">
        <f t="shared" si="69"/>
        <v>3.492</v>
      </c>
      <c r="AM79" s="258">
        <f t="shared" si="70"/>
        <v>5.0000000000000001E-3</v>
      </c>
      <c r="AN79" s="258">
        <f t="shared" si="71"/>
        <v>0.01</v>
      </c>
      <c r="AO79" s="258">
        <f t="shared" si="72"/>
        <v>0.45</v>
      </c>
      <c r="AP79" s="258">
        <f t="shared" si="73"/>
        <v>0</v>
      </c>
      <c r="AQ79" s="136">
        <f t="shared" si="74"/>
        <v>3.3399999999999999E-2</v>
      </c>
      <c r="AR79" s="137">
        <f t="shared" si="75"/>
        <v>2.75E-2</v>
      </c>
      <c r="AS79" s="136">
        <f t="shared" si="76"/>
        <v>3.5069999999999997</v>
      </c>
      <c r="AT79" s="137">
        <f t="shared" si="77"/>
        <v>5.2961134911624401E-2</v>
      </c>
      <c r="AU79" s="137">
        <f t="shared" si="78"/>
        <v>0.77700510239882381</v>
      </c>
      <c r="AV79" s="394">
        <f t="shared" si="79"/>
        <v>313.13305626672599</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9.2586466696211997E-8</v>
      </c>
      <c r="BG79" s="137">
        <f>_xll.xSPRDOPT($BW79,$BV79,$CG79,0,$BY79,$BX79,$BZ79,$AJ79,1,3)*$CB79</f>
        <v>-2.7775940008863598E-7</v>
      </c>
      <c r="BH79" s="137">
        <f>IF(OR(BF79&lt;&gt;0,BG79&lt;&gt;0),_xll.xSPRDOPT($BW79,$BV79,$CG79,0,$BY79,$BX79,$BZ79,$AJ79,1,12)*$CB79,0)</f>
        <v>6.4810526687348402E-7</v>
      </c>
      <c r="BI79" s="137">
        <f>_xll.xSPRDOPT($BW79,$BV79,$CG79,2*LN(1+CA79/2),$BY79,$BX79,$BZ79,$AJ79,1,9)</f>
        <v>1.2277896613028682E-2</v>
      </c>
      <c r="BJ79" s="137">
        <f>_xll.xSPRDOPT($BW79,$BV79,$CG79,0,$BY79,$BX79,$BZ79,$AJ79,1,6)*$CB79</f>
        <v>-1.008225906440063E-4</v>
      </c>
      <c r="BK79" s="137">
        <f>_xll.xSPRDOPT($BW79,$BV79,$CG79,0,$BY79,$BX79,$BZ79,$AJ79,1,5)*$CB79</f>
        <v>1.1021185158153991E-4</v>
      </c>
      <c r="BL79" s="137">
        <f>_xll.xSPRDOPT(BW79,BV79,CG79,0,BY79,BX79,BZ79,AJ79,1,2)*CB79</f>
        <v>-0.77666893486577171</v>
      </c>
      <c r="BM79" s="137">
        <f>_xll.xSPRDOPT(BW79,BV79,CG79,0,BY79,BX79,BZ79,AJ79,1,1)*CB79</f>
        <v>0.77666893486294619</v>
      </c>
      <c r="BN79" s="137">
        <f>IF(AH79&lt;&gt;0,_xll.xSPRDOPT($BW79,$BV79,$CG79,2*LN(1+CA79/2),$BY79,$BX79,$BZ79,$AJ79,1,8)+(AJ79/365.25)*CH79/AH79,0)</f>
        <v>0.27364232419189638</v>
      </c>
      <c r="BO79" s="137">
        <f>_xll.xSPRDOPT($BW79,$BV79,$CG79,0,$BY79,$BX79,$BZ79,$AJ79,1,0)</f>
        <v>0.30243056792191009</v>
      </c>
      <c r="BP79" s="137"/>
      <c r="BQ79" s="137"/>
      <c r="BR79" s="137"/>
      <c r="BS79" s="137"/>
      <c r="BV79" s="262">
        <v>3.6061696658097682</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3.3399999999999999E-2</v>
      </c>
      <c r="CH79" s="258">
        <v>9.0360301075771314</v>
      </c>
      <c r="CI79" s="258">
        <v>3.492</v>
      </c>
      <c r="CJ79" s="258"/>
      <c r="CK79" s="258"/>
      <c r="CL79" s="258"/>
      <c r="CM79" s="258"/>
    </row>
    <row r="80" spans="1:91" x14ac:dyDescent="0.25">
      <c r="A80" s="723"/>
      <c r="B80" s="723"/>
      <c r="D80" s="31">
        <f t="shared" si="87"/>
        <v>39036</v>
      </c>
      <c r="F80" s="28">
        <f t="shared" si="52"/>
        <v>474</v>
      </c>
      <c r="G80" s="28">
        <f t="shared" si="53"/>
        <v>366.105279859022</v>
      </c>
      <c r="H80" s="52">
        <f t="shared" si="54"/>
        <v>3.7609254498714648</v>
      </c>
      <c r="I80" s="52">
        <f t="shared" si="55"/>
        <v>4.0940000000000003</v>
      </c>
      <c r="K80" s="52">
        <f t="shared" si="56"/>
        <v>6.9438250026224058</v>
      </c>
      <c r="L80" s="135">
        <f t="shared" si="57"/>
        <v>8.9982378677078145E-6</v>
      </c>
      <c r="N80" s="131">
        <f t="shared" si="48"/>
        <v>0.25708471122670462</v>
      </c>
      <c r="O80" s="131">
        <f t="shared" si="49"/>
        <v>0.25708471122670462</v>
      </c>
      <c r="P80" s="55">
        <f t="shared" si="50"/>
        <v>1</v>
      </c>
      <c r="Q80" s="135">
        <f>_xll.xSPRDOPT(I80,H80,AQ80,0,O80,N80,P80,D80-$G$5,1,0)*AH80*AU80</f>
        <v>6.9438340008602735</v>
      </c>
      <c r="R80" s="135"/>
      <c r="S80" s="181">
        <f>_xll.xSPRDOPT(I80,H80,AQ80,AT80,O80,N80,P80,D80-$G$5,1,2)*AF80*(F80/(1-AR80))*AH80</f>
        <v>-11255.00538821446</v>
      </c>
      <c r="T80" s="181">
        <f>_xll.xSPRDOPT(I80,H80,AQ80,AT80,O80,N80,P80,D80-$G$5,1,1)*AF80*F80*AH80</f>
        <v>10945.492739838101</v>
      </c>
      <c r="U80" s="135"/>
      <c r="V80" s="146">
        <f t="shared" si="58"/>
        <v>8.6961589576639859</v>
      </c>
      <c r="W80" s="146"/>
      <c r="X80" s="338">
        <f t="shared" si="59"/>
        <v>0</v>
      </c>
      <c r="Y80" s="338">
        <f t="shared" si="60"/>
        <v>0</v>
      </c>
      <c r="Z80" s="338">
        <f t="shared" si="61"/>
        <v>1.4209111318739733</v>
      </c>
      <c r="AA80" s="338">
        <f t="shared" si="62"/>
        <v>5.6252245865870633E-6</v>
      </c>
      <c r="AB80" s="338">
        <f t="shared" si="63"/>
        <v>0</v>
      </c>
      <c r="AC80" s="338">
        <f t="shared" si="64"/>
        <v>1.4398338323446824</v>
      </c>
      <c r="AF80" s="138">
        <f t="shared" si="65"/>
        <v>1</v>
      </c>
      <c r="AG80" s="138">
        <f t="shared" si="66"/>
        <v>11</v>
      </c>
      <c r="AH80" s="138">
        <f t="shared" si="67"/>
        <v>30</v>
      </c>
      <c r="AI80" s="138">
        <f t="shared" si="88"/>
        <v>1780</v>
      </c>
      <c r="AJ80" s="138">
        <f t="shared" si="68"/>
        <v>1797</v>
      </c>
      <c r="AL80" s="136">
        <f t="shared" si="69"/>
        <v>3.6440000000000001</v>
      </c>
      <c r="AM80" s="258">
        <f t="shared" si="70"/>
        <v>6.0000000000000001E-3</v>
      </c>
      <c r="AN80" s="258">
        <f t="shared" si="71"/>
        <v>7.4999999999999997E-3</v>
      </c>
      <c r="AO80" s="258">
        <f t="shared" si="72"/>
        <v>0.45</v>
      </c>
      <c r="AP80" s="258">
        <f t="shared" si="73"/>
        <v>0</v>
      </c>
      <c r="AQ80" s="136">
        <f t="shared" si="74"/>
        <v>3.3399999999999999E-2</v>
      </c>
      <c r="AR80" s="137">
        <f t="shared" si="75"/>
        <v>2.75E-2</v>
      </c>
      <c r="AS80" s="136">
        <f t="shared" si="76"/>
        <v>3.6574999999999998</v>
      </c>
      <c r="AT80" s="137">
        <f t="shared" si="77"/>
        <v>5.3283315685584802E-2</v>
      </c>
      <c r="AU80" s="137">
        <f t="shared" si="78"/>
        <v>0.77237400814139667</v>
      </c>
      <c r="AV80" s="394">
        <f t="shared" si="79"/>
        <v>301.2258631751447</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7.3627517575535465E-7</v>
      </c>
      <c r="BG80" s="137">
        <f>_xll.xSPRDOPT($BW80,$BV80,$CG80,0,$BY80,$BX80,$BZ80,$AJ80,1,3)*$CB80</f>
        <v>9.2034396969419331E-8</v>
      </c>
      <c r="BH80" s="137">
        <f>IF(OR(BF80&lt;&gt;0,BG80&lt;&gt;0),_xll.xSPRDOPT($BW80,$BV80,$CG80,0,$BY80,$BX80,$BZ80,$AJ80,1,12)*$CB80,0)</f>
        <v>5.0618918333180627E-7</v>
      </c>
      <c r="BI80" s="137">
        <f>_xll.xSPRDOPT($BW80,$BV80,$CG80,2*LN(1+CA80/2),$BY80,$BX80,$BZ80,$AJ80,1,9)</f>
        <v>1.2165677236684685E-2</v>
      </c>
      <c r="BJ80" s="137">
        <f>_xll.xSPRDOPT($BW80,$BV80,$CG80,0,$BY80,$BX80,$BZ80,$AJ80,1,6)*$CB80</f>
        <v>-2.8460460542605975E-4</v>
      </c>
      <c r="BK80" s="137">
        <f>_xll.xSPRDOPT($BW80,$BV80,$CG80,0,$BY80,$BX80,$BZ80,$AJ80,1,5)*$CB80</f>
        <v>3.0980971393247377E-4</v>
      </c>
      <c r="BL80" s="137">
        <f>_xll.xSPRDOPT(BW80,BV80,CG80,0,BY80,BX80,BZ80,AJ80,1,2)*CB80</f>
        <v>-0.77203294066061401</v>
      </c>
      <c r="BM80" s="137">
        <f>_xll.xSPRDOPT(BW80,BV80,CG80,0,BY80,BX80,BZ80,AJ80,1,1)*CB80</f>
        <v>0.77203294064516637</v>
      </c>
      <c r="BN80" s="137">
        <f>IF(AH80&lt;&gt;0,_xll.xSPRDOPT($BW80,$BV80,$CG80,2*LN(1+CA80/2),$BY80,$BX80,$BZ80,$AJ80,1,8)+(AJ80/365.25)*CH80/AH80,0)</f>
        <v>0.28725237461316921</v>
      </c>
      <c r="BO80" s="137">
        <f>_xll.xSPRDOPT($BW80,$BV80,$CG80,0,$BY80,$BX80,$BZ80,$AJ80,1,0)</f>
        <v>0.29967494496801184</v>
      </c>
      <c r="BP80" s="137"/>
      <c r="BQ80" s="137"/>
      <c r="BR80" s="137"/>
      <c r="BS80" s="137"/>
      <c r="BV80" s="262">
        <v>3.7609254498714648</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87"/>
        <v>39066</v>
      </c>
      <c r="F81" s="28">
        <f t="shared" si="52"/>
        <v>474</v>
      </c>
      <c r="G81" s="28">
        <f t="shared" si="53"/>
        <v>363.97503248289667</v>
      </c>
      <c r="H81" s="52">
        <f t="shared" si="54"/>
        <v>3.9079691516709505</v>
      </c>
      <c r="I81" s="52">
        <f t="shared" si="55"/>
        <v>4.1870000000000003</v>
      </c>
      <c r="K81" s="52">
        <f t="shared" si="56"/>
        <v>5.8470640843468109</v>
      </c>
      <c r="L81" s="135">
        <f t="shared" si="57"/>
        <v>4.7107683593949901E-5</v>
      </c>
      <c r="N81" s="131">
        <f t="shared" si="48"/>
        <v>0.26311016393816972</v>
      </c>
      <c r="O81" s="131">
        <f t="shared" si="49"/>
        <v>0.26311016393816972</v>
      </c>
      <c r="P81" s="55">
        <f t="shared" si="50"/>
        <v>0.99999999999999978</v>
      </c>
      <c r="Q81" s="135">
        <f>_xll.xSPRDOPT(I81,H81,AQ81,0,O81,N81,P81,D81-$G$5,1,0)*AH81*AU81</f>
        <v>5.8471111920304049</v>
      </c>
      <c r="R81" s="135"/>
      <c r="S81" s="181">
        <f>_xll.xSPRDOPT(I81,H81,AQ81,AT81,O81,N81,P81,D81-$G$5,1,2)*AF81*(F81/(1-AR81))*AH81</f>
        <v>-11560.667942124141</v>
      </c>
      <c r="T81" s="181">
        <f>_xll.xSPRDOPT(I81,H81,AQ81,AT81,O81,N81,P81,D81-$G$5,1,1)*AF81*F81*AH81</f>
        <v>11242.749573836005</v>
      </c>
      <c r="U81" s="135"/>
      <c r="V81" s="146">
        <f t="shared" si="58"/>
        <v>8.9337441358982392</v>
      </c>
      <c r="W81" s="146"/>
      <c r="X81" s="338">
        <f t="shared" si="59"/>
        <v>0</v>
      </c>
      <c r="Y81" s="338">
        <f t="shared" si="60"/>
        <v>0</v>
      </c>
      <c r="Z81" s="338">
        <f t="shared" si="61"/>
        <v>1.2030279025558286</v>
      </c>
      <c r="AA81" s="338">
        <f t="shared" si="62"/>
        <v>4.9879994986057468E-5</v>
      </c>
      <c r="AB81" s="338">
        <f t="shared" si="63"/>
        <v>0</v>
      </c>
      <c r="AC81" s="338">
        <f t="shared" si="64"/>
        <v>1.219515253509212</v>
      </c>
      <c r="AF81" s="138">
        <f t="shared" si="65"/>
        <v>1</v>
      </c>
      <c r="AG81" s="138">
        <f t="shared" si="66"/>
        <v>12</v>
      </c>
      <c r="AH81" s="138">
        <f t="shared" si="67"/>
        <v>31</v>
      </c>
      <c r="AI81" s="138">
        <f t="shared" si="88"/>
        <v>1810</v>
      </c>
      <c r="AJ81" s="138">
        <f t="shared" si="68"/>
        <v>1827</v>
      </c>
      <c r="AL81" s="136">
        <f t="shared" si="69"/>
        <v>3.7869999999999999</v>
      </c>
      <c r="AM81" s="258">
        <f t="shared" si="70"/>
        <v>6.0000000000000001E-3</v>
      </c>
      <c r="AN81" s="258">
        <f t="shared" si="71"/>
        <v>7.4999999999999997E-3</v>
      </c>
      <c r="AO81" s="258">
        <f t="shared" si="72"/>
        <v>0.4</v>
      </c>
      <c r="AP81" s="258">
        <f t="shared" si="73"/>
        <v>0</v>
      </c>
      <c r="AQ81" s="136">
        <f t="shared" si="74"/>
        <v>3.3399999999999999E-2</v>
      </c>
      <c r="AR81" s="137">
        <f t="shared" si="75"/>
        <v>2.75E-2</v>
      </c>
      <c r="AS81" s="136">
        <f t="shared" si="76"/>
        <v>3.8004999999999995</v>
      </c>
      <c r="AT81" s="137">
        <f t="shared" si="77"/>
        <v>5.3595103564298502E-2</v>
      </c>
      <c r="AU81" s="137">
        <f t="shared" si="78"/>
        <v>0.76787981536476091</v>
      </c>
      <c r="AV81" s="394">
        <f t="shared" si="79"/>
        <v>309.45556559199866</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1.8299730114164648E-7</v>
      </c>
      <c r="BG81" s="137">
        <f>_xll.xSPRDOPT($BW81,$BV81,$CG81,0,$BY81,$BX81,$BZ81,$AJ81,1,3)*$CB81</f>
        <v>-1.8299730114164648E-7</v>
      </c>
      <c r="BH81" s="137">
        <f>IF(OR(BF81&lt;&gt;0,BG81&lt;&gt;0),_xll.xSPRDOPT($BW81,$BV81,$CG81,0,$BY81,$BX81,$BZ81,$AJ81,1,12)*$CB81,0)</f>
        <v>6.862398797072481E-8</v>
      </c>
      <c r="BI81" s="137">
        <f>_xll.xSPRDOPT($BW81,$BV81,$CG81,2*LN(1+CA81/2),$BY81,$BX81,$BZ81,$AJ81,1,9)</f>
        <v>9.9679220863054373E-3</v>
      </c>
      <c r="BJ81" s="137">
        <f>_xll.xSPRDOPT($BW81,$BV81,$CG81,0,$BY81,$BX81,$BZ81,$AJ81,1,6)*$CB81</f>
        <v>-1.9129744154969999E-3</v>
      </c>
      <c r="BK81" s="137">
        <f>_xll.xSPRDOPT($BW81,$BV81,$CG81,0,$BY81,$BX81,$BZ81,$AJ81,1,5)*$CB81</f>
        <v>2.0495616982241661E-3</v>
      </c>
      <c r="BL81" s="137">
        <f>_xll.xSPRDOPT(BW81,BV81,CG81,0,BY81,BX81,BZ81,AJ81,1,2)*CB81</f>
        <v>-0.76749233760145852</v>
      </c>
      <c r="BM81" s="137">
        <f>_xll.xSPRDOPT(BW81,BV81,CG81,0,BY81,BX81,BZ81,AJ81,1,1)*CB81</f>
        <v>0.76749233761367486</v>
      </c>
      <c r="BN81" s="137">
        <f>IF(AH81&lt;&gt;0,_xll.xSPRDOPT($BW81,$BV81,$CG81,2*LN(1+CA81/2),$BY81,$BX81,$BZ81,$AJ81,1,8)+(AJ81/365.25)*CH81/AH81,0)</f>
        <v>0.49783203494643891</v>
      </c>
      <c r="BO81" s="137">
        <f>_xll.xSPRDOPT($BW81,$BV81,$CG81,0,$BY81,$BX81,$BZ81,$AJ81,1,0)</f>
        <v>0.2456328613501555</v>
      </c>
      <c r="BP81" s="137"/>
      <c r="BQ81" s="137"/>
      <c r="BR81" s="137"/>
      <c r="BS81" s="137"/>
      <c r="BV81" s="262">
        <v>3.9079691516709505</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87"/>
        <v>39097</v>
      </c>
      <c r="F82" s="28">
        <f t="shared" si="52"/>
        <v>474</v>
      </c>
      <c r="G82" s="28">
        <f t="shared" si="53"/>
        <v>361.87957965939819</v>
      </c>
      <c r="H82" s="52">
        <f t="shared" si="54"/>
        <v>3.9619537275064265</v>
      </c>
      <c r="I82" s="52">
        <f t="shared" si="55"/>
        <v>4.1894999999999998</v>
      </c>
      <c r="K82" s="52">
        <f t="shared" si="56"/>
        <v>4.5949044640396881</v>
      </c>
      <c r="L82" s="135">
        <f t="shared" si="57"/>
        <v>1.9241509279854796E-4</v>
      </c>
      <c r="N82" s="131">
        <f t="shared" si="48"/>
        <v>0.26285711475899531</v>
      </c>
      <c r="O82" s="131">
        <f t="shared" si="49"/>
        <v>0.26285711475899531</v>
      </c>
      <c r="P82" s="55">
        <f t="shared" si="50"/>
        <v>1.0000000000000002</v>
      </c>
      <c r="Q82" s="135">
        <f>_xll.xSPRDOPT(I82,H82,AQ82,0,O82,N82,P82,D82-$G$5,1,0)*AH82*AU82</f>
        <v>4.5950968791324867</v>
      </c>
      <c r="R82" s="135"/>
      <c r="S82" s="181">
        <f>_xll.xSPRDOPT(I82,H82,AQ82,AT82,O82,N82,P82,D82-$G$5,1,2)*AF82*(F82/(1-AR82))*AH82</f>
        <v>-11491.796342480651</v>
      </c>
      <c r="T82" s="181">
        <f>_xll.xSPRDOPT(I82,H82,AQ82,AT82,O82,N82,P82,D82-$G$5,1,1)*AF82*F82*AH82</f>
        <v>11175.771943089158</v>
      </c>
      <c r="U82" s="135"/>
      <c r="V82" s="146">
        <f t="shared" si="58"/>
        <v>8.8823113789690655</v>
      </c>
      <c r="W82" s="146"/>
      <c r="X82" s="338">
        <f t="shared" si="59"/>
        <v>0</v>
      </c>
      <c r="Y82" s="338">
        <f t="shared" si="60"/>
        <v>0</v>
      </c>
      <c r="Z82" s="338">
        <f t="shared" si="61"/>
        <v>0.94946340985926236</v>
      </c>
      <c r="AA82" s="338">
        <f t="shared" si="62"/>
        <v>9.3932242206409247E-5</v>
      </c>
      <c r="AB82" s="338">
        <f t="shared" si="63"/>
        <v>0</v>
      </c>
      <c r="AC82" s="338">
        <f t="shared" si="64"/>
        <v>0.96302984836819172</v>
      </c>
      <c r="AF82" s="138">
        <f t="shared" si="65"/>
        <v>1</v>
      </c>
      <c r="AG82" s="138">
        <f t="shared" si="66"/>
        <v>1</v>
      </c>
      <c r="AH82" s="138">
        <f t="shared" si="67"/>
        <v>31</v>
      </c>
      <c r="AI82" s="138">
        <f t="shared" si="88"/>
        <v>1841</v>
      </c>
      <c r="AJ82" s="138">
        <f t="shared" si="68"/>
        <v>1858</v>
      </c>
      <c r="AL82" s="136">
        <f t="shared" si="69"/>
        <v>3.8395000000000001</v>
      </c>
      <c r="AM82" s="258">
        <f t="shared" si="70"/>
        <v>6.0000000000000001E-3</v>
      </c>
      <c r="AN82" s="258">
        <f t="shared" si="71"/>
        <v>7.4999999999999997E-3</v>
      </c>
      <c r="AO82" s="258">
        <f t="shared" si="72"/>
        <v>0.35</v>
      </c>
      <c r="AP82" s="258">
        <f t="shared" si="73"/>
        <v>0</v>
      </c>
      <c r="AQ82" s="136">
        <f t="shared" si="74"/>
        <v>3.3399999999999999E-2</v>
      </c>
      <c r="AR82" s="137">
        <f t="shared" si="75"/>
        <v>2.75E-2</v>
      </c>
      <c r="AS82" s="136">
        <f t="shared" si="76"/>
        <v>3.8529999999999998</v>
      </c>
      <c r="AT82" s="137">
        <f t="shared" si="77"/>
        <v>5.38548873933569E-2</v>
      </c>
      <c r="AU82" s="137">
        <f t="shared" si="78"/>
        <v>0.76345902881729577</v>
      </c>
      <c r="AV82" s="394">
        <f t="shared" si="79"/>
        <v>307.67398861337017</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-9.5520276178712881E-7</v>
      </c>
      <c r="BG82" s="137">
        <f>_xll.xSPRDOPT($BW82,$BV82,$CG82,0,$BY82,$BX82,$BZ82,$AJ82,1,3)*$CB82</f>
        <v>2.7291507479632252E-7</v>
      </c>
      <c r="BH82" s="137">
        <f>IF(OR(BF82&lt;&gt;0,BG82&lt;&gt;0),_xll.xSPRDOPT($BW82,$BV82,$CG82,0,$BY82,$BX82,$BZ82,$AJ82,1,12)*$CB82,0)</f>
        <v>-1.5920046029785482E-7</v>
      </c>
      <c r="BI82" s="137">
        <f>_xll.xSPRDOPT($BW82,$BV82,$CG82,2*LN(1+CA82/2),$BY82,$BX82,$BZ82,$AJ82,1,9)</f>
        <v>7.8669640771992094E-3</v>
      </c>
      <c r="BJ82" s="137">
        <f>_xll.xSPRDOPT($BW82,$BV82,$CG82,0,$BY82,$BX82,$BZ82,$AJ82,1,6)*$CB82</f>
        <v>-4.6273816995483826E-3</v>
      </c>
      <c r="BK82" s="137">
        <f>_xll.xSPRDOPT($BW82,$BV82,$CG82,0,$BY82,$BX82,$BZ82,$AJ82,1,5)*$CB82</f>
        <v>4.8931453861910598E-3</v>
      </c>
      <c r="BL82" s="137">
        <f>_xll.xSPRDOPT(BW82,BV82,CG82,0,BY82,BX82,BZ82,AJ82,1,2)*CB82</f>
        <v>-0.76299063455414051</v>
      </c>
      <c r="BM82" s="137">
        <f>_xll.xSPRDOPT(BW82,BV82,CG82,0,BY82,BX82,BZ82,AJ82,1,1)*CB82</f>
        <v>0.76299063455414051</v>
      </c>
      <c r="BN82" s="137">
        <f>IF(AH82&lt;&gt;0,_xll.xSPRDOPT($BW82,$BV82,$CG82,2*LN(1+CA82/2),$BY82,$BX82,$BZ82,$AJ82,1,8)+(AJ82/365.25)*CH82/AH82,0)</f>
        <v>0.70320067986534107</v>
      </c>
      <c r="BO82" s="137">
        <f>_xll.xSPRDOPT($BW82,$BV82,$CG82,0,$BY82,$BX82,$BZ82,$AJ82,1,0)</f>
        <v>0.19415446812164816</v>
      </c>
      <c r="BP82" s="137"/>
      <c r="BQ82" s="137"/>
      <c r="BR82" s="137"/>
      <c r="BS82" s="137"/>
      <c r="BV82" s="262">
        <v>3.9619537275064265</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87"/>
        <v>39128</v>
      </c>
      <c r="F83" s="28">
        <f t="shared" si="52"/>
        <v>474</v>
      </c>
      <c r="G83" s="28">
        <f t="shared" si="53"/>
        <v>0</v>
      </c>
      <c r="H83" s="52">
        <f t="shared" si="54"/>
        <v>3.8745501285347039</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6.0000000000000001E-3</v>
      </c>
      <c r="AN83" s="258">
        <f t="shared" si="71"/>
        <v>7.4999999999999997E-3</v>
      </c>
      <c r="AO83" s="258">
        <f t="shared" si="72"/>
        <v>0.35</v>
      </c>
      <c r="AP83" s="258">
        <f t="shared" si="73"/>
        <v>0</v>
      </c>
      <c r="AQ83" s="136">
        <f t="shared" si="74"/>
        <v>3.3399999999999999E-2</v>
      </c>
      <c r="AR83" s="137">
        <f t="shared" si="75"/>
        <v>2.75E-2</v>
      </c>
      <c r="AS83" s="136">
        <f t="shared" si="76"/>
        <v>3.7679999999999998</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-3.115869669246233E-2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1.3110720553891146</v>
      </c>
      <c r="BP83" s="137"/>
      <c r="BQ83" s="137"/>
      <c r="BR83" s="137"/>
      <c r="BS83" s="137"/>
      <c r="BV83" s="262">
        <v>3.8745501285347039</v>
      </c>
      <c r="BW83" s="136">
        <v>4.1044999999999998</v>
      </c>
      <c r="BX83" s="137">
        <v>0.24249999999999999</v>
      </c>
      <c r="BY83" s="137">
        <v>0.24249999999999999</v>
      </c>
      <c r="BZ83" s="137">
        <v>0</v>
      </c>
      <c r="CA83" s="137">
        <v>5.4038903438607302E-2</v>
      </c>
      <c r="CB83" s="137">
        <v>0</v>
      </c>
      <c r="CC83" s="258">
        <v>6.0000000000000001E-3</v>
      </c>
      <c r="CD83" s="258">
        <v>7.4999999999999997E-3</v>
      </c>
      <c r="CE83" s="258">
        <v>0.35</v>
      </c>
      <c r="CF83" s="258">
        <v>0</v>
      </c>
      <c r="CG83" s="258">
        <v>3.3399999999999999E-2</v>
      </c>
      <c r="CH83" s="258">
        <v>0</v>
      </c>
      <c r="CI83" s="258">
        <v>3.7545000000000002</v>
      </c>
      <c r="CJ83" s="258"/>
      <c r="CK83" s="258"/>
      <c r="CL83" s="258"/>
      <c r="CM83" s="258"/>
    </row>
    <row r="84" spans="1:91" x14ac:dyDescent="0.25">
      <c r="A84" s="723"/>
      <c r="B84" s="723"/>
      <c r="D84" s="31">
        <f t="shared" si="87"/>
        <v>39128</v>
      </c>
      <c r="F84" s="28">
        <f t="shared" si="52"/>
        <v>474</v>
      </c>
      <c r="G84" s="28">
        <f t="shared" si="53"/>
        <v>0</v>
      </c>
      <c r="H84" s="52">
        <f t="shared" si="54"/>
        <v>3.8745501285347039</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6.0000000000000001E-3</v>
      </c>
      <c r="AN84" s="258">
        <f t="shared" si="71"/>
        <v>7.4999999999999997E-3</v>
      </c>
      <c r="AO84" s="258">
        <f t="shared" si="72"/>
        <v>0.35</v>
      </c>
      <c r="AP84" s="258">
        <f t="shared" si="73"/>
        <v>0</v>
      </c>
      <c r="AQ84" s="136">
        <f t="shared" si="74"/>
        <v>3.3399999999999999E-2</v>
      </c>
      <c r="AR84" s="137">
        <f t="shared" si="75"/>
        <v>2.75E-2</v>
      </c>
      <c r="AS84" s="136">
        <f t="shared" si="76"/>
        <v>3.7679999999999998</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-3.115869669246233E-2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1.3110720553891146</v>
      </c>
      <c r="BP84" s="137"/>
      <c r="BQ84" s="137"/>
      <c r="BR84" s="137"/>
      <c r="BS84" s="137"/>
      <c r="BV84" s="262">
        <v>3.8745501285347039</v>
      </c>
      <c r="BW84" s="136">
        <v>4.1044999999999998</v>
      </c>
      <c r="BX84" s="137">
        <v>0.24249999999999999</v>
      </c>
      <c r="BY84" s="137">
        <v>0.24249999999999999</v>
      </c>
      <c r="BZ84" s="137">
        <v>0</v>
      </c>
      <c r="CA84" s="137">
        <v>5.4038903438607302E-2</v>
      </c>
      <c r="CB84" s="137">
        <v>0</v>
      </c>
      <c r="CC84" s="258">
        <v>6.0000000000000001E-3</v>
      </c>
      <c r="CD84" s="258">
        <v>7.4999999999999997E-3</v>
      </c>
      <c r="CE84" s="258">
        <v>0.35</v>
      </c>
      <c r="CF84" s="258">
        <v>0</v>
      </c>
      <c r="CG84" s="258">
        <v>3.3399999999999999E-2</v>
      </c>
      <c r="CH84" s="258">
        <v>0</v>
      </c>
      <c r="CI84" s="258">
        <v>3.7545000000000002</v>
      </c>
      <c r="CJ84" s="258"/>
      <c r="CK84" s="258"/>
      <c r="CL84" s="258"/>
      <c r="CM84" s="258"/>
    </row>
    <row r="85" spans="1:91" x14ac:dyDescent="0.25">
      <c r="A85" s="723"/>
      <c r="B85" s="723"/>
      <c r="D85" s="31">
        <f t="shared" si="87"/>
        <v>39128</v>
      </c>
      <c r="F85" s="28">
        <f t="shared" si="52"/>
        <v>474</v>
      </c>
      <c r="G85" s="28">
        <f t="shared" si="53"/>
        <v>0</v>
      </c>
      <c r="H85" s="52">
        <f t="shared" si="54"/>
        <v>3.8745501285347039</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6.0000000000000001E-3</v>
      </c>
      <c r="AN85" s="258">
        <f t="shared" si="71"/>
        <v>7.4999999999999997E-3</v>
      </c>
      <c r="AO85" s="258">
        <f t="shared" si="72"/>
        <v>0.35</v>
      </c>
      <c r="AP85" s="258">
        <f t="shared" si="73"/>
        <v>0</v>
      </c>
      <c r="AQ85" s="136">
        <f t="shared" si="74"/>
        <v>3.3399999999999999E-2</v>
      </c>
      <c r="AR85" s="137">
        <f t="shared" si="75"/>
        <v>2.75E-2</v>
      </c>
      <c r="AS85" s="136">
        <f t="shared" si="76"/>
        <v>3.7679999999999998</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-3.115869669246233E-2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1.3110720553891146</v>
      </c>
      <c r="BP85" s="137"/>
      <c r="BQ85" s="137"/>
      <c r="BR85" s="137"/>
      <c r="BS85" s="137"/>
      <c r="BV85" s="262">
        <v>3.8745501285347039</v>
      </c>
      <c r="BW85" s="136">
        <v>4.1044999999999998</v>
      </c>
      <c r="BX85" s="137">
        <v>0.24249999999999999</v>
      </c>
      <c r="BY85" s="137">
        <v>0.24249999999999999</v>
      </c>
      <c r="BZ85" s="137">
        <v>0</v>
      </c>
      <c r="CA85" s="137">
        <v>5.4038903438607302E-2</v>
      </c>
      <c r="CB85" s="137">
        <v>0</v>
      </c>
      <c r="CC85" s="258">
        <v>6.0000000000000001E-3</v>
      </c>
      <c r="CD85" s="258">
        <v>7.4999999999999997E-3</v>
      </c>
      <c r="CE85" s="258">
        <v>0.35</v>
      </c>
      <c r="CF85" s="258">
        <v>0</v>
      </c>
      <c r="CG85" s="258">
        <v>3.3399999999999999E-2</v>
      </c>
      <c r="CH85" s="258">
        <v>0</v>
      </c>
      <c r="CI85" s="258">
        <v>3.7545000000000002</v>
      </c>
      <c r="CJ85" s="258"/>
      <c r="CK85" s="258"/>
      <c r="CL85" s="258"/>
      <c r="CM85" s="258"/>
    </row>
    <row r="86" spans="1:91" x14ac:dyDescent="0.25">
      <c r="A86" s="723"/>
      <c r="B86" s="723"/>
      <c r="D86" s="31">
        <f t="shared" si="87"/>
        <v>39128</v>
      </c>
      <c r="F86" s="28">
        <f>VLOOKUP(AG86,$AL$4:$AS$15,2)</f>
        <v>474</v>
      </c>
      <c r="G86" s="28">
        <f>F86*$AU86</f>
        <v>0</v>
      </c>
      <c r="H86" s="52">
        <f>(AL86+AM86+AN86)/(1-(AR86))</f>
        <v>3.8745501285347039</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6.0000000000000001E-3</v>
      </c>
      <c r="AN86" s="258">
        <f>VLOOKUP($D86,CurveTbl,$AH$4)+VLOOKUP($AG86,$AL$3:$AS$15,6)</f>
        <v>7.4999999999999997E-3</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3.7679999999999998</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-3.115869669246233E-2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1.3110720553891146</v>
      </c>
      <c r="BP86" s="137"/>
      <c r="BQ86" s="137"/>
      <c r="BR86" s="137"/>
      <c r="BS86" s="137"/>
      <c r="BV86" s="262">
        <v>3.8745501285347039</v>
      </c>
      <c r="BW86" s="136">
        <v>4.1044999999999998</v>
      </c>
      <c r="BX86" s="137">
        <v>0.24249999999999999</v>
      </c>
      <c r="BY86" s="137">
        <v>0.24249999999999999</v>
      </c>
      <c r="BZ86" s="137">
        <v>0</v>
      </c>
      <c r="CA86" s="137">
        <v>5.4038903438607302E-2</v>
      </c>
      <c r="CB86" s="137">
        <v>0</v>
      </c>
      <c r="CC86" s="258">
        <v>6.0000000000000001E-3</v>
      </c>
      <c r="CD86" s="258">
        <v>7.4999999999999997E-3</v>
      </c>
      <c r="CE86" s="258">
        <v>0.35</v>
      </c>
      <c r="CF86" s="258">
        <v>0</v>
      </c>
      <c r="CG86" s="258">
        <v>3.3399999999999999E-2</v>
      </c>
      <c r="CH86" s="258">
        <v>0</v>
      </c>
      <c r="CI86" s="258">
        <v>3.7545000000000002</v>
      </c>
      <c r="CJ86" s="258"/>
      <c r="CK86" s="258"/>
      <c r="CL86" s="258"/>
      <c r="CM86" s="258"/>
    </row>
    <row r="87" spans="1:91" x14ac:dyDescent="0.25">
      <c r="A87" s="723"/>
      <c r="B87" s="723"/>
      <c r="D87" s="31">
        <f>D86+AH86</f>
        <v>39128</v>
      </c>
      <c r="F87" s="28">
        <f>VLOOKUP(AG87,$AL$4:$AS$15,2)</f>
        <v>474</v>
      </c>
      <c r="G87" s="28">
        <f>F87*$AU87</f>
        <v>0</v>
      </c>
      <c r="H87" s="52">
        <f>(AL87+AM87+AN87)/(1-(AR87))</f>
        <v>3.8745501285347039</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6.0000000000000001E-3</v>
      </c>
      <c r="AN87" s="258">
        <f>VLOOKUP($D87,CurveTbl,$AH$4)+VLOOKUP($AG87,$AL$3:$AS$15,6)</f>
        <v>7.4999999999999997E-3</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3.7679999999999998</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-3.115869669246233E-2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1.3110720553891146</v>
      </c>
      <c r="BP87" s="137"/>
      <c r="BQ87" s="137"/>
      <c r="BR87" s="137"/>
      <c r="BS87" s="137"/>
      <c r="BV87" s="262">
        <v>3.8745501285347039</v>
      </c>
      <c r="BW87" s="136">
        <v>4.1044999999999998</v>
      </c>
      <c r="BX87" s="137">
        <v>0.24249999999999999</v>
      </c>
      <c r="BY87" s="137">
        <v>0.24249999999999999</v>
      </c>
      <c r="BZ87" s="137">
        <v>0</v>
      </c>
      <c r="CA87" s="137">
        <v>5.4038903438607302E-2</v>
      </c>
      <c r="CB87" s="137">
        <v>0</v>
      </c>
      <c r="CC87" s="258">
        <v>6.0000000000000001E-3</v>
      </c>
      <c r="CD87" s="258">
        <v>7.4999999999999997E-3</v>
      </c>
      <c r="CE87" s="258">
        <v>0.35</v>
      </c>
      <c r="CF87" s="258">
        <v>0</v>
      </c>
      <c r="CG87" s="258">
        <v>3.3399999999999999E-2</v>
      </c>
      <c r="CH87" s="258">
        <v>0</v>
      </c>
      <c r="CI87" s="258">
        <v>3.7545000000000002</v>
      </c>
      <c r="CJ87" s="258"/>
      <c r="CK87" s="258"/>
      <c r="CL87" s="258"/>
      <c r="CM87" s="258"/>
    </row>
    <row r="88" spans="1:91" x14ac:dyDescent="0.25">
      <c r="A88" s="723"/>
      <c r="B88" s="723"/>
      <c r="D88" s="31">
        <f>D87+AH87</f>
        <v>39128</v>
      </c>
      <c r="F88" s="28">
        <f>VLOOKUP(AG88,$AL$4:$AS$15,2)</f>
        <v>474</v>
      </c>
      <c r="G88" s="28">
        <f>F88*$AU88</f>
        <v>0</v>
      </c>
      <c r="H88" s="52">
        <f>(AL88+AM88+AN88)/(1-(AR88))</f>
        <v>3.8745501285347039</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6.0000000000000001E-3</v>
      </c>
      <c r="AN88" s="258">
        <f>VLOOKUP($D88,CurveTbl,$AH$4)+VLOOKUP($AG88,$AL$3:$AS$15,6)</f>
        <v>7.4999999999999997E-3</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3.7679999999999998</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-3.115869669246233E-2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1.3110720553891146</v>
      </c>
      <c r="BP88" s="137"/>
      <c r="BQ88" s="137"/>
      <c r="BR88" s="137"/>
      <c r="BS88" s="137"/>
      <c r="BV88" s="262">
        <v>3.8745501285347039</v>
      </c>
      <c r="BW88" s="136">
        <v>4.1044999999999998</v>
      </c>
      <c r="BX88" s="137">
        <v>0.24249999999999999</v>
      </c>
      <c r="BY88" s="137">
        <v>0.24249999999999999</v>
      </c>
      <c r="BZ88" s="137">
        <v>0</v>
      </c>
      <c r="CA88" s="137">
        <v>5.4038903438607302E-2</v>
      </c>
      <c r="CB88" s="137">
        <v>0</v>
      </c>
      <c r="CC88" s="258">
        <v>6.0000000000000001E-3</v>
      </c>
      <c r="CD88" s="258">
        <v>7.4999999999999997E-3</v>
      </c>
      <c r="CE88" s="258">
        <v>0.35</v>
      </c>
      <c r="CF88" s="258">
        <v>0</v>
      </c>
      <c r="CG88" s="258">
        <v>3.3399999999999999E-2</v>
      </c>
      <c r="CH88" s="258">
        <v>0</v>
      </c>
      <c r="CI88" s="258">
        <v>3.7545000000000002</v>
      </c>
      <c r="CJ88" s="258"/>
      <c r="CK88" s="258"/>
      <c r="CL88" s="258"/>
      <c r="CM88" s="258"/>
    </row>
    <row r="89" spans="1:91" x14ac:dyDescent="0.25">
      <c r="A89" s="723"/>
      <c r="B89" s="723"/>
      <c r="D89" s="31">
        <f>D88+AH88</f>
        <v>39128</v>
      </c>
      <c r="F89" s="28">
        <f>VLOOKUP(AG89,$AL$4:$AS$15,2)</f>
        <v>474</v>
      </c>
      <c r="G89" s="28">
        <f>F89*$AU89</f>
        <v>0</v>
      </c>
      <c r="H89" s="52">
        <f>(AL89+AM89+AN89)/(1-(AR89))</f>
        <v>3.8745501285347039</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6.0000000000000001E-3</v>
      </c>
      <c r="AN89" s="258">
        <f>VLOOKUP($D89,CurveTbl,$AH$4)+VLOOKUP($AG89,$AL$3:$AS$15,6)</f>
        <v>7.4999999999999997E-3</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3.7679999999999998</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-3.115869669246233E-2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1.3110720553891146</v>
      </c>
      <c r="BP89" s="137"/>
      <c r="BQ89" s="137"/>
      <c r="BR89" s="137"/>
      <c r="BS89" s="137"/>
      <c r="BV89" s="262">
        <v>3.8745501285347039</v>
      </c>
      <c r="BW89" s="136">
        <v>4.1044999999999998</v>
      </c>
      <c r="BX89" s="137">
        <v>0.24249999999999999</v>
      </c>
      <c r="BY89" s="137">
        <v>0.24249999999999999</v>
      </c>
      <c r="BZ89" s="137">
        <v>0</v>
      </c>
      <c r="CA89" s="137">
        <v>5.4038903438607302E-2</v>
      </c>
      <c r="CB89" s="137">
        <v>0</v>
      </c>
      <c r="CC89" s="258">
        <v>6.0000000000000001E-3</v>
      </c>
      <c r="CD89" s="258">
        <v>7.4999999999999997E-3</v>
      </c>
      <c r="CE89" s="258">
        <v>0.35</v>
      </c>
      <c r="CF89" s="258">
        <v>0</v>
      </c>
      <c r="CG89" s="258">
        <v>3.3399999999999999E-2</v>
      </c>
      <c r="CH89" s="258">
        <v>0</v>
      </c>
      <c r="CI89" s="258">
        <v>3.7545000000000002</v>
      </c>
      <c r="CJ89" s="258"/>
      <c r="CK89" s="258"/>
      <c r="CL89" s="258"/>
      <c r="CM89" s="258"/>
    </row>
    <row r="90" spans="1:91" x14ac:dyDescent="0.25">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5">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5">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5">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5">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5">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5">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sheetData>
  <sheetCalcPr fullCalcOnLoad="1"/>
  <mergeCells count="9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6980"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6981"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3">
    <pageSetUpPr autoPageBreaks="0"/>
  </sheetPr>
  <dimension ref="A1:CX99"/>
  <sheetViews>
    <sheetView topLeftCell="K11" zoomScale="80" workbookViewId="0">
      <selection activeCell="CI21" sqref="CI21:CI8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FGT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LongTerm55</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55</v>
      </c>
      <c r="F2" s="178" t="str">
        <f>GetRcptPoint($AH$12,$AH$13)</f>
        <v>FGT/Zone 3</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$F$89</v>
      </c>
      <c r="AX2" s="339" t="str">
        <f>ADDRESS(ROW($G$22),COLUMN($G$22))</f>
        <v>$G$22</v>
      </c>
      <c r="AY2" s="138" t="str">
        <f ca="1">GetEnd($AV$1,AX2)</f>
        <v>$G$89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$AF$89</v>
      </c>
      <c r="AX3" s="339" t="str">
        <f>ADDRESS(ROW($AH$22),COLUMN($AH$22))</f>
        <v>$AH$22</v>
      </c>
      <c r="AY3" s="138" t="str">
        <f ca="1">GetEnd($AV$1,AX3)</f>
        <v>$AH$89</v>
      </c>
    </row>
    <row r="4" spans="1:102" x14ac:dyDescent="0.25">
      <c r="A4" s="269" t="str">
        <f>ADDRESS(ROW($S$22),COLUMN($S$22))</f>
        <v>$S$22</v>
      </c>
      <c r="L4" s="721" t="s">
        <v>201</v>
      </c>
      <c r="M4" s="722"/>
      <c r="N4" s="352">
        <f ca="1">SUMPRODUCT(INDIRECT(CONCATENATE(AV4,":",AW4)),INDIRECT(CONCATENATE($AV$2,":",$AW$2)),INDIRECT(CONCATENATE($AV$3,":",$AW$3)))</f>
        <v>149480.09661505281</v>
      </c>
      <c r="O4" s="352">
        <v>149434.92000000001</v>
      </c>
      <c r="P4" s="354">
        <f ca="1">N4-O4</f>
        <v>45.176615052798297</v>
      </c>
      <c r="S4" s="427" t="s">
        <v>635</v>
      </c>
      <c r="T4" s="422">
        <f ca="1">SUMPRODUCT(INDIRECT(CONCATENATE(V4,":",W4)),INDIRECT(CONCATENATE(AV2,":",AW2)),INDIRECT(CONCATENATE(AV3,":",AW3)))</f>
        <v>149479.27958681455</v>
      </c>
      <c r="V4" s="30" t="str">
        <f>ADDRESS(ROW(K22),COLUMN(K22))</f>
        <v>$K$22</v>
      </c>
      <c r="W4" s="30" t="str">
        <f ca="1">GetEnd($AV$1,V4)</f>
        <v>$K$89</v>
      </c>
      <c r="AF4" s="28"/>
      <c r="AG4" s="103" t="s">
        <v>32</v>
      </c>
      <c r="AH4" s="104">
        <f>GetRcptIndexCol($AH$12,$AH$13)</f>
        <v>111</v>
      </c>
      <c r="AI4" s="29"/>
      <c r="AJ4" s="103" t="s">
        <v>72</v>
      </c>
      <c r="AK4" s="104">
        <f>GetNymexCol(AK3)</f>
        <v>3</v>
      </c>
      <c r="AL4" s="34">
        <v>1</v>
      </c>
      <c r="AM4" s="45">
        <f t="shared" ref="AM4:AM15" si="0">GetVolume($AH$12,$AH$13,AT4)</f>
        <v>230</v>
      </c>
      <c r="AN4" s="46">
        <f t="shared" ref="AN4:AN15" si="1">GetCommodity($AH$12,$AH$13,AT4)</f>
        <v>3.3399999999999999E-2</v>
      </c>
      <c r="AO4" s="47">
        <f t="shared" ref="AO4:AO15" si="2">GetFuelRate($AH$12,$AH$13,AT4)</f>
        <v>2.75E-2</v>
      </c>
      <c r="AP4" s="46">
        <f t="shared" ref="AP4:AP15" si="3">GetSurcharge($AH$12,$AH$13,$AT4)</f>
        <v>0</v>
      </c>
      <c r="AQ4" s="46">
        <f t="shared" ref="AQ4:AQ15" si="4">GetRcptIndexAdj($AH$12,$AH$13,$AT4)</f>
        <v>0</v>
      </c>
      <c r="AR4" s="132">
        <f t="shared" ref="AR4:AR15" si="5">GetDelIndexAdj($AH$12,$AH$13,$AT4)</f>
        <v>0</v>
      </c>
      <c r="AS4" s="48">
        <f t="shared" ref="AS4:AS15" si="6">GetDemandRate($AH$12,$AH$13,$AT4)</f>
        <v>0.37530000000000002</v>
      </c>
      <c r="AT4" s="35">
        <f t="shared" ref="AT4:AT15" si="7">gettier($AH$12,$AH$13,AL4)</f>
        <v>1</v>
      </c>
      <c r="AV4" s="339" t="str">
        <f>ADDRESS(ROW($Q$22),COLUMN($Q$22))</f>
        <v>$Q$22</v>
      </c>
      <c r="AW4" s="138" t="str">
        <f ca="1">GetEnd($AV$1,AV4)</f>
        <v>$Q$89</v>
      </c>
      <c r="AX4" s="339" t="str">
        <f>ADDRESS(ROW($K$22),COLUMN($K$22))</f>
        <v>$K$22</v>
      </c>
      <c r="AY4" s="138" t="str">
        <f ca="1">GetEnd($AV$1,AX4)</f>
        <v>$K$89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122320.05596351057</v>
      </c>
      <c r="O5" s="352">
        <v>122282.67</v>
      </c>
      <c r="P5" s="355">
        <f ca="1">N5-O5</f>
        <v>37.385963510576403</v>
      </c>
      <c r="S5" s="428" t="s">
        <v>636</v>
      </c>
      <c r="T5" s="423">
        <f ca="1">SUMPRODUCT(INDIRECT(CONCATENATE(V5,":",W5)),INDIRECT(CONCATENATE(AV2,":",AW2)),INDIRECT(CONCATENATE(AV3,":",AW3)))</f>
        <v>0.81702823831140847</v>
      </c>
      <c r="V5" s="30" t="str">
        <f>ADDRESS(ROW(L22),COLUMN(L22))</f>
        <v>$L$22</v>
      </c>
      <c r="W5" s="30" t="str">
        <f ca="1">GetEnd($AV$1,V5)</f>
        <v>$L$89</v>
      </c>
      <c r="AF5" s="28"/>
      <c r="AG5" s="103" t="s">
        <v>33</v>
      </c>
      <c r="AH5" s="104">
        <f>GetDelBasisCol($AH$12,$AH$13)</f>
        <v>104</v>
      </c>
      <c r="AI5" s="29"/>
      <c r="AJ5" s="103" t="s">
        <v>77</v>
      </c>
      <c r="AK5" s="104" t="str">
        <f>LiborCurve</f>
        <v>Libor AA</v>
      </c>
      <c r="AL5" s="34">
        <v>2</v>
      </c>
      <c r="AM5" s="37">
        <f t="shared" si="0"/>
        <v>230</v>
      </c>
      <c r="AN5" s="38">
        <f t="shared" si="1"/>
        <v>3.3399999999999999E-2</v>
      </c>
      <c r="AO5" s="39">
        <f t="shared" si="2"/>
        <v>2.75E-2</v>
      </c>
      <c r="AP5" s="38">
        <f t="shared" si="3"/>
        <v>0</v>
      </c>
      <c r="AQ5" s="38">
        <f t="shared" si="4"/>
        <v>0</v>
      </c>
      <c r="AR5" s="133">
        <f t="shared" si="5"/>
        <v>0</v>
      </c>
      <c r="AS5" s="40">
        <f t="shared" si="6"/>
        <v>0.37530000000000002</v>
      </c>
      <c r="AT5" s="35">
        <f t="shared" si="7"/>
        <v>1</v>
      </c>
      <c r="AV5" s="339" t="str">
        <f>ADDRESS(ROW($V$22),COLUMN($V$22))</f>
        <v>$V$22</v>
      </c>
      <c r="AW5" s="138" t="str">
        <f ca="1">GetEnd($AV$1,AV5)</f>
        <v>$V$89</v>
      </c>
      <c r="AX5" s="339" t="str">
        <f>ADDRESS(ROW($L$22),COLUMN($L$22))</f>
        <v>$L$22</v>
      </c>
      <c r="AY5" s="138" t="str">
        <f ca="1">GetEnd($AV$1,AX5)</f>
        <v>$L$89</v>
      </c>
      <c r="BV5" s="266">
        <f>O2</f>
        <v>37239</v>
      </c>
    </row>
    <row r="6" spans="1:102" x14ac:dyDescent="0.25">
      <c r="A6" s="269" t="str">
        <f>ADDRESS(ROW($BW$2),COLUMN($BW$2))</f>
        <v>$BW$2</v>
      </c>
      <c r="F6" s="187"/>
      <c r="G6" s="187"/>
      <c r="L6" s="704" t="s">
        <v>149</v>
      </c>
      <c r="M6" s="705"/>
      <c r="N6" s="356">
        <f ca="1">N4-N5</f>
        <v>27160.040651542236</v>
      </c>
      <c r="O6" s="357">
        <v>27152.25</v>
      </c>
      <c r="P6" s="358">
        <f ca="1">N6-O6</f>
        <v>7.7906515422364464</v>
      </c>
      <c r="S6" s="428" t="s">
        <v>637</v>
      </c>
      <c r="T6" s="424">
        <f ca="1">SUMPRODUCT(INDIRECT(CONCATENATE(V6,":",W6)),INDIRECT(CONCATENATE(AV3,":",AW3)),INDIRECT(CONCATENATE(AX3,":",AY3)))</f>
        <v>325926.0750426607</v>
      </c>
      <c r="V6" s="30" t="str">
        <f>ADDRESS(ROW(G22),COLUMN(G22))</f>
        <v>$G$22</v>
      </c>
      <c r="W6" s="30" t="str">
        <f ca="1">GetEnd($AV$1,V6)</f>
        <v>$G$89</v>
      </c>
      <c r="AF6" s="28"/>
      <c r="AG6" s="103" t="s">
        <v>34</v>
      </c>
      <c r="AH6" s="104">
        <f>GetDelIndexCol($AH$12,$AH$13)</f>
        <v>105</v>
      </c>
      <c r="AI6" s="29"/>
      <c r="AJ6" s="103" t="s">
        <v>79</v>
      </c>
      <c r="AK6" s="104">
        <f>GetLiborCol(AK5)</f>
        <v>4</v>
      </c>
      <c r="AL6" s="34">
        <v>3</v>
      </c>
      <c r="AM6" s="37">
        <f t="shared" si="0"/>
        <v>230</v>
      </c>
      <c r="AN6" s="38">
        <f t="shared" si="1"/>
        <v>3.3399999999999999E-2</v>
      </c>
      <c r="AO6" s="39">
        <f t="shared" si="2"/>
        <v>2.75E-2</v>
      </c>
      <c r="AP6" s="38">
        <f t="shared" si="3"/>
        <v>0</v>
      </c>
      <c r="AQ6" s="38">
        <f t="shared" si="4"/>
        <v>0</v>
      </c>
      <c r="AR6" s="133">
        <f t="shared" si="5"/>
        <v>0</v>
      </c>
      <c r="AS6" s="40">
        <f t="shared" si="6"/>
        <v>0.37530000000000002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374.18</v>
      </c>
      <c r="P7" s="355">
        <f ca="1">N7</f>
        <v>0</v>
      </c>
      <c r="S7" s="428" t="s">
        <v>638</v>
      </c>
      <c r="T7" s="425">
        <f ca="1">T5/T6</f>
        <v>2.5067900388284892E-6</v>
      </c>
      <c r="AF7" s="28"/>
      <c r="AG7" s="103" t="s">
        <v>76</v>
      </c>
      <c r="AH7" s="104">
        <f>GetRcptOmicronCol($AH$12,$AH$13)</f>
        <v>17</v>
      </c>
      <c r="AI7" s="29"/>
      <c r="AJ7" s="103" t="s">
        <v>80</v>
      </c>
      <c r="AK7" s="104" t="str">
        <f>Configuration!$D$8</f>
        <v>Nymex Vol</v>
      </c>
      <c r="AL7" s="34">
        <v>4</v>
      </c>
      <c r="AM7" s="37">
        <f t="shared" si="0"/>
        <v>230</v>
      </c>
      <c r="AN7" s="38">
        <f t="shared" si="1"/>
        <v>3.3399999999999999E-2</v>
      </c>
      <c r="AO7" s="39">
        <f t="shared" si="2"/>
        <v>2.75E-2</v>
      </c>
      <c r="AP7" s="38">
        <f t="shared" si="3"/>
        <v>0</v>
      </c>
      <c r="AQ7" s="38">
        <f t="shared" si="4"/>
        <v>0</v>
      </c>
      <c r="AR7" s="133">
        <f t="shared" si="5"/>
        <v>0</v>
      </c>
      <c r="AS7" s="40">
        <f t="shared" si="6"/>
        <v>0.37530000000000002</v>
      </c>
      <c r="AT7" s="35">
        <f t="shared" si="7"/>
        <v>1</v>
      </c>
      <c r="AU7" s="361" t="s">
        <v>574</v>
      </c>
      <c r="AV7" s="339" t="str">
        <f>ADDRESS(ROW($AL$22),COLUMN($AL$22))</f>
        <v>$AL$22</v>
      </c>
      <c r="AW7" s="138" t="str">
        <f t="shared" ref="AW7:AW17" ca="1" si="8">GetEnd($AV$1,AV7)</f>
        <v>$AL$89</v>
      </c>
      <c r="AX7" s="339" t="str">
        <f>ADDRESS(ROW($AV$22),COLUMN($AV$22))</f>
        <v>$AV$22</v>
      </c>
      <c r="AY7" s="138" t="str">
        <f t="shared" ref="AY7:AY13" ca="1" si="9">GetEnd($AV$1,AX7)</f>
        <v>$AV$89</v>
      </c>
    </row>
    <row r="8" spans="1:102" x14ac:dyDescent="0.25">
      <c r="A8" s="270" t="s">
        <v>224</v>
      </c>
      <c r="F8" s="186" t="s">
        <v>26</v>
      </c>
      <c r="G8" s="190">
        <f>GetMonthEnd($AH$12,$AH$13)</f>
        <v>39113</v>
      </c>
      <c r="L8" s="706" t="s">
        <v>626</v>
      </c>
      <c r="M8" s="707"/>
      <c r="N8" s="352">
        <f t="array" aca="1" ref="N8" ca="1">SUM(((INDIRECT(AX14)-INDIRECT(AY16))-(INDIRECT(AX15)-INDIRECT(AY14)))*INDIRECT(CONCATENATE(AX2,":",AY2))*INDIRECT(CONCATENATE(AV3,":",AW3))*INDIRECT(CONCATENATE(AX3,":",AY3)))</f>
        <v>0</v>
      </c>
      <c r="O8" s="421">
        <v>603.53</v>
      </c>
      <c r="P8" s="355">
        <f ca="1">N8</f>
        <v>0</v>
      </c>
      <c r="S8" s="429" t="s">
        <v>639</v>
      </c>
      <c r="T8" s="426">
        <f ca="1">Y8/Z8</f>
        <v>0.99984299769683138</v>
      </c>
      <c r="V8" s="30" t="str">
        <f>ADDRESS(ROW(P22),COLUMN(P22))</f>
        <v>$P$22</v>
      </c>
      <c r="W8" s="30" t="str">
        <f ca="1">GetEnd($AV$1,V8)</f>
        <v>$P$89</v>
      </c>
      <c r="Y8" s="334">
        <f ca="1">SUMIF(INDIRECT(CONCATENATE(V8,":",W8)),"&gt;0",INDIRECT(CONCATENATE(V8,":",W8)))</f>
        <v>60.990422859506715</v>
      </c>
      <c r="Z8" s="334">
        <f ca="1">COUNTIF(INDIRECT(CONCATENATE(V8,":",W8)),"&gt;0")</f>
        <v>61</v>
      </c>
      <c r="AF8" s="28"/>
      <c r="AG8" s="103" t="s">
        <v>75</v>
      </c>
      <c r="AH8" s="105">
        <f>GetDelOmicronCol($AH$12,$AH$13)</f>
        <v>17</v>
      </c>
      <c r="AI8" s="29"/>
      <c r="AJ8" s="103" t="s">
        <v>81</v>
      </c>
      <c r="AK8" s="104">
        <f>GetNGOmicronCol(AK7)</f>
        <v>5</v>
      </c>
      <c r="AL8" s="34">
        <v>5</v>
      </c>
      <c r="AM8" s="37">
        <f t="shared" si="0"/>
        <v>148</v>
      </c>
      <c r="AN8" s="38">
        <f t="shared" si="1"/>
        <v>3.3399999999999999E-2</v>
      </c>
      <c r="AO8" s="39">
        <f t="shared" si="2"/>
        <v>2.75E-2</v>
      </c>
      <c r="AP8" s="38">
        <f t="shared" si="3"/>
        <v>0</v>
      </c>
      <c r="AQ8" s="38">
        <f t="shared" si="4"/>
        <v>0</v>
      </c>
      <c r="AR8" s="133">
        <f t="shared" si="5"/>
        <v>0</v>
      </c>
      <c r="AS8" s="40">
        <f t="shared" si="6"/>
        <v>0.37530000000000002</v>
      </c>
      <c r="AT8" s="35">
        <f t="shared" si="7"/>
        <v>2</v>
      </c>
      <c r="AU8" s="362" t="s">
        <v>575</v>
      </c>
      <c r="AV8" s="339" t="str">
        <f>ADDRESS(ROW($AM$22),COLUMN($AM$22))</f>
        <v>$AM$22</v>
      </c>
      <c r="AW8" s="138" t="str">
        <f t="shared" ca="1" si="8"/>
        <v>$AM$89</v>
      </c>
      <c r="AX8" s="339" t="str">
        <f>ADDRESS(ROW($AO$22),COLUMN($AO$22))</f>
        <v>$AO$22</v>
      </c>
      <c r="AY8" s="138" t="str">
        <f t="shared" ca="1" si="9"/>
        <v>$AO$89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148</v>
      </c>
      <c r="AN9" s="38">
        <f t="shared" si="1"/>
        <v>3.3399999999999999E-2</v>
      </c>
      <c r="AO9" s="39">
        <f t="shared" si="2"/>
        <v>2.75E-2</v>
      </c>
      <c r="AP9" s="38">
        <f t="shared" si="3"/>
        <v>0</v>
      </c>
      <c r="AQ9" s="38">
        <f t="shared" si="4"/>
        <v>0</v>
      </c>
      <c r="AR9" s="133">
        <f t="shared" si="5"/>
        <v>0</v>
      </c>
      <c r="AS9" s="40">
        <f t="shared" si="6"/>
        <v>0.37530000000000002</v>
      </c>
      <c r="AT9" s="35">
        <f t="shared" si="7"/>
        <v>2</v>
      </c>
      <c r="AU9" s="361" t="s">
        <v>578</v>
      </c>
      <c r="AV9" s="339" t="str">
        <f>ADDRESS(ROW($AN$22),COLUMN($AN$22))</f>
        <v>$AN$22</v>
      </c>
      <c r="AW9" s="138" t="str">
        <f t="shared" ca="1" si="8"/>
        <v>$AN$89</v>
      </c>
      <c r="AX9" s="339" t="str">
        <f>ADDRESS(ROW($AP$22),COLUMN($AP$22))</f>
        <v>$AP$22</v>
      </c>
      <c r="AY9" s="138" t="str">
        <f t="shared" ca="1" si="9"/>
        <v>$AP$89</v>
      </c>
    </row>
    <row r="10" spans="1:102" x14ac:dyDescent="0.25">
      <c r="A10" s="270" t="s">
        <v>224</v>
      </c>
      <c r="D10" s="718" t="s">
        <v>154</v>
      </c>
      <c r="E10" s="719"/>
      <c r="F10" s="719"/>
      <c r="G10" s="719"/>
      <c r="H10" s="720"/>
      <c r="K10" s="29">
        <f>SUMPRODUCT(L22:L33,F22:F33)</f>
        <v>0.55280573610524897</v>
      </c>
      <c r="L10" s="706" t="s">
        <v>628</v>
      </c>
      <c r="M10" s="707"/>
      <c r="N10" s="352">
        <f ca="1">-SUMPRODUCT(INDIRECT(CONCATENATE(AV10,":",AW10)),INDIRECT(CONCATENATE($AX$7,":",$AY$7)),INDIRECT(CONCATENATE($AV$3,":",$AW$3)))</f>
        <v>-31823.111014987324</v>
      </c>
      <c r="O10" s="352">
        <v>-31813.200000000001</v>
      </c>
      <c r="P10" s="355">
        <f t="shared" ref="P10:P19" ca="1" si="10">N10-O10</f>
        <v>-9.9110149873231421</v>
      </c>
      <c r="AF10" s="28"/>
      <c r="AG10" s="103" t="s">
        <v>142</v>
      </c>
      <c r="AH10" s="119" t="b">
        <f>GetGRIFactor($AH$12,$AH$13)</f>
        <v>1</v>
      </c>
      <c r="AI10" s="29"/>
      <c r="AJ10" s="29"/>
      <c r="AK10" s="29"/>
      <c r="AL10" s="34">
        <v>7</v>
      </c>
      <c r="AM10" s="37">
        <f t="shared" si="0"/>
        <v>148</v>
      </c>
      <c r="AN10" s="38">
        <f t="shared" si="1"/>
        <v>3.3399999999999999E-2</v>
      </c>
      <c r="AO10" s="39">
        <f t="shared" si="2"/>
        <v>2.75E-2</v>
      </c>
      <c r="AP10" s="38">
        <f t="shared" si="3"/>
        <v>0</v>
      </c>
      <c r="AQ10" s="38">
        <f t="shared" si="4"/>
        <v>0</v>
      </c>
      <c r="AR10" s="133">
        <f t="shared" si="5"/>
        <v>0</v>
      </c>
      <c r="AS10" s="40">
        <f t="shared" si="6"/>
        <v>0.37530000000000002</v>
      </c>
      <c r="AT10" s="35">
        <f t="shared" si="7"/>
        <v>2</v>
      </c>
      <c r="AU10" s="361" t="s">
        <v>577</v>
      </c>
      <c r="AV10" s="339" t="str">
        <f>ADDRESS(ROW($AS$22),COLUMN($AS$22))</f>
        <v>$AS$22</v>
      </c>
      <c r="AW10" s="138" t="str">
        <f t="shared" ca="1" si="8"/>
        <v>$AS$89</v>
      </c>
      <c r="AX10" s="339" t="str">
        <f>ADDRESS(ROW($CC$22),COLUMN($CC$22))</f>
        <v>$CC$22</v>
      </c>
      <c r="AY10" s="138" t="str">
        <f t="shared" ca="1" si="9"/>
        <v>$CC$89</v>
      </c>
    </row>
    <row r="11" spans="1:102" x14ac:dyDescent="0.25">
      <c r="A11" s="270" t="s">
        <v>224</v>
      </c>
      <c r="D11" s="166" t="str">
        <f>IF(ISERROR($AH$13),"Check Contract Index to make sure it is valid","")</f>
        <v/>
      </c>
      <c r="E11" s="167"/>
      <c r="F11" s="168"/>
      <c r="G11" s="168"/>
      <c r="H11" s="169"/>
      <c r="K11" s="29">
        <f>SUMPRODUCT(K22:K33,F22:F33)</f>
        <v>33754.96719854189</v>
      </c>
      <c r="L11" s="704" t="s">
        <v>629</v>
      </c>
      <c r="M11" s="705"/>
      <c r="N11" s="356">
        <f ca="1">-SUMPRODUCT(INDIRECT(CONCATENATE(AV11,":",AW11)),INDIRECT(CONCATENATE($AV$2,":",$AW$2)),INDIRECT(CONCATENATE($AV$3,":",$AW$3)),INDIRECT(CONCATENATE(AX3,":",AY3)))</f>
        <v>-12812.927999999996</v>
      </c>
      <c r="O11" s="357">
        <v>-12812.93</v>
      </c>
      <c r="P11" s="358">
        <f t="shared" ca="1" si="10"/>
        <v>2.0000000040454324E-3</v>
      </c>
      <c r="AL11" s="34">
        <v>8</v>
      </c>
      <c r="AM11" s="37">
        <f t="shared" si="0"/>
        <v>148</v>
      </c>
      <c r="AN11" s="38">
        <f t="shared" si="1"/>
        <v>3.3399999999999999E-2</v>
      </c>
      <c r="AO11" s="39">
        <f t="shared" si="2"/>
        <v>2.75E-2</v>
      </c>
      <c r="AP11" s="38">
        <f t="shared" si="3"/>
        <v>0</v>
      </c>
      <c r="AQ11" s="38">
        <f t="shared" si="4"/>
        <v>0</v>
      </c>
      <c r="AR11" s="133">
        <f t="shared" si="5"/>
        <v>0</v>
      </c>
      <c r="AS11" s="40">
        <f t="shared" si="6"/>
        <v>0.37530000000000002</v>
      </c>
      <c r="AT11" s="35">
        <f t="shared" si="7"/>
        <v>2</v>
      </c>
      <c r="AU11" s="361" t="s">
        <v>579</v>
      </c>
      <c r="AV11" s="339" t="str">
        <f>ADDRESS(ROW($AQ$22),COLUMN($AQ$22))</f>
        <v>$AQ$22</v>
      </c>
      <c r="AW11" s="138" t="str">
        <f t="shared" ca="1" si="8"/>
        <v>$AQ$89</v>
      </c>
      <c r="AX11" s="339" t="str">
        <f>ADDRESS(ROW($CD$22),COLUMN($CD$22))</f>
        <v>$CD$22</v>
      </c>
      <c r="AY11" s="138" t="str">
        <f t="shared" ca="1" si="9"/>
        <v>$CD$89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261.58</v>
      </c>
      <c r="P12" s="355">
        <f t="shared" ca="1" si="10"/>
        <v>-261.58</v>
      </c>
      <c r="AG12" s="248" t="s">
        <v>185</v>
      </c>
      <c r="AH12" s="119" t="str">
        <f>GetDBPage($D$2)</f>
        <v>Contract DB (East)</v>
      </c>
      <c r="AL12" s="34">
        <v>9</v>
      </c>
      <c r="AM12" s="37">
        <f t="shared" si="0"/>
        <v>148</v>
      </c>
      <c r="AN12" s="38">
        <f t="shared" si="1"/>
        <v>3.3399999999999999E-2</v>
      </c>
      <c r="AO12" s="39">
        <f t="shared" si="2"/>
        <v>2.75E-2</v>
      </c>
      <c r="AP12" s="38">
        <f t="shared" si="3"/>
        <v>0</v>
      </c>
      <c r="AQ12" s="38">
        <f t="shared" si="4"/>
        <v>0</v>
      </c>
      <c r="AR12" s="133">
        <f t="shared" si="5"/>
        <v>0</v>
      </c>
      <c r="AS12" s="40">
        <f t="shared" si="6"/>
        <v>0.37530000000000002</v>
      </c>
      <c r="AT12" s="35">
        <f t="shared" si="7"/>
        <v>2</v>
      </c>
      <c r="AU12" s="361" t="s">
        <v>271</v>
      </c>
      <c r="AV12" s="339" t="str">
        <f>ADDRESS(ROW($X$22),COLUMN($X$22))</f>
        <v>$X$22</v>
      </c>
      <c r="AW12" s="138" t="str">
        <f t="shared" ca="1" si="8"/>
        <v>$X$89</v>
      </c>
      <c r="AX12" s="339" t="str">
        <f>ADDRESS(ROW($CE$22),COLUMN($CE$22))</f>
        <v>$CE$22</v>
      </c>
      <c r="AY12" s="138" t="str">
        <f t="shared" ca="1" si="9"/>
        <v>$CE$89</v>
      </c>
    </row>
    <row r="13" spans="1:102" x14ac:dyDescent="0.25">
      <c r="A13" s="270" t="s">
        <v>224</v>
      </c>
      <c r="D13" s="170"/>
      <c r="E13" s="171"/>
      <c r="F13" s="172"/>
      <c r="G13" s="172"/>
      <c r="H13" s="173"/>
      <c r="L13" s="706" t="s">
        <v>155</v>
      </c>
      <c r="M13" s="707"/>
      <c r="N13" s="352">
        <f t="shared" ca="1" si="11"/>
        <v>0</v>
      </c>
      <c r="O13" s="352">
        <v>0.04</v>
      </c>
      <c r="P13" s="355">
        <f t="shared" ca="1" si="10"/>
        <v>-0.04</v>
      </c>
      <c r="AG13" s="248" t="s">
        <v>186</v>
      </c>
      <c r="AH13" s="119">
        <f>GetRecNdx($AH$12,$D$2)</f>
        <v>11</v>
      </c>
      <c r="AL13" s="34">
        <v>10</v>
      </c>
      <c r="AM13" s="37">
        <f t="shared" si="0"/>
        <v>230</v>
      </c>
      <c r="AN13" s="38">
        <f t="shared" si="1"/>
        <v>3.3399999999999999E-2</v>
      </c>
      <c r="AO13" s="39">
        <f t="shared" si="2"/>
        <v>2.75E-2</v>
      </c>
      <c r="AP13" s="38">
        <f t="shared" si="3"/>
        <v>0</v>
      </c>
      <c r="AQ13" s="38">
        <f t="shared" si="4"/>
        <v>0</v>
      </c>
      <c r="AR13" s="133">
        <f t="shared" si="5"/>
        <v>0</v>
      </c>
      <c r="AS13" s="40">
        <f t="shared" si="6"/>
        <v>0.37530000000000002</v>
      </c>
      <c r="AT13" s="35">
        <f t="shared" si="7"/>
        <v>1</v>
      </c>
      <c r="AU13" s="361" t="s">
        <v>155</v>
      </c>
      <c r="AV13" s="339" t="str">
        <f>ADDRESS(ROW($Y$22),COLUMN($Y$22))</f>
        <v>$Y$22</v>
      </c>
      <c r="AW13" s="138" t="str">
        <f t="shared" ca="1" si="8"/>
        <v>$Y$89</v>
      </c>
      <c r="AX13" s="339" t="str">
        <f>ADDRESS(ROW($CF$22),COLUMN($CF$22))</f>
        <v>$CF$22</v>
      </c>
      <c r="AY13" s="138" t="str">
        <f t="shared" ca="1" si="9"/>
        <v>$CF$89</v>
      </c>
    </row>
    <row r="14" spans="1:102" x14ac:dyDescent="0.25">
      <c r="A14" s="270" t="s">
        <v>224</v>
      </c>
      <c r="D14" s="170"/>
      <c r="E14" s="171"/>
      <c r="F14" s="172"/>
      <c r="G14" s="172"/>
      <c r="H14" s="173"/>
      <c r="K14" s="185"/>
      <c r="L14" s="706" t="s">
        <v>156</v>
      </c>
      <c r="M14" s="707"/>
      <c r="N14" s="352">
        <f t="shared" ca="1" si="11"/>
        <v>45.202431287159513</v>
      </c>
      <c r="O14" s="352">
        <v>14.79</v>
      </c>
      <c r="P14" s="355">
        <f t="shared" ca="1" si="10"/>
        <v>30.412431287159514</v>
      </c>
      <c r="S14" s="181">
        <f>F22/(1-AR22)*AH22*AU22</f>
        <v>7320.7546375193951</v>
      </c>
      <c r="T14" s="181">
        <f>F22*AH22*AU22</f>
        <v>7119.4338849876131</v>
      </c>
      <c r="AL14" s="34">
        <v>11</v>
      </c>
      <c r="AM14" s="37">
        <f t="shared" si="0"/>
        <v>230</v>
      </c>
      <c r="AN14" s="38">
        <f t="shared" si="1"/>
        <v>3.3399999999999999E-2</v>
      </c>
      <c r="AO14" s="39">
        <f t="shared" si="2"/>
        <v>2.75E-2</v>
      </c>
      <c r="AP14" s="38">
        <f t="shared" si="3"/>
        <v>0</v>
      </c>
      <c r="AQ14" s="38">
        <f t="shared" si="4"/>
        <v>0</v>
      </c>
      <c r="AR14" s="133">
        <f t="shared" si="5"/>
        <v>0</v>
      </c>
      <c r="AS14" s="40">
        <f t="shared" si="6"/>
        <v>0.37530000000000002</v>
      </c>
      <c r="AT14" s="35">
        <f t="shared" si="7"/>
        <v>1</v>
      </c>
      <c r="AU14" s="361" t="s">
        <v>156</v>
      </c>
      <c r="AV14" s="339" t="str">
        <f>ADDRESS(ROW($Z$22),COLUMN($Z$22))</f>
        <v>$Z$22</v>
      </c>
      <c r="AW14" s="138" t="str">
        <f t="shared" ca="1" si="8"/>
        <v>$Z$89</v>
      </c>
      <c r="AX14" s="353" t="str">
        <f ca="1">CONCATENATE(AX8,":",AY8)</f>
        <v>$AO$22:$AO$89</v>
      </c>
      <c r="AY14" s="353" t="str">
        <f ca="1">CONCATENATE(AX10,":",AY10)</f>
        <v>$CC$22:$CC$89</v>
      </c>
    </row>
    <row r="15" spans="1:102" ht="13.8" thickBot="1" x14ac:dyDescent="0.3">
      <c r="A15" s="270" t="s">
        <v>224</v>
      </c>
      <c r="D15" s="170"/>
      <c r="E15" s="171"/>
      <c r="F15" s="172"/>
      <c r="G15" s="172"/>
      <c r="H15" s="173"/>
      <c r="L15" s="706" t="s">
        <v>157</v>
      </c>
      <c r="M15" s="707"/>
      <c r="N15" s="352">
        <f t="shared" ca="1" si="11"/>
        <v>2.4921586511044324E-2</v>
      </c>
      <c r="O15" s="352">
        <v>0.03</v>
      </c>
      <c r="P15" s="355">
        <f t="shared" ca="1" si="10"/>
        <v>-5.0784134889556749E-3</v>
      </c>
      <c r="AL15" s="34">
        <v>12</v>
      </c>
      <c r="AM15" s="41">
        <f t="shared" si="0"/>
        <v>230</v>
      </c>
      <c r="AN15" s="42">
        <f t="shared" si="1"/>
        <v>3.3399999999999999E-2</v>
      </c>
      <c r="AO15" s="43">
        <f t="shared" si="2"/>
        <v>2.75E-2</v>
      </c>
      <c r="AP15" s="42">
        <f t="shared" si="3"/>
        <v>0</v>
      </c>
      <c r="AQ15" s="42">
        <f t="shared" si="4"/>
        <v>0</v>
      </c>
      <c r="AR15" s="134">
        <f t="shared" si="5"/>
        <v>0</v>
      </c>
      <c r="AS15" s="44">
        <f t="shared" si="6"/>
        <v>0.37530000000000002</v>
      </c>
      <c r="AT15" s="35">
        <f t="shared" si="7"/>
        <v>1</v>
      </c>
      <c r="AU15" s="363" t="s">
        <v>157</v>
      </c>
      <c r="AV15" s="339" t="str">
        <f>ADDRESS(ROW($AA$22),COLUMN($AA$22))</f>
        <v>$AA$22</v>
      </c>
      <c r="AW15" s="138" t="str">
        <f t="shared" ca="1" si="8"/>
        <v>$AA$89</v>
      </c>
      <c r="AX15" s="353" t="str">
        <f ca="1">CONCATENATE(AV8,":",AW8)</f>
        <v>$AM$22:$AM$89</v>
      </c>
      <c r="AY15" s="353" t="str">
        <f ca="1">CONCATENATE(AX11,":",AY11)</f>
        <v>$CD$22:$CD$89</v>
      </c>
    </row>
    <row r="16" spans="1:102" x14ac:dyDescent="0.25">
      <c r="D16" s="174"/>
      <c r="E16" s="175"/>
      <c r="F16" s="176"/>
      <c r="G16" s="176"/>
      <c r="H16" s="177"/>
      <c r="L16" s="706" t="s">
        <v>158</v>
      </c>
      <c r="M16" s="707"/>
      <c r="N16" s="352">
        <f t="shared" ca="1" si="11"/>
        <v>0</v>
      </c>
      <c r="O16" s="352">
        <v>-60.76</v>
      </c>
      <c r="P16" s="355">
        <f t="shared" ca="1" si="10"/>
        <v>60.76</v>
      </c>
      <c r="AU16" s="361" t="s">
        <v>158</v>
      </c>
      <c r="AV16" s="339" t="str">
        <f>ADDRESS(ROW($AB$22),COLUMN($AB$22))</f>
        <v>$AB$22</v>
      </c>
      <c r="AW16" s="138" t="str">
        <f t="shared" ca="1" si="8"/>
        <v>$AB$89</v>
      </c>
      <c r="AX16" s="353" t="str">
        <f ca="1">CONCATENATE(AX9,":",AY9)</f>
        <v>$AP$22:$AP$89</v>
      </c>
      <c r="AY16" s="353" t="str">
        <f ca="1">CONCATENATE(AX12,":",AY12)</f>
        <v>$CE$22:$CE$89</v>
      </c>
    </row>
    <row r="17" spans="1:91" x14ac:dyDescent="0.25">
      <c r="D17" s="171"/>
      <c r="E17" s="171"/>
      <c r="F17" s="172"/>
      <c r="G17" s="172"/>
      <c r="H17" s="172"/>
      <c r="L17" s="704" t="s">
        <v>211</v>
      </c>
      <c r="M17" s="705"/>
      <c r="N17" s="356">
        <f t="shared" ca="1" si="11"/>
        <v>45.890698891325002</v>
      </c>
      <c r="O17" s="357">
        <v>14.99</v>
      </c>
      <c r="P17" s="358">
        <f t="shared" ca="1" si="10"/>
        <v>30.900698891325</v>
      </c>
      <c r="AU17" s="361" t="s">
        <v>211</v>
      </c>
      <c r="AV17" s="339" t="str">
        <f>ADDRESS(ROW($AC$22),COLUMN($AC$22))</f>
        <v>$AC$22</v>
      </c>
      <c r="AW17" s="138" t="str">
        <f t="shared" ca="1" si="8"/>
        <v>$AC$89</v>
      </c>
      <c r="AX17" s="353" t="str">
        <f ca="1">CONCATENATE(AV9,":",AW9)</f>
        <v>$AN$22:$AN$89</v>
      </c>
      <c r="AY17" s="353" t="str">
        <f ca="1">CONCATENATE(AX13,":",AY13)</f>
        <v>$CF$22:$CF$89</v>
      </c>
    </row>
    <row r="18" spans="1:91" x14ac:dyDescent="0.25">
      <c r="D18" s="171"/>
      <c r="E18" s="171"/>
      <c r="F18" s="172"/>
      <c r="G18" s="172"/>
      <c r="H18" s="172"/>
      <c r="L18" s="706" t="s">
        <v>623</v>
      </c>
      <c r="M18" s="707"/>
      <c r="N18" s="352">
        <f ca="1">SUMPRODUCT(INDIRECT(CONCATENATE(AX4,":",AY4)),INDIRECT(CONCATENATE($AV$2,":",$AW$2)),INDIRECT(CONCATENATE($AV$3,":",$AW$3)))</f>
        <v>149479.27958681455</v>
      </c>
      <c r="O18" s="352">
        <v>149433.85</v>
      </c>
      <c r="P18" s="355">
        <f t="shared" ca="1" si="10"/>
        <v>45.429586814541835</v>
      </c>
      <c r="AU18" s="361"/>
      <c r="AV18" s="339"/>
      <c r="AW18" s="138"/>
      <c r="AX18" s="339" t="str">
        <f>ADDRESS(ROW($CI$22),COLUMN($CI$22))</f>
        <v>$CI$22</v>
      </c>
      <c r="AY18" s="138" t="str">
        <f ca="1">GetEnd($AV$1,AX18)</f>
        <v>$CI$89</v>
      </c>
    </row>
    <row r="19" spans="1:91" x14ac:dyDescent="0.25">
      <c r="D19" s="171"/>
      <c r="E19" s="171"/>
      <c r="F19" s="172"/>
      <c r="G19" s="172"/>
      <c r="H19" s="172"/>
      <c r="L19" s="724" t="s">
        <v>624</v>
      </c>
      <c r="M19" s="725"/>
      <c r="N19" s="359">
        <f ca="1">SUMPRODUCT(INDIRECT(CONCATENATE(AX5,":",AY5)),INDIRECT(CONCATENATE($AV$2,":",$AW$2)),INDIRECT(CONCATENATE($AV$3,":",$AW$3)))</f>
        <v>0.81702823831140847</v>
      </c>
      <c r="O19" s="359">
        <v>1.07</v>
      </c>
      <c r="P19" s="360">
        <f t="shared" ca="1" si="10"/>
        <v>-0.25297176168859159</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IF-FGT/Z3 Basis Mid</v>
      </c>
      <c r="T20" s="182" t="str">
        <f>GetDelBasis($AH$12,$AH$13)</f>
        <v>IF-FGT/MKT Basis Mid</v>
      </c>
      <c r="U20" s="158"/>
      <c r="V20" s="158"/>
      <c r="W20" s="158"/>
      <c r="X20" s="158"/>
      <c r="Y20" s="335"/>
      <c r="Z20" s="335"/>
      <c r="AA20" s="335"/>
      <c r="AB20" s="335"/>
      <c r="AC20" s="335"/>
      <c r="AI20" s="138"/>
      <c r="AM20" s="702" t="str">
        <f>GetRcptPoint($AH$12,$AH$13)</f>
        <v>FGT/Zone 3</v>
      </c>
      <c r="AN20" s="703"/>
      <c r="AO20" s="702" t="str">
        <f>GetDelPoint($AH$12,$AH$13)</f>
        <v>FGT/MKT</v>
      </c>
      <c r="AP20" s="703"/>
      <c r="AQ20" s="137"/>
      <c r="AS20" s="137"/>
      <c r="AU20" s="136" t="s">
        <v>576</v>
      </c>
      <c r="AV20" s="353">
        <f ca="1">SUMPRODUCT(INDIRECT(CONCATENATE(AV8,":",AW8)),INDIRECT(CONCATENATE($AV$2,":",$AW$2)),INDIRECT(CONCATENATE($AV$3,":",$AW$3)),INDIRECT(CONCATENATE(AX3,":",AY3)))</f>
        <v>-7521.1749999999993</v>
      </c>
      <c r="AW20" s="353">
        <f ca="1">SUMPRODUCT(INDIRECT(CONCATENATE(AX8,":",AY8)),INDIRECT(CONCATENATE($AV$2,":",$AW$2)),INDIRECT(CONCATENATE($AV$3,":",$AW$3)),INDIRECT(CONCATENATE(AX3,":",AY3)))</f>
        <v>208009.99999999997</v>
      </c>
      <c r="AX20" s="353">
        <f ca="1">SUMPRODUCT(INDIRECT(CONCATENATE(AV9,":",AW9)),INDIRECT(CONCATENATE($AV$2,":",$AW$2)),INDIRECT(CONCATENATE($AV$3,":",$AW$3)),INDIRECT(CONCATENATE(AX3,":",AY3)))</f>
        <v>1540.9299999999998</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53" si="12">VLOOKUP(AG22,$AL$4:$AS$15,2)</f>
        <v>230</v>
      </c>
      <c r="G22" s="28">
        <f t="shared" ref="G22:G53" si="13">F22*$AU22</f>
        <v>229.65915758024556</v>
      </c>
      <c r="H22" s="52">
        <f t="shared" ref="H22:H53" si="14">(AL22+AM22+AN22)/(1-(AR22))</f>
        <v>2.8879177377892029</v>
      </c>
      <c r="I22" s="52">
        <f t="shared" ref="I22:I53" si="15">(AL22+AO22+AP22)</f>
        <v>3.1960000000000002</v>
      </c>
      <c r="K22" s="52">
        <f t="shared" ref="K22:K53" si="16">MAX(((I22-H22)-AQ22)*AU22*AH22,0)</f>
        <v>8.3477610250594108</v>
      </c>
      <c r="L22" s="135">
        <f t="shared" ref="L22:L53" si="17">MAX(Q22-K22,0)</f>
        <v>8.9160655928566257E-5</v>
      </c>
      <c r="N22" s="131">
        <f>SQRT(($AX22^2*($AH22/2)+$AW22^2*$AI22)/(($AH22/2)+$AI22))</f>
        <v>0.96016221307122684</v>
      </c>
      <c r="O22" s="131">
        <f>SQRT(($AY22^2*($AH22/2)+$AW22^2*$AI22)/(($AH22/2)+$AI22))</f>
        <v>0.96016221307122684</v>
      </c>
      <c r="P22" s="55">
        <f>(VLOOKUP(AI22,CorrelationTwo,2)*(AW22^2)*AI22+VLOOKUP(D22,CorrelationOne,$AK$9)*AX22*AY22*(AH22/2))/((AI22+(AH22/2))*O22*N22)*AF22</f>
        <v>0.99596223811539109</v>
      </c>
      <c r="Q22" s="135">
        <f>_xll.xSPRDOPT(I22,H22,AQ22,0,O22,N22,P22,D22-$G$5,1,0)*AH22*AU22</f>
        <v>8.3478501857153393</v>
      </c>
      <c r="R22" s="135"/>
      <c r="S22" s="181">
        <f>_xll.xSPRDOPT(I22,H22,AQ22,AT22,O22,N22,P22,D22-$G$5,1,2)*AF22*(F22/(1-AR22))*AH22</f>
        <v>-7319.5159424499134</v>
      </c>
      <c r="T22" s="181">
        <f>_xll.xSPRDOPT(I22,H22,AQ22,AT22,O22,N22,P22,D22-$G$5,1,1)*AF22*F22*AH22</f>
        <v>7118.3311022744392</v>
      </c>
      <c r="U22" s="135"/>
      <c r="V22" s="146">
        <f t="shared" ref="V22:V53" si="18">VLOOKUP($AG22,$AL$4:$AS$15,8)*AH22*AU22</f>
        <v>11.617058856677614</v>
      </c>
      <c r="W22" s="146"/>
      <c r="X22" s="338">
        <f t="shared" ref="X22:X53" si="19">((BM22*BC22)+(BL22*BB22))*AH22*F22</f>
        <v>0</v>
      </c>
      <c r="Y22" s="338">
        <f t="shared" ref="Y22:Y53" si="20">($F22*$AH22)*((($BG22/2)*($BC22)^2)+(($BF22/2)*($BB22)^2)+($BH22*$BC22*$BB22))</f>
        <v>0</v>
      </c>
      <c r="Z22" s="338">
        <f t="shared" ref="Z22:Z53" si="21">($BI22*$F22*$AH22*($G$5-$BV$5))/365.25</f>
        <v>0.24559778503383939</v>
      </c>
      <c r="AA22" s="338">
        <f t="shared" ref="AA22:AA53" si="22">(($BK22*$BE22)+($BJ22*$BD22))*$F22*$AH22*$AF22</f>
        <v>8.4669387806243866E-3</v>
      </c>
      <c r="AB22" s="338">
        <f t="shared" ref="AB22:AB53" si="23">BN22*(AT22-CA22)*F22*AH22</f>
        <v>0</v>
      </c>
      <c r="AC22" s="338">
        <f t="shared" ref="AC22:AC53" si="24">BO22*CB22*F22*AH22*CA22*($G$5-$BV$5)/365.25</f>
        <v>0.29590302585977268</v>
      </c>
      <c r="AF22" s="138">
        <f t="shared" ref="AF22:AF53" si="25">IF(AND(D22&gt;=$G$7,D22&lt;=$G$8),1,0)</f>
        <v>1</v>
      </c>
      <c r="AG22" s="138">
        <f t="shared" ref="AG22:AG53" si="26">MONTH(D22)</f>
        <v>1</v>
      </c>
      <c r="AH22" s="138">
        <f t="shared" ref="AH22:AH53" si="27">(EOMONTH(D22,0)-EOMONTH(D22-DAY(D22),0))*AF22</f>
        <v>31</v>
      </c>
      <c r="AI22" s="138">
        <f>MAX(0,(D22-DAY(D22))-$G$5+1)</f>
        <v>15</v>
      </c>
      <c r="AJ22" s="138">
        <f t="shared" ref="AJ22:AJ53" si="28">D22-$BV$5</f>
        <v>32</v>
      </c>
      <c r="AL22" s="136">
        <f t="shared" ref="AL22:AL53" si="29">VLOOKUP($D22,CurveTbl,$AK$4)</f>
        <v>2.8460000000000001</v>
      </c>
      <c r="AM22" s="258">
        <f t="shared" ref="AM22:AM53" si="30">VLOOKUP($D22,CurveTbl,$AH$3)</f>
        <v>-3.5000000000000003E-2</v>
      </c>
      <c r="AN22" s="258">
        <f t="shared" ref="AN22:AN53" si="31">VLOOKUP($D22,CurveTbl,$AH$4)+VLOOKUP($AG22,$AL$3:$AS$15,6)</f>
        <v>-2.5000000000000001E-3</v>
      </c>
      <c r="AO22" s="258">
        <f t="shared" ref="AO22:AO53" si="32">VLOOKUP($D22,CurveTbl,$AH$5)</f>
        <v>0.35</v>
      </c>
      <c r="AP22" s="258">
        <f t="shared" ref="AP22:AP53" si="33">VLOOKUP($D22,CurveTbl,$AH$6)+VLOOKUP($AG22,$AL$3:$AS$15,7)</f>
        <v>0</v>
      </c>
      <c r="AQ22" s="136">
        <f t="shared" ref="AQ22:AQ53" si="34">VLOOKUP($AG22,$AL$4:$AS$15,3)+VLOOKUP($AG22,$AL$4:$AS$15,5)+($AH$10*VLOOKUP(D22,GRITable,2))</f>
        <v>3.8399999999999997E-2</v>
      </c>
      <c r="AR22" s="137">
        <f t="shared" ref="AR22:AR53" si="35">VLOOKUP($AG22,$AL$4:$AS$15,4)</f>
        <v>2.75E-2</v>
      </c>
      <c r="AS22" s="136">
        <f t="shared" ref="AS22:AS53" si="36">(AL22+AM22+AN22)</f>
        <v>2.8085</v>
      </c>
      <c r="AT22" s="137">
        <f t="shared" ref="AT22:AT53" si="37">VLOOKUP(D22,CurveTbl,$AK$6)</f>
        <v>1.8765908157160699E-2</v>
      </c>
      <c r="AU22" s="137">
        <f t="shared" ref="AU22:AU53" si="38">(1+$AT22/2)^(-2*($D22-$G$5)/365.25)*$AF22</f>
        <v>0.99851807643585033</v>
      </c>
      <c r="AV22" s="394">
        <f t="shared" ref="AV22:AV53" si="39">ROUND((F22/(1-AR22))-F22,0)*AF22*AH22*AU22</f>
        <v>216.67842258657953</v>
      </c>
      <c r="AW22" s="137">
        <f t="shared" ref="AW22:AW53" si="40">VLOOKUP($D22,CurveTbl,$AK$8)</f>
        <v>0.87</v>
      </c>
      <c r="AX22" s="137">
        <f t="shared" ref="AX22:AX53" si="41">VLOOKUP($D22,CurveTbl,$AH$7)</f>
        <v>1.04</v>
      </c>
      <c r="AY22" s="137">
        <f t="shared" ref="AY22:AY53" si="42">VLOOKUP($D22,CurveTbl,$AH$8)</f>
        <v>1.04</v>
      </c>
      <c r="AZ22" s="137"/>
      <c r="BA22" s="264"/>
      <c r="BB22" s="258">
        <f t="shared" ref="BB22:BB53" si="43">$H22-$BV22</f>
        <v>0</v>
      </c>
      <c r="BC22" s="258">
        <f t="shared" ref="BC22:BC53" si="44">I22-BW22</f>
        <v>0</v>
      </c>
      <c r="BD22" s="137">
        <f t="shared" ref="BD22:BD53" si="45">N22-BX22</f>
        <v>7.7262160833929672E-3</v>
      </c>
      <c r="BE22" s="137">
        <f t="shared" ref="BE22:BE53" si="46">O22-BY22</f>
        <v>7.7262160833929672E-3</v>
      </c>
      <c r="BF22" s="137">
        <f>_xll.xSPRDOPT($BW22,$BV22,$CG22,0,$BY22,$BX22,$BZ22,$AJ22,1,4)*$CB22</f>
        <v>2.3672725510166488E-2</v>
      </c>
      <c r="BG22" s="137">
        <f>_xll.xSPRDOPT($BW22,$BV22,$CG22,0,$BY22,$BX22,$BZ22,$AJ22,1,3)*$CB22</f>
        <v>1.9901293291762271E-2</v>
      </c>
      <c r="BH22" s="137">
        <f>IF(OR(BF22&lt;&gt;0,BG22&lt;&gt;0),_xll.xSPRDOPT($BW22,$BV22,$CG22,0,$BY22,$BX22,$BZ22,$AJ22,1,12)*$CB22,0)</f>
        <v>-2.1705817397792902E-2</v>
      </c>
      <c r="BI22" s="137">
        <f>_xll.xSPRDOPT($BW22,$BV22,$CG22,2*LN(1+CA22/2),$BY22,$BX22,$BZ22,$AJ22,1,9)</f>
        <v>4.193763019336598E-3</v>
      </c>
      <c r="BJ22" s="137">
        <f>_xll.xSPRDOPT($BW22,$BV22,$CG22,0,$BY22,$BX22,$BZ22,$AJ22,1,6)*$CB22</f>
        <v>-1.6704907472126466E-4</v>
      </c>
      <c r="BK22" s="137">
        <f>_xll.xSPRDOPT($BW22,$BV22,$CG22,0,$BY22,$BX22,$BZ22,$AJ22,1,5)*$CB22</f>
        <v>3.2074772003117165E-4</v>
      </c>
      <c r="BL22" s="137">
        <f>_xll.xSPRDOPT(BW22,BV22,CG22,0,BY22,BX22,BZ22,AJ22,1,2)*CB22</f>
        <v>-0.997839373602597</v>
      </c>
      <c r="BM22" s="137">
        <f>_xll.xSPRDOPT(BW22,BV22,CG22,0,BY22,BX22,BZ22,AJ22,1,1)*CB22</f>
        <v>0.99788636733933322</v>
      </c>
      <c r="BN22" s="137">
        <f>IF(AH22&lt;&gt;0,_xll.xSPRDOPT($BW22,$BV22,$CG22,2*LN(1+CA22/2),$BY22,$BX22,$BZ22,$AJ22,1,8)+(AJ22/365.25)*CH22/AH22,0)</f>
        <v>9.2372148141598338E-3</v>
      </c>
      <c r="BO22" s="137">
        <f>_xll.xSPRDOPT($BW22,$BV22,$CG22,0,$BY22,$BX22,$BZ22,$AJ22,1,0)</f>
        <v>0.26969317500189138</v>
      </c>
      <c r="BP22" s="137"/>
      <c r="BQ22" s="137"/>
      <c r="BR22" s="137"/>
      <c r="BS22" s="137"/>
      <c r="BV22" s="262">
        <v>2.8879177377892029</v>
      </c>
      <c r="BW22" s="136">
        <v>3.1960000000000002</v>
      </c>
      <c r="BX22" s="137">
        <v>0.95243599698783388</v>
      </c>
      <c r="BY22" s="137">
        <v>0.95243599698783388</v>
      </c>
      <c r="BZ22" s="137">
        <v>0.99551673302839838</v>
      </c>
      <c r="CA22" s="137">
        <v>1.8765908157160699E-2</v>
      </c>
      <c r="CB22" s="137">
        <v>0.99836489939579565</v>
      </c>
      <c r="CC22" s="258">
        <v>-3.5000000000000003E-2</v>
      </c>
      <c r="CD22" s="258">
        <v>-2.5000000000000001E-3</v>
      </c>
      <c r="CE22" s="258">
        <v>0.35</v>
      </c>
      <c r="CF22" s="258">
        <v>0</v>
      </c>
      <c r="CG22" s="258">
        <v>3.8399999999999997E-2</v>
      </c>
      <c r="CH22" s="258">
        <v>11.615276749040508</v>
      </c>
      <c r="CI22" s="258">
        <v>2.8460000000000001</v>
      </c>
      <c r="CJ22" s="258"/>
      <c r="CK22" s="258"/>
      <c r="CL22" s="258"/>
      <c r="CM22" s="258"/>
    </row>
    <row r="23" spans="1:91" x14ac:dyDescent="0.25">
      <c r="A23" s="723"/>
      <c r="B23" s="723"/>
      <c r="D23" s="31">
        <f t="shared" ref="D23:D54" si="47">D22+AH22</f>
        <v>37302</v>
      </c>
      <c r="F23" s="28">
        <f t="shared" si="12"/>
        <v>230</v>
      </c>
      <c r="G23" s="28">
        <f t="shared" si="13"/>
        <v>229.27446354811249</v>
      </c>
      <c r="H23" s="52">
        <f t="shared" si="14"/>
        <v>2.951670951156812</v>
      </c>
      <c r="I23" s="52">
        <f t="shared" si="15"/>
        <v>3.258</v>
      </c>
      <c r="K23" s="52">
        <f t="shared" si="16"/>
        <v>7.4783482190842747</v>
      </c>
      <c r="L23" s="135">
        <f t="shared" si="17"/>
        <v>2.2380529784893355E-3</v>
      </c>
      <c r="N23" s="131">
        <f t="shared" ref="N23:N86" si="48">SQRT(($AX23^2*($AH23/2)+$AW23^2*$AI23)/(($AH23/2)+$AI23))</f>
        <v>0.90885229823112634</v>
      </c>
      <c r="O23" s="131">
        <f t="shared" ref="O23:O86" si="49">SQRT(($AY23^2*($AH23/2)+$AW23^2*$AI23)/(($AH23/2)+$AI23))</f>
        <v>0.90885229823112634</v>
      </c>
      <c r="P23" s="55">
        <f t="shared" ref="P23:P86" si="50">(VLOOKUP(AI23,CorrelationTwo,2)*(AW23^2)*AI23+VLOOKUP(D23,CorrelationOne,$AK$9)*AX23*AY23*(AH23/2))/((AI23+(AH23/2))*O23*N23)*AF23</f>
        <v>0.9965276604974701</v>
      </c>
      <c r="Q23" s="135">
        <f>_xll.xSPRDOPT(I23,H23,AQ23,0,O23,N23,P23,D23-$G$5,1,0)*AH23*AU23</f>
        <v>7.4805862720627641</v>
      </c>
      <c r="R23" s="135"/>
      <c r="S23" s="181">
        <f>_xll.xSPRDOPT(I23,H23,AQ23,AT23,O23,N23,P23,D23-$G$5,1,2)*AF23*(F23/(1-AR23))*AH23</f>
        <v>-6582.0392829274215</v>
      </c>
      <c r="T23" s="181">
        <f>_xll.xSPRDOPT(I23,H23,AQ23,AT23,O23,N23,P23,D23-$G$5,1,1)*AF23*F23*AH23</f>
        <v>6402.6773729523056</v>
      </c>
      <c r="U23" s="135"/>
      <c r="V23" s="146">
        <f t="shared" si="18"/>
        <v>10.475251185865154</v>
      </c>
      <c r="W23" s="146"/>
      <c r="X23" s="338">
        <f t="shared" si="19"/>
        <v>0</v>
      </c>
      <c r="Y23" s="338">
        <f t="shared" si="20"/>
        <v>0</v>
      </c>
      <c r="Z23" s="338">
        <f t="shared" si="21"/>
        <v>0.10770407406921588</v>
      </c>
      <c r="AA23" s="338">
        <f t="shared" si="22"/>
        <v>1.5504318294481772E-2</v>
      </c>
      <c r="AB23" s="338">
        <f t="shared" si="23"/>
        <v>0</v>
      </c>
      <c r="AC23" s="338">
        <f t="shared" si="24"/>
        <v>0.27309886599238631</v>
      </c>
      <c r="AF23" s="138">
        <f t="shared" si="25"/>
        <v>1</v>
      </c>
      <c r="AG23" s="138">
        <f t="shared" si="26"/>
        <v>2</v>
      </c>
      <c r="AH23" s="138">
        <f t="shared" si="27"/>
        <v>28</v>
      </c>
      <c r="AI23" s="138">
        <f t="shared" ref="AI23:AI54" si="51">AI22+AH22</f>
        <v>46</v>
      </c>
      <c r="AJ23" s="138">
        <f t="shared" si="28"/>
        <v>63</v>
      </c>
      <c r="AL23" s="136">
        <f t="shared" si="29"/>
        <v>2.9079999999999999</v>
      </c>
      <c r="AM23" s="258">
        <f t="shared" si="30"/>
        <v>-3.5000000000000003E-2</v>
      </c>
      <c r="AN23" s="258">
        <f t="shared" si="31"/>
        <v>-2.5000000000000001E-3</v>
      </c>
      <c r="AO23" s="258">
        <f t="shared" si="32"/>
        <v>0.35</v>
      </c>
      <c r="AP23" s="258">
        <f t="shared" si="33"/>
        <v>0</v>
      </c>
      <c r="AQ23" s="136">
        <f t="shared" si="34"/>
        <v>3.8399999999999997E-2</v>
      </c>
      <c r="AR23" s="137">
        <f t="shared" si="35"/>
        <v>2.75E-2</v>
      </c>
      <c r="AS23" s="136">
        <f t="shared" si="36"/>
        <v>2.8704999999999998</v>
      </c>
      <c r="AT23" s="137">
        <f t="shared" si="37"/>
        <v>1.9326187282006298E-2</v>
      </c>
      <c r="AU23" s="137">
        <f t="shared" si="38"/>
        <v>0.99684549368744568</v>
      </c>
      <c r="AV23" s="394">
        <f t="shared" si="39"/>
        <v>195.38171676273936</v>
      </c>
      <c r="AW23" s="137">
        <f t="shared" si="40"/>
        <v>0.86499999999999999</v>
      </c>
      <c r="AX23" s="137">
        <f t="shared" si="41"/>
        <v>1.04</v>
      </c>
      <c r="AY23" s="137">
        <f t="shared" si="42"/>
        <v>1.04</v>
      </c>
      <c r="AZ23" s="137"/>
      <c r="BA23" s="264"/>
      <c r="BB23" s="258">
        <f t="shared" si="43"/>
        <v>0</v>
      </c>
      <c r="BC23" s="258">
        <f t="shared" si="44"/>
        <v>0</v>
      </c>
      <c r="BD23" s="137">
        <f t="shared" si="45"/>
        <v>2.0401162808982853E-3</v>
      </c>
      <c r="BE23" s="137">
        <f t="shared" si="46"/>
        <v>2.0401162808982853E-3</v>
      </c>
      <c r="BF23" s="137">
        <f>_xll.xSPRDOPT($BW23,$BV23,$CG23,0,$BY23,$BX23,$BZ23,$AJ23,1,4)*$CB23</f>
        <v>0.1162966147824905</v>
      </c>
      <c r="BG23" s="137">
        <f>_xll.xSPRDOPT($BW23,$BV23,$CG23,0,$BY23,$BX23,$BZ23,$AJ23,1,3)*$CB23</f>
        <v>9.8332163101539527E-2</v>
      </c>
      <c r="BH23" s="137">
        <f>IF(OR(BF23&lt;&gt;0,BG23&lt;&gt;0),_xll.xSPRDOPT($BW23,$BV23,$CG23,0,$BY23,$BX23,$BZ23,$AJ23,1,12)*$CB23,0)</f>
        <v>-0.10693443011975054</v>
      </c>
      <c r="BI23" s="137">
        <f>_xll.xSPRDOPT($BW23,$BV23,$CG23,2*LN(1+CA23/2),$BY23,$BX23,$BZ23,$AJ23,1,9)</f>
        <v>2.0361756239017132E-3</v>
      </c>
      <c r="BJ23" s="137">
        <f>_xll.xSPRDOPT($BW23,$BV23,$CG23,0,$BY23,$BX23,$BZ23,$AJ23,1,6)*$CB23</f>
        <v>-1.7981290266109863E-3</v>
      </c>
      <c r="BK23" s="137">
        <f>_xll.xSPRDOPT($BW23,$BV23,$CG23,0,$BY23,$BX23,$BZ23,$AJ23,1,5)*$CB23</f>
        <v>2.9782102128157206E-3</v>
      </c>
      <c r="BL23" s="137">
        <f>_xll.xSPRDOPT(BW23,BV23,CG23,0,BY23,BX23,BZ23,AJ23,1,2)*CB23</f>
        <v>-0.99295206252862755</v>
      </c>
      <c r="BM23" s="137">
        <f>_xll.xSPRDOPT(BW23,BV23,CG23,0,BY23,BX23,BZ23,AJ23,1,1)*CB23</f>
        <v>0.99328504192526257</v>
      </c>
      <c r="BN23" s="137">
        <f>IF(AH23&lt;&gt;0,_xll.xSPRDOPT($BW23,$BV23,$CG23,2*LN(1+CA23/2),$BY23,$BX23,$BZ23,$AJ23,1,8)+(AJ23/365.25)*CH23/AH23,0)</f>
        <v>1.843964043474617E-2</v>
      </c>
      <c r="BO23" s="137">
        <f>_xll.xSPRDOPT($BW23,$BV23,$CG23,0,$BY23,$BX23,$BZ23,$AJ23,1,0)</f>
        <v>0.26803874330325261</v>
      </c>
      <c r="BP23" s="137"/>
      <c r="BQ23" s="137"/>
      <c r="BR23" s="137"/>
      <c r="BS23" s="137"/>
      <c r="BV23" s="262">
        <v>2.951670951156812</v>
      </c>
      <c r="BW23" s="136">
        <v>3.258</v>
      </c>
      <c r="BX23" s="137">
        <v>0.90681218195022806</v>
      </c>
      <c r="BY23" s="137">
        <v>0.90681218195022806</v>
      </c>
      <c r="BZ23" s="137">
        <v>0.99646146856241391</v>
      </c>
      <c r="CA23" s="137">
        <v>1.9326187282006298E-2</v>
      </c>
      <c r="CB23" s="137">
        <v>0.99668802984454063</v>
      </c>
      <c r="CC23" s="258">
        <v>-3.5000000000000003E-2</v>
      </c>
      <c r="CD23" s="258">
        <v>-2.5000000000000001E-3</v>
      </c>
      <c r="CE23" s="258">
        <v>0.35</v>
      </c>
      <c r="CF23" s="258">
        <v>0</v>
      </c>
      <c r="CG23" s="258">
        <v>3.8399999999999997E-2</v>
      </c>
      <c r="CH23" s="258">
        <v>10.473596492818372</v>
      </c>
      <c r="CI23" s="258">
        <v>2.9079999999999999</v>
      </c>
      <c r="CJ23" s="258"/>
      <c r="CK23" s="258"/>
      <c r="CL23" s="258"/>
      <c r="CM23" s="258"/>
    </row>
    <row r="24" spans="1:91" x14ac:dyDescent="0.25">
      <c r="A24" s="723"/>
      <c r="B24" s="723"/>
      <c r="D24" s="31">
        <f t="shared" si="47"/>
        <v>37330</v>
      </c>
      <c r="F24" s="28">
        <f t="shared" si="12"/>
        <v>230</v>
      </c>
      <c r="G24" s="28">
        <f t="shared" si="13"/>
        <v>228.93955965571411</v>
      </c>
      <c r="H24" s="52">
        <f t="shared" si="14"/>
        <v>2.9455012853470435</v>
      </c>
      <c r="I24" s="52">
        <f t="shared" si="15"/>
        <v>3.302</v>
      </c>
      <c r="K24" s="52">
        <f t="shared" si="16"/>
        <v>9.8155946497851847</v>
      </c>
      <c r="L24" s="135">
        <f t="shared" si="17"/>
        <v>2.1555762936387168E-5</v>
      </c>
      <c r="N24" s="131">
        <f t="shared" si="48"/>
        <v>0.79</v>
      </c>
      <c r="O24" s="131">
        <f t="shared" si="49"/>
        <v>0.79</v>
      </c>
      <c r="P24" s="55">
        <f t="shared" si="50"/>
        <v>0.99793296089385497</v>
      </c>
      <c r="Q24" s="135">
        <f>_xll.xSPRDOPT(I24,H24,AQ24,0,O24,N24,P24,D24-$G$5,1,0)*AH24*AU24</f>
        <v>9.8156162055481211</v>
      </c>
      <c r="R24" s="135"/>
      <c r="S24" s="181">
        <f>_xll.xSPRDOPT(I24,H24,AQ24,AT24,O24,N24,P24,D24-$G$5,1,2)*AF24*(F24/(1-AR24))*AH24</f>
        <v>-7297.3817829489099</v>
      </c>
      <c r="T24" s="181">
        <f>_xll.xSPRDOPT(I24,H24,AQ24,AT24,O24,N24,P24,D24-$G$5,1,1)*AF24*F24*AH24</f>
        <v>7096.728837402</v>
      </c>
      <c r="U24" s="135"/>
      <c r="V24" s="146">
        <f t="shared" si="18"/>
        <v>11.580658777836847</v>
      </c>
      <c r="W24" s="146"/>
      <c r="X24" s="338">
        <f t="shared" si="19"/>
        <v>0</v>
      </c>
      <c r="Y24" s="338">
        <f t="shared" si="20"/>
        <v>0</v>
      </c>
      <c r="Z24" s="338">
        <f t="shared" si="21"/>
        <v>0.35361421404704924</v>
      </c>
      <c r="AA24" s="338">
        <f t="shared" si="22"/>
        <v>0</v>
      </c>
      <c r="AB24" s="338">
        <f t="shared" si="23"/>
        <v>0</v>
      </c>
      <c r="AC24" s="338">
        <f t="shared" si="24"/>
        <v>0.35732358462617986</v>
      </c>
      <c r="AF24" s="138">
        <f t="shared" si="25"/>
        <v>1</v>
      </c>
      <c r="AG24" s="138">
        <f t="shared" si="26"/>
        <v>3</v>
      </c>
      <c r="AH24" s="138">
        <f t="shared" si="27"/>
        <v>31</v>
      </c>
      <c r="AI24" s="138">
        <f t="shared" si="51"/>
        <v>74</v>
      </c>
      <c r="AJ24" s="138">
        <f t="shared" si="28"/>
        <v>91</v>
      </c>
      <c r="AL24" s="136">
        <f t="shared" si="29"/>
        <v>2.9020000000000001</v>
      </c>
      <c r="AM24" s="258">
        <f t="shared" si="30"/>
        <v>-3.5000000000000003E-2</v>
      </c>
      <c r="AN24" s="258">
        <f t="shared" si="31"/>
        <v>-2.5000000000000001E-3</v>
      </c>
      <c r="AO24" s="258">
        <f t="shared" si="32"/>
        <v>0.4</v>
      </c>
      <c r="AP24" s="258">
        <f t="shared" si="33"/>
        <v>0</v>
      </c>
      <c r="AQ24" s="136">
        <f t="shared" si="34"/>
        <v>3.8399999999999997E-2</v>
      </c>
      <c r="AR24" s="137">
        <f t="shared" si="35"/>
        <v>2.75E-2</v>
      </c>
      <c r="AS24" s="136">
        <f t="shared" si="36"/>
        <v>2.8645</v>
      </c>
      <c r="AT24" s="137">
        <f t="shared" si="37"/>
        <v>1.9273175363903501E-2</v>
      </c>
      <c r="AU24" s="137">
        <f t="shared" si="38"/>
        <v>0.99538938980745262</v>
      </c>
      <c r="AV24" s="394">
        <f t="shared" si="39"/>
        <v>215.99949758821722</v>
      </c>
      <c r="AW24" s="137">
        <f t="shared" si="40"/>
        <v>0.79</v>
      </c>
      <c r="AX24" s="137">
        <f t="shared" si="41"/>
        <v>0.79</v>
      </c>
      <c r="AY24" s="137">
        <f t="shared" si="42"/>
        <v>0.79</v>
      </c>
      <c r="AZ24" s="137"/>
      <c r="BA24" s="264"/>
      <c r="BB24" s="258">
        <f t="shared" si="43"/>
        <v>0</v>
      </c>
      <c r="BC24" s="258">
        <f t="shared" si="44"/>
        <v>0</v>
      </c>
      <c r="BD24" s="137">
        <f t="shared" si="45"/>
        <v>0</v>
      </c>
      <c r="BE24" s="137">
        <f t="shared" si="46"/>
        <v>0</v>
      </c>
      <c r="BF24" s="137">
        <f>_xll.xSPRDOPT($BW24,$BV24,$CG24,0,$BY24,$BX24,$BZ24,$AJ24,1,4)*$CB24</f>
        <v>2.6740868815511897E-3</v>
      </c>
      <c r="BG24" s="137">
        <f>_xll.xSPRDOPT($BW24,$BV24,$CG24,0,$BY24,$BX24,$BZ24,$AJ24,1,3)*$CB24</f>
        <v>2.2118861648227229E-3</v>
      </c>
      <c r="BH24" s="137">
        <f>IF(OR(BF24&lt;&gt;0,BG24&lt;&gt;0),_xll.xSPRDOPT($BW24,$BV24,$CG24,0,$BY24,$BX24,$BZ24,$AJ24,1,12)*$CB24,0)</f>
        <v>-2.4323985836992483E-3</v>
      </c>
      <c r="BI24" s="137">
        <f>_xll.xSPRDOPT($BW24,$BV24,$CG24,2*LN(1+CA24/2),$BY24,$BX24,$BZ24,$AJ24,1,9)</f>
        <v>6.0382230799759101E-3</v>
      </c>
      <c r="BJ24" s="137">
        <f>_xll.xSPRDOPT($BW24,$BV24,$CG24,0,$BY24,$BX24,$BZ24,$AJ24,1,6)*$CB24</f>
        <v>-7.9294539027035968E-5</v>
      </c>
      <c r="BK24" s="137">
        <f>_xll.xSPRDOPT($BW24,$BV24,$CG24,0,$BY24,$BX24,$BZ24,$AJ24,1,5)*$CB24</f>
        <v>1.0082111896430376E-4</v>
      </c>
      <c r="BL24" s="137">
        <f>_xll.xSPRDOPT(BW24,BV24,CG24,0,BY24,BX24,BZ24,AJ24,1,2)*CB24</f>
        <v>-0.99518108790249826</v>
      </c>
      <c r="BM24" s="137">
        <f>_xll.xSPRDOPT(BW24,BV24,CG24,0,BY24,BX24,BZ24,AJ24,1,1)*CB24</f>
        <v>0.99518597730791547</v>
      </c>
      <c r="BN24" s="137">
        <f>IF(AH24&lt;&gt;0,_xll.xSPRDOPT($BW24,$BV24,$CG24,2*LN(1+CA24/2),$BY24,$BX24,$BZ24,$AJ24,1,8)+(AJ24/365.25)*CH24/AH24,0)</f>
        <v>1.4183194094235643E-2</v>
      </c>
      <c r="BO24" s="137">
        <f>_xll.xSPRDOPT($BW24,$BV24,$CG24,0,$BY24,$BX24,$BZ24,$AJ24,1,0)</f>
        <v>0.31809970197942955</v>
      </c>
      <c r="BP24" s="137"/>
      <c r="BQ24" s="137"/>
      <c r="BR24" s="137"/>
      <c r="BS24" s="137"/>
      <c r="BV24" s="262">
        <v>2.9455012853470435</v>
      </c>
      <c r="BW24" s="136">
        <v>3.302</v>
      </c>
      <c r="BX24" s="137">
        <v>0.79</v>
      </c>
      <c r="BY24" s="137">
        <v>0.79</v>
      </c>
      <c r="BZ24" s="137">
        <v>0.99791891891891904</v>
      </c>
      <c r="CA24" s="137">
        <v>1.9273175363903501E-2</v>
      </c>
      <c r="CB24" s="137">
        <v>0.99523258517239033</v>
      </c>
      <c r="CC24" s="258">
        <v>-3.5000000000000003E-2</v>
      </c>
      <c r="CD24" s="258">
        <v>-2.5000000000000001E-3</v>
      </c>
      <c r="CE24" s="258">
        <v>0.4</v>
      </c>
      <c r="CF24" s="258">
        <v>0</v>
      </c>
      <c r="CG24" s="258">
        <v>3.8399999999999997E-2</v>
      </c>
      <c r="CH24" s="258">
        <v>11.578834465671143</v>
      </c>
      <c r="CI24" s="258">
        <v>2.9020000000000001</v>
      </c>
      <c r="CJ24" s="258"/>
      <c r="CK24" s="258"/>
      <c r="CL24" s="258"/>
      <c r="CM24" s="258"/>
    </row>
    <row r="25" spans="1:91" x14ac:dyDescent="0.25">
      <c r="A25" s="723"/>
      <c r="B25" s="723"/>
      <c r="D25" s="31">
        <f t="shared" si="47"/>
        <v>37361</v>
      </c>
      <c r="F25" s="28">
        <f t="shared" si="12"/>
        <v>230</v>
      </c>
      <c r="G25" s="28">
        <f t="shared" si="13"/>
        <v>228.5561376993204</v>
      </c>
      <c r="H25" s="52">
        <f t="shared" si="14"/>
        <v>2.9079691516709509</v>
      </c>
      <c r="I25" s="52">
        <f t="shared" si="15"/>
        <v>3.448</v>
      </c>
      <c r="K25" s="52">
        <f t="shared" si="16"/>
        <v>14.954453379772309</v>
      </c>
      <c r="L25" s="135">
        <f t="shared" si="17"/>
        <v>1.7695963006048032E-6</v>
      </c>
      <c r="N25" s="131">
        <f t="shared" si="48"/>
        <v>0.60058305004387191</v>
      </c>
      <c r="O25" s="131">
        <f t="shared" si="49"/>
        <v>0.60058305004387191</v>
      </c>
      <c r="P25" s="55">
        <f t="shared" si="50"/>
        <v>1</v>
      </c>
      <c r="Q25" s="135">
        <f>_xll.xSPRDOPT(I25,H25,AQ25,0,O25,N25,P25,D25-$G$5,1,0)*AH25*AU25</f>
        <v>14.954455149368609</v>
      </c>
      <c r="R25" s="135"/>
      <c r="S25" s="181">
        <f>_xll.xSPRDOPT(I25,H25,AQ25,AT25,O25,N25,P25,D25-$G$5,1,2)*AF25*(F25/(1-AR25))*AH25</f>
        <v>-7050.3605386949621</v>
      </c>
      <c r="T25" s="181">
        <f>_xll.xSPRDOPT(I25,H25,AQ25,AT25,O25,N25,P25,D25-$G$5,1,1)*AF25*F25*AH25</f>
        <v>6856.4756239687085</v>
      </c>
      <c r="U25" s="135"/>
      <c r="V25" s="146">
        <f t="shared" si="18"/>
        <v>11.188319801550644</v>
      </c>
      <c r="W25" s="146"/>
      <c r="X25" s="338">
        <f t="shared" si="19"/>
        <v>0</v>
      </c>
      <c r="Y25" s="338">
        <f t="shared" si="20"/>
        <v>0</v>
      </c>
      <c r="Z25" s="338">
        <f t="shared" si="21"/>
        <v>0.54597071760667115</v>
      </c>
      <c r="AA25" s="338">
        <f t="shared" si="22"/>
        <v>3.4586741150422706E-8</v>
      </c>
      <c r="AB25" s="338">
        <f t="shared" si="23"/>
        <v>0</v>
      </c>
      <c r="AC25" s="338">
        <f t="shared" si="24"/>
        <v>0.54861638678895763</v>
      </c>
      <c r="AF25" s="138">
        <f t="shared" si="25"/>
        <v>1</v>
      </c>
      <c r="AG25" s="138">
        <f t="shared" si="26"/>
        <v>4</v>
      </c>
      <c r="AH25" s="138">
        <f t="shared" si="27"/>
        <v>30</v>
      </c>
      <c r="AI25" s="138">
        <f t="shared" si="51"/>
        <v>105</v>
      </c>
      <c r="AJ25" s="138">
        <f t="shared" si="28"/>
        <v>122</v>
      </c>
      <c r="AL25" s="136">
        <f t="shared" si="29"/>
        <v>2.8479999999999999</v>
      </c>
      <c r="AM25" s="258">
        <f t="shared" si="30"/>
        <v>-2.5000000000000001E-2</v>
      </c>
      <c r="AN25" s="258">
        <f t="shared" si="31"/>
        <v>5.0000000000000001E-3</v>
      </c>
      <c r="AO25" s="258">
        <f t="shared" si="32"/>
        <v>0.6</v>
      </c>
      <c r="AP25" s="258">
        <f t="shared" si="33"/>
        <v>0</v>
      </c>
      <c r="AQ25" s="136">
        <f t="shared" si="34"/>
        <v>3.8399999999999997E-2</v>
      </c>
      <c r="AR25" s="137">
        <f t="shared" si="35"/>
        <v>2.75E-2</v>
      </c>
      <c r="AS25" s="136">
        <f t="shared" si="36"/>
        <v>2.8279999999999998</v>
      </c>
      <c r="AT25" s="137">
        <f t="shared" si="37"/>
        <v>1.9422640119623601E-2</v>
      </c>
      <c r="AU25" s="137">
        <f t="shared" si="38"/>
        <v>0.99372233782313213</v>
      </c>
      <c r="AV25" s="394">
        <f t="shared" si="39"/>
        <v>208.68169094285776</v>
      </c>
      <c r="AW25" s="137">
        <f t="shared" si="40"/>
        <v>0.61</v>
      </c>
      <c r="AX25" s="137">
        <f t="shared" si="41"/>
        <v>0.53</v>
      </c>
      <c r="AY25" s="137">
        <f t="shared" si="42"/>
        <v>0.53</v>
      </c>
      <c r="AZ25" s="137"/>
      <c r="BA25" s="264"/>
      <c r="BB25" s="258">
        <f t="shared" si="43"/>
        <v>0</v>
      </c>
      <c r="BC25" s="258">
        <f t="shared" si="44"/>
        <v>0</v>
      </c>
      <c r="BD25" s="137">
        <f t="shared" si="45"/>
        <v>-2.3143778118694946E-4</v>
      </c>
      <c r="BE25" s="137">
        <f t="shared" si="46"/>
        <v>-2.3143778118694946E-4</v>
      </c>
      <c r="BF25" s="137">
        <f>_xll.xSPRDOPT($BW25,$BV25,$CG25,0,$BY25,$BX25,$BZ25,$AJ25,1,4)*$CB25</f>
        <v>0</v>
      </c>
      <c r="BG25" s="137">
        <f>_xll.xSPRDOPT($BW25,$BV25,$CG25,0,$BY25,$BX25,$BZ25,$AJ25,1,3)*$CB25</f>
        <v>4.7376851451396111E-7</v>
      </c>
      <c r="BH25" s="137">
        <f>IF(OR(BF25&lt;&gt;0,BG25&lt;&gt;0),_xll.xSPRDOPT($BW25,$BV25,$CG25,0,$BY25,$BX25,$BZ25,$AJ25,1,12)*$CB25,0)</f>
        <v>-1.1844212862849029E-6</v>
      </c>
      <c r="BI25" s="137">
        <f>_xll.xSPRDOPT($BW25,$BV25,$CG25,2*LN(1+CA25/2),$BY25,$BX25,$BZ25,$AJ25,1,9)</f>
        <v>9.6336137490742324E-3</v>
      </c>
      <c r="BJ25" s="137">
        <f>_xll.xSPRDOPT($BW25,$BV25,$CG25,0,$BY25,$BX25,$BZ25,$AJ25,1,6)*$CB25</f>
        <v>1.1659499547421706E-7</v>
      </c>
      <c r="BK25" s="137">
        <f>_xll.xSPRDOPT($BW25,$BV25,$CG25,0,$BY25,$BX25,$BZ25,$AJ25,1,5)*$CB25</f>
        <v>-1.3825339176333312E-7</v>
      </c>
      <c r="BL25" s="137">
        <f>_xll.xSPRDOPT(BW25,BV25,CG25,0,BY25,BX25,BZ25,AJ25,1,2)*CB25</f>
        <v>-0.99356470591198232</v>
      </c>
      <c r="BM25" s="137">
        <f>_xll.xSPRDOPT(BW25,BV25,CG25,0,BY25,BX25,BZ25,AJ25,1,1)*CB25</f>
        <v>0.99356470592644053</v>
      </c>
      <c r="BN25" s="137">
        <f>IF(AH25&lt;&gt;0,_xll.xSPRDOPT($BW25,$BV25,$CG25,2*LN(1+CA25/2),$BY25,$BX25,$BZ25,$AJ25,1,8)+(AJ25/365.25)*CH25/AH25,0)</f>
        <v>-4.1925217682138152E-2</v>
      </c>
      <c r="BO25" s="137">
        <f>_xll.xSPRDOPT($BW25,$BV25,$CG25,0,$BY25,$BX25,$BZ25,$AJ25,1,0)</f>
        <v>0.50163090752229178</v>
      </c>
      <c r="BP25" s="137"/>
      <c r="BQ25" s="137"/>
      <c r="BR25" s="137"/>
      <c r="BS25" s="137"/>
      <c r="BV25" s="262">
        <v>2.9079691516709509</v>
      </c>
      <c r="BW25" s="136">
        <v>3.448</v>
      </c>
      <c r="BX25" s="137">
        <v>0.60081448782505886</v>
      </c>
      <c r="BY25" s="137">
        <v>0.60081448782505886</v>
      </c>
      <c r="BZ25" s="137">
        <v>1</v>
      </c>
      <c r="CA25" s="137">
        <v>1.9422640119623601E-2</v>
      </c>
      <c r="CB25" s="137">
        <v>0.99356458774998258</v>
      </c>
      <c r="CC25" s="258">
        <v>-2.5000000000000001E-2</v>
      </c>
      <c r="CD25" s="258">
        <v>5.0000000000000001E-3</v>
      </c>
      <c r="CE25" s="258">
        <v>0.6</v>
      </c>
      <c r="CF25" s="258">
        <v>0</v>
      </c>
      <c r="CG25" s="258">
        <v>3.8399999999999997E-2</v>
      </c>
      <c r="CH25" s="258">
        <v>11.186543693477054</v>
      </c>
      <c r="CI25" s="258">
        <v>2.8479999999999999</v>
      </c>
      <c r="CJ25" s="258"/>
      <c r="CK25" s="258"/>
      <c r="CL25" s="258"/>
      <c r="CM25" s="258"/>
    </row>
    <row r="26" spans="1:91" x14ac:dyDescent="0.25">
      <c r="A26" s="723"/>
      <c r="B26" s="723"/>
      <c r="D26" s="31">
        <f t="shared" si="47"/>
        <v>37391</v>
      </c>
      <c r="F26" s="28">
        <f t="shared" si="12"/>
        <v>148</v>
      </c>
      <c r="G26" s="28">
        <f t="shared" si="13"/>
        <v>146.82042915918683</v>
      </c>
      <c r="H26" s="52">
        <f t="shared" si="14"/>
        <v>2.9573264781491</v>
      </c>
      <c r="I26" s="52">
        <f t="shared" si="15"/>
        <v>3.6459999999999999</v>
      </c>
      <c r="K26" s="52">
        <f t="shared" si="16"/>
        <v>19.997814621751044</v>
      </c>
      <c r="L26" s="135">
        <f t="shared" si="17"/>
        <v>2.3308430634472188E-6</v>
      </c>
      <c r="N26" s="131">
        <f t="shared" si="48"/>
        <v>0.57775797476853397</v>
      </c>
      <c r="O26" s="131">
        <f t="shared" si="49"/>
        <v>0.57775797476853397</v>
      </c>
      <c r="P26" s="55">
        <f t="shared" si="50"/>
        <v>0.99999999999999989</v>
      </c>
      <c r="Q26" s="135">
        <f>_xll.xSPRDOPT(I26,H26,AQ26,0,O26,N26,P26,D26-$G$5,1,0)*AH26*AU26</f>
        <v>19.997816952594107</v>
      </c>
      <c r="R26" s="135"/>
      <c r="S26" s="181">
        <f>_xll.xSPRDOPT(I26,H26,AQ26,AT26,O26,N26,P26,D26-$G$5,1,2)*AF26*(F26/(1-AR26))*AH26</f>
        <v>-4679.9533705807125</v>
      </c>
      <c r="T26" s="181">
        <f>_xll.xSPRDOPT(I26,H26,AQ26,AT26,O26,N26,P26,D26-$G$5,1,1)*AF26*F26*AH26</f>
        <v>4551.2546529398169</v>
      </c>
      <c r="U26" s="135"/>
      <c r="V26" s="146">
        <f t="shared" si="18"/>
        <v>11.541573776802213</v>
      </c>
      <c r="W26" s="146"/>
      <c r="X26" s="338">
        <f t="shared" si="19"/>
        <v>0</v>
      </c>
      <c r="Y26" s="338">
        <f t="shared" si="20"/>
        <v>0</v>
      </c>
      <c r="Z26" s="338">
        <f t="shared" si="21"/>
        <v>0.47676994727127103</v>
      </c>
      <c r="AA26" s="338">
        <f t="shared" si="22"/>
        <v>-7.6287591542807761E-10</v>
      </c>
      <c r="AB26" s="338">
        <f t="shared" si="23"/>
        <v>0</v>
      </c>
      <c r="AC26" s="338">
        <f t="shared" si="24"/>
        <v>0.47911478117101963</v>
      </c>
      <c r="AF26" s="138">
        <f t="shared" si="25"/>
        <v>1</v>
      </c>
      <c r="AG26" s="138">
        <f t="shared" si="26"/>
        <v>5</v>
      </c>
      <c r="AH26" s="138">
        <f t="shared" si="27"/>
        <v>31</v>
      </c>
      <c r="AI26" s="138">
        <f t="shared" si="51"/>
        <v>135</v>
      </c>
      <c r="AJ26" s="138">
        <f t="shared" si="28"/>
        <v>152</v>
      </c>
      <c r="AL26" s="136">
        <f t="shared" si="29"/>
        <v>2.8959999999999999</v>
      </c>
      <c r="AM26" s="258">
        <f t="shared" si="30"/>
        <v>-2.5000000000000001E-2</v>
      </c>
      <c r="AN26" s="258">
        <f t="shared" si="31"/>
        <v>5.0000000000000001E-3</v>
      </c>
      <c r="AO26" s="258">
        <f t="shared" si="32"/>
        <v>0.75</v>
      </c>
      <c r="AP26" s="258">
        <f t="shared" si="33"/>
        <v>0</v>
      </c>
      <c r="AQ26" s="136">
        <f t="shared" si="34"/>
        <v>3.8399999999999997E-2</v>
      </c>
      <c r="AR26" s="137">
        <f t="shared" si="35"/>
        <v>2.75E-2</v>
      </c>
      <c r="AS26" s="136">
        <f t="shared" si="36"/>
        <v>2.8759999999999999</v>
      </c>
      <c r="AT26" s="137">
        <f t="shared" si="37"/>
        <v>1.9712159578257001E-2</v>
      </c>
      <c r="AU26" s="137">
        <f t="shared" si="38"/>
        <v>0.99202992675126245</v>
      </c>
      <c r="AV26" s="394">
        <f t="shared" si="39"/>
        <v>123.01171091715655</v>
      </c>
      <c r="AW26" s="137">
        <f t="shared" si="40"/>
        <v>0.57750000000000001</v>
      </c>
      <c r="AX26" s="137">
        <f t="shared" si="41"/>
        <v>0.57999999999999996</v>
      </c>
      <c r="AY26" s="137">
        <f t="shared" si="42"/>
        <v>0.57999999999999996</v>
      </c>
      <c r="AZ26" s="137"/>
      <c r="BA26" s="264"/>
      <c r="BB26" s="258">
        <f t="shared" si="43"/>
        <v>0</v>
      </c>
      <c r="BC26" s="258">
        <f t="shared" si="44"/>
        <v>0</v>
      </c>
      <c r="BD26" s="137">
        <f t="shared" si="45"/>
        <v>5.0407485243653127E-6</v>
      </c>
      <c r="BE26" s="137">
        <f t="shared" si="46"/>
        <v>5.0407485243653127E-6</v>
      </c>
      <c r="BF26" s="137">
        <f>_xll.xSPRDOPT($BW26,$BV26,$CG26,0,$BY26,$BX26,$BZ26,$AJ26,1,4)*$CB26</f>
        <v>7.0944078651106492E-7</v>
      </c>
      <c r="BG26" s="137">
        <f>_xll.xSPRDOPT($BW26,$BV26,$CG26,0,$BY26,$BX26,$BZ26,$AJ26,1,3)*$CB26</f>
        <v>7.0944078651106492E-7</v>
      </c>
      <c r="BH26" s="137">
        <f>IF(OR(BF26&lt;&gt;0,BG26&lt;&gt;0),_xll.xSPRDOPT($BW26,$BV26,$CG26,0,$BY26,$BX26,$BZ26,$AJ26,1,12)*$CB26,0)</f>
        <v>-1.0641611797665974E-6</v>
      </c>
      <c r="BI26" s="137">
        <f>_xll.xSPRDOPT($BW26,$BV26,$CG26,2*LN(1+CA26/2),$BY26,$BX26,$BZ26,$AJ26,1,9)</f>
        <v>1.2651861612963656E-2</v>
      </c>
      <c r="BJ26" s="137">
        <f>_xll.xSPRDOPT($BW26,$BV26,$CG26,0,$BY26,$BX26,$BZ26,$AJ26,1,6)*$CB26</f>
        <v>1.4159760189821701E-7</v>
      </c>
      <c r="BK26" s="137">
        <f>_xll.xSPRDOPT($BW26,$BV26,$CG26,0,$BY26,$BX26,$BZ26,$AJ26,1,5)*$CB26</f>
        <v>-1.7458404308057882E-7</v>
      </c>
      <c r="BL26" s="137">
        <f>_xll.xSPRDOPT(BW26,BV26,CG26,0,BY26,BX26,BZ26,AJ26,1,2)*CB26</f>
        <v>-0.99187022567679684</v>
      </c>
      <c r="BM26" s="137">
        <f>_xll.xSPRDOPT(BW26,BV26,CG26,0,BY26,BX26,BZ26,AJ26,1,1)*CB26</f>
        <v>0.99187022568581784</v>
      </c>
      <c r="BN26" s="137">
        <f>IF(AH26&lt;&gt;0,_xll.xSPRDOPT($BW26,$BV26,$CG26,2*LN(1+CA26/2),$BY26,$BX26,$BZ26,$AJ26,1,8)+(AJ26/365.25)*CH26/AH26,0)</f>
        <v>-0.11350086247405494</v>
      </c>
      <c r="BO26" s="137">
        <f>_xll.xSPRDOPT($BW26,$BV26,$CG26,0,$BY26,$BX26,$BZ26,$AJ26,1,0)</f>
        <v>0.65027359745404845</v>
      </c>
      <c r="BP26" s="137"/>
      <c r="BQ26" s="137"/>
      <c r="BR26" s="137"/>
      <c r="BS26" s="137"/>
      <c r="BV26" s="262">
        <v>2.9573264781491</v>
      </c>
      <c r="BW26" s="136">
        <v>3.6459999999999999</v>
      </c>
      <c r="BX26" s="137">
        <v>0.5777529340200096</v>
      </c>
      <c r="BY26" s="137">
        <v>0.5777529340200096</v>
      </c>
      <c r="BZ26" s="137">
        <v>1</v>
      </c>
      <c r="CA26" s="137">
        <v>1.9712159578257001E-2</v>
      </c>
      <c r="CB26" s="137">
        <v>0.99187010954216859</v>
      </c>
      <c r="CC26" s="258">
        <v>-2.5000000000000001E-2</v>
      </c>
      <c r="CD26" s="258">
        <v>5.0000000000000001E-3</v>
      </c>
      <c r="CE26" s="258">
        <v>0.75</v>
      </c>
      <c r="CF26" s="258">
        <v>0</v>
      </c>
      <c r="CG26" s="258">
        <v>3.8399999999999997E-2</v>
      </c>
      <c r="CH26" s="258">
        <v>11.539714415446454</v>
      </c>
      <c r="CI26" s="258">
        <v>2.8959999999999999</v>
      </c>
      <c r="CJ26" s="258"/>
      <c r="CK26" s="258"/>
      <c r="CL26" s="258"/>
      <c r="CM26" s="258"/>
    </row>
    <row r="27" spans="1:91" x14ac:dyDescent="0.25">
      <c r="A27" s="726"/>
      <c r="B27" s="726"/>
      <c r="C27" s="726"/>
      <c r="D27" s="31">
        <f t="shared" si="47"/>
        <v>37422</v>
      </c>
      <c r="F27" s="28">
        <f t="shared" si="12"/>
        <v>148</v>
      </c>
      <c r="G27" s="28">
        <f t="shared" si="13"/>
        <v>146.55480264742349</v>
      </c>
      <c r="H27" s="52">
        <f t="shared" si="14"/>
        <v>3.011311053984576</v>
      </c>
      <c r="I27" s="52">
        <f t="shared" si="15"/>
        <v>3.7960000000000003</v>
      </c>
      <c r="K27" s="52">
        <f t="shared" si="16"/>
        <v>22.170046459711656</v>
      </c>
      <c r="L27" s="135">
        <f t="shared" si="17"/>
        <v>2.5558182379370464E-6</v>
      </c>
      <c r="N27" s="131">
        <f t="shared" si="48"/>
        <v>0.5502663217587267</v>
      </c>
      <c r="O27" s="131">
        <f t="shared" si="49"/>
        <v>0.5502663217587267</v>
      </c>
      <c r="P27" s="55">
        <f t="shared" si="50"/>
        <v>0.99999999999999978</v>
      </c>
      <c r="Q27" s="135">
        <f>_xll.xSPRDOPT(I27,H27,AQ27,0,O27,N27,P27,D27-$G$5,1,0)*AH27*AU27</f>
        <v>22.170049015529894</v>
      </c>
      <c r="R27" s="135"/>
      <c r="S27" s="181">
        <f>_xll.xSPRDOPT(I27,H27,AQ27,AT27,O27,N27,P27,D27-$G$5,1,2)*AF27*(F27/(1-AR27))*AH27</f>
        <v>-4520.7497307931662</v>
      </c>
      <c r="T27" s="181">
        <f>_xll.xSPRDOPT(I27,H27,AQ27,AT27,O27,N27,P27,D27-$G$5,1,1)*AF27*F27*AH27</f>
        <v>4396.4291131640493</v>
      </c>
      <c r="U27" s="135"/>
      <c r="V27" s="146">
        <f t="shared" si="18"/>
        <v>11.149057587887439</v>
      </c>
      <c r="W27" s="146"/>
      <c r="X27" s="338">
        <f t="shared" si="19"/>
        <v>0</v>
      </c>
      <c r="Y27" s="338">
        <f t="shared" si="20"/>
        <v>0</v>
      </c>
      <c r="Z27" s="338">
        <f t="shared" si="21"/>
        <v>0.53653902582898727</v>
      </c>
      <c r="AA27" s="338">
        <f t="shared" si="22"/>
        <v>-8.5788192374373811E-9</v>
      </c>
      <c r="AB27" s="338">
        <f t="shared" si="23"/>
        <v>0</v>
      </c>
      <c r="AC27" s="338">
        <f t="shared" si="24"/>
        <v>0.53921792229785215</v>
      </c>
      <c r="AF27" s="138">
        <f t="shared" si="25"/>
        <v>1</v>
      </c>
      <c r="AG27" s="138">
        <f t="shared" si="26"/>
        <v>6</v>
      </c>
      <c r="AH27" s="138">
        <f t="shared" si="27"/>
        <v>30</v>
      </c>
      <c r="AI27" s="138">
        <f t="shared" si="51"/>
        <v>166</v>
      </c>
      <c r="AJ27" s="138">
        <f t="shared" si="28"/>
        <v>183</v>
      </c>
      <c r="AL27" s="136">
        <f t="shared" si="29"/>
        <v>2.9460000000000002</v>
      </c>
      <c r="AM27" s="258">
        <f t="shared" si="30"/>
        <v>-2.2499999999999999E-2</v>
      </c>
      <c r="AN27" s="258">
        <f t="shared" si="31"/>
        <v>5.0000000000000001E-3</v>
      </c>
      <c r="AO27" s="258">
        <f t="shared" si="32"/>
        <v>0.85</v>
      </c>
      <c r="AP27" s="258">
        <f t="shared" si="33"/>
        <v>0</v>
      </c>
      <c r="AQ27" s="136">
        <f t="shared" si="34"/>
        <v>3.8399999999999997E-2</v>
      </c>
      <c r="AR27" s="137">
        <f t="shared" si="35"/>
        <v>2.75E-2</v>
      </c>
      <c r="AS27" s="136">
        <f t="shared" si="36"/>
        <v>2.9285000000000001</v>
      </c>
      <c r="AT27" s="137">
        <f t="shared" si="37"/>
        <v>2.0011329715354399E-2</v>
      </c>
      <c r="AU27" s="137">
        <f t="shared" si="38"/>
        <v>0.99023515302313159</v>
      </c>
      <c r="AV27" s="394">
        <f t="shared" si="39"/>
        <v>118.82821836277579</v>
      </c>
      <c r="AW27" s="137">
        <f t="shared" si="40"/>
        <v>0.54749999999999999</v>
      </c>
      <c r="AX27" s="137">
        <f t="shared" si="41"/>
        <v>0.57999999999999996</v>
      </c>
      <c r="AY27" s="137">
        <f t="shared" si="42"/>
        <v>0.57999999999999996</v>
      </c>
      <c r="AZ27" s="137"/>
      <c r="BA27" s="264"/>
      <c r="BB27" s="258">
        <f t="shared" si="43"/>
        <v>0</v>
      </c>
      <c r="BC27" s="258">
        <f t="shared" si="44"/>
        <v>0</v>
      </c>
      <c r="BD27" s="137">
        <f t="shared" si="45"/>
        <v>4.4991539458583141E-5</v>
      </c>
      <c r="BE27" s="137">
        <f t="shared" si="46"/>
        <v>4.4991539458583141E-5</v>
      </c>
      <c r="BF27" s="137">
        <f>_xll.xSPRDOPT($BW27,$BV27,$CG27,0,$BY27,$BX27,$BZ27,$AJ27,1,4)*$CB27</f>
        <v>7.0815554810794615E-7</v>
      </c>
      <c r="BG27" s="137">
        <f>_xll.xSPRDOPT($BW27,$BV27,$CG27,0,$BY27,$BX27,$BZ27,$AJ27,1,3)*$CB27</f>
        <v>-2.3605184936931537E-7</v>
      </c>
      <c r="BH27" s="137">
        <f>IF(OR(BF27&lt;&gt;0,BG27&lt;&gt;0),_xll.xSPRDOPT($BW27,$BV27,$CG27,0,$BY27,$BX27,$BZ27,$AJ27,1,12)*$CB27,0)</f>
        <v>1.1802592468465769E-7</v>
      </c>
      <c r="BI27" s="137">
        <f>_xll.xSPRDOPT($BW27,$BV27,$CG27,2*LN(1+CA27/2),$BY27,$BX27,$BZ27,$AJ27,1,9)</f>
        <v>1.471252846727009E-2</v>
      </c>
      <c r="BJ27" s="137">
        <f>_xll.xSPRDOPT($BW27,$BV27,$CG27,0,$BY27,$BX27,$BZ27,$AJ27,1,6)*$CB27</f>
        <v>1.6485491383715763E-7</v>
      </c>
      <c r="BK27" s="137">
        <f>_xll.xSPRDOPT($BW27,$BV27,$CG27,0,$BY27,$BX27,$BZ27,$AJ27,1,5)*$CB27</f>
        <v>-2.0780002125445282E-7</v>
      </c>
      <c r="BL27" s="137">
        <f>_xll.xSPRDOPT(BW27,BV27,CG27,0,BY27,BX27,BZ27,AJ27,1,2)*CB27</f>
        <v>-0.99007333068070036</v>
      </c>
      <c r="BM27" s="137">
        <f>_xll.xSPRDOPT(BW27,BV27,CG27,0,BY27,BX27,BZ27,AJ27,1,1)*CB27</f>
        <v>0.99007333068070036</v>
      </c>
      <c r="BN27" s="137">
        <f>IF(AH27&lt;&gt;0,_xll.xSPRDOPT($BW27,$BV27,$CG27,2*LN(1+CA27/2),$BY27,$BX27,$BZ27,$AJ27,1,8)+(AJ27/365.25)*CH27/AH27,0)</f>
        <v>-0.18403026313317067</v>
      </c>
      <c r="BO27" s="137">
        <f>_xll.xSPRDOPT($BW27,$BV27,$CG27,0,$BY27,$BX27,$BZ27,$AJ27,1,0)</f>
        <v>0.74628903185570195</v>
      </c>
      <c r="BP27" s="137"/>
      <c r="BQ27" s="137"/>
      <c r="BR27" s="137"/>
      <c r="BS27" s="137"/>
      <c r="BV27" s="262">
        <v>3.011311053984576</v>
      </c>
      <c r="BW27" s="136">
        <v>3.7960000000000003</v>
      </c>
      <c r="BX27" s="137">
        <v>0.55022133021926811</v>
      </c>
      <c r="BY27" s="137">
        <v>0.55022133021926811</v>
      </c>
      <c r="BZ27" s="137">
        <v>1</v>
      </c>
      <c r="CA27" s="137">
        <v>2.0011329715354399E-2</v>
      </c>
      <c r="CB27" s="137">
        <v>0.99007321601711695</v>
      </c>
      <c r="CC27" s="258">
        <v>-2.2499999999999999E-2</v>
      </c>
      <c r="CD27" s="258">
        <v>5.0000000000000001E-3</v>
      </c>
      <c r="CE27" s="258">
        <v>0.85</v>
      </c>
      <c r="CF27" s="258">
        <v>0</v>
      </c>
      <c r="CG27" s="258">
        <v>3.8399999999999997E-2</v>
      </c>
      <c r="CH27" s="258">
        <v>11.14723433913672</v>
      </c>
      <c r="CI27" s="258">
        <v>2.9460000000000002</v>
      </c>
      <c r="CJ27" s="258"/>
      <c r="CK27" s="258"/>
      <c r="CL27" s="258"/>
      <c r="CM27" s="258"/>
    </row>
    <row r="28" spans="1:91" x14ac:dyDescent="0.25">
      <c r="A28" s="723"/>
      <c r="B28" s="723"/>
      <c r="D28" s="31">
        <f t="shared" si="47"/>
        <v>37452</v>
      </c>
      <c r="F28" s="28">
        <f t="shared" si="12"/>
        <v>148</v>
      </c>
      <c r="G28" s="28">
        <f t="shared" si="13"/>
        <v>146.28056279066777</v>
      </c>
      <c r="H28" s="52">
        <f t="shared" si="14"/>
        <v>3.0503856041131105</v>
      </c>
      <c r="I28" s="52">
        <f t="shared" si="15"/>
        <v>4.0339999999999998</v>
      </c>
      <c r="K28" s="52">
        <f t="shared" si="16"/>
        <v>28.961225050225888</v>
      </c>
      <c r="L28" s="135">
        <f t="shared" si="17"/>
        <v>3.2700239991356739E-6</v>
      </c>
      <c r="N28" s="131">
        <f t="shared" si="48"/>
        <v>0.54938596714727361</v>
      </c>
      <c r="O28" s="131">
        <f t="shared" si="49"/>
        <v>0.54938596714727361</v>
      </c>
      <c r="P28" s="55">
        <f t="shared" si="50"/>
        <v>0.99999999999999978</v>
      </c>
      <c r="Q28" s="135">
        <f>_xll.xSPRDOPT(I28,H28,AQ28,0,O28,N28,P28,D28-$G$5,1,0)*AH28*AU28</f>
        <v>28.961228320249887</v>
      </c>
      <c r="R28" s="135"/>
      <c r="S28" s="181">
        <f>_xll.xSPRDOPT(I28,H28,AQ28,AT28,O28,N28,P28,D28-$G$5,1,2)*AF28*(F28/(1-AR28))*AH28</f>
        <v>-4662.6506849446232</v>
      </c>
      <c r="T28" s="181">
        <f>_xll.xSPRDOPT(I28,H28,AQ28,AT28,O28,N28,P28,D28-$G$5,1,1)*AF28*F28*AH28</f>
        <v>4534.4277911336831</v>
      </c>
      <c r="U28" s="135"/>
      <c r="V28" s="146">
        <f t="shared" si="18"/>
        <v>11.499134808618015</v>
      </c>
      <c r="W28" s="146"/>
      <c r="X28" s="338">
        <f t="shared" si="19"/>
        <v>0</v>
      </c>
      <c r="Y28" s="338">
        <f t="shared" si="20"/>
        <v>0</v>
      </c>
      <c r="Z28" s="338">
        <f t="shared" si="21"/>
        <v>0.71543223419115132</v>
      </c>
      <c r="AA28" s="338">
        <f t="shared" si="22"/>
        <v>-2.7383432035813271E-8</v>
      </c>
      <c r="AB28" s="338">
        <f t="shared" si="23"/>
        <v>0</v>
      </c>
      <c r="AC28" s="338">
        <f t="shared" si="24"/>
        <v>0.71907875879469041</v>
      </c>
      <c r="AF28" s="138">
        <f t="shared" si="25"/>
        <v>1</v>
      </c>
      <c r="AG28" s="138">
        <f t="shared" si="26"/>
        <v>7</v>
      </c>
      <c r="AH28" s="138">
        <f t="shared" si="27"/>
        <v>31</v>
      </c>
      <c r="AI28" s="138">
        <f t="shared" si="51"/>
        <v>196</v>
      </c>
      <c r="AJ28" s="138">
        <f t="shared" si="28"/>
        <v>213</v>
      </c>
      <c r="AL28" s="136">
        <f t="shared" si="29"/>
        <v>2.984</v>
      </c>
      <c r="AM28" s="258">
        <f t="shared" si="30"/>
        <v>-2.2499999999999999E-2</v>
      </c>
      <c r="AN28" s="258">
        <f t="shared" si="31"/>
        <v>5.0000000000000001E-3</v>
      </c>
      <c r="AO28" s="258">
        <f t="shared" si="32"/>
        <v>1.05</v>
      </c>
      <c r="AP28" s="258">
        <f t="shared" si="33"/>
        <v>0</v>
      </c>
      <c r="AQ28" s="136">
        <f t="shared" si="34"/>
        <v>3.8399999999999997E-2</v>
      </c>
      <c r="AR28" s="137">
        <f t="shared" si="35"/>
        <v>2.75E-2</v>
      </c>
      <c r="AS28" s="136">
        <f t="shared" si="36"/>
        <v>2.9664999999999999</v>
      </c>
      <c r="AT28" s="137">
        <f t="shared" si="37"/>
        <v>2.0428629809483099E-2</v>
      </c>
      <c r="AU28" s="137">
        <f t="shared" si="38"/>
        <v>0.98838218101802544</v>
      </c>
      <c r="AV28" s="394">
        <f t="shared" si="39"/>
        <v>122.55939044623516</v>
      </c>
      <c r="AW28" s="137">
        <f t="shared" si="40"/>
        <v>0.54249999999999998</v>
      </c>
      <c r="AX28" s="137">
        <f t="shared" si="41"/>
        <v>0.63</v>
      </c>
      <c r="AY28" s="137">
        <f t="shared" si="42"/>
        <v>0.63</v>
      </c>
      <c r="AZ28" s="137"/>
      <c r="BA28" s="264"/>
      <c r="BB28" s="258">
        <f t="shared" si="43"/>
        <v>0</v>
      </c>
      <c r="BC28" s="258">
        <f t="shared" si="44"/>
        <v>0</v>
      </c>
      <c r="BD28" s="137">
        <f t="shared" si="45"/>
        <v>9.5712015904636516E-5</v>
      </c>
      <c r="BE28" s="137">
        <f t="shared" si="46"/>
        <v>9.5712015904636516E-5</v>
      </c>
      <c r="BF28" s="137">
        <f>_xll.xSPRDOPT($BW28,$BV28,$CG28,0,$BY28,$BX28,$BZ28,$AJ28,1,4)*$CB28</f>
        <v>-2.3560933918970302E-7</v>
      </c>
      <c r="BG28" s="137">
        <f>_xll.xSPRDOPT($BW28,$BV28,$CG28,0,$BY28,$BX28,$BZ28,$AJ28,1,3)*$CB28</f>
        <v>-7.068280175691092E-7</v>
      </c>
      <c r="BH28" s="137">
        <f>IF(OR(BF28&lt;&gt;0,BG28&lt;&gt;0),_xll.xSPRDOPT($BW28,$BV28,$CG28,0,$BY28,$BX28,$BZ28,$AJ28,1,12)*$CB28,0)</f>
        <v>5.890233479742577E-7</v>
      </c>
      <c r="BI28" s="137">
        <f>_xll.xSPRDOPT($BW28,$BV28,$CG28,2*LN(1+CA28/2),$BY28,$BX28,$BZ28,$AJ28,1,9)</f>
        <v>1.8985151375931274E-2</v>
      </c>
      <c r="BJ28" s="137">
        <f>_xll.xSPRDOPT($BW28,$BV28,$CG28,0,$BY28,$BX28,$BZ28,$AJ28,1,6)*$CB28</f>
        <v>1.9326290300620628E-7</v>
      </c>
      <c r="BK28" s="137">
        <f>_xll.xSPRDOPT($BW28,$BV28,$CG28,0,$BY28,$BX28,$BZ28,$AJ28,1,5)*$CB28</f>
        <v>-2.5562173982767106E-7</v>
      </c>
      <c r="BL28" s="137">
        <f>_xll.xSPRDOPT(BW28,BV28,CG28,0,BY28,BX28,BZ28,AJ28,1,2)*CB28</f>
        <v>-0.98821730583883638</v>
      </c>
      <c r="BM28" s="137">
        <f>_xll.xSPRDOPT(BW28,BV28,CG28,0,BY28,BX28,BZ28,AJ28,1,1)*CB28</f>
        <v>0.9882173058424315</v>
      </c>
      <c r="BN28" s="137">
        <f>IF(AH28&lt;&gt;0,_xll.xSPRDOPT($BW28,$BV28,$CG28,2*LN(1+CA28/2),$BY28,$BX28,$BZ28,$AJ28,1,8)+(AJ28/365.25)*CH28/AH28,0)</f>
        <v>-0.3284365587447014</v>
      </c>
      <c r="BO28" s="137">
        <f>_xll.xSPRDOPT($BW28,$BV28,$CG28,0,$BY28,$BX28,$BZ28,$AJ28,1,0)</f>
        <v>0.94521450237341553</v>
      </c>
      <c r="BP28" s="137"/>
      <c r="BQ28" s="137"/>
      <c r="BR28" s="137"/>
      <c r="BS28" s="137"/>
      <c r="BV28" s="262">
        <v>3.0503856041131105</v>
      </c>
      <c r="BW28" s="136">
        <v>4.0339999999999998</v>
      </c>
      <c r="BX28" s="137">
        <v>0.54929025513136898</v>
      </c>
      <c r="BY28" s="137">
        <v>0.54929025513136898</v>
      </c>
      <c r="BZ28" s="137">
        <v>1</v>
      </c>
      <c r="CA28" s="137">
        <v>2.0428629809483099E-2</v>
      </c>
      <c r="CB28" s="137">
        <v>0.98821719380072837</v>
      </c>
      <c r="CC28" s="258">
        <v>-2.2499999999999999E-2</v>
      </c>
      <c r="CD28" s="258">
        <v>5.0000000000000001E-3</v>
      </c>
      <c r="CE28" s="258">
        <v>1.05</v>
      </c>
      <c r="CF28" s="258">
        <v>0</v>
      </c>
      <c r="CG28" s="258">
        <v>3.8399999999999997E-2</v>
      </c>
      <c r="CH28" s="258">
        <v>11.497215297835815</v>
      </c>
      <c r="CI28" s="258">
        <v>2.984</v>
      </c>
      <c r="CJ28" s="258"/>
      <c r="CK28" s="258"/>
      <c r="CL28" s="258"/>
      <c r="CM28" s="258"/>
    </row>
    <row r="29" spans="1:91" x14ac:dyDescent="0.25">
      <c r="A29" s="723"/>
      <c r="B29" s="723"/>
      <c r="D29" s="31">
        <f t="shared" si="47"/>
        <v>37483</v>
      </c>
      <c r="F29" s="28">
        <f t="shared" si="12"/>
        <v>148</v>
      </c>
      <c r="G29" s="28">
        <f t="shared" si="13"/>
        <v>145.96776411427464</v>
      </c>
      <c r="H29" s="52">
        <f t="shared" si="14"/>
        <v>3.0935732647814906</v>
      </c>
      <c r="I29" s="52">
        <f t="shared" si="15"/>
        <v>4.0759999999999996</v>
      </c>
      <c r="K29" s="52">
        <f t="shared" si="16"/>
        <v>28.86298395893424</v>
      </c>
      <c r="L29" s="135">
        <f t="shared" si="17"/>
        <v>3.1805929481265593E-6</v>
      </c>
      <c r="N29" s="131">
        <f t="shared" si="48"/>
        <v>0.55001555741820785</v>
      </c>
      <c r="O29" s="131">
        <f t="shared" si="49"/>
        <v>0.55001555741820785</v>
      </c>
      <c r="P29" s="55">
        <f t="shared" si="50"/>
        <v>1</v>
      </c>
      <c r="Q29" s="135">
        <f>_xll.xSPRDOPT(I29,H29,AQ29,0,O29,N29,P29,D29-$G$5,1,0)*AH29*AU29</f>
        <v>28.862987139527188</v>
      </c>
      <c r="R29" s="135"/>
      <c r="S29" s="181">
        <f>_xll.xSPRDOPT(I29,H29,AQ29,AT29,O29,N29,P29,D29-$G$5,1,2)*AF29*(F29/(1-AR29))*AH29</f>
        <v>-4652.619326663078</v>
      </c>
      <c r="T29" s="181">
        <f>_xll.xSPRDOPT(I29,H29,AQ29,AT29,O29,N29,P29,D29-$G$5,1,1)*AF29*F29*AH29</f>
        <v>4524.672295246608</v>
      </c>
      <c r="U29" s="135"/>
      <c r="V29" s="146">
        <f t="shared" si="18"/>
        <v>11.474545662396659</v>
      </c>
      <c r="W29" s="146"/>
      <c r="X29" s="338">
        <f t="shared" si="19"/>
        <v>0</v>
      </c>
      <c r="Y29" s="338">
        <f t="shared" si="20"/>
        <v>0</v>
      </c>
      <c r="Z29" s="338">
        <f t="shared" si="21"/>
        <v>0.73509662285953759</v>
      </c>
      <c r="AA29" s="338">
        <f t="shared" si="22"/>
        <v>-3.9569891878523069E-8</v>
      </c>
      <c r="AB29" s="338">
        <f t="shared" si="23"/>
        <v>0</v>
      </c>
      <c r="AC29" s="338">
        <f t="shared" si="24"/>
        <v>0.73895995886933019</v>
      </c>
      <c r="AF29" s="138">
        <f t="shared" si="25"/>
        <v>1</v>
      </c>
      <c r="AG29" s="138">
        <f t="shared" si="26"/>
        <v>8</v>
      </c>
      <c r="AH29" s="138">
        <f t="shared" si="27"/>
        <v>31</v>
      </c>
      <c r="AI29" s="138">
        <f t="shared" si="51"/>
        <v>227</v>
      </c>
      <c r="AJ29" s="138">
        <f t="shared" si="28"/>
        <v>244</v>
      </c>
      <c r="AL29" s="136">
        <f t="shared" si="29"/>
        <v>3.0259999999999998</v>
      </c>
      <c r="AM29" s="258">
        <f t="shared" si="30"/>
        <v>-2.2499999999999999E-2</v>
      </c>
      <c r="AN29" s="258">
        <f t="shared" si="31"/>
        <v>5.0000000000000001E-3</v>
      </c>
      <c r="AO29" s="258">
        <f t="shared" si="32"/>
        <v>1.05</v>
      </c>
      <c r="AP29" s="258">
        <f t="shared" si="33"/>
        <v>0</v>
      </c>
      <c r="AQ29" s="136">
        <f t="shared" si="34"/>
        <v>3.8399999999999997E-2</v>
      </c>
      <c r="AR29" s="137">
        <f t="shared" si="35"/>
        <v>2.75E-2</v>
      </c>
      <c r="AS29" s="136">
        <f t="shared" si="36"/>
        <v>3.0084999999999997</v>
      </c>
      <c r="AT29" s="137">
        <f t="shared" si="37"/>
        <v>2.1065008234303999E-2</v>
      </c>
      <c r="AU29" s="137">
        <f t="shared" si="38"/>
        <v>0.98626867644780158</v>
      </c>
      <c r="AV29" s="394">
        <f t="shared" si="39"/>
        <v>122.2973158795274</v>
      </c>
      <c r="AW29" s="137">
        <f t="shared" si="40"/>
        <v>0.54</v>
      </c>
      <c r="AX29" s="137">
        <f t="shared" si="41"/>
        <v>0.68</v>
      </c>
      <c r="AY29" s="137">
        <f t="shared" si="42"/>
        <v>0.68</v>
      </c>
      <c r="AZ29" s="137"/>
      <c r="BA29" s="264"/>
      <c r="BB29" s="258">
        <f t="shared" si="43"/>
        <v>0</v>
      </c>
      <c r="BC29" s="258">
        <f t="shared" si="44"/>
        <v>0</v>
      </c>
      <c r="BD29" s="137">
        <f t="shared" si="45"/>
        <v>1.2128874378558585E-4</v>
      </c>
      <c r="BE29" s="137">
        <f t="shared" si="46"/>
        <v>1.2128874378558585E-4</v>
      </c>
      <c r="BF29" s="137">
        <f>_xll.xSPRDOPT($BW29,$BV29,$CG29,0,$BY29,$BX29,$BZ29,$AJ29,1,4)*$CB29</f>
        <v>2.1159387745885255E-6</v>
      </c>
      <c r="BG29" s="137">
        <f>_xll.xSPRDOPT($BW29,$BV29,$CG29,0,$BY29,$BX29,$BZ29,$AJ29,1,3)*$CB29</f>
        <v>1.1755215414380697E-6</v>
      </c>
      <c r="BH29" s="137">
        <f>IF(OR(BF29&lt;&gt;0,BG29&lt;&gt;0),_xll.xSPRDOPT($BW29,$BV29,$CG29,0,$BY29,$BX29,$BZ29,$AJ29,1,12)*$CB29,0)</f>
        <v>-1.4106258497256838E-6</v>
      </c>
      <c r="BI29" s="137">
        <f>_xll.xSPRDOPT($BW29,$BV29,$CG29,2*LN(1+CA29/2),$BY29,$BX29,$BZ29,$AJ29,1,9)</f>
        <v>1.9506977731723777E-2</v>
      </c>
      <c r="BJ29" s="137">
        <f>_xll.xSPRDOPT($BW29,$BV29,$CG29,0,$BY29,$BX29,$BZ29,$AJ29,1,6)*$CB29</f>
        <v>2.2381752470980447E-7</v>
      </c>
      <c r="BK29" s="137">
        <f>_xll.xSPRDOPT($BW29,$BV29,$CG29,0,$BY29,$BX29,$BZ29,$AJ29,1,5)*$CB29</f>
        <v>-2.9492593283428618E-7</v>
      </c>
      <c r="BL29" s="137">
        <f>_xll.xSPRDOPT(BW29,BV29,CG29,0,BY29,BX29,BZ29,AJ29,1,2)*CB29</f>
        <v>-0.98609904990092956</v>
      </c>
      <c r="BM29" s="137">
        <f>_xll.xSPRDOPT(BW29,BV29,CG29,0,BY29,BX29,BZ29,AJ29,1,1)*CB29</f>
        <v>0.98609904991169173</v>
      </c>
      <c r="BN29" s="137">
        <f>IF(AH29&lt;&gt;0,_xll.xSPRDOPT($BW29,$BV29,$CG29,2*LN(1+CA29/2),$BY29,$BX29,$BZ29,$AJ29,1,8)+(AJ29/365.25)*CH29/AH29,0)</f>
        <v>-0.37464834433630884</v>
      </c>
      <c r="BO29" s="137">
        <f>_xll.xSPRDOPT($BW29,$BV29,$CG29,0,$BY29,$BX29,$BZ29,$AJ29,1,0)</f>
        <v>0.94402683901165674</v>
      </c>
      <c r="BP29" s="137"/>
      <c r="BQ29" s="137"/>
      <c r="BR29" s="137"/>
      <c r="BS29" s="137"/>
      <c r="BV29" s="262">
        <v>3.0935732647814906</v>
      </c>
      <c r="BW29" s="136">
        <v>4.0759999999999996</v>
      </c>
      <c r="BX29" s="137">
        <v>0.54989426867442226</v>
      </c>
      <c r="BY29" s="137">
        <v>0.54989426867442226</v>
      </c>
      <c r="BZ29" s="137">
        <v>1</v>
      </c>
      <c r="CA29" s="137">
        <v>2.1065008234303999E-2</v>
      </c>
      <c r="CB29" s="137">
        <v>0.98609894066797232</v>
      </c>
      <c r="CC29" s="258">
        <v>-2.2499999999999999E-2</v>
      </c>
      <c r="CD29" s="258">
        <v>5.0000000000000001E-3</v>
      </c>
      <c r="CE29" s="258">
        <v>1.05</v>
      </c>
      <c r="CF29" s="258">
        <v>0</v>
      </c>
      <c r="CG29" s="258">
        <v>3.8399999999999997E-2</v>
      </c>
      <c r="CH29" s="258">
        <v>11.472570905413392</v>
      </c>
      <c r="CI29" s="258">
        <v>3.0259999999999998</v>
      </c>
      <c r="CJ29" s="258"/>
      <c r="CK29" s="258"/>
      <c r="CL29" s="258"/>
      <c r="CM29" s="258"/>
    </row>
    <row r="30" spans="1:91" x14ac:dyDescent="0.25">
      <c r="A30" s="723"/>
      <c r="B30" s="723"/>
      <c r="D30" s="31">
        <f t="shared" si="47"/>
        <v>37514</v>
      </c>
      <c r="F30" s="28">
        <f t="shared" si="12"/>
        <v>148</v>
      </c>
      <c r="G30" s="28">
        <f t="shared" si="13"/>
        <v>145.64008399200219</v>
      </c>
      <c r="H30" s="52">
        <f t="shared" si="14"/>
        <v>3.0802056555269921</v>
      </c>
      <c r="I30" s="52">
        <f t="shared" si="15"/>
        <v>3.7679999999999998</v>
      </c>
      <c r="K30" s="52">
        <f t="shared" si="16"/>
        <v>19.171185176955412</v>
      </c>
      <c r="L30" s="135">
        <f t="shared" si="17"/>
        <v>2.0559613851389713E-6</v>
      </c>
      <c r="N30" s="131">
        <f t="shared" si="48"/>
        <v>0.54862064797509713</v>
      </c>
      <c r="O30" s="131">
        <f t="shared" si="49"/>
        <v>0.54862064797509713</v>
      </c>
      <c r="P30" s="55">
        <f t="shared" si="50"/>
        <v>1</v>
      </c>
      <c r="Q30" s="135">
        <f>_xll.xSPRDOPT(I30,H30,AQ30,0,O30,N30,P30,D30-$G$5,1,0)*AH30*AU30</f>
        <v>19.171187232916797</v>
      </c>
      <c r="R30" s="135"/>
      <c r="S30" s="181">
        <f>_xll.xSPRDOPT(I30,H30,AQ30,AT30,O30,N30,P30,D30-$G$5,1,2)*AF30*(F30/(1-AR30))*AH30</f>
        <v>-4492.3626460667083</v>
      </c>
      <c r="T30" s="181">
        <f>_xll.xSPRDOPT(I30,H30,AQ30,AT30,O30,N30,P30,D30-$G$5,1,1)*AF30*F30*AH30</f>
        <v>4368.8226733644842</v>
      </c>
      <c r="U30" s="135"/>
      <c r="V30" s="146">
        <f t="shared" si="18"/>
        <v>11.07947098422941</v>
      </c>
      <c r="W30" s="146"/>
      <c r="X30" s="338">
        <f t="shared" si="19"/>
        <v>0</v>
      </c>
      <c r="Y30" s="338">
        <f t="shared" si="20"/>
        <v>0</v>
      </c>
      <c r="Z30" s="338">
        <f t="shared" si="21"/>
        <v>0.50292968215486944</v>
      </c>
      <c r="AA30" s="338">
        <f t="shared" si="22"/>
        <v>-2.2833145809940471E-8</v>
      </c>
      <c r="AB30" s="338">
        <f t="shared" si="23"/>
        <v>0</v>
      </c>
      <c r="AC30" s="338">
        <f t="shared" si="24"/>
        <v>0.50565260357477693</v>
      </c>
      <c r="AF30" s="138">
        <f t="shared" si="25"/>
        <v>1</v>
      </c>
      <c r="AG30" s="138">
        <f t="shared" si="26"/>
        <v>9</v>
      </c>
      <c r="AH30" s="138">
        <f t="shared" si="27"/>
        <v>30</v>
      </c>
      <c r="AI30" s="138">
        <f t="shared" si="51"/>
        <v>258</v>
      </c>
      <c r="AJ30" s="138">
        <f t="shared" si="28"/>
        <v>275</v>
      </c>
      <c r="AL30" s="136">
        <f t="shared" si="29"/>
        <v>3.0179999999999998</v>
      </c>
      <c r="AM30" s="258">
        <f t="shared" si="30"/>
        <v>-2.75E-2</v>
      </c>
      <c r="AN30" s="258">
        <f t="shared" si="31"/>
        <v>5.0000000000000001E-3</v>
      </c>
      <c r="AO30" s="258">
        <f t="shared" si="32"/>
        <v>0.75</v>
      </c>
      <c r="AP30" s="258">
        <f t="shared" si="33"/>
        <v>0</v>
      </c>
      <c r="AQ30" s="136">
        <f t="shared" si="34"/>
        <v>3.8399999999999997E-2</v>
      </c>
      <c r="AR30" s="137">
        <f t="shared" si="35"/>
        <v>2.75E-2</v>
      </c>
      <c r="AS30" s="136">
        <f t="shared" si="36"/>
        <v>2.9954999999999998</v>
      </c>
      <c r="AT30" s="137">
        <f t="shared" si="37"/>
        <v>2.1701386796276499E-2</v>
      </c>
      <c r="AU30" s="137">
        <f t="shared" si="38"/>
        <v>0.98405462156758228</v>
      </c>
      <c r="AV30" s="394">
        <f t="shared" si="39"/>
        <v>118.08655458810988</v>
      </c>
      <c r="AW30" s="137">
        <f t="shared" si="40"/>
        <v>0.54</v>
      </c>
      <c r="AX30" s="137">
        <f t="shared" si="41"/>
        <v>0.68</v>
      </c>
      <c r="AY30" s="137">
        <f t="shared" si="42"/>
        <v>0.68</v>
      </c>
      <c r="AZ30" s="137"/>
      <c r="BA30" s="264"/>
      <c r="BB30" s="258">
        <f t="shared" si="43"/>
        <v>0</v>
      </c>
      <c r="BC30" s="258">
        <f t="shared" si="44"/>
        <v>0</v>
      </c>
      <c r="BD30" s="137">
        <f t="shared" si="45"/>
        <v>9.2974383643640301E-5</v>
      </c>
      <c r="BE30" s="137">
        <f t="shared" si="46"/>
        <v>9.2974383643640301E-5</v>
      </c>
      <c r="BF30" s="137">
        <f>_xll.xSPRDOPT($BW30,$BV30,$CG30,0,$BY30,$BX30,$BZ30,$AJ30,1,4)*$CB30</f>
        <v>-1.1728765708700116E-6</v>
      </c>
      <c r="BG30" s="137">
        <f>_xll.xSPRDOPT($BW30,$BV30,$CG30,0,$BY30,$BX30,$BZ30,$AJ30,1,3)*$CB30</f>
        <v>-7.0372594252200694E-7</v>
      </c>
      <c r="BH30" s="137">
        <f>IF(OR(BF30&lt;&gt;0,BG30&lt;&gt;0),_xll.xSPRDOPT($BW30,$BV30,$CG30,0,$BY30,$BX30,$BZ30,$AJ30,1,12)*$CB30,0)</f>
        <v>2.3457531417400232E-7</v>
      </c>
      <c r="BI30" s="137">
        <f>_xll.xSPRDOPT($BW30,$BV30,$CG30,2*LN(1+CA30/2),$BY30,$BX30,$BZ30,$AJ30,1,9)</f>
        <v>1.3790920901431386E-2</v>
      </c>
      <c r="BJ30" s="137">
        <f>_xll.xSPRDOPT($BW30,$BV30,$CG30,0,$BY30,$BX30,$BZ30,$AJ30,1,6)*$CB30</f>
        <v>2.4767827273857163E-7</v>
      </c>
      <c r="BK30" s="137">
        <f>_xll.xSPRDOPT($BW30,$BV30,$CG30,0,$BY30,$BX30,$BZ30,$AJ30,1,5)*$CB30</f>
        <v>-3.0299028671604763E-7</v>
      </c>
      <c r="BL30" s="137">
        <f>_xll.xSPRDOPT(BW30,BV30,CG30,0,BY30,BX30,BZ30,AJ30,1,2)*CB30</f>
        <v>-0.98388028500860125</v>
      </c>
      <c r="BM30" s="137">
        <f>_xll.xSPRDOPT(BW30,BV30,CG30,0,BY30,BX30,BZ30,AJ30,1,1)*CB30</f>
        <v>0.98388028502470826</v>
      </c>
      <c r="BN30" s="137">
        <f>IF(AH30&lt;&gt;0,_xll.xSPRDOPT($BW30,$BV30,$CG30,2*LN(1+CA30/2),$BY30,$BX30,$BZ30,$AJ30,1,8)+(AJ30/365.25)*CH30/AH30,0)</f>
        <v>-0.20304152431926026</v>
      </c>
      <c r="BO30" s="137">
        <f>_xll.xSPRDOPT($BW30,$BV30,$CG30,0,$BY30,$BX30,$BZ30,$AJ30,1,0)</f>
        <v>0.64939441395251196</v>
      </c>
      <c r="BP30" s="137"/>
      <c r="BQ30" s="137"/>
      <c r="BR30" s="137"/>
      <c r="BS30" s="137"/>
      <c r="BV30" s="262">
        <v>3.0802056555269921</v>
      </c>
      <c r="BW30" s="136">
        <v>3.7679999999999998</v>
      </c>
      <c r="BX30" s="137">
        <v>0.54852767359145349</v>
      </c>
      <c r="BY30" s="137">
        <v>0.54852767359145349</v>
      </c>
      <c r="BZ30" s="137">
        <v>1</v>
      </c>
      <c r="CA30" s="137">
        <v>2.1701386796276499E-2</v>
      </c>
      <c r="CB30" s="137">
        <v>0.98388017854127463</v>
      </c>
      <c r="CC30" s="258">
        <v>-2.75E-2</v>
      </c>
      <c r="CD30" s="258">
        <v>5.0000000000000001E-3</v>
      </c>
      <c r="CE30" s="258">
        <v>0.75</v>
      </c>
      <c r="CF30" s="258">
        <v>0</v>
      </c>
      <c r="CG30" s="258">
        <v>3.8399999999999997E-2</v>
      </c>
      <c r="CH30" s="258">
        <v>11.077506930196211</v>
      </c>
      <c r="CI30" s="258">
        <v>3.0179999999999998</v>
      </c>
      <c r="CJ30" s="258"/>
      <c r="CK30" s="258"/>
      <c r="CL30" s="258"/>
      <c r="CM30" s="258"/>
    </row>
    <row r="31" spans="1:91" x14ac:dyDescent="0.25">
      <c r="A31" s="723"/>
      <c r="B31" s="723"/>
      <c r="D31" s="31">
        <f t="shared" si="47"/>
        <v>37544</v>
      </c>
      <c r="F31" s="28">
        <f t="shared" si="12"/>
        <v>230</v>
      </c>
      <c r="G31" s="28">
        <f t="shared" si="13"/>
        <v>225.80074131463252</v>
      </c>
      <c r="H31" s="52">
        <f t="shared" si="14"/>
        <v>3.0935732647814911</v>
      </c>
      <c r="I31" s="52">
        <f t="shared" si="15"/>
        <v>3.4810000000000003</v>
      </c>
      <c r="K31" s="52">
        <f t="shared" si="16"/>
        <v>10.622284182956198</v>
      </c>
      <c r="L31" s="135">
        <f t="shared" si="17"/>
        <v>1.8258840519536079E-6</v>
      </c>
      <c r="N31" s="131">
        <f t="shared" si="48"/>
        <v>0.55129247567847639</v>
      </c>
      <c r="O31" s="131">
        <f t="shared" si="49"/>
        <v>0.55129247567847639</v>
      </c>
      <c r="P31" s="55">
        <f t="shared" si="50"/>
        <v>1</v>
      </c>
      <c r="Q31" s="135">
        <f>_xll.xSPRDOPT(I31,H31,AQ31,0,O31,N31,P31,D31-$G$5,1,0)*AH31*AU31</f>
        <v>10.62228600884025</v>
      </c>
      <c r="R31" s="135"/>
      <c r="S31" s="181">
        <f>_xll.xSPRDOPT(I31,H31,AQ31,AT31,O31,N31,P31,D31-$G$5,1,2)*AF31*(F31/(1-AR31))*AH31</f>
        <v>-7197.0174374238832</v>
      </c>
      <c r="T31" s="181">
        <f>_xll.xSPRDOPT(I31,H31,AQ31,AT31,O31,N31,P31,D31-$G$5,1,1)*AF31*F31*AH31</f>
        <v>6999.0994580373899</v>
      </c>
      <c r="U31" s="135"/>
      <c r="V31" s="146">
        <f t="shared" si="18"/>
        <v>11.421885063812303</v>
      </c>
      <c r="W31" s="146"/>
      <c r="X31" s="338">
        <f t="shared" si="19"/>
        <v>0</v>
      </c>
      <c r="Y31" s="338">
        <f t="shared" si="20"/>
        <v>0</v>
      </c>
      <c r="Z31" s="338">
        <f t="shared" si="21"/>
        <v>0.4471023356528171</v>
      </c>
      <c r="AA31" s="338">
        <f t="shared" si="22"/>
        <v>5.6480538918663655E-7</v>
      </c>
      <c r="AB31" s="338">
        <f t="shared" si="23"/>
        <v>0</v>
      </c>
      <c r="AC31" s="338">
        <f t="shared" si="24"/>
        <v>0.44961666525825839</v>
      </c>
      <c r="AF31" s="138">
        <f t="shared" si="25"/>
        <v>1</v>
      </c>
      <c r="AG31" s="138">
        <f t="shared" si="26"/>
        <v>10</v>
      </c>
      <c r="AH31" s="138">
        <f t="shared" si="27"/>
        <v>31</v>
      </c>
      <c r="AI31" s="138">
        <f t="shared" si="51"/>
        <v>288</v>
      </c>
      <c r="AJ31" s="138">
        <f t="shared" si="28"/>
        <v>305</v>
      </c>
      <c r="AL31" s="136">
        <f t="shared" si="29"/>
        <v>3.0310000000000001</v>
      </c>
      <c r="AM31" s="258">
        <f t="shared" si="30"/>
        <v>-2.75E-2</v>
      </c>
      <c r="AN31" s="258">
        <f t="shared" si="31"/>
        <v>5.0000000000000001E-3</v>
      </c>
      <c r="AO31" s="258">
        <f t="shared" si="32"/>
        <v>0.45</v>
      </c>
      <c r="AP31" s="258">
        <f t="shared" si="33"/>
        <v>0</v>
      </c>
      <c r="AQ31" s="136">
        <f t="shared" si="34"/>
        <v>3.8399999999999997E-2</v>
      </c>
      <c r="AR31" s="137">
        <f t="shared" si="35"/>
        <v>2.75E-2</v>
      </c>
      <c r="AS31" s="136">
        <f t="shared" si="36"/>
        <v>3.0085000000000002</v>
      </c>
      <c r="AT31" s="137">
        <f t="shared" si="37"/>
        <v>2.2410164045373999E-2</v>
      </c>
      <c r="AU31" s="137">
        <f t="shared" si="38"/>
        <v>0.98174235354188055</v>
      </c>
      <c r="AV31" s="394">
        <f t="shared" si="39"/>
        <v>213.03809071858808</v>
      </c>
      <c r="AW31" s="137">
        <f t="shared" si="40"/>
        <v>0.54</v>
      </c>
      <c r="AX31" s="137">
        <f t="shared" si="41"/>
        <v>0.73</v>
      </c>
      <c r="AY31" s="137">
        <f t="shared" si="42"/>
        <v>0.73</v>
      </c>
      <c r="AZ31" s="137"/>
      <c r="BA31" s="264"/>
      <c r="BB31" s="258">
        <f t="shared" si="43"/>
        <v>0</v>
      </c>
      <c r="BC31" s="258">
        <f t="shared" si="44"/>
        <v>0</v>
      </c>
      <c r="BD31" s="137">
        <f t="shared" si="45"/>
        <v>1.0940877027609819E-4</v>
      </c>
      <c r="BE31" s="137">
        <f t="shared" si="46"/>
        <v>1.0940877027609819E-4</v>
      </c>
      <c r="BF31" s="137">
        <f>_xll.xSPRDOPT($BW31,$BV31,$CG31,0,$BY31,$BX31,$BZ31,$AJ31,1,4)*$CB31</f>
        <v>1.170113883588594E-6</v>
      </c>
      <c r="BG31" s="137">
        <f>_xll.xSPRDOPT($BW31,$BV31,$CG31,0,$BY31,$BX31,$BZ31,$AJ31,1,3)*$CB31</f>
        <v>8.1907971851201578E-7</v>
      </c>
      <c r="BH31" s="137">
        <f>IF(OR(BF31&lt;&gt;0,BG31&lt;&gt;0),_xll.xSPRDOPT($BW31,$BV31,$CG31,0,$BY31,$BX31,$BZ31,$AJ31,1,12)*$CB31,0)</f>
        <v>-8.1907971851201578E-7</v>
      </c>
      <c r="BI31" s="137">
        <f>_xll.xSPRDOPT($BW31,$BV31,$CG31,2*LN(1+CA31/2),$BY31,$BX31,$BZ31,$AJ31,1,9)</f>
        <v>7.634601594071597E-3</v>
      </c>
      <c r="BJ31" s="137">
        <f>_xll.xSPRDOPT($BW31,$BV31,$CG31,0,$BY31,$BX31,$BZ31,$AJ31,1,6)*$CB31</f>
        <v>-5.7814020953495281E-6</v>
      </c>
      <c r="BK31" s="137">
        <f>_xll.xSPRDOPT($BW31,$BV31,$CG31,0,$BY31,$BX31,$BZ31,$AJ31,1,5)*$CB31</f>
        <v>6.5054331022058244E-6</v>
      </c>
      <c r="BL31" s="137">
        <f>_xll.xSPRDOPT(BW31,BV31,CG31,0,BY31,BX31,BZ31,AJ31,1,2)*CB31</f>
        <v>-0.98156235381729973</v>
      </c>
      <c r="BM31" s="137">
        <f>_xll.xSPRDOPT(BW31,BV31,CG31,0,BY31,BX31,BZ31,AJ31,1,1)*CB31</f>
        <v>0.98156235383693979</v>
      </c>
      <c r="BN31" s="137">
        <f>IF(AH31&lt;&gt;0,_xll.xSPRDOPT($BW31,$BV31,$CG31,2*LN(1+CA31/2),$BY31,$BX31,$BZ31,$AJ31,1,8)+(AJ31/365.25)*CH31/AH31,0)</f>
        <v>2.1534791253312202E-2</v>
      </c>
      <c r="BO31" s="137">
        <f>_xll.xSPRDOPT($BW31,$BV31,$CG31,0,$BY31,$BX31,$BZ31,$AJ31,1,0)</f>
        <v>0.3490267971496559</v>
      </c>
      <c r="BP31" s="137"/>
      <c r="BQ31" s="137"/>
      <c r="BR31" s="137"/>
      <c r="BS31" s="137"/>
      <c r="BV31" s="262">
        <v>3.0935732647814911</v>
      </c>
      <c r="BW31" s="136">
        <v>3.4810000000000003</v>
      </c>
      <c r="BX31" s="137">
        <v>0.55118306690820029</v>
      </c>
      <c r="BY31" s="137">
        <v>0.55118306690820029</v>
      </c>
      <c r="BZ31" s="137">
        <v>1</v>
      </c>
      <c r="CA31" s="137">
        <v>2.2410164045373999E-2</v>
      </c>
      <c r="CB31" s="137">
        <v>0.98156266847823481</v>
      </c>
      <c r="CC31" s="258">
        <v>-2.75E-2</v>
      </c>
      <c r="CD31" s="258">
        <v>5.0000000000000001E-3</v>
      </c>
      <c r="CE31" s="258">
        <v>0.45</v>
      </c>
      <c r="CF31" s="258">
        <v>0</v>
      </c>
      <c r="CG31" s="258">
        <v>3.8399999999999997E-2</v>
      </c>
      <c r="CH31" s="258">
        <v>11.419794553876329</v>
      </c>
      <c r="CI31" s="258">
        <v>3.0310000000000001</v>
      </c>
      <c r="CJ31" s="258"/>
      <c r="CK31" s="258"/>
      <c r="CL31" s="258"/>
      <c r="CM31" s="258"/>
    </row>
    <row r="32" spans="1:91" x14ac:dyDescent="0.25">
      <c r="A32" s="723"/>
      <c r="B32" s="723"/>
      <c r="D32" s="31">
        <f t="shared" si="47"/>
        <v>37575</v>
      </c>
      <c r="F32" s="28">
        <f t="shared" si="12"/>
        <v>230</v>
      </c>
      <c r="G32" s="28">
        <f t="shared" si="13"/>
        <v>225.19861754492385</v>
      </c>
      <c r="H32" s="52">
        <f t="shared" si="14"/>
        <v>3.2786632390745498</v>
      </c>
      <c r="I32" s="52">
        <f t="shared" si="15"/>
        <v>3.661</v>
      </c>
      <c r="K32" s="52">
        <f t="shared" si="16"/>
        <v>10.102706489124833</v>
      </c>
      <c r="L32" s="135">
        <f t="shared" si="17"/>
        <v>3.7997267039457938E-6</v>
      </c>
      <c r="N32" s="131">
        <f t="shared" si="48"/>
        <v>0.55763051961597798</v>
      </c>
      <c r="O32" s="131">
        <f t="shared" si="49"/>
        <v>0.55763051961597798</v>
      </c>
      <c r="P32" s="55">
        <f t="shared" si="50"/>
        <v>1.0000000000000002</v>
      </c>
      <c r="Q32" s="135">
        <f>_xll.xSPRDOPT(I32,H32,AQ32,0,O32,N32,P32,D32-$G$5,1,0)*AH32*AU32</f>
        <v>10.102710288851537</v>
      </c>
      <c r="R32" s="135"/>
      <c r="S32" s="181">
        <f>_xll.xSPRDOPT(I32,H32,AQ32,AT32,O32,N32,P32,D32-$G$5,1,2)*AF32*(F32/(1-AR32))*AH32</f>
        <v>-6946.1421511371627</v>
      </c>
      <c r="T32" s="181">
        <f>_xll.xSPRDOPT(I32,H32,AQ32,AT32,O32,N32,P32,D32-$G$5,1,1)*AF32*F32*AH32</f>
        <v>6755.1232419118605</v>
      </c>
      <c r="U32" s="135"/>
      <c r="V32" s="146">
        <f t="shared" si="18"/>
        <v>11.023961891036077</v>
      </c>
      <c r="W32" s="146"/>
      <c r="X32" s="338">
        <f t="shared" si="19"/>
        <v>0</v>
      </c>
      <c r="Y32" s="338">
        <f t="shared" si="20"/>
        <v>0</v>
      </c>
      <c r="Z32" s="338">
        <f t="shared" si="21"/>
        <v>0.44143065215642402</v>
      </c>
      <c r="AA32" s="338">
        <f t="shared" si="22"/>
        <v>6.891810182385298E-6</v>
      </c>
      <c r="AB32" s="338">
        <f t="shared" si="23"/>
        <v>0</v>
      </c>
      <c r="AC32" s="338">
        <f t="shared" si="24"/>
        <v>0.44410583929844571</v>
      </c>
      <c r="AF32" s="138">
        <f t="shared" si="25"/>
        <v>1</v>
      </c>
      <c r="AG32" s="138">
        <f t="shared" si="26"/>
        <v>11</v>
      </c>
      <c r="AH32" s="138">
        <f t="shared" si="27"/>
        <v>30</v>
      </c>
      <c r="AI32" s="138">
        <f t="shared" si="51"/>
        <v>319</v>
      </c>
      <c r="AJ32" s="138">
        <f t="shared" si="28"/>
        <v>336</v>
      </c>
      <c r="AL32" s="136">
        <f t="shared" si="29"/>
        <v>3.2109999999999999</v>
      </c>
      <c r="AM32" s="258">
        <f t="shared" si="30"/>
        <v>-2.5000000000000001E-2</v>
      </c>
      <c r="AN32" s="258">
        <f t="shared" si="31"/>
        <v>2.5000000000000001E-3</v>
      </c>
      <c r="AO32" s="258">
        <f t="shared" si="32"/>
        <v>0.45</v>
      </c>
      <c r="AP32" s="258">
        <f t="shared" si="33"/>
        <v>0</v>
      </c>
      <c r="AQ32" s="136">
        <f t="shared" si="34"/>
        <v>3.8399999999999997E-2</v>
      </c>
      <c r="AR32" s="137">
        <f t="shared" si="35"/>
        <v>2.75E-2</v>
      </c>
      <c r="AS32" s="136">
        <f t="shared" si="36"/>
        <v>3.1884999999999999</v>
      </c>
      <c r="AT32" s="137">
        <f t="shared" si="37"/>
        <v>2.3274064967752799E-2</v>
      </c>
      <c r="AU32" s="137">
        <f t="shared" si="38"/>
        <v>0.97912442410836453</v>
      </c>
      <c r="AV32" s="394">
        <f t="shared" si="39"/>
        <v>205.61612906275656</v>
      </c>
      <c r="AW32" s="137">
        <f t="shared" si="40"/>
        <v>0.54</v>
      </c>
      <c r="AX32" s="137">
        <f t="shared" si="41"/>
        <v>0.85</v>
      </c>
      <c r="AY32" s="137">
        <f t="shared" si="42"/>
        <v>0.85</v>
      </c>
      <c r="AZ32" s="137"/>
      <c r="BA32" s="264"/>
      <c r="BB32" s="258">
        <f t="shared" si="43"/>
        <v>0</v>
      </c>
      <c r="BC32" s="258">
        <f t="shared" si="44"/>
        <v>0</v>
      </c>
      <c r="BD32" s="137">
        <f t="shared" si="45"/>
        <v>1.5448854150035274E-4</v>
      </c>
      <c r="BE32" s="137">
        <f t="shared" si="46"/>
        <v>1.5448854150035274E-4</v>
      </c>
      <c r="BF32" s="137">
        <f>_xll.xSPRDOPT($BW32,$BV32,$CG32,0,$BY32,$BX32,$BZ32,$AJ32,1,4)*$CB32</f>
        <v>-1.1669854526052003E-7</v>
      </c>
      <c r="BG32" s="137">
        <f>_xll.xSPRDOPT($BW32,$BV32,$CG32,0,$BY32,$BX32,$BZ32,$AJ32,1,3)*$CB32</f>
        <v>0</v>
      </c>
      <c r="BH32" s="137">
        <f>IF(OR(BF32&lt;&gt;0,BG32&lt;&gt;0),_xll.xSPRDOPT($BW32,$BV32,$CG32,0,$BY32,$BX32,$BZ32,$AJ32,1,12)*$CB32,0)</f>
        <v>2.9174636315130009E-7</v>
      </c>
      <c r="BI32" s="137">
        <f>_xll.xSPRDOPT($BW32,$BV32,$CG32,2*LN(1+CA32/2),$BY32,$BX32,$BZ32,$AJ32,1,9)</f>
        <v>7.7890118695716848E-3</v>
      </c>
      <c r="BJ32" s="137">
        <f>_xll.xSPRDOPT($BW32,$BV32,$CG32,0,$BY32,$BX32,$BZ32,$AJ32,1,6)*$CB32</f>
        <v>-5.5442093102046663E-5</v>
      </c>
      <c r="BK32" s="137">
        <f>_xll.xSPRDOPT($BW32,$BV32,$CG32,0,$BY32,$BX32,$BZ32,$AJ32,1,5)*$CB32</f>
        <v>6.1907382114491851E-5</v>
      </c>
      <c r="BL32" s="137">
        <f>_xll.xSPRDOPT(BW32,BV32,CG32,0,BY32,BX32,BZ32,AJ32,1,2)*CB32</f>
        <v>-0.97893466842336396</v>
      </c>
      <c r="BM32" s="137">
        <f>_xll.xSPRDOPT(BW32,BV32,CG32,0,BY32,BX32,BZ32,AJ32,1,1)*CB32</f>
        <v>0.97893466841446053</v>
      </c>
      <c r="BN32" s="137">
        <f>IF(AH32&lt;&gt;0,_xll.xSPRDOPT($BW32,$BV32,$CG32,2*LN(1+CA32/2),$BY32,$BX32,$BZ32,$AJ32,1,8)+(AJ32/365.25)*CH32/AH32,0)</f>
        <v>2.8243812505187482E-2</v>
      </c>
      <c r="BO32" s="137">
        <f>_xll.xSPRDOPT($BW32,$BV32,$CG32,0,$BY32,$BX32,$BZ32,$AJ32,1,0)</f>
        <v>0.34393690421035411</v>
      </c>
      <c r="BP32" s="137"/>
      <c r="BQ32" s="137"/>
      <c r="BR32" s="137"/>
      <c r="BS32" s="137"/>
      <c r="BV32" s="262">
        <v>3.2786632390745498</v>
      </c>
      <c r="BW32" s="136">
        <v>3.661</v>
      </c>
      <c r="BX32" s="137">
        <v>0.55747603107447763</v>
      </c>
      <c r="BY32" s="137">
        <v>0.55747603107447763</v>
      </c>
      <c r="BZ32" s="137">
        <v>1</v>
      </c>
      <c r="CA32" s="137">
        <v>2.3274064967752799E-2</v>
      </c>
      <c r="CB32" s="137">
        <v>0.97893835036076038</v>
      </c>
      <c r="CC32" s="258">
        <v>-2.5000000000000001E-2</v>
      </c>
      <c r="CD32" s="258">
        <v>2.5000000000000001E-3</v>
      </c>
      <c r="CE32" s="258">
        <v>0.45</v>
      </c>
      <c r="CF32" s="258">
        <v>0</v>
      </c>
      <c r="CG32" s="258">
        <v>3.8399999999999997E-2</v>
      </c>
      <c r="CH32" s="258">
        <v>11.021866886711802</v>
      </c>
      <c r="CI32" s="258">
        <v>3.2109999999999999</v>
      </c>
      <c r="CJ32" s="258"/>
      <c r="CK32" s="258"/>
      <c r="CL32" s="258"/>
      <c r="CM32" s="258"/>
    </row>
    <row r="33" spans="1:91" x14ac:dyDescent="0.25">
      <c r="A33" s="723"/>
      <c r="B33" s="723"/>
      <c r="D33" s="31">
        <f t="shared" si="47"/>
        <v>37605</v>
      </c>
      <c r="F33" s="28">
        <f t="shared" si="12"/>
        <v>230</v>
      </c>
      <c r="G33" s="28">
        <f t="shared" si="13"/>
        <v>224.58651745963769</v>
      </c>
      <c r="H33" s="52">
        <f t="shared" si="14"/>
        <v>3.4431876606683804</v>
      </c>
      <c r="I33" s="52">
        <f t="shared" si="15"/>
        <v>3.7709999999999999</v>
      </c>
      <c r="K33" s="52">
        <f t="shared" si="16"/>
        <v>8.7606147452625898</v>
      </c>
      <c r="L33" s="135">
        <f t="shared" si="17"/>
        <v>3.8720337499853485E-5</v>
      </c>
      <c r="N33" s="131">
        <f t="shared" si="48"/>
        <v>0.57103652777154523</v>
      </c>
      <c r="O33" s="131">
        <f t="shared" si="49"/>
        <v>0.57103652777154523</v>
      </c>
      <c r="P33" s="55">
        <f t="shared" si="50"/>
        <v>1.0000000000000002</v>
      </c>
      <c r="Q33" s="135">
        <f>_xll.xSPRDOPT(I33,H33,AQ33,0,O33,N33,P33,D33-$G$5,1,0)*AH33*AU33</f>
        <v>8.7606534656000896</v>
      </c>
      <c r="R33" s="135"/>
      <c r="S33" s="181">
        <f>_xll.xSPRDOPT(I33,H33,AQ33,AT33,O33,N33,P33,D33-$G$5,1,2)*AF33*(F33/(1-AR33))*AH33</f>
        <v>-7157.8290614773532</v>
      </c>
      <c r="T33" s="181">
        <f>_xll.xSPRDOPT(I33,H33,AQ33,AT33,O33,N33,P33,D33-$G$5,1,1)*AF33*F33*AH33</f>
        <v>6960.9887622089109</v>
      </c>
      <c r="U33" s="135"/>
      <c r="V33" s="146">
        <f t="shared" si="18"/>
        <v>11.360464869915926</v>
      </c>
      <c r="W33" s="146"/>
      <c r="X33" s="338">
        <f t="shared" si="19"/>
        <v>0</v>
      </c>
      <c r="Y33" s="338">
        <f t="shared" si="20"/>
        <v>0</v>
      </c>
      <c r="Z33" s="338">
        <f t="shared" si="21"/>
        <v>0.39591906112762149</v>
      </c>
      <c r="AA33" s="338">
        <f t="shared" si="22"/>
        <v>6.7103906111823849E-5</v>
      </c>
      <c r="AB33" s="338">
        <f t="shared" si="23"/>
        <v>0</v>
      </c>
      <c r="AC33" s="338">
        <f t="shared" si="24"/>
        <v>0.39894128742588958</v>
      </c>
      <c r="AF33" s="138">
        <f t="shared" si="25"/>
        <v>1</v>
      </c>
      <c r="AG33" s="138">
        <f t="shared" si="26"/>
        <v>12</v>
      </c>
      <c r="AH33" s="138">
        <f t="shared" si="27"/>
        <v>31</v>
      </c>
      <c r="AI33" s="138">
        <f t="shared" si="51"/>
        <v>349</v>
      </c>
      <c r="AJ33" s="138">
        <f t="shared" si="28"/>
        <v>366</v>
      </c>
      <c r="AL33" s="136">
        <f t="shared" si="29"/>
        <v>3.371</v>
      </c>
      <c r="AM33" s="258">
        <f t="shared" si="30"/>
        <v>-2.5000000000000001E-2</v>
      </c>
      <c r="AN33" s="258">
        <f t="shared" si="31"/>
        <v>2.5000000000000001E-3</v>
      </c>
      <c r="AO33" s="258">
        <f t="shared" si="32"/>
        <v>0.4</v>
      </c>
      <c r="AP33" s="258">
        <f t="shared" si="33"/>
        <v>0</v>
      </c>
      <c r="AQ33" s="136">
        <f t="shared" si="34"/>
        <v>3.8399999999999997E-2</v>
      </c>
      <c r="AR33" s="137">
        <f t="shared" si="35"/>
        <v>2.75E-2</v>
      </c>
      <c r="AS33" s="136">
        <f t="shared" si="36"/>
        <v>3.3485</v>
      </c>
      <c r="AT33" s="137">
        <f t="shared" si="37"/>
        <v>2.4110098358835999E-2</v>
      </c>
      <c r="AU33" s="137">
        <f t="shared" si="38"/>
        <v>0.97646311938972907</v>
      </c>
      <c r="AV33" s="394">
        <f t="shared" si="39"/>
        <v>211.8924969075712</v>
      </c>
      <c r="AW33" s="137">
        <f t="shared" si="40"/>
        <v>0.54</v>
      </c>
      <c r="AX33" s="137">
        <f t="shared" si="41"/>
        <v>1.05</v>
      </c>
      <c r="AY33" s="137">
        <f t="shared" si="42"/>
        <v>1.05</v>
      </c>
      <c r="AZ33" s="137"/>
      <c r="BA33" s="264"/>
      <c r="BB33" s="258">
        <f t="shared" si="43"/>
        <v>0</v>
      </c>
      <c r="BC33" s="258">
        <f t="shared" si="44"/>
        <v>0</v>
      </c>
      <c r="BD33" s="137">
        <f t="shared" si="45"/>
        <v>2.4652743009223599E-4</v>
      </c>
      <c r="BE33" s="137">
        <f t="shared" si="46"/>
        <v>2.4652743009223599E-4</v>
      </c>
      <c r="BF33" s="137">
        <f>_xll.xSPRDOPT($BW33,$BV33,$CG33,0,$BY33,$BX33,$BZ33,$AJ33,1,4)*$CB33</f>
        <v>-6.9828338098512294E-7</v>
      </c>
      <c r="BG33" s="137">
        <f>_xll.xSPRDOPT($BW33,$BV33,$CG33,0,$BY33,$BX33,$BZ33,$AJ33,1,3)*$CB33</f>
        <v>-6.9828338098512294E-7</v>
      </c>
      <c r="BH33" s="137">
        <f>IF(OR(BF33&lt;&gt;0,BG33&lt;&gt;0),_xll.xSPRDOPT($BW33,$BV33,$CG33,0,$BY33,$BX33,$BZ33,$AJ33,1,12)*$CB33,0)</f>
        <v>1.0474250714776844E-6</v>
      </c>
      <c r="BI33" s="137">
        <f>_xll.xSPRDOPT($BW33,$BV33,$CG33,2*LN(1+CA33/2),$BY33,$BX33,$BZ33,$AJ33,1,9)</f>
        <v>6.7606094940095259E-3</v>
      </c>
      <c r="BJ33" s="137">
        <f>_xll.xSPRDOPT($BW33,$BV33,$CG33,0,$BY33,$BX33,$BZ33,$AJ33,1,6)*$CB33</f>
        <v>-4.0098512892264385E-4</v>
      </c>
      <c r="BK33" s="137">
        <f>_xll.xSPRDOPT($BW33,$BV33,$CG33,0,$BY33,$BX33,$BZ33,$AJ33,1,5)*$CB33</f>
        <v>4.3916135754634673E-4</v>
      </c>
      <c r="BL33" s="137">
        <f>_xll.xSPRDOPT(BW33,BV33,CG33,0,BY33,BX33,BZ33,AJ33,1,2)*CB33</f>
        <v>-0.97624370890552659</v>
      </c>
      <c r="BM33" s="137">
        <f>_xll.xSPRDOPT(BW33,BV33,CG33,0,BY33,BX33,BZ33,AJ33,1,1)*CB33</f>
        <v>0.97624370889398371</v>
      </c>
      <c r="BN33" s="137">
        <f>IF(AH33&lt;&gt;0,_xll.xSPRDOPT($BW33,$BV33,$CG33,2*LN(1+CA33/2),$BY33,$BX33,$BZ33,$AJ33,1,8)+(AJ33/365.25)*CH33/AH33,0)</f>
        <v>8.4020469851431412E-2</v>
      </c>
      <c r="BO33" s="137">
        <f>_xll.xSPRDOPT($BW33,$BV33,$CG33,0,$BY33,$BX33,$BZ33,$AJ33,1,0)</f>
        <v>0.2894137008954728</v>
      </c>
      <c r="BP33" s="137"/>
      <c r="BQ33" s="137"/>
      <c r="BR33" s="137"/>
      <c r="BS33" s="137"/>
      <c r="BV33" s="262">
        <v>3.4431876606683804</v>
      </c>
      <c r="BW33" s="136">
        <v>3.7709999999999999</v>
      </c>
      <c r="BX33" s="137">
        <v>0.570790000341453</v>
      </c>
      <c r="BY33" s="137">
        <v>0.570790000341453</v>
      </c>
      <c r="BZ33" s="137">
        <v>1</v>
      </c>
      <c r="CA33" s="137">
        <v>2.4110098358835999E-2</v>
      </c>
      <c r="CB33" s="137">
        <v>0.97627092599980836</v>
      </c>
      <c r="CC33" s="258">
        <v>-2.5000000000000001E-2</v>
      </c>
      <c r="CD33" s="258">
        <v>2.5000000000000001E-3</v>
      </c>
      <c r="CE33" s="258">
        <v>0.4</v>
      </c>
      <c r="CF33" s="258">
        <v>0</v>
      </c>
      <c r="CG33" s="258">
        <v>3.8399999999999997E-2</v>
      </c>
      <c r="CH33" s="258">
        <v>11.358228834359572</v>
      </c>
      <c r="CI33" s="258">
        <v>3.371</v>
      </c>
      <c r="CJ33" s="258"/>
      <c r="CK33" s="258"/>
      <c r="CL33" s="258"/>
      <c r="CM33" s="258"/>
    </row>
    <row r="34" spans="1:91" x14ac:dyDescent="0.25">
      <c r="A34" s="723"/>
      <c r="B34" s="723"/>
      <c r="D34" s="31">
        <f t="shared" si="47"/>
        <v>37636</v>
      </c>
      <c r="F34" s="28">
        <f t="shared" si="12"/>
        <v>230</v>
      </c>
      <c r="G34" s="28">
        <f t="shared" si="13"/>
        <v>223.90854726638949</v>
      </c>
      <c r="H34" s="52">
        <f t="shared" si="14"/>
        <v>3.5203084832904885</v>
      </c>
      <c r="I34" s="52">
        <f t="shared" si="15"/>
        <v>3.7960000000000003</v>
      </c>
      <c r="K34" s="52">
        <f t="shared" si="16"/>
        <v>7.1913944665316167</v>
      </c>
      <c r="L34" s="135">
        <f t="shared" si="17"/>
        <v>1.5244298871674999E-4</v>
      </c>
      <c r="N34" s="131">
        <f t="shared" si="48"/>
        <v>0.5685912571426992</v>
      </c>
      <c r="O34" s="131">
        <f t="shared" si="49"/>
        <v>0.5685912571426992</v>
      </c>
      <c r="P34" s="55">
        <f t="shared" si="50"/>
        <v>0.99999999999999989</v>
      </c>
      <c r="Q34" s="135">
        <f>_xll.xSPRDOPT(I34,H34,AQ34,0,O34,N34,P34,D34-$G$5,1,0)*AH34*AU34</f>
        <v>7.1915469095203335</v>
      </c>
      <c r="R34" s="135"/>
      <c r="S34" s="181">
        <f>_xll.xSPRDOPT(I34,H34,AQ34,AT34,O34,N34,P34,D34-$G$5,1,2)*AF34*(F34/(1-AR34))*AH34</f>
        <v>-7134.9725646908064</v>
      </c>
      <c r="T34" s="181">
        <f>_xll.xSPRDOPT(I34,H34,AQ34,AT34,O34,N34,P34,D34-$G$5,1,1)*AF34*F34*AH34</f>
        <v>6938.7608191812642</v>
      </c>
      <c r="U34" s="135"/>
      <c r="V34" s="146">
        <f t="shared" si="18"/>
        <v>11.32617048461459</v>
      </c>
      <c r="W34" s="146"/>
      <c r="X34" s="338">
        <f t="shared" si="19"/>
        <v>0</v>
      </c>
      <c r="Y34" s="338">
        <f t="shared" si="20"/>
        <v>0</v>
      </c>
      <c r="Z34" s="338">
        <f t="shared" si="21"/>
        <v>0.33507440702547459</v>
      </c>
      <c r="AA34" s="338">
        <f t="shared" si="22"/>
        <v>3.0848429632287372E-4</v>
      </c>
      <c r="AB34" s="338">
        <f t="shared" si="23"/>
        <v>0</v>
      </c>
      <c r="AC34" s="338">
        <f t="shared" si="24"/>
        <v>0.34009491488835725</v>
      </c>
      <c r="AF34" s="138">
        <f t="shared" si="25"/>
        <v>1</v>
      </c>
      <c r="AG34" s="138">
        <f t="shared" si="26"/>
        <v>1</v>
      </c>
      <c r="AH34" s="138">
        <f t="shared" si="27"/>
        <v>31</v>
      </c>
      <c r="AI34" s="138">
        <f t="shared" si="51"/>
        <v>380</v>
      </c>
      <c r="AJ34" s="138">
        <f t="shared" si="28"/>
        <v>397</v>
      </c>
      <c r="AL34" s="136">
        <f t="shared" si="29"/>
        <v>3.4460000000000002</v>
      </c>
      <c r="AM34" s="258">
        <f t="shared" si="30"/>
        <v>-2.5000000000000001E-2</v>
      </c>
      <c r="AN34" s="258">
        <f t="shared" si="31"/>
        <v>2.5000000000000001E-3</v>
      </c>
      <c r="AO34" s="258">
        <f t="shared" si="32"/>
        <v>0.35</v>
      </c>
      <c r="AP34" s="258">
        <f t="shared" si="33"/>
        <v>0</v>
      </c>
      <c r="AQ34" s="136">
        <f t="shared" si="34"/>
        <v>3.7400000000000003E-2</v>
      </c>
      <c r="AR34" s="137">
        <f t="shared" si="35"/>
        <v>2.75E-2</v>
      </c>
      <c r="AS34" s="136">
        <f t="shared" si="36"/>
        <v>3.4235000000000002</v>
      </c>
      <c r="AT34" s="137">
        <f t="shared" si="37"/>
        <v>2.50384261928196E-2</v>
      </c>
      <c r="AU34" s="137">
        <f t="shared" si="38"/>
        <v>0.97351542289734561</v>
      </c>
      <c r="AV34" s="394">
        <f t="shared" si="39"/>
        <v>211.252846768724</v>
      </c>
      <c r="AW34" s="137">
        <f t="shared" si="40"/>
        <v>0.53749999999999998</v>
      </c>
      <c r="AX34" s="137">
        <f t="shared" si="41"/>
        <v>1.08</v>
      </c>
      <c r="AY34" s="137">
        <f t="shared" si="42"/>
        <v>1.08</v>
      </c>
      <c r="AZ34" s="137"/>
      <c r="BA34" s="264"/>
      <c r="BB34" s="258">
        <f t="shared" si="43"/>
        <v>0</v>
      </c>
      <c r="BC34" s="258">
        <f t="shared" si="44"/>
        <v>0</v>
      </c>
      <c r="BD34" s="137">
        <f t="shared" si="45"/>
        <v>2.2770835683916246E-4</v>
      </c>
      <c r="BE34" s="137">
        <f t="shared" si="46"/>
        <v>2.2770835683916246E-4</v>
      </c>
      <c r="BF34" s="137">
        <f>_xll.xSPRDOPT($BW34,$BV34,$CG34,0,$BY34,$BX34,$BZ34,$AJ34,1,4)*$CB34</f>
        <v>4.0609928061562529E-7</v>
      </c>
      <c r="BG34" s="137">
        <f>_xll.xSPRDOPT($BW34,$BV34,$CG34,0,$BY34,$BX34,$BZ34,$AJ34,1,3)*$CB34</f>
        <v>5.8014182945089324E-8</v>
      </c>
      <c r="BH34" s="137">
        <f>IF(OR(BF34&lt;&gt;0,BG34&lt;&gt;0),_xll.xSPRDOPT($BW34,$BV34,$CG34,0,$BY34,$BX34,$BZ34,$AJ34,1,12)*$CB34,0)</f>
        <v>1.1602836589017865E-7</v>
      </c>
      <c r="BI34" s="137">
        <f>_xll.xSPRDOPT($BW34,$BV34,$CG34,2*LN(1+CA34/2),$BY34,$BX34,$BZ34,$AJ34,1,9)</f>
        <v>5.7216422237519673E-3</v>
      </c>
      <c r="BJ34" s="137">
        <f>_xll.xSPRDOPT($BW34,$BV34,$CG34,0,$BY34,$BX34,$BZ34,$AJ34,1,6)*$CB34</f>
        <v>-2.42617370217817E-3</v>
      </c>
      <c r="BK34" s="137">
        <f>_xll.xSPRDOPT($BW34,$BV34,$CG34,0,$BY34,$BX34,$BZ34,$AJ34,1,5)*$CB34</f>
        <v>2.6161784973874995E-3</v>
      </c>
      <c r="BL34" s="137">
        <f>_xll.xSPRDOPT(BW34,BV34,CG34,0,BY34,BX34,BZ34,AJ34,1,2)*CB34</f>
        <v>-0.97314384377961749</v>
      </c>
      <c r="BM34" s="137">
        <f>_xll.xSPRDOPT(BW34,BV34,CG34,0,BY34,BX34,BZ34,AJ34,1,1)*CB34</f>
        <v>0.97314384378404362</v>
      </c>
      <c r="BN34" s="137">
        <f>IF(AH34&lt;&gt;0,_xll.xSPRDOPT($BW34,$BV34,$CG34,2*LN(1+CA34/2),$BY34,$BX34,$BZ34,$AJ34,1,8)+(AJ34/365.25)*CH34/AH34,0)</f>
        <v>0.14493878269371802</v>
      </c>
      <c r="BO34" s="137">
        <f>_xll.xSPRDOPT($BW34,$BV34,$CG34,0,$BY34,$BX34,$BZ34,$AJ34,1,0)</f>
        <v>0.23829694508664237</v>
      </c>
      <c r="BP34" s="137"/>
      <c r="BQ34" s="137"/>
      <c r="BR34" s="137"/>
      <c r="BS34" s="137"/>
      <c r="BV34" s="262">
        <v>3.5203084832904885</v>
      </c>
      <c r="BW34" s="136">
        <v>3.7960000000000003</v>
      </c>
      <c r="BX34" s="137">
        <v>0.56836354878586004</v>
      </c>
      <c r="BY34" s="137">
        <v>0.56836354878586004</v>
      </c>
      <c r="BZ34" s="137">
        <v>1</v>
      </c>
      <c r="CA34" s="137">
        <v>2.50384261928196E-2</v>
      </c>
      <c r="CB34" s="137">
        <v>0.97331647833327972</v>
      </c>
      <c r="CC34" s="258">
        <v>-2.5000000000000001E-2</v>
      </c>
      <c r="CD34" s="258">
        <v>2.5000000000000001E-3</v>
      </c>
      <c r="CE34" s="258">
        <v>0.35</v>
      </c>
      <c r="CF34" s="258">
        <v>0</v>
      </c>
      <c r="CG34" s="258">
        <v>3.7400000000000003E-2</v>
      </c>
      <c r="CH34" s="258">
        <v>11.323855903872877</v>
      </c>
      <c r="CI34" s="258">
        <v>3.4460000000000002</v>
      </c>
      <c r="CJ34" s="258"/>
      <c r="CK34" s="258"/>
      <c r="CL34" s="258"/>
      <c r="CM34" s="258"/>
    </row>
    <row r="35" spans="1:91" x14ac:dyDescent="0.25">
      <c r="A35" s="723"/>
      <c r="B35" s="723"/>
      <c r="D35" s="31">
        <f t="shared" si="47"/>
        <v>37667</v>
      </c>
      <c r="F35" s="28">
        <f t="shared" si="12"/>
        <v>230</v>
      </c>
      <c r="G35" s="28">
        <f t="shared" si="13"/>
        <v>223.17792934976248</v>
      </c>
      <c r="H35" s="52">
        <f t="shared" si="14"/>
        <v>3.4431876606683804</v>
      </c>
      <c r="I35" s="52">
        <f t="shared" si="15"/>
        <v>3.7210000000000001</v>
      </c>
      <c r="K35" s="52">
        <f t="shared" si="16"/>
        <v>6.5318799404372756</v>
      </c>
      <c r="L35" s="135">
        <f t="shared" si="17"/>
        <v>1.6582299049083815E-4</v>
      </c>
      <c r="N35" s="131">
        <f t="shared" si="48"/>
        <v>0.5545383214891465</v>
      </c>
      <c r="O35" s="131">
        <f t="shared" si="49"/>
        <v>0.5545383214891465</v>
      </c>
      <c r="P35" s="55">
        <f t="shared" si="50"/>
        <v>1</v>
      </c>
      <c r="Q35" s="135">
        <f>_xll.xSPRDOPT(I35,H35,AQ35,0,O35,N35,P35,D35-$G$5,1,0)*AH35*AU35</f>
        <v>6.5320457634277664</v>
      </c>
      <c r="R35" s="135"/>
      <c r="S35" s="181">
        <f>_xll.xSPRDOPT(I35,H35,AQ35,AT35,O35,N35,P35,D35-$G$5,1,2)*AF35*(F35/(1-AR35))*AH35</f>
        <v>-6423.3163373878042</v>
      </c>
      <c r="T35" s="181">
        <f>_xll.xSPRDOPT(I35,H35,AQ35,AT35,O35,N35,P35,D35-$G$5,1,1)*AF35*F35*AH35</f>
        <v>6246.6751381096401</v>
      </c>
      <c r="U35" s="135"/>
      <c r="V35" s="146">
        <f t="shared" si="18"/>
        <v>10.196708490343671</v>
      </c>
      <c r="W35" s="146"/>
      <c r="X35" s="338">
        <f t="shared" si="19"/>
        <v>0</v>
      </c>
      <c r="Y35" s="338">
        <f t="shared" si="20"/>
        <v>0</v>
      </c>
      <c r="Z35" s="338">
        <f t="shared" si="21"/>
        <v>0.31683467875937016</v>
      </c>
      <c r="AA35" s="338">
        <f t="shared" si="22"/>
        <v>2.2970159518659217E-4</v>
      </c>
      <c r="AB35" s="338">
        <f t="shared" si="23"/>
        <v>0</v>
      </c>
      <c r="AC35" s="338">
        <f t="shared" si="24"/>
        <v>0.32132206533366064</v>
      </c>
      <c r="AF35" s="138">
        <f t="shared" si="25"/>
        <v>1</v>
      </c>
      <c r="AG35" s="138">
        <f t="shared" si="26"/>
        <v>2</v>
      </c>
      <c r="AH35" s="138">
        <f t="shared" si="27"/>
        <v>28</v>
      </c>
      <c r="AI35" s="138">
        <f t="shared" si="51"/>
        <v>411</v>
      </c>
      <c r="AJ35" s="138">
        <f t="shared" si="28"/>
        <v>428</v>
      </c>
      <c r="AL35" s="136">
        <f t="shared" si="29"/>
        <v>3.371</v>
      </c>
      <c r="AM35" s="258">
        <f t="shared" si="30"/>
        <v>-2.5000000000000001E-2</v>
      </c>
      <c r="AN35" s="258">
        <f t="shared" si="31"/>
        <v>2.5000000000000001E-3</v>
      </c>
      <c r="AO35" s="258">
        <f t="shared" si="32"/>
        <v>0.35</v>
      </c>
      <c r="AP35" s="258">
        <f t="shared" si="33"/>
        <v>0</v>
      </c>
      <c r="AQ35" s="136">
        <f t="shared" si="34"/>
        <v>3.7400000000000003E-2</v>
      </c>
      <c r="AR35" s="137">
        <f t="shared" si="35"/>
        <v>2.75E-2</v>
      </c>
      <c r="AS35" s="136">
        <f t="shared" si="36"/>
        <v>3.3485</v>
      </c>
      <c r="AT35" s="137">
        <f t="shared" si="37"/>
        <v>2.6044986419747399E-2</v>
      </c>
      <c r="AU35" s="137">
        <f t="shared" si="38"/>
        <v>0.97033882325983689</v>
      </c>
      <c r="AV35" s="394">
        <f t="shared" si="39"/>
        <v>190.18640935892802</v>
      </c>
      <c r="AW35" s="137">
        <f t="shared" si="40"/>
        <v>0.52749999999999997</v>
      </c>
      <c r="AX35" s="137">
        <f t="shared" si="41"/>
        <v>1.08</v>
      </c>
      <c r="AY35" s="137">
        <f t="shared" si="42"/>
        <v>1.08</v>
      </c>
      <c r="AZ35" s="137"/>
      <c r="BA35" s="264"/>
      <c r="BB35" s="258">
        <f t="shared" si="43"/>
        <v>0</v>
      </c>
      <c r="BC35" s="258">
        <f t="shared" si="44"/>
        <v>0</v>
      </c>
      <c r="BD35" s="137">
        <f t="shared" si="45"/>
        <v>1.8493142576248012E-4</v>
      </c>
      <c r="BE35" s="137">
        <f t="shared" si="46"/>
        <v>1.8493142576248012E-4</v>
      </c>
      <c r="BF35" s="137">
        <f>_xll.xSPRDOPT($BW35,$BV35,$CG35,0,$BY35,$BX35,$BZ35,$AJ35,1,4)*$CB35</f>
        <v>-3.46946457070814E-7</v>
      </c>
      <c r="BG35" s="137">
        <f>_xll.xSPRDOPT($BW35,$BV35,$CG35,0,$BY35,$BX35,$BZ35,$AJ35,1,3)*$CB35</f>
        <v>-8.6736614267703497E-7</v>
      </c>
      <c r="BH35" s="137">
        <f>IF(OR(BF35&lt;&gt;0,BG35&lt;&gt;0),_xll.xSPRDOPT($BW35,$BV35,$CG35,0,$BY35,$BX35,$BZ35,$AJ35,1,12)*$CB35,0)</f>
        <v>7.8062952840933148E-7</v>
      </c>
      <c r="BI35" s="137">
        <f>_xll.xSPRDOPT($BW35,$BV35,$CG35,2*LN(1+CA35/2),$BY35,$BX35,$BZ35,$AJ35,1,9)</f>
        <v>5.9898481582225651E-3</v>
      </c>
      <c r="BJ35" s="137">
        <f>_xll.xSPRDOPT($BW35,$BV35,$CG35,0,$BY35,$BX35,$BZ35,$AJ35,1,6)*$CB35</f>
        <v>-2.3904330900728328E-3</v>
      </c>
      <c r="BK35" s="137">
        <f>_xll.xSPRDOPT($BW35,$BV35,$CG35,0,$BY35,$BX35,$BZ35,$AJ35,1,5)*$CB35</f>
        <v>2.5833043093157226E-3</v>
      </c>
      <c r="BL35" s="137">
        <f>_xll.xSPRDOPT(BW35,BV35,CG35,0,BY35,BX35,BZ35,AJ35,1,2)*CB35</f>
        <v>-0.96996543642704702</v>
      </c>
      <c r="BM35" s="137">
        <f>_xll.xSPRDOPT(BW35,BV35,CG35,0,BY35,BX35,BZ35,AJ35,1,1)*CB35</f>
        <v>0.96996543642528232</v>
      </c>
      <c r="BN35" s="137">
        <f>IF(AH35&lt;&gt;0,_xll.xSPRDOPT($BW35,$BV35,$CG35,2*LN(1+CA35/2),$BY35,$BX35,$BZ35,$AJ35,1,8)+(AJ35/365.25)*CH35/AH35,0)</f>
        <v>0.15333316033547512</v>
      </c>
      <c r="BO35" s="137">
        <f>_xll.xSPRDOPT($BW35,$BV35,$CG35,0,$BY35,$BX35,$BZ35,$AJ35,1,0)</f>
        <v>0.24041879410707725</v>
      </c>
      <c r="BP35" s="137"/>
      <c r="BQ35" s="137"/>
      <c r="BR35" s="137"/>
      <c r="BS35" s="137"/>
      <c r="BV35" s="262">
        <v>3.4431876606683804</v>
      </c>
      <c r="BW35" s="136">
        <v>3.7210000000000001</v>
      </c>
      <c r="BX35" s="137">
        <v>0.55435339006338402</v>
      </c>
      <c r="BY35" s="137">
        <v>0.55435339006338402</v>
      </c>
      <c r="BZ35" s="137">
        <v>1</v>
      </c>
      <c r="CA35" s="137">
        <v>2.6044986419747399E-2</v>
      </c>
      <c r="CB35" s="137">
        <v>0.97013260845196225</v>
      </c>
      <c r="CC35" s="258">
        <v>-2.5000000000000001E-2</v>
      </c>
      <c r="CD35" s="258">
        <v>2.5000000000000001E-3</v>
      </c>
      <c r="CE35" s="258">
        <v>0.35</v>
      </c>
      <c r="CF35" s="258">
        <v>0</v>
      </c>
      <c r="CG35" s="258">
        <v>3.7400000000000003E-2</v>
      </c>
      <c r="CH35" s="258">
        <v>10.1945415026566</v>
      </c>
      <c r="CI35" s="258">
        <v>3.371</v>
      </c>
      <c r="CJ35" s="258"/>
      <c r="CK35" s="258"/>
      <c r="CL35" s="258"/>
      <c r="CM35" s="258"/>
    </row>
    <row r="36" spans="1:91" x14ac:dyDescent="0.25">
      <c r="A36" s="723"/>
      <c r="B36" s="723"/>
      <c r="D36" s="31">
        <f t="shared" si="47"/>
        <v>37695</v>
      </c>
      <c r="F36" s="28">
        <f t="shared" si="12"/>
        <v>230</v>
      </c>
      <c r="G36" s="28">
        <f t="shared" si="13"/>
        <v>222.48791826888291</v>
      </c>
      <c r="H36" s="52">
        <f t="shared" si="14"/>
        <v>3.3506426735218509</v>
      </c>
      <c r="I36" s="52">
        <f t="shared" si="15"/>
        <v>3.681</v>
      </c>
      <c r="K36" s="52">
        <f t="shared" si="16"/>
        <v>8.7850584217476868</v>
      </c>
      <c r="L36" s="135">
        <f t="shared" si="17"/>
        <v>2.1265007537962788E-5</v>
      </c>
      <c r="N36" s="131">
        <f t="shared" si="48"/>
        <v>0.50303598357381651</v>
      </c>
      <c r="O36" s="131">
        <f t="shared" si="49"/>
        <v>0.50303598357381651</v>
      </c>
      <c r="P36" s="55">
        <f t="shared" si="50"/>
        <v>1</v>
      </c>
      <c r="Q36" s="135">
        <f>_xll.xSPRDOPT(I36,H36,AQ36,0,O36,N36,P36,D36-$G$5,1,0)*AH36*AU36</f>
        <v>8.7850796867552248</v>
      </c>
      <c r="R36" s="135"/>
      <c r="S36" s="181">
        <f>_xll.xSPRDOPT(I36,H36,AQ36,AT36,O36,N36,P36,D36-$G$5,1,2)*AF36*(F36/(1-AR36))*AH36</f>
        <v>-7090.504186744155</v>
      </c>
      <c r="T36" s="181">
        <f>_xll.xSPRDOPT(I36,H36,AQ36,AT36,O36,N36,P36,D36-$G$5,1,1)*AF36*F36*AH36</f>
        <v>6895.5153216540839</v>
      </c>
      <c r="U36" s="135"/>
      <c r="V36" s="146">
        <f t="shared" si="18"/>
        <v>11.254309510937674</v>
      </c>
      <c r="W36" s="146"/>
      <c r="X36" s="338">
        <f t="shared" si="19"/>
        <v>0</v>
      </c>
      <c r="Y36" s="338">
        <f t="shared" si="20"/>
        <v>0</v>
      </c>
      <c r="Z36" s="338">
        <f t="shared" si="21"/>
        <v>0.44405405032088918</v>
      </c>
      <c r="AA36" s="338">
        <f t="shared" si="22"/>
        <v>1.1689353343951552E-5</v>
      </c>
      <c r="AB36" s="338">
        <f t="shared" si="23"/>
        <v>0</v>
      </c>
      <c r="AC36" s="338">
        <f t="shared" si="24"/>
        <v>0.44723372997230626</v>
      </c>
      <c r="AF36" s="138">
        <f t="shared" si="25"/>
        <v>1</v>
      </c>
      <c r="AG36" s="138">
        <f t="shared" si="26"/>
        <v>3</v>
      </c>
      <c r="AH36" s="138">
        <f t="shared" si="27"/>
        <v>31</v>
      </c>
      <c r="AI36" s="138">
        <f t="shared" si="51"/>
        <v>439</v>
      </c>
      <c r="AJ36" s="138">
        <f t="shared" si="28"/>
        <v>456</v>
      </c>
      <c r="AL36" s="136">
        <f t="shared" si="29"/>
        <v>3.2810000000000001</v>
      </c>
      <c r="AM36" s="258">
        <f t="shared" si="30"/>
        <v>-2.5000000000000001E-2</v>
      </c>
      <c r="AN36" s="258">
        <f t="shared" si="31"/>
        <v>2.5000000000000001E-3</v>
      </c>
      <c r="AO36" s="258">
        <f t="shared" si="32"/>
        <v>0.4</v>
      </c>
      <c r="AP36" s="258">
        <f t="shared" si="33"/>
        <v>0</v>
      </c>
      <c r="AQ36" s="136">
        <f t="shared" si="34"/>
        <v>3.7400000000000003E-2</v>
      </c>
      <c r="AR36" s="137">
        <f t="shared" si="35"/>
        <v>2.75E-2</v>
      </c>
      <c r="AS36" s="136">
        <f t="shared" si="36"/>
        <v>3.2585000000000002</v>
      </c>
      <c r="AT36" s="137">
        <f t="shared" si="37"/>
        <v>2.6954137886657601E-2</v>
      </c>
      <c r="AU36" s="137">
        <f t="shared" si="38"/>
        <v>0.96733877508209964</v>
      </c>
      <c r="AV36" s="394">
        <f t="shared" si="39"/>
        <v>209.91251419281562</v>
      </c>
      <c r="AW36" s="137">
        <f t="shared" si="40"/>
        <v>0.48749999999999999</v>
      </c>
      <c r="AX36" s="137">
        <f t="shared" si="41"/>
        <v>0.83</v>
      </c>
      <c r="AY36" s="137">
        <f t="shared" si="42"/>
        <v>0.83</v>
      </c>
      <c r="AZ36" s="137"/>
      <c r="BA36" s="264"/>
      <c r="BB36" s="258">
        <f t="shared" si="43"/>
        <v>0</v>
      </c>
      <c r="BC36" s="258">
        <f t="shared" si="44"/>
        <v>0</v>
      </c>
      <c r="BD36" s="137">
        <f t="shared" si="45"/>
        <v>1.0031212319616678E-4</v>
      </c>
      <c r="BE36" s="137">
        <f t="shared" si="46"/>
        <v>1.0031212319616678E-4</v>
      </c>
      <c r="BF36" s="137">
        <f>_xll.xSPRDOPT($BW36,$BV36,$CG36,0,$BY36,$BX36,$BZ36,$AJ36,1,4)*$CB36</f>
        <v>-3.4587123526404287E-7</v>
      </c>
      <c r="BG36" s="137">
        <f>_xll.xSPRDOPT($BW36,$BV36,$CG36,0,$BY36,$BX36,$BZ36,$AJ36,1,3)*$CB36</f>
        <v>-2.3058082350936192E-7</v>
      </c>
      <c r="BH36" s="137">
        <f>IF(OR(BF36&lt;&gt;0,BG36&lt;&gt;0),_xll.xSPRDOPT($BW36,$BV36,$CG36,0,$BY36,$BX36,$BZ36,$AJ36,1,12)*$CB36,0)</f>
        <v>-5.7645205877340481E-8</v>
      </c>
      <c r="BI36" s="137">
        <f>_xll.xSPRDOPT($BW36,$BV36,$CG36,2*LN(1+CA36/2),$BY36,$BX36,$BZ36,$AJ36,1,9)</f>
        <v>7.5825498774990552E-3</v>
      </c>
      <c r="BJ36" s="137">
        <f>_xll.xSPRDOPT($BW36,$BV36,$CG36,0,$BY36,$BX36,$BZ36,$AJ36,1,6)*$CB36</f>
        <v>-1.6576451705283603E-4</v>
      </c>
      <c r="BK36" s="137">
        <f>_xll.xSPRDOPT($BW36,$BV36,$CG36,0,$BY36,$BX36,$BZ36,$AJ36,1,5)*$CB36</f>
        <v>1.8210810987901748E-4</v>
      </c>
      <c r="BL36" s="137">
        <f>_xll.xSPRDOPT(BW36,BV36,CG36,0,BY36,BX36,BZ36,AJ36,1,2)*CB36</f>
        <v>-0.96711626867461431</v>
      </c>
      <c r="BM36" s="137">
        <f>_xll.xSPRDOPT(BW36,BV36,CG36,0,BY36,BX36,BZ36,AJ36,1,1)*CB36</f>
        <v>0.96711626868692857</v>
      </c>
      <c r="BN36" s="137">
        <f>IF(AH36&lt;&gt;0,_xll.xSPRDOPT($BW36,$BV36,$CG36,2*LN(1+CA36/2),$BY36,$BX36,$BZ36,$AJ36,1,8)+(AJ36/365.25)*CH36/AH36,0)</f>
        <v>9.9421152407464963E-2</v>
      </c>
      <c r="BO36" s="137">
        <f>_xll.xSPRDOPT($BW36,$BV36,$CG36,0,$BY36,$BX36,$BZ36,$AJ36,1,0)</f>
        <v>0.29295806201980551</v>
      </c>
      <c r="BP36" s="137"/>
      <c r="BQ36" s="137"/>
      <c r="BR36" s="137"/>
      <c r="BS36" s="137"/>
      <c r="BV36" s="262">
        <v>3.3506426735218509</v>
      </c>
      <c r="BW36" s="136">
        <v>3.681</v>
      </c>
      <c r="BX36" s="137">
        <v>0.50293567145062035</v>
      </c>
      <c r="BY36" s="137">
        <v>0.50293567145062035</v>
      </c>
      <c r="BZ36" s="137">
        <v>1</v>
      </c>
      <c r="CA36" s="137">
        <v>2.6954137886657601E-2</v>
      </c>
      <c r="CB36" s="137">
        <v>0.96712607036861076</v>
      </c>
      <c r="CC36" s="258">
        <v>-2.5000000000000001E-2</v>
      </c>
      <c r="CD36" s="258">
        <v>2.5000000000000001E-3</v>
      </c>
      <c r="CE36" s="258">
        <v>0.4</v>
      </c>
      <c r="CF36" s="258">
        <v>0</v>
      </c>
      <c r="CG36" s="258">
        <v>3.7400000000000003E-2</v>
      </c>
      <c r="CH36" s="258">
        <v>11.251834840489529</v>
      </c>
      <c r="CI36" s="258">
        <v>3.2810000000000001</v>
      </c>
      <c r="CJ36" s="258"/>
      <c r="CK36" s="258"/>
      <c r="CL36" s="258"/>
      <c r="CM36" s="258"/>
    </row>
    <row r="37" spans="1:91" x14ac:dyDescent="0.25">
      <c r="A37" s="723"/>
      <c r="B37" s="723"/>
      <c r="D37" s="31">
        <f t="shared" si="47"/>
        <v>37726</v>
      </c>
      <c r="F37" s="28">
        <f t="shared" si="12"/>
        <v>230</v>
      </c>
      <c r="G37" s="28">
        <f t="shared" si="13"/>
        <v>221.68700015973403</v>
      </c>
      <c r="H37" s="52">
        <f t="shared" si="14"/>
        <v>3.1964010282776347</v>
      </c>
      <c r="I37" s="52">
        <f t="shared" si="15"/>
        <v>3.726</v>
      </c>
      <c r="K37" s="52">
        <f t="shared" si="16"/>
        <v>14.232275676891771</v>
      </c>
      <c r="L37" s="135">
        <f t="shared" si="17"/>
        <v>1.5574857528122266E-6</v>
      </c>
      <c r="N37" s="131">
        <f t="shared" si="48"/>
        <v>0.38888404308877494</v>
      </c>
      <c r="O37" s="131">
        <f t="shared" si="49"/>
        <v>0.38888404308877494</v>
      </c>
      <c r="P37" s="55">
        <f t="shared" si="50"/>
        <v>1.0000000000000002</v>
      </c>
      <c r="Q37" s="135">
        <f>_xll.xSPRDOPT(I37,H37,AQ37,0,O37,N37,P37,D37-$G$5,1,0)*AH37*AU37</f>
        <v>14.232277234377523</v>
      </c>
      <c r="R37" s="135"/>
      <c r="S37" s="181">
        <f>_xll.xSPRDOPT(I37,H37,AQ37,AT37,O37,N37,P37,D37-$G$5,1,2)*AF37*(F37/(1-AR37))*AH37</f>
        <v>-6836.917924954967</v>
      </c>
      <c r="T37" s="181">
        <f>_xll.xSPRDOPT(I37,H37,AQ37,AT37,O37,N37,P37,D37-$G$5,1,1)*AF37*F37*AH37</f>
        <v>6648.9026820438085</v>
      </c>
      <c r="U37" s="135"/>
      <c r="V37" s="146">
        <f t="shared" si="18"/>
        <v>10.852060586080198</v>
      </c>
      <c r="W37" s="146"/>
      <c r="X37" s="338">
        <f t="shared" si="19"/>
        <v>0</v>
      </c>
      <c r="Y37" s="338">
        <f t="shared" si="20"/>
        <v>0</v>
      </c>
      <c r="Z37" s="338">
        <f t="shared" si="21"/>
        <v>0.74675560143123532</v>
      </c>
      <c r="AA37" s="338">
        <f t="shared" si="22"/>
        <v>-2.9668936749393348E-9</v>
      </c>
      <c r="AB37" s="338">
        <f t="shared" si="23"/>
        <v>0</v>
      </c>
      <c r="AC37" s="338">
        <f t="shared" si="24"/>
        <v>0.75196563594570209</v>
      </c>
      <c r="AF37" s="138">
        <f t="shared" si="25"/>
        <v>1</v>
      </c>
      <c r="AG37" s="138">
        <f t="shared" si="26"/>
        <v>4</v>
      </c>
      <c r="AH37" s="138">
        <f t="shared" si="27"/>
        <v>30</v>
      </c>
      <c r="AI37" s="138">
        <f t="shared" si="51"/>
        <v>470</v>
      </c>
      <c r="AJ37" s="138">
        <f t="shared" si="28"/>
        <v>487</v>
      </c>
      <c r="AL37" s="136">
        <f t="shared" si="29"/>
        <v>3.1259999999999999</v>
      </c>
      <c r="AM37" s="258">
        <f t="shared" si="30"/>
        <v>-2.2499999999999999E-2</v>
      </c>
      <c r="AN37" s="258">
        <f t="shared" si="31"/>
        <v>5.0000000000000001E-3</v>
      </c>
      <c r="AO37" s="258">
        <f t="shared" si="32"/>
        <v>0.6</v>
      </c>
      <c r="AP37" s="258">
        <f t="shared" si="33"/>
        <v>0</v>
      </c>
      <c r="AQ37" s="136">
        <f t="shared" si="34"/>
        <v>3.7400000000000003E-2</v>
      </c>
      <c r="AR37" s="137">
        <f t="shared" si="35"/>
        <v>2.75E-2</v>
      </c>
      <c r="AS37" s="136">
        <f t="shared" si="36"/>
        <v>3.1084999999999998</v>
      </c>
      <c r="AT37" s="137">
        <f t="shared" si="37"/>
        <v>2.79745964320606E-2</v>
      </c>
      <c r="AU37" s="137">
        <f t="shared" si="38"/>
        <v>0.96385652243362618</v>
      </c>
      <c r="AV37" s="394">
        <f t="shared" si="39"/>
        <v>202.4098697110615</v>
      </c>
      <c r="AW37" s="137">
        <f t="shared" si="40"/>
        <v>0.38750000000000001</v>
      </c>
      <c r="AX37" s="137">
        <f t="shared" si="41"/>
        <v>0.43</v>
      </c>
      <c r="AY37" s="137">
        <f t="shared" si="42"/>
        <v>0.43</v>
      </c>
      <c r="AZ37" s="137"/>
      <c r="BA37" s="264"/>
      <c r="BB37" s="258">
        <f t="shared" si="43"/>
        <v>0</v>
      </c>
      <c r="BC37" s="258">
        <f t="shared" si="44"/>
        <v>0</v>
      </c>
      <c r="BD37" s="137">
        <f t="shared" si="45"/>
        <v>8.4934135016756507E-6</v>
      </c>
      <c r="BE37" s="137">
        <f t="shared" si="46"/>
        <v>8.4934135016756507E-6</v>
      </c>
      <c r="BF37" s="137">
        <f>_xll.xSPRDOPT($BW37,$BV37,$CG37,0,$BY37,$BX37,$BZ37,$AJ37,1,4)*$CB37</f>
        <v>3.4462330913197484E-7</v>
      </c>
      <c r="BG37" s="137">
        <f>_xll.xSPRDOPT($BW37,$BV37,$CG37,0,$BY37,$BX37,$BZ37,$AJ37,1,3)*$CB37</f>
        <v>3.4462330913197484E-7</v>
      </c>
      <c r="BH37" s="137">
        <f>IF(OR(BF37&lt;&gt;0,BG37&lt;&gt;0),_xll.xSPRDOPT($BW37,$BV37,$CG37,0,$BY37,$BX37,$BZ37,$AJ37,1,12)*$CB37,0)</f>
        <v>-1.1487443637732494E-7</v>
      </c>
      <c r="BI37" s="137">
        <f>_xll.xSPRDOPT($BW37,$BV37,$CG37,2*LN(1+CA37/2),$BY37,$BX37,$BZ37,$AJ37,1,9)</f>
        <v>1.3176448474529404E-2</v>
      </c>
      <c r="BJ37" s="137">
        <f>_xll.xSPRDOPT($BW37,$BV37,$CG37,0,$BY37,$BX37,$BZ37,$AJ37,1,6)*$CB37</f>
        <v>3.0558442997236633E-7</v>
      </c>
      <c r="BK37" s="137">
        <f>_xll.xSPRDOPT($BW37,$BV37,$CG37,0,$BY37,$BX37,$BZ37,$AJ37,1,5)*$CB37</f>
        <v>-3.5621008130631905E-7</v>
      </c>
      <c r="BL37" s="137">
        <f>_xll.xSPRDOPT(BW37,BV37,CG37,0,BY37,BX37,BZ37,AJ37,1,2)*CB37</f>
        <v>-0.96363672218729723</v>
      </c>
      <c r="BM37" s="137">
        <f>_xll.xSPRDOPT(BW37,BV37,CG37,0,BY37,BX37,BZ37,AJ37,1,1)*CB37</f>
        <v>0.9636367221916794</v>
      </c>
      <c r="BN37" s="137">
        <f>IF(AH37&lt;&gt;0,_xll.xSPRDOPT($BW37,$BV37,$CG37,2*LN(1+CA37/2),$BY37,$BX37,$BZ37,$AJ37,1,8)+(AJ37/365.25)*CH37/AH37,0)</f>
        <v>-0.15019757515657528</v>
      </c>
      <c r="BO37" s="137">
        <f>_xll.xSPRDOPT($BW37,$BV37,$CG37,0,$BY37,$BX37,$BZ37,$AJ37,1,0)</f>
        <v>0.4921990255228767</v>
      </c>
      <c r="BP37" s="137"/>
      <c r="BQ37" s="137"/>
      <c r="BR37" s="137"/>
      <c r="BS37" s="137"/>
      <c r="BV37" s="262">
        <v>3.1964010282776347</v>
      </c>
      <c r="BW37" s="136">
        <v>3.726</v>
      </c>
      <c r="BX37" s="137">
        <v>0.38887554967527327</v>
      </c>
      <c r="BY37" s="137">
        <v>0.38887554967527327</v>
      </c>
      <c r="BZ37" s="137">
        <v>1</v>
      </c>
      <c r="CA37" s="137">
        <v>2.79745964320606E-2</v>
      </c>
      <c r="CB37" s="137">
        <v>0.96363661599031902</v>
      </c>
      <c r="CC37" s="258">
        <v>-2.2499999999999999E-2</v>
      </c>
      <c r="CD37" s="258">
        <v>5.0000000000000001E-3</v>
      </c>
      <c r="CE37" s="258">
        <v>0.6</v>
      </c>
      <c r="CF37" s="258">
        <v>0</v>
      </c>
      <c r="CG37" s="258">
        <v>3.7400000000000003E-2</v>
      </c>
      <c r="CH37" s="258">
        <v>10.849584659435003</v>
      </c>
      <c r="CI37" s="258">
        <v>3.1259999999999999</v>
      </c>
      <c r="CJ37" s="258"/>
      <c r="CK37" s="258"/>
      <c r="CL37" s="258"/>
      <c r="CM37" s="258"/>
    </row>
    <row r="38" spans="1:91" x14ac:dyDescent="0.25">
      <c r="A38" s="723"/>
      <c r="B38" s="723"/>
      <c r="D38" s="31">
        <f t="shared" si="47"/>
        <v>37756</v>
      </c>
      <c r="F38" s="28">
        <f t="shared" si="12"/>
        <v>148</v>
      </c>
      <c r="G38" s="28">
        <f t="shared" si="13"/>
        <v>142.13054850104507</v>
      </c>
      <c r="H38" s="52">
        <f t="shared" si="14"/>
        <v>3.1974293059125962</v>
      </c>
      <c r="I38" s="52">
        <f t="shared" si="15"/>
        <v>3.8769999999999998</v>
      </c>
      <c r="K38" s="52">
        <f t="shared" si="16"/>
        <v>19.117799070541377</v>
      </c>
      <c r="L38" s="135">
        <f t="shared" si="17"/>
        <v>2.1009035862107339E-6</v>
      </c>
      <c r="N38" s="131">
        <f t="shared" si="48"/>
        <v>0.3761805213924197</v>
      </c>
      <c r="O38" s="131">
        <f t="shared" si="49"/>
        <v>0.3761805213924197</v>
      </c>
      <c r="P38" s="55">
        <f t="shared" si="50"/>
        <v>1.0000000000000002</v>
      </c>
      <c r="Q38" s="135">
        <f>_xll.xSPRDOPT(I38,H38,AQ38,0,O38,N38,P38,D38-$G$5,1,0)*AH38*AU38</f>
        <v>19.117801171444963</v>
      </c>
      <c r="R38" s="135"/>
      <c r="S38" s="181">
        <f>_xll.xSPRDOPT(I38,H38,AQ38,AT38,O38,N38,P38,D38-$G$5,1,2)*AF38*(F38/(1-AR38))*AH38</f>
        <v>-4529.3159560944505</v>
      </c>
      <c r="T38" s="181">
        <f>_xll.xSPRDOPT(I38,H38,AQ38,AT38,O38,N38,P38,D38-$G$5,1,1)*AF38*F38*AH38</f>
        <v>4404.759767260126</v>
      </c>
      <c r="U38" s="135"/>
      <c r="V38" s="146">
        <f t="shared" si="18"/>
        <v>11.172901624498031</v>
      </c>
      <c r="W38" s="146"/>
      <c r="X38" s="338">
        <f t="shared" si="19"/>
        <v>0</v>
      </c>
      <c r="Y38" s="338">
        <f t="shared" si="20"/>
        <v>0</v>
      </c>
      <c r="Z38" s="338">
        <f t="shared" si="21"/>
        <v>0.66811120723065964</v>
      </c>
      <c r="AA38" s="338">
        <f t="shared" si="22"/>
        <v>-6.7441374616791284E-9</v>
      </c>
      <c r="AB38" s="338">
        <f t="shared" si="23"/>
        <v>0</v>
      </c>
      <c r="AC38" s="338">
        <f t="shared" si="24"/>
        <v>0.67293692117135506</v>
      </c>
      <c r="AF38" s="138">
        <f t="shared" si="25"/>
        <v>1</v>
      </c>
      <c r="AG38" s="138">
        <f t="shared" si="26"/>
        <v>5</v>
      </c>
      <c r="AH38" s="138">
        <f t="shared" si="27"/>
        <v>31</v>
      </c>
      <c r="AI38" s="138">
        <f t="shared" si="51"/>
        <v>500</v>
      </c>
      <c r="AJ38" s="138">
        <f t="shared" si="28"/>
        <v>517</v>
      </c>
      <c r="AL38" s="136">
        <f t="shared" si="29"/>
        <v>3.1269999999999998</v>
      </c>
      <c r="AM38" s="258">
        <f t="shared" si="30"/>
        <v>-2.2499999999999999E-2</v>
      </c>
      <c r="AN38" s="258">
        <f t="shared" si="31"/>
        <v>5.0000000000000001E-3</v>
      </c>
      <c r="AO38" s="258">
        <f t="shared" si="32"/>
        <v>0.75</v>
      </c>
      <c r="AP38" s="258">
        <f t="shared" si="33"/>
        <v>0</v>
      </c>
      <c r="AQ38" s="136">
        <f t="shared" si="34"/>
        <v>3.7400000000000003E-2</v>
      </c>
      <c r="AR38" s="137">
        <f t="shared" si="35"/>
        <v>2.75E-2</v>
      </c>
      <c r="AS38" s="136">
        <f t="shared" si="36"/>
        <v>3.1094999999999997</v>
      </c>
      <c r="AT38" s="137">
        <f t="shared" si="37"/>
        <v>2.8963180076380102E-2</v>
      </c>
      <c r="AU38" s="137">
        <f t="shared" si="38"/>
        <v>0.96034154392598015</v>
      </c>
      <c r="AV38" s="394">
        <f t="shared" si="39"/>
        <v>119.08235144682153</v>
      </c>
      <c r="AW38" s="137">
        <f t="shared" si="40"/>
        <v>0.3725</v>
      </c>
      <c r="AX38" s="137">
        <f t="shared" si="41"/>
        <v>0.48</v>
      </c>
      <c r="AY38" s="137">
        <f t="shared" si="42"/>
        <v>0.48</v>
      </c>
      <c r="AZ38" s="137"/>
      <c r="BA38" s="264"/>
      <c r="BB38" s="258">
        <f t="shared" si="43"/>
        <v>0</v>
      </c>
      <c r="BC38" s="258">
        <f t="shared" si="44"/>
        <v>0</v>
      </c>
      <c r="BD38" s="137">
        <f t="shared" si="45"/>
        <v>2.1191627312566741E-5</v>
      </c>
      <c r="BE38" s="137">
        <f t="shared" si="46"/>
        <v>2.1191627312566741E-5</v>
      </c>
      <c r="BF38" s="137">
        <f>_xll.xSPRDOPT($BW38,$BV38,$CG38,0,$BY38,$BX38,$BZ38,$AJ38,1,4)*$CB38</f>
        <v>4.5781839031827606E-7</v>
      </c>
      <c r="BG38" s="137">
        <f>_xll.xSPRDOPT($BW38,$BV38,$CG38,0,$BY38,$BX38,$BZ38,$AJ38,1,3)*$CB38</f>
        <v>0</v>
      </c>
      <c r="BH38" s="137">
        <f>IF(OR(BF38&lt;&gt;0,BG38&lt;&gt;0),_xll.xSPRDOPT($BW38,$BV38,$CG38,0,$BY38,$BX38,$BZ38,$AJ38,1,12)*$CB38,0)</f>
        <v>1.030091378216121E-6</v>
      </c>
      <c r="BI38" s="137">
        <f>_xll.xSPRDOPT($BW38,$BV38,$CG38,2*LN(1+CA38/2),$BY38,$BX38,$BZ38,$AJ38,1,9)</f>
        <v>1.7729411395015868E-2</v>
      </c>
      <c r="BJ38" s="137">
        <f>_xll.xSPRDOPT($BW38,$BV38,$CG38,0,$BY38,$BX38,$BZ38,$AJ38,1,6)*$CB38</f>
        <v>3.264353553231592E-7</v>
      </c>
      <c r="BK38" s="137">
        <f>_xll.xSPRDOPT($BW38,$BV38,$CG38,0,$BY38,$BX38,$BZ38,$AJ38,1,5)*$CB38</f>
        <v>-3.9580008479342394E-7</v>
      </c>
      <c r="BL38" s="137">
        <f>_xll.xSPRDOPT(BW38,BV38,CG38,0,BY38,BX38,BZ38,AJ38,1,2)*CB38</f>
        <v>-0.96011485941677333</v>
      </c>
      <c r="BM38" s="137">
        <f>_xll.xSPRDOPT(BW38,BV38,CG38,0,BY38,BX38,BZ38,AJ38,1,1)*CB38</f>
        <v>0.96011485940978758</v>
      </c>
      <c r="BN38" s="137">
        <f>IF(AH38&lt;&gt;0,_xll.xSPRDOPT($BW38,$BV38,$CG38,2*LN(1+CA38/2),$BY38,$BX38,$BZ38,$AJ38,1,8)+(AJ38/365.25)*CH38/AH38,0)</f>
        <v>-0.36268071343913388</v>
      </c>
      <c r="BO38" s="137">
        <f>_xll.xSPRDOPT($BW38,$BV38,$CG38,0,$BY38,$BX38,$BZ38,$AJ38,1,0)</f>
        <v>0.6421707645798318</v>
      </c>
      <c r="BP38" s="137"/>
      <c r="BQ38" s="137"/>
      <c r="BR38" s="137"/>
      <c r="BS38" s="137"/>
      <c r="BV38" s="262">
        <v>3.1974293059125962</v>
      </c>
      <c r="BW38" s="136">
        <v>3.8769999999999998</v>
      </c>
      <c r="BX38" s="137">
        <v>0.37615932976510713</v>
      </c>
      <c r="BY38" s="137">
        <v>0.37615932976510713</v>
      </c>
      <c r="BZ38" s="137">
        <v>1</v>
      </c>
      <c r="CA38" s="137">
        <v>2.8963180076380102E-2</v>
      </c>
      <c r="CB38" s="137">
        <v>0.96011475289275328</v>
      </c>
      <c r="CC38" s="258">
        <v>-2.2499999999999999E-2</v>
      </c>
      <c r="CD38" s="258">
        <v>5.0000000000000001E-3</v>
      </c>
      <c r="CE38" s="258">
        <v>0.75</v>
      </c>
      <c r="CF38" s="258">
        <v>0</v>
      </c>
      <c r="CG38" s="258">
        <v>3.7400000000000003E-2</v>
      </c>
      <c r="CH38" s="258">
        <v>11.170263069580161</v>
      </c>
      <c r="CI38" s="258">
        <v>3.1269999999999998</v>
      </c>
      <c r="CJ38" s="258"/>
      <c r="CK38" s="258"/>
      <c r="CL38" s="258"/>
      <c r="CM38" s="258"/>
    </row>
    <row r="39" spans="1:91" x14ac:dyDescent="0.25">
      <c r="A39" s="723"/>
      <c r="B39" s="723"/>
      <c r="D39" s="31">
        <f t="shared" si="47"/>
        <v>37787</v>
      </c>
      <c r="F39" s="28">
        <f t="shared" si="12"/>
        <v>148</v>
      </c>
      <c r="G39" s="28">
        <f t="shared" si="13"/>
        <v>141.57127349375571</v>
      </c>
      <c r="H39" s="52">
        <f t="shared" si="14"/>
        <v>3.2359897172236503</v>
      </c>
      <c r="I39" s="52">
        <f t="shared" si="15"/>
        <v>4.0119999999999996</v>
      </c>
      <c r="K39" s="52">
        <f t="shared" si="16"/>
        <v>21.195810475992729</v>
      </c>
      <c r="L39" s="135">
        <f t="shared" si="17"/>
        <v>2.3065742027483793E-6</v>
      </c>
      <c r="N39" s="131">
        <f t="shared" si="48"/>
        <v>0.37586425134556289</v>
      </c>
      <c r="O39" s="131">
        <f t="shared" si="49"/>
        <v>0.37586425134556289</v>
      </c>
      <c r="P39" s="55">
        <f t="shared" si="50"/>
        <v>0.99999999999999978</v>
      </c>
      <c r="Q39" s="135">
        <f>_xll.xSPRDOPT(I39,H39,AQ39,0,O39,N39,P39,D39-$G$5,1,0)*AH39*AU39</f>
        <v>21.195812782566932</v>
      </c>
      <c r="R39" s="135"/>
      <c r="S39" s="181">
        <f>_xll.xSPRDOPT(I39,H39,AQ39,AT39,O39,N39,P39,D39-$G$5,1,2)*AF39*(F39/(1-AR39))*AH39</f>
        <v>-4365.7877116878863</v>
      </c>
      <c r="T39" s="181">
        <f>_xll.xSPRDOPT(I39,H39,AQ39,AT39,O39,N39,P39,D39-$G$5,1,1)*AF39*F39*AH39</f>
        <v>4245.7285496568511</v>
      </c>
      <c r="U39" s="135"/>
      <c r="V39" s="146">
        <f t="shared" si="18"/>
        <v>10.769938974771593</v>
      </c>
      <c r="W39" s="146"/>
      <c r="X39" s="338">
        <f t="shared" si="19"/>
        <v>0</v>
      </c>
      <c r="Y39" s="338">
        <f t="shared" si="20"/>
        <v>0</v>
      </c>
      <c r="Z39" s="338">
        <f t="shared" si="21"/>
        <v>0.76665757378307042</v>
      </c>
      <c r="AA39" s="338">
        <f t="shared" si="22"/>
        <v>-6.7845622144626933E-9</v>
      </c>
      <c r="AB39" s="338">
        <f t="shared" si="23"/>
        <v>0</v>
      </c>
      <c r="AC39" s="338">
        <f t="shared" si="24"/>
        <v>0.77238993848464499</v>
      </c>
      <c r="AF39" s="138">
        <f t="shared" si="25"/>
        <v>1</v>
      </c>
      <c r="AG39" s="138">
        <f t="shared" si="26"/>
        <v>6</v>
      </c>
      <c r="AH39" s="138">
        <f t="shared" si="27"/>
        <v>30</v>
      </c>
      <c r="AI39" s="138">
        <f t="shared" si="51"/>
        <v>531</v>
      </c>
      <c r="AJ39" s="138">
        <f t="shared" si="28"/>
        <v>548</v>
      </c>
      <c r="AL39" s="136">
        <f t="shared" si="29"/>
        <v>3.1619999999999999</v>
      </c>
      <c r="AM39" s="258">
        <f t="shared" si="30"/>
        <v>-0.02</v>
      </c>
      <c r="AN39" s="258">
        <f t="shared" si="31"/>
        <v>5.0000000000000001E-3</v>
      </c>
      <c r="AO39" s="258">
        <f t="shared" si="32"/>
        <v>0.85</v>
      </c>
      <c r="AP39" s="258">
        <f t="shared" si="33"/>
        <v>0</v>
      </c>
      <c r="AQ39" s="136">
        <f t="shared" si="34"/>
        <v>3.7400000000000003E-2</v>
      </c>
      <c r="AR39" s="137">
        <f t="shared" si="35"/>
        <v>2.75E-2</v>
      </c>
      <c r="AS39" s="136">
        <f t="shared" si="36"/>
        <v>3.1469999999999998</v>
      </c>
      <c r="AT39" s="137">
        <f t="shared" si="37"/>
        <v>2.99847168551968E-2</v>
      </c>
      <c r="AU39" s="137">
        <f t="shared" si="38"/>
        <v>0.95656265874159274</v>
      </c>
      <c r="AV39" s="394">
        <f t="shared" si="39"/>
        <v>114.78751904899113</v>
      </c>
      <c r="AW39" s="137">
        <f t="shared" si="40"/>
        <v>0.3725</v>
      </c>
      <c r="AX39" s="137">
        <f t="shared" si="41"/>
        <v>0.48</v>
      </c>
      <c r="AY39" s="137">
        <f t="shared" si="42"/>
        <v>0.48</v>
      </c>
      <c r="AZ39" s="137"/>
      <c r="BA39" s="264"/>
      <c r="BB39" s="258">
        <f t="shared" si="43"/>
        <v>0</v>
      </c>
      <c r="BC39" s="258">
        <f t="shared" si="44"/>
        <v>0</v>
      </c>
      <c r="BD39" s="137">
        <f t="shared" si="45"/>
        <v>1.8302058320429637E-5</v>
      </c>
      <c r="BE39" s="137">
        <f t="shared" si="46"/>
        <v>1.8302058320429637E-5</v>
      </c>
      <c r="BF39" s="137">
        <f>_xll.xSPRDOPT($BW39,$BV39,$CG39,0,$BY39,$BX39,$BZ39,$AJ39,1,4)*$CB39</f>
        <v>-2.2800656618867693E-7</v>
      </c>
      <c r="BG39" s="137">
        <f>_xll.xSPRDOPT($BW39,$BV39,$CG39,0,$BY39,$BX39,$BZ39,$AJ39,1,3)*$CB39</f>
        <v>-1.1400328309433846E-6</v>
      </c>
      <c r="BH39" s="137">
        <f>IF(OR(BF39&lt;&gt;0,BG39&lt;&gt;0),_xll.xSPRDOPT($BW39,$BV39,$CG39,0,$BY39,$BX39,$BZ39,$AJ39,1,12)*$CB39,0)</f>
        <v>3.4200984928301542E-7</v>
      </c>
      <c r="BI39" s="137">
        <f>_xll.xSPRDOPT($BW39,$BV39,$CG39,2*LN(1+CA39/2),$BY39,$BX39,$BZ39,$AJ39,1,9)</f>
        <v>2.1022648560380365E-2</v>
      </c>
      <c r="BJ39" s="137">
        <f>_xll.xSPRDOPT($BW39,$BV39,$CG39,0,$BY39,$BX39,$BZ39,$AJ39,1,6)*$CB39</f>
        <v>3.4819819647053096E-7</v>
      </c>
      <c r="BK39" s="137">
        <f>_xll.xSPRDOPT($BW39,$BV39,$CG39,0,$BY39,$BX39,$BZ39,$AJ39,1,5)*$CB39</f>
        <v>-4.3168905449611295E-7</v>
      </c>
      <c r="BL39" s="137">
        <f>_xll.xSPRDOPT(BW39,BV39,CG39,0,BY39,BX39,BZ39,AJ39,1,2)*CB39</f>
        <v>-0.95632895757165903</v>
      </c>
      <c r="BM39" s="137">
        <f>_xll.xSPRDOPT(BW39,BV39,CG39,0,BY39,BX39,BZ39,AJ39,1,1)*CB39</f>
        <v>0.95632895757687764</v>
      </c>
      <c r="BN39" s="137">
        <f>IF(AH39&lt;&gt;0,_xll.xSPRDOPT($BW39,$BV39,$CG39,2*LN(1+CA39/2),$BY39,$BX39,$BZ39,$AJ39,1,8)+(AJ39/365.25)*CH39/AH39,0)</f>
        <v>-0.5212851802583216</v>
      </c>
      <c r="BO39" s="137">
        <f>_xll.xSPRDOPT($BW39,$BV39,$CG39,0,$BY39,$BX39,$BZ39,$AJ39,1,0)</f>
        <v>0.73861036306528727</v>
      </c>
      <c r="BP39" s="137"/>
      <c r="BQ39" s="137"/>
      <c r="BR39" s="137"/>
      <c r="BS39" s="137"/>
      <c r="BV39" s="262">
        <v>3.2359897172236503</v>
      </c>
      <c r="BW39" s="136">
        <v>4.0119999999999996</v>
      </c>
      <c r="BX39" s="137">
        <v>0.37584594928724246</v>
      </c>
      <c r="BY39" s="137">
        <v>0.37584594928724246</v>
      </c>
      <c r="BZ39" s="137">
        <v>1</v>
      </c>
      <c r="CA39" s="137">
        <v>2.99847168551968E-2</v>
      </c>
      <c r="CB39" s="137">
        <v>0.95632885259143241</v>
      </c>
      <c r="CC39" s="258">
        <v>-0.02</v>
      </c>
      <c r="CD39" s="258">
        <v>5.0000000000000001E-3</v>
      </c>
      <c r="CE39" s="258">
        <v>0.85</v>
      </c>
      <c r="CF39" s="258">
        <v>0</v>
      </c>
      <c r="CG39" s="258">
        <v>3.7400000000000003E-2</v>
      </c>
      <c r="CH39" s="258">
        <v>10.767306551326937</v>
      </c>
      <c r="CI39" s="258">
        <v>3.1619999999999999</v>
      </c>
      <c r="CJ39" s="258"/>
      <c r="CK39" s="258"/>
      <c r="CL39" s="258"/>
      <c r="CM39" s="258"/>
    </row>
    <row r="40" spans="1:91" x14ac:dyDescent="0.25">
      <c r="A40" s="723"/>
      <c r="B40" s="723"/>
      <c r="D40" s="31">
        <f t="shared" si="47"/>
        <v>37817</v>
      </c>
      <c r="F40" s="28">
        <f t="shared" si="12"/>
        <v>148</v>
      </c>
      <c r="G40" s="28">
        <f t="shared" si="13"/>
        <v>141.01105094678314</v>
      </c>
      <c r="H40" s="52">
        <f t="shared" si="14"/>
        <v>3.2791773778920308</v>
      </c>
      <c r="I40" s="52">
        <f t="shared" si="15"/>
        <v>4.2540000000000004</v>
      </c>
      <c r="K40" s="52">
        <f t="shared" si="16"/>
        <v>27.687806911261838</v>
      </c>
      <c r="L40" s="135">
        <f t="shared" si="17"/>
        <v>2.9801323009337466E-6</v>
      </c>
      <c r="N40" s="131">
        <f t="shared" si="48"/>
        <v>0.37759499646180722</v>
      </c>
      <c r="O40" s="131">
        <f t="shared" si="49"/>
        <v>0.37759499646180722</v>
      </c>
      <c r="P40" s="55">
        <f t="shared" si="50"/>
        <v>1</v>
      </c>
      <c r="Q40" s="135">
        <f>_xll.xSPRDOPT(I40,H40,AQ40,0,O40,N40,P40,D40-$G$5,1,0)*AH40*AU40</f>
        <v>27.687809891394139</v>
      </c>
      <c r="R40" s="135"/>
      <c r="S40" s="181">
        <f>_xll.xSPRDOPT(I40,H40,AQ40,AT40,O40,N40,P40,D40-$G$5,1,2)*AF40*(F40/(1-AR40))*AH40</f>
        <v>-4493.2756561495871</v>
      </c>
      <c r="T40" s="181">
        <f>_xll.xSPRDOPT(I40,H40,AQ40,AT40,O40,N40,P40,D40-$G$5,1,1)*AF40*F40*AH40</f>
        <v>4369.7105755804369</v>
      </c>
      <c r="U40" s="135"/>
      <c r="V40" s="146">
        <f t="shared" si="18"/>
        <v>11.084897770474049</v>
      </c>
      <c r="W40" s="146"/>
      <c r="X40" s="338">
        <f t="shared" si="19"/>
        <v>0</v>
      </c>
      <c r="Y40" s="338">
        <f t="shared" si="20"/>
        <v>0</v>
      </c>
      <c r="Z40" s="338">
        <f t="shared" si="21"/>
        <v>1.0339664029673745</v>
      </c>
      <c r="AA40" s="338">
        <f t="shared" si="22"/>
        <v>-1.3296823088121168E-8</v>
      </c>
      <c r="AB40" s="338">
        <f t="shared" si="23"/>
        <v>0</v>
      </c>
      <c r="AC40" s="338">
        <f t="shared" si="24"/>
        <v>1.0419496701775273</v>
      </c>
      <c r="AF40" s="138">
        <f t="shared" si="25"/>
        <v>1</v>
      </c>
      <c r="AG40" s="138">
        <f t="shared" si="26"/>
        <v>7</v>
      </c>
      <c r="AH40" s="138">
        <f t="shared" si="27"/>
        <v>31</v>
      </c>
      <c r="AI40" s="138">
        <f t="shared" si="51"/>
        <v>561</v>
      </c>
      <c r="AJ40" s="138">
        <f t="shared" si="28"/>
        <v>578</v>
      </c>
      <c r="AL40" s="136">
        <f t="shared" si="29"/>
        <v>3.2040000000000002</v>
      </c>
      <c r="AM40" s="258">
        <f t="shared" si="30"/>
        <v>-0.02</v>
      </c>
      <c r="AN40" s="258">
        <f t="shared" si="31"/>
        <v>5.0000000000000001E-3</v>
      </c>
      <c r="AO40" s="258">
        <f t="shared" si="32"/>
        <v>1.05</v>
      </c>
      <c r="AP40" s="258">
        <f t="shared" si="33"/>
        <v>0</v>
      </c>
      <c r="AQ40" s="136">
        <f t="shared" si="34"/>
        <v>3.7400000000000003E-2</v>
      </c>
      <c r="AR40" s="137">
        <f t="shared" si="35"/>
        <v>2.75E-2</v>
      </c>
      <c r="AS40" s="136">
        <f t="shared" si="36"/>
        <v>3.1890000000000001</v>
      </c>
      <c r="AT40" s="137">
        <f t="shared" si="37"/>
        <v>3.0965279300479799E-2</v>
      </c>
      <c r="AU40" s="137">
        <f t="shared" si="38"/>
        <v>0.9527773712620482</v>
      </c>
      <c r="AV40" s="394">
        <f t="shared" si="39"/>
        <v>118.14439403649398</v>
      </c>
      <c r="AW40" s="137">
        <f t="shared" si="40"/>
        <v>0.3725</v>
      </c>
      <c r="AX40" s="137">
        <f t="shared" si="41"/>
        <v>0.53</v>
      </c>
      <c r="AY40" s="137">
        <f t="shared" si="42"/>
        <v>0.53</v>
      </c>
      <c r="AZ40" s="137"/>
      <c r="BA40" s="264"/>
      <c r="BB40" s="258">
        <f t="shared" si="43"/>
        <v>0</v>
      </c>
      <c r="BC40" s="258">
        <f t="shared" si="44"/>
        <v>0</v>
      </c>
      <c r="BD40" s="137">
        <f t="shared" si="45"/>
        <v>2.6199126392512095E-5</v>
      </c>
      <c r="BE40" s="137">
        <f t="shared" si="46"/>
        <v>2.6199126392512095E-5</v>
      </c>
      <c r="BF40" s="137">
        <f>_xll.xSPRDOPT($BW40,$BV40,$CG40,0,$BY40,$BX40,$BZ40,$AJ40,1,4)*$CB40</f>
        <v>-1.1355125114893561E-6</v>
      </c>
      <c r="BG40" s="137">
        <f>_xll.xSPRDOPT($BW40,$BV40,$CG40,0,$BY40,$BX40,$BZ40,$AJ40,1,3)*$CB40</f>
        <v>-6.8130750689361358E-7</v>
      </c>
      <c r="BH40" s="137">
        <f>IF(OR(BF40&lt;&gt;0,BG40&lt;&gt;0),_xll.xSPRDOPT($BW40,$BV40,$CG40,0,$BY40,$BX40,$BZ40,$AJ40,1,12)*$CB40,0)</f>
        <v>4.5420500459574238E-7</v>
      </c>
      <c r="BI40" s="137">
        <f>_xll.xSPRDOPT($BW40,$BV40,$CG40,2*LN(1+CA40/2),$BY40,$BX40,$BZ40,$AJ40,1,9)</f>
        <v>2.7437970697750187E-2</v>
      </c>
      <c r="BJ40" s="137">
        <f>_xll.xSPRDOPT($BW40,$BV40,$CG40,0,$BY40,$BX40,$BZ40,$AJ40,1,6)*$CB40</f>
        <v>3.7210080458879019E-7</v>
      </c>
      <c r="BK40" s="137">
        <f>_xll.xSPRDOPT($BW40,$BV40,$CG40,0,$BY40,$BX40,$BZ40,$AJ40,1,5)*$CB40</f>
        <v>-4.827218278146489E-7</v>
      </c>
      <c r="BL40" s="137">
        <f>_xll.xSPRDOPT(BW40,BV40,CG40,0,BY40,BX40,BZ40,AJ40,1,2)*CB40</f>
        <v>-0.95253703706764914</v>
      </c>
      <c r="BM40" s="137">
        <f>_xll.xSPRDOPT(BW40,BV40,CG40,0,BY40,BX40,BZ40,AJ40,1,1)*CB40</f>
        <v>0.95253703705898585</v>
      </c>
      <c r="BN40" s="137">
        <f>IF(AH40&lt;&gt;0,_xll.xSPRDOPT($BW40,$BV40,$CG40,2*LN(1+CA40/2),$BY40,$BX40,$BZ40,$AJ40,1,8)+(AJ40/365.25)*CH40/AH40,0)</f>
        <v>-0.8473260904130735</v>
      </c>
      <c r="BO40" s="137">
        <f>_xll.xSPRDOPT($BW40,$BV40,$CG40,0,$BY40,$BX40,$BZ40,$AJ40,1,0)</f>
        <v>0.93742272289517092</v>
      </c>
      <c r="BP40" s="137"/>
      <c r="BQ40" s="137"/>
      <c r="BR40" s="137"/>
      <c r="BS40" s="137"/>
      <c r="BV40" s="262">
        <v>3.2791773778920308</v>
      </c>
      <c r="BW40" s="136">
        <v>4.2540000000000004</v>
      </c>
      <c r="BX40" s="137">
        <v>0.37756879733541471</v>
      </c>
      <c r="BY40" s="137">
        <v>0.37756879733541471</v>
      </c>
      <c r="BZ40" s="137">
        <v>1</v>
      </c>
      <c r="CA40" s="137">
        <v>3.0965279300479799E-2</v>
      </c>
      <c r="CB40" s="137">
        <v>0.95253693379797033</v>
      </c>
      <c r="CC40" s="258">
        <v>-0.02</v>
      </c>
      <c r="CD40" s="258">
        <v>5.0000000000000001E-3</v>
      </c>
      <c r="CE40" s="258">
        <v>1.05</v>
      </c>
      <c r="CF40" s="258">
        <v>0</v>
      </c>
      <c r="CG40" s="258">
        <v>3.7400000000000003E-2</v>
      </c>
      <c r="CH40" s="258">
        <v>11.082100448885727</v>
      </c>
      <c r="CI40" s="258">
        <v>3.2040000000000002</v>
      </c>
      <c r="CJ40" s="258"/>
      <c r="CK40" s="258"/>
      <c r="CL40" s="258"/>
      <c r="CM40" s="258"/>
    </row>
    <row r="41" spans="1:91" x14ac:dyDescent="0.25">
      <c r="A41" s="723"/>
      <c r="B41" s="723"/>
      <c r="D41" s="31">
        <f t="shared" si="47"/>
        <v>37848</v>
      </c>
      <c r="F41" s="28">
        <f t="shared" si="12"/>
        <v>148</v>
      </c>
      <c r="G41" s="28">
        <f t="shared" si="13"/>
        <v>140.41381543881113</v>
      </c>
      <c r="H41" s="52">
        <f t="shared" si="14"/>
        <v>3.3223650385604109</v>
      </c>
      <c r="I41" s="52">
        <f t="shared" si="15"/>
        <v>4.2960000000000003</v>
      </c>
      <c r="K41" s="52">
        <f t="shared" si="16"/>
        <v>27.535608213318717</v>
      </c>
      <c r="L41" s="135">
        <f t="shared" si="17"/>
        <v>2.92341130858631E-6</v>
      </c>
      <c r="N41" s="131">
        <f t="shared" si="48"/>
        <v>0.37920840226144648</v>
      </c>
      <c r="O41" s="131">
        <f t="shared" si="49"/>
        <v>0.37920840226144648</v>
      </c>
      <c r="P41" s="55">
        <f t="shared" si="50"/>
        <v>1</v>
      </c>
      <c r="Q41" s="135">
        <f>_xll.xSPRDOPT(I41,H41,AQ41,0,O41,N41,P41,D41-$G$5,1,0)*AH41*AU41</f>
        <v>27.535611136730026</v>
      </c>
      <c r="R41" s="135"/>
      <c r="S41" s="181">
        <f>_xll.xSPRDOPT(I41,H41,AQ41,AT41,O41,N41,P41,D41-$G$5,1,2)*AF41*(F41/(1-AR41))*AH41</f>
        <v>-4474.0396292404039</v>
      </c>
      <c r="T41" s="181">
        <f>_xll.xSPRDOPT(I41,H41,AQ41,AT41,O41,N41,P41,D41-$G$5,1,1)*AF41*F41*AH41</f>
        <v>4351.0035394362931</v>
      </c>
      <c r="U41" s="135"/>
      <c r="V41" s="146">
        <f t="shared" si="18"/>
        <v>11.037949006484869</v>
      </c>
      <c r="W41" s="146"/>
      <c r="X41" s="338">
        <f t="shared" si="19"/>
        <v>0</v>
      </c>
      <c r="Y41" s="338">
        <f t="shared" si="20"/>
        <v>0</v>
      </c>
      <c r="Z41" s="338">
        <f t="shared" si="21"/>
        <v>1.0612792366430321</v>
      </c>
      <c r="AA41" s="338">
        <f t="shared" si="22"/>
        <v>-1.7425147497302559E-8</v>
      </c>
      <c r="AB41" s="338">
        <f t="shared" si="23"/>
        <v>0</v>
      </c>
      <c r="AC41" s="338">
        <f t="shared" si="24"/>
        <v>1.0697378201233985</v>
      </c>
      <c r="AF41" s="138">
        <f t="shared" si="25"/>
        <v>1</v>
      </c>
      <c r="AG41" s="138">
        <f t="shared" si="26"/>
        <v>8</v>
      </c>
      <c r="AH41" s="138">
        <f t="shared" si="27"/>
        <v>31</v>
      </c>
      <c r="AI41" s="138">
        <f t="shared" si="51"/>
        <v>592</v>
      </c>
      <c r="AJ41" s="138">
        <f t="shared" si="28"/>
        <v>609</v>
      </c>
      <c r="AL41" s="136">
        <f t="shared" si="29"/>
        <v>3.246</v>
      </c>
      <c r="AM41" s="258">
        <f t="shared" si="30"/>
        <v>-0.02</v>
      </c>
      <c r="AN41" s="258">
        <f t="shared" si="31"/>
        <v>5.0000000000000001E-3</v>
      </c>
      <c r="AO41" s="258">
        <f t="shared" si="32"/>
        <v>1.05</v>
      </c>
      <c r="AP41" s="258">
        <f t="shared" si="33"/>
        <v>0</v>
      </c>
      <c r="AQ41" s="136">
        <f t="shared" si="34"/>
        <v>3.7400000000000003E-2</v>
      </c>
      <c r="AR41" s="137">
        <f t="shared" si="35"/>
        <v>2.75E-2</v>
      </c>
      <c r="AS41" s="136">
        <f t="shared" si="36"/>
        <v>3.2309999999999999</v>
      </c>
      <c r="AT41" s="137">
        <f t="shared" si="37"/>
        <v>3.1967083332272501E-2</v>
      </c>
      <c r="AU41" s="137">
        <f t="shared" si="38"/>
        <v>0.94874199620818334</v>
      </c>
      <c r="AV41" s="394">
        <f t="shared" si="39"/>
        <v>117.64400752981473</v>
      </c>
      <c r="AW41" s="137">
        <f t="shared" si="40"/>
        <v>0.3725</v>
      </c>
      <c r="AX41" s="137">
        <f t="shared" si="41"/>
        <v>0.57999999999999996</v>
      </c>
      <c r="AY41" s="137">
        <f t="shared" si="42"/>
        <v>0.57999999999999996</v>
      </c>
      <c r="AZ41" s="137"/>
      <c r="BA41" s="264"/>
      <c r="BB41" s="258">
        <f t="shared" si="43"/>
        <v>0</v>
      </c>
      <c r="BC41" s="258">
        <f t="shared" si="44"/>
        <v>0</v>
      </c>
      <c r="BD41" s="137">
        <f t="shared" si="45"/>
        <v>3.2674943976684911E-5</v>
      </c>
      <c r="BE41" s="137">
        <f t="shared" si="46"/>
        <v>3.2674943976684911E-5</v>
      </c>
      <c r="BF41" s="137">
        <f>_xll.xSPRDOPT($BW41,$BV41,$CG41,0,$BY41,$BX41,$BZ41,$AJ41,1,4)*$CB41</f>
        <v>4.5227760952867273E-7</v>
      </c>
      <c r="BG41" s="137">
        <f>_xll.xSPRDOPT($BW41,$BV41,$CG41,0,$BY41,$BX41,$BZ41,$AJ41,1,3)*$CB41</f>
        <v>4.5227760952867273E-7</v>
      </c>
      <c r="BH41" s="137">
        <f>IF(OR(BF41&lt;&gt;0,BG41&lt;&gt;0),_xll.xSPRDOPT($BW41,$BV41,$CG41,0,$BY41,$BX41,$BZ41,$AJ41,1,12)*$CB41,0)</f>
        <v>-1.1306940238216818E-7</v>
      </c>
      <c r="BI41" s="137">
        <f>_xll.xSPRDOPT($BW41,$BV41,$CG41,2*LN(1+CA41/2),$BY41,$BX41,$BZ41,$AJ41,1,9)</f>
        <v>2.8162760911353352E-2</v>
      </c>
      <c r="BJ41" s="137">
        <f>_xll.xSPRDOPT($BW41,$BV41,$CG41,0,$BY41,$BX41,$BZ41,$AJ41,1,6)*$CB41</f>
        <v>3.967256752776032E-7</v>
      </c>
      <c r="BK41" s="137">
        <f>_xll.xSPRDOPT($BW41,$BV41,$CG41,0,$BY41,$BX41,$BZ41,$AJ41,1,5)*$CB41</f>
        <v>-5.12961018425861E-7</v>
      </c>
      <c r="BL41" s="137">
        <f>_xll.xSPRDOPT(BW41,BV41,CG41,0,BY41,BX41,BZ41,AJ41,1,2)*CB41</f>
        <v>-0.94849499487607591</v>
      </c>
      <c r="BM41" s="137">
        <f>_xll.xSPRDOPT(BW41,BV41,CG41,0,BY41,BX41,BZ41,AJ41,1,1)*CB41</f>
        <v>0.94849499487607591</v>
      </c>
      <c r="BN41" s="137">
        <f>IF(AH41&lt;&gt;0,_xll.xSPRDOPT($BW41,$BV41,$CG41,2*LN(1+CA41/2),$BY41,$BX41,$BZ41,$AJ41,1,8)+(AJ41/365.25)*CH41/AH41,0)</f>
        <v>-0.88710423199387856</v>
      </c>
      <c r="BO41" s="137">
        <f>_xll.xSPRDOPT($BW41,$BV41,$CG41,0,$BY41,$BX41,$BZ41,$AJ41,1,0)</f>
        <v>0.93623506072765972</v>
      </c>
      <c r="BP41" s="137"/>
      <c r="BQ41" s="137"/>
      <c r="BR41" s="137"/>
      <c r="BS41" s="137"/>
      <c r="BV41" s="262">
        <v>3.3223650385604109</v>
      </c>
      <c r="BW41" s="136">
        <v>4.2960000000000003</v>
      </c>
      <c r="BX41" s="137">
        <v>0.37917572731746979</v>
      </c>
      <c r="BY41" s="137">
        <v>0.37917572731746979</v>
      </c>
      <c r="BZ41" s="137">
        <v>1</v>
      </c>
      <c r="CA41" s="137">
        <v>3.1967083332272501E-2</v>
      </c>
      <c r="CB41" s="137">
        <v>0.94849489337827508</v>
      </c>
      <c r="CC41" s="258">
        <v>-0.02</v>
      </c>
      <c r="CD41" s="258">
        <v>5.0000000000000001E-3</v>
      </c>
      <c r="CE41" s="258">
        <v>1.05</v>
      </c>
      <c r="CF41" s="258">
        <v>0</v>
      </c>
      <c r="CG41" s="258">
        <v>3.7400000000000003E-2</v>
      </c>
      <c r="CH41" s="258">
        <v>11.035074138030867</v>
      </c>
      <c r="CI41" s="258">
        <v>3.246</v>
      </c>
      <c r="CJ41" s="258"/>
      <c r="CK41" s="258"/>
      <c r="CL41" s="258"/>
      <c r="CM41" s="258"/>
    </row>
    <row r="42" spans="1:91" x14ac:dyDescent="0.25">
      <c r="A42" s="723"/>
      <c r="B42" s="723"/>
      <c r="D42" s="31">
        <f t="shared" si="47"/>
        <v>37879</v>
      </c>
      <c r="F42" s="28">
        <f t="shared" si="12"/>
        <v>148</v>
      </c>
      <c r="G42" s="28">
        <f t="shared" si="13"/>
        <v>139.79582148244953</v>
      </c>
      <c r="H42" s="52">
        <f t="shared" si="14"/>
        <v>3.3120822622107968</v>
      </c>
      <c r="I42" s="52">
        <f t="shared" si="15"/>
        <v>3.9910000000000001</v>
      </c>
      <c r="K42" s="52">
        <f t="shared" si="16"/>
        <v>18.178682260095471</v>
      </c>
      <c r="L42" s="135">
        <f t="shared" si="17"/>
        <v>1.9069821917128138E-6</v>
      </c>
      <c r="N42" s="131">
        <f t="shared" si="48"/>
        <v>0.3762850500238793</v>
      </c>
      <c r="O42" s="131">
        <f t="shared" si="49"/>
        <v>0.3762850500238793</v>
      </c>
      <c r="P42" s="55">
        <f t="shared" si="50"/>
        <v>1.0000000000000002</v>
      </c>
      <c r="Q42" s="135">
        <f>_xll.xSPRDOPT(I42,H42,AQ42,0,O42,N42,P42,D42-$G$5,1,0)*AH42*AU42</f>
        <v>18.178684167077662</v>
      </c>
      <c r="R42" s="135"/>
      <c r="S42" s="181">
        <f>_xll.xSPRDOPT(I42,H42,AQ42,AT42,O42,N42,P42,D42-$G$5,1,2)*AF42*(F42/(1-AR42))*AH42</f>
        <v>-4310.4468859217559</v>
      </c>
      <c r="T42" s="181">
        <f>_xll.xSPRDOPT(I42,H42,AQ42,AT42,O42,N42,P42,D42-$G$5,1,1)*AF42*F42*AH42</f>
        <v>4191.9095965589077</v>
      </c>
      <c r="U42" s="135"/>
      <c r="V42" s="146">
        <f t="shared" si="18"/>
        <v>10.634872662641211</v>
      </c>
      <c r="W42" s="146"/>
      <c r="X42" s="338">
        <f t="shared" si="19"/>
        <v>0</v>
      </c>
      <c r="Y42" s="338">
        <f t="shared" si="20"/>
        <v>0</v>
      </c>
      <c r="Z42" s="338">
        <f t="shared" si="21"/>
        <v>0.72241678371905527</v>
      </c>
      <c r="AA42" s="338">
        <f t="shared" si="22"/>
        <v>-1.0588566893434079E-8</v>
      </c>
      <c r="AB42" s="338">
        <f t="shared" si="23"/>
        <v>0</v>
      </c>
      <c r="AC42" s="338">
        <f t="shared" si="24"/>
        <v>0.72835455492032086</v>
      </c>
      <c r="AF42" s="138">
        <f t="shared" si="25"/>
        <v>1</v>
      </c>
      <c r="AG42" s="138">
        <f t="shared" si="26"/>
        <v>9</v>
      </c>
      <c r="AH42" s="138">
        <f t="shared" si="27"/>
        <v>30</v>
      </c>
      <c r="AI42" s="138">
        <f t="shared" si="51"/>
        <v>623</v>
      </c>
      <c r="AJ42" s="138">
        <f t="shared" si="28"/>
        <v>640</v>
      </c>
      <c r="AL42" s="136">
        <f t="shared" si="29"/>
        <v>3.2410000000000001</v>
      </c>
      <c r="AM42" s="258">
        <f t="shared" si="30"/>
        <v>-2.5000000000000001E-2</v>
      </c>
      <c r="AN42" s="258">
        <f t="shared" si="31"/>
        <v>5.0000000000000001E-3</v>
      </c>
      <c r="AO42" s="258">
        <f t="shared" si="32"/>
        <v>0.75</v>
      </c>
      <c r="AP42" s="258">
        <f t="shared" si="33"/>
        <v>0</v>
      </c>
      <c r="AQ42" s="136">
        <f t="shared" si="34"/>
        <v>3.7400000000000003E-2</v>
      </c>
      <c r="AR42" s="137">
        <f t="shared" si="35"/>
        <v>2.75E-2</v>
      </c>
      <c r="AS42" s="136">
        <f t="shared" si="36"/>
        <v>3.2210000000000001</v>
      </c>
      <c r="AT42" s="137">
        <f t="shared" si="37"/>
        <v>3.2968887702129003E-2</v>
      </c>
      <c r="AU42" s="137">
        <f t="shared" si="38"/>
        <v>0.94456636136790217</v>
      </c>
      <c r="AV42" s="394">
        <f t="shared" si="39"/>
        <v>113.34796336414826</v>
      </c>
      <c r="AW42" s="137">
        <f t="shared" si="40"/>
        <v>0.37</v>
      </c>
      <c r="AX42" s="137">
        <f t="shared" si="41"/>
        <v>0.57999999999999996</v>
      </c>
      <c r="AY42" s="137">
        <f t="shared" si="42"/>
        <v>0.57999999999999996</v>
      </c>
      <c r="AZ42" s="137"/>
      <c r="BA42" s="264"/>
      <c r="BB42" s="258">
        <f t="shared" si="43"/>
        <v>0</v>
      </c>
      <c r="BC42" s="258">
        <f t="shared" si="44"/>
        <v>0</v>
      </c>
      <c r="BD42" s="137">
        <f t="shared" si="45"/>
        <v>2.9170681815626764E-5</v>
      </c>
      <c r="BE42" s="137">
        <f t="shared" si="46"/>
        <v>2.9170681815626764E-5</v>
      </c>
      <c r="BF42" s="137">
        <f>_xll.xSPRDOPT($BW42,$BV42,$CG42,0,$BY42,$BX42,$BZ42,$AJ42,1,4)*$CB42</f>
        <v>-1.8011335373552397E-6</v>
      </c>
      <c r="BG42" s="137">
        <f>_xll.xSPRDOPT($BW42,$BV42,$CG42,0,$BY42,$BX42,$BZ42,$AJ42,1,3)*$CB42</f>
        <v>-1.1257084608470245E-6</v>
      </c>
      <c r="BH42" s="137">
        <f>IF(OR(BF42&lt;&gt;0,BG42&lt;&gt;0),_xll.xSPRDOPT($BW42,$BV42,$CG42,0,$BY42,$BX42,$BZ42,$AJ42,1,12)*$CB42,0)</f>
        <v>3.3771253825410747E-7</v>
      </c>
      <c r="BI42" s="137">
        <f>_xll.xSPRDOPT($BW42,$BV42,$CG42,2*LN(1+CA42/2),$BY42,$BX42,$BZ42,$AJ42,1,9)</f>
        <v>1.9809514283287158E-2</v>
      </c>
      <c r="BJ42" s="137">
        <f>_xll.xSPRDOPT($BW42,$BV42,$CG42,0,$BY42,$BX42,$BZ42,$AJ42,1,6)*$CB42</f>
        <v>3.9884894054973542E-7</v>
      </c>
      <c r="BK42" s="137">
        <f>_xll.xSPRDOPT($BW42,$BV42,$CG42,0,$BY42,$BX42,$BZ42,$AJ42,1,5)*$CB42</f>
        <v>-4.8060268146190389E-7</v>
      </c>
      <c r="BL42" s="137">
        <f>_xll.xSPRDOPT(BW42,BV42,CG42,0,BY42,BX42,BZ42,AJ42,1,2)*CB42</f>
        <v>-0.94431279988593775</v>
      </c>
      <c r="BM42" s="137">
        <f>_xll.xSPRDOPT(BW42,BV42,CG42,0,BY42,BX42,BZ42,AJ42,1,1)*CB42</f>
        <v>0.94431279988765537</v>
      </c>
      <c r="BN42" s="137">
        <f>IF(AH42&lt;&gt;0,_xll.xSPRDOPT($BW42,$BV42,$CG42,2*LN(1+CA42/2),$BY42,$BX42,$BZ42,$AJ42,1,8)+(AJ42/365.25)*CH42/AH42,0)</f>
        <v>-0.44049671928405554</v>
      </c>
      <c r="BO42" s="137">
        <f>_xll.xSPRDOPT($BW42,$BV42,$CG42,0,$BY42,$BX42,$BZ42,$AJ42,1,0)</f>
        <v>0.64151780501194067</v>
      </c>
      <c r="BP42" s="137"/>
      <c r="BQ42" s="137"/>
      <c r="BR42" s="137"/>
      <c r="BS42" s="137"/>
      <c r="BV42" s="262">
        <v>3.3120822622107968</v>
      </c>
      <c r="BW42" s="136">
        <v>3.9910000000000001</v>
      </c>
      <c r="BX42" s="137">
        <v>0.37625587934206367</v>
      </c>
      <c r="BY42" s="137">
        <v>0.37625587934206367</v>
      </c>
      <c r="BZ42" s="137">
        <v>1</v>
      </c>
      <c r="CA42" s="137">
        <v>3.2968887702129003E-2</v>
      </c>
      <c r="CB42" s="137">
        <v>0.94431270003290391</v>
      </c>
      <c r="CC42" s="258">
        <v>-2.5000000000000001E-2</v>
      </c>
      <c r="CD42" s="258">
        <v>5.0000000000000001E-3</v>
      </c>
      <c r="CE42" s="258">
        <v>0.75</v>
      </c>
      <c r="CF42" s="258">
        <v>0</v>
      </c>
      <c r="CG42" s="258">
        <v>3.7400000000000003E-2</v>
      </c>
      <c r="CH42" s="258">
        <v>10.632016689670465</v>
      </c>
      <c r="CI42" s="258">
        <v>3.2410000000000001</v>
      </c>
      <c r="CJ42" s="258"/>
      <c r="CK42" s="258"/>
      <c r="CL42" s="258"/>
      <c r="CM42" s="258"/>
    </row>
    <row r="43" spans="1:91" x14ac:dyDescent="0.25">
      <c r="A43" s="723"/>
      <c r="B43" s="723"/>
      <c r="D43" s="31">
        <f t="shared" si="47"/>
        <v>37909</v>
      </c>
      <c r="F43" s="28">
        <f t="shared" si="12"/>
        <v>230</v>
      </c>
      <c r="G43" s="28">
        <f t="shared" si="13"/>
        <v>216.30289371253767</v>
      </c>
      <c r="H43" s="52">
        <f t="shared" si="14"/>
        <v>3.3388174807197943</v>
      </c>
      <c r="I43" s="52">
        <f t="shared" si="15"/>
        <v>3.7170000000000001</v>
      </c>
      <c r="K43" s="52">
        <f t="shared" si="16"/>
        <v>9.9351286802420518</v>
      </c>
      <c r="L43" s="135">
        <f t="shared" si="17"/>
        <v>2.2230209957285751E-6</v>
      </c>
      <c r="N43" s="131">
        <f t="shared" si="48"/>
        <v>0.3804492507364664</v>
      </c>
      <c r="O43" s="131">
        <f t="shared" si="49"/>
        <v>0.3804492507364664</v>
      </c>
      <c r="P43" s="55">
        <f t="shared" si="50"/>
        <v>1</v>
      </c>
      <c r="Q43" s="135">
        <f>_xll.xSPRDOPT(I43,H43,AQ43,0,O43,N43,P43,D43-$G$5,1,0)*AH43*AU43</f>
        <v>9.9351309032630475</v>
      </c>
      <c r="R43" s="135"/>
      <c r="S43" s="181">
        <f>_xll.xSPRDOPT(I43,H43,AQ43,AT43,O43,N43,P43,D43-$G$5,1,2)*AF43*(F43/(1-AR43))*AH43</f>
        <v>-6891.4160700276334</v>
      </c>
      <c r="T43" s="181">
        <f>_xll.xSPRDOPT(I43,H43,AQ43,AT43,O43,N43,P43,D43-$G$5,1,1)*AF43*F43*AH43</f>
        <v>6701.9021280629659</v>
      </c>
      <c r="U43" s="135"/>
      <c r="V43" s="146">
        <f t="shared" si="18"/>
        <v>10.941446766607728</v>
      </c>
      <c r="W43" s="146"/>
      <c r="X43" s="338">
        <f t="shared" si="19"/>
        <v>0</v>
      </c>
      <c r="Y43" s="338">
        <f t="shared" si="20"/>
        <v>0</v>
      </c>
      <c r="Z43" s="338">
        <f t="shared" si="21"/>
        <v>0.63085479667863209</v>
      </c>
      <c r="AA43" s="338">
        <f t="shared" si="22"/>
        <v>7.8141208697333536E-7</v>
      </c>
      <c r="AB43" s="338">
        <f t="shared" si="23"/>
        <v>0</v>
      </c>
      <c r="AC43" s="338">
        <f t="shared" si="24"/>
        <v>0.63620646135306314</v>
      </c>
      <c r="AF43" s="138">
        <f t="shared" si="25"/>
        <v>1</v>
      </c>
      <c r="AG43" s="138">
        <f t="shared" si="26"/>
        <v>10</v>
      </c>
      <c r="AH43" s="138">
        <f t="shared" si="27"/>
        <v>31</v>
      </c>
      <c r="AI43" s="138">
        <f t="shared" si="51"/>
        <v>653</v>
      </c>
      <c r="AJ43" s="138">
        <f t="shared" si="28"/>
        <v>670</v>
      </c>
      <c r="AL43" s="136">
        <f t="shared" si="29"/>
        <v>3.2669999999999999</v>
      </c>
      <c r="AM43" s="258">
        <f t="shared" si="30"/>
        <v>-2.5000000000000001E-2</v>
      </c>
      <c r="AN43" s="258">
        <f t="shared" si="31"/>
        <v>5.0000000000000001E-3</v>
      </c>
      <c r="AO43" s="258">
        <f t="shared" si="32"/>
        <v>0.45</v>
      </c>
      <c r="AP43" s="258">
        <f t="shared" si="33"/>
        <v>0</v>
      </c>
      <c r="AQ43" s="136">
        <f t="shared" si="34"/>
        <v>3.7400000000000003E-2</v>
      </c>
      <c r="AR43" s="137">
        <f t="shared" si="35"/>
        <v>2.75E-2</v>
      </c>
      <c r="AS43" s="136">
        <f t="shared" si="36"/>
        <v>3.2469999999999999</v>
      </c>
      <c r="AT43" s="137">
        <f t="shared" si="37"/>
        <v>3.3906701822071103E-2</v>
      </c>
      <c r="AU43" s="137">
        <f t="shared" si="38"/>
        <v>0.94044736396755513</v>
      </c>
      <c r="AV43" s="394">
        <f t="shared" si="39"/>
        <v>204.07707798095947</v>
      </c>
      <c r="AW43" s="137">
        <f t="shared" si="40"/>
        <v>0.3725</v>
      </c>
      <c r="AX43" s="137">
        <f t="shared" si="41"/>
        <v>0.63</v>
      </c>
      <c r="AY43" s="137">
        <f t="shared" si="42"/>
        <v>0.63</v>
      </c>
      <c r="AZ43" s="137"/>
      <c r="BA43" s="264"/>
      <c r="BB43" s="258">
        <f t="shared" si="43"/>
        <v>0</v>
      </c>
      <c r="BC43" s="258">
        <f t="shared" si="44"/>
        <v>0</v>
      </c>
      <c r="BD43" s="137">
        <f t="shared" si="45"/>
        <v>3.5144750946347614E-5</v>
      </c>
      <c r="BE43" s="137">
        <f t="shared" si="46"/>
        <v>3.5144750946347614E-5</v>
      </c>
      <c r="BF43" s="137">
        <f>_xll.xSPRDOPT($BW43,$BV43,$CG43,0,$BY43,$BX43,$BZ43,$AJ43,1,4)*$CB43</f>
        <v>1.3449492727918429E-6</v>
      </c>
      <c r="BG43" s="137">
        <f>_xll.xSPRDOPT($BW43,$BV43,$CG43,0,$BY43,$BX43,$BZ43,$AJ43,1,3)*$CB43</f>
        <v>1.1207910606598691E-7</v>
      </c>
      <c r="BH43" s="137">
        <f>IF(OR(BF43&lt;&gt;0,BG43&lt;&gt;0),_xll.xSPRDOPT($BW43,$BV43,$CG43,0,$BY43,$BX43,$BZ43,$AJ43,1,12)*$CB43,0)</f>
        <v>-4.4831642426394762E-7</v>
      </c>
      <c r="BI43" s="137">
        <f>_xll.xSPRDOPT($BW43,$BV43,$CG43,2*LN(1+CA43/2),$BY43,$BX43,$BZ43,$AJ43,1,9)</f>
        <v>1.0772310167689125E-2</v>
      </c>
      <c r="BJ43" s="137">
        <f>_xll.xSPRDOPT($BW43,$BV43,$CG43,0,$BY43,$BX43,$BZ43,$AJ43,1,6)*$CB43</f>
        <v>-2.7531156656087755E-5</v>
      </c>
      <c r="BK43" s="137">
        <f>_xll.xSPRDOPT($BW43,$BV43,$CG43,0,$BY43,$BX43,$BZ43,$AJ43,1,5)*$CB43</f>
        <v>3.064954447101846E-5</v>
      </c>
      <c r="BL43" s="137">
        <f>_xll.xSPRDOPT(BW43,BV43,CG43,0,BY43,BX43,BZ43,AJ43,1,2)*CB43</f>
        <v>-0.9401865223911875</v>
      </c>
      <c r="BM43" s="137">
        <f>_xll.xSPRDOPT(BW43,BV43,CG43,0,BY43,BX43,BZ43,AJ43,1,1)*CB43</f>
        <v>0.94018652238520184</v>
      </c>
      <c r="BN43" s="137">
        <f>IF(AH43&lt;&gt;0,_xll.xSPRDOPT($BW43,$BV43,$CG43,2*LN(1+CA43/2),$BY43,$BX43,$BZ43,$AJ43,1,8)+(AJ43/365.25)*CH43/AH43,0)</f>
        <v>5.9530185261841173E-2</v>
      </c>
      <c r="BO43" s="137">
        <f>_xll.xSPRDOPT($BW43,$BV43,$CG43,0,$BY43,$BX43,$BZ43,$AJ43,1,0)</f>
        <v>0.3407825982504466</v>
      </c>
      <c r="BP43" s="137"/>
      <c r="BQ43" s="137"/>
      <c r="BR43" s="137"/>
      <c r="BS43" s="137"/>
      <c r="BV43" s="262">
        <v>3.3388174807197943</v>
      </c>
      <c r="BW43" s="136">
        <v>3.7170000000000001</v>
      </c>
      <c r="BX43" s="137">
        <v>0.38041410598552006</v>
      </c>
      <c r="BY43" s="137">
        <v>0.38041410598552006</v>
      </c>
      <c r="BZ43" s="137">
        <v>1</v>
      </c>
      <c r="CA43" s="137">
        <v>3.3906701822071103E-2</v>
      </c>
      <c r="CB43" s="137">
        <v>0.94018768577798628</v>
      </c>
      <c r="CC43" s="258">
        <v>-2.5000000000000001E-2</v>
      </c>
      <c r="CD43" s="258">
        <v>5.0000000000000001E-3</v>
      </c>
      <c r="CE43" s="258">
        <v>0.45</v>
      </c>
      <c r="CF43" s="258">
        <v>0</v>
      </c>
      <c r="CG43" s="258">
        <v>3.7400000000000003E-2</v>
      </c>
      <c r="CH43" s="258">
        <v>10.938425592646826</v>
      </c>
      <c r="CI43" s="258">
        <v>3.2669999999999999</v>
      </c>
      <c r="CJ43" s="258"/>
      <c r="CK43" s="258"/>
      <c r="CL43" s="258"/>
      <c r="CM43" s="258"/>
    </row>
    <row r="44" spans="1:91" x14ac:dyDescent="0.25">
      <c r="A44" s="723"/>
      <c r="B44" s="723"/>
      <c r="D44" s="31">
        <f t="shared" si="47"/>
        <v>37940</v>
      </c>
      <c r="F44" s="28">
        <f t="shared" si="12"/>
        <v>230</v>
      </c>
      <c r="G44" s="28">
        <f t="shared" si="13"/>
        <v>215.31021844311906</v>
      </c>
      <c r="H44" s="52">
        <f t="shared" si="14"/>
        <v>3.4802056555269925</v>
      </c>
      <c r="I44" s="52">
        <f t="shared" si="15"/>
        <v>3.8520000000000003</v>
      </c>
      <c r="K44" s="52">
        <f t="shared" si="16"/>
        <v>9.3911112201687299</v>
      </c>
      <c r="L44" s="135">
        <f t="shared" si="17"/>
        <v>3.6919708819027619E-6</v>
      </c>
      <c r="N44" s="131">
        <f t="shared" si="48"/>
        <v>0.38567537328980672</v>
      </c>
      <c r="O44" s="131">
        <f t="shared" si="49"/>
        <v>0.38567537328980672</v>
      </c>
      <c r="P44" s="55">
        <f t="shared" si="50"/>
        <v>0.99999999999999989</v>
      </c>
      <c r="Q44" s="135">
        <f>_xll.xSPRDOPT(I44,H44,AQ44,0,O44,N44,P44,D44-$G$5,1,0)*AH44*AU44</f>
        <v>9.3911149121396118</v>
      </c>
      <c r="R44" s="135"/>
      <c r="S44" s="181">
        <f>_xll.xSPRDOPT(I44,H44,AQ44,AT44,O44,N44,P44,D44-$G$5,1,2)*AF44*(F44/(1-AR44))*AH44</f>
        <v>-6638.129649477225</v>
      </c>
      <c r="T44" s="181">
        <f>_xll.xSPRDOPT(I44,H44,AQ44,AT44,O44,N44,P44,D44-$G$5,1,1)*AF44*F44*AH44</f>
        <v>6455.5810842170104</v>
      </c>
      <c r="U44" s="135"/>
      <c r="V44" s="146">
        <f t="shared" si="18"/>
        <v>10.539903258482946</v>
      </c>
      <c r="W44" s="146"/>
      <c r="X44" s="338">
        <f t="shared" si="19"/>
        <v>0</v>
      </c>
      <c r="Y44" s="338">
        <f t="shared" si="20"/>
        <v>0</v>
      </c>
      <c r="Z44" s="338">
        <f t="shared" si="21"/>
        <v>0.61248124501310952</v>
      </c>
      <c r="AA44" s="338">
        <f t="shared" si="22"/>
        <v>3.9400732573632827E-6</v>
      </c>
      <c r="AB44" s="338">
        <f t="shared" si="23"/>
        <v>0</v>
      </c>
      <c r="AC44" s="338">
        <f t="shared" si="24"/>
        <v>0.61784998030363103</v>
      </c>
      <c r="AF44" s="138">
        <f t="shared" si="25"/>
        <v>1</v>
      </c>
      <c r="AG44" s="138">
        <f t="shared" si="26"/>
        <v>11</v>
      </c>
      <c r="AH44" s="138">
        <f t="shared" si="27"/>
        <v>30</v>
      </c>
      <c r="AI44" s="138">
        <f t="shared" si="51"/>
        <v>684</v>
      </c>
      <c r="AJ44" s="138">
        <f t="shared" si="28"/>
        <v>701</v>
      </c>
      <c r="AL44" s="136">
        <f t="shared" si="29"/>
        <v>3.4020000000000001</v>
      </c>
      <c r="AM44" s="258">
        <f t="shared" si="30"/>
        <v>-0.02</v>
      </c>
      <c r="AN44" s="258">
        <f t="shared" si="31"/>
        <v>2.5000000000000001E-3</v>
      </c>
      <c r="AO44" s="258">
        <f t="shared" si="32"/>
        <v>0.45</v>
      </c>
      <c r="AP44" s="258">
        <f t="shared" si="33"/>
        <v>0</v>
      </c>
      <c r="AQ44" s="136">
        <f t="shared" si="34"/>
        <v>3.7400000000000003E-2</v>
      </c>
      <c r="AR44" s="137">
        <f t="shared" si="35"/>
        <v>2.75E-2</v>
      </c>
      <c r="AS44" s="136">
        <f t="shared" si="36"/>
        <v>3.3845000000000001</v>
      </c>
      <c r="AT44" s="137">
        <f t="shared" si="37"/>
        <v>3.4836153967131397E-2</v>
      </c>
      <c r="AU44" s="137">
        <f t="shared" si="38"/>
        <v>0.9361313845353002</v>
      </c>
      <c r="AV44" s="394">
        <f t="shared" si="39"/>
        <v>196.58759075241304</v>
      </c>
      <c r="AW44" s="137">
        <f t="shared" si="40"/>
        <v>0.37</v>
      </c>
      <c r="AX44" s="137">
        <f t="shared" si="41"/>
        <v>0.83</v>
      </c>
      <c r="AY44" s="137">
        <f t="shared" si="42"/>
        <v>0.83</v>
      </c>
      <c r="AZ44" s="137"/>
      <c r="BA44" s="264"/>
      <c r="BB44" s="258">
        <f t="shared" si="43"/>
        <v>0</v>
      </c>
      <c r="BC44" s="258">
        <f t="shared" si="44"/>
        <v>0</v>
      </c>
      <c r="BD44" s="137">
        <f t="shared" si="45"/>
        <v>6.5633014911969934E-5</v>
      </c>
      <c r="BE44" s="137">
        <f t="shared" si="46"/>
        <v>6.5633014911969934E-5</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1.0807187185557404E-2</v>
      </c>
      <c r="BJ44" s="137">
        <f>_xll.xSPRDOPT($BW44,$BV44,$CG44,0,$BY44,$BX44,$BZ44,$AJ44,1,6)*$CB44</f>
        <v>-8.1439392452863627E-5</v>
      </c>
      <c r="BK44" s="137">
        <f>_xll.xSPRDOPT($BW44,$BV44,$CG44,0,$BY44,$BX44,$BZ44,$AJ44,1,5)*$CB44</f>
        <v>9.0139664877171425E-5</v>
      </c>
      <c r="BL44" s="137">
        <f>_xll.xSPRDOPT(BW44,BV44,CG44,0,BY44,BX44,BZ44,AJ44,1,2)*CB44</f>
        <v>-0.93586234623694675</v>
      </c>
      <c r="BM44" s="137">
        <f>_xll.xSPRDOPT(BW44,BV44,CG44,0,BY44,BX44,BZ44,AJ44,1,1)*CB44</f>
        <v>0.93586234625397002</v>
      </c>
      <c r="BN44" s="137">
        <f>IF(AH44&lt;&gt;0,_xll.xSPRDOPT($BW44,$BV44,$CG44,2*LN(1+CA44/2),$BY44,$BX44,$BZ44,$AJ44,1,8)+(AJ44/365.25)*CH44/AH44,0)</f>
        <v>7.3472241652792758E-2</v>
      </c>
      <c r="BO44" s="137">
        <f>_xll.xSPRDOPT($BW44,$BV44,$CG44,0,$BY44,$BX44,$BZ44,$AJ44,1,0)</f>
        <v>0.33439448302202257</v>
      </c>
      <c r="BP44" s="137"/>
      <c r="BQ44" s="137"/>
      <c r="BR44" s="137"/>
      <c r="BS44" s="137"/>
      <c r="BV44" s="262">
        <v>3.4802056555269925</v>
      </c>
      <c r="BW44" s="136">
        <v>3.8520000000000003</v>
      </c>
      <c r="BX44" s="137">
        <v>0.38560974027489475</v>
      </c>
      <c r="BY44" s="137">
        <v>0.38560974027489475</v>
      </c>
      <c r="BZ44" s="137">
        <v>1</v>
      </c>
      <c r="CA44" s="137">
        <v>3.4836153967131397E-2</v>
      </c>
      <c r="CB44" s="137">
        <v>0.93586587426758006</v>
      </c>
      <c r="CC44" s="258">
        <v>-0.02</v>
      </c>
      <c r="CD44" s="258">
        <v>2.5000000000000001E-3</v>
      </c>
      <c r="CE44" s="258">
        <v>0.45</v>
      </c>
      <c r="CF44" s="258">
        <v>0</v>
      </c>
      <c r="CG44" s="258">
        <v>3.7400000000000003E-2</v>
      </c>
      <c r="CH44" s="258">
        <v>10.536913878378684</v>
      </c>
      <c r="CI44" s="258">
        <v>3.4020000000000001</v>
      </c>
      <c r="CJ44" s="258"/>
      <c r="CK44" s="258"/>
      <c r="CL44" s="258"/>
      <c r="CM44" s="258"/>
    </row>
    <row r="45" spans="1:91" x14ac:dyDescent="0.25">
      <c r="A45" s="723"/>
      <c r="B45" s="723"/>
      <c r="D45" s="31">
        <f t="shared" si="47"/>
        <v>37970</v>
      </c>
      <c r="F45" s="28">
        <f t="shared" si="12"/>
        <v>230</v>
      </c>
      <c r="G45" s="28">
        <f t="shared" si="13"/>
        <v>214.32241861992273</v>
      </c>
      <c r="H45" s="52">
        <f t="shared" si="14"/>
        <v>3.6190231362467862</v>
      </c>
      <c r="I45" s="52">
        <f t="shared" si="15"/>
        <v>3.9369999999999998</v>
      </c>
      <c r="K45" s="52">
        <f t="shared" si="16"/>
        <v>8.105005536955737</v>
      </c>
      <c r="L45" s="135">
        <f t="shared" si="17"/>
        <v>2.4960389364281355E-5</v>
      </c>
      <c r="N45" s="131">
        <f t="shared" si="48"/>
        <v>0.39564204160538236</v>
      </c>
      <c r="O45" s="131">
        <f t="shared" si="49"/>
        <v>0.39564204160538236</v>
      </c>
      <c r="P45" s="55">
        <f t="shared" si="50"/>
        <v>1.0000000000000002</v>
      </c>
      <c r="Q45" s="135">
        <f>_xll.xSPRDOPT(I45,H45,AQ45,0,O45,N45,P45,D45-$G$5,1,0)*AH45*AU45</f>
        <v>8.1050304973451013</v>
      </c>
      <c r="R45" s="135"/>
      <c r="S45" s="181">
        <f>_xll.xSPRDOPT(I45,H45,AQ45,AT45,O45,N45,P45,D45-$G$5,1,2)*AF45*(F45/(1-AR45))*AH45</f>
        <v>-6827.3755116931115</v>
      </c>
      <c r="T45" s="181">
        <f>_xll.xSPRDOPT(I45,H45,AQ45,AT45,O45,N45,P45,D45-$G$5,1,1)*AF45*F45*AH45</f>
        <v>6639.6226850956136</v>
      </c>
      <c r="U45" s="135"/>
      <c r="V45" s="146">
        <f t="shared" si="18"/>
        <v>10.841266586738119</v>
      </c>
      <c r="W45" s="146"/>
      <c r="X45" s="338">
        <f t="shared" si="19"/>
        <v>0</v>
      </c>
      <c r="Y45" s="338">
        <f t="shared" si="20"/>
        <v>0</v>
      </c>
      <c r="Z45" s="338">
        <f t="shared" si="21"/>
        <v>0.54186909473975764</v>
      </c>
      <c r="AA45" s="338">
        <f t="shared" si="22"/>
        <v>3.7951839600933953E-5</v>
      </c>
      <c r="AB45" s="338">
        <f t="shared" si="23"/>
        <v>0</v>
      </c>
      <c r="AC45" s="338">
        <f t="shared" si="24"/>
        <v>0.54700161058650099</v>
      </c>
      <c r="AF45" s="138">
        <f t="shared" si="25"/>
        <v>1</v>
      </c>
      <c r="AG45" s="138">
        <f t="shared" si="26"/>
        <v>12</v>
      </c>
      <c r="AH45" s="138">
        <f t="shared" si="27"/>
        <v>31</v>
      </c>
      <c r="AI45" s="138">
        <f t="shared" si="51"/>
        <v>714</v>
      </c>
      <c r="AJ45" s="138">
        <f t="shared" si="28"/>
        <v>731</v>
      </c>
      <c r="AL45" s="136">
        <f t="shared" si="29"/>
        <v>3.5369999999999999</v>
      </c>
      <c r="AM45" s="258">
        <f t="shared" si="30"/>
        <v>-0.02</v>
      </c>
      <c r="AN45" s="258">
        <f t="shared" si="31"/>
        <v>2.5000000000000001E-3</v>
      </c>
      <c r="AO45" s="258">
        <f t="shared" si="32"/>
        <v>0.4</v>
      </c>
      <c r="AP45" s="258">
        <f t="shared" si="33"/>
        <v>0</v>
      </c>
      <c r="AQ45" s="136">
        <f t="shared" si="34"/>
        <v>3.7400000000000003E-2</v>
      </c>
      <c r="AR45" s="137">
        <f t="shared" si="35"/>
        <v>2.75E-2</v>
      </c>
      <c r="AS45" s="136">
        <f t="shared" si="36"/>
        <v>3.5194999999999999</v>
      </c>
      <c r="AT45" s="137">
        <f t="shared" si="37"/>
        <v>3.5735624061610197E-2</v>
      </c>
      <c r="AU45" s="137">
        <f t="shared" si="38"/>
        <v>0.93183660269531621</v>
      </c>
      <c r="AV45" s="394">
        <f t="shared" si="39"/>
        <v>202.2085427848836</v>
      </c>
      <c r="AW45" s="137">
        <f t="shared" si="40"/>
        <v>0.37</v>
      </c>
      <c r="AX45" s="137">
        <f t="shared" si="41"/>
        <v>1.03</v>
      </c>
      <c r="AY45" s="137">
        <f t="shared" si="42"/>
        <v>1.03</v>
      </c>
      <c r="AZ45" s="137"/>
      <c r="BA45" s="264"/>
      <c r="BB45" s="258">
        <f t="shared" si="43"/>
        <v>0</v>
      </c>
      <c r="BC45" s="258">
        <f t="shared" si="44"/>
        <v>0</v>
      </c>
      <c r="BD45" s="137">
        <f t="shared" si="45"/>
        <v>1.0162846149874838E-4</v>
      </c>
      <c r="BE45" s="137">
        <f t="shared" si="46"/>
        <v>1.0162846149874838E-4</v>
      </c>
      <c r="BF45" s="137">
        <f>_xll.xSPRDOPT($BW45,$BV45,$CG45,0,$BY45,$BX45,$BZ45,$AJ45,1,4)*$CB45</f>
        <v>-6.6630760257273543E-7</v>
      </c>
      <c r="BG45" s="137">
        <f>_xll.xSPRDOPT($BW45,$BV45,$CG45,0,$BY45,$BX45,$BZ45,$AJ45,1,3)*$CB45</f>
        <v>6.6630760257273543E-7</v>
      </c>
      <c r="BH45" s="137">
        <f>IF(OR(BF45&lt;&gt;0,BG45&lt;&gt;0),_xll.xSPRDOPT($BW45,$BV45,$CG45,0,$BY45,$BX45,$BZ45,$AJ45,1,12)*$CB45,0)</f>
        <v>-3.8867943483409571E-7</v>
      </c>
      <c r="BI45" s="137">
        <f>_xll.xSPRDOPT($BW45,$BV45,$CG45,2*LN(1+CA45/2),$BY45,$BX45,$BZ45,$AJ45,1,9)</f>
        <v>9.2528137846515403E-3</v>
      </c>
      <c r="BJ45" s="137">
        <f>_xll.xSPRDOPT($BW45,$BV45,$CG45,0,$BY45,$BX45,$BZ45,$AJ45,1,6)*$CB45</f>
        <v>-5.9610650963754636E-4</v>
      </c>
      <c r="BK45" s="137">
        <f>_xll.xSPRDOPT($BW45,$BV45,$CG45,0,$BY45,$BX45,$BZ45,$AJ45,1,5)*$CB45</f>
        <v>6.4848198177605738E-4</v>
      </c>
      <c r="BL45" s="137">
        <f>_xll.xSPRDOPT(BW45,BV45,CG45,0,BY45,BX45,BZ45,AJ45,1,2)*CB45</f>
        <v>-0.93153823447692663</v>
      </c>
      <c r="BM45" s="137">
        <f>_xll.xSPRDOPT(BW45,BV45,CG45,0,BY45,BX45,BZ45,AJ45,1,1)*CB45</f>
        <v>0.93153823447438477</v>
      </c>
      <c r="BN45" s="137">
        <f>IF(AH45&lt;&gt;0,_xll.xSPRDOPT($BW45,$BV45,$CG45,2*LN(1+CA45/2),$BY45,$BX45,$BZ45,$AJ45,1,8)+(AJ45/365.25)*CH45/AH45,0)</f>
        <v>0.17660072998853582</v>
      </c>
      <c r="BO45" s="137">
        <f>_xll.xSPRDOPT($BW45,$BV45,$CG45,0,$BY45,$BX45,$BZ45,$AJ45,1,0)</f>
        <v>0.28057776788413935</v>
      </c>
      <c r="BP45" s="137"/>
      <c r="BQ45" s="137"/>
      <c r="BR45" s="137"/>
      <c r="BS45" s="137"/>
      <c r="BV45" s="262">
        <v>3.6190231362467862</v>
      </c>
      <c r="BW45" s="136">
        <v>3.9369999999999998</v>
      </c>
      <c r="BX45" s="137">
        <v>0.39554041314388361</v>
      </c>
      <c r="BY45" s="137">
        <v>0.39554041314388361</v>
      </c>
      <c r="BZ45" s="137">
        <v>1</v>
      </c>
      <c r="CA45" s="137">
        <v>3.5735624061610197E-2</v>
      </c>
      <c r="CB45" s="137">
        <v>0.93156554756707821</v>
      </c>
      <c r="CC45" s="258">
        <v>-0.02</v>
      </c>
      <c r="CD45" s="258">
        <v>2.5000000000000001E-3</v>
      </c>
      <c r="CE45" s="258">
        <v>0.4</v>
      </c>
      <c r="CF45" s="258">
        <v>0</v>
      </c>
      <c r="CG45" s="258">
        <v>3.7400000000000003E-2</v>
      </c>
      <c r="CH45" s="258">
        <v>10.838113050059659</v>
      </c>
      <c r="CI45" s="258">
        <v>3.5369999999999999</v>
      </c>
      <c r="CJ45" s="258"/>
      <c r="CK45" s="258"/>
      <c r="CL45" s="258"/>
      <c r="CM45" s="258"/>
    </row>
    <row r="46" spans="1:91" x14ac:dyDescent="0.25">
      <c r="A46" s="723"/>
      <c r="B46" s="723"/>
      <c r="D46" s="31">
        <f t="shared" si="47"/>
        <v>38001</v>
      </c>
      <c r="F46" s="28">
        <f t="shared" si="12"/>
        <v>230</v>
      </c>
      <c r="G46" s="28">
        <f t="shared" si="13"/>
        <v>213.28962794764351</v>
      </c>
      <c r="H46" s="52">
        <f t="shared" si="14"/>
        <v>3.6807197943444727</v>
      </c>
      <c r="I46" s="52">
        <f t="shared" si="15"/>
        <v>3.9470000000000001</v>
      </c>
      <c r="K46" s="52">
        <f t="shared" si="16"/>
        <v>6.6947778479990534</v>
      </c>
      <c r="L46" s="135">
        <f t="shared" si="17"/>
        <v>4.4753541954101195E-5</v>
      </c>
      <c r="N46" s="131">
        <f t="shared" si="48"/>
        <v>0.39305358955281788</v>
      </c>
      <c r="O46" s="131">
        <f t="shared" si="49"/>
        <v>0.39305358955281788</v>
      </c>
      <c r="P46" s="55">
        <f t="shared" si="50"/>
        <v>1</v>
      </c>
      <c r="Q46" s="135">
        <f>_xll.xSPRDOPT(I46,H46,AQ46,0,O46,N46,P46,D46-$G$5,1,0)*AH46*AU46</f>
        <v>6.6948226015410075</v>
      </c>
      <c r="R46" s="135"/>
      <c r="S46" s="181">
        <f>_xll.xSPRDOPT(I46,H46,AQ46,AT46,O46,N46,P46,D46-$G$5,1,2)*AF46*(F46/(1-AR46))*AH46</f>
        <v>-6794.0758847077341</v>
      </c>
      <c r="T46" s="181">
        <f>_xll.xSPRDOPT(I46,H46,AQ46,AT46,O46,N46,P46,D46-$G$5,1,1)*AF46*F46*AH46</f>
        <v>6607.2387979333917</v>
      </c>
      <c r="U46" s="135"/>
      <c r="V46" s="146">
        <f t="shared" si="18"/>
        <v>10.789023993179432</v>
      </c>
      <c r="W46" s="146"/>
      <c r="X46" s="338">
        <f t="shared" si="19"/>
        <v>0</v>
      </c>
      <c r="Y46" s="338">
        <f t="shared" si="20"/>
        <v>0</v>
      </c>
      <c r="Z46" s="338">
        <f t="shared" si="21"/>
        <v>0.4586972225164424</v>
      </c>
      <c r="AA46" s="338">
        <f t="shared" si="22"/>
        <v>2.7051315242435294E-5</v>
      </c>
      <c r="AB46" s="338">
        <f t="shared" si="23"/>
        <v>0</v>
      </c>
      <c r="AC46" s="338">
        <f t="shared" si="24"/>
        <v>0.4631251018051013</v>
      </c>
      <c r="AF46" s="138">
        <f t="shared" si="25"/>
        <v>1</v>
      </c>
      <c r="AG46" s="138">
        <f t="shared" si="26"/>
        <v>1</v>
      </c>
      <c r="AH46" s="138">
        <f t="shared" si="27"/>
        <v>31</v>
      </c>
      <c r="AI46" s="138">
        <f t="shared" si="51"/>
        <v>745</v>
      </c>
      <c r="AJ46" s="138">
        <f t="shared" si="28"/>
        <v>762</v>
      </c>
      <c r="AL46" s="136">
        <f t="shared" si="29"/>
        <v>3.597</v>
      </c>
      <c r="AM46" s="258">
        <f t="shared" si="30"/>
        <v>-0.02</v>
      </c>
      <c r="AN46" s="258">
        <f t="shared" si="31"/>
        <v>2.5000000000000001E-3</v>
      </c>
      <c r="AO46" s="258">
        <f t="shared" si="32"/>
        <v>0.35</v>
      </c>
      <c r="AP46" s="258">
        <f t="shared" si="33"/>
        <v>0</v>
      </c>
      <c r="AQ46" s="136">
        <f t="shared" si="34"/>
        <v>3.3399999999999999E-2</v>
      </c>
      <c r="AR46" s="137">
        <f t="shared" si="35"/>
        <v>2.75E-2</v>
      </c>
      <c r="AS46" s="136">
        <f t="shared" si="36"/>
        <v>3.5794999999999999</v>
      </c>
      <c r="AT46" s="137">
        <f t="shared" si="37"/>
        <v>3.6629399588957501E-2</v>
      </c>
      <c r="AU46" s="137">
        <f t="shared" si="38"/>
        <v>0.9273462084680153</v>
      </c>
      <c r="AV46" s="394">
        <f t="shared" si="39"/>
        <v>201.23412723755931</v>
      </c>
      <c r="AW46" s="137">
        <f t="shared" si="40"/>
        <v>0.37</v>
      </c>
      <c r="AX46" s="137">
        <f t="shared" si="41"/>
        <v>1</v>
      </c>
      <c r="AY46" s="137">
        <f t="shared" si="42"/>
        <v>1</v>
      </c>
      <c r="AZ46" s="137"/>
      <c r="BA46" s="264"/>
      <c r="BB46" s="258">
        <f t="shared" si="43"/>
        <v>0</v>
      </c>
      <c r="BC46" s="258">
        <f t="shared" si="44"/>
        <v>0</v>
      </c>
      <c r="BD46" s="137">
        <f t="shared" si="45"/>
        <v>8.793719974886649E-5</v>
      </c>
      <c r="BE46" s="137">
        <f t="shared" si="46"/>
        <v>8.793719974886649E-5</v>
      </c>
      <c r="BF46" s="137">
        <f>_xll.xSPRDOPT($BW46,$BV46,$CG46,0,$BY46,$BX46,$BZ46,$AJ46,1,4)*$CB46</f>
        <v>1.1051532921111066E-6</v>
      </c>
      <c r="BG46" s="137">
        <f>_xll.xSPRDOPT($BW46,$BV46,$CG46,0,$BY46,$BX46,$BZ46,$AJ46,1,3)*$CB46</f>
        <v>7.7360730447777456E-7</v>
      </c>
      <c r="BH46" s="137">
        <f>IF(OR(BF46&lt;&gt;0,BG46&lt;&gt;0),_xll.xSPRDOPT($BW46,$BV46,$CG46,0,$BY46,$BX46,$BZ46,$AJ46,1,12)*$CB46,0)</f>
        <v>-1.0222667952027734E-6</v>
      </c>
      <c r="BI46" s="137">
        <f>_xll.xSPRDOPT($BW46,$BV46,$CG46,2*LN(1+CA46/2),$BY46,$BX46,$BZ46,$AJ46,1,9)</f>
        <v>7.8325928248775406E-3</v>
      </c>
      <c r="BJ46" s="137">
        <f>_xll.xSPRDOPT($BW46,$BV46,$CG46,0,$BY46,$BX46,$BZ46,$AJ46,1,6)*$CB46</f>
        <v>-5.9637591007205332E-4</v>
      </c>
      <c r="BK46" s="137">
        <f>_xll.xSPRDOPT($BW46,$BV46,$CG46,0,$BY46,$BX46,$BZ46,$AJ46,1,5)*$CB46</f>
        <v>6.3952048789373017E-4</v>
      </c>
      <c r="BL46" s="137">
        <f>_xll.xSPRDOPT(BW46,BV46,CG46,0,BY46,BX46,BZ46,AJ46,1,2)*CB46</f>
        <v>-0.92704350818080361</v>
      </c>
      <c r="BM46" s="137">
        <f>_xll.xSPRDOPT(BW46,BV46,CG46,0,BY46,BX46,BZ46,AJ46,1,1)*CB46</f>
        <v>0.92704350818881365</v>
      </c>
      <c r="BN46" s="137">
        <f>IF(AH46&lt;&gt;0,_xll.xSPRDOPT($BW46,$BV46,$CG46,2*LN(1+CA46/2),$BY46,$BX46,$BZ46,$AJ46,1,8)+(AJ46/365.25)*CH46/AH46,0)</f>
        <v>0.27544993751352209</v>
      </c>
      <c r="BO46" s="137">
        <f>_xll.xSPRDOPT($BW46,$BV46,$CG46,0,$BY46,$BX46,$BZ46,$AJ46,1,0)</f>
        <v>0.23288179443860363</v>
      </c>
      <c r="BP46" s="137"/>
      <c r="BQ46" s="137"/>
      <c r="BR46" s="137"/>
      <c r="BS46" s="137"/>
      <c r="BV46" s="262">
        <v>3.6807197943444727</v>
      </c>
      <c r="BW46" s="136">
        <v>3.9470000000000001</v>
      </c>
      <c r="BX46" s="137">
        <v>0.39296565235306902</v>
      </c>
      <c r="BY46" s="137">
        <v>0.39296565235306902</v>
      </c>
      <c r="BZ46" s="137">
        <v>1</v>
      </c>
      <c r="CA46" s="137">
        <v>3.6629399588957501E-2</v>
      </c>
      <c r="CB46" s="137">
        <v>0.92706977474295649</v>
      </c>
      <c r="CC46" s="258">
        <v>-0.02</v>
      </c>
      <c r="CD46" s="258">
        <v>2.5000000000000001E-3</v>
      </c>
      <c r="CE46" s="258">
        <v>0.35</v>
      </c>
      <c r="CF46" s="258">
        <v>0</v>
      </c>
      <c r="CG46" s="258">
        <v>3.3399999999999999E-2</v>
      </c>
      <c r="CH46" s="258">
        <v>10.78580788029198</v>
      </c>
      <c r="CI46" s="258">
        <v>3.597</v>
      </c>
      <c r="CJ46" s="258"/>
      <c r="CK46" s="258"/>
      <c r="CL46" s="258"/>
      <c r="CM46" s="258"/>
    </row>
    <row r="47" spans="1:91" x14ac:dyDescent="0.25">
      <c r="A47" s="723"/>
      <c r="B47" s="723"/>
      <c r="D47" s="31">
        <f t="shared" si="47"/>
        <v>38032</v>
      </c>
      <c r="F47" s="28">
        <f t="shared" si="12"/>
        <v>230</v>
      </c>
      <c r="G47" s="28">
        <f t="shared" si="13"/>
        <v>212.24751001858957</v>
      </c>
      <c r="H47" s="52">
        <f t="shared" si="14"/>
        <v>3.5933161953727506</v>
      </c>
      <c r="I47" s="52">
        <f t="shared" si="15"/>
        <v>3.8620000000000001</v>
      </c>
      <c r="K47" s="52">
        <f t="shared" si="16"/>
        <v>6.2965810813703751</v>
      </c>
      <c r="L47" s="135">
        <f t="shared" si="17"/>
        <v>4.6838296714923899E-5</v>
      </c>
      <c r="N47" s="131">
        <f t="shared" si="48"/>
        <v>0.39080901832551673</v>
      </c>
      <c r="O47" s="131">
        <f t="shared" si="49"/>
        <v>0.39080901832551673</v>
      </c>
      <c r="P47" s="55">
        <f t="shared" si="50"/>
        <v>1</v>
      </c>
      <c r="Q47" s="135">
        <f>_xll.xSPRDOPT(I47,H47,AQ47,0,O47,N47,P47,D47-$G$5,1,0)*AH47*AU47</f>
        <v>6.29662791966709</v>
      </c>
      <c r="R47" s="135"/>
      <c r="S47" s="181">
        <f>_xll.xSPRDOPT(I47,H47,AQ47,AT47,O47,N47,P47,D47-$G$5,1,2)*AF47*(F47/(1-AR47))*AH47</f>
        <v>-6324.3100107656264</v>
      </c>
      <c r="T47" s="181">
        <f>_xll.xSPRDOPT(I47,H47,AQ47,AT47,O47,N47,P47,D47-$G$5,1,1)*AF47*F47*AH47</f>
        <v>6150.3914853876768</v>
      </c>
      <c r="U47" s="135"/>
      <c r="V47" s="146">
        <f t="shared" si="18"/>
        <v>10.043644455605754</v>
      </c>
      <c r="W47" s="146"/>
      <c r="X47" s="338">
        <f t="shared" si="19"/>
        <v>0</v>
      </c>
      <c r="Y47" s="338">
        <f t="shared" si="20"/>
        <v>0</v>
      </c>
      <c r="Z47" s="338">
        <f t="shared" si="21"/>
        <v>0.44141548026303357</v>
      </c>
      <c r="AA47" s="338">
        <f t="shared" si="22"/>
        <v>2.1844176426207827E-5</v>
      </c>
      <c r="AB47" s="338">
        <f t="shared" si="23"/>
        <v>0</v>
      </c>
      <c r="AC47" s="338">
        <f t="shared" si="24"/>
        <v>0.44575208188840598</v>
      </c>
      <c r="AF47" s="138">
        <f t="shared" si="25"/>
        <v>1</v>
      </c>
      <c r="AG47" s="138">
        <f t="shared" si="26"/>
        <v>2</v>
      </c>
      <c r="AH47" s="138">
        <f t="shared" si="27"/>
        <v>29</v>
      </c>
      <c r="AI47" s="138">
        <f t="shared" si="51"/>
        <v>776</v>
      </c>
      <c r="AJ47" s="138">
        <f t="shared" si="28"/>
        <v>793</v>
      </c>
      <c r="AL47" s="136">
        <f t="shared" si="29"/>
        <v>3.512</v>
      </c>
      <c r="AM47" s="258">
        <f t="shared" si="30"/>
        <v>-0.02</v>
      </c>
      <c r="AN47" s="258">
        <f t="shared" si="31"/>
        <v>2.5000000000000001E-3</v>
      </c>
      <c r="AO47" s="258">
        <f t="shared" si="32"/>
        <v>0.35</v>
      </c>
      <c r="AP47" s="258">
        <f t="shared" si="33"/>
        <v>0</v>
      </c>
      <c r="AQ47" s="136">
        <f t="shared" si="34"/>
        <v>3.3399999999999999E-2</v>
      </c>
      <c r="AR47" s="137">
        <f t="shared" si="35"/>
        <v>2.75E-2</v>
      </c>
      <c r="AS47" s="136">
        <f t="shared" si="36"/>
        <v>3.4944999999999999</v>
      </c>
      <c r="AT47" s="137">
        <f t="shared" si="37"/>
        <v>3.74851197051385E-2</v>
      </c>
      <c r="AU47" s="137">
        <f t="shared" si="38"/>
        <v>0.92281526095038946</v>
      </c>
      <c r="AV47" s="394">
        <f t="shared" si="39"/>
        <v>187.33149797292907</v>
      </c>
      <c r="AW47" s="137">
        <f t="shared" si="40"/>
        <v>0.37</v>
      </c>
      <c r="AX47" s="137">
        <f t="shared" si="41"/>
        <v>1</v>
      </c>
      <c r="AY47" s="137">
        <f t="shared" si="42"/>
        <v>1</v>
      </c>
      <c r="AZ47" s="137"/>
      <c r="BA47" s="264"/>
      <c r="BB47" s="258">
        <f t="shared" si="43"/>
        <v>0</v>
      </c>
      <c r="BC47" s="258">
        <f t="shared" si="44"/>
        <v>0</v>
      </c>
      <c r="BD47" s="137">
        <f t="shared" si="45"/>
        <v>7.6586028947334128E-5</v>
      </c>
      <c r="BE47" s="137">
        <f t="shared" si="46"/>
        <v>7.6586028947334128E-5</v>
      </c>
      <c r="BF47" s="137">
        <f>_xll.xSPRDOPT($BW47,$BV47,$CG47,0,$BY47,$BX47,$BZ47,$AJ47,1,4)*$CB47</f>
        <v>1.6496190043020928E-7</v>
      </c>
      <c r="BG47" s="137">
        <f>_xll.xSPRDOPT($BW47,$BV47,$CG47,0,$BY47,$BX47,$BZ47,$AJ47,1,3)*$CB47</f>
        <v>0</v>
      </c>
      <c r="BH47" s="137">
        <f>IF(OR(BF47&lt;&gt;0,BG47&lt;&gt;0),_xll.xSPRDOPT($BW47,$BV47,$CG47,0,$BY47,$BX47,$BZ47,$AJ47,1,12)*$CB47,0)</f>
        <v>5.7736665150573247E-7</v>
      </c>
      <c r="BI47" s="137">
        <f>_xll.xSPRDOPT($BW47,$BV47,$CG47,2*LN(1+CA47/2),$BY47,$BX47,$BZ47,$AJ47,1,9)</f>
        <v>8.0573215475298852E-3</v>
      </c>
      <c r="BJ47" s="137">
        <f>_xll.xSPRDOPT($BW47,$BV47,$CG47,0,$BY47,$BX47,$BZ47,$AJ47,1,6)*$CB47</f>
        <v>-5.7189231417572933E-4</v>
      </c>
      <c r="BK47" s="137">
        <f>_xll.xSPRDOPT($BW47,$BV47,$CG47,0,$BY47,$BX47,$BZ47,$AJ47,1,5)*$CB47</f>
        <v>6.1465453875455634E-4</v>
      </c>
      <c r="BL47" s="137">
        <f>_xll.xSPRDOPT(BW47,BV47,CG47,0,BY47,BX47,BZ47,AJ47,1,2)*CB47</f>
        <v>-0.92250856757532096</v>
      </c>
      <c r="BM47" s="137">
        <f>_xll.xSPRDOPT(BW47,BV47,CG47,0,BY47,BX47,BZ47,AJ47,1,1)*CB47</f>
        <v>0.92250856756525246</v>
      </c>
      <c r="BN47" s="137">
        <f>IF(AH47&lt;&gt;0,_xll.xSPRDOPT($BW47,$BV47,$CG47,2*LN(1+CA47/2),$BY47,$BX47,$BZ47,$AJ47,1,8)+(AJ47/365.25)*CH47/AH47,0)</f>
        <v>0.28043873753878124</v>
      </c>
      <c r="BO47" s="137">
        <f>_xll.xSPRDOPT($BW47,$BV47,$CG47,0,$BY47,$BX47,$BZ47,$AJ47,1,0)</f>
        <v>0.23528558563903526</v>
      </c>
      <c r="BP47" s="137"/>
      <c r="BQ47" s="137"/>
      <c r="BR47" s="137"/>
      <c r="BS47" s="137"/>
      <c r="BV47" s="262">
        <v>3.5933161953727506</v>
      </c>
      <c r="BW47" s="136">
        <v>3.8620000000000001</v>
      </c>
      <c r="BX47" s="137">
        <v>0.3907324322965694</v>
      </c>
      <c r="BY47" s="137">
        <v>0.3907324322965694</v>
      </c>
      <c r="BZ47" s="137">
        <v>1</v>
      </c>
      <c r="CA47" s="137">
        <v>3.74851197051385E-2</v>
      </c>
      <c r="CB47" s="137">
        <v>0.92253381176270466</v>
      </c>
      <c r="CC47" s="258">
        <v>-0.02</v>
      </c>
      <c r="CD47" s="258">
        <v>2.5000000000000001E-3</v>
      </c>
      <c r="CE47" s="258">
        <v>0.35</v>
      </c>
      <c r="CF47" s="258">
        <v>0</v>
      </c>
      <c r="CG47" s="258">
        <v>3.3399999999999999E-2</v>
      </c>
      <c r="CH47" s="258">
        <v>10.04058124708175</v>
      </c>
      <c r="CI47" s="258">
        <v>3.512</v>
      </c>
      <c r="CJ47" s="258"/>
      <c r="CK47" s="258"/>
      <c r="CL47" s="258"/>
      <c r="CM47" s="258"/>
    </row>
    <row r="48" spans="1:91" x14ac:dyDescent="0.25">
      <c r="A48" s="723"/>
      <c r="B48" s="723"/>
      <c r="D48" s="31">
        <f t="shared" si="47"/>
        <v>38061</v>
      </c>
      <c r="F48" s="28">
        <f t="shared" si="12"/>
        <v>230</v>
      </c>
      <c r="G48" s="28">
        <f t="shared" si="13"/>
        <v>211.25011074693228</v>
      </c>
      <c r="H48" s="52">
        <f t="shared" si="14"/>
        <v>3.4596401028277635</v>
      </c>
      <c r="I48" s="52">
        <f t="shared" si="15"/>
        <v>3.782</v>
      </c>
      <c r="K48" s="52">
        <f t="shared" si="16"/>
        <v>8.2275092115250938</v>
      </c>
      <c r="L48" s="135">
        <f t="shared" si="17"/>
        <v>6.884813380736432E-6</v>
      </c>
      <c r="N48" s="131">
        <f t="shared" si="48"/>
        <v>0.36642927609768672</v>
      </c>
      <c r="O48" s="131">
        <f t="shared" si="49"/>
        <v>0.36642927609768672</v>
      </c>
      <c r="P48" s="55">
        <f t="shared" si="50"/>
        <v>0.99999999999999989</v>
      </c>
      <c r="Q48" s="135">
        <f>_xll.xSPRDOPT(I48,H48,AQ48,0,O48,N48,P48,D48-$G$5,1,0)*AH48*AU48</f>
        <v>8.2275160963384746</v>
      </c>
      <c r="R48" s="135"/>
      <c r="S48" s="181">
        <f>_xll.xSPRDOPT(I48,H48,AQ48,AT48,O48,N48,P48,D48-$G$5,1,2)*AF48*(F48/(1-AR48))*AH48</f>
        <v>-6728.4516874219007</v>
      </c>
      <c r="T48" s="181">
        <f>_xll.xSPRDOPT(I48,H48,AQ48,AT48,O48,N48,P48,D48-$G$5,1,1)*AF48*F48*AH48</f>
        <v>6543.4192659399823</v>
      </c>
      <c r="U48" s="135"/>
      <c r="V48" s="146">
        <f t="shared" si="18"/>
        <v>10.685857232447976</v>
      </c>
      <c r="W48" s="146"/>
      <c r="X48" s="338">
        <f t="shared" si="19"/>
        <v>0</v>
      </c>
      <c r="Y48" s="338">
        <f t="shared" si="20"/>
        <v>0</v>
      </c>
      <c r="Z48" s="338">
        <f t="shared" si="21"/>
        <v>0.58922053327739221</v>
      </c>
      <c r="AA48" s="338">
        <f t="shared" si="22"/>
        <v>2.1840932402786946E-6</v>
      </c>
      <c r="AB48" s="338">
        <f t="shared" si="23"/>
        <v>0</v>
      </c>
      <c r="AC48" s="338">
        <f t="shared" si="24"/>
        <v>0.59487834577069398</v>
      </c>
      <c r="AF48" s="138">
        <f t="shared" si="25"/>
        <v>1</v>
      </c>
      <c r="AG48" s="138">
        <f t="shared" si="26"/>
        <v>3</v>
      </c>
      <c r="AH48" s="138">
        <f t="shared" si="27"/>
        <v>31</v>
      </c>
      <c r="AI48" s="138">
        <f t="shared" si="51"/>
        <v>805</v>
      </c>
      <c r="AJ48" s="138">
        <f t="shared" si="28"/>
        <v>822</v>
      </c>
      <c r="AL48" s="136">
        <f t="shared" si="29"/>
        <v>3.3820000000000001</v>
      </c>
      <c r="AM48" s="258">
        <f t="shared" si="30"/>
        <v>-0.02</v>
      </c>
      <c r="AN48" s="258">
        <f t="shared" si="31"/>
        <v>2.5000000000000001E-3</v>
      </c>
      <c r="AO48" s="258">
        <f t="shared" si="32"/>
        <v>0.4</v>
      </c>
      <c r="AP48" s="258">
        <f t="shared" si="33"/>
        <v>0</v>
      </c>
      <c r="AQ48" s="136">
        <f t="shared" si="34"/>
        <v>3.3399999999999999E-2</v>
      </c>
      <c r="AR48" s="137">
        <f t="shared" si="35"/>
        <v>2.75E-2</v>
      </c>
      <c r="AS48" s="136">
        <f t="shared" si="36"/>
        <v>3.3645</v>
      </c>
      <c r="AT48" s="137">
        <f t="shared" si="37"/>
        <v>3.8285632294587903E-2</v>
      </c>
      <c r="AU48" s="137">
        <f t="shared" si="38"/>
        <v>0.91847874237796645</v>
      </c>
      <c r="AV48" s="394">
        <f t="shared" si="39"/>
        <v>199.30988709601871</v>
      </c>
      <c r="AW48" s="137">
        <f t="shared" si="40"/>
        <v>0.35499999999999998</v>
      </c>
      <c r="AX48" s="137">
        <f t="shared" si="41"/>
        <v>0.75</v>
      </c>
      <c r="AY48" s="137">
        <f t="shared" si="42"/>
        <v>0.75</v>
      </c>
      <c r="AZ48" s="137"/>
      <c r="BA48" s="264"/>
      <c r="BB48" s="258">
        <f t="shared" si="43"/>
        <v>0</v>
      </c>
      <c r="BC48" s="258">
        <f t="shared" si="44"/>
        <v>0</v>
      </c>
      <c r="BD48" s="137">
        <f t="shared" si="45"/>
        <v>4.0989655535617064E-5</v>
      </c>
      <c r="BE48" s="137">
        <f t="shared" si="46"/>
        <v>4.0989655535617064E-5</v>
      </c>
      <c r="BF48" s="137">
        <f>_xll.xSPRDOPT($BW48,$BV48,$CG48,0,$BY48,$BX48,$BZ48,$AJ48,1,4)*$CB48</f>
        <v>-1.0945709834505646E-7</v>
      </c>
      <c r="BG48" s="137">
        <f>_xll.xSPRDOPT($BW48,$BV48,$CG48,0,$BY48,$BX48,$BZ48,$AJ48,1,3)*$CB48</f>
        <v>-1.0945709834505646E-7</v>
      </c>
      <c r="BH48" s="137">
        <f>IF(OR(BF48&lt;&gt;0,BG48&lt;&gt;0),_xll.xSPRDOPT($BW48,$BV48,$CG48,0,$BY48,$BX48,$BZ48,$AJ48,1,12)*$CB48,0)</f>
        <v>4.3782839338022583E-7</v>
      </c>
      <c r="BI48" s="137">
        <f>_xll.xSPRDOPT($BW48,$BV48,$CG48,2*LN(1+CA48/2),$BY48,$BX48,$BZ48,$AJ48,1,9)</f>
        <v>1.0061374463747896E-2</v>
      </c>
      <c r="BJ48" s="137">
        <f>_xll.xSPRDOPT($BW48,$BV48,$CG48,0,$BY48,$BX48,$BZ48,$AJ48,1,6)*$CB48</f>
        <v>-8.0204244337993882E-5</v>
      </c>
      <c r="BK48" s="137">
        <f>_xll.xSPRDOPT($BW48,$BV48,$CG48,0,$BY48,$BX48,$BZ48,$AJ48,1,5)*$CB48</f>
        <v>8.7677457606658005E-5</v>
      </c>
      <c r="BL48" s="137">
        <f>_xll.xSPRDOPT(BW48,BV48,CG48,0,BY48,BX48,BZ48,AJ48,1,2)*CB48</f>
        <v>-0.91818947651810645</v>
      </c>
      <c r="BM48" s="137">
        <f>_xll.xSPRDOPT(BW48,BV48,CG48,0,BY48,BX48,BZ48,AJ48,1,1)*CB48</f>
        <v>0.9181894765130959</v>
      </c>
      <c r="BN48" s="137">
        <f>IF(AH48&lt;&gt;0,_xll.xSPRDOPT($BW48,$BV48,$CG48,2*LN(1+CA48/2),$BY48,$BX48,$BZ48,$AJ48,1,8)+(AJ48/365.25)*CH48/AH48,0)</f>
        <v>0.17841310180373271</v>
      </c>
      <c r="BO48" s="137">
        <f>_xll.xSPRDOPT($BW48,$BV48,$CG48,0,$BY48,$BX48,$BZ48,$AJ48,1,0)</f>
        <v>0.28896014409968057</v>
      </c>
      <c r="BP48" s="137"/>
      <c r="BQ48" s="137"/>
      <c r="BR48" s="137"/>
      <c r="BS48" s="137"/>
      <c r="BV48" s="262">
        <v>3.4596401028277635</v>
      </c>
      <c r="BW48" s="136">
        <v>3.782</v>
      </c>
      <c r="BX48" s="137">
        <v>0.3663882864421511</v>
      </c>
      <c r="BY48" s="137">
        <v>0.3663882864421511</v>
      </c>
      <c r="BZ48" s="137">
        <v>1</v>
      </c>
      <c r="CA48" s="137">
        <v>3.8285632294587903E-2</v>
      </c>
      <c r="CB48" s="137">
        <v>0.91819269083412736</v>
      </c>
      <c r="CC48" s="258">
        <v>-0.02</v>
      </c>
      <c r="CD48" s="258">
        <v>2.5000000000000001E-3</v>
      </c>
      <c r="CE48" s="258">
        <v>0.4</v>
      </c>
      <c r="CF48" s="258">
        <v>0</v>
      </c>
      <c r="CG48" s="258">
        <v>3.3399999999999999E-2</v>
      </c>
      <c r="CH48" s="258">
        <v>10.682529222971489</v>
      </c>
      <c r="CI48" s="258">
        <v>3.3820000000000001</v>
      </c>
      <c r="CJ48" s="258"/>
      <c r="CK48" s="258"/>
      <c r="CL48" s="258"/>
      <c r="CM48" s="258"/>
    </row>
    <row r="49" spans="1:91" x14ac:dyDescent="0.25">
      <c r="A49" s="723"/>
      <c r="B49" s="723"/>
      <c r="D49" s="31">
        <f t="shared" si="47"/>
        <v>38092</v>
      </c>
      <c r="F49" s="28">
        <f t="shared" si="12"/>
        <v>230</v>
      </c>
      <c r="G49" s="28">
        <f t="shared" si="13"/>
        <v>210.18745050732815</v>
      </c>
      <c r="H49" s="52">
        <f t="shared" si="14"/>
        <v>3.2745501285347043</v>
      </c>
      <c r="I49" s="52">
        <f t="shared" si="15"/>
        <v>3.7970000000000002</v>
      </c>
      <c r="K49" s="52">
        <f t="shared" si="16"/>
        <v>13.407671172290488</v>
      </c>
      <c r="L49" s="135">
        <f t="shared" si="17"/>
        <v>1.3988609914861172E-6</v>
      </c>
      <c r="N49" s="131">
        <f t="shared" si="48"/>
        <v>0.3313618943887166</v>
      </c>
      <c r="O49" s="131">
        <f t="shared" si="49"/>
        <v>0.3313618943887166</v>
      </c>
      <c r="P49" s="55">
        <f t="shared" si="50"/>
        <v>1</v>
      </c>
      <c r="Q49" s="135">
        <f>_xll.xSPRDOPT(I49,H49,AQ49,0,O49,N49,P49,D49-$G$5,1,0)*AH49*AU49</f>
        <v>13.40767257115148</v>
      </c>
      <c r="R49" s="135"/>
      <c r="S49" s="181">
        <f>_xll.xSPRDOPT(I49,H49,AQ49,AT49,O49,N49,P49,D49-$G$5,1,2)*AF49*(F49/(1-AR49))*AH49</f>
        <v>-6478.2461206378612</v>
      </c>
      <c r="T49" s="181">
        <f>_xll.xSPRDOPT(I49,H49,AQ49,AT49,O49,N49,P49,D49-$G$5,1,1)*AF49*F49*AH49</f>
        <v>6300.0943522387388</v>
      </c>
      <c r="U49" s="135"/>
      <c r="V49" s="146">
        <f t="shared" si="18"/>
        <v>10.289132631573947</v>
      </c>
      <c r="W49" s="146"/>
      <c r="X49" s="338">
        <f t="shared" si="19"/>
        <v>0</v>
      </c>
      <c r="Y49" s="338">
        <f t="shared" si="20"/>
        <v>0</v>
      </c>
      <c r="Z49" s="338">
        <f t="shared" si="21"/>
        <v>0.98010315688593685</v>
      </c>
      <c r="AA49" s="338">
        <f t="shared" si="22"/>
        <v>-1.3014127365211143E-9</v>
      </c>
      <c r="AB49" s="338">
        <f t="shared" si="23"/>
        <v>0</v>
      </c>
      <c r="AC49" s="338">
        <f t="shared" si="24"/>
        <v>0.98964886870186008</v>
      </c>
      <c r="AF49" s="138">
        <f t="shared" si="25"/>
        <v>1</v>
      </c>
      <c r="AG49" s="138">
        <f t="shared" si="26"/>
        <v>4</v>
      </c>
      <c r="AH49" s="138">
        <f t="shared" si="27"/>
        <v>30</v>
      </c>
      <c r="AI49" s="138">
        <f t="shared" si="51"/>
        <v>836</v>
      </c>
      <c r="AJ49" s="138">
        <f t="shared" si="28"/>
        <v>853</v>
      </c>
      <c r="AL49" s="136">
        <f t="shared" si="29"/>
        <v>3.1970000000000001</v>
      </c>
      <c r="AM49" s="258">
        <f t="shared" si="30"/>
        <v>-0.02</v>
      </c>
      <c r="AN49" s="258">
        <f t="shared" si="31"/>
        <v>7.4999999999999997E-3</v>
      </c>
      <c r="AO49" s="258">
        <f t="shared" si="32"/>
        <v>0.6</v>
      </c>
      <c r="AP49" s="258">
        <f t="shared" si="33"/>
        <v>0</v>
      </c>
      <c r="AQ49" s="136">
        <f t="shared" si="34"/>
        <v>3.3399999999999999E-2</v>
      </c>
      <c r="AR49" s="137">
        <f t="shared" si="35"/>
        <v>2.75E-2</v>
      </c>
      <c r="AS49" s="136">
        <f t="shared" si="36"/>
        <v>3.1844999999999999</v>
      </c>
      <c r="AT49" s="137">
        <f t="shared" si="37"/>
        <v>3.9084714616572501E-2</v>
      </c>
      <c r="AU49" s="137">
        <f t="shared" si="38"/>
        <v>0.9138584804666442</v>
      </c>
      <c r="AV49" s="394">
        <f t="shared" si="39"/>
        <v>191.91028089799528</v>
      </c>
      <c r="AW49" s="137">
        <f t="shared" si="40"/>
        <v>0.33</v>
      </c>
      <c r="AX49" s="137">
        <f t="shared" si="41"/>
        <v>0.4</v>
      </c>
      <c r="AY49" s="137">
        <f t="shared" si="42"/>
        <v>0.4</v>
      </c>
      <c r="AZ49" s="137"/>
      <c r="BA49" s="264"/>
      <c r="BB49" s="258">
        <f t="shared" si="43"/>
        <v>0</v>
      </c>
      <c r="BC49" s="258">
        <f t="shared" si="44"/>
        <v>0</v>
      </c>
      <c r="BD49" s="137">
        <f t="shared" si="45"/>
        <v>4.7743752686346674E-6</v>
      </c>
      <c r="BE49" s="137">
        <f t="shared" si="46"/>
        <v>4.7743752686346674E-6</v>
      </c>
      <c r="BF49" s="137">
        <f>_xll.xSPRDOPT($BW49,$BV49,$CG49,0,$BY49,$BX49,$BZ49,$AJ49,1,4)*$CB49</f>
        <v>2.0692100198605483E-6</v>
      </c>
      <c r="BG49" s="137">
        <f>_xll.xSPRDOPT($BW49,$BV49,$CG49,0,$BY49,$BX49,$BZ49,$AJ49,1,3)*$CB49</f>
        <v>3.2671737155692871E-7</v>
      </c>
      <c r="BH49" s="137">
        <f>IF(OR(BF49&lt;&gt;0,BG49&lt;&gt;0),_xll.xSPRDOPT($BW49,$BV49,$CG49,0,$BY49,$BX49,$BZ49,$AJ49,1,12)*$CB49,0)</f>
        <v>-1.6335868577846436E-7</v>
      </c>
      <c r="BI49" s="137">
        <f>_xll.xSPRDOPT($BW49,$BV49,$CG49,2*LN(1+CA49/2),$BY49,$BX49,$BZ49,$AJ49,1,9)</f>
        <v>1.7293849181284467E-2</v>
      </c>
      <c r="BJ49" s="137">
        <f>_xll.xSPRDOPT($BW49,$BV49,$CG49,0,$BY49,$BX49,$BZ49,$AJ49,1,6)*$CB49</f>
        <v>2.4761165544752298E-7</v>
      </c>
      <c r="BK49" s="137">
        <f>_xll.xSPRDOPT($BW49,$BV49,$CG49,0,$BY49,$BX49,$BZ49,$AJ49,1,5)*$CB49</f>
        <v>-2.871164138530633E-7</v>
      </c>
      <c r="BL49" s="137">
        <f>_xll.xSPRDOPT(BW49,BV49,CG49,0,BY49,BX49,BZ49,AJ49,1,2)*CB49</f>
        <v>-0.91356807454256606</v>
      </c>
      <c r="BM49" s="137">
        <f>_xll.xSPRDOPT(BW49,BV49,CG49,0,BY49,BX49,BZ49,AJ49,1,1)*CB49</f>
        <v>0.91356807453259536</v>
      </c>
      <c r="BN49" s="137">
        <f>IF(AH49&lt;&gt;0,_xll.xSPRDOPT($BW49,$BV49,$CG49,2*LN(1+CA49/2),$BY49,$BX49,$BZ49,$AJ49,1,8)+(AJ49/365.25)*CH49/AH49,0)</f>
        <v>-0.24268938880414681</v>
      </c>
      <c r="BO49" s="137">
        <f>_xll.xSPRDOPT($BW49,$BV49,$CG49,0,$BY49,$BX49,$BZ49,$AJ49,1,0)</f>
        <v>0.48904992246435758</v>
      </c>
      <c r="BP49" s="137"/>
      <c r="BQ49" s="137"/>
      <c r="BR49" s="137"/>
      <c r="BS49" s="137"/>
      <c r="BV49" s="262">
        <v>3.2745501285347043</v>
      </c>
      <c r="BW49" s="136">
        <v>3.7970000000000002</v>
      </c>
      <c r="BX49" s="137">
        <v>0.33135712001344797</v>
      </c>
      <c r="BY49" s="137">
        <v>0.33135712001344797</v>
      </c>
      <c r="BZ49" s="137">
        <v>1</v>
      </c>
      <c r="CA49" s="137">
        <v>3.9084714616572501E-2</v>
      </c>
      <c r="CB49" s="137">
        <v>0.91356798559380814</v>
      </c>
      <c r="CC49" s="258">
        <v>-0.02</v>
      </c>
      <c r="CD49" s="258">
        <v>7.4999999999999997E-3</v>
      </c>
      <c r="CE49" s="258">
        <v>0.6</v>
      </c>
      <c r="CF49" s="258">
        <v>0</v>
      </c>
      <c r="CG49" s="258">
        <v>3.3399999999999999E-2</v>
      </c>
      <c r="CH49" s="258">
        <v>10.285861949800687</v>
      </c>
      <c r="CI49" s="258">
        <v>3.1970000000000001</v>
      </c>
      <c r="CJ49" s="258"/>
      <c r="CK49" s="258"/>
      <c r="CL49" s="258"/>
      <c r="CM49" s="258"/>
    </row>
    <row r="50" spans="1:91" x14ac:dyDescent="0.25">
      <c r="A50" s="723"/>
      <c r="B50" s="723"/>
      <c r="D50" s="31">
        <f t="shared" si="47"/>
        <v>38122</v>
      </c>
      <c r="F50" s="28">
        <f t="shared" si="12"/>
        <v>148</v>
      </c>
      <c r="G50" s="28">
        <f t="shared" si="13"/>
        <v>134.59422044244064</v>
      </c>
      <c r="H50" s="52">
        <f t="shared" si="14"/>
        <v>3.2694087403598973</v>
      </c>
      <c r="I50" s="52">
        <f t="shared" si="15"/>
        <v>3.9420000000000002</v>
      </c>
      <c r="K50" s="52">
        <f t="shared" si="16"/>
        <v>18.020100867914334</v>
      </c>
      <c r="L50" s="135">
        <f t="shared" si="17"/>
        <v>1.8707297897435637E-6</v>
      </c>
      <c r="N50" s="131">
        <f t="shared" si="48"/>
        <v>0.32761016081651256</v>
      </c>
      <c r="O50" s="131">
        <f t="shared" si="49"/>
        <v>0.32761016081651256</v>
      </c>
      <c r="P50" s="55">
        <f t="shared" si="50"/>
        <v>1.0000000000000002</v>
      </c>
      <c r="Q50" s="135">
        <f>_xll.xSPRDOPT(I50,H50,AQ50,0,O50,N50,P50,D50-$G$5,1,0)*AH50*AU50</f>
        <v>18.020102738644123</v>
      </c>
      <c r="R50" s="135"/>
      <c r="S50" s="181">
        <f>_xll.xSPRDOPT(I50,H50,AQ50,AT50,O50,N50,P50,D50-$G$5,1,2)*AF50*(F50/(1-AR50))*AH50</f>
        <v>-4286.3694548792791</v>
      </c>
      <c r="T50" s="181">
        <f>_xll.xSPRDOPT(I50,H50,AQ50,AT50,O50,N50,P50,D50-$G$5,1,1)*AF50*F50*AH50</f>
        <v>4168.4942948534081</v>
      </c>
      <c r="U50" s="135"/>
      <c r="V50" s="146">
        <f t="shared" si="18"/>
        <v>10.580469857388429</v>
      </c>
      <c r="W50" s="146"/>
      <c r="X50" s="338">
        <f t="shared" si="19"/>
        <v>0</v>
      </c>
      <c r="Y50" s="338">
        <f t="shared" si="20"/>
        <v>0</v>
      </c>
      <c r="Z50" s="338">
        <f t="shared" si="21"/>
        <v>0.86298251274708604</v>
      </c>
      <c r="AA50" s="338">
        <f t="shared" si="22"/>
        <v>-3.7963719784909764E-9</v>
      </c>
      <c r="AB50" s="338">
        <f t="shared" si="23"/>
        <v>0</v>
      </c>
      <c r="AC50" s="338">
        <f t="shared" si="24"/>
        <v>0.87154065218978061</v>
      </c>
      <c r="AF50" s="138">
        <f t="shared" si="25"/>
        <v>1</v>
      </c>
      <c r="AG50" s="138">
        <f t="shared" si="26"/>
        <v>5</v>
      </c>
      <c r="AH50" s="138">
        <f t="shared" si="27"/>
        <v>31</v>
      </c>
      <c r="AI50" s="138">
        <f t="shared" si="51"/>
        <v>866</v>
      </c>
      <c r="AJ50" s="138">
        <f t="shared" si="28"/>
        <v>883</v>
      </c>
      <c r="AL50" s="136">
        <f t="shared" si="29"/>
        <v>3.1920000000000002</v>
      </c>
      <c r="AM50" s="258">
        <f t="shared" si="30"/>
        <v>-0.02</v>
      </c>
      <c r="AN50" s="258">
        <f t="shared" si="31"/>
        <v>7.4999999999999997E-3</v>
      </c>
      <c r="AO50" s="258">
        <f t="shared" si="32"/>
        <v>0.75</v>
      </c>
      <c r="AP50" s="258">
        <f t="shared" si="33"/>
        <v>0</v>
      </c>
      <c r="AQ50" s="136">
        <f t="shared" si="34"/>
        <v>3.3399999999999999E-2</v>
      </c>
      <c r="AR50" s="137">
        <f t="shared" si="35"/>
        <v>2.75E-2</v>
      </c>
      <c r="AS50" s="136">
        <f t="shared" si="36"/>
        <v>3.1795</v>
      </c>
      <c r="AT50" s="137">
        <f t="shared" si="37"/>
        <v>3.9799554968306797E-2</v>
      </c>
      <c r="AU50" s="137">
        <f t="shared" si="38"/>
        <v>0.90942040839486926</v>
      </c>
      <c r="AV50" s="394">
        <f t="shared" si="39"/>
        <v>112.76813064096379</v>
      </c>
      <c r="AW50" s="137">
        <f t="shared" si="40"/>
        <v>0.32500000000000001</v>
      </c>
      <c r="AX50" s="137">
        <f t="shared" si="41"/>
        <v>0.45</v>
      </c>
      <c r="AY50" s="137">
        <f t="shared" si="42"/>
        <v>0.45</v>
      </c>
      <c r="AZ50" s="137"/>
      <c r="BA50" s="264"/>
      <c r="BB50" s="258">
        <f t="shared" si="43"/>
        <v>0</v>
      </c>
      <c r="BC50" s="258">
        <f t="shared" si="44"/>
        <v>0</v>
      </c>
      <c r="BD50" s="137">
        <f t="shared" si="45"/>
        <v>8.8178559663476541E-6</v>
      </c>
      <c r="BE50" s="137">
        <f t="shared" si="46"/>
        <v>8.8178559663476541E-6</v>
      </c>
      <c r="BF50" s="137">
        <f>_xll.xSPRDOPT($BW50,$BV50,$CG50,0,$BY50,$BX50,$BZ50,$AJ50,1,4)*$CB50</f>
        <v>8.6701020210030032E-7</v>
      </c>
      <c r="BG50" s="137">
        <f>_xll.xSPRDOPT($BW50,$BV50,$CG50,0,$BY50,$BX50,$BZ50,$AJ50,1,3)*$CB50</f>
        <v>8.6701020210030032E-7</v>
      </c>
      <c r="BH50" s="137">
        <f>IF(OR(BF50&lt;&gt;0,BG50&lt;&gt;0),_xll.xSPRDOPT($BW50,$BV50,$CG50,0,$BY50,$BX50,$BZ50,$AJ50,1,12)*$CB50,0)</f>
        <v>-5.4188137631268766E-7</v>
      </c>
      <c r="BI50" s="137">
        <f>_xll.xSPRDOPT($BW50,$BV50,$CG50,2*LN(1+CA50/2),$BY50,$BX50,$BZ50,$AJ50,1,9)</f>
        <v>2.2900636644934115E-2</v>
      </c>
      <c r="BJ50" s="137">
        <f>_xll.xSPRDOPT($BW50,$BV50,$CG50,0,$BY50,$BX50,$BZ50,$AJ50,1,6)*$CB50</f>
        <v>4.5611517107772749E-7</v>
      </c>
      <c r="BK50" s="137">
        <f>_xll.xSPRDOPT($BW50,$BV50,$CG50,0,$BY50,$BX50,$BZ50,$AJ50,1,5)*$CB50</f>
        <v>-5.4995395030144183E-7</v>
      </c>
      <c r="BL50" s="137">
        <f>_xll.xSPRDOPT(BW50,BV50,CG50,0,BY50,BX50,BZ50,AJ50,1,2)*CB50</f>
        <v>-0.90912618480112228</v>
      </c>
      <c r="BM50" s="137">
        <f>_xll.xSPRDOPT(BW50,BV50,CG50,0,BY50,BX50,BZ50,AJ50,1,1)*CB50</f>
        <v>0.90912618480112228</v>
      </c>
      <c r="BN50" s="137">
        <f>IF(AH50&lt;&gt;0,_xll.xSPRDOPT($BW50,$BV50,$CG50,2*LN(1+CA50/2),$BY50,$BX50,$BZ50,$AJ50,1,8)+(AJ50/365.25)*CH50/AH50,0)</f>
        <v>-0.57998894458429073</v>
      </c>
      <c r="BO50" s="137">
        <f>_xll.xSPRDOPT($BW50,$BV50,$CG50,0,$BY50,$BX50,$BZ50,$AJ50,1,0)</f>
        <v>0.63919132594025629</v>
      </c>
      <c r="BP50" s="137"/>
      <c r="BQ50" s="137"/>
      <c r="BR50" s="137"/>
      <c r="BS50" s="137"/>
      <c r="BV50" s="262">
        <v>3.2694087403598973</v>
      </c>
      <c r="BW50" s="136">
        <v>3.9420000000000002</v>
      </c>
      <c r="BX50" s="137">
        <v>0.32760134296054622</v>
      </c>
      <c r="BY50" s="137">
        <v>0.32760134296054622</v>
      </c>
      <c r="BZ50" s="137">
        <v>1</v>
      </c>
      <c r="CA50" s="137">
        <v>3.9799554968306797E-2</v>
      </c>
      <c r="CB50" s="137">
        <v>0.90912608967752451</v>
      </c>
      <c r="CC50" s="258">
        <v>-0.02</v>
      </c>
      <c r="CD50" s="258">
        <v>7.4999999999999997E-3</v>
      </c>
      <c r="CE50" s="258">
        <v>0.75</v>
      </c>
      <c r="CF50" s="258">
        <v>0</v>
      </c>
      <c r="CG50" s="258">
        <v>3.3399999999999999E-2</v>
      </c>
      <c r="CH50" s="258">
        <v>10.577045665135225</v>
      </c>
      <c r="CI50" s="258">
        <v>3.1920000000000002</v>
      </c>
      <c r="CJ50" s="258"/>
      <c r="CK50" s="258"/>
      <c r="CL50" s="258"/>
      <c r="CM50" s="258"/>
    </row>
    <row r="51" spans="1:91" x14ac:dyDescent="0.25">
      <c r="A51" s="723"/>
      <c r="B51" s="723"/>
      <c r="D51" s="31">
        <f t="shared" si="47"/>
        <v>38153</v>
      </c>
      <c r="F51" s="28">
        <f t="shared" si="12"/>
        <v>148</v>
      </c>
      <c r="G51" s="28">
        <f t="shared" si="13"/>
        <v>133.90272804781682</v>
      </c>
      <c r="H51" s="52">
        <f t="shared" si="14"/>
        <v>3.3079691516709508</v>
      </c>
      <c r="I51" s="52">
        <f t="shared" si="15"/>
        <v>4.077</v>
      </c>
      <c r="K51" s="52">
        <f t="shared" si="16"/>
        <v>19.96681974879516</v>
      </c>
      <c r="L51" s="135">
        <f t="shared" si="17"/>
        <v>2.0738848824919387E-6</v>
      </c>
      <c r="N51" s="131">
        <f t="shared" si="48"/>
        <v>0.32256221350143816</v>
      </c>
      <c r="O51" s="131">
        <f t="shared" si="49"/>
        <v>0.32256221350143816</v>
      </c>
      <c r="P51" s="55">
        <f t="shared" si="50"/>
        <v>1</v>
      </c>
      <c r="Q51" s="135">
        <f>_xll.xSPRDOPT(I51,H51,AQ51,0,O51,N51,P51,D51-$G$5,1,0)*AH51*AU51</f>
        <v>19.966821822680043</v>
      </c>
      <c r="R51" s="135"/>
      <c r="S51" s="181">
        <f>_xll.xSPRDOPT(I51,H51,AQ51,AT51,O51,N51,P51,D51-$G$5,1,2)*AF51*(F51/(1-AR51))*AH51</f>
        <v>-4126.5015874969577</v>
      </c>
      <c r="T51" s="181">
        <f>_xll.xSPRDOPT(I51,H51,AQ51,AT51,O51,N51,P51,D51-$G$5,1,1)*AF51*F51*AH51</f>
        <v>4013.0227939134784</v>
      </c>
      <c r="U51" s="135"/>
      <c r="V51" s="146">
        <f t="shared" si="18"/>
        <v>10.186559561421417</v>
      </c>
      <c r="W51" s="146"/>
      <c r="X51" s="338">
        <f t="shared" si="19"/>
        <v>0</v>
      </c>
      <c r="Y51" s="338">
        <f t="shared" si="20"/>
        <v>0</v>
      </c>
      <c r="Z51" s="338">
        <f t="shared" si="21"/>
        <v>0.9737751859441871</v>
      </c>
      <c r="AA51" s="338">
        <f t="shared" si="22"/>
        <v>-4.1250942949010478E-9</v>
      </c>
      <c r="AB51" s="338">
        <f t="shared" si="23"/>
        <v>0</v>
      </c>
      <c r="AC51" s="338">
        <f t="shared" si="24"/>
        <v>0.98361069639365839</v>
      </c>
      <c r="AF51" s="138">
        <f t="shared" si="25"/>
        <v>1</v>
      </c>
      <c r="AG51" s="138">
        <f t="shared" si="26"/>
        <v>6</v>
      </c>
      <c r="AH51" s="138">
        <f t="shared" si="27"/>
        <v>30</v>
      </c>
      <c r="AI51" s="138">
        <f t="shared" si="51"/>
        <v>897</v>
      </c>
      <c r="AJ51" s="138">
        <f t="shared" si="28"/>
        <v>914</v>
      </c>
      <c r="AL51" s="136">
        <f t="shared" si="29"/>
        <v>3.2269999999999999</v>
      </c>
      <c r="AM51" s="258">
        <f t="shared" si="30"/>
        <v>-1.7500000000000002E-2</v>
      </c>
      <c r="AN51" s="258">
        <f t="shared" si="31"/>
        <v>7.4999999999999997E-3</v>
      </c>
      <c r="AO51" s="258">
        <f t="shared" si="32"/>
        <v>0.85</v>
      </c>
      <c r="AP51" s="258">
        <f t="shared" si="33"/>
        <v>0</v>
      </c>
      <c r="AQ51" s="136">
        <f t="shared" si="34"/>
        <v>3.3399999999999999E-2</v>
      </c>
      <c r="AR51" s="137">
        <f t="shared" si="35"/>
        <v>2.75E-2</v>
      </c>
      <c r="AS51" s="136">
        <f t="shared" si="36"/>
        <v>3.2169999999999996</v>
      </c>
      <c r="AT51" s="137">
        <f t="shared" si="37"/>
        <v>4.0538223511899799E-2</v>
      </c>
      <c r="AU51" s="137">
        <f t="shared" si="38"/>
        <v>0.90474816248524881</v>
      </c>
      <c r="AV51" s="394">
        <f t="shared" si="39"/>
        <v>108.56977949822986</v>
      </c>
      <c r="AW51" s="137">
        <f t="shared" si="40"/>
        <v>0.32</v>
      </c>
      <c r="AX51" s="137">
        <f t="shared" si="41"/>
        <v>0.45</v>
      </c>
      <c r="AY51" s="137">
        <f t="shared" si="42"/>
        <v>0.45</v>
      </c>
      <c r="AZ51" s="137"/>
      <c r="BA51" s="264"/>
      <c r="BB51" s="258">
        <f t="shared" si="43"/>
        <v>0</v>
      </c>
      <c r="BC51" s="258">
        <f t="shared" si="44"/>
        <v>0</v>
      </c>
      <c r="BD51" s="137">
        <f t="shared" si="45"/>
        <v>8.3674438265957107E-6</v>
      </c>
      <c r="BE51" s="137">
        <f t="shared" si="46"/>
        <v>8.3674438265957107E-6</v>
      </c>
      <c r="BF51" s="137">
        <f>_xll.xSPRDOPT($BW51,$BV51,$CG51,0,$BY51,$BX51,$BZ51,$AJ51,1,4)*$CB51</f>
        <v>1.2938260696010463E-6</v>
      </c>
      <c r="BG51" s="137">
        <f>_xll.xSPRDOPT($BW51,$BV51,$CG51,0,$BY51,$BX51,$BZ51,$AJ51,1,3)*$CB51</f>
        <v>4.3127535653368208E-7</v>
      </c>
      <c r="BH51" s="137">
        <f>IF(OR(BF51&lt;&gt;0,BG51&lt;&gt;0),_xll.xSPRDOPT($BW51,$BV51,$CG51,0,$BY51,$BX51,$BZ51,$AJ51,1,12)*$CB51,0)</f>
        <v>-3.2345651740026159E-7</v>
      </c>
      <c r="BI51" s="137">
        <f>_xll.xSPRDOPT($BW51,$BV51,$CG51,2*LN(1+CA51/2),$BY51,$BX51,$BZ51,$AJ51,1,9)</f>
        <v>2.6702056056014594E-2</v>
      </c>
      <c r="BJ51" s="137">
        <f>_xll.xSPRDOPT($BW51,$BV51,$CG51,0,$BY51,$BX51,$BZ51,$AJ51,1,6)*$CB51</f>
        <v>4.7761077860019465E-7</v>
      </c>
      <c r="BK51" s="137">
        <f>_xll.xSPRDOPT($BW51,$BV51,$CG51,0,$BY51,$BX51,$BZ51,$AJ51,1,5)*$CB51</f>
        <v>-5.8864532043856797E-7</v>
      </c>
      <c r="BL51" s="137">
        <f>_xll.xSPRDOPT(BW51,BV51,CG51,0,BY51,BX51,BZ51,AJ51,1,2)*CB51</f>
        <v>-0.90445007134529976</v>
      </c>
      <c r="BM51" s="137">
        <f>_xll.xSPRDOPT(BW51,BV51,CG51,0,BY51,BX51,BZ51,AJ51,1,1)*CB51</f>
        <v>0.90445007136010636</v>
      </c>
      <c r="BN51" s="137">
        <f>IF(AH51&lt;&gt;0,_xll.xSPRDOPT($BW51,$BV51,$CG51,2*LN(1+CA51/2),$BY51,$BX51,$BZ51,$AJ51,1,8)+(AJ51/365.25)*CH51/AH51,0)</f>
        <v>-0.81553397636619174</v>
      </c>
      <c r="BO51" s="137">
        <f>_xll.xSPRDOPT($BW51,$BV51,$CG51,0,$BY51,$BX51,$BZ51,$AJ51,1,0)</f>
        <v>0.7356309246725321</v>
      </c>
      <c r="BP51" s="137"/>
      <c r="BQ51" s="137"/>
      <c r="BR51" s="137"/>
      <c r="BS51" s="137"/>
      <c r="BV51" s="262">
        <v>3.3079691516709508</v>
      </c>
      <c r="BW51" s="136">
        <v>4.077</v>
      </c>
      <c r="BX51" s="137">
        <v>0.32255384605761156</v>
      </c>
      <c r="BY51" s="137">
        <v>0.32255384605761156</v>
      </c>
      <c r="BZ51" s="137">
        <v>1</v>
      </c>
      <c r="CA51" s="137">
        <v>4.0538223511899799E-2</v>
      </c>
      <c r="CB51" s="137">
        <v>0.90444997650532444</v>
      </c>
      <c r="CC51" s="258">
        <v>-1.7500000000000002E-2</v>
      </c>
      <c r="CD51" s="258">
        <v>7.4999999999999997E-3</v>
      </c>
      <c r="CE51" s="258">
        <v>0.85</v>
      </c>
      <c r="CF51" s="258">
        <v>0</v>
      </c>
      <c r="CG51" s="258">
        <v>3.3399999999999999E-2</v>
      </c>
      <c r="CH51" s="258">
        <v>10.183202285473449</v>
      </c>
      <c r="CI51" s="258">
        <v>3.2269999999999999</v>
      </c>
      <c r="CJ51" s="258"/>
      <c r="CK51" s="258"/>
      <c r="CL51" s="258"/>
      <c r="CM51" s="258"/>
    </row>
    <row r="52" spans="1:91" x14ac:dyDescent="0.25">
      <c r="A52" s="723"/>
      <c r="B52" s="723"/>
      <c r="D52" s="31">
        <f t="shared" si="47"/>
        <v>38183</v>
      </c>
      <c r="F52" s="28">
        <f t="shared" si="12"/>
        <v>148</v>
      </c>
      <c r="G52" s="28">
        <f t="shared" si="13"/>
        <v>133.23413513326292</v>
      </c>
      <c r="H52" s="52">
        <f t="shared" si="14"/>
        <v>3.3491002570694084</v>
      </c>
      <c r="I52" s="52">
        <f t="shared" si="15"/>
        <v>4.3170000000000002</v>
      </c>
      <c r="K52" s="52">
        <f t="shared" si="16"/>
        <v>26.079224432297515</v>
      </c>
      <c r="L52" s="135">
        <f t="shared" si="17"/>
        <v>2.6868236382426858E-6</v>
      </c>
      <c r="N52" s="131">
        <f t="shared" si="48"/>
        <v>0.32377055765666068</v>
      </c>
      <c r="O52" s="131">
        <f t="shared" si="49"/>
        <v>0.32377055765666068</v>
      </c>
      <c r="P52" s="55">
        <f t="shared" si="50"/>
        <v>1.0000000000000002</v>
      </c>
      <c r="Q52" s="135">
        <f>_xll.xSPRDOPT(I52,H52,AQ52,0,O52,N52,P52,D52-$G$5,1,0)*AH52*AU52</f>
        <v>26.079227119121153</v>
      </c>
      <c r="R52" s="135"/>
      <c r="S52" s="181">
        <f>_xll.xSPRDOPT(I52,H52,AQ52,AT52,O52,N52,P52,D52-$G$5,1,2)*AF52*(F52/(1-AR52))*AH52</f>
        <v>-4242.4712226892507</v>
      </c>
      <c r="T52" s="181">
        <f>_xll.xSPRDOPT(I52,H52,AQ52,AT52,O52,N52,P52,D52-$G$5,1,1)*AF52*F52*AH52</f>
        <v>4125.803264107024</v>
      </c>
      <c r="U52" s="135"/>
      <c r="V52" s="146">
        <f t="shared" si="18"/>
        <v>10.473553367438656</v>
      </c>
      <c r="W52" s="146"/>
      <c r="X52" s="338">
        <f t="shared" si="19"/>
        <v>0</v>
      </c>
      <c r="Y52" s="338">
        <f t="shared" si="20"/>
        <v>0</v>
      </c>
      <c r="Z52" s="338">
        <f t="shared" si="21"/>
        <v>1.2928943854850314</v>
      </c>
      <c r="AA52" s="338">
        <f t="shared" si="22"/>
        <v>-7.8965523474682879E-9</v>
      </c>
      <c r="AB52" s="338">
        <f t="shared" si="23"/>
        <v>0</v>
      </c>
      <c r="AC52" s="338">
        <f t="shared" si="24"/>
        <v>1.3061704922075474</v>
      </c>
      <c r="AF52" s="138">
        <f t="shared" si="25"/>
        <v>1</v>
      </c>
      <c r="AG52" s="138">
        <f t="shared" si="26"/>
        <v>7</v>
      </c>
      <c r="AH52" s="138">
        <f t="shared" si="27"/>
        <v>31</v>
      </c>
      <c r="AI52" s="138">
        <f t="shared" si="51"/>
        <v>927</v>
      </c>
      <c r="AJ52" s="138">
        <f t="shared" si="28"/>
        <v>944</v>
      </c>
      <c r="AL52" s="136">
        <f t="shared" si="29"/>
        <v>3.2669999999999999</v>
      </c>
      <c r="AM52" s="258">
        <f t="shared" si="30"/>
        <v>-1.7500000000000002E-2</v>
      </c>
      <c r="AN52" s="258">
        <f t="shared" si="31"/>
        <v>7.4999999999999997E-3</v>
      </c>
      <c r="AO52" s="258">
        <f t="shared" si="32"/>
        <v>1.05</v>
      </c>
      <c r="AP52" s="258">
        <f t="shared" si="33"/>
        <v>0</v>
      </c>
      <c r="AQ52" s="136">
        <f t="shared" si="34"/>
        <v>3.3399999999999999E-2</v>
      </c>
      <c r="AR52" s="137">
        <f t="shared" si="35"/>
        <v>2.75E-2</v>
      </c>
      <c r="AS52" s="136">
        <f t="shared" si="36"/>
        <v>3.2569999999999997</v>
      </c>
      <c r="AT52" s="137">
        <f t="shared" si="37"/>
        <v>4.12152492802473E-2</v>
      </c>
      <c r="AU52" s="137">
        <f t="shared" si="38"/>
        <v>0.90023064279231713</v>
      </c>
      <c r="AV52" s="394">
        <f t="shared" si="39"/>
        <v>111.62859970624733</v>
      </c>
      <c r="AW52" s="137">
        <f t="shared" si="40"/>
        <v>0.32</v>
      </c>
      <c r="AX52" s="137">
        <f t="shared" si="41"/>
        <v>0.5</v>
      </c>
      <c r="AY52" s="137">
        <f t="shared" si="42"/>
        <v>0.5</v>
      </c>
      <c r="AZ52" s="137"/>
      <c r="BA52" s="264"/>
      <c r="BB52" s="258">
        <f t="shared" si="43"/>
        <v>0</v>
      </c>
      <c r="BC52" s="258">
        <f t="shared" si="44"/>
        <v>0</v>
      </c>
      <c r="BD52" s="137">
        <f t="shared" si="45"/>
        <v>1.1894249567379056E-5</v>
      </c>
      <c r="BE52" s="137">
        <f t="shared" si="46"/>
        <v>1.1894249567379056E-5</v>
      </c>
      <c r="BF52" s="137">
        <f>_xll.xSPRDOPT($BW52,$BV52,$CG52,0,$BY52,$BX52,$BZ52,$AJ52,1,4)*$CB52</f>
        <v>4.2911960677939093E-7</v>
      </c>
      <c r="BG52" s="137">
        <f>_xll.xSPRDOPT($BW52,$BV52,$CG52,0,$BY52,$BX52,$BZ52,$AJ52,1,3)*$CB52</f>
        <v>-8.5823921355878186E-7</v>
      </c>
      <c r="BH52" s="137">
        <f>IF(OR(BF52&lt;&gt;0,BG52&lt;&gt;0),_xll.xSPRDOPT($BW52,$BV52,$CG52,0,$BY52,$BX52,$BZ52,$AJ52,1,12)*$CB52,0)</f>
        <v>0</v>
      </c>
      <c r="BI52" s="137">
        <f>_xll.xSPRDOPT($BW52,$BV52,$CG52,2*LN(1+CA52/2),$BY52,$BX52,$BZ52,$AJ52,1,9)</f>
        <v>3.4309043468352778E-2</v>
      </c>
      <c r="BJ52" s="137">
        <f>_xll.xSPRDOPT($BW52,$BV52,$CG52,0,$BY52,$BX52,$BZ52,$AJ52,1,6)*$CB52</f>
        <v>5.0068772071942908E-7</v>
      </c>
      <c r="BK52" s="137">
        <f>_xll.xSPRDOPT($BW52,$BV52,$CG52,0,$BY52,$BX52,$BZ52,$AJ52,1,5)*$CB52</f>
        <v>-6.4539056336292827E-7</v>
      </c>
      <c r="BL52" s="137">
        <f>_xll.xSPRDOPT(BW52,BV52,CG52,0,BY52,BX52,BZ52,AJ52,1,2)*CB52</f>
        <v>-0.89992913509166306</v>
      </c>
      <c r="BM52" s="137">
        <f>_xll.xSPRDOPT(BW52,BV52,CG52,0,BY52,BX52,BZ52,AJ52,1,1)*CB52</f>
        <v>0.89992913510148487</v>
      </c>
      <c r="BN52" s="137">
        <f>IF(AH52&lt;&gt;0,_xll.xSPRDOPT($BW52,$BV52,$CG52,2*LN(1+CA52/2),$BY52,$BX52,$BZ52,$AJ52,1,8)+(AJ52/365.25)*CH52/AH52,0)</f>
        <v>-1.3006399054634317</v>
      </c>
      <c r="BO52" s="137">
        <f>_xll.xSPRDOPT($BW52,$BV52,$CG52,0,$BY52,$BX52,$BZ52,$AJ52,1,0)</f>
        <v>0.93449983912702761</v>
      </c>
      <c r="BP52" s="137"/>
      <c r="BQ52" s="137"/>
      <c r="BR52" s="137"/>
      <c r="BS52" s="137"/>
      <c r="BV52" s="262">
        <v>3.3491002570694084</v>
      </c>
      <c r="BW52" s="136">
        <v>4.3170000000000002</v>
      </c>
      <c r="BX52" s="137">
        <v>0.32375866340709331</v>
      </c>
      <c r="BY52" s="137">
        <v>0.32375866340709331</v>
      </c>
      <c r="BZ52" s="137">
        <v>1</v>
      </c>
      <c r="CA52" s="137">
        <v>4.12152492802473E-2</v>
      </c>
      <c r="CB52" s="137">
        <v>0.89992904159661324</v>
      </c>
      <c r="CC52" s="258">
        <v>-1.7500000000000002E-2</v>
      </c>
      <c r="CD52" s="258">
        <v>7.4999999999999997E-3</v>
      </c>
      <c r="CE52" s="258">
        <v>1.05</v>
      </c>
      <c r="CF52" s="258">
        <v>0</v>
      </c>
      <c r="CG52" s="258">
        <v>3.3399999999999999E-2</v>
      </c>
      <c r="CH52" s="258">
        <v>10.470044448647478</v>
      </c>
      <c r="CI52" s="258">
        <v>3.2669999999999999</v>
      </c>
      <c r="CJ52" s="258"/>
      <c r="CK52" s="258"/>
      <c r="CL52" s="258"/>
      <c r="CM52" s="258"/>
    </row>
    <row r="53" spans="1:91" x14ac:dyDescent="0.25">
      <c r="A53" s="723"/>
      <c r="B53" s="723"/>
      <c r="D53" s="31">
        <f t="shared" si="47"/>
        <v>38214</v>
      </c>
      <c r="F53" s="28">
        <f t="shared" si="12"/>
        <v>148</v>
      </c>
      <c r="G53" s="28">
        <f t="shared" si="13"/>
        <v>132.54599799034867</v>
      </c>
      <c r="H53" s="52">
        <f t="shared" si="14"/>
        <v>3.3902313624678659</v>
      </c>
      <c r="I53" s="52">
        <f t="shared" si="15"/>
        <v>4.3570000000000002</v>
      </c>
      <c r="K53" s="52">
        <f t="shared" si="16"/>
        <v>25.913125704001693</v>
      </c>
      <c r="L53" s="135">
        <f t="shared" si="17"/>
        <v>2.640605867298973E-6</v>
      </c>
      <c r="N53" s="131">
        <f t="shared" si="48"/>
        <v>0.32493996126723368</v>
      </c>
      <c r="O53" s="131">
        <f t="shared" si="49"/>
        <v>0.32493996126723368</v>
      </c>
      <c r="P53" s="55">
        <f t="shared" si="50"/>
        <v>0.99999999999999989</v>
      </c>
      <c r="Q53" s="135">
        <f>_xll.xSPRDOPT(I53,H53,AQ53,0,O53,N53,P53,D53-$G$5,1,0)*AH53*AU53</f>
        <v>25.913128344607561</v>
      </c>
      <c r="R53" s="135"/>
      <c r="S53" s="181">
        <f>_xll.xSPRDOPT(I53,H53,AQ53,AT53,O53,N53,P53,D53-$G$5,1,2)*AF53*(F53/(1-AR53))*AH53</f>
        <v>-4220.2589273391777</v>
      </c>
      <c r="T53" s="181">
        <f>_xll.xSPRDOPT(I53,H53,AQ53,AT53,O53,N53,P53,D53-$G$5,1,1)*AF53*F53*AH53</f>
        <v>4104.2018068123143</v>
      </c>
      <c r="U53" s="135"/>
      <c r="V53" s="146">
        <f t="shared" si="18"/>
        <v>10.41945881364266</v>
      </c>
      <c r="W53" s="146"/>
      <c r="X53" s="338">
        <f t="shared" si="19"/>
        <v>0</v>
      </c>
      <c r="Y53" s="338">
        <f t="shared" si="20"/>
        <v>0</v>
      </c>
      <c r="Z53" s="338">
        <f t="shared" si="21"/>
        <v>1.3049551233702412</v>
      </c>
      <c r="AA53" s="338">
        <f t="shared" si="22"/>
        <v>-1.0293233274863106E-8</v>
      </c>
      <c r="AB53" s="338">
        <f t="shared" si="23"/>
        <v>0</v>
      </c>
      <c r="AC53" s="338">
        <f t="shared" si="24"/>
        <v>1.3185683179709338</v>
      </c>
      <c r="AF53" s="138">
        <f t="shared" si="25"/>
        <v>1</v>
      </c>
      <c r="AG53" s="138">
        <f t="shared" si="26"/>
        <v>8</v>
      </c>
      <c r="AH53" s="138">
        <f t="shared" si="27"/>
        <v>31</v>
      </c>
      <c r="AI53" s="138">
        <f t="shared" si="51"/>
        <v>958</v>
      </c>
      <c r="AJ53" s="138">
        <f t="shared" si="28"/>
        <v>975</v>
      </c>
      <c r="AL53" s="136">
        <f t="shared" si="29"/>
        <v>3.3069999999999999</v>
      </c>
      <c r="AM53" s="258">
        <f t="shared" si="30"/>
        <v>-1.7500000000000002E-2</v>
      </c>
      <c r="AN53" s="258">
        <f t="shared" si="31"/>
        <v>7.4999999999999997E-3</v>
      </c>
      <c r="AO53" s="258">
        <f t="shared" si="32"/>
        <v>1.05</v>
      </c>
      <c r="AP53" s="258">
        <f t="shared" si="33"/>
        <v>0</v>
      </c>
      <c r="AQ53" s="136">
        <f t="shared" si="34"/>
        <v>3.3399999999999999E-2</v>
      </c>
      <c r="AR53" s="137">
        <f t="shared" si="35"/>
        <v>2.75E-2</v>
      </c>
      <c r="AS53" s="136">
        <f t="shared" si="36"/>
        <v>3.2969999999999997</v>
      </c>
      <c r="AT53" s="137">
        <f t="shared" si="37"/>
        <v>4.1873365630825901E-2</v>
      </c>
      <c r="AU53" s="137">
        <f t="shared" si="38"/>
        <v>0.89558106750235578</v>
      </c>
      <c r="AV53" s="394">
        <f t="shared" si="39"/>
        <v>111.05205237029212</v>
      </c>
      <c r="AW53" s="137">
        <f t="shared" si="40"/>
        <v>0.32</v>
      </c>
      <c r="AX53" s="137">
        <f t="shared" si="41"/>
        <v>0.55000000000000004</v>
      </c>
      <c r="AY53" s="137">
        <f t="shared" si="42"/>
        <v>0.55000000000000004</v>
      </c>
      <c r="AZ53" s="137"/>
      <c r="BA53" s="264"/>
      <c r="BB53" s="258">
        <f t="shared" si="43"/>
        <v>0</v>
      </c>
      <c r="BC53" s="258">
        <f t="shared" si="44"/>
        <v>0</v>
      </c>
      <c r="BD53" s="137">
        <f t="shared" si="45"/>
        <v>1.5061519321957206E-5</v>
      </c>
      <c r="BE53" s="137">
        <f t="shared" si="46"/>
        <v>1.5061519321957206E-5</v>
      </c>
      <c r="BF53" s="137">
        <f>_xll.xSPRDOPT($BW53,$BV53,$CG53,0,$BY53,$BX53,$BZ53,$AJ53,1,4)*$CB53</f>
        <v>-2.5614059918760641E-6</v>
      </c>
      <c r="BG53" s="137">
        <f>_xll.xSPRDOPT($BW53,$BV53,$CG53,0,$BY53,$BX53,$BZ53,$AJ53,1,3)*$CB53</f>
        <v>-1.7076039945840426E-6</v>
      </c>
      <c r="BH53" s="137">
        <f>IF(OR(BF53&lt;&gt;0,BG53&lt;&gt;0),_xll.xSPRDOPT($BW53,$BV53,$CG53,0,$BY53,$BX53,$BZ53,$AJ53,1,12)*$CB53,0)</f>
        <v>1.2807029959380321E-6</v>
      </c>
      <c r="BI53" s="137">
        <f>_xll.xSPRDOPT($BW53,$BV53,$CG53,2*LN(1+CA53/2),$BY53,$BX53,$BZ53,$AJ53,1,9)</f>
        <v>3.4629094653515012E-2</v>
      </c>
      <c r="BJ53" s="137">
        <f>_xll.xSPRDOPT($BW53,$BV53,$CG53,0,$BY53,$BX53,$BZ53,$AJ53,1,6)*$CB53</f>
        <v>5.2229980410857881E-7</v>
      </c>
      <c r="BK53" s="137">
        <f>_xll.xSPRDOPT($BW53,$BV53,$CG53,0,$BY53,$BX53,$BZ53,$AJ53,1,5)*$CB53</f>
        <v>-6.7125636020001584E-7</v>
      </c>
      <c r="BL53" s="137">
        <f>_xll.xSPRDOPT(BW53,BV53,CG53,0,BY53,BX53,BZ53,AJ53,1,2)*CB53</f>
        <v>-0.89527637515844671</v>
      </c>
      <c r="BM53" s="137">
        <f>_xll.xSPRDOPT(BW53,BV53,CG53,0,BY53,BX53,BZ53,AJ53,1,1)*CB53</f>
        <v>0.89527637514867564</v>
      </c>
      <c r="BN53" s="137">
        <f>IF(AH53&lt;&gt;0,_xll.xSPRDOPT($BW53,$BV53,$CG53,2*LN(1+CA53/2),$BY53,$BX53,$BZ53,$AJ53,1,8)+(AJ53/365.25)*CH53/AH53,0)</f>
        <v>-1.3337031022471257</v>
      </c>
      <c r="BO53" s="137">
        <f>_xll.xSPRDOPT($BW53,$BV53,$CG53,0,$BY53,$BX53,$BZ53,$AJ53,1,0)</f>
        <v>0.93336873256383213</v>
      </c>
      <c r="BP53" s="137"/>
      <c r="BQ53" s="137"/>
      <c r="BR53" s="137"/>
      <c r="BS53" s="137"/>
      <c r="BV53" s="262">
        <v>3.3902313624678659</v>
      </c>
      <c r="BW53" s="136">
        <v>4.3570000000000002</v>
      </c>
      <c r="BX53" s="137">
        <v>0.32492489974791172</v>
      </c>
      <c r="BY53" s="137">
        <v>0.32492489974791172</v>
      </c>
      <c r="BZ53" s="137">
        <v>1</v>
      </c>
      <c r="CA53" s="137">
        <v>4.1873365630825901E-2</v>
      </c>
      <c r="CB53" s="137">
        <v>0.89527628311247864</v>
      </c>
      <c r="CC53" s="258">
        <v>-1.7500000000000002E-2</v>
      </c>
      <c r="CD53" s="258">
        <v>7.4999999999999997E-3</v>
      </c>
      <c r="CE53" s="258">
        <v>1.05</v>
      </c>
      <c r="CF53" s="258">
        <v>0</v>
      </c>
      <c r="CG53" s="258">
        <v>3.3399999999999999E-2</v>
      </c>
      <c r="CH53" s="258">
        <v>10.415912860615512</v>
      </c>
      <c r="CI53" s="258">
        <v>3.3069999999999999</v>
      </c>
      <c r="CJ53" s="258"/>
      <c r="CK53" s="258"/>
      <c r="CL53" s="258"/>
      <c r="CM53" s="258"/>
    </row>
    <row r="54" spans="1:91" x14ac:dyDescent="0.25">
      <c r="A54" s="723"/>
      <c r="B54" s="723"/>
      <c r="D54" s="31">
        <f t="shared" si="47"/>
        <v>38245</v>
      </c>
      <c r="F54" s="28">
        <f t="shared" ref="F54:F85" si="52">VLOOKUP(AG54,$AL$4:$AS$15,2)</f>
        <v>148</v>
      </c>
      <c r="G54" s="28">
        <f t="shared" ref="G54:G85" si="53">F54*$AU54</f>
        <v>131.84706006132663</v>
      </c>
      <c r="H54" s="52">
        <f t="shared" ref="H54:H85" si="54">(AL54+AM54+AN54)/(1-(AR54))</f>
        <v>3.3799485861182519</v>
      </c>
      <c r="I54" s="52">
        <f t="shared" ref="I54:I85" si="55">(AL54+AO54+AP54)</f>
        <v>4.0519999999999996</v>
      </c>
      <c r="K54" s="52">
        <f t="shared" ref="K54:K85" si="56">MAX(((I54-H54)-AQ54)*AU54*AH54,0)</f>
        <v>17.068441484659047</v>
      </c>
      <c r="L54" s="135">
        <f t="shared" ref="L54:L85" si="57">MAX(Q54-K54,0)</f>
        <v>1.7204577424934087E-6</v>
      </c>
      <c r="N54" s="131">
        <f t="shared" si="48"/>
        <v>0.32463755456303778</v>
      </c>
      <c r="O54" s="131">
        <f t="shared" si="49"/>
        <v>0.32463755456303778</v>
      </c>
      <c r="P54" s="55">
        <f t="shared" si="50"/>
        <v>0.99999999999999989</v>
      </c>
      <c r="Q54" s="135">
        <f>_xll.xSPRDOPT(I54,H54,AQ54,0,O54,N54,P54,D54-$G$5,1,0)*AH54*AU54</f>
        <v>17.06844320511679</v>
      </c>
      <c r="R54" s="135"/>
      <c r="S54" s="181">
        <f>_xll.xSPRDOPT(I54,H54,AQ54,AT54,O54,N54,P54,D54-$G$5,1,2)*AF54*(F54/(1-AR54))*AH54</f>
        <v>-4062.2844755227452</v>
      </c>
      <c r="T54" s="181">
        <f>_xll.xSPRDOPT(I54,H54,AQ54,AT54,O54,N54,P54,D54-$G$5,1,1)*AF54*F54*AH54</f>
        <v>3950.571652462022</v>
      </c>
      <c r="U54" s="135"/>
      <c r="V54" s="146">
        <f t="shared" ref="V54:V85" si="58">VLOOKUP($AG54,$AL$4:$AS$15,8)*AH54*AU54</f>
        <v>10.030176008314031</v>
      </c>
      <c r="W54" s="146"/>
      <c r="X54" s="338">
        <f t="shared" ref="X54:X85" si="59">((BM54*BC54)+(BL54*BB54))*AH54*F54</f>
        <v>0</v>
      </c>
      <c r="Y54" s="338">
        <f t="shared" ref="Y54:Y85" si="60">($F54*$AH54)*((($BG54/2)*($BC54)^2)+(($BF54/2)*($BB54)^2)+($BH54*$BC54*$BB54))</f>
        <v>0</v>
      </c>
      <c r="Z54" s="338">
        <f t="shared" ref="Z54:Z85" si="61">($BI54*$F54*$AH54*($G$5-$BV$5))/365.25</f>
        <v>0.87291058475311945</v>
      </c>
      <c r="AA54" s="338">
        <f t="shared" ref="AA54:AA85" si="62">(($BK54*$BE54)+($BJ54*$BD54))*$F54*$AH54*$AF54</f>
        <v>-5.8952526463523481E-9</v>
      </c>
      <c r="AB54" s="338">
        <f t="shared" ref="AB54:AB85" si="63">BN54*(AT54-CA54)*F54*AH54</f>
        <v>0</v>
      </c>
      <c r="AC54" s="338">
        <f t="shared" ref="AC54:AC85" si="64">BO54*CB54*F54*AH54*CA54*($G$5-$BV$5)/365.25</f>
        <v>0.88215936832609487</v>
      </c>
      <c r="AF54" s="138">
        <f t="shared" ref="AF54:AF85" si="65">IF(AND(D54&gt;=$G$7,D54&lt;=$G$8),1,0)</f>
        <v>1</v>
      </c>
      <c r="AG54" s="138">
        <f t="shared" ref="AG54:AG85" si="66">MONTH(D54)</f>
        <v>9</v>
      </c>
      <c r="AH54" s="138">
        <f t="shared" ref="AH54:AH89" si="67">(EOMONTH(D54,0)-EOMONTH(D54-DAY(D54),0))*AF54</f>
        <v>30</v>
      </c>
      <c r="AI54" s="138">
        <f t="shared" si="51"/>
        <v>989</v>
      </c>
      <c r="AJ54" s="138">
        <f t="shared" ref="AJ54:AJ85" si="68">D54-$BV$5</f>
        <v>1006</v>
      </c>
      <c r="AL54" s="136">
        <f t="shared" ref="AL54:AL85" si="69">VLOOKUP($D54,CurveTbl,$AK$4)</f>
        <v>3.302</v>
      </c>
      <c r="AM54" s="258">
        <f t="shared" ref="AM54:AM85" si="70">VLOOKUP($D54,CurveTbl,$AH$3)</f>
        <v>-2.2499999999999999E-2</v>
      </c>
      <c r="AN54" s="258">
        <f t="shared" ref="AN54:AN85" si="71">VLOOKUP($D54,CurveTbl,$AH$4)+VLOOKUP($AG54,$AL$3:$AS$15,6)</f>
        <v>7.4999999999999997E-3</v>
      </c>
      <c r="AO54" s="258">
        <f t="shared" ref="AO54:AO85" si="72">VLOOKUP($D54,CurveTbl,$AH$5)</f>
        <v>0.75</v>
      </c>
      <c r="AP54" s="258">
        <f t="shared" ref="AP54:AP85" si="73">VLOOKUP($D54,CurveTbl,$AH$6)+VLOOKUP($AG54,$AL$3:$AS$15,7)</f>
        <v>0</v>
      </c>
      <c r="AQ54" s="136">
        <f t="shared" ref="AQ54:AQ85" si="74">VLOOKUP($AG54,$AL$4:$AS$15,3)+VLOOKUP($AG54,$AL$4:$AS$15,5)+($AH$10*VLOOKUP(D54,GRITable,2))</f>
        <v>3.3399999999999999E-2</v>
      </c>
      <c r="AR54" s="137">
        <f t="shared" ref="AR54:AR85" si="75">VLOOKUP($AG54,$AL$4:$AS$15,4)</f>
        <v>2.75E-2</v>
      </c>
      <c r="AS54" s="136">
        <f t="shared" ref="AS54:AS85" si="76">(AL54+AM54+AN54)</f>
        <v>3.2869999999999999</v>
      </c>
      <c r="AT54" s="137">
        <f t="shared" ref="AT54:AT85" si="77">VLOOKUP(D54,CurveTbl,$AK$6)</f>
        <v>4.2531482126591399E-2</v>
      </c>
      <c r="AU54" s="137">
        <f t="shared" ref="AU54:AU85" si="78">(1+$AT54/2)^(-2*($D54-$G$5)/365.25)*$AF54</f>
        <v>0.89085851392788262</v>
      </c>
      <c r="AV54" s="394">
        <f t="shared" ref="AV54:AV85" si="79">ROUND((F54/(1-AR54))-F54,0)*AF54*AH54*AU54</f>
        <v>106.90302167134591</v>
      </c>
      <c r="AW54" s="137">
        <f t="shared" ref="AW54:AW85" si="80">VLOOKUP($D54,CurveTbl,$AK$8)</f>
        <v>0.32</v>
      </c>
      <c r="AX54" s="137">
        <f t="shared" ref="AX54:AX85" si="81">VLOOKUP($D54,CurveTbl,$AH$7)</f>
        <v>0.55000000000000004</v>
      </c>
      <c r="AY54" s="137">
        <f t="shared" ref="AY54:AY85" si="82">VLOOKUP($D54,CurveTbl,$AH$8)</f>
        <v>0.55000000000000004</v>
      </c>
      <c r="AZ54" s="137"/>
      <c r="BA54" s="264"/>
      <c r="BB54" s="258">
        <f t="shared" ref="BB54:BB85" si="83">$H54-$BV54</f>
        <v>0</v>
      </c>
      <c r="BC54" s="258">
        <f t="shared" ref="BC54:BC85" si="84">I54-BW54</f>
        <v>0</v>
      </c>
      <c r="BD54" s="137">
        <f t="shared" ref="BD54:BD85" si="85">N54-BX54</f>
        <v>1.3717559126436019E-5</v>
      </c>
      <c r="BE54" s="137">
        <f t="shared" ref="BE54:BE85" si="86">O54-BY54</f>
        <v>1.3717559126436019E-5</v>
      </c>
      <c r="BF54" s="137">
        <f>_xll.xSPRDOPT($BW54,$BV54,$CG54,0,$BY54,$BX54,$BZ54,$AJ54,1,4)*$CB54</f>
        <v>-6.3697144198651403E-7</v>
      </c>
      <c r="BG54" s="137">
        <f>_xll.xSPRDOPT($BW54,$BV54,$CG54,0,$BY54,$BX54,$BZ54,$AJ54,1,3)*$CB54</f>
        <v>6.3697144198651413E-7</v>
      </c>
      <c r="BH54" s="137">
        <f>IF(OR(BF54&lt;&gt;0,BG54&lt;&gt;0),_xll.xSPRDOPT($BW54,$BV54,$CG54,0,$BY54,$BX54,$BZ54,$AJ54,1,12)*$CB54,0)</f>
        <v>-3.1848572099325707E-7</v>
      </c>
      <c r="BI54" s="137">
        <f>_xll.xSPRDOPT($BW54,$BV54,$CG54,2*LN(1+CA54/2),$BY54,$BX54,$BZ54,$AJ54,1,9)</f>
        <v>2.3936230561642409E-2</v>
      </c>
      <c r="BJ54" s="137">
        <f>_xll.xSPRDOPT($BW54,$BV54,$CG54,0,$BY54,$BX54,$BZ54,$AJ54,1,6)*$CB54</f>
        <v>4.8680949119745287E-7</v>
      </c>
      <c r="BK54" s="137">
        <f>_xll.xSPRDOPT($BW54,$BV54,$CG54,0,$BY54,$BX54,$BZ54,$AJ54,1,5)*$CB54</f>
        <v>-5.8360219263917648E-7</v>
      </c>
      <c r="BL54" s="137">
        <f>_xll.xSPRDOPT(BW54,BV54,CG54,0,BY54,BX54,BZ54,AJ54,1,2)*CB54</f>
        <v>-0.89055071177301881</v>
      </c>
      <c r="BM54" s="137">
        <f>_xll.xSPRDOPT(BW54,BV54,CG54,0,BY54,BX54,BZ54,AJ54,1,1)*CB54</f>
        <v>0.89055071177625855</v>
      </c>
      <c r="BN54" s="137">
        <f>IF(AH54&lt;&gt;0,_xll.xSPRDOPT($BW54,$BV54,$CG54,2*LN(1+CA54/2),$BY54,$BX54,$BZ54,$AJ54,1,8)+(AJ54/365.25)*CH54/AH54,0)</f>
        <v>-0.64595479738732953</v>
      </c>
      <c r="BO54" s="137">
        <f>_xll.xSPRDOPT($BW54,$BV54,$CG54,0,$BY54,$BX54,$BZ54,$AJ54,1,0)</f>
        <v>0.63865147820515988</v>
      </c>
      <c r="BP54" s="137"/>
      <c r="BQ54" s="137"/>
      <c r="BR54" s="137"/>
      <c r="BS54" s="137"/>
      <c r="BV54" s="262">
        <v>3.3799485861182519</v>
      </c>
      <c r="BW54" s="136">
        <v>4.0519999999999996</v>
      </c>
      <c r="BX54" s="137">
        <v>0.32462383700391134</v>
      </c>
      <c r="BY54" s="137">
        <v>0.32462383700391134</v>
      </c>
      <c r="BZ54" s="137">
        <v>1</v>
      </c>
      <c r="CA54" s="137">
        <v>4.2531482126591399E-2</v>
      </c>
      <c r="CB54" s="137">
        <v>0.89055062233660143</v>
      </c>
      <c r="CC54" s="258">
        <v>-2.2499999999999999E-2</v>
      </c>
      <c r="CD54" s="258">
        <v>7.4999999999999997E-3</v>
      </c>
      <c r="CE54" s="258">
        <v>0.75</v>
      </c>
      <c r="CF54" s="258">
        <v>0</v>
      </c>
      <c r="CG54" s="258">
        <v>3.3399999999999999E-2</v>
      </c>
      <c r="CH54" s="258">
        <v>10.026709456887795</v>
      </c>
      <c r="CI54" s="258">
        <v>3.302</v>
      </c>
      <c r="CJ54" s="258"/>
      <c r="CK54" s="258"/>
      <c r="CL54" s="258"/>
      <c r="CM54" s="258"/>
    </row>
    <row r="55" spans="1:91" x14ac:dyDescent="0.25">
      <c r="A55" s="723"/>
      <c r="B55" s="723"/>
      <c r="D55" s="31">
        <f t="shared" ref="D55:D86" si="87">D54+AH54</f>
        <v>38275</v>
      </c>
      <c r="F55" s="28">
        <f t="shared" si="52"/>
        <v>230</v>
      </c>
      <c r="G55" s="28">
        <f t="shared" si="53"/>
        <v>203.85053012918593</v>
      </c>
      <c r="H55" s="52">
        <f t="shared" si="54"/>
        <v>3.4056555269922875</v>
      </c>
      <c r="I55" s="52">
        <f t="shared" si="55"/>
        <v>3.7770000000000001</v>
      </c>
      <c r="K55" s="52">
        <f t="shared" si="56"/>
        <v>9.285195475140732</v>
      </c>
      <c r="L55" s="135">
        <f t="shared" si="57"/>
        <v>2.8090002679448389E-6</v>
      </c>
      <c r="N55" s="131">
        <f t="shared" si="48"/>
        <v>0.3259749105978777</v>
      </c>
      <c r="O55" s="131">
        <f t="shared" si="49"/>
        <v>0.3259749105978777</v>
      </c>
      <c r="P55" s="55">
        <f t="shared" si="50"/>
        <v>1</v>
      </c>
      <c r="Q55" s="135">
        <f>_xll.xSPRDOPT(I55,H55,AQ55,0,O55,N55,P55,D55-$G$5,1,0)*AH55*AU55</f>
        <v>9.2851982841409999</v>
      </c>
      <c r="R55" s="135"/>
      <c r="S55" s="181">
        <f>_xll.xSPRDOPT(I55,H55,AQ55,AT55,O55,N55,P55,D55-$G$5,1,2)*AF55*(F55/(1-AR55))*AH55</f>
        <v>-6489.6349960285206</v>
      </c>
      <c r="T55" s="181">
        <f>_xll.xSPRDOPT(I55,H55,AQ55,AT55,O55,N55,P55,D55-$G$5,1,1)*AF55*F55*AH55</f>
        <v>6311.1700336571903</v>
      </c>
      <c r="U55" s="135"/>
      <c r="V55" s="146">
        <f t="shared" si="58"/>
        <v>10.311557489921688</v>
      </c>
      <c r="W55" s="146"/>
      <c r="X55" s="338">
        <f t="shared" si="59"/>
        <v>0</v>
      </c>
      <c r="Y55" s="338">
        <f t="shared" si="60"/>
        <v>0</v>
      </c>
      <c r="Z55" s="338">
        <f t="shared" si="61"/>
        <v>0.74827505071550005</v>
      </c>
      <c r="AA55" s="338">
        <f t="shared" si="62"/>
        <v>3.720085733128312E-7</v>
      </c>
      <c r="AB55" s="338">
        <f t="shared" si="63"/>
        <v>0</v>
      </c>
      <c r="AC55" s="338">
        <f t="shared" si="64"/>
        <v>0.75632558348418077</v>
      </c>
      <c r="AF55" s="138">
        <f t="shared" si="65"/>
        <v>1</v>
      </c>
      <c r="AG55" s="138">
        <f t="shared" si="66"/>
        <v>10</v>
      </c>
      <c r="AH55" s="138">
        <f t="shared" si="67"/>
        <v>31</v>
      </c>
      <c r="AI55" s="138">
        <f t="shared" ref="AI55:AI86" si="88">AI54+AH54</f>
        <v>1019</v>
      </c>
      <c r="AJ55" s="138">
        <f t="shared" si="68"/>
        <v>1036</v>
      </c>
      <c r="AL55" s="136">
        <f t="shared" si="69"/>
        <v>3.327</v>
      </c>
      <c r="AM55" s="258">
        <f t="shared" si="70"/>
        <v>-2.2499999999999999E-2</v>
      </c>
      <c r="AN55" s="258">
        <f t="shared" si="71"/>
        <v>7.4999999999999997E-3</v>
      </c>
      <c r="AO55" s="258">
        <f t="shared" si="72"/>
        <v>0.45</v>
      </c>
      <c r="AP55" s="258">
        <f t="shared" si="73"/>
        <v>0</v>
      </c>
      <c r="AQ55" s="136">
        <f t="shared" si="74"/>
        <v>3.3399999999999999E-2</v>
      </c>
      <c r="AR55" s="137">
        <f t="shared" si="75"/>
        <v>2.75E-2</v>
      </c>
      <c r="AS55" s="136">
        <f t="shared" si="76"/>
        <v>3.3119999999999998</v>
      </c>
      <c r="AT55" s="137">
        <f t="shared" si="77"/>
        <v>4.3133129078657198E-2</v>
      </c>
      <c r="AU55" s="137">
        <f t="shared" si="78"/>
        <v>0.88630665273559095</v>
      </c>
      <c r="AV55" s="394">
        <f t="shared" si="79"/>
        <v>192.32854364362325</v>
      </c>
      <c r="AW55" s="137">
        <f t="shared" si="80"/>
        <v>0.32</v>
      </c>
      <c r="AX55" s="137">
        <f t="shared" si="81"/>
        <v>0.6</v>
      </c>
      <c r="AY55" s="137">
        <f t="shared" si="82"/>
        <v>0.6</v>
      </c>
      <c r="AZ55" s="137"/>
      <c r="BA55" s="264"/>
      <c r="BB55" s="258">
        <f t="shared" si="83"/>
        <v>0</v>
      </c>
      <c r="BC55" s="258">
        <f t="shared" si="84"/>
        <v>0</v>
      </c>
      <c r="BD55" s="137">
        <f t="shared" si="85"/>
        <v>1.711896265560453E-5</v>
      </c>
      <c r="BE55" s="137">
        <f t="shared" si="86"/>
        <v>1.711896265560453E-5</v>
      </c>
      <c r="BF55" s="137">
        <f>_xll.xSPRDOPT($BW55,$BV55,$CG55,0,$BY55,$BX55,$BZ55,$AJ55,1,4)*$CB55</f>
        <v>0</v>
      </c>
      <c r="BG55" s="137">
        <f>_xll.xSPRDOPT($BW55,$BV55,$CG55,0,$BY55,$BX55,$BZ55,$AJ55,1,3)*$CB55</f>
        <v>-3.1685687821726172E-7</v>
      </c>
      <c r="BH55" s="137">
        <f>IF(OR(BF55&lt;&gt;0,BG55&lt;&gt;0),_xll.xSPRDOPT($BW55,$BV55,$CG55,0,$BY55,$BX55,$BZ55,$AJ55,1,12)*$CB55,0)</f>
        <v>2.6404739851438476E-7</v>
      </c>
      <c r="BI55" s="137">
        <f>_xll.xSPRDOPT($BW55,$BV55,$CG55,2*LN(1+CA55/2),$BY55,$BX55,$BZ55,$AJ55,1,9)</f>
        <v>1.2777347464882488E-2</v>
      </c>
      <c r="BJ55" s="137">
        <f>_xll.xSPRDOPT($BW55,$BV55,$CG55,0,$BY55,$BX55,$BZ55,$AJ55,1,6)*$CB55</f>
        <v>-2.7951789294431884E-5</v>
      </c>
      <c r="BK55" s="137">
        <f>_xll.xSPRDOPT($BW55,$BV55,$CG55,0,$BY55,$BX55,$BZ55,$AJ55,1,5)*$CB55</f>
        <v>3.0999585853212499E-5</v>
      </c>
      <c r="BL55" s="137">
        <f>_xll.xSPRDOPT(BW55,BV55,CG55,0,BY55,BX55,BZ55,AJ55,1,2)*CB55</f>
        <v>-0.88599513012430842</v>
      </c>
      <c r="BM55" s="137">
        <f>_xll.xSPRDOPT(BW55,BV55,CG55,0,BY55,BX55,BZ55,AJ55,1,1)*CB55</f>
        <v>0.88599513012753162</v>
      </c>
      <c r="BN55" s="137">
        <f>IF(AH55&lt;&gt;0,_xll.xSPRDOPT($BW55,$BV55,$CG55,2*LN(1+CA55/2),$BY55,$BX55,$BZ55,$AJ55,1,8)+(AJ55/365.25)*CH55/AH55,0)</f>
        <v>9.3876086438108408E-2</v>
      </c>
      <c r="BO55" s="137">
        <f>_xll.xSPRDOPT($BW55,$BV55,$CG55,0,$BY55,$BX55,$BZ55,$AJ55,1,0)</f>
        <v>0.33794457681301521</v>
      </c>
      <c r="BP55" s="137"/>
      <c r="BQ55" s="137"/>
      <c r="BR55" s="137"/>
      <c r="BS55" s="137"/>
      <c r="BV55" s="262">
        <v>3.4056555269922875</v>
      </c>
      <c r="BW55" s="136">
        <v>3.7770000000000001</v>
      </c>
      <c r="BX55" s="137">
        <v>0.32595779163522209</v>
      </c>
      <c r="BY55" s="137">
        <v>0.32595779163522209</v>
      </c>
      <c r="BZ55" s="137">
        <v>1</v>
      </c>
      <c r="CA55" s="137">
        <v>4.3133129078657198E-2</v>
      </c>
      <c r="CB55" s="137">
        <v>0.88599604782278252</v>
      </c>
      <c r="CC55" s="258">
        <v>-2.2499999999999999E-2</v>
      </c>
      <c r="CD55" s="258">
        <v>7.4999999999999997E-3</v>
      </c>
      <c r="CE55" s="258">
        <v>0.45</v>
      </c>
      <c r="CF55" s="258">
        <v>0</v>
      </c>
      <c r="CG55" s="258">
        <v>3.3399999999999999E-2</v>
      </c>
      <c r="CH55" s="258">
        <v>10.307943819184599</v>
      </c>
      <c r="CI55" s="258">
        <v>3.327</v>
      </c>
      <c r="CJ55" s="258"/>
      <c r="CK55" s="258"/>
      <c r="CL55" s="258"/>
      <c r="CM55" s="258"/>
    </row>
    <row r="56" spans="1:91" x14ac:dyDescent="0.25">
      <c r="A56" s="723"/>
      <c r="B56" s="723"/>
      <c r="D56" s="31">
        <f t="shared" si="87"/>
        <v>38306</v>
      </c>
      <c r="F56" s="28">
        <f t="shared" si="52"/>
        <v>230</v>
      </c>
      <c r="G56" s="28">
        <f t="shared" si="53"/>
        <v>202.77339296945843</v>
      </c>
      <c r="H56" s="52">
        <f t="shared" si="54"/>
        <v>3.5568123393316196</v>
      </c>
      <c r="I56" s="52">
        <f t="shared" si="55"/>
        <v>3.9290000000000003</v>
      </c>
      <c r="K56" s="52">
        <f t="shared" si="56"/>
        <v>8.9604943630321436</v>
      </c>
      <c r="L56" s="135">
        <f t="shared" si="57"/>
        <v>4.5287411225558571E-6</v>
      </c>
      <c r="N56" s="131">
        <f t="shared" si="48"/>
        <v>0.33162000992991286</v>
      </c>
      <c r="O56" s="131">
        <f t="shared" si="49"/>
        <v>0.33162000992991286</v>
      </c>
      <c r="P56" s="55">
        <f t="shared" si="50"/>
        <v>1</v>
      </c>
      <c r="Q56" s="135">
        <f>_xll.xSPRDOPT(I56,H56,AQ56,0,O56,N56,P56,D56-$G$5,1,0)*AH56*AU56</f>
        <v>8.9604988917732662</v>
      </c>
      <c r="R56" s="135"/>
      <c r="S56" s="181">
        <f>_xll.xSPRDOPT(I56,H56,AQ56,AT56,O56,N56,P56,D56-$G$5,1,2)*AF56*(F56/(1-AR56))*AH56</f>
        <v>-6246.6229820440085</v>
      </c>
      <c r="T56" s="181">
        <f>_xll.xSPRDOPT(I56,H56,AQ56,AT56,O56,N56,P56,D56-$G$5,1,1)*AF56*F56*AH56</f>
        <v>6074.8408499813195</v>
      </c>
      <c r="U56" s="135"/>
      <c r="V56" s="146">
        <f t="shared" si="58"/>
        <v>9.9261983975788368</v>
      </c>
      <c r="W56" s="146"/>
      <c r="X56" s="338">
        <f t="shared" si="59"/>
        <v>0</v>
      </c>
      <c r="Y56" s="338">
        <f t="shared" si="60"/>
        <v>0</v>
      </c>
      <c r="Z56" s="338">
        <f t="shared" si="61"/>
        <v>0.73182229687155176</v>
      </c>
      <c r="AA56" s="338">
        <f t="shared" si="62"/>
        <v>1.9316991474642796E-6</v>
      </c>
      <c r="AB56" s="338">
        <f t="shared" si="63"/>
        <v>0</v>
      </c>
      <c r="AC56" s="338">
        <f t="shared" si="64"/>
        <v>0.73982084607384668</v>
      </c>
      <c r="AF56" s="138">
        <f t="shared" si="65"/>
        <v>1</v>
      </c>
      <c r="AG56" s="138">
        <f t="shared" si="66"/>
        <v>11</v>
      </c>
      <c r="AH56" s="138">
        <f t="shared" si="67"/>
        <v>30</v>
      </c>
      <c r="AI56" s="138">
        <f t="shared" si="88"/>
        <v>1050</v>
      </c>
      <c r="AJ56" s="138">
        <f t="shared" si="68"/>
        <v>1067</v>
      </c>
      <c r="AL56" s="136">
        <f t="shared" si="69"/>
        <v>3.4790000000000001</v>
      </c>
      <c r="AM56" s="258">
        <f t="shared" si="70"/>
        <v>-2.2499999999999999E-2</v>
      </c>
      <c r="AN56" s="258">
        <f t="shared" si="71"/>
        <v>2.5000000000000001E-3</v>
      </c>
      <c r="AO56" s="258">
        <f t="shared" si="72"/>
        <v>0.45</v>
      </c>
      <c r="AP56" s="258">
        <f t="shared" si="73"/>
        <v>0</v>
      </c>
      <c r="AQ56" s="136">
        <f t="shared" si="74"/>
        <v>3.3399999999999999E-2</v>
      </c>
      <c r="AR56" s="137">
        <f t="shared" si="75"/>
        <v>2.75E-2</v>
      </c>
      <c r="AS56" s="136">
        <f t="shared" si="76"/>
        <v>3.4590000000000001</v>
      </c>
      <c r="AT56" s="137">
        <f t="shared" si="77"/>
        <v>4.37209690349563E-2</v>
      </c>
      <c r="AU56" s="137">
        <f t="shared" si="78"/>
        <v>0.88162344769329748</v>
      </c>
      <c r="AV56" s="394">
        <f t="shared" si="79"/>
        <v>185.14092401559247</v>
      </c>
      <c r="AW56" s="137">
        <f t="shared" si="80"/>
        <v>0.32</v>
      </c>
      <c r="AX56" s="137">
        <f t="shared" si="81"/>
        <v>0.8</v>
      </c>
      <c r="AY56" s="137">
        <f t="shared" si="82"/>
        <v>0.8</v>
      </c>
      <c r="AZ56" s="137"/>
      <c r="BA56" s="264"/>
      <c r="BB56" s="258">
        <f t="shared" si="83"/>
        <v>0</v>
      </c>
      <c r="BC56" s="258">
        <f t="shared" si="84"/>
        <v>0</v>
      </c>
      <c r="BD56" s="137">
        <f t="shared" si="85"/>
        <v>3.2070164678321689E-5</v>
      </c>
      <c r="BE56" s="137">
        <f t="shared" si="86"/>
        <v>3.2070164678321689E-5</v>
      </c>
      <c r="BF56" s="137">
        <f>_xll.xSPRDOPT($BW56,$BV56,$CG56,0,$BY56,$BX56,$BZ56,$AJ56,1,4)*$CB56</f>
        <v>1.0506037702971564E-6</v>
      </c>
      <c r="BG56" s="137">
        <f>_xll.xSPRDOPT($BW56,$BV56,$CG56,0,$BY56,$BX56,$BZ56,$AJ56,1,3)*$CB56</f>
        <v>0</v>
      </c>
      <c r="BH56" s="137">
        <f>IF(OR(BF56&lt;&gt;0,BG56&lt;&gt;0),_xll.xSPRDOPT($BW56,$BV56,$CG56,0,$BY56,$BX56,$BZ56,$AJ56,1,12)*$CB56,0)</f>
        <v>-1.5759056554457345E-7</v>
      </c>
      <c r="BI56" s="137">
        <f>_xll.xSPRDOPT($BW56,$BV56,$CG56,2*LN(1+CA56/2),$BY56,$BX56,$BZ56,$AJ56,1,9)</f>
        <v>1.2912951397697306E-2</v>
      </c>
      <c r="BJ56" s="137">
        <f>_xll.xSPRDOPT($BW56,$BV56,$CG56,0,$BY56,$BX56,$BZ56,$AJ56,1,6)*$CB56</f>
        <v>-8.3423509641559915E-5</v>
      </c>
      <c r="BK56" s="137">
        <f>_xll.xSPRDOPT($BW56,$BV56,$CG56,0,$BY56,$BX56,$BZ56,$AJ56,1,5)*$CB56</f>
        <v>9.2153006386940507E-5</v>
      </c>
      <c r="BL56" s="137">
        <f>_xll.xSPRDOPT(BW56,BV56,CG56,0,BY56,BX56,BZ56,AJ56,1,2)*CB56</f>
        <v>-0.88130747803228449</v>
      </c>
      <c r="BM56" s="137">
        <f>_xll.xSPRDOPT(BW56,BV56,CG56,0,BY56,BX56,BZ56,AJ56,1,1)*CB56</f>
        <v>0.88130747802507059</v>
      </c>
      <c r="BN56" s="137">
        <f>IF(AH56&lt;&gt;0,_xll.xSPRDOPT($BW56,$BV56,$CG56,2*LN(1+CA56/2),$BY56,$BX56,$BZ56,$AJ56,1,8)+(AJ56/365.25)*CH56/AH56,0)</f>
        <v>9.4002763476466078E-2</v>
      </c>
      <c r="BO56" s="137">
        <f>_xll.xSPRDOPT($BW56,$BV56,$CG56,0,$BY56,$BX56,$BZ56,$AJ56,1,0)</f>
        <v>0.33878783620633102</v>
      </c>
      <c r="BP56" s="137"/>
      <c r="BQ56" s="137"/>
      <c r="BR56" s="137"/>
      <c r="BS56" s="137"/>
      <c r="BV56" s="262">
        <v>3.5568123393316196</v>
      </c>
      <c r="BW56" s="136">
        <v>3.9290000000000003</v>
      </c>
      <c r="BX56" s="137">
        <v>0.33158793976523454</v>
      </c>
      <c r="BY56" s="137">
        <v>0.33158793976523454</v>
      </c>
      <c r="BZ56" s="137">
        <v>1</v>
      </c>
      <c r="CA56" s="137">
        <v>4.37209690349563E-2</v>
      </c>
      <c r="CB56" s="137">
        <v>0.88131031923448877</v>
      </c>
      <c r="CC56" s="258">
        <v>-2.2499999999999999E-2</v>
      </c>
      <c r="CD56" s="258">
        <v>2.5000000000000001E-3</v>
      </c>
      <c r="CE56" s="258">
        <v>0.45</v>
      </c>
      <c r="CF56" s="258">
        <v>0</v>
      </c>
      <c r="CG56" s="258">
        <v>3.3399999999999999E-2</v>
      </c>
      <c r="CH56" s="258">
        <v>9.9226728842611092</v>
      </c>
      <c r="CI56" s="258">
        <v>3.4790000000000001</v>
      </c>
      <c r="CJ56" s="258"/>
      <c r="CK56" s="258"/>
      <c r="CL56" s="258"/>
      <c r="CM56" s="258"/>
    </row>
    <row r="57" spans="1:91" x14ac:dyDescent="0.25">
      <c r="A57" s="723"/>
      <c r="B57" s="723"/>
      <c r="D57" s="31">
        <f t="shared" si="87"/>
        <v>38336</v>
      </c>
      <c r="F57" s="28">
        <f t="shared" si="52"/>
        <v>230</v>
      </c>
      <c r="G57" s="28">
        <f t="shared" si="53"/>
        <v>201.7177584181463</v>
      </c>
      <c r="H57" s="52">
        <f t="shared" si="54"/>
        <v>3.7038560411311052</v>
      </c>
      <c r="I57" s="52">
        <f t="shared" si="55"/>
        <v>4.0220000000000002</v>
      </c>
      <c r="K57" s="52">
        <f t="shared" si="56"/>
        <v>7.7416317664800562</v>
      </c>
      <c r="L57" s="135">
        <f t="shared" si="57"/>
        <v>2.2927145939988236E-5</v>
      </c>
      <c r="N57" s="131">
        <f t="shared" si="48"/>
        <v>0.33926384180861408</v>
      </c>
      <c r="O57" s="131">
        <f t="shared" si="49"/>
        <v>0.33926384180861408</v>
      </c>
      <c r="P57" s="55">
        <f t="shared" si="50"/>
        <v>0.99999999999999978</v>
      </c>
      <c r="Q57" s="135">
        <f>_xll.xSPRDOPT(I57,H57,AQ57,0,O57,N57,P57,D57-$G$5,1,0)*AH57*AU57</f>
        <v>7.7416546936259962</v>
      </c>
      <c r="R57" s="135"/>
      <c r="S57" s="181">
        <f>_xll.xSPRDOPT(I57,H57,AQ57,AT57,O57,N57,P57,D57-$G$5,1,2)*AF57*(F57/(1-AR57))*AH57</f>
        <v>-6420.609455150332</v>
      </c>
      <c r="T57" s="181">
        <f>_xll.xSPRDOPT(I57,H57,AQ57,AT57,O57,N57,P57,D57-$G$5,1,1)*AF57*F57*AH57</f>
        <v>6244.0426950040055</v>
      </c>
      <c r="U57" s="135"/>
      <c r="V57" s="146">
        <f t="shared" si="58"/>
        <v>10.203673551148869</v>
      </c>
      <c r="W57" s="146"/>
      <c r="X57" s="338">
        <f t="shared" si="59"/>
        <v>0</v>
      </c>
      <c r="Y57" s="338">
        <f t="shared" si="60"/>
        <v>0</v>
      </c>
      <c r="Z57" s="338">
        <f t="shared" si="61"/>
        <v>0.64025775754670289</v>
      </c>
      <c r="AA57" s="338">
        <f t="shared" si="62"/>
        <v>1.9637815055664076E-5</v>
      </c>
      <c r="AB57" s="338">
        <f t="shared" si="63"/>
        <v>0</v>
      </c>
      <c r="AC57" s="338">
        <f t="shared" si="64"/>
        <v>0.64750125434268213</v>
      </c>
      <c r="AF57" s="138">
        <f t="shared" si="65"/>
        <v>1</v>
      </c>
      <c r="AG57" s="138">
        <f t="shared" si="66"/>
        <v>12</v>
      </c>
      <c r="AH57" s="138">
        <f t="shared" si="67"/>
        <v>31</v>
      </c>
      <c r="AI57" s="138">
        <f t="shared" si="88"/>
        <v>1080</v>
      </c>
      <c r="AJ57" s="138">
        <f t="shared" si="68"/>
        <v>1097</v>
      </c>
      <c r="AL57" s="136">
        <f t="shared" si="69"/>
        <v>3.6219999999999999</v>
      </c>
      <c r="AM57" s="258">
        <f t="shared" si="70"/>
        <v>-2.2499999999999999E-2</v>
      </c>
      <c r="AN57" s="258">
        <f t="shared" si="71"/>
        <v>2.5000000000000001E-3</v>
      </c>
      <c r="AO57" s="258">
        <f t="shared" si="72"/>
        <v>0.4</v>
      </c>
      <c r="AP57" s="258">
        <f t="shared" si="73"/>
        <v>0</v>
      </c>
      <c r="AQ57" s="136">
        <f t="shared" si="74"/>
        <v>3.3399999999999999E-2</v>
      </c>
      <c r="AR57" s="137">
        <f t="shared" si="75"/>
        <v>2.75E-2</v>
      </c>
      <c r="AS57" s="136">
        <f t="shared" si="76"/>
        <v>3.6019999999999999</v>
      </c>
      <c r="AT57" s="137">
        <f t="shared" si="77"/>
        <v>4.4289846522210997E-2</v>
      </c>
      <c r="AU57" s="137">
        <f t="shared" si="78"/>
        <v>0.87703373225281001</v>
      </c>
      <c r="AV57" s="394">
        <f t="shared" si="79"/>
        <v>190.31631989885977</v>
      </c>
      <c r="AW57" s="137">
        <f t="shared" si="80"/>
        <v>0.32</v>
      </c>
      <c r="AX57" s="137">
        <f t="shared" si="81"/>
        <v>1</v>
      </c>
      <c r="AY57" s="137">
        <f t="shared" si="82"/>
        <v>1</v>
      </c>
      <c r="AZ57" s="137"/>
      <c r="BA57" s="264"/>
      <c r="BB57" s="258">
        <f t="shared" si="83"/>
        <v>0</v>
      </c>
      <c r="BC57" s="258">
        <f t="shared" si="84"/>
        <v>0</v>
      </c>
      <c r="BD57" s="137">
        <f t="shared" si="85"/>
        <v>5.1119724299109048E-5</v>
      </c>
      <c r="BE57" s="137">
        <f t="shared" si="86"/>
        <v>5.1119724299109048E-5</v>
      </c>
      <c r="BF57" s="137">
        <f>_xll.xSPRDOPT($BW57,$BV57,$CG57,0,$BY57,$BX57,$BZ57,$AJ57,1,4)*$CB57</f>
        <v>2.0902591363154113E-7</v>
      </c>
      <c r="BG57" s="137">
        <f>_xll.xSPRDOPT($BW57,$BV57,$CG57,0,$BY57,$BX57,$BZ57,$AJ57,1,3)*$CB57</f>
        <v>1.0451295681577057E-6</v>
      </c>
      <c r="BH57" s="137">
        <f>IF(OR(BF57&lt;&gt;0,BG57&lt;&gt;0),_xll.xSPRDOPT($BW57,$BV57,$CG57,0,$BY57,$BX57,$BZ57,$AJ57,1,12)*$CB57,0)</f>
        <v>-3.6579534885519699E-7</v>
      </c>
      <c r="BI57" s="137">
        <f>_xll.xSPRDOPT($BW57,$BV57,$CG57,2*LN(1+CA57/2),$BY57,$BX57,$BZ57,$AJ57,1,9)</f>
        <v>1.0932872648150219E-2</v>
      </c>
      <c r="BJ57" s="137">
        <f>_xll.xSPRDOPT($BW57,$BV57,$CG57,0,$BY57,$BX57,$BZ57,$AJ57,1,6)*$CB57</f>
        <v>-6.2725702916446499E-4</v>
      </c>
      <c r="BK57" s="137">
        <f>_xll.xSPRDOPT($BW57,$BV57,$CG57,0,$BY57,$BX57,$BZ57,$AJ57,1,5)*$CB57</f>
        <v>6.8113548408036339E-4</v>
      </c>
      <c r="BL57" s="137">
        <f>_xll.xSPRDOPT(BW57,BV57,CG57,0,BY57,BX57,BZ57,AJ57,1,2)*CB57</f>
        <v>-0.87669545076475797</v>
      </c>
      <c r="BM57" s="137">
        <f>_xll.xSPRDOPT(BW57,BV57,CG57,0,BY57,BX57,BZ57,AJ57,1,1)*CB57</f>
        <v>0.8766954507512027</v>
      </c>
      <c r="BN57" s="137">
        <f>IF(AH57&lt;&gt;0,_xll.xSPRDOPT($BW57,$BV57,$CG57,2*LN(1+CA57/2),$BY57,$BX57,$BZ57,$AJ57,1,8)+(AJ57/365.25)*CH57/AH57,0)</f>
        <v>0.2384458124371216</v>
      </c>
      <c r="BO57" s="137">
        <f>_xll.xSPRDOPT($BW57,$BV57,$CG57,0,$BY57,$BX57,$BZ57,$AJ57,1,0)</f>
        <v>0.28474482757289221</v>
      </c>
      <c r="BP57" s="137"/>
      <c r="BQ57" s="137"/>
      <c r="BR57" s="137"/>
      <c r="BS57" s="137"/>
      <c r="BV57" s="262">
        <v>3.7038560411311052</v>
      </c>
      <c r="BW57" s="136">
        <v>4.0220000000000002</v>
      </c>
      <c r="BX57" s="137">
        <v>0.33921272208431497</v>
      </c>
      <c r="BY57" s="137">
        <v>0.33921272208431497</v>
      </c>
      <c r="BZ57" s="137">
        <v>1</v>
      </c>
      <c r="CA57" s="137">
        <v>4.4289846522210997E-2</v>
      </c>
      <c r="CB57" s="137">
        <v>0.8767182256484275</v>
      </c>
      <c r="CC57" s="258">
        <v>-2.2499999999999999E-2</v>
      </c>
      <c r="CD57" s="258">
        <v>2.5000000000000001E-3</v>
      </c>
      <c r="CE57" s="258">
        <v>0.4</v>
      </c>
      <c r="CF57" s="258">
        <v>0</v>
      </c>
      <c r="CG57" s="258">
        <v>3.3399999999999999E-2</v>
      </c>
      <c r="CH57" s="258">
        <v>10.200002852661502</v>
      </c>
      <c r="CI57" s="258">
        <v>3.6219999999999999</v>
      </c>
      <c r="CJ57" s="258"/>
      <c r="CK57" s="258"/>
      <c r="CL57" s="258"/>
      <c r="CM57" s="258"/>
    </row>
    <row r="58" spans="1:91" x14ac:dyDescent="0.25">
      <c r="A58" s="723"/>
      <c r="B58" s="723"/>
      <c r="D58" s="31">
        <f t="shared" si="87"/>
        <v>38367</v>
      </c>
      <c r="F58" s="28">
        <f t="shared" si="52"/>
        <v>230</v>
      </c>
      <c r="G58" s="28">
        <f t="shared" si="53"/>
        <v>200.62731673864627</v>
      </c>
      <c r="H58" s="52">
        <f t="shared" si="54"/>
        <v>3.7655526992287918</v>
      </c>
      <c r="I58" s="52">
        <f t="shared" si="55"/>
        <v>4.032</v>
      </c>
      <c r="K58" s="52">
        <f t="shared" si="56"/>
        <v>6.3018491018881075</v>
      </c>
      <c r="L58" s="135">
        <f t="shared" si="57"/>
        <v>9.0773418105705161E-5</v>
      </c>
      <c r="N58" s="131">
        <f t="shared" si="48"/>
        <v>0.33874838161277315</v>
      </c>
      <c r="O58" s="131">
        <f t="shared" si="49"/>
        <v>0.33874838161277315</v>
      </c>
      <c r="P58" s="55">
        <f t="shared" si="50"/>
        <v>1</v>
      </c>
      <c r="Q58" s="135">
        <f>_xll.xSPRDOPT(I58,H58,AQ58,0,O58,N58,P58,D58-$G$5,1,0)*AH58*AU58</f>
        <v>6.3019398753062132</v>
      </c>
      <c r="R58" s="135"/>
      <c r="S58" s="181">
        <f>_xll.xSPRDOPT(I58,H58,AQ58,AT58,O58,N58,P58,D58-$G$5,1,2)*AF58*(F58/(1-AR58))*AH58</f>
        <v>-6385.1252112799739</v>
      </c>
      <c r="T58" s="181">
        <f>_xll.xSPRDOPT(I58,H58,AQ58,AT58,O58,N58,P58,D58-$G$5,1,1)*AF58*F58*AH58</f>
        <v>6209.5342680378644</v>
      </c>
      <c r="U58" s="135"/>
      <c r="V58" s="146">
        <f t="shared" si="58"/>
        <v>10.148514744054054</v>
      </c>
      <c r="W58" s="146"/>
      <c r="X58" s="338">
        <f t="shared" si="59"/>
        <v>0</v>
      </c>
      <c r="Y58" s="338">
        <f t="shared" si="60"/>
        <v>0</v>
      </c>
      <c r="Z58" s="338">
        <f t="shared" si="61"/>
        <v>0.52754538478438495</v>
      </c>
      <c r="AA58" s="338">
        <f t="shared" si="62"/>
        <v>3.9162446416683915E-5</v>
      </c>
      <c r="AB58" s="338">
        <f t="shared" si="63"/>
        <v>0</v>
      </c>
      <c r="AC58" s="338">
        <f t="shared" si="64"/>
        <v>0.5338076051269609</v>
      </c>
      <c r="AF58" s="138">
        <f t="shared" si="65"/>
        <v>1</v>
      </c>
      <c r="AG58" s="138">
        <f t="shared" si="66"/>
        <v>1</v>
      </c>
      <c r="AH58" s="138">
        <f t="shared" si="67"/>
        <v>31</v>
      </c>
      <c r="AI58" s="138">
        <f t="shared" si="88"/>
        <v>1111</v>
      </c>
      <c r="AJ58" s="138">
        <f t="shared" si="68"/>
        <v>1128</v>
      </c>
      <c r="AL58" s="136">
        <f t="shared" si="69"/>
        <v>3.6819999999999999</v>
      </c>
      <c r="AM58" s="258">
        <f t="shared" si="70"/>
        <v>-2.2499999999999999E-2</v>
      </c>
      <c r="AN58" s="258">
        <f t="shared" si="71"/>
        <v>2.5000000000000001E-3</v>
      </c>
      <c r="AO58" s="258">
        <f t="shared" si="72"/>
        <v>0.35</v>
      </c>
      <c r="AP58" s="258">
        <f t="shared" si="73"/>
        <v>0</v>
      </c>
      <c r="AQ58" s="136">
        <f t="shared" si="74"/>
        <v>3.3399999999999999E-2</v>
      </c>
      <c r="AR58" s="137">
        <f t="shared" si="75"/>
        <v>2.75E-2</v>
      </c>
      <c r="AS58" s="136">
        <f t="shared" si="76"/>
        <v>3.6619999999999999</v>
      </c>
      <c r="AT58" s="137">
        <f t="shared" si="77"/>
        <v>4.4854887495736399E-2</v>
      </c>
      <c r="AU58" s="137">
        <f t="shared" si="78"/>
        <v>0.87229268147237504</v>
      </c>
      <c r="AV58" s="394">
        <f t="shared" si="79"/>
        <v>189.28751187950539</v>
      </c>
      <c r="AW58" s="137">
        <f t="shared" si="80"/>
        <v>0.32</v>
      </c>
      <c r="AX58" s="137">
        <f t="shared" si="81"/>
        <v>1</v>
      </c>
      <c r="AY58" s="137">
        <f t="shared" si="82"/>
        <v>1</v>
      </c>
      <c r="AZ58" s="137"/>
      <c r="BA58" s="264"/>
      <c r="BB58" s="258">
        <f t="shared" si="83"/>
        <v>0</v>
      </c>
      <c r="BC58" s="258">
        <f t="shared" si="84"/>
        <v>0</v>
      </c>
      <c r="BD58" s="137">
        <f t="shared" si="85"/>
        <v>4.8421939609133435E-5</v>
      </c>
      <c r="BE58" s="137">
        <f t="shared" si="86"/>
        <v>4.8421939609133435E-5</v>
      </c>
      <c r="BF58" s="137">
        <f>_xll.xSPRDOPT($BW58,$BV58,$CG58,0,$BY58,$BX58,$BZ58,$AJ58,1,4)*$CB58</f>
        <v>1.7671076858966769E-6</v>
      </c>
      <c r="BG58" s="137">
        <f>_xll.xSPRDOPT($BW58,$BV58,$CG58,0,$BY58,$BX58,$BZ58,$AJ58,1,3)*$CB58</f>
        <v>2.5986877733774663E-7</v>
      </c>
      <c r="BH58" s="137">
        <f>IF(OR(BF58&lt;&gt;0,BG58&lt;&gt;0),_xll.xSPRDOPT($BW58,$BV58,$CG58,0,$BY58,$BX58,$BZ58,$AJ58,1,12)*$CB58,0)</f>
        <v>-6.2368506561059184E-7</v>
      </c>
      <c r="BI58" s="137">
        <f>_xll.xSPRDOPT($BW58,$BV58,$CG58,2*LN(1+CA58/2),$BY58,$BX58,$BZ58,$AJ58,1,9)</f>
        <v>9.0082258902522954E-3</v>
      </c>
      <c r="BJ58" s="137">
        <f>_xll.xSPRDOPT($BW58,$BV58,$CG58,0,$BY58,$BX58,$BZ58,$AJ58,1,6)*$CB58</f>
        <v>-1.6030810853988628E-3</v>
      </c>
      <c r="BK58" s="137">
        <f>_xll.xSPRDOPT($BW58,$BV58,$CG58,0,$BY58,$BX58,$BZ58,$AJ58,1,5)*$CB58</f>
        <v>1.7165137416552726E-3</v>
      </c>
      <c r="BL58" s="137">
        <f>_xll.xSPRDOPT(BW58,BV58,CG58,0,BY58,BX58,BZ58,AJ58,1,2)*CB58</f>
        <v>-0.87191527726070162</v>
      </c>
      <c r="BM58" s="137">
        <f>_xll.xSPRDOPT(BW58,BV58,CG58,0,BY58,BX58,BZ58,AJ58,1,1)*CB58</f>
        <v>0.87191527726982176</v>
      </c>
      <c r="BN58" s="137">
        <f>IF(AH58&lt;&gt;0,_xll.xSPRDOPT($BW58,$BV58,$CG58,2*LN(1+CA58/2),$BY58,$BX58,$BZ58,$AJ58,1,8)+(AJ58/365.25)*CH58/AH58,0)</f>
        <v>0.38306544450134661</v>
      </c>
      <c r="BO58" s="137">
        <f>_xll.xSPRDOPT($BW58,$BV58,$CG58,0,$BY58,$BX58,$BZ58,$AJ58,1,0)</f>
        <v>0.23305071005331218</v>
      </c>
      <c r="BP58" s="137"/>
      <c r="BQ58" s="137"/>
      <c r="BR58" s="137"/>
      <c r="BS58" s="137"/>
      <c r="BV58" s="262">
        <v>3.7655526992287918</v>
      </c>
      <c r="BW58" s="136">
        <v>4.032</v>
      </c>
      <c r="BX58" s="137">
        <v>0.33869995967316402</v>
      </c>
      <c r="BY58" s="137">
        <v>0.33869995967316402</v>
      </c>
      <c r="BZ58" s="137">
        <v>1</v>
      </c>
      <c r="CA58" s="137">
        <v>4.4854887495736399E-2</v>
      </c>
      <c r="CB58" s="137">
        <v>0.87197492181025593</v>
      </c>
      <c r="CC58" s="258">
        <v>-2.2499999999999999E-2</v>
      </c>
      <c r="CD58" s="258">
        <v>2.5000000000000001E-3</v>
      </c>
      <c r="CE58" s="258">
        <v>0.35</v>
      </c>
      <c r="CF58" s="258">
        <v>0</v>
      </c>
      <c r="CG58" s="258">
        <v>3.3399999999999999E-2</v>
      </c>
      <c r="CH58" s="258">
        <v>10.144817832817061</v>
      </c>
      <c r="CI58" s="258">
        <v>3.6819999999999999</v>
      </c>
      <c r="CJ58" s="258"/>
      <c r="CK58" s="258"/>
      <c r="CL58" s="258"/>
      <c r="CM58" s="258"/>
    </row>
    <row r="59" spans="1:91" x14ac:dyDescent="0.25">
      <c r="A59" s="723"/>
      <c r="B59" s="723"/>
      <c r="D59" s="31">
        <f t="shared" si="87"/>
        <v>38398</v>
      </c>
      <c r="F59" s="28">
        <f t="shared" si="52"/>
        <v>230</v>
      </c>
      <c r="G59" s="28">
        <f t="shared" si="53"/>
        <v>199.53573906476268</v>
      </c>
      <c r="H59" s="52">
        <f t="shared" si="54"/>
        <v>3.6781491002570692</v>
      </c>
      <c r="I59" s="52">
        <f t="shared" si="55"/>
        <v>3.9470000000000001</v>
      </c>
      <c r="K59" s="52">
        <f t="shared" si="56"/>
        <v>5.7194101748814496</v>
      </c>
      <c r="L59" s="135">
        <f t="shared" si="57"/>
        <v>7.7648422239562365E-5</v>
      </c>
      <c r="N59" s="131">
        <f t="shared" si="48"/>
        <v>0.33420972413423633</v>
      </c>
      <c r="O59" s="131">
        <f t="shared" si="49"/>
        <v>0.33420972413423633</v>
      </c>
      <c r="P59" s="55">
        <f t="shared" si="50"/>
        <v>1.0000000000000002</v>
      </c>
      <c r="Q59" s="135">
        <f>_xll.xSPRDOPT(I59,H59,AQ59,0,O59,N59,P59,D59-$G$5,1,0)*AH59*AU59</f>
        <v>5.7194878233036892</v>
      </c>
      <c r="R59" s="135"/>
      <c r="S59" s="181">
        <f>_xll.xSPRDOPT(I59,H59,AQ59,AT59,O59,N59,P59,D59-$G$5,1,2)*AF59*(F59/(1-AR59))*AH59</f>
        <v>-5735.3715294007297</v>
      </c>
      <c r="T59" s="181">
        <f>_xll.xSPRDOPT(I59,H59,AQ59,AT59,O59,N59,P59,D59-$G$5,1,1)*AF59*F59*AH59</f>
        <v>5577.6488123539239</v>
      </c>
      <c r="U59" s="135"/>
      <c r="V59" s="146">
        <f t="shared" si="58"/>
        <v>9.1165276538615316</v>
      </c>
      <c r="W59" s="146"/>
      <c r="X59" s="338">
        <f t="shared" si="59"/>
        <v>0</v>
      </c>
      <c r="Y59" s="338">
        <f t="shared" si="60"/>
        <v>0</v>
      </c>
      <c r="Z59" s="338">
        <f t="shared" si="61"/>
        <v>0.4845644953402477</v>
      </c>
      <c r="AA59" s="338">
        <f t="shared" si="62"/>
        <v>3.133263966690998E-5</v>
      </c>
      <c r="AB59" s="338">
        <f t="shared" si="63"/>
        <v>0</v>
      </c>
      <c r="AC59" s="338">
        <f t="shared" si="64"/>
        <v>0.49036881348141531</v>
      </c>
      <c r="AF59" s="138">
        <f t="shared" si="65"/>
        <v>1</v>
      </c>
      <c r="AG59" s="138">
        <f t="shared" si="66"/>
        <v>2</v>
      </c>
      <c r="AH59" s="138">
        <f t="shared" si="67"/>
        <v>28</v>
      </c>
      <c r="AI59" s="138">
        <f t="shared" si="88"/>
        <v>1142</v>
      </c>
      <c r="AJ59" s="138">
        <f t="shared" si="68"/>
        <v>1159</v>
      </c>
      <c r="AL59" s="136">
        <f t="shared" si="69"/>
        <v>3.597</v>
      </c>
      <c r="AM59" s="258">
        <f t="shared" si="70"/>
        <v>-2.2499999999999999E-2</v>
      </c>
      <c r="AN59" s="258">
        <f t="shared" si="71"/>
        <v>2.5000000000000001E-3</v>
      </c>
      <c r="AO59" s="258">
        <f t="shared" si="72"/>
        <v>0.35</v>
      </c>
      <c r="AP59" s="258">
        <f t="shared" si="73"/>
        <v>0</v>
      </c>
      <c r="AQ59" s="136">
        <f t="shared" si="74"/>
        <v>3.3399999999999999E-2</v>
      </c>
      <c r="AR59" s="137">
        <f t="shared" si="75"/>
        <v>2.75E-2</v>
      </c>
      <c r="AS59" s="136">
        <f t="shared" si="76"/>
        <v>3.577</v>
      </c>
      <c r="AT59" s="137">
        <f t="shared" si="77"/>
        <v>4.5401152752323697E-2</v>
      </c>
      <c r="AU59" s="137">
        <f t="shared" si="78"/>
        <v>0.86754669158592468</v>
      </c>
      <c r="AV59" s="394">
        <f t="shared" si="79"/>
        <v>170.03915155084124</v>
      </c>
      <c r="AW59" s="137">
        <f t="shared" si="80"/>
        <v>0.3175</v>
      </c>
      <c r="AX59" s="137">
        <f t="shared" si="81"/>
        <v>1</v>
      </c>
      <c r="AY59" s="137">
        <f t="shared" si="82"/>
        <v>1</v>
      </c>
      <c r="AZ59" s="137"/>
      <c r="BA59" s="264"/>
      <c r="BB59" s="258">
        <f t="shared" si="83"/>
        <v>0</v>
      </c>
      <c r="BC59" s="258">
        <f t="shared" si="84"/>
        <v>0</v>
      </c>
      <c r="BD59" s="137">
        <f t="shared" si="85"/>
        <v>4.2173498050079861E-5</v>
      </c>
      <c r="BE59" s="137">
        <f t="shared" si="86"/>
        <v>4.2173498050079861E-5</v>
      </c>
      <c r="BF59" s="137">
        <f>_xll.xSPRDOPT($BW59,$BV59,$CG59,0,$BY59,$BX59,$BZ59,$AJ59,1,4)*$CB59</f>
        <v>-9.3043347601381395E-7</v>
      </c>
      <c r="BG59" s="137">
        <f>_xll.xSPRDOPT($BW59,$BV59,$CG59,0,$BY59,$BX59,$BZ59,$AJ59,1,3)*$CB59</f>
        <v>-1.0338149733486822E-7</v>
      </c>
      <c r="BH59" s="137">
        <f>IF(OR(BF59&lt;&gt;0,BG59&lt;&gt;0),_xll.xSPRDOPT($BW59,$BV59,$CG59,0,$BY59,$BX59,$BZ59,$AJ59,1,12)*$CB59,0)</f>
        <v>4.1352598933947289E-7</v>
      </c>
      <c r="BI59" s="137">
        <f>_xll.xSPRDOPT($BW59,$BV59,$CG59,2*LN(1+CA59/2),$BY59,$BX59,$BZ59,$AJ59,1,9)</f>
        <v>9.1608272216886898E-3</v>
      </c>
      <c r="BJ59" s="137">
        <f>_xll.xSPRDOPT($BW59,$BV59,$CG59,0,$BY59,$BX59,$BZ59,$AJ59,1,6)*$CB59</f>
        <v>-1.5782992237184108E-3</v>
      </c>
      <c r="BK59" s="137">
        <f>_xll.xSPRDOPT($BW59,$BV59,$CG59,0,$BY59,$BX59,$BZ59,$AJ59,1,5)*$CB59</f>
        <v>1.6936635388313487E-3</v>
      </c>
      <c r="BL59" s="137">
        <f>_xll.xSPRDOPT(BW59,BV59,CG59,0,BY59,BX59,BZ59,AJ59,1,2)*CB59</f>
        <v>-0.86716754781062122</v>
      </c>
      <c r="BM59" s="137">
        <f>_xll.xSPRDOPT(BW59,BV59,CG59,0,BY59,BX59,BZ59,AJ59,1,1)*CB59</f>
        <v>0.86716754781535366</v>
      </c>
      <c r="BN59" s="137">
        <f>IF(AH59&lt;&gt;0,_xll.xSPRDOPT($BW59,$BV59,$CG59,2*LN(1+CA59/2),$BY59,$BX59,$BZ59,$AJ59,1,8)+(AJ59/365.25)*CH59/AH59,0)</f>
        <v>0.38483584571394147</v>
      </c>
      <c r="BO59" s="137">
        <f>_xll.xSPRDOPT($BW59,$BV59,$CG59,0,$BY59,$BX59,$BZ59,$AJ59,1,0)</f>
        <v>0.23545414833047376</v>
      </c>
      <c r="BP59" s="137"/>
      <c r="BQ59" s="137"/>
      <c r="BR59" s="137"/>
      <c r="BS59" s="137"/>
      <c r="BV59" s="262">
        <v>3.6781491002570692</v>
      </c>
      <c r="BW59" s="136">
        <v>3.9470000000000001</v>
      </c>
      <c r="BX59" s="137">
        <v>0.33416755063618625</v>
      </c>
      <c r="BY59" s="137">
        <v>0.33416755063618625</v>
      </c>
      <c r="BZ59" s="137">
        <v>1</v>
      </c>
      <c r="CA59" s="137">
        <v>4.5401152752323697E-2</v>
      </c>
      <c r="CB59" s="137">
        <v>0.86722685559525425</v>
      </c>
      <c r="CC59" s="258">
        <v>-2.2499999999999999E-2</v>
      </c>
      <c r="CD59" s="258">
        <v>2.5000000000000001E-3</v>
      </c>
      <c r="CE59" s="258">
        <v>0.35</v>
      </c>
      <c r="CF59" s="258">
        <v>0</v>
      </c>
      <c r="CG59" s="258">
        <v>3.3399999999999999E-2</v>
      </c>
      <c r="CH59" s="258">
        <v>9.1131666893371701</v>
      </c>
      <c r="CI59" s="258">
        <v>3.597</v>
      </c>
      <c r="CJ59" s="258"/>
      <c r="CK59" s="258"/>
      <c r="CL59" s="258"/>
      <c r="CM59" s="258"/>
    </row>
    <row r="60" spans="1:91" x14ac:dyDescent="0.25">
      <c r="A60" s="723"/>
      <c r="B60" s="723"/>
      <c r="D60" s="31">
        <f t="shared" si="87"/>
        <v>38426</v>
      </c>
      <c r="F60" s="28">
        <f t="shared" si="52"/>
        <v>230</v>
      </c>
      <c r="G60" s="28">
        <f t="shared" si="53"/>
        <v>198.53950731250532</v>
      </c>
      <c r="H60" s="52">
        <f t="shared" si="54"/>
        <v>3.5444730077120821</v>
      </c>
      <c r="I60" s="52">
        <f t="shared" si="55"/>
        <v>3.867</v>
      </c>
      <c r="K60" s="52">
        <f t="shared" si="56"/>
        <v>7.7369436895099231</v>
      </c>
      <c r="L60" s="135">
        <f t="shared" si="57"/>
        <v>1.372750992789662E-5</v>
      </c>
      <c r="N60" s="131">
        <f t="shared" si="48"/>
        <v>0.31729237574852004</v>
      </c>
      <c r="O60" s="131">
        <f t="shared" si="49"/>
        <v>0.31729237574852004</v>
      </c>
      <c r="P60" s="55">
        <f t="shared" si="50"/>
        <v>0.99999999999999989</v>
      </c>
      <c r="Q60" s="135">
        <f>_xll.xSPRDOPT(I60,H60,AQ60,0,O60,N60,P60,D60-$G$5,1,0)*AH60*AU60</f>
        <v>7.736957417019851</v>
      </c>
      <c r="R60" s="135"/>
      <c r="S60" s="181">
        <f>_xll.xSPRDOPT(I60,H60,AQ60,AT60,O60,N60,P60,D60-$G$5,1,2)*AF60*(F60/(1-AR60))*AH60</f>
        <v>-6318.0728454920682</v>
      </c>
      <c r="T60" s="181">
        <f>_xll.xSPRDOPT(I60,H60,AQ60,AT60,O60,N60,P60,D60-$G$5,1,1)*AF60*F60*AH60</f>
        <v>6144.325842172947</v>
      </c>
      <c r="U60" s="135"/>
      <c r="V60" s="146">
        <f t="shared" si="58"/>
        <v>10.042905173590787</v>
      </c>
      <c r="W60" s="146"/>
      <c r="X60" s="338">
        <f t="shared" si="59"/>
        <v>0</v>
      </c>
      <c r="Y60" s="338">
        <f t="shared" si="60"/>
        <v>0</v>
      </c>
      <c r="Z60" s="338">
        <f t="shared" si="61"/>
        <v>0.66290489938335651</v>
      </c>
      <c r="AA60" s="338">
        <f t="shared" si="62"/>
        <v>3.8184532334489927E-6</v>
      </c>
      <c r="AB60" s="338">
        <f t="shared" si="63"/>
        <v>0</v>
      </c>
      <c r="AC60" s="338">
        <f t="shared" si="64"/>
        <v>0.6705456938228036</v>
      </c>
      <c r="AF60" s="138">
        <f t="shared" si="65"/>
        <v>1</v>
      </c>
      <c r="AG60" s="138">
        <f t="shared" si="66"/>
        <v>3</v>
      </c>
      <c r="AH60" s="138">
        <f t="shared" si="67"/>
        <v>31</v>
      </c>
      <c r="AI60" s="138">
        <f t="shared" si="88"/>
        <v>1170</v>
      </c>
      <c r="AJ60" s="138">
        <f t="shared" si="68"/>
        <v>1187</v>
      </c>
      <c r="AL60" s="136">
        <f t="shared" si="69"/>
        <v>3.4670000000000001</v>
      </c>
      <c r="AM60" s="258">
        <f t="shared" si="70"/>
        <v>-2.2499999999999999E-2</v>
      </c>
      <c r="AN60" s="258">
        <f t="shared" si="71"/>
        <v>2.5000000000000001E-3</v>
      </c>
      <c r="AO60" s="258">
        <f t="shared" si="72"/>
        <v>0.4</v>
      </c>
      <c r="AP60" s="258">
        <f t="shared" si="73"/>
        <v>0</v>
      </c>
      <c r="AQ60" s="136">
        <f t="shared" si="74"/>
        <v>3.3399999999999999E-2</v>
      </c>
      <c r="AR60" s="137">
        <f t="shared" si="75"/>
        <v>2.75E-2</v>
      </c>
      <c r="AS60" s="136">
        <f t="shared" si="76"/>
        <v>3.4470000000000001</v>
      </c>
      <c r="AT60" s="137">
        <f t="shared" si="77"/>
        <v>4.5894553715070799E-2</v>
      </c>
      <c r="AU60" s="137">
        <f t="shared" si="78"/>
        <v>0.86321524918480574</v>
      </c>
      <c r="AV60" s="394">
        <f t="shared" si="79"/>
        <v>187.31770907310283</v>
      </c>
      <c r="AW60" s="137">
        <f t="shared" si="80"/>
        <v>0.3075</v>
      </c>
      <c r="AX60" s="137">
        <f t="shared" si="81"/>
        <v>0.75</v>
      </c>
      <c r="AY60" s="137">
        <f t="shared" si="82"/>
        <v>0.75</v>
      </c>
      <c r="AZ60" s="137"/>
      <c r="BA60" s="264"/>
      <c r="BB60" s="258">
        <f t="shared" si="83"/>
        <v>0</v>
      </c>
      <c r="BC60" s="258">
        <f t="shared" si="84"/>
        <v>0</v>
      </c>
      <c r="BD60" s="137">
        <f t="shared" si="85"/>
        <v>2.4337327348467053E-5</v>
      </c>
      <c r="BE60" s="137">
        <f t="shared" si="86"/>
        <v>2.4337327348467053E-5</v>
      </c>
      <c r="BF60" s="137">
        <f>_xll.xSPRDOPT($BW60,$BV60,$CG60,0,$BY60,$BX60,$BZ60,$AJ60,1,4)*$CB60</f>
        <v>1.2343791834929558E-6</v>
      </c>
      <c r="BG60" s="137">
        <f>_xll.xSPRDOPT($BW60,$BV60,$CG60,0,$BY60,$BX60,$BZ60,$AJ60,1,3)*$CB60</f>
        <v>2.0572986391549265E-7</v>
      </c>
      <c r="BH60" s="137">
        <f>IF(OR(BF60&lt;&gt;0,BG60&lt;&gt;0),_xll.xSPRDOPT($BW60,$BV60,$CG60,0,$BY60,$BX60,$BZ60,$AJ60,1,12)*$CB60,0)</f>
        <v>5.1432465978873162E-8</v>
      </c>
      <c r="BI60" s="137">
        <f>_xll.xSPRDOPT($BW60,$BV60,$CG60,2*LN(1+CA60/2),$BY60,$BX60,$BZ60,$AJ60,1,9)</f>
        <v>1.1319589270676528E-2</v>
      </c>
      <c r="BJ60" s="137">
        <f>_xll.xSPRDOPT($BW60,$BV60,$CG60,0,$BY60,$BX60,$BZ60,$AJ60,1,6)*$CB60</f>
        <v>-2.4183041260124387E-4</v>
      </c>
      <c r="BK60" s="137">
        <f>_xll.xSPRDOPT($BW60,$BV60,$CG60,0,$BY60,$BX60,$BZ60,$AJ60,1,5)*$CB60</f>
        <v>2.6383559954734132E-4</v>
      </c>
      <c r="BL60" s="137">
        <f>_xll.xSPRDOPT(BW60,BV60,CG60,0,BY60,BX60,BZ60,AJ60,1,2)*CB60</f>
        <v>-0.86288523237171655</v>
      </c>
      <c r="BM60" s="137">
        <f>_xll.xSPRDOPT(BW60,BV60,CG60,0,BY60,BX60,BZ60,AJ60,1,1)*CB60</f>
        <v>0.86288523236151415</v>
      </c>
      <c r="BN60" s="137">
        <f>IF(AH60&lt;&gt;0,_xll.xSPRDOPT($BW60,$BV60,$CG60,2*LN(1+CA60/2),$BY60,$BX60,$BZ60,$AJ60,1,8)+(AJ60/365.25)*CH60/AH60,0)</f>
        <v>0.2416497528771977</v>
      </c>
      <c r="BO60" s="137">
        <f>_xll.xSPRDOPT($BW60,$BV60,$CG60,0,$BY60,$BX60,$BZ60,$AJ60,1,0)</f>
        <v>0.28912751490534139</v>
      </c>
      <c r="BP60" s="137"/>
      <c r="BQ60" s="137"/>
      <c r="BR60" s="137"/>
      <c r="BS60" s="137"/>
      <c r="BV60" s="262">
        <v>3.5444730077120821</v>
      </c>
      <c r="BW60" s="136">
        <v>3.867</v>
      </c>
      <c r="BX60" s="137">
        <v>0.31726803842117157</v>
      </c>
      <c r="BY60" s="137">
        <v>0.31726803842117157</v>
      </c>
      <c r="BZ60" s="137">
        <v>1</v>
      </c>
      <c r="CA60" s="137">
        <v>4.5894553715070799E-2</v>
      </c>
      <c r="CB60" s="137">
        <v>0.86289359114020647</v>
      </c>
      <c r="CC60" s="258">
        <v>-2.2499999999999999E-2</v>
      </c>
      <c r="CD60" s="258">
        <v>2.5000000000000001E-3</v>
      </c>
      <c r="CE60" s="258">
        <v>0.4</v>
      </c>
      <c r="CF60" s="258">
        <v>0</v>
      </c>
      <c r="CG60" s="258">
        <v>3.3399999999999999E-2</v>
      </c>
      <c r="CH60" s="258">
        <v>10.039162907402506</v>
      </c>
      <c r="CI60" s="258">
        <v>3.4670000000000001</v>
      </c>
      <c r="CJ60" s="258"/>
      <c r="CK60" s="258"/>
      <c r="CL60" s="258"/>
      <c r="CM60" s="258"/>
    </row>
    <row r="61" spans="1:91" x14ac:dyDescent="0.25">
      <c r="A61" s="723"/>
      <c r="B61" s="723"/>
      <c r="D61" s="31">
        <f t="shared" si="87"/>
        <v>38457</v>
      </c>
      <c r="F61" s="28">
        <f t="shared" si="52"/>
        <v>230</v>
      </c>
      <c r="G61" s="28">
        <f t="shared" si="53"/>
        <v>197.45091633091243</v>
      </c>
      <c r="H61" s="52">
        <f t="shared" si="54"/>
        <v>3.3645244215938299</v>
      </c>
      <c r="I61" s="52">
        <f t="shared" si="55"/>
        <v>3.8820000000000001</v>
      </c>
      <c r="K61" s="52">
        <f t="shared" si="56"/>
        <v>12.467108677788881</v>
      </c>
      <c r="L61" s="135">
        <f t="shared" si="57"/>
        <v>1.3151127635779858E-6</v>
      </c>
      <c r="N61" s="131">
        <f t="shared" si="48"/>
        <v>0.29897853273193292</v>
      </c>
      <c r="O61" s="131">
        <f t="shared" si="49"/>
        <v>0.29897853273193292</v>
      </c>
      <c r="P61" s="55">
        <f t="shared" si="50"/>
        <v>0.99999999999999989</v>
      </c>
      <c r="Q61" s="135">
        <f>_xll.xSPRDOPT(I61,H61,AQ61,0,O61,N61,P61,D61-$G$5,1,0)*AH61*AU61</f>
        <v>12.467109992901644</v>
      </c>
      <c r="R61" s="135"/>
      <c r="S61" s="181">
        <f>_xll.xSPRDOPT(I61,H61,AQ61,AT61,O61,N61,P61,D61-$G$5,1,2)*AF61*(F61/(1-AR61))*AH61</f>
        <v>-6080.2999568276309</v>
      </c>
      <c r="T61" s="181">
        <f>_xll.xSPRDOPT(I61,H61,AQ61,AT61,O61,N61,P61,D61-$G$5,1,1)*AF61*F61*AH61</f>
        <v>5913.0917080588006</v>
      </c>
      <c r="U61" s="135"/>
      <c r="V61" s="146">
        <f t="shared" si="58"/>
        <v>9.6656515955206217</v>
      </c>
      <c r="W61" s="146"/>
      <c r="X61" s="338">
        <f t="shared" si="59"/>
        <v>0</v>
      </c>
      <c r="Y61" s="338">
        <f t="shared" si="60"/>
        <v>0</v>
      </c>
      <c r="Z61" s="338">
        <f t="shared" si="61"/>
        <v>1.0799376000030347</v>
      </c>
      <c r="AA61" s="338">
        <f t="shared" si="62"/>
        <v>8.3429570390488692E-9</v>
      </c>
      <c r="AB61" s="338">
        <f t="shared" si="63"/>
        <v>0</v>
      </c>
      <c r="AC61" s="338">
        <f t="shared" si="64"/>
        <v>1.0924181302611846</v>
      </c>
      <c r="AF61" s="138">
        <f t="shared" si="65"/>
        <v>1</v>
      </c>
      <c r="AG61" s="138">
        <f t="shared" si="66"/>
        <v>4</v>
      </c>
      <c r="AH61" s="138">
        <f t="shared" si="67"/>
        <v>30</v>
      </c>
      <c r="AI61" s="138">
        <f t="shared" si="88"/>
        <v>1201</v>
      </c>
      <c r="AJ61" s="138">
        <f t="shared" si="68"/>
        <v>1218</v>
      </c>
      <c r="AL61" s="136">
        <f t="shared" si="69"/>
        <v>3.282</v>
      </c>
      <c r="AM61" s="258">
        <f t="shared" si="70"/>
        <v>-1.7500000000000002E-2</v>
      </c>
      <c r="AN61" s="258">
        <f t="shared" si="71"/>
        <v>7.4999999999999997E-3</v>
      </c>
      <c r="AO61" s="258">
        <f t="shared" si="72"/>
        <v>0.6</v>
      </c>
      <c r="AP61" s="258">
        <f t="shared" si="73"/>
        <v>0</v>
      </c>
      <c r="AQ61" s="136">
        <f t="shared" si="74"/>
        <v>3.3399999999999999E-2</v>
      </c>
      <c r="AR61" s="137">
        <f t="shared" si="75"/>
        <v>2.75E-2</v>
      </c>
      <c r="AS61" s="136">
        <f t="shared" si="76"/>
        <v>3.2719999999999998</v>
      </c>
      <c r="AT61" s="137">
        <f t="shared" si="77"/>
        <v>4.6401056415071598E-2</v>
      </c>
      <c r="AU61" s="137">
        <f t="shared" si="78"/>
        <v>0.85848224491701053</v>
      </c>
      <c r="AV61" s="394">
        <f t="shared" si="79"/>
        <v>180.2812714325722</v>
      </c>
      <c r="AW61" s="137">
        <f t="shared" si="80"/>
        <v>0.29749999999999999</v>
      </c>
      <c r="AX61" s="137">
        <f t="shared" si="81"/>
        <v>0.4</v>
      </c>
      <c r="AY61" s="137">
        <f t="shared" si="82"/>
        <v>0.4</v>
      </c>
      <c r="AZ61" s="137"/>
      <c r="BA61" s="264"/>
      <c r="BB61" s="258">
        <f t="shared" si="83"/>
        <v>0</v>
      </c>
      <c r="BC61" s="258">
        <f t="shared" si="84"/>
        <v>0</v>
      </c>
      <c r="BD61" s="137">
        <f t="shared" si="85"/>
        <v>3.6297435732079997E-6</v>
      </c>
      <c r="BE61" s="137">
        <f t="shared" si="86"/>
        <v>3.6297435732079997E-6</v>
      </c>
      <c r="BF61" s="137">
        <f>_xll.xSPRDOPT($BW61,$BV61,$CG61,0,$BY61,$BX61,$BZ61,$AJ61,1,4)*$CB61</f>
        <v>8.1840406506723398E-7</v>
      </c>
      <c r="BG61" s="137">
        <f>_xll.xSPRDOPT($BW61,$BV61,$CG61,0,$BY61,$BX61,$BZ61,$AJ61,1,3)*$CB61</f>
        <v>5.1150254066702129E-7</v>
      </c>
      <c r="BH61" s="137">
        <f>IF(OR(BF61&lt;&gt;0,BG61&lt;&gt;0),_xll.xSPRDOPT($BW61,$BV61,$CG61,0,$BY61,$BX61,$BZ61,$AJ61,1,12)*$CB61,0)</f>
        <v>-1.0230050813340425E-7</v>
      </c>
      <c r="BI61" s="137">
        <f>_xll.xSPRDOPT($BW61,$BV61,$CG61,2*LN(1+CA61/2),$BY61,$BX61,$BZ61,$AJ61,1,9)</f>
        <v>1.9055420695705719E-2</v>
      </c>
      <c r="BJ61" s="137">
        <f>_xll.xSPRDOPT($BW61,$BV61,$CG61,0,$BY61,$BX61,$BZ61,$AJ61,1,6)*$CB61</f>
        <v>-2.1657639619908897E-6</v>
      </c>
      <c r="BK61" s="137">
        <f>_xll.xSPRDOPT($BW61,$BV61,$CG61,0,$BY61,$BX61,$BZ61,$AJ61,1,5)*$CB61</f>
        <v>2.4988795620797339E-6</v>
      </c>
      <c r="BL61" s="137">
        <f>_xll.xSPRDOPT(BW61,BV61,CG61,0,BY61,BX61,BZ61,AJ61,1,2)*CB61</f>
        <v>-0.85815886528239638</v>
      </c>
      <c r="BM61" s="137">
        <f>_xll.xSPRDOPT(BW61,BV61,CG61,0,BY61,BX61,BZ61,AJ61,1,1)*CB61</f>
        <v>0.85815886528864038</v>
      </c>
      <c r="BN61" s="137">
        <f>IF(AH61&lt;&gt;0,_xll.xSPRDOPT($BW61,$BV61,$CG61,2*LN(1+CA61/2),$BY61,$BX61,$BZ61,$AJ61,1,8)+(AJ61/365.25)*CH61/AH61,0)</f>
        <v>-0.31128368611318913</v>
      </c>
      <c r="BO61" s="137">
        <f>_xll.xSPRDOPT($BW61,$BV61,$CG61,0,$BY61,$BX61,$BZ61,$AJ61,1,0)</f>
        <v>0.48407562961158462</v>
      </c>
      <c r="BP61" s="137"/>
      <c r="BQ61" s="137"/>
      <c r="BR61" s="137"/>
      <c r="BS61" s="137"/>
      <c r="BV61" s="262">
        <v>3.3645244215938299</v>
      </c>
      <c r="BW61" s="136">
        <v>3.8820000000000001</v>
      </c>
      <c r="BX61" s="137">
        <v>0.29897490298835971</v>
      </c>
      <c r="BY61" s="137">
        <v>0.29897490298835971</v>
      </c>
      <c r="BZ61" s="137">
        <v>1</v>
      </c>
      <c r="CA61" s="137">
        <v>4.6401056415071598E-2</v>
      </c>
      <c r="CB61" s="137">
        <v>0.85815886093193994</v>
      </c>
      <c r="CC61" s="258">
        <v>-1.7500000000000002E-2</v>
      </c>
      <c r="CD61" s="258">
        <v>7.4999999999999997E-3</v>
      </c>
      <c r="CE61" s="258">
        <v>0.6</v>
      </c>
      <c r="CF61" s="258">
        <v>0</v>
      </c>
      <c r="CG61" s="258">
        <v>3.3399999999999999E-2</v>
      </c>
      <c r="CH61" s="258">
        <v>9.6620106152327114</v>
      </c>
      <c r="CI61" s="258">
        <v>3.282</v>
      </c>
      <c r="CJ61" s="258"/>
      <c r="CK61" s="258"/>
      <c r="CL61" s="258"/>
      <c r="CM61" s="258"/>
    </row>
    <row r="62" spans="1:91" x14ac:dyDescent="0.25">
      <c r="A62" s="723"/>
      <c r="B62" s="723"/>
      <c r="D62" s="31">
        <f t="shared" si="87"/>
        <v>38487</v>
      </c>
      <c r="F62" s="28">
        <f t="shared" si="52"/>
        <v>148</v>
      </c>
      <c r="G62" s="28">
        <f t="shared" si="53"/>
        <v>126.38561888395553</v>
      </c>
      <c r="H62" s="52">
        <f t="shared" si="54"/>
        <v>3.3593830334190229</v>
      </c>
      <c r="I62" s="52">
        <f t="shared" si="55"/>
        <v>4.0270000000000001</v>
      </c>
      <c r="K62" s="52">
        <f t="shared" si="56"/>
        <v>16.789412288306043</v>
      </c>
      <c r="L62" s="135">
        <f t="shared" si="57"/>
        <v>1.6887247760166701E-6</v>
      </c>
      <c r="N62" s="131">
        <f t="shared" si="48"/>
        <v>0.29252740451228487</v>
      </c>
      <c r="O62" s="131">
        <f t="shared" si="49"/>
        <v>0.29252740451228487</v>
      </c>
      <c r="P62" s="55">
        <f t="shared" si="50"/>
        <v>0.99999999999999989</v>
      </c>
      <c r="Q62" s="135">
        <f>_xll.xSPRDOPT(I62,H62,AQ62,0,O62,N62,P62,D62-$G$5,1,0)*AH62*AU62</f>
        <v>16.789413977030819</v>
      </c>
      <c r="R62" s="135"/>
      <c r="S62" s="181">
        <f>_xll.xSPRDOPT(I62,H62,AQ62,AT62,O62,N62,P62,D62-$G$5,1,2)*AF62*(F62/(1-AR62))*AH62</f>
        <v>-4021.3300187441318</v>
      </c>
      <c r="T62" s="181">
        <f>_xll.xSPRDOPT(I62,H62,AQ62,AT62,O62,N62,P62,D62-$G$5,1,1)*AF62*F62*AH62</f>
        <v>3910.743443145213</v>
      </c>
      <c r="U62" s="135"/>
      <c r="V62" s="146">
        <f t="shared" si="58"/>
        <v>9.9351905796054325</v>
      </c>
      <c r="W62" s="146"/>
      <c r="X62" s="338">
        <f t="shared" si="59"/>
        <v>0</v>
      </c>
      <c r="Y62" s="338">
        <f t="shared" si="60"/>
        <v>0</v>
      </c>
      <c r="Z62" s="338">
        <f t="shared" si="61"/>
        <v>0.9449225376464534</v>
      </c>
      <c r="AA62" s="338">
        <f t="shared" si="62"/>
        <v>-2.8599164068922387E-9</v>
      </c>
      <c r="AB62" s="338">
        <f t="shared" si="63"/>
        <v>0</v>
      </c>
      <c r="AC62" s="338">
        <f t="shared" si="64"/>
        <v>0.95594862946761427</v>
      </c>
      <c r="AF62" s="138">
        <f t="shared" si="65"/>
        <v>1</v>
      </c>
      <c r="AG62" s="138">
        <f t="shared" si="66"/>
        <v>5</v>
      </c>
      <c r="AH62" s="138">
        <f t="shared" si="67"/>
        <v>31</v>
      </c>
      <c r="AI62" s="138">
        <f t="shared" si="88"/>
        <v>1231</v>
      </c>
      <c r="AJ62" s="138">
        <f t="shared" si="68"/>
        <v>1248</v>
      </c>
      <c r="AL62" s="136">
        <f t="shared" si="69"/>
        <v>3.2770000000000001</v>
      </c>
      <c r="AM62" s="258">
        <f t="shared" si="70"/>
        <v>-1.7500000000000002E-2</v>
      </c>
      <c r="AN62" s="258">
        <f t="shared" si="71"/>
        <v>7.4999999999999997E-3</v>
      </c>
      <c r="AO62" s="258">
        <f t="shared" si="72"/>
        <v>0.75</v>
      </c>
      <c r="AP62" s="258">
        <f t="shared" si="73"/>
        <v>0</v>
      </c>
      <c r="AQ62" s="136">
        <f t="shared" si="74"/>
        <v>3.3399999999999999E-2</v>
      </c>
      <c r="AR62" s="137">
        <f t="shared" si="75"/>
        <v>2.75E-2</v>
      </c>
      <c r="AS62" s="136">
        <f t="shared" si="76"/>
        <v>3.2669999999999999</v>
      </c>
      <c r="AT62" s="137">
        <f t="shared" si="77"/>
        <v>4.6856677050253197E-2</v>
      </c>
      <c r="AU62" s="137">
        <f t="shared" si="78"/>
        <v>0.85395688435105088</v>
      </c>
      <c r="AV62" s="394">
        <f t="shared" si="79"/>
        <v>105.89065365953032</v>
      </c>
      <c r="AW62" s="137">
        <f t="shared" si="80"/>
        <v>0.28999999999999998</v>
      </c>
      <c r="AX62" s="137">
        <f t="shared" si="81"/>
        <v>0.45</v>
      </c>
      <c r="AY62" s="137">
        <f t="shared" si="82"/>
        <v>0.45</v>
      </c>
      <c r="AZ62" s="137"/>
      <c r="BA62" s="264"/>
      <c r="BB62" s="258">
        <f t="shared" si="83"/>
        <v>0</v>
      </c>
      <c r="BC62" s="258">
        <f t="shared" si="84"/>
        <v>0</v>
      </c>
      <c r="BD62" s="137">
        <f t="shared" si="85"/>
        <v>6.0420462256738361E-6</v>
      </c>
      <c r="BE62" s="137">
        <f t="shared" si="86"/>
        <v>6.0420462256738361E-6</v>
      </c>
      <c r="BF62" s="137">
        <f>_xll.xSPRDOPT($BW62,$BV62,$CG62,0,$BY62,$BX62,$BZ62,$AJ62,1,4)*$CB62</f>
        <v>1.6281739869983984E-6</v>
      </c>
      <c r="BG62" s="137">
        <f>_xll.xSPRDOPT($BW62,$BV62,$CG62,0,$BY62,$BX62,$BZ62,$AJ62,1,3)*$CB62</f>
        <v>1.2211304902487989E-6</v>
      </c>
      <c r="BH62" s="137">
        <f>IF(OR(BF62&lt;&gt;0,BG62&lt;&gt;0),_xll.xSPRDOPT($BW62,$BV62,$CG62,0,$BY62,$BX62,$BZ62,$AJ62,1,12)*$CB62,0)</f>
        <v>2.035217483747998E-7</v>
      </c>
      <c r="BI62" s="137">
        <f>_xll.xSPRDOPT($BW62,$BV62,$CG62,2*LN(1+CA62/2),$BY62,$BX62,$BZ62,$AJ62,1,9)</f>
        <v>2.5075047724162098E-2</v>
      </c>
      <c r="BJ62" s="137">
        <f>_xll.xSPRDOPT($BW62,$BV62,$CG62,0,$BY62,$BX62,$BZ62,$AJ62,1,6)*$CB62</f>
        <v>5.1917351094540638E-7</v>
      </c>
      <c r="BK62" s="137">
        <f>_xll.xSPRDOPT($BW62,$BV62,$CG62,0,$BY62,$BX62,$BZ62,$AJ62,1,5)*$CB62</f>
        <v>-6.2234171879375244E-7</v>
      </c>
      <c r="BL62" s="137">
        <f>_xll.xSPRDOPT(BW62,BV62,CG62,0,BY62,BX62,BZ62,AJ62,1,2)*CB62</f>
        <v>-0.85363216887355375</v>
      </c>
      <c r="BM62" s="137">
        <f>_xll.xSPRDOPT(BW62,BV62,CG62,0,BY62,BX62,BZ62,AJ62,1,1)*CB62</f>
        <v>0.85363216885336812</v>
      </c>
      <c r="BN62" s="137">
        <f>IF(AH62&lt;&gt;0,_xll.xSPRDOPT($BW62,$BV62,$CG62,2*LN(1+CA62/2),$BY62,$BX62,$BZ62,$AJ62,1,8)+(AJ62/365.25)*CH62/AH62,0)</f>
        <v>-0.75518909030552672</v>
      </c>
      <c r="BO62" s="137">
        <f>_xll.xSPRDOPT($BW62,$BV62,$CG62,0,$BY62,$BX62,$BZ62,$AJ62,1,0)</f>
        <v>0.63421703033048815</v>
      </c>
      <c r="BP62" s="137"/>
      <c r="BQ62" s="137"/>
      <c r="BR62" s="137"/>
      <c r="BS62" s="137"/>
      <c r="BV62" s="262">
        <v>3.3593830334190229</v>
      </c>
      <c r="BW62" s="136">
        <v>4.0270000000000001</v>
      </c>
      <c r="BX62" s="137">
        <v>0.2925213624660592</v>
      </c>
      <c r="BY62" s="137">
        <v>0.2925213624660592</v>
      </c>
      <c r="BZ62" s="137">
        <v>1</v>
      </c>
      <c r="CA62" s="137">
        <v>4.6856677050253197E-2</v>
      </c>
      <c r="CB62" s="137">
        <v>0.85363208329541629</v>
      </c>
      <c r="CC62" s="258">
        <v>-1.7500000000000002E-2</v>
      </c>
      <c r="CD62" s="258">
        <v>7.4999999999999997E-3</v>
      </c>
      <c r="CE62" s="258">
        <v>0.75</v>
      </c>
      <c r="CF62" s="258">
        <v>0</v>
      </c>
      <c r="CG62" s="258">
        <v>3.3399999999999999E-2</v>
      </c>
      <c r="CH62" s="258">
        <v>9.9314117466838621</v>
      </c>
      <c r="CI62" s="258">
        <v>3.2770000000000001</v>
      </c>
      <c r="CJ62" s="258"/>
      <c r="CK62" s="258"/>
      <c r="CL62" s="258"/>
      <c r="CM62" s="258"/>
    </row>
    <row r="63" spans="1:91" x14ac:dyDescent="0.25">
      <c r="A63" s="723"/>
      <c r="B63" s="723"/>
      <c r="D63" s="31">
        <f t="shared" si="87"/>
        <v>38518</v>
      </c>
      <c r="F63" s="28">
        <f t="shared" si="52"/>
        <v>148</v>
      </c>
      <c r="G63" s="28">
        <f t="shared" si="53"/>
        <v>125.6876369465525</v>
      </c>
      <c r="H63" s="52">
        <f t="shared" si="54"/>
        <v>3.3979434447300765</v>
      </c>
      <c r="I63" s="52">
        <f t="shared" si="55"/>
        <v>4.1619999999999999</v>
      </c>
      <c r="K63" s="52">
        <f t="shared" si="56"/>
        <v>18.615100510415839</v>
      </c>
      <c r="L63" s="135">
        <f t="shared" si="57"/>
        <v>1.8593577273406936E-6</v>
      </c>
      <c r="N63" s="131">
        <f t="shared" si="48"/>
        <v>0.29238802915440232</v>
      </c>
      <c r="O63" s="131">
        <f t="shared" si="49"/>
        <v>0.29238802915440232</v>
      </c>
      <c r="P63" s="55">
        <f t="shared" si="50"/>
        <v>0.99999999999999978</v>
      </c>
      <c r="Q63" s="135">
        <f>_xll.xSPRDOPT(I63,H63,AQ63,0,O63,N63,P63,D63-$G$5,1,0)*AH63*AU63</f>
        <v>18.615102369773567</v>
      </c>
      <c r="R63" s="135"/>
      <c r="S63" s="181">
        <f>_xll.xSPRDOPT(I63,H63,AQ63,AT63,O63,N63,P63,D63-$G$5,1,2)*AF63*(F63/(1-AR63))*AH63</f>
        <v>-3869.7937991814852</v>
      </c>
      <c r="T63" s="181">
        <f>_xll.xSPRDOPT(I63,H63,AQ63,AT63,O63,N63,P63,D63-$G$5,1,1)*AF63*F63*AH63</f>
        <v>3763.3744696716894</v>
      </c>
      <c r="U63" s="135"/>
      <c r="V63" s="146">
        <f t="shared" si="58"/>
        <v>9.5616020566299635</v>
      </c>
      <c r="W63" s="146"/>
      <c r="X63" s="338">
        <f t="shared" si="59"/>
        <v>0</v>
      </c>
      <c r="Y63" s="338">
        <f t="shared" si="60"/>
        <v>0</v>
      </c>
      <c r="Z63" s="338">
        <f t="shared" si="61"/>
        <v>1.0580745371290607</v>
      </c>
      <c r="AA63" s="338">
        <f t="shared" si="62"/>
        <v>-2.9893372465701695E-9</v>
      </c>
      <c r="AB63" s="338">
        <f t="shared" si="63"/>
        <v>0</v>
      </c>
      <c r="AC63" s="338">
        <f t="shared" si="64"/>
        <v>1.070544554035848</v>
      </c>
      <c r="AF63" s="138">
        <f t="shared" si="65"/>
        <v>1</v>
      </c>
      <c r="AG63" s="138">
        <f t="shared" si="66"/>
        <v>6</v>
      </c>
      <c r="AH63" s="138">
        <f t="shared" si="67"/>
        <v>30</v>
      </c>
      <c r="AI63" s="138">
        <f t="shared" si="88"/>
        <v>1262</v>
      </c>
      <c r="AJ63" s="138">
        <f t="shared" si="68"/>
        <v>1279</v>
      </c>
      <c r="AL63" s="136">
        <f t="shared" si="69"/>
        <v>3.3119999999999998</v>
      </c>
      <c r="AM63" s="258">
        <f t="shared" si="70"/>
        <v>-1.4999999999999999E-2</v>
      </c>
      <c r="AN63" s="258">
        <f t="shared" si="71"/>
        <v>7.4999999999999997E-3</v>
      </c>
      <c r="AO63" s="258">
        <f t="shared" si="72"/>
        <v>0.85</v>
      </c>
      <c r="AP63" s="258">
        <f t="shared" si="73"/>
        <v>0</v>
      </c>
      <c r="AQ63" s="136">
        <f t="shared" si="74"/>
        <v>3.3399999999999999E-2</v>
      </c>
      <c r="AR63" s="137">
        <f t="shared" si="75"/>
        <v>2.75E-2</v>
      </c>
      <c r="AS63" s="136">
        <f t="shared" si="76"/>
        <v>3.3044999999999995</v>
      </c>
      <c r="AT63" s="137">
        <f t="shared" si="77"/>
        <v>4.7327485112866399E-2</v>
      </c>
      <c r="AU63" s="137">
        <f t="shared" si="78"/>
        <v>0.84924079017940879</v>
      </c>
      <c r="AV63" s="394">
        <f t="shared" si="79"/>
        <v>101.90889482152906</v>
      </c>
      <c r="AW63" s="137">
        <f t="shared" si="80"/>
        <v>0.28999999999999998</v>
      </c>
      <c r="AX63" s="137">
        <f t="shared" si="81"/>
        <v>0.45</v>
      </c>
      <c r="AY63" s="137">
        <f t="shared" si="82"/>
        <v>0.45</v>
      </c>
      <c r="AZ63" s="137"/>
      <c r="BA63" s="264"/>
      <c r="BB63" s="258">
        <f t="shared" si="83"/>
        <v>0</v>
      </c>
      <c r="BC63" s="258">
        <f t="shared" si="84"/>
        <v>0</v>
      </c>
      <c r="BD63" s="137">
        <f t="shared" si="85"/>
        <v>5.5741404257902971E-6</v>
      </c>
      <c r="BE63" s="137">
        <f t="shared" si="86"/>
        <v>5.5741404257902971E-6</v>
      </c>
      <c r="BF63" s="137">
        <f>_xll.xSPRDOPT($BW63,$BV63,$CG63,0,$BY63,$BX63,$BZ63,$AJ63,1,4)*$CB63</f>
        <v>6.0719102070495325E-7</v>
      </c>
      <c r="BG63" s="137">
        <f>_xll.xSPRDOPT($BW63,$BV63,$CG63,0,$BY63,$BX63,$BZ63,$AJ63,1,3)*$CB63</f>
        <v>6.0719102070495325E-7</v>
      </c>
      <c r="BH63" s="137">
        <f>IF(OR(BF63&lt;&gt;0,BG63&lt;&gt;0),_xll.xSPRDOPT($BW63,$BV63,$CG63,0,$BY63,$BX63,$BZ63,$AJ63,1,12)*$CB63,0)</f>
        <v>-5.0599251725412774E-7</v>
      </c>
      <c r="BI63" s="137">
        <f>_xll.xSPRDOPT($BW63,$BV63,$CG63,2*LN(1+CA63/2),$BY63,$BX63,$BZ63,$AJ63,1,9)</f>
        <v>2.901364299447368E-2</v>
      </c>
      <c r="BJ63" s="137">
        <f>_xll.xSPRDOPT($BW63,$BV63,$CG63,0,$BY63,$BX63,$BZ63,$AJ63,1,6)*$CB63</f>
        <v>5.3718185530800569E-7</v>
      </c>
      <c r="BK63" s="137">
        <f>_xll.xSPRDOPT($BW63,$BV63,$CG63,0,$BY63,$BX63,$BZ63,$AJ63,1,5)*$CB63</f>
        <v>-6.5796714294048674E-7</v>
      </c>
      <c r="BL63" s="137">
        <f>_xll.xSPRDOPT(BW63,BV63,CG63,0,BY63,BX63,BZ63,AJ63,1,2)*CB63</f>
        <v>-0.84891466020499595</v>
      </c>
      <c r="BM63" s="137">
        <f>_xll.xSPRDOPT(BW63,BV63,CG63,0,BY63,BX63,BZ63,AJ63,1,1)*CB63</f>
        <v>0.84891466020190764</v>
      </c>
      <c r="BN63" s="137">
        <f>IF(AH63&lt;&gt;0,_xll.xSPRDOPT($BW63,$BV63,$CG63,2*LN(1+CA63/2),$BY63,$BX63,$BZ63,$AJ63,1,8)+(AJ63/365.25)*CH63/AH63,0)</f>
        <v>-1.0563521745478881</v>
      </c>
      <c r="BO63" s="137">
        <f>_xll.xSPRDOPT($BW63,$BV63,$CG63,0,$BY63,$BX63,$BZ63,$AJ63,1,0)</f>
        <v>0.73065662820310939</v>
      </c>
      <c r="BP63" s="137"/>
      <c r="BQ63" s="137"/>
      <c r="BR63" s="137"/>
      <c r="BS63" s="137"/>
      <c r="BV63" s="262">
        <v>3.3979434447300765</v>
      </c>
      <c r="BW63" s="136">
        <v>4.1619999999999999</v>
      </c>
      <c r="BX63" s="137">
        <v>0.29238245501397653</v>
      </c>
      <c r="BY63" s="137">
        <v>0.29238245501397653</v>
      </c>
      <c r="BZ63" s="137">
        <v>1</v>
      </c>
      <c r="CA63" s="137">
        <v>4.7327485112866399E-2</v>
      </c>
      <c r="CB63" s="137">
        <v>0.84891457563562278</v>
      </c>
      <c r="CC63" s="258">
        <v>-1.4999999999999999E-2</v>
      </c>
      <c r="CD63" s="258">
        <v>7.4999999999999997E-3</v>
      </c>
      <c r="CE63" s="258">
        <v>0.85</v>
      </c>
      <c r="CF63" s="258">
        <v>0</v>
      </c>
      <c r="CG63" s="258">
        <v>3.3399999999999999E-2</v>
      </c>
      <c r="CH63" s="258">
        <v>9.557929207081477</v>
      </c>
      <c r="CI63" s="258">
        <v>3.3119999999999998</v>
      </c>
      <c r="CJ63" s="258"/>
      <c r="CK63" s="258"/>
      <c r="CL63" s="258"/>
      <c r="CM63" s="258"/>
    </row>
    <row r="64" spans="1:91" x14ac:dyDescent="0.25">
      <c r="A64" s="723"/>
      <c r="B64" s="723"/>
      <c r="D64" s="31">
        <f t="shared" si="87"/>
        <v>38548</v>
      </c>
      <c r="F64" s="28">
        <f t="shared" si="52"/>
        <v>148</v>
      </c>
      <c r="G64" s="28">
        <f t="shared" si="53"/>
        <v>125.01646959793769</v>
      </c>
      <c r="H64" s="52">
        <f t="shared" si="54"/>
        <v>3.439074550128534</v>
      </c>
      <c r="I64" s="52">
        <f t="shared" si="55"/>
        <v>4.4020000000000001</v>
      </c>
      <c r="K64" s="52">
        <f t="shared" si="56"/>
        <v>24.340443881590069</v>
      </c>
      <c r="L64" s="135">
        <f t="shared" si="57"/>
        <v>2.4388102062289363E-6</v>
      </c>
      <c r="N64" s="131">
        <f t="shared" si="48"/>
        <v>0.28848877686763669</v>
      </c>
      <c r="O64" s="131">
        <f t="shared" si="49"/>
        <v>0.28848877686763669</v>
      </c>
      <c r="P64" s="55">
        <f t="shared" si="50"/>
        <v>1.0000000000000002</v>
      </c>
      <c r="Q64" s="135">
        <f>_xll.xSPRDOPT(I64,H64,AQ64,0,O64,N64,P64,D64-$G$5,1,0)*AH64*AU64</f>
        <v>24.340446320400275</v>
      </c>
      <c r="R64" s="135"/>
      <c r="S64" s="181">
        <f>_xll.xSPRDOPT(I64,H64,AQ64,AT64,O64,N64,P64,D64-$G$5,1,2)*AF64*(F64/(1-AR64))*AH64</f>
        <v>-3977.1104803596736</v>
      </c>
      <c r="T64" s="181">
        <f>_xll.xSPRDOPT(I64,H64,AQ64,AT64,O64,N64,P64,D64-$G$5,1,1)*AF64*F64*AH64</f>
        <v>3867.7399421998562</v>
      </c>
      <c r="U64" s="135"/>
      <c r="V64" s="146">
        <f t="shared" si="58"/>
        <v>9.8275615692113956</v>
      </c>
      <c r="W64" s="146"/>
      <c r="X64" s="338">
        <f t="shared" si="59"/>
        <v>0</v>
      </c>
      <c r="Y64" s="338">
        <f t="shared" si="60"/>
        <v>0</v>
      </c>
      <c r="Z64" s="338">
        <f t="shared" si="61"/>
        <v>1.3960051827549389</v>
      </c>
      <c r="AA64" s="338">
        <f t="shared" si="62"/>
        <v>-6.0480832679661767E-9</v>
      </c>
      <c r="AB64" s="338">
        <f t="shared" si="63"/>
        <v>0</v>
      </c>
      <c r="AC64" s="338">
        <f t="shared" si="64"/>
        <v>1.4126078370598594</v>
      </c>
      <c r="AF64" s="138">
        <f t="shared" si="65"/>
        <v>1</v>
      </c>
      <c r="AG64" s="138">
        <f t="shared" si="66"/>
        <v>7</v>
      </c>
      <c r="AH64" s="138">
        <f t="shared" si="67"/>
        <v>31</v>
      </c>
      <c r="AI64" s="138">
        <f t="shared" si="88"/>
        <v>1292</v>
      </c>
      <c r="AJ64" s="138">
        <f t="shared" si="68"/>
        <v>1309</v>
      </c>
      <c r="AL64" s="136">
        <f t="shared" si="69"/>
        <v>3.3519999999999999</v>
      </c>
      <c r="AM64" s="258">
        <f t="shared" si="70"/>
        <v>-1.4999999999999999E-2</v>
      </c>
      <c r="AN64" s="258">
        <f t="shared" si="71"/>
        <v>7.4999999999999997E-3</v>
      </c>
      <c r="AO64" s="258">
        <f t="shared" si="72"/>
        <v>1.05</v>
      </c>
      <c r="AP64" s="258">
        <f t="shared" si="73"/>
        <v>0</v>
      </c>
      <c r="AQ64" s="136">
        <f t="shared" si="74"/>
        <v>3.3399999999999999E-2</v>
      </c>
      <c r="AR64" s="137">
        <f t="shared" si="75"/>
        <v>2.75E-2</v>
      </c>
      <c r="AS64" s="136">
        <f t="shared" si="76"/>
        <v>3.3444999999999996</v>
      </c>
      <c r="AT64" s="137">
        <f t="shared" si="77"/>
        <v>4.7760481058800999E-2</v>
      </c>
      <c r="AU64" s="137">
        <f t="shared" si="78"/>
        <v>0.84470587566174116</v>
      </c>
      <c r="AV64" s="394">
        <f t="shared" si="79"/>
        <v>104.7435285820559</v>
      </c>
      <c r="AW64" s="137">
        <f t="shared" si="80"/>
        <v>0.28499999999999998</v>
      </c>
      <c r="AX64" s="137">
        <f t="shared" si="81"/>
        <v>0.5</v>
      </c>
      <c r="AY64" s="137">
        <f t="shared" si="82"/>
        <v>0.5</v>
      </c>
      <c r="AZ64" s="137"/>
      <c r="BA64" s="264"/>
      <c r="BB64" s="258">
        <f t="shared" si="83"/>
        <v>0</v>
      </c>
      <c r="BC64" s="258">
        <f t="shared" si="84"/>
        <v>0</v>
      </c>
      <c r="BD64" s="137">
        <f t="shared" si="85"/>
        <v>7.9383346645589548E-6</v>
      </c>
      <c r="BE64" s="137">
        <f t="shared" si="86"/>
        <v>7.9383346645589548E-6</v>
      </c>
      <c r="BF64" s="137">
        <f>_xll.xSPRDOPT($BW64,$BV64,$CG64,0,$BY64,$BX64,$BZ64,$AJ64,1,4)*$CB64</f>
        <v>-8.0526206001147863E-7</v>
      </c>
      <c r="BG64" s="137">
        <f>_xll.xSPRDOPT($BW64,$BV64,$CG64,0,$BY64,$BX64,$BZ64,$AJ64,1,3)*$CB64</f>
        <v>0</v>
      </c>
      <c r="BH64" s="137">
        <f>IF(OR(BF64&lt;&gt;0,BG64&lt;&gt;0),_xll.xSPRDOPT($BW64,$BV64,$CG64,0,$BY64,$BX64,$BZ64,$AJ64,1,12)*$CB64,0)</f>
        <v>-6.0394654500860905E-7</v>
      </c>
      <c r="BI64" s="137">
        <f>_xll.xSPRDOPT($BW64,$BV64,$CG64,2*LN(1+CA64/2),$BY64,$BX64,$BZ64,$AJ64,1,9)</f>
        <v>3.7045255231127679E-2</v>
      </c>
      <c r="BJ64" s="137">
        <f>_xll.xSPRDOPT($BW64,$BV64,$CG64,0,$BY64,$BX64,$BZ64,$AJ64,1,6)*$CB64</f>
        <v>5.9314657831031673E-7</v>
      </c>
      <c r="BK64" s="137">
        <f>_xll.xSPRDOPT($BW64,$BV64,$CG64,0,$BY64,$BX64,$BZ64,$AJ64,1,5)*$CB64</f>
        <v>-7.592065458015136E-7</v>
      </c>
      <c r="BL64" s="137">
        <f>_xll.xSPRDOPT(BW64,BV64,CG64,0,BY64,BX64,BZ64,AJ64,1,2)*CB64</f>
        <v>-0.84437855521245875</v>
      </c>
      <c r="BM64" s="137">
        <f>_xll.xSPRDOPT(BW64,BV64,CG64,0,BY64,BX64,BZ64,AJ64,1,1)*CB64</f>
        <v>0.84437855522474614</v>
      </c>
      <c r="BN64" s="137">
        <f>IF(AH64&lt;&gt;0,_xll.xSPRDOPT($BW64,$BV64,$CG64,2*LN(1+CA64/2),$BY64,$BX64,$BZ64,$AJ64,1,8)+(AJ64/365.25)*CH64/AH64,0)</f>
        <v>-1.6771546494372105</v>
      </c>
      <c r="BO64" s="137">
        <f>_xll.xSPRDOPT($BW64,$BV64,$CG64,0,$BY64,$BX64,$BZ64,$AJ64,1,0)</f>
        <v>0.92952554294254974</v>
      </c>
      <c r="BP64" s="137"/>
      <c r="BQ64" s="137"/>
      <c r="BR64" s="137"/>
      <c r="BS64" s="137"/>
      <c r="BV64" s="262">
        <v>3.439074550128534</v>
      </c>
      <c r="BW64" s="136">
        <v>4.4020000000000001</v>
      </c>
      <c r="BX64" s="137">
        <v>0.28848083853297213</v>
      </c>
      <c r="BY64" s="137">
        <v>0.28848083853297213</v>
      </c>
      <c r="BZ64" s="137">
        <v>1</v>
      </c>
      <c r="CA64" s="137">
        <v>4.7760481058800999E-2</v>
      </c>
      <c r="CB64" s="137">
        <v>0.84437846983859632</v>
      </c>
      <c r="CC64" s="258">
        <v>-1.4999999999999999E-2</v>
      </c>
      <c r="CD64" s="258">
        <v>7.4999999999999997E-3</v>
      </c>
      <c r="CE64" s="258">
        <v>1.05</v>
      </c>
      <c r="CF64" s="258">
        <v>0</v>
      </c>
      <c r="CG64" s="258">
        <v>3.3399999999999999E-2</v>
      </c>
      <c r="CH64" s="258">
        <v>9.8237524316431823</v>
      </c>
      <c r="CI64" s="258">
        <v>3.3519999999999999</v>
      </c>
      <c r="CJ64" s="258"/>
      <c r="CK64" s="258"/>
      <c r="CL64" s="258"/>
      <c r="CM64" s="258"/>
    </row>
    <row r="65" spans="1:91" x14ac:dyDescent="0.25">
      <c r="A65" s="723"/>
      <c r="B65" s="723"/>
      <c r="D65" s="31">
        <f t="shared" si="87"/>
        <v>38579</v>
      </c>
      <c r="F65" s="28">
        <f t="shared" si="52"/>
        <v>148</v>
      </c>
      <c r="G65" s="28">
        <f t="shared" si="53"/>
        <v>124.32733609569961</v>
      </c>
      <c r="H65" s="52">
        <f t="shared" si="54"/>
        <v>3.4802056555269916</v>
      </c>
      <c r="I65" s="52">
        <f t="shared" si="55"/>
        <v>4.4420000000000002</v>
      </c>
      <c r="K65" s="52">
        <f t="shared" si="56"/>
        <v>24.176815314418352</v>
      </c>
      <c r="L65" s="135">
        <f t="shared" si="57"/>
        <v>2.3998257319135519E-6</v>
      </c>
      <c r="N65" s="131">
        <f t="shared" si="48"/>
        <v>0.28946051993952615</v>
      </c>
      <c r="O65" s="131">
        <f t="shared" si="49"/>
        <v>0.28946051993952615</v>
      </c>
      <c r="P65" s="55">
        <f t="shared" si="50"/>
        <v>0.99999999999999989</v>
      </c>
      <c r="Q65" s="135">
        <f>_xll.xSPRDOPT(I65,H65,AQ65,0,O65,N65,P65,D65-$G$5,1,0)*AH65*AU65</f>
        <v>24.176817714244084</v>
      </c>
      <c r="R65" s="135"/>
      <c r="S65" s="181">
        <f>_xll.xSPRDOPT(I65,H65,AQ65,AT65,O65,N65,P65,D65-$G$5,1,2)*AF65*(F65/(1-AR65))*AH65</f>
        <v>-3954.854499537189</v>
      </c>
      <c r="T65" s="181">
        <f>_xll.xSPRDOPT(I65,H65,AQ65,AT65,O65,N65,P65,D65-$G$5,1,1)*AF65*F65*AH65</f>
        <v>3846.0960008249531</v>
      </c>
      <c r="U65" s="135"/>
      <c r="V65" s="146">
        <f t="shared" si="58"/>
        <v>9.7733886914743113</v>
      </c>
      <c r="W65" s="146"/>
      <c r="X65" s="338">
        <f t="shared" si="59"/>
        <v>0</v>
      </c>
      <c r="Y65" s="338">
        <f t="shared" si="60"/>
        <v>0</v>
      </c>
      <c r="Z65" s="338">
        <f t="shared" si="61"/>
        <v>1.398827983674563</v>
      </c>
      <c r="AA65" s="338">
        <f t="shared" si="62"/>
        <v>-7.6919745801876782E-9</v>
      </c>
      <c r="AB65" s="338">
        <f t="shared" si="63"/>
        <v>0</v>
      </c>
      <c r="AC65" s="338">
        <f t="shared" si="64"/>
        <v>1.4156118975784531</v>
      </c>
      <c r="AF65" s="138">
        <f t="shared" si="65"/>
        <v>1</v>
      </c>
      <c r="AG65" s="138">
        <f t="shared" si="66"/>
        <v>8</v>
      </c>
      <c r="AH65" s="138">
        <f t="shared" si="67"/>
        <v>31</v>
      </c>
      <c r="AI65" s="138">
        <f t="shared" si="88"/>
        <v>1323</v>
      </c>
      <c r="AJ65" s="138">
        <f t="shared" si="68"/>
        <v>1340</v>
      </c>
      <c r="AL65" s="136">
        <f t="shared" si="69"/>
        <v>3.3919999999999999</v>
      </c>
      <c r="AM65" s="258">
        <f t="shared" si="70"/>
        <v>-1.4999999999999999E-2</v>
      </c>
      <c r="AN65" s="258">
        <f t="shared" si="71"/>
        <v>7.4999999999999997E-3</v>
      </c>
      <c r="AO65" s="258">
        <f t="shared" si="72"/>
        <v>1.05</v>
      </c>
      <c r="AP65" s="258">
        <f t="shared" si="73"/>
        <v>0</v>
      </c>
      <c r="AQ65" s="136">
        <f t="shared" si="74"/>
        <v>3.3399999999999999E-2</v>
      </c>
      <c r="AR65" s="137">
        <f t="shared" si="75"/>
        <v>2.75E-2</v>
      </c>
      <c r="AS65" s="136">
        <f t="shared" si="76"/>
        <v>3.3844999999999996</v>
      </c>
      <c r="AT65" s="137">
        <f t="shared" si="77"/>
        <v>4.81861434694211E-2</v>
      </c>
      <c r="AU65" s="137">
        <f t="shared" si="78"/>
        <v>0.84004956821418653</v>
      </c>
      <c r="AV65" s="394">
        <f t="shared" si="79"/>
        <v>104.16614645855913</v>
      </c>
      <c r="AW65" s="137">
        <f t="shared" si="80"/>
        <v>0.28499999999999998</v>
      </c>
      <c r="AX65" s="137">
        <f t="shared" si="81"/>
        <v>0.55000000000000004</v>
      </c>
      <c r="AY65" s="137">
        <f t="shared" si="82"/>
        <v>0.55000000000000004</v>
      </c>
      <c r="AZ65" s="137"/>
      <c r="BA65" s="264"/>
      <c r="BB65" s="258">
        <f t="shared" si="83"/>
        <v>0</v>
      </c>
      <c r="BC65" s="258">
        <f t="shared" si="84"/>
        <v>0</v>
      </c>
      <c r="BD65" s="137">
        <f t="shared" si="85"/>
        <v>9.8983850019274122E-6</v>
      </c>
      <c r="BE65" s="137">
        <f t="shared" si="86"/>
        <v>9.8983850019274122E-6</v>
      </c>
      <c r="BF65" s="137">
        <f>_xll.xSPRDOPT($BW65,$BV65,$CG65,0,$BY65,$BX65,$BZ65,$AJ65,1,4)*$CB65</f>
        <v>-8.0082044610674158E-7</v>
      </c>
      <c r="BG65" s="137">
        <f>_xll.xSPRDOPT($BW65,$BV65,$CG65,0,$BY65,$BX65,$BZ65,$AJ65,1,3)*$CB65</f>
        <v>4.0041022305337079E-7</v>
      </c>
      <c r="BH65" s="137">
        <f>IF(OR(BF65&lt;&gt;0,BG65&lt;&gt;0),_xll.xSPRDOPT($BW65,$BV65,$CG65,0,$BY65,$BX65,$BZ65,$AJ65,1,12)*$CB65,0)</f>
        <v>-1.001025557633427E-7</v>
      </c>
      <c r="BI65" s="137">
        <f>_xll.xSPRDOPT($BW65,$BV65,$CG65,2*LN(1+CA65/2),$BY65,$BX65,$BZ65,$AJ65,1,9)</f>
        <v>3.7120162818739762E-2</v>
      </c>
      <c r="BJ65" s="137">
        <f>_xll.xSPRDOPT($BW65,$BV65,$CG65,0,$BY65,$BX65,$BZ65,$AJ65,1,6)*$CB65</f>
        <v>6.1293412237430946E-7</v>
      </c>
      <c r="BK65" s="137">
        <f>_xll.xSPRDOPT($BW65,$BV65,$CG65,0,$BY65,$BX65,$BZ65,$AJ65,1,5)*$CB65</f>
        <v>-7.8230942697512074E-7</v>
      </c>
      <c r="BL65" s="137">
        <f>_xll.xSPRDOPT(BW65,BV65,CG65,0,BY65,BX65,BZ65,AJ65,1,2)*CB65</f>
        <v>-0.83972118426661235</v>
      </c>
      <c r="BM65" s="137">
        <f>_xll.xSPRDOPT(BW65,BV65,CG65,0,BY65,BX65,BZ65,AJ65,1,1)*CB65</f>
        <v>0.83972118426355746</v>
      </c>
      <c r="BN65" s="137">
        <f>IF(AH65&lt;&gt;0,_xll.xSPRDOPT($BW65,$BV65,$CG65,2*LN(1+CA65/2),$BY65,$BX65,$BZ65,$AJ65,1,8)+(AJ65/365.25)*CH65/AH65,0)</f>
        <v>-1.70391893797709</v>
      </c>
      <c r="BO65" s="137">
        <f>_xll.xSPRDOPT($BW65,$BV65,$CG65,0,$BY65,$BX65,$BZ65,$AJ65,1,0)</f>
        <v>0.92839443656340825</v>
      </c>
      <c r="BP65" s="137"/>
      <c r="BQ65" s="137"/>
      <c r="BR65" s="137"/>
      <c r="BS65" s="137"/>
      <c r="BV65" s="262">
        <v>3.4802056555269916</v>
      </c>
      <c r="BW65" s="136">
        <v>4.4420000000000002</v>
      </c>
      <c r="BX65" s="137">
        <v>0.28945062155452422</v>
      </c>
      <c r="BY65" s="137">
        <v>0.28945062155452422</v>
      </c>
      <c r="BZ65" s="137">
        <v>1</v>
      </c>
      <c r="CA65" s="137">
        <v>4.81861434694211E-2</v>
      </c>
      <c r="CB65" s="137">
        <v>0.83972110009682266</v>
      </c>
      <c r="CC65" s="258">
        <v>-1.4999999999999999E-2</v>
      </c>
      <c r="CD65" s="258">
        <v>7.4999999999999997E-3</v>
      </c>
      <c r="CE65" s="258">
        <v>1.05</v>
      </c>
      <c r="CF65" s="258">
        <v>0</v>
      </c>
      <c r="CG65" s="258">
        <v>3.3399999999999999E-2</v>
      </c>
      <c r="CH65" s="258">
        <v>9.7695671948564655</v>
      </c>
      <c r="CI65" s="258">
        <v>3.3919999999999999</v>
      </c>
      <c r="CJ65" s="258"/>
      <c r="CK65" s="258"/>
      <c r="CL65" s="258"/>
      <c r="CM65" s="258"/>
    </row>
    <row r="66" spans="1:91" x14ac:dyDescent="0.25">
      <c r="A66" s="723"/>
      <c r="B66" s="723"/>
      <c r="D66" s="31">
        <f t="shared" si="87"/>
        <v>38610</v>
      </c>
      <c r="F66" s="28">
        <f t="shared" si="52"/>
        <v>148</v>
      </c>
      <c r="G66" s="28">
        <f t="shared" si="53"/>
        <v>123.63331715382637</v>
      </c>
      <c r="H66" s="52">
        <f t="shared" si="54"/>
        <v>3.4699228791773775</v>
      </c>
      <c r="I66" s="52">
        <f t="shared" si="55"/>
        <v>4.1370000000000005</v>
      </c>
      <c r="K66" s="52">
        <f t="shared" si="56"/>
        <v>15.880460361848694</v>
      </c>
      <c r="L66" s="135">
        <f t="shared" si="57"/>
        <v>1.5724090332014384E-6</v>
      </c>
      <c r="N66" s="131">
        <f t="shared" si="48"/>
        <v>0.28922221332025494</v>
      </c>
      <c r="O66" s="131">
        <f t="shared" si="49"/>
        <v>0.28922221332025494</v>
      </c>
      <c r="P66" s="55">
        <f t="shared" si="50"/>
        <v>0.99999999999999989</v>
      </c>
      <c r="Q66" s="135">
        <f>_xll.xSPRDOPT(I66,H66,AQ66,0,O66,N66,P66,D66-$G$5,1,0)*AH66*AU66</f>
        <v>15.880461934257728</v>
      </c>
      <c r="R66" s="135"/>
      <c r="S66" s="181">
        <f>_xll.xSPRDOPT(I66,H66,AQ66,AT66,O66,N66,P66,D66-$G$5,1,2)*AF66*(F66/(1-AR66))*AH66</f>
        <v>-3805.5860254929125</v>
      </c>
      <c r="T66" s="181">
        <f>_xll.xSPRDOPT(I66,H66,AQ66,AT66,O66,N66,P66,D66-$G$5,1,1)*AF66*F66*AH66</f>
        <v>3700.9324098080106</v>
      </c>
      <c r="U66" s="135"/>
      <c r="V66" s="146">
        <f t="shared" si="58"/>
        <v>9.4053210664522382</v>
      </c>
      <c r="W66" s="146"/>
      <c r="X66" s="338">
        <f t="shared" si="59"/>
        <v>0</v>
      </c>
      <c r="Y66" s="338">
        <f t="shared" si="60"/>
        <v>0</v>
      </c>
      <c r="Z66" s="338">
        <f t="shared" si="61"/>
        <v>0.92683213531741349</v>
      </c>
      <c r="AA66" s="338">
        <f t="shared" si="62"/>
        <v>-3.3730008612545794E-9</v>
      </c>
      <c r="AB66" s="338">
        <f t="shared" si="63"/>
        <v>0</v>
      </c>
      <c r="AC66" s="338">
        <f t="shared" si="64"/>
        <v>0.93805068032577876</v>
      </c>
      <c r="AF66" s="138">
        <f t="shared" si="65"/>
        <v>1</v>
      </c>
      <c r="AG66" s="138">
        <f t="shared" si="66"/>
        <v>9</v>
      </c>
      <c r="AH66" s="138">
        <f t="shared" si="67"/>
        <v>30</v>
      </c>
      <c r="AI66" s="138">
        <f t="shared" si="88"/>
        <v>1354</v>
      </c>
      <c r="AJ66" s="138">
        <f t="shared" si="68"/>
        <v>1371</v>
      </c>
      <c r="AL66" s="136">
        <f t="shared" si="69"/>
        <v>3.387</v>
      </c>
      <c r="AM66" s="258">
        <f t="shared" si="70"/>
        <v>-0.02</v>
      </c>
      <c r="AN66" s="258">
        <f t="shared" si="71"/>
        <v>7.4999999999999997E-3</v>
      </c>
      <c r="AO66" s="258">
        <f t="shared" si="72"/>
        <v>0.75</v>
      </c>
      <c r="AP66" s="258">
        <f t="shared" si="73"/>
        <v>0</v>
      </c>
      <c r="AQ66" s="136">
        <f t="shared" si="74"/>
        <v>3.3399999999999999E-2</v>
      </c>
      <c r="AR66" s="137">
        <f t="shared" si="75"/>
        <v>2.75E-2</v>
      </c>
      <c r="AS66" s="136">
        <f t="shared" si="76"/>
        <v>3.3744999999999998</v>
      </c>
      <c r="AT66" s="137">
        <f t="shared" si="77"/>
        <v>4.8611805940590898E-2</v>
      </c>
      <c r="AU66" s="137">
        <f t="shared" si="78"/>
        <v>0.8353602510393674</v>
      </c>
      <c r="AV66" s="394">
        <f t="shared" si="79"/>
        <v>100.24323012472409</v>
      </c>
      <c r="AW66" s="137">
        <f t="shared" si="80"/>
        <v>0.28499999999999998</v>
      </c>
      <c r="AX66" s="137">
        <f t="shared" si="81"/>
        <v>0.55000000000000004</v>
      </c>
      <c r="AY66" s="137">
        <f t="shared" si="82"/>
        <v>0.55000000000000004</v>
      </c>
      <c r="AZ66" s="137"/>
      <c r="BA66" s="264"/>
      <c r="BB66" s="258">
        <f t="shared" si="83"/>
        <v>0</v>
      </c>
      <c r="BC66" s="258">
        <f t="shared" si="84"/>
        <v>0</v>
      </c>
      <c r="BD66" s="137">
        <f t="shared" si="85"/>
        <v>9.1650015730526668E-6</v>
      </c>
      <c r="BE66" s="137">
        <f t="shared" si="86"/>
        <v>9.1650015730526668E-6</v>
      </c>
      <c r="BF66" s="137">
        <f>_xll.xSPRDOPT($BW66,$BV66,$CG66,0,$BY66,$BX66,$BZ66,$AJ66,1,4)*$CB66</f>
        <v>-5.972605462310922E-7</v>
      </c>
      <c r="BG66" s="137">
        <f>_xll.xSPRDOPT($BW66,$BV66,$CG66,0,$BY66,$BX66,$BZ66,$AJ66,1,3)*$CB66</f>
        <v>1.9908684874369738E-7</v>
      </c>
      <c r="BH66" s="137">
        <f>IF(OR(BF66&lt;&gt;0,BG66&lt;&gt;0),_xll.xSPRDOPT($BW66,$BV66,$CG66,0,$BY66,$BX66,$BZ66,$AJ66,1,12)*$CB66,0)</f>
        <v>1.9908684874369738E-7</v>
      </c>
      <c r="BI66" s="137">
        <f>_xll.xSPRDOPT($BW66,$BV66,$CG66,2*LN(1+CA66/2),$BY66,$BX66,$BZ66,$AJ66,1,9)</f>
        <v>2.5414822629480874E-2</v>
      </c>
      <c r="BJ66" s="137">
        <f>_xll.xSPRDOPT($BW66,$BV66,$CG66,0,$BY66,$BX66,$BZ66,$AJ66,1,6)*$CB66</f>
        <v>4.3109090771827E-7</v>
      </c>
      <c r="BK66" s="137">
        <f>_xll.xSPRDOPT($BW66,$BV66,$CG66,0,$BY66,$BX66,$BZ66,$AJ66,1,5)*$CB66</f>
        <v>-5.1398067839704423E-7</v>
      </c>
      <c r="BL66" s="137">
        <f>_xll.xSPRDOPT(BW66,BV66,CG66,0,BY66,BX66,BZ66,AJ66,1,2)*CB66</f>
        <v>-0.8350308443603448</v>
      </c>
      <c r="BM66" s="137">
        <f>_xll.xSPRDOPT(BW66,BV66,CG66,0,BY66,BX66,BZ66,AJ66,1,1)*CB66</f>
        <v>0.83503084436338271</v>
      </c>
      <c r="BN66" s="137">
        <f>IF(AH66&lt;&gt;0,_xll.xSPRDOPT($BW66,$BV66,$CG66,2*LN(1+CA66/2),$BY66,$BX66,$BZ66,$AJ66,1,8)+(AJ66/365.25)*CH66/AH66,0)</f>
        <v>-0.80984865835326558</v>
      </c>
      <c r="BO66" s="137">
        <f>_xll.xSPRDOPT($BW66,$BV66,$CG66,0,$BY66,$BX66,$BZ66,$AJ66,1,0)</f>
        <v>0.63367718353590496</v>
      </c>
      <c r="BP66" s="137"/>
      <c r="BQ66" s="137"/>
      <c r="BR66" s="137"/>
      <c r="BS66" s="137"/>
      <c r="BV66" s="262">
        <v>3.4699228791773775</v>
      </c>
      <c r="BW66" s="136">
        <v>4.1370000000000005</v>
      </c>
      <c r="BX66" s="137">
        <v>0.28921304831868189</v>
      </c>
      <c r="BY66" s="137">
        <v>0.28921304831868189</v>
      </c>
      <c r="BZ66" s="137">
        <v>1</v>
      </c>
      <c r="CA66" s="137">
        <v>4.8611805940590898E-2</v>
      </c>
      <c r="CB66" s="137">
        <v>0.8350307660330849</v>
      </c>
      <c r="CC66" s="258">
        <v>-0.02</v>
      </c>
      <c r="CD66" s="258">
        <v>7.4999999999999997E-3</v>
      </c>
      <c r="CE66" s="258">
        <v>0.75</v>
      </c>
      <c r="CF66" s="258">
        <v>0</v>
      </c>
      <c r="CG66" s="258">
        <v>3.3399999999999999E-2</v>
      </c>
      <c r="CH66" s="258">
        <v>9.401611394766503</v>
      </c>
      <c r="CI66" s="258">
        <v>3.387</v>
      </c>
      <c r="CJ66" s="258"/>
      <c r="CK66" s="258"/>
      <c r="CL66" s="258"/>
      <c r="CM66" s="258"/>
    </row>
    <row r="67" spans="1:91" x14ac:dyDescent="0.25">
      <c r="A67" s="723"/>
      <c r="B67" s="723"/>
      <c r="D67" s="31">
        <f t="shared" si="87"/>
        <v>38640</v>
      </c>
      <c r="F67" s="28">
        <f t="shared" si="52"/>
        <v>230</v>
      </c>
      <c r="G67" s="28">
        <f t="shared" si="53"/>
        <v>191.09247672095182</v>
      </c>
      <c r="H67" s="52">
        <f t="shared" si="54"/>
        <v>3.4956298200514135</v>
      </c>
      <c r="I67" s="52">
        <f t="shared" si="55"/>
        <v>3.8620000000000001</v>
      </c>
      <c r="K67" s="52">
        <f t="shared" si="56"/>
        <v>8.5759608138195187</v>
      </c>
      <c r="L67" s="135">
        <f t="shared" si="57"/>
        <v>5.1991579770316321E-6</v>
      </c>
      <c r="N67" s="131">
        <f t="shared" si="48"/>
        <v>0.29036621737544821</v>
      </c>
      <c r="O67" s="131">
        <f t="shared" si="49"/>
        <v>0.29036621737544821</v>
      </c>
      <c r="P67" s="55">
        <f t="shared" si="50"/>
        <v>0.99999999999999989</v>
      </c>
      <c r="Q67" s="135">
        <f>_xll.xSPRDOPT(I67,H67,AQ67,0,O67,N67,P67,D67-$G$5,1,0)*AH67*AU67</f>
        <v>8.5759660129774957</v>
      </c>
      <c r="R67" s="135"/>
      <c r="S67" s="181">
        <f>_xll.xSPRDOPT(I67,H67,AQ67,AT67,O67,N67,P67,D67-$G$5,1,2)*AF67*(F67/(1-AR67))*AH67</f>
        <v>-6077.6004372909774</v>
      </c>
      <c r="T67" s="181">
        <f>_xll.xSPRDOPT(I67,H67,AQ67,AT67,O67,N67,P67,D67-$G$5,1,1)*AF67*F67*AH67</f>
        <v>5910.466425213599</v>
      </c>
      <c r="U67" s="135"/>
      <c r="V67" s="146">
        <f t="shared" si="58"/>
        <v>9.6662052257155224</v>
      </c>
      <c r="W67" s="146"/>
      <c r="X67" s="338">
        <f t="shared" si="59"/>
        <v>0</v>
      </c>
      <c r="Y67" s="338">
        <f t="shared" si="60"/>
        <v>0</v>
      </c>
      <c r="Z67" s="338">
        <f t="shared" si="61"/>
        <v>0.78409293740734498</v>
      </c>
      <c r="AA67" s="338">
        <f t="shared" si="62"/>
        <v>7.45850798972686E-7</v>
      </c>
      <c r="AB67" s="338">
        <f t="shared" si="63"/>
        <v>0</v>
      </c>
      <c r="AC67" s="338">
        <f t="shared" si="64"/>
        <v>0.79368174417430715</v>
      </c>
      <c r="AF67" s="138">
        <f t="shared" si="65"/>
        <v>1</v>
      </c>
      <c r="AG67" s="138">
        <f t="shared" si="66"/>
        <v>10</v>
      </c>
      <c r="AH67" s="138">
        <f t="shared" si="67"/>
        <v>31</v>
      </c>
      <c r="AI67" s="138">
        <f t="shared" si="88"/>
        <v>1384</v>
      </c>
      <c r="AJ67" s="138">
        <f t="shared" si="68"/>
        <v>1401</v>
      </c>
      <c r="AL67" s="136">
        <f t="shared" si="69"/>
        <v>3.4119999999999999</v>
      </c>
      <c r="AM67" s="258">
        <f t="shared" si="70"/>
        <v>-0.02</v>
      </c>
      <c r="AN67" s="258">
        <f t="shared" si="71"/>
        <v>7.4999999999999997E-3</v>
      </c>
      <c r="AO67" s="258">
        <f t="shared" si="72"/>
        <v>0.45</v>
      </c>
      <c r="AP67" s="258">
        <f t="shared" si="73"/>
        <v>0</v>
      </c>
      <c r="AQ67" s="136">
        <f t="shared" si="74"/>
        <v>3.3399999999999999E-2</v>
      </c>
      <c r="AR67" s="137">
        <f t="shared" si="75"/>
        <v>2.75E-2</v>
      </c>
      <c r="AS67" s="136">
        <f t="shared" si="76"/>
        <v>3.3994999999999997</v>
      </c>
      <c r="AT67" s="137">
        <f t="shared" si="77"/>
        <v>4.9009151354921801E-2</v>
      </c>
      <c r="AU67" s="137">
        <f t="shared" si="78"/>
        <v>0.83083685530848617</v>
      </c>
      <c r="AV67" s="394">
        <f t="shared" si="79"/>
        <v>180.2915976019415</v>
      </c>
      <c r="AW67" s="137">
        <f t="shared" si="80"/>
        <v>0.28499999999999998</v>
      </c>
      <c r="AX67" s="137">
        <f t="shared" si="81"/>
        <v>0.6</v>
      </c>
      <c r="AY67" s="137">
        <f t="shared" si="82"/>
        <v>0.6</v>
      </c>
      <c r="AZ67" s="137"/>
      <c r="BA67" s="264"/>
      <c r="BB67" s="258">
        <f t="shared" si="83"/>
        <v>0</v>
      </c>
      <c r="BC67" s="258">
        <f t="shared" si="84"/>
        <v>0</v>
      </c>
      <c r="BD67" s="137">
        <f t="shared" si="85"/>
        <v>1.1372695913058894E-5</v>
      </c>
      <c r="BE67" s="137">
        <f t="shared" si="86"/>
        <v>1.1372695913058894E-5</v>
      </c>
      <c r="BF67" s="137">
        <f>_xll.xSPRDOPT($BW67,$BV67,$CG67,0,$BY67,$BX67,$BZ67,$AJ67,1,4)*$CB67</f>
        <v>-5.9402454510759843E-7</v>
      </c>
      <c r="BG67" s="137">
        <f>_xll.xSPRDOPT($BW67,$BV67,$CG67,0,$BY67,$BX67,$BZ67,$AJ67,1,3)*$CB67</f>
        <v>9.9004090851026281E-7</v>
      </c>
      <c r="BH67" s="137">
        <f>IF(OR(BF67&lt;&gt;0,BG67&lt;&gt;0),_xll.xSPRDOPT($BW67,$BV67,$CG67,0,$BY67,$BX67,$BZ67,$AJ67,1,12)*$CB67,0)</f>
        <v>-2.475102271275657E-7</v>
      </c>
      <c r="BI67" s="137">
        <f>_xll.xSPRDOPT($BW67,$BV67,$CG67,2*LN(1+CA67/2),$BY67,$BX67,$BZ67,$AJ67,1,9)</f>
        <v>1.3388964253764969E-2</v>
      </c>
      <c r="BJ67" s="137">
        <f>_xll.xSPRDOPT($BW67,$BV67,$CG67,0,$BY67,$BX67,$BZ67,$AJ67,1,6)*$CB67</f>
        <v>-8.7761627183352822E-5</v>
      </c>
      <c r="BK67" s="137">
        <f>_xll.xSPRDOPT($BW67,$BV67,$CG67,0,$BY67,$BX67,$BZ67,$AJ67,1,5)*$CB67</f>
        <v>9.6959745728437E-5</v>
      </c>
      <c r="BL67" s="137">
        <f>_xll.xSPRDOPT(BW67,BV67,CG67,0,BY67,BX67,BZ67,AJ67,1,2)*CB67</f>
        <v>-0.83050385582034314</v>
      </c>
      <c r="BM67" s="137">
        <f>_xll.xSPRDOPT(BW67,BV67,CG67,0,BY67,BX67,BZ67,AJ67,1,1)*CB67</f>
        <v>0.83050385580901298</v>
      </c>
      <c r="BN67" s="137">
        <f>IF(AH67&lt;&gt;0,_xll.xSPRDOPT($BW67,$BV67,$CG67,2*LN(1+CA67/2),$BY67,$BX67,$BZ67,$AJ67,1,8)+(AJ67/365.25)*CH67/AH67,0)</f>
        <v>0.1348451305425129</v>
      </c>
      <c r="BO67" s="137">
        <f>_xll.xSPRDOPT($BW67,$BV67,$CG67,0,$BY67,$BX67,$BZ67,$AJ67,1,0)</f>
        <v>0.33297038513453203</v>
      </c>
      <c r="BP67" s="137"/>
      <c r="BQ67" s="137"/>
      <c r="BR67" s="137"/>
      <c r="BS67" s="137"/>
      <c r="BV67" s="262">
        <v>3.4956298200514135</v>
      </c>
      <c r="BW67" s="136">
        <v>3.8620000000000001</v>
      </c>
      <c r="BX67" s="137">
        <v>0.29035484467953515</v>
      </c>
      <c r="BY67" s="137">
        <v>0.29035484467953515</v>
      </c>
      <c r="BZ67" s="137">
        <v>1</v>
      </c>
      <c r="CA67" s="137">
        <v>4.9009151354921801E-2</v>
      </c>
      <c r="CB67" s="137">
        <v>0.83050650854564589</v>
      </c>
      <c r="CC67" s="258">
        <v>-0.02</v>
      </c>
      <c r="CD67" s="258">
        <v>7.4999999999999997E-3</v>
      </c>
      <c r="CE67" s="258">
        <v>0.45</v>
      </c>
      <c r="CF67" s="258">
        <v>0</v>
      </c>
      <c r="CG67" s="258">
        <v>3.3399999999999999E-2</v>
      </c>
      <c r="CH67" s="258">
        <v>9.6623618723726086</v>
      </c>
      <c r="CI67" s="258">
        <v>3.4119999999999999</v>
      </c>
      <c r="CJ67" s="258"/>
      <c r="CK67" s="258"/>
      <c r="CL67" s="258"/>
      <c r="CM67" s="258"/>
    </row>
    <row r="68" spans="1:91" x14ac:dyDescent="0.25">
      <c r="A68" s="723"/>
      <c r="B68" s="723"/>
      <c r="D68" s="31">
        <f t="shared" si="87"/>
        <v>38671</v>
      </c>
      <c r="F68" s="28">
        <f t="shared" si="52"/>
        <v>230</v>
      </c>
      <c r="G68" s="28">
        <f t="shared" si="53"/>
        <v>190.03078746691705</v>
      </c>
      <c r="H68" s="52">
        <f t="shared" si="54"/>
        <v>3.6493573264781487</v>
      </c>
      <c r="I68" s="52">
        <f t="shared" si="55"/>
        <v>4.0140000000000002</v>
      </c>
      <c r="K68" s="52">
        <f t="shared" si="56"/>
        <v>8.2103877511310035</v>
      </c>
      <c r="L68" s="135">
        <f t="shared" si="57"/>
        <v>7.3878122037740468E-6</v>
      </c>
      <c r="N68" s="131">
        <f t="shared" si="48"/>
        <v>0.29510383973065518</v>
      </c>
      <c r="O68" s="131">
        <f t="shared" si="49"/>
        <v>0.29510383973065518</v>
      </c>
      <c r="P68" s="55">
        <f t="shared" si="50"/>
        <v>0.99999999999999989</v>
      </c>
      <c r="Q68" s="135">
        <f>_xll.xSPRDOPT(I68,H68,AQ68,0,O68,N68,P68,D68-$G$5,1,0)*AH68*AU68</f>
        <v>8.2103951389432073</v>
      </c>
      <c r="R68" s="135"/>
      <c r="S68" s="181">
        <f>_xll.xSPRDOPT(I68,H68,AQ68,AT68,O68,N68,P68,D68-$G$5,1,2)*AF68*(F68/(1-AR68))*AH68</f>
        <v>-5848.3329474319253</v>
      </c>
      <c r="T68" s="181">
        <f>_xll.xSPRDOPT(I68,H68,AQ68,AT68,O68,N68,P68,D68-$G$5,1,1)*AF68*F68*AH68</f>
        <v>5687.5037913587212</v>
      </c>
      <c r="U68" s="135"/>
      <c r="V68" s="146">
        <f t="shared" si="58"/>
        <v>9.3024201569131257</v>
      </c>
      <c r="W68" s="146"/>
      <c r="X68" s="338">
        <f t="shared" si="59"/>
        <v>0</v>
      </c>
      <c r="Y68" s="338">
        <f t="shared" si="60"/>
        <v>0</v>
      </c>
      <c r="Z68" s="338">
        <f t="shared" si="61"/>
        <v>0.75642695899526602</v>
      </c>
      <c r="AA68" s="338">
        <f t="shared" si="62"/>
        <v>3.5581608752237147E-6</v>
      </c>
      <c r="AB68" s="338">
        <f t="shared" si="63"/>
        <v>0</v>
      </c>
      <c r="AC68" s="338">
        <f t="shared" si="64"/>
        <v>0.7657828936041674</v>
      </c>
      <c r="AF68" s="138">
        <f t="shared" si="65"/>
        <v>1</v>
      </c>
      <c r="AG68" s="138">
        <f t="shared" si="66"/>
        <v>11</v>
      </c>
      <c r="AH68" s="138">
        <f t="shared" si="67"/>
        <v>30</v>
      </c>
      <c r="AI68" s="138">
        <f t="shared" si="88"/>
        <v>1415</v>
      </c>
      <c r="AJ68" s="138">
        <f t="shared" si="68"/>
        <v>1432</v>
      </c>
      <c r="AL68" s="136">
        <f t="shared" si="69"/>
        <v>3.5640000000000001</v>
      </c>
      <c r="AM68" s="258">
        <f t="shared" si="70"/>
        <v>-1.7500000000000002E-2</v>
      </c>
      <c r="AN68" s="258">
        <f t="shared" si="71"/>
        <v>2.5000000000000001E-3</v>
      </c>
      <c r="AO68" s="258">
        <f t="shared" si="72"/>
        <v>0.45</v>
      </c>
      <c r="AP68" s="258">
        <f t="shared" si="73"/>
        <v>0</v>
      </c>
      <c r="AQ68" s="136">
        <f t="shared" si="74"/>
        <v>3.3399999999999999E-2</v>
      </c>
      <c r="AR68" s="137">
        <f t="shared" si="75"/>
        <v>2.75E-2</v>
      </c>
      <c r="AS68" s="136">
        <f t="shared" si="76"/>
        <v>3.5489999999999999</v>
      </c>
      <c r="AT68" s="137">
        <f t="shared" si="77"/>
        <v>4.9392017987160801E-2</v>
      </c>
      <c r="AU68" s="137">
        <f t="shared" si="78"/>
        <v>0.82622081507355238</v>
      </c>
      <c r="AV68" s="394">
        <f t="shared" si="79"/>
        <v>173.50637116544601</v>
      </c>
      <c r="AW68" s="137">
        <f t="shared" si="80"/>
        <v>0.28499999999999998</v>
      </c>
      <c r="AX68" s="137">
        <f t="shared" si="81"/>
        <v>0.8</v>
      </c>
      <c r="AY68" s="137">
        <f t="shared" si="82"/>
        <v>0.8</v>
      </c>
      <c r="AZ68" s="137"/>
      <c r="BA68" s="264"/>
      <c r="BB68" s="258">
        <f t="shared" si="83"/>
        <v>0</v>
      </c>
      <c r="BC68" s="258">
        <f t="shared" si="84"/>
        <v>0</v>
      </c>
      <c r="BD68" s="137">
        <f t="shared" si="85"/>
        <v>2.0791110959539338E-5</v>
      </c>
      <c r="BE68" s="137">
        <f t="shared" si="86"/>
        <v>2.0791110959539338E-5</v>
      </c>
      <c r="BF68" s="137">
        <f>_xll.xSPRDOPT($BW68,$BV68,$CG68,0,$BY68,$BX68,$BZ68,$AJ68,1,4)*$CB68</f>
        <v>-5.9072239556089552E-7</v>
      </c>
      <c r="BG68" s="137">
        <f>_xll.xSPRDOPT($BW68,$BV68,$CG68,0,$BY68,$BX68,$BZ68,$AJ68,1,3)*$CB68</f>
        <v>2.9536119778044776E-7</v>
      </c>
      <c r="BH68" s="137">
        <f>IF(OR(BF68&lt;&gt;0,BG68&lt;&gt;0),_xll.xSPRDOPT($BW68,$BV68,$CG68,0,$BY68,$BX68,$BZ68,$AJ68,1,12)*$CB68,0)</f>
        <v>-2.4613433148370646E-7</v>
      </c>
      <c r="BI68" s="137">
        <f>_xll.xSPRDOPT($BW68,$BV68,$CG68,2*LN(1+CA68/2),$BY68,$BX68,$BZ68,$AJ68,1,9)</f>
        <v>1.3347098877923716E-2</v>
      </c>
      <c r="BJ68" s="137">
        <f>_xll.xSPRDOPT($BW68,$BV68,$CG68,0,$BY68,$BX68,$BZ68,$AJ68,1,6)*$CB68</f>
        <v>-2.4822629695248435E-4</v>
      </c>
      <c r="BK68" s="137">
        <f>_xll.xSPRDOPT($BW68,$BV68,$CG68,0,$BY68,$BX68,$BZ68,$AJ68,1,5)*$CB68</f>
        <v>2.7302898739872314E-4</v>
      </c>
      <c r="BL68" s="137">
        <f>_xll.xSPRDOPT(BW68,BV68,CG68,0,BY68,BX68,BZ68,AJ68,1,2)*CB68</f>
        <v>-0.82588220359572007</v>
      </c>
      <c r="BM68" s="137">
        <f>_xll.xSPRDOPT(BW68,BV68,CG68,0,BY68,BX68,BZ68,AJ68,1,1)*CB68</f>
        <v>0.82588220359496889</v>
      </c>
      <c r="BN68" s="137">
        <f>IF(AH68&lt;&gt;0,_xll.xSPRDOPT($BW68,$BV68,$CG68,2*LN(1+CA68/2),$BY68,$BX68,$BZ68,$AJ68,1,8)+(AJ68/365.25)*CH68/AH68,0)</f>
        <v>0.14265598449753614</v>
      </c>
      <c r="BO68" s="137">
        <f>_xll.xSPRDOPT($BW68,$BV68,$CG68,0,$BY68,$BX68,$BZ68,$AJ68,1,0)</f>
        <v>0.33124298025265342</v>
      </c>
      <c r="BP68" s="137"/>
      <c r="BQ68" s="137"/>
      <c r="BR68" s="137"/>
      <c r="BS68" s="137"/>
      <c r="BV68" s="262">
        <v>3.6493573264781487</v>
      </c>
      <c r="BW68" s="136">
        <v>4.0140000000000002</v>
      </c>
      <c r="BX68" s="137">
        <v>0.29508304861969564</v>
      </c>
      <c r="BY68" s="137">
        <v>0.29508304861969564</v>
      </c>
      <c r="BZ68" s="137">
        <v>1</v>
      </c>
      <c r="CA68" s="137">
        <v>4.9392017987160801E-2</v>
      </c>
      <c r="CB68" s="137">
        <v>0.82588976886354881</v>
      </c>
      <c r="CC68" s="258">
        <v>-1.7500000000000002E-2</v>
      </c>
      <c r="CD68" s="258">
        <v>2.5000000000000001E-3</v>
      </c>
      <c r="CE68" s="258">
        <v>0.45</v>
      </c>
      <c r="CF68" s="258">
        <v>0</v>
      </c>
      <c r="CG68" s="258">
        <v>3.3399999999999999E-2</v>
      </c>
      <c r="CH68" s="258">
        <v>9.2986929076346971</v>
      </c>
      <c r="CI68" s="258">
        <v>3.5640000000000001</v>
      </c>
      <c r="CJ68" s="258"/>
      <c r="CK68" s="258"/>
      <c r="CL68" s="258"/>
      <c r="CM68" s="258"/>
    </row>
    <row r="69" spans="1:91" x14ac:dyDescent="0.25">
      <c r="A69" s="723"/>
      <c r="B69" s="723"/>
      <c r="D69" s="31">
        <f t="shared" si="87"/>
        <v>38701</v>
      </c>
      <c r="F69" s="28">
        <f t="shared" si="52"/>
        <v>230</v>
      </c>
      <c r="G69" s="28">
        <f t="shared" si="53"/>
        <v>188.99759839256214</v>
      </c>
      <c r="H69" s="52">
        <f t="shared" si="54"/>
        <v>3.7964010282776344</v>
      </c>
      <c r="I69" s="52">
        <f t="shared" si="55"/>
        <v>4.1070000000000002</v>
      </c>
      <c r="K69" s="52">
        <f t="shared" si="56"/>
        <v>7.0612527734993975</v>
      </c>
      <c r="L69" s="135">
        <f t="shared" si="57"/>
        <v>3.99233261969556E-5</v>
      </c>
      <c r="N69" s="131">
        <f t="shared" si="48"/>
        <v>0.30162191373118435</v>
      </c>
      <c r="O69" s="131">
        <f t="shared" si="49"/>
        <v>0.30162191373118435</v>
      </c>
      <c r="P69" s="55">
        <f t="shared" si="50"/>
        <v>1</v>
      </c>
      <c r="Q69" s="135">
        <f>_xll.xSPRDOPT(I69,H69,AQ69,0,O69,N69,P69,D69-$G$5,1,0)*AH69*AU69</f>
        <v>7.0612926968255945</v>
      </c>
      <c r="R69" s="135"/>
      <c r="S69" s="181">
        <f>_xll.xSPRDOPT(I69,H69,AQ69,AT69,O69,N69,P69,D69-$G$5,1,2)*AF69*(F69/(1-AR69))*AH69</f>
        <v>-6009.8177668654926</v>
      </c>
      <c r="T69" s="181">
        <f>_xll.xSPRDOPT(I69,H69,AQ69,AT69,O69,N69,P69,D69-$G$5,1,1)*AF69*F69*AH69</f>
        <v>5844.5477782280568</v>
      </c>
      <c r="U69" s="135"/>
      <c r="V69" s="146">
        <f t="shared" si="58"/>
        <v>9.5602380825155908</v>
      </c>
      <c r="W69" s="146"/>
      <c r="X69" s="338">
        <f t="shared" si="59"/>
        <v>0</v>
      </c>
      <c r="Y69" s="338">
        <f t="shared" si="60"/>
        <v>0</v>
      </c>
      <c r="Z69" s="338">
        <f t="shared" si="61"/>
        <v>0.65530648428393035</v>
      </c>
      <c r="AA69" s="338">
        <f t="shared" si="62"/>
        <v>1.26189628639862E-5</v>
      </c>
      <c r="AB69" s="338">
        <f t="shared" si="63"/>
        <v>0</v>
      </c>
      <c r="AC69" s="338">
        <f t="shared" si="64"/>
        <v>0.6635448165687351</v>
      </c>
      <c r="AF69" s="138">
        <f t="shared" si="65"/>
        <v>1</v>
      </c>
      <c r="AG69" s="138">
        <f t="shared" si="66"/>
        <v>12</v>
      </c>
      <c r="AH69" s="138">
        <f t="shared" si="67"/>
        <v>31</v>
      </c>
      <c r="AI69" s="138">
        <f t="shared" si="88"/>
        <v>1445</v>
      </c>
      <c r="AJ69" s="138">
        <f t="shared" si="68"/>
        <v>1462</v>
      </c>
      <c r="AL69" s="136">
        <f t="shared" si="69"/>
        <v>3.7069999999999999</v>
      </c>
      <c r="AM69" s="258">
        <f t="shared" si="70"/>
        <v>-1.7500000000000002E-2</v>
      </c>
      <c r="AN69" s="258">
        <f t="shared" si="71"/>
        <v>2.5000000000000001E-3</v>
      </c>
      <c r="AO69" s="258">
        <f t="shared" si="72"/>
        <v>0.4</v>
      </c>
      <c r="AP69" s="258">
        <f t="shared" si="73"/>
        <v>0</v>
      </c>
      <c r="AQ69" s="136">
        <f t="shared" si="74"/>
        <v>3.3399999999999999E-2</v>
      </c>
      <c r="AR69" s="137">
        <f t="shared" si="75"/>
        <v>2.75E-2</v>
      </c>
      <c r="AS69" s="136">
        <f t="shared" si="76"/>
        <v>3.6919999999999997</v>
      </c>
      <c r="AT69" s="137">
        <f t="shared" si="77"/>
        <v>4.97625341294907E-2</v>
      </c>
      <c r="AU69" s="137">
        <f t="shared" si="78"/>
        <v>0.82172868866331361</v>
      </c>
      <c r="AV69" s="394">
        <f t="shared" si="79"/>
        <v>178.31512543993907</v>
      </c>
      <c r="AW69" s="137">
        <f t="shared" si="80"/>
        <v>0.28499999999999998</v>
      </c>
      <c r="AX69" s="137">
        <f t="shared" si="81"/>
        <v>1</v>
      </c>
      <c r="AY69" s="137">
        <f t="shared" si="82"/>
        <v>1</v>
      </c>
      <c r="AZ69" s="137"/>
      <c r="BA69" s="264"/>
      <c r="BB69" s="258">
        <f t="shared" si="83"/>
        <v>0</v>
      </c>
      <c r="BC69" s="258">
        <f t="shared" si="84"/>
        <v>0</v>
      </c>
      <c r="BD69" s="137">
        <f t="shared" si="85"/>
        <v>3.3135902504588532E-5</v>
      </c>
      <c r="BE69" s="137">
        <f t="shared" si="86"/>
        <v>3.3135902504588532E-5</v>
      </c>
      <c r="BF69" s="137">
        <f>_xll.xSPRDOPT($BW69,$BV69,$CG69,0,$BY69,$BX69,$BZ69,$AJ69,1,4)*$CB69</f>
        <v>9.791815317627378E-8</v>
      </c>
      <c r="BG69" s="137">
        <f>_xll.xSPRDOPT($BW69,$BV69,$CG69,0,$BY69,$BX69,$BZ69,$AJ69,1,3)*$CB69</f>
        <v>0</v>
      </c>
      <c r="BH69" s="137">
        <f>IF(OR(BF69&lt;&gt;0,BG69&lt;&gt;0),_xll.xSPRDOPT($BW69,$BV69,$CG69,0,$BY69,$BX69,$BZ69,$AJ69,1,12)*$CB69,0)</f>
        <v>-4.895907658813689E-8</v>
      </c>
      <c r="BI69" s="137">
        <f>_xll.xSPRDOPT($BW69,$BV69,$CG69,2*LN(1+CA69/2),$BY69,$BX69,$BZ69,$AJ69,1,9)</f>
        <v>1.1189840737947897E-2</v>
      </c>
      <c r="BJ69" s="137">
        <f>_xll.xSPRDOPT($BW69,$BV69,$CG69,0,$BY69,$BX69,$BZ69,$AJ69,1,6)*$CB69</f>
        <v>-6.5284097672271325E-4</v>
      </c>
      <c r="BK69" s="137">
        <f>_xll.xSPRDOPT($BW69,$BV69,$CG69,0,$BY69,$BX69,$BZ69,$AJ69,1,5)*$CB69</f>
        <v>7.0625254484396713E-4</v>
      </c>
      <c r="BL69" s="137">
        <f>_xll.xSPRDOPT(BW69,BV69,CG69,0,BY69,BX69,BZ69,AJ69,1,2)*CB69</f>
        <v>-0.82137704189657734</v>
      </c>
      <c r="BM69" s="137">
        <f>_xll.xSPRDOPT(BW69,BV69,CG69,0,BY69,BX69,BZ69,AJ69,1,1)*CB69</f>
        <v>0.82137704188985383</v>
      </c>
      <c r="BN69" s="137">
        <f>IF(AH69&lt;&gt;0,_xll.xSPRDOPT($BW69,$BV69,$CG69,2*LN(1+CA69/2),$BY69,$BX69,$BZ69,$AJ69,1,8)+(AJ69/365.25)*CH69/AH69,0)</f>
        <v>0.32253496620296562</v>
      </c>
      <c r="BO69" s="137">
        <f>_xll.xSPRDOPT($BW69,$BV69,$CG69,0,$BY69,$BX69,$BZ69,$AJ69,1,0)</f>
        <v>0.27720055696499218</v>
      </c>
      <c r="BP69" s="137"/>
      <c r="BQ69" s="137"/>
      <c r="BR69" s="137"/>
      <c r="BS69" s="137"/>
      <c r="BV69" s="262">
        <v>3.7964010282776344</v>
      </c>
      <c r="BW69" s="136">
        <v>4.1070000000000002</v>
      </c>
      <c r="BX69" s="137">
        <v>0.30158877782867977</v>
      </c>
      <c r="BY69" s="137">
        <v>0.30158877782867977</v>
      </c>
      <c r="BZ69" s="137">
        <v>1</v>
      </c>
      <c r="CA69" s="137">
        <v>4.97625341294907E-2</v>
      </c>
      <c r="CB69" s="137">
        <v>0.82139700307971564</v>
      </c>
      <c r="CC69" s="258">
        <v>-1.7500000000000002E-2</v>
      </c>
      <c r="CD69" s="258">
        <v>2.5000000000000001E-3</v>
      </c>
      <c r="CE69" s="258">
        <v>0.4</v>
      </c>
      <c r="CF69" s="258">
        <v>0</v>
      </c>
      <c r="CG69" s="258">
        <v>3.3399999999999999E-2</v>
      </c>
      <c r="CH69" s="258">
        <v>9.5563791529303366</v>
      </c>
      <c r="CI69" s="258">
        <v>3.7069999999999999</v>
      </c>
      <c r="CJ69" s="258"/>
      <c r="CK69" s="258"/>
      <c r="CL69" s="258"/>
      <c r="CM69" s="258"/>
    </row>
    <row r="70" spans="1:91" x14ac:dyDescent="0.25">
      <c r="A70" s="723"/>
      <c r="B70" s="723"/>
      <c r="D70" s="31">
        <f t="shared" si="87"/>
        <v>38732</v>
      </c>
      <c r="F70" s="28">
        <f t="shared" si="52"/>
        <v>230</v>
      </c>
      <c r="G70" s="28">
        <f t="shared" si="53"/>
        <v>187.94030255593935</v>
      </c>
      <c r="H70" s="52">
        <f t="shared" si="54"/>
        <v>3.8529562982005139</v>
      </c>
      <c r="I70" s="52">
        <f t="shared" si="55"/>
        <v>4.1120000000000001</v>
      </c>
      <c r="K70" s="52">
        <f t="shared" si="56"/>
        <v>5.715799622465938</v>
      </c>
      <c r="L70" s="135">
        <f t="shared" si="57"/>
        <v>1.3429711774737285E-4</v>
      </c>
      <c r="N70" s="131">
        <f t="shared" si="48"/>
        <v>0.30128576852292338</v>
      </c>
      <c r="O70" s="131">
        <f t="shared" si="49"/>
        <v>0.30128576852292338</v>
      </c>
      <c r="P70" s="55">
        <f t="shared" si="50"/>
        <v>0.99999999999999978</v>
      </c>
      <c r="Q70" s="135">
        <f>_xll.xSPRDOPT(I70,H70,AQ70,0,O70,N70,P70,D70-$G$5,1,0)*AH70*AU70</f>
        <v>5.7159339195836854</v>
      </c>
      <c r="R70" s="135"/>
      <c r="S70" s="181">
        <f>_xll.xSPRDOPT(I70,H70,AQ70,AT70,O70,N70,P70,D70-$G$5,1,2)*AF70*(F70/(1-AR70))*AH70</f>
        <v>-5974.822632590136</v>
      </c>
      <c r="T70" s="181">
        <f>_xll.xSPRDOPT(I70,H70,AQ70,AT70,O70,N70,P70,D70-$G$5,1,1)*AF70*F70*AH70</f>
        <v>5810.5150101517584</v>
      </c>
      <c r="U70" s="135"/>
      <c r="V70" s="146">
        <f t="shared" si="58"/>
        <v>9.5067559218546336</v>
      </c>
      <c r="W70" s="146"/>
      <c r="X70" s="338">
        <f t="shared" si="59"/>
        <v>0</v>
      </c>
      <c r="Y70" s="338">
        <f t="shared" si="60"/>
        <v>0</v>
      </c>
      <c r="Z70" s="338">
        <f t="shared" si="61"/>
        <v>0.53376188125202761</v>
      </c>
      <c r="AA70" s="338">
        <f t="shared" si="62"/>
        <v>6.2102455594517959E-5</v>
      </c>
      <c r="AB70" s="338">
        <f t="shared" si="63"/>
        <v>0</v>
      </c>
      <c r="AC70" s="338">
        <f t="shared" si="64"/>
        <v>0.54102111671364073</v>
      </c>
      <c r="AF70" s="138">
        <f t="shared" si="65"/>
        <v>1</v>
      </c>
      <c r="AG70" s="138">
        <f t="shared" si="66"/>
        <v>1</v>
      </c>
      <c r="AH70" s="138">
        <f t="shared" si="67"/>
        <v>31</v>
      </c>
      <c r="AI70" s="138">
        <f t="shared" si="88"/>
        <v>1476</v>
      </c>
      <c r="AJ70" s="138">
        <f t="shared" si="68"/>
        <v>1493</v>
      </c>
      <c r="AL70" s="136">
        <f t="shared" si="69"/>
        <v>3.762</v>
      </c>
      <c r="AM70" s="258">
        <f t="shared" si="70"/>
        <v>-1.7500000000000002E-2</v>
      </c>
      <c r="AN70" s="258">
        <f t="shared" si="71"/>
        <v>2.5000000000000001E-3</v>
      </c>
      <c r="AO70" s="258">
        <f t="shared" si="72"/>
        <v>0.35</v>
      </c>
      <c r="AP70" s="258">
        <f t="shared" si="73"/>
        <v>0</v>
      </c>
      <c r="AQ70" s="136">
        <f t="shared" si="74"/>
        <v>3.3399999999999999E-2</v>
      </c>
      <c r="AR70" s="137">
        <f t="shared" si="75"/>
        <v>2.75E-2</v>
      </c>
      <c r="AS70" s="136">
        <f t="shared" si="76"/>
        <v>3.7469999999999999</v>
      </c>
      <c r="AT70" s="137">
        <f t="shared" si="77"/>
        <v>5.0123867010087399E-2</v>
      </c>
      <c r="AU70" s="137">
        <f t="shared" si="78"/>
        <v>0.81713175024321461</v>
      </c>
      <c r="AV70" s="394">
        <f t="shared" si="79"/>
        <v>177.31758980277758</v>
      </c>
      <c r="AW70" s="137">
        <f t="shared" si="80"/>
        <v>0.28499999999999998</v>
      </c>
      <c r="AX70" s="137">
        <f t="shared" si="81"/>
        <v>1</v>
      </c>
      <c r="AY70" s="137">
        <f t="shared" si="82"/>
        <v>1</v>
      </c>
      <c r="AZ70" s="137"/>
      <c r="BA70" s="264"/>
      <c r="BB70" s="258">
        <f t="shared" si="83"/>
        <v>0</v>
      </c>
      <c r="BC70" s="258">
        <f t="shared" si="84"/>
        <v>0</v>
      </c>
      <c r="BD70" s="137">
        <f t="shared" si="85"/>
        <v>3.1809530461945901E-5</v>
      </c>
      <c r="BE70" s="137">
        <f t="shared" si="86"/>
        <v>3.1809530461945901E-5</v>
      </c>
      <c r="BF70" s="137">
        <f>_xll.xSPRDOPT($BW70,$BV70,$CG70,0,$BY70,$BX70,$BZ70,$AJ70,1,4)*$CB70</f>
        <v>-1.5579215147423217E-6</v>
      </c>
      <c r="BG70" s="137">
        <f>_xll.xSPRDOPT($BW70,$BV70,$CG70,0,$BY70,$BX70,$BZ70,$AJ70,1,3)*$CB70</f>
        <v>-6.8159066269976576E-7</v>
      </c>
      <c r="BH70" s="137">
        <f>IF(OR(BF70&lt;&gt;0,BG70&lt;&gt;0),_xll.xSPRDOPT($BW70,$BV70,$CG70,0,$BY70,$BX70,$BZ70,$AJ70,1,12)*$CB70,0)</f>
        <v>1.2171261833924389E-7</v>
      </c>
      <c r="BI70" s="137">
        <f>_xll.xSPRDOPT($BW70,$BV70,$CG70,2*LN(1+CA70/2),$BY70,$BX70,$BZ70,$AJ70,1,9)</f>
        <v>9.1143771448014554E-3</v>
      </c>
      <c r="BJ70" s="137">
        <f>_xll.xSPRDOPT($BW70,$BV70,$CG70,0,$BY70,$BX70,$BZ70,$AJ70,1,6)*$CB70</f>
        <v>-4.0727057631489653E-3</v>
      </c>
      <c r="BK70" s="137">
        <f>_xll.xSPRDOPT($BW70,$BV70,$CG70,0,$BY70,$BX70,$BZ70,$AJ70,1,5)*$CB70</f>
        <v>4.3465237571911263E-3</v>
      </c>
      <c r="BL70" s="137">
        <f>_xll.xSPRDOPT(BW70,BV70,CG70,0,BY70,BX70,BZ70,AJ70,1,2)*CB70</f>
        <v>-0.81666357922556243</v>
      </c>
      <c r="BM70" s="137">
        <f>_xll.xSPRDOPT(BW70,BV70,CG70,0,BY70,BX70,BZ70,AJ70,1,1)*CB70</f>
        <v>0.81666357922407673</v>
      </c>
      <c r="BN70" s="137">
        <f>IF(AH70&lt;&gt;0,_xll.xSPRDOPT($BW70,$BV70,$CG70,2*LN(1+CA70/2),$BY70,$BX70,$BZ70,$AJ70,1,8)+(AJ70/365.25)*CH70/AH70,0)</f>
        <v>0.49964831237700036</v>
      </c>
      <c r="BO70" s="137">
        <f>_xll.xSPRDOPT($BW70,$BV70,$CG70,0,$BY70,$BX70,$BZ70,$AJ70,1,0)</f>
        <v>0.22564909442364184</v>
      </c>
      <c r="BP70" s="137"/>
      <c r="BQ70" s="137"/>
      <c r="BR70" s="137"/>
      <c r="BS70" s="137"/>
      <c r="BV70" s="262">
        <v>3.8529562982005139</v>
      </c>
      <c r="BW70" s="136">
        <v>4.1120000000000001</v>
      </c>
      <c r="BX70" s="137">
        <v>0.30125395899246143</v>
      </c>
      <c r="BY70" s="137">
        <v>0.30125395899246143</v>
      </c>
      <c r="BZ70" s="137">
        <v>1</v>
      </c>
      <c r="CA70" s="137">
        <v>5.0123867010087399E-2</v>
      </c>
      <c r="CB70" s="137">
        <v>0.81679955512122238</v>
      </c>
      <c r="CC70" s="258">
        <v>-1.7500000000000002E-2</v>
      </c>
      <c r="CD70" s="258">
        <v>2.5000000000000001E-3</v>
      </c>
      <c r="CE70" s="258">
        <v>0.35</v>
      </c>
      <c r="CF70" s="258">
        <v>0</v>
      </c>
      <c r="CG70" s="258">
        <v>3.3399999999999999E-2</v>
      </c>
      <c r="CH70" s="258">
        <v>9.5028910641468389</v>
      </c>
      <c r="CI70" s="258">
        <v>3.762</v>
      </c>
      <c r="CJ70" s="258"/>
      <c r="CK70" s="258"/>
      <c r="CL70" s="258"/>
      <c r="CM70" s="258"/>
    </row>
    <row r="71" spans="1:91" x14ac:dyDescent="0.25">
      <c r="A71" s="723"/>
      <c r="B71" s="723"/>
      <c r="D71" s="31">
        <f t="shared" si="87"/>
        <v>38763</v>
      </c>
      <c r="F71" s="28">
        <f t="shared" si="52"/>
        <v>230</v>
      </c>
      <c r="G71" s="28">
        <f t="shared" si="53"/>
        <v>186.90750784223241</v>
      </c>
      <c r="H71" s="52">
        <f t="shared" si="54"/>
        <v>3.7655526992287918</v>
      </c>
      <c r="I71" s="52">
        <f t="shared" si="55"/>
        <v>4.0270000000000001</v>
      </c>
      <c r="K71" s="52">
        <f t="shared" si="56"/>
        <v>5.1889785843662946</v>
      </c>
      <c r="L71" s="135">
        <f t="shared" si="57"/>
        <v>9.5620605060631192E-5</v>
      </c>
      <c r="N71" s="131">
        <f t="shared" si="48"/>
        <v>0.29475895276765796</v>
      </c>
      <c r="O71" s="131">
        <f t="shared" si="49"/>
        <v>0.29475895276765796</v>
      </c>
      <c r="P71" s="55">
        <f t="shared" si="50"/>
        <v>1</v>
      </c>
      <c r="Q71" s="135">
        <f>_xll.xSPRDOPT(I71,H71,AQ71,0,O71,N71,P71,D71-$G$5,1,0)*AH71*AU71</f>
        <v>5.1890742049713552</v>
      </c>
      <c r="R71" s="135"/>
      <c r="S71" s="181">
        <f>_xll.xSPRDOPT(I71,H71,AQ71,AT71,O71,N71,P71,D71-$G$5,1,2)*AF71*(F71/(1-AR71))*AH71</f>
        <v>-5367.0373376766411</v>
      </c>
      <c r="T71" s="181">
        <f>_xll.xSPRDOPT(I71,H71,AQ71,AT71,O71,N71,P71,D71-$G$5,1,1)*AF71*F71*AH71</f>
        <v>5219.4438109110342</v>
      </c>
      <c r="U71" s="135"/>
      <c r="V71" s="146">
        <f t="shared" si="58"/>
        <v>8.539560240910065</v>
      </c>
      <c r="W71" s="146"/>
      <c r="X71" s="338">
        <f t="shared" si="59"/>
        <v>0</v>
      </c>
      <c r="Y71" s="338">
        <f t="shared" si="60"/>
        <v>0</v>
      </c>
      <c r="Z71" s="338">
        <f t="shared" si="61"/>
        <v>0.48795824430331863</v>
      </c>
      <c r="AA71" s="338">
        <f t="shared" si="62"/>
        <v>2.1419733174587502E-5</v>
      </c>
      <c r="AB71" s="338">
        <f t="shared" si="63"/>
        <v>0</v>
      </c>
      <c r="AC71" s="338">
        <f t="shared" si="64"/>
        <v>0.49430869479293182</v>
      </c>
      <c r="AF71" s="138">
        <f t="shared" si="65"/>
        <v>1</v>
      </c>
      <c r="AG71" s="138">
        <f t="shared" si="66"/>
        <v>2</v>
      </c>
      <c r="AH71" s="138">
        <f t="shared" si="67"/>
        <v>28</v>
      </c>
      <c r="AI71" s="138">
        <f t="shared" si="88"/>
        <v>1507</v>
      </c>
      <c r="AJ71" s="138">
        <f t="shared" si="68"/>
        <v>1524</v>
      </c>
      <c r="AL71" s="136">
        <f t="shared" si="69"/>
        <v>3.677</v>
      </c>
      <c r="AM71" s="258">
        <f t="shared" si="70"/>
        <v>-1.7500000000000002E-2</v>
      </c>
      <c r="AN71" s="258">
        <f t="shared" si="71"/>
        <v>2.5000000000000001E-3</v>
      </c>
      <c r="AO71" s="258">
        <f t="shared" si="72"/>
        <v>0.35</v>
      </c>
      <c r="AP71" s="258">
        <f t="shared" si="73"/>
        <v>0</v>
      </c>
      <c r="AQ71" s="136">
        <f t="shared" si="74"/>
        <v>3.3399999999999999E-2</v>
      </c>
      <c r="AR71" s="137">
        <f t="shared" si="75"/>
        <v>2.75E-2</v>
      </c>
      <c r="AS71" s="136">
        <f t="shared" si="76"/>
        <v>3.6619999999999999</v>
      </c>
      <c r="AT71" s="137">
        <f t="shared" si="77"/>
        <v>5.0446047479093502E-2</v>
      </c>
      <c r="AU71" s="137">
        <f t="shared" si="78"/>
        <v>0.81264133844448871</v>
      </c>
      <c r="AV71" s="394">
        <f t="shared" si="79"/>
        <v>159.27770233511978</v>
      </c>
      <c r="AW71" s="137">
        <f t="shared" si="80"/>
        <v>0.28000000000000003</v>
      </c>
      <c r="AX71" s="137">
        <f t="shared" si="81"/>
        <v>1</v>
      </c>
      <c r="AY71" s="137">
        <f t="shared" si="82"/>
        <v>1</v>
      </c>
      <c r="AZ71" s="137"/>
      <c r="BA71" s="264"/>
      <c r="BB71" s="258">
        <f t="shared" si="83"/>
        <v>0</v>
      </c>
      <c r="BC71" s="258">
        <f t="shared" si="84"/>
        <v>0</v>
      </c>
      <c r="BD71" s="137">
        <f t="shared" si="85"/>
        <v>2.8327056172949838E-5</v>
      </c>
      <c r="BE71" s="137">
        <f t="shared" si="86"/>
        <v>2.8327056172949838E-5</v>
      </c>
      <c r="BF71" s="137">
        <f>_xll.xSPRDOPT($BW71,$BV71,$CG71,0,$BY71,$BX71,$BZ71,$AJ71,1,4)*$CB71</f>
        <v>7.2626072644620338E-7</v>
      </c>
      <c r="BG71" s="137">
        <f>_xll.xSPRDOPT($BW71,$BV71,$CG71,0,$BY71,$BX71,$BZ71,$AJ71,1,3)*$CB71</f>
        <v>-4.8417381763080225E-8</v>
      </c>
      <c r="BH71" s="137">
        <f>IF(OR(BF71&lt;&gt;0,BG71&lt;&gt;0),_xll.xSPRDOPT($BW71,$BV71,$CG71,0,$BY71,$BX71,$BZ71,$AJ71,1,12)*$CB71,0)</f>
        <v>-2.9050429057848137E-7</v>
      </c>
      <c r="BI71" s="137">
        <f>_xll.xSPRDOPT($BW71,$BV71,$CG71,2*LN(1+CA71/2),$BY71,$BX71,$BZ71,$AJ71,1,9)</f>
        <v>9.2249869943989184E-3</v>
      </c>
      <c r="BJ71" s="137">
        <f>_xll.xSPRDOPT($BW71,$BV71,$CG71,0,$BY71,$BX71,$BZ71,$AJ71,1,6)*$CB71</f>
        <v>-1.6911078493505555E-3</v>
      </c>
      <c r="BK71" s="137">
        <f>_xll.xSPRDOPT($BW71,$BV71,$CG71,0,$BY71,$BX71,$BZ71,$AJ71,1,5)*$CB71</f>
        <v>1.8085237044855619E-3</v>
      </c>
      <c r="BL71" s="137">
        <f>_xll.xSPRDOPT(BW71,BV71,CG71,0,BY71,BX71,BZ71,AJ71,1,2)*CB71</f>
        <v>-0.81225482795929682</v>
      </c>
      <c r="BM71" s="137">
        <f>_xll.xSPRDOPT(BW71,BV71,CG71,0,BY71,BX71,BZ71,AJ71,1,1)*CB71</f>
        <v>0.81225482796299076</v>
      </c>
      <c r="BN71" s="137">
        <f>IF(AH71&lt;&gt;0,_xll.xSPRDOPT($BW71,$BV71,$CG71,2*LN(1+CA71/2),$BY71,$BX71,$BZ71,$AJ71,1,8)+(AJ71/365.25)*CH71/AH71,0)</f>
        <v>0.49907601343340524</v>
      </c>
      <c r="BO71" s="137">
        <f>_xll.xSPRDOPT($BW71,$BV71,$CG71,0,$BY71,$BX71,$BZ71,$AJ71,1,0)</f>
        <v>0.22805154104385025</v>
      </c>
      <c r="BP71" s="137"/>
      <c r="BQ71" s="137"/>
      <c r="BR71" s="137"/>
      <c r="BS71" s="137"/>
      <c r="BV71" s="262">
        <v>3.7655526992287918</v>
      </c>
      <c r="BW71" s="136">
        <v>4.0270000000000001</v>
      </c>
      <c r="BX71" s="137">
        <v>0.29473062571148501</v>
      </c>
      <c r="BY71" s="137">
        <v>0.29473062571148501</v>
      </c>
      <c r="BZ71" s="137">
        <v>1</v>
      </c>
      <c r="CA71" s="137">
        <v>5.0446047479093502E-2</v>
      </c>
      <c r="CB71" s="137">
        <v>0.81230887199365776</v>
      </c>
      <c r="CC71" s="258">
        <v>-1.7500000000000002E-2</v>
      </c>
      <c r="CD71" s="258">
        <v>2.5000000000000001E-3</v>
      </c>
      <c r="CE71" s="258">
        <v>0.35</v>
      </c>
      <c r="CF71" s="258">
        <v>0</v>
      </c>
      <c r="CG71" s="258">
        <v>3.3399999999999999E-2</v>
      </c>
      <c r="CH71" s="258">
        <v>8.5360665504581537</v>
      </c>
      <c r="CI71" s="258">
        <v>3.677</v>
      </c>
      <c r="CJ71" s="258"/>
      <c r="CK71" s="258"/>
      <c r="CL71" s="258"/>
      <c r="CM71" s="258"/>
    </row>
    <row r="72" spans="1:91" x14ac:dyDescent="0.25">
      <c r="A72" s="723"/>
      <c r="B72" s="723"/>
      <c r="D72" s="31">
        <f t="shared" si="87"/>
        <v>38791</v>
      </c>
      <c r="F72" s="28">
        <f t="shared" si="52"/>
        <v>230</v>
      </c>
      <c r="G72" s="28">
        <f t="shared" si="53"/>
        <v>185.97104594900784</v>
      </c>
      <c r="H72" s="52">
        <f t="shared" si="54"/>
        <v>3.6370179948586117</v>
      </c>
      <c r="I72" s="52">
        <f t="shared" si="55"/>
        <v>3.9470000000000001</v>
      </c>
      <c r="K72" s="52">
        <f t="shared" si="56"/>
        <v>6.9327112538754516</v>
      </c>
      <c r="L72" s="135">
        <f t="shared" si="57"/>
        <v>1.6972722815644659E-5</v>
      </c>
      <c r="N72" s="131">
        <f t="shared" si="48"/>
        <v>0.27891651287520841</v>
      </c>
      <c r="O72" s="131">
        <f t="shared" si="49"/>
        <v>0.27891651287520841</v>
      </c>
      <c r="P72" s="55">
        <f t="shared" si="50"/>
        <v>1.0000000000000002</v>
      </c>
      <c r="Q72" s="135">
        <f>_xll.xSPRDOPT(I72,H72,AQ72,0,O72,N72,P72,D72-$G$5,1,0)*AH72*AU72</f>
        <v>6.9327282265982673</v>
      </c>
      <c r="R72" s="135"/>
      <c r="S72" s="181">
        <f>_xll.xSPRDOPT(I72,H72,AQ72,AT72,O72,N72,P72,D72-$G$5,1,2)*AF72*(F72/(1-AR72))*AH72</f>
        <v>-5912.1794642642471</v>
      </c>
      <c r="T72" s="181">
        <f>_xll.xSPRDOPT(I72,H72,AQ72,AT72,O72,N72,P72,D72-$G$5,1,1)*AF72*F72*AH72</f>
        <v>5749.5945290196769</v>
      </c>
      <c r="U72" s="135"/>
      <c r="V72" s="146">
        <f t="shared" si="58"/>
        <v>9.4071432168893132</v>
      </c>
      <c r="W72" s="146"/>
      <c r="X72" s="338">
        <f t="shared" si="59"/>
        <v>0</v>
      </c>
      <c r="Y72" s="338">
        <f t="shared" si="60"/>
        <v>0</v>
      </c>
      <c r="Z72" s="338">
        <f t="shared" si="61"/>
        <v>0.6558880571350707</v>
      </c>
      <c r="AA72" s="338">
        <f t="shared" si="62"/>
        <v>2.7019882260729227E-6</v>
      </c>
      <c r="AB72" s="338">
        <f t="shared" si="63"/>
        <v>0</v>
      </c>
      <c r="AC72" s="338">
        <f t="shared" si="64"/>
        <v>0.66421630429935974</v>
      </c>
      <c r="AF72" s="138">
        <f t="shared" si="65"/>
        <v>1</v>
      </c>
      <c r="AG72" s="138">
        <f t="shared" si="66"/>
        <v>3</v>
      </c>
      <c r="AH72" s="138">
        <f t="shared" si="67"/>
        <v>31</v>
      </c>
      <c r="AI72" s="138">
        <f t="shared" si="88"/>
        <v>1535</v>
      </c>
      <c r="AJ72" s="138">
        <f t="shared" si="68"/>
        <v>1552</v>
      </c>
      <c r="AL72" s="136">
        <f t="shared" si="69"/>
        <v>3.5470000000000002</v>
      </c>
      <c r="AM72" s="258">
        <f t="shared" si="70"/>
        <v>-1.2500000000000001E-2</v>
      </c>
      <c r="AN72" s="258">
        <f t="shared" si="71"/>
        <v>2.5000000000000001E-3</v>
      </c>
      <c r="AO72" s="258">
        <f t="shared" si="72"/>
        <v>0.4</v>
      </c>
      <c r="AP72" s="258">
        <f t="shared" si="73"/>
        <v>0</v>
      </c>
      <c r="AQ72" s="136">
        <f t="shared" si="74"/>
        <v>3.3399999999999999E-2</v>
      </c>
      <c r="AR72" s="137">
        <f t="shared" si="75"/>
        <v>2.75E-2</v>
      </c>
      <c r="AS72" s="136">
        <f t="shared" si="76"/>
        <v>3.5369999999999999</v>
      </c>
      <c r="AT72" s="137">
        <f t="shared" si="77"/>
        <v>5.0737049222817202E-2</v>
      </c>
      <c r="AU72" s="137">
        <f t="shared" si="78"/>
        <v>0.80856976499568622</v>
      </c>
      <c r="AV72" s="394">
        <f t="shared" si="79"/>
        <v>175.45963900406392</v>
      </c>
      <c r="AW72" s="137">
        <f t="shared" si="80"/>
        <v>0.27</v>
      </c>
      <c r="AX72" s="137">
        <f t="shared" si="81"/>
        <v>0.75</v>
      </c>
      <c r="AY72" s="137">
        <f t="shared" si="82"/>
        <v>0.75</v>
      </c>
      <c r="AZ72" s="137"/>
      <c r="BA72" s="264"/>
      <c r="BB72" s="258">
        <f t="shared" si="83"/>
        <v>0</v>
      </c>
      <c r="BC72" s="258">
        <f t="shared" si="84"/>
        <v>0</v>
      </c>
      <c r="BD72" s="137">
        <f t="shared" si="85"/>
        <v>1.6944170124932878E-5</v>
      </c>
      <c r="BE72" s="137">
        <f t="shared" si="86"/>
        <v>1.6944170124932878E-5</v>
      </c>
      <c r="BF72" s="137">
        <f>_xll.xSPRDOPT($BW72,$BV72,$CG72,0,$BY72,$BX72,$BZ72,$AJ72,1,4)*$CB72</f>
        <v>9.6349368112641291E-7</v>
      </c>
      <c r="BG72" s="137">
        <f>_xll.xSPRDOPT($BW72,$BV72,$CG72,0,$BY72,$BX72,$BZ72,$AJ72,1,3)*$CB72</f>
        <v>5.7809620867584783E-7</v>
      </c>
      <c r="BH72" s="137">
        <f>IF(OR(BF72&lt;&gt;0,BG72&lt;&gt;0),_xll.xSPRDOPT($BW72,$BV72,$CG72,0,$BY72,$BX72,$BZ72,$AJ72,1,12)*$CB72,0)</f>
        <v>-2.4087342028160323E-7</v>
      </c>
      <c r="BI72" s="137">
        <f>_xll.xSPRDOPT($BW72,$BV72,$CG72,2*LN(1+CA72/2),$BY72,$BX72,$BZ72,$AJ72,1,9)</f>
        <v>1.1199771522607975E-2</v>
      </c>
      <c r="BJ72" s="137">
        <f>_xll.xSPRDOPT($BW72,$BV72,$CG72,0,$BY72,$BX72,$BZ72,$AJ72,1,6)*$CB72</f>
        <v>-2.6241136921536146E-4</v>
      </c>
      <c r="BK72" s="137">
        <f>_xll.xSPRDOPT($BW72,$BV72,$CG72,0,$BY72,$BX72,$BZ72,$AJ72,1,5)*$CB72</f>
        <v>2.8477661211135356E-4</v>
      </c>
      <c r="BL72" s="137">
        <f>_xll.xSPRDOPT(BW72,BV72,CG72,0,BY72,BX72,BZ72,AJ72,1,2)*CB72</f>
        <v>-0.80822935509412674</v>
      </c>
      <c r="BM72" s="137">
        <f>_xll.xSPRDOPT(BW72,BV72,CG72,0,BY72,BX72,BZ72,AJ72,1,1)*CB72</f>
        <v>0.80822935509853722</v>
      </c>
      <c r="BN72" s="137">
        <f>IF(AH72&lt;&gt;0,_xll.xSPRDOPT($BW72,$BV72,$CG72,2*LN(1+CA72/2),$BY72,$BX72,$BZ72,$AJ72,1,8)+(AJ72/365.25)*CH72/AH72,0)</f>
        <v>0.33902644764557144</v>
      </c>
      <c r="BO72" s="137">
        <f>_xll.xSPRDOPT($BW72,$BV72,$CG72,0,$BY72,$BX72,$BZ72,$AJ72,1,0)</f>
        <v>0.27658268927386681</v>
      </c>
      <c r="BP72" s="137"/>
      <c r="BQ72" s="137"/>
      <c r="BR72" s="137"/>
      <c r="BS72" s="137"/>
      <c r="BV72" s="262">
        <v>3.6370179948586117</v>
      </c>
      <c r="BW72" s="136">
        <v>3.9470000000000001</v>
      </c>
      <c r="BX72" s="137">
        <v>0.27889956870508348</v>
      </c>
      <c r="BY72" s="137">
        <v>0.27889956870508348</v>
      </c>
      <c r="BZ72" s="137">
        <v>1</v>
      </c>
      <c r="CA72" s="137">
        <v>5.0737049222817202E-2</v>
      </c>
      <c r="CB72" s="137">
        <v>0.80823708014464768</v>
      </c>
      <c r="CC72" s="258">
        <v>-1.2500000000000001E-2</v>
      </c>
      <c r="CD72" s="258">
        <v>2.5000000000000001E-3</v>
      </c>
      <c r="CE72" s="258">
        <v>0.4</v>
      </c>
      <c r="CF72" s="258">
        <v>0</v>
      </c>
      <c r="CG72" s="258">
        <v>3.3399999999999999E-2</v>
      </c>
      <c r="CH72" s="258">
        <v>9.4032726615268754</v>
      </c>
      <c r="CI72" s="258">
        <v>3.5470000000000002</v>
      </c>
      <c r="CJ72" s="258"/>
      <c r="CK72" s="258"/>
      <c r="CL72" s="258"/>
      <c r="CM72" s="258"/>
    </row>
    <row r="73" spans="1:91" x14ac:dyDescent="0.25">
      <c r="A73" s="723"/>
      <c r="B73" s="723"/>
      <c r="D73" s="31">
        <f t="shared" si="87"/>
        <v>38822</v>
      </c>
      <c r="F73" s="28">
        <f t="shared" si="52"/>
        <v>230</v>
      </c>
      <c r="G73" s="28">
        <f t="shared" si="53"/>
        <v>184.93037127928849</v>
      </c>
      <c r="H73" s="52">
        <f t="shared" si="54"/>
        <v>3.4519280205655525</v>
      </c>
      <c r="I73" s="52">
        <f t="shared" si="55"/>
        <v>3.9620000000000002</v>
      </c>
      <c r="K73" s="52">
        <f t="shared" si="56"/>
        <v>11.497972974162495</v>
      </c>
      <c r="L73" s="135">
        <f t="shared" si="57"/>
        <v>1.198228089194231E-6</v>
      </c>
      <c r="N73" s="131">
        <f t="shared" si="48"/>
        <v>0.25184329937151428</v>
      </c>
      <c r="O73" s="131">
        <f t="shared" si="49"/>
        <v>0.25184329937151428</v>
      </c>
      <c r="P73" s="55">
        <f t="shared" si="50"/>
        <v>1</v>
      </c>
      <c r="Q73" s="135">
        <f>_xll.xSPRDOPT(I73,H73,AQ73,0,O73,N73,P73,D73-$G$5,1,0)*AH73*AU73</f>
        <v>11.497974172390585</v>
      </c>
      <c r="R73" s="135"/>
      <c r="S73" s="181">
        <f>_xll.xSPRDOPT(I73,H73,AQ73,AT73,O73,N73,P73,D73-$G$5,1,2)*AF73*(F73/(1-AR73))*AH73</f>
        <v>-5688.9998369525438</v>
      </c>
      <c r="T73" s="181">
        <f>_xll.xSPRDOPT(I73,H73,AQ73,AT73,O73,N73,P73,D73-$G$5,1,1)*AF73*F73*AH73</f>
        <v>5532.5523414049712</v>
      </c>
      <c r="U73" s="135"/>
      <c r="V73" s="146">
        <f t="shared" si="58"/>
        <v>9.0527436966674308</v>
      </c>
      <c r="W73" s="146"/>
      <c r="X73" s="338">
        <f t="shared" si="59"/>
        <v>0</v>
      </c>
      <c r="Y73" s="338">
        <f t="shared" si="60"/>
        <v>0</v>
      </c>
      <c r="Z73" s="338">
        <f t="shared" si="61"/>
        <v>1.0946845080767045</v>
      </c>
      <c r="AA73" s="338">
        <f t="shared" si="62"/>
        <v>1.1679841241072198E-9</v>
      </c>
      <c r="AB73" s="338">
        <f t="shared" si="63"/>
        <v>0</v>
      </c>
      <c r="AC73" s="338">
        <f t="shared" si="64"/>
        <v>1.1085993168892736</v>
      </c>
      <c r="AF73" s="138">
        <f t="shared" si="65"/>
        <v>1</v>
      </c>
      <c r="AG73" s="138">
        <f t="shared" si="66"/>
        <v>4</v>
      </c>
      <c r="AH73" s="138">
        <f t="shared" si="67"/>
        <v>30</v>
      </c>
      <c r="AI73" s="138">
        <f t="shared" si="88"/>
        <v>1566</v>
      </c>
      <c r="AJ73" s="138">
        <f t="shared" si="68"/>
        <v>1583</v>
      </c>
      <c r="AL73" s="136">
        <f t="shared" si="69"/>
        <v>3.3620000000000001</v>
      </c>
      <c r="AM73" s="258">
        <f t="shared" si="70"/>
        <v>-1.2500000000000001E-2</v>
      </c>
      <c r="AN73" s="258">
        <f t="shared" si="71"/>
        <v>7.4999999999999997E-3</v>
      </c>
      <c r="AO73" s="258">
        <f t="shared" si="72"/>
        <v>0.6</v>
      </c>
      <c r="AP73" s="258">
        <f t="shared" si="73"/>
        <v>0</v>
      </c>
      <c r="AQ73" s="136">
        <f t="shared" si="74"/>
        <v>3.3399999999999999E-2</v>
      </c>
      <c r="AR73" s="137">
        <f t="shared" si="75"/>
        <v>2.75E-2</v>
      </c>
      <c r="AS73" s="136">
        <f t="shared" si="76"/>
        <v>3.3569999999999998</v>
      </c>
      <c r="AT73" s="137">
        <f t="shared" si="77"/>
        <v>5.10592297577648E-2</v>
      </c>
      <c r="AU73" s="137">
        <f t="shared" si="78"/>
        <v>0.80404509251864564</v>
      </c>
      <c r="AV73" s="394">
        <f t="shared" si="79"/>
        <v>168.8494694289156</v>
      </c>
      <c r="AW73" s="137">
        <f t="shared" si="80"/>
        <v>0.25</v>
      </c>
      <c r="AX73" s="137">
        <f t="shared" si="81"/>
        <v>0.4</v>
      </c>
      <c r="AY73" s="137">
        <f t="shared" si="82"/>
        <v>0.4</v>
      </c>
      <c r="AZ73" s="137"/>
      <c r="BA73" s="264"/>
      <c r="BB73" s="258">
        <f t="shared" si="83"/>
        <v>0</v>
      </c>
      <c r="BC73" s="258">
        <f t="shared" si="84"/>
        <v>0</v>
      </c>
      <c r="BD73" s="137">
        <f t="shared" si="85"/>
        <v>3.4783452407816107E-6</v>
      </c>
      <c r="BE73" s="137">
        <f t="shared" si="86"/>
        <v>3.4783452407816107E-6</v>
      </c>
      <c r="BF73" s="137">
        <f>_xll.xSPRDOPT($BW73,$BV73,$CG73,0,$BY73,$BX73,$BZ73,$AJ73,1,4)*$CB73</f>
        <v>9.5809959804586091E-7</v>
      </c>
      <c r="BG73" s="137">
        <f>_xll.xSPRDOPT($BW73,$BV73,$CG73,0,$BY73,$BX73,$BZ73,$AJ73,1,3)*$CB73</f>
        <v>-3.8323983921834438E-7</v>
      </c>
      <c r="BH73" s="137">
        <f>IF(OR(BF73&lt;&gt;0,BG73&lt;&gt;0),_xll.xSPRDOPT($BW73,$BV73,$CG73,0,$BY73,$BX73,$BZ73,$AJ73,1,12)*$CB73,0)</f>
        <v>-4.7904979902293047E-8</v>
      </c>
      <c r="BI73" s="137">
        <f>_xll.xSPRDOPT($BW73,$BV73,$CG73,2*LN(1+CA73/2),$BY73,$BX73,$BZ73,$AJ73,1,9)</f>
        <v>1.9315628820049096E-2</v>
      </c>
      <c r="BJ73" s="137">
        <f>_xll.xSPRDOPT($BW73,$BV73,$CG73,0,$BY73,$BX73,$BZ73,$AJ73,1,6)*$CB73</f>
        <v>-3.2936207544729797E-7</v>
      </c>
      <c r="BK73" s="137">
        <f>_xll.xSPRDOPT($BW73,$BV73,$CG73,0,$BY73,$BX73,$BZ73,$AJ73,1,5)*$CB73</f>
        <v>3.7802690016917565E-7</v>
      </c>
      <c r="BL73" s="137">
        <f>_xll.xSPRDOPT(BW73,BV73,CG73,0,BY73,BX73,BZ73,AJ73,1,2)*CB73</f>
        <v>-0.80371225541741298</v>
      </c>
      <c r="BM73" s="137">
        <f>_xll.xSPRDOPT(BW73,BV73,CG73,0,BY73,BX73,BZ73,AJ73,1,1)*CB73</f>
        <v>0.80371225541814395</v>
      </c>
      <c r="BN73" s="137">
        <f>IF(AH73&lt;&gt;0,_xll.xSPRDOPT($BW73,$BV73,$CG73,2*LN(1+CA73/2),$BY73,$BX73,$BZ73,$AJ73,1,8)+(AJ73/365.25)*CH73/AH73,0)</f>
        <v>-0.35310948883439663</v>
      </c>
      <c r="BO73" s="137">
        <f>_xll.xSPRDOPT($BW73,$BV73,$CG73,0,$BY73,$BX73,$BZ73,$AJ73,1,0)</f>
        <v>0.47667202912375539</v>
      </c>
      <c r="BP73" s="137"/>
      <c r="BQ73" s="137"/>
      <c r="BR73" s="137"/>
      <c r="BS73" s="137"/>
      <c r="BV73" s="262">
        <v>3.4519280205655525</v>
      </c>
      <c r="BW73" s="136">
        <v>3.9620000000000002</v>
      </c>
      <c r="BX73" s="137">
        <v>0.2518398210262735</v>
      </c>
      <c r="BY73" s="137">
        <v>0.2518398210262735</v>
      </c>
      <c r="BZ73" s="137">
        <v>1</v>
      </c>
      <c r="CA73" s="137">
        <v>5.10592297577648E-2</v>
      </c>
      <c r="CB73" s="137">
        <v>0.80371219529642934</v>
      </c>
      <c r="CC73" s="258">
        <v>-1.2500000000000001E-2</v>
      </c>
      <c r="CD73" s="258">
        <v>7.4999999999999997E-3</v>
      </c>
      <c r="CE73" s="258">
        <v>0.6</v>
      </c>
      <c r="CF73" s="258">
        <v>0</v>
      </c>
      <c r="CG73" s="258">
        <v>3.3399999999999999E-2</v>
      </c>
      <c r="CH73" s="258">
        <v>9.0489956068424977</v>
      </c>
      <c r="CI73" s="258">
        <v>3.3620000000000001</v>
      </c>
      <c r="CJ73" s="258"/>
      <c r="CK73" s="258"/>
      <c r="CL73" s="258"/>
      <c r="CM73" s="258"/>
    </row>
    <row r="74" spans="1:91" x14ac:dyDescent="0.25">
      <c r="A74" s="723"/>
      <c r="B74" s="723"/>
      <c r="D74" s="31">
        <f t="shared" si="87"/>
        <v>38852</v>
      </c>
      <c r="F74" s="28">
        <f t="shared" si="52"/>
        <v>148</v>
      </c>
      <c r="G74" s="28">
        <f t="shared" si="53"/>
        <v>118.34820670896634</v>
      </c>
      <c r="H74" s="52">
        <f t="shared" si="54"/>
        <v>3.4493573264781494</v>
      </c>
      <c r="I74" s="52">
        <f t="shared" si="55"/>
        <v>4.1070000000000002</v>
      </c>
      <c r="K74" s="52">
        <f t="shared" si="56"/>
        <v>15.474446147555241</v>
      </c>
      <c r="L74" s="135">
        <f t="shared" si="57"/>
        <v>1.587385796142371E-6</v>
      </c>
      <c r="N74" s="131">
        <f t="shared" si="48"/>
        <v>0.24778090519241153</v>
      </c>
      <c r="O74" s="131">
        <f t="shared" si="49"/>
        <v>0.24778090519241153</v>
      </c>
      <c r="P74" s="55">
        <f t="shared" si="50"/>
        <v>1</v>
      </c>
      <c r="Q74" s="135">
        <f>_xll.xSPRDOPT(I74,H74,AQ74,0,O74,N74,P74,D74-$G$5,1,0)*AH74*AU74</f>
        <v>15.474447734941037</v>
      </c>
      <c r="R74" s="135"/>
      <c r="S74" s="181">
        <f>_xll.xSPRDOPT(I74,H74,AQ74,AT74,O74,N74,P74,D74-$G$5,1,2)*AF74*(F74/(1-AR74))*AH74</f>
        <v>-3761.7683566619289</v>
      </c>
      <c r="T74" s="181">
        <f>_xll.xSPRDOPT(I74,H74,AQ74,AT74,O74,N74,P74,D74-$G$5,1,1)*AF74*F74*AH74</f>
        <v>3658.3197267911346</v>
      </c>
      <c r="U74" s="135"/>
      <c r="V74" s="146">
        <f t="shared" si="58"/>
        <v>9.303368522392752</v>
      </c>
      <c r="W74" s="146"/>
      <c r="X74" s="338">
        <f t="shared" si="59"/>
        <v>0</v>
      </c>
      <c r="Y74" s="338">
        <f t="shared" si="60"/>
        <v>0</v>
      </c>
      <c r="Z74" s="338">
        <f t="shared" si="61"/>
        <v>0.95373218791666425</v>
      </c>
      <c r="AA74" s="338">
        <f t="shared" si="62"/>
        <v>-2.4204335414387725E-9</v>
      </c>
      <c r="AB74" s="338">
        <f t="shared" si="63"/>
        <v>0</v>
      </c>
      <c r="AC74" s="338">
        <f t="shared" si="64"/>
        <v>0.96592885372840187</v>
      </c>
      <c r="AF74" s="138">
        <f t="shared" si="65"/>
        <v>1</v>
      </c>
      <c r="AG74" s="138">
        <f t="shared" si="66"/>
        <v>5</v>
      </c>
      <c r="AH74" s="138">
        <f t="shared" si="67"/>
        <v>31</v>
      </c>
      <c r="AI74" s="138">
        <f t="shared" si="88"/>
        <v>1596</v>
      </c>
      <c r="AJ74" s="138">
        <f t="shared" si="68"/>
        <v>1613</v>
      </c>
      <c r="AL74" s="136">
        <f t="shared" si="69"/>
        <v>3.3570000000000002</v>
      </c>
      <c r="AM74" s="258">
        <f t="shared" si="70"/>
        <v>-0.01</v>
      </c>
      <c r="AN74" s="258">
        <f t="shared" si="71"/>
        <v>7.4999999999999997E-3</v>
      </c>
      <c r="AO74" s="258">
        <f t="shared" si="72"/>
        <v>0.75</v>
      </c>
      <c r="AP74" s="258">
        <f t="shared" si="73"/>
        <v>0</v>
      </c>
      <c r="AQ74" s="136">
        <f t="shared" si="74"/>
        <v>3.3399999999999999E-2</v>
      </c>
      <c r="AR74" s="137">
        <f t="shared" si="75"/>
        <v>2.75E-2</v>
      </c>
      <c r="AS74" s="136">
        <f t="shared" si="76"/>
        <v>3.3545000000000003</v>
      </c>
      <c r="AT74" s="137">
        <f t="shared" si="77"/>
        <v>5.1371017405212001E-2</v>
      </c>
      <c r="AU74" s="137">
        <f t="shared" si="78"/>
        <v>0.79965004533085371</v>
      </c>
      <c r="AV74" s="394">
        <f t="shared" si="79"/>
        <v>99.156605621025861</v>
      </c>
      <c r="AW74" s="137">
        <f t="shared" si="80"/>
        <v>0.245</v>
      </c>
      <c r="AX74" s="137">
        <f t="shared" si="81"/>
        <v>0.45</v>
      </c>
      <c r="AY74" s="137">
        <f t="shared" si="82"/>
        <v>0.45</v>
      </c>
      <c r="AZ74" s="137"/>
      <c r="BA74" s="264"/>
      <c r="BB74" s="258">
        <f t="shared" si="83"/>
        <v>0</v>
      </c>
      <c r="BC74" s="258">
        <f t="shared" si="84"/>
        <v>0</v>
      </c>
      <c r="BD74" s="137">
        <f t="shared" si="85"/>
        <v>5.1384239313778668E-6</v>
      </c>
      <c r="BE74" s="137">
        <f t="shared" si="86"/>
        <v>5.1384239313778668E-6</v>
      </c>
      <c r="BF74" s="137">
        <f>_xll.xSPRDOPT($BW74,$BV74,$CG74,0,$BY74,$BX74,$BZ74,$AJ74,1,4)*$CB74</f>
        <v>7.622880667968921E-7</v>
      </c>
      <c r="BG74" s="137">
        <f>_xll.xSPRDOPT($BW74,$BV74,$CG74,0,$BY74,$BX74,$BZ74,$AJ74,1,3)*$CB74</f>
        <v>3.8114403339844605E-7</v>
      </c>
      <c r="BH74" s="137">
        <f>IF(OR(BF74&lt;&gt;0,BG74&lt;&gt;0),_xll.xSPRDOPT($BW74,$BV74,$CG74,0,$BY74,$BX74,$BZ74,$AJ74,1,12)*$CB74,0)</f>
        <v>3.8114403339844605E-7</v>
      </c>
      <c r="BI74" s="137">
        <f>_xll.xSPRDOPT($BW74,$BV74,$CG74,2*LN(1+CA74/2),$BY74,$BX74,$BZ74,$AJ74,1,9)</f>
        <v>2.5308826041598488E-2</v>
      </c>
      <c r="BJ74" s="137">
        <f>_xll.xSPRDOPT($BW74,$BV74,$CG74,0,$BY74,$BX74,$BZ74,$AJ74,1,6)*$CB74</f>
        <v>5.3841403662547527E-7</v>
      </c>
      <c r="BK74" s="137">
        <f>_xll.xSPRDOPT($BW74,$BV74,$CG74,0,$BY74,$BX74,$BZ74,$AJ74,1,5)*$CB74</f>
        <v>-6.4108315239128144E-7</v>
      </c>
      <c r="BL74" s="137">
        <f>_xll.xSPRDOPT(BW74,BV74,CG74,0,BY74,BX74,BZ74,AJ74,1,2)*CB74</f>
        <v>-0.79931705359066929</v>
      </c>
      <c r="BM74" s="137">
        <f>_xll.xSPRDOPT(BW74,BV74,CG74,0,BY74,BX74,BZ74,AJ74,1,1)*CB74</f>
        <v>0.7993170535761297</v>
      </c>
      <c r="BN74" s="137">
        <f>IF(AH74&lt;&gt;0,_xll.xSPRDOPT($BW74,$BV74,$CG74,2*LN(1+CA74/2),$BY74,$BX74,$BZ74,$AJ74,1,8)+(AJ74/365.25)*CH74/AH74,0)</f>
        <v>-0.87874453730057134</v>
      </c>
      <c r="BO74" s="137">
        <f>_xll.xSPRDOPT($BW74,$BV74,$CG74,0,$BY74,$BX74,$BZ74,$AJ74,1,0)</f>
        <v>0.62424273752842696</v>
      </c>
      <c r="BP74" s="137"/>
      <c r="BQ74" s="137"/>
      <c r="BR74" s="137"/>
      <c r="BS74" s="137"/>
      <c r="BV74" s="262">
        <v>3.4493573264781494</v>
      </c>
      <c r="BW74" s="136">
        <v>4.1070000000000002</v>
      </c>
      <c r="BX74" s="137">
        <v>0.24777576676848015</v>
      </c>
      <c r="BY74" s="137">
        <v>0.24777576676848015</v>
      </c>
      <c r="BZ74" s="137">
        <v>1</v>
      </c>
      <c r="CA74" s="137">
        <v>5.1371017405212001E-2</v>
      </c>
      <c r="CB74" s="137">
        <v>0.79931697192961793</v>
      </c>
      <c r="CC74" s="258">
        <v>-0.01</v>
      </c>
      <c r="CD74" s="258">
        <v>7.4999999999999997E-3</v>
      </c>
      <c r="CE74" s="258">
        <v>0.75</v>
      </c>
      <c r="CF74" s="258">
        <v>0</v>
      </c>
      <c r="CG74" s="258">
        <v>3.3399999999999999E-2</v>
      </c>
      <c r="CH74" s="258">
        <v>9.2994934465207546</v>
      </c>
      <c r="CI74" s="258">
        <v>3.3570000000000002</v>
      </c>
      <c r="CJ74" s="258"/>
      <c r="CK74" s="258"/>
      <c r="CL74" s="258"/>
      <c r="CM74" s="258"/>
    </row>
    <row r="75" spans="1:91" x14ac:dyDescent="0.25">
      <c r="A75" s="723"/>
      <c r="B75" s="723"/>
      <c r="D75" s="31">
        <f t="shared" si="87"/>
        <v>38883</v>
      </c>
      <c r="F75" s="28">
        <f t="shared" si="52"/>
        <v>148</v>
      </c>
      <c r="G75" s="28">
        <f t="shared" si="53"/>
        <v>117.67364448662208</v>
      </c>
      <c r="H75" s="52">
        <f t="shared" si="54"/>
        <v>3.4853470437017995</v>
      </c>
      <c r="I75" s="52">
        <f t="shared" si="55"/>
        <v>4.242</v>
      </c>
      <c r="K75" s="52">
        <f t="shared" si="56"/>
        <v>17.251583362162069</v>
      </c>
      <c r="L75" s="135">
        <f t="shared" si="57"/>
        <v>1.7535068330687409E-6</v>
      </c>
      <c r="N75" s="131">
        <f t="shared" si="48"/>
        <v>0.2500930627639058</v>
      </c>
      <c r="O75" s="131">
        <f t="shared" si="49"/>
        <v>0.2500930627639058</v>
      </c>
      <c r="P75" s="55">
        <f t="shared" si="50"/>
        <v>1</v>
      </c>
      <c r="Q75" s="135">
        <f>_xll.xSPRDOPT(I75,H75,AQ75,0,O75,N75,P75,D75-$G$5,1,0)*AH75*AU75</f>
        <v>17.251585115668902</v>
      </c>
      <c r="R75" s="135"/>
      <c r="S75" s="181">
        <f>_xll.xSPRDOPT(I75,H75,AQ75,AT75,O75,N75,P75,D75-$G$5,1,2)*AF75*(F75/(1-AR75))*AH75</f>
        <v>-3619.3404139242052</v>
      </c>
      <c r="T75" s="181">
        <f>_xll.xSPRDOPT(I75,H75,AQ75,AT75,O75,N75,P75,D75-$G$5,1,1)*AF75*F75*AH75</f>
        <v>3519.8085525574425</v>
      </c>
      <c r="U75" s="135"/>
      <c r="V75" s="146">
        <f t="shared" si="58"/>
        <v>8.9519429951005272</v>
      </c>
      <c r="W75" s="146"/>
      <c r="X75" s="338">
        <f t="shared" si="59"/>
        <v>0</v>
      </c>
      <c r="Y75" s="338">
        <f t="shared" si="60"/>
        <v>0</v>
      </c>
      <c r="Z75" s="338">
        <f t="shared" si="61"/>
        <v>1.0698432688034998</v>
      </c>
      <c r="AA75" s="338">
        <f t="shared" si="62"/>
        <v>-2.7469843443214792E-9</v>
      </c>
      <c r="AB75" s="338">
        <f t="shared" si="63"/>
        <v>0</v>
      </c>
      <c r="AC75" s="338">
        <f t="shared" si="64"/>
        <v>1.0836102371891341</v>
      </c>
      <c r="AF75" s="138">
        <f t="shared" si="65"/>
        <v>1</v>
      </c>
      <c r="AG75" s="138">
        <f t="shared" si="66"/>
        <v>6</v>
      </c>
      <c r="AH75" s="138">
        <f t="shared" si="67"/>
        <v>30</v>
      </c>
      <c r="AI75" s="138">
        <f t="shared" si="88"/>
        <v>1627</v>
      </c>
      <c r="AJ75" s="138">
        <f t="shared" si="68"/>
        <v>1644</v>
      </c>
      <c r="AL75" s="136">
        <f t="shared" si="69"/>
        <v>3.3919999999999999</v>
      </c>
      <c r="AM75" s="258">
        <f t="shared" si="70"/>
        <v>-0.01</v>
      </c>
      <c r="AN75" s="258">
        <f t="shared" si="71"/>
        <v>7.4999999999999997E-3</v>
      </c>
      <c r="AO75" s="258">
        <f t="shared" si="72"/>
        <v>0.85</v>
      </c>
      <c r="AP75" s="258">
        <f t="shared" si="73"/>
        <v>0</v>
      </c>
      <c r="AQ75" s="136">
        <f t="shared" si="74"/>
        <v>3.3399999999999999E-2</v>
      </c>
      <c r="AR75" s="137">
        <f t="shared" si="75"/>
        <v>2.75E-2</v>
      </c>
      <c r="AS75" s="136">
        <f t="shared" si="76"/>
        <v>3.3895</v>
      </c>
      <c r="AT75" s="137">
        <f t="shared" si="77"/>
        <v>5.1693198008315698E-2</v>
      </c>
      <c r="AU75" s="137">
        <f t="shared" si="78"/>
        <v>0.79509219247717622</v>
      </c>
      <c r="AV75" s="394">
        <f t="shared" si="79"/>
        <v>95.411063097261149</v>
      </c>
      <c r="AW75" s="137">
        <f t="shared" si="80"/>
        <v>0.2475</v>
      </c>
      <c r="AX75" s="137">
        <f t="shared" si="81"/>
        <v>0.45</v>
      </c>
      <c r="AY75" s="137">
        <f t="shared" si="82"/>
        <v>0.45</v>
      </c>
      <c r="AZ75" s="137"/>
      <c r="BA75" s="264"/>
      <c r="BB75" s="258">
        <f t="shared" si="83"/>
        <v>0</v>
      </c>
      <c r="BC75" s="258">
        <f t="shared" si="84"/>
        <v>0</v>
      </c>
      <c r="BD75" s="137">
        <f t="shared" si="85"/>
        <v>4.7045180826543742E-6</v>
      </c>
      <c r="BE75" s="137">
        <f t="shared" si="86"/>
        <v>4.7045180826543742E-6</v>
      </c>
      <c r="BF75" s="137">
        <f>_xll.xSPRDOPT($BW75,$BV75,$CG75,0,$BY75,$BX75,$BZ75,$AJ75,1,4)*$CB75</f>
        <v>9.4742651847317153E-7</v>
      </c>
      <c r="BG75" s="137">
        <f>_xll.xSPRDOPT($BW75,$BV75,$CG75,0,$BY75,$BX75,$BZ75,$AJ75,1,3)*$CB75</f>
        <v>1.894853036946343E-7</v>
      </c>
      <c r="BH75" s="137">
        <f>IF(OR(BF75&lt;&gt;0,BG75&lt;&gt;0),_xll.xSPRDOPT($BW75,$BV75,$CG75,0,$BY75,$BX75,$BZ75,$AJ75,1,12)*$CB75,0)</f>
        <v>0</v>
      </c>
      <c r="BI75" s="137">
        <f>_xll.xSPRDOPT($BW75,$BV75,$CG75,2*LN(1+CA75/2),$BY75,$BX75,$BZ75,$AJ75,1,9)</f>
        <v>2.9336355400186052E-2</v>
      </c>
      <c r="BJ75" s="137">
        <f>_xll.xSPRDOPT($BW75,$BV75,$CG75,0,$BY75,$BX75,$BZ75,$AJ75,1,6)*$CB75</f>
        <v>6.057648834420148E-7</v>
      </c>
      <c r="BK75" s="137">
        <f>_xll.xSPRDOPT($BW75,$BV75,$CG75,0,$BY75,$BX75,$BZ75,$AJ75,1,5)*$CB75</f>
        <v>-7.3727466973045361E-7</v>
      </c>
      <c r="BL75" s="137">
        <f>_xll.xSPRDOPT(BW75,BV75,CG75,0,BY75,BX75,BZ75,AJ75,1,2)*CB75</f>
        <v>-0.79475904868033598</v>
      </c>
      <c r="BM75" s="137">
        <f>_xll.xSPRDOPT(BW75,BV75,CG75,0,BY75,BX75,BZ75,AJ75,1,1)*CB75</f>
        <v>0.79475904868611857</v>
      </c>
      <c r="BN75" s="137">
        <f>IF(AH75&lt;&gt;0,_xll.xSPRDOPT($BW75,$BV75,$CG75,2*LN(1+CA75/2),$BY75,$BX75,$BZ75,$AJ75,1,8)+(AJ75/365.25)*CH75/AH75,0)</f>
        <v>-1.2447084783741917</v>
      </c>
      <c r="BO75" s="137">
        <f>_xll.xSPRDOPT($BW75,$BV75,$CG75,0,$BY75,$BX75,$BZ75,$AJ75,1,0)</f>
        <v>0.72325302977499495</v>
      </c>
      <c r="BP75" s="137"/>
      <c r="BQ75" s="137"/>
      <c r="BR75" s="137"/>
      <c r="BS75" s="137"/>
      <c r="BV75" s="262">
        <v>3.4853470437017995</v>
      </c>
      <c r="BW75" s="136">
        <v>4.242</v>
      </c>
      <c r="BX75" s="137">
        <v>0.25008835824582315</v>
      </c>
      <c r="BY75" s="137">
        <v>0.25008835824582315</v>
      </c>
      <c r="BZ75" s="137">
        <v>1</v>
      </c>
      <c r="CA75" s="137">
        <v>5.1693198008315698E-2</v>
      </c>
      <c r="CB75" s="137">
        <v>0.79475896722761941</v>
      </c>
      <c r="CC75" s="258">
        <v>-0.01</v>
      </c>
      <c r="CD75" s="258">
        <v>7.4999999999999997E-3</v>
      </c>
      <c r="CE75" s="258">
        <v>0.85</v>
      </c>
      <c r="CF75" s="258">
        <v>0</v>
      </c>
      <c r="CG75" s="258">
        <v>3.3399999999999999E-2</v>
      </c>
      <c r="CH75" s="258">
        <v>8.9481912120157663</v>
      </c>
      <c r="CI75" s="258">
        <v>3.3919999999999999</v>
      </c>
      <c r="CJ75" s="258"/>
      <c r="CK75" s="258"/>
      <c r="CL75" s="258"/>
      <c r="CM75" s="258"/>
    </row>
    <row r="76" spans="1:91" x14ac:dyDescent="0.25">
      <c r="A76" s="723"/>
      <c r="B76" s="723"/>
      <c r="D76" s="31">
        <f t="shared" si="87"/>
        <v>38913</v>
      </c>
      <c r="F76" s="28">
        <f t="shared" si="52"/>
        <v>148</v>
      </c>
      <c r="G76" s="28">
        <f t="shared" si="53"/>
        <v>117.01858811183433</v>
      </c>
      <c r="H76" s="52">
        <f t="shared" si="54"/>
        <v>3.526478149100257</v>
      </c>
      <c r="I76" s="52">
        <f t="shared" si="55"/>
        <v>4.4820000000000002</v>
      </c>
      <c r="K76" s="52">
        <f t="shared" si="56"/>
        <v>22.60180614081176</v>
      </c>
      <c r="L76" s="135">
        <f t="shared" si="57"/>
        <v>2.2860321529094563E-6</v>
      </c>
      <c r="N76" s="131">
        <f t="shared" si="48"/>
        <v>0.25100885381510452</v>
      </c>
      <c r="O76" s="131">
        <f t="shared" si="49"/>
        <v>0.25100885381510452</v>
      </c>
      <c r="P76" s="55">
        <f t="shared" si="50"/>
        <v>0.99999999999999978</v>
      </c>
      <c r="Q76" s="135">
        <f>_xll.xSPRDOPT(I76,H76,AQ76,0,O76,N76,P76,D76-$G$5,1,0)*AH76*AU76</f>
        <v>22.601808426843913</v>
      </c>
      <c r="R76" s="135"/>
      <c r="S76" s="181">
        <f>_xll.xSPRDOPT(I76,H76,AQ76,AT76,O76,N76,P76,D76-$G$5,1,2)*AF76*(F76/(1-AR76))*AH76</f>
        <v>-3718.8309749404393</v>
      </c>
      <c r="T76" s="181">
        <f>_xll.xSPRDOPT(I76,H76,AQ76,AT76,O76,N76,P76,D76-$G$5,1,1)*AF76*F76*AH76</f>
        <v>3616.5631232046871</v>
      </c>
      <c r="U76" s="135"/>
      <c r="V76" s="146">
        <f t="shared" si="58"/>
        <v>9.1988470247940164</v>
      </c>
      <c r="W76" s="146"/>
      <c r="X76" s="338">
        <f t="shared" si="59"/>
        <v>0</v>
      </c>
      <c r="Y76" s="338">
        <f t="shared" si="60"/>
        <v>0</v>
      </c>
      <c r="Z76" s="338">
        <f t="shared" si="61"/>
        <v>1.4099759426558685</v>
      </c>
      <c r="AA76" s="338">
        <f t="shared" si="62"/>
        <v>-4.9142992533559632E-9</v>
      </c>
      <c r="AB76" s="338">
        <f t="shared" si="63"/>
        <v>0</v>
      </c>
      <c r="AC76" s="338">
        <f t="shared" si="64"/>
        <v>1.4282287801925619</v>
      </c>
      <c r="AF76" s="138">
        <f t="shared" si="65"/>
        <v>1</v>
      </c>
      <c r="AG76" s="138">
        <f t="shared" si="66"/>
        <v>7</v>
      </c>
      <c r="AH76" s="138">
        <f t="shared" si="67"/>
        <v>31</v>
      </c>
      <c r="AI76" s="138">
        <f t="shared" si="88"/>
        <v>1657</v>
      </c>
      <c r="AJ76" s="138">
        <f t="shared" si="68"/>
        <v>1674</v>
      </c>
      <c r="AL76" s="136">
        <f t="shared" si="69"/>
        <v>3.4319999999999999</v>
      </c>
      <c r="AM76" s="258">
        <f t="shared" si="70"/>
        <v>-0.01</v>
      </c>
      <c r="AN76" s="258">
        <f t="shared" si="71"/>
        <v>7.4999999999999997E-3</v>
      </c>
      <c r="AO76" s="258">
        <f t="shared" si="72"/>
        <v>1.05</v>
      </c>
      <c r="AP76" s="258">
        <f t="shared" si="73"/>
        <v>0</v>
      </c>
      <c r="AQ76" s="136">
        <f t="shared" si="74"/>
        <v>3.3399999999999999E-2</v>
      </c>
      <c r="AR76" s="137">
        <f t="shared" si="75"/>
        <v>2.75E-2</v>
      </c>
      <c r="AS76" s="136">
        <f t="shared" si="76"/>
        <v>3.4295</v>
      </c>
      <c r="AT76" s="137">
        <f t="shared" si="77"/>
        <v>5.2004985721710598E-2</v>
      </c>
      <c r="AU76" s="137">
        <f t="shared" si="78"/>
        <v>0.7906661358907725</v>
      </c>
      <c r="AV76" s="394">
        <f t="shared" si="79"/>
        <v>98.042600850455784</v>
      </c>
      <c r="AW76" s="137">
        <f t="shared" si="80"/>
        <v>0.2475</v>
      </c>
      <c r="AX76" s="137">
        <f t="shared" si="81"/>
        <v>0.5</v>
      </c>
      <c r="AY76" s="137">
        <f t="shared" si="82"/>
        <v>0.5</v>
      </c>
      <c r="AZ76" s="137"/>
      <c r="BA76" s="264"/>
      <c r="BB76" s="258">
        <f t="shared" si="83"/>
        <v>0</v>
      </c>
      <c r="BC76" s="258">
        <f t="shared" si="84"/>
        <v>0</v>
      </c>
      <c r="BD76" s="137">
        <f t="shared" si="85"/>
        <v>6.2388038960525805E-6</v>
      </c>
      <c r="BE76" s="137">
        <f t="shared" si="86"/>
        <v>6.2388038960525805E-6</v>
      </c>
      <c r="BF76" s="137">
        <f>_xll.xSPRDOPT($BW76,$BV76,$CG76,0,$BY76,$BX76,$BZ76,$AJ76,1,4)*$CB76</f>
        <v>3.7686004295529476E-7</v>
      </c>
      <c r="BG76" s="137">
        <f>_xll.xSPRDOPT($BW76,$BV76,$CG76,0,$BY76,$BX76,$BZ76,$AJ76,1,3)*$CB76</f>
        <v>3.7686004295529476E-7</v>
      </c>
      <c r="BH76" s="137">
        <f>IF(OR(BF76&lt;&gt;0,BG76&lt;&gt;0),_xll.xSPRDOPT($BW76,$BV76,$CG76,0,$BY76,$BX76,$BZ76,$AJ76,1,12)*$CB76,0)</f>
        <v>-2.8264503221647106E-7</v>
      </c>
      <c r="BI76" s="137">
        <f>_xll.xSPRDOPT($BW76,$BV76,$CG76,2*LN(1+CA76/2),$BY76,$BX76,$BZ76,$AJ76,1,9)</f>
        <v>3.7415991939483875E-2</v>
      </c>
      <c r="BJ76" s="137">
        <f>_xll.xSPRDOPT($BW76,$BV76,$CG76,0,$BY76,$BX76,$BZ76,$AJ76,1,6)*$CB76</f>
        <v>6.3360983561151666E-7</v>
      </c>
      <c r="BK76" s="137">
        <f>_xll.xSPRDOPT($BW76,$BV76,$CG76,0,$BY76,$BX76,$BZ76,$AJ76,1,5)*$CB76</f>
        <v>-8.052966154767266E-7</v>
      </c>
      <c r="BL76" s="137">
        <f>_xll.xSPRDOPT(BW76,BV76,CG76,0,BY76,BX76,BZ76,AJ76,1,2)*CB76</f>
        <v>-0.79033287346072167</v>
      </c>
      <c r="BM76" s="137">
        <f>_xll.xSPRDOPT(BW76,BV76,CG76,0,BY76,BX76,BZ76,AJ76,1,1)*CB76</f>
        <v>0.79033287347078496</v>
      </c>
      <c r="BN76" s="137">
        <f>IF(AH76&lt;&gt;0,_xll.xSPRDOPT($BW76,$BV76,$CG76,2*LN(1+CA76/2),$BY76,$BX76,$BZ76,$AJ76,1,8)+(AJ76/365.25)*CH76/AH76,0)</f>
        <v>-1.9807112390819928</v>
      </c>
      <c r="BO76" s="137">
        <f>_xll.xSPRDOPT($BW76,$BV76,$CG76,0,$BY76,$BX76,$BZ76,$AJ76,1,0)</f>
        <v>0.92212194411912973</v>
      </c>
      <c r="BP76" s="137"/>
      <c r="BQ76" s="137"/>
      <c r="BR76" s="137"/>
      <c r="BS76" s="137"/>
      <c r="BV76" s="262">
        <v>3.526478149100257</v>
      </c>
      <c r="BW76" s="136">
        <v>4.4820000000000002</v>
      </c>
      <c r="BX76" s="137">
        <v>0.25100261501120846</v>
      </c>
      <c r="BY76" s="137">
        <v>0.25100261501120846</v>
      </c>
      <c r="BZ76" s="137">
        <v>1</v>
      </c>
      <c r="CA76" s="137">
        <v>5.2004985721710598E-2</v>
      </c>
      <c r="CB76" s="137">
        <v>0.79033279280378232</v>
      </c>
      <c r="CC76" s="258">
        <v>-0.01</v>
      </c>
      <c r="CD76" s="258">
        <v>7.4999999999999997E-3</v>
      </c>
      <c r="CE76" s="258">
        <v>1.05</v>
      </c>
      <c r="CF76" s="258">
        <v>0</v>
      </c>
      <c r="CG76" s="258">
        <v>3.3399999999999999E-2</v>
      </c>
      <c r="CH76" s="258">
        <v>9.1949688113170467</v>
      </c>
      <c r="CI76" s="258">
        <v>3.4319999999999999</v>
      </c>
      <c r="CJ76" s="258"/>
      <c r="CK76" s="258"/>
      <c r="CL76" s="258"/>
      <c r="CM76" s="258"/>
    </row>
    <row r="77" spans="1:91" x14ac:dyDescent="0.25">
      <c r="A77" s="723"/>
      <c r="B77" s="723"/>
      <c r="D77" s="31">
        <f t="shared" si="87"/>
        <v>38944</v>
      </c>
      <c r="F77" s="28">
        <f t="shared" si="52"/>
        <v>148</v>
      </c>
      <c r="G77" s="28">
        <f t="shared" si="53"/>
        <v>116.33945157844741</v>
      </c>
      <c r="H77" s="52">
        <f t="shared" si="54"/>
        <v>3.5624678663239071</v>
      </c>
      <c r="I77" s="52">
        <f t="shared" si="55"/>
        <v>4.5220000000000002</v>
      </c>
      <c r="K77" s="52">
        <f t="shared" si="56"/>
        <v>22.568357028058614</v>
      </c>
      <c r="L77" s="135">
        <f t="shared" si="57"/>
        <v>2.2655907834234768E-6</v>
      </c>
      <c r="N77" s="131">
        <f t="shared" si="48"/>
        <v>0.25189542698197026</v>
      </c>
      <c r="O77" s="131">
        <f t="shared" si="49"/>
        <v>0.25189542698197026</v>
      </c>
      <c r="P77" s="55">
        <f t="shared" si="50"/>
        <v>1</v>
      </c>
      <c r="Q77" s="135">
        <f>_xll.xSPRDOPT(I77,H77,AQ77,0,O77,N77,P77,D77-$G$5,1,0)*AH77*AU77</f>
        <v>22.568359293649397</v>
      </c>
      <c r="R77" s="135"/>
      <c r="S77" s="181">
        <f>_xll.xSPRDOPT(I77,H77,AQ77,AT77,O77,N77,P77,D77-$G$5,1,2)*AF77*(F77/(1-AR77))*AH77</f>
        <v>-3696.8984852948374</v>
      </c>
      <c r="T77" s="181">
        <f>_xll.xSPRDOPT(I77,H77,AQ77,AT77,O77,N77,P77,D77-$G$5,1,1)*AF77*F77*AH77</f>
        <v>3595.2337769742662</v>
      </c>
      <c r="U77" s="135"/>
      <c r="V77" s="146">
        <f t="shared" si="58"/>
        <v>9.1454600101292627</v>
      </c>
      <c r="W77" s="146"/>
      <c r="X77" s="338">
        <f t="shared" si="59"/>
        <v>0</v>
      </c>
      <c r="Y77" s="338">
        <f t="shared" si="60"/>
        <v>0</v>
      </c>
      <c r="Z77" s="338">
        <f t="shared" si="61"/>
        <v>1.4164960867234027</v>
      </c>
      <c r="AA77" s="338">
        <f t="shared" si="62"/>
        <v>-6.1550051801886756E-9</v>
      </c>
      <c r="AB77" s="338">
        <f t="shared" si="63"/>
        <v>0</v>
      </c>
      <c r="AC77" s="338">
        <f t="shared" si="64"/>
        <v>1.4349464497771172</v>
      </c>
      <c r="AF77" s="138">
        <f t="shared" si="65"/>
        <v>1</v>
      </c>
      <c r="AG77" s="138">
        <f t="shared" si="66"/>
        <v>8</v>
      </c>
      <c r="AH77" s="138">
        <f t="shared" si="67"/>
        <v>31</v>
      </c>
      <c r="AI77" s="138">
        <f t="shared" si="88"/>
        <v>1688</v>
      </c>
      <c r="AJ77" s="138">
        <f t="shared" si="68"/>
        <v>1705</v>
      </c>
      <c r="AL77" s="136">
        <f t="shared" si="69"/>
        <v>3.472</v>
      </c>
      <c r="AM77" s="258">
        <f t="shared" si="70"/>
        <v>-1.4999999999999999E-2</v>
      </c>
      <c r="AN77" s="258">
        <f t="shared" si="71"/>
        <v>7.4999999999999997E-3</v>
      </c>
      <c r="AO77" s="258">
        <f t="shared" si="72"/>
        <v>1.05</v>
      </c>
      <c r="AP77" s="258">
        <f t="shared" si="73"/>
        <v>0</v>
      </c>
      <c r="AQ77" s="136">
        <f t="shared" si="74"/>
        <v>3.3399999999999999E-2</v>
      </c>
      <c r="AR77" s="137">
        <f t="shared" si="75"/>
        <v>2.75E-2</v>
      </c>
      <c r="AS77" s="136">
        <f t="shared" si="76"/>
        <v>3.4644999999999997</v>
      </c>
      <c r="AT77" s="137">
        <f t="shared" si="77"/>
        <v>5.2327166392949202E-2</v>
      </c>
      <c r="AU77" s="137">
        <f t="shared" si="78"/>
        <v>0.78607737553005008</v>
      </c>
      <c r="AV77" s="394">
        <f t="shared" si="79"/>
        <v>97.473594565726216</v>
      </c>
      <c r="AW77" s="137">
        <f t="shared" si="80"/>
        <v>0.2475</v>
      </c>
      <c r="AX77" s="137">
        <f t="shared" si="81"/>
        <v>0.55000000000000004</v>
      </c>
      <c r="AY77" s="137">
        <f t="shared" si="82"/>
        <v>0.55000000000000004</v>
      </c>
      <c r="AZ77" s="137"/>
      <c r="BA77" s="264"/>
      <c r="BB77" s="258">
        <f t="shared" si="83"/>
        <v>0</v>
      </c>
      <c r="BC77" s="258">
        <f t="shared" si="84"/>
        <v>0</v>
      </c>
      <c r="BD77" s="137">
        <f t="shared" si="85"/>
        <v>7.659790955905077E-6</v>
      </c>
      <c r="BE77" s="137">
        <f t="shared" si="86"/>
        <v>7.659790955905077E-6</v>
      </c>
      <c r="BF77" s="137">
        <f>_xll.xSPRDOPT($BW77,$BV77,$CG77,0,$BY77,$BX77,$BZ77,$AJ77,1,4)*$CB77</f>
        <v>1.873359538635193E-7</v>
      </c>
      <c r="BG77" s="137">
        <f>_xll.xSPRDOPT($BW77,$BV77,$CG77,0,$BY77,$BX77,$BZ77,$AJ77,1,3)*$CB77</f>
        <v>1.873359538635193E-7</v>
      </c>
      <c r="BH77" s="137">
        <f>IF(OR(BF77&lt;&gt;0,BG77&lt;&gt;0),_xll.xSPRDOPT($BW77,$BV77,$CG77,0,$BY77,$BX77,$BZ77,$AJ77,1,12)*$CB77,0)</f>
        <v>-7.4934381545407719E-7</v>
      </c>
      <c r="BI77" s="137">
        <f>_xll.xSPRDOPT($BW77,$BV77,$CG77,2*LN(1+CA77/2),$BY77,$BX77,$BZ77,$AJ77,1,9)</f>
        <v>3.7589014507099887E-2</v>
      </c>
      <c r="BJ77" s="137">
        <f>_xll.xSPRDOPT($BW77,$BV77,$CG77,0,$BY77,$BX77,$BZ77,$AJ77,1,6)*$CB77</f>
        <v>6.5029349747519572E-7</v>
      </c>
      <c r="BK77" s="137">
        <f>_xll.xSPRDOPT($BW77,$BV77,$CG77,0,$BY77,$BX77,$BZ77,$AJ77,1,5)*$CB77</f>
        <v>-8.2543460678947084E-7</v>
      </c>
      <c r="BL77" s="137">
        <f>_xll.xSPRDOPT(BW77,BV77,CG77,0,BY77,BX77,BZ77,AJ77,1,2)*CB77</f>
        <v>-0.78574402025764356</v>
      </c>
      <c r="BM77" s="137">
        <f>_xll.xSPRDOPT(BW77,BV77,CG77,0,BY77,BX77,BZ77,AJ77,1,1)*CB77</f>
        <v>0.78574402026050205</v>
      </c>
      <c r="BN77" s="137">
        <f>IF(AH77&lt;&gt;0,_xll.xSPRDOPT($BW77,$BV77,$CG77,2*LN(1+CA77/2),$BY77,$BX77,$BZ77,$AJ77,1,8)+(AJ77/365.25)*CH77/AH77,0)</f>
        <v>-2.0203868824894844</v>
      </c>
      <c r="BO77" s="137">
        <f>_xll.xSPRDOPT($BW77,$BV77,$CG77,0,$BY77,$BX77,$BZ77,$AJ77,1,0)</f>
        <v>0.92613222660089267</v>
      </c>
      <c r="BP77" s="137"/>
      <c r="BQ77" s="137"/>
      <c r="BR77" s="137"/>
      <c r="BS77" s="137"/>
      <c r="BV77" s="262">
        <v>3.5624678663239071</v>
      </c>
      <c r="BW77" s="136">
        <v>4.5220000000000002</v>
      </c>
      <c r="BX77" s="137">
        <v>0.25188776719101436</v>
      </c>
      <c r="BY77" s="137">
        <v>0.25188776719101436</v>
      </c>
      <c r="BZ77" s="137">
        <v>1</v>
      </c>
      <c r="CA77" s="137">
        <v>5.2327166392949202E-2</v>
      </c>
      <c r="CB77" s="137">
        <v>0.78574394063357444</v>
      </c>
      <c r="CC77" s="258">
        <v>-1.4999999999999999E-2</v>
      </c>
      <c r="CD77" s="258">
        <v>7.4999999999999997E-3</v>
      </c>
      <c r="CE77" s="258">
        <v>1.05</v>
      </c>
      <c r="CF77" s="258">
        <v>0</v>
      </c>
      <c r="CG77" s="258">
        <v>3.3399999999999999E-2</v>
      </c>
      <c r="CH77" s="258">
        <v>9.1415807285131958</v>
      </c>
      <c r="CI77" s="258">
        <v>3.472</v>
      </c>
      <c r="CJ77" s="258"/>
      <c r="CK77" s="258"/>
      <c r="CL77" s="258"/>
      <c r="CM77" s="258"/>
    </row>
    <row r="78" spans="1:91" x14ac:dyDescent="0.25">
      <c r="A78" s="723"/>
      <c r="B78" s="723"/>
      <c r="D78" s="31">
        <f t="shared" si="87"/>
        <v>38975</v>
      </c>
      <c r="F78" s="28">
        <f t="shared" si="52"/>
        <v>148</v>
      </c>
      <c r="G78" s="28">
        <f t="shared" si="53"/>
        <v>115.65811893757076</v>
      </c>
      <c r="H78" s="52">
        <f t="shared" si="54"/>
        <v>3.5573264781491001</v>
      </c>
      <c r="I78" s="52">
        <f t="shared" si="55"/>
        <v>4.2170000000000005</v>
      </c>
      <c r="K78" s="52">
        <f t="shared" si="56"/>
        <v>14.682490029260022</v>
      </c>
      <c r="L78" s="135">
        <f t="shared" si="57"/>
        <v>1.4679164657138699E-6</v>
      </c>
      <c r="N78" s="131">
        <f t="shared" si="48"/>
        <v>0.251680618344995</v>
      </c>
      <c r="O78" s="131">
        <f t="shared" si="49"/>
        <v>0.251680618344995</v>
      </c>
      <c r="P78" s="55">
        <f t="shared" si="50"/>
        <v>1</v>
      </c>
      <c r="Q78" s="135">
        <f>_xll.xSPRDOPT(I78,H78,AQ78,0,O78,N78,P78,D78-$G$5,1,0)*AH78*AU78</f>
        <v>14.682491497176487</v>
      </c>
      <c r="R78" s="135"/>
      <c r="S78" s="181">
        <f>_xll.xSPRDOPT(I78,H78,AQ78,AT78,O78,N78,P78,D78-$G$5,1,2)*AF78*(F78/(1-AR78))*AH78</f>
        <v>-3556.3493630703156</v>
      </c>
      <c r="T78" s="181">
        <f>_xll.xSPRDOPT(I78,H78,AQ78,AT78,O78,N78,P78,D78-$G$5,1,1)*AF78*F78*AH78</f>
        <v>3458.5497556504924</v>
      </c>
      <c r="U78" s="135"/>
      <c r="V78" s="146">
        <f t="shared" si="58"/>
        <v>8.7986132507980361</v>
      </c>
      <c r="W78" s="146"/>
      <c r="X78" s="338">
        <f t="shared" si="59"/>
        <v>0</v>
      </c>
      <c r="Y78" s="338">
        <f t="shared" si="60"/>
        <v>0</v>
      </c>
      <c r="Z78" s="338">
        <f t="shared" si="61"/>
        <v>0.9271404973910583</v>
      </c>
      <c r="AA78" s="338">
        <f t="shared" si="62"/>
        <v>-2.5793542770608253E-9</v>
      </c>
      <c r="AB78" s="338">
        <f t="shared" si="63"/>
        <v>0</v>
      </c>
      <c r="AC78" s="338">
        <f t="shared" si="64"/>
        <v>0.9392909053243923</v>
      </c>
      <c r="AF78" s="138">
        <f t="shared" si="65"/>
        <v>1</v>
      </c>
      <c r="AG78" s="138">
        <f t="shared" si="66"/>
        <v>9</v>
      </c>
      <c r="AH78" s="138">
        <f t="shared" si="67"/>
        <v>30</v>
      </c>
      <c r="AI78" s="138">
        <f t="shared" si="88"/>
        <v>1719</v>
      </c>
      <c r="AJ78" s="138">
        <f t="shared" si="68"/>
        <v>1736</v>
      </c>
      <c r="AL78" s="136">
        <f t="shared" si="69"/>
        <v>3.4670000000000001</v>
      </c>
      <c r="AM78" s="258">
        <f t="shared" si="70"/>
        <v>-1.4999999999999999E-2</v>
      </c>
      <c r="AN78" s="258">
        <f t="shared" si="71"/>
        <v>7.4999999999999997E-3</v>
      </c>
      <c r="AO78" s="258">
        <f t="shared" si="72"/>
        <v>0.75</v>
      </c>
      <c r="AP78" s="258">
        <f t="shared" si="73"/>
        <v>0</v>
      </c>
      <c r="AQ78" s="136">
        <f t="shared" si="74"/>
        <v>3.3399999999999999E-2</v>
      </c>
      <c r="AR78" s="137">
        <f t="shared" si="75"/>
        <v>2.75E-2</v>
      </c>
      <c r="AS78" s="136">
        <f t="shared" si="76"/>
        <v>3.4594999999999998</v>
      </c>
      <c r="AT78" s="137">
        <f t="shared" si="77"/>
        <v>5.2649347098806303E-2</v>
      </c>
      <c r="AU78" s="137">
        <f t="shared" si="78"/>
        <v>0.78147377660520789</v>
      </c>
      <c r="AV78" s="394">
        <f t="shared" si="79"/>
        <v>93.776853192624941</v>
      </c>
      <c r="AW78" s="137">
        <f t="shared" si="80"/>
        <v>0.2475</v>
      </c>
      <c r="AX78" s="137">
        <f t="shared" si="81"/>
        <v>0.55000000000000004</v>
      </c>
      <c r="AY78" s="137">
        <f t="shared" si="82"/>
        <v>0.55000000000000004</v>
      </c>
      <c r="AZ78" s="137"/>
      <c r="BA78" s="264"/>
      <c r="BB78" s="258">
        <f t="shared" si="83"/>
        <v>0</v>
      </c>
      <c r="BC78" s="258">
        <f t="shared" si="84"/>
        <v>0</v>
      </c>
      <c r="BD78" s="137">
        <f t="shared" si="85"/>
        <v>7.1605450768785772E-6</v>
      </c>
      <c r="BE78" s="137">
        <f t="shared" si="86"/>
        <v>7.1605450768785772E-6</v>
      </c>
      <c r="BF78" s="137">
        <f>_xll.xSPRDOPT($BW78,$BV78,$CG78,0,$BY78,$BX78,$BZ78,$AJ78,1,4)*$CB78</f>
        <v>1.8623835568702114E-7</v>
      </c>
      <c r="BG78" s="137">
        <f>_xll.xSPRDOPT($BW78,$BV78,$CG78,0,$BY78,$BX78,$BZ78,$AJ78,1,3)*$CB78</f>
        <v>7.4495342274808455E-7</v>
      </c>
      <c r="BH78" s="137">
        <f>IF(OR(BF78&lt;&gt;0,BG78&lt;&gt;0),_xll.xSPRDOPT($BW78,$BV78,$CG78,0,$BY78,$BX78,$BZ78,$AJ78,1,12)*$CB78,0)</f>
        <v>-3.7247671137404228E-7</v>
      </c>
      <c r="BI78" s="137">
        <f>_xll.xSPRDOPT($BW78,$BV78,$CG78,2*LN(1+CA78/2),$BY78,$BX78,$BZ78,$AJ78,1,9)</f>
        <v>2.5423278278684989E-2</v>
      </c>
      <c r="BJ78" s="137">
        <f>_xll.xSPRDOPT($BW78,$BV78,$CG78,0,$BY78,$BX78,$BZ78,$AJ78,1,6)*$CB78</f>
        <v>4.374614734548766E-7</v>
      </c>
      <c r="BK78" s="137">
        <f>_xll.xSPRDOPT($BW78,$BV78,$CG78,0,$BY78,$BX78,$BZ78,$AJ78,1,5)*$CB78</f>
        <v>-5.1859156086435539E-7</v>
      </c>
      <c r="BL78" s="137">
        <f>_xll.xSPRDOPT(BW78,BV78,CG78,0,BY78,BX78,BZ78,AJ78,1,2)*CB78</f>
        <v>-0.781140354171448</v>
      </c>
      <c r="BM78" s="137">
        <f>_xll.xSPRDOPT(BW78,BV78,CG78,0,BY78,BX78,BZ78,AJ78,1,1)*CB78</f>
        <v>0.78114035417855243</v>
      </c>
      <c r="BN78" s="137">
        <f>IF(AH78&lt;&gt;0,_xll.xSPRDOPT($BW78,$BV78,$CG78,2*LN(1+CA78/2),$BY78,$BX78,$BZ78,$AJ78,1,8)+(AJ78/365.25)*CH78/AH78,0)</f>
        <v>-0.93178677637096974</v>
      </c>
      <c r="BO78" s="137">
        <f>_xll.xSPRDOPT($BW78,$BV78,$CG78,0,$BY78,$BX78,$BZ78,$AJ78,1,0)</f>
        <v>0.62627358444224535</v>
      </c>
      <c r="BP78" s="137"/>
      <c r="BQ78" s="137"/>
      <c r="BR78" s="137"/>
      <c r="BS78" s="137"/>
      <c r="BV78" s="262">
        <v>3.5573264781491001</v>
      </c>
      <c r="BW78" s="136">
        <v>4.2170000000000005</v>
      </c>
      <c r="BX78" s="137">
        <v>0.25167345779991812</v>
      </c>
      <c r="BY78" s="137">
        <v>0.25167345779991812</v>
      </c>
      <c r="BZ78" s="137">
        <v>1</v>
      </c>
      <c r="CA78" s="137">
        <v>5.2649347098806303E-2</v>
      </c>
      <c r="CB78" s="137">
        <v>0.78114028021149551</v>
      </c>
      <c r="CC78" s="258">
        <v>-1.4999999999999999E-2</v>
      </c>
      <c r="CD78" s="258">
        <v>7.4999999999999997E-3</v>
      </c>
      <c r="CE78" s="258">
        <v>0.75</v>
      </c>
      <c r="CF78" s="258">
        <v>0</v>
      </c>
      <c r="CG78" s="258">
        <v>3.3399999999999999E-2</v>
      </c>
      <c r="CH78" s="258">
        <v>8.7948584149012277</v>
      </c>
      <c r="CI78" s="258">
        <v>3.4670000000000001</v>
      </c>
      <c r="CJ78" s="258"/>
      <c r="CK78" s="258"/>
      <c r="CL78" s="258"/>
      <c r="CM78" s="258"/>
    </row>
    <row r="79" spans="1:91" x14ac:dyDescent="0.25">
      <c r="A79" s="723"/>
      <c r="B79" s="723"/>
      <c r="D79" s="31">
        <f t="shared" si="87"/>
        <v>39005</v>
      </c>
      <c r="F79" s="28">
        <f t="shared" si="52"/>
        <v>230</v>
      </c>
      <c r="G79" s="28">
        <f t="shared" si="53"/>
        <v>178.71117355172947</v>
      </c>
      <c r="H79" s="52">
        <f t="shared" si="54"/>
        <v>3.5804627249357321</v>
      </c>
      <c r="I79" s="52">
        <f t="shared" si="55"/>
        <v>3.9420000000000002</v>
      </c>
      <c r="K79" s="52">
        <f t="shared" si="56"/>
        <v>7.9038944473776613</v>
      </c>
      <c r="L79" s="135">
        <f t="shared" si="57"/>
        <v>3.4602574103814732E-6</v>
      </c>
      <c r="N79" s="131">
        <f t="shared" si="48"/>
        <v>0.25274596357326584</v>
      </c>
      <c r="O79" s="131">
        <f t="shared" si="49"/>
        <v>0.25274596357326584</v>
      </c>
      <c r="P79" s="55">
        <f t="shared" si="50"/>
        <v>1.0000000000000002</v>
      </c>
      <c r="Q79" s="135">
        <f>_xll.xSPRDOPT(I79,H79,AQ79,0,O79,N79,P79,D79-$G$5,1,0)*AH79*AU79</f>
        <v>7.9038979076350717</v>
      </c>
      <c r="R79" s="135"/>
      <c r="S79" s="181">
        <f>_xll.xSPRDOPT(I79,H79,AQ79,AT79,O79,N79,P79,D79-$G$5,1,2)*AF79*(F79/(1-AR79))*AH79</f>
        <v>-5677.7702067752598</v>
      </c>
      <c r="T79" s="181">
        <f>_xll.xSPRDOPT(I79,H79,AQ79,AT79,O79,N79,P79,D79-$G$5,1,1)*AF79*F79*AH79</f>
        <v>5521.6315260370638</v>
      </c>
      <c r="U79" s="135"/>
      <c r="V79" s="146">
        <f t="shared" si="58"/>
        <v>9.0399104628386375</v>
      </c>
      <c r="W79" s="146"/>
      <c r="X79" s="338">
        <f t="shared" si="59"/>
        <v>0</v>
      </c>
      <c r="Y79" s="338">
        <f t="shared" si="60"/>
        <v>0</v>
      </c>
      <c r="Z79" s="338">
        <f t="shared" si="61"/>
        <v>0.78014382562455087</v>
      </c>
      <c r="AA79" s="338">
        <f t="shared" si="62"/>
        <v>6.3506534971129703E-7</v>
      </c>
      <c r="AB79" s="338">
        <f t="shared" si="63"/>
        <v>0</v>
      </c>
      <c r="AC79" s="338">
        <f t="shared" si="64"/>
        <v>0.79044383227671255</v>
      </c>
      <c r="AF79" s="138">
        <f t="shared" si="65"/>
        <v>1</v>
      </c>
      <c r="AG79" s="138">
        <f t="shared" si="66"/>
        <v>10</v>
      </c>
      <c r="AH79" s="138">
        <f t="shared" si="67"/>
        <v>31</v>
      </c>
      <c r="AI79" s="138">
        <f t="shared" si="88"/>
        <v>1749</v>
      </c>
      <c r="AJ79" s="138">
        <f t="shared" si="68"/>
        <v>1766</v>
      </c>
      <c r="AL79" s="136">
        <f t="shared" si="69"/>
        <v>3.492</v>
      </c>
      <c r="AM79" s="258">
        <f t="shared" si="70"/>
        <v>-1.7500000000000002E-2</v>
      </c>
      <c r="AN79" s="258">
        <f t="shared" si="71"/>
        <v>7.4999999999999997E-3</v>
      </c>
      <c r="AO79" s="258">
        <f t="shared" si="72"/>
        <v>0.45</v>
      </c>
      <c r="AP79" s="258">
        <f t="shared" si="73"/>
        <v>0</v>
      </c>
      <c r="AQ79" s="136">
        <f t="shared" si="74"/>
        <v>3.3399999999999999E-2</v>
      </c>
      <c r="AR79" s="137">
        <f t="shared" si="75"/>
        <v>2.75E-2</v>
      </c>
      <c r="AS79" s="136">
        <f t="shared" si="76"/>
        <v>3.4819999999999998</v>
      </c>
      <c r="AT79" s="137">
        <f t="shared" si="77"/>
        <v>5.2961134911624401E-2</v>
      </c>
      <c r="AU79" s="137">
        <f t="shared" si="78"/>
        <v>0.77700510239882381</v>
      </c>
      <c r="AV79" s="394">
        <f t="shared" si="79"/>
        <v>168.61010722054476</v>
      </c>
      <c r="AW79" s="137">
        <f t="shared" si="80"/>
        <v>0.2475</v>
      </c>
      <c r="AX79" s="137">
        <f t="shared" si="81"/>
        <v>0.6</v>
      </c>
      <c r="AY79" s="137">
        <f t="shared" si="82"/>
        <v>0.6</v>
      </c>
      <c r="AZ79" s="137"/>
      <c r="BA79" s="264"/>
      <c r="BB79" s="258">
        <f t="shared" si="83"/>
        <v>0</v>
      </c>
      <c r="BC79" s="258">
        <f t="shared" si="84"/>
        <v>0</v>
      </c>
      <c r="BD79" s="137">
        <f t="shared" si="85"/>
        <v>8.8117880494009704E-6</v>
      </c>
      <c r="BE79" s="137">
        <f t="shared" si="86"/>
        <v>8.8117880494009704E-6</v>
      </c>
      <c r="BF79" s="137">
        <f>_xll.xSPRDOPT($BW79,$BV79,$CG79,0,$BY79,$BX79,$BZ79,$AJ79,1,4)*$CB79</f>
        <v>1.018451133658332E-6</v>
      </c>
      <c r="BG79" s="137">
        <f>_xll.xSPRDOPT($BW79,$BV79,$CG79,0,$BY79,$BX79,$BZ79,$AJ79,1,3)*$CB79</f>
        <v>9.2586466696211997E-8</v>
      </c>
      <c r="BH79" s="137">
        <f>IF(OR(BF79&lt;&gt;0,BG79&lt;&gt;0),_xll.xSPRDOPT($BW79,$BV79,$CG79,0,$BY79,$BX79,$BZ79,$AJ79,1,12)*$CB79,0)</f>
        <v>2.7775940008863598E-7</v>
      </c>
      <c r="BI79" s="137">
        <f>_xll.xSPRDOPT($BW79,$BV79,$CG79,2*LN(1+CA79/2),$BY79,$BX79,$BZ79,$AJ79,1,9)</f>
        <v>1.3321530262242507E-2</v>
      </c>
      <c r="BJ79" s="137">
        <f>_xll.xSPRDOPT($BW79,$BV79,$CG79,0,$BY79,$BX79,$BZ79,$AJ79,1,6)*$CB79</f>
        <v>-1.0010386380207226E-4</v>
      </c>
      <c r="BK79" s="137">
        <f>_xll.xSPRDOPT($BW79,$BV79,$CG79,0,$BY79,$BX79,$BZ79,$AJ79,1,5)*$CB79</f>
        <v>1.1021185476979187E-4</v>
      </c>
      <c r="BL79" s="137">
        <f>_xll.xSPRDOPT(BW79,BV79,CG79,0,BY79,BX79,BZ79,AJ79,1,2)*CB79</f>
        <v>-0.77666893487000999</v>
      </c>
      <c r="BM79" s="137">
        <f>_xll.xSPRDOPT(BW79,BV79,CG79,0,BY79,BX79,BZ79,AJ79,1,1)*CB79</f>
        <v>0.77666893486153354</v>
      </c>
      <c r="BN79" s="137">
        <f>IF(AH79&lt;&gt;0,_xll.xSPRDOPT($BW79,$BV79,$CG79,2*LN(1+CA79/2),$BY79,$BX79,$BZ79,$AJ79,1,8)+(AJ79/365.25)*CH79/AH79,0)</f>
        <v>0.1771068780706031</v>
      </c>
      <c r="BO79" s="137">
        <f>_xll.xSPRDOPT($BW79,$BV79,$CG79,0,$BY79,$BX79,$BZ79,$AJ79,1,0)</f>
        <v>0.32813742140313723</v>
      </c>
      <c r="BP79" s="137"/>
      <c r="BQ79" s="137"/>
      <c r="BR79" s="137"/>
      <c r="BS79" s="137"/>
      <c r="BV79" s="262">
        <v>3.5804627249357321</v>
      </c>
      <c r="BW79" s="136">
        <v>3.9420000000000002</v>
      </c>
      <c r="BX79" s="137">
        <v>0.25273715178521644</v>
      </c>
      <c r="BY79" s="137">
        <v>0.25273715178521644</v>
      </c>
      <c r="BZ79" s="137">
        <v>1</v>
      </c>
      <c r="CA79" s="137">
        <v>5.2961134911624401E-2</v>
      </c>
      <c r="CB79" s="137">
        <v>0.77667157521957753</v>
      </c>
      <c r="CC79" s="258">
        <v>-1.7500000000000002E-2</v>
      </c>
      <c r="CD79" s="258">
        <v>7.4999999999999997E-3</v>
      </c>
      <c r="CE79" s="258">
        <v>0.45</v>
      </c>
      <c r="CF79" s="258">
        <v>0</v>
      </c>
      <c r="CG79" s="258">
        <v>3.3399999999999999E-2</v>
      </c>
      <c r="CH79" s="258">
        <v>9.0360301075771314</v>
      </c>
      <c r="CI79" s="258">
        <v>3.492</v>
      </c>
      <c r="CJ79" s="258"/>
      <c r="CK79" s="258"/>
      <c r="CL79" s="258"/>
      <c r="CM79" s="258"/>
    </row>
    <row r="80" spans="1:91" x14ac:dyDescent="0.25">
      <c r="A80" s="723"/>
      <c r="B80" s="723"/>
      <c r="D80" s="31">
        <f t="shared" si="87"/>
        <v>39036</v>
      </c>
      <c r="F80" s="28">
        <f t="shared" si="52"/>
        <v>230</v>
      </c>
      <c r="G80" s="28">
        <f t="shared" si="53"/>
        <v>177.64602187252123</v>
      </c>
      <c r="H80" s="52">
        <f t="shared" si="54"/>
        <v>3.7352185089974297</v>
      </c>
      <c r="I80" s="52">
        <f t="shared" si="55"/>
        <v>4.0940000000000003</v>
      </c>
      <c r="K80" s="52">
        <f t="shared" si="56"/>
        <v>7.5394861914203775</v>
      </c>
      <c r="L80" s="135">
        <f t="shared" si="57"/>
        <v>5.4568646952191102E-6</v>
      </c>
      <c r="N80" s="131">
        <f t="shared" si="48"/>
        <v>0.25708471122670462</v>
      </c>
      <c r="O80" s="131">
        <f t="shared" si="49"/>
        <v>0.25708471122670462</v>
      </c>
      <c r="P80" s="55">
        <f t="shared" si="50"/>
        <v>1</v>
      </c>
      <c r="Q80" s="135">
        <f>_xll.xSPRDOPT(I80,H80,AQ80,0,O80,N80,P80,D80-$G$5,1,0)*AH80*AU80</f>
        <v>7.5394916482850727</v>
      </c>
      <c r="R80" s="135"/>
      <c r="S80" s="181">
        <f>_xll.xSPRDOPT(I80,H80,AQ80,AT80,O80,N80,P80,D80-$G$5,1,2)*AF80*(F80/(1-AR80))*AH80</f>
        <v>-5461.3256127054347</v>
      </c>
      <c r="T80" s="181">
        <f>_xll.xSPRDOPT(I80,H80,AQ80,AT80,O80,N80,P80,D80-$G$5,1,1)*AF80*F80*AH80</f>
        <v>5311.1391583246586</v>
      </c>
      <c r="U80" s="135"/>
      <c r="V80" s="146">
        <f t="shared" si="58"/>
        <v>8.6961589576639859</v>
      </c>
      <c r="W80" s="146"/>
      <c r="X80" s="338">
        <f t="shared" si="59"/>
        <v>0</v>
      </c>
      <c r="Y80" s="338">
        <f t="shared" si="60"/>
        <v>0</v>
      </c>
      <c r="Z80" s="338">
        <f t="shared" si="61"/>
        <v>0.74864263678192655</v>
      </c>
      <c r="AA80" s="338">
        <f t="shared" si="62"/>
        <v>1.019780188448939E-6</v>
      </c>
      <c r="AB80" s="338">
        <f t="shared" si="63"/>
        <v>0</v>
      </c>
      <c r="AC80" s="338">
        <f t="shared" si="64"/>
        <v>0.75858560409081111</v>
      </c>
      <c r="AF80" s="138">
        <f t="shared" si="65"/>
        <v>1</v>
      </c>
      <c r="AG80" s="138">
        <f t="shared" si="66"/>
        <v>11</v>
      </c>
      <c r="AH80" s="138">
        <f t="shared" si="67"/>
        <v>30</v>
      </c>
      <c r="AI80" s="138">
        <f t="shared" si="88"/>
        <v>1780</v>
      </c>
      <c r="AJ80" s="138">
        <f t="shared" si="68"/>
        <v>1797</v>
      </c>
      <c r="AL80" s="136">
        <f t="shared" si="69"/>
        <v>3.6440000000000001</v>
      </c>
      <c r="AM80" s="258">
        <f t="shared" si="70"/>
        <v>-1.4E-2</v>
      </c>
      <c r="AN80" s="258">
        <f t="shared" si="71"/>
        <v>2.5000000000000001E-3</v>
      </c>
      <c r="AO80" s="258">
        <f t="shared" si="72"/>
        <v>0.45</v>
      </c>
      <c r="AP80" s="258">
        <f t="shared" si="73"/>
        <v>0</v>
      </c>
      <c r="AQ80" s="136">
        <f t="shared" si="74"/>
        <v>3.3399999999999999E-2</v>
      </c>
      <c r="AR80" s="137">
        <f t="shared" si="75"/>
        <v>2.75E-2</v>
      </c>
      <c r="AS80" s="136">
        <f t="shared" si="76"/>
        <v>3.6325000000000003</v>
      </c>
      <c r="AT80" s="137">
        <f t="shared" si="77"/>
        <v>5.3283315685584802E-2</v>
      </c>
      <c r="AU80" s="137">
        <f t="shared" si="78"/>
        <v>0.77237400814139667</v>
      </c>
      <c r="AV80" s="394">
        <f t="shared" si="79"/>
        <v>162.1985417096933</v>
      </c>
      <c r="AW80" s="137">
        <f t="shared" si="80"/>
        <v>0.2475</v>
      </c>
      <c r="AX80" s="137">
        <f t="shared" si="81"/>
        <v>0.8</v>
      </c>
      <c r="AY80" s="137">
        <f t="shared" si="82"/>
        <v>0.8</v>
      </c>
      <c r="AZ80" s="137"/>
      <c r="BA80" s="264"/>
      <c r="BB80" s="258">
        <f t="shared" si="83"/>
        <v>0</v>
      </c>
      <c r="BC80" s="258">
        <f t="shared" si="84"/>
        <v>0</v>
      </c>
      <c r="BD80" s="137">
        <f t="shared" si="85"/>
        <v>1.5694652291009525E-5</v>
      </c>
      <c r="BE80" s="137">
        <f t="shared" si="86"/>
        <v>1.5694652291009525E-5</v>
      </c>
      <c r="BF80" s="137">
        <f>_xll.xSPRDOPT($BW80,$BV80,$CG80,0,$BY80,$BX80,$BZ80,$AJ80,1,4)*$CB80</f>
        <v>-1.1964471606024514E-6</v>
      </c>
      <c r="BG80" s="137">
        <f>_xll.xSPRDOPT($BW80,$BV80,$CG80,0,$BY80,$BX80,$BZ80,$AJ80,1,3)*$CB80</f>
        <v>-8.2830957272477398E-7</v>
      </c>
      <c r="BH80" s="137">
        <f>IF(OR(BF80&lt;&gt;0,BG80&lt;&gt;0),_xll.xSPRDOPT($BW80,$BV80,$CG80,0,$BY80,$BX80,$BZ80,$AJ80,1,12)*$CB80,0)</f>
        <v>2.7610319090825799E-7</v>
      </c>
      <c r="BI80" s="137">
        <f>_xll.xSPRDOPT($BW80,$BV80,$CG80,2*LN(1+CA80/2),$BY80,$BX80,$BZ80,$AJ80,1,9)</f>
        <v>1.320974507655066E-2</v>
      </c>
      <c r="BJ80" s="137">
        <f>_xll.xSPRDOPT($BW80,$BV80,$CG80,0,$BY80,$BX80,$BZ80,$AJ80,1,6)*$CB80</f>
        <v>-9.8037497166825568E-5</v>
      </c>
      <c r="BK80" s="137">
        <f>_xll.xSPRDOPT($BW80,$BV80,$CG80,0,$BY80,$BX80,$BZ80,$AJ80,1,5)*$CB80</f>
        <v>1.0745434995652726E-4</v>
      </c>
      <c r="BL80" s="137">
        <f>_xll.xSPRDOPT(BW80,BV80,CG80,0,BY80,BX80,BZ80,AJ80,1,2)*CB80</f>
        <v>-0.77203803101266899</v>
      </c>
      <c r="BM80" s="137">
        <f>_xll.xSPRDOPT(BW80,BV80,CG80,0,BY80,BX80,BZ80,AJ80,1,1)*CB80</f>
        <v>0.77203803101337121</v>
      </c>
      <c r="BN80" s="137">
        <f>IF(AH80&lt;&gt;0,_xll.xSPRDOPT($BW80,$BV80,$CG80,2*LN(1+CA80/2),$BY80,$BX80,$BZ80,$AJ80,1,8)+(AJ80/365.25)*CH80/AH80,0)</f>
        <v>0.18960834996057829</v>
      </c>
      <c r="BO80" s="137">
        <f>_xll.xSPRDOPT($BW80,$BV80,$CG80,0,$BY80,$BX80,$BZ80,$AJ80,1,0)</f>
        <v>0.32538172893399736</v>
      </c>
      <c r="BP80" s="137"/>
      <c r="BQ80" s="137"/>
      <c r="BR80" s="137"/>
      <c r="BS80" s="137"/>
      <c r="BV80" s="262">
        <v>3.7352185089974297</v>
      </c>
      <c r="BW80" s="136">
        <v>4.0940000000000003</v>
      </c>
      <c r="BX80" s="137">
        <v>0.25706901657441361</v>
      </c>
      <c r="BY80" s="137">
        <v>0.25706901657441361</v>
      </c>
      <c r="BZ80" s="137">
        <v>1</v>
      </c>
      <c r="CA80" s="137">
        <v>5.3283315685584802E-2</v>
      </c>
      <c r="CB80" s="137">
        <v>0.77204047869284675</v>
      </c>
      <c r="CC80" s="258">
        <v>-1.4E-2</v>
      </c>
      <c r="CD80" s="258">
        <v>2.5000000000000001E-3</v>
      </c>
      <c r="CE80" s="258">
        <v>0.45</v>
      </c>
      <c r="CF80" s="258">
        <v>0</v>
      </c>
      <c r="CG80" s="258">
        <v>3.3399999999999999E-2</v>
      </c>
      <c r="CH80" s="258">
        <v>8.6924037496027626</v>
      </c>
      <c r="CI80" s="258">
        <v>3.6440000000000001</v>
      </c>
      <c r="CJ80" s="258"/>
      <c r="CK80" s="258"/>
      <c r="CL80" s="258"/>
      <c r="CM80" s="258"/>
    </row>
    <row r="81" spans="1:91" x14ac:dyDescent="0.25">
      <c r="A81" s="723"/>
      <c r="B81" s="723"/>
      <c r="D81" s="31">
        <f t="shared" si="87"/>
        <v>39066</v>
      </c>
      <c r="F81" s="28">
        <f t="shared" si="52"/>
        <v>230</v>
      </c>
      <c r="G81" s="28">
        <f t="shared" si="53"/>
        <v>176.61235753389502</v>
      </c>
      <c r="H81" s="52">
        <f t="shared" si="54"/>
        <v>3.8822622107969149</v>
      </c>
      <c r="I81" s="52">
        <f t="shared" si="55"/>
        <v>4.1870000000000003</v>
      </c>
      <c r="K81" s="52">
        <f t="shared" si="56"/>
        <v>6.4589991557171755</v>
      </c>
      <c r="L81" s="135">
        <f t="shared" si="57"/>
        <v>2.9050528453034019E-5</v>
      </c>
      <c r="N81" s="131">
        <f t="shared" si="48"/>
        <v>0.26311016393816972</v>
      </c>
      <c r="O81" s="131">
        <f t="shared" si="49"/>
        <v>0.26311016393816972</v>
      </c>
      <c r="P81" s="55">
        <f t="shared" si="50"/>
        <v>0.99999999999999978</v>
      </c>
      <c r="Q81" s="135">
        <f>_xll.xSPRDOPT(I81,H81,AQ81,0,O81,N81,P81,D81-$G$5,1,0)*AH81*AU81</f>
        <v>6.4590282062456286</v>
      </c>
      <c r="R81" s="135"/>
      <c r="S81" s="181">
        <f>_xll.xSPRDOPT(I81,H81,AQ81,AT81,O81,N81,P81,D81-$G$5,1,2)*AF81*(F81/(1-AR81))*AH81</f>
        <v>-5609.8563222388984</v>
      </c>
      <c r="T81" s="181">
        <f>_xll.xSPRDOPT(I81,H81,AQ81,AT81,O81,N81,P81,D81-$G$5,1,1)*AF81*F81*AH81</f>
        <v>5455.5852734875698</v>
      </c>
      <c r="U81" s="135"/>
      <c r="V81" s="146">
        <f t="shared" si="58"/>
        <v>8.9337441358982392</v>
      </c>
      <c r="W81" s="146"/>
      <c r="X81" s="338">
        <f t="shared" si="59"/>
        <v>0</v>
      </c>
      <c r="Y81" s="338">
        <f t="shared" si="60"/>
        <v>0</v>
      </c>
      <c r="Z81" s="338">
        <f t="shared" si="61"/>
        <v>0.64498130161569001</v>
      </c>
      <c r="AA81" s="338">
        <f t="shared" si="62"/>
        <v>1.0310062338287079E-5</v>
      </c>
      <c r="AB81" s="338">
        <f t="shared" si="63"/>
        <v>0</v>
      </c>
      <c r="AC81" s="338">
        <f t="shared" si="64"/>
        <v>0.65367597373409225</v>
      </c>
      <c r="AF81" s="138">
        <f t="shared" si="65"/>
        <v>1</v>
      </c>
      <c r="AG81" s="138">
        <f t="shared" si="66"/>
        <v>12</v>
      </c>
      <c r="AH81" s="138">
        <f t="shared" si="67"/>
        <v>31</v>
      </c>
      <c r="AI81" s="138">
        <f t="shared" si="88"/>
        <v>1810</v>
      </c>
      <c r="AJ81" s="138">
        <f t="shared" si="68"/>
        <v>1827</v>
      </c>
      <c r="AL81" s="136">
        <f t="shared" si="69"/>
        <v>3.7869999999999999</v>
      </c>
      <c r="AM81" s="258">
        <f t="shared" si="70"/>
        <v>-1.4E-2</v>
      </c>
      <c r="AN81" s="258">
        <f t="shared" si="71"/>
        <v>2.5000000000000001E-3</v>
      </c>
      <c r="AO81" s="258">
        <f t="shared" si="72"/>
        <v>0.4</v>
      </c>
      <c r="AP81" s="258">
        <f t="shared" si="73"/>
        <v>0</v>
      </c>
      <c r="AQ81" s="136">
        <f t="shared" si="74"/>
        <v>3.3399999999999999E-2</v>
      </c>
      <c r="AR81" s="137">
        <f t="shared" si="75"/>
        <v>2.75E-2</v>
      </c>
      <c r="AS81" s="136">
        <f t="shared" si="76"/>
        <v>3.7755000000000001</v>
      </c>
      <c r="AT81" s="137">
        <f t="shared" si="77"/>
        <v>5.3595103564298502E-2</v>
      </c>
      <c r="AU81" s="137">
        <f t="shared" si="78"/>
        <v>0.76787981536476091</v>
      </c>
      <c r="AV81" s="394">
        <f t="shared" si="79"/>
        <v>166.62991993415312</v>
      </c>
      <c r="AW81" s="137">
        <f t="shared" si="80"/>
        <v>0.2475</v>
      </c>
      <c r="AX81" s="137">
        <f t="shared" si="81"/>
        <v>1</v>
      </c>
      <c r="AY81" s="137">
        <f t="shared" si="82"/>
        <v>1</v>
      </c>
      <c r="AZ81" s="137"/>
      <c r="BA81" s="264"/>
      <c r="BB81" s="258">
        <f t="shared" si="83"/>
        <v>0</v>
      </c>
      <c r="BC81" s="258">
        <f t="shared" si="84"/>
        <v>0</v>
      </c>
      <c r="BD81" s="137">
        <f t="shared" si="85"/>
        <v>2.485284437847568E-5</v>
      </c>
      <c r="BE81" s="137">
        <f t="shared" si="86"/>
        <v>2.485284437847568E-5</v>
      </c>
      <c r="BF81" s="137">
        <f>_xll.xSPRDOPT($BW81,$BV81,$CG81,0,$BY81,$BX81,$BZ81,$AJ81,1,4)*$CB81</f>
        <v>5.489919034249394E-7</v>
      </c>
      <c r="BG81" s="137">
        <f>_xll.xSPRDOPT($BW81,$BV81,$CG81,0,$BY81,$BX81,$BZ81,$AJ81,1,3)*$CB81</f>
        <v>7.319892045665859E-7</v>
      </c>
      <c r="BH81" s="137">
        <f>IF(OR(BF81&lt;&gt;0,BG81&lt;&gt;0),_xll.xSPRDOPT($BW81,$BV81,$CG81,0,$BY81,$BX81,$BZ81,$AJ81,1,12)*$CB81,0)</f>
        <v>-6.862398792811743E-7</v>
      </c>
      <c r="BI81" s="137">
        <f>_xll.xSPRDOPT($BW81,$BV81,$CG81,2*LN(1+CA81/2),$BY81,$BX81,$BZ81,$AJ81,1,9)</f>
        <v>1.1013530641193587E-2</v>
      </c>
      <c r="BJ81" s="137">
        <f>_xll.xSPRDOPT($BW81,$BV81,$CG81,0,$BY81,$BX81,$BZ81,$AJ81,1,6)*$CB81</f>
        <v>-7.4123206988200175E-4</v>
      </c>
      <c r="BK81" s="137">
        <f>_xll.xSPRDOPT($BW81,$BV81,$CG81,0,$BY81,$BX81,$BZ81,$AJ81,1,5)*$CB81</f>
        <v>7.9941500967456751E-4</v>
      </c>
      <c r="BL81" s="137">
        <f>_xll.xSPRDOPT(BW81,BV81,CG81,0,BY81,BX81,BZ81,AJ81,1,2)*CB81</f>
        <v>-0.76752641845647829</v>
      </c>
      <c r="BM81" s="137">
        <f>_xll.xSPRDOPT(BW81,BV81,CG81,0,BY81,BX81,BZ81,AJ81,1,1)*CB81</f>
        <v>0.76752641846904379</v>
      </c>
      <c r="BN81" s="137">
        <f>IF(AH81&lt;&gt;0,_xll.xSPRDOPT($BW81,$BV81,$CG81,2*LN(1+CA81/2),$BY81,$BX81,$BZ81,$AJ81,1,8)+(AJ81/365.25)*CH81/AH81,0)</f>
        <v>0.39913816811145408</v>
      </c>
      <c r="BO81" s="137">
        <f>_xll.xSPRDOPT($BW81,$BV81,$CG81,0,$BY81,$BX81,$BZ81,$AJ81,1,0)</f>
        <v>0.27133902410474431</v>
      </c>
      <c r="BP81" s="137"/>
      <c r="BQ81" s="137"/>
      <c r="BR81" s="137"/>
      <c r="BS81" s="137"/>
      <c r="BV81" s="262">
        <v>3.8822622107969149</v>
      </c>
      <c r="BW81" s="136">
        <v>4.1870000000000003</v>
      </c>
      <c r="BX81" s="137">
        <v>0.26308531109379124</v>
      </c>
      <c r="BY81" s="137">
        <v>0.26308531109379124</v>
      </c>
      <c r="BZ81" s="137">
        <v>1</v>
      </c>
      <c r="CA81" s="137">
        <v>5.3595103564298502E-2</v>
      </c>
      <c r="CB81" s="137">
        <v>0.76754631216761238</v>
      </c>
      <c r="CC81" s="258">
        <v>-1.4E-2</v>
      </c>
      <c r="CD81" s="258">
        <v>2.5000000000000001E-3</v>
      </c>
      <c r="CE81" s="258">
        <v>0.4</v>
      </c>
      <c r="CF81" s="258">
        <v>0</v>
      </c>
      <c r="CG81" s="258">
        <v>3.3399999999999999E-2</v>
      </c>
      <c r="CH81" s="258">
        <v>8.9298640596516545</v>
      </c>
      <c r="CI81" s="258">
        <v>3.7869999999999999</v>
      </c>
      <c r="CJ81" s="258"/>
      <c r="CK81" s="258"/>
      <c r="CL81" s="258"/>
      <c r="CM81" s="258"/>
    </row>
    <row r="82" spans="1:91" x14ac:dyDescent="0.25">
      <c r="A82" s="723"/>
      <c r="B82" s="723"/>
      <c r="D82" s="31">
        <f t="shared" si="87"/>
        <v>39097</v>
      </c>
      <c r="F82" s="28">
        <f t="shared" si="52"/>
        <v>230</v>
      </c>
      <c r="G82" s="28">
        <f t="shared" si="53"/>
        <v>175.59557662797803</v>
      </c>
      <c r="H82" s="52">
        <f t="shared" si="54"/>
        <v>3.9362467866323909</v>
      </c>
      <c r="I82" s="52">
        <f t="shared" si="55"/>
        <v>4.1894999999999998</v>
      </c>
      <c r="K82" s="52">
        <f t="shared" si="56"/>
        <v>5.2033165435598878</v>
      </c>
      <c r="L82" s="135">
        <f t="shared" si="57"/>
        <v>9.7290977783437427E-5</v>
      </c>
      <c r="N82" s="131">
        <f t="shared" si="48"/>
        <v>0.26285711475899531</v>
      </c>
      <c r="O82" s="131">
        <f t="shared" si="49"/>
        <v>0.26285711475899531</v>
      </c>
      <c r="P82" s="55">
        <f t="shared" si="50"/>
        <v>1.0000000000000002</v>
      </c>
      <c r="Q82" s="135">
        <f>_xll.xSPRDOPT(I82,H82,AQ82,0,O82,N82,P82,D82-$G$5,1,0)*AH82*AU82</f>
        <v>5.2034138345376713</v>
      </c>
      <c r="R82" s="135"/>
      <c r="S82" s="181">
        <f>_xll.xSPRDOPT(I82,H82,AQ82,AT82,O82,N82,P82,D82-$G$5,1,2)*AF82*(F82/(1-AR82))*AH82</f>
        <v>-5576.7920641974024</v>
      </c>
      <c r="T82" s="181">
        <f>_xll.xSPRDOPT(I82,H82,AQ82,AT82,O82,N82,P82,D82-$G$5,1,1)*AF82*F82*AH82</f>
        <v>5423.4302823379448</v>
      </c>
      <c r="U82" s="135"/>
      <c r="V82" s="146">
        <f t="shared" si="58"/>
        <v>8.8823113789690655</v>
      </c>
      <c r="W82" s="146"/>
      <c r="X82" s="338">
        <f t="shared" si="59"/>
        <v>0</v>
      </c>
      <c r="Y82" s="338">
        <f t="shared" si="60"/>
        <v>0</v>
      </c>
      <c r="Z82" s="338">
        <f t="shared" si="61"/>
        <v>0.52197099147239423</v>
      </c>
      <c r="AA82" s="338">
        <f t="shared" si="62"/>
        <v>2.096156096349145E-5</v>
      </c>
      <c r="AB82" s="338">
        <f t="shared" si="63"/>
        <v>0</v>
      </c>
      <c r="AC82" s="338">
        <f t="shared" si="64"/>
        <v>0.52915493443663508</v>
      </c>
      <c r="AF82" s="138">
        <f t="shared" si="65"/>
        <v>1</v>
      </c>
      <c r="AG82" s="138">
        <f t="shared" si="66"/>
        <v>1</v>
      </c>
      <c r="AH82" s="138">
        <f t="shared" si="67"/>
        <v>31</v>
      </c>
      <c r="AI82" s="138">
        <f t="shared" si="88"/>
        <v>1841</v>
      </c>
      <c r="AJ82" s="138">
        <f t="shared" si="68"/>
        <v>1858</v>
      </c>
      <c r="AL82" s="136">
        <f t="shared" si="69"/>
        <v>3.8395000000000001</v>
      </c>
      <c r="AM82" s="258">
        <f t="shared" si="70"/>
        <v>-1.4E-2</v>
      </c>
      <c r="AN82" s="258">
        <f t="shared" si="71"/>
        <v>2.5000000000000001E-3</v>
      </c>
      <c r="AO82" s="258">
        <f t="shared" si="72"/>
        <v>0.35</v>
      </c>
      <c r="AP82" s="258">
        <f t="shared" si="73"/>
        <v>0</v>
      </c>
      <c r="AQ82" s="136">
        <f t="shared" si="74"/>
        <v>3.3399999999999999E-2</v>
      </c>
      <c r="AR82" s="137">
        <f t="shared" si="75"/>
        <v>2.75E-2</v>
      </c>
      <c r="AS82" s="136">
        <f t="shared" si="76"/>
        <v>3.8280000000000003</v>
      </c>
      <c r="AT82" s="137">
        <f t="shared" si="77"/>
        <v>5.38548873933569E-2</v>
      </c>
      <c r="AU82" s="137">
        <f t="shared" si="78"/>
        <v>0.76345902881729577</v>
      </c>
      <c r="AV82" s="394">
        <f t="shared" si="79"/>
        <v>165.67060925335318</v>
      </c>
      <c r="AW82" s="137">
        <f t="shared" si="80"/>
        <v>0.2475</v>
      </c>
      <c r="AX82" s="137">
        <f t="shared" si="81"/>
        <v>1</v>
      </c>
      <c r="AY82" s="137">
        <f t="shared" si="82"/>
        <v>1</v>
      </c>
      <c r="AZ82" s="137"/>
      <c r="BA82" s="264"/>
      <c r="BB82" s="258">
        <f t="shared" si="83"/>
        <v>0</v>
      </c>
      <c r="BC82" s="258">
        <f t="shared" si="84"/>
        <v>0</v>
      </c>
      <c r="BD82" s="137">
        <f t="shared" si="85"/>
        <v>2.40535407127207E-5</v>
      </c>
      <c r="BE82" s="137">
        <f t="shared" si="86"/>
        <v>2.40535407127207E-5</v>
      </c>
      <c r="BF82" s="137">
        <f>_xll.xSPRDOPT($BW82,$BV82,$CG82,0,$BY82,$BX82,$BZ82,$AJ82,1,4)*$CB82</f>
        <v>-9.0971691598774174E-8</v>
      </c>
      <c r="BG82" s="137">
        <f>_xll.xSPRDOPT($BW82,$BV82,$CG82,0,$BY82,$BX82,$BZ82,$AJ82,1,3)*$CB82</f>
        <v>1.8194338315518635E-7</v>
      </c>
      <c r="BH82" s="137">
        <f>IF(OR(BF82&lt;&gt;0,BG82&lt;&gt;0),_xll.xSPRDOPT($BW82,$BV82,$CG82,0,$BY82,$BX82,$BZ82,$AJ82,1,12)*$CB82,0)</f>
        <v>9.3245983888743533E-7</v>
      </c>
      <c r="BI82" s="137">
        <f>_xll.xSPRDOPT($BW82,$BV82,$CG82,2*LN(1+CA82/2),$BY82,$BX82,$BZ82,$AJ82,1,9)</f>
        <v>8.9130390198827476E-3</v>
      </c>
      <c r="BJ82" s="137">
        <f>_xll.xSPRDOPT($BW82,$BV82,$CG82,0,$BY82,$BX82,$BZ82,$AJ82,1,6)*$CB82</f>
        <v>-1.8996888298238592E-3</v>
      </c>
      <c r="BK82" s="137">
        <f>_xll.xSPRDOPT($BW82,$BV82,$CG82,0,$BY82,$BX82,$BZ82,$AJ82,1,5)*$CB82</f>
        <v>2.0219124312750351E-3</v>
      </c>
      <c r="BL82" s="137">
        <f>_xll.xSPRDOPT(BW82,BV82,CG82,0,BY82,BX82,BZ82,AJ82,1,2)*CB82</f>
        <v>-0.76307314611544175</v>
      </c>
      <c r="BM82" s="137">
        <f>_xll.xSPRDOPT(BW82,BV82,CG82,0,BY82,BX82,BZ82,AJ82,1,1)*CB82</f>
        <v>0.76307314610329569</v>
      </c>
      <c r="BN82" s="137">
        <f>IF(AH82&lt;&gt;0,_xll.xSPRDOPT($BW82,$BV82,$CG82,2*LN(1+CA82/2),$BY82,$BX82,$BZ82,$AJ82,1,8)+(AJ82/365.25)*CH82/AH82,0)</f>
        <v>0.60342296595399481</v>
      </c>
      <c r="BO82" s="137">
        <f>_xll.xSPRDOPT($BW82,$BV82,$CG82,0,$BY82,$BX82,$BZ82,$AJ82,1,0)</f>
        <v>0.21985735432980413</v>
      </c>
      <c r="BP82" s="137"/>
      <c r="BQ82" s="137"/>
      <c r="BR82" s="137"/>
      <c r="BS82" s="137"/>
      <c r="BV82" s="262">
        <v>3.9362467866323909</v>
      </c>
      <c r="BW82" s="136">
        <v>4.1894999999999998</v>
      </c>
      <c r="BX82" s="137">
        <v>0.26283306121828259</v>
      </c>
      <c r="BY82" s="137">
        <v>0.26283306121828259</v>
      </c>
      <c r="BZ82" s="137">
        <v>1</v>
      </c>
      <c r="CA82" s="137">
        <v>5.38548873933569E-2</v>
      </c>
      <c r="CB82" s="137">
        <v>0.76312585991900983</v>
      </c>
      <c r="CC82" s="258">
        <v>-1.4E-2</v>
      </c>
      <c r="CD82" s="258">
        <v>2.5000000000000001E-3</v>
      </c>
      <c r="CE82" s="258">
        <v>0.35</v>
      </c>
      <c r="CF82" s="258">
        <v>0</v>
      </c>
      <c r="CG82" s="258">
        <v>3.3399999999999999E-2</v>
      </c>
      <c r="CH82" s="258">
        <v>8.8784351920557363</v>
      </c>
      <c r="CI82" s="258">
        <v>3.8395000000000001</v>
      </c>
      <c r="CJ82" s="258"/>
      <c r="CK82" s="258"/>
      <c r="CL82" s="258"/>
      <c r="CM82" s="258"/>
    </row>
    <row r="83" spans="1:91" x14ac:dyDescent="0.25">
      <c r="A83" s="723"/>
      <c r="B83" s="723"/>
      <c r="D83" s="31">
        <f t="shared" si="87"/>
        <v>39128</v>
      </c>
      <c r="F83" s="28">
        <f t="shared" si="52"/>
        <v>230</v>
      </c>
      <c r="G83" s="28">
        <f t="shared" si="53"/>
        <v>0</v>
      </c>
      <c r="H83" s="52">
        <f t="shared" si="54"/>
        <v>3.8488431876606688</v>
      </c>
      <c r="I83" s="52">
        <f t="shared" si="55"/>
        <v>4.1044999999999998</v>
      </c>
      <c r="K83" s="52">
        <f t="shared" si="56"/>
        <v>0</v>
      </c>
      <c r="L83" s="135">
        <f t="shared" si="57"/>
        <v>0</v>
      </c>
      <c r="N83" s="131">
        <f t="shared" si="48"/>
        <v>0.24249999999999999</v>
      </c>
      <c r="O83" s="131">
        <f t="shared" si="49"/>
        <v>0.24249999999999999</v>
      </c>
      <c r="P83" s="55">
        <f t="shared" si="50"/>
        <v>0</v>
      </c>
      <c r="Q83" s="135">
        <f>_xll.xSPRDOPT(I83,H83,AQ83,0,O83,N83,P83,D83-$G$5,1,0)*AH83*AU83</f>
        <v>0</v>
      </c>
      <c r="R83" s="135"/>
      <c r="S83" s="181">
        <f>_xll.xSPRDOPT(I83,H83,AQ83,AT83,O83,N83,P83,D83-$G$5,1,2)*AF83*(F83/(1-AR83))*AH83</f>
        <v>0</v>
      </c>
      <c r="T83" s="181">
        <f>_xll.xSPRDOPT(I83,H83,AQ83,AT83,O83,N83,P83,D83-$G$5,1,1)*AF83*F83*AH83</f>
        <v>0</v>
      </c>
      <c r="U83" s="135"/>
      <c r="V83" s="146">
        <f t="shared" si="58"/>
        <v>0</v>
      </c>
      <c r="W83" s="146"/>
      <c r="X83" s="338">
        <f t="shared" si="59"/>
        <v>0</v>
      </c>
      <c r="Y83" s="338">
        <f t="shared" si="60"/>
        <v>0</v>
      </c>
      <c r="Z83" s="338">
        <f t="shared" si="61"/>
        <v>0</v>
      </c>
      <c r="AA83" s="338">
        <f t="shared" si="62"/>
        <v>0</v>
      </c>
      <c r="AB83" s="338">
        <f t="shared" si="63"/>
        <v>0</v>
      </c>
      <c r="AC83" s="338">
        <f t="shared" si="64"/>
        <v>0</v>
      </c>
      <c r="AF83" s="138">
        <f t="shared" si="65"/>
        <v>0</v>
      </c>
      <c r="AG83" s="138">
        <f t="shared" si="66"/>
        <v>2</v>
      </c>
      <c r="AH83" s="138">
        <f t="shared" si="67"/>
        <v>0</v>
      </c>
      <c r="AI83" s="138">
        <f t="shared" si="88"/>
        <v>1872</v>
      </c>
      <c r="AJ83" s="138">
        <f t="shared" si="68"/>
        <v>1889</v>
      </c>
      <c r="AL83" s="136">
        <f t="shared" si="69"/>
        <v>3.7545000000000002</v>
      </c>
      <c r="AM83" s="258">
        <f t="shared" si="70"/>
        <v>-1.4E-2</v>
      </c>
      <c r="AN83" s="258">
        <f t="shared" si="71"/>
        <v>2.5000000000000001E-3</v>
      </c>
      <c r="AO83" s="258">
        <f t="shared" si="72"/>
        <v>0.35</v>
      </c>
      <c r="AP83" s="258">
        <f t="shared" si="73"/>
        <v>0</v>
      </c>
      <c r="AQ83" s="136">
        <f t="shared" si="74"/>
        <v>3.3399999999999999E-2</v>
      </c>
      <c r="AR83" s="137">
        <f t="shared" si="75"/>
        <v>2.75E-2</v>
      </c>
      <c r="AS83" s="136">
        <f t="shared" si="76"/>
        <v>3.7430000000000003</v>
      </c>
      <c r="AT83" s="137">
        <f t="shared" si="77"/>
        <v>5.4038903438607302E-2</v>
      </c>
      <c r="AU83" s="137">
        <f t="shared" si="78"/>
        <v>0</v>
      </c>
      <c r="AV83" s="394">
        <f t="shared" si="79"/>
        <v>0</v>
      </c>
      <c r="AW83" s="137">
        <f t="shared" si="80"/>
        <v>0.24249999999999999</v>
      </c>
      <c r="AX83" s="137">
        <f t="shared" si="81"/>
        <v>1</v>
      </c>
      <c r="AY83" s="137">
        <f t="shared" si="82"/>
        <v>1</v>
      </c>
      <c r="AZ83" s="137"/>
      <c r="BA83" s="264"/>
      <c r="BB83" s="258">
        <f t="shared" si="83"/>
        <v>0</v>
      </c>
      <c r="BC83" s="258">
        <f t="shared" si="84"/>
        <v>0</v>
      </c>
      <c r="BD83" s="137">
        <f t="shared" si="85"/>
        <v>0</v>
      </c>
      <c r="BE83" s="137">
        <f t="shared" si="86"/>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-3.0443111416379211E-2</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1.3206660552488332</v>
      </c>
      <c r="BP83" s="137"/>
      <c r="BQ83" s="137"/>
      <c r="BR83" s="137"/>
      <c r="BS83" s="137"/>
      <c r="BV83" s="262">
        <v>3.8488431876606688</v>
      </c>
      <c r="BW83" s="136">
        <v>4.1044999999999998</v>
      </c>
      <c r="BX83" s="137">
        <v>0.24249999999999999</v>
      </c>
      <c r="BY83" s="137">
        <v>0.24249999999999999</v>
      </c>
      <c r="BZ83" s="137">
        <v>0</v>
      </c>
      <c r="CA83" s="137">
        <v>5.4038903438607302E-2</v>
      </c>
      <c r="CB83" s="137">
        <v>0</v>
      </c>
      <c r="CC83" s="258">
        <v>-1.4E-2</v>
      </c>
      <c r="CD83" s="258">
        <v>2.5000000000000001E-3</v>
      </c>
      <c r="CE83" s="258">
        <v>0.35</v>
      </c>
      <c r="CF83" s="258">
        <v>0</v>
      </c>
      <c r="CG83" s="258">
        <v>3.3399999999999999E-2</v>
      </c>
      <c r="CH83" s="258">
        <v>0</v>
      </c>
      <c r="CI83" s="258">
        <v>3.7545000000000002</v>
      </c>
      <c r="CJ83" s="258"/>
      <c r="CK83" s="258"/>
      <c r="CL83" s="258"/>
      <c r="CM83" s="258"/>
    </row>
    <row r="84" spans="1:91" x14ac:dyDescent="0.25">
      <c r="A84" s="723"/>
      <c r="B84" s="723"/>
      <c r="D84" s="31">
        <f t="shared" si="87"/>
        <v>39128</v>
      </c>
      <c r="F84" s="28">
        <f t="shared" si="52"/>
        <v>230</v>
      </c>
      <c r="G84" s="28">
        <f t="shared" si="53"/>
        <v>0</v>
      </c>
      <c r="H84" s="52">
        <f t="shared" si="54"/>
        <v>3.8488431876606688</v>
      </c>
      <c r="I84" s="52">
        <f t="shared" si="55"/>
        <v>4.1044999999999998</v>
      </c>
      <c r="K84" s="52">
        <f t="shared" si="56"/>
        <v>0</v>
      </c>
      <c r="L84" s="135">
        <f t="shared" si="57"/>
        <v>0</v>
      </c>
      <c r="N84" s="131">
        <f t="shared" si="48"/>
        <v>0.24249999999999999</v>
      </c>
      <c r="O84" s="131">
        <f t="shared" si="49"/>
        <v>0.24249999999999999</v>
      </c>
      <c r="P84" s="55">
        <f t="shared" si="50"/>
        <v>0</v>
      </c>
      <c r="Q84" s="135">
        <f>_xll.xSPRDOPT(I84,H84,AQ84,0,O84,N84,P84,D84-$G$5,1,0)*AH84*AU84</f>
        <v>0</v>
      </c>
      <c r="R84" s="135"/>
      <c r="S84" s="181">
        <f>_xll.xSPRDOPT(I84,H84,AQ84,AT84,O84,N84,P84,D84-$G$5,1,2)*AF84*(F84/(1-AR84))*AH84</f>
        <v>0</v>
      </c>
      <c r="T84" s="181">
        <f>_xll.xSPRDOPT(I84,H84,AQ84,AT84,O84,N84,P84,D84-$G$5,1,1)*AF84*F84*AH84</f>
        <v>0</v>
      </c>
      <c r="U84" s="135"/>
      <c r="V84" s="146">
        <f t="shared" si="58"/>
        <v>0</v>
      </c>
      <c r="W84" s="146"/>
      <c r="X84" s="338">
        <f t="shared" si="59"/>
        <v>0</v>
      </c>
      <c r="Y84" s="338">
        <f t="shared" si="60"/>
        <v>0</v>
      </c>
      <c r="Z84" s="338">
        <f t="shared" si="61"/>
        <v>0</v>
      </c>
      <c r="AA84" s="338">
        <f t="shared" si="62"/>
        <v>0</v>
      </c>
      <c r="AB84" s="338">
        <f t="shared" si="63"/>
        <v>0</v>
      </c>
      <c r="AC84" s="338">
        <f t="shared" si="64"/>
        <v>0</v>
      </c>
      <c r="AF84" s="138">
        <f t="shared" si="65"/>
        <v>0</v>
      </c>
      <c r="AG84" s="138">
        <f t="shared" si="66"/>
        <v>2</v>
      </c>
      <c r="AH84" s="138">
        <f t="shared" si="67"/>
        <v>0</v>
      </c>
      <c r="AI84" s="138">
        <f t="shared" si="88"/>
        <v>1872</v>
      </c>
      <c r="AJ84" s="138">
        <f t="shared" si="68"/>
        <v>1889</v>
      </c>
      <c r="AL84" s="136">
        <f t="shared" si="69"/>
        <v>3.7545000000000002</v>
      </c>
      <c r="AM84" s="258">
        <f t="shared" si="70"/>
        <v>-1.4E-2</v>
      </c>
      <c r="AN84" s="258">
        <f t="shared" si="71"/>
        <v>2.5000000000000001E-3</v>
      </c>
      <c r="AO84" s="258">
        <f t="shared" si="72"/>
        <v>0.35</v>
      </c>
      <c r="AP84" s="258">
        <f t="shared" si="73"/>
        <v>0</v>
      </c>
      <c r="AQ84" s="136">
        <f t="shared" si="74"/>
        <v>3.3399999999999999E-2</v>
      </c>
      <c r="AR84" s="137">
        <f t="shared" si="75"/>
        <v>2.75E-2</v>
      </c>
      <c r="AS84" s="136">
        <f t="shared" si="76"/>
        <v>3.7430000000000003</v>
      </c>
      <c r="AT84" s="137">
        <f t="shared" si="77"/>
        <v>5.4038903438607302E-2</v>
      </c>
      <c r="AU84" s="137">
        <f t="shared" si="78"/>
        <v>0</v>
      </c>
      <c r="AV84" s="394">
        <f t="shared" si="79"/>
        <v>0</v>
      </c>
      <c r="AW84" s="137">
        <f t="shared" si="80"/>
        <v>0.24249999999999999</v>
      </c>
      <c r="AX84" s="137">
        <f t="shared" si="81"/>
        <v>1</v>
      </c>
      <c r="AY84" s="137">
        <f t="shared" si="82"/>
        <v>1</v>
      </c>
      <c r="AZ84" s="137"/>
      <c r="BA84" s="264"/>
      <c r="BB84" s="258">
        <f t="shared" si="83"/>
        <v>0</v>
      </c>
      <c r="BC84" s="258">
        <f t="shared" si="84"/>
        <v>0</v>
      </c>
      <c r="BD84" s="137">
        <f t="shared" si="85"/>
        <v>0</v>
      </c>
      <c r="BE84" s="137">
        <f t="shared" si="86"/>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-3.0443111416379211E-2</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1.3206660552488332</v>
      </c>
      <c r="BP84" s="137"/>
      <c r="BQ84" s="137"/>
      <c r="BR84" s="137"/>
      <c r="BS84" s="137"/>
      <c r="BV84" s="262">
        <v>3.8488431876606688</v>
      </c>
      <c r="BW84" s="136">
        <v>4.1044999999999998</v>
      </c>
      <c r="BX84" s="137">
        <v>0.24249999999999999</v>
      </c>
      <c r="BY84" s="137">
        <v>0.24249999999999999</v>
      </c>
      <c r="BZ84" s="137">
        <v>0</v>
      </c>
      <c r="CA84" s="137">
        <v>5.4038903438607302E-2</v>
      </c>
      <c r="CB84" s="137">
        <v>0</v>
      </c>
      <c r="CC84" s="258">
        <v>-1.4E-2</v>
      </c>
      <c r="CD84" s="258">
        <v>2.5000000000000001E-3</v>
      </c>
      <c r="CE84" s="258">
        <v>0.35</v>
      </c>
      <c r="CF84" s="258">
        <v>0</v>
      </c>
      <c r="CG84" s="258">
        <v>3.3399999999999999E-2</v>
      </c>
      <c r="CH84" s="258">
        <v>0</v>
      </c>
      <c r="CI84" s="258">
        <v>3.7545000000000002</v>
      </c>
      <c r="CJ84" s="258"/>
      <c r="CK84" s="258"/>
      <c r="CL84" s="258"/>
      <c r="CM84" s="258"/>
    </row>
    <row r="85" spans="1:91" x14ac:dyDescent="0.25">
      <c r="A85" s="723"/>
      <c r="B85" s="723"/>
      <c r="D85" s="31">
        <f t="shared" si="87"/>
        <v>39128</v>
      </c>
      <c r="F85" s="28">
        <f t="shared" si="52"/>
        <v>230</v>
      </c>
      <c r="G85" s="28">
        <f t="shared" si="53"/>
        <v>0</v>
      </c>
      <c r="H85" s="52">
        <f t="shared" si="54"/>
        <v>3.8488431876606688</v>
      </c>
      <c r="I85" s="52">
        <f t="shared" si="55"/>
        <v>4.1044999999999998</v>
      </c>
      <c r="K85" s="52">
        <f t="shared" si="56"/>
        <v>0</v>
      </c>
      <c r="L85" s="135">
        <f t="shared" si="57"/>
        <v>0</v>
      </c>
      <c r="N85" s="131">
        <f t="shared" si="48"/>
        <v>0.24249999999999999</v>
      </c>
      <c r="O85" s="131">
        <f t="shared" si="49"/>
        <v>0.24249999999999999</v>
      </c>
      <c r="P85" s="55">
        <f t="shared" si="50"/>
        <v>0</v>
      </c>
      <c r="Q85" s="135">
        <f>_xll.xSPRDOPT(I85,H85,AQ85,0,O85,N85,P85,D85-$G$5,1,0)*AH85*AU85</f>
        <v>0</v>
      </c>
      <c r="R85" s="135"/>
      <c r="S85" s="181">
        <f>_xll.xSPRDOPT(I85,H85,AQ85,AT85,O85,N85,P85,D85-$G$5,1,2)*AF85*(F85/(1-AR85))*AH85</f>
        <v>0</v>
      </c>
      <c r="T85" s="181">
        <f>_xll.xSPRDOPT(I85,H85,AQ85,AT85,O85,N85,P85,D85-$G$5,1,1)*AF85*F85*AH85</f>
        <v>0</v>
      </c>
      <c r="U85" s="135"/>
      <c r="V85" s="146">
        <f t="shared" si="58"/>
        <v>0</v>
      </c>
      <c r="W85" s="146"/>
      <c r="X85" s="338">
        <f t="shared" si="59"/>
        <v>0</v>
      </c>
      <c r="Y85" s="338">
        <f t="shared" si="60"/>
        <v>0</v>
      </c>
      <c r="Z85" s="338">
        <f t="shared" si="61"/>
        <v>0</v>
      </c>
      <c r="AA85" s="338">
        <f t="shared" si="62"/>
        <v>0</v>
      </c>
      <c r="AB85" s="338">
        <f t="shared" si="63"/>
        <v>0</v>
      </c>
      <c r="AC85" s="338">
        <f t="shared" si="64"/>
        <v>0</v>
      </c>
      <c r="AF85" s="138">
        <f t="shared" si="65"/>
        <v>0</v>
      </c>
      <c r="AG85" s="138">
        <f t="shared" si="66"/>
        <v>2</v>
      </c>
      <c r="AH85" s="138">
        <f t="shared" si="67"/>
        <v>0</v>
      </c>
      <c r="AI85" s="138">
        <f t="shared" si="88"/>
        <v>1872</v>
      </c>
      <c r="AJ85" s="138">
        <f t="shared" si="68"/>
        <v>1889</v>
      </c>
      <c r="AL85" s="136">
        <f t="shared" si="69"/>
        <v>3.7545000000000002</v>
      </c>
      <c r="AM85" s="258">
        <f t="shared" si="70"/>
        <v>-1.4E-2</v>
      </c>
      <c r="AN85" s="258">
        <f t="shared" si="71"/>
        <v>2.5000000000000001E-3</v>
      </c>
      <c r="AO85" s="258">
        <f t="shared" si="72"/>
        <v>0.35</v>
      </c>
      <c r="AP85" s="258">
        <f t="shared" si="73"/>
        <v>0</v>
      </c>
      <c r="AQ85" s="136">
        <f t="shared" si="74"/>
        <v>3.3399999999999999E-2</v>
      </c>
      <c r="AR85" s="137">
        <f t="shared" si="75"/>
        <v>2.75E-2</v>
      </c>
      <c r="AS85" s="136">
        <f t="shared" si="76"/>
        <v>3.7430000000000003</v>
      </c>
      <c r="AT85" s="137">
        <f t="shared" si="77"/>
        <v>5.4038903438607302E-2</v>
      </c>
      <c r="AU85" s="137">
        <f t="shared" si="78"/>
        <v>0</v>
      </c>
      <c r="AV85" s="394">
        <f t="shared" si="79"/>
        <v>0</v>
      </c>
      <c r="AW85" s="137">
        <f t="shared" si="80"/>
        <v>0.24249999999999999</v>
      </c>
      <c r="AX85" s="137">
        <f t="shared" si="81"/>
        <v>1</v>
      </c>
      <c r="AY85" s="137">
        <f t="shared" si="82"/>
        <v>1</v>
      </c>
      <c r="AZ85" s="137"/>
      <c r="BA85" s="264"/>
      <c r="BB85" s="258">
        <f t="shared" si="83"/>
        <v>0</v>
      </c>
      <c r="BC85" s="258">
        <f t="shared" si="84"/>
        <v>0</v>
      </c>
      <c r="BD85" s="137">
        <f t="shared" si="85"/>
        <v>0</v>
      </c>
      <c r="BE85" s="137">
        <f t="shared" si="86"/>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-3.0443111416379211E-2</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1.3206660552488332</v>
      </c>
      <c r="BP85" s="137"/>
      <c r="BQ85" s="137"/>
      <c r="BR85" s="137"/>
      <c r="BS85" s="137"/>
      <c r="BV85" s="262">
        <v>3.8488431876606688</v>
      </c>
      <c r="BW85" s="136">
        <v>4.1044999999999998</v>
      </c>
      <c r="BX85" s="137">
        <v>0.24249999999999999</v>
      </c>
      <c r="BY85" s="137">
        <v>0.24249999999999999</v>
      </c>
      <c r="BZ85" s="137">
        <v>0</v>
      </c>
      <c r="CA85" s="137">
        <v>5.4038903438607302E-2</v>
      </c>
      <c r="CB85" s="137">
        <v>0</v>
      </c>
      <c r="CC85" s="258">
        <v>-1.4E-2</v>
      </c>
      <c r="CD85" s="258">
        <v>2.5000000000000001E-3</v>
      </c>
      <c r="CE85" s="258">
        <v>0.35</v>
      </c>
      <c r="CF85" s="258">
        <v>0</v>
      </c>
      <c r="CG85" s="258">
        <v>3.3399999999999999E-2</v>
      </c>
      <c r="CH85" s="258">
        <v>0</v>
      </c>
      <c r="CI85" s="258">
        <v>3.7545000000000002</v>
      </c>
      <c r="CJ85" s="258"/>
      <c r="CK85" s="258"/>
      <c r="CL85" s="258"/>
      <c r="CM85" s="258"/>
    </row>
    <row r="86" spans="1:91" x14ac:dyDescent="0.25">
      <c r="A86" s="723"/>
      <c r="B86" s="723"/>
      <c r="D86" s="31">
        <f t="shared" si="87"/>
        <v>39128</v>
      </c>
      <c r="F86" s="28">
        <f>VLOOKUP(AG86,$AL$4:$AS$15,2)</f>
        <v>230</v>
      </c>
      <c r="G86" s="28">
        <f>F86*$AU86</f>
        <v>0</v>
      </c>
      <c r="H86" s="52">
        <f>(AL86+AM86+AN86)/(1-(AR86))</f>
        <v>3.8488431876606688</v>
      </c>
      <c r="I86" s="52">
        <f>(AL86+AO86+AP86)</f>
        <v>4.1044999999999998</v>
      </c>
      <c r="K86" s="52">
        <f>MAX(((I86-H86)-AQ86)*AU86*AH86,0)</f>
        <v>0</v>
      </c>
      <c r="L86" s="135">
        <f>MAX(Q86-K86,0)</f>
        <v>0</v>
      </c>
      <c r="N86" s="131">
        <f t="shared" si="48"/>
        <v>0.24249999999999999</v>
      </c>
      <c r="O86" s="131">
        <f t="shared" si="49"/>
        <v>0.24249999999999999</v>
      </c>
      <c r="P86" s="55">
        <f t="shared" si="50"/>
        <v>0</v>
      </c>
      <c r="Q86" s="135">
        <f>_xll.xSPRDOPT(I86,H86,AQ86,0,O86,N86,P86,D86-$G$5,1,0)*AH86*AU86</f>
        <v>0</v>
      </c>
      <c r="R86" s="135"/>
      <c r="S86" s="181">
        <f>_xll.xSPRDOPT(I86,H86,AQ86,AT86,O86,N86,P86,D86-$G$5,1,2)*AF86*(F86/(1-AR86))*AH86</f>
        <v>0</v>
      </c>
      <c r="T86" s="181">
        <f>_xll.xSPRDOPT(I86,H86,AQ86,AT86,O86,N86,P86,D86-$G$5,1,1)*AF86*F86*AH86</f>
        <v>0</v>
      </c>
      <c r="U86" s="135"/>
      <c r="V86" s="146">
        <f>VLOOKUP($AG86,$AL$4:$AS$15,8)*AH86*AU86</f>
        <v>0</v>
      </c>
      <c r="W86" s="146"/>
      <c r="X86" s="338">
        <f>((BM86*BC86)+(BL86*BB86))*AH86*F86</f>
        <v>0</v>
      </c>
      <c r="Y86" s="338">
        <f>($F86*$AH86)*((($BG86/2)*($BC86)^2)+(($BF86/2)*($BB86)^2)+($BH86*$BC86*$BB86))</f>
        <v>0</v>
      </c>
      <c r="Z86" s="338">
        <f>($BI86*$F86*$AH86*($G$5-$BV$5))/365.25</f>
        <v>0</v>
      </c>
      <c r="AA86" s="338">
        <f>(($BK86*$BE86)+($BJ86*$BD86))*$F86*$AH86*$AF86</f>
        <v>0</v>
      </c>
      <c r="AB86" s="338">
        <f>BN86*(AT86-CA86)*F86*AH86</f>
        <v>0</v>
      </c>
      <c r="AC86" s="338">
        <f>BO86*CB86*F86*AH86*CA86*($G$5-$BV$5)/365.25</f>
        <v>0</v>
      </c>
      <c r="AF86" s="138">
        <f>IF(AND(D86&gt;=$G$7,D86&lt;=$G$8),1,0)</f>
        <v>0</v>
      </c>
      <c r="AG86" s="138">
        <f>MONTH(D86)</f>
        <v>2</v>
      </c>
      <c r="AH86" s="138">
        <f t="shared" si="67"/>
        <v>0</v>
      </c>
      <c r="AI86" s="138">
        <f t="shared" si="88"/>
        <v>1872</v>
      </c>
      <c r="AJ86" s="138">
        <f>D86-$BV$5</f>
        <v>1889</v>
      </c>
      <c r="AL86" s="136">
        <f>VLOOKUP($D86,CurveTbl,$AK$4)</f>
        <v>3.7545000000000002</v>
      </c>
      <c r="AM86" s="258">
        <f>VLOOKUP($D86,CurveTbl,$AH$3)</f>
        <v>-1.4E-2</v>
      </c>
      <c r="AN86" s="258">
        <f>VLOOKUP($D86,CurveTbl,$AH$4)+VLOOKUP($AG86,$AL$3:$AS$15,6)</f>
        <v>2.5000000000000001E-3</v>
      </c>
      <c r="AO86" s="258">
        <f>VLOOKUP($D86,CurveTbl,$AH$5)</f>
        <v>0.35</v>
      </c>
      <c r="AP86" s="258">
        <f>VLOOKUP($D86,CurveTbl,$AH$6)+VLOOKUP($AG86,$AL$3:$AS$15,7)</f>
        <v>0</v>
      </c>
      <c r="AQ86" s="136">
        <f>VLOOKUP($AG86,$AL$4:$AS$15,3)+VLOOKUP($AG86,$AL$4:$AS$15,5)+($AH$10*VLOOKUP(D86,GRITable,2))</f>
        <v>3.3399999999999999E-2</v>
      </c>
      <c r="AR86" s="137">
        <f>VLOOKUP($AG86,$AL$4:$AS$15,4)</f>
        <v>2.75E-2</v>
      </c>
      <c r="AS86" s="136">
        <f>(AL86+AM86+AN86)</f>
        <v>3.7430000000000003</v>
      </c>
      <c r="AT86" s="137">
        <f>VLOOKUP(D86,CurveTbl,$AK$6)</f>
        <v>5.4038903438607302E-2</v>
      </c>
      <c r="AU86" s="137">
        <f>(1+$AT86/2)^(-2*($D86-$G$5)/365.25)*$AF86</f>
        <v>0</v>
      </c>
      <c r="AV86" s="394">
        <f>ROUND((F86/(1-AR86))-F86,0)*AF86*AH86*AU86</f>
        <v>0</v>
      </c>
      <c r="AW86" s="137">
        <f>VLOOKUP($D86,CurveTbl,$AK$8)</f>
        <v>0.24249999999999999</v>
      </c>
      <c r="AX86" s="137">
        <f>VLOOKUP($D86,CurveTbl,$AH$7)</f>
        <v>1</v>
      </c>
      <c r="AY86" s="137">
        <f>VLOOKUP($D86,CurveTbl,$AH$8)</f>
        <v>1</v>
      </c>
      <c r="AZ86" s="137"/>
      <c r="BA86" s="264"/>
      <c r="BB86" s="258">
        <f>$H86-$BV86</f>
        <v>0</v>
      </c>
      <c r="BC86" s="258">
        <f>I86-BW86</f>
        <v>0</v>
      </c>
      <c r="BD86" s="137">
        <f t="shared" ref="BD86:BE89" si="89">N86-BX86</f>
        <v>0</v>
      </c>
      <c r="BE86" s="137">
        <f t="shared" si="89"/>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-3.0443111416379211E-2</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1.3206660552488332</v>
      </c>
      <c r="BP86" s="137"/>
      <c r="BQ86" s="137"/>
      <c r="BR86" s="137"/>
      <c r="BS86" s="137"/>
      <c r="BV86" s="262">
        <v>3.8488431876606688</v>
      </c>
      <c r="BW86" s="136">
        <v>4.1044999999999998</v>
      </c>
      <c r="BX86" s="137">
        <v>0.24249999999999999</v>
      </c>
      <c r="BY86" s="137">
        <v>0.24249999999999999</v>
      </c>
      <c r="BZ86" s="137">
        <v>0</v>
      </c>
      <c r="CA86" s="137">
        <v>5.4038903438607302E-2</v>
      </c>
      <c r="CB86" s="137">
        <v>0</v>
      </c>
      <c r="CC86" s="258">
        <v>-1.4E-2</v>
      </c>
      <c r="CD86" s="258">
        <v>2.5000000000000001E-3</v>
      </c>
      <c r="CE86" s="258">
        <v>0.35</v>
      </c>
      <c r="CF86" s="258">
        <v>0</v>
      </c>
      <c r="CG86" s="258">
        <v>3.3399999999999999E-2</v>
      </c>
      <c r="CH86" s="258">
        <v>0</v>
      </c>
      <c r="CI86" s="258">
        <v>3.7545000000000002</v>
      </c>
      <c r="CJ86" s="258"/>
      <c r="CK86" s="258"/>
      <c r="CL86" s="258"/>
      <c r="CM86" s="258"/>
    </row>
    <row r="87" spans="1:91" x14ac:dyDescent="0.25">
      <c r="A87" s="723"/>
      <c r="B87" s="723"/>
      <c r="D87" s="31">
        <f>D86+AH86</f>
        <v>39128</v>
      </c>
      <c r="F87" s="28">
        <f>VLOOKUP(AG87,$AL$4:$AS$15,2)</f>
        <v>230</v>
      </c>
      <c r="G87" s="28">
        <f>F87*$AU87</f>
        <v>0</v>
      </c>
      <c r="H87" s="52">
        <f>(AL87+AM87+AN87)/(1-(AR87))</f>
        <v>3.8488431876606688</v>
      </c>
      <c r="I87" s="52">
        <f>(AL87+AO87+AP87)</f>
        <v>4.1044999999999998</v>
      </c>
      <c r="K87" s="52">
        <f>MAX(((I87-H87)-AQ87)*AU87*AH87,0)</f>
        <v>0</v>
      </c>
      <c r="L87" s="135">
        <f>MAX(Q87-K87,0)</f>
        <v>0</v>
      </c>
      <c r="N87" s="131">
        <f>SQRT(($AX87^2*($AH87/2)+$AW87^2*$AI87)/(($AH87/2)+$AI87))</f>
        <v>0.24249999999999999</v>
      </c>
      <c r="O87" s="131">
        <f>SQRT(($AY87^2*($AH87/2)+$AW87^2*$AI87)/(($AH87/2)+$AI87))</f>
        <v>0.24249999999999999</v>
      </c>
      <c r="P87" s="55">
        <f>(VLOOKUP(AI87,CorrelationTwo,2)*(AW87^2)*AI87+VLOOKUP(D87,CorrelationOne,$AK$9)*AX87*AY87*(AH87/2))/((AI87+(AH87/2))*O87*N87)*AF87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VLOOKUP($AG87,$AL$4:$AS$15,8)*AH87*AU87</f>
        <v>0</v>
      </c>
      <c r="W87" s="146"/>
      <c r="X87" s="338">
        <f>((BM87*BC87)+(BL87*BB87))*AH87*F87</f>
        <v>0</v>
      </c>
      <c r="Y87" s="338">
        <f>($F87*$AH87)*((($BG87/2)*($BC87)^2)+(($BF87/2)*($BB87)^2)+($BH87*$BC87*$BB87))</f>
        <v>0</v>
      </c>
      <c r="Z87" s="338">
        <f>($BI87*$F87*$AH87*($G$5-$BV$5))/365.25</f>
        <v>0</v>
      </c>
      <c r="AA87" s="338">
        <f>(($BK87*$BE87)+($BJ87*$BD87))*$F87*$AH87*$AF87</f>
        <v>0</v>
      </c>
      <c r="AB87" s="338">
        <f>BN87*(AT87-CA87)*F87*AH87</f>
        <v>0</v>
      </c>
      <c r="AC87" s="338">
        <f>BO87*CB87*F87*AH87*CA87*($G$5-$BV$5)/365.25</f>
        <v>0</v>
      </c>
      <c r="AF87" s="138">
        <f>IF(AND(D87&gt;=$G$7,D87&lt;=$G$8),1,0)</f>
        <v>0</v>
      </c>
      <c r="AG87" s="138">
        <f>MONTH(D87)</f>
        <v>2</v>
      </c>
      <c r="AH87" s="138">
        <f t="shared" si="67"/>
        <v>0</v>
      </c>
      <c r="AI87" s="138">
        <f>AI86+AH86</f>
        <v>1872</v>
      </c>
      <c r="AJ87" s="138">
        <f>D87-$BV$5</f>
        <v>1889</v>
      </c>
      <c r="AL87" s="136">
        <f>VLOOKUP($D87,CurveTbl,$AK$4)</f>
        <v>3.7545000000000002</v>
      </c>
      <c r="AM87" s="258">
        <f>VLOOKUP($D87,CurveTbl,$AH$3)</f>
        <v>-1.4E-2</v>
      </c>
      <c r="AN87" s="258">
        <f>VLOOKUP($D87,CurveTbl,$AH$4)+VLOOKUP($AG87,$AL$3:$AS$15,6)</f>
        <v>2.5000000000000001E-3</v>
      </c>
      <c r="AO87" s="258">
        <f>VLOOKUP($D87,CurveTbl,$AH$5)</f>
        <v>0.35</v>
      </c>
      <c r="AP87" s="258">
        <f>VLOOKUP($D87,CurveTbl,$AH$6)+VLOOKUP($AG87,$AL$3:$AS$15,7)</f>
        <v>0</v>
      </c>
      <c r="AQ87" s="136">
        <f>VLOOKUP($AG87,$AL$4:$AS$15,3)+VLOOKUP($AG87,$AL$4:$AS$15,5)+($AH$10*VLOOKUP(D87,GRITable,2))</f>
        <v>3.3399999999999999E-2</v>
      </c>
      <c r="AR87" s="137">
        <f>VLOOKUP($AG87,$AL$4:$AS$15,4)</f>
        <v>2.75E-2</v>
      </c>
      <c r="AS87" s="136">
        <f>(AL87+AM87+AN87)</f>
        <v>3.7430000000000003</v>
      </c>
      <c r="AT87" s="137">
        <f>VLOOKUP(D87,CurveTbl,$AK$6)</f>
        <v>5.4038903438607302E-2</v>
      </c>
      <c r="AU87" s="137">
        <f>(1+$AT87/2)^(-2*($D87-$G$5)/365.25)*$AF87</f>
        <v>0</v>
      </c>
      <c r="AV87" s="394">
        <f>ROUND((F87/(1-AR87))-F87,0)*AF87*AH87*AU87</f>
        <v>0</v>
      </c>
      <c r="AW87" s="137">
        <f>VLOOKUP($D87,CurveTbl,$AK$8)</f>
        <v>0.24249999999999999</v>
      </c>
      <c r="AX87" s="137">
        <f>VLOOKUP($D87,CurveTbl,$AH$7)</f>
        <v>1</v>
      </c>
      <c r="AY87" s="137">
        <f>VLOOKUP($D87,CurveTbl,$AH$8)</f>
        <v>1</v>
      </c>
      <c r="AZ87" s="137"/>
      <c r="BA87" s="264"/>
      <c r="BB87" s="258">
        <f>$H87-$BV87</f>
        <v>0</v>
      </c>
      <c r="BC87" s="258">
        <f>I87-BW87</f>
        <v>0</v>
      </c>
      <c r="BD87" s="137">
        <f t="shared" si="89"/>
        <v>0</v>
      </c>
      <c r="BE87" s="137">
        <f t="shared" si="89"/>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-3.0443111416379211E-2</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1.3206660552488332</v>
      </c>
      <c r="BP87" s="137"/>
      <c r="BQ87" s="137"/>
      <c r="BR87" s="137"/>
      <c r="BS87" s="137"/>
      <c r="BV87" s="262">
        <v>3.8488431876606688</v>
      </c>
      <c r="BW87" s="136">
        <v>4.1044999999999998</v>
      </c>
      <c r="BX87" s="137">
        <v>0.24249999999999999</v>
      </c>
      <c r="BY87" s="137">
        <v>0.24249999999999999</v>
      </c>
      <c r="BZ87" s="137">
        <v>0</v>
      </c>
      <c r="CA87" s="137">
        <v>5.4038903438607302E-2</v>
      </c>
      <c r="CB87" s="137">
        <v>0</v>
      </c>
      <c r="CC87" s="258">
        <v>-1.4E-2</v>
      </c>
      <c r="CD87" s="258">
        <v>2.5000000000000001E-3</v>
      </c>
      <c r="CE87" s="258">
        <v>0.35</v>
      </c>
      <c r="CF87" s="258">
        <v>0</v>
      </c>
      <c r="CG87" s="258">
        <v>3.3399999999999999E-2</v>
      </c>
      <c r="CH87" s="258">
        <v>0</v>
      </c>
      <c r="CI87" s="258">
        <v>3.7545000000000002</v>
      </c>
      <c r="CJ87" s="258"/>
      <c r="CK87" s="258"/>
      <c r="CL87" s="258"/>
      <c r="CM87" s="258"/>
    </row>
    <row r="88" spans="1:91" x14ac:dyDescent="0.25">
      <c r="A88" s="723"/>
      <c r="B88" s="723"/>
      <c r="D88" s="31">
        <f>D87+AH87</f>
        <v>39128</v>
      </c>
      <c r="F88" s="28">
        <f>VLOOKUP(AG88,$AL$4:$AS$15,2)</f>
        <v>230</v>
      </c>
      <c r="G88" s="28">
        <f>F88*$AU88</f>
        <v>0</v>
      </c>
      <c r="H88" s="52">
        <f>(AL88+AM88+AN88)/(1-(AR88))</f>
        <v>3.8488431876606688</v>
      </c>
      <c r="I88" s="52">
        <f>(AL88+AO88+AP88)</f>
        <v>4.1044999999999998</v>
      </c>
      <c r="K88" s="52">
        <f>MAX(((I88-H88)-AQ88)*AU88*AH88,0)</f>
        <v>0</v>
      </c>
      <c r="L88" s="135">
        <f>MAX(Q88-K88,0)</f>
        <v>0</v>
      </c>
      <c r="N88" s="131">
        <f>SQRT(($AX88^2*($AH88/2)+$AW88^2*$AI88)/(($AH88/2)+$AI88))</f>
        <v>0.24249999999999999</v>
      </c>
      <c r="O88" s="131">
        <f>SQRT(($AY88^2*($AH88/2)+$AW88^2*$AI88)/(($AH88/2)+$AI88))</f>
        <v>0.24249999999999999</v>
      </c>
      <c r="P88" s="55">
        <f>(VLOOKUP(AI88,CorrelationTwo,2)*(AW88^2)*AI88+VLOOKUP(D88,CorrelationOne,$AK$9)*AX88*AY88*(AH88/2))/((AI88+(AH88/2))*O88*N88)*AF88</f>
        <v>0</v>
      </c>
      <c r="Q88" s="135">
        <f>_xll.xSPRDOPT(I88,H88,AQ88,0,O88,N88,P88,D88-$G$5,1,0)*AH88*AU88</f>
        <v>0</v>
      </c>
      <c r="R88" s="135"/>
      <c r="S88" s="181">
        <f>_xll.xSPRDOPT(I88,H88,AQ88,AT88,O88,N88,P88,D88-$G$5,1,2)*AF88*(F88/(1-AR88))*AH88</f>
        <v>0</v>
      </c>
      <c r="T88" s="181">
        <f>_xll.xSPRDOPT(I88,H88,AQ88,AT88,O88,N88,P88,D88-$G$5,1,1)*AF88*F88*AH88</f>
        <v>0</v>
      </c>
      <c r="U88" s="135"/>
      <c r="V88" s="146">
        <f>VLOOKUP($AG88,$AL$4:$AS$15,8)*AH88*AU88</f>
        <v>0</v>
      </c>
      <c r="W88" s="146"/>
      <c r="X88" s="338">
        <f>((BM88*BC88)+(BL88*BB88))*AH88*F88</f>
        <v>0</v>
      </c>
      <c r="Y88" s="338">
        <f>($F88*$AH88)*((($BG88/2)*($BC88)^2)+(($BF88/2)*($BB88)^2)+($BH88*$BC88*$BB88))</f>
        <v>0</v>
      </c>
      <c r="Z88" s="338">
        <f>($BI88*$F88*$AH88*($G$5-$BV$5))/365.25</f>
        <v>0</v>
      </c>
      <c r="AA88" s="338">
        <f>(($BK88*$BE88)+($BJ88*$BD88))*$F88*$AH88*$AF88</f>
        <v>0</v>
      </c>
      <c r="AB88" s="338">
        <f>BN88*(AT88-CA88)*F88*AH88</f>
        <v>0</v>
      </c>
      <c r="AC88" s="338">
        <f>BO88*CB88*F88*AH88*CA88*($G$5-$BV$5)/365.25</f>
        <v>0</v>
      </c>
      <c r="AF88" s="138">
        <f>IF(AND(D88&gt;=$G$7,D88&lt;=$G$8),1,0)</f>
        <v>0</v>
      </c>
      <c r="AG88" s="138">
        <f>MONTH(D88)</f>
        <v>2</v>
      </c>
      <c r="AH88" s="138">
        <f t="shared" si="67"/>
        <v>0</v>
      </c>
      <c r="AI88" s="138">
        <f>AI87+AH87</f>
        <v>1872</v>
      </c>
      <c r="AJ88" s="138">
        <f>D88-$BV$5</f>
        <v>1889</v>
      </c>
      <c r="AL88" s="136">
        <f>VLOOKUP($D88,CurveTbl,$AK$4)</f>
        <v>3.7545000000000002</v>
      </c>
      <c r="AM88" s="258">
        <f>VLOOKUP($D88,CurveTbl,$AH$3)</f>
        <v>-1.4E-2</v>
      </c>
      <c r="AN88" s="258">
        <f>VLOOKUP($D88,CurveTbl,$AH$4)+VLOOKUP($AG88,$AL$3:$AS$15,6)</f>
        <v>2.5000000000000001E-3</v>
      </c>
      <c r="AO88" s="258">
        <f>VLOOKUP($D88,CurveTbl,$AH$5)</f>
        <v>0.35</v>
      </c>
      <c r="AP88" s="258">
        <f>VLOOKUP($D88,CurveTbl,$AH$6)+VLOOKUP($AG88,$AL$3:$AS$15,7)</f>
        <v>0</v>
      </c>
      <c r="AQ88" s="136">
        <f>VLOOKUP($AG88,$AL$4:$AS$15,3)+VLOOKUP($AG88,$AL$4:$AS$15,5)+($AH$10*VLOOKUP(D88,GRITable,2))</f>
        <v>3.3399999999999999E-2</v>
      </c>
      <c r="AR88" s="137">
        <f>VLOOKUP($AG88,$AL$4:$AS$15,4)</f>
        <v>2.75E-2</v>
      </c>
      <c r="AS88" s="136">
        <f>(AL88+AM88+AN88)</f>
        <v>3.7430000000000003</v>
      </c>
      <c r="AT88" s="137">
        <f>VLOOKUP(D88,CurveTbl,$AK$6)</f>
        <v>5.4038903438607302E-2</v>
      </c>
      <c r="AU88" s="137">
        <f>(1+$AT88/2)^(-2*($D88-$G$5)/365.25)*$AF88</f>
        <v>0</v>
      </c>
      <c r="AV88" s="394">
        <f>ROUND((F88/(1-AR88))-F88,0)*AF88*AH88*AU88</f>
        <v>0</v>
      </c>
      <c r="AW88" s="137">
        <f>VLOOKUP($D88,CurveTbl,$AK$8)</f>
        <v>0.24249999999999999</v>
      </c>
      <c r="AX88" s="137">
        <f>VLOOKUP($D88,CurveTbl,$AH$7)</f>
        <v>1</v>
      </c>
      <c r="AY88" s="137">
        <f>VLOOKUP($D88,CurveTbl,$AH$8)</f>
        <v>1</v>
      </c>
      <c r="AZ88" s="137"/>
      <c r="BA88" s="264"/>
      <c r="BB88" s="258">
        <f>$H88-$BV88</f>
        <v>0</v>
      </c>
      <c r="BC88" s="258">
        <f>I88-BW88</f>
        <v>0</v>
      </c>
      <c r="BD88" s="137">
        <f t="shared" si="89"/>
        <v>0</v>
      </c>
      <c r="BE88" s="137">
        <f t="shared" si="89"/>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-3.0443111416379211E-2</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1.3206660552488332</v>
      </c>
      <c r="BP88" s="137"/>
      <c r="BQ88" s="137"/>
      <c r="BR88" s="137"/>
      <c r="BS88" s="137"/>
      <c r="BV88" s="262">
        <v>3.8488431876606688</v>
      </c>
      <c r="BW88" s="136">
        <v>4.1044999999999998</v>
      </c>
      <c r="BX88" s="137">
        <v>0.24249999999999999</v>
      </c>
      <c r="BY88" s="137">
        <v>0.24249999999999999</v>
      </c>
      <c r="BZ88" s="137">
        <v>0</v>
      </c>
      <c r="CA88" s="137">
        <v>5.4038903438607302E-2</v>
      </c>
      <c r="CB88" s="137">
        <v>0</v>
      </c>
      <c r="CC88" s="258">
        <v>-1.4E-2</v>
      </c>
      <c r="CD88" s="258">
        <v>2.5000000000000001E-3</v>
      </c>
      <c r="CE88" s="258">
        <v>0.35</v>
      </c>
      <c r="CF88" s="258">
        <v>0</v>
      </c>
      <c r="CG88" s="258">
        <v>3.3399999999999999E-2</v>
      </c>
      <c r="CH88" s="258">
        <v>0</v>
      </c>
      <c r="CI88" s="258">
        <v>3.7545000000000002</v>
      </c>
      <c r="CJ88" s="258"/>
      <c r="CK88" s="258"/>
      <c r="CL88" s="258"/>
      <c r="CM88" s="258"/>
    </row>
    <row r="89" spans="1:91" x14ac:dyDescent="0.25">
      <c r="A89" s="723"/>
      <c r="B89" s="723"/>
      <c r="D89" s="31">
        <f>D88+AH88</f>
        <v>39128</v>
      </c>
      <c r="F89" s="28">
        <f>VLOOKUP(AG89,$AL$4:$AS$15,2)</f>
        <v>230</v>
      </c>
      <c r="G89" s="28">
        <f>F89*$AU89</f>
        <v>0</v>
      </c>
      <c r="H89" s="52">
        <f>(AL89+AM89+AN89)/(1-(AR89))</f>
        <v>3.8488431876606688</v>
      </c>
      <c r="I89" s="52">
        <f>(AL89+AO89+AP89)</f>
        <v>4.1044999999999998</v>
      </c>
      <c r="K89" s="52">
        <f>MAX(((I89-H89)-AQ89)*AU89*AH89,0)</f>
        <v>0</v>
      </c>
      <c r="L89" s="135">
        <f>MAX(Q89-K89,0)</f>
        <v>0</v>
      </c>
      <c r="N89" s="131">
        <f>SQRT(($AX89^2*($AH89/2)+$AW89^2*$AI89)/(($AH89/2)+$AI89))</f>
        <v>0.24249999999999999</v>
      </c>
      <c r="O89" s="131">
        <f>SQRT(($AY89^2*($AH89/2)+$AW89^2*$AI89)/(($AH89/2)+$AI89))</f>
        <v>0.24249999999999999</v>
      </c>
      <c r="P89" s="55">
        <f>(VLOOKUP(AI89,CorrelationTwo,2)*(AW89^2)*AI89+VLOOKUP(D89,CorrelationOne,$AK$9)*AX89*AY89*(AH89/2))/((AI89+(AH89/2))*O89*N89)*AF89</f>
        <v>0</v>
      </c>
      <c r="Q89" s="135">
        <f>_xll.xSPRDOPT(I89,H89,AQ89,0,O89,N89,P89,D89-$G$5,1,0)*AH89*AU89</f>
        <v>0</v>
      </c>
      <c r="R89" s="135"/>
      <c r="S89" s="181">
        <f>_xll.xSPRDOPT(I89,H89,AQ89,AT89,O89,N89,P89,D89-$G$5,1,2)*AF89*(F89/(1-AR89))*AH89</f>
        <v>0</v>
      </c>
      <c r="T89" s="181">
        <f>_xll.xSPRDOPT(I89,H89,AQ89,AT89,O89,N89,P89,D89-$G$5,1,1)*AF89*F89*AH89</f>
        <v>0</v>
      </c>
      <c r="U89" s="135"/>
      <c r="V89" s="146">
        <f>VLOOKUP($AG89,$AL$4:$AS$15,8)*AH89*AU89</f>
        <v>0</v>
      </c>
      <c r="W89" s="146"/>
      <c r="X89" s="338">
        <f>((BM89*BC89)+(BL89*BB89))*AH89*F89</f>
        <v>0</v>
      </c>
      <c r="Y89" s="338">
        <f>($F89*$AH89)*((($BG89/2)*($BC89)^2)+(($BF89/2)*($BB89)^2)+($BH89*$BC89*$BB89))</f>
        <v>0</v>
      </c>
      <c r="Z89" s="338">
        <f>($BI89*$F89*$AH89*($G$5-$BV$5))/365.25</f>
        <v>0</v>
      </c>
      <c r="AA89" s="338">
        <f>(($BK89*$BE89)+($BJ89*$BD89))*$F89*$AH89*$AF89</f>
        <v>0</v>
      </c>
      <c r="AB89" s="338">
        <f>BN89*(AT89-CA89)*F89*AH89</f>
        <v>0</v>
      </c>
      <c r="AC89" s="338">
        <f>BO89*CB89*F89*AH89*CA89*($G$5-$BV$5)/365.25</f>
        <v>0</v>
      </c>
      <c r="AF89" s="138">
        <f>IF(AND(D89&gt;=$G$7,D89&lt;=$G$8),1,0)</f>
        <v>0</v>
      </c>
      <c r="AG89" s="138">
        <f>MONTH(D89)</f>
        <v>2</v>
      </c>
      <c r="AH89" s="138">
        <f t="shared" si="67"/>
        <v>0</v>
      </c>
      <c r="AI89" s="138">
        <f>AI88+AH88</f>
        <v>1872</v>
      </c>
      <c r="AJ89" s="138">
        <f>D89-$BV$5</f>
        <v>1889</v>
      </c>
      <c r="AL89" s="136">
        <f>VLOOKUP($D89,CurveTbl,$AK$4)</f>
        <v>3.7545000000000002</v>
      </c>
      <c r="AM89" s="258">
        <f>VLOOKUP($D89,CurveTbl,$AH$3)</f>
        <v>-1.4E-2</v>
      </c>
      <c r="AN89" s="258">
        <f>VLOOKUP($D89,CurveTbl,$AH$4)+VLOOKUP($AG89,$AL$3:$AS$15,6)</f>
        <v>2.5000000000000001E-3</v>
      </c>
      <c r="AO89" s="258">
        <f>VLOOKUP($D89,CurveTbl,$AH$5)</f>
        <v>0.35</v>
      </c>
      <c r="AP89" s="258">
        <f>VLOOKUP($D89,CurveTbl,$AH$6)+VLOOKUP($AG89,$AL$3:$AS$15,7)</f>
        <v>0</v>
      </c>
      <c r="AQ89" s="136">
        <f>VLOOKUP($AG89,$AL$4:$AS$15,3)+VLOOKUP($AG89,$AL$4:$AS$15,5)+($AH$10*VLOOKUP(D89,GRITable,2))</f>
        <v>3.3399999999999999E-2</v>
      </c>
      <c r="AR89" s="137">
        <f>VLOOKUP($AG89,$AL$4:$AS$15,4)</f>
        <v>2.75E-2</v>
      </c>
      <c r="AS89" s="136">
        <f>(AL89+AM89+AN89)</f>
        <v>3.7430000000000003</v>
      </c>
      <c r="AT89" s="137">
        <f>VLOOKUP(D89,CurveTbl,$AK$6)</f>
        <v>5.4038903438607302E-2</v>
      </c>
      <c r="AU89" s="137">
        <f>(1+$AT89/2)^(-2*($D89-$G$5)/365.25)*$AF89</f>
        <v>0</v>
      </c>
      <c r="AV89" s="394">
        <f>ROUND((F89/(1-AR89))-F89,0)*AF89*AH89*AU89</f>
        <v>0</v>
      </c>
      <c r="AW89" s="137">
        <f>VLOOKUP($D89,CurveTbl,$AK$8)</f>
        <v>0.24249999999999999</v>
      </c>
      <c r="AX89" s="137">
        <f>VLOOKUP($D89,CurveTbl,$AH$7)</f>
        <v>1</v>
      </c>
      <c r="AY89" s="137">
        <f>VLOOKUP($D89,CurveTbl,$AH$8)</f>
        <v>1</v>
      </c>
      <c r="AZ89" s="137"/>
      <c r="BA89" s="264"/>
      <c r="BB89" s="258">
        <f>$H89-$BV89</f>
        <v>0</v>
      </c>
      <c r="BC89" s="258">
        <f>I89-BW89</f>
        <v>0</v>
      </c>
      <c r="BD89" s="137">
        <f t="shared" si="89"/>
        <v>0</v>
      </c>
      <c r="BE89" s="137">
        <f t="shared" si="89"/>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-3.0443111416379211E-2</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1.3206660552488332</v>
      </c>
      <c r="BP89" s="137"/>
      <c r="BQ89" s="137"/>
      <c r="BR89" s="137"/>
      <c r="BS89" s="137"/>
      <c r="BV89" s="262">
        <v>3.8488431876606688</v>
      </c>
      <c r="BW89" s="136">
        <v>4.1044999999999998</v>
      </c>
      <c r="BX89" s="137">
        <v>0.24249999999999999</v>
      </c>
      <c r="BY89" s="137">
        <v>0.24249999999999999</v>
      </c>
      <c r="BZ89" s="137">
        <v>0</v>
      </c>
      <c r="CA89" s="137">
        <v>5.4038903438607302E-2</v>
      </c>
      <c r="CB89" s="137">
        <v>0</v>
      </c>
      <c r="CC89" s="258">
        <v>-1.4E-2</v>
      </c>
      <c r="CD89" s="258">
        <v>2.5000000000000001E-3</v>
      </c>
      <c r="CE89" s="258">
        <v>0.35</v>
      </c>
      <c r="CF89" s="258">
        <v>0</v>
      </c>
      <c r="CG89" s="258">
        <v>3.3399999999999999E-2</v>
      </c>
      <c r="CH89" s="258">
        <v>0</v>
      </c>
      <c r="CI89" s="258">
        <v>3.7545000000000002</v>
      </c>
      <c r="CJ89" s="258"/>
      <c r="CK89" s="258"/>
      <c r="CL89" s="258"/>
      <c r="CM89" s="258"/>
    </row>
    <row r="90" spans="1:91" x14ac:dyDescent="0.25">
      <c r="A90" s="723"/>
      <c r="B90" s="723"/>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1:91" x14ac:dyDescent="0.25">
      <c r="A91" s="723"/>
      <c r="B91" s="723"/>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row r="92" spans="1:91" x14ac:dyDescent="0.25">
      <c r="A92" s="723"/>
      <c r="B92" s="723"/>
      <c r="D92" s="29"/>
      <c r="E92" s="29"/>
      <c r="F92" s="29"/>
      <c r="G92" s="29"/>
      <c r="H92" s="29"/>
      <c r="I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U92" s="29"/>
      <c r="BV92" s="29"/>
    </row>
    <row r="93" spans="1:91" x14ac:dyDescent="0.25">
      <c r="A93" s="723"/>
      <c r="B93" s="723"/>
      <c r="D93" s="29"/>
      <c r="E93" s="29"/>
      <c r="F93" s="29"/>
      <c r="G93" s="29"/>
      <c r="H93" s="29"/>
      <c r="I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U93" s="29"/>
      <c r="BV93" s="29"/>
    </row>
    <row r="94" spans="1:91" x14ac:dyDescent="0.25">
      <c r="A94" s="723"/>
      <c r="B94" s="723"/>
      <c r="D94" s="29"/>
      <c r="E94" s="29"/>
      <c r="F94" s="29"/>
      <c r="G94" s="29"/>
      <c r="H94" s="29"/>
      <c r="I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U94" s="29"/>
      <c r="BV94" s="29"/>
    </row>
    <row r="95" spans="1:91" x14ac:dyDescent="0.25">
      <c r="A95" s="723"/>
      <c r="B95" s="723"/>
      <c r="D95" s="29"/>
      <c r="E95" s="29"/>
      <c r="F95" s="29"/>
      <c r="G95" s="29"/>
      <c r="H95" s="29"/>
      <c r="I95" s="29"/>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U95" s="29"/>
      <c r="BV95" s="29"/>
    </row>
    <row r="96" spans="1:91" x14ac:dyDescent="0.25">
      <c r="D96" s="29"/>
      <c r="E96" s="29"/>
      <c r="F96" s="29"/>
      <c r="G96" s="29"/>
      <c r="H96" s="29"/>
      <c r="I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U96" s="29"/>
      <c r="BV96" s="29"/>
    </row>
    <row r="97" spans="4:74" x14ac:dyDescent="0.25">
      <c r="D97" s="29"/>
      <c r="E97" s="29"/>
      <c r="F97" s="29"/>
      <c r="G97" s="29"/>
      <c r="H97" s="29"/>
      <c r="I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U97" s="29"/>
      <c r="BV97" s="29"/>
    </row>
    <row r="98" spans="4:74" x14ac:dyDescent="0.25">
      <c r="D98" s="29"/>
      <c r="E98" s="29"/>
      <c r="F98" s="29"/>
      <c r="G98" s="29"/>
      <c r="H98" s="29"/>
      <c r="I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U98" s="29"/>
      <c r="BV98" s="29"/>
    </row>
    <row r="99" spans="4:74" x14ac:dyDescent="0.25">
      <c r="D99" s="29"/>
      <c r="E99" s="29"/>
      <c r="F99" s="29"/>
      <c r="G99" s="29"/>
      <c r="H99" s="29"/>
      <c r="I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U99" s="29"/>
      <c r="BV99" s="29"/>
    </row>
  </sheetData>
  <sheetCalcPr fullCalcOnLoad="1"/>
  <mergeCells count="9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800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800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4">
    <pageSetUpPr autoPageBreaks="0"/>
  </sheetPr>
  <dimension ref="A1:CX95"/>
  <sheetViews>
    <sheetView topLeftCell="K1" zoomScale="80" workbookViewId="0">
      <selection activeCell="CI21" sqref="CI21:CI31"/>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LongTerm56</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56</v>
      </c>
      <c r="F2" s="178" t="str">
        <f>GetRcptPoint($AH$12,$AH$13)</f>
        <v>PGE/Topock</v>
      </c>
      <c r="G2" s="179" t="str">
        <f>GetDelPoint($AH$12,$AH$13)</f>
        <v>PGE City Gate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5">
      <c r="A4" s="269" t="str">
        <f>ADDRESS(ROW($S$22),COLUMN($S$22))</f>
        <v>$S$22</v>
      </c>
      <c r="L4" s="721" t="s">
        <v>201</v>
      </c>
      <c r="M4" s="722"/>
      <c r="N4" s="352">
        <f ca="1">SUMPRODUCT(INDIRECT(CONCATENATE(AV4,":",AW4)),INDIRECT(CONCATENATE($AV$2,":",$AW$2)),INDIRECT(CONCATENATE($AV$3,":",$AW$3)))</f>
        <v>212592.33963280165</v>
      </c>
      <c r="O4" s="352">
        <v>223831.11</v>
      </c>
      <c r="P4" s="354">
        <f ca="1">N4-O4</f>
        <v>-11238.770367198333</v>
      </c>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71</v>
      </c>
      <c r="AI4" s="29"/>
      <c r="AJ4" s="103" t="s">
        <v>72</v>
      </c>
      <c r="AK4" s="104">
        <f>GetNymexCol(AK3)</f>
        <v>3</v>
      </c>
      <c r="AL4" s="34">
        <v>1</v>
      </c>
      <c r="AM4" s="45">
        <f t="shared" ref="AM4:AM15" si="0">GetVolume($AH$12,$AH$13,AT4)</f>
        <v>80000</v>
      </c>
      <c r="AN4" s="46">
        <f t="shared" ref="AN4:AN15" si="1">GetCommodity($AH$12,$AH$13,AT4)</f>
        <v>4.4999999999999998E-2</v>
      </c>
      <c r="AO4" s="47">
        <f t="shared" ref="AO4:AO15" si="2">GetFuelRate($AH$12,$AH$13,AT4)</f>
        <v>1.37E-2</v>
      </c>
      <c r="AP4" s="46">
        <f t="shared" ref="AP4:AP15" si="3">GetSurcharge($AH$12,$AH$13,$AT4)</f>
        <v>0</v>
      </c>
      <c r="AQ4" s="46">
        <f t="shared" ref="AQ4:AQ15" si="4">GetRcptIndexAdj($AH$12,$AH$13,$AT4)</f>
        <v>0</v>
      </c>
      <c r="AR4" s="132">
        <f t="shared" ref="AR4:AR15" si="5">GetDelIndexAdj($AH$12,$AH$13,$AT4)</f>
        <v>0</v>
      </c>
      <c r="AS4" s="48">
        <f t="shared" ref="AS4:AS15" si="6">GetDemandRate($AH$12,$AH$13,$AT4)</f>
        <v>0.12859999999999999</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923068.2206876243</v>
      </c>
      <c r="O5" s="352">
        <v>922924</v>
      </c>
      <c r="P5" s="355">
        <f ca="1">N5-O5</f>
        <v>144.2206876242999</v>
      </c>
      <c r="S5" s="428" t="s">
        <v>636</v>
      </c>
      <c r="T5" s="423">
        <f ca="1">SUMPRODUCT(INDIRECT(CONCATENATE(V5,":",W5)),INDIRECT(CONCATENATE(AV2,":",AW2)),INDIRECT(CONCATENATE(AV3,":",AW3)))</f>
        <v>212592.33963280165</v>
      </c>
      <c r="V5" s="30" t="str">
        <f>ADDRESS(ROW(L22),COLUMN(L22))</f>
        <v>$L$22</v>
      </c>
      <c r="W5" s="30" t="str">
        <f ca="1">GetEnd($AV$1,V5)</f>
        <v>$L$31</v>
      </c>
      <c r="AF5" s="28"/>
      <c r="AG5" s="103" t="s">
        <v>33</v>
      </c>
      <c r="AH5" s="104">
        <f>GetDelBasisCol($AH$12,$AH$13)</f>
        <v>66</v>
      </c>
      <c r="AI5" s="29"/>
      <c r="AJ5" s="103" t="s">
        <v>77</v>
      </c>
      <c r="AK5" s="104" t="str">
        <f>LiborCurve</f>
        <v>Libor AA</v>
      </c>
      <c r="AL5" s="34">
        <v>2</v>
      </c>
      <c r="AM5" s="37">
        <f t="shared" si="0"/>
        <v>80000</v>
      </c>
      <c r="AN5" s="38">
        <f t="shared" si="1"/>
        <v>4.4999999999999998E-2</v>
      </c>
      <c r="AO5" s="39">
        <f t="shared" si="2"/>
        <v>1.37E-2</v>
      </c>
      <c r="AP5" s="38">
        <f t="shared" si="3"/>
        <v>0</v>
      </c>
      <c r="AQ5" s="38">
        <f t="shared" si="4"/>
        <v>0</v>
      </c>
      <c r="AR5" s="133">
        <f t="shared" si="5"/>
        <v>0</v>
      </c>
      <c r="AS5" s="40">
        <f t="shared" si="6"/>
        <v>0.12859999999999999</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5">
      <c r="A6" s="269" t="str">
        <f>ADDRESS(ROW($BW$2),COLUMN($BW$2))</f>
        <v>$BW$2</v>
      </c>
      <c r="F6" s="187"/>
      <c r="G6" s="187"/>
      <c r="L6" s="704" t="s">
        <v>149</v>
      </c>
      <c r="M6" s="705"/>
      <c r="N6" s="356">
        <f ca="1">N4-N5</f>
        <v>-710475.88105482259</v>
      </c>
      <c r="O6" s="357">
        <v>-699092.88</v>
      </c>
      <c r="P6" s="358">
        <f ca="1">N6-O6</f>
        <v>-11383.001054822584</v>
      </c>
      <c r="S6" s="428" t="s">
        <v>637</v>
      </c>
      <c r="T6" s="424">
        <f ca="1">SUMPRODUCT(INDIRECT(CONCATENATE(V6,":",W6)),INDIRECT(CONCATENATE(AV3,":",AW3)),INDIRECT(CONCATENATE(AX3,":",AY3)))</f>
        <v>7177824.4221432703</v>
      </c>
      <c r="V6" s="30" t="str">
        <f>ADDRESS(ROW(G22),COLUMN(G22))</f>
        <v>$G$22</v>
      </c>
      <c r="W6" s="30" t="str">
        <f ca="1">GetEnd($AV$1,V6)</f>
        <v>$G$31</v>
      </c>
      <c r="AF6" s="28"/>
      <c r="AG6" s="103" t="s">
        <v>34</v>
      </c>
      <c r="AH6" s="104">
        <f>GetDelIndexCol($AH$12,$AH$13)</f>
        <v>67</v>
      </c>
      <c r="AI6" s="29"/>
      <c r="AJ6" s="103" t="s">
        <v>79</v>
      </c>
      <c r="AK6" s="104">
        <f>GetLiborCol(AK5)</f>
        <v>4</v>
      </c>
      <c r="AL6" s="34">
        <v>3</v>
      </c>
      <c r="AM6" s="37">
        <f t="shared" si="0"/>
        <v>80000</v>
      </c>
      <c r="AN6" s="38">
        <f t="shared" si="1"/>
        <v>4.4999999999999998E-2</v>
      </c>
      <c r="AO6" s="39">
        <f t="shared" si="2"/>
        <v>1.37E-2</v>
      </c>
      <c r="AP6" s="38">
        <f t="shared" si="3"/>
        <v>0</v>
      </c>
      <c r="AQ6" s="38">
        <f t="shared" si="4"/>
        <v>0</v>
      </c>
      <c r="AR6" s="133">
        <f t="shared" si="5"/>
        <v>0</v>
      </c>
      <c r="AS6" s="40">
        <f t="shared" si="6"/>
        <v>0.12859999999999999</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8503.19</v>
      </c>
      <c r="P7" s="355">
        <f ca="1">N7</f>
        <v>0</v>
      </c>
      <c r="S7" s="428" t="s">
        <v>638</v>
      </c>
      <c r="T7" s="425">
        <f ca="1">T5/T6</f>
        <v>2.9617935342213679E-2</v>
      </c>
      <c r="AF7" s="28"/>
      <c r="AG7" s="103" t="s">
        <v>76</v>
      </c>
      <c r="AH7" s="104">
        <f>GetRcptOmicronCol($AH$12,$AH$13)</f>
        <v>19</v>
      </c>
      <c r="AI7" s="29"/>
      <c r="AJ7" s="103" t="s">
        <v>80</v>
      </c>
      <c r="AK7" s="104" t="str">
        <f>Configuration!$D$8</f>
        <v>Nymex Vol</v>
      </c>
      <c r="AL7" s="34">
        <v>4</v>
      </c>
      <c r="AM7" s="37">
        <f t="shared" si="0"/>
        <v>80000</v>
      </c>
      <c r="AN7" s="38">
        <f t="shared" si="1"/>
        <v>4.4999999999999998E-2</v>
      </c>
      <c r="AO7" s="39">
        <f t="shared" si="2"/>
        <v>1.37E-2</v>
      </c>
      <c r="AP7" s="38">
        <f t="shared" si="3"/>
        <v>0</v>
      </c>
      <c r="AQ7" s="38">
        <f t="shared" si="4"/>
        <v>0</v>
      </c>
      <c r="AR7" s="133">
        <f t="shared" si="5"/>
        <v>0</v>
      </c>
      <c r="AS7" s="40">
        <f t="shared" si="6"/>
        <v>0.12859999999999999</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0.99711855058577203</v>
      </c>
      <c r="V8" s="30" t="str">
        <f>ADDRESS(ROW(P22),COLUMN(P22))</f>
        <v>$P$22</v>
      </c>
      <c r="W8" s="30" t="str">
        <f ca="1">GetEnd($AV$1,V8)</f>
        <v>$P$31</v>
      </c>
      <c r="Y8" s="334">
        <f ca="1">SUMIF(INDIRECT(CONCATENATE(V8,":",W8)),"&gt;0",INDIRECT(CONCATENATE(V8,":",W8)))</f>
        <v>2.9913556517573161</v>
      </c>
      <c r="Z8" s="334">
        <f ca="1">COUNTIF(INDIRECT(CONCATENATE(V8,":",W8)),"&gt;0")</f>
        <v>3</v>
      </c>
      <c r="AF8" s="28"/>
      <c r="AG8" s="103" t="s">
        <v>75</v>
      </c>
      <c r="AH8" s="105">
        <f>GetDelOmicronCol($AH$12,$AH$13)</f>
        <v>19</v>
      </c>
      <c r="AI8" s="29"/>
      <c r="AJ8" s="103" t="s">
        <v>81</v>
      </c>
      <c r="AK8" s="104">
        <f>GetNGOmicronCol(AK7)</f>
        <v>5</v>
      </c>
      <c r="AL8" s="34">
        <v>5</v>
      </c>
      <c r="AM8" s="37">
        <f t="shared" si="0"/>
        <v>80000</v>
      </c>
      <c r="AN8" s="38">
        <f t="shared" si="1"/>
        <v>4.4999999999999998E-2</v>
      </c>
      <c r="AO8" s="39">
        <f t="shared" si="2"/>
        <v>1.37E-2</v>
      </c>
      <c r="AP8" s="38">
        <f t="shared" si="3"/>
        <v>0</v>
      </c>
      <c r="AQ8" s="38">
        <f t="shared" si="4"/>
        <v>0</v>
      </c>
      <c r="AR8" s="133">
        <f t="shared" si="5"/>
        <v>0</v>
      </c>
      <c r="AS8" s="40">
        <f t="shared" si="6"/>
        <v>0.12859999999999999</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56</v>
      </c>
      <c r="AL9" s="34">
        <v>6</v>
      </c>
      <c r="AM9" s="37">
        <f t="shared" si="0"/>
        <v>80000</v>
      </c>
      <c r="AN9" s="38">
        <f t="shared" si="1"/>
        <v>4.4999999999999998E-2</v>
      </c>
      <c r="AO9" s="39">
        <f t="shared" si="2"/>
        <v>1.37E-2</v>
      </c>
      <c r="AP9" s="38">
        <f t="shared" si="3"/>
        <v>0</v>
      </c>
      <c r="AQ9" s="38">
        <f t="shared" si="4"/>
        <v>0</v>
      </c>
      <c r="AR9" s="133">
        <f t="shared" si="5"/>
        <v>0</v>
      </c>
      <c r="AS9" s="40">
        <f t="shared" si="6"/>
        <v>0.12859999999999999</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5">
      <c r="A10" s="270" t="s">
        <v>224</v>
      </c>
      <c r="D10" s="718" t="s">
        <v>154</v>
      </c>
      <c r="E10" s="719"/>
      <c r="F10" s="719"/>
      <c r="G10" s="719"/>
      <c r="H10" s="720"/>
      <c r="K10" s="29">
        <f>SUMPRODUCT(L22:L31,F22:F31)</f>
        <v>212592.33963280165</v>
      </c>
      <c r="L10" s="706" t="s">
        <v>628</v>
      </c>
      <c r="M10" s="707"/>
      <c r="N10" s="352">
        <f ca="1">-SUMPRODUCT(INDIRECT(CONCATENATE(AV10,":",AW10)),INDIRECT(CONCATENATE($AX$7,":",$AY$7)),INDIRECT(CONCATENATE($AV$3,":",$AW$3)))</f>
        <v>-293934.22563573468</v>
      </c>
      <c r="O10" s="352">
        <v>-293888.3</v>
      </c>
      <c r="P10" s="355">
        <f t="shared" ref="P10:P19" ca="1" si="10">N10-O10</f>
        <v>-45.925635734689422</v>
      </c>
      <c r="AF10" s="28"/>
      <c r="AG10" s="103" t="s">
        <v>142</v>
      </c>
      <c r="AH10" s="119" t="b">
        <f>GetGRIFactor($AH$12,$AH$13)</f>
        <v>0</v>
      </c>
      <c r="AI10" s="29"/>
      <c r="AJ10" s="29"/>
      <c r="AK10" s="29"/>
      <c r="AL10" s="34">
        <v>7</v>
      </c>
      <c r="AM10" s="37">
        <f t="shared" si="0"/>
        <v>80000</v>
      </c>
      <c r="AN10" s="38">
        <f t="shared" si="1"/>
        <v>4.4999999999999998E-2</v>
      </c>
      <c r="AO10" s="39">
        <f t="shared" si="2"/>
        <v>1.37E-2</v>
      </c>
      <c r="AP10" s="38">
        <f t="shared" si="3"/>
        <v>0</v>
      </c>
      <c r="AQ10" s="38">
        <f t="shared" si="4"/>
        <v>0</v>
      </c>
      <c r="AR10" s="133">
        <f t="shared" si="5"/>
        <v>0</v>
      </c>
      <c r="AS10" s="40">
        <f t="shared" si="6"/>
        <v>0.12859999999999999</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5">
      <c r="A11" s="270" t="s">
        <v>224</v>
      </c>
      <c r="D11" s="166" t="str">
        <f>IF(ISERROR($AH$13),"Check Contract Index to make sure it is valid","")</f>
        <v/>
      </c>
      <c r="E11" s="167"/>
      <c r="F11" s="168"/>
      <c r="G11" s="168"/>
      <c r="H11" s="169"/>
      <c r="K11" s="29">
        <f>SUMPRODUCT(K22:K31,F22:F31)</f>
        <v>0</v>
      </c>
      <c r="L11" s="704" t="s">
        <v>629</v>
      </c>
      <c r="M11" s="705"/>
      <c r="N11" s="356">
        <f ca="1">-SUMPRODUCT(INDIRECT(CONCATENATE(AV11,":",AW11)),INDIRECT(CONCATENATE($AV$2,":",$AW$2)),INDIRECT(CONCATENATE($AV$3,":",$AW$3)),INDIRECT(CONCATENATE(AX3,":",AY3)))</f>
        <v>-324000</v>
      </c>
      <c r="O11" s="357">
        <v>-324000</v>
      </c>
      <c r="P11" s="358">
        <f t="shared" ca="1" si="10"/>
        <v>0</v>
      </c>
      <c r="AL11" s="34">
        <v>8</v>
      </c>
      <c r="AM11" s="37">
        <f t="shared" si="0"/>
        <v>80000</v>
      </c>
      <c r="AN11" s="38">
        <f t="shared" si="1"/>
        <v>4.4999999999999998E-2</v>
      </c>
      <c r="AO11" s="39">
        <f t="shared" si="2"/>
        <v>1.37E-2</v>
      </c>
      <c r="AP11" s="38">
        <f t="shared" si="3"/>
        <v>0</v>
      </c>
      <c r="AQ11" s="38">
        <f t="shared" si="4"/>
        <v>0</v>
      </c>
      <c r="AR11" s="133">
        <f t="shared" si="5"/>
        <v>0</v>
      </c>
      <c r="AS11" s="40">
        <f t="shared" si="6"/>
        <v>0.12859999999999999</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2727.03</v>
      </c>
      <c r="P12" s="355">
        <f t="shared" ca="1" si="10"/>
        <v>-2727.03</v>
      </c>
      <c r="AG12" s="248" t="s">
        <v>185</v>
      </c>
      <c r="AH12" s="119" t="str">
        <f>GetDBPage($D$2)</f>
        <v>Contract DB (West)</v>
      </c>
      <c r="AL12" s="34">
        <v>9</v>
      </c>
      <c r="AM12" s="37">
        <f t="shared" si="0"/>
        <v>80000</v>
      </c>
      <c r="AN12" s="38">
        <f t="shared" si="1"/>
        <v>4.4999999999999998E-2</v>
      </c>
      <c r="AO12" s="39">
        <f t="shared" si="2"/>
        <v>1.37E-2</v>
      </c>
      <c r="AP12" s="38">
        <f t="shared" si="3"/>
        <v>0</v>
      </c>
      <c r="AQ12" s="38">
        <f t="shared" si="4"/>
        <v>0</v>
      </c>
      <c r="AR12" s="133">
        <f t="shared" si="5"/>
        <v>0</v>
      </c>
      <c r="AS12" s="40">
        <f t="shared" si="6"/>
        <v>0.12859999999999999</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5">
      <c r="A13" s="270" t="s">
        <v>224</v>
      </c>
      <c r="D13" s="170"/>
      <c r="E13" s="171"/>
      <c r="F13" s="172"/>
      <c r="G13" s="172"/>
      <c r="H13" s="173"/>
      <c r="L13" s="706" t="s">
        <v>155</v>
      </c>
      <c r="M13" s="707"/>
      <c r="N13" s="352">
        <f t="shared" ca="1" si="11"/>
        <v>0</v>
      </c>
      <c r="O13" s="352">
        <v>23.09</v>
      </c>
      <c r="P13" s="355">
        <f t="shared" ca="1" si="10"/>
        <v>-23.09</v>
      </c>
      <c r="AG13" s="248" t="s">
        <v>186</v>
      </c>
      <c r="AH13" s="119">
        <f>GetRecNdx($AH$12,$D$2)</f>
        <v>3</v>
      </c>
      <c r="AL13" s="34">
        <v>10</v>
      </c>
      <c r="AM13" s="37">
        <f t="shared" si="0"/>
        <v>80000</v>
      </c>
      <c r="AN13" s="38">
        <f t="shared" si="1"/>
        <v>4.4999999999999998E-2</v>
      </c>
      <c r="AO13" s="39">
        <f t="shared" si="2"/>
        <v>1.37E-2</v>
      </c>
      <c r="AP13" s="38">
        <f t="shared" si="3"/>
        <v>0</v>
      </c>
      <c r="AQ13" s="38">
        <f t="shared" si="4"/>
        <v>0</v>
      </c>
      <c r="AR13" s="133">
        <f t="shared" si="5"/>
        <v>0</v>
      </c>
      <c r="AS13" s="40">
        <f t="shared" si="6"/>
        <v>0.12859999999999999</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5">
      <c r="A14" s="270" t="s">
        <v>224</v>
      </c>
      <c r="D14" s="170"/>
      <c r="E14" s="171"/>
      <c r="F14" s="172"/>
      <c r="G14" s="172"/>
      <c r="H14" s="173"/>
      <c r="K14" s="185"/>
      <c r="L14" s="706" t="s">
        <v>156</v>
      </c>
      <c r="M14" s="707"/>
      <c r="N14" s="352">
        <f t="shared" ca="1" si="11"/>
        <v>-7094.0715607145694</v>
      </c>
      <c r="O14" s="352">
        <v>-2287.84</v>
      </c>
      <c r="P14" s="355">
        <f t="shared" ca="1" si="10"/>
        <v>-4806.2315607145692</v>
      </c>
      <c r="S14" s="181">
        <f>F22/(1-AR22)*AH22*AU22</f>
        <v>2510721.7170849731</v>
      </c>
      <c r="T14" s="181">
        <f>F22*AH22*AU22</f>
        <v>2476324.829560909</v>
      </c>
      <c r="AL14" s="34">
        <v>11</v>
      </c>
      <c r="AM14" s="37">
        <f t="shared" si="0"/>
        <v>80000</v>
      </c>
      <c r="AN14" s="38">
        <f t="shared" si="1"/>
        <v>4.4999999999999998E-2</v>
      </c>
      <c r="AO14" s="39">
        <f t="shared" si="2"/>
        <v>1.37E-2</v>
      </c>
      <c r="AP14" s="38">
        <f t="shared" si="3"/>
        <v>0</v>
      </c>
      <c r="AQ14" s="38">
        <f t="shared" si="4"/>
        <v>0</v>
      </c>
      <c r="AR14" s="133">
        <f t="shared" si="5"/>
        <v>0</v>
      </c>
      <c r="AS14" s="40">
        <f t="shared" si="6"/>
        <v>0.12859999999999999</v>
      </c>
      <c r="AT14" s="35">
        <f t="shared" si="7"/>
        <v>1</v>
      </c>
      <c r="AU14" s="361" t="s">
        <v>156</v>
      </c>
      <c r="AV14" s="339" t="str">
        <f>ADDRESS(ROW($Z$22),COLUMN($Z$22))</f>
        <v>$Z$22</v>
      </c>
      <c r="AW14" s="138" t="str">
        <f t="shared" ca="1" si="8"/>
        <v>$Z$31</v>
      </c>
      <c r="AX14" s="353" t="str">
        <f ca="1">CONCATENATE(AX8,":",AY8)</f>
        <v>$AO$22:$AO$31</v>
      </c>
      <c r="AY14" s="353" t="str">
        <f ca="1">CONCATENATE(AX10,":",AY10)</f>
        <v>$CC$22:$CC$31</v>
      </c>
    </row>
    <row r="15" spans="1:102" ht="13.8" thickBot="1" x14ac:dyDescent="0.3">
      <c r="A15" s="270" t="s">
        <v>224</v>
      </c>
      <c r="D15" s="170"/>
      <c r="E15" s="171"/>
      <c r="F15" s="172"/>
      <c r="G15" s="172"/>
      <c r="H15" s="173"/>
      <c r="L15" s="706" t="s">
        <v>157</v>
      </c>
      <c r="M15" s="707"/>
      <c r="N15" s="352">
        <f t="shared" ca="1" si="11"/>
        <v>1486.8683725071849</v>
      </c>
      <c r="O15" s="352">
        <v>824.22</v>
      </c>
      <c r="P15" s="355">
        <f t="shared" ca="1" si="10"/>
        <v>662.64837250718483</v>
      </c>
      <c r="AL15" s="34">
        <v>12</v>
      </c>
      <c r="AM15" s="41">
        <f t="shared" si="0"/>
        <v>80000</v>
      </c>
      <c r="AN15" s="42">
        <f t="shared" si="1"/>
        <v>4.4999999999999998E-2</v>
      </c>
      <c r="AO15" s="43">
        <f t="shared" si="2"/>
        <v>1.37E-2</v>
      </c>
      <c r="AP15" s="42">
        <f t="shared" si="3"/>
        <v>0</v>
      </c>
      <c r="AQ15" s="42">
        <f t="shared" si="4"/>
        <v>0</v>
      </c>
      <c r="AR15" s="134">
        <f t="shared" si="5"/>
        <v>0</v>
      </c>
      <c r="AS15" s="44">
        <f t="shared" si="6"/>
        <v>0.12859999999999999</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5">
      <c r="D16" s="174"/>
      <c r="E16" s="175"/>
      <c r="F16" s="176"/>
      <c r="G16" s="176"/>
      <c r="H16" s="177"/>
      <c r="L16" s="706" t="s">
        <v>158</v>
      </c>
      <c r="M16" s="707"/>
      <c r="N16" s="352">
        <f t="shared" ca="1" si="11"/>
        <v>0</v>
      </c>
      <c r="O16" s="352">
        <v>17.77</v>
      </c>
      <c r="P16" s="355">
        <f t="shared" ca="1" si="10"/>
        <v>-17.77</v>
      </c>
      <c r="AU16" s="361" t="s">
        <v>158</v>
      </c>
      <c r="AV16" s="339" t="str">
        <f>ADDRESS(ROW($AB$22),COLUMN($AB$22))</f>
        <v>$AB$22</v>
      </c>
      <c r="AW16" s="138" t="str">
        <f t="shared" ca="1" si="8"/>
        <v>$AB$31</v>
      </c>
      <c r="AX16" s="353" t="str">
        <f ca="1">CONCATENATE(AX9,":",AY9)</f>
        <v>$AP$22:$AP$31</v>
      </c>
      <c r="AY16" s="353" t="str">
        <f ca="1">CONCATENATE(AX12,":",AY12)</f>
        <v>$CE$22:$CE$31</v>
      </c>
    </row>
    <row r="17" spans="1:91" x14ac:dyDescent="0.25">
      <c r="D17" s="171"/>
      <c r="E17" s="171"/>
      <c r="F17" s="172"/>
      <c r="G17" s="172"/>
      <c r="H17" s="172"/>
      <c r="L17" s="704" t="s">
        <v>211</v>
      </c>
      <c r="M17" s="705"/>
      <c r="N17" s="356">
        <f t="shared" ca="1" si="11"/>
        <v>35.160806538241836</v>
      </c>
      <c r="O17" s="357">
        <v>11.67</v>
      </c>
      <c r="P17" s="358">
        <f t="shared" ca="1" si="10"/>
        <v>23.490806538241834</v>
      </c>
      <c r="AU17" s="361" t="s">
        <v>211</v>
      </c>
      <c r="AV17" s="339" t="str">
        <f>ADDRESS(ROW($AC$22),COLUMN($AC$22))</f>
        <v>$AC$22</v>
      </c>
      <c r="AW17" s="138" t="str">
        <f t="shared" ca="1" si="8"/>
        <v>$AC$31</v>
      </c>
      <c r="AX17" s="353" t="str">
        <f ca="1">CONCATENATE(AV9,":",AW9)</f>
        <v>$AN$22:$AN$31</v>
      </c>
      <c r="AY17" s="353" t="str">
        <f ca="1">CONCATENATE(AX13,":",AY13)</f>
        <v>$CF$22:$CF$31</v>
      </c>
    </row>
    <row r="18" spans="1:91" x14ac:dyDescent="0.25">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$CI$31</v>
      </c>
    </row>
    <row r="19" spans="1:91" x14ac:dyDescent="0.25">
      <c r="D19" s="171"/>
      <c r="E19" s="171"/>
      <c r="F19" s="172"/>
      <c r="G19" s="172"/>
      <c r="H19" s="172"/>
      <c r="L19" s="724" t="s">
        <v>624</v>
      </c>
      <c r="M19" s="725"/>
      <c r="N19" s="359">
        <f ca="1">SUMPRODUCT(INDIRECT(CONCATENATE(AX5,":",AY5)),INDIRECT(CONCATENATE($AV$2,":",$AW$2)),INDIRECT(CONCATENATE($AV$3,":",$AW$3)))</f>
        <v>212592.33963280165</v>
      </c>
      <c r="O19" s="359">
        <v>223831.11</v>
      </c>
      <c r="P19" s="360">
        <f t="shared" ca="1" si="10"/>
        <v>-11238.770367198333</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PGE City Gate</v>
      </c>
      <c r="AP20" s="703"/>
      <c r="AQ20" s="137"/>
      <c r="AS20" s="137"/>
      <c r="AU20" s="136" t="s">
        <v>576</v>
      </c>
      <c r="AV20" s="353">
        <f ca="1">SUMPRODUCT(INDIRECT(CONCATENATE(AV8,":",AW8)),INDIRECT(CONCATENATE($AV$2,":",$AW$2)),INDIRECT(CONCATENATE($AV$3,":",$AW$3)),INDIRECT(CONCATENATE(AX3,":",AY3)))</f>
        <v>461600</v>
      </c>
      <c r="AW20" s="353">
        <f ca="1">SUMPRODUCT(INDIRECT(CONCATENATE(AX8,":",AY8)),INDIRECT(CONCATENATE($AV$2,":",$AW$2)),INDIRECT(CONCATENATE($AV$3,":",$AW$3)),INDIRECT(CONCATENATE(AX3,":",AY3)))</f>
        <v>965600</v>
      </c>
      <c r="AX20" s="353">
        <f ca="1">SUMPRODUCT(INDIRECT(CONCATENATE(AV9,":",AW9)),INDIRECT(CONCATENATE($AV$2,":",$AW$2)),INDIRECT(CONCATENATE($AV$3,":",$AW$3)),INDIRECT(CONCATENATE(AX3,":",AY3)))</f>
        <v>0</v>
      </c>
      <c r="AY20" s="353">
        <f ca="1">SUMPRODUCT(INDIRECT(CONCATENATE(AX9,":",AY9)),INDIRECT(CONCATENATE($AV$2,":",$AW$2)),INDIRECT(CONCATENATE($AV$3,":",$AW$3)),INDIRECT(CONCATENATE(AX3,":",AY3)))</f>
        <v>72000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1" si="12">VLOOKUP(AG22,$AL$4:$AS$15,2)</f>
        <v>80000</v>
      </c>
      <c r="G22" s="28">
        <f t="shared" ref="G22:G31" si="13">F22*$AU22</f>
        <v>79881.446114868028</v>
      </c>
      <c r="H22" s="52">
        <f t="shared" ref="H22:H31" si="14">(AL22+AM22+AN22)/(1-(AR22))</f>
        <v>3.0173375240798945</v>
      </c>
      <c r="I22" s="52">
        <f t="shared" ref="I22:I31" si="15">(AL22+AO22+AP22)</f>
        <v>3.056</v>
      </c>
      <c r="K22" s="52">
        <f t="shared" ref="K22:K31" si="16">MAX(((I22-H22)-AQ22)*AU22*AH22,0)</f>
        <v>0</v>
      </c>
      <c r="L22" s="135">
        <f t="shared" ref="L22:L31" si="17">MAX(Q22-K22,0)</f>
        <v>0.83162868286871594</v>
      </c>
      <c r="N22" s="131">
        <f>SQRT(($AX22^2*($AH22/2)+$AW22^2*$AI22)/(($AH22/2)+$AI22))</f>
        <v>1.0334004032525936</v>
      </c>
      <c r="O22" s="131">
        <f>SQRT(($AY22^2*($AH22/2)+$AW22^2*$AI22)/(($AH22/2)+$AI22))</f>
        <v>1.0334004032525936</v>
      </c>
      <c r="P22" s="55">
        <f>(VLOOKUP(AI22,CorrelationTwo,2)*(AW22^2)*AI22+VLOOKUP(D22,CorrelationOne,$AK$9)*AX22*AY22*(AH22/2))/((AI22+(AH22/2))*O22*N22)*AF22</f>
        <v>0.99651427860902708</v>
      </c>
      <c r="Q22" s="135">
        <f>_xll.xSPRDOPT(I22,H22,AQ22,0,O22,N22,P22,D22-$G$5,1,0)*AH22*AU22</f>
        <v>0.83162868286871594</v>
      </c>
      <c r="R22" s="135"/>
      <c r="S22" s="181">
        <f>_xll.xSPRDOPT(I22,H22,AQ22,AT22,O22,N22,P22,D22-$G$5,1,2)*AF22*(F22/(1-AR22))*AH22</f>
        <v>-1159699.0304480575</v>
      </c>
      <c r="T22" s="181">
        <f>_xll.xSPRDOPT(I22,H22,AQ22,AT22,O22,N22,P22,D22-$G$5,1,1)*AF22*F22*AH22</f>
        <v>1167369.5934411366</v>
      </c>
      <c r="U22" s="135"/>
      <c r="V22" s="146">
        <f t="shared" ref="V22:V31" si="18">VLOOKUP($AG22,$AL$4:$AS$15,8)*AH22*AU22</f>
        <v>3.9806921635191608</v>
      </c>
      <c r="W22" s="146"/>
      <c r="X22" s="338">
        <f t="shared" ref="X22:X31" si="19">((BM22*BC22)+(BL22*BB22))*AH22*F22</f>
        <v>0</v>
      </c>
      <c r="Y22" s="338">
        <f t="shared" ref="Y22:Y31" si="20">($F22*$AH22)*((($BG22/2)*($BC22)^2)+(($BF22/2)*($BB22)^2)+($BH22*$BC22*$BB22))</f>
        <v>0</v>
      </c>
      <c r="Z22" s="338">
        <f t="shared" ref="Z22:Z31" si="21">($BI22*$F22*$AH22*($G$5-$BV$5))/365.25</f>
        <v>-3789.1451350212387</v>
      </c>
      <c r="AA22" s="338">
        <f t="shared" ref="AA22:AA31" si="22">(($BK22*$BE22)+($BJ22*$BD22))*$F22*$AH22*$AF22</f>
        <v>1078.4087302040591</v>
      </c>
      <c r="AB22" s="338">
        <f t="shared" ref="AB22:AB31" si="23">BN22*(AT22-CA22)*F22*AH22</f>
        <v>0</v>
      </c>
      <c r="AC22" s="338">
        <f t="shared" ref="AC22:AC31" si="24">BO22*CB22*F22*AH22*CA22*($G$5-$BV$5)/365.25</f>
        <v>11.347664741808718</v>
      </c>
      <c r="AF22" s="138">
        <f t="shared" ref="AF22:AF31" si="25">IF(AND(D22&gt;=$G$7,D22&lt;=$G$8),1,0)</f>
        <v>1</v>
      </c>
      <c r="AG22" s="138">
        <f t="shared" ref="AG22:AG31" si="26">MONTH(D22)</f>
        <v>1</v>
      </c>
      <c r="AH22" s="138">
        <f t="shared" ref="AH22:AH31" si="27">(EOMONTH(D22,0)-EOMONTH(D22-DAY(D22),0))*AF22</f>
        <v>31</v>
      </c>
      <c r="AI22" s="138">
        <f>MAX(0,(D22-DAY(D22))-$G$5+1)</f>
        <v>15</v>
      </c>
      <c r="AJ22" s="138">
        <f t="shared" ref="AJ22:AJ31" si="28">D22-$BV$5</f>
        <v>32</v>
      </c>
      <c r="AL22" s="136">
        <f t="shared" ref="AL22:AL31" si="29">VLOOKUP($D22,CurveTbl,$AK$4)</f>
        <v>2.8460000000000001</v>
      </c>
      <c r="AM22" s="258">
        <f t="shared" ref="AM22:AM31" si="30">VLOOKUP($D22,CurveTbl,$AH$3)</f>
        <v>0.13</v>
      </c>
      <c r="AN22" s="258">
        <f t="shared" ref="AN22:AN31" si="31">VLOOKUP($D22,CurveTbl,$AH$4)+VLOOKUP($AG22,$AL$3:$AS$15,6)</f>
        <v>0</v>
      </c>
      <c r="AO22" s="258">
        <f t="shared" ref="AO22:AO31" si="32">VLOOKUP($D22,CurveTbl,$AH$5)</f>
        <v>0.2</v>
      </c>
      <c r="AP22" s="258">
        <f t="shared" ref="AP22:AP31" si="33">VLOOKUP($D22,CurveTbl,$AH$6)+VLOOKUP($AG22,$AL$3:$AS$15,7)</f>
        <v>0.01</v>
      </c>
      <c r="AQ22" s="136">
        <f t="shared" ref="AQ22:AQ31" si="34">VLOOKUP($AG22,$AL$4:$AS$15,3)+VLOOKUP($AG22,$AL$4:$AS$15,5)+($AH$10*VLOOKUP(D22,GRITable,2))</f>
        <v>4.4999999999999998E-2</v>
      </c>
      <c r="AR22" s="137">
        <f t="shared" ref="AR22:AR31" si="35">VLOOKUP($AG22,$AL$4:$AS$15,4)</f>
        <v>1.37E-2</v>
      </c>
      <c r="AS22" s="136">
        <f t="shared" ref="AS22:AS31" si="36">(AL22+AM22+AN22)</f>
        <v>2.976</v>
      </c>
      <c r="AT22" s="137">
        <f t="shared" ref="AT22:AT31" si="37">VLOOKUP(D22,CurveTbl,$AK$6)</f>
        <v>1.8765908157160699E-2</v>
      </c>
      <c r="AU22" s="137">
        <f t="shared" ref="AU22:AU31" si="38">(1+$AT22/2)^(-2*($D22-$G$5)/365.25)*$AF22</f>
        <v>0.99851807643585033</v>
      </c>
      <c r="AV22" s="394">
        <f t="shared" ref="AV22:AV31" si="39">ROUND((F22/(1-AR22))-F22,0)*AF22*AH22*AU22</f>
        <v>34389.961070527119</v>
      </c>
      <c r="AW22" s="137">
        <f t="shared" ref="AW22:AW31" si="40">VLOOKUP($D22,CurveTbl,$AK$8)</f>
        <v>0.87</v>
      </c>
      <c r="AX22" s="137">
        <f t="shared" ref="AX22:AX31" si="41">VLOOKUP($D22,CurveTbl,$AH$7)</f>
        <v>1.17</v>
      </c>
      <c r="AY22" s="137">
        <f t="shared" ref="AY22:AY31" si="42">VLOOKUP($D22,CurveTbl,$AH$8)</f>
        <v>1.17</v>
      </c>
      <c r="AZ22" s="137"/>
      <c r="BA22" s="264"/>
      <c r="BB22" s="258">
        <f t="shared" ref="BB22:BB31" si="43">$H22-$BV22</f>
        <v>0</v>
      </c>
      <c r="BC22" s="258">
        <f t="shared" ref="BC22:BC31" si="44">I22-BW22</f>
        <v>0</v>
      </c>
      <c r="BD22" s="137">
        <f t="shared" ref="BD22:BD31" si="45">N22-BX22</f>
        <v>1.3565034624657857E-2</v>
      </c>
      <c r="BE22" s="137">
        <f t="shared" ref="BE22:BE31" si="46">O22-BY22</f>
        <v>1.3565034624657857E-2</v>
      </c>
      <c r="BF22" s="137">
        <f>_xll.xSPRDOPT($BW22,$BV22,$CG22,0,$BY22,$BX22,$BZ22,$AJ22,1,4)*$CB22</f>
        <v>4.8200431954561829</v>
      </c>
      <c r="BG22" s="137">
        <f>_xll.xSPRDOPT($BW22,$BV22,$CG22,0,$BY22,$BX22,$BZ22,$AJ22,1,3)*$CB22</f>
        <v>4.839086429862034</v>
      </c>
      <c r="BH22" s="137">
        <f>IF(OR(BF22&lt;&gt;0,BG22&lt;&gt;0),_xll.xSPRDOPT($BW22,$BV22,$CG22,0,$BY22,$BX22,$BZ22,$AJ22,1,12)*$CB22,0)</f>
        <v>-4.8295110778039021</v>
      </c>
      <c r="BI22" s="137">
        <f>_xll.xSPRDOPT($BW22,$BV22,$CG22,2*LN(1+CA22/2),$BY22,$BX22,$BZ22,$AJ22,1,9)</f>
        <v>-0.18601952426969187</v>
      </c>
      <c r="BJ22" s="137">
        <f>_xll.xSPRDOPT($BW22,$BV22,$CG22,0,$BY22,$BX22,$BZ22,$AJ22,1,6)*$CB22</f>
        <v>-4.2473590416379159E-2</v>
      </c>
      <c r="BK22" s="137">
        <f>_xll.xSPRDOPT($BW22,$BV22,$CG22,0,$BY22,$BX22,$BZ22,$AJ22,1,5)*$CB22</f>
        <v>7.4529699519894202E-2</v>
      </c>
      <c r="BL22" s="137">
        <f>_xll.xSPRDOPT(BW22,BV22,CG22,0,BY22,BX22,BZ22,AJ22,1,2)*CB22</f>
        <v>-0.46357195983190114</v>
      </c>
      <c r="BM22" s="137">
        <f>_xll.xSPRDOPT(BW22,BV22,CG22,0,BY22,BX22,BZ22,AJ22,1,1)*CB22</f>
        <v>0.47402368398775174</v>
      </c>
      <c r="BN22" s="137">
        <f>IF(AH22&lt;&gt;0,_xll.xSPRDOPT($BW22,$BV22,$CG22,2*LN(1+CA22/2),$BY22,$BX22,$BZ22,$AJ22,1,8)+(AJ22/365.25)*CH22/AH22,0)</f>
        <v>8.6475393043966807E-3</v>
      </c>
      <c r="BO22" s="137">
        <f>_xll.xSPRDOPT($BW22,$BV22,$CG22,0,$BY22,$BX22,$BZ22,$AJ22,1,0)</f>
        <v>2.9734791346004812E-2</v>
      </c>
      <c r="BP22" s="137"/>
      <c r="BQ22" s="137"/>
      <c r="BR22" s="137"/>
      <c r="BS22" s="137"/>
      <c r="BV22" s="262">
        <v>3.0173375240798945</v>
      </c>
      <c r="BW22" s="136">
        <v>3.056</v>
      </c>
      <c r="BX22" s="137">
        <v>1.0198353686279358</v>
      </c>
      <c r="BY22" s="137">
        <v>1.0198353686279358</v>
      </c>
      <c r="BZ22" s="137">
        <v>0.996089736138556</v>
      </c>
      <c r="CA22" s="137">
        <v>1.8765908157160699E-2</v>
      </c>
      <c r="CB22" s="137">
        <v>0.99836489939579565</v>
      </c>
      <c r="CC22" s="258">
        <v>0.13</v>
      </c>
      <c r="CD22" s="258">
        <v>0</v>
      </c>
      <c r="CE22" s="258">
        <v>0.2</v>
      </c>
      <c r="CF22" s="258">
        <v>0.01</v>
      </c>
      <c r="CG22" s="258">
        <v>4.4999999999999998E-2</v>
      </c>
      <c r="CH22" s="258">
        <v>3.9800815079312786</v>
      </c>
      <c r="CI22" s="258">
        <v>2.8460000000000001</v>
      </c>
      <c r="CJ22" s="258"/>
      <c r="CK22" s="258"/>
      <c r="CL22" s="258"/>
      <c r="CM22" s="258"/>
    </row>
    <row r="23" spans="1:91" x14ac:dyDescent="0.25">
      <c r="A23" s="723"/>
      <c r="B23" s="723"/>
      <c r="D23" s="31">
        <f t="shared" ref="D23:D31" si="47">D22+AH22</f>
        <v>37302</v>
      </c>
      <c r="F23" s="28">
        <f t="shared" si="12"/>
        <v>80000</v>
      </c>
      <c r="G23" s="28">
        <f t="shared" si="13"/>
        <v>79747.639494995659</v>
      </c>
      <c r="H23" s="52">
        <f t="shared" si="14"/>
        <v>2.9889485957619386</v>
      </c>
      <c r="I23" s="52">
        <f t="shared" si="15"/>
        <v>3.0279999999999996</v>
      </c>
      <c r="K23" s="52">
        <f t="shared" si="16"/>
        <v>0</v>
      </c>
      <c r="L23" s="135">
        <f t="shared" si="17"/>
        <v>0.96622919905959148</v>
      </c>
      <c r="N23" s="131">
        <f t="shared" ref="N23:N31" si="48">SQRT(($AX23^2*($AH23/2)+$AW23^2*$AI23)/(($AH23/2)+$AI23))</f>
        <v>0.94501278650961462</v>
      </c>
      <c r="O23" s="131">
        <f t="shared" ref="O23:O31" si="49">SQRT(($AY23^2*($AH23/2)+$AW23^2*$AI23)/(($AH23/2)+$AI23))</f>
        <v>0.94501278650961462</v>
      </c>
      <c r="P23" s="55">
        <f t="shared" ref="P23:P31" si="50">(VLOOKUP(AI23,CorrelationTwo,2)*(AW23^2)*AI23+VLOOKUP(D23,CorrelationOne,$AK$9)*AX23*AY23*(AH23/2))/((AI23+(AH23/2))*O23*N23)*AF23</f>
        <v>0.99678831139382984</v>
      </c>
      <c r="Q23" s="135">
        <f>_xll.xSPRDOPT(I23,H23,AQ23,0,O23,N23,P23,D23-$G$5,1,0)*AH23*AU23</f>
        <v>0.96622919905959148</v>
      </c>
      <c r="R23" s="135"/>
      <c r="S23" s="181">
        <f>_xll.xSPRDOPT(I23,H23,AQ23,AT23,O23,N23,P23,D23-$G$5,1,2)*AF23*(F23/(1-AR23))*AH23</f>
        <v>-1062461.2231808568</v>
      </c>
      <c r="T23" s="181">
        <f>_xll.xSPRDOPT(I23,H23,AQ23,AT23,O23,N23,P23,D23-$G$5,1,1)*AF23*F23*AH23</f>
        <v>1074715.7692981439</v>
      </c>
      <c r="U23" s="135"/>
      <c r="V23" s="146">
        <f t="shared" si="18"/>
        <v>3.589441253669754</v>
      </c>
      <c r="W23" s="146"/>
      <c r="X23" s="338">
        <f t="shared" si="19"/>
        <v>0</v>
      </c>
      <c r="Y23" s="338">
        <f t="shared" si="20"/>
        <v>0</v>
      </c>
      <c r="Z23" s="338">
        <f t="shared" si="21"/>
        <v>-2045.7447631705456</v>
      </c>
      <c r="AA23" s="338">
        <f t="shared" si="22"/>
        <v>335.74844448297659</v>
      </c>
      <c r="AB23" s="338">
        <f t="shared" si="23"/>
        <v>0</v>
      </c>
      <c r="AC23" s="338">
        <f t="shared" si="24"/>
        <v>12.689341449099651</v>
      </c>
      <c r="AF23" s="138">
        <f t="shared" si="25"/>
        <v>1</v>
      </c>
      <c r="AG23" s="138">
        <f t="shared" si="26"/>
        <v>2</v>
      </c>
      <c r="AH23" s="138">
        <f t="shared" si="27"/>
        <v>28</v>
      </c>
      <c r="AI23" s="138">
        <f t="shared" ref="AI23:AI31" si="51">AI22+AH22</f>
        <v>46</v>
      </c>
      <c r="AJ23" s="138">
        <f t="shared" si="28"/>
        <v>63</v>
      </c>
      <c r="AL23" s="136">
        <f t="shared" si="29"/>
        <v>2.9079999999999999</v>
      </c>
      <c r="AM23" s="258">
        <f t="shared" si="30"/>
        <v>0.04</v>
      </c>
      <c r="AN23" s="258">
        <f t="shared" si="31"/>
        <v>0</v>
      </c>
      <c r="AO23" s="258">
        <f t="shared" si="32"/>
        <v>0.11</v>
      </c>
      <c r="AP23" s="258">
        <f t="shared" si="33"/>
        <v>0.01</v>
      </c>
      <c r="AQ23" s="136">
        <f t="shared" si="34"/>
        <v>4.4999999999999998E-2</v>
      </c>
      <c r="AR23" s="137">
        <f t="shared" si="35"/>
        <v>1.37E-2</v>
      </c>
      <c r="AS23" s="136">
        <f t="shared" si="36"/>
        <v>2.948</v>
      </c>
      <c r="AT23" s="137">
        <f t="shared" si="37"/>
        <v>1.9326187282006298E-2</v>
      </c>
      <c r="AU23" s="137">
        <f t="shared" si="38"/>
        <v>0.99684549368744568</v>
      </c>
      <c r="AV23" s="394">
        <f t="shared" si="39"/>
        <v>31009.869617629061</v>
      </c>
      <c r="AW23" s="137">
        <f t="shared" si="40"/>
        <v>0.86499999999999999</v>
      </c>
      <c r="AX23" s="137">
        <f t="shared" si="41"/>
        <v>1.17</v>
      </c>
      <c r="AY23" s="137">
        <f t="shared" si="42"/>
        <v>1.17</v>
      </c>
      <c r="AZ23" s="137"/>
      <c r="BA23" s="264"/>
      <c r="BB23" s="258">
        <f t="shared" si="43"/>
        <v>0</v>
      </c>
      <c r="BC23" s="258">
        <f t="shared" si="44"/>
        <v>0</v>
      </c>
      <c r="BD23" s="137">
        <f t="shared" si="45"/>
        <v>3.6559053121710816E-3</v>
      </c>
      <c r="BE23" s="137">
        <f t="shared" si="46"/>
        <v>3.6559053121710816E-3</v>
      </c>
      <c r="BF23" s="137">
        <f>_xll.xSPRDOPT($BW23,$BV23,$CG23,0,$BY23,$BX23,$BZ23,$AJ23,1,4)*$CB23</f>
        <v>4.0842532736673176</v>
      </c>
      <c r="BG23" s="137">
        <f>_xll.xSPRDOPT($BW23,$BV23,$CG23,0,$BY23,$BX23,$BZ23,$AJ23,1,3)*$CB23</f>
        <v>4.0988783283941306</v>
      </c>
      <c r="BH23" s="137">
        <f>IF(OR(BF23&lt;&gt;0,BG23&lt;&gt;0),_xll.xSPRDOPT($BW23,$BV23,$CG23,0,$BY23,$BX23,$BZ23,$AJ23,1,12)*$CB23,0)</f>
        <v>-4.0914924203318552</v>
      </c>
      <c r="BI23" s="137">
        <f>_xll.xSPRDOPT($BW23,$BV23,$CG23,2*LN(1+CA23/2),$BY23,$BX23,$BZ23,$AJ23,1,9)</f>
        <v>-0.11119170755179193</v>
      </c>
      <c r="BJ23" s="137">
        <f>_xll.xSPRDOPT($BW23,$BV23,$CG23,0,$BY23,$BX23,$BZ23,$AJ23,1,6)*$CB23</f>
        <v>-6.8289843623576874E-2</v>
      </c>
      <c r="BK23" s="137">
        <f>_xll.xSPRDOPT($BW23,$BV23,$CG23,0,$BY23,$BX23,$BZ23,$AJ23,1,5)*$CB23</f>
        <v>0.1092886347932772</v>
      </c>
      <c r="BL23" s="137">
        <f>_xll.xSPRDOPT(BW23,BV23,CG23,0,BY23,BX23,BZ23,AJ23,1,2)*CB23</f>
        <v>-0.46832276718396698</v>
      </c>
      <c r="BM23" s="137">
        <f>_xll.xSPRDOPT(BW23,BV23,CG23,0,BY23,BX23,BZ23,AJ23,1,1)*CB23</f>
        <v>0.480679617235233</v>
      </c>
      <c r="BN23" s="137">
        <f>IF(AH23&lt;&gt;0,_xll.xSPRDOPT($BW23,$BV23,$CG23,2*LN(1+CA23/2),$BY23,$BX23,$BZ23,$AJ23,1,8)+(AJ23/365.25)*CH23/AH23,0)</f>
        <v>1.5952543061607462E-2</v>
      </c>
      <c r="BO23" s="137">
        <f>_xll.xSPRDOPT($BW23,$BV23,$CG23,0,$BY23,$BX23,$BZ23,$AJ23,1,0)</f>
        <v>3.5805901202240559E-2</v>
      </c>
      <c r="BP23" s="137"/>
      <c r="BQ23" s="137"/>
      <c r="BR23" s="137"/>
      <c r="BS23" s="137"/>
      <c r="BV23" s="262">
        <v>2.9889485957619386</v>
      </c>
      <c r="BW23" s="136">
        <v>3.0279999999999996</v>
      </c>
      <c r="BX23" s="137">
        <v>0.94135688119744354</v>
      </c>
      <c r="BY23" s="137">
        <v>0.94135688119744354</v>
      </c>
      <c r="BZ23" s="137">
        <v>0.99671640831935782</v>
      </c>
      <c r="CA23" s="137">
        <v>1.9326187282006298E-2</v>
      </c>
      <c r="CB23" s="137">
        <v>0.99668802984454063</v>
      </c>
      <c r="CC23" s="258">
        <v>0.04</v>
      </c>
      <c r="CD23" s="258">
        <v>0</v>
      </c>
      <c r="CE23" s="258">
        <v>0.11</v>
      </c>
      <c r="CF23" s="258">
        <v>0.01</v>
      </c>
      <c r="CG23" s="258">
        <v>4.4999999999999998E-2</v>
      </c>
      <c r="CH23" s="258">
        <v>3.5888742578642217</v>
      </c>
      <c r="CI23" s="258">
        <v>2.9079999999999999</v>
      </c>
      <c r="CJ23" s="258"/>
      <c r="CK23" s="258"/>
      <c r="CL23" s="258"/>
      <c r="CM23" s="258"/>
    </row>
    <row r="24" spans="1:91" x14ac:dyDescent="0.25">
      <c r="A24" s="723"/>
      <c r="B24" s="723"/>
      <c r="D24" s="31">
        <f t="shared" si="47"/>
        <v>37330</v>
      </c>
      <c r="F24" s="28">
        <f t="shared" si="12"/>
        <v>80000</v>
      </c>
      <c r="G24" s="28">
        <f t="shared" si="13"/>
        <v>79631.151184596209</v>
      </c>
      <c r="H24" s="52">
        <f t="shared" si="14"/>
        <v>2.9625874480381227</v>
      </c>
      <c r="I24" s="52">
        <f t="shared" si="15"/>
        <v>3.0019999999999998</v>
      </c>
      <c r="K24" s="52">
        <f t="shared" si="16"/>
        <v>0</v>
      </c>
      <c r="L24" s="135">
        <f t="shared" si="17"/>
        <v>0.85954636348171332</v>
      </c>
      <c r="N24" s="131">
        <f t="shared" si="48"/>
        <v>0.81400177068699564</v>
      </c>
      <c r="O24" s="131">
        <f t="shared" si="49"/>
        <v>0.81400177068699564</v>
      </c>
      <c r="P24" s="55">
        <f t="shared" si="50"/>
        <v>0.9980530617544594</v>
      </c>
      <c r="Q24" s="135">
        <f>_xll.xSPRDOPT(I24,H24,AQ24,0,O24,N24,P24,D24-$G$5,1,0)*AH24*AU24</f>
        <v>0.85954636348171332</v>
      </c>
      <c r="R24" s="135"/>
      <c r="S24" s="181">
        <f>_xll.xSPRDOPT(I24,H24,AQ24,AT24,O24,N24,P24,D24-$G$5,1,2)*AF24*(F24/(1-AR24))*AH24</f>
        <v>-1169486.3699494833</v>
      </c>
      <c r="T24" s="181">
        <f>_xll.xSPRDOPT(I24,H24,AQ24,AT24,O24,N24,P24,D24-$G$5,1,1)*AF24*F24*AH24</f>
        <v>1177254.0994654968</v>
      </c>
      <c r="U24" s="135"/>
      <c r="V24" s="146">
        <f t="shared" si="18"/>
        <v>3.9682193414063902</v>
      </c>
      <c r="W24" s="146"/>
      <c r="X24" s="338">
        <f t="shared" si="19"/>
        <v>0</v>
      </c>
      <c r="Y24" s="338">
        <f t="shared" si="20"/>
        <v>0</v>
      </c>
      <c r="Z24" s="338">
        <f t="shared" si="21"/>
        <v>-1259.1816625227848</v>
      </c>
      <c r="AA24" s="338">
        <f t="shared" si="22"/>
        <v>72.711197820149309</v>
      </c>
      <c r="AB24" s="338">
        <f t="shared" si="23"/>
        <v>0</v>
      </c>
      <c r="AC24" s="338">
        <f t="shared" si="24"/>
        <v>11.12380034733347</v>
      </c>
      <c r="AF24" s="138">
        <f t="shared" si="25"/>
        <v>1</v>
      </c>
      <c r="AG24" s="138">
        <f t="shared" si="26"/>
        <v>3</v>
      </c>
      <c r="AH24" s="138">
        <f t="shared" si="27"/>
        <v>31</v>
      </c>
      <c r="AI24" s="138">
        <f t="shared" si="51"/>
        <v>74</v>
      </c>
      <c r="AJ24" s="138">
        <f t="shared" si="28"/>
        <v>91</v>
      </c>
      <c r="AL24" s="136">
        <f t="shared" si="29"/>
        <v>2.9020000000000001</v>
      </c>
      <c r="AM24" s="258">
        <f t="shared" si="30"/>
        <v>0.02</v>
      </c>
      <c r="AN24" s="258">
        <f t="shared" si="31"/>
        <v>0</v>
      </c>
      <c r="AO24" s="258">
        <f t="shared" si="32"/>
        <v>0.09</v>
      </c>
      <c r="AP24" s="258">
        <f t="shared" si="33"/>
        <v>0.01</v>
      </c>
      <c r="AQ24" s="136">
        <f t="shared" si="34"/>
        <v>4.4999999999999998E-2</v>
      </c>
      <c r="AR24" s="137">
        <f t="shared" si="35"/>
        <v>1.37E-2</v>
      </c>
      <c r="AS24" s="136">
        <f t="shared" si="36"/>
        <v>2.9220000000000002</v>
      </c>
      <c r="AT24" s="137">
        <f t="shared" si="37"/>
        <v>1.9273175363903501E-2</v>
      </c>
      <c r="AU24" s="137">
        <f t="shared" si="38"/>
        <v>0.99538938980745262</v>
      </c>
      <c r="AV24" s="394">
        <f t="shared" si="39"/>
        <v>34282.205974358476</v>
      </c>
      <c r="AW24" s="137">
        <f t="shared" si="40"/>
        <v>0.79</v>
      </c>
      <c r="AX24" s="137">
        <f t="shared" si="41"/>
        <v>0.92</v>
      </c>
      <c r="AY24" s="137">
        <f t="shared" si="42"/>
        <v>0.92</v>
      </c>
      <c r="AZ24" s="137"/>
      <c r="BA24" s="264"/>
      <c r="BB24" s="258">
        <f t="shared" si="43"/>
        <v>0</v>
      </c>
      <c r="BC24" s="258">
        <f t="shared" si="44"/>
        <v>0</v>
      </c>
      <c r="BD24" s="137">
        <f t="shared" si="45"/>
        <v>7.673209307950124E-4</v>
      </c>
      <c r="BE24" s="137">
        <f t="shared" si="46"/>
        <v>7.673209307950124E-4</v>
      </c>
      <c r="BF24" s="137">
        <f>_xll.xSPRDOPT($BW24,$BV24,$CG24,0,$BY24,$BX24,$BZ24,$AJ24,1,4)*$CB24</f>
        <v>5.0639351505806172</v>
      </c>
      <c r="BG24" s="137">
        <f>_xll.xSPRDOPT($BW24,$BV24,$CG24,0,$BY24,$BX24,$BZ24,$AJ24,1,3)*$CB24</f>
        <v>5.0797313019634629</v>
      </c>
      <c r="BH24" s="137">
        <f>IF(OR(BF24&lt;&gt;0,BG24&lt;&gt;0),_xll.xSPRDOPT($BW24,$BV24,$CG24,0,$BY24,$BX24,$BZ24,$AJ24,1,12)*$CB24,0)</f>
        <v>-5.0717384188378993</v>
      </c>
      <c r="BI24" s="137">
        <f>_xll.xSPRDOPT($BW24,$BV24,$CG24,2*LN(1+CA24/2),$BY24,$BX24,$BZ24,$AJ24,1,9)</f>
        <v>-6.1816680408124623E-2</v>
      </c>
      <c r="BJ24" s="137">
        <f>_xll.xSPRDOPT($BW24,$BV24,$CG24,0,$BY24,$BX24,$BZ24,$AJ24,1,6)*$CB24</f>
        <v>-0.11591169325726566</v>
      </c>
      <c r="BK24" s="137">
        <f>_xll.xSPRDOPT($BW24,$BV24,$CG24,0,$BY24,$BX24,$BZ24,$AJ24,1,5)*$CB24</f>
        <v>0.15412130047952055</v>
      </c>
      <c r="BL24" s="137">
        <f>_xll.xSPRDOPT(BW24,BV24,CG24,0,BY24,BX24,BZ24,AJ24,1,2)*CB24</f>
        <v>-0.4655249128068446</v>
      </c>
      <c r="BM24" s="137">
        <f>_xll.xSPRDOPT(BW24,BV24,CG24,0,BY24,BX24,BZ24,AJ24,1,1)*CB24</f>
        <v>0.47531438884699762</v>
      </c>
      <c r="BN24" s="137">
        <f>IF(AH24&lt;&gt;0,_xll.xSPRDOPT($BW24,$BV24,$CG24,2*LN(1+CA24/2),$BY24,$BX24,$BZ24,$AJ24,1,8)+(AJ24/365.25)*CH24/AH24,0)</f>
        <v>2.4827815375787668E-2</v>
      </c>
      <c r="BO24" s="137">
        <f>_xll.xSPRDOPT($BW24,$BV24,$CG24,0,$BY24,$BX24,$BZ24,$AJ24,1,0)</f>
        <v>2.8470337438874792E-2</v>
      </c>
      <c r="BP24" s="137"/>
      <c r="BQ24" s="137"/>
      <c r="BR24" s="137"/>
      <c r="BS24" s="137"/>
      <c r="BV24" s="262">
        <v>2.9625874480381227</v>
      </c>
      <c r="BW24" s="136">
        <v>3.0019999999999998</v>
      </c>
      <c r="BX24" s="137">
        <v>0.81323444975620063</v>
      </c>
      <c r="BY24" s="137">
        <v>0.81323444975620063</v>
      </c>
      <c r="BZ24" s="137">
        <v>0.9980361349180793</v>
      </c>
      <c r="CA24" s="137">
        <v>1.9273175363903501E-2</v>
      </c>
      <c r="CB24" s="137">
        <v>0.99523258517239033</v>
      </c>
      <c r="CC24" s="258">
        <v>0.02</v>
      </c>
      <c r="CD24" s="258">
        <v>0</v>
      </c>
      <c r="CE24" s="258">
        <v>0.09</v>
      </c>
      <c r="CF24" s="258">
        <v>0.01</v>
      </c>
      <c r="CG24" s="258">
        <v>4.4999999999999998E-2</v>
      </c>
      <c r="CH24" s="258">
        <v>3.9675942240482511</v>
      </c>
      <c r="CI24" s="258">
        <v>2.9020000000000001</v>
      </c>
      <c r="CJ24" s="258"/>
      <c r="CK24" s="258"/>
      <c r="CL24" s="258"/>
      <c r="CM24" s="258"/>
    </row>
    <row r="25" spans="1:91" x14ac:dyDescent="0.25">
      <c r="A25" s="723"/>
      <c r="B25" s="723"/>
      <c r="D25" s="31">
        <f t="shared" si="47"/>
        <v>37361</v>
      </c>
      <c r="F25" s="28">
        <f t="shared" si="12"/>
        <v>80000</v>
      </c>
      <c r="G25" s="28">
        <f t="shared" si="13"/>
        <v>0</v>
      </c>
      <c r="H25" s="52">
        <f t="shared" si="14"/>
        <v>2.7557538274358717</v>
      </c>
      <c r="I25" s="52">
        <f t="shared" si="15"/>
        <v>2.9479999999999995</v>
      </c>
      <c r="K25" s="52">
        <f t="shared" si="16"/>
        <v>0</v>
      </c>
      <c r="L25" s="135">
        <f t="shared" si="17"/>
        <v>0</v>
      </c>
      <c r="N25" s="131">
        <f t="shared" si="48"/>
        <v>0.61</v>
      </c>
      <c r="O25" s="131">
        <f t="shared" si="49"/>
        <v>0.61</v>
      </c>
      <c r="P25" s="55">
        <f t="shared" si="50"/>
        <v>0</v>
      </c>
      <c r="Q25" s="135">
        <f>_xll.xSPRDOPT(I25,H25,AQ25,0,O25,N25,P25,D25-$G$5,1,0)*AH25*AU25</f>
        <v>0</v>
      </c>
      <c r="R25" s="135"/>
      <c r="S25" s="181">
        <f>_xll.xSPRDOPT(I25,H25,AQ25,AT25,O25,N25,P25,D25-$G$5,1,2)*AF25*(F25/(1-AR25))*AH25</f>
        <v>0</v>
      </c>
      <c r="T25" s="181">
        <f>_xll.xSPRDOPT(I25,H25,AQ25,AT25,O25,N25,P25,D25-$G$5,1,1)*AF25*F25*AH25</f>
        <v>0</v>
      </c>
      <c r="U25" s="135"/>
      <c r="V25" s="146">
        <f t="shared" si="18"/>
        <v>0</v>
      </c>
      <c r="W25" s="146"/>
      <c r="X25" s="338">
        <f t="shared" si="19"/>
        <v>0</v>
      </c>
      <c r="Y25" s="338">
        <f t="shared" si="20"/>
        <v>0</v>
      </c>
      <c r="Z25" s="338">
        <f t="shared" si="21"/>
        <v>0</v>
      </c>
      <c r="AA25" s="338">
        <f t="shared" si="22"/>
        <v>0</v>
      </c>
      <c r="AB25" s="338">
        <f t="shared" si="23"/>
        <v>0</v>
      </c>
      <c r="AC25" s="338">
        <f t="shared" si="24"/>
        <v>0</v>
      </c>
      <c r="AF25" s="138">
        <f t="shared" si="25"/>
        <v>0</v>
      </c>
      <c r="AG25" s="138">
        <f t="shared" si="26"/>
        <v>4</v>
      </c>
      <c r="AH25" s="138">
        <f t="shared" si="27"/>
        <v>0</v>
      </c>
      <c r="AI25" s="138">
        <f t="shared" si="51"/>
        <v>105</v>
      </c>
      <c r="AJ25" s="138">
        <f t="shared" si="28"/>
        <v>122</v>
      </c>
      <c r="AL25" s="136">
        <f t="shared" si="29"/>
        <v>2.8479999999999999</v>
      </c>
      <c r="AM25" s="258">
        <f t="shared" si="30"/>
        <v>-0.13</v>
      </c>
      <c r="AN25" s="258">
        <f t="shared" si="31"/>
        <v>0</v>
      </c>
      <c r="AO25" s="258">
        <f t="shared" si="32"/>
        <v>7.0000000000000007E-2</v>
      </c>
      <c r="AP25" s="258">
        <f t="shared" si="33"/>
        <v>0.03</v>
      </c>
      <c r="AQ25" s="136">
        <f t="shared" si="34"/>
        <v>4.4999999999999998E-2</v>
      </c>
      <c r="AR25" s="137">
        <f t="shared" si="35"/>
        <v>1.37E-2</v>
      </c>
      <c r="AS25" s="136">
        <f t="shared" si="36"/>
        <v>2.718</v>
      </c>
      <c r="AT25" s="137">
        <f t="shared" si="37"/>
        <v>1.9422640119623601E-2</v>
      </c>
      <c r="AU25" s="137">
        <f t="shared" si="38"/>
        <v>0</v>
      </c>
      <c r="AV25" s="394">
        <f t="shared" si="39"/>
        <v>0</v>
      </c>
      <c r="AW25" s="137">
        <f t="shared" si="40"/>
        <v>0.61</v>
      </c>
      <c r="AX25" s="137">
        <f t="shared" si="41"/>
        <v>0.83</v>
      </c>
      <c r="AY25" s="137">
        <f t="shared" si="42"/>
        <v>0.83</v>
      </c>
      <c r="AZ25" s="137"/>
      <c r="BA25" s="264"/>
      <c r="BB25" s="258">
        <f t="shared" si="43"/>
        <v>0</v>
      </c>
      <c r="BC25" s="258">
        <f t="shared" si="44"/>
        <v>0</v>
      </c>
      <c r="BD25" s="137">
        <f t="shared" si="45"/>
        <v>0</v>
      </c>
      <c r="BE25" s="137">
        <f t="shared" si="46"/>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-0.80090005646487061</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0.63795596267317012</v>
      </c>
      <c r="BP25" s="137"/>
      <c r="BQ25" s="137"/>
      <c r="BR25" s="137"/>
      <c r="BS25" s="137"/>
      <c r="BV25" s="262">
        <v>2.7557538274358717</v>
      </c>
      <c r="BW25" s="136">
        <v>2.9479999999999995</v>
      </c>
      <c r="BX25" s="137">
        <v>0.61</v>
      </c>
      <c r="BY25" s="137">
        <v>0.61</v>
      </c>
      <c r="BZ25" s="137">
        <v>0</v>
      </c>
      <c r="CA25" s="137">
        <v>1.9422640119623601E-2</v>
      </c>
      <c r="CB25" s="137">
        <v>0</v>
      </c>
      <c r="CC25" s="258">
        <v>-0.13</v>
      </c>
      <c r="CD25" s="258">
        <v>0</v>
      </c>
      <c r="CE25" s="258">
        <v>7.0000000000000007E-2</v>
      </c>
      <c r="CF25" s="258">
        <v>0.03</v>
      </c>
      <c r="CG25" s="258">
        <v>4.4999999999999998E-2</v>
      </c>
      <c r="CH25" s="258">
        <v>0</v>
      </c>
      <c r="CI25" s="258">
        <v>2.8479999999999999</v>
      </c>
      <c r="CJ25" s="258"/>
      <c r="CK25" s="258"/>
      <c r="CL25" s="258"/>
      <c r="CM25" s="258"/>
    </row>
    <row r="26" spans="1:91" x14ac:dyDescent="0.25">
      <c r="A26" s="723"/>
      <c r="B26" s="723"/>
      <c r="D26" s="31">
        <f t="shared" si="47"/>
        <v>37361</v>
      </c>
      <c r="F26" s="28">
        <f t="shared" si="12"/>
        <v>80000</v>
      </c>
      <c r="G26" s="28">
        <f t="shared" si="13"/>
        <v>0</v>
      </c>
      <c r="H26" s="52">
        <f t="shared" si="14"/>
        <v>2.7557538274358717</v>
      </c>
      <c r="I26" s="52">
        <f t="shared" si="15"/>
        <v>2.9479999999999995</v>
      </c>
      <c r="K26" s="52">
        <f t="shared" si="16"/>
        <v>0</v>
      </c>
      <c r="L26" s="135">
        <f t="shared" si="17"/>
        <v>0</v>
      </c>
      <c r="N26" s="131">
        <f t="shared" si="48"/>
        <v>0.61</v>
      </c>
      <c r="O26" s="131">
        <f t="shared" si="49"/>
        <v>0.61</v>
      </c>
      <c r="P26" s="55">
        <f t="shared" si="50"/>
        <v>0</v>
      </c>
      <c r="Q26" s="135">
        <f>_xll.xSPRDOPT(I26,H26,AQ26,0,O26,N26,P26,D26-$G$5,1,0)*AH26*AU26</f>
        <v>0</v>
      </c>
      <c r="R26" s="135"/>
      <c r="S26" s="181">
        <f>_xll.xSPRDOPT(I26,H26,AQ26,AT26,O26,N26,P26,D26-$G$5,1,2)*AF26*(F26/(1-AR26))*AH26</f>
        <v>0</v>
      </c>
      <c r="T26" s="181">
        <f>_xll.xSPRDOPT(I26,H26,AQ26,AT26,O26,N26,P26,D26-$G$5,1,1)*AF26*F26*AH26</f>
        <v>0</v>
      </c>
      <c r="U26" s="135"/>
      <c r="V26" s="146">
        <f t="shared" si="18"/>
        <v>0</v>
      </c>
      <c r="W26" s="146"/>
      <c r="X26" s="338">
        <f t="shared" si="19"/>
        <v>0</v>
      </c>
      <c r="Y26" s="338">
        <f t="shared" si="20"/>
        <v>0</v>
      </c>
      <c r="Z26" s="338">
        <f t="shared" si="21"/>
        <v>0</v>
      </c>
      <c r="AA26" s="338">
        <f t="shared" si="22"/>
        <v>0</v>
      </c>
      <c r="AB26" s="338">
        <f t="shared" si="23"/>
        <v>0</v>
      </c>
      <c r="AC26" s="338">
        <f t="shared" si="24"/>
        <v>0</v>
      </c>
      <c r="AF26" s="138">
        <f t="shared" si="25"/>
        <v>0</v>
      </c>
      <c r="AG26" s="138">
        <f t="shared" si="26"/>
        <v>4</v>
      </c>
      <c r="AH26" s="138">
        <f t="shared" si="27"/>
        <v>0</v>
      </c>
      <c r="AI26" s="138">
        <f t="shared" si="51"/>
        <v>105</v>
      </c>
      <c r="AJ26" s="138">
        <f t="shared" si="28"/>
        <v>122</v>
      </c>
      <c r="AL26" s="136">
        <f t="shared" si="29"/>
        <v>2.8479999999999999</v>
      </c>
      <c r="AM26" s="258">
        <f t="shared" si="30"/>
        <v>-0.13</v>
      </c>
      <c r="AN26" s="258">
        <f t="shared" si="31"/>
        <v>0</v>
      </c>
      <c r="AO26" s="258">
        <f t="shared" si="32"/>
        <v>7.0000000000000007E-2</v>
      </c>
      <c r="AP26" s="258">
        <f t="shared" si="33"/>
        <v>0.03</v>
      </c>
      <c r="AQ26" s="136">
        <f t="shared" si="34"/>
        <v>4.4999999999999998E-2</v>
      </c>
      <c r="AR26" s="137">
        <f t="shared" si="35"/>
        <v>1.37E-2</v>
      </c>
      <c r="AS26" s="136">
        <f t="shared" si="36"/>
        <v>2.718</v>
      </c>
      <c r="AT26" s="137">
        <f t="shared" si="37"/>
        <v>1.9422640119623601E-2</v>
      </c>
      <c r="AU26" s="137">
        <f t="shared" si="38"/>
        <v>0</v>
      </c>
      <c r="AV26" s="394">
        <f t="shared" si="39"/>
        <v>0</v>
      </c>
      <c r="AW26" s="137">
        <f t="shared" si="40"/>
        <v>0.61</v>
      </c>
      <c r="AX26" s="137">
        <f t="shared" si="41"/>
        <v>0.83</v>
      </c>
      <c r="AY26" s="137">
        <f t="shared" si="42"/>
        <v>0.83</v>
      </c>
      <c r="AZ26" s="137"/>
      <c r="BA26" s="264"/>
      <c r="BB26" s="258">
        <f t="shared" si="43"/>
        <v>0</v>
      </c>
      <c r="BC26" s="258">
        <f t="shared" si="44"/>
        <v>0</v>
      </c>
      <c r="BD26" s="137">
        <f t="shared" si="45"/>
        <v>0</v>
      </c>
      <c r="BE26" s="137">
        <f t="shared" si="46"/>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-0.80090005646487061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0.63795596267317012</v>
      </c>
      <c r="BP26" s="137"/>
      <c r="BQ26" s="137"/>
      <c r="BR26" s="137"/>
      <c r="BS26" s="137"/>
      <c r="BV26" s="262">
        <v>2.7557538274358717</v>
      </c>
      <c r="BW26" s="136">
        <v>2.9479999999999995</v>
      </c>
      <c r="BX26" s="137">
        <v>0.61</v>
      </c>
      <c r="BY26" s="137">
        <v>0.61</v>
      </c>
      <c r="BZ26" s="137">
        <v>0</v>
      </c>
      <c r="CA26" s="137">
        <v>1.9422640119623601E-2</v>
      </c>
      <c r="CB26" s="137">
        <v>0</v>
      </c>
      <c r="CC26" s="258">
        <v>-0.13</v>
      </c>
      <c r="CD26" s="258">
        <v>0</v>
      </c>
      <c r="CE26" s="258">
        <v>7.0000000000000007E-2</v>
      </c>
      <c r="CF26" s="258">
        <v>0.03</v>
      </c>
      <c r="CG26" s="258">
        <v>4.4999999999999998E-2</v>
      </c>
      <c r="CH26" s="258">
        <v>0</v>
      </c>
      <c r="CI26" s="258">
        <v>2.8479999999999999</v>
      </c>
      <c r="CJ26" s="258"/>
      <c r="CK26" s="258"/>
      <c r="CL26" s="258"/>
      <c r="CM26" s="258"/>
    </row>
    <row r="27" spans="1:91" x14ac:dyDescent="0.25">
      <c r="A27" s="726"/>
      <c r="B27" s="726"/>
      <c r="C27" s="726"/>
      <c r="D27" s="31">
        <f t="shared" si="47"/>
        <v>37361</v>
      </c>
      <c r="F27" s="28">
        <f t="shared" si="12"/>
        <v>80000</v>
      </c>
      <c r="G27" s="28">
        <f t="shared" si="13"/>
        <v>0</v>
      </c>
      <c r="H27" s="52">
        <f t="shared" si="14"/>
        <v>2.7557538274358717</v>
      </c>
      <c r="I27" s="52">
        <f t="shared" si="15"/>
        <v>2.9479999999999995</v>
      </c>
      <c r="K27" s="52">
        <f t="shared" si="16"/>
        <v>0</v>
      </c>
      <c r="L27" s="135">
        <f t="shared" si="17"/>
        <v>0</v>
      </c>
      <c r="N27" s="131">
        <f t="shared" si="48"/>
        <v>0.61</v>
      </c>
      <c r="O27" s="131">
        <f t="shared" si="49"/>
        <v>0.61</v>
      </c>
      <c r="P27" s="55">
        <f t="shared" si="50"/>
        <v>0</v>
      </c>
      <c r="Q27" s="135">
        <f>_xll.xSPRDOPT(I27,H27,AQ27,0,O27,N27,P27,D27-$G$5,1,0)*AH27*AU27</f>
        <v>0</v>
      </c>
      <c r="R27" s="135"/>
      <c r="S27" s="181">
        <f>_xll.xSPRDOPT(I27,H27,AQ27,AT27,O27,N27,P27,D27-$G$5,1,2)*AF27*(F27/(1-AR27))*AH27</f>
        <v>0</v>
      </c>
      <c r="T27" s="181">
        <f>_xll.xSPRDOPT(I27,H27,AQ27,AT27,O27,N27,P27,D27-$G$5,1,1)*AF27*F27*AH27</f>
        <v>0</v>
      </c>
      <c r="U27" s="135"/>
      <c r="V27" s="146">
        <f t="shared" si="18"/>
        <v>0</v>
      </c>
      <c r="W27" s="146"/>
      <c r="X27" s="338">
        <f t="shared" si="19"/>
        <v>0</v>
      </c>
      <c r="Y27" s="338">
        <f t="shared" si="20"/>
        <v>0</v>
      </c>
      <c r="Z27" s="338">
        <f t="shared" si="21"/>
        <v>0</v>
      </c>
      <c r="AA27" s="338">
        <f t="shared" si="22"/>
        <v>0</v>
      </c>
      <c r="AB27" s="338">
        <f t="shared" si="23"/>
        <v>0</v>
      </c>
      <c r="AC27" s="338">
        <f t="shared" si="24"/>
        <v>0</v>
      </c>
      <c r="AF27" s="138">
        <f t="shared" si="25"/>
        <v>0</v>
      </c>
      <c r="AG27" s="138">
        <f t="shared" si="26"/>
        <v>4</v>
      </c>
      <c r="AH27" s="138">
        <f t="shared" si="27"/>
        <v>0</v>
      </c>
      <c r="AI27" s="138">
        <f t="shared" si="51"/>
        <v>105</v>
      </c>
      <c r="AJ27" s="138">
        <f t="shared" si="28"/>
        <v>122</v>
      </c>
      <c r="AL27" s="136">
        <f t="shared" si="29"/>
        <v>2.8479999999999999</v>
      </c>
      <c r="AM27" s="258">
        <f t="shared" si="30"/>
        <v>-0.13</v>
      </c>
      <c r="AN27" s="258">
        <f t="shared" si="31"/>
        <v>0</v>
      </c>
      <c r="AO27" s="258">
        <f t="shared" si="32"/>
        <v>7.0000000000000007E-2</v>
      </c>
      <c r="AP27" s="258">
        <f t="shared" si="33"/>
        <v>0.03</v>
      </c>
      <c r="AQ27" s="136">
        <f t="shared" si="34"/>
        <v>4.4999999999999998E-2</v>
      </c>
      <c r="AR27" s="137">
        <f t="shared" si="35"/>
        <v>1.37E-2</v>
      </c>
      <c r="AS27" s="136">
        <f t="shared" si="36"/>
        <v>2.718</v>
      </c>
      <c r="AT27" s="137">
        <f t="shared" si="37"/>
        <v>1.9422640119623601E-2</v>
      </c>
      <c r="AU27" s="137">
        <f t="shared" si="38"/>
        <v>0</v>
      </c>
      <c r="AV27" s="394">
        <f t="shared" si="39"/>
        <v>0</v>
      </c>
      <c r="AW27" s="137">
        <f t="shared" si="40"/>
        <v>0.61</v>
      </c>
      <c r="AX27" s="137">
        <f t="shared" si="41"/>
        <v>0.83</v>
      </c>
      <c r="AY27" s="137">
        <f t="shared" si="42"/>
        <v>0.83</v>
      </c>
      <c r="AZ27" s="137"/>
      <c r="BA27" s="264"/>
      <c r="BB27" s="258">
        <f t="shared" si="43"/>
        <v>0</v>
      </c>
      <c r="BC27" s="258">
        <f t="shared" si="44"/>
        <v>0</v>
      </c>
      <c r="BD27" s="137">
        <f t="shared" si="45"/>
        <v>0</v>
      </c>
      <c r="BE27" s="137">
        <f t="shared" si="46"/>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-0.80090005646487061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0.63795596267317012</v>
      </c>
      <c r="BP27" s="137"/>
      <c r="BQ27" s="137"/>
      <c r="BR27" s="137"/>
      <c r="BS27" s="137"/>
      <c r="BV27" s="262">
        <v>2.7557538274358717</v>
      </c>
      <c r="BW27" s="136">
        <v>2.9479999999999995</v>
      </c>
      <c r="BX27" s="137">
        <v>0.61</v>
      </c>
      <c r="BY27" s="137">
        <v>0.61</v>
      </c>
      <c r="BZ27" s="137">
        <v>0</v>
      </c>
      <c r="CA27" s="137">
        <v>1.9422640119623601E-2</v>
      </c>
      <c r="CB27" s="137">
        <v>0</v>
      </c>
      <c r="CC27" s="258">
        <v>-0.13</v>
      </c>
      <c r="CD27" s="258">
        <v>0</v>
      </c>
      <c r="CE27" s="258">
        <v>7.0000000000000007E-2</v>
      </c>
      <c r="CF27" s="258">
        <v>0.03</v>
      </c>
      <c r="CG27" s="258">
        <v>4.4999999999999998E-2</v>
      </c>
      <c r="CH27" s="258">
        <v>0</v>
      </c>
      <c r="CI27" s="258">
        <v>2.8479999999999999</v>
      </c>
      <c r="CJ27" s="258"/>
      <c r="CK27" s="258"/>
      <c r="CL27" s="258"/>
      <c r="CM27" s="258"/>
    </row>
    <row r="28" spans="1:91" x14ac:dyDescent="0.25">
      <c r="A28" s="723"/>
      <c r="B28" s="723"/>
      <c r="D28" s="31">
        <f t="shared" si="47"/>
        <v>37361</v>
      </c>
      <c r="F28" s="28">
        <f t="shared" si="12"/>
        <v>80000</v>
      </c>
      <c r="G28" s="28">
        <f t="shared" si="13"/>
        <v>0</v>
      </c>
      <c r="H28" s="52">
        <f t="shared" si="14"/>
        <v>2.7557538274358717</v>
      </c>
      <c r="I28" s="52">
        <f t="shared" si="15"/>
        <v>2.9479999999999995</v>
      </c>
      <c r="K28" s="52">
        <f t="shared" si="16"/>
        <v>0</v>
      </c>
      <c r="L28" s="135">
        <f t="shared" si="17"/>
        <v>0</v>
      </c>
      <c r="N28" s="131">
        <f t="shared" si="48"/>
        <v>0.61</v>
      </c>
      <c r="O28" s="131">
        <f t="shared" si="49"/>
        <v>0.61</v>
      </c>
      <c r="P28" s="55">
        <f t="shared" si="50"/>
        <v>0</v>
      </c>
      <c r="Q28" s="135">
        <f>_xll.xSPRDOPT(I28,H28,AQ28,0,O28,N28,P28,D28-$G$5,1,0)*AH28*AU28</f>
        <v>0</v>
      </c>
      <c r="R28" s="135"/>
      <c r="S28" s="181">
        <f>_xll.xSPRDOPT(I28,H28,AQ28,AT28,O28,N28,P28,D28-$G$5,1,2)*AF28*(F28/(1-AR28))*AH28</f>
        <v>0</v>
      </c>
      <c r="T28" s="181">
        <f>_xll.xSPRDOPT(I28,H28,AQ28,AT28,O28,N28,P28,D28-$G$5,1,1)*AF28*F28*AH28</f>
        <v>0</v>
      </c>
      <c r="U28" s="135"/>
      <c r="V28" s="146">
        <f t="shared" si="18"/>
        <v>0</v>
      </c>
      <c r="W28" s="146"/>
      <c r="X28" s="338">
        <f t="shared" si="19"/>
        <v>0</v>
      </c>
      <c r="Y28" s="338">
        <f t="shared" si="20"/>
        <v>0</v>
      </c>
      <c r="Z28" s="338">
        <f t="shared" si="21"/>
        <v>0</v>
      </c>
      <c r="AA28" s="338">
        <f t="shared" si="22"/>
        <v>0</v>
      </c>
      <c r="AB28" s="338">
        <f t="shared" si="23"/>
        <v>0</v>
      </c>
      <c r="AC28" s="338">
        <f t="shared" si="24"/>
        <v>0</v>
      </c>
      <c r="AF28" s="138">
        <f t="shared" si="25"/>
        <v>0</v>
      </c>
      <c r="AG28" s="138">
        <f t="shared" si="26"/>
        <v>4</v>
      </c>
      <c r="AH28" s="138">
        <f t="shared" si="27"/>
        <v>0</v>
      </c>
      <c r="AI28" s="138">
        <f t="shared" si="51"/>
        <v>105</v>
      </c>
      <c r="AJ28" s="138">
        <f t="shared" si="28"/>
        <v>122</v>
      </c>
      <c r="AL28" s="136">
        <f t="shared" si="29"/>
        <v>2.8479999999999999</v>
      </c>
      <c r="AM28" s="258">
        <f t="shared" si="30"/>
        <v>-0.13</v>
      </c>
      <c r="AN28" s="258">
        <f t="shared" si="31"/>
        <v>0</v>
      </c>
      <c r="AO28" s="258">
        <f t="shared" si="32"/>
        <v>7.0000000000000007E-2</v>
      </c>
      <c r="AP28" s="258">
        <f t="shared" si="33"/>
        <v>0.03</v>
      </c>
      <c r="AQ28" s="136">
        <f t="shared" si="34"/>
        <v>4.4999999999999998E-2</v>
      </c>
      <c r="AR28" s="137">
        <f t="shared" si="35"/>
        <v>1.37E-2</v>
      </c>
      <c r="AS28" s="136">
        <f t="shared" si="36"/>
        <v>2.718</v>
      </c>
      <c r="AT28" s="137">
        <f t="shared" si="37"/>
        <v>1.9422640119623601E-2</v>
      </c>
      <c r="AU28" s="137">
        <f t="shared" si="38"/>
        <v>0</v>
      </c>
      <c r="AV28" s="394">
        <f t="shared" si="39"/>
        <v>0</v>
      </c>
      <c r="AW28" s="137">
        <f t="shared" si="40"/>
        <v>0.61</v>
      </c>
      <c r="AX28" s="137">
        <f t="shared" si="41"/>
        <v>0.83</v>
      </c>
      <c r="AY28" s="137">
        <f t="shared" si="42"/>
        <v>0.83</v>
      </c>
      <c r="AZ28" s="137"/>
      <c r="BA28" s="264"/>
      <c r="BB28" s="258">
        <f t="shared" si="43"/>
        <v>0</v>
      </c>
      <c r="BC28" s="258">
        <f t="shared" si="44"/>
        <v>0</v>
      </c>
      <c r="BD28" s="137">
        <f t="shared" si="45"/>
        <v>0</v>
      </c>
      <c r="BE28" s="137">
        <f t="shared" si="46"/>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-0.80090005646487061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0.63795596267317012</v>
      </c>
      <c r="BP28" s="137"/>
      <c r="BQ28" s="137"/>
      <c r="BR28" s="137"/>
      <c r="BS28" s="137"/>
      <c r="BV28" s="262">
        <v>2.7557538274358717</v>
      </c>
      <c r="BW28" s="136">
        <v>2.9479999999999995</v>
      </c>
      <c r="BX28" s="137">
        <v>0.61</v>
      </c>
      <c r="BY28" s="137">
        <v>0.61</v>
      </c>
      <c r="BZ28" s="137">
        <v>0</v>
      </c>
      <c r="CA28" s="137">
        <v>1.9422640119623601E-2</v>
      </c>
      <c r="CB28" s="137">
        <v>0</v>
      </c>
      <c r="CC28" s="258">
        <v>-0.13</v>
      </c>
      <c r="CD28" s="258">
        <v>0</v>
      </c>
      <c r="CE28" s="258">
        <v>7.0000000000000007E-2</v>
      </c>
      <c r="CF28" s="258">
        <v>0.03</v>
      </c>
      <c r="CG28" s="258">
        <v>4.4999999999999998E-2</v>
      </c>
      <c r="CH28" s="258">
        <v>0</v>
      </c>
      <c r="CI28" s="258">
        <v>2.8479999999999999</v>
      </c>
      <c r="CJ28" s="258"/>
      <c r="CK28" s="258"/>
      <c r="CL28" s="258"/>
      <c r="CM28" s="258"/>
    </row>
    <row r="29" spans="1:91" x14ac:dyDescent="0.25">
      <c r="A29" s="723"/>
      <c r="B29" s="723"/>
      <c r="D29" s="31">
        <f t="shared" si="47"/>
        <v>37361</v>
      </c>
      <c r="F29" s="28">
        <f t="shared" si="12"/>
        <v>80000</v>
      </c>
      <c r="G29" s="28">
        <f t="shared" si="13"/>
        <v>0</v>
      </c>
      <c r="H29" s="52">
        <f t="shared" si="14"/>
        <v>2.7557538274358717</v>
      </c>
      <c r="I29" s="52">
        <f t="shared" si="15"/>
        <v>2.9479999999999995</v>
      </c>
      <c r="K29" s="52">
        <f t="shared" si="16"/>
        <v>0</v>
      </c>
      <c r="L29" s="135">
        <f t="shared" si="17"/>
        <v>0</v>
      </c>
      <c r="N29" s="131">
        <f t="shared" si="48"/>
        <v>0.61</v>
      </c>
      <c r="O29" s="131">
        <f t="shared" si="49"/>
        <v>0.61</v>
      </c>
      <c r="P29" s="55">
        <f t="shared" si="50"/>
        <v>0</v>
      </c>
      <c r="Q29" s="135">
        <f>_xll.xSPRDOPT(I29,H29,AQ29,0,O29,N29,P29,D29-$G$5,1,0)*AH29*AU29</f>
        <v>0</v>
      </c>
      <c r="R29" s="135"/>
      <c r="S29" s="181">
        <f>_xll.xSPRDOPT(I29,H29,AQ29,AT29,O29,N29,P29,D29-$G$5,1,2)*AF29*(F29/(1-AR29))*AH29</f>
        <v>0</v>
      </c>
      <c r="T29" s="181">
        <f>_xll.xSPRDOPT(I29,H29,AQ29,AT29,O29,N29,P29,D29-$G$5,1,1)*AF29*F29*AH29</f>
        <v>0</v>
      </c>
      <c r="U29" s="135"/>
      <c r="V29" s="146">
        <f t="shared" si="18"/>
        <v>0</v>
      </c>
      <c r="W29" s="146"/>
      <c r="X29" s="338">
        <f t="shared" si="19"/>
        <v>0</v>
      </c>
      <c r="Y29" s="338">
        <f t="shared" si="20"/>
        <v>0</v>
      </c>
      <c r="Z29" s="338">
        <f t="shared" si="21"/>
        <v>0</v>
      </c>
      <c r="AA29" s="338">
        <f t="shared" si="22"/>
        <v>0</v>
      </c>
      <c r="AB29" s="338">
        <f t="shared" si="23"/>
        <v>0</v>
      </c>
      <c r="AC29" s="338">
        <f t="shared" si="24"/>
        <v>0</v>
      </c>
      <c r="AF29" s="138">
        <f t="shared" si="25"/>
        <v>0</v>
      </c>
      <c r="AG29" s="138">
        <f t="shared" si="26"/>
        <v>4</v>
      </c>
      <c r="AH29" s="138">
        <f t="shared" si="27"/>
        <v>0</v>
      </c>
      <c r="AI29" s="138">
        <f t="shared" si="51"/>
        <v>105</v>
      </c>
      <c r="AJ29" s="138">
        <f t="shared" si="28"/>
        <v>122</v>
      </c>
      <c r="AL29" s="136">
        <f t="shared" si="29"/>
        <v>2.8479999999999999</v>
      </c>
      <c r="AM29" s="258">
        <f t="shared" si="30"/>
        <v>-0.13</v>
      </c>
      <c r="AN29" s="258">
        <f t="shared" si="31"/>
        <v>0</v>
      </c>
      <c r="AO29" s="258">
        <f t="shared" si="32"/>
        <v>7.0000000000000007E-2</v>
      </c>
      <c r="AP29" s="258">
        <f t="shared" si="33"/>
        <v>0.03</v>
      </c>
      <c r="AQ29" s="136">
        <f t="shared" si="34"/>
        <v>4.4999999999999998E-2</v>
      </c>
      <c r="AR29" s="137">
        <f t="shared" si="35"/>
        <v>1.37E-2</v>
      </c>
      <c r="AS29" s="136">
        <f t="shared" si="36"/>
        <v>2.718</v>
      </c>
      <c r="AT29" s="137">
        <f t="shared" si="37"/>
        <v>1.9422640119623601E-2</v>
      </c>
      <c r="AU29" s="137">
        <f t="shared" si="38"/>
        <v>0</v>
      </c>
      <c r="AV29" s="394">
        <f t="shared" si="39"/>
        <v>0</v>
      </c>
      <c r="AW29" s="137">
        <f t="shared" si="40"/>
        <v>0.61</v>
      </c>
      <c r="AX29" s="137">
        <f t="shared" si="41"/>
        <v>0.83</v>
      </c>
      <c r="AY29" s="137">
        <f t="shared" si="42"/>
        <v>0.83</v>
      </c>
      <c r="AZ29" s="137"/>
      <c r="BA29" s="264"/>
      <c r="BB29" s="258">
        <f t="shared" si="43"/>
        <v>0</v>
      </c>
      <c r="BC29" s="258">
        <f t="shared" si="44"/>
        <v>0</v>
      </c>
      <c r="BD29" s="137">
        <f t="shared" si="45"/>
        <v>0</v>
      </c>
      <c r="BE29" s="137">
        <f t="shared" si="46"/>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-0.80090005646487061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0.63795596267317012</v>
      </c>
      <c r="BP29" s="137"/>
      <c r="BQ29" s="137"/>
      <c r="BR29" s="137"/>
      <c r="BS29" s="137"/>
      <c r="BV29" s="262">
        <v>2.7557538274358717</v>
      </c>
      <c r="BW29" s="136">
        <v>2.9479999999999995</v>
      </c>
      <c r="BX29" s="137">
        <v>0.61</v>
      </c>
      <c r="BY29" s="137">
        <v>0.61</v>
      </c>
      <c r="BZ29" s="137">
        <v>0</v>
      </c>
      <c r="CA29" s="137">
        <v>1.9422640119623601E-2</v>
      </c>
      <c r="CB29" s="137">
        <v>0</v>
      </c>
      <c r="CC29" s="258">
        <v>-0.13</v>
      </c>
      <c r="CD29" s="258">
        <v>0</v>
      </c>
      <c r="CE29" s="258">
        <v>7.0000000000000007E-2</v>
      </c>
      <c r="CF29" s="258">
        <v>0.03</v>
      </c>
      <c r="CG29" s="258">
        <v>4.4999999999999998E-2</v>
      </c>
      <c r="CH29" s="258">
        <v>0</v>
      </c>
      <c r="CI29" s="258">
        <v>2.8479999999999999</v>
      </c>
      <c r="CJ29" s="258"/>
      <c r="CK29" s="258"/>
      <c r="CL29" s="258"/>
      <c r="CM29" s="258"/>
    </row>
    <row r="30" spans="1:91" x14ac:dyDescent="0.25">
      <c r="A30" s="723"/>
      <c r="B30" s="723"/>
      <c r="D30" s="31">
        <f t="shared" si="47"/>
        <v>37361</v>
      </c>
      <c r="F30" s="28">
        <f t="shared" si="12"/>
        <v>80000</v>
      </c>
      <c r="G30" s="28">
        <f t="shared" si="13"/>
        <v>0</v>
      </c>
      <c r="H30" s="52">
        <f t="shared" si="14"/>
        <v>2.7557538274358717</v>
      </c>
      <c r="I30" s="52">
        <f t="shared" si="15"/>
        <v>2.9479999999999995</v>
      </c>
      <c r="K30" s="52">
        <f t="shared" si="16"/>
        <v>0</v>
      </c>
      <c r="L30" s="135">
        <f t="shared" si="17"/>
        <v>0</v>
      </c>
      <c r="N30" s="131">
        <f t="shared" si="48"/>
        <v>0.61</v>
      </c>
      <c r="O30" s="131">
        <f t="shared" si="49"/>
        <v>0.61</v>
      </c>
      <c r="P30" s="55">
        <f t="shared" si="50"/>
        <v>0</v>
      </c>
      <c r="Q30" s="135">
        <f>_xll.xSPRDOPT(I30,H30,AQ30,0,O30,N30,P30,D30-$G$5,1,0)*AH30*AU30</f>
        <v>0</v>
      </c>
      <c r="R30" s="135"/>
      <c r="S30" s="181">
        <f>_xll.xSPRDOPT(I30,H30,AQ30,AT30,O30,N30,P30,D30-$G$5,1,2)*AF30*(F30/(1-AR30))*AH30</f>
        <v>0</v>
      </c>
      <c r="T30" s="181">
        <f>_xll.xSPRDOPT(I30,H30,AQ30,AT30,O30,N30,P30,D30-$G$5,1,1)*AF30*F30*AH30</f>
        <v>0</v>
      </c>
      <c r="U30" s="135"/>
      <c r="V30" s="146">
        <f t="shared" si="18"/>
        <v>0</v>
      </c>
      <c r="W30" s="146"/>
      <c r="X30" s="338">
        <f t="shared" si="19"/>
        <v>0</v>
      </c>
      <c r="Y30" s="338">
        <f t="shared" si="20"/>
        <v>0</v>
      </c>
      <c r="Z30" s="338">
        <f t="shared" si="21"/>
        <v>0</v>
      </c>
      <c r="AA30" s="338">
        <f t="shared" si="22"/>
        <v>0</v>
      </c>
      <c r="AB30" s="338">
        <f t="shared" si="23"/>
        <v>0</v>
      </c>
      <c r="AC30" s="338">
        <f t="shared" si="24"/>
        <v>0</v>
      </c>
      <c r="AF30" s="138">
        <f t="shared" si="25"/>
        <v>0</v>
      </c>
      <c r="AG30" s="138">
        <f t="shared" si="26"/>
        <v>4</v>
      </c>
      <c r="AH30" s="138">
        <f t="shared" si="27"/>
        <v>0</v>
      </c>
      <c r="AI30" s="138">
        <f t="shared" si="51"/>
        <v>105</v>
      </c>
      <c r="AJ30" s="138">
        <f t="shared" si="28"/>
        <v>122</v>
      </c>
      <c r="AL30" s="136">
        <f t="shared" si="29"/>
        <v>2.8479999999999999</v>
      </c>
      <c r="AM30" s="258">
        <f t="shared" si="30"/>
        <v>-0.13</v>
      </c>
      <c r="AN30" s="258">
        <f t="shared" si="31"/>
        <v>0</v>
      </c>
      <c r="AO30" s="258">
        <f t="shared" si="32"/>
        <v>7.0000000000000007E-2</v>
      </c>
      <c r="AP30" s="258">
        <f t="shared" si="33"/>
        <v>0.03</v>
      </c>
      <c r="AQ30" s="136">
        <f t="shared" si="34"/>
        <v>4.4999999999999998E-2</v>
      </c>
      <c r="AR30" s="137">
        <f t="shared" si="35"/>
        <v>1.37E-2</v>
      </c>
      <c r="AS30" s="136">
        <f t="shared" si="36"/>
        <v>2.718</v>
      </c>
      <c r="AT30" s="137">
        <f t="shared" si="37"/>
        <v>1.9422640119623601E-2</v>
      </c>
      <c r="AU30" s="137">
        <f t="shared" si="38"/>
        <v>0</v>
      </c>
      <c r="AV30" s="394">
        <f t="shared" si="39"/>
        <v>0</v>
      </c>
      <c r="AW30" s="137">
        <f t="shared" si="40"/>
        <v>0.61</v>
      </c>
      <c r="AX30" s="137">
        <f t="shared" si="41"/>
        <v>0.83</v>
      </c>
      <c r="AY30" s="137">
        <f t="shared" si="42"/>
        <v>0.83</v>
      </c>
      <c r="AZ30" s="137"/>
      <c r="BA30" s="264"/>
      <c r="BB30" s="258">
        <f t="shared" si="43"/>
        <v>0</v>
      </c>
      <c r="BC30" s="258">
        <f t="shared" si="44"/>
        <v>0</v>
      </c>
      <c r="BD30" s="137">
        <f t="shared" si="45"/>
        <v>0</v>
      </c>
      <c r="BE30" s="137">
        <f t="shared" si="46"/>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-0.80090005646487061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0.63795596267317012</v>
      </c>
      <c r="BP30" s="137"/>
      <c r="BQ30" s="137"/>
      <c r="BR30" s="137"/>
      <c r="BS30" s="137"/>
      <c r="BV30" s="262">
        <v>2.7557538274358717</v>
      </c>
      <c r="BW30" s="136">
        <v>2.9479999999999995</v>
      </c>
      <c r="BX30" s="137">
        <v>0.61</v>
      </c>
      <c r="BY30" s="137">
        <v>0.61</v>
      </c>
      <c r="BZ30" s="137">
        <v>0</v>
      </c>
      <c r="CA30" s="137">
        <v>1.9422640119623601E-2</v>
      </c>
      <c r="CB30" s="137">
        <v>0</v>
      </c>
      <c r="CC30" s="258">
        <v>-0.13</v>
      </c>
      <c r="CD30" s="258">
        <v>0</v>
      </c>
      <c r="CE30" s="258">
        <v>7.0000000000000007E-2</v>
      </c>
      <c r="CF30" s="258">
        <v>0.03</v>
      </c>
      <c r="CG30" s="258">
        <v>4.4999999999999998E-2</v>
      </c>
      <c r="CH30" s="258">
        <v>0</v>
      </c>
      <c r="CI30" s="258">
        <v>2.8479999999999999</v>
      </c>
      <c r="CJ30" s="258"/>
      <c r="CK30" s="258"/>
      <c r="CL30" s="258"/>
      <c r="CM30" s="258"/>
    </row>
    <row r="31" spans="1:91" x14ac:dyDescent="0.25">
      <c r="A31" s="723"/>
      <c r="B31" s="723"/>
      <c r="D31" s="31">
        <f t="shared" si="47"/>
        <v>37361</v>
      </c>
      <c r="F31" s="28">
        <f t="shared" si="12"/>
        <v>80000</v>
      </c>
      <c r="G31" s="28">
        <f t="shared" si="13"/>
        <v>0</v>
      </c>
      <c r="H31" s="52">
        <f t="shared" si="14"/>
        <v>2.7557538274358717</v>
      </c>
      <c r="I31" s="52">
        <f t="shared" si="15"/>
        <v>2.9479999999999995</v>
      </c>
      <c r="K31" s="52">
        <f t="shared" si="16"/>
        <v>0</v>
      </c>
      <c r="L31" s="135">
        <f t="shared" si="17"/>
        <v>0</v>
      </c>
      <c r="N31" s="131">
        <f t="shared" si="48"/>
        <v>0.61</v>
      </c>
      <c r="O31" s="131">
        <f t="shared" si="49"/>
        <v>0.61</v>
      </c>
      <c r="P31" s="55">
        <f t="shared" si="50"/>
        <v>0</v>
      </c>
      <c r="Q31" s="135">
        <f>_xll.xSPRDOPT(I31,H31,AQ31,0,O31,N31,P31,D31-$G$5,1,0)*AH31*AU31</f>
        <v>0</v>
      </c>
      <c r="R31" s="135"/>
      <c r="S31" s="181">
        <f>_xll.xSPRDOPT(I31,H31,AQ31,AT31,O31,N31,P31,D31-$G$5,1,2)*AF31*(F31/(1-AR31))*AH31</f>
        <v>0</v>
      </c>
      <c r="T31" s="181">
        <f>_xll.xSPRDOPT(I31,H31,AQ31,AT31,O31,N31,P31,D31-$G$5,1,1)*AF31*F31*AH31</f>
        <v>0</v>
      </c>
      <c r="U31" s="135"/>
      <c r="V31" s="146">
        <f t="shared" si="18"/>
        <v>0</v>
      </c>
      <c r="W31" s="146"/>
      <c r="X31" s="338">
        <f t="shared" si="19"/>
        <v>0</v>
      </c>
      <c r="Y31" s="338">
        <f t="shared" si="20"/>
        <v>0</v>
      </c>
      <c r="Z31" s="338">
        <f t="shared" si="21"/>
        <v>0</v>
      </c>
      <c r="AA31" s="338">
        <f t="shared" si="22"/>
        <v>0</v>
      </c>
      <c r="AB31" s="338">
        <f t="shared" si="23"/>
        <v>0</v>
      </c>
      <c r="AC31" s="338">
        <f t="shared" si="24"/>
        <v>0</v>
      </c>
      <c r="AF31" s="138">
        <f t="shared" si="25"/>
        <v>0</v>
      </c>
      <c r="AG31" s="138">
        <f t="shared" si="26"/>
        <v>4</v>
      </c>
      <c r="AH31" s="138">
        <f t="shared" si="27"/>
        <v>0</v>
      </c>
      <c r="AI31" s="138">
        <f t="shared" si="51"/>
        <v>105</v>
      </c>
      <c r="AJ31" s="138">
        <f t="shared" si="28"/>
        <v>122</v>
      </c>
      <c r="AL31" s="136">
        <f t="shared" si="29"/>
        <v>2.8479999999999999</v>
      </c>
      <c r="AM31" s="258">
        <f t="shared" si="30"/>
        <v>-0.13</v>
      </c>
      <c r="AN31" s="258">
        <f t="shared" si="31"/>
        <v>0</v>
      </c>
      <c r="AO31" s="258">
        <f t="shared" si="32"/>
        <v>7.0000000000000007E-2</v>
      </c>
      <c r="AP31" s="258">
        <f t="shared" si="33"/>
        <v>0.03</v>
      </c>
      <c r="AQ31" s="136">
        <f t="shared" si="34"/>
        <v>4.4999999999999998E-2</v>
      </c>
      <c r="AR31" s="137">
        <f t="shared" si="35"/>
        <v>1.37E-2</v>
      </c>
      <c r="AS31" s="136">
        <f t="shared" si="36"/>
        <v>2.718</v>
      </c>
      <c r="AT31" s="137">
        <f t="shared" si="37"/>
        <v>1.9422640119623601E-2</v>
      </c>
      <c r="AU31" s="137">
        <f t="shared" si="38"/>
        <v>0</v>
      </c>
      <c r="AV31" s="394">
        <f t="shared" si="39"/>
        <v>0</v>
      </c>
      <c r="AW31" s="137">
        <f t="shared" si="40"/>
        <v>0.61</v>
      </c>
      <c r="AX31" s="137">
        <f t="shared" si="41"/>
        <v>0.83</v>
      </c>
      <c r="AY31" s="137">
        <f t="shared" si="42"/>
        <v>0.83</v>
      </c>
      <c r="AZ31" s="137"/>
      <c r="BA31" s="264"/>
      <c r="BB31" s="258">
        <f t="shared" si="43"/>
        <v>0</v>
      </c>
      <c r="BC31" s="258">
        <f t="shared" si="44"/>
        <v>0</v>
      </c>
      <c r="BD31" s="137">
        <f t="shared" si="45"/>
        <v>0</v>
      </c>
      <c r="BE31" s="137">
        <f t="shared" si="46"/>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-0.80090005646487061</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0.63795596267317012</v>
      </c>
      <c r="BP31" s="137"/>
      <c r="BQ31" s="137"/>
      <c r="BR31" s="137"/>
      <c r="BS31" s="137"/>
      <c r="BV31" s="262">
        <v>2.7557538274358717</v>
      </c>
      <c r="BW31" s="136">
        <v>2.9479999999999995</v>
      </c>
      <c r="BX31" s="137">
        <v>0.61</v>
      </c>
      <c r="BY31" s="137">
        <v>0.61</v>
      </c>
      <c r="BZ31" s="137">
        <v>0</v>
      </c>
      <c r="CA31" s="137">
        <v>1.9422640119623601E-2</v>
      </c>
      <c r="CB31" s="137">
        <v>0</v>
      </c>
      <c r="CC31" s="258">
        <v>-0.13</v>
      </c>
      <c r="CD31" s="258">
        <v>0</v>
      </c>
      <c r="CE31" s="258">
        <v>7.0000000000000007E-2</v>
      </c>
      <c r="CF31" s="258">
        <v>0.03</v>
      </c>
      <c r="CG31" s="258">
        <v>4.4999999999999998E-2</v>
      </c>
      <c r="CH31" s="258">
        <v>0</v>
      </c>
      <c r="CI31" s="258">
        <v>2.8479999999999999</v>
      </c>
      <c r="CJ31" s="258"/>
      <c r="CK31" s="258"/>
      <c r="CL31" s="258"/>
      <c r="CM31" s="258"/>
    </row>
    <row r="32" spans="1:91" x14ac:dyDescent="0.25">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5">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5">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5">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5">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5">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5">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5">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5">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5">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5">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5">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5">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5">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5">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5">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5">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5">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5">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5">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5">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5">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5">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5">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5">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5">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5">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5">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5">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5">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5">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5">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5">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5">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5">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5">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5">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5">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5">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5">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5">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5">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5">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5">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5">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5">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5">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5">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5">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5">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5">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5">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5">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5">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c r="CJ85" s="258"/>
      <c r="CK85" s="258"/>
      <c r="CL85" s="258"/>
      <c r="CM85" s="258"/>
    </row>
    <row r="86" spans="1:91" x14ac:dyDescent="0.25">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c r="CJ86" s="258"/>
      <c r="CK86" s="258"/>
      <c r="CL86" s="258"/>
      <c r="CM86" s="258"/>
    </row>
    <row r="87" spans="1:91" x14ac:dyDescent="0.25">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c r="CJ87" s="258"/>
      <c r="CK87" s="258"/>
      <c r="CL87" s="258"/>
      <c r="CM87" s="258"/>
    </row>
    <row r="88" spans="1:91" x14ac:dyDescent="0.25">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c r="CJ88" s="258"/>
      <c r="CK88" s="258"/>
      <c r="CL88" s="258"/>
      <c r="CM88" s="258"/>
    </row>
    <row r="89" spans="1:91" x14ac:dyDescent="0.25">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c r="CJ89" s="258"/>
      <c r="CK89" s="258"/>
      <c r="CL89" s="258"/>
      <c r="CM89" s="258"/>
    </row>
    <row r="90" spans="1:91" x14ac:dyDescent="0.25">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5">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5">
      <c r="A92" s="723"/>
      <c r="B92" s="723"/>
    </row>
    <row r="93" spans="1:91" x14ac:dyDescent="0.25">
      <c r="A93" s="723"/>
      <c r="B93" s="723"/>
    </row>
    <row r="94" spans="1:91" x14ac:dyDescent="0.25">
      <c r="A94" s="723"/>
      <c r="B94" s="723"/>
    </row>
    <row r="95" spans="1:91" x14ac:dyDescent="0.25">
      <c r="A95" s="723"/>
      <c r="B95" s="723"/>
    </row>
  </sheetData>
  <sheetCalcPr fullCalcOnLoad="1"/>
  <mergeCells count="99">
    <mergeCell ref="A88:B88"/>
    <mergeCell ref="A89:B89"/>
    <mergeCell ref="A94:B94"/>
    <mergeCell ref="A95:B95"/>
    <mergeCell ref="A90:B90"/>
    <mergeCell ref="A91:B91"/>
    <mergeCell ref="A92:B92"/>
    <mergeCell ref="A93:B93"/>
    <mergeCell ref="A82:B82"/>
    <mergeCell ref="A83:B83"/>
    <mergeCell ref="A84:B84"/>
    <mergeCell ref="A85:B85"/>
    <mergeCell ref="A86:B86"/>
    <mergeCell ref="A87:B87"/>
    <mergeCell ref="A76:B76"/>
    <mergeCell ref="A77:B77"/>
    <mergeCell ref="A78:B78"/>
    <mergeCell ref="A79:B79"/>
    <mergeCell ref="A80:B80"/>
    <mergeCell ref="A81:B81"/>
    <mergeCell ref="A70:B70"/>
    <mergeCell ref="A71:B71"/>
    <mergeCell ref="A72:B72"/>
    <mergeCell ref="A73:B73"/>
    <mergeCell ref="A74:B74"/>
    <mergeCell ref="A75:B75"/>
    <mergeCell ref="A64:B64"/>
    <mergeCell ref="A65:B65"/>
    <mergeCell ref="A66:B66"/>
    <mergeCell ref="A67:B67"/>
    <mergeCell ref="A68:B68"/>
    <mergeCell ref="A69:B69"/>
    <mergeCell ref="A58:B58"/>
    <mergeCell ref="A59:B59"/>
    <mergeCell ref="A60:B60"/>
    <mergeCell ref="A61:B61"/>
    <mergeCell ref="A62:B62"/>
    <mergeCell ref="A63:B63"/>
    <mergeCell ref="A52:B52"/>
    <mergeCell ref="A53:B53"/>
    <mergeCell ref="A54:B54"/>
    <mergeCell ref="A55:B55"/>
    <mergeCell ref="A56:B56"/>
    <mergeCell ref="A57:B57"/>
    <mergeCell ref="A46:B46"/>
    <mergeCell ref="A47:B47"/>
    <mergeCell ref="A48:B48"/>
    <mergeCell ref="A49:B49"/>
    <mergeCell ref="A50:B50"/>
    <mergeCell ref="A51:B51"/>
    <mergeCell ref="A40:B40"/>
    <mergeCell ref="A41:B41"/>
    <mergeCell ref="A42:B42"/>
    <mergeCell ref="A43:B43"/>
    <mergeCell ref="A44:B44"/>
    <mergeCell ref="A45:B45"/>
    <mergeCell ref="A34:B34"/>
    <mergeCell ref="A35:B35"/>
    <mergeCell ref="A36:B36"/>
    <mergeCell ref="A37:B37"/>
    <mergeCell ref="A38:B38"/>
    <mergeCell ref="A39:B39"/>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27:C27"/>
    <mergeCell ref="A32:B32"/>
    <mergeCell ref="A33:B33"/>
    <mergeCell ref="A28:B28"/>
    <mergeCell ref="A29:B29"/>
    <mergeCell ref="A30:B30"/>
    <mergeCell ref="A31:B3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29028"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29029"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14">
    <pageSetUpPr autoPageBreaks="0"/>
  </sheetPr>
  <dimension ref="A1:CX87"/>
  <sheetViews>
    <sheetView zoomScale="80" workbookViewId="0">
      <selection activeCell="CI21" sqref="CI21:CI28"/>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LongTerm57</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57</v>
      </c>
      <c r="F2" s="178" t="str">
        <f>GetRcptPoint($AH$12,$AH$13)</f>
        <v>PGE/Topock</v>
      </c>
      <c r="G2" s="179" t="str">
        <f>GetDelPoint($AH$12,$AH$13)</f>
        <v>Kern River Station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$F$28</v>
      </c>
      <c r="AX2" s="339" t="str">
        <f>ADDRESS(ROW($G$22),COLUMN($G$22))</f>
        <v>$G$22</v>
      </c>
      <c r="AY2" s="138" t="str">
        <f ca="1">GetEnd($AV$1,AX2)</f>
        <v>$G$28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$AF$28</v>
      </c>
      <c r="AX3" s="339" t="str">
        <f>ADDRESS(ROW($AH$22),COLUMN($AH$22))</f>
        <v>$AH$22</v>
      </c>
      <c r="AY3" s="138" t="str">
        <f ca="1">GetEnd($AV$1,AX3)</f>
        <v>$AH$28</v>
      </c>
    </row>
    <row r="4" spans="1:102" x14ac:dyDescent="0.25">
      <c r="A4" s="269" t="str">
        <f>ADDRESS(ROW($S$22),COLUMN($S$22))</f>
        <v>$S$22</v>
      </c>
      <c r="L4" s="721" t="s">
        <v>201</v>
      </c>
      <c r="M4" s="722"/>
      <c r="N4" s="352">
        <f ca="1">SUMPRODUCT(INDIRECT(CONCATENATE(AV4,":",AW4)),INDIRECT(CONCATENATE($AV$2,":",$AW$2)),INDIRECT(CONCATENATE($AV$3,":",$AW$3)))</f>
        <v>94270.332771188638</v>
      </c>
      <c r="O4" s="352">
        <v>96817.16</v>
      </c>
      <c r="P4" s="354">
        <f ca="1">N4-O4</f>
        <v>-2546.8272288113658</v>
      </c>
      <c r="S4" s="427" t="s">
        <v>635</v>
      </c>
      <c r="T4" s="422">
        <f ca="1">SUMPRODUCT(INDIRECT(CONCATENATE(V4,":",W4)),INDIRECT(CONCATENATE(AV2,":",AW2)),INDIRECT(CONCATENATE(AV3,":",AW3)))</f>
        <v>63239.1985707442</v>
      </c>
      <c r="V4" s="30" t="str">
        <f>ADDRESS(ROW(K22),COLUMN(K22))</f>
        <v>$K$22</v>
      </c>
      <c r="W4" s="30" t="str">
        <f ca="1">GetEnd($AV$1,V4)</f>
        <v>$K$28</v>
      </c>
      <c r="AF4" s="28"/>
      <c r="AG4" s="103" t="s">
        <v>32</v>
      </c>
      <c r="AH4" s="104">
        <f>GetRcptIndexCol($AH$12,$AH$13)</f>
        <v>71</v>
      </c>
      <c r="AI4" s="29"/>
      <c r="AJ4" s="103" t="s">
        <v>72</v>
      </c>
      <c r="AK4" s="104">
        <f>GetNymexCol(AK3)</f>
        <v>3</v>
      </c>
      <c r="AL4" s="34">
        <v>1</v>
      </c>
      <c r="AM4" s="45">
        <f t="shared" ref="AM4:AM15" si="0">GetVolume($AH$12,$AH$13,AT4)</f>
        <v>20000</v>
      </c>
      <c r="AN4" s="46">
        <f t="shared" ref="AN4:AN15" si="1">GetCommodity($AH$12,$AH$13,AT4)</f>
        <v>3.8E-3</v>
      </c>
      <c r="AO4" s="47">
        <f t="shared" ref="AO4:AO15" si="2">GetFuelRate($AH$12,$AH$13,AT4)</f>
        <v>1.37E-2</v>
      </c>
      <c r="AP4" s="46">
        <f t="shared" ref="AP4:AP15" si="3">GetSurcharge($AH$12,$AH$13,$AT4)</f>
        <v>0</v>
      </c>
      <c r="AQ4" s="46">
        <f t="shared" ref="AQ4:AQ15" si="4">GetRcptIndexAdj($AH$12,$AH$13,$AT4)</f>
        <v>0</v>
      </c>
      <c r="AR4" s="132">
        <f t="shared" ref="AR4:AR15" si="5">GetDelIndexAdj($AH$12,$AH$13,$AT4)</f>
        <v>0</v>
      </c>
      <c r="AS4" s="48">
        <f t="shared" ref="AS4:AS15" si="6">GetDemandRate($AH$12,$AH$13,$AT4)</f>
        <v>0.1704</v>
      </c>
      <c r="AT4" s="35">
        <f t="shared" ref="AT4:AT15" si="7">gettier($AH$12,$AH$13,AL4)</f>
        <v>1</v>
      </c>
      <c r="AV4" s="339" t="str">
        <f>ADDRESS(ROW($Q$22),COLUMN($Q$22))</f>
        <v>$Q$22</v>
      </c>
      <c r="AW4" s="138" t="str">
        <f ca="1">GetEnd($AV$1,AV4)</f>
        <v>$Q$28</v>
      </c>
      <c r="AX4" s="339" t="str">
        <f>ADDRESS(ROW($K$22),COLUMN($K$22))</f>
        <v>$K$22</v>
      </c>
      <c r="AY4" s="138" t="str">
        <f ca="1">GetEnd($AV$1,AX4)</f>
        <v>$K$28</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305775.32038330327</v>
      </c>
      <c r="O5" s="352">
        <v>305727.55</v>
      </c>
      <c r="P5" s="355">
        <f ca="1">N5-O5</f>
        <v>47.770383303286508</v>
      </c>
      <c r="S5" s="428" t="s">
        <v>636</v>
      </c>
      <c r="T5" s="423">
        <f ca="1">SUMPRODUCT(INDIRECT(CONCATENATE(V5,":",W5)),INDIRECT(CONCATENATE(AV2,":",AW2)),INDIRECT(CONCATENATE(AV3,":",AW3)))</f>
        <v>31031.134200444445</v>
      </c>
      <c r="V5" s="30" t="str">
        <f>ADDRESS(ROW(L22),COLUMN(L22))</f>
        <v>$L$22</v>
      </c>
      <c r="W5" s="30" t="str">
        <f ca="1">GetEnd($AV$1,V5)</f>
        <v>$L$28</v>
      </c>
      <c r="AF5" s="28"/>
      <c r="AG5" s="103" t="s">
        <v>33</v>
      </c>
      <c r="AH5" s="104">
        <f>GetDelBasisCol($AH$12,$AH$13)</f>
        <v>66</v>
      </c>
      <c r="AI5" s="29"/>
      <c r="AJ5" s="103" t="s">
        <v>77</v>
      </c>
      <c r="AK5" s="104" t="str">
        <f>LiborCurve</f>
        <v>Libor AA</v>
      </c>
      <c r="AL5" s="34">
        <v>2</v>
      </c>
      <c r="AM5" s="37">
        <f t="shared" si="0"/>
        <v>20000</v>
      </c>
      <c r="AN5" s="38">
        <f t="shared" si="1"/>
        <v>3.8E-3</v>
      </c>
      <c r="AO5" s="39">
        <f t="shared" si="2"/>
        <v>1.37E-2</v>
      </c>
      <c r="AP5" s="38">
        <f t="shared" si="3"/>
        <v>0</v>
      </c>
      <c r="AQ5" s="38">
        <f t="shared" si="4"/>
        <v>0</v>
      </c>
      <c r="AR5" s="133">
        <f t="shared" si="5"/>
        <v>0</v>
      </c>
      <c r="AS5" s="40">
        <f t="shared" si="6"/>
        <v>0.1704</v>
      </c>
      <c r="AT5" s="35">
        <f t="shared" si="7"/>
        <v>1</v>
      </c>
      <c r="AV5" s="339" t="str">
        <f>ADDRESS(ROW($V$22),COLUMN($V$22))</f>
        <v>$V$22</v>
      </c>
      <c r="AW5" s="138" t="str">
        <f ca="1">GetEnd($AV$1,AV5)</f>
        <v>$V$28</v>
      </c>
      <c r="AX5" s="339" t="str">
        <f>ADDRESS(ROW($L$22),COLUMN($L$22))</f>
        <v>$L$22</v>
      </c>
      <c r="AY5" s="138" t="str">
        <f ca="1">GetEnd($AV$1,AX5)</f>
        <v>$L$28</v>
      </c>
      <c r="BV5" s="266">
        <f>O2</f>
        <v>37239</v>
      </c>
    </row>
    <row r="6" spans="1:102" x14ac:dyDescent="0.25">
      <c r="A6" s="269" t="str">
        <f>ADDRESS(ROW($BW$2),COLUMN($BW$2))</f>
        <v>$BW$2</v>
      </c>
      <c r="F6" s="187"/>
      <c r="G6" s="187"/>
      <c r="L6" s="704" t="s">
        <v>149</v>
      </c>
      <c r="M6" s="705"/>
      <c r="N6" s="356">
        <f ca="1">N4-N5</f>
        <v>-211504.98761211464</v>
      </c>
      <c r="O6" s="352">
        <v>-208910.38</v>
      </c>
      <c r="P6" s="358">
        <f ca="1">N6-O6</f>
        <v>-2594.6076121146325</v>
      </c>
      <c r="S6" s="428" t="s">
        <v>637</v>
      </c>
      <c r="T6" s="424">
        <f ca="1">SUMPRODUCT(INDIRECT(CONCATENATE(V6,":",W6)),INDIRECT(CONCATENATE(AV3,":",AW3)),INDIRECT(CONCATENATE(AX3,":",AY3)))</f>
        <v>1794456.1055358176</v>
      </c>
      <c r="V6" s="30" t="str">
        <f>ADDRESS(ROW(G22),COLUMN(G22))</f>
        <v>$G$22</v>
      </c>
      <c r="W6" s="30" t="str">
        <f ca="1">GetEnd($AV$1,V6)</f>
        <v>$G$28</v>
      </c>
      <c r="AF6" s="28"/>
      <c r="AG6" s="103" t="s">
        <v>34</v>
      </c>
      <c r="AH6" s="104">
        <f>GetDelIndexCol($AH$12,$AH$13)</f>
        <v>67</v>
      </c>
      <c r="AI6" s="29"/>
      <c r="AJ6" s="103" t="s">
        <v>79</v>
      </c>
      <c r="AK6" s="104">
        <f>GetLiborCol(AK5)</f>
        <v>4</v>
      </c>
      <c r="AL6" s="34">
        <v>3</v>
      </c>
      <c r="AM6" s="37">
        <f t="shared" si="0"/>
        <v>20000</v>
      </c>
      <c r="AN6" s="38">
        <f t="shared" si="1"/>
        <v>3.8E-3</v>
      </c>
      <c r="AO6" s="39">
        <f t="shared" si="2"/>
        <v>1.37E-2</v>
      </c>
      <c r="AP6" s="38">
        <f t="shared" si="3"/>
        <v>0</v>
      </c>
      <c r="AQ6" s="38">
        <f t="shared" si="4"/>
        <v>0</v>
      </c>
      <c r="AR6" s="133">
        <f t="shared" si="5"/>
        <v>0</v>
      </c>
      <c r="AS6" s="40">
        <f t="shared" si="6"/>
        <v>0.1704</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2127.71</v>
      </c>
      <c r="P7" s="355">
        <f ca="1">N7</f>
        <v>0</v>
      </c>
      <c r="S7" s="428" t="s">
        <v>638</v>
      </c>
      <c r="T7" s="425">
        <f ca="1">T5/T6</f>
        <v>1.7292779747977546E-2</v>
      </c>
      <c r="AF7" s="28"/>
      <c r="AG7" s="103" t="s">
        <v>76</v>
      </c>
      <c r="AH7" s="104">
        <f>GetRcptOmicronCol($AH$12,$AH$13)</f>
        <v>19</v>
      </c>
      <c r="AI7" s="29"/>
      <c r="AJ7" s="103" t="s">
        <v>80</v>
      </c>
      <c r="AK7" s="104" t="str">
        <f>Configuration!$D$8</f>
        <v>Nymex Vol</v>
      </c>
      <c r="AL7" s="34">
        <v>4</v>
      </c>
      <c r="AM7" s="37">
        <f t="shared" si="0"/>
        <v>20000</v>
      </c>
      <c r="AN7" s="38">
        <f t="shared" si="1"/>
        <v>3.8E-3</v>
      </c>
      <c r="AO7" s="39">
        <f t="shared" si="2"/>
        <v>1.37E-2</v>
      </c>
      <c r="AP7" s="38">
        <f t="shared" si="3"/>
        <v>0</v>
      </c>
      <c r="AQ7" s="38">
        <f t="shared" si="4"/>
        <v>0</v>
      </c>
      <c r="AR7" s="133">
        <f t="shared" si="5"/>
        <v>0</v>
      </c>
      <c r="AS7" s="40">
        <f t="shared" si="6"/>
        <v>0.1704</v>
      </c>
      <c r="AT7" s="35">
        <f t="shared" si="7"/>
        <v>1</v>
      </c>
      <c r="AU7" s="361" t="s">
        <v>574</v>
      </c>
      <c r="AV7" s="339" t="str">
        <f>ADDRESS(ROW($AL$22),COLUMN($AL$22))</f>
        <v>$AL$22</v>
      </c>
      <c r="AW7" s="138" t="str">
        <f t="shared" ref="AW7:AW17" ca="1" si="8">GetEnd($AV$1,AV7)</f>
        <v>$AL$28</v>
      </c>
      <c r="AX7" s="339" t="str">
        <f>ADDRESS(ROW($AV$22),COLUMN($AV$22))</f>
        <v>$AV$22</v>
      </c>
      <c r="AY7" s="138" t="str">
        <f t="shared" ref="AY7:AY13" ca="1" si="9">GetEnd($AV$1,AX7)</f>
        <v>$AV$28</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0.99711855058577203</v>
      </c>
      <c r="V8" s="30" t="str">
        <f>ADDRESS(ROW(P22),COLUMN(P22))</f>
        <v>$P$22</v>
      </c>
      <c r="W8" s="30" t="str">
        <f ca="1">GetEnd($AV$1,V8)</f>
        <v>$P$28</v>
      </c>
      <c r="Y8" s="334">
        <f ca="1">SUMIF(INDIRECT(CONCATENATE(V8,":",W8)),"&gt;0",INDIRECT(CONCATENATE(V8,":",W8)))</f>
        <v>2.9913556517573161</v>
      </c>
      <c r="Z8" s="334">
        <f ca="1">COUNTIF(INDIRECT(CONCATENATE(V8,":",W8)),"&gt;0")</f>
        <v>3</v>
      </c>
      <c r="AF8" s="28"/>
      <c r="AG8" s="103" t="s">
        <v>75</v>
      </c>
      <c r="AH8" s="105">
        <f>GetDelOmicronCol($AH$12,$AH$13)</f>
        <v>19</v>
      </c>
      <c r="AI8" s="29"/>
      <c r="AJ8" s="103" t="s">
        <v>81</v>
      </c>
      <c r="AK8" s="104">
        <f>GetNGOmicronCol(AK7)</f>
        <v>5</v>
      </c>
      <c r="AL8" s="34">
        <v>5</v>
      </c>
      <c r="AM8" s="37">
        <f t="shared" si="0"/>
        <v>20000</v>
      </c>
      <c r="AN8" s="38">
        <f t="shared" si="1"/>
        <v>3.8E-3</v>
      </c>
      <c r="AO8" s="39">
        <f t="shared" si="2"/>
        <v>1.37E-2</v>
      </c>
      <c r="AP8" s="38">
        <f t="shared" si="3"/>
        <v>0</v>
      </c>
      <c r="AQ8" s="38">
        <f t="shared" si="4"/>
        <v>0</v>
      </c>
      <c r="AR8" s="133">
        <f t="shared" si="5"/>
        <v>0</v>
      </c>
      <c r="AS8" s="40">
        <f t="shared" si="6"/>
        <v>0.1704</v>
      </c>
      <c r="AT8" s="35">
        <f t="shared" si="7"/>
        <v>1</v>
      </c>
      <c r="AU8" s="362" t="s">
        <v>575</v>
      </c>
      <c r="AV8" s="339" t="str">
        <f>ADDRESS(ROW($AM$22),COLUMN($AM$22))</f>
        <v>$AM$22</v>
      </c>
      <c r="AW8" s="138" t="str">
        <f t="shared" ca="1" si="8"/>
        <v>$AM$28</v>
      </c>
      <c r="AX8" s="339" t="str">
        <f>ADDRESS(ROW($AO$22),COLUMN($AO$22))</f>
        <v>$AO$22</v>
      </c>
      <c r="AY8" s="138" t="str">
        <f t="shared" ca="1" si="9"/>
        <v>$AO$28</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57</v>
      </c>
      <c r="AL9" s="34">
        <v>6</v>
      </c>
      <c r="AM9" s="37">
        <f t="shared" si="0"/>
        <v>20000</v>
      </c>
      <c r="AN9" s="38">
        <f t="shared" si="1"/>
        <v>3.8E-3</v>
      </c>
      <c r="AO9" s="39">
        <f t="shared" si="2"/>
        <v>1.37E-2</v>
      </c>
      <c r="AP9" s="38">
        <f t="shared" si="3"/>
        <v>0</v>
      </c>
      <c r="AQ9" s="38">
        <f t="shared" si="4"/>
        <v>0</v>
      </c>
      <c r="AR9" s="133">
        <f t="shared" si="5"/>
        <v>0</v>
      </c>
      <c r="AS9" s="40">
        <f t="shared" si="6"/>
        <v>0.1704</v>
      </c>
      <c r="AT9" s="35">
        <f t="shared" si="7"/>
        <v>1</v>
      </c>
      <c r="AU9" s="361" t="s">
        <v>578</v>
      </c>
      <c r="AV9" s="339" t="str">
        <f>ADDRESS(ROW($AN$22),COLUMN($AN$22))</f>
        <v>$AN$22</v>
      </c>
      <c r="AW9" s="138" t="str">
        <f t="shared" ca="1" si="8"/>
        <v>$AN$28</v>
      </c>
      <c r="AX9" s="339" t="str">
        <f>ADDRESS(ROW($AP$22),COLUMN($AP$22))</f>
        <v>$AP$22</v>
      </c>
      <c r="AY9" s="138" t="str">
        <f t="shared" ca="1" si="9"/>
        <v>$AP$28</v>
      </c>
    </row>
    <row r="10" spans="1:102" x14ac:dyDescent="0.25">
      <c r="A10" s="270" t="s">
        <v>224</v>
      </c>
      <c r="D10" s="718" t="s">
        <v>154</v>
      </c>
      <c r="E10" s="719"/>
      <c r="F10" s="719"/>
      <c r="G10" s="719"/>
      <c r="H10" s="720"/>
      <c r="K10" s="29">
        <f>SUMPRODUCT(L22:L23,F22:F23)</f>
        <v>21649.968922432898</v>
      </c>
      <c r="L10" s="706" t="s">
        <v>628</v>
      </c>
      <c r="M10" s="707"/>
      <c r="N10" s="352">
        <f ca="1">-SUMPRODUCT(INDIRECT(CONCATENATE(AV10,":",AW10)),INDIRECT(CONCATENATE($AX$7,":",$AY$7)),INDIRECT(CONCATENATE($AV$3,":",$AW$3)))</f>
        <v>-73549.698223883199</v>
      </c>
      <c r="O10" s="352">
        <v>-73538.210000000006</v>
      </c>
      <c r="P10" s="355">
        <f t="shared" ref="P10:P19" ca="1" si="10">N10-O10</f>
        <v>-11.488223883192404</v>
      </c>
      <c r="AF10" s="28"/>
      <c r="AG10" s="103" t="s">
        <v>142</v>
      </c>
      <c r="AH10" s="119" t="b">
        <f>GetGRIFactor($AH$12,$AH$13)</f>
        <v>0</v>
      </c>
      <c r="AI10" s="29"/>
      <c r="AJ10" s="29"/>
      <c r="AK10" s="29"/>
      <c r="AL10" s="34">
        <v>7</v>
      </c>
      <c r="AM10" s="37">
        <f t="shared" si="0"/>
        <v>20000</v>
      </c>
      <c r="AN10" s="38">
        <f t="shared" si="1"/>
        <v>3.8E-3</v>
      </c>
      <c r="AO10" s="39">
        <f t="shared" si="2"/>
        <v>1.37E-2</v>
      </c>
      <c r="AP10" s="38">
        <f t="shared" si="3"/>
        <v>0</v>
      </c>
      <c r="AQ10" s="38">
        <f t="shared" si="4"/>
        <v>0</v>
      </c>
      <c r="AR10" s="133">
        <f t="shared" si="5"/>
        <v>0</v>
      </c>
      <c r="AS10" s="40">
        <f t="shared" si="6"/>
        <v>0.1704</v>
      </c>
      <c r="AT10" s="35">
        <f t="shared" si="7"/>
        <v>1</v>
      </c>
      <c r="AU10" s="361" t="s">
        <v>577</v>
      </c>
      <c r="AV10" s="339" t="str">
        <f>ADDRESS(ROW($AS$22),COLUMN($AS$22))</f>
        <v>$AS$22</v>
      </c>
      <c r="AW10" s="138" t="str">
        <f t="shared" ca="1" si="8"/>
        <v>$AS$28</v>
      </c>
      <c r="AX10" s="339" t="str">
        <f>ADDRESS(ROW($CC$22),COLUMN($CC$22))</f>
        <v>$CC$22</v>
      </c>
      <c r="AY10" s="138" t="str">
        <f t="shared" ca="1" si="9"/>
        <v>$CC$28</v>
      </c>
    </row>
    <row r="11" spans="1:102" x14ac:dyDescent="0.25">
      <c r="A11" s="270" t="s">
        <v>224</v>
      </c>
      <c r="D11" s="166" t="str">
        <f>IF(ISERROR($AH$13),"Check Contract Index to make sure it is valid","")</f>
        <v/>
      </c>
      <c r="E11" s="167"/>
      <c r="F11" s="168"/>
      <c r="G11" s="168"/>
      <c r="H11" s="169"/>
      <c r="K11" s="29">
        <f>SUMPRODUCT(K22:K23,F22:F23)</f>
        <v>41261.217623316392</v>
      </c>
      <c r="L11" s="704" t="s">
        <v>629</v>
      </c>
      <c r="M11" s="705"/>
      <c r="N11" s="356">
        <f ca="1">-SUMPRODUCT(INDIRECT(CONCATENATE(AV11,":",AW11)),INDIRECT(CONCATENATE($AV$2,":",$AW$2)),INDIRECT(CONCATENATE($AV$3,":",$AW$3)),INDIRECT(CONCATENATE(AX3,":",AY3)))</f>
        <v>-6840</v>
      </c>
      <c r="O11" s="357">
        <v>-6840</v>
      </c>
      <c r="P11" s="358">
        <f t="shared" ca="1" si="10"/>
        <v>0</v>
      </c>
      <c r="AL11" s="34">
        <v>8</v>
      </c>
      <c r="AM11" s="37">
        <f t="shared" si="0"/>
        <v>20000</v>
      </c>
      <c r="AN11" s="38">
        <f t="shared" si="1"/>
        <v>3.8E-3</v>
      </c>
      <c r="AO11" s="39">
        <f t="shared" si="2"/>
        <v>1.37E-2</v>
      </c>
      <c r="AP11" s="38">
        <f t="shared" si="3"/>
        <v>0</v>
      </c>
      <c r="AQ11" s="38">
        <f t="shared" si="4"/>
        <v>0</v>
      </c>
      <c r="AR11" s="133">
        <f t="shared" si="5"/>
        <v>0</v>
      </c>
      <c r="AS11" s="40">
        <f t="shared" si="6"/>
        <v>0.1704</v>
      </c>
      <c r="AT11" s="35">
        <f t="shared" si="7"/>
        <v>1</v>
      </c>
      <c r="AU11" s="361" t="s">
        <v>579</v>
      </c>
      <c r="AV11" s="339" t="str">
        <f>ADDRESS(ROW($AQ$22),COLUMN($AQ$22))</f>
        <v>$AQ$22</v>
      </c>
      <c r="AW11" s="138" t="str">
        <f t="shared" ca="1" si="8"/>
        <v>$AQ$28</v>
      </c>
      <c r="AX11" s="339" t="str">
        <f>ADDRESS(ROW($CD$22),COLUMN($CD$22))</f>
        <v>$CD$22</v>
      </c>
      <c r="AY11" s="138" t="str">
        <f t="shared" ca="1" si="9"/>
        <v>$CD$28</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145.27000000000001</v>
      </c>
      <c r="P12" s="355">
        <f t="shared" ca="1" si="10"/>
        <v>-145.27000000000001</v>
      </c>
      <c r="AG12" s="248" t="s">
        <v>185</v>
      </c>
      <c r="AH12" s="119" t="str">
        <f>GetDBPage($D$2)</f>
        <v>Contract DB (West)</v>
      </c>
      <c r="AL12" s="34">
        <v>9</v>
      </c>
      <c r="AM12" s="37">
        <f t="shared" si="0"/>
        <v>20000</v>
      </c>
      <c r="AN12" s="38">
        <f t="shared" si="1"/>
        <v>3.8E-3</v>
      </c>
      <c r="AO12" s="39">
        <f t="shared" si="2"/>
        <v>1.37E-2</v>
      </c>
      <c r="AP12" s="38">
        <f t="shared" si="3"/>
        <v>0</v>
      </c>
      <c r="AQ12" s="38">
        <f t="shared" si="4"/>
        <v>0</v>
      </c>
      <c r="AR12" s="133">
        <f t="shared" si="5"/>
        <v>0</v>
      </c>
      <c r="AS12" s="40">
        <f t="shared" si="6"/>
        <v>0.1704</v>
      </c>
      <c r="AT12" s="35">
        <f t="shared" si="7"/>
        <v>1</v>
      </c>
      <c r="AU12" s="361" t="s">
        <v>271</v>
      </c>
      <c r="AV12" s="339" t="str">
        <f>ADDRESS(ROW($X$22),COLUMN($X$22))</f>
        <v>$X$22</v>
      </c>
      <c r="AW12" s="138" t="str">
        <f t="shared" ca="1" si="8"/>
        <v>$X$28</v>
      </c>
      <c r="AX12" s="339" t="str">
        <f>ADDRESS(ROW($CE$22),COLUMN($CE$22))</f>
        <v>$CE$22</v>
      </c>
      <c r="AY12" s="138" t="str">
        <f t="shared" ca="1" si="9"/>
        <v>$CE$28</v>
      </c>
    </row>
    <row r="13" spans="1:102" x14ac:dyDescent="0.25">
      <c r="A13" s="270" t="s">
        <v>224</v>
      </c>
      <c r="D13" s="170"/>
      <c r="E13" s="171"/>
      <c r="F13" s="172"/>
      <c r="G13" s="172"/>
      <c r="H13" s="173"/>
      <c r="L13" s="706" t="s">
        <v>155</v>
      </c>
      <c r="M13" s="707"/>
      <c r="N13" s="352">
        <f t="shared" ca="1" si="11"/>
        <v>0</v>
      </c>
      <c r="O13" s="352">
        <v>20.02</v>
      </c>
      <c r="P13" s="355">
        <f t="shared" ca="1" si="10"/>
        <v>-20.02</v>
      </c>
      <c r="AG13" s="248" t="s">
        <v>186</v>
      </c>
      <c r="AH13" s="119">
        <f>GetRecNdx($AH$12,$D$2)</f>
        <v>4</v>
      </c>
      <c r="AL13" s="34">
        <v>10</v>
      </c>
      <c r="AM13" s="37">
        <f t="shared" si="0"/>
        <v>20000</v>
      </c>
      <c r="AN13" s="38">
        <f t="shared" si="1"/>
        <v>3.8E-3</v>
      </c>
      <c r="AO13" s="39">
        <f t="shared" si="2"/>
        <v>1.37E-2</v>
      </c>
      <c r="AP13" s="38">
        <f t="shared" si="3"/>
        <v>0</v>
      </c>
      <c r="AQ13" s="38">
        <f t="shared" si="4"/>
        <v>0</v>
      </c>
      <c r="AR13" s="133">
        <f t="shared" si="5"/>
        <v>0</v>
      </c>
      <c r="AS13" s="40">
        <f t="shared" si="6"/>
        <v>0.1704</v>
      </c>
      <c r="AT13" s="35">
        <f t="shared" si="7"/>
        <v>1</v>
      </c>
      <c r="AU13" s="361" t="s">
        <v>155</v>
      </c>
      <c r="AV13" s="339" t="str">
        <f>ADDRESS(ROW($Y$22),COLUMN($Y$22))</f>
        <v>$Y$22</v>
      </c>
      <c r="AW13" s="138" t="str">
        <f t="shared" ca="1" si="8"/>
        <v>$Y$28</v>
      </c>
      <c r="AX13" s="339" t="str">
        <f>ADDRESS(ROW($CF$22),COLUMN($CF$22))</f>
        <v>$CF$22</v>
      </c>
      <c r="AY13" s="138" t="str">
        <f t="shared" ca="1" si="9"/>
        <v>$CF$28</v>
      </c>
    </row>
    <row r="14" spans="1:102" x14ac:dyDescent="0.25">
      <c r="A14" s="270" t="s">
        <v>224</v>
      </c>
      <c r="D14" s="170"/>
      <c r="E14" s="171"/>
      <c r="F14" s="172"/>
      <c r="G14" s="172"/>
      <c r="H14" s="173"/>
      <c r="K14" s="185"/>
      <c r="L14" s="706" t="s">
        <v>156</v>
      </c>
      <c r="M14" s="707"/>
      <c r="N14" s="352">
        <f t="shared" ca="1" si="11"/>
        <v>-1588.0665954730796</v>
      </c>
      <c r="O14" s="352">
        <v>-506.83</v>
      </c>
      <c r="P14" s="355">
        <f t="shared" ca="1" si="10"/>
        <v>-1081.2365954730797</v>
      </c>
      <c r="S14" s="181">
        <f>F22/(1-AR22)*AH22*AU22</f>
        <v>627680.42927124328</v>
      </c>
      <c r="T14" s="181">
        <f>F22*AH22*AU22</f>
        <v>619081.20739022724</v>
      </c>
      <c r="AL14" s="34">
        <v>11</v>
      </c>
      <c r="AM14" s="37">
        <f t="shared" si="0"/>
        <v>20000</v>
      </c>
      <c r="AN14" s="38">
        <f t="shared" si="1"/>
        <v>3.8E-3</v>
      </c>
      <c r="AO14" s="39">
        <f t="shared" si="2"/>
        <v>1.37E-2</v>
      </c>
      <c r="AP14" s="38">
        <f t="shared" si="3"/>
        <v>0</v>
      </c>
      <c r="AQ14" s="38">
        <f t="shared" si="4"/>
        <v>0</v>
      </c>
      <c r="AR14" s="133">
        <f t="shared" si="5"/>
        <v>0</v>
      </c>
      <c r="AS14" s="40">
        <f t="shared" si="6"/>
        <v>0.1704</v>
      </c>
      <c r="AT14" s="35">
        <f t="shared" si="7"/>
        <v>1</v>
      </c>
      <c r="AU14" s="361" t="s">
        <v>156</v>
      </c>
      <c r="AV14" s="339" t="str">
        <f>ADDRESS(ROW($Z$22),COLUMN($Z$22))</f>
        <v>$Z$22</v>
      </c>
      <c r="AW14" s="138" t="str">
        <f t="shared" ca="1" si="8"/>
        <v>$Z$28</v>
      </c>
      <c r="AX14" s="353" t="str">
        <f ca="1">CONCATENATE(AX8,":",AY8)</f>
        <v>$AO$22:$AO$28</v>
      </c>
      <c r="AY14" s="353" t="str">
        <f ca="1">CONCATENATE(AX10,":",AY10)</f>
        <v>$CC$22:$CC$28</v>
      </c>
    </row>
    <row r="15" spans="1:102" ht="13.8" thickBot="1" x14ac:dyDescent="0.3">
      <c r="A15" s="270" t="s">
        <v>224</v>
      </c>
      <c r="D15" s="170"/>
      <c r="E15" s="171"/>
      <c r="F15" s="172"/>
      <c r="G15" s="172"/>
      <c r="H15" s="173"/>
      <c r="L15" s="706" t="s">
        <v>157</v>
      </c>
      <c r="M15" s="707"/>
      <c r="N15" s="352">
        <f t="shared" ca="1" si="11"/>
        <v>335.51316001977801</v>
      </c>
      <c r="O15" s="352">
        <v>180.54</v>
      </c>
      <c r="P15" s="355">
        <f t="shared" ca="1" si="10"/>
        <v>154.97316001977802</v>
      </c>
      <c r="AL15" s="34">
        <v>12</v>
      </c>
      <c r="AM15" s="41">
        <f t="shared" si="0"/>
        <v>20000</v>
      </c>
      <c r="AN15" s="42">
        <f t="shared" si="1"/>
        <v>3.8E-3</v>
      </c>
      <c r="AO15" s="43">
        <f t="shared" si="2"/>
        <v>1.37E-2</v>
      </c>
      <c r="AP15" s="42">
        <f t="shared" si="3"/>
        <v>0</v>
      </c>
      <c r="AQ15" s="42">
        <f t="shared" si="4"/>
        <v>0</v>
      </c>
      <c r="AR15" s="134">
        <f t="shared" si="5"/>
        <v>0</v>
      </c>
      <c r="AS15" s="44">
        <f t="shared" si="6"/>
        <v>0.1704</v>
      </c>
      <c r="AT15" s="35">
        <f t="shared" si="7"/>
        <v>1</v>
      </c>
      <c r="AU15" s="363" t="s">
        <v>157</v>
      </c>
      <c r="AV15" s="339" t="str">
        <f>ADDRESS(ROW($AA$22),COLUMN($AA$22))</f>
        <v>$AA$22</v>
      </c>
      <c r="AW15" s="138" t="str">
        <f t="shared" ca="1" si="8"/>
        <v>$AA$28</v>
      </c>
      <c r="AX15" s="353" t="str">
        <f ca="1">CONCATENATE(AV8,":",AW8)</f>
        <v>$AM$22:$AM$28</v>
      </c>
      <c r="AY15" s="353" t="str">
        <f ca="1">CONCATENATE(AX11,":",AY11)</f>
        <v>$CD$22:$CD$28</v>
      </c>
    </row>
    <row r="16" spans="1:102" x14ac:dyDescent="0.25">
      <c r="D16" s="174"/>
      <c r="E16" s="175"/>
      <c r="F16" s="176"/>
      <c r="G16" s="176"/>
      <c r="H16" s="177"/>
      <c r="L16" s="706" t="s">
        <v>158</v>
      </c>
      <c r="M16" s="707"/>
      <c r="N16" s="352">
        <f t="shared" ca="1" si="11"/>
        <v>0</v>
      </c>
      <c r="O16" s="352">
        <v>5.29</v>
      </c>
      <c r="P16" s="355">
        <f t="shared" ca="1" si="10"/>
        <v>-5.29</v>
      </c>
      <c r="AU16" s="361" t="s">
        <v>158</v>
      </c>
      <c r="AV16" s="339" t="str">
        <f>ADDRESS(ROW($AB$22),COLUMN($AB$22))</f>
        <v>$AB$22</v>
      </c>
      <c r="AW16" s="138" t="str">
        <f t="shared" ca="1" si="8"/>
        <v>$AB$28</v>
      </c>
      <c r="AX16" s="353" t="str">
        <f ca="1">CONCATENATE(AX9,":",AY9)</f>
        <v>$AP$22:$AP$28</v>
      </c>
      <c r="AY16" s="353" t="str">
        <f ca="1">CONCATENATE(AX12,":",AY12)</f>
        <v>$CE$22:$CE$28</v>
      </c>
    </row>
    <row r="17" spans="1:91" x14ac:dyDescent="0.25">
      <c r="D17" s="171"/>
      <c r="E17" s="171"/>
      <c r="F17" s="172"/>
      <c r="G17" s="172"/>
      <c r="H17" s="172"/>
      <c r="L17" s="704" t="s">
        <v>211</v>
      </c>
      <c r="M17" s="705"/>
      <c r="N17" s="356">
        <f t="shared" ca="1" si="11"/>
        <v>15.2044672283027</v>
      </c>
      <c r="O17" s="357">
        <v>5.07</v>
      </c>
      <c r="P17" s="358">
        <f t="shared" ca="1" si="10"/>
        <v>10.1344672283027</v>
      </c>
      <c r="AU17" s="361" t="s">
        <v>211</v>
      </c>
      <c r="AV17" s="339" t="str">
        <f>ADDRESS(ROW($AC$22),COLUMN($AC$22))</f>
        <v>$AC$22</v>
      </c>
      <c r="AW17" s="138" t="str">
        <f t="shared" ca="1" si="8"/>
        <v>$AC$28</v>
      </c>
      <c r="AX17" s="353" t="str">
        <f ca="1">CONCATENATE(AV9,":",AW9)</f>
        <v>$AN$22:$AN$28</v>
      </c>
      <c r="AY17" s="353" t="str">
        <f ca="1">CONCATENATE(AX13,":",AY13)</f>
        <v>$CF$22:$CF$28</v>
      </c>
    </row>
    <row r="18" spans="1:91" x14ac:dyDescent="0.25">
      <c r="D18" s="171"/>
      <c r="E18" s="171"/>
      <c r="F18" s="172"/>
      <c r="G18" s="172"/>
      <c r="H18" s="172"/>
      <c r="L18" s="706" t="s">
        <v>623</v>
      </c>
      <c r="M18" s="707"/>
      <c r="N18" s="352">
        <f ca="1">SUMPRODUCT(INDIRECT(CONCATENATE(AX4,":",AY4)),INDIRECT(CONCATENATE($AV$2,":",$AW$2)),INDIRECT(CONCATENATE($AV$3,":",$AW$3)))</f>
        <v>63239.1985707442</v>
      </c>
      <c r="O18" s="352">
        <v>63229.32</v>
      </c>
      <c r="P18" s="355">
        <f t="shared" ca="1" si="10"/>
        <v>9.8785707442002604</v>
      </c>
      <c r="AU18" s="361"/>
      <c r="AV18" s="339"/>
      <c r="AW18" s="138"/>
      <c r="AX18" s="339" t="str">
        <f>ADDRESS(ROW($CI$22),COLUMN($CI$22))</f>
        <v>$CI$22</v>
      </c>
      <c r="AY18" s="138" t="str">
        <f ca="1">GetEnd($AV$1,AX18)</f>
        <v>$CI$28</v>
      </c>
    </row>
    <row r="19" spans="1:91" x14ac:dyDescent="0.25">
      <c r="D19" s="171"/>
      <c r="E19" s="171"/>
      <c r="F19" s="172"/>
      <c r="G19" s="172"/>
      <c r="H19" s="172"/>
      <c r="L19" s="724" t="s">
        <v>624</v>
      </c>
      <c r="M19" s="725"/>
      <c r="N19" s="359">
        <f ca="1">SUMPRODUCT(INDIRECT(CONCATENATE(AX5,":",AY5)),INDIRECT(CONCATENATE($AV$2,":",$AW$2)),INDIRECT(CONCATENATE($AV$3,":",$AW$3)))</f>
        <v>31031.134200444445</v>
      </c>
      <c r="O19" s="359">
        <v>33587.85</v>
      </c>
      <c r="P19" s="360">
        <f t="shared" ca="1" si="10"/>
        <v>-2556.7157995555535</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Kern River Station</v>
      </c>
      <c r="AP20" s="703"/>
      <c r="AQ20" s="137"/>
      <c r="AS20" s="137"/>
      <c r="AU20" s="136" t="s">
        <v>576</v>
      </c>
      <c r="AV20" s="353">
        <f ca="1">SUMPRODUCT(INDIRECT(CONCATENATE(AV8,":",AW8)),INDIRECT(CONCATENATE($AV$2,":",$AW$2)),INDIRECT(CONCATENATE($AV$3,":",$AW$3)),INDIRECT(CONCATENATE(AX3,":",AY3)))</f>
        <v>115400</v>
      </c>
      <c r="AW20" s="353">
        <f ca="1">SUMPRODUCT(INDIRECT(CONCATENATE(AX8,":",AY8)),INDIRECT(CONCATENATE($AV$2,":",$AW$2)),INDIRECT(CONCATENATE($AV$3,":",$AW$3)),INDIRECT(CONCATENATE(AX3,":",AY3)))</f>
        <v>241400</v>
      </c>
      <c r="AX20" s="353">
        <f ca="1">SUMPRODUCT(INDIRECT(CONCATENATE(AV9,":",AW9)),INDIRECT(CONCATENATE($AV$2,":",$AW$2)),INDIRECT(CONCATENATE($AV$3,":",$AW$3)),INDIRECT(CONCATENATE(AX3,":",AY3)))</f>
        <v>0</v>
      </c>
      <c r="AY20" s="353">
        <f ca="1">SUMPRODUCT(INDIRECT(CONCATENATE(AX9,":",AY9)),INDIRECT(CONCATENATE($AV$2,":",$AW$2)),INDIRECT(CONCATENATE($AV$3,":",$AW$3)),INDIRECT(CONCATENATE(AX3,":",AY3)))</f>
        <v>18000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28" si="12">VLOOKUP(AG22,$AL$4:$AS$15,2)</f>
        <v>20000</v>
      </c>
      <c r="G22" s="28">
        <f t="shared" ref="G22:G28" si="13">F22*$AU22</f>
        <v>19970.361528717007</v>
      </c>
      <c r="H22" s="52">
        <f t="shared" ref="H22:H28" si="14">(AL22+AM22+AN22)/(1-(AR22))</f>
        <v>3.0173375240798945</v>
      </c>
      <c r="I22" s="52">
        <f t="shared" ref="I22:I28" si="15">(AL22+AO22+AP22)</f>
        <v>3.056</v>
      </c>
      <c r="K22" s="52">
        <f t="shared" ref="K22:K28" si="16">MAX(((I22-H22)-AQ22)*AU22*AH22,0)</f>
        <v>1.0791351842615826</v>
      </c>
      <c r="L22" s="135">
        <f t="shared" ref="L22:L28" si="17">MAX(Q22-K22,0)</f>
        <v>0.47201051343121758</v>
      </c>
      <c r="N22" s="131">
        <f>SQRT(($AX22^2*($AH22/2)+$AW22^2*$AI22)/(($AH22/2)+$AI22))</f>
        <v>1.0334004032525936</v>
      </c>
      <c r="O22" s="131">
        <f>SQRT(($AY22^2*($AH22/2)+$AW22^2*$AI22)/(($AH22/2)+$AI22))</f>
        <v>1.0334004032525936</v>
      </c>
      <c r="P22" s="55">
        <f t="shared" ref="P22:P28" si="18">(VLOOKUP(AI22,CorrelationTwo,2)*(AW22^2)*AI22+VLOOKUP(D22,CorrelationOne,$AK$9)*AX22*AY22*(AH22/2))/((AI22+(AH22/2))*O22*N22)*AF22</f>
        <v>0.99651427860902708</v>
      </c>
      <c r="Q22" s="135">
        <f>_xll.xSPRDOPT(I22,H22,AQ22,0,O22,N22,P22,D22-$G$5,1,0)*AH22*AU22</f>
        <v>1.5511456976928002</v>
      </c>
      <c r="R22" s="135"/>
      <c r="S22" s="181">
        <f>_xll.xSPRDOPT(I22,H22,AQ22,AT22,O22,N22,P22,D22-$G$5,1,2)*AF22*(F22/(1-AR22))*AH22</f>
        <v>-425087.11740531685</v>
      </c>
      <c r="T22" s="181">
        <f>_xll.xSPRDOPT(I22,H22,AQ22,AT22,O22,N22,P22,D22-$G$5,1,1)*AF22*F22*AH22</f>
        <v>424634.01710966101</v>
      </c>
      <c r="U22" s="135"/>
      <c r="V22" s="146">
        <f t="shared" ref="V22:V28" si="19">VLOOKUP($AG22,$AL$4:$AS$15,8)*AH22*AU22</f>
        <v>5.2745718869647362</v>
      </c>
      <c r="W22" s="146"/>
      <c r="X22" s="338">
        <f t="shared" ref="X22:X28" si="20">((BM22*BC22)+(BL22*BB22))*AH22*F22</f>
        <v>0</v>
      </c>
      <c r="Y22" s="338">
        <f t="shared" ref="Y22:Y28" si="21">($F22*$AH22)*((($BG22/2)*($BC22)^2)+(($BF22/2)*($BB22)^2)+($BH22*$BC22*$BB22))</f>
        <v>0</v>
      </c>
      <c r="Z22" s="338">
        <f t="shared" ref="Z22:Z28" si="22">($BI22*$F22*$AH22*($G$5-$BV$5))/365.25</f>
        <v>-850.46482029968422</v>
      </c>
      <c r="AA22" s="338">
        <f t="shared" ref="AA22:AA28" si="23">(($BK22*$BE22)+($BJ22*$BD22))*$F22*$AH22*$AF22</f>
        <v>242.74755303577106</v>
      </c>
      <c r="AB22" s="338">
        <f t="shared" ref="AB22:AB28" si="24">BN22*(AT22-CA22)*F22*AH22</f>
        <v>0</v>
      </c>
      <c r="AC22" s="338">
        <f t="shared" ref="AC22:AC28" si="25">BO22*CB22*F22*AH22*CA22*($G$5-$BV$5)/365.25</f>
        <v>5.0297024112950339</v>
      </c>
      <c r="AF22" s="138">
        <f t="shared" ref="AF22:AF28" si="26">IF(AND(D22&gt;=$G$7,D22&lt;=$G$8),1,0)</f>
        <v>1</v>
      </c>
      <c r="AG22" s="138">
        <f t="shared" ref="AG22:AG28" si="27">MONTH(D22)</f>
        <v>1</v>
      </c>
      <c r="AH22" s="138">
        <f t="shared" ref="AH22:AH28" si="28">(EOMONTH(D22,0)-EOMONTH(D22-DAY(D22),0))*AF22</f>
        <v>31</v>
      </c>
      <c r="AI22" s="138">
        <f>MAX(0,(D22-DAY(D22))-$G$5+1)</f>
        <v>15</v>
      </c>
      <c r="AJ22" s="138">
        <f t="shared" ref="AJ22:AJ28" si="29">D22-$BV$5</f>
        <v>32</v>
      </c>
      <c r="AL22" s="136">
        <f t="shared" ref="AL22:AL28" si="30">VLOOKUP($D22,CurveTbl,$AK$4)</f>
        <v>2.8460000000000001</v>
      </c>
      <c r="AM22" s="258">
        <f t="shared" ref="AM22:AM28" si="31">VLOOKUP($D22,CurveTbl,$AH$3)</f>
        <v>0.13</v>
      </c>
      <c r="AN22" s="258">
        <f t="shared" ref="AN22:AN28" si="32">VLOOKUP($D22,CurveTbl,$AH$4)+VLOOKUP($AG22,$AL$3:$AS$15,6)</f>
        <v>0</v>
      </c>
      <c r="AO22" s="258">
        <f t="shared" ref="AO22:AO28" si="33">VLOOKUP($D22,CurveTbl,$AH$5)</f>
        <v>0.2</v>
      </c>
      <c r="AP22" s="258">
        <f t="shared" ref="AP22:AP28" si="34">VLOOKUP($D22,CurveTbl,$AH$6)+VLOOKUP($AG22,$AL$3:$AS$15,7)</f>
        <v>0.01</v>
      </c>
      <c r="AQ22" s="136">
        <f t="shared" ref="AQ22:AQ28" si="35">VLOOKUP($AG22,$AL$4:$AS$15,3)+VLOOKUP($AG22,$AL$4:$AS$15,5)+($AH$10*VLOOKUP(D22,GRITable,2))</f>
        <v>3.8E-3</v>
      </c>
      <c r="AR22" s="137">
        <f t="shared" ref="AR22:AR28" si="36">VLOOKUP($AG22,$AL$4:$AS$15,4)</f>
        <v>1.37E-2</v>
      </c>
      <c r="AS22" s="136">
        <f t="shared" ref="AS22:AS28" si="37">(AL22+AM22+AN22)</f>
        <v>2.976</v>
      </c>
      <c r="AT22" s="137">
        <f t="shared" ref="AT22:AT28" si="38">VLOOKUP(D22,CurveTbl,$AK$6)</f>
        <v>1.8765908157160699E-2</v>
      </c>
      <c r="AU22" s="137">
        <f t="shared" ref="AU22:AU28" si="39">(1+$AT22/2)^(-2*($D22-$G$5)/365.25)*$AF22</f>
        <v>0.99851807643585033</v>
      </c>
      <c r="AV22" s="394">
        <f t="shared" ref="AV22:AV28" si="40">ROUND((F22/(1-AR22))-F22,0)*AF22*AH22*AU22</f>
        <v>8605.228782724158</v>
      </c>
      <c r="AW22" s="137">
        <f t="shared" ref="AW22:AW28" si="41">VLOOKUP($D22,CurveTbl,$AK$8)</f>
        <v>0.87</v>
      </c>
      <c r="AX22" s="137">
        <f t="shared" ref="AX22:AX28" si="42">VLOOKUP($D22,CurveTbl,$AH$7)</f>
        <v>1.17</v>
      </c>
      <c r="AY22" s="137">
        <f t="shared" ref="AY22:AY28" si="43">VLOOKUP($D22,CurveTbl,$AH$8)</f>
        <v>1.17</v>
      </c>
      <c r="AZ22" s="137"/>
      <c r="BA22" s="264"/>
      <c r="BB22" s="258">
        <f t="shared" ref="BB22:BB28" si="44">$H22-$BV22</f>
        <v>0</v>
      </c>
      <c r="BC22" s="258">
        <f t="shared" ref="BC22:BC28" si="45">I22-BW22</f>
        <v>0</v>
      </c>
      <c r="BD22" s="137">
        <f t="shared" ref="BD22:BE28" si="46">N22-BX22</f>
        <v>1.3565034624657857E-2</v>
      </c>
      <c r="BE22" s="137">
        <f t="shared" si="46"/>
        <v>1.3565034624657857E-2</v>
      </c>
      <c r="BF22" s="137">
        <f>_xll.xSPRDOPT($BW22,$BV22,$CG22,0,$BY22,$BX22,$BZ22,$AJ22,1,4)*$CB22</f>
        <v>4.5303215874353828</v>
      </c>
      <c r="BG22" s="137">
        <f>_xll.xSPRDOPT($BW22,$BV22,$CG22,0,$BY22,$BX22,$BZ22,$AJ22,1,3)*$CB22</f>
        <v>4.4275065726942877</v>
      </c>
      <c r="BH22" s="137">
        <f>IF(OR(BF22&lt;&gt;0,BG22&lt;&gt;0),_xll.xSPRDOPT($BW22,$BV22,$CG22,0,$BY22,$BX22,$BZ22,$AJ22,1,12)*$CB22,0)</f>
        <v>-4.4786247779306434</v>
      </c>
      <c r="BI22" s="137">
        <f>_xll.xSPRDOPT($BW22,$BV22,$CG22,2*LN(1+CA22/2),$BY22,$BX22,$BZ22,$AJ22,1,9)</f>
        <v>-0.16700659979272026</v>
      </c>
      <c r="BJ22" s="137">
        <f>_xll.xSPRDOPT($BW22,$BV22,$CG22,0,$BY22,$BX22,$BZ22,$AJ22,1,6)*$CB22</f>
        <v>9.8039278515679052E-3</v>
      </c>
      <c r="BK22" s="137">
        <f>_xll.xSPRDOPT($BW22,$BV22,$CG22,0,$BY22,$BX22,$BZ22,$AJ22,1,5)*$CB22</f>
        <v>1.9059125003182412E-2</v>
      </c>
      <c r="BL22" s="137">
        <f>_xll.xSPRDOPT(BW22,BV22,CG22,0,BY22,BX22,BZ22,AJ22,1,2)*CB22</f>
        <v>-0.66046008798706568</v>
      </c>
      <c r="BM22" s="137">
        <f>_xll.xSPRDOPT(BW22,BV22,CG22,0,BY22,BX22,BZ22,AJ22,1,1)*CB22</f>
        <v>0.67015217008466055</v>
      </c>
      <c r="BN22" s="137">
        <f>IF(AH22&lt;&gt;0,_xll.xSPRDOPT($BW22,$BV22,$CG22,2*LN(1+CA22/2),$BY22,$BX22,$BZ22,$AJ22,1,8)+(AJ22/365.25)*CH22/AH22,0)</f>
        <v>1.0293387252555772E-2</v>
      </c>
      <c r="BO22" s="137">
        <f>_xll.xSPRDOPT($BW22,$BV22,$CG22,0,$BY22,$BX22,$BZ22,$AJ22,1,0)</f>
        <v>5.2718213001600192E-2</v>
      </c>
      <c r="BP22" s="137"/>
      <c r="BQ22" s="137"/>
      <c r="BR22" s="137"/>
      <c r="BS22" s="137"/>
      <c r="BV22" s="262">
        <v>3.0173375240798945</v>
      </c>
      <c r="BW22" s="136">
        <v>3.056</v>
      </c>
      <c r="BX22" s="137">
        <v>1.0198353686279358</v>
      </c>
      <c r="BY22" s="137">
        <v>1.0198353686279358</v>
      </c>
      <c r="BZ22" s="137">
        <v>0.996089736138556</v>
      </c>
      <c r="CA22" s="137">
        <v>1.8765908157160699E-2</v>
      </c>
      <c r="CB22" s="137">
        <v>0.99836489939579565</v>
      </c>
      <c r="CC22" s="258">
        <v>0.13</v>
      </c>
      <c r="CD22" s="258">
        <v>0</v>
      </c>
      <c r="CE22" s="258">
        <v>0.2</v>
      </c>
      <c r="CF22" s="258">
        <v>0.01</v>
      </c>
      <c r="CG22" s="258">
        <v>3.8E-3</v>
      </c>
      <c r="CH22" s="258">
        <v>5.2737627445683506</v>
      </c>
      <c r="CI22" s="258">
        <v>2.8460000000000001</v>
      </c>
      <c r="CJ22" s="258"/>
      <c r="CK22" s="258"/>
      <c r="CL22" s="258"/>
      <c r="CM22" s="258"/>
    </row>
    <row r="23" spans="1:91" x14ac:dyDescent="0.25">
      <c r="A23" s="723"/>
      <c r="B23" s="723"/>
      <c r="D23" s="31">
        <f t="shared" ref="D23:D28" si="47">D22+AH22</f>
        <v>37302</v>
      </c>
      <c r="F23" s="28">
        <f t="shared" si="12"/>
        <v>20000</v>
      </c>
      <c r="G23" s="28">
        <f t="shared" si="13"/>
        <v>19936.909873748915</v>
      </c>
      <c r="H23" s="52">
        <f t="shared" si="14"/>
        <v>2.9889485957619386</v>
      </c>
      <c r="I23" s="52">
        <f t="shared" si="15"/>
        <v>3.0279999999999996</v>
      </c>
      <c r="K23" s="52">
        <f t="shared" si="16"/>
        <v>0.98392569690423692</v>
      </c>
      <c r="L23" s="135">
        <f t="shared" si="17"/>
        <v>0.61048793269042734</v>
      </c>
      <c r="N23" s="131">
        <f t="shared" ref="N23:N28" si="48">SQRT(($AX23^2*($AH23/2)+$AW23^2*$AI23)/(($AH23/2)+$AI23))</f>
        <v>0.94501278650961462</v>
      </c>
      <c r="O23" s="131">
        <f t="shared" ref="O23:O28" si="49">SQRT(($AY23^2*($AH23/2)+$AW23^2*$AI23)/(($AH23/2)+$AI23))</f>
        <v>0.94501278650961462</v>
      </c>
      <c r="P23" s="55">
        <f t="shared" si="18"/>
        <v>0.99678831139382984</v>
      </c>
      <c r="Q23" s="135">
        <f>_xll.xSPRDOPT(I23,H23,AQ23,0,O23,N23,P23,D23-$G$5,1,0)*AH23*AU23</f>
        <v>1.5944136295946643</v>
      </c>
      <c r="R23" s="135"/>
      <c r="S23" s="181">
        <f>_xll.xSPRDOPT(I23,H23,AQ23,AT23,O23,N23,P23,D23-$G$5,1,2)*AF23*(F23/(1-AR23))*AH23</f>
        <v>-363886.69536550826</v>
      </c>
      <c r="T23" s="181">
        <f>_xll.xSPRDOPT(I23,H23,AQ23,AT23,O23,N23,P23,D23-$G$5,1,1)*AF23*F23*AH23</f>
        <v>365256.45774519444</v>
      </c>
      <c r="U23" s="135"/>
      <c r="V23" s="146">
        <f t="shared" si="19"/>
        <v>4.7561492194815411</v>
      </c>
      <c r="W23" s="146"/>
      <c r="X23" s="338">
        <f t="shared" si="20"/>
        <v>0</v>
      </c>
      <c r="Y23" s="338">
        <f t="shared" si="21"/>
        <v>0</v>
      </c>
      <c r="Z23" s="338">
        <f t="shared" si="22"/>
        <v>-466.79955831590905</v>
      </c>
      <c r="AA23" s="338">
        <f t="shared" si="23"/>
        <v>76.978714246270513</v>
      </c>
      <c r="AB23" s="338">
        <f t="shared" si="24"/>
        <v>0</v>
      </c>
      <c r="AC23" s="338">
        <f t="shared" si="25"/>
        <v>5.1586524101284796</v>
      </c>
      <c r="AF23" s="138">
        <f t="shared" si="26"/>
        <v>1</v>
      </c>
      <c r="AG23" s="138">
        <f t="shared" si="27"/>
        <v>2</v>
      </c>
      <c r="AH23" s="138">
        <f t="shared" si="28"/>
        <v>28</v>
      </c>
      <c r="AI23" s="138">
        <f t="shared" ref="AI23:AI28" si="50">AI22+AH22</f>
        <v>46</v>
      </c>
      <c r="AJ23" s="138">
        <f t="shared" si="29"/>
        <v>63</v>
      </c>
      <c r="AL23" s="136">
        <f t="shared" si="30"/>
        <v>2.9079999999999999</v>
      </c>
      <c r="AM23" s="258">
        <f t="shared" si="31"/>
        <v>0.04</v>
      </c>
      <c r="AN23" s="258">
        <f t="shared" si="32"/>
        <v>0</v>
      </c>
      <c r="AO23" s="258">
        <f t="shared" si="33"/>
        <v>0.11</v>
      </c>
      <c r="AP23" s="258">
        <f t="shared" si="34"/>
        <v>0.01</v>
      </c>
      <c r="AQ23" s="136">
        <f t="shared" si="35"/>
        <v>3.8E-3</v>
      </c>
      <c r="AR23" s="137">
        <f t="shared" si="36"/>
        <v>1.37E-2</v>
      </c>
      <c r="AS23" s="136">
        <f t="shared" si="37"/>
        <v>2.948</v>
      </c>
      <c r="AT23" s="137">
        <f t="shared" si="38"/>
        <v>1.9326187282006298E-2</v>
      </c>
      <c r="AU23" s="137">
        <f t="shared" si="39"/>
        <v>0.99684549368744568</v>
      </c>
      <c r="AV23" s="394">
        <f t="shared" si="40"/>
        <v>7759.4453228630773</v>
      </c>
      <c r="AW23" s="137">
        <f t="shared" si="41"/>
        <v>0.86499999999999999</v>
      </c>
      <c r="AX23" s="137">
        <f t="shared" si="42"/>
        <v>1.17</v>
      </c>
      <c r="AY23" s="137">
        <f t="shared" si="43"/>
        <v>1.17</v>
      </c>
      <c r="AZ23" s="137"/>
      <c r="BA23" s="264"/>
      <c r="BB23" s="258">
        <f t="shared" si="44"/>
        <v>0</v>
      </c>
      <c r="BC23" s="258">
        <f t="shared" si="45"/>
        <v>0</v>
      </c>
      <c r="BD23" s="137">
        <f t="shared" si="46"/>
        <v>3.6559053121710816E-3</v>
      </c>
      <c r="BE23" s="137">
        <f t="shared" si="46"/>
        <v>3.6559053121710816E-3</v>
      </c>
      <c r="BF23" s="137">
        <f>_xll.xSPRDOPT($BW23,$BV23,$CG23,0,$BY23,$BX23,$BZ23,$AJ23,1,4)*$CB23</f>
        <v>3.9408983754286675</v>
      </c>
      <c r="BG23" s="137">
        <f>_xll.xSPRDOPT($BW23,$BV23,$CG23,0,$BY23,$BX23,$BZ23,$AJ23,1,3)*$CB23</f>
        <v>3.8496411893165319</v>
      </c>
      <c r="BH23" s="137">
        <f>IF(OR(BF23&lt;&gt;0,BG23&lt;&gt;0),_xll.xSPRDOPT($BW23,$BV23,$CG23,0,$BY23,$BX23,$BZ23,$AJ23,1,12)*$CB23,0)</f>
        <v>-3.8950056735145124</v>
      </c>
      <c r="BI23" s="137">
        <f>_xll.xSPRDOPT($BW23,$BV23,$CG23,2*LN(1+CA23/2),$BY23,$BX23,$BZ23,$AJ23,1,9)</f>
        <v>-0.10148722540171773</v>
      </c>
      <c r="BJ23" s="137">
        <f>_xll.xSPRDOPT($BW23,$BV23,$CG23,0,$BY23,$BX23,$BZ23,$AJ23,1,6)*$CB23</f>
        <v>1.1551072472014539E-2</v>
      </c>
      <c r="BK23" s="137">
        <f>_xll.xSPRDOPT($BW23,$BV23,$CG23,0,$BY23,$BX23,$BZ23,$AJ23,1,5)*$CB23</f>
        <v>2.6048913848159168E-2</v>
      </c>
      <c r="BL23" s="137">
        <f>_xll.xSPRDOPT(BW23,BV23,CG23,0,BY23,BX23,BZ23,AJ23,1,2)*CB23</f>
        <v>-0.63619805030606957</v>
      </c>
      <c r="BM23" s="137">
        <f>_xll.xSPRDOPT(BW23,BV23,CG23,0,BY23,BX23,BZ23,AJ23,1,1)*CB23</f>
        <v>0.6479611476403303</v>
      </c>
      <c r="BN23" s="137">
        <f>IF(AH23&lt;&gt;0,_xll.xSPRDOPT($BW23,$BV23,$CG23,2*LN(1+CA23/2),$BY23,$BX23,$BZ23,$AJ23,1,8)+(AJ23/365.25)*CH23/AH23,0)</f>
        <v>1.9284325759401845E-2</v>
      </c>
      <c r="BO23" s="137">
        <f>_xll.xSPRDOPT($BW23,$BV23,$CG23,0,$BY23,$BX23,$BZ23,$AJ23,1,0)</f>
        <v>5.8225306419464724E-2</v>
      </c>
      <c r="BP23" s="137"/>
      <c r="BQ23" s="137"/>
      <c r="BR23" s="137"/>
      <c r="BS23" s="137"/>
      <c r="BV23" s="262">
        <v>2.9889485957619386</v>
      </c>
      <c r="BW23" s="136">
        <v>3.0279999999999996</v>
      </c>
      <c r="BX23" s="137">
        <v>0.94135688119744354</v>
      </c>
      <c r="BY23" s="137">
        <v>0.94135688119744354</v>
      </c>
      <c r="BZ23" s="137">
        <v>0.99671640831935782</v>
      </c>
      <c r="CA23" s="137">
        <v>1.9326187282006298E-2</v>
      </c>
      <c r="CB23" s="137">
        <v>0.99668802984454063</v>
      </c>
      <c r="CC23" s="258">
        <v>0.04</v>
      </c>
      <c r="CD23" s="258">
        <v>0</v>
      </c>
      <c r="CE23" s="258">
        <v>0.11</v>
      </c>
      <c r="CF23" s="258">
        <v>0.01</v>
      </c>
      <c r="CG23" s="258">
        <v>3.8E-3</v>
      </c>
      <c r="CH23" s="258">
        <v>4.7553979279942729</v>
      </c>
      <c r="CI23" s="258">
        <v>2.9079999999999999</v>
      </c>
      <c r="CJ23" s="258"/>
      <c r="CK23" s="258"/>
      <c r="CL23" s="258"/>
      <c r="CM23" s="258"/>
    </row>
    <row r="24" spans="1:91" x14ac:dyDescent="0.25">
      <c r="A24" s="723"/>
      <c r="B24" s="723"/>
      <c r="D24" s="31">
        <f t="shared" si="47"/>
        <v>37330</v>
      </c>
      <c r="F24" s="28">
        <f t="shared" si="12"/>
        <v>20000</v>
      </c>
      <c r="G24" s="28">
        <f t="shared" si="13"/>
        <v>19907.787796149052</v>
      </c>
      <c r="H24" s="52">
        <f t="shared" si="14"/>
        <v>2.9625874480381227</v>
      </c>
      <c r="I24" s="52">
        <f t="shared" si="15"/>
        <v>3.0019999999999998</v>
      </c>
      <c r="K24" s="52">
        <f t="shared" si="16"/>
        <v>1.0988990473713904</v>
      </c>
      <c r="L24" s="135">
        <f t="shared" si="17"/>
        <v>0.46905826390057737</v>
      </c>
      <c r="N24" s="131">
        <f t="shared" si="48"/>
        <v>0.81400177068699564</v>
      </c>
      <c r="O24" s="131">
        <f t="shared" si="49"/>
        <v>0.81400177068699564</v>
      </c>
      <c r="P24" s="55">
        <f t="shared" si="18"/>
        <v>0.9980530617544594</v>
      </c>
      <c r="Q24" s="135">
        <f>_xll.xSPRDOPT(I24,H24,AQ24,0,O24,N24,P24,D24-$G$5,1,0)*AH24*AU24</f>
        <v>1.5679573112719678</v>
      </c>
      <c r="R24" s="135"/>
      <c r="S24" s="181">
        <f>_xll.xSPRDOPT(I24,H24,AQ24,AT24,O24,N24,P24,D24-$G$5,1,2)*AF24*(F24/(1-AR24))*AH24</f>
        <v>-425181.31735604664</v>
      </c>
      <c r="T24" s="181">
        <f>_xll.xSPRDOPT(I24,H24,AQ24,AT24,O24,N24,P24,D24-$G$5,1,1)*AF24*F24*AH24</f>
        <v>424828.38602552889</v>
      </c>
      <c r="U24" s="135"/>
      <c r="V24" s="146">
        <f t="shared" si="19"/>
        <v>5.258044912718888</v>
      </c>
      <c r="W24" s="146"/>
      <c r="X24" s="338">
        <f t="shared" si="20"/>
        <v>0</v>
      </c>
      <c r="Y24" s="338">
        <f t="shared" si="21"/>
        <v>0</v>
      </c>
      <c r="Z24" s="338">
        <f t="shared" si="22"/>
        <v>-270.80221685748637</v>
      </c>
      <c r="AA24" s="338">
        <f t="shared" si="23"/>
        <v>15.786892737736416</v>
      </c>
      <c r="AB24" s="338">
        <f t="shared" si="24"/>
        <v>0</v>
      </c>
      <c r="AC24" s="338">
        <f t="shared" si="25"/>
        <v>5.0161124068791878</v>
      </c>
      <c r="AF24" s="138">
        <f t="shared" si="26"/>
        <v>1</v>
      </c>
      <c r="AG24" s="138">
        <f t="shared" si="27"/>
        <v>3</v>
      </c>
      <c r="AH24" s="138">
        <f t="shared" si="28"/>
        <v>31</v>
      </c>
      <c r="AI24" s="138">
        <f t="shared" si="50"/>
        <v>74</v>
      </c>
      <c r="AJ24" s="138">
        <f t="shared" si="29"/>
        <v>91</v>
      </c>
      <c r="AL24" s="136">
        <f t="shared" si="30"/>
        <v>2.9020000000000001</v>
      </c>
      <c r="AM24" s="258">
        <f t="shared" si="31"/>
        <v>0.02</v>
      </c>
      <c r="AN24" s="258">
        <f t="shared" si="32"/>
        <v>0</v>
      </c>
      <c r="AO24" s="258">
        <f t="shared" si="33"/>
        <v>0.09</v>
      </c>
      <c r="AP24" s="258">
        <f t="shared" si="34"/>
        <v>0.01</v>
      </c>
      <c r="AQ24" s="136">
        <f t="shared" si="35"/>
        <v>3.8E-3</v>
      </c>
      <c r="AR24" s="137">
        <f t="shared" si="36"/>
        <v>1.37E-2</v>
      </c>
      <c r="AS24" s="136">
        <f t="shared" si="37"/>
        <v>2.9220000000000002</v>
      </c>
      <c r="AT24" s="137">
        <f t="shared" si="38"/>
        <v>1.9273175363903501E-2</v>
      </c>
      <c r="AU24" s="137">
        <f t="shared" si="39"/>
        <v>0.99538938980745262</v>
      </c>
      <c r="AV24" s="394">
        <f t="shared" si="40"/>
        <v>8578.2657613606261</v>
      </c>
      <c r="AW24" s="137">
        <f t="shared" si="41"/>
        <v>0.79</v>
      </c>
      <c r="AX24" s="137">
        <f t="shared" si="42"/>
        <v>0.92</v>
      </c>
      <c r="AY24" s="137">
        <f t="shared" si="43"/>
        <v>0.92</v>
      </c>
      <c r="AZ24" s="137"/>
      <c r="BA24" s="264"/>
      <c r="BB24" s="258">
        <f t="shared" si="44"/>
        <v>0</v>
      </c>
      <c r="BC24" s="258">
        <f t="shared" si="45"/>
        <v>0</v>
      </c>
      <c r="BD24" s="137">
        <f t="shared" si="46"/>
        <v>7.673209307950124E-4</v>
      </c>
      <c r="BE24" s="137">
        <f t="shared" si="46"/>
        <v>7.673209307950124E-4</v>
      </c>
      <c r="BF24" s="137">
        <f>_xll.xSPRDOPT($BW24,$BV24,$CG24,0,$BY24,$BX24,$BZ24,$AJ24,1,4)*$CB24</f>
        <v>4.7425038955469088</v>
      </c>
      <c r="BG24" s="137">
        <f>_xll.xSPRDOPT($BW24,$BV24,$CG24,0,$BY24,$BX24,$BZ24,$AJ24,1,3)*$CB24</f>
        <v>4.6306298681038927</v>
      </c>
      <c r="BH24" s="137">
        <f>IF(OR(BF24&lt;&gt;0,BG24&lt;&gt;0),_xll.xSPRDOPT($BW24,$BV24,$CG24,0,$BY24,$BX24,$BZ24,$AJ24,1,12)*$CB24,0)</f>
        <v>-4.6862393588240288</v>
      </c>
      <c r="BI24" s="137">
        <f>_xll.xSPRDOPT($BW24,$BV24,$CG24,2*LN(1+CA24/2),$BY24,$BX24,$BZ24,$AJ24,1,9)</f>
        <v>-5.3177693390966084E-2</v>
      </c>
      <c r="BJ24" s="137">
        <f>_xll.xSPRDOPT($BW24,$BV24,$CG24,0,$BY24,$BX24,$BZ24,$AJ24,1,6)*$CB24</f>
        <v>5.7863778276117913E-3</v>
      </c>
      <c r="BK24" s="137">
        <f>_xll.xSPRDOPT($BW24,$BV24,$CG24,0,$BY24,$BX24,$BZ24,$AJ24,1,5)*$CB24</f>
        <v>2.739756020959758E-2</v>
      </c>
      <c r="BL24" s="137">
        <f>_xll.xSPRDOPT(BW24,BV24,CG24,0,BY24,BX24,BZ24,AJ24,1,2)*CB24</f>
        <v>-0.67279039770252358</v>
      </c>
      <c r="BM24" s="137">
        <f>_xll.xSPRDOPT(BW24,BV24,CG24,0,BY24,BX24,BZ24,AJ24,1,1)*CB24</f>
        <v>0.68183554550953462</v>
      </c>
      <c r="BN24" s="137">
        <f>IF(AH24&lt;&gt;0,_xll.xSPRDOPT($BW24,$BV24,$CG24,2*LN(1+CA24/2),$BY24,$BX24,$BZ24,$AJ24,1,8)+(AJ24/365.25)*CH24/AH24,0)</f>
        <v>2.9518469696767247E-2</v>
      </c>
      <c r="BO24" s="137">
        <f>_xll.xSPRDOPT($BW24,$BV24,$CG24,0,$BY24,$BX24,$BZ24,$AJ24,1,0)</f>
        <v>5.1353101780331943E-2</v>
      </c>
      <c r="BP24" s="137"/>
      <c r="BQ24" s="137"/>
      <c r="BR24" s="137"/>
      <c r="BS24" s="137"/>
      <c r="BV24" s="262">
        <v>2.9625874480381227</v>
      </c>
      <c r="BW24" s="136">
        <v>3.0019999999999998</v>
      </c>
      <c r="BX24" s="137">
        <v>0.81323444975620063</v>
      </c>
      <c r="BY24" s="137">
        <v>0.81323444975620063</v>
      </c>
      <c r="BZ24" s="137">
        <v>0.9980361349180793</v>
      </c>
      <c r="CA24" s="137">
        <v>1.9273175363903501E-2</v>
      </c>
      <c r="CB24" s="137">
        <v>0.99523258517239033</v>
      </c>
      <c r="CC24" s="258">
        <v>0.02</v>
      </c>
      <c r="CD24" s="258">
        <v>0</v>
      </c>
      <c r="CE24" s="258">
        <v>0.09</v>
      </c>
      <c r="CF24" s="258">
        <v>0.01</v>
      </c>
      <c r="CG24" s="258">
        <v>3.8E-3</v>
      </c>
      <c r="CH24" s="258">
        <v>5.2572166079146347</v>
      </c>
      <c r="CI24" s="258">
        <v>2.9020000000000001</v>
      </c>
      <c r="CJ24" s="258"/>
      <c r="CK24" s="258"/>
      <c r="CL24" s="258"/>
      <c r="CM24" s="258"/>
    </row>
    <row r="25" spans="1:91" x14ac:dyDescent="0.25">
      <c r="A25" s="723"/>
      <c r="B25" s="723"/>
      <c r="D25" s="31">
        <f t="shared" si="47"/>
        <v>37361</v>
      </c>
      <c r="F25" s="28">
        <f t="shared" si="12"/>
        <v>20000</v>
      </c>
      <c r="G25" s="28">
        <f t="shared" si="13"/>
        <v>0</v>
      </c>
      <c r="H25" s="52">
        <f t="shared" si="14"/>
        <v>2.7557538274358717</v>
      </c>
      <c r="I25" s="52">
        <f t="shared" si="15"/>
        <v>2.9479999999999995</v>
      </c>
      <c r="K25" s="52">
        <f t="shared" si="16"/>
        <v>0</v>
      </c>
      <c r="L25" s="135">
        <f t="shared" si="17"/>
        <v>0</v>
      </c>
      <c r="N25" s="131">
        <f t="shared" si="48"/>
        <v>0.61</v>
      </c>
      <c r="O25" s="131">
        <f t="shared" si="49"/>
        <v>0.61</v>
      </c>
      <c r="P25" s="55">
        <f t="shared" si="18"/>
        <v>0</v>
      </c>
      <c r="Q25" s="135">
        <f>_xll.xSPRDOPT(I25,H25,AQ25,0,O25,N25,P25,D25-$G$5,1,0)*AH25*AU25</f>
        <v>0</v>
      </c>
      <c r="R25" s="135"/>
      <c r="S25" s="181">
        <f>_xll.xSPRDOPT(I25,H25,AQ25,AT25,O25,N25,P25,D25-$G$5,1,2)*AF25*(F25/(1-AR25))*AH25</f>
        <v>0</v>
      </c>
      <c r="T25" s="181">
        <f>_xll.xSPRDOPT(I25,H25,AQ25,AT25,O25,N25,P25,D25-$G$5,1,1)*AF25*F25*AH25</f>
        <v>0</v>
      </c>
      <c r="U25" s="135"/>
      <c r="V25" s="146">
        <f t="shared" si="19"/>
        <v>0</v>
      </c>
      <c r="W25" s="146"/>
      <c r="X25" s="338">
        <f t="shared" si="20"/>
        <v>0</v>
      </c>
      <c r="Y25" s="338">
        <f t="shared" si="21"/>
        <v>0</v>
      </c>
      <c r="Z25" s="338">
        <f t="shared" si="22"/>
        <v>0</v>
      </c>
      <c r="AA25" s="338">
        <f t="shared" si="23"/>
        <v>0</v>
      </c>
      <c r="AB25" s="338">
        <f t="shared" si="24"/>
        <v>0</v>
      </c>
      <c r="AC25" s="338">
        <f t="shared" si="25"/>
        <v>0</v>
      </c>
      <c r="AF25" s="138">
        <f t="shared" si="26"/>
        <v>0</v>
      </c>
      <c r="AG25" s="138">
        <f t="shared" si="27"/>
        <v>4</v>
      </c>
      <c r="AH25" s="138">
        <f t="shared" si="28"/>
        <v>0</v>
      </c>
      <c r="AI25" s="138">
        <f t="shared" si="50"/>
        <v>105</v>
      </c>
      <c r="AJ25" s="138">
        <f t="shared" si="29"/>
        <v>122</v>
      </c>
      <c r="AL25" s="136">
        <f t="shared" si="30"/>
        <v>2.8479999999999999</v>
      </c>
      <c r="AM25" s="258">
        <f t="shared" si="31"/>
        <v>-0.13</v>
      </c>
      <c r="AN25" s="258">
        <f t="shared" si="32"/>
        <v>0</v>
      </c>
      <c r="AO25" s="258">
        <f t="shared" si="33"/>
        <v>7.0000000000000007E-2</v>
      </c>
      <c r="AP25" s="258">
        <f t="shared" si="34"/>
        <v>0.03</v>
      </c>
      <c r="AQ25" s="136">
        <f t="shared" si="35"/>
        <v>3.8E-3</v>
      </c>
      <c r="AR25" s="137">
        <f t="shared" si="36"/>
        <v>1.37E-2</v>
      </c>
      <c r="AS25" s="136">
        <f t="shared" si="37"/>
        <v>2.718</v>
      </c>
      <c r="AT25" s="137">
        <f t="shared" si="38"/>
        <v>1.9422640119623601E-2</v>
      </c>
      <c r="AU25" s="137">
        <f t="shared" si="39"/>
        <v>0</v>
      </c>
      <c r="AV25" s="394">
        <f t="shared" si="40"/>
        <v>0</v>
      </c>
      <c r="AW25" s="137">
        <f t="shared" si="41"/>
        <v>0.61</v>
      </c>
      <c r="AX25" s="137">
        <f t="shared" si="42"/>
        <v>0.83</v>
      </c>
      <c r="AY25" s="137">
        <f t="shared" si="43"/>
        <v>0.83</v>
      </c>
      <c r="AZ25" s="137"/>
      <c r="BA25" s="264"/>
      <c r="BB25" s="258">
        <f t="shared" si="44"/>
        <v>0</v>
      </c>
      <c r="BC25" s="258">
        <f t="shared" si="45"/>
        <v>0</v>
      </c>
      <c r="BD25" s="137">
        <f t="shared" si="46"/>
        <v>0</v>
      </c>
      <c r="BE25" s="137">
        <f t="shared" si="46"/>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-0.79755625490496584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0.66046491926962048</v>
      </c>
      <c r="BP25" s="137"/>
      <c r="BQ25" s="137"/>
      <c r="BR25" s="137"/>
      <c r="BS25" s="137"/>
      <c r="BV25" s="262">
        <v>2.7557538274358717</v>
      </c>
      <c r="BW25" s="136">
        <v>2.9479999999999995</v>
      </c>
      <c r="BX25" s="137">
        <v>0.61</v>
      </c>
      <c r="BY25" s="137">
        <v>0.61</v>
      </c>
      <c r="BZ25" s="137">
        <v>0</v>
      </c>
      <c r="CA25" s="137">
        <v>1.9422640119623601E-2</v>
      </c>
      <c r="CB25" s="137">
        <v>0</v>
      </c>
      <c r="CC25" s="258">
        <v>-0.13</v>
      </c>
      <c r="CD25" s="258">
        <v>0</v>
      </c>
      <c r="CE25" s="258">
        <v>7.0000000000000007E-2</v>
      </c>
      <c r="CF25" s="258">
        <v>0.03</v>
      </c>
      <c r="CG25" s="258">
        <v>3.8E-3</v>
      </c>
      <c r="CH25" s="258">
        <v>0</v>
      </c>
      <c r="CI25" s="258">
        <v>2.8479999999999999</v>
      </c>
      <c r="CJ25" s="258"/>
      <c r="CK25" s="258"/>
      <c r="CL25" s="258"/>
      <c r="CM25" s="258"/>
    </row>
    <row r="26" spans="1:91" x14ac:dyDescent="0.25">
      <c r="A26" s="723"/>
      <c r="B26" s="723"/>
      <c r="D26" s="31">
        <f t="shared" si="47"/>
        <v>37361</v>
      </c>
      <c r="F26" s="28">
        <f t="shared" si="12"/>
        <v>20000</v>
      </c>
      <c r="G26" s="28">
        <f t="shared" si="13"/>
        <v>0</v>
      </c>
      <c r="H26" s="52">
        <f t="shared" si="14"/>
        <v>2.7557538274358717</v>
      </c>
      <c r="I26" s="52">
        <f t="shared" si="15"/>
        <v>2.9479999999999995</v>
      </c>
      <c r="K26" s="52">
        <f t="shared" si="16"/>
        <v>0</v>
      </c>
      <c r="L26" s="135">
        <f t="shared" si="17"/>
        <v>0</v>
      </c>
      <c r="N26" s="131">
        <f t="shared" si="48"/>
        <v>0.61</v>
      </c>
      <c r="O26" s="131">
        <f t="shared" si="49"/>
        <v>0.61</v>
      </c>
      <c r="P26" s="55">
        <f t="shared" si="18"/>
        <v>0</v>
      </c>
      <c r="Q26" s="135">
        <f>_xll.xSPRDOPT(I26,H26,AQ26,0,O26,N26,P26,D26-$G$5,1,0)*AH26*AU26</f>
        <v>0</v>
      </c>
      <c r="R26" s="135"/>
      <c r="S26" s="181">
        <f>_xll.xSPRDOPT(I26,H26,AQ26,AT26,O26,N26,P26,D26-$G$5,1,2)*AF26*(F26/(1-AR26))*AH26</f>
        <v>0</v>
      </c>
      <c r="T26" s="181">
        <f>_xll.xSPRDOPT(I26,H26,AQ26,AT26,O26,N26,P26,D26-$G$5,1,1)*AF26*F26*AH26</f>
        <v>0</v>
      </c>
      <c r="U26" s="135"/>
      <c r="V26" s="146">
        <f t="shared" si="19"/>
        <v>0</v>
      </c>
      <c r="W26" s="146"/>
      <c r="X26" s="338">
        <f t="shared" si="20"/>
        <v>0</v>
      </c>
      <c r="Y26" s="338">
        <f t="shared" si="21"/>
        <v>0</v>
      </c>
      <c r="Z26" s="338">
        <f t="shared" si="22"/>
        <v>0</v>
      </c>
      <c r="AA26" s="338">
        <f t="shared" si="23"/>
        <v>0</v>
      </c>
      <c r="AB26" s="338">
        <f t="shared" si="24"/>
        <v>0</v>
      </c>
      <c r="AC26" s="338">
        <f t="shared" si="25"/>
        <v>0</v>
      </c>
      <c r="AF26" s="138">
        <f t="shared" si="26"/>
        <v>0</v>
      </c>
      <c r="AG26" s="138">
        <f t="shared" si="27"/>
        <v>4</v>
      </c>
      <c r="AH26" s="138">
        <f t="shared" si="28"/>
        <v>0</v>
      </c>
      <c r="AI26" s="138">
        <f t="shared" si="50"/>
        <v>105</v>
      </c>
      <c r="AJ26" s="138">
        <f t="shared" si="29"/>
        <v>122</v>
      </c>
      <c r="AL26" s="136">
        <f t="shared" si="30"/>
        <v>2.8479999999999999</v>
      </c>
      <c r="AM26" s="258">
        <f t="shared" si="31"/>
        <v>-0.13</v>
      </c>
      <c r="AN26" s="258">
        <f t="shared" si="32"/>
        <v>0</v>
      </c>
      <c r="AO26" s="258">
        <f t="shared" si="33"/>
        <v>7.0000000000000007E-2</v>
      </c>
      <c r="AP26" s="258">
        <f t="shared" si="34"/>
        <v>0.03</v>
      </c>
      <c r="AQ26" s="136">
        <f t="shared" si="35"/>
        <v>3.8E-3</v>
      </c>
      <c r="AR26" s="137">
        <f t="shared" si="36"/>
        <v>1.37E-2</v>
      </c>
      <c r="AS26" s="136">
        <f t="shared" si="37"/>
        <v>2.718</v>
      </c>
      <c r="AT26" s="137">
        <f t="shared" si="38"/>
        <v>1.9422640119623601E-2</v>
      </c>
      <c r="AU26" s="137">
        <f t="shared" si="39"/>
        <v>0</v>
      </c>
      <c r="AV26" s="394">
        <f t="shared" si="40"/>
        <v>0</v>
      </c>
      <c r="AW26" s="137">
        <f t="shared" si="41"/>
        <v>0.61</v>
      </c>
      <c r="AX26" s="137">
        <f t="shared" si="42"/>
        <v>0.83</v>
      </c>
      <c r="AY26" s="137">
        <f t="shared" si="43"/>
        <v>0.83</v>
      </c>
      <c r="AZ26" s="137"/>
      <c r="BA26" s="264"/>
      <c r="BB26" s="258">
        <f t="shared" si="44"/>
        <v>0</v>
      </c>
      <c r="BC26" s="258">
        <f t="shared" si="45"/>
        <v>0</v>
      </c>
      <c r="BD26" s="137">
        <f t="shared" si="46"/>
        <v>0</v>
      </c>
      <c r="BE26" s="137">
        <f t="shared" si="46"/>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-0.79755625490496584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0.66046491926962048</v>
      </c>
      <c r="BP26" s="137"/>
      <c r="BQ26" s="137"/>
      <c r="BR26" s="137"/>
      <c r="BS26" s="137"/>
      <c r="BV26" s="262">
        <v>2.7557538274358717</v>
      </c>
      <c r="BW26" s="136">
        <v>2.9479999999999995</v>
      </c>
      <c r="BX26" s="137">
        <v>0.61</v>
      </c>
      <c r="BY26" s="137">
        <v>0.61</v>
      </c>
      <c r="BZ26" s="137">
        <v>0</v>
      </c>
      <c r="CA26" s="137">
        <v>1.9422640119623601E-2</v>
      </c>
      <c r="CB26" s="137">
        <v>0</v>
      </c>
      <c r="CC26" s="258">
        <v>-0.13</v>
      </c>
      <c r="CD26" s="258">
        <v>0</v>
      </c>
      <c r="CE26" s="258">
        <v>7.0000000000000007E-2</v>
      </c>
      <c r="CF26" s="258">
        <v>0.03</v>
      </c>
      <c r="CG26" s="258">
        <v>3.8E-3</v>
      </c>
      <c r="CH26" s="258">
        <v>0</v>
      </c>
      <c r="CI26" s="258">
        <v>2.8479999999999999</v>
      </c>
      <c r="CJ26" s="258"/>
      <c r="CK26" s="258"/>
      <c r="CL26" s="258"/>
      <c r="CM26" s="258"/>
    </row>
    <row r="27" spans="1:91" x14ac:dyDescent="0.25">
      <c r="A27" s="723"/>
      <c r="B27" s="723"/>
      <c r="D27" s="31">
        <f t="shared" si="47"/>
        <v>37361</v>
      </c>
      <c r="F27" s="28">
        <f t="shared" si="12"/>
        <v>20000</v>
      </c>
      <c r="G27" s="28">
        <f t="shared" si="13"/>
        <v>0</v>
      </c>
      <c r="H27" s="52">
        <f t="shared" si="14"/>
        <v>2.7557538274358717</v>
      </c>
      <c r="I27" s="52">
        <f t="shared" si="15"/>
        <v>2.9479999999999995</v>
      </c>
      <c r="K27" s="52">
        <f t="shared" si="16"/>
        <v>0</v>
      </c>
      <c r="L27" s="135">
        <f t="shared" si="17"/>
        <v>0</v>
      </c>
      <c r="N27" s="131">
        <f t="shared" si="48"/>
        <v>0.61</v>
      </c>
      <c r="O27" s="131">
        <f t="shared" si="49"/>
        <v>0.61</v>
      </c>
      <c r="P27" s="55">
        <f t="shared" si="18"/>
        <v>0</v>
      </c>
      <c r="Q27" s="135">
        <f>_xll.xSPRDOPT(I27,H27,AQ27,0,O27,N27,P27,D27-$G$5,1,0)*AH27*AU27</f>
        <v>0</v>
      </c>
      <c r="R27" s="135"/>
      <c r="S27" s="181">
        <f>_xll.xSPRDOPT(I27,H27,AQ27,AT27,O27,N27,P27,D27-$G$5,1,2)*AF27*(F27/(1-AR27))*AH27</f>
        <v>0</v>
      </c>
      <c r="T27" s="181">
        <f>_xll.xSPRDOPT(I27,H27,AQ27,AT27,O27,N27,P27,D27-$G$5,1,1)*AF27*F27*AH27</f>
        <v>0</v>
      </c>
      <c r="U27" s="135"/>
      <c r="V27" s="146">
        <f t="shared" si="19"/>
        <v>0</v>
      </c>
      <c r="W27" s="146"/>
      <c r="X27" s="338">
        <f t="shared" si="20"/>
        <v>0</v>
      </c>
      <c r="Y27" s="338">
        <f t="shared" si="21"/>
        <v>0</v>
      </c>
      <c r="Z27" s="338">
        <f t="shared" si="22"/>
        <v>0</v>
      </c>
      <c r="AA27" s="338">
        <f t="shared" si="23"/>
        <v>0</v>
      </c>
      <c r="AB27" s="338">
        <f t="shared" si="24"/>
        <v>0</v>
      </c>
      <c r="AC27" s="338">
        <f t="shared" si="25"/>
        <v>0</v>
      </c>
      <c r="AF27" s="138">
        <f t="shared" si="26"/>
        <v>0</v>
      </c>
      <c r="AG27" s="138">
        <f t="shared" si="27"/>
        <v>4</v>
      </c>
      <c r="AH27" s="138">
        <f t="shared" si="28"/>
        <v>0</v>
      </c>
      <c r="AI27" s="138">
        <f t="shared" si="50"/>
        <v>105</v>
      </c>
      <c r="AJ27" s="138">
        <f t="shared" si="29"/>
        <v>122</v>
      </c>
      <c r="AL27" s="136">
        <f t="shared" si="30"/>
        <v>2.8479999999999999</v>
      </c>
      <c r="AM27" s="258">
        <f t="shared" si="31"/>
        <v>-0.13</v>
      </c>
      <c r="AN27" s="258">
        <f t="shared" si="32"/>
        <v>0</v>
      </c>
      <c r="AO27" s="258">
        <f t="shared" si="33"/>
        <v>7.0000000000000007E-2</v>
      </c>
      <c r="AP27" s="258">
        <f t="shared" si="34"/>
        <v>0.03</v>
      </c>
      <c r="AQ27" s="136">
        <f t="shared" si="35"/>
        <v>3.8E-3</v>
      </c>
      <c r="AR27" s="137">
        <f t="shared" si="36"/>
        <v>1.37E-2</v>
      </c>
      <c r="AS27" s="136">
        <f t="shared" si="37"/>
        <v>2.718</v>
      </c>
      <c r="AT27" s="137">
        <f t="shared" si="38"/>
        <v>1.9422640119623601E-2</v>
      </c>
      <c r="AU27" s="137">
        <f t="shared" si="39"/>
        <v>0</v>
      </c>
      <c r="AV27" s="394">
        <f t="shared" si="40"/>
        <v>0</v>
      </c>
      <c r="AW27" s="137">
        <f t="shared" si="41"/>
        <v>0.61</v>
      </c>
      <c r="AX27" s="137">
        <f t="shared" si="42"/>
        <v>0.83</v>
      </c>
      <c r="AY27" s="137">
        <f t="shared" si="43"/>
        <v>0.83</v>
      </c>
      <c r="AZ27" s="137"/>
      <c r="BA27" s="264"/>
      <c r="BB27" s="258">
        <f t="shared" si="44"/>
        <v>0</v>
      </c>
      <c r="BC27" s="258">
        <f t="shared" si="45"/>
        <v>0</v>
      </c>
      <c r="BD27" s="137">
        <f t="shared" si="46"/>
        <v>0</v>
      </c>
      <c r="BE27" s="137">
        <f t="shared" si="46"/>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-0.79755625490496584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0.66046491926962048</v>
      </c>
      <c r="BP27" s="137"/>
      <c r="BQ27" s="137"/>
      <c r="BR27" s="137"/>
      <c r="BS27" s="137"/>
      <c r="BV27" s="262">
        <v>2.7557538274358717</v>
      </c>
      <c r="BW27" s="136">
        <v>2.9479999999999995</v>
      </c>
      <c r="BX27" s="137">
        <v>0.61</v>
      </c>
      <c r="BY27" s="137">
        <v>0.61</v>
      </c>
      <c r="BZ27" s="137">
        <v>0</v>
      </c>
      <c r="CA27" s="137">
        <v>1.9422640119623601E-2</v>
      </c>
      <c r="CB27" s="137">
        <v>0</v>
      </c>
      <c r="CC27" s="258">
        <v>-0.13</v>
      </c>
      <c r="CD27" s="258">
        <v>0</v>
      </c>
      <c r="CE27" s="258">
        <v>7.0000000000000007E-2</v>
      </c>
      <c r="CF27" s="258">
        <v>0.03</v>
      </c>
      <c r="CG27" s="258">
        <v>3.8E-3</v>
      </c>
      <c r="CH27" s="258">
        <v>0</v>
      </c>
      <c r="CI27" s="258">
        <v>2.8479999999999999</v>
      </c>
      <c r="CJ27" s="258"/>
      <c r="CK27" s="258"/>
      <c r="CL27" s="258"/>
      <c r="CM27" s="258"/>
    </row>
    <row r="28" spans="1:91" x14ac:dyDescent="0.25">
      <c r="A28" s="723"/>
      <c r="B28" s="723"/>
      <c r="D28" s="31">
        <f t="shared" si="47"/>
        <v>37361</v>
      </c>
      <c r="F28" s="28">
        <f t="shared" si="12"/>
        <v>20000</v>
      </c>
      <c r="G28" s="28">
        <f t="shared" si="13"/>
        <v>0</v>
      </c>
      <c r="H28" s="52">
        <f t="shared" si="14"/>
        <v>2.7557538274358717</v>
      </c>
      <c r="I28" s="52">
        <f t="shared" si="15"/>
        <v>2.9479999999999995</v>
      </c>
      <c r="K28" s="52">
        <f t="shared" si="16"/>
        <v>0</v>
      </c>
      <c r="L28" s="135">
        <f t="shared" si="17"/>
        <v>0</v>
      </c>
      <c r="N28" s="131">
        <f t="shared" si="48"/>
        <v>0.61</v>
      </c>
      <c r="O28" s="131">
        <f t="shared" si="49"/>
        <v>0.61</v>
      </c>
      <c r="P28" s="55">
        <f t="shared" si="18"/>
        <v>0</v>
      </c>
      <c r="Q28" s="135">
        <f>_xll.xSPRDOPT(I28,H28,AQ28,0,O28,N28,P28,D28-$G$5,1,0)*AH28*AU28</f>
        <v>0</v>
      </c>
      <c r="R28" s="135"/>
      <c r="S28" s="181">
        <f>_xll.xSPRDOPT(I28,H28,AQ28,AT28,O28,N28,P28,D28-$G$5,1,2)*AF28*(F28/(1-AR28))*AH28</f>
        <v>0</v>
      </c>
      <c r="T28" s="181">
        <f>_xll.xSPRDOPT(I28,H28,AQ28,AT28,O28,N28,P28,D28-$G$5,1,1)*AF28*F28*AH28</f>
        <v>0</v>
      </c>
      <c r="U28" s="135"/>
      <c r="V28" s="146">
        <f t="shared" si="19"/>
        <v>0</v>
      </c>
      <c r="W28" s="146"/>
      <c r="X28" s="338">
        <f t="shared" si="20"/>
        <v>0</v>
      </c>
      <c r="Y28" s="338">
        <f t="shared" si="21"/>
        <v>0</v>
      </c>
      <c r="Z28" s="338">
        <f t="shared" si="22"/>
        <v>0</v>
      </c>
      <c r="AA28" s="338">
        <f t="shared" si="23"/>
        <v>0</v>
      </c>
      <c r="AB28" s="338">
        <f t="shared" si="24"/>
        <v>0</v>
      </c>
      <c r="AC28" s="338">
        <f t="shared" si="25"/>
        <v>0</v>
      </c>
      <c r="AF28" s="138">
        <f t="shared" si="26"/>
        <v>0</v>
      </c>
      <c r="AG28" s="138">
        <f t="shared" si="27"/>
        <v>4</v>
      </c>
      <c r="AH28" s="138">
        <f t="shared" si="28"/>
        <v>0</v>
      </c>
      <c r="AI28" s="138">
        <f t="shared" si="50"/>
        <v>105</v>
      </c>
      <c r="AJ28" s="138">
        <f t="shared" si="29"/>
        <v>122</v>
      </c>
      <c r="AL28" s="136">
        <f t="shared" si="30"/>
        <v>2.8479999999999999</v>
      </c>
      <c r="AM28" s="258">
        <f t="shared" si="31"/>
        <v>-0.13</v>
      </c>
      <c r="AN28" s="258">
        <f t="shared" si="32"/>
        <v>0</v>
      </c>
      <c r="AO28" s="258">
        <f t="shared" si="33"/>
        <v>7.0000000000000007E-2</v>
      </c>
      <c r="AP28" s="258">
        <f t="shared" si="34"/>
        <v>0.03</v>
      </c>
      <c r="AQ28" s="136">
        <f t="shared" si="35"/>
        <v>3.8E-3</v>
      </c>
      <c r="AR28" s="137">
        <f t="shared" si="36"/>
        <v>1.37E-2</v>
      </c>
      <c r="AS28" s="136">
        <f t="shared" si="37"/>
        <v>2.718</v>
      </c>
      <c r="AT28" s="137">
        <f t="shared" si="38"/>
        <v>1.9422640119623601E-2</v>
      </c>
      <c r="AU28" s="137">
        <f t="shared" si="39"/>
        <v>0</v>
      </c>
      <c r="AV28" s="394">
        <f t="shared" si="40"/>
        <v>0</v>
      </c>
      <c r="AW28" s="137">
        <f t="shared" si="41"/>
        <v>0.61</v>
      </c>
      <c r="AX28" s="137">
        <f t="shared" si="42"/>
        <v>0.83</v>
      </c>
      <c r="AY28" s="137">
        <f t="shared" si="43"/>
        <v>0.83</v>
      </c>
      <c r="AZ28" s="137"/>
      <c r="BA28" s="264"/>
      <c r="BB28" s="258">
        <f t="shared" si="44"/>
        <v>0</v>
      </c>
      <c r="BC28" s="258">
        <f t="shared" si="45"/>
        <v>0</v>
      </c>
      <c r="BD28" s="137">
        <f t="shared" si="46"/>
        <v>0</v>
      </c>
      <c r="BE28" s="137">
        <f t="shared" si="46"/>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-0.79755625490496584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0.66046491926962048</v>
      </c>
      <c r="BP28" s="137"/>
      <c r="BQ28" s="137"/>
      <c r="BR28" s="137"/>
      <c r="BS28" s="137"/>
      <c r="BV28" s="262">
        <v>2.7557538274358717</v>
      </c>
      <c r="BW28" s="136">
        <v>2.9479999999999995</v>
      </c>
      <c r="BX28" s="137">
        <v>0.61</v>
      </c>
      <c r="BY28" s="137">
        <v>0.61</v>
      </c>
      <c r="BZ28" s="137">
        <v>0</v>
      </c>
      <c r="CA28" s="137">
        <v>1.9422640119623601E-2</v>
      </c>
      <c r="CB28" s="137">
        <v>0</v>
      </c>
      <c r="CC28" s="258">
        <v>-0.13</v>
      </c>
      <c r="CD28" s="258">
        <v>0</v>
      </c>
      <c r="CE28" s="258">
        <v>7.0000000000000007E-2</v>
      </c>
      <c r="CF28" s="258">
        <v>0.03</v>
      </c>
      <c r="CG28" s="258">
        <v>3.8E-3</v>
      </c>
      <c r="CH28" s="258">
        <v>0</v>
      </c>
      <c r="CI28" s="258">
        <v>2.8479999999999999</v>
      </c>
      <c r="CJ28" s="258"/>
      <c r="CK28" s="258"/>
      <c r="CL28" s="258"/>
      <c r="CM28" s="258"/>
    </row>
    <row r="29" spans="1:91" x14ac:dyDescent="0.25">
      <c r="A29" s="723"/>
      <c r="B29" s="723"/>
      <c r="K29" s="52"/>
      <c r="L29" s="135"/>
      <c r="N29" s="131"/>
      <c r="O29" s="131"/>
      <c r="P29" s="55"/>
      <c r="Q29" s="135"/>
      <c r="R29" s="135"/>
      <c r="U29" s="135"/>
      <c r="V29" s="146"/>
      <c r="W29" s="146"/>
      <c r="X29" s="338"/>
      <c r="Y29" s="338"/>
      <c r="Z29" s="338"/>
      <c r="AA29" s="338"/>
      <c r="AB29" s="338"/>
      <c r="AC29" s="338"/>
      <c r="AF29" s="138"/>
      <c r="AG29" s="138"/>
      <c r="AH29" s="138"/>
      <c r="AI29" s="138"/>
      <c r="AJ29" s="138"/>
      <c r="AM29" s="258"/>
      <c r="AN29" s="258"/>
      <c r="AO29" s="258"/>
      <c r="AP29" s="258"/>
      <c r="AR29" s="137"/>
      <c r="AT29" s="137"/>
      <c r="AV29" s="394"/>
      <c r="AW29" s="137"/>
      <c r="AX29" s="137"/>
      <c r="AY29" s="137"/>
      <c r="AZ29" s="137"/>
      <c r="BA29" s="264"/>
      <c r="BB29" s="258"/>
      <c r="BC29" s="258"/>
      <c r="BD29" s="137"/>
      <c r="BE29" s="137"/>
      <c r="BF29" s="137"/>
      <c r="BG29" s="137"/>
      <c r="BH29" s="137"/>
      <c r="BI29" s="137"/>
      <c r="BJ29" s="137"/>
      <c r="BK29" s="137"/>
      <c r="BL29" s="137"/>
      <c r="BM29" s="137"/>
      <c r="BN29" s="137"/>
      <c r="BO29" s="137"/>
      <c r="BP29" s="137"/>
      <c r="BQ29" s="137"/>
      <c r="BR29" s="137"/>
      <c r="BS29" s="137"/>
      <c r="BV29" s="262"/>
      <c r="BW29" s="136"/>
      <c r="BX29" s="137"/>
      <c r="BY29" s="137"/>
      <c r="BZ29" s="137"/>
      <c r="CA29" s="137"/>
      <c r="CB29" s="137"/>
      <c r="CC29" s="258"/>
      <c r="CD29" s="258"/>
      <c r="CE29" s="258"/>
      <c r="CF29" s="258"/>
      <c r="CG29" s="258"/>
      <c r="CH29" s="258"/>
      <c r="CI29" s="258"/>
      <c r="CJ29" s="258"/>
      <c r="CK29" s="258"/>
      <c r="CL29" s="258"/>
      <c r="CM29" s="258"/>
    </row>
    <row r="30" spans="1:91" x14ac:dyDescent="0.25">
      <c r="A30" s="723"/>
      <c r="B30" s="723"/>
      <c r="K30" s="52"/>
      <c r="L30" s="135"/>
      <c r="N30" s="131"/>
      <c r="O30" s="131"/>
      <c r="P30" s="55"/>
      <c r="Q30" s="135"/>
      <c r="R30" s="135"/>
      <c r="U30" s="135"/>
      <c r="V30" s="146"/>
      <c r="W30" s="146"/>
      <c r="X30" s="338"/>
      <c r="Y30" s="338"/>
      <c r="Z30" s="338"/>
      <c r="AA30" s="338"/>
      <c r="AB30" s="338"/>
      <c r="AC30" s="338"/>
      <c r="AF30" s="138"/>
      <c r="AG30" s="138"/>
      <c r="AH30" s="138"/>
      <c r="AI30" s="138"/>
      <c r="AJ30" s="138"/>
      <c r="AM30" s="258"/>
      <c r="AN30" s="258"/>
      <c r="AO30" s="258"/>
      <c r="AP30" s="258"/>
      <c r="AR30" s="137"/>
      <c r="AT30" s="137"/>
      <c r="AV30" s="394"/>
      <c r="AW30" s="137"/>
      <c r="AX30" s="137"/>
      <c r="AY30" s="137"/>
      <c r="AZ30" s="137"/>
      <c r="BA30" s="264"/>
      <c r="BB30" s="258"/>
      <c r="BC30" s="258"/>
      <c r="BD30" s="137"/>
      <c r="BE30" s="137"/>
      <c r="BF30" s="137"/>
      <c r="BG30" s="137"/>
      <c r="BH30" s="137"/>
      <c r="BI30" s="137"/>
      <c r="BJ30" s="137"/>
      <c r="BK30" s="137"/>
      <c r="BL30" s="137"/>
      <c r="BM30" s="137"/>
      <c r="BN30" s="137"/>
      <c r="BO30" s="137"/>
      <c r="BP30" s="137"/>
      <c r="BQ30" s="137"/>
      <c r="BR30" s="137"/>
      <c r="BS30" s="137"/>
      <c r="BV30" s="262"/>
      <c r="BW30" s="136"/>
      <c r="BX30" s="137"/>
      <c r="BY30" s="137"/>
      <c r="BZ30" s="137"/>
      <c r="CA30" s="137"/>
      <c r="CB30" s="137"/>
      <c r="CC30" s="258"/>
      <c r="CD30" s="258"/>
      <c r="CE30" s="258"/>
      <c r="CF30" s="258"/>
      <c r="CG30" s="258"/>
      <c r="CH30" s="258"/>
      <c r="CI30" s="258"/>
      <c r="CJ30" s="258"/>
      <c r="CK30" s="258"/>
      <c r="CL30" s="258"/>
      <c r="CM30" s="258"/>
    </row>
    <row r="31" spans="1:91" x14ac:dyDescent="0.25">
      <c r="A31" s="723"/>
      <c r="B31" s="723"/>
      <c r="K31" s="52"/>
      <c r="L31" s="135"/>
      <c r="N31" s="131"/>
      <c r="O31" s="131"/>
      <c r="P31" s="55"/>
      <c r="Q31" s="135"/>
      <c r="R31" s="135"/>
      <c r="U31" s="135"/>
      <c r="V31" s="146"/>
      <c r="W31" s="146"/>
      <c r="X31" s="338"/>
      <c r="Y31" s="338"/>
      <c r="Z31" s="338"/>
      <c r="AA31" s="338"/>
      <c r="AB31" s="338"/>
      <c r="AC31" s="338"/>
      <c r="AF31" s="138"/>
      <c r="AG31" s="138"/>
      <c r="AH31" s="138"/>
      <c r="AI31" s="138"/>
      <c r="AJ31" s="138"/>
      <c r="AM31" s="258"/>
      <c r="AN31" s="258"/>
      <c r="AO31" s="258"/>
      <c r="AP31" s="258"/>
      <c r="AR31" s="137"/>
      <c r="AT31" s="137"/>
      <c r="AV31" s="394"/>
      <c r="AW31" s="137"/>
      <c r="AX31" s="137"/>
      <c r="AY31" s="137"/>
      <c r="AZ31" s="137"/>
      <c r="BA31" s="264"/>
      <c r="BB31" s="258"/>
      <c r="BC31" s="258"/>
      <c r="BD31" s="137"/>
      <c r="BE31" s="137"/>
      <c r="BF31" s="137"/>
      <c r="BG31" s="137"/>
      <c r="BH31" s="137"/>
      <c r="BI31" s="137"/>
      <c r="BJ31" s="137"/>
      <c r="BK31" s="137"/>
      <c r="BL31" s="137"/>
      <c r="BM31" s="137"/>
      <c r="BN31" s="137"/>
      <c r="BO31" s="137"/>
      <c r="BP31" s="137"/>
      <c r="BQ31" s="137"/>
      <c r="BR31" s="137"/>
      <c r="BS31" s="137"/>
      <c r="BV31" s="262"/>
      <c r="BW31" s="136"/>
      <c r="BX31" s="137"/>
      <c r="BY31" s="137"/>
      <c r="BZ31" s="137"/>
      <c r="CA31" s="137"/>
      <c r="CB31" s="137"/>
      <c r="CC31" s="258"/>
      <c r="CD31" s="258"/>
      <c r="CE31" s="258"/>
      <c r="CF31" s="258"/>
      <c r="CG31" s="258"/>
      <c r="CH31" s="258"/>
      <c r="CI31" s="258"/>
      <c r="CJ31" s="258"/>
      <c r="CK31" s="258"/>
      <c r="CL31" s="258"/>
      <c r="CM31" s="258"/>
    </row>
    <row r="32" spans="1:91" x14ac:dyDescent="0.25">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5">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5">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5">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5">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5">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5">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5">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5">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5">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5">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5">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5">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5">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5">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5">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5">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5">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5">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5">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5">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5">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5">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5">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5">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5">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5">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5">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5">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5">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5">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5">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5">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5">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5">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5">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5">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5">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5">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5">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5">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5">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5">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5">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5">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5">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5">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5">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5">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5">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5">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5">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5">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5">
      <c r="A85" s="723"/>
      <c r="B85" s="723"/>
    </row>
    <row r="86" spans="1:91" x14ac:dyDescent="0.25">
      <c r="A86" s="723"/>
      <c r="B86" s="723"/>
    </row>
    <row r="87" spans="1:91" x14ac:dyDescent="0.25">
      <c r="A87" s="723"/>
      <c r="B87" s="723"/>
    </row>
  </sheetData>
  <sheetCalcPr fullCalcOnLoad="1"/>
  <mergeCells count="91">
    <mergeCell ref="A81:B81"/>
    <mergeCell ref="A86:B86"/>
    <mergeCell ref="A87:B87"/>
    <mergeCell ref="A82:B82"/>
    <mergeCell ref="A83:B83"/>
    <mergeCell ref="A84:B84"/>
    <mergeCell ref="A85:B85"/>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8:B28"/>
    <mergeCell ref="A27:B27"/>
    <mergeCell ref="A29:B29"/>
    <mergeCell ref="A30:B30"/>
    <mergeCell ref="A31:B31"/>
    <mergeCell ref="A32:B32"/>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005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3005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pageSetUpPr autoPageBreaks="0"/>
  </sheetPr>
  <dimension ref="A1:CX99"/>
  <sheetViews>
    <sheetView zoomScale="80" workbookViewId="0">
      <pane xSplit="5" ySplit="21" topLeftCell="BG22" activePane="bottomRight" state="frozen"/>
      <selection activeCell="T23" sqref="T23"/>
      <selection pane="topRight" activeCell="T23" sqref="T23"/>
      <selection pane="bottomLeft" activeCell="T23" sqref="T23"/>
      <selection pane="bottomRight" activeCell="CI21" sqref="CI21:CI99"/>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1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LongTerm62</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62</v>
      </c>
      <c r="F2" s="178" t="str">
        <f>GetRcptPoint($AH$12,$AH$13)</f>
        <v>Parkway</v>
      </c>
      <c r="G2" s="179" t="str">
        <f>GetDelPoint($AH$12,$AH$13)</f>
        <v>Niagara</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$F$99</v>
      </c>
      <c r="AX2" s="339" t="str">
        <f>ADDRESS(ROW($G$22),COLUMN($G$22))</f>
        <v>$G$22</v>
      </c>
      <c r="AY2" s="138" t="str">
        <f ca="1">GetEnd($AV$1,AX2)</f>
        <v>$G$99</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26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$AF$99</v>
      </c>
      <c r="AX3" s="339" t="str">
        <f>ADDRESS(ROW($AH$22),COLUMN($AH$22))</f>
        <v>$AH$22</v>
      </c>
      <c r="AY3" s="138" t="str">
        <f ca="1">GetEnd($AV$1,AX3)</f>
        <v>$AH$99</v>
      </c>
    </row>
    <row r="4" spans="1:102" x14ac:dyDescent="0.25">
      <c r="A4" s="269" t="str">
        <f>ADDRESS(ROW($S$22),COLUMN($S$22))</f>
        <v>$S$22</v>
      </c>
      <c r="L4" s="721" t="s">
        <v>201</v>
      </c>
      <c r="M4" s="722"/>
      <c r="N4" s="352">
        <f ca="1">SUMPRODUCT(INDIRECT(CONCATENATE(AV4,":",AW4)),INDIRECT(CONCATENATE($AV$2,":",$AW$2)),INDIRECT(CONCATENATE($AV$3,":",$AW$3)))</f>
        <v>366726.84205049096</v>
      </c>
      <c r="O4" s="352">
        <v>367415.41</v>
      </c>
      <c r="P4" s="354">
        <f ca="1">N4-O4</f>
        <v>-688.56794950901531</v>
      </c>
      <c r="S4" s="427" t="s">
        <v>635</v>
      </c>
      <c r="T4" s="422">
        <f ca="1">SUMPRODUCT(INDIRECT(CONCATENATE(V4,":",W4)),INDIRECT(CONCATENATE(AV2,":",AW2)),INDIRECT(CONCATENATE(AV3,":",AW3)))</f>
        <v>38825.119915576579</v>
      </c>
      <c r="V4" s="30" t="str">
        <f>ADDRESS(ROW(K22),COLUMN(K22))</f>
        <v>$K$22</v>
      </c>
      <c r="W4" s="30" t="str">
        <f ca="1">GetEnd($AV$1,V4)</f>
        <v>$K$99</v>
      </c>
      <c r="AF4" s="28"/>
      <c r="AG4" s="103" t="s">
        <v>32</v>
      </c>
      <c r="AH4" s="104">
        <f>GetRcptIndexCol($AH$12,$AH$13)</f>
        <v>27</v>
      </c>
      <c r="AI4" s="29"/>
      <c r="AJ4" s="103" t="s">
        <v>72</v>
      </c>
      <c r="AK4" s="104">
        <f>GetNymexCol(AK3)</f>
        <v>3</v>
      </c>
      <c r="AL4" s="34">
        <v>1</v>
      </c>
      <c r="AM4" s="45">
        <f t="shared" ref="AM4:AM15" si="0">GetVolume($AH$12,$AH$13,AT4)</f>
        <v>9189</v>
      </c>
      <c r="AN4" s="46">
        <f t="shared" ref="AN4:AN15" si="1">GetCommodity($AH$12,$AH$13,AT4)</f>
        <v>0</v>
      </c>
      <c r="AO4" s="47">
        <f t="shared" ref="AO4:AO15" si="2">GetFuelRate($AH$12,$AH$13,AT4)</f>
        <v>0</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$Q$99</v>
      </c>
      <c r="AX4" s="339" t="str">
        <f>ADDRESS(ROW($K$22),COLUMN($K$22))</f>
        <v>$K$22</v>
      </c>
      <c r="AY4" s="138" t="str">
        <f ca="1">GetEnd($AV$1,AX4)</f>
        <v>$K$99</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327901.72213491442</v>
      </c>
      <c r="V5" s="30" t="str">
        <f>ADDRESS(ROW(L22),COLUMN(L22))</f>
        <v>$L$22</v>
      </c>
      <c r="W5" s="30" t="str">
        <f ca="1">GetEnd($AV$1,V5)</f>
        <v>$L$99</v>
      </c>
      <c r="AF5" s="28"/>
      <c r="AG5" s="103" t="s">
        <v>33</v>
      </c>
      <c r="AH5" s="104">
        <f>GetDelBasisCol($AH$12,$AH$13)</f>
        <v>24</v>
      </c>
      <c r="AI5" s="29"/>
      <c r="AJ5" s="103" t="s">
        <v>77</v>
      </c>
      <c r="AK5" s="104" t="str">
        <f>LiborCurve</f>
        <v>Libor AA</v>
      </c>
      <c r="AL5" s="34">
        <v>2</v>
      </c>
      <c r="AM5" s="37">
        <f t="shared" si="0"/>
        <v>9189</v>
      </c>
      <c r="AN5" s="38">
        <f t="shared" si="1"/>
        <v>0</v>
      </c>
      <c r="AO5" s="39">
        <f t="shared" si="2"/>
        <v>0</v>
      </c>
      <c r="AP5" s="38">
        <f t="shared" si="3"/>
        <v>0</v>
      </c>
      <c r="AQ5" s="38">
        <f t="shared" si="4"/>
        <v>0</v>
      </c>
      <c r="AR5" s="133">
        <f t="shared" si="5"/>
        <v>0</v>
      </c>
      <c r="AS5" s="40">
        <f t="shared" si="6"/>
        <v>0</v>
      </c>
      <c r="AT5" s="35">
        <f t="shared" si="7"/>
        <v>1</v>
      </c>
      <c r="AV5" s="339" t="str">
        <f>ADDRESS(ROW($V$22),COLUMN($V$22))</f>
        <v>$V$22</v>
      </c>
      <c r="AW5" s="138" t="str">
        <f ca="1">GetEnd($AV$1,AV5)</f>
        <v>$V$99</v>
      </c>
      <c r="AX5" s="339" t="str">
        <f>ADDRESS(ROW($L$22),COLUMN($L$22))</f>
        <v>$L$22</v>
      </c>
      <c r="AY5" s="138" t="str">
        <f ca="1">GetEnd($AV$1,AX5)</f>
        <v>$L$99</v>
      </c>
      <c r="BV5" s="266">
        <f>O2</f>
        <v>37239</v>
      </c>
    </row>
    <row r="6" spans="1:102" x14ac:dyDescent="0.25">
      <c r="A6" s="269" t="str">
        <f>ADDRESS(ROW($BW$2),COLUMN($BW$2))</f>
        <v>$BW$2</v>
      </c>
      <c r="F6" s="187"/>
      <c r="G6" s="187"/>
      <c r="L6" s="704" t="s">
        <v>149</v>
      </c>
      <c r="M6" s="705"/>
      <c r="N6" s="356">
        <f ca="1">N4-N5</f>
        <v>366726.84205049096</v>
      </c>
      <c r="O6" s="357">
        <v>367415.41</v>
      </c>
      <c r="P6" s="358">
        <f ca="1">N6-O6</f>
        <v>-688.56794950901531</v>
      </c>
      <c r="S6" s="428" t="s">
        <v>637</v>
      </c>
      <c r="T6" s="424">
        <f ca="1">SUMPRODUCT(INDIRECT(CONCATENATE(V6,":",W6)),INDIRECT(CONCATENATE(AV3,":",AW3)),INDIRECT(CONCATENATE(AX3,":",AY3)))</f>
        <v>7872853.8914523711</v>
      </c>
      <c r="V6" s="30" t="str">
        <f>ADDRESS(ROW(G22),COLUMN(G22))</f>
        <v>$G$22</v>
      </c>
      <c r="W6" s="30" t="str">
        <f ca="1">GetEnd($AV$1,V6)</f>
        <v>$G$99</v>
      </c>
      <c r="AF6" s="28"/>
      <c r="AG6" s="103" t="s">
        <v>34</v>
      </c>
      <c r="AH6" s="104">
        <f>GetDelIndexCol($AH$12,$AH$13)</f>
        <v>25</v>
      </c>
      <c r="AI6" s="29"/>
      <c r="AJ6" s="103" t="s">
        <v>79</v>
      </c>
      <c r="AK6" s="104">
        <f>GetLiborCol(AK5)</f>
        <v>4</v>
      </c>
      <c r="AL6" s="34">
        <v>3</v>
      </c>
      <c r="AM6" s="37">
        <f t="shared" si="0"/>
        <v>9189</v>
      </c>
      <c r="AN6" s="38">
        <f t="shared" si="1"/>
        <v>0</v>
      </c>
      <c r="AO6" s="39">
        <f t="shared" si="2"/>
        <v>0</v>
      </c>
      <c r="AP6" s="38">
        <f t="shared" si="3"/>
        <v>0</v>
      </c>
      <c r="AQ6" s="38">
        <f t="shared" si="4"/>
        <v>0</v>
      </c>
      <c r="AR6" s="133">
        <f t="shared" si="5"/>
        <v>0</v>
      </c>
      <c r="AS6" s="40">
        <f t="shared" si="6"/>
        <v>0</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0</v>
      </c>
      <c r="P7" s="355">
        <f ca="1">N7</f>
        <v>0</v>
      </c>
      <c r="S7" s="428" t="s">
        <v>638</v>
      </c>
      <c r="T7" s="425">
        <f ca="1">T5/T6</f>
        <v>4.1649664360076631E-2</v>
      </c>
      <c r="AF7" s="28"/>
      <c r="AG7" s="103" t="s">
        <v>76</v>
      </c>
      <c r="AH7" s="104">
        <f>GetRcptOmicronCol($AH$12,$AH$13)</f>
        <v>16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$AL$99</v>
      </c>
      <c r="AX7" s="339" t="str">
        <f>ADDRESS(ROW($AV$22),COLUMN($AV$22))</f>
        <v>$AV$22</v>
      </c>
      <c r="AY7" s="138" t="str">
        <f t="shared" ref="AY7:AY13" ca="1" si="9">GetEnd($AV$1,AX7)</f>
        <v>$AV$99</v>
      </c>
    </row>
    <row r="8" spans="1:102" x14ac:dyDescent="0.25">
      <c r="A8" s="270" t="s">
        <v>224</v>
      </c>
      <c r="F8" s="186" t="s">
        <v>26</v>
      </c>
      <c r="G8" s="190">
        <f>GetMonthEnd($AH$12,$AH$13)</f>
        <v>39538</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0.99893838715695915</v>
      </c>
      <c r="V8" s="30" t="str">
        <f>ADDRESS(ROW(P22),COLUMN(P22))</f>
        <v>$P$22</v>
      </c>
      <c r="W8" s="30" t="str">
        <f ca="1">GetEnd($AV$1,V8)</f>
        <v>$P$99</v>
      </c>
      <c r="Y8" s="334">
        <f ca="1">SUMIF(INDIRECT(CONCATENATE(V8,":",W8)),"&gt;0",INDIRECT(CONCATENATE(V8,":",W8)))</f>
        <v>74.920379036771934</v>
      </c>
      <c r="Z8" s="334">
        <f ca="1">COUNTIF(INDIRECT(CONCATENATE(V8,":",W8)),"&gt;0")</f>
        <v>75</v>
      </c>
      <c r="AF8" s="28"/>
      <c r="AG8" s="103" t="s">
        <v>75</v>
      </c>
      <c r="AH8" s="105">
        <f>GetDelOmicronCol($AH$12,$AH$13)</f>
        <v>16</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$AM$99</v>
      </c>
      <c r="AX8" s="339" t="str">
        <f>ADDRESS(ROW($AO$22),COLUMN($AO$22))</f>
        <v>$AO$22</v>
      </c>
      <c r="AY8" s="138" t="str">
        <f t="shared" ca="1" si="9"/>
        <v>$AO$99</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61</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$AN$99</v>
      </c>
      <c r="AX9" s="339" t="str">
        <f>ADDRESS(ROW($AP$22),COLUMN($AP$22))</f>
        <v>$AP$22</v>
      </c>
      <c r="AY9" s="138" t="str">
        <f t="shared" ca="1" si="9"/>
        <v>$AP$99</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0</v>
      </c>
      <c r="O10" s="352">
        <v>0</v>
      </c>
      <c r="P10" s="355">
        <f t="shared" ref="P10:P19" ca="1" si="10">N10-O10</f>
        <v>0</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$AS$99</v>
      </c>
      <c r="AX10" s="339" t="str">
        <f>ADDRESS(ROW($CC$22),COLUMN($CC$22))</f>
        <v>$CC$22</v>
      </c>
      <c r="AY10" s="138" t="str">
        <f t="shared" ca="1" si="9"/>
        <v>$CC$99</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10"/>
        <v>0</v>
      </c>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$AQ$99</v>
      </c>
      <c r="AX11" s="339" t="str">
        <f>ADDRESS(ROW($CD$22),COLUMN($CD$22))</f>
        <v>$CD$22</v>
      </c>
      <c r="AY11" s="138" t="str">
        <f t="shared" ca="1" si="9"/>
        <v>$CD$99</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3744.53</v>
      </c>
      <c r="P12" s="355">
        <f t="shared" ca="1" si="10"/>
        <v>-3744.53</v>
      </c>
      <c r="AG12" s="248" t="s">
        <v>185</v>
      </c>
      <c r="AH12" s="119" t="str">
        <f>GetDBPage($D$2)</f>
        <v>Contract DB (Ontario)</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$X$99</v>
      </c>
      <c r="AX12" s="339" t="str">
        <f>ADDRESS(ROW($CE$22),COLUMN($CE$22))</f>
        <v>$CE$22</v>
      </c>
      <c r="AY12" s="138" t="str">
        <f t="shared" ca="1" si="9"/>
        <v>$CE$99</v>
      </c>
    </row>
    <row r="13" spans="1:102" x14ac:dyDescent="0.25">
      <c r="A13" s="270" t="s">
        <v>224</v>
      </c>
      <c r="D13" s="170"/>
      <c r="E13" s="171"/>
      <c r="F13" s="172"/>
      <c r="G13" s="172"/>
      <c r="H13" s="173"/>
      <c r="L13" s="706" t="s">
        <v>155</v>
      </c>
      <c r="M13" s="707"/>
      <c r="N13" s="352">
        <f t="shared" ca="1" si="11"/>
        <v>0</v>
      </c>
      <c r="O13" s="352">
        <v>0.27</v>
      </c>
      <c r="P13" s="355">
        <f t="shared" ca="1" si="10"/>
        <v>-0.27</v>
      </c>
      <c r="AG13" s="248" t="s">
        <v>186</v>
      </c>
      <c r="AH13" s="119">
        <f>GetRecNdx($AH$12,$D$2)</f>
        <v>1</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$Y$99</v>
      </c>
      <c r="AX13" s="339" t="str">
        <f>ADDRESS(ROW($CF$22),COLUMN($CF$22))</f>
        <v>$CF$22</v>
      </c>
      <c r="AY13" s="138" t="str">
        <f t="shared" ca="1" si="9"/>
        <v>$CF$99</v>
      </c>
    </row>
    <row r="14" spans="1:102" x14ac:dyDescent="0.25">
      <c r="A14" s="270" t="s">
        <v>224</v>
      </c>
      <c r="D14" s="170"/>
      <c r="E14" s="171"/>
      <c r="F14" s="172"/>
      <c r="G14" s="172"/>
      <c r="H14" s="173"/>
      <c r="K14" s="185"/>
      <c r="L14" s="706" t="s">
        <v>156</v>
      </c>
      <c r="M14" s="707"/>
      <c r="N14" s="352">
        <f t="shared" ca="1" si="11"/>
        <v>-1648.2244194018217</v>
      </c>
      <c r="O14" s="352">
        <v>-531.29</v>
      </c>
      <c r="P14" s="355">
        <f t="shared" ca="1" si="10"/>
        <v>-1116.9344194018217</v>
      </c>
      <c r="S14" s="181">
        <f>F22/(1-AR22)*AH22*AU22</f>
        <v>284436.86073543987</v>
      </c>
      <c r="T14" s="181">
        <f>F22*AH22*AU22</f>
        <v>284436.86073543987</v>
      </c>
      <c r="AL14" s="34">
        <v>11</v>
      </c>
      <c r="AM14" s="37">
        <f t="shared" si="0"/>
        <v>9189</v>
      </c>
      <c r="AN14" s="38">
        <f t="shared" si="1"/>
        <v>0</v>
      </c>
      <c r="AO14" s="39">
        <f t="shared" si="2"/>
        <v>0</v>
      </c>
      <c r="AP14" s="38">
        <f t="shared" si="3"/>
        <v>0</v>
      </c>
      <c r="AQ14" s="38">
        <f t="shared" si="4"/>
        <v>0</v>
      </c>
      <c r="AR14" s="133">
        <f t="shared" si="5"/>
        <v>0</v>
      </c>
      <c r="AS14" s="40">
        <f t="shared" si="6"/>
        <v>0</v>
      </c>
      <c r="AT14" s="35">
        <f t="shared" si="7"/>
        <v>1</v>
      </c>
      <c r="AU14" s="361" t="s">
        <v>156</v>
      </c>
      <c r="AV14" s="339" t="str">
        <f>ADDRESS(ROW($Z$22),COLUMN($Z$22))</f>
        <v>$Z$22</v>
      </c>
      <c r="AW14" s="138" t="str">
        <f t="shared" ca="1" si="8"/>
        <v>$Z$99</v>
      </c>
      <c r="AX14" s="353" t="str">
        <f ca="1">CONCATENATE(AX8,":",AY8)</f>
        <v>$AO$22:$AO$99</v>
      </c>
      <c r="AY14" s="353" t="str">
        <f ca="1">CONCATENATE(AX10,":",AY10)</f>
        <v>$CC$22:$CC$99</v>
      </c>
    </row>
    <row r="15" spans="1:102" ht="13.8" thickBot="1" x14ac:dyDescent="0.3">
      <c r="A15" s="270" t="s">
        <v>224</v>
      </c>
      <c r="D15" s="170"/>
      <c r="E15" s="171"/>
      <c r="F15" s="172"/>
      <c r="G15" s="172"/>
      <c r="H15" s="173"/>
      <c r="L15" s="706" t="s">
        <v>157</v>
      </c>
      <c r="M15" s="707"/>
      <c r="N15" s="352">
        <f t="shared" ca="1" si="11"/>
        <v>289.6755684527572</v>
      </c>
      <c r="O15" s="352">
        <v>1444.99</v>
      </c>
      <c r="P15" s="355">
        <f t="shared" ca="1" si="10"/>
        <v>-1155.3144315472427</v>
      </c>
      <c r="AL15" s="34">
        <v>12</v>
      </c>
      <c r="AM15" s="41">
        <f t="shared" si="0"/>
        <v>9189</v>
      </c>
      <c r="AN15" s="42">
        <f t="shared" si="1"/>
        <v>0</v>
      </c>
      <c r="AO15" s="43">
        <f t="shared" si="2"/>
        <v>0</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$AA$99</v>
      </c>
      <c r="AX15" s="353" t="str">
        <f ca="1">CONCATENATE(AV8,":",AW8)</f>
        <v>$AM$22:$AM$99</v>
      </c>
      <c r="AY15" s="353" t="str">
        <f ca="1">CONCATENATE(AX11,":",AY11)</f>
        <v>$CD$22:$CD$99</v>
      </c>
    </row>
    <row r="16" spans="1:102" x14ac:dyDescent="0.25">
      <c r="D16" s="174"/>
      <c r="E16" s="175"/>
      <c r="F16" s="176"/>
      <c r="G16" s="176"/>
      <c r="H16" s="177"/>
      <c r="L16" s="706" t="s">
        <v>158</v>
      </c>
      <c r="M16" s="707"/>
      <c r="N16" s="352">
        <f t="shared" ca="1" si="11"/>
        <v>0</v>
      </c>
      <c r="O16" s="352">
        <v>-1354.87</v>
      </c>
      <c r="P16" s="355">
        <f t="shared" ca="1" si="10"/>
        <v>1354.87</v>
      </c>
      <c r="AU16" s="361" t="s">
        <v>158</v>
      </c>
      <c r="AV16" s="339" t="str">
        <f>ADDRESS(ROW($AB$22),COLUMN($AB$22))</f>
        <v>$AB$22</v>
      </c>
      <c r="AW16" s="138" t="str">
        <f t="shared" ca="1" si="8"/>
        <v>$AB$99</v>
      </c>
      <c r="AX16" s="353" t="str">
        <f ca="1">CONCATENATE(AX9,":",AY9)</f>
        <v>$AP$22:$AP$99</v>
      </c>
      <c r="AY16" s="353" t="str">
        <f ca="1">CONCATENATE(AX12,":",AY12)</f>
        <v>$CE$22:$CE$99</v>
      </c>
    </row>
    <row r="17" spans="1:91" x14ac:dyDescent="0.25">
      <c r="D17" s="171"/>
      <c r="E17" s="171"/>
      <c r="F17" s="172"/>
      <c r="G17" s="172"/>
      <c r="H17" s="172"/>
      <c r="L17" s="704" t="s">
        <v>211</v>
      </c>
      <c r="M17" s="705"/>
      <c r="N17" s="356">
        <f t="shared" ca="1" si="11"/>
        <v>119.67948873163517</v>
      </c>
      <c r="O17" s="357">
        <v>38.86</v>
      </c>
      <c r="P17" s="358">
        <f t="shared" ca="1" si="10"/>
        <v>80.819488731635175</v>
      </c>
      <c r="AU17" s="361" t="s">
        <v>211</v>
      </c>
      <c r="AV17" s="339" t="str">
        <f>ADDRESS(ROW($AC$22),COLUMN($AC$22))</f>
        <v>$AC$22</v>
      </c>
      <c r="AW17" s="138" t="str">
        <f t="shared" ca="1" si="8"/>
        <v>$AC$99</v>
      </c>
      <c r="AX17" s="353" t="str">
        <f ca="1">CONCATENATE(AV9,":",AW9)</f>
        <v>$AN$22:$AN$99</v>
      </c>
      <c r="AY17" s="353" t="str">
        <f ca="1">CONCATENATE(AX13,":",AY13)</f>
        <v>$CF$22:$CF$99</v>
      </c>
    </row>
    <row r="18" spans="1:91" x14ac:dyDescent="0.25">
      <c r="D18" s="171"/>
      <c r="E18" s="171"/>
      <c r="F18" s="172"/>
      <c r="G18" s="172"/>
      <c r="H18" s="172"/>
      <c r="L18" s="706" t="s">
        <v>623</v>
      </c>
      <c r="M18" s="707"/>
      <c r="N18" s="352">
        <f ca="1">SUMPRODUCT(INDIRECT(CONCATENATE(AX4,":",AY4)),INDIRECT(CONCATENATE($AV$2,":",$AW$2)),INDIRECT(CONCATENATE($AV$3,":",$AW$3)))</f>
        <v>38825.119915576579</v>
      </c>
      <c r="O18" s="352">
        <v>38816.57</v>
      </c>
      <c r="P18" s="355">
        <f t="shared" ca="1" si="10"/>
        <v>8.5499155765792239</v>
      </c>
      <c r="AU18" s="361"/>
      <c r="AV18" s="339"/>
      <c r="AW18" s="138"/>
      <c r="AX18" s="339" t="str">
        <f>ADDRESS(ROW($CI$22),COLUMN($CI$22))</f>
        <v>$CI$22</v>
      </c>
      <c r="AY18" s="138" t="str">
        <f ca="1">GetEnd($AV$1,AX18)</f>
        <v>$CI$99</v>
      </c>
    </row>
    <row r="19" spans="1:91" x14ac:dyDescent="0.25">
      <c r="D19" s="171"/>
      <c r="E19" s="171"/>
      <c r="F19" s="172"/>
      <c r="G19" s="172"/>
      <c r="H19" s="172"/>
      <c r="L19" s="724" t="s">
        <v>624</v>
      </c>
      <c r="M19" s="725"/>
      <c r="N19" s="359">
        <f ca="1">SUMPRODUCT(INDIRECT(CONCATENATE(AX5,":",AY5)),INDIRECT(CONCATENATE($AV$2,":",$AW$2)),INDIRECT(CONCATENATE($AV$3,":",$AW$3)))</f>
        <v>327901.72213491442</v>
      </c>
      <c r="O19" s="359">
        <v>328598.84000000003</v>
      </c>
      <c r="P19" s="360">
        <f t="shared" ca="1" si="10"/>
        <v>-697.11786508560181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CGPR-PARKWAY Basis Mid</v>
      </c>
      <c r="T20" s="182" t="str">
        <f>GetDelBasis($AH$12,$AH$13)</f>
        <v>CGPR-NIAGARA Basis Mid</v>
      </c>
      <c r="U20" s="158"/>
      <c r="V20" s="158"/>
      <c r="W20" s="158"/>
      <c r="X20" s="158"/>
      <c r="Y20" s="335"/>
      <c r="Z20" s="335"/>
      <c r="AA20" s="335"/>
      <c r="AB20" s="335"/>
      <c r="AC20" s="335"/>
      <c r="AI20" s="138"/>
      <c r="AM20" s="702" t="str">
        <f>GetRcptPoint($AH$12,$AH$13)</f>
        <v>Parkway</v>
      </c>
      <c r="AN20" s="703"/>
      <c r="AO20" s="702" t="str">
        <f>GetDelPoint($AH$12,$AH$13)</f>
        <v>Niagara</v>
      </c>
      <c r="AP20" s="703"/>
      <c r="AQ20" s="137"/>
      <c r="AS20" s="137"/>
      <c r="AU20" s="136" t="s">
        <v>576</v>
      </c>
      <c r="AV20" s="353">
        <f ca="1">SUMPRODUCT(INDIRECT(CONCATENATE(AV8,":",AW8)),INDIRECT(CONCATENATE($AV$2,":",$AW$2)),INDIRECT(CONCATENATE($AV$3,":",$AW$3)),INDIRECT(CONCATENATE(AX3,":",AY3)))</f>
        <v>3296967.254999999</v>
      </c>
      <c r="AW20" s="353">
        <f ca="1">SUMPRODUCT(INDIRECT(CONCATENATE(AX8,":",AY8)),INDIRECT(CONCATENATE($AV$2,":",$AW$2)),INDIRECT(CONCATENATE($AV$3,":",$AW$3)),INDIRECT(CONCATENATE(AX3,":",AY3)))</f>
        <v>3337215.0749999988</v>
      </c>
      <c r="AX20" s="353">
        <f ca="1">SUMPRODUCT(INDIRECT(CONCATENATE(AV9,":",AW9)),INDIRECT(CONCATENATE($AV$2,":",$AW$2)),INDIRECT(CONCATENATE($AV$3,":",$AW$3)),INDIRECT(CONCATENATE(AX3,":",AY3)))</f>
        <v>0</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9189</v>
      </c>
      <c r="G22" s="28">
        <f t="shared" ref="G22:G99" si="12">F22*$AU22</f>
        <v>9175.3826043690278</v>
      </c>
      <c r="H22" s="52">
        <f>(AL22+AM22+AN22)/(1-(AR22))</f>
        <v>3.141</v>
      </c>
      <c r="I22" s="52">
        <f>(AL22+AO22+AP22)</f>
        <v>3.1560000000000001</v>
      </c>
      <c r="K22" s="52">
        <f>MAX(((I22-H22)-AQ22)*AU22*AH22,0)</f>
        <v>0.46431090554267429</v>
      </c>
      <c r="L22" s="135">
        <f>MAX(Q22-K22,0)</f>
        <v>1.3530969401973549</v>
      </c>
      <c r="N22" s="131">
        <f t="shared" ref="N22:N99" si="13">SQRT(($AX22^2*($AH22/2)+$AW22^2*$AI22)/(($AH22/2)+$AI22))</f>
        <v>1.0162176738552315</v>
      </c>
      <c r="O22" s="131">
        <f t="shared" ref="O22:O99" si="14">SQRT(($AY22^2*($AH22/2)+$AW22^2*$AI22)/(($AH22/2)+$AI22))</f>
        <v>1.0162176738552315</v>
      </c>
      <c r="P22" s="55">
        <f>(VLOOKUP(AI22,CorrelationTwo,2)*(AW22^2)*AI22+VLOOKUP(D22,CorrelationOne,$AK$9)*AX22*AY22*(AH22/2))/((AI22+(AH22/2))*O22*N22)*AF22</f>
        <v>0.98999999999999966</v>
      </c>
      <c r="Q22" s="135">
        <f>_xll.xSPRDOPT(I22,H22,AQ22,0,O22,N22,P22,D22-$G$5,1,0)*AH22*AU22</f>
        <v>1.8174078457400293</v>
      </c>
      <c r="R22" s="135"/>
      <c r="S22" s="181">
        <f>_xll.xSPRDOPT(I22,H22,AQ22,AT22,O22,N22,P22,D22-$G$5,1,2)*AF22*(F22/(1-AR22))*AH22</f>
        <v>-153252.25838346832</v>
      </c>
      <c r="T22" s="181">
        <f>_xll.xSPRDOPT(I22,H22,AQ22,AT22,O22,N22,P22,D22-$G$5,1,1)*AF22*F22*AH22</f>
        <v>157815.41645568001</v>
      </c>
      <c r="U22" s="135"/>
      <c r="V22" s="146">
        <f>VLOOKUP($AG22,$AL$4:$AS$15,8)*AH22*AU22</f>
        <v>0</v>
      </c>
      <c r="W22" s="146"/>
      <c r="X22" s="338">
        <f>((BM22*BC22)+(BL22*BB22))*AH22*F22</f>
        <v>0</v>
      </c>
      <c r="Y22" s="338">
        <f t="shared" ref="Y22:Y99" si="15">($F22*$AH22)*((($BG22/2)*($BC22)^2)+(($BF22/2)*($BB22)^2)+($BH22*$BC22*$BB22))</f>
        <v>0</v>
      </c>
      <c r="Z22" s="338">
        <f t="shared" ref="Z22:Z99" si="16">($BI22*$F22*$AH22*($G$5-$BV$5))/365.25</f>
        <v>-696.4120080598816</v>
      </c>
      <c r="AA22" s="338">
        <f t="shared" ref="AA22:AA99" si="17">(($BK22*$BE22)+($BJ22*$BD22))*$F22*$AH22*$AF22</f>
        <v>181.59869428657905</v>
      </c>
      <c r="AB22" s="338">
        <f>BN22*(AT22-CA22)*F22*AH22</f>
        <v>0</v>
      </c>
      <c r="AC22" s="338">
        <f>BO22*CB22*F22*AH22*CA22*($G$5-$BV$5)/365.25</f>
        <v>2.6574146988582976</v>
      </c>
      <c r="AF22" s="138">
        <f>IF(AND(D22&gt;=$G$7,D22&lt;=$G$8),1,0)</f>
        <v>1</v>
      </c>
      <c r="AG22" s="138">
        <f>MONTH(D22)</f>
        <v>1</v>
      </c>
      <c r="AH22" s="138">
        <f t="shared" ref="AH22:AH53" si="18">(EOMONTH(D22,0)-EOMONTH(D22-DAY(D22),0))*AF22</f>
        <v>31</v>
      </c>
      <c r="AI22" s="138">
        <f>MAX(0,(D22-DAY(D22))-$G$5+1)</f>
        <v>15</v>
      </c>
      <c r="AJ22" s="138">
        <f>D22-$BV$5</f>
        <v>32</v>
      </c>
      <c r="AL22" s="136">
        <f t="shared" ref="AL22:AL99" si="19">VLOOKUP($D22,CurveTbl,$AK$4)</f>
        <v>2.8460000000000001</v>
      </c>
      <c r="AM22" s="258">
        <f t="shared" ref="AM22:AM99" si="20">VLOOKUP($D22,CurveTbl,$AH$3)</f>
        <v>0.29499999999999998</v>
      </c>
      <c r="AN22" s="258">
        <f t="shared" ref="AN22:AN99" si="21">VLOOKUP($D22,CurveTbl,$AH$4)+VLOOKUP($AG22,$AL$3:$AS$15,6)</f>
        <v>0</v>
      </c>
      <c r="AO22" s="258">
        <f t="shared" ref="AO22:AO99" si="22">VLOOKUP($D22,CurveTbl,$AH$5)</f>
        <v>0.31</v>
      </c>
      <c r="AP22" s="258">
        <f t="shared" ref="AP22:AP99" si="23">VLOOKUP($D22,CurveTbl,$AH$6)+VLOOKUP($AG22,$AL$3:$AS$15,7)</f>
        <v>0</v>
      </c>
      <c r="AQ22" s="136">
        <f>VLOOKUP($AG22,$AL$4:$AS$15,3)+VLOOKUP($AG22,$AL$4:$AS$15,5)+($AH$10*VLOOKUP(D22,GRITable,2))</f>
        <v>0</v>
      </c>
      <c r="AR22" s="137">
        <f t="shared" ref="AR22:AR99" si="24">VLOOKUP($AG22,$AL$4:$AS$15,4)</f>
        <v>0</v>
      </c>
      <c r="AS22" s="136">
        <f>(AL22+AM22+AN22)</f>
        <v>3.141</v>
      </c>
      <c r="AT22" s="137">
        <f>VLOOKUP(D22,CurveTbl,$AK$6)</f>
        <v>1.8765908157160699E-2</v>
      </c>
      <c r="AU22" s="137">
        <f t="shared" ref="AU22:AU99" si="25">(1+$AT22/2)^(-2*($D22-$G$5)/365.25)*$AF22</f>
        <v>0.99851807643585033</v>
      </c>
      <c r="AV22" s="394">
        <f>ROUND((F22/(1-AR22))-F22,0)*AF22*AH22*AU22</f>
        <v>0</v>
      </c>
      <c r="AW22" s="137">
        <f t="shared" ref="AW22:AW99" si="26">VLOOKUP($D22,CurveTbl,$AK$8)</f>
        <v>0.87</v>
      </c>
      <c r="AX22" s="137">
        <f t="shared" ref="AX22:AX99" si="27">VLOOKUP($D22,CurveTbl,$AH$7)</f>
        <v>1.1399999999999999</v>
      </c>
      <c r="AY22" s="137">
        <f t="shared" ref="AY22:AY99" si="28">VLOOKUP($D22,CurveTbl,$AH$8)</f>
        <v>1.1399999999999999</v>
      </c>
      <c r="AZ22" s="137"/>
      <c r="BA22" s="264"/>
      <c r="BB22" s="258">
        <f t="shared" ref="BB22:BB99" si="29">$H22-$BV22</f>
        <v>0</v>
      </c>
      <c r="BC22" s="258">
        <f>I22-BW22</f>
        <v>0</v>
      </c>
      <c r="BD22" s="137">
        <f>N22-BX22</f>
        <v>1.2225642014340954E-2</v>
      </c>
      <c r="BE22" s="137">
        <f>O22-BY22</f>
        <v>1.2225642014340954E-2</v>
      </c>
      <c r="BF22" s="137">
        <f>_xll.xSPRDOPT($BW22,$BV22,$CG22,0,$BY22,$BX22,$BZ22,$AJ22,1,4)*$CB22</f>
        <v>3.0043775606120771</v>
      </c>
      <c r="BG22" s="137">
        <f>_xll.xSPRDOPT($BW22,$BV22,$CG22,0,$BY22,$BX22,$BZ22,$AJ22,1,3)*$CB22</f>
        <v>2.9758866315562607</v>
      </c>
      <c r="BH22" s="137">
        <f>IF(OR(BF22&lt;&gt;0,BG22&lt;&gt;0),_xll.xSPRDOPT($BW22,$BV22,$CG22,0,$BY22,$BX22,$BZ22,$AJ22,1,12)*$CB22,0)</f>
        <v>-2.9900950160768525</v>
      </c>
      <c r="BI22" s="137">
        <f>_xll.xSPRDOPT($BW22,$BV22,$CG22,2*LN(1+CA22/2),$BY22,$BX22,$BZ22,$AJ22,1,9)</f>
        <v>-0.29764958095510619</v>
      </c>
      <c r="BJ22" s="137">
        <f>_xll.xSPRDOPT($BW22,$BV22,$CG22,0,$BY22,$BX22,$BZ22,$AJ22,1,6)*$CB22</f>
        <v>2.6078162255833221E-2</v>
      </c>
      <c r="BK22" s="137">
        <f>_xll.xSPRDOPT($BW22,$BV22,$CG22,0,$BY22,$BX22,$BZ22,$AJ22,1,5)*$CB22</f>
        <v>2.6066649188293753E-2</v>
      </c>
      <c r="BL22" s="137">
        <f>_xll.xSPRDOPT(BW22,BV22,CG22,0,BY22,BX22,BZ22,AJ22,1,2)*CB22</f>
        <v>-0.53591135876240115</v>
      </c>
      <c r="BM22" s="137">
        <f>_xll.xSPRDOPT(BW22,BV22,CG22,0,BY22,BX22,BZ22,AJ22,1,1)*CB22</f>
        <v>0.55254181950235426</v>
      </c>
      <c r="BN22" s="137">
        <f>IF(AH22&lt;&gt;0,_xll.xSPRDOPT($BW22,$BV22,$CG22,2*LN(1+CA22/2),$BY22,$BX22,$BZ22,$AJ22,1,8)+(AJ22/365.25)*CH22/AH22,0)</f>
        <v>-5.3025958136396862E-3</v>
      </c>
      <c r="BO22" s="137">
        <f>_xll.xSPRDOPT($BW22,$BV22,$CG22,0,$BY22,$BX22,$BZ22,$AJ22,1,0)</f>
        <v>6.0623285199380088E-2</v>
      </c>
      <c r="BP22" s="137"/>
      <c r="BQ22" s="137"/>
      <c r="BR22" s="137"/>
      <c r="BS22" s="137"/>
      <c r="BV22" s="262">
        <v>3.141</v>
      </c>
      <c r="BW22" s="136">
        <v>3.1560000000000001</v>
      </c>
      <c r="BX22" s="137">
        <v>1.0039920318408906</v>
      </c>
      <c r="BY22" s="137">
        <v>1.0039920318408906</v>
      </c>
      <c r="BZ22" s="137">
        <v>0.99</v>
      </c>
      <c r="CA22" s="137">
        <v>1.8765908157160699E-2</v>
      </c>
      <c r="CB22" s="137">
        <v>0.99836489939579565</v>
      </c>
      <c r="CC22" s="258">
        <v>0.29499999999999998</v>
      </c>
      <c r="CD22" s="258">
        <v>0</v>
      </c>
      <c r="CE22" s="258">
        <v>0.31</v>
      </c>
      <c r="CF22" s="258">
        <v>0</v>
      </c>
      <c r="CG22" s="258">
        <v>0</v>
      </c>
      <c r="CH22" s="258">
        <v>0</v>
      </c>
      <c r="CI22" s="258">
        <v>2.8460000000000001</v>
      </c>
      <c r="CJ22" s="258"/>
      <c r="CK22" s="258"/>
      <c r="CL22" s="258"/>
      <c r="CM22" s="258"/>
    </row>
    <row r="23" spans="1:91" x14ac:dyDescent="0.25">
      <c r="A23" s="723"/>
      <c r="B23" s="723"/>
      <c r="D23" s="31">
        <f>D22+AH22</f>
        <v>37302</v>
      </c>
      <c r="F23" s="28">
        <f>VLOOKUP(AG23,$AL$4:$AS$15,2)</f>
        <v>9189</v>
      </c>
      <c r="G23" s="28">
        <f t="shared" si="12"/>
        <v>9160.013241493938</v>
      </c>
      <c r="H23" s="52">
        <f>(AL23+AM23+AN23)/(1-(AR23))</f>
        <v>3.1479999999999997</v>
      </c>
      <c r="I23" s="52">
        <f>(AL23+AO23+AP23)</f>
        <v>3.1629999999999998</v>
      </c>
      <c r="K23" s="52">
        <f>MAX(((I23-H23)-AQ23)*AU23*AH23,0)</f>
        <v>0.41867510734873065</v>
      </c>
      <c r="L23" s="135">
        <f>MAX(Q23-K23,0)</f>
        <v>1.3466036412405555</v>
      </c>
      <c r="N23" s="131">
        <f t="shared" si="13"/>
        <v>0.93641826480834234</v>
      </c>
      <c r="O23" s="131">
        <f t="shared" si="14"/>
        <v>0.93641826480834234</v>
      </c>
      <c r="P23" s="55">
        <f>(VLOOKUP(AI23,CorrelationTwo,2)*(AW23^2)*AI23+VLOOKUP(D23,CorrelationOne,$AK$9)*AX23*AY23*(AH23/2))/((AI23+(AH23/2))*O23*N23)*AF23</f>
        <v>0.99327091341927554</v>
      </c>
      <c r="Q23" s="135">
        <f>_xll.xSPRDOPT(I23,H23,AQ23,0,O23,N23,P23,D23-$G$5,1,0)*AH23*AU23</f>
        <v>1.7652787485892862</v>
      </c>
      <c r="R23" s="135"/>
      <c r="S23" s="181">
        <f>-T23/(1-AR23)</f>
        <v>-141500.27304592292</v>
      </c>
      <c r="T23" s="181">
        <f>_xll.xSPRDOPT(I23,H23,AQ23,AT23,O23,N23,P23,D23-$G$5,1,1)*AF23*F23*AH23</f>
        <v>141500.27304592292</v>
      </c>
      <c r="U23" s="135"/>
      <c r="V23" s="146">
        <f>VLOOKUP($AG23,$AL$4:$AS$15,8)*AH23*AU23</f>
        <v>0</v>
      </c>
      <c r="W23" s="146"/>
      <c r="X23" s="338">
        <f>((BM23*BC23)+(BL23*BB23))*AH23*F23</f>
        <v>0</v>
      </c>
      <c r="Y23" s="338">
        <f t="shared" si="15"/>
        <v>0</v>
      </c>
      <c r="Z23" s="338">
        <f t="shared" si="16"/>
        <v>-339.12459762167464</v>
      </c>
      <c r="AA23" s="338">
        <f t="shared" si="17"/>
        <v>50.401074782661958</v>
      </c>
      <c r="AB23" s="338">
        <f>BN23*(AT23-CA23)*F23*AH23</f>
        <v>0</v>
      </c>
      <c r="AC23" s="338">
        <f>BO23*CB23*F23*AH23*CA23*($G$5-$BV$5)/365.25</f>
        <v>2.6097557029533225</v>
      </c>
      <c r="AF23" s="138">
        <f>IF(AND(D23&gt;=$G$7,D23&lt;=$G$8),1,0)</f>
        <v>1</v>
      </c>
      <c r="AG23" s="138">
        <f>MONTH(D23)</f>
        <v>2</v>
      </c>
      <c r="AH23" s="138">
        <f t="shared" si="18"/>
        <v>28</v>
      </c>
      <c r="AI23" s="138">
        <f>AI22+AH22</f>
        <v>46</v>
      </c>
      <c r="AJ23" s="138">
        <f>D23-$BV$5</f>
        <v>63</v>
      </c>
      <c r="AL23" s="136">
        <f t="shared" si="19"/>
        <v>2.9079999999999999</v>
      </c>
      <c r="AM23" s="258">
        <f t="shared" si="20"/>
        <v>0.24</v>
      </c>
      <c r="AN23" s="258">
        <f t="shared" si="21"/>
        <v>0</v>
      </c>
      <c r="AO23" s="258">
        <f t="shared" si="22"/>
        <v>0.255</v>
      </c>
      <c r="AP23" s="258">
        <f t="shared" si="23"/>
        <v>0</v>
      </c>
      <c r="AQ23" s="136">
        <f>VLOOKUP($AG23,$AL$4:$AS$15,3)+VLOOKUP($AG23,$AL$4:$AS$15,5)+($AH$10*VLOOKUP(D23,GRITable,2))</f>
        <v>0</v>
      </c>
      <c r="AR23" s="137">
        <f t="shared" si="24"/>
        <v>0</v>
      </c>
      <c r="AS23" s="136">
        <f>(AL23+AM23+AN23)</f>
        <v>3.1479999999999997</v>
      </c>
      <c r="AT23" s="137">
        <f>VLOOKUP(D23,CurveTbl,$AK$6)</f>
        <v>1.9326187282006298E-2</v>
      </c>
      <c r="AU23" s="137">
        <f t="shared" si="25"/>
        <v>0.99684549368744568</v>
      </c>
      <c r="AV23" s="394">
        <f>ROUND((F23/(1-AR23))-F23,0)*AF23*AH23*AU23</f>
        <v>0</v>
      </c>
      <c r="AW23" s="137">
        <f t="shared" si="26"/>
        <v>0.86499999999999999</v>
      </c>
      <c r="AX23" s="137">
        <f t="shared" si="27"/>
        <v>1.1399999999999999</v>
      </c>
      <c r="AY23" s="137">
        <f t="shared" si="28"/>
        <v>1.1399999999999999</v>
      </c>
      <c r="AZ23" s="137"/>
      <c r="BA23" s="264"/>
      <c r="BB23" s="258">
        <f t="shared" si="29"/>
        <v>0</v>
      </c>
      <c r="BC23" s="258">
        <f>I23-BW23</f>
        <v>0</v>
      </c>
      <c r="BD23" s="137">
        <f>N23-BX23</f>
        <v>3.2769155060097255E-3</v>
      </c>
      <c r="BE23" s="137">
        <f>O23-BY23</f>
        <v>3.2769155060097255E-3</v>
      </c>
      <c r="BF23" s="137">
        <f>_xll.xSPRDOPT($BW23,$BV23,$CG23,0,$BY23,$BX23,$BZ23,$AJ23,1,4)*$CB23</f>
        <v>2.814391569142892</v>
      </c>
      <c r="BG23" s="137">
        <f>_xll.xSPRDOPT($BW23,$BV23,$CG23,0,$BY23,$BX23,$BZ23,$AJ23,1,3)*$CB23</f>
        <v>2.7877612279783195</v>
      </c>
      <c r="BH23" s="137">
        <f>IF(OR(BF23&lt;&gt;0,BG23&lt;&gt;0),_xll.xSPRDOPT($BW23,$BV23,$CG23,0,$BY23,$BX23,$BZ23,$AJ23,1,12)*$CB23,0)</f>
        <v>-2.8010414033174533</v>
      </c>
      <c r="BI23" s="137">
        <f>_xll.xSPRDOPT($BW23,$BV23,$CG23,2*LN(1+CA23/2),$BY23,$BX23,$BZ23,$AJ23,1,9)</f>
        <v>-0.16047300250469848</v>
      </c>
      <c r="BJ23" s="137">
        <f>_xll.xSPRDOPT($BW23,$BV23,$CG23,0,$BY23,$BX23,$BZ23,$AJ23,1,6)*$CB23</f>
        <v>2.9898917475635525E-2</v>
      </c>
      <c r="BK23" s="137">
        <f>_xll.xSPRDOPT($BW23,$BV23,$CG23,0,$BY23,$BX23,$BZ23,$AJ23,1,5)*$CB23</f>
        <v>2.9880030997234901E-2</v>
      </c>
      <c r="BL23" s="137">
        <f>_xll.xSPRDOPT(BW23,BV23,CG23,0,BY23,BX23,BZ23,AJ23,1,2)*CB23</f>
        <v>-0.53167793585651579</v>
      </c>
      <c r="BM23" s="137">
        <f>_xll.xSPRDOPT(BW23,BV23,CG23,0,BY23,BX23,BZ23,AJ23,1,1)*CB23</f>
        <v>0.54935873815369152</v>
      </c>
      <c r="BN23" s="137">
        <f>IF(AH23&lt;&gt;0,_xll.xSPRDOPT($BW23,$BV23,$CG23,2*LN(1+CA23/2),$BY23,$BX23,$BZ23,$AJ23,1,8)+(AJ23/365.25)*CH23/AH23,0)</f>
        <v>-1.1021651720190401E-2</v>
      </c>
      <c r="BO23" s="137">
        <f>_xll.xSPRDOPT($BW23,$BV23,$CG23,0,$BY23,$BX23,$BZ23,$AJ23,1,0)</f>
        <v>6.4111673899771696E-2</v>
      </c>
      <c r="BP23" s="137"/>
      <c r="BQ23" s="137"/>
      <c r="BR23" s="137"/>
      <c r="BS23" s="137"/>
      <c r="BV23" s="262">
        <v>3.1479999999999997</v>
      </c>
      <c r="BW23" s="136">
        <v>3.1629999999999998</v>
      </c>
      <c r="BX23" s="137">
        <v>0.93314134930233261</v>
      </c>
      <c r="BY23" s="137">
        <v>0.93314134930233261</v>
      </c>
      <c r="BZ23" s="137">
        <v>0.99334166477919783</v>
      </c>
      <c r="CA23" s="137">
        <v>1.9326187282006298E-2</v>
      </c>
      <c r="CB23" s="137">
        <v>0.99668802984454063</v>
      </c>
      <c r="CC23" s="258">
        <v>0.24</v>
      </c>
      <c r="CD23" s="258">
        <v>0</v>
      </c>
      <c r="CE23" s="258">
        <v>0.255</v>
      </c>
      <c r="CF23" s="258">
        <v>0</v>
      </c>
      <c r="CG23" s="258">
        <v>0</v>
      </c>
      <c r="CH23" s="258">
        <v>0</v>
      </c>
      <c r="CI23" s="258">
        <v>2.9079999999999999</v>
      </c>
      <c r="CJ23" s="258"/>
      <c r="CK23" s="258"/>
      <c r="CL23" s="258"/>
      <c r="CM23" s="258"/>
    </row>
    <row r="24" spans="1:91" x14ac:dyDescent="0.25">
      <c r="A24" s="723"/>
      <c r="B24" s="723"/>
      <c r="D24" s="31">
        <f t="shared" ref="D24:D87" si="30">D23+AH23</f>
        <v>37330</v>
      </c>
      <c r="F24" s="28">
        <f t="shared" ref="F24:F87" si="31">VLOOKUP(AG24,$AL$4:$AS$15,2)</f>
        <v>9189</v>
      </c>
      <c r="G24" s="28">
        <f t="shared" si="12"/>
        <v>9146.6331029406829</v>
      </c>
      <c r="H24" s="52">
        <f t="shared" ref="H24:H87" si="32">(AL24+AM24+AN24)/(1-(AR24))</f>
        <v>3.1470000000000002</v>
      </c>
      <c r="I24" s="52">
        <f t="shared" ref="I24:I87" si="33">(AL24+AO24+AP24)</f>
        <v>3.1619999999999999</v>
      </c>
      <c r="K24" s="52">
        <f t="shared" ref="K24:K87" si="34">MAX(((I24-H24)-AQ24)*AU24*AH24,0)</f>
        <v>0.46285606626045556</v>
      </c>
      <c r="L24" s="135">
        <f t="shared" ref="L24:L87" si="35">MAX(Q24-K24,0)</f>
        <v>1.094010081850004</v>
      </c>
      <c r="N24" s="131">
        <f t="shared" si="13"/>
        <v>0.79</v>
      </c>
      <c r="O24" s="131">
        <f t="shared" si="14"/>
        <v>0.79</v>
      </c>
      <c r="P24" s="55">
        <f t="shared" ref="P24:P87" si="36">(VLOOKUP(AI24,CorrelationTwo,2)*(AW24^2)*AI24+VLOOKUP(D24,CorrelationOne,$AK$9)*AX24*AY24*(AH24/2))/((AI24+(AH24/2))*O24*N24)*AF24</f>
        <v>0.99620111731843608</v>
      </c>
      <c r="Q24" s="135">
        <f>_xll.xSPRDOPT(I24,H24,AQ24,0,O24,N24,P24,D24-$G$5,1,0)*AH24*AU24</f>
        <v>1.5568661481104595</v>
      </c>
      <c r="R24" s="135"/>
      <c r="S24" s="181">
        <f t="shared" ref="S24:S87" si="37">-T24/(1-AR24)</f>
        <v>-159521.44622317969</v>
      </c>
      <c r="T24" s="181">
        <f>_xll.xSPRDOPT(I24,H24,AQ24,AT24,O24,N24,P24,D24-$G$5,1,1)*AF24*F24*AH24</f>
        <v>159521.44622317969</v>
      </c>
      <c r="U24" s="135"/>
      <c r="V24" s="146">
        <f t="shared" ref="V24:V87" si="38">VLOOKUP($AG24,$AL$4:$AS$15,8)*AH24*AU24</f>
        <v>0</v>
      </c>
      <c r="W24" s="146"/>
      <c r="X24" s="338">
        <f t="shared" ref="X24:X87" si="39">((BM24*BC24)+(BL24*BB24))*AH24*F24</f>
        <v>0</v>
      </c>
      <c r="Y24" s="338">
        <f t="shared" si="15"/>
        <v>0</v>
      </c>
      <c r="Z24" s="338">
        <f t="shared" si="16"/>
        <v>-196.77065018954937</v>
      </c>
      <c r="AA24" s="338">
        <f t="shared" si="17"/>
        <v>0</v>
      </c>
      <c r="AB24" s="338">
        <f t="shared" ref="AB24:AB87" si="40">BN24*(AT24-CA24)*F24*AH24</f>
        <v>0</v>
      </c>
      <c r="AC24" s="338">
        <f t="shared" ref="AC24:AC87" si="41">BO24*CB24*F24*AH24*CA24*($G$5-$BV$5)/365.25</f>
        <v>2.2855684525529432</v>
      </c>
      <c r="AF24" s="138">
        <f t="shared" ref="AF24:AF87" si="42">IF(AND(D24&gt;=$G$7,D24&lt;=$G$8),1,0)</f>
        <v>1</v>
      </c>
      <c r="AG24" s="138">
        <f t="shared" ref="AG24:AG87" si="43">MONTH(D24)</f>
        <v>3</v>
      </c>
      <c r="AH24" s="138">
        <f t="shared" si="18"/>
        <v>31</v>
      </c>
      <c r="AI24" s="138">
        <f t="shared" ref="AI24:AI87" si="44">AI23+AH23</f>
        <v>74</v>
      </c>
      <c r="AJ24" s="138">
        <f t="shared" ref="AJ24:AJ87" si="45">D24-$BV$5</f>
        <v>91</v>
      </c>
      <c r="AL24" s="136">
        <f t="shared" si="19"/>
        <v>2.9020000000000001</v>
      </c>
      <c r="AM24" s="258">
        <f t="shared" si="20"/>
        <v>0.245</v>
      </c>
      <c r="AN24" s="258">
        <f t="shared" si="21"/>
        <v>0</v>
      </c>
      <c r="AO24" s="258">
        <f t="shared" si="22"/>
        <v>0.26</v>
      </c>
      <c r="AP24" s="258">
        <f t="shared" si="23"/>
        <v>0</v>
      </c>
      <c r="AQ24" s="136">
        <f t="shared" ref="AQ24:AQ87" si="46">VLOOKUP($AG24,$AL$4:$AS$15,3)+VLOOKUP($AG24,$AL$4:$AS$15,5)+($AH$10*VLOOKUP(D24,GRITable,2))</f>
        <v>0</v>
      </c>
      <c r="AR24" s="137">
        <f t="shared" si="24"/>
        <v>0</v>
      </c>
      <c r="AS24" s="136">
        <f t="shared" ref="AS24:AS87" si="47">(AL24+AM24+AN24)</f>
        <v>3.1470000000000002</v>
      </c>
      <c r="AT24" s="137">
        <f t="shared" ref="AT24:AT87" si="48">VLOOKUP(D24,CurveTbl,$AK$6)</f>
        <v>1.9273175363903501E-2</v>
      </c>
      <c r="AU24" s="137">
        <f t="shared" si="25"/>
        <v>0.99538938980745262</v>
      </c>
      <c r="AV24" s="394">
        <f t="shared" ref="AV24:AV87" si="49">ROUND((F24/(1-AR24))-F24,0)*AF24*AH24*AU24</f>
        <v>0</v>
      </c>
      <c r="AW24" s="137">
        <f t="shared" si="26"/>
        <v>0.79</v>
      </c>
      <c r="AX24" s="137">
        <f t="shared" si="27"/>
        <v>0.79</v>
      </c>
      <c r="AY24" s="137">
        <f t="shared" si="28"/>
        <v>0.79</v>
      </c>
      <c r="AZ24" s="137"/>
      <c r="BA24" s="264"/>
      <c r="BB24" s="258">
        <f t="shared" si="29"/>
        <v>0</v>
      </c>
      <c r="BC24" s="258">
        <f t="shared" ref="BC24:BC87" si="50">I24-BW24</f>
        <v>0</v>
      </c>
      <c r="BD24" s="137">
        <f t="shared" ref="BD24:BD87" si="51">N24-BX24</f>
        <v>0</v>
      </c>
      <c r="BE24" s="137">
        <f t="shared" ref="BE24:BE87" si="52">O24-BY24</f>
        <v>0</v>
      </c>
      <c r="BF24" s="137">
        <f>_xll.xSPRDOPT($BW24,$BV24,$CG24,0,$BY24,$BX24,$BZ24,$AJ24,1,4)*$CB24</f>
        <v>3.6637867394567514</v>
      </c>
      <c r="BG24" s="137">
        <f>_xll.xSPRDOPT($BW24,$BV24,$CG24,0,$BY24,$BX24,$BZ24,$AJ24,1,3)*$CB24</f>
        <v>3.6291083666186581</v>
      </c>
      <c r="BH24" s="137">
        <f>IF(OR(BF24&lt;&gt;0,BG24&lt;&gt;0),_xll.xSPRDOPT($BW24,$BV24,$CG24,0,$BY24,$BX24,$BZ24,$AJ24,1,12)*$CB24,0)</f>
        <v>-3.6463994968041491</v>
      </c>
      <c r="BI24" s="137">
        <f>_xll.xSPRDOPT($BW24,$BV24,$CG24,2*LN(1+CA24/2),$BY24,$BX24,$BZ24,$AJ24,1,9)</f>
        <v>-8.4100648603616657E-2</v>
      </c>
      <c r="BJ24" s="137">
        <f>_xll.xSPRDOPT($BW24,$BV24,$CG24,0,$BY24,$BX24,$BZ24,$AJ24,1,6)*$CB24</f>
        <v>2.6842477384599463E-2</v>
      </c>
      <c r="BK24" s="137">
        <f>_xll.xSPRDOPT($BW24,$BV24,$CG24,0,$BY24,$BX24,$BZ24,$AJ24,1,5)*$CB24</f>
        <v>2.6816813493273001E-2</v>
      </c>
      <c r="BL24" s="137">
        <f>_xll.xSPRDOPT(BW24,BV24,CG24,0,BY24,BX24,BZ24,AJ24,1,2)*CB24</f>
        <v>-0.54594691710104548</v>
      </c>
      <c r="BM24" s="137">
        <f>_xll.xSPRDOPT(BW24,BV24,CG24,0,BY24,BX24,BZ24,AJ24,1,1)*CB24</f>
        <v>0.55938648193609974</v>
      </c>
      <c r="BN24" s="137">
        <f>IF(AH24&lt;&gt;0,_xll.xSPRDOPT($BW24,$BV24,$CG24,2*LN(1+CA24/2),$BY24,$BX24,$BZ24,$AJ24,1,8)+(AJ24/365.25)*CH24/AH24,0)</f>
        <v>-1.2627900525278615E-2</v>
      </c>
      <c r="BO24" s="137">
        <f>_xll.xSPRDOPT($BW24,$BV24,$CG24,0,$BY24,$BX24,$BZ24,$AJ24,1,0)</f>
        <v>5.0927856491340184E-2</v>
      </c>
      <c r="BP24" s="137"/>
      <c r="BQ24" s="137"/>
      <c r="BR24" s="137"/>
      <c r="BS24" s="137"/>
      <c r="BV24" s="262">
        <v>3.1470000000000002</v>
      </c>
      <c r="BW24" s="136">
        <v>3.1619999999999999</v>
      </c>
      <c r="BX24" s="137">
        <v>0.79</v>
      </c>
      <c r="BY24" s="137">
        <v>0.79</v>
      </c>
      <c r="BZ24" s="137">
        <v>0.99624324324324343</v>
      </c>
      <c r="CA24" s="137">
        <v>1.9273175363903501E-2</v>
      </c>
      <c r="CB24" s="137">
        <v>0.99523258517239033</v>
      </c>
      <c r="CC24" s="258">
        <v>0.245</v>
      </c>
      <c r="CD24" s="258">
        <v>0</v>
      </c>
      <c r="CE24" s="258">
        <v>0.26</v>
      </c>
      <c r="CF24" s="258">
        <v>0</v>
      </c>
      <c r="CG24" s="258">
        <v>0</v>
      </c>
      <c r="CH24" s="258">
        <v>0</v>
      </c>
      <c r="CI24" s="258">
        <v>2.9020000000000001</v>
      </c>
      <c r="CJ24" s="258"/>
      <c r="CK24" s="258"/>
      <c r="CL24" s="258"/>
      <c r="CM24" s="258"/>
    </row>
    <row r="25" spans="1:91" x14ac:dyDescent="0.25">
      <c r="A25" s="723"/>
      <c r="B25" s="723"/>
      <c r="D25" s="31">
        <f t="shared" si="30"/>
        <v>37361</v>
      </c>
      <c r="F25" s="28">
        <f t="shared" si="31"/>
        <v>0</v>
      </c>
      <c r="G25" s="28">
        <f t="shared" si="12"/>
        <v>0</v>
      </c>
      <c r="H25" s="52">
        <f t="shared" si="32"/>
        <v>2.9404999999999997</v>
      </c>
      <c r="I25" s="52">
        <f t="shared" si="33"/>
        <v>2.9655</v>
      </c>
      <c r="K25" s="52">
        <f t="shared" si="34"/>
        <v>0.74529175336735964</v>
      </c>
      <c r="L25" s="135">
        <f t="shared" si="35"/>
        <v>0.28311289976291498</v>
      </c>
      <c r="N25" s="131">
        <f t="shared" si="13"/>
        <v>0.60633118013178244</v>
      </c>
      <c r="O25" s="131">
        <f t="shared" si="14"/>
        <v>0.60633118013178244</v>
      </c>
      <c r="P25" s="55">
        <f t="shared" si="36"/>
        <v>0.99885621026146665</v>
      </c>
      <c r="Q25" s="135">
        <f>_xll.xSPRDOPT(I25,H25,AQ25,0,O25,N25,P25,D25-$G$5,1,0)*AH25*AU25</f>
        <v>1.0284046531302746</v>
      </c>
      <c r="R25" s="135"/>
      <c r="S25" s="181">
        <f t="shared" si="37"/>
        <v>0</v>
      </c>
      <c r="T25" s="181">
        <f>_xll.xSPRDOPT(I25,H25,AQ25,AT25,O25,N25,P25,D25-$G$5,1,1)*AF25*F25*AH25</f>
        <v>0</v>
      </c>
      <c r="U25" s="135"/>
      <c r="V25" s="146">
        <f t="shared" si="38"/>
        <v>0</v>
      </c>
      <c r="W25" s="146"/>
      <c r="X25" s="338">
        <f t="shared" si="39"/>
        <v>0</v>
      </c>
      <c r="Y25" s="338">
        <f t="shared" si="15"/>
        <v>0</v>
      </c>
      <c r="Z25" s="338">
        <f t="shared" si="16"/>
        <v>0</v>
      </c>
      <c r="AA25" s="338">
        <f t="shared" si="17"/>
        <v>0</v>
      </c>
      <c r="AB25" s="338">
        <f t="shared" si="40"/>
        <v>0</v>
      </c>
      <c r="AC25" s="338">
        <f t="shared" si="41"/>
        <v>0</v>
      </c>
      <c r="AF25" s="138">
        <f t="shared" si="42"/>
        <v>1</v>
      </c>
      <c r="AG25" s="138">
        <f t="shared" si="43"/>
        <v>4</v>
      </c>
      <c r="AH25" s="138">
        <f t="shared" si="18"/>
        <v>30</v>
      </c>
      <c r="AI25" s="138">
        <f t="shared" si="44"/>
        <v>105</v>
      </c>
      <c r="AJ25" s="138">
        <f t="shared" si="45"/>
        <v>122</v>
      </c>
      <c r="AL25" s="136">
        <f t="shared" si="19"/>
        <v>2.8479999999999999</v>
      </c>
      <c r="AM25" s="258">
        <f t="shared" si="20"/>
        <v>9.2499999999999999E-2</v>
      </c>
      <c r="AN25" s="258">
        <f t="shared" si="21"/>
        <v>0</v>
      </c>
      <c r="AO25" s="258">
        <f t="shared" si="22"/>
        <v>0.11749999999999999</v>
      </c>
      <c r="AP25" s="258">
        <f t="shared" si="23"/>
        <v>0</v>
      </c>
      <c r="AQ25" s="136">
        <f t="shared" si="46"/>
        <v>0</v>
      </c>
      <c r="AR25" s="137">
        <f t="shared" si="24"/>
        <v>0</v>
      </c>
      <c r="AS25" s="136">
        <f t="shared" si="47"/>
        <v>2.9404999999999997</v>
      </c>
      <c r="AT25" s="137">
        <f t="shared" si="48"/>
        <v>1.9422640119623601E-2</v>
      </c>
      <c r="AU25" s="137">
        <f t="shared" si="25"/>
        <v>0.99372233782313213</v>
      </c>
      <c r="AV25" s="394">
        <f t="shared" si="49"/>
        <v>0</v>
      </c>
      <c r="AW25" s="137">
        <f t="shared" si="26"/>
        <v>0.61</v>
      </c>
      <c r="AX25" s="137">
        <f t="shared" si="27"/>
        <v>0.57999999999999996</v>
      </c>
      <c r="AY25" s="137">
        <f t="shared" si="28"/>
        <v>0.57999999999999996</v>
      </c>
      <c r="AZ25" s="137"/>
      <c r="BA25" s="264"/>
      <c r="BB25" s="258">
        <f t="shared" si="29"/>
        <v>0</v>
      </c>
      <c r="BC25" s="258">
        <f t="shared" si="50"/>
        <v>0</v>
      </c>
      <c r="BD25" s="137">
        <f t="shared" si="51"/>
        <v>-8.9747494742220546E-5</v>
      </c>
      <c r="BE25" s="137">
        <f t="shared" si="52"/>
        <v>-8.9747494742220546E-5</v>
      </c>
      <c r="BF25" s="137">
        <f>_xll.xSPRDOPT($BW25,$BV25,$CG25,0,$BY25,$BX25,$BZ25,$AJ25,1,4)*$CB25</f>
        <v>7.1746017362569932</v>
      </c>
      <c r="BG25" s="137">
        <f>_xll.xSPRDOPT($BW25,$BV25,$CG25,0,$BY25,$BX25,$BZ25,$AJ25,1,3)*$CB25</f>
        <v>7.0541437004562493</v>
      </c>
      <c r="BH25" s="137">
        <f>IF(OR(BF25&lt;&gt;0,BG25&lt;&gt;0),_xll.xSPRDOPT($BW25,$BV25,$CG25,0,$BY25,$BX25,$BZ25,$AJ25,1,12)*$CB25,0)</f>
        <v>-7.1141278647581787</v>
      </c>
      <c r="BI25" s="137">
        <f>_xll.xSPRDOPT($BW25,$BV25,$CG25,2*LN(1+CA25/2),$BY25,$BX25,$BZ25,$AJ25,1,9)</f>
        <v>-2.478720995820835E-2</v>
      </c>
      <c r="BJ25" s="137">
        <f>_xll.xSPRDOPT($BW25,$BV25,$CG25,0,$BY25,$BX25,$BZ25,$AJ25,1,6)*$CB25</f>
        <v>1.401668412956945E-2</v>
      </c>
      <c r="BK25" s="137">
        <f>_xll.xSPRDOPT($BW25,$BV25,$CG25,0,$BY25,$BX25,$BZ25,$AJ25,1,5)*$CB25</f>
        <v>1.4018831151548368E-2</v>
      </c>
      <c r="BL25" s="137">
        <f>_xll.xSPRDOPT(BW25,BV25,CG25,0,BY25,BX25,BZ25,AJ25,1,2)*CB25</f>
        <v>-0.68810315598579708</v>
      </c>
      <c r="BM25" s="137">
        <f>_xll.xSPRDOPT(BW25,BV25,CG25,0,BY25,BX25,BZ25,AJ25,1,1)*CB25</f>
        <v>0.69386065788530416</v>
      </c>
      <c r="BN25" s="137">
        <f>IF(AH25&lt;&gt;0,_xll.xSPRDOPT($BW25,$BV25,$CG25,2*LN(1+CA25/2),$BY25,$BX25,$BZ25,$AJ25,1,8)+(AJ25/365.25)*CH25/AH25,0)</f>
        <v>-1.1448946038382913E-2</v>
      </c>
      <c r="BO25" s="137">
        <f>_xll.xSPRDOPT($BW25,$BV25,$CG25,0,$BY25,$BX25,$BZ25,$AJ25,1,0)</f>
        <v>3.449846710799228E-2</v>
      </c>
      <c r="BP25" s="137"/>
      <c r="BQ25" s="137"/>
      <c r="BR25" s="137"/>
      <c r="BS25" s="137"/>
      <c r="BV25" s="262">
        <v>2.9404999999999997</v>
      </c>
      <c r="BW25" s="136">
        <v>2.9655</v>
      </c>
      <c r="BX25" s="137">
        <v>0.60642092762652466</v>
      </c>
      <c r="BY25" s="137">
        <v>0.60642092762652466</v>
      </c>
      <c r="BZ25" s="137">
        <v>0.99888443784156611</v>
      </c>
      <c r="CA25" s="137">
        <v>1.9422640119623601E-2</v>
      </c>
      <c r="CB25" s="137">
        <v>0.99356458774998258</v>
      </c>
      <c r="CC25" s="258">
        <v>9.2499999999999999E-2</v>
      </c>
      <c r="CD25" s="258">
        <v>0</v>
      </c>
      <c r="CE25" s="258">
        <v>0.11749999999999999</v>
      </c>
      <c r="CF25" s="258">
        <v>0</v>
      </c>
      <c r="CG25" s="258">
        <v>0</v>
      </c>
      <c r="CH25" s="258">
        <v>0</v>
      </c>
      <c r="CI25" s="258">
        <v>2.8479999999999999</v>
      </c>
      <c r="CJ25" s="258"/>
      <c r="CK25" s="258"/>
      <c r="CL25" s="258"/>
      <c r="CM25" s="258"/>
    </row>
    <row r="26" spans="1:91" x14ac:dyDescent="0.25">
      <c r="A26" s="723"/>
      <c r="B26" s="723"/>
      <c r="D26" s="31">
        <f t="shared" si="30"/>
        <v>37391</v>
      </c>
      <c r="F26" s="28">
        <f t="shared" si="31"/>
        <v>0</v>
      </c>
      <c r="G26" s="28">
        <f t="shared" si="12"/>
        <v>0</v>
      </c>
      <c r="H26" s="52">
        <f t="shared" si="32"/>
        <v>2.9884999999999997</v>
      </c>
      <c r="I26" s="52">
        <f t="shared" si="33"/>
        <v>3.0135000000000001</v>
      </c>
      <c r="K26" s="52">
        <f t="shared" si="34"/>
        <v>0.76882319323223935</v>
      </c>
      <c r="L26" s="135">
        <f t="shared" si="35"/>
        <v>0.35672419320163917</v>
      </c>
      <c r="N26" s="131">
        <f t="shared" si="13"/>
        <v>0.58312535051959857</v>
      </c>
      <c r="O26" s="131">
        <f t="shared" si="14"/>
        <v>0.58312535051959857</v>
      </c>
      <c r="P26" s="55">
        <f t="shared" si="36"/>
        <v>0.99879786718371311</v>
      </c>
      <c r="Q26" s="135">
        <f>_xll.xSPRDOPT(I26,H26,AQ26,0,O26,N26,P26,D26-$G$5,1,0)*AH26*AU26</f>
        <v>1.1255473864338785</v>
      </c>
      <c r="R26" s="135"/>
      <c r="S26" s="181">
        <f t="shared" si="37"/>
        <v>0</v>
      </c>
      <c r="T26" s="181">
        <f>_xll.xSPRDOPT(I26,H26,AQ26,AT26,O26,N26,P26,D26-$G$5,1,1)*AF26*F26*AH26</f>
        <v>0</v>
      </c>
      <c r="U26" s="135"/>
      <c r="V26" s="146">
        <f t="shared" si="38"/>
        <v>0</v>
      </c>
      <c r="W26" s="146"/>
      <c r="X26" s="338">
        <f t="shared" si="39"/>
        <v>0</v>
      </c>
      <c r="Y26" s="338">
        <f t="shared" si="15"/>
        <v>0</v>
      </c>
      <c r="Z26" s="338">
        <f t="shared" si="16"/>
        <v>0</v>
      </c>
      <c r="AA26" s="338">
        <f t="shared" si="17"/>
        <v>0</v>
      </c>
      <c r="AB26" s="338">
        <f t="shared" si="40"/>
        <v>0</v>
      </c>
      <c r="AC26" s="338">
        <f t="shared" si="41"/>
        <v>0</v>
      </c>
      <c r="AF26" s="138">
        <f t="shared" si="42"/>
        <v>1</v>
      </c>
      <c r="AG26" s="138">
        <f t="shared" si="43"/>
        <v>5</v>
      </c>
      <c r="AH26" s="138">
        <f t="shared" si="18"/>
        <v>31</v>
      </c>
      <c r="AI26" s="138">
        <f t="shared" si="44"/>
        <v>135</v>
      </c>
      <c r="AJ26" s="138">
        <f t="shared" si="45"/>
        <v>152</v>
      </c>
      <c r="AL26" s="136">
        <f t="shared" si="19"/>
        <v>2.8959999999999999</v>
      </c>
      <c r="AM26" s="258">
        <f t="shared" si="20"/>
        <v>9.2499999999999999E-2</v>
      </c>
      <c r="AN26" s="258">
        <f t="shared" si="21"/>
        <v>0</v>
      </c>
      <c r="AO26" s="258">
        <f t="shared" si="22"/>
        <v>0.11749999999999999</v>
      </c>
      <c r="AP26" s="258">
        <f t="shared" si="23"/>
        <v>0</v>
      </c>
      <c r="AQ26" s="136">
        <f t="shared" si="46"/>
        <v>0</v>
      </c>
      <c r="AR26" s="137">
        <f t="shared" si="24"/>
        <v>0</v>
      </c>
      <c r="AS26" s="136">
        <f t="shared" si="47"/>
        <v>2.9884999999999997</v>
      </c>
      <c r="AT26" s="137">
        <f t="shared" si="48"/>
        <v>1.9712159578257001E-2</v>
      </c>
      <c r="AU26" s="137">
        <f t="shared" si="25"/>
        <v>0.99202992675126245</v>
      </c>
      <c r="AV26" s="394">
        <f t="shared" si="49"/>
        <v>0</v>
      </c>
      <c r="AW26" s="137">
        <f t="shared" si="26"/>
        <v>0.57750000000000001</v>
      </c>
      <c r="AX26" s="137">
        <f t="shared" si="27"/>
        <v>0.63</v>
      </c>
      <c r="AY26" s="137">
        <f t="shared" si="28"/>
        <v>0.63</v>
      </c>
      <c r="AZ26" s="137"/>
      <c r="BA26" s="264"/>
      <c r="BB26" s="258">
        <f t="shared" si="29"/>
        <v>0</v>
      </c>
      <c r="BC26" s="258">
        <f t="shared" si="50"/>
        <v>0</v>
      </c>
      <c r="BD26" s="137">
        <f t="shared" si="51"/>
        <v>1.0942167210792331E-4</v>
      </c>
      <c r="BE26" s="137">
        <f t="shared" si="52"/>
        <v>1.0942167210792331E-4</v>
      </c>
      <c r="BF26" s="137">
        <f>_xll.xSPRDOPT($BW26,$BV26,$CG26,0,$BY26,$BX26,$BZ26,$AJ26,1,4)*$CB26</f>
        <v>6.5604164348673129</v>
      </c>
      <c r="BG26" s="137">
        <f>_xll.xSPRDOPT($BW26,$BV26,$CG26,0,$BY26,$BX26,$BZ26,$AJ26,1,3)*$CB26</f>
        <v>6.4520173982208044</v>
      </c>
      <c r="BH26" s="137">
        <f>IF(OR(BF26&lt;&gt;0,BG26&lt;&gt;0),_xll.xSPRDOPT($BW26,$BV26,$CG26,0,$BY26,$BX26,$BZ26,$AJ26,1,12)*$CB26,0)</f>
        <v>-6.5060004508676492</v>
      </c>
      <c r="BI26" s="137">
        <f>_xll.xSPRDOPT($BW26,$BV26,$CG26,2*LN(1+CA26/2),$BY26,$BX26,$BZ26,$AJ26,1,9)</f>
        <v>-2.277026190391996E-2</v>
      </c>
      <c r="BJ26" s="137">
        <f>_xll.xSPRDOPT($BW26,$BV26,$CG26,0,$BY26,$BX26,$BZ26,$AJ26,1,6)*$CB26</f>
        <v>1.676003123249804E-2</v>
      </c>
      <c r="BK26" s="137">
        <f>_xll.xSPRDOPT($BW26,$BV26,$CG26,0,$BY26,$BX26,$BZ26,$AJ26,1,5)*$CB26</f>
        <v>1.6763134884973798E-2</v>
      </c>
      <c r="BL26" s="137">
        <f>_xll.xSPRDOPT(BW26,BV26,CG26,0,BY26,BX26,BZ26,AJ26,1,2)*CB26</f>
        <v>-0.6670917141326469</v>
      </c>
      <c r="BM26" s="137">
        <f>_xll.xSPRDOPT(BW26,BV26,CG26,0,BY26,BX26,BZ26,AJ26,1,1)*CB26</f>
        <v>0.67360465572762618</v>
      </c>
      <c r="BN26" s="137">
        <f>IF(AH26&lt;&gt;0,_xll.xSPRDOPT($BW26,$BV26,$CG26,2*LN(1+CA26/2),$BY26,$BX26,$BZ26,$AJ26,1,8)+(AJ26/365.25)*CH26/AH26,0)</f>
        <v>-1.5108052320274061E-2</v>
      </c>
      <c r="BO26" s="137">
        <f>_xll.xSPRDOPT($BW26,$BV26,$CG26,0,$BY26,$BX26,$BZ26,$AJ26,1,0)</f>
        <v>3.6601620520543367E-2</v>
      </c>
      <c r="BP26" s="137"/>
      <c r="BQ26" s="137"/>
      <c r="BR26" s="137"/>
      <c r="BS26" s="137"/>
      <c r="BV26" s="262">
        <v>2.9884999999999997</v>
      </c>
      <c r="BW26" s="136">
        <v>3.0135000000000001</v>
      </c>
      <c r="BX26" s="137">
        <v>0.58301592884749065</v>
      </c>
      <c r="BY26" s="137">
        <v>0.58301592884749065</v>
      </c>
      <c r="BZ26" s="137">
        <v>0.99882091917591131</v>
      </c>
      <c r="CA26" s="137">
        <v>1.9712159578257001E-2</v>
      </c>
      <c r="CB26" s="137">
        <v>0.99187010954216859</v>
      </c>
      <c r="CC26" s="258">
        <v>9.2499999999999999E-2</v>
      </c>
      <c r="CD26" s="258">
        <v>0</v>
      </c>
      <c r="CE26" s="258">
        <v>0.11749999999999999</v>
      </c>
      <c r="CF26" s="258">
        <v>0</v>
      </c>
      <c r="CG26" s="258">
        <v>0</v>
      </c>
      <c r="CH26" s="258">
        <v>0</v>
      </c>
      <c r="CI26" s="258">
        <v>2.8959999999999999</v>
      </c>
      <c r="CJ26" s="258"/>
      <c r="CK26" s="258"/>
      <c r="CL26" s="258"/>
      <c r="CM26" s="258"/>
    </row>
    <row r="27" spans="1:91" x14ac:dyDescent="0.25">
      <c r="A27" s="723"/>
      <c r="B27" s="723"/>
      <c r="D27" s="31">
        <f t="shared" si="30"/>
        <v>37422</v>
      </c>
      <c r="F27" s="28">
        <f t="shared" si="31"/>
        <v>0</v>
      </c>
      <c r="G27" s="28">
        <f t="shared" si="12"/>
        <v>0</v>
      </c>
      <c r="H27" s="52">
        <f t="shared" si="32"/>
        <v>3.0385</v>
      </c>
      <c r="I27" s="52">
        <f t="shared" si="33"/>
        <v>3.0635000000000003</v>
      </c>
      <c r="K27" s="52">
        <f t="shared" si="34"/>
        <v>0.74267636476735932</v>
      </c>
      <c r="L27" s="135">
        <f t="shared" si="35"/>
        <v>0.34598029557709209</v>
      </c>
      <c r="N27" s="131">
        <f t="shared" si="13"/>
        <v>0.5548034219582415</v>
      </c>
      <c r="O27" s="131">
        <f t="shared" si="14"/>
        <v>0.5548034219582415</v>
      </c>
      <c r="P27" s="55">
        <f t="shared" si="36"/>
        <v>0.99893139913615381</v>
      </c>
      <c r="Q27" s="135">
        <f>_xll.xSPRDOPT(I27,H27,AQ27,0,O27,N27,P27,D27-$G$5,1,0)*AH27*AU27</f>
        <v>1.0886566603444514</v>
      </c>
      <c r="R27" s="135"/>
      <c r="S27" s="181">
        <f t="shared" si="37"/>
        <v>0</v>
      </c>
      <c r="T27" s="181">
        <f>_xll.xSPRDOPT(I27,H27,AQ27,AT27,O27,N27,P27,D27-$G$5,1,1)*AF27*F27*AH27</f>
        <v>0</v>
      </c>
      <c r="U27" s="135"/>
      <c r="V27" s="146">
        <f t="shared" si="38"/>
        <v>0</v>
      </c>
      <c r="W27" s="146"/>
      <c r="X27" s="338">
        <f t="shared" si="39"/>
        <v>0</v>
      </c>
      <c r="Y27" s="338">
        <f t="shared" si="15"/>
        <v>0</v>
      </c>
      <c r="Z27" s="338">
        <f t="shared" si="16"/>
        <v>0</v>
      </c>
      <c r="AA27" s="338">
        <f t="shared" si="17"/>
        <v>0</v>
      </c>
      <c r="AB27" s="338">
        <f t="shared" si="40"/>
        <v>0</v>
      </c>
      <c r="AC27" s="338">
        <f t="shared" si="41"/>
        <v>0</v>
      </c>
      <c r="AF27" s="138">
        <f t="shared" si="42"/>
        <v>1</v>
      </c>
      <c r="AG27" s="138">
        <f t="shared" si="43"/>
        <v>6</v>
      </c>
      <c r="AH27" s="138">
        <f t="shared" si="18"/>
        <v>30</v>
      </c>
      <c r="AI27" s="138">
        <f t="shared" si="44"/>
        <v>166</v>
      </c>
      <c r="AJ27" s="138">
        <f t="shared" si="45"/>
        <v>183</v>
      </c>
      <c r="AL27" s="136">
        <f t="shared" si="19"/>
        <v>2.9460000000000002</v>
      </c>
      <c r="AM27" s="258">
        <f t="shared" si="20"/>
        <v>9.2499999999999999E-2</v>
      </c>
      <c r="AN27" s="258">
        <f t="shared" si="21"/>
        <v>0</v>
      </c>
      <c r="AO27" s="258">
        <f t="shared" si="22"/>
        <v>0.11749999999999999</v>
      </c>
      <c r="AP27" s="258">
        <f t="shared" si="23"/>
        <v>0</v>
      </c>
      <c r="AQ27" s="136">
        <f t="shared" si="46"/>
        <v>0</v>
      </c>
      <c r="AR27" s="137">
        <f t="shared" si="24"/>
        <v>0</v>
      </c>
      <c r="AS27" s="136">
        <f t="shared" si="47"/>
        <v>3.0385</v>
      </c>
      <c r="AT27" s="137">
        <f t="shared" si="48"/>
        <v>2.0011329715354399E-2</v>
      </c>
      <c r="AU27" s="137">
        <f t="shared" si="25"/>
        <v>0.99023515302313159</v>
      </c>
      <c r="AV27" s="394">
        <f t="shared" si="49"/>
        <v>0</v>
      </c>
      <c r="AW27" s="137">
        <f t="shared" si="26"/>
        <v>0.54749999999999999</v>
      </c>
      <c r="AX27" s="137">
        <f t="shared" si="27"/>
        <v>0.63</v>
      </c>
      <c r="AY27" s="137">
        <f t="shared" si="28"/>
        <v>0.63</v>
      </c>
      <c r="AZ27" s="137"/>
      <c r="BA27" s="264"/>
      <c r="BB27" s="258">
        <f t="shared" si="29"/>
        <v>0</v>
      </c>
      <c r="BC27" s="258">
        <f t="shared" si="50"/>
        <v>0</v>
      </c>
      <c r="BD27" s="137">
        <f t="shared" si="51"/>
        <v>1.1830637855325676E-4</v>
      </c>
      <c r="BE27" s="137">
        <f t="shared" si="52"/>
        <v>1.1830637855325676E-4</v>
      </c>
      <c r="BF27" s="137">
        <f>_xll.xSPRDOPT($BW27,$BV27,$CG27,0,$BY27,$BX27,$BZ27,$AJ27,1,4)*$CB27</f>
        <v>6.5356474177671258</v>
      </c>
      <c r="BG27" s="137">
        <f>_xll.xSPRDOPT($BW27,$BV27,$CG27,0,$BY27,$BX27,$BZ27,$AJ27,1,3)*$CB27</f>
        <v>6.4294129466545211</v>
      </c>
      <c r="BH27" s="137">
        <f>IF(OR(BF27&lt;&gt;0,BG27&lt;&gt;0),_xll.xSPRDOPT($BW27,$BV27,$CG27,0,$BY27,$BX27,$BZ27,$AJ27,1,12)*$CB27,0)</f>
        <v>-6.4823218201607959</v>
      </c>
      <c r="BI27" s="137">
        <f>_xll.xSPRDOPT($BW27,$BV27,$CG27,2*LN(1+CA27/2),$BY27,$BX27,$BZ27,$AJ27,1,9)</f>
        <v>-1.8801201531667189E-2</v>
      </c>
      <c r="BJ27" s="137">
        <f>_xll.xSPRDOPT($BW27,$BV27,$CG27,0,$BY27,$BX27,$BZ27,$AJ27,1,6)*$CB27</f>
        <v>1.7633379924470588E-2</v>
      </c>
      <c r="BK27" s="137">
        <f>_xll.xSPRDOPT($BW27,$BV27,$CG27,0,$BY27,$BX27,$BZ27,$AJ27,1,5)*$CB27</f>
        <v>1.7636636143051051E-2</v>
      </c>
      <c r="BL27" s="137">
        <f>_xll.xSPRDOPT(BW27,BV27,CG27,0,BY27,BX27,BZ27,AJ27,1,2)*CB27</f>
        <v>-0.6655523039209027</v>
      </c>
      <c r="BM27" s="137">
        <f>_xll.xSPRDOPT(BW27,BV27,CG27,0,BY27,BX27,BZ27,AJ27,1,1)*CB27</f>
        <v>0.67196480222647692</v>
      </c>
      <c r="BN27" s="137">
        <f>IF(AH27&lt;&gt;0,_xll.xSPRDOPT($BW27,$BV27,$CG27,2*LN(1+CA27/2),$BY27,$BX27,$BZ27,$AJ27,1,8)+(AJ27/365.25)*CH27/AH27,0)</f>
        <v>-1.8179005516084382E-2</v>
      </c>
      <c r="BO27" s="137">
        <f>_xll.xSPRDOPT($BW27,$BV27,$CG27,0,$BY27,$BX27,$BZ27,$AJ27,1,0)</f>
        <v>3.6647296709189946E-2</v>
      </c>
      <c r="BP27" s="137"/>
      <c r="BQ27" s="137"/>
      <c r="BR27" s="137"/>
      <c r="BS27" s="137"/>
      <c r="BV27" s="262">
        <v>3.0385</v>
      </c>
      <c r="BW27" s="136">
        <v>3.0635000000000003</v>
      </c>
      <c r="BX27" s="137">
        <v>0.55468511557968825</v>
      </c>
      <c r="BY27" s="137">
        <v>0.55468511557968825</v>
      </c>
      <c r="BZ27" s="137">
        <v>0.99894837352611843</v>
      </c>
      <c r="CA27" s="137">
        <v>2.0011329715354399E-2</v>
      </c>
      <c r="CB27" s="137">
        <v>0.99007321601711695</v>
      </c>
      <c r="CC27" s="258">
        <v>9.2499999999999999E-2</v>
      </c>
      <c r="CD27" s="258">
        <v>0</v>
      </c>
      <c r="CE27" s="258">
        <v>0.11749999999999999</v>
      </c>
      <c r="CF27" s="258">
        <v>0</v>
      </c>
      <c r="CG27" s="258">
        <v>0</v>
      </c>
      <c r="CH27" s="258">
        <v>0</v>
      </c>
      <c r="CI27" s="258">
        <v>2.9460000000000002</v>
      </c>
      <c r="CJ27" s="258"/>
      <c r="CK27" s="258"/>
      <c r="CL27" s="258"/>
      <c r="CM27" s="258"/>
    </row>
    <row r="28" spans="1:91" x14ac:dyDescent="0.25">
      <c r="A28" s="723"/>
      <c r="B28" s="723"/>
      <c r="D28" s="31">
        <f t="shared" si="30"/>
        <v>37452</v>
      </c>
      <c r="F28" s="28">
        <f t="shared" si="31"/>
        <v>0</v>
      </c>
      <c r="G28" s="28">
        <f t="shared" si="12"/>
        <v>0</v>
      </c>
      <c r="H28" s="52">
        <f t="shared" si="32"/>
        <v>3.0764999999999998</v>
      </c>
      <c r="I28" s="52">
        <f t="shared" si="33"/>
        <v>3.1015000000000001</v>
      </c>
      <c r="K28" s="52">
        <f t="shared" si="34"/>
        <v>0.76599619028898058</v>
      </c>
      <c r="L28" s="135">
        <f t="shared" si="35"/>
        <v>0.42412491046795686</v>
      </c>
      <c r="N28" s="131">
        <f t="shared" si="13"/>
        <v>0.55373746243591337</v>
      </c>
      <c r="O28" s="131">
        <f t="shared" si="14"/>
        <v>0.55373746243591337</v>
      </c>
      <c r="P28" s="55">
        <f t="shared" si="36"/>
        <v>0.99889482426893217</v>
      </c>
      <c r="Q28" s="135">
        <f>_xll.xSPRDOPT(I28,H28,AQ28,0,O28,N28,P28,D28-$G$5,1,0)*AH28*AU28</f>
        <v>1.1901211007569374</v>
      </c>
      <c r="R28" s="135"/>
      <c r="S28" s="181">
        <f t="shared" si="37"/>
        <v>0</v>
      </c>
      <c r="T28" s="181">
        <f>_xll.xSPRDOPT(I28,H28,AQ28,AT28,O28,N28,P28,D28-$G$5,1,1)*AF28*F28*AH28</f>
        <v>0</v>
      </c>
      <c r="U28" s="135"/>
      <c r="V28" s="146">
        <f t="shared" si="38"/>
        <v>0</v>
      </c>
      <c r="W28" s="146"/>
      <c r="X28" s="338">
        <f t="shared" si="39"/>
        <v>0</v>
      </c>
      <c r="Y28" s="338">
        <f t="shared" si="15"/>
        <v>0</v>
      </c>
      <c r="Z28" s="338">
        <f t="shared" si="16"/>
        <v>0</v>
      </c>
      <c r="AA28" s="338">
        <f t="shared" si="17"/>
        <v>0</v>
      </c>
      <c r="AB28" s="338">
        <f t="shared" si="40"/>
        <v>0</v>
      </c>
      <c r="AC28" s="338">
        <f t="shared" si="41"/>
        <v>0</v>
      </c>
      <c r="AF28" s="138">
        <f t="shared" si="42"/>
        <v>1</v>
      </c>
      <c r="AG28" s="138">
        <f t="shared" si="43"/>
        <v>7</v>
      </c>
      <c r="AH28" s="138">
        <f t="shared" si="18"/>
        <v>31</v>
      </c>
      <c r="AI28" s="138">
        <f t="shared" si="44"/>
        <v>196</v>
      </c>
      <c r="AJ28" s="138">
        <f t="shared" si="45"/>
        <v>213</v>
      </c>
      <c r="AL28" s="136">
        <f t="shared" si="19"/>
        <v>2.984</v>
      </c>
      <c r="AM28" s="258">
        <f t="shared" si="20"/>
        <v>9.2499999999999999E-2</v>
      </c>
      <c r="AN28" s="258">
        <f t="shared" si="21"/>
        <v>0</v>
      </c>
      <c r="AO28" s="258">
        <f t="shared" si="22"/>
        <v>0.11749999999999999</v>
      </c>
      <c r="AP28" s="258">
        <f t="shared" si="23"/>
        <v>0</v>
      </c>
      <c r="AQ28" s="136">
        <f t="shared" si="46"/>
        <v>0</v>
      </c>
      <c r="AR28" s="137">
        <f t="shared" si="24"/>
        <v>0</v>
      </c>
      <c r="AS28" s="136">
        <f t="shared" si="47"/>
        <v>3.0764999999999998</v>
      </c>
      <c r="AT28" s="137">
        <f t="shared" si="48"/>
        <v>2.0428629809483099E-2</v>
      </c>
      <c r="AU28" s="137">
        <f t="shared" si="25"/>
        <v>0.98838218101802544</v>
      </c>
      <c r="AV28" s="394">
        <f t="shared" si="49"/>
        <v>0</v>
      </c>
      <c r="AW28" s="137">
        <f t="shared" si="26"/>
        <v>0.54249999999999998</v>
      </c>
      <c r="AX28" s="137">
        <f t="shared" si="27"/>
        <v>0.68</v>
      </c>
      <c r="AY28" s="137">
        <f t="shared" si="28"/>
        <v>0.68</v>
      </c>
      <c r="AZ28" s="137"/>
      <c r="BA28" s="264"/>
      <c r="BB28" s="258">
        <f t="shared" si="29"/>
        <v>0</v>
      </c>
      <c r="BC28" s="258">
        <f t="shared" si="50"/>
        <v>0</v>
      </c>
      <c r="BD28" s="137">
        <f t="shared" si="51"/>
        <v>1.555944024809186E-4</v>
      </c>
      <c r="BE28" s="137">
        <f t="shared" si="52"/>
        <v>1.555944024809186E-4</v>
      </c>
      <c r="BF28" s="137">
        <f>_xll.xSPRDOPT($BW28,$BV28,$CG28,0,$BY28,$BX28,$BZ28,$AJ28,1,4)*$CB28</f>
        <v>5.9920262422104509</v>
      </c>
      <c r="BG28" s="137">
        <f>_xll.xSPRDOPT($BW28,$BV28,$CG28,0,$BY28,$BX28,$BZ28,$AJ28,1,3)*$CB28</f>
        <v>5.8958166307585396</v>
      </c>
      <c r="BH28" s="137">
        <f>IF(OR(BF28&lt;&gt;0,BG28&lt;&gt;0),_xll.xSPRDOPT($BW28,$BV28,$CG28,0,$BY28,$BX28,$BZ28,$AJ28,1,12)*$CB28,0)</f>
        <v>-5.9437340526545679</v>
      </c>
      <c r="BI28" s="137">
        <f>_xll.xSPRDOPT($BW28,$BV28,$CG28,2*LN(1+CA28/2),$BY28,$BX28,$BZ28,$AJ28,1,9)</f>
        <v>-1.8169794168915718E-2</v>
      </c>
      <c r="BJ28" s="137">
        <f>_xll.xSPRDOPT($BW28,$BV28,$CG28,0,$BY28,$BX28,$BZ28,$AJ28,1,6)*$CB28</f>
        <v>1.9960646412248543E-2</v>
      </c>
      <c r="BK28" s="137">
        <f>_xll.xSPRDOPT($BW28,$BV28,$CG28,0,$BY28,$BX28,$BZ28,$AJ28,1,5)*$CB28</f>
        <v>1.9964461955925765E-2</v>
      </c>
      <c r="BL28" s="137">
        <f>_xll.xSPRDOPT(BW28,BV28,CG28,0,BY28,BX28,BZ28,AJ28,1,2)*CB28</f>
        <v>-0.64773581445116757</v>
      </c>
      <c r="BM28" s="137">
        <f>_xll.xSPRDOPT(BW28,BV28,CG28,0,BY28,BX28,BZ28,AJ28,1,1)*CB28</f>
        <v>0.65489115422910549</v>
      </c>
      <c r="BN28" s="137">
        <f>IF(AH28&lt;&gt;0,_xll.xSPRDOPT($BW28,$BV28,$CG28,2*LN(1+CA28/2),$BY28,$BX28,$BZ28,$AJ28,1,8)+(AJ28/365.25)*CH28/AH28,0)</f>
        <v>-2.2385089164049674E-2</v>
      </c>
      <c r="BO28" s="137">
        <f>_xll.xSPRDOPT($BW28,$BV28,$CG28,0,$BY28,$BX28,$BZ28,$AJ28,1,0)</f>
        <v>3.8843382722903719E-2</v>
      </c>
      <c r="BP28" s="137"/>
      <c r="BQ28" s="137"/>
      <c r="BR28" s="137"/>
      <c r="BS28" s="137"/>
      <c r="BV28" s="262">
        <v>3.0764999999999998</v>
      </c>
      <c r="BW28" s="136">
        <v>3.1015000000000001</v>
      </c>
      <c r="BX28" s="137">
        <v>0.55358186803343246</v>
      </c>
      <c r="BY28" s="137">
        <v>0.55358186803343246</v>
      </c>
      <c r="BZ28" s="137">
        <v>0.99890966861495012</v>
      </c>
      <c r="CA28" s="137">
        <v>2.0428629809483099E-2</v>
      </c>
      <c r="CB28" s="137">
        <v>0.98821719380072837</v>
      </c>
      <c r="CC28" s="258">
        <v>9.2499999999999999E-2</v>
      </c>
      <c r="CD28" s="258">
        <v>0</v>
      </c>
      <c r="CE28" s="258">
        <v>0.11749999999999999</v>
      </c>
      <c r="CF28" s="258">
        <v>0</v>
      </c>
      <c r="CG28" s="258">
        <v>0</v>
      </c>
      <c r="CH28" s="258">
        <v>0</v>
      </c>
      <c r="CI28" s="258">
        <v>2.984</v>
      </c>
      <c r="CJ28" s="258"/>
      <c r="CK28" s="258"/>
      <c r="CL28" s="258"/>
      <c r="CM28" s="258"/>
    </row>
    <row r="29" spans="1:91" x14ac:dyDescent="0.25">
      <c r="A29" s="723"/>
      <c r="B29" s="723"/>
      <c r="D29" s="31">
        <f t="shared" si="30"/>
        <v>37483</v>
      </c>
      <c r="F29" s="28">
        <f t="shared" si="31"/>
        <v>0</v>
      </c>
      <c r="G29" s="28">
        <f t="shared" si="12"/>
        <v>0</v>
      </c>
      <c r="H29" s="52">
        <f t="shared" si="32"/>
        <v>3.1184999999999996</v>
      </c>
      <c r="I29" s="52">
        <f t="shared" si="33"/>
        <v>3.1435</v>
      </c>
      <c r="K29" s="52">
        <f t="shared" si="34"/>
        <v>0.76435822424705702</v>
      </c>
      <c r="L29" s="135">
        <f t="shared" si="35"/>
        <v>0.48423165446422289</v>
      </c>
      <c r="N29" s="131">
        <f t="shared" si="13"/>
        <v>0.55409683176234836</v>
      </c>
      <c r="O29" s="131">
        <f t="shared" si="14"/>
        <v>0.55409683176234836</v>
      </c>
      <c r="P29" s="55">
        <f t="shared" si="36"/>
        <v>0.99889058421302523</v>
      </c>
      <c r="Q29" s="135">
        <f>_xll.xSPRDOPT(I29,H29,AQ29,0,O29,N29,P29,D29-$G$5,1,0)*AH29*AU29</f>
        <v>1.2485898787112799</v>
      </c>
      <c r="R29" s="135"/>
      <c r="S29" s="181">
        <f t="shared" si="37"/>
        <v>0</v>
      </c>
      <c r="T29" s="181">
        <f>_xll.xSPRDOPT(I29,H29,AQ29,AT29,O29,N29,P29,D29-$G$5,1,1)*AF29*F29*AH29</f>
        <v>0</v>
      </c>
      <c r="U29" s="135"/>
      <c r="V29" s="146">
        <f t="shared" si="38"/>
        <v>0</v>
      </c>
      <c r="W29" s="146"/>
      <c r="X29" s="338">
        <f t="shared" si="39"/>
        <v>0</v>
      </c>
      <c r="Y29" s="338">
        <f t="shared" si="15"/>
        <v>0</v>
      </c>
      <c r="Z29" s="338">
        <f t="shared" si="16"/>
        <v>0</v>
      </c>
      <c r="AA29" s="338">
        <f t="shared" si="17"/>
        <v>0</v>
      </c>
      <c r="AB29" s="338">
        <f t="shared" si="40"/>
        <v>0</v>
      </c>
      <c r="AC29" s="338">
        <f t="shared" si="41"/>
        <v>0</v>
      </c>
      <c r="AF29" s="138">
        <f t="shared" si="42"/>
        <v>1</v>
      </c>
      <c r="AG29" s="138">
        <f t="shared" si="43"/>
        <v>8</v>
      </c>
      <c r="AH29" s="138">
        <f t="shared" si="18"/>
        <v>31</v>
      </c>
      <c r="AI29" s="138">
        <f t="shared" si="44"/>
        <v>227</v>
      </c>
      <c r="AJ29" s="138">
        <f t="shared" si="45"/>
        <v>244</v>
      </c>
      <c r="AL29" s="136">
        <f t="shared" si="19"/>
        <v>3.0259999999999998</v>
      </c>
      <c r="AM29" s="258">
        <f t="shared" si="20"/>
        <v>9.2499999999999999E-2</v>
      </c>
      <c r="AN29" s="258">
        <f t="shared" si="21"/>
        <v>0</v>
      </c>
      <c r="AO29" s="258">
        <f t="shared" si="22"/>
        <v>0.11749999999999999</v>
      </c>
      <c r="AP29" s="258">
        <f t="shared" si="23"/>
        <v>0</v>
      </c>
      <c r="AQ29" s="136">
        <f t="shared" si="46"/>
        <v>0</v>
      </c>
      <c r="AR29" s="137">
        <f t="shared" si="24"/>
        <v>0</v>
      </c>
      <c r="AS29" s="136">
        <f t="shared" si="47"/>
        <v>3.1184999999999996</v>
      </c>
      <c r="AT29" s="137">
        <f t="shared" si="48"/>
        <v>2.1065008234303999E-2</v>
      </c>
      <c r="AU29" s="137">
        <f t="shared" si="25"/>
        <v>0.98626867644780158</v>
      </c>
      <c r="AV29" s="394">
        <f t="shared" si="49"/>
        <v>0</v>
      </c>
      <c r="AW29" s="137">
        <f t="shared" si="26"/>
        <v>0.54</v>
      </c>
      <c r="AX29" s="137">
        <f t="shared" si="27"/>
        <v>0.73</v>
      </c>
      <c r="AY29" s="137">
        <f t="shared" si="28"/>
        <v>0.73</v>
      </c>
      <c r="AZ29" s="137"/>
      <c r="BA29" s="264"/>
      <c r="BB29" s="258">
        <f t="shared" si="29"/>
        <v>0</v>
      </c>
      <c r="BC29" s="258">
        <f t="shared" si="50"/>
        <v>0</v>
      </c>
      <c r="BD29" s="137">
        <f t="shared" si="51"/>
        <v>1.7009754209929007E-4</v>
      </c>
      <c r="BE29" s="137">
        <f t="shared" si="52"/>
        <v>1.7009754209929007E-4</v>
      </c>
      <c r="BF29" s="137">
        <f>_xll.xSPRDOPT($BW29,$BV29,$CG29,0,$BY29,$BX29,$BZ29,$AJ29,1,4)*$CB29</f>
        <v>5.5644075269590489</v>
      </c>
      <c r="BG29" s="137">
        <f>_xll.xSPRDOPT($BW29,$BV29,$CG29,0,$BY29,$BX29,$BZ29,$AJ29,1,3)*$CB29</f>
        <v>5.4762528238902952</v>
      </c>
      <c r="BH29" s="137">
        <f>IF(OR(BF29&lt;&gt;0,BG29&lt;&gt;0),_xll.xSPRDOPT($BW29,$BV29,$CG29,0,$BY29,$BX29,$BZ29,$AJ29,1,12)*$CB29,0)</f>
        <v>-5.5201594332093213</v>
      </c>
      <c r="BI29" s="137">
        <f>_xll.xSPRDOPT($BW29,$BV29,$CG29,2*LN(1+CA29/2),$BY29,$BX29,$BZ29,$AJ29,1,9)</f>
        <v>-1.7362976716478674E-2</v>
      </c>
      <c r="BJ29" s="137">
        <f>_xll.xSPRDOPT($BW29,$BV29,$CG29,0,$BY29,$BX29,$BZ29,$AJ29,1,6)*$CB29</f>
        <v>2.1955487766575237E-2</v>
      </c>
      <c r="BK29" s="137">
        <f>_xll.xSPRDOPT($BW29,$BV29,$CG29,0,$BY29,$BX29,$BZ29,$AJ29,1,5)*$CB29</f>
        <v>2.1959408083973456E-2</v>
      </c>
      <c r="BL29" s="137">
        <f>_xll.xSPRDOPT(BW29,BV29,CG29,0,BY29,BX29,BZ29,AJ29,1,2)*CB29</f>
        <v>-0.6338816397242184</v>
      </c>
      <c r="BM29" s="137">
        <f>_xll.xSPRDOPT(BW29,BV29,CG29,0,BY29,BX29,BZ29,AJ29,1,1)*CB29</f>
        <v>0.64165133064677538</v>
      </c>
      <c r="BN29" s="137">
        <f>IF(AH29&lt;&gt;0,_xll.xSPRDOPT($BW29,$BV29,$CG29,2*LN(1+CA29/2),$BY29,$BX29,$BZ29,$AJ29,1,8)+(AJ29/365.25)*CH29/AH29,0)</f>
        <v>-2.6902518937945114E-2</v>
      </c>
      <c r="BO29" s="137">
        <f>_xll.xSPRDOPT($BW29,$BV29,$CG29,0,$BY29,$BX29,$BZ29,$AJ29,1,0)</f>
        <v>4.0838788662293728E-2</v>
      </c>
      <c r="BP29" s="137"/>
      <c r="BQ29" s="137"/>
      <c r="BR29" s="137"/>
      <c r="BS29" s="137"/>
      <c r="BV29" s="262">
        <v>3.1184999999999996</v>
      </c>
      <c r="BW29" s="136">
        <v>3.1435</v>
      </c>
      <c r="BX29" s="137">
        <v>0.55392673422024907</v>
      </c>
      <c r="BY29" s="137">
        <v>0.55392673422024907</v>
      </c>
      <c r="BZ29" s="137">
        <v>0.99890346810181341</v>
      </c>
      <c r="CA29" s="137">
        <v>2.1065008234303999E-2</v>
      </c>
      <c r="CB29" s="137">
        <v>0.98609894066797232</v>
      </c>
      <c r="CC29" s="258">
        <v>9.2499999999999999E-2</v>
      </c>
      <c r="CD29" s="258">
        <v>0</v>
      </c>
      <c r="CE29" s="258">
        <v>0.11749999999999999</v>
      </c>
      <c r="CF29" s="258">
        <v>0</v>
      </c>
      <c r="CG29" s="258">
        <v>0</v>
      </c>
      <c r="CH29" s="258">
        <v>0</v>
      </c>
      <c r="CI29" s="258">
        <v>3.0259999999999998</v>
      </c>
      <c r="CJ29" s="258"/>
      <c r="CK29" s="258"/>
      <c r="CL29" s="258"/>
      <c r="CM29" s="258"/>
    </row>
    <row r="30" spans="1:91" x14ac:dyDescent="0.25">
      <c r="A30" s="723"/>
      <c r="B30" s="723"/>
      <c r="D30" s="31">
        <f t="shared" si="30"/>
        <v>37514</v>
      </c>
      <c r="F30" s="28">
        <f t="shared" si="31"/>
        <v>0</v>
      </c>
      <c r="G30" s="28">
        <f t="shared" si="12"/>
        <v>0</v>
      </c>
      <c r="H30" s="52">
        <f t="shared" si="32"/>
        <v>3.1104999999999996</v>
      </c>
      <c r="I30" s="52">
        <f t="shared" si="33"/>
        <v>3.1355</v>
      </c>
      <c r="K30" s="52">
        <f t="shared" si="34"/>
        <v>0.73804096617569726</v>
      </c>
      <c r="L30" s="135">
        <f t="shared" si="35"/>
        <v>0.45081231489308116</v>
      </c>
      <c r="N30" s="131">
        <f t="shared" si="13"/>
        <v>0.55213969406142294</v>
      </c>
      <c r="O30" s="131">
        <f t="shared" si="14"/>
        <v>0.55213969406142294</v>
      </c>
      <c r="P30" s="55">
        <f t="shared" si="36"/>
        <v>0.9990395463933881</v>
      </c>
      <c r="Q30" s="135">
        <f>_xll.xSPRDOPT(I30,H30,AQ30,0,O30,N30,P30,D30-$G$5,1,0)*AH30*AU30</f>
        <v>1.1888532810687784</v>
      </c>
      <c r="R30" s="135"/>
      <c r="S30" s="181">
        <f t="shared" si="37"/>
        <v>0</v>
      </c>
      <c r="T30" s="181">
        <f>_xll.xSPRDOPT(I30,H30,AQ30,AT30,O30,N30,P30,D30-$G$5,1,1)*AF30*F30*AH30</f>
        <v>0</v>
      </c>
      <c r="U30" s="135"/>
      <c r="V30" s="146">
        <f t="shared" si="38"/>
        <v>0</v>
      </c>
      <c r="W30" s="146"/>
      <c r="X30" s="338">
        <f t="shared" si="39"/>
        <v>0</v>
      </c>
      <c r="Y30" s="338">
        <f t="shared" si="15"/>
        <v>0</v>
      </c>
      <c r="Z30" s="338">
        <f t="shared" si="16"/>
        <v>0</v>
      </c>
      <c r="AA30" s="338">
        <f t="shared" si="17"/>
        <v>0</v>
      </c>
      <c r="AB30" s="338">
        <f t="shared" si="40"/>
        <v>0</v>
      </c>
      <c r="AC30" s="338">
        <f t="shared" si="41"/>
        <v>0</v>
      </c>
      <c r="AF30" s="138">
        <f t="shared" si="42"/>
        <v>1</v>
      </c>
      <c r="AG30" s="138">
        <f t="shared" si="43"/>
        <v>9</v>
      </c>
      <c r="AH30" s="138">
        <f t="shared" si="18"/>
        <v>30</v>
      </c>
      <c r="AI30" s="138">
        <f t="shared" si="44"/>
        <v>258</v>
      </c>
      <c r="AJ30" s="138">
        <f t="shared" si="45"/>
        <v>275</v>
      </c>
      <c r="AL30" s="136">
        <f t="shared" si="19"/>
        <v>3.0179999999999998</v>
      </c>
      <c r="AM30" s="258">
        <f t="shared" si="20"/>
        <v>9.2499999999999999E-2</v>
      </c>
      <c r="AN30" s="258">
        <f t="shared" si="21"/>
        <v>0</v>
      </c>
      <c r="AO30" s="258">
        <f t="shared" si="22"/>
        <v>0.11749999999999999</v>
      </c>
      <c r="AP30" s="258">
        <f t="shared" si="23"/>
        <v>0</v>
      </c>
      <c r="AQ30" s="136">
        <f t="shared" si="46"/>
        <v>0</v>
      </c>
      <c r="AR30" s="137">
        <f t="shared" si="24"/>
        <v>0</v>
      </c>
      <c r="AS30" s="136">
        <f t="shared" si="47"/>
        <v>3.1104999999999996</v>
      </c>
      <c r="AT30" s="137">
        <f t="shared" si="48"/>
        <v>2.1701386796276499E-2</v>
      </c>
      <c r="AU30" s="137">
        <f t="shared" si="25"/>
        <v>0.98405462156758228</v>
      </c>
      <c r="AV30" s="394">
        <f t="shared" si="49"/>
        <v>0</v>
      </c>
      <c r="AW30" s="137">
        <f t="shared" si="26"/>
        <v>0.54</v>
      </c>
      <c r="AX30" s="137">
        <f t="shared" si="27"/>
        <v>0.73</v>
      </c>
      <c r="AY30" s="137">
        <f t="shared" si="28"/>
        <v>0.73</v>
      </c>
      <c r="AZ30" s="137"/>
      <c r="BA30" s="264"/>
      <c r="BB30" s="258">
        <f t="shared" si="29"/>
        <v>0</v>
      </c>
      <c r="BC30" s="258">
        <f t="shared" si="50"/>
        <v>0</v>
      </c>
      <c r="BD30" s="137">
        <f t="shared" si="51"/>
        <v>1.3051801922825401E-4</v>
      </c>
      <c r="BE30" s="137">
        <f t="shared" si="52"/>
        <v>1.3051801922825401E-4</v>
      </c>
      <c r="BF30" s="137">
        <f>_xll.xSPRDOPT($BW30,$BV30,$CG30,0,$BY30,$BX30,$BZ30,$AJ30,1,4)*$CB30</f>
        <v>5.2421718350471407</v>
      </c>
      <c r="BG30" s="137">
        <f>_xll.xSPRDOPT($BW30,$BV30,$CG30,0,$BY30,$BX30,$BZ30,$AJ30,1,3)*$CB30</f>
        <v>5.1589111474455907</v>
      </c>
      <c r="BH30" s="137">
        <f>IF(OR(BF30&lt;&gt;0,BG30&lt;&gt;0),_xll.xSPRDOPT($BW30,$BV30,$CG30,0,$BY30,$BX30,$BZ30,$AJ30,1,12)*$CB30,0)</f>
        <v>-5.2003796592118894</v>
      </c>
      <c r="BI30" s="137">
        <f>_xll.xSPRDOPT($BW30,$BV30,$CG30,2*LN(1+CA30/2),$BY30,$BX30,$BZ30,$AJ30,1,9)</f>
        <v>-1.4936768263810027E-2</v>
      </c>
      <c r="BJ30" s="137">
        <f>_xll.xSPRDOPT($BW30,$BV30,$CG30,0,$BY30,$BX30,$BZ30,$AJ30,1,6)*$CB30</f>
        <v>2.1541322989039179E-2</v>
      </c>
      <c r="BK30" s="137">
        <f>_xll.xSPRDOPT($BW30,$BV30,$CG30,0,$BY30,$BX30,$BZ30,$AJ30,1,5)*$CB30</f>
        <v>2.1545225817568767E-2</v>
      </c>
      <c r="BL30" s="137">
        <f>_xll.xSPRDOPT(BW30,BV30,CG30,0,BY30,BX30,BZ30,AJ30,1,2)*CB30</f>
        <v>-0.64881739586441678</v>
      </c>
      <c r="BM30" s="137">
        <f>_xll.xSPRDOPT(BW30,BV30,CG30,0,BY30,BX30,BZ30,AJ30,1,1)*CB30</f>
        <v>0.65626962109607956</v>
      </c>
      <c r="BN30" s="137">
        <f>IF(AH30&lt;&gt;0,_xll.xSPRDOPT($BW30,$BV30,$CG30,2*LN(1+CA30/2),$BY30,$BX30,$BZ30,$AJ30,1,8)+(AJ30/365.25)*CH30/AH30,0)</f>
        <v>-2.9931974360996157E-2</v>
      </c>
      <c r="BO30" s="137">
        <f>_xll.xSPRDOPT($BW30,$BV30,$CG30,0,$BY30,$BX30,$BZ30,$AJ30,1,0)</f>
        <v>4.0235495986524809E-2</v>
      </c>
      <c r="BP30" s="137"/>
      <c r="BQ30" s="137"/>
      <c r="BR30" s="137"/>
      <c r="BS30" s="137"/>
      <c r="BV30" s="262">
        <v>3.1104999999999996</v>
      </c>
      <c r="BW30" s="136">
        <v>3.1355</v>
      </c>
      <c r="BX30" s="137">
        <v>0.55200917604219468</v>
      </c>
      <c r="BY30" s="137">
        <v>0.55200917604219468</v>
      </c>
      <c r="BZ30" s="137">
        <v>0.99904953680748521</v>
      </c>
      <c r="CA30" s="137">
        <v>2.1701386796276499E-2</v>
      </c>
      <c r="CB30" s="137">
        <v>0.98388017854127463</v>
      </c>
      <c r="CC30" s="258">
        <v>9.2499999999999999E-2</v>
      </c>
      <c r="CD30" s="258">
        <v>0</v>
      </c>
      <c r="CE30" s="258">
        <v>0.11749999999999999</v>
      </c>
      <c r="CF30" s="258">
        <v>0</v>
      </c>
      <c r="CG30" s="258">
        <v>0</v>
      </c>
      <c r="CH30" s="258">
        <v>0</v>
      </c>
      <c r="CI30" s="258">
        <v>3.0179999999999998</v>
      </c>
      <c r="CJ30" s="258"/>
      <c r="CK30" s="258"/>
      <c r="CL30" s="258"/>
      <c r="CM30" s="258"/>
    </row>
    <row r="31" spans="1:91" x14ac:dyDescent="0.25">
      <c r="A31" s="723"/>
      <c r="B31" s="723"/>
      <c r="D31" s="31">
        <f t="shared" si="30"/>
        <v>37544</v>
      </c>
      <c r="F31" s="28">
        <f t="shared" si="31"/>
        <v>0</v>
      </c>
      <c r="G31" s="28">
        <f t="shared" si="12"/>
        <v>0</v>
      </c>
      <c r="H31" s="52">
        <f t="shared" si="32"/>
        <v>3.1234999999999999</v>
      </c>
      <c r="I31" s="52">
        <f t="shared" si="33"/>
        <v>3.1485000000000003</v>
      </c>
      <c r="K31" s="52">
        <f t="shared" si="34"/>
        <v>0.76085032399496821</v>
      </c>
      <c r="L31" s="135">
        <f t="shared" si="35"/>
        <v>0.53546293417646917</v>
      </c>
      <c r="N31" s="131">
        <f t="shared" si="13"/>
        <v>0.554778552374395</v>
      </c>
      <c r="O31" s="131">
        <f t="shared" si="14"/>
        <v>0.554778552374395</v>
      </c>
      <c r="P31" s="55">
        <f t="shared" si="36"/>
        <v>0.99899046150881576</v>
      </c>
      <c r="Q31" s="135">
        <f>_xll.xSPRDOPT(I31,H31,AQ31,0,O31,N31,P31,D31-$G$5,1,0)*AH31*AU31</f>
        <v>1.2963132581714374</v>
      </c>
      <c r="R31" s="135"/>
      <c r="S31" s="181">
        <f t="shared" si="37"/>
        <v>0</v>
      </c>
      <c r="T31" s="181">
        <f>_xll.xSPRDOPT(I31,H31,AQ31,AT31,O31,N31,P31,D31-$G$5,1,1)*AF31*F31*AH31</f>
        <v>0</v>
      </c>
      <c r="U31" s="135"/>
      <c r="V31" s="146">
        <f t="shared" si="38"/>
        <v>0</v>
      </c>
      <c r="W31" s="146"/>
      <c r="X31" s="338">
        <f t="shared" si="39"/>
        <v>0</v>
      </c>
      <c r="Y31" s="338">
        <f t="shared" si="15"/>
        <v>0</v>
      </c>
      <c r="Z31" s="338">
        <f t="shared" si="16"/>
        <v>0</v>
      </c>
      <c r="AA31" s="338">
        <f t="shared" si="17"/>
        <v>0</v>
      </c>
      <c r="AB31" s="338">
        <f t="shared" si="40"/>
        <v>0</v>
      </c>
      <c r="AC31" s="338">
        <f t="shared" si="41"/>
        <v>0</v>
      </c>
      <c r="AF31" s="138">
        <f t="shared" si="42"/>
        <v>1</v>
      </c>
      <c r="AG31" s="138">
        <f t="shared" si="43"/>
        <v>10</v>
      </c>
      <c r="AH31" s="138">
        <f t="shared" si="18"/>
        <v>31</v>
      </c>
      <c r="AI31" s="138">
        <f t="shared" si="44"/>
        <v>288</v>
      </c>
      <c r="AJ31" s="138">
        <f t="shared" si="45"/>
        <v>305</v>
      </c>
      <c r="AL31" s="136">
        <f t="shared" si="19"/>
        <v>3.0310000000000001</v>
      </c>
      <c r="AM31" s="258">
        <f t="shared" si="20"/>
        <v>9.2499999999999999E-2</v>
      </c>
      <c r="AN31" s="258">
        <f t="shared" si="21"/>
        <v>0</v>
      </c>
      <c r="AO31" s="258">
        <f t="shared" si="22"/>
        <v>0.11749999999999999</v>
      </c>
      <c r="AP31" s="258">
        <f t="shared" si="23"/>
        <v>0</v>
      </c>
      <c r="AQ31" s="136">
        <f t="shared" si="46"/>
        <v>0</v>
      </c>
      <c r="AR31" s="137">
        <f t="shared" si="24"/>
        <v>0</v>
      </c>
      <c r="AS31" s="136">
        <f t="shared" si="47"/>
        <v>3.1234999999999999</v>
      </c>
      <c r="AT31" s="137">
        <f t="shared" si="48"/>
        <v>2.2410164045373999E-2</v>
      </c>
      <c r="AU31" s="137">
        <f t="shared" si="25"/>
        <v>0.98174235354188055</v>
      </c>
      <c r="AV31" s="394">
        <f t="shared" si="49"/>
        <v>0</v>
      </c>
      <c r="AW31" s="137">
        <f t="shared" si="26"/>
        <v>0.54</v>
      </c>
      <c r="AX31" s="137">
        <f t="shared" si="27"/>
        <v>0.78</v>
      </c>
      <c r="AY31" s="137">
        <f t="shared" si="28"/>
        <v>0.78</v>
      </c>
      <c r="AZ31" s="137"/>
      <c r="BA31" s="264"/>
      <c r="BB31" s="258">
        <f t="shared" si="29"/>
        <v>0</v>
      </c>
      <c r="BC31" s="258">
        <f t="shared" si="50"/>
        <v>0</v>
      </c>
      <c r="BD31" s="137">
        <f t="shared" si="51"/>
        <v>1.4274311435447107E-4</v>
      </c>
      <c r="BE31" s="137">
        <f t="shared" si="52"/>
        <v>1.4274311435447107E-4</v>
      </c>
      <c r="BF31" s="137">
        <f>_xll.xSPRDOPT($BW31,$BV31,$CG31,0,$BY31,$BX31,$BZ31,$AJ31,1,4)*$CB31</f>
        <v>5.2193673605416651</v>
      </c>
      <c r="BG31" s="137">
        <f>_xll.xSPRDOPT($BW31,$BV31,$CG31,0,$BY31,$BX31,$BZ31,$AJ31,1,3)*$CB31</f>
        <v>5.1368097825959227</v>
      </c>
      <c r="BH31" s="137">
        <f>IF(OR(BF31&lt;&gt;0,BG31&lt;&gt;0),_xll.xSPRDOPT($BW31,$BV31,$CG31,0,$BY31,$BX31,$BZ31,$AJ31,1,12)*$CB31,0)</f>
        <v>-5.17792753774674</v>
      </c>
      <c r="BI31" s="137">
        <f>_xll.xSPRDOPT($BW31,$BV31,$CG31,2*LN(1+CA31/2),$BY31,$BX31,$BZ31,$AJ31,1,9)</f>
        <v>-1.4735381525996707E-2</v>
      </c>
      <c r="BJ31" s="137">
        <f>_xll.xSPRDOPT($BW31,$BV31,$CG31,0,$BY31,$BX31,$BZ31,$AJ31,1,6)*$CB31</f>
        <v>2.3586153899526684E-2</v>
      </c>
      <c r="BK31" s="137">
        <f>_xll.xSPRDOPT($BW31,$BV31,$CG31,0,$BY31,$BX31,$BZ31,$AJ31,1,5)*$CB31</f>
        <v>2.3589818169597154E-2</v>
      </c>
      <c r="BL31" s="137">
        <f>_xll.xSPRDOPT(BW31,BV31,CG31,0,BY31,BX31,BZ31,AJ31,1,2)*CB31</f>
        <v>-0.62152851850105395</v>
      </c>
      <c r="BM31" s="137">
        <f>_xll.xSPRDOPT(BW31,BV31,CG31,0,BY31,BX31,BZ31,AJ31,1,1)*CB31</f>
        <v>0.62987258792885015</v>
      </c>
      <c r="BN31" s="137">
        <f>IF(AH31&lt;&gt;0,_xll.xSPRDOPT($BW31,$BV31,$CG31,2*LN(1+CA31/2),$BY31,$BX31,$BZ31,$AJ31,1,8)+(AJ31/365.25)*CH31/AH31,0)</f>
        <v>-3.4912825312248763E-2</v>
      </c>
      <c r="BO31" s="137">
        <f>_xll.xSPRDOPT($BW31,$BV31,$CG31,0,$BY31,$BX31,$BZ31,$AJ31,1,0)</f>
        <v>4.2594874996350153E-2</v>
      </c>
      <c r="BP31" s="137"/>
      <c r="BQ31" s="137"/>
      <c r="BR31" s="137"/>
      <c r="BS31" s="137"/>
      <c r="BV31" s="262">
        <v>3.1234999999999999</v>
      </c>
      <c r="BW31" s="136">
        <v>3.1485000000000003</v>
      </c>
      <c r="BX31" s="137">
        <v>0.55463580926004052</v>
      </c>
      <c r="BY31" s="137">
        <v>0.55463580926004052</v>
      </c>
      <c r="BZ31" s="137">
        <v>0.99899982818197419</v>
      </c>
      <c r="CA31" s="137">
        <v>2.2410164045373999E-2</v>
      </c>
      <c r="CB31" s="137">
        <v>0.98156266847823481</v>
      </c>
      <c r="CC31" s="258">
        <v>9.2499999999999999E-2</v>
      </c>
      <c r="CD31" s="258">
        <v>0</v>
      </c>
      <c r="CE31" s="258">
        <v>0.11749999999999999</v>
      </c>
      <c r="CF31" s="258">
        <v>0</v>
      </c>
      <c r="CG31" s="258">
        <v>0</v>
      </c>
      <c r="CH31" s="258">
        <v>0</v>
      </c>
      <c r="CI31" s="258">
        <v>3.0310000000000001</v>
      </c>
      <c r="CJ31" s="258"/>
      <c r="CK31" s="258"/>
      <c r="CL31" s="258"/>
      <c r="CM31" s="258"/>
    </row>
    <row r="32" spans="1:91" x14ac:dyDescent="0.25">
      <c r="A32" s="723"/>
      <c r="B32" s="723"/>
      <c r="D32" s="31">
        <f t="shared" si="30"/>
        <v>37575</v>
      </c>
      <c r="F32" s="28">
        <f t="shared" si="31"/>
        <v>9189</v>
      </c>
      <c r="G32" s="28">
        <f t="shared" si="12"/>
        <v>8997.1743331317612</v>
      </c>
      <c r="H32" s="52">
        <f t="shared" si="32"/>
        <v>3.536</v>
      </c>
      <c r="I32" s="52">
        <f t="shared" si="33"/>
        <v>3.5459999999999998</v>
      </c>
      <c r="K32" s="52">
        <f t="shared" si="34"/>
        <v>0.29373732723250312</v>
      </c>
      <c r="L32" s="135">
        <f t="shared" si="35"/>
        <v>0.86921842697667817</v>
      </c>
      <c r="N32" s="131">
        <f t="shared" si="13"/>
        <v>0.55763051961597798</v>
      </c>
      <c r="O32" s="131">
        <f t="shared" si="14"/>
        <v>0.55763051961597798</v>
      </c>
      <c r="P32" s="55">
        <f t="shared" si="36"/>
        <v>0.99895650691955085</v>
      </c>
      <c r="Q32" s="135">
        <f>_xll.xSPRDOPT(I32,H32,AQ32,0,O32,N32,P32,D32-$G$5,1,0)*AH32*AU32</f>
        <v>1.1629557542091813</v>
      </c>
      <c r="R32" s="135"/>
      <c r="S32" s="181">
        <f t="shared" si="37"/>
        <v>-148713.22012299835</v>
      </c>
      <c r="T32" s="181">
        <f>_xll.xSPRDOPT(I32,H32,AQ32,AT32,O32,N32,P32,D32-$G$5,1,1)*AF32*F32*AH32</f>
        <v>148713.22012299835</v>
      </c>
      <c r="U32" s="135"/>
      <c r="V32" s="146">
        <f t="shared" si="38"/>
        <v>0</v>
      </c>
      <c r="W32" s="146"/>
      <c r="X32" s="338">
        <f t="shared" si="39"/>
        <v>0</v>
      </c>
      <c r="Y32" s="338">
        <f t="shared" si="15"/>
        <v>0</v>
      </c>
      <c r="Z32" s="338">
        <f t="shared" si="16"/>
        <v>-39.085488534602575</v>
      </c>
      <c r="AA32" s="338">
        <f t="shared" si="17"/>
        <v>2.5522926075214034</v>
      </c>
      <c r="AB32" s="338">
        <f t="shared" si="40"/>
        <v>0</v>
      </c>
      <c r="AC32" s="338">
        <f t="shared" si="41"/>
        <v>2.0424770128551937</v>
      </c>
      <c r="AF32" s="138">
        <f t="shared" si="42"/>
        <v>1</v>
      </c>
      <c r="AG32" s="138">
        <f t="shared" si="43"/>
        <v>11</v>
      </c>
      <c r="AH32" s="138">
        <f t="shared" si="18"/>
        <v>30</v>
      </c>
      <c r="AI32" s="138">
        <f t="shared" si="44"/>
        <v>319</v>
      </c>
      <c r="AJ32" s="138">
        <f t="shared" si="45"/>
        <v>336</v>
      </c>
      <c r="AL32" s="136">
        <f t="shared" si="19"/>
        <v>3.2109999999999999</v>
      </c>
      <c r="AM32" s="258">
        <f t="shared" si="20"/>
        <v>0.32500000000000001</v>
      </c>
      <c r="AN32" s="258">
        <f t="shared" si="21"/>
        <v>0</v>
      </c>
      <c r="AO32" s="258">
        <f t="shared" si="22"/>
        <v>0.33500000000000002</v>
      </c>
      <c r="AP32" s="258">
        <f t="shared" si="23"/>
        <v>0</v>
      </c>
      <c r="AQ32" s="136">
        <f t="shared" si="46"/>
        <v>0</v>
      </c>
      <c r="AR32" s="137">
        <f t="shared" si="24"/>
        <v>0</v>
      </c>
      <c r="AS32" s="136">
        <f t="shared" si="47"/>
        <v>3.536</v>
      </c>
      <c r="AT32" s="137">
        <f t="shared" si="48"/>
        <v>2.3274064967752799E-2</v>
      </c>
      <c r="AU32" s="137">
        <f t="shared" si="25"/>
        <v>0.97912442410836453</v>
      </c>
      <c r="AV32" s="394">
        <f t="shared" si="49"/>
        <v>0</v>
      </c>
      <c r="AW32" s="137">
        <f t="shared" si="26"/>
        <v>0.54</v>
      </c>
      <c r="AX32" s="137">
        <f t="shared" si="27"/>
        <v>0.85</v>
      </c>
      <c r="AY32" s="137">
        <f t="shared" si="28"/>
        <v>0.85</v>
      </c>
      <c r="AZ32" s="137"/>
      <c r="BA32" s="264"/>
      <c r="BB32" s="258">
        <f t="shared" si="29"/>
        <v>0</v>
      </c>
      <c r="BC32" s="258">
        <f t="shared" si="50"/>
        <v>0</v>
      </c>
      <c r="BD32" s="137">
        <f t="shared" si="51"/>
        <v>1.5448854150035274E-4</v>
      </c>
      <c r="BE32" s="137">
        <f t="shared" si="52"/>
        <v>1.5448854150035274E-4</v>
      </c>
      <c r="BF32" s="137">
        <f>_xll.xSPRDOPT($BW32,$BV32,$CG32,0,$BY32,$BX32,$BZ32,$AJ32,1,4)*$CB32</f>
        <v>4.5161480984531437</v>
      </c>
      <c r="BG32" s="137">
        <f>_xll.xSPRDOPT($BW32,$BV32,$CG32,0,$BY32,$BX32,$BZ32,$AJ32,1,3)*$CB32</f>
        <v>4.4907121830791281</v>
      </c>
      <c r="BH32" s="137">
        <f>IF(OR(BF32&lt;&gt;0,BG32&lt;&gt;0),_xll.xSPRDOPT($BW32,$BV32,$CG32,0,$BY32,$BX32,$BZ32,$AJ32,1,12)*$CB32,0)</f>
        <v>-4.503403333089457</v>
      </c>
      <c r="BI32" s="137">
        <f>_xll.xSPRDOPT($BW32,$BV32,$CG32,2*LN(1+CA32/2),$BY32,$BX32,$BZ32,$AJ32,1,9)</f>
        <v>-1.7262154855761828E-2</v>
      </c>
      <c r="BJ32" s="137">
        <f>_xll.xSPRDOPT($BW32,$BV32,$CG32,0,$BY32,$BX32,$BZ32,$AJ32,1,6)*$CB32</f>
        <v>2.9983501461198221E-2</v>
      </c>
      <c r="BK32" s="137">
        <f>_xll.xSPRDOPT($BW32,$BV32,$CG32,0,$BY32,$BX32,$BZ32,$AJ32,1,5)*$CB32</f>
        <v>2.994655450155638E-2</v>
      </c>
      <c r="BL32" s="137">
        <f>_xll.xSPRDOPT(BW32,BV32,CG32,0,BY32,BX32,BZ32,AJ32,1,2)*CB32</f>
        <v>-0.52998851263007185</v>
      </c>
      <c r="BM32" s="137">
        <f>_xll.xSPRDOPT(BW32,BV32,CG32,0,BY32,BX32,BZ32,AJ32,1,1)*CB32</f>
        <v>0.53942404772342578</v>
      </c>
      <c r="BN32" s="137">
        <f>IF(AH32&lt;&gt;0,_xll.xSPRDOPT($BW32,$BV32,$CG32,2*LN(1+CA32/2),$BY32,$BX32,$BZ32,$AJ32,1,8)+(AJ32/365.25)*CH32/AH32,0)</f>
        <v>-3.5654426200723566E-2</v>
      </c>
      <c r="BO32" s="137">
        <f>_xll.xSPRDOPT($BW32,$BV32,$CG32,0,$BY32,$BX32,$BZ32,$AJ32,1,0)</f>
        <v>3.9592147273063427E-2</v>
      </c>
      <c r="BP32" s="137"/>
      <c r="BQ32" s="137"/>
      <c r="BR32" s="137"/>
      <c r="BS32" s="137"/>
      <c r="BV32" s="262">
        <v>3.536</v>
      </c>
      <c r="BW32" s="136">
        <v>3.5459999999999998</v>
      </c>
      <c r="BX32" s="137">
        <v>0.55747603107447763</v>
      </c>
      <c r="BY32" s="137">
        <v>0.55747603107447763</v>
      </c>
      <c r="BZ32" s="137">
        <v>0.99896522289600087</v>
      </c>
      <c r="CA32" s="137">
        <v>2.3274064967752799E-2</v>
      </c>
      <c r="CB32" s="137">
        <v>0.97893835036076038</v>
      </c>
      <c r="CC32" s="258">
        <v>0.32500000000000001</v>
      </c>
      <c r="CD32" s="258">
        <v>0</v>
      </c>
      <c r="CE32" s="258">
        <v>0.33500000000000002</v>
      </c>
      <c r="CF32" s="258">
        <v>0</v>
      </c>
      <c r="CG32" s="258">
        <v>0</v>
      </c>
      <c r="CH32" s="258">
        <v>0</v>
      </c>
      <c r="CI32" s="258">
        <v>3.2109999999999999</v>
      </c>
      <c r="CJ32" s="258"/>
      <c r="CK32" s="258"/>
      <c r="CL32" s="258"/>
      <c r="CM32" s="258"/>
    </row>
    <row r="33" spans="1:91" x14ac:dyDescent="0.25">
      <c r="A33" s="723"/>
      <c r="B33" s="723"/>
      <c r="D33" s="31">
        <f t="shared" si="30"/>
        <v>37605</v>
      </c>
      <c r="F33" s="28">
        <f t="shared" si="31"/>
        <v>9189</v>
      </c>
      <c r="G33" s="28">
        <f t="shared" si="12"/>
        <v>8972.719604072221</v>
      </c>
      <c r="H33" s="52">
        <f t="shared" si="32"/>
        <v>3.726</v>
      </c>
      <c r="I33" s="52">
        <f t="shared" si="33"/>
        <v>3.7359999999999998</v>
      </c>
      <c r="K33" s="52">
        <f t="shared" si="34"/>
        <v>0.30270356701080953</v>
      </c>
      <c r="L33" s="135">
        <f t="shared" si="35"/>
        <v>1.3598171289860213</v>
      </c>
      <c r="N33" s="131">
        <f t="shared" si="13"/>
        <v>0.57917009354464755</v>
      </c>
      <c r="O33" s="131">
        <f t="shared" si="14"/>
        <v>0.57917009354464755</v>
      </c>
      <c r="P33" s="55">
        <f t="shared" si="36"/>
        <v>0.99832344583152555</v>
      </c>
      <c r="Q33" s="135">
        <f>_xll.xSPRDOPT(I33,H33,AQ33,0,O33,N33,P33,D33-$G$5,1,0)*AH33*AU33</f>
        <v>1.6625206959968308</v>
      </c>
      <c r="R33" s="135"/>
      <c r="S33" s="181">
        <f t="shared" si="37"/>
        <v>-149789.72317941443</v>
      </c>
      <c r="T33" s="181">
        <f>_xll.xSPRDOPT(I33,H33,AQ33,AT33,O33,N33,P33,D33-$G$5,1,1)*AF33*F33*AH33</f>
        <v>149789.72317941443</v>
      </c>
      <c r="U33" s="135"/>
      <c r="V33" s="146">
        <f t="shared" si="38"/>
        <v>0</v>
      </c>
      <c r="W33" s="146"/>
      <c r="X33" s="338">
        <f t="shared" si="39"/>
        <v>0</v>
      </c>
      <c r="Y33" s="338">
        <f t="shared" si="15"/>
        <v>0</v>
      </c>
      <c r="Z33" s="338">
        <f t="shared" si="16"/>
        <v>-53.524300137014826</v>
      </c>
      <c r="AA33" s="338">
        <f t="shared" si="17"/>
        <v>7.3636968778756877</v>
      </c>
      <c r="AB33" s="338">
        <f t="shared" si="40"/>
        <v>0</v>
      </c>
      <c r="AC33" s="338">
        <f t="shared" si="41"/>
        <v>3.0247288522132667</v>
      </c>
      <c r="AF33" s="138">
        <f t="shared" si="42"/>
        <v>1</v>
      </c>
      <c r="AG33" s="138">
        <f t="shared" si="43"/>
        <v>12</v>
      </c>
      <c r="AH33" s="138">
        <f t="shared" si="18"/>
        <v>31</v>
      </c>
      <c r="AI33" s="138">
        <f t="shared" si="44"/>
        <v>349</v>
      </c>
      <c r="AJ33" s="138">
        <f t="shared" si="45"/>
        <v>366</v>
      </c>
      <c r="AL33" s="136">
        <f t="shared" si="19"/>
        <v>3.371</v>
      </c>
      <c r="AM33" s="258">
        <f t="shared" si="20"/>
        <v>0.35499999999999998</v>
      </c>
      <c r="AN33" s="258">
        <f t="shared" si="21"/>
        <v>0</v>
      </c>
      <c r="AO33" s="258">
        <f t="shared" si="22"/>
        <v>0.36499999999999999</v>
      </c>
      <c r="AP33" s="258">
        <f t="shared" si="23"/>
        <v>0</v>
      </c>
      <c r="AQ33" s="136">
        <f t="shared" si="46"/>
        <v>0</v>
      </c>
      <c r="AR33" s="137">
        <f t="shared" si="24"/>
        <v>0</v>
      </c>
      <c r="AS33" s="136">
        <f t="shared" si="47"/>
        <v>3.726</v>
      </c>
      <c r="AT33" s="137">
        <f t="shared" si="48"/>
        <v>2.4110098358835999E-2</v>
      </c>
      <c r="AU33" s="137">
        <f t="shared" si="25"/>
        <v>0.97646311938972907</v>
      </c>
      <c r="AV33" s="394">
        <f t="shared" si="49"/>
        <v>0</v>
      </c>
      <c r="AW33" s="137">
        <f t="shared" si="26"/>
        <v>0.54</v>
      </c>
      <c r="AX33" s="137">
        <f t="shared" si="27"/>
        <v>1.1499999999999999</v>
      </c>
      <c r="AY33" s="137">
        <f t="shared" si="28"/>
        <v>1.1499999999999999</v>
      </c>
      <c r="AZ33" s="137"/>
      <c r="BA33" s="264"/>
      <c r="BB33" s="258">
        <f t="shared" si="29"/>
        <v>0</v>
      </c>
      <c r="BC33" s="258">
        <f t="shared" si="50"/>
        <v>0</v>
      </c>
      <c r="BD33" s="137">
        <f t="shared" si="51"/>
        <v>3.0902553746003925E-4</v>
      </c>
      <c r="BE33" s="137">
        <f t="shared" si="52"/>
        <v>3.0902553746003925E-4</v>
      </c>
      <c r="BF33" s="137">
        <f>_xll.xSPRDOPT($BW33,$BV33,$CG33,0,$BY33,$BX33,$BZ33,$AJ33,1,4)*$CB33</f>
        <v>3.120096675414993</v>
      </c>
      <c r="BG33" s="137">
        <f>_xll.xSPRDOPT($BW33,$BV33,$CG33,0,$BY33,$BX33,$BZ33,$AJ33,1,3)*$CB33</f>
        <v>3.1034161021753284</v>
      </c>
      <c r="BH33" s="137">
        <f>IF(OR(BF33&lt;&gt;0,BG33&lt;&gt;0),_xll.xSPRDOPT($BW33,$BV33,$CG33,0,$BY33,$BX33,$BZ33,$AJ33,1,12)*$CB33,0)</f>
        <v>-3.1117416739899708</v>
      </c>
      <c r="BI33" s="137">
        <f>_xll.xSPRDOPT($BW33,$BV33,$CG33,2*LN(1+CA33/2),$BY33,$BX33,$BZ33,$AJ33,1,9)</f>
        <v>-2.2876523268289064E-2</v>
      </c>
      <c r="BJ33" s="137">
        <f>_xll.xSPRDOPT($BW33,$BV33,$CG33,0,$BY33,$BX33,$BZ33,$AJ33,1,6)*$CB33</f>
        <v>4.1858343077129996E-2</v>
      </c>
      <c r="BK33" s="137">
        <f>_xll.xSPRDOPT($BW33,$BV33,$CG33,0,$BY33,$BX33,$BZ33,$AJ33,1,5)*$CB33</f>
        <v>4.1792743574079569E-2</v>
      </c>
      <c r="BL33" s="137">
        <f>_xll.xSPRDOPT(BW33,BV33,CG33,0,BY33,BX33,BZ33,AJ33,1,2)*CB33</f>
        <v>-0.51282995138924037</v>
      </c>
      <c r="BM33" s="137">
        <f>_xll.xSPRDOPT(BW33,BV33,CG33,0,BY33,BX33,BZ33,AJ33,1,1)*CB33</f>
        <v>0.52580954594701368</v>
      </c>
      <c r="BN33" s="137">
        <f>IF(AH33&lt;&gt;0,_xll.xSPRDOPT($BW33,$BV33,$CG33,2*LN(1+CA33/2),$BY33,$BX33,$BZ33,$AJ33,1,8)+(AJ33/365.25)*CH33/AH33,0)</f>
        <v>-5.3730063295728735E-2</v>
      </c>
      <c r="BO33" s="137">
        <f>_xll.xSPRDOPT($BW33,$BV33,$CG33,0,$BY33,$BX33,$BZ33,$AJ33,1,0)</f>
        <v>5.4923238292787696E-2</v>
      </c>
      <c r="BP33" s="137"/>
      <c r="BQ33" s="137"/>
      <c r="BR33" s="137"/>
      <c r="BS33" s="137"/>
      <c r="BV33" s="262">
        <v>3.726</v>
      </c>
      <c r="BW33" s="136">
        <v>3.7359999999999998</v>
      </c>
      <c r="BX33" s="137">
        <v>0.57886106800718751</v>
      </c>
      <c r="BY33" s="137">
        <v>0.57886106800718751</v>
      </c>
      <c r="BZ33" s="137">
        <v>0.99833535606671819</v>
      </c>
      <c r="CA33" s="137">
        <v>2.4110098358835999E-2</v>
      </c>
      <c r="CB33" s="137">
        <v>0.97627092599980836</v>
      </c>
      <c r="CC33" s="258">
        <v>0.35499999999999998</v>
      </c>
      <c r="CD33" s="258">
        <v>0</v>
      </c>
      <c r="CE33" s="258">
        <v>0.36499999999999999</v>
      </c>
      <c r="CF33" s="258">
        <v>0</v>
      </c>
      <c r="CG33" s="258">
        <v>0</v>
      </c>
      <c r="CH33" s="258">
        <v>0</v>
      </c>
      <c r="CI33" s="258">
        <v>3.371</v>
      </c>
      <c r="CJ33" s="258"/>
      <c r="CK33" s="258"/>
      <c r="CL33" s="258"/>
      <c r="CM33" s="258"/>
    </row>
    <row r="34" spans="1:91" x14ac:dyDescent="0.25">
      <c r="A34" s="723"/>
      <c r="B34" s="723"/>
      <c r="D34" s="31">
        <f t="shared" si="30"/>
        <v>37636</v>
      </c>
      <c r="F34" s="28">
        <f t="shared" si="31"/>
        <v>9189</v>
      </c>
      <c r="G34" s="28">
        <f t="shared" si="12"/>
        <v>8945.633221003709</v>
      </c>
      <c r="H34" s="52">
        <f t="shared" si="32"/>
        <v>3.8210000000000002</v>
      </c>
      <c r="I34" s="52">
        <f t="shared" si="33"/>
        <v>3.8310000000000004</v>
      </c>
      <c r="K34" s="52">
        <f t="shared" si="34"/>
        <v>0.30178978109818411</v>
      </c>
      <c r="L34" s="135">
        <f t="shared" si="35"/>
        <v>1.4341380769457746</v>
      </c>
      <c r="N34" s="131">
        <f t="shared" si="13"/>
        <v>0.57632730332360438</v>
      </c>
      <c r="O34" s="131">
        <f t="shared" si="14"/>
        <v>0.57632730332360438</v>
      </c>
      <c r="P34" s="55">
        <f t="shared" si="36"/>
        <v>0.9983571011119079</v>
      </c>
      <c r="Q34" s="135">
        <f>_xll.xSPRDOPT(I34,H34,AQ34,0,O34,N34,P34,D34-$G$5,1,0)*AH34*AU34</f>
        <v>1.7359278580439588</v>
      </c>
      <c r="R34" s="135"/>
      <c r="S34" s="181">
        <f t="shared" si="37"/>
        <v>-148942.83323482604</v>
      </c>
      <c r="T34" s="181">
        <f>_xll.xSPRDOPT(I34,H34,AQ34,AT34,O34,N34,P34,D34-$G$5,1,1)*AF34*F34*AH34</f>
        <v>148942.83323482604</v>
      </c>
      <c r="U34" s="135"/>
      <c r="V34" s="146">
        <f t="shared" si="38"/>
        <v>0</v>
      </c>
      <c r="W34" s="146"/>
      <c r="X34" s="338">
        <f t="shared" si="39"/>
        <v>0</v>
      </c>
      <c r="Y34" s="338">
        <f t="shared" si="15"/>
        <v>0</v>
      </c>
      <c r="Z34" s="338">
        <f t="shared" si="16"/>
        <v>-51.437815732453281</v>
      </c>
      <c r="AA34" s="338">
        <f t="shared" si="17"/>
        <v>7.1000938037410357</v>
      </c>
      <c r="AB34" s="338">
        <f t="shared" si="40"/>
        <v>0</v>
      </c>
      <c r="AC34" s="338">
        <f t="shared" si="41"/>
        <v>3.2798567046993488</v>
      </c>
      <c r="AF34" s="138">
        <f t="shared" si="42"/>
        <v>1</v>
      </c>
      <c r="AG34" s="138">
        <f t="shared" si="43"/>
        <v>1</v>
      </c>
      <c r="AH34" s="138">
        <f t="shared" si="18"/>
        <v>31</v>
      </c>
      <c r="AI34" s="138">
        <f t="shared" si="44"/>
        <v>380</v>
      </c>
      <c r="AJ34" s="138">
        <f t="shared" si="45"/>
        <v>397</v>
      </c>
      <c r="AL34" s="136">
        <f t="shared" si="19"/>
        <v>3.4460000000000002</v>
      </c>
      <c r="AM34" s="258">
        <f t="shared" si="20"/>
        <v>0.375</v>
      </c>
      <c r="AN34" s="258">
        <f t="shared" si="21"/>
        <v>0</v>
      </c>
      <c r="AO34" s="258">
        <f t="shared" si="22"/>
        <v>0.38500000000000001</v>
      </c>
      <c r="AP34" s="258">
        <f t="shared" si="23"/>
        <v>0</v>
      </c>
      <c r="AQ34" s="136">
        <f t="shared" si="46"/>
        <v>0</v>
      </c>
      <c r="AR34" s="137">
        <f t="shared" si="24"/>
        <v>0</v>
      </c>
      <c r="AS34" s="136">
        <f t="shared" si="47"/>
        <v>3.8210000000000002</v>
      </c>
      <c r="AT34" s="137">
        <f t="shared" si="48"/>
        <v>2.50384261928196E-2</v>
      </c>
      <c r="AU34" s="137">
        <f t="shared" si="25"/>
        <v>0.97351542289734561</v>
      </c>
      <c r="AV34" s="394">
        <f t="shared" si="49"/>
        <v>0</v>
      </c>
      <c r="AW34" s="137">
        <f t="shared" si="26"/>
        <v>0.53749999999999998</v>
      </c>
      <c r="AX34" s="137">
        <f t="shared" si="27"/>
        <v>1.18</v>
      </c>
      <c r="AY34" s="137">
        <f t="shared" si="28"/>
        <v>1.18</v>
      </c>
      <c r="AZ34" s="137"/>
      <c r="BA34" s="264"/>
      <c r="BB34" s="258">
        <f t="shared" si="29"/>
        <v>0</v>
      </c>
      <c r="BC34" s="258">
        <f t="shared" si="50"/>
        <v>0</v>
      </c>
      <c r="BD34" s="137">
        <f t="shared" si="51"/>
        <v>2.8252396234673682E-4</v>
      </c>
      <c r="BE34" s="137">
        <f t="shared" si="52"/>
        <v>2.8252396234673682E-4</v>
      </c>
      <c r="BF34" s="137">
        <f>_xll.xSPRDOPT($BW34,$BV34,$CG34,0,$BY34,$BX34,$BZ34,$AJ34,1,4)*$CB34</f>
        <v>2.9565278503896608</v>
      </c>
      <c r="BG34" s="137">
        <f>_xll.xSPRDOPT($BW34,$BV34,$CG34,0,$BY34,$BX34,$BZ34,$AJ34,1,3)*$CB34</f>
        <v>2.9411131829912147</v>
      </c>
      <c r="BH34" s="137">
        <f>IF(OR(BF34&lt;&gt;0,BG34&lt;&gt;0),_xll.xSPRDOPT($BW34,$BV34,$CG34,0,$BY34,$BX34,$BZ34,$AJ34,1,12)*$CB34,0)</f>
        <v>-2.9488074456783253</v>
      </c>
      <c r="BI34" s="137">
        <f>_xll.xSPRDOPT($BW34,$BV34,$CG34,2*LN(1+CA34/2),$BY34,$BX34,$BZ34,$AJ34,1,9)</f>
        <v>-2.1984750579852445E-2</v>
      </c>
      <c r="BJ34" s="137">
        <f>_xll.xSPRDOPT($BW34,$BV34,$CG34,0,$BY34,$BX34,$BZ34,$AJ34,1,6)*$CB34</f>
        <v>4.4146371504213723E-2</v>
      </c>
      <c r="BK34" s="137">
        <f>_xll.xSPRDOPT($BW34,$BV34,$CG34,0,$BY34,$BX34,$BZ34,$AJ34,1,5)*$CB34</f>
        <v>4.4076025340693221E-2</v>
      </c>
      <c r="BL34" s="137">
        <f>_xll.xSPRDOPT(BW34,BV34,CG34,0,BY34,BX34,BZ34,AJ34,1,2)*CB34</f>
        <v>-0.50956147537180729</v>
      </c>
      <c r="BM34" s="137">
        <f>_xll.xSPRDOPT(BW34,BV34,CG34,0,BY34,BX34,BZ34,AJ34,1,1)*CB34</f>
        <v>0.52284559288266097</v>
      </c>
      <c r="BN34" s="137">
        <f>IF(AH34&lt;&gt;0,_xll.xSPRDOPT($BW34,$BV34,$CG34,2*LN(1+CA34/2),$BY34,$BX34,$BZ34,$AJ34,1,8)+(AJ34/365.25)*CH34/AH34,0)</f>
        <v>-6.0853722422851593E-2</v>
      </c>
      <c r="BO34" s="137">
        <f>_xll.xSPRDOPT($BW34,$BV34,$CG34,0,$BY34,$BX34,$BZ34,$AJ34,1,0)</f>
        <v>5.7521842807235747E-2</v>
      </c>
      <c r="BP34" s="137"/>
      <c r="BQ34" s="137"/>
      <c r="BR34" s="137"/>
      <c r="BS34" s="137"/>
      <c r="BV34" s="262">
        <v>3.8210000000000002</v>
      </c>
      <c r="BW34" s="136">
        <v>3.8310000000000004</v>
      </c>
      <c r="BX34" s="137">
        <v>0.57604477936125764</v>
      </c>
      <c r="BY34" s="137">
        <v>0.57604477936125764</v>
      </c>
      <c r="BZ34" s="137">
        <v>0.99836786943832745</v>
      </c>
      <c r="CA34" s="137">
        <v>2.50384261928196E-2</v>
      </c>
      <c r="CB34" s="137">
        <v>0.97331647833327972</v>
      </c>
      <c r="CC34" s="258">
        <v>0.375</v>
      </c>
      <c r="CD34" s="258">
        <v>0</v>
      </c>
      <c r="CE34" s="258">
        <v>0.38500000000000001</v>
      </c>
      <c r="CF34" s="258">
        <v>0</v>
      </c>
      <c r="CG34" s="258">
        <v>0</v>
      </c>
      <c r="CH34" s="258">
        <v>0</v>
      </c>
      <c r="CI34" s="258">
        <v>3.4460000000000002</v>
      </c>
      <c r="CJ34" s="258"/>
      <c r="CK34" s="258"/>
      <c r="CL34" s="258"/>
      <c r="CM34" s="258"/>
    </row>
    <row r="35" spans="1:91" x14ac:dyDescent="0.25">
      <c r="A35" s="723"/>
      <c r="B35" s="723"/>
      <c r="D35" s="31">
        <f t="shared" si="30"/>
        <v>37667</v>
      </c>
      <c r="F35" s="28">
        <f t="shared" si="31"/>
        <v>9189</v>
      </c>
      <c r="G35" s="28">
        <f t="shared" si="12"/>
        <v>8916.4434469346415</v>
      </c>
      <c r="H35" s="52">
        <f t="shared" si="32"/>
        <v>3.7359999999999998</v>
      </c>
      <c r="I35" s="52">
        <f t="shared" si="33"/>
        <v>3.746</v>
      </c>
      <c r="K35" s="52">
        <f t="shared" si="34"/>
        <v>0.27169487051276064</v>
      </c>
      <c r="L35" s="135">
        <f t="shared" si="35"/>
        <v>1.1933083316437763</v>
      </c>
      <c r="N35" s="131">
        <f t="shared" si="13"/>
        <v>0.56121070542386564</v>
      </c>
      <c r="O35" s="131">
        <f t="shared" si="14"/>
        <v>0.56121070542386564</v>
      </c>
      <c r="P35" s="55">
        <f t="shared" si="36"/>
        <v>0.99854369873578175</v>
      </c>
      <c r="Q35" s="135">
        <f>_xll.xSPRDOPT(I35,H35,AQ35,0,O35,N35,P35,D35-$G$5,1,0)*AH35*AU35</f>
        <v>1.4650032021565369</v>
      </c>
      <c r="R35" s="135"/>
      <c r="S35" s="181">
        <f t="shared" si="37"/>
        <v>-134564.30257381612</v>
      </c>
      <c r="T35" s="181">
        <f>_xll.xSPRDOPT(I35,H35,AQ35,AT35,O35,N35,P35,D35-$G$5,1,1)*AF35*F35*AH35</f>
        <v>134564.30257381612</v>
      </c>
      <c r="U35" s="135"/>
      <c r="V35" s="146">
        <f t="shared" si="38"/>
        <v>0</v>
      </c>
      <c r="W35" s="146"/>
      <c r="X35" s="338">
        <f t="shared" si="39"/>
        <v>0</v>
      </c>
      <c r="Y35" s="338">
        <f t="shared" si="15"/>
        <v>0</v>
      </c>
      <c r="Z35" s="338">
        <f t="shared" si="16"/>
        <v>-39.64616576388606</v>
      </c>
      <c r="AA35" s="338">
        <f t="shared" si="17"/>
        <v>4.9562410596540012</v>
      </c>
      <c r="AB35" s="338">
        <f t="shared" si="40"/>
        <v>0</v>
      </c>
      <c r="AC35" s="338">
        <f t="shared" si="41"/>
        <v>2.8791857536833207</v>
      </c>
      <c r="AF35" s="138">
        <f t="shared" si="42"/>
        <v>1</v>
      </c>
      <c r="AG35" s="138">
        <f t="shared" si="43"/>
        <v>2</v>
      </c>
      <c r="AH35" s="138">
        <f t="shared" si="18"/>
        <v>28</v>
      </c>
      <c r="AI35" s="138">
        <f t="shared" si="44"/>
        <v>411</v>
      </c>
      <c r="AJ35" s="138">
        <f t="shared" si="45"/>
        <v>428</v>
      </c>
      <c r="AL35" s="136">
        <f t="shared" si="19"/>
        <v>3.371</v>
      </c>
      <c r="AM35" s="258">
        <f t="shared" si="20"/>
        <v>0.36499999999999999</v>
      </c>
      <c r="AN35" s="258">
        <f t="shared" si="21"/>
        <v>0</v>
      </c>
      <c r="AO35" s="258">
        <f t="shared" si="22"/>
        <v>0.375</v>
      </c>
      <c r="AP35" s="258">
        <f t="shared" si="23"/>
        <v>0</v>
      </c>
      <c r="AQ35" s="136">
        <f t="shared" si="46"/>
        <v>0</v>
      </c>
      <c r="AR35" s="137">
        <f t="shared" si="24"/>
        <v>0</v>
      </c>
      <c r="AS35" s="136">
        <f t="shared" si="47"/>
        <v>3.7359999999999998</v>
      </c>
      <c r="AT35" s="137">
        <f t="shared" si="48"/>
        <v>2.6044986419747399E-2</v>
      </c>
      <c r="AU35" s="137">
        <f t="shared" si="25"/>
        <v>0.97033882325983689</v>
      </c>
      <c r="AV35" s="394">
        <f t="shared" si="49"/>
        <v>0</v>
      </c>
      <c r="AW35" s="137">
        <f t="shared" si="26"/>
        <v>0.52749999999999997</v>
      </c>
      <c r="AX35" s="137">
        <f t="shared" si="27"/>
        <v>1.18</v>
      </c>
      <c r="AY35" s="137">
        <f t="shared" si="28"/>
        <v>1.18</v>
      </c>
      <c r="AZ35" s="137"/>
      <c r="BA35" s="264"/>
      <c r="BB35" s="258">
        <f t="shared" si="29"/>
        <v>0</v>
      </c>
      <c r="BC35" s="258">
        <f t="shared" si="50"/>
        <v>0</v>
      </c>
      <c r="BD35" s="137">
        <f t="shared" si="51"/>
        <v>2.2924009791358557E-4</v>
      </c>
      <c r="BE35" s="137">
        <f t="shared" si="52"/>
        <v>2.2924009791358557E-4</v>
      </c>
      <c r="BF35" s="137">
        <f>_xll.xSPRDOPT($BW35,$BV35,$CG35,0,$BY35,$BX35,$BZ35,$AJ35,1,4)*$CB35</f>
        <v>3.1640062706255834</v>
      </c>
      <c r="BG35" s="137">
        <f>_xll.xSPRDOPT($BW35,$BV35,$CG35,0,$BY35,$BX35,$BZ35,$AJ35,1,3)*$CB35</f>
        <v>3.147136047200239</v>
      </c>
      <c r="BH35" s="137">
        <f>IF(OR(BF35&lt;&gt;0,BG35&lt;&gt;0),_xll.xSPRDOPT($BW35,$BV35,$CG35,0,$BY35,$BX35,$BZ35,$AJ35,1,12)*$CB35,0)</f>
        <v>-3.155556035557987</v>
      </c>
      <c r="BI35" s="137">
        <f>_xll.xSPRDOPT($BW35,$BV35,$CG35,2*LN(1+CA35/2),$BY35,$BX35,$BZ35,$AJ35,1,9)</f>
        <v>-1.8760477130082272E-2</v>
      </c>
      <c r="BJ35" s="137">
        <f>_xll.xSPRDOPT($BW35,$BV35,$CG35,0,$BY35,$BX35,$BZ35,$AJ35,1,6)*$CB35</f>
        <v>4.2049937687040191E-2</v>
      </c>
      <c r="BK35" s="137">
        <f>_xll.xSPRDOPT($BW35,$BV35,$CG35,0,$BY35,$BX35,$BZ35,$AJ35,1,5)*$CB35</f>
        <v>4.1980292477379902E-2</v>
      </c>
      <c r="BL35" s="137">
        <f>_xll.xSPRDOPT(BW35,BV35,CG35,0,BY35,BX35,BZ35,AJ35,1,2)*CB35</f>
        <v>-0.51039156860243073</v>
      </c>
      <c r="BM35" s="137">
        <f>_xll.xSPRDOPT(BW35,BV35,CG35,0,BY35,BX35,BZ35,AJ35,1,1)*CB35</f>
        <v>0.52299343566185275</v>
      </c>
      <c r="BN35" s="137">
        <f>IF(AH35&lt;&gt;0,_xll.xSPRDOPT($BW35,$BV35,$CG35,2*LN(1+CA35/2),$BY35,$BX35,$BZ35,$AJ35,1,8)+(AJ35/365.25)*CH35/AH35,0)</f>
        <v>-6.1297361474047442E-2</v>
      </c>
      <c r="BO35" s="137">
        <f>_xll.xSPRDOPT($BW35,$BV35,$CG35,0,$BY35,$BX35,$BZ35,$AJ35,1,0)</f>
        <v>5.3920900186135781E-2</v>
      </c>
      <c r="BP35" s="137"/>
      <c r="BQ35" s="137"/>
      <c r="BR35" s="137"/>
      <c r="BS35" s="137"/>
      <c r="BV35" s="262">
        <v>3.7359999999999998</v>
      </c>
      <c r="BW35" s="136">
        <v>3.746</v>
      </c>
      <c r="BX35" s="137">
        <v>0.56098146532595206</v>
      </c>
      <c r="BY35" s="137">
        <v>0.56098146532595206</v>
      </c>
      <c r="BZ35" s="137">
        <v>0.99855272434685316</v>
      </c>
      <c r="CA35" s="137">
        <v>2.6044986419747399E-2</v>
      </c>
      <c r="CB35" s="137">
        <v>0.97013260845196225</v>
      </c>
      <c r="CC35" s="258">
        <v>0.36499999999999999</v>
      </c>
      <c r="CD35" s="258">
        <v>0</v>
      </c>
      <c r="CE35" s="258">
        <v>0.375</v>
      </c>
      <c r="CF35" s="258">
        <v>0</v>
      </c>
      <c r="CG35" s="258">
        <v>0</v>
      </c>
      <c r="CH35" s="258">
        <v>0</v>
      </c>
      <c r="CI35" s="258">
        <v>3.371</v>
      </c>
      <c r="CJ35" s="258"/>
      <c r="CK35" s="258"/>
      <c r="CL35" s="258"/>
      <c r="CM35" s="258"/>
    </row>
    <row r="36" spans="1:91" x14ac:dyDescent="0.25">
      <c r="A36" s="723"/>
      <c r="B36" s="723"/>
      <c r="D36" s="31">
        <f t="shared" si="30"/>
        <v>37695</v>
      </c>
      <c r="F36" s="28">
        <f t="shared" si="31"/>
        <v>9189</v>
      </c>
      <c r="G36" s="28">
        <f t="shared" si="12"/>
        <v>8888.8760042294143</v>
      </c>
      <c r="H36" s="52">
        <f t="shared" si="32"/>
        <v>3.641</v>
      </c>
      <c r="I36" s="52">
        <f t="shared" si="33"/>
        <v>3.6510000000000002</v>
      </c>
      <c r="K36" s="52">
        <f t="shared" si="34"/>
        <v>0.29987502027545782</v>
      </c>
      <c r="L36" s="135">
        <f t="shared" si="35"/>
        <v>0.88142752907939959</v>
      </c>
      <c r="N36" s="131">
        <f t="shared" si="13"/>
        <v>0.50303598357381651</v>
      </c>
      <c r="O36" s="131">
        <f t="shared" si="14"/>
        <v>0.50303598357381651</v>
      </c>
      <c r="P36" s="55">
        <f t="shared" si="36"/>
        <v>0.9990715556227725</v>
      </c>
      <c r="Q36" s="135">
        <f>_xll.xSPRDOPT(I36,H36,AQ36,0,O36,N36,P36,D36-$G$5,1,0)*AH36*AU36</f>
        <v>1.1813025493548575</v>
      </c>
      <c r="R36" s="135"/>
      <c r="S36" s="181">
        <f t="shared" si="37"/>
        <v>-160021.86899557858</v>
      </c>
      <c r="T36" s="181">
        <f>_xll.xSPRDOPT(I36,H36,AQ36,AT36,O36,N36,P36,D36-$G$5,1,1)*AF36*F36*AH36</f>
        <v>160021.86899557858</v>
      </c>
      <c r="U36" s="135"/>
      <c r="V36" s="146">
        <f t="shared" si="38"/>
        <v>0</v>
      </c>
      <c r="W36" s="146"/>
      <c r="X36" s="338">
        <f t="shared" si="39"/>
        <v>0</v>
      </c>
      <c r="Y36" s="338">
        <f t="shared" si="15"/>
        <v>0</v>
      </c>
      <c r="Z36" s="338">
        <f t="shared" si="16"/>
        <v>-29.170281228265829</v>
      </c>
      <c r="AA36" s="338">
        <f t="shared" si="17"/>
        <v>1.9168862623750464</v>
      </c>
      <c r="AB36" s="338">
        <f t="shared" si="40"/>
        <v>0</v>
      </c>
      <c r="AC36" s="338">
        <f t="shared" si="41"/>
        <v>2.3979350325892996</v>
      </c>
      <c r="AF36" s="138">
        <f t="shared" si="42"/>
        <v>1</v>
      </c>
      <c r="AG36" s="138">
        <f t="shared" si="43"/>
        <v>3</v>
      </c>
      <c r="AH36" s="138">
        <f t="shared" si="18"/>
        <v>31</v>
      </c>
      <c r="AI36" s="138">
        <f t="shared" si="44"/>
        <v>439</v>
      </c>
      <c r="AJ36" s="138">
        <f t="shared" si="45"/>
        <v>456</v>
      </c>
      <c r="AL36" s="136">
        <f t="shared" si="19"/>
        <v>3.2810000000000001</v>
      </c>
      <c r="AM36" s="258">
        <f t="shared" si="20"/>
        <v>0.36</v>
      </c>
      <c r="AN36" s="258">
        <f t="shared" si="21"/>
        <v>0</v>
      </c>
      <c r="AO36" s="258">
        <f t="shared" si="22"/>
        <v>0.37</v>
      </c>
      <c r="AP36" s="258">
        <f t="shared" si="23"/>
        <v>0</v>
      </c>
      <c r="AQ36" s="136">
        <f t="shared" si="46"/>
        <v>0</v>
      </c>
      <c r="AR36" s="137">
        <f t="shared" si="24"/>
        <v>0</v>
      </c>
      <c r="AS36" s="136">
        <f t="shared" si="47"/>
        <v>3.641</v>
      </c>
      <c r="AT36" s="137">
        <f t="shared" si="48"/>
        <v>2.6954137886657601E-2</v>
      </c>
      <c r="AU36" s="137">
        <f t="shared" si="25"/>
        <v>0.96733877508209964</v>
      </c>
      <c r="AV36" s="394">
        <f t="shared" si="49"/>
        <v>0</v>
      </c>
      <c r="AW36" s="137">
        <f t="shared" si="26"/>
        <v>0.48749999999999999</v>
      </c>
      <c r="AX36" s="137">
        <f t="shared" si="27"/>
        <v>0.83</v>
      </c>
      <c r="AY36" s="137">
        <f t="shared" si="28"/>
        <v>0.83</v>
      </c>
      <c r="AZ36" s="137"/>
      <c r="BA36" s="264"/>
      <c r="BB36" s="258">
        <f t="shared" si="29"/>
        <v>0</v>
      </c>
      <c r="BC36" s="258">
        <f t="shared" si="50"/>
        <v>0</v>
      </c>
      <c r="BD36" s="137">
        <f t="shared" si="51"/>
        <v>1.0031212319616678E-4</v>
      </c>
      <c r="BE36" s="137">
        <f t="shared" si="52"/>
        <v>1.0031212319616678E-4</v>
      </c>
      <c r="BF36" s="137">
        <f>_xll.xSPRDOPT($BW36,$BV36,$CG36,0,$BY36,$BX36,$BZ36,$AJ36,1,4)*$CB36</f>
        <v>3.872617450924674</v>
      </c>
      <c r="BG36" s="137">
        <f>_xll.xSPRDOPT($BW36,$BV36,$CG36,0,$BY36,$BX36,$BZ36,$AJ36,1,3)*$CB36</f>
        <v>3.8514323679469311</v>
      </c>
      <c r="BH36" s="137">
        <f>IF(OR(BF36&lt;&gt;0,BG36&lt;&gt;0),_xll.xSPRDOPT($BW36,$BV36,$CG36,0,$BY36,$BX36,$BZ36,$AJ36,1,12)*$CB36,0)</f>
        <v>-3.8620031572720848</v>
      </c>
      <c r="BI36" s="137">
        <f>_xll.xSPRDOPT($BW36,$BV36,$CG36,2*LN(1+CA36/2),$BY36,$BX36,$BZ36,$AJ36,1,9)</f>
        <v>-1.2467507572312495E-2</v>
      </c>
      <c r="BJ36" s="137">
        <f>_xll.xSPRDOPT($BW36,$BV36,$CG36,0,$BY36,$BX36,$BZ36,$AJ36,1,6)*$CB36</f>
        <v>3.3562769700728315E-2</v>
      </c>
      <c r="BK36" s="137">
        <f>_xll.xSPRDOPT($BW36,$BV36,$CG36,0,$BY36,$BX36,$BZ36,$AJ36,1,5)*$CB36</f>
        <v>3.3520307613891208E-2</v>
      </c>
      <c r="BL36" s="137">
        <f>_xll.xSPRDOPT(BW36,BV36,CG36,0,BY36,BX36,BZ36,AJ36,1,2)*CB36</f>
        <v>-0.55525781273713015</v>
      </c>
      <c r="BM36" s="137">
        <f>_xll.xSPRDOPT(BW36,BV36,CG36,0,BY36,BX36,BZ36,AJ36,1,1)*CB36</f>
        <v>0.56415149943911724</v>
      </c>
      <c r="BN36" s="137">
        <f>IF(AH36&lt;&gt;0,_xll.xSPRDOPT($BW36,$BV36,$CG36,2*LN(1+CA36/2),$BY36,$BX36,$BZ36,$AJ36,1,8)+(AJ36/365.25)*CH36/AH36,0)</f>
        <v>-4.8706317235902116E-2</v>
      </c>
      <c r="BO36" s="137">
        <f>_xll.xSPRDOPT($BW36,$BV36,$CG36,0,$BY36,$BX36,$BZ36,$AJ36,1,0)</f>
        <v>3.9315870947047679E-2</v>
      </c>
      <c r="BP36" s="137"/>
      <c r="BQ36" s="137"/>
      <c r="BR36" s="137"/>
      <c r="BS36" s="137"/>
      <c r="BV36" s="262">
        <v>3.641</v>
      </c>
      <c r="BW36" s="136">
        <v>3.6510000000000002</v>
      </c>
      <c r="BX36" s="137">
        <v>0.50293567145062035</v>
      </c>
      <c r="BY36" s="137">
        <v>0.50293567145062035</v>
      </c>
      <c r="BZ36" s="137">
        <v>0.99907727581215366</v>
      </c>
      <c r="CA36" s="137">
        <v>2.6954137886657601E-2</v>
      </c>
      <c r="CB36" s="137">
        <v>0.96712607036861076</v>
      </c>
      <c r="CC36" s="258">
        <v>0.36</v>
      </c>
      <c r="CD36" s="258">
        <v>0</v>
      </c>
      <c r="CE36" s="258">
        <v>0.37</v>
      </c>
      <c r="CF36" s="258">
        <v>0</v>
      </c>
      <c r="CG36" s="258">
        <v>0</v>
      </c>
      <c r="CH36" s="258">
        <v>0</v>
      </c>
      <c r="CI36" s="258">
        <v>3.2810000000000001</v>
      </c>
      <c r="CJ36" s="258"/>
      <c r="CK36" s="258"/>
      <c r="CL36" s="258"/>
      <c r="CM36" s="258"/>
    </row>
    <row r="37" spans="1:91" x14ac:dyDescent="0.25">
      <c r="A37" s="723"/>
      <c r="B37" s="723"/>
      <c r="D37" s="31">
        <f t="shared" si="30"/>
        <v>37726</v>
      </c>
      <c r="F37" s="28">
        <f t="shared" si="31"/>
        <v>0</v>
      </c>
      <c r="G37" s="28">
        <f t="shared" si="12"/>
        <v>0</v>
      </c>
      <c r="H37" s="52">
        <f t="shared" si="32"/>
        <v>3.2559999999999998</v>
      </c>
      <c r="I37" s="52">
        <f t="shared" si="33"/>
        <v>3.2909999999999999</v>
      </c>
      <c r="K37" s="52">
        <f t="shared" si="34"/>
        <v>1.0120493485553117</v>
      </c>
      <c r="L37" s="135">
        <f t="shared" si="35"/>
        <v>0.16727914989395498</v>
      </c>
      <c r="N37" s="131">
        <f t="shared" si="13"/>
        <v>0.39068915452558645</v>
      </c>
      <c r="O37" s="131">
        <f t="shared" si="14"/>
        <v>0.39068915452558645</v>
      </c>
      <c r="P37" s="55">
        <f t="shared" si="36"/>
        <v>0.99953315868434101</v>
      </c>
      <c r="Q37" s="135">
        <f>_xll.xSPRDOPT(I37,H37,AQ37,0,O37,N37,P37,D37-$G$5,1,0)*AH37*AU37</f>
        <v>1.1793284984492667</v>
      </c>
      <c r="R37" s="135"/>
      <c r="S37" s="181">
        <f t="shared" si="37"/>
        <v>0</v>
      </c>
      <c r="T37" s="181">
        <f>_xll.xSPRDOPT(I37,H37,AQ37,AT37,O37,N37,P37,D37-$G$5,1,1)*AF37*F37*AH37</f>
        <v>0</v>
      </c>
      <c r="U37" s="135"/>
      <c r="V37" s="146">
        <f t="shared" si="38"/>
        <v>0</v>
      </c>
      <c r="W37" s="146"/>
      <c r="X37" s="338">
        <f t="shared" si="39"/>
        <v>0</v>
      </c>
      <c r="Y37" s="338">
        <f t="shared" si="15"/>
        <v>0</v>
      </c>
      <c r="Z37" s="338">
        <f t="shared" si="16"/>
        <v>0</v>
      </c>
      <c r="AA37" s="338">
        <f t="shared" si="17"/>
        <v>0</v>
      </c>
      <c r="AB37" s="338">
        <f t="shared" si="40"/>
        <v>0</v>
      </c>
      <c r="AC37" s="338">
        <f t="shared" si="41"/>
        <v>0</v>
      </c>
      <c r="AF37" s="138">
        <f t="shared" si="42"/>
        <v>1</v>
      </c>
      <c r="AG37" s="138">
        <f t="shared" si="43"/>
        <v>4</v>
      </c>
      <c r="AH37" s="138">
        <f t="shared" si="18"/>
        <v>30</v>
      </c>
      <c r="AI37" s="138">
        <f t="shared" si="44"/>
        <v>470</v>
      </c>
      <c r="AJ37" s="138">
        <f t="shared" si="45"/>
        <v>487</v>
      </c>
      <c r="AL37" s="136">
        <f t="shared" si="19"/>
        <v>3.1259999999999999</v>
      </c>
      <c r="AM37" s="258">
        <f t="shared" si="20"/>
        <v>0.13</v>
      </c>
      <c r="AN37" s="258">
        <f t="shared" si="21"/>
        <v>0</v>
      </c>
      <c r="AO37" s="258">
        <f t="shared" si="22"/>
        <v>0.16500000000000001</v>
      </c>
      <c r="AP37" s="258">
        <f t="shared" si="23"/>
        <v>0</v>
      </c>
      <c r="AQ37" s="136">
        <f t="shared" si="46"/>
        <v>0</v>
      </c>
      <c r="AR37" s="137">
        <f t="shared" si="24"/>
        <v>0</v>
      </c>
      <c r="AS37" s="136">
        <f t="shared" si="47"/>
        <v>3.2559999999999998</v>
      </c>
      <c r="AT37" s="137">
        <f t="shared" si="48"/>
        <v>2.79745964320606E-2</v>
      </c>
      <c r="AU37" s="137">
        <f t="shared" si="25"/>
        <v>0.96385652243362618</v>
      </c>
      <c r="AV37" s="394">
        <f t="shared" si="49"/>
        <v>0</v>
      </c>
      <c r="AW37" s="137">
        <f t="shared" si="26"/>
        <v>0.38750000000000001</v>
      </c>
      <c r="AX37" s="137">
        <f t="shared" si="27"/>
        <v>0.48</v>
      </c>
      <c r="AY37" s="137">
        <f t="shared" si="28"/>
        <v>0.48</v>
      </c>
      <c r="AZ37" s="137"/>
      <c r="BA37" s="264"/>
      <c r="BB37" s="258">
        <f t="shared" si="29"/>
        <v>0</v>
      </c>
      <c r="BC37" s="258">
        <f t="shared" si="50"/>
        <v>0</v>
      </c>
      <c r="BD37" s="137">
        <f t="shared" si="51"/>
        <v>1.9525927436481183E-5</v>
      </c>
      <c r="BE37" s="137">
        <f t="shared" si="52"/>
        <v>1.9525927436481183E-5</v>
      </c>
      <c r="BF37" s="137">
        <f>_xll.xSPRDOPT($BW37,$BV37,$CG37,0,$BY37,$BX37,$BZ37,$AJ37,1,4)*$CB37</f>
        <v>2.3723859291294431</v>
      </c>
      <c r="BG37" s="137">
        <f>_xll.xSPRDOPT($BW37,$BV37,$CG37,0,$BY37,$BX37,$BZ37,$AJ37,1,3)*$CB37</f>
        <v>2.3221936697929353</v>
      </c>
      <c r="BH37" s="137">
        <f>IF(OR(BF37&lt;&gt;0,BG37&lt;&gt;0),_xll.xSPRDOPT($BW37,$BV37,$CG37,0,$BY37,$BX37,$BZ37,$AJ37,1,12)*$CB37,0)</f>
        <v>-2.347159142126189</v>
      </c>
      <c r="BI37" s="137">
        <f>_xll.xSPRDOPT($BW37,$BV37,$CG37,2*LN(1+CA37/2),$BY37,$BX37,$BZ37,$AJ37,1,9)</f>
        <v>-3.704036281546383E-3</v>
      </c>
      <c r="BJ37" s="137">
        <f>_xll.xSPRDOPT($BW37,$BV37,$CG37,0,$BY37,$BX37,$BZ37,$AJ37,1,6)*$CB37</f>
        <v>1.6353582175860762E-2</v>
      </c>
      <c r="BK37" s="137">
        <f>_xll.xSPRDOPT($BW37,$BV37,$CG37,0,$BY37,$BX37,$BZ37,$AJ37,1,5)*$CB37</f>
        <v>1.6352302833970964E-2</v>
      </c>
      <c r="BL37" s="137">
        <f>_xll.xSPRDOPT(BW37,BV37,CG37,0,BY37,BX37,BZ37,AJ37,1,2)*CB37</f>
        <v>-0.82879295634505323</v>
      </c>
      <c r="BM37" s="137">
        <f>_xll.xSPRDOPT(BW37,BV37,CG37,0,BY37,BX37,BZ37,AJ37,1,1)*CB37</f>
        <v>0.83192014030730621</v>
      </c>
      <c r="BN37" s="137">
        <f>IF(AH37&lt;&gt;0,_xll.xSPRDOPT($BW37,$BV37,$CG37,2*LN(1+CA37/2),$BY37,$BX37,$BZ37,$AJ37,1,8)+(AJ37/365.25)*CH37/AH37,0)</f>
        <v>-5.2190491194831309E-2</v>
      </c>
      <c r="BO37" s="137">
        <f>_xll.xSPRDOPT($BW37,$BV37,$CG37,0,$BY37,$BX37,$BZ37,$AJ37,1,0)</f>
        <v>4.07823007615771E-2</v>
      </c>
      <c r="BP37" s="137"/>
      <c r="BQ37" s="137"/>
      <c r="BR37" s="137"/>
      <c r="BS37" s="137"/>
      <c r="BV37" s="262">
        <v>3.2559999999999998</v>
      </c>
      <c r="BW37" s="136">
        <v>3.2909999999999999</v>
      </c>
      <c r="BX37" s="137">
        <v>0.39066962859814997</v>
      </c>
      <c r="BY37" s="137">
        <v>0.39066962859814997</v>
      </c>
      <c r="BZ37" s="137">
        <v>0.99953598223010653</v>
      </c>
      <c r="CA37" s="137">
        <v>2.79745964320606E-2</v>
      </c>
      <c r="CB37" s="137">
        <v>0.96363661599031902</v>
      </c>
      <c r="CC37" s="258">
        <v>0.13</v>
      </c>
      <c r="CD37" s="258">
        <v>0</v>
      </c>
      <c r="CE37" s="258">
        <v>0.16500000000000001</v>
      </c>
      <c r="CF37" s="258">
        <v>0</v>
      </c>
      <c r="CG37" s="258">
        <v>0</v>
      </c>
      <c r="CH37" s="258">
        <v>0</v>
      </c>
      <c r="CI37" s="258">
        <v>3.1259999999999999</v>
      </c>
      <c r="CJ37" s="258"/>
      <c r="CK37" s="258"/>
      <c r="CL37" s="258"/>
      <c r="CM37" s="258"/>
    </row>
    <row r="38" spans="1:91" x14ac:dyDescent="0.25">
      <c r="A38" s="723"/>
      <c r="B38" s="723"/>
      <c r="D38" s="31">
        <f t="shared" si="30"/>
        <v>37756</v>
      </c>
      <c r="F38" s="28">
        <f t="shared" si="31"/>
        <v>0</v>
      </c>
      <c r="G38" s="28">
        <f t="shared" si="12"/>
        <v>0</v>
      </c>
      <c r="H38" s="52">
        <f t="shared" si="32"/>
        <v>3.2569999999999997</v>
      </c>
      <c r="I38" s="52">
        <f t="shared" si="33"/>
        <v>3.2919999999999998</v>
      </c>
      <c r="K38" s="52">
        <f t="shared" si="34"/>
        <v>1.0419705751596928</v>
      </c>
      <c r="L38" s="135">
        <f t="shared" si="35"/>
        <v>0.216994291630485</v>
      </c>
      <c r="N38" s="131">
        <f t="shared" si="13"/>
        <v>0.37819335449616648</v>
      </c>
      <c r="O38" s="131">
        <f t="shared" si="14"/>
        <v>0.37819335449616648</v>
      </c>
      <c r="P38" s="55">
        <f t="shared" si="36"/>
        <v>0.99940949037444027</v>
      </c>
      <c r="Q38" s="135">
        <f>_xll.xSPRDOPT(I38,H38,AQ38,0,O38,N38,P38,D38-$G$5,1,0)*AH38*AU38</f>
        <v>1.2589648667901778</v>
      </c>
      <c r="R38" s="135"/>
      <c r="S38" s="181">
        <f t="shared" si="37"/>
        <v>0</v>
      </c>
      <c r="T38" s="181">
        <f>_xll.xSPRDOPT(I38,H38,AQ38,AT38,O38,N38,P38,D38-$G$5,1,1)*AF38*F38*AH38</f>
        <v>0</v>
      </c>
      <c r="U38" s="135"/>
      <c r="V38" s="146">
        <f t="shared" si="38"/>
        <v>0</v>
      </c>
      <c r="W38" s="146"/>
      <c r="X38" s="338">
        <f t="shared" si="39"/>
        <v>0</v>
      </c>
      <c r="Y38" s="338">
        <f t="shared" si="15"/>
        <v>0</v>
      </c>
      <c r="Z38" s="338">
        <f t="shared" si="16"/>
        <v>0</v>
      </c>
      <c r="AA38" s="338">
        <f t="shared" si="17"/>
        <v>0</v>
      </c>
      <c r="AB38" s="338">
        <f t="shared" si="40"/>
        <v>0</v>
      </c>
      <c r="AC38" s="338">
        <f t="shared" si="41"/>
        <v>0</v>
      </c>
      <c r="AF38" s="138">
        <f t="shared" si="42"/>
        <v>1</v>
      </c>
      <c r="AG38" s="138">
        <f t="shared" si="43"/>
        <v>5</v>
      </c>
      <c r="AH38" s="138">
        <f t="shared" si="18"/>
        <v>31</v>
      </c>
      <c r="AI38" s="138">
        <f t="shared" si="44"/>
        <v>500</v>
      </c>
      <c r="AJ38" s="138">
        <f t="shared" si="45"/>
        <v>517</v>
      </c>
      <c r="AL38" s="136">
        <f t="shared" si="19"/>
        <v>3.1269999999999998</v>
      </c>
      <c r="AM38" s="258">
        <f t="shared" si="20"/>
        <v>0.13</v>
      </c>
      <c r="AN38" s="258">
        <f t="shared" si="21"/>
        <v>0</v>
      </c>
      <c r="AO38" s="258">
        <f t="shared" si="22"/>
        <v>0.16500000000000001</v>
      </c>
      <c r="AP38" s="258">
        <f t="shared" si="23"/>
        <v>0</v>
      </c>
      <c r="AQ38" s="136">
        <f t="shared" si="46"/>
        <v>0</v>
      </c>
      <c r="AR38" s="137">
        <f t="shared" si="24"/>
        <v>0</v>
      </c>
      <c r="AS38" s="136">
        <f t="shared" si="47"/>
        <v>3.2569999999999997</v>
      </c>
      <c r="AT38" s="137">
        <f t="shared" si="48"/>
        <v>2.8963180076380102E-2</v>
      </c>
      <c r="AU38" s="137">
        <f t="shared" si="25"/>
        <v>0.96034154392598015</v>
      </c>
      <c r="AV38" s="394">
        <f t="shared" si="49"/>
        <v>0</v>
      </c>
      <c r="AW38" s="137">
        <f t="shared" si="26"/>
        <v>0.3725</v>
      </c>
      <c r="AX38" s="137">
        <f t="shared" si="27"/>
        <v>0.53</v>
      </c>
      <c r="AY38" s="137">
        <f t="shared" si="28"/>
        <v>0.53</v>
      </c>
      <c r="AZ38" s="137"/>
      <c r="BA38" s="264"/>
      <c r="BB38" s="258">
        <f t="shared" si="29"/>
        <v>0</v>
      </c>
      <c r="BC38" s="258">
        <f t="shared" si="50"/>
        <v>0</v>
      </c>
      <c r="BD38" s="137">
        <f t="shared" si="51"/>
        <v>3.26947616066664E-5</v>
      </c>
      <c r="BE38" s="137">
        <f t="shared" si="52"/>
        <v>3.26947616066664E-5</v>
      </c>
      <c r="BF38" s="137">
        <f>_xll.xSPRDOPT($BW38,$BV38,$CG38,0,$BY38,$BX38,$BZ38,$AJ38,1,4)*$CB38</f>
        <v>2.9962227014149367</v>
      </c>
      <c r="BG38" s="137">
        <f>_xll.xSPRDOPT($BW38,$BV38,$CG38,0,$BY38,$BX38,$BZ38,$AJ38,1,3)*$CB38</f>
        <v>2.9328504964858371</v>
      </c>
      <c r="BH38" s="137">
        <f>IF(OR(BF38&lt;&gt;0,BG38&lt;&gt;0),_xll.xSPRDOPT($BW38,$BV38,$CG38,0,$BY38,$BX38,$BZ38,$AJ38,1,12)*$CB38,0)</f>
        <v>-2.9643712036004954</v>
      </c>
      <c r="BI38" s="137">
        <f>_xll.xSPRDOPT($BW38,$BV38,$CG38,2*LN(1+CA38/2),$BY38,$BX38,$BZ38,$AJ38,1,9)</f>
        <v>-4.2038477308457617E-3</v>
      </c>
      <c r="BJ38" s="137">
        <f>_xll.xSPRDOPT($BW38,$BV38,$CG38,0,$BY38,$BX38,$BZ38,$AJ38,1,6)*$CB38</f>
        <v>2.0106137322158484E-2</v>
      </c>
      <c r="BK38" s="137">
        <f>_xll.xSPRDOPT($BW38,$BV38,$CG38,0,$BY38,$BX38,$BZ38,$AJ38,1,5)*$CB38</f>
        <v>2.0105832243543988E-2</v>
      </c>
      <c r="BL38" s="137">
        <f>_xll.xSPRDOPT(BW38,BV38,CG38,0,BY38,BX38,BZ38,AJ38,1,2)*CB38</f>
        <v>-0.79034951856721547</v>
      </c>
      <c r="BM38" s="137">
        <f>_xll.xSPRDOPT(BW38,BV38,CG38,0,BY38,BX38,BZ38,AJ38,1,1)*CB38</f>
        <v>0.79427932388788414</v>
      </c>
      <c r="BN38" s="137">
        <f>IF(AH38&lt;&gt;0,_xll.xSPRDOPT($BW38,$BV38,$CG38,2*LN(1+CA38/2),$BY38,$BX38,$BZ38,$AJ38,1,8)+(AJ38/365.25)*CH38/AH38,0)</f>
        <v>-5.7480826865087445E-2</v>
      </c>
      <c r="BO38" s="137">
        <f>_xll.xSPRDOPT($BW38,$BV38,$CG38,0,$BY38,$BX38,$BZ38,$AJ38,1,0)</f>
        <v>4.2285732117677242E-2</v>
      </c>
      <c r="BP38" s="137"/>
      <c r="BQ38" s="137"/>
      <c r="BR38" s="137"/>
      <c r="BS38" s="137"/>
      <c r="BV38" s="262">
        <v>3.2569999999999997</v>
      </c>
      <c r="BW38" s="136">
        <v>3.2919999999999998</v>
      </c>
      <c r="BX38" s="137">
        <v>0.37816065973455981</v>
      </c>
      <c r="BY38" s="137">
        <v>0.37816065973455981</v>
      </c>
      <c r="BZ38" s="137">
        <v>0.9994128054950655</v>
      </c>
      <c r="CA38" s="137">
        <v>2.8963180076380102E-2</v>
      </c>
      <c r="CB38" s="137">
        <v>0.96011475289275328</v>
      </c>
      <c r="CC38" s="258">
        <v>0.13</v>
      </c>
      <c r="CD38" s="258">
        <v>0</v>
      </c>
      <c r="CE38" s="258">
        <v>0.16500000000000001</v>
      </c>
      <c r="CF38" s="258">
        <v>0</v>
      </c>
      <c r="CG38" s="258">
        <v>0</v>
      </c>
      <c r="CH38" s="258">
        <v>0</v>
      </c>
      <c r="CI38" s="258">
        <v>3.1269999999999998</v>
      </c>
      <c r="CJ38" s="258"/>
      <c r="CK38" s="258"/>
      <c r="CL38" s="258"/>
      <c r="CM38" s="258"/>
    </row>
    <row r="39" spans="1:91" x14ac:dyDescent="0.25">
      <c r="A39" s="723"/>
      <c r="B39" s="723"/>
      <c r="D39" s="31">
        <f t="shared" si="30"/>
        <v>37787</v>
      </c>
      <c r="F39" s="28">
        <f t="shared" si="31"/>
        <v>0</v>
      </c>
      <c r="G39" s="28">
        <f t="shared" si="12"/>
        <v>0</v>
      </c>
      <c r="H39" s="52">
        <f t="shared" si="32"/>
        <v>3.2919999999999998</v>
      </c>
      <c r="I39" s="52">
        <f t="shared" si="33"/>
        <v>3.327</v>
      </c>
      <c r="K39" s="52">
        <f t="shared" si="34"/>
        <v>1.0043907916786765</v>
      </c>
      <c r="L39" s="135">
        <f t="shared" si="35"/>
        <v>0.20558367560794433</v>
      </c>
      <c r="N39" s="131">
        <f t="shared" si="13"/>
        <v>0.37770530586281559</v>
      </c>
      <c r="O39" s="131">
        <f t="shared" si="14"/>
        <v>0.37770530586281559</v>
      </c>
      <c r="P39" s="55">
        <f t="shared" si="36"/>
        <v>0.99945906611876811</v>
      </c>
      <c r="Q39" s="135">
        <f>_xll.xSPRDOPT(I39,H39,AQ39,0,O39,N39,P39,D39-$G$5,1,0)*AH39*AU39</f>
        <v>1.2099744672866208</v>
      </c>
      <c r="R39" s="135"/>
      <c r="S39" s="181">
        <f t="shared" si="37"/>
        <v>0</v>
      </c>
      <c r="T39" s="181">
        <f>_xll.xSPRDOPT(I39,H39,AQ39,AT39,O39,N39,P39,D39-$G$5,1,1)*AF39*F39*AH39</f>
        <v>0</v>
      </c>
      <c r="U39" s="135"/>
      <c r="V39" s="146">
        <f t="shared" si="38"/>
        <v>0</v>
      </c>
      <c r="W39" s="146"/>
      <c r="X39" s="338">
        <f t="shared" si="39"/>
        <v>0</v>
      </c>
      <c r="Y39" s="338">
        <f t="shared" si="15"/>
        <v>0</v>
      </c>
      <c r="Z39" s="338">
        <f t="shared" si="16"/>
        <v>0</v>
      </c>
      <c r="AA39" s="338">
        <f t="shared" si="17"/>
        <v>0</v>
      </c>
      <c r="AB39" s="338">
        <f t="shared" si="40"/>
        <v>0</v>
      </c>
      <c r="AC39" s="338">
        <f t="shared" si="41"/>
        <v>0</v>
      </c>
      <c r="AF39" s="138">
        <f t="shared" si="42"/>
        <v>1</v>
      </c>
      <c r="AG39" s="138">
        <f t="shared" si="43"/>
        <v>6</v>
      </c>
      <c r="AH39" s="138">
        <f t="shared" si="18"/>
        <v>30</v>
      </c>
      <c r="AI39" s="138">
        <f t="shared" si="44"/>
        <v>531</v>
      </c>
      <c r="AJ39" s="138">
        <f t="shared" si="45"/>
        <v>548</v>
      </c>
      <c r="AL39" s="136">
        <f t="shared" si="19"/>
        <v>3.1619999999999999</v>
      </c>
      <c r="AM39" s="258">
        <f t="shared" si="20"/>
        <v>0.13</v>
      </c>
      <c r="AN39" s="258">
        <f t="shared" si="21"/>
        <v>0</v>
      </c>
      <c r="AO39" s="258">
        <f t="shared" si="22"/>
        <v>0.16500000000000001</v>
      </c>
      <c r="AP39" s="258">
        <f t="shared" si="23"/>
        <v>0</v>
      </c>
      <c r="AQ39" s="136">
        <f t="shared" si="46"/>
        <v>0</v>
      </c>
      <c r="AR39" s="137">
        <f t="shared" si="24"/>
        <v>0</v>
      </c>
      <c r="AS39" s="136">
        <f t="shared" si="47"/>
        <v>3.2919999999999998</v>
      </c>
      <c r="AT39" s="137">
        <f t="shared" si="48"/>
        <v>2.99847168551968E-2</v>
      </c>
      <c r="AU39" s="137">
        <f t="shared" si="25"/>
        <v>0.95656265874159274</v>
      </c>
      <c r="AV39" s="394">
        <f t="shared" si="49"/>
        <v>0</v>
      </c>
      <c r="AW39" s="137">
        <f t="shared" si="26"/>
        <v>0.3725</v>
      </c>
      <c r="AX39" s="137">
        <f t="shared" si="27"/>
        <v>0.53</v>
      </c>
      <c r="AY39" s="137">
        <f t="shared" si="28"/>
        <v>0.53</v>
      </c>
      <c r="AZ39" s="137"/>
      <c r="BA39" s="264"/>
      <c r="BB39" s="258">
        <f t="shared" si="29"/>
        <v>0</v>
      </c>
      <c r="BC39" s="258">
        <f t="shared" si="50"/>
        <v>0</v>
      </c>
      <c r="BD39" s="137">
        <f t="shared" si="51"/>
        <v>2.8249349723397099E-5</v>
      </c>
      <c r="BE39" s="137">
        <f t="shared" si="52"/>
        <v>2.8249349723397099E-5</v>
      </c>
      <c r="BF39" s="137">
        <f>_xll.xSPRDOPT($BW39,$BV39,$CG39,0,$BY39,$BX39,$BZ39,$AJ39,1,4)*$CB39</f>
        <v>2.658805103676857</v>
      </c>
      <c r="BG39" s="137">
        <f>_xll.xSPRDOPT($BW39,$BV39,$CG39,0,$BY39,$BX39,$BZ39,$AJ39,1,3)*$CB39</f>
        <v>2.6031580989122927</v>
      </c>
      <c r="BH39" s="137">
        <f>IF(OR(BF39&lt;&gt;0,BG39&lt;&gt;0),_xll.xSPRDOPT($BW39,$BV39,$CG39,0,$BY39,$BX39,$BZ39,$AJ39,1,12)*$CB39,0)</f>
        <v>-2.6308384333685066</v>
      </c>
      <c r="BI39" s="137">
        <f>_xll.xSPRDOPT($BW39,$BV39,$CG39,2*LN(1+CA39/2),$BY39,$BX39,$BZ39,$AJ39,1,9)</f>
        <v>-3.8072632174495271E-3</v>
      </c>
      <c r="BJ39" s="137">
        <f>_xll.xSPRDOPT($BW39,$BV39,$CG39,0,$BY39,$BX39,$BZ39,$AJ39,1,6)*$CB39</f>
        <v>1.9897749127281532E-2</v>
      </c>
      <c r="BK39" s="137">
        <f>_xll.xSPRDOPT($BW39,$BV39,$CG39,0,$BY39,$BX39,$BZ39,$AJ39,1,5)*$CB39</f>
        <v>1.9897351593098477E-2</v>
      </c>
      <c r="BL39" s="137">
        <f>_xll.xSPRDOPT(BW39,BV39,CG39,0,BY39,BX39,BZ39,AJ39,1,2)*CB39</f>
        <v>-0.79772006731911371</v>
      </c>
      <c r="BM39" s="137">
        <f>_xll.xSPRDOPT(BW39,BV39,CG39,0,BY39,BX39,BZ39,AJ39,1,1)*CB39</f>
        <v>0.8014468099274189</v>
      </c>
      <c r="BN39" s="137">
        <f>IF(AH39&lt;&gt;0,_xll.xSPRDOPT($BW39,$BV39,$CG39,2*LN(1+CA39/2),$BY39,$BX39,$BZ39,$AJ39,1,8)+(AJ39/365.25)*CH39/AH39,0)</f>
        <v>-6.0568911996520695E-2</v>
      </c>
      <c r="BO39" s="137">
        <f>_xll.xSPRDOPT($BW39,$BV39,$CG39,0,$BY39,$BX39,$BZ39,$AJ39,1,0)</f>
        <v>4.2160265907708279E-2</v>
      </c>
      <c r="BP39" s="137"/>
      <c r="BQ39" s="137"/>
      <c r="BR39" s="137"/>
      <c r="BS39" s="137"/>
      <c r="BV39" s="262">
        <v>3.2919999999999998</v>
      </c>
      <c r="BW39" s="136">
        <v>3.327</v>
      </c>
      <c r="BX39" s="137">
        <v>0.37767705651309219</v>
      </c>
      <c r="BY39" s="137">
        <v>0.37767705651309219</v>
      </c>
      <c r="BZ39" s="137">
        <v>0.99946194155965118</v>
      </c>
      <c r="CA39" s="137">
        <v>2.99847168551968E-2</v>
      </c>
      <c r="CB39" s="137">
        <v>0.95632885259143241</v>
      </c>
      <c r="CC39" s="258">
        <v>0.13</v>
      </c>
      <c r="CD39" s="258">
        <v>0</v>
      </c>
      <c r="CE39" s="258">
        <v>0.16500000000000001</v>
      </c>
      <c r="CF39" s="258">
        <v>0</v>
      </c>
      <c r="CG39" s="258">
        <v>0</v>
      </c>
      <c r="CH39" s="258">
        <v>0</v>
      </c>
      <c r="CI39" s="258">
        <v>3.1619999999999999</v>
      </c>
      <c r="CJ39" s="258"/>
      <c r="CK39" s="258"/>
      <c r="CL39" s="258"/>
      <c r="CM39" s="258"/>
    </row>
    <row r="40" spans="1:91" x14ac:dyDescent="0.25">
      <c r="A40" s="723"/>
      <c r="B40" s="723"/>
      <c r="D40" s="31">
        <f t="shared" si="30"/>
        <v>37817</v>
      </c>
      <c r="F40" s="28">
        <f t="shared" si="31"/>
        <v>0</v>
      </c>
      <c r="G40" s="28">
        <f t="shared" si="12"/>
        <v>0</v>
      </c>
      <c r="H40" s="52">
        <f t="shared" si="32"/>
        <v>3.3340000000000001</v>
      </c>
      <c r="I40" s="52">
        <f t="shared" si="33"/>
        <v>3.3690000000000002</v>
      </c>
      <c r="K40" s="52">
        <f t="shared" si="34"/>
        <v>1.0337634478193265</v>
      </c>
      <c r="L40" s="135">
        <f t="shared" si="35"/>
        <v>0.26575668897288751</v>
      </c>
      <c r="N40" s="131">
        <f t="shared" si="13"/>
        <v>0.37956577246742684</v>
      </c>
      <c r="O40" s="131">
        <f t="shared" si="14"/>
        <v>0.37956577246742684</v>
      </c>
      <c r="P40" s="55">
        <f t="shared" si="36"/>
        <v>0.99937221015253719</v>
      </c>
      <c r="Q40" s="135">
        <f>_xll.xSPRDOPT(I40,H40,AQ40,0,O40,N40,P40,D40-$G$5,1,0)*AH40*AU40</f>
        <v>1.299520136792214</v>
      </c>
      <c r="R40" s="135"/>
      <c r="S40" s="181">
        <f t="shared" si="37"/>
        <v>0</v>
      </c>
      <c r="T40" s="181">
        <f>_xll.xSPRDOPT(I40,H40,AQ40,AT40,O40,N40,P40,D40-$G$5,1,1)*AF40*F40*AH40</f>
        <v>0</v>
      </c>
      <c r="U40" s="135"/>
      <c r="V40" s="146">
        <f t="shared" si="38"/>
        <v>0</v>
      </c>
      <c r="W40" s="146"/>
      <c r="X40" s="338">
        <f t="shared" si="39"/>
        <v>0</v>
      </c>
      <c r="Y40" s="338">
        <f t="shared" si="15"/>
        <v>0</v>
      </c>
      <c r="Z40" s="338">
        <f t="shared" si="16"/>
        <v>0</v>
      </c>
      <c r="AA40" s="338">
        <f t="shared" si="17"/>
        <v>0</v>
      </c>
      <c r="AB40" s="338">
        <f t="shared" si="40"/>
        <v>0</v>
      </c>
      <c r="AC40" s="338">
        <f t="shared" si="41"/>
        <v>0</v>
      </c>
      <c r="AF40" s="138">
        <f t="shared" si="42"/>
        <v>1</v>
      </c>
      <c r="AG40" s="138">
        <f t="shared" si="43"/>
        <v>7</v>
      </c>
      <c r="AH40" s="138">
        <f t="shared" si="18"/>
        <v>31</v>
      </c>
      <c r="AI40" s="138">
        <f t="shared" si="44"/>
        <v>561</v>
      </c>
      <c r="AJ40" s="138">
        <f t="shared" si="45"/>
        <v>578</v>
      </c>
      <c r="AL40" s="136">
        <f t="shared" si="19"/>
        <v>3.2040000000000002</v>
      </c>
      <c r="AM40" s="258">
        <f t="shared" si="20"/>
        <v>0.13</v>
      </c>
      <c r="AN40" s="258">
        <f t="shared" si="21"/>
        <v>0</v>
      </c>
      <c r="AO40" s="258">
        <f t="shared" si="22"/>
        <v>0.16500000000000001</v>
      </c>
      <c r="AP40" s="258">
        <f t="shared" si="23"/>
        <v>0</v>
      </c>
      <c r="AQ40" s="136">
        <f t="shared" si="46"/>
        <v>0</v>
      </c>
      <c r="AR40" s="137">
        <f t="shared" si="24"/>
        <v>0</v>
      </c>
      <c r="AS40" s="136">
        <f t="shared" si="47"/>
        <v>3.3340000000000001</v>
      </c>
      <c r="AT40" s="137">
        <f t="shared" si="48"/>
        <v>3.0965279300479799E-2</v>
      </c>
      <c r="AU40" s="137">
        <f t="shared" si="25"/>
        <v>0.9527773712620482</v>
      </c>
      <c r="AV40" s="394">
        <f t="shared" si="49"/>
        <v>0</v>
      </c>
      <c r="AW40" s="137">
        <f t="shared" si="26"/>
        <v>0.3725</v>
      </c>
      <c r="AX40" s="137">
        <f t="shared" si="27"/>
        <v>0.57999999999999996</v>
      </c>
      <c r="AY40" s="137">
        <f t="shared" si="28"/>
        <v>0.57999999999999996</v>
      </c>
      <c r="AZ40" s="137"/>
      <c r="BA40" s="264"/>
      <c r="BB40" s="258">
        <f t="shared" si="29"/>
        <v>0</v>
      </c>
      <c r="BC40" s="258">
        <f t="shared" si="50"/>
        <v>0</v>
      </c>
      <c r="BD40" s="137">
        <f t="shared" si="51"/>
        <v>3.6239899198153847E-5</v>
      </c>
      <c r="BE40" s="137">
        <f t="shared" si="52"/>
        <v>3.6239899198153847E-5</v>
      </c>
      <c r="BF40" s="137">
        <f>_xll.xSPRDOPT($BW40,$BV40,$CG40,0,$BY40,$BX40,$BZ40,$AJ40,1,4)*$CB40</f>
        <v>2.9739657101256287</v>
      </c>
      <c r="BG40" s="137">
        <f>_xll.xSPRDOPT($BW40,$BV40,$CG40,0,$BY40,$BX40,$BZ40,$AJ40,1,3)*$CB40</f>
        <v>2.9124946983131514</v>
      </c>
      <c r="BH40" s="137">
        <f>IF(OR(BF40&lt;&gt;0,BG40&lt;&gt;0),_xll.xSPRDOPT($BW40,$BV40,$CG40,0,$BY40,$BX40,$BZ40,$AJ40,1,12)*$CB40,0)</f>
        <v>-2.9430741780608067</v>
      </c>
      <c r="BI40" s="137">
        <f>_xll.xSPRDOPT($BW40,$BV40,$CG40,2*LN(1+CA40/2),$BY40,$BX40,$BZ40,$AJ40,1,9)</f>
        <v>-4.3118656560252261E-3</v>
      </c>
      <c r="BJ40" s="137">
        <f>_xll.xSPRDOPT($BW40,$BV40,$CG40,0,$BY40,$BX40,$BZ40,$AJ40,1,6)*$CB40</f>
        <v>2.337844716759015E-2</v>
      </c>
      <c r="BK40" s="137">
        <f>_xll.xSPRDOPT($BW40,$BV40,$CG40,0,$BY40,$BX40,$BZ40,$AJ40,1,5)*$CB40</f>
        <v>2.3379596662200599E-2</v>
      </c>
      <c r="BL40" s="137">
        <f>_xll.xSPRDOPT(BW40,BV40,CG40,0,BY40,BX40,BZ40,AJ40,1,2)*CB40</f>
        <v>-0.76441131821330266</v>
      </c>
      <c r="BM40" s="137">
        <f>_xll.xSPRDOPT(BW40,BV40,CG40,0,BY40,BX40,BZ40,AJ40,1,1)*CB40</f>
        <v>0.76890820084859834</v>
      </c>
      <c r="BN40" s="137">
        <f>IF(AH40&lt;&gt;0,_xll.xSPRDOPT($BW40,$BV40,$CG40,2*LN(1+CA40/2),$BY40,$BX40,$BZ40,$AJ40,1,8)+(AJ40/365.25)*CH40/AH40,0)</f>
        <v>-6.670174163570998E-2</v>
      </c>
      <c r="BO40" s="137">
        <f>_xll.xSPRDOPT($BW40,$BV40,$CG40,0,$BY40,$BX40,$BZ40,$AJ40,1,0)</f>
        <v>4.3992414329362899E-2</v>
      </c>
      <c r="BP40" s="137"/>
      <c r="BQ40" s="137"/>
      <c r="BR40" s="137"/>
      <c r="BS40" s="137"/>
      <c r="BV40" s="262">
        <v>3.3340000000000001</v>
      </c>
      <c r="BW40" s="136">
        <v>3.3690000000000002</v>
      </c>
      <c r="BX40" s="137">
        <v>0.37952953256822869</v>
      </c>
      <c r="BY40" s="137">
        <v>0.37952953256822869</v>
      </c>
      <c r="BZ40" s="137">
        <v>0.99937534086733115</v>
      </c>
      <c r="CA40" s="137">
        <v>3.0965279300479799E-2</v>
      </c>
      <c r="CB40" s="137">
        <v>0.95253693379797033</v>
      </c>
      <c r="CC40" s="258">
        <v>0.13</v>
      </c>
      <c r="CD40" s="258">
        <v>0</v>
      </c>
      <c r="CE40" s="258">
        <v>0.16500000000000001</v>
      </c>
      <c r="CF40" s="258">
        <v>0</v>
      </c>
      <c r="CG40" s="258">
        <v>0</v>
      </c>
      <c r="CH40" s="258">
        <v>0</v>
      </c>
      <c r="CI40" s="258">
        <v>3.2040000000000002</v>
      </c>
      <c r="CJ40" s="258"/>
      <c r="CK40" s="258"/>
      <c r="CL40" s="258"/>
      <c r="CM40" s="258"/>
    </row>
    <row r="41" spans="1:91" x14ac:dyDescent="0.25">
      <c r="A41" s="723"/>
      <c r="B41" s="723"/>
      <c r="D41" s="31">
        <f t="shared" si="30"/>
        <v>37848</v>
      </c>
      <c r="F41" s="28">
        <f t="shared" si="31"/>
        <v>0</v>
      </c>
      <c r="G41" s="28">
        <f t="shared" si="12"/>
        <v>0</v>
      </c>
      <c r="H41" s="52">
        <f t="shared" si="32"/>
        <v>3.3759999999999999</v>
      </c>
      <c r="I41" s="52">
        <f t="shared" si="33"/>
        <v>3.411</v>
      </c>
      <c r="K41" s="52">
        <f t="shared" si="34"/>
        <v>1.029385065885883</v>
      </c>
      <c r="L41" s="135">
        <f t="shared" si="35"/>
        <v>0.31660462903959985</v>
      </c>
      <c r="N41" s="131">
        <f t="shared" si="13"/>
        <v>0.38123828997735254</v>
      </c>
      <c r="O41" s="131">
        <f t="shared" si="14"/>
        <v>0.38123828997735254</v>
      </c>
      <c r="P41" s="55">
        <f t="shared" si="36"/>
        <v>0.99930325559639699</v>
      </c>
      <c r="Q41" s="135">
        <f>_xll.xSPRDOPT(I41,H41,AQ41,0,O41,N41,P41,D41-$G$5,1,0)*AH41*AU41</f>
        <v>1.3459896949254828</v>
      </c>
      <c r="R41" s="135"/>
      <c r="S41" s="181">
        <f t="shared" si="37"/>
        <v>0</v>
      </c>
      <c r="T41" s="181">
        <f>_xll.xSPRDOPT(I41,H41,AQ41,AT41,O41,N41,P41,D41-$G$5,1,1)*AF41*F41*AH41</f>
        <v>0</v>
      </c>
      <c r="U41" s="135"/>
      <c r="V41" s="146">
        <f t="shared" si="38"/>
        <v>0</v>
      </c>
      <c r="W41" s="146"/>
      <c r="X41" s="338">
        <f t="shared" si="39"/>
        <v>0</v>
      </c>
      <c r="Y41" s="338">
        <f t="shared" si="15"/>
        <v>0</v>
      </c>
      <c r="Z41" s="338">
        <f t="shared" si="16"/>
        <v>0</v>
      </c>
      <c r="AA41" s="338">
        <f t="shared" si="17"/>
        <v>0</v>
      </c>
      <c r="AB41" s="338">
        <f t="shared" si="40"/>
        <v>0</v>
      </c>
      <c r="AC41" s="338">
        <f t="shared" si="41"/>
        <v>0</v>
      </c>
      <c r="AF41" s="138">
        <f t="shared" si="42"/>
        <v>1</v>
      </c>
      <c r="AG41" s="138">
        <f t="shared" si="43"/>
        <v>8</v>
      </c>
      <c r="AH41" s="138">
        <f t="shared" si="18"/>
        <v>31</v>
      </c>
      <c r="AI41" s="138">
        <f t="shared" si="44"/>
        <v>592</v>
      </c>
      <c r="AJ41" s="138">
        <f t="shared" si="45"/>
        <v>609</v>
      </c>
      <c r="AL41" s="136">
        <f t="shared" si="19"/>
        <v>3.246</v>
      </c>
      <c r="AM41" s="258">
        <f t="shared" si="20"/>
        <v>0.13</v>
      </c>
      <c r="AN41" s="258">
        <f t="shared" si="21"/>
        <v>0</v>
      </c>
      <c r="AO41" s="258">
        <f t="shared" si="22"/>
        <v>0.16500000000000001</v>
      </c>
      <c r="AP41" s="258">
        <f t="shared" si="23"/>
        <v>0</v>
      </c>
      <c r="AQ41" s="136">
        <f t="shared" si="46"/>
        <v>0</v>
      </c>
      <c r="AR41" s="137">
        <f t="shared" si="24"/>
        <v>0</v>
      </c>
      <c r="AS41" s="136">
        <f t="shared" si="47"/>
        <v>3.3759999999999999</v>
      </c>
      <c r="AT41" s="137">
        <f t="shared" si="48"/>
        <v>3.1967083332272501E-2</v>
      </c>
      <c r="AU41" s="137">
        <f t="shared" si="25"/>
        <v>0.94874199620818334</v>
      </c>
      <c r="AV41" s="394">
        <f t="shared" si="49"/>
        <v>0</v>
      </c>
      <c r="AW41" s="137">
        <f t="shared" si="26"/>
        <v>0.3725</v>
      </c>
      <c r="AX41" s="137">
        <f t="shared" si="27"/>
        <v>0.63</v>
      </c>
      <c r="AY41" s="137">
        <f t="shared" si="28"/>
        <v>0.63</v>
      </c>
      <c r="AZ41" s="137"/>
      <c r="BA41" s="264"/>
      <c r="BB41" s="258">
        <f t="shared" si="29"/>
        <v>0</v>
      </c>
      <c r="BC41" s="258">
        <f t="shared" si="50"/>
        <v>0</v>
      </c>
      <c r="BD41" s="137">
        <f t="shared" si="51"/>
        <v>4.245025350635423E-5</v>
      </c>
      <c r="BE41" s="137">
        <f t="shared" si="52"/>
        <v>4.245025350635423E-5</v>
      </c>
      <c r="BF41" s="137">
        <f>_xll.xSPRDOPT($BW41,$BV41,$CG41,0,$BY41,$BX41,$BZ41,$AJ41,1,4)*$CB41</f>
        <v>3.1800924252171225</v>
      </c>
      <c r="BG41" s="137">
        <f>_xll.xSPRDOPT($BW41,$BV41,$CG41,0,$BY41,$BX41,$BZ41,$AJ41,1,3)*$CB41</f>
        <v>3.1151657351800375</v>
      </c>
      <c r="BH41" s="137">
        <f>IF(OR(BF41&lt;&gt;0,BG41&lt;&gt;0),_xll.xSPRDOPT($BW41,$BV41,$CG41,0,$BY41,$BX41,$BZ41,$AJ41,1,12)*$CB41,0)</f>
        <v>-3.1474663371474816</v>
      </c>
      <c r="BI41" s="137">
        <f>_xll.xSPRDOPT($BW41,$BV41,$CG41,2*LN(1+CA41/2),$BY41,$BX41,$BZ41,$AJ41,1,9)</f>
        <v>-4.6370459890046145E-3</v>
      </c>
      <c r="BJ41" s="137">
        <f>_xll.xSPRDOPT($BW41,$BV41,$CG41,0,$BY41,$BX41,$BZ41,$AJ41,1,6)*$CB41</f>
        <v>2.6352430865430411E-2</v>
      </c>
      <c r="BK41" s="137">
        <f>_xll.xSPRDOPT($BW41,$BV41,$CG41,0,$BY41,$BX41,$BZ41,$AJ41,1,5)*$CB41</f>
        <v>2.6355102492746769E-2</v>
      </c>
      <c r="BL41" s="137">
        <f>_xll.xSPRDOPT(BW41,BV41,CG41,0,BY41,BX41,BZ41,AJ41,1,2)*CB41</f>
        <v>-0.73561600111877834</v>
      </c>
      <c r="BM41" s="137">
        <f>_xll.xSPRDOPT(BW41,BV41,CG41,0,BY41,BX41,BZ41,AJ41,1,1)*CB41</f>
        <v>0.7407917809877701</v>
      </c>
      <c r="BN41" s="137">
        <f>IF(AH41&lt;&gt;0,_xll.xSPRDOPT($BW41,$BV41,$CG41,2*LN(1+CA41/2),$BY41,$BX41,$BZ41,$AJ41,1,8)+(AJ41/365.25)*CH41/AH41,0)</f>
        <v>-7.2975857878220515E-2</v>
      </c>
      <c r="BO41" s="137">
        <f>_xll.xSPRDOPT($BW41,$BV41,$CG41,0,$BY41,$BX41,$BZ41,$AJ41,1,0)</f>
        <v>4.5757919711109714E-2</v>
      </c>
      <c r="BP41" s="137"/>
      <c r="BQ41" s="137"/>
      <c r="BR41" s="137"/>
      <c r="BS41" s="137"/>
      <c r="BV41" s="262">
        <v>3.3759999999999999</v>
      </c>
      <c r="BW41" s="136">
        <v>3.411</v>
      </c>
      <c r="BX41" s="137">
        <v>0.38119583972384619</v>
      </c>
      <c r="BY41" s="137">
        <v>0.38119583972384619</v>
      </c>
      <c r="BZ41" s="137">
        <v>0.99930652497582217</v>
      </c>
      <c r="CA41" s="137">
        <v>3.1967083332272501E-2</v>
      </c>
      <c r="CB41" s="137">
        <v>0.94849489337827508</v>
      </c>
      <c r="CC41" s="258">
        <v>0.13</v>
      </c>
      <c r="CD41" s="258">
        <v>0</v>
      </c>
      <c r="CE41" s="258">
        <v>0.16500000000000001</v>
      </c>
      <c r="CF41" s="258">
        <v>0</v>
      </c>
      <c r="CG41" s="258">
        <v>0</v>
      </c>
      <c r="CH41" s="258">
        <v>0</v>
      </c>
      <c r="CI41" s="258">
        <v>3.246</v>
      </c>
      <c r="CJ41" s="258"/>
      <c r="CK41" s="258"/>
      <c r="CL41" s="258"/>
      <c r="CM41" s="258"/>
    </row>
    <row r="42" spans="1:91" x14ac:dyDescent="0.25">
      <c r="A42" s="723"/>
      <c r="B42" s="723"/>
      <c r="D42" s="31">
        <f t="shared" si="30"/>
        <v>37879</v>
      </c>
      <c r="F42" s="28">
        <f t="shared" si="31"/>
        <v>0</v>
      </c>
      <c r="G42" s="28">
        <f t="shared" si="12"/>
        <v>0</v>
      </c>
      <c r="H42" s="52">
        <f t="shared" si="32"/>
        <v>3.371</v>
      </c>
      <c r="I42" s="52">
        <f t="shared" si="33"/>
        <v>3.4060000000000001</v>
      </c>
      <c r="K42" s="52">
        <f t="shared" si="34"/>
        <v>0.9917946794363014</v>
      </c>
      <c r="L42" s="135">
        <f t="shared" si="35"/>
        <v>0.29331772569203152</v>
      </c>
      <c r="N42" s="131">
        <f t="shared" si="13"/>
        <v>0.37817040162415777</v>
      </c>
      <c r="O42" s="131">
        <f t="shared" si="14"/>
        <v>0.37817040162415777</v>
      </c>
      <c r="P42" s="55">
        <f t="shared" si="36"/>
        <v>0.99934750586899468</v>
      </c>
      <c r="Q42" s="135">
        <f>_xll.xSPRDOPT(I42,H42,AQ42,0,O42,N42,P42,D42-$G$5,1,0)*AH42*AU42</f>
        <v>1.2851124051283329</v>
      </c>
      <c r="R42" s="135"/>
      <c r="S42" s="181">
        <f t="shared" si="37"/>
        <v>0</v>
      </c>
      <c r="T42" s="181">
        <f>_xll.xSPRDOPT(I42,H42,AQ42,AT42,O42,N42,P42,D42-$G$5,1,1)*AF42*F42*AH42</f>
        <v>0</v>
      </c>
      <c r="U42" s="135"/>
      <c r="V42" s="146">
        <f t="shared" si="38"/>
        <v>0</v>
      </c>
      <c r="W42" s="146"/>
      <c r="X42" s="338">
        <f t="shared" si="39"/>
        <v>0</v>
      </c>
      <c r="Y42" s="338">
        <f t="shared" si="15"/>
        <v>0</v>
      </c>
      <c r="Z42" s="338">
        <f t="shared" si="16"/>
        <v>0</v>
      </c>
      <c r="AA42" s="338">
        <f t="shared" si="17"/>
        <v>0</v>
      </c>
      <c r="AB42" s="338">
        <f t="shared" si="40"/>
        <v>0</v>
      </c>
      <c r="AC42" s="338">
        <f t="shared" si="41"/>
        <v>0</v>
      </c>
      <c r="AF42" s="138">
        <f t="shared" si="42"/>
        <v>1</v>
      </c>
      <c r="AG42" s="138">
        <f t="shared" si="43"/>
        <v>9</v>
      </c>
      <c r="AH42" s="138">
        <f t="shared" si="18"/>
        <v>30</v>
      </c>
      <c r="AI42" s="138">
        <f t="shared" si="44"/>
        <v>623</v>
      </c>
      <c r="AJ42" s="138">
        <f t="shared" si="45"/>
        <v>640</v>
      </c>
      <c r="AL42" s="136">
        <f t="shared" si="19"/>
        <v>3.2410000000000001</v>
      </c>
      <c r="AM42" s="258">
        <f t="shared" si="20"/>
        <v>0.13</v>
      </c>
      <c r="AN42" s="258">
        <f t="shared" si="21"/>
        <v>0</v>
      </c>
      <c r="AO42" s="258">
        <f t="shared" si="22"/>
        <v>0.16500000000000001</v>
      </c>
      <c r="AP42" s="258">
        <f t="shared" si="23"/>
        <v>0</v>
      </c>
      <c r="AQ42" s="136">
        <f t="shared" si="46"/>
        <v>0</v>
      </c>
      <c r="AR42" s="137">
        <f t="shared" si="24"/>
        <v>0</v>
      </c>
      <c r="AS42" s="136">
        <f t="shared" si="47"/>
        <v>3.371</v>
      </c>
      <c r="AT42" s="137">
        <f t="shared" si="48"/>
        <v>3.2968887702129003E-2</v>
      </c>
      <c r="AU42" s="137">
        <f t="shared" si="25"/>
        <v>0.94456636136790217</v>
      </c>
      <c r="AV42" s="394">
        <f t="shared" si="49"/>
        <v>0</v>
      </c>
      <c r="AW42" s="137">
        <f t="shared" si="26"/>
        <v>0.37</v>
      </c>
      <c r="AX42" s="137">
        <f t="shared" si="27"/>
        <v>0.63</v>
      </c>
      <c r="AY42" s="137">
        <f t="shared" si="28"/>
        <v>0.63</v>
      </c>
      <c r="AZ42" s="137"/>
      <c r="BA42" s="264"/>
      <c r="BB42" s="258">
        <f t="shared" si="29"/>
        <v>0</v>
      </c>
      <c r="BC42" s="258">
        <f t="shared" si="50"/>
        <v>0</v>
      </c>
      <c r="BD42" s="137">
        <f t="shared" si="51"/>
        <v>3.782782267369722E-5</v>
      </c>
      <c r="BE42" s="137">
        <f t="shared" si="52"/>
        <v>3.782782267369722E-5</v>
      </c>
      <c r="BF42" s="137">
        <f>_xll.xSPRDOPT($BW42,$BV42,$CG42,0,$BY42,$BX42,$BZ42,$AJ42,1,4)*$CB42</f>
        <v>2.9303512126740765</v>
      </c>
      <c r="BG42" s="137">
        <f>_xll.xSPRDOPT($BW42,$BV42,$CG42,0,$BY42,$BX42,$BZ42,$AJ42,1,3)*$CB42</f>
        <v>2.8704359843410572</v>
      </c>
      <c r="BH42" s="137">
        <f>IF(OR(BF42&lt;&gt;0,BG42&lt;&gt;0),_xll.xSPRDOPT($BW42,$BV42,$CG42,0,$BY42,$BX42,$BZ42,$AJ42,1,12)*$CB42,0)</f>
        <v>-2.9002433118292155</v>
      </c>
      <c r="BI42" s="137">
        <f>_xll.xSPRDOPT($BW42,$BV42,$CG42,2*LN(1+CA42/2),$BY42,$BX42,$BZ42,$AJ42,1,9)</f>
        <v>-4.1644007594072727E-3</v>
      </c>
      <c r="BJ42" s="137">
        <f>_xll.xSPRDOPT($BW42,$BV42,$CG42,0,$BY42,$BX42,$BZ42,$AJ42,1,6)*$CB42</f>
        <v>2.5846743264311231E-2</v>
      </c>
      <c r="BK42" s="137">
        <f>_xll.xSPRDOPT($BW42,$BV42,$CG42,0,$BY42,$BX42,$BZ42,$AJ42,1,5)*$CB42</f>
        <v>2.5849103280929778E-2</v>
      </c>
      <c r="BL42" s="137">
        <f>_xll.xSPRDOPT(BW42,BV42,CG42,0,BY42,BX42,BZ42,AJ42,1,2)*CB42</f>
        <v>-0.74418092842857531</v>
      </c>
      <c r="BM42" s="137">
        <f>_xll.xSPRDOPT(BW42,BV42,CG42,0,BY42,BX42,BZ42,AJ42,1,1)*CB42</f>
        <v>0.74910544816341285</v>
      </c>
      <c r="BN42" s="137">
        <f>IF(AH42&lt;&gt;0,_xll.xSPRDOPT($BW42,$BV42,$CG42,2*LN(1+CA42/2),$BY42,$BX42,$BZ42,$AJ42,1,8)+(AJ42/365.25)*CH42/AH42,0)</f>
        <v>-7.5748792595293046E-2</v>
      </c>
      <c r="BO42" s="137">
        <f>_xll.xSPRDOPT($BW42,$BV42,$CG42,0,$BY42,$BX42,$BZ42,$AJ42,1,0)</f>
        <v>4.5344359683326035E-2</v>
      </c>
      <c r="BP42" s="137"/>
      <c r="BQ42" s="137"/>
      <c r="BR42" s="137"/>
      <c r="BS42" s="137"/>
      <c r="BV42" s="262">
        <v>3.371</v>
      </c>
      <c r="BW42" s="136">
        <v>3.4060000000000001</v>
      </c>
      <c r="BX42" s="137">
        <v>0.37813257380148407</v>
      </c>
      <c r="BY42" s="137">
        <v>0.37813257380148407</v>
      </c>
      <c r="BZ42" s="137">
        <v>0.99935042971908128</v>
      </c>
      <c r="CA42" s="137">
        <v>3.2968887702129003E-2</v>
      </c>
      <c r="CB42" s="137">
        <v>0.94431270003290391</v>
      </c>
      <c r="CC42" s="258">
        <v>0.13</v>
      </c>
      <c r="CD42" s="258">
        <v>0</v>
      </c>
      <c r="CE42" s="258">
        <v>0.16500000000000001</v>
      </c>
      <c r="CF42" s="258">
        <v>0</v>
      </c>
      <c r="CG42" s="258">
        <v>0</v>
      </c>
      <c r="CH42" s="258">
        <v>0</v>
      </c>
      <c r="CI42" s="258">
        <v>3.2410000000000001</v>
      </c>
      <c r="CJ42" s="258"/>
      <c r="CK42" s="258"/>
      <c r="CL42" s="258"/>
      <c r="CM42" s="258"/>
    </row>
    <row r="43" spans="1:91" x14ac:dyDescent="0.25">
      <c r="A43" s="723"/>
      <c r="B43" s="723"/>
      <c r="D43" s="31">
        <f t="shared" si="30"/>
        <v>37909</v>
      </c>
      <c r="F43" s="28">
        <f t="shared" si="31"/>
        <v>0</v>
      </c>
      <c r="G43" s="28">
        <f t="shared" si="12"/>
        <v>0</v>
      </c>
      <c r="H43" s="52">
        <f t="shared" si="32"/>
        <v>3.3969999999999998</v>
      </c>
      <c r="I43" s="52">
        <f t="shared" si="33"/>
        <v>3.4319999999999999</v>
      </c>
      <c r="K43" s="52">
        <f t="shared" si="34"/>
        <v>1.0203853899048014</v>
      </c>
      <c r="L43" s="135">
        <f t="shared" si="35"/>
        <v>0.36392526465043673</v>
      </c>
      <c r="N43" s="131">
        <f t="shared" si="13"/>
        <v>0.38243997040692113</v>
      </c>
      <c r="O43" s="131">
        <f t="shared" si="14"/>
        <v>0.38243997040692113</v>
      </c>
      <c r="P43" s="55">
        <f t="shared" si="36"/>
        <v>0.99926697031866174</v>
      </c>
      <c r="Q43" s="135">
        <f>_xll.xSPRDOPT(I43,H43,AQ43,0,O43,N43,P43,D43-$G$5,1,0)*AH43*AU43</f>
        <v>1.3843106545552382</v>
      </c>
      <c r="R43" s="135"/>
      <c r="S43" s="181">
        <f t="shared" si="37"/>
        <v>0</v>
      </c>
      <c r="T43" s="181">
        <f>_xll.xSPRDOPT(I43,H43,AQ43,AT43,O43,N43,P43,D43-$G$5,1,1)*AF43*F43*AH43</f>
        <v>0</v>
      </c>
      <c r="U43" s="135"/>
      <c r="V43" s="146">
        <f t="shared" si="38"/>
        <v>0</v>
      </c>
      <c r="W43" s="146"/>
      <c r="X43" s="338">
        <f t="shared" si="39"/>
        <v>0</v>
      </c>
      <c r="Y43" s="338">
        <f t="shared" si="15"/>
        <v>0</v>
      </c>
      <c r="Z43" s="338">
        <f t="shared" si="16"/>
        <v>0</v>
      </c>
      <c r="AA43" s="338">
        <f t="shared" si="17"/>
        <v>0</v>
      </c>
      <c r="AB43" s="338">
        <f t="shared" si="40"/>
        <v>0</v>
      </c>
      <c r="AC43" s="338">
        <f t="shared" si="41"/>
        <v>0</v>
      </c>
      <c r="AF43" s="138">
        <f t="shared" si="42"/>
        <v>1</v>
      </c>
      <c r="AG43" s="138">
        <f t="shared" si="43"/>
        <v>10</v>
      </c>
      <c r="AH43" s="138">
        <f t="shared" si="18"/>
        <v>31</v>
      </c>
      <c r="AI43" s="138">
        <f t="shared" si="44"/>
        <v>653</v>
      </c>
      <c r="AJ43" s="138">
        <f t="shared" si="45"/>
        <v>670</v>
      </c>
      <c r="AL43" s="136">
        <f t="shared" si="19"/>
        <v>3.2669999999999999</v>
      </c>
      <c r="AM43" s="258">
        <f t="shared" si="20"/>
        <v>0.13</v>
      </c>
      <c r="AN43" s="258">
        <f t="shared" si="21"/>
        <v>0</v>
      </c>
      <c r="AO43" s="258">
        <f t="shared" si="22"/>
        <v>0.16500000000000001</v>
      </c>
      <c r="AP43" s="258">
        <f t="shared" si="23"/>
        <v>0</v>
      </c>
      <c r="AQ43" s="136">
        <f t="shared" si="46"/>
        <v>0</v>
      </c>
      <c r="AR43" s="137">
        <f t="shared" si="24"/>
        <v>0</v>
      </c>
      <c r="AS43" s="136">
        <f t="shared" si="47"/>
        <v>3.3969999999999998</v>
      </c>
      <c r="AT43" s="137">
        <f t="shared" si="48"/>
        <v>3.3906701822071103E-2</v>
      </c>
      <c r="AU43" s="137">
        <f t="shared" si="25"/>
        <v>0.94044736396755513</v>
      </c>
      <c r="AV43" s="394">
        <f t="shared" si="49"/>
        <v>0</v>
      </c>
      <c r="AW43" s="137">
        <f t="shared" si="26"/>
        <v>0.3725</v>
      </c>
      <c r="AX43" s="137">
        <f t="shared" si="27"/>
        <v>0.68</v>
      </c>
      <c r="AY43" s="137">
        <f t="shared" si="28"/>
        <v>0.68</v>
      </c>
      <c r="AZ43" s="137"/>
      <c r="BA43" s="264"/>
      <c r="BB43" s="258">
        <f t="shared" si="29"/>
        <v>0</v>
      </c>
      <c r="BC43" s="258">
        <f t="shared" si="50"/>
        <v>0</v>
      </c>
      <c r="BD43" s="137">
        <f t="shared" si="51"/>
        <v>4.3833320035158163E-5</v>
      </c>
      <c r="BE43" s="137">
        <f t="shared" si="52"/>
        <v>4.3833320035158163E-5</v>
      </c>
      <c r="BF43" s="137">
        <f>_xll.xSPRDOPT($BW43,$BV43,$CG43,0,$BY43,$BX43,$BZ43,$AJ43,1,4)*$CB43</f>
        <v>3.1710344103194212</v>
      </c>
      <c r="BG43" s="137">
        <f>_xll.xSPRDOPT($BW43,$BV43,$CG43,0,$BY43,$BX43,$BZ43,$AJ43,1,3)*$CB43</f>
        <v>3.1066867223155921</v>
      </c>
      <c r="BH43" s="137">
        <f>IF(OR(BF43&lt;&gt;0,BG43&lt;&gt;0),_xll.xSPRDOPT($BW43,$BV43,$CG43,0,$BY43,$BX43,$BZ43,$AJ43,1,12)*$CB43,0)</f>
        <v>-3.1387001037266984</v>
      </c>
      <c r="BI43" s="137">
        <f>_xll.xSPRDOPT($BW43,$BV43,$CG43,2*LN(1+CA43/2),$BY43,$BX43,$BZ43,$AJ43,1,9)</f>
        <v>-4.5231086975045243E-3</v>
      </c>
      <c r="BJ43" s="137">
        <f>_xll.xSPRDOPT($BW43,$BV43,$CG43,0,$BY43,$BX43,$BZ43,$AJ43,1,6)*$CB43</f>
        <v>2.8972984423599954E-2</v>
      </c>
      <c r="BK43" s="137">
        <f>_xll.xSPRDOPT($BW43,$BV43,$CG43,0,$BY43,$BX43,$BZ43,$AJ43,1,5)*$CB43</f>
        <v>2.8977008256166583E-2</v>
      </c>
      <c r="BL43" s="137">
        <f>_xll.xSPRDOPT(BW43,BV43,CG43,0,BY43,BX43,BZ43,AJ43,1,2)*CB43</f>
        <v>-0.71149644500310882</v>
      </c>
      <c r="BM43" s="137">
        <f>_xll.xSPRDOPT(BW43,BV43,CG43,0,BY43,BX43,BZ43,AJ43,1,1)*CB43</f>
        <v>0.71724599509797693</v>
      </c>
      <c r="BN43" s="137">
        <f>IF(AH43&lt;&gt;0,_xll.xSPRDOPT($BW43,$BV43,$CG43,2*LN(1+CA43/2),$BY43,$BX43,$BZ43,$AJ43,1,8)+(AJ43/365.25)*CH43/AH43,0)</f>
        <v>-8.277001905731593E-2</v>
      </c>
      <c r="BO43" s="137">
        <f>_xll.xSPRDOPT($BW43,$BV43,$CG43,0,$BY43,$BX43,$BZ43,$AJ43,1,0)</f>
        <v>4.7474395729675337E-2</v>
      </c>
      <c r="BP43" s="137"/>
      <c r="BQ43" s="137"/>
      <c r="BR43" s="137"/>
      <c r="BS43" s="137"/>
      <c r="BV43" s="262">
        <v>3.3969999999999998</v>
      </c>
      <c r="BW43" s="136">
        <v>3.4319999999999999</v>
      </c>
      <c r="BX43" s="137">
        <v>0.38239613708688597</v>
      </c>
      <c r="BY43" s="137">
        <v>0.38239613708688597</v>
      </c>
      <c r="BZ43" s="137">
        <v>0.99927007789895828</v>
      </c>
      <c r="CA43" s="137">
        <v>3.3906701822071103E-2</v>
      </c>
      <c r="CB43" s="137">
        <v>0.94018768577798628</v>
      </c>
      <c r="CC43" s="258">
        <v>0.13</v>
      </c>
      <c r="CD43" s="258">
        <v>0</v>
      </c>
      <c r="CE43" s="258">
        <v>0.16500000000000001</v>
      </c>
      <c r="CF43" s="258">
        <v>0</v>
      </c>
      <c r="CG43" s="258">
        <v>0</v>
      </c>
      <c r="CH43" s="258">
        <v>0</v>
      </c>
      <c r="CI43" s="258">
        <v>3.2669999999999999</v>
      </c>
      <c r="CJ43" s="258"/>
      <c r="CK43" s="258"/>
      <c r="CL43" s="258"/>
      <c r="CM43" s="258"/>
    </row>
    <row r="44" spans="1:91" x14ac:dyDescent="0.25">
      <c r="A44" s="723"/>
      <c r="B44" s="723"/>
      <c r="D44" s="31">
        <f t="shared" si="30"/>
        <v>37940</v>
      </c>
      <c r="F44" s="28">
        <f t="shared" si="31"/>
        <v>9189</v>
      </c>
      <c r="G44" s="28">
        <f t="shared" si="12"/>
        <v>8602.1112924948739</v>
      </c>
      <c r="H44" s="52">
        <f t="shared" si="32"/>
        <v>3.762</v>
      </c>
      <c r="I44" s="52">
        <f t="shared" si="33"/>
        <v>3.7720000000000002</v>
      </c>
      <c r="K44" s="52">
        <f t="shared" si="34"/>
        <v>0.28083941536059653</v>
      </c>
      <c r="L44" s="135">
        <f t="shared" si="35"/>
        <v>0.86674622704159676</v>
      </c>
      <c r="N44" s="131">
        <f t="shared" si="13"/>
        <v>0.38567537328980672</v>
      </c>
      <c r="O44" s="131">
        <f t="shared" si="14"/>
        <v>0.38567537328980672</v>
      </c>
      <c r="P44" s="55">
        <f t="shared" si="36"/>
        <v>0.99900613716432407</v>
      </c>
      <c r="Q44" s="135">
        <f>_xll.xSPRDOPT(I44,H44,AQ44,0,O44,N44,P44,D44-$G$5,1,0)*AH44*AU44</f>
        <v>1.1475856424021933</v>
      </c>
      <c r="R44" s="135"/>
      <c r="S44" s="181">
        <f t="shared" si="37"/>
        <v>-142321.91415670217</v>
      </c>
      <c r="T44" s="181">
        <f>_xll.xSPRDOPT(I44,H44,AQ44,AT44,O44,N44,P44,D44-$G$5,1,1)*AF44*F44*AH44</f>
        <v>142321.91415670217</v>
      </c>
      <c r="U44" s="135"/>
      <c r="V44" s="146">
        <f t="shared" si="38"/>
        <v>0</v>
      </c>
      <c r="W44" s="146"/>
      <c r="X44" s="338">
        <f t="shared" si="39"/>
        <v>0</v>
      </c>
      <c r="Y44" s="338">
        <f t="shared" si="15"/>
        <v>0</v>
      </c>
      <c r="Z44" s="338">
        <f t="shared" si="16"/>
        <v>-16.600045442522177</v>
      </c>
      <c r="AA44" s="338">
        <f t="shared" si="17"/>
        <v>1.5587541469150663</v>
      </c>
      <c r="AB44" s="338">
        <f t="shared" si="40"/>
        <v>0</v>
      </c>
      <c r="AC44" s="338">
        <f t="shared" si="41"/>
        <v>3.0125956448442146</v>
      </c>
      <c r="AF44" s="138">
        <f t="shared" si="42"/>
        <v>1</v>
      </c>
      <c r="AG44" s="138">
        <f t="shared" si="43"/>
        <v>11</v>
      </c>
      <c r="AH44" s="138">
        <f t="shared" si="18"/>
        <v>30</v>
      </c>
      <c r="AI44" s="138">
        <f t="shared" si="44"/>
        <v>684</v>
      </c>
      <c r="AJ44" s="138">
        <f t="shared" si="45"/>
        <v>701</v>
      </c>
      <c r="AL44" s="136">
        <f t="shared" si="19"/>
        <v>3.4020000000000001</v>
      </c>
      <c r="AM44" s="258">
        <f t="shared" si="20"/>
        <v>0.36</v>
      </c>
      <c r="AN44" s="258">
        <f t="shared" si="21"/>
        <v>0</v>
      </c>
      <c r="AO44" s="258">
        <f t="shared" si="22"/>
        <v>0.37</v>
      </c>
      <c r="AP44" s="258">
        <f t="shared" si="23"/>
        <v>0</v>
      </c>
      <c r="AQ44" s="136">
        <f t="shared" si="46"/>
        <v>0</v>
      </c>
      <c r="AR44" s="137">
        <f t="shared" si="24"/>
        <v>0</v>
      </c>
      <c r="AS44" s="136">
        <f t="shared" si="47"/>
        <v>3.762</v>
      </c>
      <c r="AT44" s="137">
        <f t="shared" si="48"/>
        <v>3.4836153967131397E-2</v>
      </c>
      <c r="AU44" s="137">
        <f t="shared" si="25"/>
        <v>0.9361313845353002</v>
      </c>
      <c r="AV44" s="394">
        <f t="shared" si="49"/>
        <v>0</v>
      </c>
      <c r="AW44" s="137">
        <f t="shared" si="26"/>
        <v>0.37</v>
      </c>
      <c r="AX44" s="137">
        <f t="shared" si="27"/>
        <v>0.83</v>
      </c>
      <c r="AY44" s="137">
        <f t="shared" si="28"/>
        <v>0.83</v>
      </c>
      <c r="AZ44" s="137"/>
      <c r="BA44" s="264"/>
      <c r="BB44" s="258">
        <f t="shared" si="29"/>
        <v>0</v>
      </c>
      <c r="BC44" s="258">
        <f t="shared" si="50"/>
        <v>0</v>
      </c>
      <c r="BD44" s="137">
        <f t="shared" si="51"/>
        <v>6.5633014911969934E-5</v>
      </c>
      <c r="BE44" s="137">
        <f t="shared" si="52"/>
        <v>6.5633014911969934E-5</v>
      </c>
      <c r="BF44" s="137">
        <f>_xll.xSPRDOPT($BW44,$BV44,$CG44,0,$BY44,$BX44,$BZ44,$AJ44,1,4)*$CB44</f>
        <v>4.0921992052165237</v>
      </c>
      <c r="BG44" s="137">
        <f>_xll.xSPRDOPT($BW44,$BV44,$CG44,0,$BY44,$BX44,$BZ44,$AJ44,1,3)*$CB44</f>
        <v>4.070530161302198</v>
      </c>
      <c r="BH44" s="137">
        <f>IF(OR(BF44&lt;&gt;0,BG44&lt;&gt;0),_xll.xSPRDOPT($BW44,$BV44,$CG44,0,$BY44,$BX44,$BZ44,$AJ44,1,12)*$CB44,0)</f>
        <v>-4.0813425717327858</v>
      </c>
      <c r="BI44" s="137">
        <f>_xll.xSPRDOPT($BW44,$BV44,$CG44,2*LN(1+CA44/2),$BY44,$BX44,$BZ44,$AJ44,1,9)</f>
        <v>-7.3314308144777273E-3</v>
      </c>
      <c r="BJ44" s="137">
        <f>_xll.xSPRDOPT($BW44,$BV44,$CG44,0,$BY44,$BX44,$BZ44,$AJ44,1,6)*$CB44</f>
        <v>4.310389986823731E-2</v>
      </c>
      <c r="BK44" s="137">
        <f>_xll.xSPRDOPT($BW44,$BV44,$CG44,0,$BY44,$BX44,$BZ44,$AJ44,1,5)*$CB44</f>
        <v>4.3048178937599019E-2</v>
      </c>
      <c r="BL44" s="137">
        <f>_xll.xSPRDOPT(BW44,BV44,CG44,0,BY44,BX44,BZ44,AJ44,1,2)*CB44</f>
        <v>-0.50922872788796458</v>
      </c>
      <c r="BM44" s="137">
        <f>_xll.xSPRDOPT(BW44,BV44,CG44,0,BY44,BX44,BZ44,AJ44,1,1)*CB44</f>
        <v>0.51800425665799543</v>
      </c>
      <c r="BN44" s="137">
        <f>IF(AH44&lt;&gt;0,_xll.xSPRDOPT($BW44,$BV44,$CG44,2*LN(1+CA44/2),$BY44,$BX44,$BZ44,$AJ44,1,8)+(AJ44/365.25)*CH44/AH44,0)</f>
        <v>-7.3541278221705392E-2</v>
      </c>
      <c r="BO44" s="137">
        <f>_xll.xSPRDOPT($BW44,$BV44,$CG44,0,$BY44,$BX44,$BZ44,$AJ44,1,0)</f>
        <v>4.0810930310818977E-2</v>
      </c>
      <c r="BP44" s="137"/>
      <c r="BQ44" s="137"/>
      <c r="BR44" s="137"/>
      <c r="BS44" s="137"/>
      <c r="BV44" s="262">
        <v>3.762</v>
      </c>
      <c r="BW44" s="136">
        <v>3.7720000000000002</v>
      </c>
      <c r="BX44" s="137">
        <v>0.38560974027489475</v>
      </c>
      <c r="BY44" s="137">
        <v>0.38560974027489475</v>
      </c>
      <c r="BZ44" s="137">
        <v>0.99901004753611189</v>
      </c>
      <c r="CA44" s="137">
        <v>3.4836153967131397E-2</v>
      </c>
      <c r="CB44" s="137">
        <v>0.93586587426758006</v>
      </c>
      <c r="CC44" s="258">
        <v>0.36</v>
      </c>
      <c r="CD44" s="258">
        <v>0</v>
      </c>
      <c r="CE44" s="258">
        <v>0.37</v>
      </c>
      <c r="CF44" s="258">
        <v>0</v>
      </c>
      <c r="CG44" s="258">
        <v>0</v>
      </c>
      <c r="CH44" s="258">
        <v>0</v>
      </c>
      <c r="CI44" s="258">
        <v>3.4020000000000001</v>
      </c>
      <c r="CJ44" s="258"/>
      <c r="CK44" s="258"/>
      <c r="CL44" s="258"/>
      <c r="CM44" s="258"/>
    </row>
    <row r="45" spans="1:91" x14ac:dyDescent="0.25">
      <c r="A45" s="723"/>
      <c r="B45" s="723"/>
      <c r="D45" s="31">
        <f t="shared" si="30"/>
        <v>37970</v>
      </c>
      <c r="F45" s="28">
        <f t="shared" si="31"/>
        <v>9189</v>
      </c>
      <c r="G45" s="28">
        <f t="shared" si="12"/>
        <v>8562.6465421672601</v>
      </c>
      <c r="H45" s="52">
        <f t="shared" si="32"/>
        <v>3.8969999999999998</v>
      </c>
      <c r="I45" s="52">
        <f t="shared" si="33"/>
        <v>3.907</v>
      </c>
      <c r="K45" s="52">
        <f t="shared" si="34"/>
        <v>0.28886934683555471</v>
      </c>
      <c r="L45" s="135">
        <f t="shared" si="35"/>
        <v>1.3388082496330032</v>
      </c>
      <c r="N45" s="131">
        <f t="shared" si="13"/>
        <v>0.40140013690941595</v>
      </c>
      <c r="O45" s="131">
        <f t="shared" si="14"/>
        <v>0.40140013690941595</v>
      </c>
      <c r="P45" s="55">
        <f t="shared" si="36"/>
        <v>0.99831613117568663</v>
      </c>
      <c r="Q45" s="135">
        <f>_xll.xSPRDOPT(I45,H45,AQ45,0,O45,N45,P45,D45-$G$5,1,0)*AH45*AU45</f>
        <v>1.6276775964685579</v>
      </c>
      <c r="R45" s="135"/>
      <c r="S45" s="181">
        <f t="shared" si="37"/>
        <v>-142610.1113821071</v>
      </c>
      <c r="T45" s="181">
        <f>_xll.xSPRDOPT(I45,H45,AQ45,AT45,O45,N45,P45,D45-$G$5,1,1)*AF45*F45*AH45</f>
        <v>142610.1113821071</v>
      </c>
      <c r="U45" s="135"/>
      <c r="V45" s="146">
        <f t="shared" si="38"/>
        <v>0</v>
      </c>
      <c r="W45" s="146"/>
      <c r="X45" s="338">
        <f t="shared" si="39"/>
        <v>0</v>
      </c>
      <c r="Y45" s="338">
        <f t="shared" si="15"/>
        <v>0</v>
      </c>
      <c r="Z45" s="338">
        <f t="shared" si="16"/>
        <v>-23.437972600313252</v>
      </c>
      <c r="AA45" s="338">
        <f t="shared" si="17"/>
        <v>4.1708411162807542</v>
      </c>
      <c r="AB45" s="338">
        <f t="shared" si="40"/>
        <v>0</v>
      </c>
      <c r="AC45" s="338">
        <f t="shared" si="41"/>
        <v>4.3887854470409895</v>
      </c>
      <c r="AF45" s="138">
        <f t="shared" si="42"/>
        <v>1</v>
      </c>
      <c r="AG45" s="138">
        <f t="shared" si="43"/>
        <v>12</v>
      </c>
      <c r="AH45" s="138">
        <f t="shared" si="18"/>
        <v>31</v>
      </c>
      <c r="AI45" s="138">
        <f t="shared" si="44"/>
        <v>714</v>
      </c>
      <c r="AJ45" s="138">
        <f t="shared" si="45"/>
        <v>731</v>
      </c>
      <c r="AL45" s="136">
        <f t="shared" si="19"/>
        <v>3.5369999999999999</v>
      </c>
      <c r="AM45" s="258">
        <f t="shared" si="20"/>
        <v>0.36</v>
      </c>
      <c r="AN45" s="258">
        <f t="shared" si="21"/>
        <v>0</v>
      </c>
      <c r="AO45" s="258">
        <f t="shared" si="22"/>
        <v>0.37</v>
      </c>
      <c r="AP45" s="258">
        <f t="shared" si="23"/>
        <v>0</v>
      </c>
      <c r="AQ45" s="136">
        <f t="shared" si="46"/>
        <v>0</v>
      </c>
      <c r="AR45" s="137">
        <f t="shared" si="24"/>
        <v>0</v>
      </c>
      <c r="AS45" s="136">
        <f t="shared" si="47"/>
        <v>3.8969999999999998</v>
      </c>
      <c r="AT45" s="137">
        <f t="shared" si="48"/>
        <v>3.5735624061610197E-2</v>
      </c>
      <c r="AU45" s="137">
        <f t="shared" si="25"/>
        <v>0.93183660269531621</v>
      </c>
      <c r="AV45" s="394">
        <f t="shared" si="49"/>
        <v>0</v>
      </c>
      <c r="AW45" s="137">
        <f t="shared" si="26"/>
        <v>0.37</v>
      </c>
      <c r="AX45" s="137">
        <f t="shared" si="27"/>
        <v>1.1299999999999999</v>
      </c>
      <c r="AY45" s="137">
        <f t="shared" si="28"/>
        <v>1.1299999999999999</v>
      </c>
      <c r="AZ45" s="137"/>
      <c r="BA45" s="264"/>
      <c r="BB45" s="258">
        <f t="shared" si="29"/>
        <v>0</v>
      </c>
      <c r="BC45" s="258">
        <f t="shared" si="50"/>
        <v>0</v>
      </c>
      <c r="BD45" s="137">
        <f t="shared" si="51"/>
        <v>1.2359025586688999E-4</v>
      </c>
      <c r="BE45" s="137">
        <f t="shared" si="52"/>
        <v>1.2359025586688999E-4</v>
      </c>
      <c r="BF45" s="137">
        <f>_xll.xSPRDOPT($BW45,$BV45,$CG45,0,$BY45,$BX45,$BZ45,$AJ45,1,4)*$CB45</f>
        <v>2.8943642050051426</v>
      </c>
      <c r="BG45" s="137">
        <f>_xll.xSPRDOPT($BW45,$BV45,$CG45,0,$BY45,$BX45,$BZ45,$AJ45,1,3)*$CB45</f>
        <v>2.8795668158226451</v>
      </c>
      <c r="BH45" s="137">
        <f>IF(OR(BF45&lt;&gt;0,BG45&lt;&gt;0),_xll.xSPRDOPT($BW45,$BV45,$CG45,0,$BY45,$BX45,$BZ45,$AJ45,1,12)*$CB45,0)</f>
        <v>-2.8869530103715824</v>
      </c>
      <c r="BI45" s="137">
        <f>_xll.xSPRDOPT($BW45,$BV45,$CG45,2*LN(1+CA45/2),$BY45,$BX45,$BZ45,$AJ45,1,9)</f>
        <v>-1.001749344092389E-2</v>
      </c>
      <c r="BJ45" s="137">
        <f>_xll.xSPRDOPT($BW45,$BV45,$CG45,0,$BY45,$BX45,$BZ45,$AJ45,1,6)*$CB45</f>
        <v>5.9281963553319869E-2</v>
      </c>
      <c r="BK45" s="137">
        <f>_xll.xSPRDOPT($BW45,$BV45,$CG45,0,$BY45,$BX45,$BZ45,$AJ45,1,5)*$CB45</f>
        <v>5.9188331332983471E-2</v>
      </c>
      <c r="BL45" s="137">
        <f>_xll.xSPRDOPT(BW45,BV45,CG45,0,BY45,BX45,BZ45,AJ45,1,2)*CB45</f>
        <v>-0.48861871570709831</v>
      </c>
      <c r="BM45" s="137">
        <f>_xll.xSPRDOPT(BW45,BV45,CG45,0,BY45,BX45,BZ45,AJ45,1,1)*CB45</f>
        <v>0.50080314838071727</v>
      </c>
      <c r="BN45" s="137">
        <f>IF(AH45&lt;&gt;0,_xll.xSPRDOPT($BW45,$BV45,$CG45,2*LN(1+CA45/2),$BY45,$BX45,$BZ45,$AJ45,1,8)+(AJ45/365.25)*CH45/AH45,0)</f>
        <v>-0.10505316866229375</v>
      </c>
      <c r="BO45" s="137">
        <f>_xll.xSPRDOPT($BW45,$BV45,$CG45,0,$BY45,$BX45,$BZ45,$AJ45,1,0)</f>
        <v>5.6346712877021574E-2</v>
      </c>
      <c r="BP45" s="137"/>
      <c r="BQ45" s="137"/>
      <c r="BR45" s="137"/>
      <c r="BS45" s="137"/>
      <c r="BV45" s="262">
        <v>3.8969999999999998</v>
      </c>
      <c r="BW45" s="136">
        <v>3.907</v>
      </c>
      <c r="BX45" s="137">
        <v>0.40127654665354906</v>
      </c>
      <c r="BY45" s="137">
        <v>0.40127654665354906</v>
      </c>
      <c r="BZ45" s="137">
        <v>0.99832199441709046</v>
      </c>
      <c r="CA45" s="137">
        <v>3.5735624061610197E-2</v>
      </c>
      <c r="CB45" s="137">
        <v>0.93156554756707821</v>
      </c>
      <c r="CC45" s="258">
        <v>0.36</v>
      </c>
      <c r="CD45" s="258">
        <v>0</v>
      </c>
      <c r="CE45" s="258">
        <v>0.37</v>
      </c>
      <c r="CF45" s="258">
        <v>0</v>
      </c>
      <c r="CG45" s="258">
        <v>0</v>
      </c>
      <c r="CH45" s="258">
        <v>0</v>
      </c>
      <c r="CI45" s="258">
        <v>3.5369999999999999</v>
      </c>
      <c r="CJ45" s="258"/>
      <c r="CK45" s="258"/>
      <c r="CL45" s="258"/>
      <c r="CM45" s="258"/>
    </row>
    <row r="46" spans="1:91" x14ac:dyDescent="0.25">
      <c r="A46" s="723"/>
      <c r="B46" s="723"/>
      <c r="D46" s="31">
        <f t="shared" si="30"/>
        <v>38001</v>
      </c>
      <c r="F46" s="28">
        <f t="shared" si="31"/>
        <v>9189</v>
      </c>
      <c r="G46" s="28">
        <f t="shared" si="12"/>
        <v>8521.3843096125929</v>
      </c>
      <c r="H46" s="52">
        <f t="shared" si="32"/>
        <v>3.9569999999999999</v>
      </c>
      <c r="I46" s="52">
        <f t="shared" si="33"/>
        <v>3.9670000000000001</v>
      </c>
      <c r="K46" s="52">
        <f t="shared" si="34"/>
        <v>0.28747732462509135</v>
      </c>
      <c r="L46" s="135">
        <f t="shared" si="35"/>
        <v>1.3154315038565398</v>
      </c>
      <c r="N46" s="131">
        <f t="shared" si="13"/>
        <v>0.39846104346073596</v>
      </c>
      <c r="O46" s="131">
        <f t="shared" si="14"/>
        <v>0.39846104346073596</v>
      </c>
      <c r="P46" s="55">
        <f t="shared" si="36"/>
        <v>0.99844673300454279</v>
      </c>
      <c r="Q46" s="135">
        <f>_xll.xSPRDOPT(I46,H46,AQ46,0,O46,N46,P46,D46-$G$5,1,0)*AH46*AU46</f>
        <v>1.6029088284816311</v>
      </c>
      <c r="R46" s="135"/>
      <c r="S46" s="181">
        <f t="shared" si="37"/>
        <v>-141964.08416901325</v>
      </c>
      <c r="T46" s="181">
        <f>_xll.xSPRDOPT(I46,H46,AQ46,AT46,O46,N46,P46,D46-$G$5,1,1)*AF46*F46*AH46</f>
        <v>141964.08416901325</v>
      </c>
      <c r="U46" s="135"/>
      <c r="V46" s="146">
        <f t="shared" si="38"/>
        <v>0</v>
      </c>
      <c r="W46" s="146"/>
      <c r="X46" s="338">
        <f t="shared" si="39"/>
        <v>0</v>
      </c>
      <c r="Y46" s="338">
        <f t="shared" si="15"/>
        <v>0</v>
      </c>
      <c r="Z46" s="338">
        <f t="shared" si="16"/>
        <v>-21.831089412048403</v>
      </c>
      <c r="AA46" s="338">
        <f t="shared" si="17"/>
        <v>3.6063948821187672</v>
      </c>
      <c r="AB46" s="338">
        <f t="shared" si="40"/>
        <v>0</v>
      </c>
      <c r="AC46" s="338">
        <f t="shared" si="41"/>
        <v>4.4300634735579596</v>
      </c>
      <c r="AF46" s="138">
        <f t="shared" si="42"/>
        <v>1</v>
      </c>
      <c r="AG46" s="138">
        <f t="shared" si="43"/>
        <v>1</v>
      </c>
      <c r="AH46" s="138">
        <f t="shared" si="18"/>
        <v>31</v>
      </c>
      <c r="AI46" s="138">
        <f t="shared" si="44"/>
        <v>745</v>
      </c>
      <c r="AJ46" s="138">
        <f t="shared" si="45"/>
        <v>762</v>
      </c>
      <c r="AL46" s="136">
        <f t="shared" si="19"/>
        <v>3.597</v>
      </c>
      <c r="AM46" s="258">
        <f t="shared" si="20"/>
        <v>0.36</v>
      </c>
      <c r="AN46" s="258">
        <f t="shared" si="21"/>
        <v>0</v>
      </c>
      <c r="AO46" s="258">
        <f t="shared" si="22"/>
        <v>0.37</v>
      </c>
      <c r="AP46" s="258">
        <f t="shared" si="23"/>
        <v>0</v>
      </c>
      <c r="AQ46" s="136">
        <f t="shared" si="46"/>
        <v>0</v>
      </c>
      <c r="AR46" s="137">
        <f t="shared" si="24"/>
        <v>0</v>
      </c>
      <c r="AS46" s="136">
        <f t="shared" si="47"/>
        <v>3.9569999999999999</v>
      </c>
      <c r="AT46" s="137">
        <f t="shared" si="48"/>
        <v>3.6629399588957501E-2</v>
      </c>
      <c r="AU46" s="137">
        <f t="shared" si="25"/>
        <v>0.9273462084680153</v>
      </c>
      <c r="AV46" s="394">
        <f t="shared" si="49"/>
        <v>0</v>
      </c>
      <c r="AW46" s="137">
        <f t="shared" si="26"/>
        <v>0.37</v>
      </c>
      <c r="AX46" s="137">
        <f t="shared" si="27"/>
        <v>1.1000000000000001</v>
      </c>
      <c r="AY46" s="137">
        <f t="shared" si="28"/>
        <v>1.1000000000000001</v>
      </c>
      <c r="AZ46" s="137"/>
      <c r="BA46" s="264"/>
      <c r="BB46" s="258">
        <f t="shared" si="29"/>
        <v>0</v>
      </c>
      <c r="BC46" s="258">
        <f t="shared" si="50"/>
        <v>0</v>
      </c>
      <c r="BD46" s="137">
        <f t="shared" si="51"/>
        <v>1.0785190086759489E-4</v>
      </c>
      <c r="BE46" s="137">
        <f t="shared" si="52"/>
        <v>1.0785190086759489E-4</v>
      </c>
      <c r="BF46" s="137">
        <f>_xll.xSPRDOPT($BW46,$BV46,$CG46,0,$BY46,$BX46,$BZ46,$AJ46,1,4)*$CB46</f>
        <v>2.9137204391771108</v>
      </c>
      <c r="BG46" s="137">
        <f>_xll.xSPRDOPT($BW46,$BV46,$CG46,0,$BY46,$BX46,$BZ46,$AJ46,1,3)*$CB46</f>
        <v>2.8990491126774254</v>
      </c>
      <c r="BH46" s="137">
        <f>IF(OR(BF46&lt;&gt;0,BG46&lt;&gt;0),_xll.xSPRDOPT($BW46,$BV46,$CG46,0,$BY46,$BX46,$BZ46,$AJ46,1,12)*$CB46,0)</f>
        <v>-2.9063723576913114</v>
      </c>
      <c r="BI46" s="137">
        <f>_xll.xSPRDOPT($BW46,$BV46,$CG46,2*LN(1+CA46/2),$BY46,$BX46,$BZ46,$AJ46,1,9)</f>
        <v>-9.3307044394486151E-3</v>
      </c>
      <c r="BJ46" s="137">
        <f>_xll.xSPRDOPT($BW46,$BV46,$CG46,0,$BY46,$BX46,$BZ46,$AJ46,1,6)*$CB46</f>
        <v>5.8740734308280994E-2</v>
      </c>
      <c r="BK46" s="137">
        <f>_xll.xSPRDOPT($BW46,$BV46,$CG46,0,$BY46,$BX46,$BZ46,$AJ46,1,5)*$CB46</f>
        <v>5.8645056166070804E-2</v>
      </c>
      <c r="BL46" s="137">
        <f>_xll.xSPRDOPT(BW46,BV46,CG46,0,BY46,BX46,BZ46,AJ46,1,2)*CB46</f>
        <v>-0.48675732734371147</v>
      </c>
      <c r="BM46" s="137">
        <f>_xll.xSPRDOPT(BW46,BV46,CG46,0,BY46,BX46,BZ46,AJ46,1,1)*CB46</f>
        <v>0.49856071305701166</v>
      </c>
      <c r="BN46" s="137">
        <f>IF(AH46&lt;&gt;0,_xll.xSPRDOPT($BW46,$BV46,$CG46,2*LN(1+CA46/2),$BY46,$BX46,$BZ46,$AJ46,1,8)+(AJ46/365.25)*CH46/AH46,0)</f>
        <v>-0.10784100340039164</v>
      </c>
      <c r="BO46" s="137">
        <f>_xll.xSPRDOPT($BW46,$BV46,$CG46,0,$BY46,$BX46,$BZ46,$AJ46,1,0)</f>
        <v>5.5757943998336335E-2</v>
      </c>
      <c r="BP46" s="137"/>
      <c r="BQ46" s="137"/>
      <c r="BR46" s="137"/>
      <c r="BS46" s="137"/>
      <c r="BV46" s="262">
        <v>3.9569999999999999</v>
      </c>
      <c r="BW46" s="136">
        <v>3.9670000000000001</v>
      </c>
      <c r="BX46" s="137">
        <v>0.39835319155986837</v>
      </c>
      <c r="BY46" s="137">
        <v>0.39835319155986837</v>
      </c>
      <c r="BZ46" s="137">
        <v>0.99845199832942921</v>
      </c>
      <c r="CA46" s="137">
        <v>3.6629399588957501E-2</v>
      </c>
      <c r="CB46" s="137">
        <v>0.92706977474295649</v>
      </c>
      <c r="CC46" s="258">
        <v>0.36</v>
      </c>
      <c r="CD46" s="258">
        <v>0</v>
      </c>
      <c r="CE46" s="258">
        <v>0.37</v>
      </c>
      <c r="CF46" s="258">
        <v>0</v>
      </c>
      <c r="CG46" s="258">
        <v>0</v>
      </c>
      <c r="CH46" s="258">
        <v>0</v>
      </c>
      <c r="CI46" s="258">
        <v>3.597</v>
      </c>
      <c r="CJ46" s="258"/>
      <c r="CK46" s="258"/>
      <c r="CL46" s="258"/>
      <c r="CM46" s="258"/>
    </row>
    <row r="47" spans="1:91" x14ac:dyDescent="0.25">
      <c r="A47" s="723"/>
      <c r="B47" s="723"/>
      <c r="D47" s="31">
        <f t="shared" si="30"/>
        <v>38032</v>
      </c>
      <c r="F47" s="28">
        <f t="shared" si="31"/>
        <v>9189</v>
      </c>
      <c r="G47" s="28">
        <f t="shared" si="12"/>
        <v>8479.7494328731282</v>
      </c>
      <c r="H47" s="52">
        <f t="shared" si="32"/>
        <v>3.8719999999999999</v>
      </c>
      <c r="I47" s="52">
        <f t="shared" si="33"/>
        <v>3.8820000000000001</v>
      </c>
      <c r="K47" s="52">
        <f t="shared" si="34"/>
        <v>0.26761642567561916</v>
      </c>
      <c r="L47" s="135">
        <f t="shared" si="35"/>
        <v>1.1531407687771762</v>
      </c>
      <c r="N47" s="131">
        <f t="shared" si="13"/>
        <v>0.39570655947863848</v>
      </c>
      <c r="O47" s="131">
        <f t="shared" si="14"/>
        <v>0.39570655947863848</v>
      </c>
      <c r="P47" s="55">
        <f t="shared" si="36"/>
        <v>0.99858255897184833</v>
      </c>
      <c r="Q47" s="135">
        <f>_xll.xSPRDOPT(I47,H47,AQ47,0,O47,N47,P47,D47-$G$5,1,0)*AH47*AU47</f>
        <v>1.4207571944527955</v>
      </c>
      <c r="R47" s="135"/>
      <c r="S47" s="181">
        <f t="shared" si="37"/>
        <v>-132527.61377801554</v>
      </c>
      <c r="T47" s="181">
        <f>_xll.xSPRDOPT(I47,H47,AQ47,AT47,O47,N47,P47,D47-$G$5,1,1)*AF47*F47*AH47</f>
        <v>132527.61377801554</v>
      </c>
      <c r="U47" s="135"/>
      <c r="V47" s="146">
        <f t="shared" si="38"/>
        <v>0</v>
      </c>
      <c r="W47" s="146"/>
      <c r="X47" s="338">
        <f t="shared" si="39"/>
        <v>0</v>
      </c>
      <c r="Y47" s="338">
        <f t="shared" si="15"/>
        <v>0</v>
      </c>
      <c r="Z47" s="338">
        <f t="shared" si="16"/>
        <v>-18.225169734752832</v>
      </c>
      <c r="AA47" s="338">
        <f t="shared" si="17"/>
        <v>2.7907239319747705</v>
      </c>
      <c r="AB47" s="338">
        <f t="shared" si="40"/>
        <v>0</v>
      </c>
      <c r="AC47" s="338">
        <f t="shared" si="41"/>
        <v>4.0183340644062122</v>
      </c>
      <c r="AF47" s="138">
        <f t="shared" si="42"/>
        <v>1</v>
      </c>
      <c r="AG47" s="138">
        <f t="shared" si="43"/>
        <v>2</v>
      </c>
      <c r="AH47" s="138">
        <f t="shared" si="18"/>
        <v>29</v>
      </c>
      <c r="AI47" s="138">
        <f t="shared" si="44"/>
        <v>776</v>
      </c>
      <c r="AJ47" s="138">
        <f t="shared" si="45"/>
        <v>793</v>
      </c>
      <c r="AL47" s="136">
        <f t="shared" si="19"/>
        <v>3.512</v>
      </c>
      <c r="AM47" s="258">
        <f t="shared" si="20"/>
        <v>0.36</v>
      </c>
      <c r="AN47" s="258">
        <f t="shared" si="21"/>
        <v>0</v>
      </c>
      <c r="AO47" s="258">
        <f t="shared" si="22"/>
        <v>0.37</v>
      </c>
      <c r="AP47" s="258">
        <f t="shared" si="23"/>
        <v>0</v>
      </c>
      <c r="AQ47" s="136">
        <f t="shared" si="46"/>
        <v>0</v>
      </c>
      <c r="AR47" s="137">
        <f t="shared" si="24"/>
        <v>0</v>
      </c>
      <c r="AS47" s="136">
        <f t="shared" si="47"/>
        <v>3.8719999999999999</v>
      </c>
      <c r="AT47" s="137">
        <f t="shared" si="48"/>
        <v>3.74851197051385E-2</v>
      </c>
      <c r="AU47" s="137">
        <f t="shared" si="25"/>
        <v>0.92281526095038946</v>
      </c>
      <c r="AV47" s="394">
        <f t="shared" si="49"/>
        <v>0</v>
      </c>
      <c r="AW47" s="137">
        <f t="shared" si="26"/>
        <v>0.37</v>
      </c>
      <c r="AX47" s="137">
        <f t="shared" si="27"/>
        <v>1.1000000000000001</v>
      </c>
      <c r="AY47" s="137">
        <f t="shared" si="28"/>
        <v>1.1000000000000001</v>
      </c>
      <c r="AZ47" s="137"/>
      <c r="BA47" s="264"/>
      <c r="BB47" s="258">
        <f t="shared" si="29"/>
        <v>0</v>
      </c>
      <c r="BC47" s="258">
        <f t="shared" si="50"/>
        <v>0</v>
      </c>
      <c r="BD47" s="137">
        <f t="shared" si="51"/>
        <v>9.4043549321132236E-5</v>
      </c>
      <c r="BE47" s="137">
        <f t="shared" si="52"/>
        <v>9.4043549321132236E-5</v>
      </c>
      <c r="BF47" s="137">
        <f>_xll.xSPRDOPT($BW47,$BV47,$CG47,0,$BY47,$BX47,$BZ47,$AJ47,1,4)*$CB47</f>
        <v>3.060558251500066</v>
      </c>
      <c r="BG47" s="137">
        <f>_xll.xSPRDOPT($BW47,$BV47,$CG47,0,$BY47,$BX47,$BZ47,$AJ47,1,3)*$CB47</f>
        <v>3.0448105678727035</v>
      </c>
      <c r="BH47" s="137">
        <f>IF(OR(BF47&lt;&gt;0,BG47&lt;&gt;0),_xll.xSPRDOPT($BW47,$BV47,$CG47,0,$BY47,$BX47,$BZ47,$AJ47,1,12)*$CB47,0)</f>
        <v>-3.0526704544547307</v>
      </c>
      <c r="BI47" s="137">
        <f>_xll.xSPRDOPT($BW47,$BV47,$CG47,2*LN(1+CA47/2),$BY47,$BX47,$BZ47,$AJ47,1,9)</f>
        <v>-8.3267265403768279E-3</v>
      </c>
      <c r="BJ47" s="137">
        <f>_xll.xSPRDOPT($BW47,$BV47,$CG47,0,$BY47,$BX47,$BZ47,$AJ47,1,6)*$CB47</f>
        <v>5.5725171494758932E-2</v>
      </c>
      <c r="BK47" s="137">
        <f>_xll.xSPRDOPT($BW47,$BV47,$CG47,0,$BY47,$BX47,$BZ47,$AJ47,1,5)*$CB47</f>
        <v>5.5632878078694881E-2</v>
      </c>
      <c r="BL47" s="137">
        <f>_xll.xSPRDOPT(BW47,BV47,CG47,0,BY47,BX47,BZ47,AJ47,1,2)*CB47</f>
        <v>-0.48618235252823827</v>
      </c>
      <c r="BM47" s="137">
        <f>_xll.xSPRDOPT(BW47,BV47,CG47,0,BY47,BX47,BZ47,AJ47,1,1)*CB47</f>
        <v>0.49754633892873734</v>
      </c>
      <c r="BN47" s="137">
        <f>IF(AH47&lt;&gt;0,_xll.xSPRDOPT($BW47,$BV47,$CG47,2*LN(1+CA47/2),$BY47,$BX47,$BZ47,$AJ47,1,8)+(AJ47/365.25)*CH47/AH47,0)</f>
        <v>-0.10633416378523147</v>
      </c>
      <c r="BO47" s="137">
        <f>_xll.xSPRDOPT($BW47,$BV47,$CG47,0,$BY47,$BX47,$BZ47,$AJ47,1,0)</f>
        <v>5.3089369177798461E-2</v>
      </c>
      <c r="BP47" s="137"/>
      <c r="BQ47" s="137"/>
      <c r="BR47" s="137"/>
      <c r="BS47" s="137"/>
      <c r="BV47" s="262">
        <v>3.8719999999999999</v>
      </c>
      <c r="BW47" s="136">
        <v>3.8820000000000001</v>
      </c>
      <c r="BX47" s="137">
        <v>0.39561251592931734</v>
      </c>
      <c r="BY47" s="137">
        <v>0.39561251592931734</v>
      </c>
      <c r="BZ47" s="137">
        <v>0.99858724648744157</v>
      </c>
      <c r="CA47" s="137">
        <v>3.74851197051385E-2</v>
      </c>
      <c r="CB47" s="137">
        <v>0.92253381176270466</v>
      </c>
      <c r="CC47" s="258">
        <v>0.36</v>
      </c>
      <c r="CD47" s="258">
        <v>0</v>
      </c>
      <c r="CE47" s="258">
        <v>0.37</v>
      </c>
      <c r="CF47" s="258">
        <v>0</v>
      </c>
      <c r="CG47" s="258">
        <v>0</v>
      </c>
      <c r="CH47" s="258">
        <v>0</v>
      </c>
      <c r="CI47" s="258">
        <v>3.512</v>
      </c>
      <c r="CJ47" s="258"/>
      <c r="CK47" s="258"/>
      <c r="CL47" s="258"/>
      <c r="CM47" s="258"/>
    </row>
    <row r="48" spans="1:91" x14ac:dyDescent="0.25">
      <c r="A48" s="723"/>
      <c r="B48" s="723"/>
      <c r="D48" s="31">
        <f t="shared" si="30"/>
        <v>38061</v>
      </c>
      <c r="F48" s="28">
        <f t="shared" si="31"/>
        <v>9189</v>
      </c>
      <c r="G48" s="28">
        <f t="shared" si="12"/>
        <v>8439.9011637111344</v>
      </c>
      <c r="H48" s="52">
        <f t="shared" si="32"/>
        <v>3.742</v>
      </c>
      <c r="I48" s="52">
        <f t="shared" si="33"/>
        <v>3.7520000000000002</v>
      </c>
      <c r="K48" s="52">
        <f t="shared" si="34"/>
        <v>0.2847284101371762</v>
      </c>
      <c r="L48" s="135">
        <f t="shared" si="35"/>
        <v>0.71874973469653336</v>
      </c>
      <c r="N48" s="131">
        <f t="shared" si="13"/>
        <v>0.36642927609768672</v>
      </c>
      <c r="O48" s="131">
        <f t="shared" si="14"/>
        <v>0.36642927609768672</v>
      </c>
      <c r="P48" s="55">
        <f t="shared" si="36"/>
        <v>0.99920860134044198</v>
      </c>
      <c r="Q48" s="135">
        <f>_xll.xSPRDOPT(I48,H48,AQ48,0,O48,N48,P48,D48-$G$5,1,0)*AH48*AU48</f>
        <v>1.0034781448337096</v>
      </c>
      <c r="R48" s="135"/>
      <c r="S48" s="181">
        <f t="shared" si="37"/>
        <v>-167944.2228712833</v>
      </c>
      <c r="T48" s="181">
        <f>_xll.xSPRDOPT(I48,H48,AQ48,AT48,O48,N48,P48,D48-$G$5,1,1)*AF48*F48*AH48</f>
        <v>167944.2228712833</v>
      </c>
      <c r="U48" s="135"/>
      <c r="V48" s="146">
        <f t="shared" si="38"/>
        <v>0</v>
      </c>
      <c r="W48" s="146"/>
      <c r="X48" s="338">
        <f t="shared" si="39"/>
        <v>0</v>
      </c>
      <c r="Y48" s="338">
        <f t="shared" si="15"/>
        <v>0</v>
      </c>
      <c r="Z48" s="338">
        <f t="shared" si="16"/>
        <v>-12.372375409452838</v>
      </c>
      <c r="AA48" s="338">
        <f t="shared" si="17"/>
        <v>0.94769516772366857</v>
      </c>
      <c r="AB48" s="338">
        <f t="shared" si="40"/>
        <v>0</v>
      </c>
      <c r="AC48" s="338">
        <f t="shared" si="41"/>
        <v>2.895692074962513</v>
      </c>
      <c r="AF48" s="138">
        <f t="shared" si="42"/>
        <v>1</v>
      </c>
      <c r="AG48" s="138">
        <f t="shared" si="43"/>
        <v>3</v>
      </c>
      <c r="AH48" s="138">
        <f t="shared" si="18"/>
        <v>31</v>
      </c>
      <c r="AI48" s="138">
        <f t="shared" si="44"/>
        <v>805</v>
      </c>
      <c r="AJ48" s="138">
        <f t="shared" si="45"/>
        <v>822</v>
      </c>
      <c r="AL48" s="136">
        <f t="shared" si="19"/>
        <v>3.3820000000000001</v>
      </c>
      <c r="AM48" s="258">
        <f t="shared" si="20"/>
        <v>0.36</v>
      </c>
      <c r="AN48" s="258">
        <f t="shared" si="21"/>
        <v>0</v>
      </c>
      <c r="AO48" s="258">
        <f t="shared" si="22"/>
        <v>0.37</v>
      </c>
      <c r="AP48" s="258">
        <f t="shared" si="23"/>
        <v>0</v>
      </c>
      <c r="AQ48" s="136">
        <f t="shared" si="46"/>
        <v>0</v>
      </c>
      <c r="AR48" s="137">
        <f t="shared" si="24"/>
        <v>0</v>
      </c>
      <c r="AS48" s="136">
        <f t="shared" si="47"/>
        <v>3.742</v>
      </c>
      <c r="AT48" s="137">
        <f t="shared" si="48"/>
        <v>3.8285632294587903E-2</v>
      </c>
      <c r="AU48" s="137">
        <f t="shared" si="25"/>
        <v>0.91847874237796645</v>
      </c>
      <c r="AV48" s="394">
        <f t="shared" si="49"/>
        <v>0</v>
      </c>
      <c r="AW48" s="137">
        <f t="shared" si="26"/>
        <v>0.35499999999999998</v>
      </c>
      <c r="AX48" s="137">
        <f t="shared" si="27"/>
        <v>0.75</v>
      </c>
      <c r="AY48" s="137">
        <f t="shared" si="28"/>
        <v>0.75</v>
      </c>
      <c r="AZ48" s="137"/>
      <c r="BA48" s="264"/>
      <c r="BB48" s="258">
        <f t="shared" si="29"/>
        <v>0</v>
      </c>
      <c r="BC48" s="258">
        <f t="shared" si="50"/>
        <v>0</v>
      </c>
      <c r="BD48" s="137">
        <f t="shared" si="51"/>
        <v>4.0989655535617064E-5</v>
      </c>
      <c r="BE48" s="137">
        <f t="shared" si="52"/>
        <v>4.0989655535617064E-5</v>
      </c>
      <c r="BF48" s="137">
        <f>_xll.xSPRDOPT($BW48,$BV48,$CG48,0,$BY48,$BX48,$BZ48,$AJ48,1,4)*$CB48</f>
        <v>3.1263475638219109</v>
      </c>
      <c r="BG48" s="137">
        <f>_xll.xSPRDOPT($BW48,$BV48,$CG48,0,$BY48,$BX48,$BZ48,$AJ48,1,3)*$CB48</f>
        <v>3.1097045250130559</v>
      </c>
      <c r="BH48" s="137">
        <f>IF(OR(BF48&lt;&gt;0,BG48&lt;&gt;0),_xll.xSPRDOPT($BW48,$BV48,$CG48,0,$BY48,$BX48,$BZ48,$AJ48,1,12)*$CB48,0)</f>
        <v>-3.1180090417531026</v>
      </c>
      <c r="BI48" s="137">
        <f>_xll.xSPRDOPT($BW48,$BV48,$CG48,2*LN(1+CA48/2),$BY48,$BX48,$BZ48,$AJ48,1,9)</f>
        <v>-5.2880081236713009E-3</v>
      </c>
      <c r="BJ48" s="137">
        <f>_xll.xSPRDOPT($BW48,$BV48,$CG48,0,$BY48,$BX48,$BZ48,$AJ48,1,6)*$CB48</f>
        <v>4.0605364720030533E-2</v>
      </c>
      <c r="BK48" s="137">
        <f>_xll.xSPRDOPT($BW48,$BV48,$CG48,0,$BY48,$BX48,$BZ48,$AJ48,1,5)*$CB48</f>
        <v>4.0558824028983434E-2</v>
      </c>
      <c r="BL48" s="137">
        <f>_xll.xSPRDOPT(BW48,BV48,CG48,0,BY48,BX48,BZ48,AJ48,1,2)*CB48</f>
        <v>-0.58388031950923935</v>
      </c>
      <c r="BM48" s="137">
        <f>_xll.xSPRDOPT(BW48,BV48,CG48,0,BY48,BX48,BZ48,AJ48,1,1)*CB48</f>
        <v>0.5909398841245036</v>
      </c>
      <c r="BN48" s="137">
        <f>IF(AH48&lt;&gt;0,_xll.xSPRDOPT($BW48,$BV48,$CG48,2*LN(1+CA48/2),$BY48,$BX48,$BZ48,$AJ48,1,8)+(AJ48/365.25)*CH48/AH48,0)</f>
        <v>-7.8264938388956831E-2</v>
      </c>
      <c r="BO48" s="137">
        <f>_xll.xSPRDOPT($BW48,$BV48,$CG48,0,$BY48,$BX48,$BZ48,$AJ48,1,0)</f>
        <v>3.52064103672559E-2</v>
      </c>
      <c r="BP48" s="137"/>
      <c r="BQ48" s="137"/>
      <c r="BR48" s="137"/>
      <c r="BS48" s="137"/>
      <c r="BV48" s="262">
        <v>3.742</v>
      </c>
      <c r="BW48" s="136">
        <v>3.7520000000000002</v>
      </c>
      <c r="BX48" s="137">
        <v>0.3663882864421511</v>
      </c>
      <c r="BY48" s="137">
        <v>0.3663882864421511</v>
      </c>
      <c r="BZ48" s="137">
        <v>0.99921130795557922</v>
      </c>
      <c r="CA48" s="137">
        <v>3.8285632294587903E-2</v>
      </c>
      <c r="CB48" s="137">
        <v>0.91819269083412736</v>
      </c>
      <c r="CC48" s="258">
        <v>0.36</v>
      </c>
      <c r="CD48" s="258">
        <v>0</v>
      </c>
      <c r="CE48" s="258">
        <v>0.37</v>
      </c>
      <c r="CF48" s="258">
        <v>0</v>
      </c>
      <c r="CG48" s="258">
        <v>0</v>
      </c>
      <c r="CH48" s="258">
        <v>0</v>
      </c>
      <c r="CI48" s="258">
        <v>3.3820000000000001</v>
      </c>
      <c r="CJ48" s="258"/>
      <c r="CK48" s="258"/>
      <c r="CL48" s="258"/>
      <c r="CM48" s="258"/>
    </row>
    <row r="49" spans="1:91" x14ac:dyDescent="0.25">
      <c r="A49" s="723"/>
      <c r="B49" s="723"/>
      <c r="D49" s="31">
        <f t="shared" si="30"/>
        <v>38092</v>
      </c>
      <c r="F49" s="28">
        <f t="shared" si="31"/>
        <v>0</v>
      </c>
      <c r="G49" s="28">
        <f t="shared" si="12"/>
        <v>0</v>
      </c>
      <c r="H49" s="52">
        <f t="shared" si="32"/>
        <v>3.3420000000000001</v>
      </c>
      <c r="I49" s="52">
        <f t="shared" si="33"/>
        <v>3.3770000000000002</v>
      </c>
      <c r="K49" s="52">
        <f t="shared" si="34"/>
        <v>0.95955140448998033</v>
      </c>
      <c r="L49" s="135">
        <f t="shared" si="35"/>
        <v>0.14208730417536108</v>
      </c>
      <c r="N49" s="131">
        <f t="shared" si="13"/>
        <v>0.33249033630585456</v>
      </c>
      <c r="O49" s="131">
        <f t="shared" si="14"/>
        <v>0.33249033630585456</v>
      </c>
      <c r="P49" s="55">
        <f t="shared" si="36"/>
        <v>0.99967712927265584</v>
      </c>
      <c r="Q49" s="135">
        <f>_xll.xSPRDOPT(I49,H49,AQ49,0,O49,N49,P49,D49-$G$5,1,0)*AH49*AU49</f>
        <v>1.1016387086653414</v>
      </c>
      <c r="R49" s="135"/>
      <c r="S49" s="181">
        <f t="shared" si="37"/>
        <v>0</v>
      </c>
      <c r="T49" s="181">
        <f>_xll.xSPRDOPT(I49,H49,AQ49,AT49,O49,N49,P49,D49-$G$5,1,1)*AF49*F49*AH49</f>
        <v>0</v>
      </c>
      <c r="U49" s="135"/>
      <c r="V49" s="146">
        <f t="shared" si="38"/>
        <v>0</v>
      </c>
      <c r="W49" s="146"/>
      <c r="X49" s="338">
        <f t="shared" si="39"/>
        <v>0</v>
      </c>
      <c r="Y49" s="338">
        <f t="shared" si="15"/>
        <v>0</v>
      </c>
      <c r="Z49" s="338">
        <f t="shared" si="16"/>
        <v>0</v>
      </c>
      <c r="AA49" s="338">
        <f t="shared" si="17"/>
        <v>0</v>
      </c>
      <c r="AB49" s="338">
        <f t="shared" si="40"/>
        <v>0</v>
      </c>
      <c r="AC49" s="338">
        <f t="shared" si="41"/>
        <v>0</v>
      </c>
      <c r="AF49" s="138">
        <f t="shared" si="42"/>
        <v>1</v>
      </c>
      <c r="AG49" s="138">
        <f t="shared" si="43"/>
        <v>4</v>
      </c>
      <c r="AH49" s="138">
        <f t="shared" si="18"/>
        <v>30</v>
      </c>
      <c r="AI49" s="138">
        <f t="shared" si="44"/>
        <v>836</v>
      </c>
      <c r="AJ49" s="138">
        <f t="shared" si="45"/>
        <v>853</v>
      </c>
      <c r="AL49" s="136">
        <f t="shared" si="19"/>
        <v>3.1970000000000001</v>
      </c>
      <c r="AM49" s="258">
        <f t="shared" si="20"/>
        <v>0.14499999999999999</v>
      </c>
      <c r="AN49" s="258">
        <f t="shared" si="21"/>
        <v>0</v>
      </c>
      <c r="AO49" s="258">
        <f t="shared" si="22"/>
        <v>0.18</v>
      </c>
      <c r="AP49" s="258">
        <f t="shared" si="23"/>
        <v>0</v>
      </c>
      <c r="AQ49" s="136">
        <f t="shared" si="46"/>
        <v>0</v>
      </c>
      <c r="AR49" s="137">
        <f t="shared" si="24"/>
        <v>0</v>
      </c>
      <c r="AS49" s="136">
        <f t="shared" si="47"/>
        <v>3.3420000000000001</v>
      </c>
      <c r="AT49" s="137">
        <f t="shared" si="48"/>
        <v>3.9084714616572501E-2</v>
      </c>
      <c r="AU49" s="137">
        <f t="shared" si="25"/>
        <v>0.9138584804666442</v>
      </c>
      <c r="AV49" s="394">
        <f t="shared" si="49"/>
        <v>0</v>
      </c>
      <c r="AW49" s="137">
        <f t="shared" si="26"/>
        <v>0.33</v>
      </c>
      <c r="AX49" s="137">
        <f t="shared" si="27"/>
        <v>0.45</v>
      </c>
      <c r="AY49" s="137">
        <f t="shared" si="28"/>
        <v>0.45</v>
      </c>
      <c r="AZ49" s="137"/>
      <c r="BA49" s="264"/>
      <c r="BB49" s="258">
        <f t="shared" si="29"/>
        <v>0</v>
      </c>
      <c r="BC49" s="258">
        <f t="shared" si="50"/>
        <v>0</v>
      </c>
      <c r="BD49" s="137">
        <f t="shared" si="51"/>
        <v>8.715606236775475E-6</v>
      </c>
      <c r="BE49" s="137">
        <f t="shared" si="52"/>
        <v>8.715606236775475E-6</v>
      </c>
      <c r="BF49" s="137">
        <f>_xll.xSPRDOPT($BW49,$BV49,$CG49,0,$BY49,$BX49,$BZ49,$AJ49,1,4)*$CB49</f>
        <v>1.3973058975002022</v>
      </c>
      <c r="BG49" s="137">
        <f>_xll.xSPRDOPT($BW49,$BV49,$CG49,0,$BY49,$BX49,$BZ49,$AJ49,1,3)*$CB49</f>
        <v>1.3684922975740095</v>
      </c>
      <c r="BH49" s="137">
        <f>IF(OR(BF49&lt;&gt;0,BG49&lt;&gt;0),_xll.xSPRDOPT($BW49,$BV49,$CG49,0,$BY49,$BX49,$BZ49,$AJ49,1,12)*$CB49,0)</f>
        <v>-1.3828265185216462</v>
      </c>
      <c r="BI49" s="137">
        <f>_xll.xSPRDOPT($BW49,$BV49,$CG49,2*LN(1+CA49/2),$BY49,$BX49,$BZ49,$AJ49,1,9)</f>
        <v>-1.018050118434552E-3</v>
      </c>
      <c r="BJ49" s="137">
        <f>_xll.xSPRDOPT($BW49,$BV49,$CG49,0,$BY49,$BX49,$BZ49,$AJ49,1,6)*$CB49</f>
        <v>1.7119358717600602E-2</v>
      </c>
      <c r="BK49" s="137">
        <f>_xll.xSPRDOPT($BW49,$BV49,$CG49,0,$BY49,$BX49,$BZ49,$AJ49,1,5)*$CB49</f>
        <v>1.7117542153009167E-2</v>
      </c>
      <c r="BL49" s="137">
        <f>_xll.xSPRDOPT(BW49,BV49,CG49,0,BY49,BX49,BZ49,AJ49,1,2)*CB49</f>
        <v>-0.8173341541457787</v>
      </c>
      <c r="BM49" s="137">
        <f>_xll.xSPRDOPT(BW49,BV49,CG49,0,BY49,BX49,BZ49,AJ49,1,1)*CB49</f>
        <v>0.81973288141436207</v>
      </c>
      <c r="BN49" s="137">
        <f>IF(AH49&lt;&gt;0,_xll.xSPRDOPT($BW49,$BV49,$CG49,2*LN(1+CA49/2),$BY49,$BX49,$BZ49,$AJ49,1,8)+(AJ49/365.25)*CH49/AH49,0)</f>
        <v>-8.5617103109998663E-2</v>
      </c>
      <c r="BO49" s="137">
        <f>_xll.xSPRDOPT($BW49,$BV49,$CG49,0,$BY49,$BX49,$BZ49,$AJ49,1,0)</f>
        <v>4.0180043421358579E-2</v>
      </c>
      <c r="BP49" s="137"/>
      <c r="BQ49" s="137"/>
      <c r="BR49" s="137"/>
      <c r="BS49" s="137"/>
      <c r="BV49" s="262">
        <v>3.3420000000000001</v>
      </c>
      <c r="BW49" s="136">
        <v>3.3770000000000002</v>
      </c>
      <c r="BX49" s="137">
        <v>0.33248162069961779</v>
      </c>
      <c r="BY49" s="137">
        <v>0.33248162069961779</v>
      </c>
      <c r="BZ49" s="137">
        <v>0.99967824661086424</v>
      </c>
      <c r="CA49" s="137">
        <v>3.9084714616572501E-2</v>
      </c>
      <c r="CB49" s="137">
        <v>0.91356798559380814</v>
      </c>
      <c r="CC49" s="258">
        <v>0.14499999999999999</v>
      </c>
      <c r="CD49" s="258">
        <v>0</v>
      </c>
      <c r="CE49" s="258">
        <v>0.18</v>
      </c>
      <c r="CF49" s="258">
        <v>0</v>
      </c>
      <c r="CG49" s="258">
        <v>0</v>
      </c>
      <c r="CH49" s="258">
        <v>0</v>
      </c>
      <c r="CI49" s="258">
        <v>3.1970000000000001</v>
      </c>
      <c r="CJ49" s="258"/>
      <c r="CK49" s="258"/>
      <c r="CL49" s="258"/>
      <c r="CM49" s="258"/>
    </row>
    <row r="50" spans="1:91" x14ac:dyDescent="0.25">
      <c r="A50" s="723"/>
      <c r="B50" s="723"/>
      <c r="D50" s="31">
        <f t="shared" si="30"/>
        <v>38122</v>
      </c>
      <c r="F50" s="28">
        <f t="shared" si="31"/>
        <v>0</v>
      </c>
      <c r="G50" s="28">
        <f t="shared" si="12"/>
        <v>0</v>
      </c>
      <c r="H50" s="52">
        <f t="shared" si="32"/>
        <v>3.3370000000000002</v>
      </c>
      <c r="I50" s="52">
        <f t="shared" si="33"/>
        <v>3.3720000000000003</v>
      </c>
      <c r="K50" s="52">
        <f t="shared" si="34"/>
        <v>0.98672114310843717</v>
      </c>
      <c r="L50" s="135">
        <f t="shared" si="35"/>
        <v>0.18547042152629778</v>
      </c>
      <c r="N50" s="131">
        <f t="shared" si="13"/>
        <v>0.32888241290792086</v>
      </c>
      <c r="O50" s="131">
        <f t="shared" si="14"/>
        <v>0.32888241290792086</v>
      </c>
      <c r="P50" s="55">
        <f t="shared" si="36"/>
        <v>0.999593586533293</v>
      </c>
      <c r="Q50" s="135">
        <f>_xll.xSPRDOPT(I50,H50,AQ50,0,O50,N50,P50,D50-$G$5,1,0)*AH50*AU50</f>
        <v>1.172191564634735</v>
      </c>
      <c r="R50" s="135"/>
      <c r="S50" s="181">
        <f t="shared" si="37"/>
        <v>0</v>
      </c>
      <c r="T50" s="181">
        <f>_xll.xSPRDOPT(I50,H50,AQ50,AT50,O50,N50,P50,D50-$G$5,1,1)*AF50*F50*AH50</f>
        <v>0</v>
      </c>
      <c r="U50" s="135"/>
      <c r="V50" s="146">
        <f t="shared" si="38"/>
        <v>0</v>
      </c>
      <c r="W50" s="146"/>
      <c r="X50" s="338">
        <f t="shared" si="39"/>
        <v>0</v>
      </c>
      <c r="Y50" s="338">
        <f t="shared" si="15"/>
        <v>0</v>
      </c>
      <c r="Z50" s="338">
        <f t="shared" si="16"/>
        <v>0</v>
      </c>
      <c r="AA50" s="338">
        <f t="shared" si="17"/>
        <v>0</v>
      </c>
      <c r="AB50" s="338">
        <f t="shared" si="40"/>
        <v>0</v>
      </c>
      <c r="AC50" s="338">
        <f t="shared" si="41"/>
        <v>0</v>
      </c>
      <c r="AF50" s="138">
        <f t="shared" si="42"/>
        <v>1</v>
      </c>
      <c r="AG50" s="138">
        <f t="shared" si="43"/>
        <v>5</v>
      </c>
      <c r="AH50" s="138">
        <f t="shared" si="18"/>
        <v>31</v>
      </c>
      <c r="AI50" s="138">
        <f t="shared" si="44"/>
        <v>866</v>
      </c>
      <c r="AJ50" s="138">
        <f t="shared" si="45"/>
        <v>883</v>
      </c>
      <c r="AL50" s="136">
        <f t="shared" si="19"/>
        <v>3.1920000000000002</v>
      </c>
      <c r="AM50" s="258">
        <f t="shared" si="20"/>
        <v>0.14499999999999999</v>
      </c>
      <c r="AN50" s="258">
        <f t="shared" si="21"/>
        <v>0</v>
      </c>
      <c r="AO50" s="258">
        <f t="shared" si="22"/>
        <v>0.18</v>
      </c>
      <c r="AP50" s="258">
        <f t="shared" si="23"/>
        <v>0</v>
      </c>
      <c r="AQ50" s="136">
        <f t="shared" si="46"/>
        <v>0</v>
      </c>
      <c r="AR50" s="137">
        <f t="shared" si="24"/>
        <v>0</v>
      </c>
      <c r="AS50" s="136">
        <f t="shared" si="47"/>
        <v>3.3370000000000002</v>
      </c>
      <c r="AT50" s="137">
        <f t="shared" si="48"/>
        <v>3.9799554968306797E-2</v>
      </c>
      <c r="AU50" s="137">
        <f t="shared" si="25"/>
        <v>0.90942040839486926</v>
      </c>
      <c r="AV50" s="394">
        <f t="shared" si="49"/>
        <v>0</v>
      </c>
      <c r="AW50" s="137">
        <f t="shared" si="26"/>
        <v>0.32500000000000001</v>
      </c>
      <c r="AX50" s="137">
        <f t="shared" si="27"/>
        <v>0.5</v>
      </c>
      <c r="AY50" s="137">
        <f t="shared" si="28"/>
        <v>0.5</v>
      </c>
      <c r="AZ50" s="137"/>
      <c r="BA50" s="264"/>
      <c r="BB50" s="258">
        <f t="shared" si="29"/>
        <v>0</v>
      </c>
      <c r="BC50" s="258">
        <f t="shared" si="50"/>
        <v>0</v>
      </c>
      <c r="BD50" s="137">
        <f t="shared" si="51"/>
        <v>1.3090697697226705E-5</v>
      </c>
      <c r="BE50" s="137">
        <f t="shared" si="52"/>
        <v>1.3090697697226705E-5</v>
      </c>
      <c r="BF50" s="137">
        <f>_xll.xSPRDOPT($BW50,$BV50,$CG50,0,$BY50,$BX50,$BZ50,$AJ50,1,4)*$CB50</f>
        <v>1.7438654963571703</v>
      </c>
      <c r="BG50" s="137">
        <f>_xll.xSPRDOPT($BW50,$BV50,$CG50,0,$BY50,$BX50,$BZ50,$AJ50,1,3)*$CB50</f>
        <v>1.7078523226404263</v>
      </c>
      <c r="BH50" s="137">
        <f>IF(OR(BF50&lt;&gt;0,BG50&lt;&gt;0),_xll.xSPRDOPT($BW50,$BV50,$CG50,0,$BY50,$BX50,$BZ50,$AJ50,1,12)*$CB50,0)</f>
        <v>-1.7257672594310944</v>
      </c>
      <c r="BI50" s="137">
        <f>_xll.xSPRDOPT($BW50,$BV50,$CG50,2*LN(1+CA50/2),$BY50,$BX50,$BZ50,$AJ50,1,9)</f>
        <v>-1.335458617418144E-3</v>
      </c>
      <c r="BJ50" s="137">
        <f>_xll.xSPRDOPT($BW50,$BV50,$CG50,0,$BY50,$BX50,$BZ50,$AJ50,1,6)*$CB50</f>
        <v>2.0820377254516447E-2</v>
      </c>
      <c r="BK50" s="137">
        <f>_xll.xSPRDOPT($BW50,$BV50,$CG50,0,$BY50,$BX50,$BZ50,$AJ50,1,5)*$CB50</f>
        <v>2.0819479147387326E-2</v>
      </c>
      <c r="BL50" s="137">
        <f>_xll.xSPRDOPT(BW50,BV50,CG50,0,BY50,BX50,BZ50,AJ50,1,2)*CB50</f>
        <v>-0.78825693064347957</v>
      </c>
      <c r="BM50" s="137">
        <f>_xll.xSPRDOPT(BW50,BV50,CG50,0,BY50,BX50,BZ50,AJ50,1,1)*CB50</f>
        <v>0.79128434565481465</v>
      </c>
      <c r="BN50" s="137">
        <f>IF(AH50&lt;&gt;0,_xll.xSPRDOPT($BW50,$BV50,$CG50,2*LN(1+CA50/2),$BY50,$BX50,$BZ50,$AJ50,1,8)+(AJ50/365.25)*CH50/AH50,0)</f>
        <v>-9.1821083964370581E-2</v>
      </c>
      <c r="BO50" s="137">
        <f>_xll.xSPRDOPT($BW50,$BV50,$CG50,0,$BY50,$BX50,$BZ50,$AJ50,1,0)</f>
        <v>4.1575576245246534E-2</v>
      </c>
      <c r="BP50" s="137"/>
      <c r="BQ50" s="137"/>
      <c r="BR50" s="137"/>
      <c r="BS50" s="137"/>
      <c r="BV50" s="262">
        <v>3.3370000000000002</v>
      </c>
      <c r="BW50" s="136">
        <v>3.3720000000000003</v>
      </c>
      <c r="BX50" s="137">
        <v>0.32886932221022364</v>
      </c>
      <c r="BY50" s="137">
        <v>0.32886932221022364</v>
      </c>
      <c r="BZ50" s="137">
        <v>0.99959493273923472</v>
      </c>
      <c r="CA50" s="137">
        <v>3.9799554968306797E-2</v>
      </c>
      <c r="CB50" s="137">
        <v>0.90912608967752451</v>
      </c>
      <c r="CC50" s="258">
        <v>0.14499999999999999</v>
      </c>
      <c r="CD50" s="258">
        <v>0</v>
      </c>
      <c r="CE50" s="258">
        <v>0.18</v>
      </c>
      <c r="CF50" s="258">
        <v>0</v>
      </c>
      <c r="CG50" s="258">
        <v>0</v>
      </c>
      <c r="CH50" s="258">
        <v>0</v>
      </c>
      <c r="CI50" s="258">
        <v>3.1920000000000002</v>
      </c>
      <c r="CJ50" s="258"/>
      <c r="CK50" s="258"/>
      <c r="CL50" s="258"/>
      <c r="CM50" s="258"/>
    </row>
    <row r="51" spans="1:91" x14ac:dyDescent="0.25">
      <c r="A51" s="723"/>
      <c r="B51" s="723"/>
      <c r="D51" s="31">
        <f t="shared" si="30"/>
        <v>38153</v>
      </c>
      <c r="F51" s="28">
        <f t="shared" si="31"/>
        <v>0</v>
      </c>
      <c r="G51" s="28">
        <f t="shared" si="12"/>
        <v>0</v>
      </c>
      <c r="H51" s="52">
        <f t="shared" si="32"/>
        <v>3.3719999999999999</v>
      </c>
      <c r="I51" s="52">
        <f t="shared" si="33"/>
        <v>3.407</v>
      </c>
      <c r="K51" s="52">
        <f t="shared" si="34"/>
        <v>0.94998557060951516</v>
      </c>
      <c r="L51" s="135">
        <f t="shared" si="35"/>
        <v>0.17589098378621781</v>
      </c>
      <c r="N51" s="131">
        <f t="shared" si="13"/>
        <v>0.32377095542828943</v>
      </c>
      <c r="O51" s="131">
        <f t="shared" si="14"/>
        <v>0.32377095542828943</v>
      </c>
      <c r="P51" s="55">
        <f t="shared" si="36"/>
        <v>0.99960775207420693</v>
      </c>
      <c r="Q51" s="135">
        <f>_xll.xSPRDOPT(I51,H51,AQ51,0,O51,N51,P51,D51-$G$5,1,0)*AH51*AU51</f>
        <v>1.125876554395733</v>
      </c>
      <c r="R51" s="135"/>
      <c r="S51" s="181">
        <f t="shared" si="37"/>
        <v>0</v>
      </c>
      <c r="T51" s="181">
        <f>_xll.xSPRDOPT(I51,H51,AQ51,AT51,O51,N51,P51,D51-$G$5,1,1)*AF51*F51*AH51</f>
        <v>0</v>
      </c>
      <c r="U51" s="135"/>
      <c r="V51" s="146">
        <f t="shared" si="38"/>
        <v>0</v>
      </c>
      <c r="W51" s="146"/>
      <c r="X51" s="338">
        <f t="shared" si="39"/>
        <v>0</v>
      </c>
      <c r="Y51" s="338">
        <f t="shared" si="15"/>
        <v>0</v>
      </c>
      <c r="Z51" s="338">
        <f t="shared" si="16"/>
        <v>0</v>
      </c>
      <c r="AA51" s="338">
        <f t="shared" si="17"/>
        <v>0</v>
      </c>
      <c r="AB51" s="338">
        <f t="shared" si="40"/>
        <v>0</v>
      </c>
      <c r="AC51" s="338">
        <f t="shared" si="41"/>
        <v>0</v>
      </c>
      <c r="AF51" s="138">
        <f t="shared" si="42"/>
        <v>1</v>
      </c>
      <c r="AG51" s="138">
        <f t="shared" si="43"/>
        <v>6</v>
      </c>
      <c r="AH51" s="138">
        <f t="shared" si="18"/>
        <v>30</v>
      </c>
      <c r="AI51" s="138">
        <f t="shared" si="44"/>
        <v>897</v>
      </c>
      <c r="AJ51" s="138">
        <f t="shared" si="45"/>
        <v>914</v>
      </c>
      <c r="AL51" s="136">
        <f t="shared" si="19"/>
        <v>3.2269999999999999</v>
      </c>
      <c r="AM51" s="258">
        <f t="shared" si="20"/>
        <v>0.14499999999999999</v>
      </c>
      <c r="AN51" s="258">
        <f t="shared" si="21"/>
        <v>0</v>
      </c>
      <c r="AO51" s="258">
        <f t="shared" si="22"/>
        <v>0.18</v>
      </c>
      <c r="AP51" s="258">
        <f t="shared" si="23"/>
        <v>0</v>
      </c>
      <c r="AQ51" s="136">
        <f t="shared" si="46"/>
        <v>0</v>
      </c>
      <c r="AR51" s="137">
        <f t="shared" si="24"/>
        <v>0</v>
      </c>
      <c r="AS51" s="136">
        <f t="shared" si="47"/>
        <v>3.3719999999999999</v>
      </c>
      <c r="AT51" s="137">
        <f t="shared" si="48"/>
        <v>4.0538223511899799E-2</v>
      </c>
      <c r="AU51" s="137">
        <f t="shared" si="25"/>
        <v>0.90474816248524881</v>
      </c>
      <c r="AV51" s="394">
        <f t="shared" si="49"/>
        <v>0</v>
      </c>
      <c r="AW51" s="137">
        <f t="shared" si="26"/>
        <v>0.32</v>
      </c>
      <c r="AX51" s="137">
        <f t="shared" si="27"/>
        <v>0.5</v>
      </c>
      <c r="AY51" s="137">
        <f t="shared" si="28"/>
        <v>0.5</v>
      </c>
      <c r="AZ51" s="137"/>
      <c r="BA51" s="264"/>
      <c r="BB51" s="258">
        <f t="shared" si="29"/>
        <v>0</v>
      </c>
      <c r="BC51" s="258">
        <f t="shared" si="50"/>
        <v>0</v>
      </c>
      <c r="BD51" s="137">
        <f t="shared" si="51"/>
        <v>1.2292021196125269E-5</v>
      </c>
      <c r="BE51" s="137">
        <f t="shared" si="52"/>
        <v>1.2292021196125269E-5</v>
      </c>
      <c r="BF51" s="137">
        <f>_xll.xSPRDOPT($BW51,$BV51,$CG51,0,$BY51,$BX51,$BZ51,$AJ51,1,4)*$CB51</f>
        <v>1.6585845323331296</v>
      </c>
      <c r="BG51" s="137">
        <f>_xll.xSPRDOPT($BW51,$BV51,$CG51,0,$BY51,$BX51,$BZ51,$AJ51,1,3)*$CB51</f>
        <v>1.6246820583615771</v>
      </c>
      <c r="BH51" s="137">
        <f>IF(OR(BF51&lt;&gt;0,BG51&lt;&gt;0),_xll.xSPRDOPT($BW51,$BV51,$CG51,0,$BY51,$BX51,$BZ51,$AJ51,1,12)*$CB51,0)</f>
        <v>-1.6415477617310095</v>
      </c>
      <c r="BI51" s="137">
        <f>_xll.xSPRDOPT($BW51,$BV51,$CG51,2*LN(1+CA51/2),$BY51,$BX51,$BZ51,$AJ51,1,9)</f>
        <v>-1.1852847026882162E-3</v>
      </c>
      <c r="BJ51" s="137">
        <f>_xll.xSPRDOPT($BW51,$BV51,$CG51,0,$BY51,$BX51,$BZ51,$AJ51,1,6)*$CB51</f>
        <v>2.085875960301288E-2</v>
      </c>
      <c r="BK51" s="137">
        <f>_xll.xSPRDOPT($BW51,$BV51,$CG51,0,$BY51,$BX51,$BZ51,$AJ51,1,5)*$CB51</f>
        <v>2.0857780197767871E-2</v>
      </c>
      <c r="BL51" s="137">
        <f>_xll.xSPRDOPT(BW51,BV51,CG51,0,BY51,BX51,BZ51,AJ51,1,2)*CB51</f>
        <v>-0.78768404315253515</v>
      </c>
      <c r="BM51" s="137">
        <f>_xll.xSPRDOPT(BW51,BV51,CG51,0,BY51,BX51,BZ51,AJ51,1,1)*CB51</f>
        <v>0.79060303402832044</v>
      </c>
      <c r="BN51" s="137">
        <f>IF(AH51&lt;&gt;0,_xll.xSPRDOPT($BW51,$BV51,$CG51,2*LN(1+CA51/2),$BY51,$BX51,$BZ51,$AJ51,1,8)+(AJ51/365.25)*CH51/AH51,0)</f>
        <v>-9.4361912053443145E-2</v>
      </c>
      <c r="BO51" s="137">
        <f>_xll.xSPRDOPT($BW51,$BV51,$CG51,0,$BY51,$BX51,$BZ51,$AJ51,1,0)</f>
        <v>4.1477084994141274E-2</v>
      </c>
      <c r="BP51" s="137"/>
      <c r="BQ51" s="137"/>
      <c r="BR51" s="137"/>
      <c r="BS51" s="137"/>
      <c r="BV51" s="262">
        <v>3.3719999999999999</v>
      </c>
      <c r="BW51" s="136">
        <v>3.407</v>
      </c>
      <c r="BX51" s="137">
        <v>0.32375866340709331</v>
      </c>
      <c r="BY51" s="137">
        <v>0.32375866340709331</v>
      </c>
      <c r="BZ51" s="137">
        <v>0.99960900844541778</v>
      </c>
      <c r="CA51" s="137">
        <v>4.0538223511899799E-2</v>
      </c>
      <c r="CB51" s="137">
        <v>0.90444997650532444</v>
      </c>
      <c r="CC51" s="258">
        <v>0.14499999999999999</v>
      </c>
      <c r="CD51" s="258">
        <v>0</v>
      </c>
      <c r="CE51" s="258">
        <v>0.18</v>
      </c>
      <c r="CF51" s="258">
        <v>0</v>
      </c>
      <c r="CG51" s="258">
        <v>0</v>
      </c>
      <c r="CH51" s="258">
        <v>0</v>
      </c>
      <c r="CI51" s="258">
        <v>3.2269999999999999</v>
      </c>
      <c r="CJ51" s="258"/>
      <c r="CK51" s="258"/>
      <c r="CL51" s="258"/>
      <c r="CM51" s="258"/>
    </row>
    <row r="52" spans="1:91" x14ac:dyDescent="0.25">
      <c r="A52" s="723"/>
      <c r="B52" s="723"/>
      <c r="D52" s="31">
        <f t="shared" si="30"/>
        <v>38183</v>
      </c>
      <c r="F52" s="28">
        <f t="shared" si="31"/>
        <v>0</v>
      </c>
      <c r="G52" s="28">
        <f t="shared" si="12"/>
        <v>0</v>
      </c>
      <c r="H52" s="52">
        <f t="shared" si="32"/>
        <v>3.4119999999999999</v>
      </c>
      <c r="I52" s="52">
        <f t="shared" si="33"/>
        <v>3.4470000000000001</v>
      </c>
      <c r="K52" s="52">
        <f t="shared" si="34"/>
        <v>0.97675024742966809</v>
      </c>
      <c r="L52" s="135">
        <f t="shared" si="35"/>
        <v>0.22899180770148497</v>
      </c>
      <c r="N52" s="131">
        <f t="shared" si="13"/>
        <v>0.32510116768595165</v>
      </c>
      <c r="O52" s="131">
        <f t="shared" si="14"/>
        <v>0.32510116768595165</v>
      </c>
      <c r="P52" s="55">
        <f t="shared" si="36"/>
        <v>0.99952930600304868</v>
      </c>
      <c r="Q52" s="135">
        <f>_xll.xSPRDOPT(I52,H52,AQ52,0,O52,N52,P52,D52-$G$5,1,0)*AH52*AU52</f>
        <v>1.2057420551311531</v>
      </c>
      <c r="R52" s="135"/>
      <c r="S52" s="181">
        <f t="shared" si="37"/>
        <v>0</v>
      </c>
      <c r="T52" s="181">
        <f>_xll.xSPRDOPT(I52,H52,AQ52,AT52,O52,N52,P52,D52-$G$5,1,1)*AF52*F52*AH52</f>
        <v>0</v>
      </c>
      <c r="U52" s="135"/>
      <c r="V52" s="146">
        <f t="shared" si="38"/>
        <v>0</v>
      </c>
      <c r="W52" s="146"/>
      <c r="X52" s="338">
        <f t="shared" si="39"/>
        <v>0</v>
      </c>
      <c r="Y52" s="338">
        <f t="shared" si="15"/>
        <v>0</v>
      </c>
      <c r="Z52" s="338">
        <f t="shared" si="16"/>
        <v>0</v>
      </c>
      <c r="AA52" s="338">
        <f t="shared" si="17"/>
        <v>0</v>
      </c>
      <c r="AB52" s="338">
        <f t="shared" si="40"/>
        <v>0</v>
      </c>
      <c r="AC52" s="338">
        <f t="shared" si="41"/>
        <v>0</v>
      </c>
      <c r="AF52" s="138">
        <f t="shared" si="42"/>
        <v>1</v>
      </c>
      <c r="AG52" s="138">
        <f t="shared" si="43"/>
        <v>7</v>
      </c>
      <c r="AH52" s="138">
        <f t="shared" si="18"/>
        <v>31</v>
      </c>
      <c r="AI52" s="138">
        <f t="shared" si="44"/>
        <v>927</v>
      </c>
      <c r="AJ52" s="138">
        <f t="shared" si="45"/>
        <v>944</v>
      </c>
      <c r="AL52" s="136">
        <f t="shared" si="19"/>
        <v>3.2669999999999999</v>
      </c>
      <c r="AM52" s="258">
        <f t="shared" si="20"/>
        <v>0.14499999999999999</v>
      </c>
      <c r="AN52" s="258">
        <f t="shared" si="21"/>
        <v>0</v>
      </c>
      <c r="AO52" s="258">
        <f t="shared" si="22"/>
        <v>0.18</v>
      </c>
      <c r="AP52" s="258">
        <f t="shared" si="23"/>
        <v>0</v>
      </c>
      <c r="AQ52" s="136">
        <f t="shared" si="46"/>
        <v>0</v>
      </c>
      <c r="AR52" s="137">
        <f t="shared" si="24"/>
        <v>0</v>
      </c>
      <c r="AS52" s="136">
        <f t="shared" si="47"/>
        <v>3.4119999999999999</v>
      </c>
      <c r="AT52" s="137">
        <f t="shared" si="48"/>
        <v>4.12152492802473E-2</v>
      </c>
      <c r="AU52" s="137">
        <f t="shared" si="25"/>
        <v>0.90023064279231713</v>
      </c>
      <c r="AV52" s="394">
        <f t="shared" si="49"/>
        <v>0</v>
      </c>
      <c r="AW52" s="137">
        <f t="shared" si="26"/>
        <v>0.32</v>
      </c>
      <c r="AX52" s="137">
        <f t="shared" si="27"/>
        <v>0.55000000000000004</v>
      </c>
      <c r="AY52" s="137">
        <f t="shared" si="28"/>
        <v>0.55000000000000004</v>
      </c>
      <c r="AZ52" s="137"/>
      <c r="BA52" s="264"/>
      <c r="BB52" s="258">
        <f t="shared" si="29"/>
        <v>0</v>
      </c>
      <c r="BC52" s="258">
        <f t="shared" si="50"/>
        <v>0</v>
      </c>
      <c r="BD52" s="137">
        <f t="shared" si="51"/>
        <v>1.6059031537174473E-5</v>
      </c>
      <c r="BE52" s="137">
        <f t="shared" si="52"/>
        <v>1.6059031537174473E-5</v>
      </c>
      <c r="BF52" s="137">
        <f>_xll.xSPRDOPT($BW52,$BV52,$CG52,0,$BY52,$BX52,$BZ52,$AJ52,1,4)*$CB52</f>
        <v>1.9301512870523854</v>
      </c>
      <c r="BG52" s="137">
        <f>_xll.xSPRDOPT($BW52,$BV52,$CG52,0,$BY52,$BX52,$BZ52,$AJ52,1,3)*$CB52</f>
        <v>1.891153505528735</v>
      </c>
      <c r="BH52" s="137">
        <f>IF(OR(BF52&lt;&gt;0,BG52&lt;&gt;0),_xll.xSPRDOPT($BW52,$BV52,$CG52,0,$BY52,$BX52,$BZ52,$AJ52,1,12)*$CB52,0)</f>
        <v>-1.9105554087151724</v>
      </c>
      <c r="BI52" s="137">
        <f>_xll.xSPRDOPT($BW52,$BV52,$CG52,2*LN(1+CA52/2),$BY52,$BX52,$BZ52,$AJ52,1,9)</f>
        <v>-1.5076063019736012E-3</v>
      </c>
      <c r="BJ52" s="137">
        <f>_xll.xSPRDOPT($BW52,$BV52,$CG52,0,$BY52,$BX52,$BZ52,$AJ52,1,6)*$CB52</f>
        <v>2.4743977823452539E-2</v>
      </c>
      <c r="BK52" s="137">
        <f>_xll.xSPRDOPT($BW52,$BV52,$CG52,0,$BY52,$BX52,$BZ52,$AJ52,1,5)*$CB52</f>
        <v>2.4744616704212009E-2</v>
      </c>
      <c r="BL52" s="137">
        <f>_xll.xSPRDOPT(BW52,BV52,CG52,0,BY52,BX52,BZ52,AJ52,1,2)*CB52</f>
        <v>-0.75828080920131025</v>
      </c>
      <c r="BM52" s="137">
        <f>_xll.xSPRDOPT(BW52,BV52,CG52,0,BY52,BX52,BZ52,AJ52,1,1)*CB52</f>
        <v>0.76186022549208277</v>
      </c>
      <c r="BN52" s="137">
        <f>IF(AH52&lt;&gt;0,_xll.xSPRDOPT($BW52,$BV52,$CG52,2*LN(1+CA52/2),$BY52,$BX52,$BZ52,$AJ52,1,8)+(AJ52/365.25)*CH52/AH52,0)</f>
        <v>-0.10166528188972071</v>
      </c>
      <c r="BO52" s="137">
        <f>_xll.xSPRDOPT($BW52,$BV52,$CG52,0,$BY52,$BX52,$BZ52,$AJ52,1,0)</f>
        <v>4.3201276385859889E-2</v>
      </c>
      <c r="BP52" s="137"/>
      <c r="BQ52" s="137"/>
      <c r="BR52" s="137"/>
      <c r="BS52" s="137"/>
      <c r="BV52" s="262">
        <v>3.4119999999999999</v>
      </c>
      <c r="BW52" s="136">
        <v>3.4470000000000001</v>
      </c>
      <c r="BX52" s="137">
        <v>0.32508510865441448</v>
      </c>
      <c r="BY52" s="137">
        <v>0.32508510865441448</v>
      </c>
      <c r="BZ52" s="137">
        <v>0.99953075312184891</v>
      </c>
      <c r="CA52" s="137">
        <v>4.12152492802473E-2</v>
      </c>
      <c r="CB52" s="137">
        <v>0.89992904159661324</v>
      </c>
      <c r="CC52" s="258">
        <v>0.14499999999999999</v>
      </c>
      <c r="CD52" s="258">
        <v>0</v>
      </c>
      <c r="CE52" s="258">
        <v>0.18</v>
      </c>
      <c r="CF52" s="258">
        <v>0</v>
      </c>
      <c r="CG52" s="258">
        <v>0</v>
      </c>
      <c r="CH52" s="258">
        <v>0</v>
      </c>
      <c r="CI52" s="258">
        <v>3.2669999999999999</v>
      </c>
      <c r="CJ52" s="258"/>
      <c r="CK52" s="258"/>
      <c r="CL52" s="258"/>
      <c r="CM52" s="258"/>
    </row>
    <row r="53" spans="1:91" x14ac:dyDescent="0.25">
      <c r="A53" s="723"/>
      <c r="B53" s="723"/>
      <c r="D53" s="31">
        <f t="shared" si="30"/>
        <v>38214</v>
      </c>
      <c r="F53" s="28">
        <f t="shared" si="31"/>
        <v>0</v>
      </c>
      <c r="G53" s="28">
        <f t="shared" si="12"/>
        <v>0</v>
      </c>
      <c r="H53" s="52">
        <f t="shared" si="32"/>
        <v>3.452</v>
      </c>
      <c r="I53" s="52">
        <f t="shared" si="33"/>
        <v>3.4870000000000001</v>
      </c>
      <c r="K53" s="52">
        <f t="shared" si="34"/>
        <v>0.97170545824006005</v>
      </c>
      <c r="L53" s="135">
        <f t="shared" si="35"/>
        <v>0.27445071958217448</v>
      </c>
      <c r="N53" s="131">
        <f t="shared" si="13"/>
        <v>0.32634565949462391</v>
      </c>
      <c r="O53" s="131">
        <f t="shared" si="14"/>
        <v>0.32634565949462391</v>
      </c>
      <c r="P53" s="55">
        <f t="shared" si="36"/>
        <v>0.9994618014027884</v>
      </c>
      <c r="Q53" s="135">
        <f>_xll.xSPRDOPT(I53,H53,AQ53,0,O53,N53,P53,D53-$G$5,1,0)*AH53*AU53</f>
        <v>1.2461561778222345</v>
      </c>
      <c r="R53" s="135"/>
      <c r="S53" s="181">
        <f t="shared" si="37"/>
        <v>0</v>
      </c>
      <c r="T53" s="181">
        <f>_xll.xSPRDOPT(I53,H53,AQ53,AT53,O53,N53,P53,D53-$G$5,1,1)*AF53*F53*AH53</f>
        <v>0</v>
      </c>
      <c r="U53" s="135"/>
      <c r="V53" s="146">
        <f t="shared" si="38"/>
        <v>0</v>
      </c>
      <c r="W53" s="146"/>
      <c r="X53" s="338">
        <f t="shared" si="39"/>
        <v>0</v>
      </c>
      <c r="Y53" s="338">
        <f t="shared" si="15"/>
        <v>0</v>
      </c>
      <c r="Z53" s="338">
        <f t="shared" si="16"/>
        <v>0</v>
      </c>
      <c r="AA53" s="338">
        <f t="shared" si="17"/>
        <v>0</v>
      </c>
      <c r="AB53" s="338">
        <f t="shared" si="40"/>
        <v>0</v>
      </c>
      <c r="AC53" s="338">
        <f t="shared" si="41"/>
        <v>0</v>
      </c>
      <c r="AF53" s="138">
        <f t="shared" si="42"/>
        <v>1</v>
      </c>
      <c r="AG53" s="138">
        <f t="shared" si="43"/>
        <v>8</v>
      </c>
      <c r="AH53" s="138">
        <f t="shared" si="18"/>
        <v>31</v>
      </c>
      <c r="AI53" s="138">
        <f t="shared" si="44"/>
        <v>958</v>
      </c>
      <c r="AJ53" s="138">
        <f t="shared" si="45"/>
        <v>975</v>
      </c>
      <c r="AL53" s="136">
        <f t="shared" si="19"/>
        <v>3.3069999999999999</v>
      </c>
      <c r="AM53" s="258">
        <f t="shared" si="20"/>
        <v>0.14499999999999999</v>
      </c>
      <c r="AN53" s="258">
        <f t="shared" si="21"/>
        <v>0</v>
      </c>
      <c r="AO53" s="258">
        <f t="shared" si="22"/>
        <v>0.18</v>
      </c>
      <c r="AP53" s="258">
        <f t="shared" si="23"/>
        <v>0</v>
      </c>
      <c r="AQ53" s="136">
        <f t="shared" si="46"/>
        <v>0</v>
      </c>
      <c r="AR53" s="137">
        <f t="shared" si="24"/>
        <v>0</v>
      </c>
      <c r="AS53" s="136">
        <f t="shared" si="47"/>
        <v>3.452</v>
      </c>
      <c r="AT53" s="137">
        <f t="shared" si="48"/>
        <v>4.1873365630825901E-2</v>
      </c>
      <c r="AU53" s="137">
        <f t="shared" si="25"/>
        <v>0.89558106750235578</v>
      </c>
      <c r="AV53" s="394">
        <f t="shared" si="49"/>
        <v>0</v>
      </c>
      <c r="AW53" s="137">
        <f t="shared" si="26"/>
        <v>0.32</v>
      </c>
      <c r="AX53" s="137">
        <f t="shared" si="27"/>
        <v>0.6</v>
      </c>
      <c r="AY53" s="137">
        <f t="shared" si="28"/>
        <v>0.6</v>
      </c>
      <c r="AZ53" s="137"/>
      <c r="BA53" s="264"/>
      <c r="BB53" s="258">
        <f t="shared" si="29"/>
        <v>0</v>
      </c>
      <c r="BC53" s="258">
        <f t="shared" si="50"/>
        <v>0</v>
      </c>
      <c r="BD53" s="137">
        <f t="shared" si="51"/>
        <v>1.9306147412745389E-5</v>
      </c>
      <c r="BE53" s="137">
        <f t="shared" si="52"/>
        <v>1.9306147412745389E-5</v>
      </c>
      <c r="BF53" s="137">
        <f>_xll.xSPRDOPT($BW53,$BV53,$CG53,0,$BY53,$BX53,$BZ53,$AJ53,1,4)*$CB53</f>
        <v>2.1397811871534378</v>
      </c>
      <c r="BG53" s="137">
        <f>_xll.xSPRDOPT($BW53,$BV53,$CG53,0,$BY53,$BX53,$BZ53,$AJ53,1,3)*$CB53</f>
        <v>2.097041614091089</v>
      </c>
      <c r="BH53" s="137">
        <f>IF(OR(BF53&lt;&gt;0,BG53&lt;&gt;0),_xll.xSPRDOPT($BW53,$BV53,$CG53,0,$BY53,$BX53,$BZ53,$AJ53,1,12)*$CB53,0)</f>
        <v>-2.1183063796799408</v>
      </c>
      <c r="BI53" s="137">
        <f>_xll.xSPRDOPT($BW53,$BV53,$CG53,2*LN(1+CA53/2),$BY53,$BX53,$BZ53,$AJ53,1,9)</f>
        <v>-1.7393412181447247E-3</v>
      </c>
      <c r="BJ53" s="137">
        <f>_xll.xSPRDOPT($BW53,$BV53,$CG53,0,$BY53,$BX53,$BZ53,$AJ53,1,6)*$CB53</f>
        <v>2.8065928930445419E-2</v>
      </c>
      <c r="BK53" s="137">
        <f>_xll.xSPRDOPT($BW53,$BV53,$CG53,0,$BY53,$BX53,$BZ53,$AJ53,1,5)*$CB53</f>
        <v>2.8068250659056146E-2</v>
      </c>
      <c r="BL53" s="137">
        <f>_xll.xSPRDOPT(BW53,BV53,CG53,0,BY53,BX53,BZ53,AJ53,1,2)*CB53</f>
        <v>-0.73170752231925562</v>
      </c>
      <c r="BM53" s="137">
        <f>_xll.xSPRDOPT(BW53,BV53,CG53,0,BY53,BX53,BZ53,AJ53,1,1)*CB53</f>
        <v>0.73588602769556055</v>
      </c>
      <c r="BN53" s="137">
        <f>IF(AH53&lt;&gt;0,_xll.xSPRDOPT($BW53,$BV53,$CG53,2*LN(1+CA53/2),$BY53,$BX53,$BZ53,$AJ53,1,8)+(AJ53/365.25)*CH53/AH53,0)</f>
        <v>-0.10897530455674617</v>
      </c>
      <c r="BO53" s="137">
        <f>_xll.xSPRDOPT($BW53,$BV53,$CG53,0,$BY53,$BX53,$BZ53,$AJ53,1,0)</f>
        <v>4.4880246702607075E-2</v>
      </c>
      <c r="BP53" s="137"/>
      <c r="BQ53" s="137"/>
      <c r="BR53" s="137"/>
      <c r="BS53" s="137"/>
      <c r="BV53" s="262">
        <v>3.452</v>
      </c>
      <c r="BW53" s="136">
        <v>3.4870000000000001</v>
      </c>
      <c r="BX53" s="137">
        <v>0.32632635334721116</v>
      </c>
      <c r="BY53" s="137">
        <v>0.32632635334721116</v>
      </c>
      <c r="BZ53" s="137">
        <v>0.99946339136656315</v>
      </c>
      <c r="CA53" s="137">
        <v>4.1873365630825901E-2</v>
      </c>
      <c r="CB53" s="137">
        <v>0.89527628311247864</v>
      </c>
      <c r="CC53" s="258">
        <v>0.14499999999999999</v>
      </c>
      <c r="CD53" s="258">
        <v>0</v>
      </c>
      <c r="CE53" s="258">
        <v>0.18</v>
      </c>
      <c r="CF53" s="258">
        <v>0</v>
      </c>
      <c r="CG53" s="258">
        <v>0</v>
      </c>
      <c r="CH53" s="258">
        <v>0</v>
      </c>
      <c r="CI53" s="258">
        <v>3.3069999999999999</v>
      </c>
      <c r="CJ53" s="258"/>
      <c r="CK53" s="258"/>
      <c r="CL53" s="258"/>
      <c r="CM53" s="258"/>
    </row>
    <row r="54" spans="1:91" x14ac:dyDescent="0.25">
      <c r="A54" s="723"/>
      <c r="B54" s="723"/>
      <c r="D54" s="31">
        <f t="shared" si="30"/>
        <v>38245</v>
      </c>
      <c r="F54" s="28">
        <f t="shared" si="31"/>
        <v>0</v>
      </c>
      <c r="G54" s="28">
        <f t="shared" si="12"/>
        <v>0</v>
      </c>
      <c r="H54" s="52">
        <f t="shared" si="32"/>
        <v>3.4470000000000001</v>
      </c>
      <c r="I54" s="52">
        <f t="shared" si="33"/>
        <v>3.4820000000000002</v>
      </c>
      <c r="K54" s="52">
        <f t="shared" si="34"/>
        <v>0.93540143962428057</v>
      </c>
      <c r="L54" s="135">
        <f t="shared" si="35"/>
        <v>0.25386362023459397</v>
      </c>
      <c r="N54" s="131">
        <f t="shared" si="13"/>
        <v>0.32595798130693049</v>
      </c>
      <c r="O54" s="131">
        <f t="shared" si="14"/>
        <v>0.32595798130693049</v>
      </c>
      <c r="P54" s="55">
        <f t="shared" si="36"/>
        <v>0.99949378290411117</v>
      </c>
      <c r="Q54" s="135">
        <f>_xll.xSPRDOPT(I54,H54,AQ54,0,O54,N54,P54,D54-$G$5,1,0)*AH54*AU54</f>
        <v>1.1892650598588745</v>
      </c>
      <c r="R54" s="135"/>
      <c r="S54" s="181">
        <f t="shared" si="37"/>
        <v>0</v>
      </c>
      <c r="T54" s="181">
        <f>_xll.xSPRDOPT(I54,H54,AQ54,AT54,O54,N54,P54,D54-$G$5,1,1)*AF54*F54*AH54</f>
        <v>0</v>
      </c>
      <c r="U54" s="135"/>
      <c r="V54" s="146">
        <f t="shared" si="38"/>
        <v>0</v>
      </c>
      <c r="W54" s="146"/>
      <c r="X54" s="338">
        <f t="shared" si="39"/>
        <v>0</v>
      </c>
      <c r="Y54" s="338">
        <f t="shared" si="15"/>
        <v>0</v>
      </c>
      <c r="Z54" s="338">
        <f t="shared" si="16"/>
        <v>0</v>
      </c>
      <c r="AA54" s="338">
        <f t="shared" si="17"/>
        <v>0</v>
      </c>
      <c r="AB54" s="338">
        <f t="shared" si="40"/>
        <v>0</v>
      </c>
      <c r="AC54" s="338">
        <f t="shared" si="41"/>
        <v>0</v>
      </c>
      <c r="AF54" s="138">
        <f t="shared" si="42"/>
        <v>1</v>
      </c>
      <c r="AG54" s="138">
        <f t="shared" si="43"/>
        <v>9</v>
      </c>
      <c r="AH54" s="138">
        <f t="shared" ref="AH54:AH85" si="53">(EOMONTH(D54,0)-EOMONTH(D54-DAY(D54),0))*AF54</f>
        <v>30</v>
      </c>
      <c r="AI54" s="138">
        <f t="shared" si="44"/>
        <v>989</v>
      </c>
      <c r="AJ54" s="138">
        <f t="shared" si="45"/>
        <v>1006</v>
      </c>
      <c r="AL54" s="136">
        <f t="shared" si="19"/>
        <v>3.302</v>
      </c>
      <c r="AM54" s="258">
        <f t="shared" si="20"/>
        <v>0.14499999999999999</v>
      </c>
      <c r="AN54" s="258">
        <f t="shared" si="21"/>
        <v>0</v>
      </c>
      <c r="AO54" s="258">
        <f t="shared" si="22"/>
        <v>0.18</v>
      </c>
      <c r="AP54" s="258">
        <f t="shared" si="23"/>
        <v>0</v>
      </c>
      <c r="AQ54" s="136">
        <f t="shared" si="46"/>
        <v>0</v>
      </c>
      <c r="AR54" s="137">
        <f t="shared" si="24"/>
        <v>0</v>
      </c>
      <c r="AS54" s="136">
        <f t="shared" si="47"/>
        <v>3.4470000000000001</v>
      </c>
      <c r="AT54" s="137">
        <f t="shared" si="48"/>
        <v>4.2531482126591399E-2</v>
      </c>
      <c r="AU54" s="137">
        <f t="shared" si="25"/>
        <v>0.89085851392788262</v>
      </c>
      <c r="AV54" s="394">
        <f t="shared" si="49"/>
        <v>0</v>
      </c>
      <c r="AW54" s="137">
        <f t="shared" si="26"/>
        <v>0.32</v>
      </c>
      <c r="AX54" s="137">
        <f t="shared" si="27"/>
        <v>0.6</v>
      </c>
      <c r="AY54" s="137">
        <f t="shared" si="28"/>
        <v>0.6</v>
      </c>
      <c r="AZ54" s="137"/>
      <c r="BA54" s="264"/>
      <c r="BB54" s="258">
        <f t="shared" si="29"/>
        <v>0</v>
      </c>
      <c r="BC54" s="258">
        <f t="shared" si="50"/>
        <v>0</v>
      </c>
      <c r="BD54" s="137">
        <f t="shared" si="51"/>
        <v>1.7587952775954818E-5</v>
      </c>
      <c r="BE54" s="137">
        <f t="shared" si="52"/>
        <v>1.7587952775954818E-5</v>
      </c>
      <c r="BF54" s="137">
        <f>_xll.xSPRDOPT($BW54,$BV54,$CG54,0,$BY54,$BX54,$BZ54,$AJ54,1,4)*$CB54</f>
        <v>1.980841168203529</v>
      </c>
      <c r="BG54" s="137">
        <f>_xll.xSPRDOPT($BW54,$BV54,$CG54,0,$BY54,$BX54,$BZ54,$AJ54,1,3)*$CB54</f>
        <v>1.941219551209258</v>
      </c>
      <c r="BH54" s="137">
        <f>IF(OR(BF54&lt;&gt;0,BG54&lt;&gt;0),_xll.xSPRDOPT($BW54,$BV54,$CG54,0,$BY54,$BX54,$BZ54,$AJ54,1,12)*$CB54,0)</f>
        <v>-1.9609328186876294</v>
      </c>
      <c r="BI54" s="137">
        <f>_xll.xSPRDOPT($BW54,$BV54,$CG54,2*LN(1+CA54/2),$BY54,$BX54,$BZ54,$AJ54,1,9)</f>
        <v>-1.5352119442010774E-3</v>
      </c>
      <c r="BJ54" s="137">
        <f>_xll.xSPRDOPT($BW54,$BV54,$CG54,0,$BY54,$BX54,$BZ54,$AJ54,1,6)*$CB54</f>
        <v>2.730105368882918E-2</v>
      </c>
      <c r="BK54" s="137">
        <f>_xll.xSPRDOPT($BW54,$BV54,$CG54,0,$BY54,$BX54,$BZ54,$AJ54,1,5)*$CB54</f>
        <v>2.7303018557911542E-2</v>
      </c>
      <c r="BL54" s="137">
        <f>_xll.xSPRDOPT(BW54,BV54,CG54,0,BY54,BX54,BZ54,AJ54,1,2)*CB54</f>
        <v>-0.73656912823481424</v>
      </c>
      <c r="BM54" s="137">
        <f>_xll.xSPRDOPT(BW54,BV54,CG54,0,BY54,BX54,BZ54,AJ54,1,1)*CB54</f>
        <v>0.7405450203987286</v>
      </c>
      <c r="BN54" s="137">
        <f>IF(AH54&lt;&gt;0,_xll.xSPRDOPT($BW54,$BV54,$CG54,2*LN(1+CA54/2),$BY54,$BX54,$BZ54,$AJ54,1,8)+(AJ54/365.25)*CH54/AH54,0)</f>
        <v>-0.11097538006422192</v>
      </c>
      <c r="BO54" s="137">
        <f>_xll.xSPRDOPT($BW54,$BV54,$CG54,0,$BY54,$BX54,$BZ54,$AJ54,1,0)</f>
        <v>4.4493803859456636E-2</v>
      </c>
      <c r="BP54" s="137"/>
      <c r="BQ54" s="137"/>
      <c r="BR54" s="137"/>
      <c r="BS54" s="137"/>
      <c r="BV54" s="262">
        <v>3.4470000000000001</v>
      </c>
      <c r="BW54" s="136">
        <v>3.4820000000000002</v>
      </c>
      <c r="BX54" s="137">
        <v>0.32594039335415453</v>
      </c>
      <c r="BY54" s="137">
        <v>0.32594039335415453</v>
      </c>
      <c r="BZ54" s="137">
        <v>0.99949523652842376</v>
      </c>
      <c r="CA54" s="137">
        <v>4.2531482126591399E-2</v>
      </c>
      <c r="CB54" s="137">
        <v>0.89055062233660143</v>
      </c>
      <c r="CC54" s="258">
        <v>0.14499999999999999</v>
      </c>
      <c r="CD54" s="258">
        <v>0</v>
      </c>
      <c r="CE54" s="258">
        <v>0.18</v>
      </c>
      <c r="CF54" s="258">
        <v>0</v>
      </c>
      <c r="CG54" s="258">
        <v>0</v>
      </c>
      <c r="CH54" s="258">
        <v>0</v>
      </c>
      <c r="CI54" s="258">
        <v>3.302</v>
      </c>
      <c r="CJ54" s="258"/>
      <c r="CK54" s="258"/>
      <c r="CL54" s="258"/>
      <c r="CM54" s="258"/>
    </row>
    <row r="55" spans="1:91" x14ac:dyDescent="0.25">
      <c r="A55" s="723"/>
      <c r="B55" s="723"/>
      <c r="D55" s="31">
        <f t="shared" si="30"/>
        <v>38275</v>
      </c>
      <c r="F55" s="28">
        <f t="shared" si="31"/>
        <v>0</v>
      </c>
      <c r="G55" s="28">
        <f t="shared" si="12"/>
        <v>0</v>
      </c>
      <c r="H55" s="52">
        <f t="shared" si="32"/>
        <v>3.472</v>
      </c>
      <c r="I55" s="52">
        <f t="shared" si="33"/>
        <v>3.5070000000000001</v>
      </c>
      <c r="K55" s="52">
        <f t="shared" si="34"/>
        <v>0.96164271821812009</v>
      </c>
      <c r="L55" s="135">
        <f t="shared" si="35"/>
        <v>0.31774853943087511</v>
      </c>
      <c r="N55" s="131">
        <f t="shared" si="13"/>
        <v>0.32740813225277243</v>
      </c>
      <c r="O55" s="131">
        <f t="shared" si="14"/>
        <v>0.32740813225277243</v>
      </c>
      <c r="P55" s="55">
        <f t="shared" si="36"/>
        <v>0.99940946044591072</v>
      </c>
      <c r="Q55" s="135">
        <f>_xll.xSPRDOPT(I55,H55,AQ55,0,O55,N55,P55,D55-$G$5,1,0)*AH55*AU55</f>
        <v>1.2793912576489952</v>
      </c>
      <c r="R55" s="135"/>
      <c r="S55" s="181">
        <f t="shared" si="37"/>
        <v>0</v>
      </c>
      <c r="T55" s="181">
        <f>_xll.xSPRDOPT(I55,H55,AQ55,AT55,O55,N55,P55,D55-$G$5,1,1)*AF55*F55*AH55</f>
        <v>0</v>
      </c>
      <c r="U55" s="135"/>
      <c r="V55" s="146">
        <f t="shared" si="38"/>
        <v>0</v>
      </c>
      <c r="W55" s="146"/>
      <c r="X55" s="338">
        <f t="shared" si="39"/>
        <v>0</v>
      </c>
      <c r="Y55" s="338">
        <f t="shared" si="15"/>
        <v>0</v>
      </c>
      <c r="Z55" s="338">
        <f t="shared" si="16"/>
        <v>0</v>
      </c>
      <c r="AA55" s="338">
        <f t="shared" si="17"/>
        <v>0</v>
      </c>
      <c r="AB55" s="338">
        <f t="shared" si="40"/>
        <v>0</v>
      </c>
      <c r="AC55" s="338">
        <f t="shared" si="41"/>
        <v>0</v>
      </c>
      <c r="AF55" s="138">
        <f t="shared" si="42"/>
        <v>1</v>
      </c>
      <c r="AG55" s="138">
        <f t="shared" si="43"/>
        <v>10</v>
      </c>
      <c r="AH55" s="138">
        <f t="shared" si="53"/>
        <v>31</v>
      </c>
      <c r="AI55" s="138">
        <f t="shared" si="44"/>
        <v>1019</v>
      </c>
      <c r="AJ55" s="138">
        <f t="shared" si="45"/>
        <v>1036</v>
      </c>
      <c r="AL55" s="136">
        <f t="shared" si="19"/>
        <v>3.327</v>
      </c>
      <c r="AM55" s="258">
        <f t="shared" si="20"/>
        <v>0.14499999999999999</v>
      </c>
      <c r="AN55" s="258">
        <f t="shared" si="21"/>
        <v>0</v>
      </c>
      <c r="AO55" s="258">
        <f t="shared" si="22"/>
        <v>0.18</v>
      </c>
      <c r="AP55" s="258">
        <f t="shared" si="23"/>
        <v>0</v>
      </c>
      <c r="AQ55" s="136">
        <f t="shared" si="46"/>
        <v>0</v>
      </c>
      <c r="AR55" s="137">
        <f t="shared" si="24"/>
        <v>0</v>
      </c>
      <c r="AS55" s="136">
        <f t="shared" si="47"/>
        <v>3.472</v>
      </c>
      <c r="AT55" s="137">
        <f t="shared" si="48"/>
        <v>4.3133129078657198E-2</v>
      </c>
      <c r="AU55" s="137">
        <f t="shared" si="25"/>
        <v>0.88630665273559095</v>
      </c>
      <c r="AV55" s="394">
        <f t="shared" si="49"/>
        <v>0</v>
      </c>
      <c r="AW55" s="137">
        <f t="shared" si="26"/>
        <v>0.32</v>
      </c>
      <c r="AX55" s="137">
        <f t="shared" si="27"/>
        <v>0.65</v>
      </c>
      <c r="AY55" s="137">
        <f t="shared" si="28"/>
        <v>0.65</v>
      </c>
      <c r="AZ55" s="137"/>
      <c r="BA55" s="264"/>
      <c r="BB55" s="258">
        <f t="shared" si="29"/>
        <v>0</v>
      </c>
      <c r="BC55" s="258">
        <f t="shared" si="50"/>
        <v>0</v>
      </c>
      <c r="BD55" s="137">
        <f t="shared" si="51"/>
        <v>2.1179446968222493E-5</v>
      </c>
      <c r="BE55" s="137">
        <f t="shared" si="52"/>
        <v>2.1179446968222493E-5</v>
      </c>
      <c r="BF55" s="137">
        <f>_xll.xSPRDOPT($BW55,$BV55,$CG55,0,$BY55,$BX55,$BZ55,$AJ55,1,4)*$CB55</f>
        <v>2.2493878412791415</v>
      </c>
      <c r="BG55" s="137">
        <f>_xll.xSPRDOPT($BW55,$BV55,$CG55,0,$BY55,$BX55,$BZ55,$AJ55,1,3)*$CB55</f>
        <v>2.2047137638622134</v>
      </c>
      <c r="BH55" s="137">
        <f>IF(OR(BF55&lt;&gt;0,BG55&lt;&gt;0),_xll.xSPRDOPT($BW55,$BV55,$CG55,0,$BY55,$BX55,$BZ55,$AJ55,1,12)*$CB55,0)</f>
        <v>-2.2269415566799213</v>
      </c>
      <c r="BI55" s="137">
        <f>_xll.xSPRDOPT($BW55,$BV55,$CG55,2*LN(1+CA55/2),$BY55,$BX55,$BZ55,$AJ55,1,9)</f>
        <v>-1.7804635279213882E-3</v>
      </c>
      <c r="BJ55" s="137">
        <f>_xll.xSPRDOPT($BW55,$BV55,$CG55,0,$BY55,$BX55,$BZ55,$AJ55,1,6)*$CB55</f>
        <v>3.0969676278518196E-2</v>
      </c>
      <c r="BK55" s="137">
        <f>_xll.xSPRDOPT($BW55,$BV55,$CG55,0,$BY55,$BX55,$BZ55,$AJ55,1,5)*$CB55</f>
        <v>3.0973555600279687E-2</v>
      </c>
      <c r="BL55" s="137">
        <f>_xll.xSPRDOPT(BW55,BV55,CG55,0,BY55,BX55,BZ55,AJ55,1,2)*CB55</f>
        <v>-0.70513573869907786</v>
      </c>
      <c r="BM55" s="137">
        <f>_xll.xSPRDOPT(BW55,BV55,CG55,0,BY55,BX55,BZ55,AJ55,1,1)*CB55</f>
        <v>0.70986085290588163</v>
      </c>
      <c r="BN55" s="137">
        <f>IF(AH55&lt;&gt;0,_xll.xSPRDOPT($BW55,$BV55,$CG55,2*LN(1+CA55/2),$BY55,$BX55,$BZ55,$AJ55,1,8)+(AJ55/365.25)*CH55/AH55,0)</f>
        <v>-0.11926532284538775</v>
      </c>
      <c r="BO55" s="137">
        <f>_xll.xSPRDOPT($BW55,$BV55,$CG55,0,$BY55,$BX55,$BZ55,$AJ55,1,0)</f>
        <v>4.6558601990222999E-2</v>
      </c>
      <c r="BP55" s="137"/>
      <c r="BQ55" s="137"/>
      <c r="BR55" s="137"/>
      <c r="BS55" s="137"/>
      <c r="BV55" s="262">
        <v>3.472</v>
      </c>
      <c r="BW55" s="136">
        <v>3.5070000000000001</v>
      </c>
      <c r="BX55" s="137">
        <v>0.32738695280580421</v>
      </c>
      <c r="BY55" s="137">
        <v>0.32738695280580421</v>
      </c>
      <c r="BZ55" s="137">
        <v>0.99941109184179533</v>
      </c>
      <c r="CA55" s="137">
        <v>4.3133129078657198E-2</v>
      </c>
      <c r="CB55" s="137">
        <v>0.88599604782278252</v>
      </c>
      <c r="CC55" s="258">
        <v>0.14499999999999999</v>
      </c>
      <c r="CD55" s="258">
        <v>0</v>
      </c>
      <c r="CE55" s="258">
        <v>0.18</v>
      </c>
      <c r="CF55" s="258">
        <v>0</v>
      </c>
      <c r="CG55" s="258">
        <v>0</v>
      </c>
      <c r="CH55" s="258">
        <v>0</v>
      </c>
      <c r="CI55" s="258">
        <v>3.327</v>
      </c>
      <c r="CJ55" s="258"/>
      <c r="CK55" s="258"/>
      <c r="CL55" s="258"/>
      <c r="CM55" s="258"/>
    </row>
    <row r="56" spans="1:91" x14ac:dyDescent="0.25">
      <c r="A56" s="723"/>
      <c r="B56" s="723"/>
      <c r="D56" s="31">
        <f t="shared" si="30"/>
        <v>38306</v>
      </c>
      <c r="F56" s="28">
        <f t="shared" si="31"/>
        <v>9189</v>
      </c>
      <c r="G56" s="28">
        <f t="shared" si="12"/>
        <v>8101.2378608537101</v>
      </c>
      <c r="H56" s="52">
        <f t="shared" si="32"/>
        <v>3.859</v>
      </c>
      <c r="I56" s="52">
        <f t="shared" si="33"/>
        <v>3.859</v>
      </c>
      <c r="K56" s="52">
        <f t="shared" si="34"/>
        <v>0</v>
      </c>
      <c r="L56" s="135">
        <f t="shared" si="35"/>
        <v>0.84479449074586188</v>
      </c>
      <c r="N56" s="131">
        <f t="shared" si="13"/>
        <v>0.33162000992991286</v>
      </c>
      <c r="O56" s="131">
        <f t="shared" si="14"/>
        <v>0.33162000992991286</v>
      </c>
      <c r="P56" s="55">
        <f t="shared" si="36"/>
        <v>0.99918032786885258</v>
      </c>
      <c r="Q56" s="135">
        <f>_xll.xSPRDOPT(I56,H56,AQ56,0,O56,N56,P56,D56-$G$5,1,0)*AH56*AU56</f>
        <v>0.84479449074586188</v>
      </c>
      <c r="R56" s="135"/>
      <c r="S56" s="181">
        <f t="shared" si="37"/>
        <v>-122356.38150942836</v>
      </c>
      <c r="T56" s="181">
        <f>_xll.xSPRDOPT(I56,H56,AQ56,AT56,O56,N56,P56,D56-$G$5,1,1)*AF56*F56*AH56</f>
        <v>122356.38150942836</v>
      </c>
      <c r="U56" s="135"/>
      <c r="V56" s="146">
        <f t="shared" si="38"/>
        <v>0</v>
      </c>
      <c r="W56" s="146"/>
      <c r="X56" s="338">
        <f t="shared" si="39"/>
        <v>0</v>
      </c>
      <c r="Y56" s="338">
        <f t="shared" si="15"/>
        <v>0</v>
      </c>
      <c r="Z56" s="338">
        <f t="shared" si="16"/>
        <v>-9.0042839588278643</v>
      </c>
      <c r="AA56" s="338">
        <f t="shared" si="17"/>
        <v>0.82895301572158908</v>
      </c>
      <c r="AB56" s="338">
        <f t="shared" si="40"/>
        <v>0</v>
      </c>
      <c r="AC56" s="338">
        <f t="shared" si="41"/>
        <v>2.7830280184384941</v>
      </c>
      <c r="AF56" s="138">
        <f t="shared" si="42"/>
        <v>1</v>
      </c>
      <c r="AG56" s="138">
        <f t="shared" si="43"/>
        <v>11</v>
      </c>
      <c r="AH56" s="138">
        <f t="shared" si="53"/>
        <v>30</v>
      </c>
      <c r="AI56" s="138">
        <f t="shared" si="44"/>
        <v>1050</v>
      </c>
      <c r="AJ56" s="138">
        <f t="shared" si="45"/>
        <v>1067</v>
      </c>
      <c r="AL56" s="136">
        <f t="shared" si="19"/>
        <v>3.4790000000000001</v>
      </c>
      <c r="AM56" s="258">
        <f t="shared" si="20"/>
        <v>0.38</v>
      </c>
      <c r="AN56" s="258">
        <f t="shared" si="21"/>
        <v>0</v>
      </c>
      <c r="AO56" s="258">
        <f t="shared" si="22"/>
        <v>0.38</v>
      </c>
      <c r="AP56" s="258">
        <f t="shared" si="23"/>
        <v>0</v>
      </c>
      <c r="AQ56" s="136">
        <f t="shared" si="46"/>
        <v>0</v>
      </c>
      <c r="AR56" s="137">
        <f t="shared" si="24"/>
        <v>0</v>
      </c>
      <c r="AS56" s="136">
        <f t="shared" si="47"/>
        <v>3.859</v>
      </c>
      <c r="AT56" s="137">
        <f t="shared" si="48"/>
        <v>4.37209690349563E-2</v>
      </c>
      <c r="AU56" s="137">
        <f t="shared" si="25"/>
        <v>0.88162344769329748</v>
      </c>
      <c r="AV56" s="394">
        <f t="shared" si="49"/>
        <v>0</v>
      </c>
      <c r="AW56" s="137">
        <f t="shared" si="26"/>
        <v>0.32</v>
      </c>
      <c r="AX56" s="137">
        <f t="shared" si="27"/>
        <v>0.8</v>
      </c>
      <c r="AY56" s="137">
        <f t="shared" si="28"/>
        <v>0.8</v>
      </c>
      <c r="AZ56" s="137"/>
      <c r="BA56" s="264"/>
      <c r="BB56" s="258">
        <f t="shared" si="29"/>
        <v>0</v>
      </c>
      <c r="BC56" s="258">
        <f t="shared" si="50"/>
        <v>0</v>
      </c>
      <c r="BD56" s="137">
        <f t="shared" si="51"/>
        <v>3.2070164678321689E-5</v>
      </c>
      <c r="BE56" s="137">
        <f t="shared" si="52"/>
        <v>3.2070164678321689E-5</v>
      </c>
      <c r="BF56" s="137">
        <f>_xll.xSPRDOPT($BW56,$BV56,$CG56,0,$BY56,$BX56,$BZ56,$AJ56,1,4)*$CB56</f>
        <v>5272.513063170205</v>
      </c>
      <c r="BG56" s="137">
        <f>_xll.xSPRDOPT($BW56,$BV56,$CG56,0,$BY56,$BX56,$BZ56,$AJ56,1,3)*$CB56</f>
        <v>5272.5130630669782</v>
      </c>
      <c r="BH56" s="137">
        <f>IF(OR(BF56&lt;&gt;0,BG56&lt;&gt;0),_xll.xSPRDOPT($BW56,$BV56,$CG56,0,$BY56,$BX56,$BZ56,$AJ56,1,12)*$CB56,0)</f>
        <v>-5272.5130744694152</v>
      </c>
      <c r="BI56" s="137">
        <f>_xll.xSPRDOPT($BW56,$BV56,$CG56,2*LN(1+CA56/2),$BY56,$BX56,$BZ56,$AJ56,1,9)</f>
        <v>-3.9767532629132385E-3</v>
      </c>
      <c r="BJ56" s="137">
        <f>_xll.xSPRDOPT($BW56,$BV56,$CG56,0,$BY56,$BX56,$BZ56,$AJ56,1,6)*$CB56</f>
        <v>4.6685183423251821E-2</v>
      </c>
      <c r="BK56" s="137">
        <f>_xll.xSPRDOPT($BW56,$BV56,$CG56,0,$BY56,$BX56,$BZ56,$AJ56,1,5)*$CB56</f>
        <v>4.7079484440450327E-2</v>
      </c>
      <c r="BL56" s="137">
        <f>_xll.xSPRDOPT(BW56,BV56,CG56,0,BY56,BX56,BZ56,AJ56,1,2)*CB56</f>
        <v>-0.43701268074857907</v>
      </c>
      <c r="BM56" s="137">
        <f>_xll.xSPRDOPT(BW56,BV56,CG56,0,BY56,BX56,BZ56,AJ56,1,1)*CB56</f>
        <v>0.44429772850981536</v>
      </c>
      <c r="BN56" s="137">
        <f>IF(AH56&lt;&gt;0,_xll.xSPRDOPT($BW56,$BV56,$CG56,2*LN(1+CA56/2),$BY56,$BX56,$BZ56,$AJ56,1,8)+(AJ56/365.25)*CH56/AH56,0)</f>
        <v>-9.0830645156353515E-2</v>
      </c>
      <c r="BO56" s="137">
        <f>_xll.xSPRDOPT($BW56,$BV56,$CG56,0,$BY56,$BX56,$BZ56,$AJ56,1,0)</f>
        <v>3.1899098371519156E-2</v>
      </c>
      <c r="BP56" s="137"/>
      <c r="BQ56" s="137"/>
      <c r="BR56" s="137"/>
      <c r="BS56" s="137"/>
      <c r="BV56" s="262">
        <v>3.859</v>
      </c>
      <c r="BW56" s="136">
        <v>3.859</v>
      </c>
      <c r="BX56" s="137">
        <v>0.33158793976523454</v>
      </c>
      <c r="BY56" s="137">
        <v>0.33158793976523454</v>
      </c>
      <c r="BZ56" s="137">
        <v>0.99918247220405498</v>
      </c>
      <c r="CA56" s="137">
        <v>4.37209690349563E-2</v>
      </c>
      <c r="CB56" s="137">
        <v>0.88131031923448877</v>
      </c>
      <c r="CC56" s="258">
        <v>0.38</v>
      </c>
      <c r="CD56" s="258">
        <v>0</v>
      </c>
      <c r="CE56" s="258">
        <v>0.38</v>
      </c>
      <c r="CF56" s="258">
        <v>0</v>
      </c>
      <c r="CG56" s="258">
        <v>0</v>
      </c>
      <c r="CH56" s="258">
        <v>0</v>
      </c>
      <c r="CI56" s="258">
        <v>3.4790000000000001</v>
      </c>
      <c r="CJ56" s="258"/>
      <c r="CK56" s="258"/>
      <c r="CL56" s="258"/>
      <c r="CM56" s="258"/>
    </row>
    <row r="57" spans="1:91" x14ac:dyDescent="0.25">
      <c r="A57" s="723"/>
      <c r="B57" s="723"/>
      <c r="D57" s="31">
        <f t="shared" si="30"/>
        <v>38336</v>
      </c>
      <c r="F57" s="28">
        <f t="shared" si="31"/>
        <v>9189</v>
      </c>
      <c r="G57" s="28">
        <f t="shared" si="12"/>
        <v>8059.0629656710707</v>
      </c>
      <c r="H57" s="52">
        <f t="shared" si="32"/>
        <v>4.0019999999999998</v>
      </c>
      <c r="I57" s="52">
        <f t="shared" si="33"/>
        <v>4.0019999999999998</v>
      </c>
      <c r="K57" s="52">
        <f t="shared" si="34"/>
        <v>0</v>
      </c>
      <c r="L57" s="135">
        <f t="shared" si="35"/>
        <v>1.3900459001732972</v>
      </c>
      <c r="N57" s="131">
        <f t="shared" si="13"/>
        <v>0.34361490125594102</v>
      </c>
      <c r="O57" s="131">
        <f t="shared" si="14"/>
        <v>0.34361490125594102</v>
      </c>
      <c r="P57" s="55">
        <f t="shared" si="36"/>
        <v>0.99855002435309637</v>
      </c>
      <c r="Q57" s="135">
        <f>_xll.xSPRDOPT(I57,H57,AQ57,0,O57,N57,P57,D57-$G$5,1,0)*AH57*AU57</f>
        <v>1.3900459001732972</v>
      </c>
      <c r="R57" s="135"/>
      <c r="S57" s="181">
        <f t="shared" si="37"/>
        <v>-126328.3375848353</v>
      </c>
      <c r="T57" s="181">
        <f>_xll.xSPRDOPT(I57,H57,AQ57,AT57,O57,N57,P57,D57-$G$5,1,1)*AF57*F57*AH57</f>
        <v>126328.3375848353</v>
      </c>
      <c r="U57" s="135"/>
      <c r="V57" s="146">
        <f t="shared" si="38"/>
        <v>0</v>
      </c>
      <c r="W57" s="146"/>
      <c r="X57" s="338">
        <f t="shared" si="39"/>
        <v>0</v>
      </c>
      <c r="Y57" s="338">
        <f t="shared" si="15"/>
        <v>0</v>
      </c>
      <c r="Z57" s="338">
        <f t="shared" si="16"/>
        <v>-12.863567436908429</v>
      </c>
      <c r="AA57" s="338">
        <f t="shared" si="17"/>
        <v>2.3145771184292974</v>
      </c>
      <c r="AB57" s="338">
        <f t="shared" si="40"/>
        <v>0</v>
      </c>
      <c r="AC57" s="338">
        <f t="shared" si="41"/>
        <v>4.6449083549303944</v>
      </c>
      <c r="AF57" s="138">
        <f t="shared" si="42"/>
        <v>1</v>
      </c>
      <c r="AG57" s="138">
        <f t="shared" si="43"/>
        <v>12</v>
      </c>
      <c r="AH57" s="138">
        <f t="shared" si="53"/>
        <v>31</v>
      </c>
      <c r="AI57" s="138">
        <f t="shared" si="44"/>
        <v>1080</v>
      </c>
      <c r="AJ57" s="138">
        <f t="shared" si="45"/>
        <v>1097</v>
      </c>
      <c r="AL57" s="136">
        <f t="shared" si="19"/>
        <v>3.6219999999999999</v>
      </c>
      <c r="AM57" s="258">
        <f t="shared" si="20"/>
        <v>0.38</v>
      </c>
      <c r="AN57" s="258">
        <f t="shared" si="21"/>
        <v>0</v>
      </c>
      <c r="AO57" s="258">
        <f t="shared" si="22"/>
        <v>0.38</v>
      </c>
      <c r="AP57" s="258">
        <f t="shared" si="23"/>
        <v>0</v>
      </c>
      <c r="AQ57" s="136">
        <f t="shared" si="46"/>
        <v>0</v>
      </c>
      <c r="AR57" s="137">
        <f t="shared" si="24"/>
        <v>0</v>
      </c>
      <c r="AS57" s="136">
        <f t="shared" si="47"/>
        <v>4.0019999999999998</v>
      </c>
      <c r="AT57" s="137">
        <f t="shared" si="48"/>
        <v>4.4289846522210997E-2</v>
      </c>
      <c r="AU57" s="137">
        <f t="shared" si="25"/>
        <v>0.87703373225281001</v>
      </c>
      <c r="AV57" s="394">
        <f t="shared" si="49"/>
        <v>0</v>
      </c>
      <c r="AW57" s="137">
        <f t="shared" si="26"/>
        <v>0.32</v>
      </c>
      <c r="AX57" s="137">
        <f t="shared" si="27"/>
        <v>1.1000000000000001</v>
      </c>
      <c r="AY57" s="137">
        <f t="shared" si="28"/>
        <v>1.1000000000000001</v>
      </c>
      <c r="AZ57" s="137"/>
      <c r="BA57" s="264"/>
      <c r="BB57" s="258">
        <f t="shared" si="29"/>
        <v>0</v>
      </c>
      <c r="BC57" s="258">
        <f t="shared" si="50"/>
        <v>0</v>
      </c>
      <c r="BD57" s="137">
        <f t="shared" si="51"/>
        <v>6.2281753682058572E-5</v>
      </c>
      <c r="BE57" s="137">
        <f t="shared" si="52"/>
        <v>6.2281753682058572E-5</v>
      </c>
      <c r="BF57" s="137">
        <f>_xll.xSPRDOPT($BW57,$BV57,$CG57,0,$BY57,$BX57,$BZ57,$AJ57,1,4)*$CB57</f>
        <v>2.7286993586957271</v>
      </c>
      <c r="BG57" s="137">
        <f>_xll.xSPRDOPT($BW57,$BV57,$CG57,0,$BY57,$BX57,$BZ57,$AJ57,1,3)*$CB57</f>
        <v>2.7286993062082465</v>
      </c>
      <c r="BH57" s="137">
        <f>IF(OR(BF57&lt;&gt;0,BG57&lt;&gt;0),_xll.xSPRDOPT($BW57,$BV57,$CG57,0,$BY57,$BX57,$BZ57,$AJ57,1,12)*$CB57,0)</f>
        <v>-2.7287101368952174</v>
      </c>
      <c r="BI57" s="137">
        <f>_xll.xSPRDOPT($BW57,$BV57,$CG57,2*LN(1+CA57/2),$BY57,$BX57,$BZ57,$AJ57,1,9)</f>
        <v>-5.4979457747292571E-3</v>
      </c>
      <c r="BJ57" s="137">
        <f>_xll.xSPRDOPT($BW57,$BV57,$CG57,0,$BY57,$BX57,$BZ57,$AJ57,1,6)*$CB57</f>
        <v>6.5046309370211178E-2</v>
      </c>
      <c r="BK57" s="137">
        <f>_xll.xSPRDOPT($BW57,$BV57,$CG57,0,$BY57,$BX57,$BZ57,$AJ57,1,5)*$CB57</f>
        <v>6.5414743005395529E-2</v>
      </c>
      <c r="BL57" s="137">
        <f>_xll.xSPRDOPT(BW57,BV57,CG57,0,BY57,BX57,BZ57,AJ57,1,2)*CB57</f>
        <v>-0.43275894010735694</v>
      </c>
      <c r="BM57" s="137">
        <f>_xll.xSPRDOPT(BW57,BV57,CG57,0,BY57,BX57,BZ57,AJ57,1,1)*CB57</f>
        <v>0.44395937373041261</v>
      </c>
      <c r="BN57" s="137">
        <f>IF(AH57&lt;&gt;0,_xll.xSPRDOPT($BW57,$BV57,$CG57,2*LN(1+CA57/2),$BY57,$BX57,$BZ57,$AJ57,1,8)+(AJ57/365.25)*CH57/AH57,0)</f>
        <v>-0.13462583248467064</v>
      </c>
      <c r="BO57" s="137">
        <f>_xll.xSPRDOPT($BW57,$BV57,$CG57,0,$BY57,$BX57,$BZ57,$AJ57,1,0)</f>
        <v>5.1127194682888642E-2</v>
      </c>
      <c r="BP57" s="137"/>
      <c r="BQ57" s="137"/>
      <c r="BR57" s="137"/>
      <c r="BS57" s="137"/>
      <c r="BV57" s="262">
        <v>4.0019999999999998</v>
      </c>
      <c r="BW57" s="136">
        <v>4.0019999999999998</v>
      </c>
      <c r="BX57" s="137">
        <v>0.34355261950225896</v>
      </c>
      <c r="BY57" s="137">
        <v>0.34355261950225896</v>
      </c>
      <c r="BZ57" s="137">
        <v>0.99855345989562994</v>
      </c>
      <c r="CA57" s="137">
        <v>4.4289846522210997E-2</v>
      </c>
      <c r="CB57" s="137">
        <v>0.8767182256484275</v>
      </c>
      <c r="CC57" s="258">
        <v>0.38</v>
      </c>
      <c r="CD57" s="258">
        <v>0</v>
      </c>
      <c r="CE57" s="258">
        <v>0.38</v>
      </c>
      <c r="CF57" s="258">
        <v>0</v>
      </c>
      <c r="CG57" s="258">
        <v>0</v>
      </c>
      <c r="CH57" s="258">
        <v>0</v>
      </c>
      <c r="CI57" s="258">
        <v>3.6219999999999999</v>
      </c>
      <c r="CJ57" s="258"/>
      <c r="CK57" s="258"/>
      <c r="CL57" s="258"/>
      <c r="CM57" s="258"/>
    </row>
    <row r="58" spans="1:91" x14ac:dyDescent="0.25">
      <c r="A58" s="723"/>
      <c r="B58" s="723"/>
      <c r="D58" s="31">
        <f t="shared" si="30"/>
        <v>38367</v>
      </c>
      <c r="F58" s="28">
        <f t="shared" si="31"/>
        <v>9189</v>
      </c>
      <c r="G58" s="28">
        <f t="shared" si="12"/>
        <v>8015.4974500496546</v>
      </c>
      <c r="H58" s="52">
        <f t="shared" si="32"/>
        <v>4.0620000000000003</v>
      </c>
      <c r="I58" s="52">
        <f t="shared" si="33"/>
        <v>4.0620000000000003</v>
      </c>
      <c r="K58" s="52">
        <f t="shared" si="34"/>
        <v>0</v>
      </c>
      <c r="L58" s="135">
        <f t="shared" si="35"/>
        <v>1.4032857319054672</v>
      </c>
      <c r="N58" s="131">
        <f t="shared" si="13"/>
        <v>0.34298680257071568</v>
      </c>
      <c r="O58" s="131">
        <f t="shared" si="14"/>
        <v>0.34298680257071568</v>
      </c>
      <c r="P58" s="55">
        <f t="shared" si="36"/>
        <v>0.99858475687700243</v>
      </c>
      <c r="Q58" s="135">
        <f>_xll.xSPRDOPT(I58,H58,AQ58,0,O58,N58,P58,D58-$G$5,1,0)*AH58*AU58</f>
        <v>1.4032857319054672</v>
      </c>
      <c r="R58" s="135"/>
      <c r="S58" s="181">
        <f t="shared" si="37"/>
        <v>-125635.54398358523</v>
      </c>
      <c r="T58" s="181">
        <f>_xll.xSPRDOPT(I58,H58,AQ58,AT58,O58,N58,P58,D58-$G$5,1,1)*AF58*F58*AH58</f>
        <v>125635.54398358523</v>
      </c>
      <c r="U58" s="135"/>
      <c r="V58" s="146">
        <f t="shared" si="38"/>
        <v>0</v>
      </c>
      <c r="W58" s="146"/>
      <c r="X58" s="338">
        <f t="shared" si="39"/>
        <v>0</v>
      </c>
      <c r="Y58" s="338">
        <f t="shared" si="15"/>
        <v>0</v>
      </c>
      <c r="Z58" s="338">
        <f t="shared" si="16"/>
        <v>-12.443162930417463</v>
      </c>
      <c r="AA58" s="338">
        <f t="shared" si="17"/>
        <v>2.2180164662723447</v>
      </c>
      <c r="AB58" s="338">
        <f t="shared" si="40"/>
        <v>0</v>
      </c>
      <c r="AC58" s="338">
        <f t="shared" si="41"/>
        <v>4.7489511107521079</v>
      </c>
      <c r="AF58" s="138">
        <f t="shared" si="42"/>
        <v>1</v>
      </c>
      <c r="AG58" s="138">
        <f t="shared" si="43"/>
        <v>1</v>
      </c>
      <c r="AH58" s="138">
        <f t="shared" si="53"/>
        <v>31</v>
      </c>
      <c r="AI58" s="138">
        <f t="shared" si="44"/>
        <v>1111</v>
      </c>
      <c r="AJ58" s="138">
        <f t="shared" si="45"/>
        <v>1128</v>
      </c>
      <c r="AL58" s="136">
        <f t="shared" si="19"/>
        <v>3.6819999999999999</v>
      </c>
      <c r="AM58" s="258">
        <f t="shared" si="20"/>
        <v>0.38</v>
      </c>
      <c r="AN58" s="258">
        <f t="shared" si="21"/>
        <v>0</v>
      </c>
      <c r="AO58" s="258">
        <f t="shared" si="22"/>
        <v>0.38</v>
      </c>
      <c r="AP58" s="258">
        <f t="shared" si="23"/>
        <v>0</v>
      </c>
      <c r="AQ58" s="136">
        <f t="shared" si="46"/>
        <v>0</v>
      </c>
      <c r="AR58" s="137">
        <f t="shared" si="24"/>
        <v>0</v>
      </c>
      <c r="AS58" s="136">
        <f t="shared" si="47"/>
        <v>4.0620000000000003</v>
      </c>
      <c r="AT58" s="137">
        <f t="shared" si="48"/>
        <v>4.4854887495736399E-2</v>
      </c>
      <c r="AU58" s="137">
        <f t="shared" si="25"/>
        <v>0.87229268147237504</v>
      </c>
      <c r="AV58" s="394">
        <f t="shared" si="49"/>
        <v>0</v>
      </c>
      <c r="AW58" s="137">
        <f t="shared" si="26"/>
        <v>0.32</v>
      </c>
      <c r="AX58" s="137">
        <f t="shared" si="27"/>
        <v>1.1000000000000001</v>
      </c>
      <c r="AY58" s="137">
        <f t="shared" si="28"/>
        <v>1.1000000000000001</v>
      </c>
      <c r="AZ58" s="137"/>
      <c r="BA58" s="264"/>
      <c r="BB58" s="258">
        <f t="shared" si="29"/>
        <v>0</v>
      </c>
      <c r="BC58" s="258">
        <f t="shared" si="50"/>
        <v>0</v>
      </c>
      <c r="BD58" s="137">
        <f t="shared" si="51"/>
        <v>5.9013099665883306E-5</v>
      </c>
      <c r="BE58" s="137">
        <f t="shared" si="52"/>
        <v>5.9013099665883306E-5</v>
      </c>
      <c r="BF58" s="137">
        <f>_xll.xSPRDOPT($BW58,$BV58,$CG58,0,$BY58,$BX58,$BZ58,$AJ58,1,4)*$CB58</f>
        <v>2.6737984198274929</v>
      </c>
      <c r="BG58" s="137">
        <f>_xll.xSPRDOPT($BW58,$BV58,$CG58,0,$BY58,$BX58,$BZ58,$AJ58,1,3)*$CB58</f>
        <v>2.6737983683568056</v>
      </c>
      <c r="BH58" s="137">
        <f>IF(OR(BF58&lt;&gt;0,BG58&lt;&gt;0),_xll.xSPRDOPT($BW58,$BV58,$CG58,0,$BY58,$BX58,$BZ58,$AJ58,1,12)*$CB58,0)</f>
        <v>-2.6738076843001148</v>
      </c>
      <c r="BI58" s="137">
        <f>_xll.xSPRDOPT($BW58,$BV58,$CG58,2*LN(1+CA58/2),$BY58,$BX58,$BZ58,$AJ58,1,9)</f>
        <v>-5.3182630240867449E-3</v>
      </c>
      <c r="BJ58" s="137">
        <f>_xll.xSPRDOPT($BW58,$BV58,$CG58,0,$BY58,$BX58,$BZ58,$AJ58,1,6)*$CB58</f>
        <v>6.5782528954177119E-2</v>
      </c>
      <c r="BK58" s="137">
        <f>_xll.xSPRDOPT($BW58,$BV58,$CG58,0,$BY58,$BX58,$BZ58,$AJ58,1,5)*$CB58</f>
        <v>6.6160483072213408E-2</v>
      </c>
      <c r="BL58" s="137">
        <f>_xll.xSPRDOPT(BW58,BV58,CG58,0,BY58,BX58,BZ58,AJ58,1,2)*CB58</f>
        <v>-0.4304174817720432</v>
      </c>
      <c r="BM58" s="137">
        <f>_xll.xSPRDOPT(BW58,BV58,CG58,0,BY58,BX58,BZ58,AJ58,1,1)*CB58</f>
        <v>0.44155752700315559</v>
      </c>
      <c r="BN58" s="137">
        <f>IF(AH58&lt;&gt;0,_xll.xSPRDOPT($BW58,$BV58,$CG58,2*LN(1+CA58/2),$BY58,$BX58,$BZ58,$AJ58,1,8)+(AJ58/365.25)*CH58/AH58,0)</f>
        <v>-0.13974807249394033</v>
      </c>
      <c r="BO58" s="137">
        <f>_xll.xSPRDOPT($BW58,$BV58,$CG58,0,$BY58,$BX58,$BZ58,$AJ58,1,0)</f>
        <v>5.189469415482946E-2</v>
      </c>
      <c r="BP58" s="137"/>
      <c r="BQ58" s="137"/>
      <c r="BR58" s="137"/>
      <c r="BS58" s="137"/>
      <c r="BV58" s="262">
        <v>4.0620000000000003</v>
      </c>
      <c r="BW58" s="136">
        <v>4.0620000000000003</v>
      </c>
      <c r="BX58" s="137">
        <v>0.34292778947104979</v>
      </c>
      <c r="BY58" s="137">
        <v>0.34292778947104979</v>
      </c>
      <c r="BZ58" s="137">
        <v>0.99858802998751783</v>
      </c>
      <c r="CA58" s="137">
        <v>4.4854887495736399E-2</v>
      </c>
      <c r="CB58" s="137">
        <v>0.87197492181025593</v>
      </c>
      <c r="CC58" s="258">
        <v>0.38</v>
      </c>
      <c r="CD58" s="258">
        <v>0</v>
      </c>
      <c r="CE58" s="258">
        <v>0.38</v>
      </c>
      <c r="CF58" s="258">
        <v>0</v>
      </c>
      <c r="CG58" s="258">
        <v>0</v>
      </c>
      <c r="CH58" s="258">
        <v>0</v>
      </c>
      <c r="CI58" s="258">
        <v>3.6819999999999999</v>
      </c>
      <c r="CJ58" s="258"/>
      <c r="CK58" s="258"/>
      <c r="CL58" s="258"/>
      <c r="CM58" s="258"/>
    </row>
    <row r="59" spans="1:91" x14ac:dyDescent="0.25">
      <c r="A59" s="723"/>
      <c r="B59" s="723"/>
      <c r="D59" s="31">
        <f t="shared" si="30"/>
        <v>38398</v>
      </c>
      <c r="F59" s="28">
        <f t="shared" si="31"/>
        <v>9189</v>
      </c>
      <c r="G59" s="28">
        <f t="shared" si="12"/>
        <v>7971.8865489830623</v>
      </c>
      <c r="H59" s="52">
        <f t="shared" si="32"/>
        <v>3.9769999999999999</v>
      </c>
      <c r="I59" s="52">
        <f t="shared" si="33"/>
        <v>3.9769999999999999</v>
      </c>
      <c r="K59" s="52">
        <f t="shared" si="34"/>
        <v>0</v>
      </c>
      <c r="L59" s="135">
        <f t="shared" si="35"/>
        <v>1.1737566704072395</v>
      </c>
      <c r="N59" s="131">
        <f t="shared" si="13"/>
        <v>0.33799318380854676</v>
      </c>
      <c r="O59" s="131">
        <f t="shared" si="14"/>
        <v>0.33799318380854676</v>
      </c>
      <c r="P59" s="55">
        <f t="shared" si="36"/>
        <v>0.99871725689855384</v>
      </c>
      <c r="Q59" s="135">
        <f>_xll.xSPRDOPT(I59,H59,AQ59,0,O59,N59,P59,D59-$G$5,1,0)*AH59*AU59</f>
        <v>1.1737566704072395</v>
      </c>
      <c r="R59" s="135"/>
      <c r="S59" s="181">
        <f t="shared" si="37"/>
        <v>-112781.07674108697</v>
      </c>
      <c r="T59" s="181">
        <f>_xll.xSPRDOPT(I59,H59,AQ59,AT59,O59,N59,P59,D59-$G$5,1,1)*AF59*F59*AH59</f>
        <v>112781.07674108697</v>
      </c>
      <c r="U59" s="135"/>
      <c r="V59" s="146">
        <f t="shared" si="38"/>
        <v>0</v>
      </c>
      <c r="W59" s="146"/>
      <c r="X59" s="338">
        <f t="shared" si="39"/>
        <v>0</v>
      </c>
      <c r="Y59" s="338">
        <f t="shared" si="15"/>
        <v>0</v>
      </c>
      <c r="Z59" s="338">
        <f t="shared" si="16"/>
        <v>-9.9771833307296873</v>
      </c>
      <c r="AA59" s="338">
        <f t="shared" si="17"/>
        <v>1.6410449689590507</v>
      </c>
      <c r="AB59" s="338">
        <f t="shared" si="40"/>
        <v>0</v>
      </c>
      <c r="AC59" s="338">
        <f t="shared" si="41"/>
        <v>4.0205373052018016</v>
      </c>
      <c r="AF59" s="138">
        <f t="shared" si="42"/>
        <v>1</v>
      </c>
      <c r="AG59" s="138">
        <f t="shared" si="43"/>
        <v>2</v>
      </c>
      <c r="AH59" s="138">
        <f t="shared" si="53"/>
        <v>28</v>
      </c>
      <c r="AI59" s="138">
        <f t="shared" si="44"/>
        <v>1142</v>
      </c>
      <c r="AJ59" s="138">
        <f t="shared" si="45"/>
        <v>1159</v>
      </c>
      <c r="AL59" s="136">
        <f t="shared" si="19"/>
        <v>3.597</v>
      </c>
      <c r="AM59" s="258">
        <f t="shared" si="20"/>
        <v>0.38</v>
      </c>
      <c r="AN59" s="258">
        <f t="shared" si="21"/>
        <v>0</v>
      </c>
      <c r="AO59" s="258">
        <f t="shared" si="22"/>
        <v>0.38</v>
      </c>
      <c r="AP59" s="258">
        <f t="shared" si="23"/>
        <v>0</v>
      </c>
      <c r="AQ59" s="136">
        <f t="shared" si="46"/>
        <v>0</v>
      </c>
      <c r="AR59" s="137">
        <f t="shared" si="24"/>
        <v>0</v>
      </c>
      <c r="AS59" s="136">
        <f t="shared" si="47"/>
        <v>3.9769999999999999</v>
      </c>
      <c r="AT59" s="137">
        <f t="shared" si="48"/>
        <v>4.5401152752323697E-2</v>
      </c>
      <c r="AU59" s="137">
        <f t="shared" si="25"/>
        <v>0.86754669158592468</v>
      </c>
      <c r="AV59" s="394">
        <f t="shared" si="49"/>
        <v>0</v>
      </c>
      <c r="AW59" s="137">
        <f t="shared" si="26"/>
        <v>0.3175</v>
      </c>
      <c r="AX59" s="137">
        <f t="shared" si="27"/>
        <v>1.1000000000000001</v>
      </c>
      <c r="AY59" s="137">
        <f t="shared" si="28"/>
        <v>1.1000000000000001</v>
      </c>
      <c r="AZ59" s="137"/>
      <c r="BA59" s="264"/>
      <c r="BB59" s="258">
        <f t="shared" si="29"/>
        <v>0</v>
      </c>
      <c r="BC59" s="258">
        <f t="shared" si="50"/>
        <v>0</v>
      </c>
      <c r="BD59" s="137">
        <f t="shared" si="51"/>
        <v>5.1441135497654056E-5</v>
      </c>
      <c r="BE59" s="137">
        <f t="shared" si="52"/>
        <v>5.1441135497654056E-5</v>
      </c>
      <c r="BF59" s="137">
        <f>_xll.xSPRDOPT($BW59,$BV59,$CG59,0,$BY59,$BX59,$BZ59,$AJ59,1,4)*$CB59</f>
        <v>2.8560137786494457</v>
      </c>
      <c r="BG59" s="137">
        <f>_xll.xSPRDOPT($BW59,$BV59,$CG59,0,$BY59,$BX59,$BZ59,$AJ59,1,3)*$CB59</f>
        <v>2.8560137256092331</v>
      </c>
      <c r="BH59" s="137">
        <f>IF(OR(BF59&lt;&gt;0,BG59&lt;&gt;0),_xll.xSPRDOPT($BW59,$BV59,$CG59,0,$BY59,$BX59,$BZ59,$AJ59,1,12)*$CB59,0)</f>
        <v>-2.8560239894319843</v>
      </c>
      <c r="BI59" s="137">
        <f>_xll.xSPRDOPT($BW59,$BV59,$CG59,2*LN(1+CA59/2),$BY59,$BX59,$BZ59,$AJ59,1,9)</f>
        <v>-4.721180878209736E-3</v>
      </c>
      <c r="BJ59" s="137">
        <f>_xll.xSPRDOPT($BW59,$BV59,$CG59,0,$BY59,$BX59,$BZ59,$AJ59,1,6)*$CB59</f>
        <v>6.1804303064973476E-2</v>
      </c>
      <c r="BK59" s="137">
        <f>_xll.xSPRDOPT($BW59,$BV59,$CG59,0,$BY59,$BX59,$BZ59,$AJ59,1,5)*$CB59</f>
        <v>6.2184838344106187E-2</v>
      </c>
      <c r="BL59" s="137">
        <f>_xll.xSPRDOPT(BW59,BV59,CG59,0,BY59,BX59,BZ59,AJ59,1,2)*CB59</f>
        <v>-0.42834512559570603</v>
      </c>
      <c r="BM59" s="137">
        <f>_xll.xSPRDOPT(BW59,BV59,CG59,0,BY59,BX59,BZ59,AJ59,1,1)*CB59</f>
        <v>0.43888181635140416</v>
      </c>
      <c r="BN59" s="137">
        <f>IF(AH59&lt;&gt;0,_xll.xSPRDOPT($BW59,$BV59,$CG59,2*LN(1+CA59/2),$BY59,$BX59,$BZ59,$AJ59,1,8)+(AJ59/365.25)*CH59/AH59,0)</f>
        <v>-0.1329698303378084</v>
      </c>
      <c r="BO59" s="137">
        <f>_xll.xSPRDOPT($BW59,$BV59,$CG59,0,$BY59,$BX59,$BZ59,$AJ59,1,0)</f>
        <v>4.8320028856578059E-2</v>
      </c>
      <c r="BP59" s="137"/>
      <c r="BQ59" s="137"/>
      <c r="BR59" s="137"/>
      <c r="BS59" s="137"/>
      <c r="BV59" s="262">
        <v>3.9769999999999999</v>
      </c>
      <c r="BW59" s="136">
        <v>3.9769999999999999</v>
      </c>
      <c r="BX59" s="137">
        <v>0.33794174267304911</v>
      </c>
      <c r="BY59" s="137">
        <v>0.33794174267304911</v>
      </c>
      <c r="BZ59" s="137">
        <v>0.99872018766551585</v>
      </c>
      <c r="CA59" s="137">
        <v>4.5401152752323697E-2</v>
      </c>
      <c r="CB59" s="137">
        <v>0.86722685559525425</v>
      </c>
      <c r="CC59" s="258">
        <v>0.38</v>
      </c>
      <c r="CD59" s="258">
        <v>0</v>
      </c>
      <c r="CE59" s="258">
        <v>0.38</v>
      </c>
      <c r="CF59" s="258">
        <v>0</v>
      </c>
      <c r="CG59" s="258">
        <v>0</v>
      </c>
      <c r="CH59" s="258">
        <v>0</v>
      </c>
      <c r="CI59" s="258">
        <v>3.597</v>
      </c>
      <c r="CJ59" s="258"/>
      <c r="CK59" s="258"/>
      <c r="CL59" s="258"/>
      <c r="CM59" s="258"/>
    </row>
    <row r="60" spans="1:91" x14ac:dyDescent="0.25">
      <c r="A60" s="723"/>
      <c r="B60" s="723"/>
      <c r="D60" s="31">
        <f t="shared" si="30"/>
        <v>38426</v>
      </c>
      <c r="F60" s="28">
        <f t="shared" si="31"/>
        <v>9189</v>
      </c>
      <c r="G60" s="28">
        <f t="shared" si="12"/>
        <v>7932.0849247591796</v>
      </c>
      <c r="H60" s="52">
        <f t="shared" si="32"/>
        <v>3.847</v>
      </c>
      <c r="I60" s="52">
        <f t="shared" si="33"/>
        <v>3.847</v>
      </c>
      <c r="K60" s="52">
        <f t="shared" si="34"/>
        <v>0</v>
      </c>
      <c r="L60" s="135">
        <f t="shared" si="35"/>
        <v>0.76646414496826432</v>
      </c>
      <c r="N60" s="131">
        <f t="shared" si="13"/>
        <v>0.31729237574852004</v>
      </c>
      <c r="O60" s="131">
        <f t="shared" si="14"/>
        <v>0.31729237574852004</v>
      </c>
      <c r="P60" s="55">
        <f t="shared" si="36"/>
        <v>0.99926947784161324</v>
      </c>
      <c r="Q60" s="135">
        <f>_xll.xSPRDOPT(I60,H60,AQ60,0,O60,N60,P60,D60-$G$5,1,0)*AH60*AU60</f>
        <v>0.76646414496826432</v>
      </c>
      <c r="R60" s="135"/>
      <c r="S60" s="181">
        <f t="shared" si="37"/>
        <v>-123654.64815754593</v>
      </c>
      <c r="T60" s="181">
        <f>_xll.xSPRDOPT(I60,H60,AQ60,AT60,O60,N60,P60,D60-$G$5,1,1)*AF60*F60*AH60</f>
        <v>123654.64815754593</v>
      </c>
      <c r="U60" s="135"/>
      <c r="V60" s="146">
        <f t="shared" si="38"/>
        <v>0</v>
      </c>
      <c r="W60" s="146"/>
      <c r="X60" s="338">
        <f t="shared" si="39"/>
        <v>0</v>
      </c>
      <c r="Y60" s="338">
        <f t="shared" si="15"/>
        <v>0</v>
      </c>
      <c r="Z60" s="338">
        <f t="shared" si="16"/>
        <v>-7.3389685762672974</v>
      </c>
      <c r="AA60" s="338">
        <f t="shared" si="17"/>
        <v>0.63184905704012173</v>
      </c>
      <c r="AB60" s="338">
        <f t="shared" si="40"/>
        <v>0</v>
      </c>
      <c r="AC60" s="338">
        <f t="shared" si="41"/>
        <v>2.650791571938683</v>
      </c>
      <c r="AF60" s="138">
        <f t="shared" si="42"/>
        <v>1</v>
      </c>
      <c r="AG60" s="138">
        <f t="shared" si="43"/>
        <v>3</v>
      </c>
      <c r="AH60" s="138">
        <f t="shared" si="53"/>
        <v>31</v>
      </c>
      <c r="AI60" s="138">
        <f t="shared" si="44"/>
        <v>1170</v>
      </c>
      <c r="AJ60" s="138">
        <f t="shared" si="45"/>
        <v>1187</v>
      </c>
      <c r="AL60" s="136">
        <f t="shared" si="19"/>
        <v>3.4670000000000001</v>
      </c>
      <c r="AM60" s="258">
        <f t="shared" si="20"/>
        <v>0.38</v>
      </c>
      <c r="AN60" s="258">
        <f t="shared" si="21"/>
        <v>0</v>
      </c>
      <c r="AO60" s="258">
        <f t="shared" si="22"/>
        <v>0.38</v>
      </c>
      <c r="AP60" s="258">
        <f t="shared" si="23"/>
        <v>0</v>
      </c>
      <c r="AQ60" s="136">
        <f t="shared" si="46"/>
        <v>0</v>
      </c>
      <c r="AR60" s="137">
        <f t="shared" si="24"/>
        <v>0</v>
      </c>
      <c r="AS60" s="136">
        <f t="shared" si="47"/>
        <v>3.847</v>
      </c>
      <c r="AT60" s="137">
        <f t="shared" si="48"/>
        <v>4.5894553715070799E-2</v>
      </c>
      <c r="AU60" s="137">
        <f t="shared" si="25"/>
        <v>0.86321524918480574</v>
      </c>
      <c r="AV60" s="394">
        <f t="shared" si="49"/>
        <v>0</v>
      </c>
      <c r="AW60" s="137">
        <f t="shared" si="26"/>
        <v>0.3075</v>
      </c>
      <c r="AX60" s="137">
        <f t="shared" si="27"/>
        <v>0.75</v>
      </c>
      <c r="AY60" s="137">
        <f t="shared" si="28"/>
        <v>0.75</v>
      </c>
      <c r="AZ60" s="137"/>
      <c r="BA60" s="264"/>
      <c r="BB60" s="258">
        <f t="shared" si="29"/>
        <v>0</v>
      </c>
      <c r="BC60" s="258">
        <f t="shared" si="50"/>
        <v>0</v>
      </c>
      <c r="BD60" s="137">
        <f t="shared" si="51"/>
        <v>2.4337327348467053E-5</v>
      </c>
      <c r="BE60" s="137">
        <f t="shared" si="52"/>
        <v>2.4337327348467053E-5</v>
      </c>
      <c r="BF60" s="137">
        <f>_xll.xSPRDOPT($BW60,$BV60,$CG60,0,$BY60,$BX60,$BZ60,$AJ60,1,4)*$CB60</f>
        <v>7671.0941360097904</v>
      </c>
      <c r="BG60" s="137">
        <f>_xll.xSPRDOPT($BW60,$BV60,$CG60,0,$BY60,$BX60,$BZ60,$AJ60,1,3)*$CB60</f>
        <v>7671.0941360104953</v>
      </c>
      <c r="BH60" s="137">
        <f>IF(OR(BF60&lt;&gt;0,BG60&lt;&gt;0),_xll.xSPRDOPT($BW60,$BV60,$CG60,0,$BY60,$BX60,$BZ60,$AJ60,1,12)*$CB60,0)</f>
        <v>-7671.0941458946427</v>
      </c>
      <c r="BI60" s="137">
        <f>_xll.xSPRDOPT($BW60,$BV60,$CG60,2*LN(1+CA60/2),$BY60,$BX60,$BZ60,$AJ60,1,9)</f>
        <v>-3.1367077191190853E-3</v>
      </c>
      <c r="BJ60" s="137">
        <f>_xll.xSPRDOPT($BW60,$BV60,$CG60,0,$BY60,$BX60,$BZ60,$AJ60,1,6)*$CB60</f>
        <v>4.5364405246936204E-2</v>
      </c>
      <c r="BK60" s="137">
        <f>_xll.xSPRDOPT($BW60,$BV60,$CG60,0,$BY60,$BX60,$BZ60,$AJ60,1,5)*$CB60</f>
        <v>4.5775907122035824E-2</v>
      </c>
      <c r="BL60" s="137">
        <f>_xll.xSPRDOPT(BW60,BV60,CG60,0,BY60,BX60,BZ60,AJ60,1,2)*CB60</f>
        <v>-0.42823834554546436</v>
      </c>
      <c r="BM60" s="137">
        <f>_xll.xSPRDOPT(BW60,BV60,CG60,0,BY60,BX60,BZ60,AJ60,1,1)*CB60</f>
        <v>0.43465533295128977</v>
      </c>
      <c r="BN60" s="137">
        <f>IF(AH60&lt;&gt;0,_xll.xSPRDOPT($BW60,$BV60,$CG60,2*LN(1+CA60/2),$BY60,$BX60,$BZ60,$AJ60,1,8)+(AJ60/365.25)*CH60/AH60,0)</f>
        <v>-9.3975813276247433E-2</v>
      </c>
      <c r="BO60" s="137">
        <f>_xll.xSPRDOPT($BW60,$BV60,$CG60,0,$BY60,$BX60,$BZ60,$AJ60,1,0)</f>
        <v>2.8608574018636663E-2</v>
      </c>
      <c r="BP60" s="137"/>
      <c r="BQ60" s="137"/>
      <c r="BR60" s="137"/>
      <c r="BS60" s="137"/>
      <c r="BV60" s="262">
        <v>3.847</v>
      </c>
      <c r="BW60" s="136">
        <v>3.847</v>
      </c>
      <c r="BX60" s="137">
        <v>0.31726803842117157</v>
      </c>
      <c r="BY60" s="137">
        <v>0.31726803842117157</v>
      </c>
      <c r="BZ60" s="137">
        <v>0.99927121002175556</v>
      </c>
      <c r="CA60" s="137">
        <v>4.5894553715070799E-2</v>
      </c>
      <c r="CB60" s="137">
        <v>0.86289359114020647</v>
      </c>
      <c r="CC60" s="258">
        <v>0.38</v>
      </c>
      <c r="CD60" s="258">
        <v>0</v>
      </c>
      <c r="CE60" s="258">
        <v>0.38</v>
      </c>
      <c r="CF60" s="258">
        <v>0</v>
      </c>
      <c r="CG60" s="258">
        <v>0</v>
      </c>
      <c r="CH60" s="258">
        <v>0</v>
      </c>
      <c r="CI60" s="258">
        <v>3.4670000000000001</v>
      </c>
      <c r="CJ60" s="258"/>
      <c r="CK60" s="258"/>
      <c r="CL60" s="258"/>
      <c r="CM60" s="258"/>
    </row>
    <row r="61" spans="1:91" x14ac:dyDescent="0.25">
      <c r="A61" s="723"/>
      <c r="B61" s="723"/>
      <c r="D61" s="31">
        <f t="shared" si="30"/>
        <v>38457</v>
      </c>
      <c r="F61" s="28">
        <f t="shared" si="31"/>
        <v>0</v>
      </c>
      <c r="G61" s="28">
        <f t="shared" si="12"/>
        <v>0</v>
      </c>
      <c r="H61" s="52">
        <f t="shared" si="32"/>
        <v>3.427</v>
      </c>
      <c r="I61" s="52">
        <f t="shared" si="33"/>
        <v>3.4569999999999999</v>
      </c>
      <c r="K61" s="52">
        <f t="shared" si="34"/>
        <v>0.77263402042530449</v>
      </c>
      <c r="L61" s="135">
        <f t="shared" si="35"/>
        <v>0.14806601197635927</v>
      </c>
      <c r="N61" s="131">
        <f t="shared" si="13"/>
        <v>0.29985400264622203</v>
      </c>
      <c r="O61" s="131">
        <f t="shared" si="14"/>
        <v>0.29985400264622203</v>
      </c>
      <c r="P61" s="55">
        <f t="shared" si="36"/>
        <v>0.99972218031743576</v>
      </c>
      <c r="Q61" s="135">
        <f>_xll.xSPRDOPT(I61,H61,AQ61,0,O61,N61,P61,D61-$G$5,1,0)*AH61*AU61</f>
        <v>0.92070003240166376</v>
      </c>
      <c r="R61" s="135"/>
      <c r="S61" s="181">
        <f t="shared" si="37"/>
        <v>0</v>
      </c>
      <c r="T61" s="181">
        <f>_xll.xSPRDOPT(I61,H61,AQ61,AT61,O61,N61,P61,D61-$G$5,1,1)*AF61*F61*AH61</f>
        <v>0</v>
      </c>
      <c r="U61" s="135"/>
      <c r="V61" s="146">
        <f t="shared" si="38"/>
        <v>0</v>
      </c>
      <c r="W61" s="146"/>
      <c r="X61" s="338">
        <f t="shared" si="39"/>
        <v>0</v>
      </c>
      <c r="Y61" s="338">
        <f t="shared" si="15"/>
        <v>0</v>
      </c>
      <c r="Z61" s="338">
        <f t="shared" si="16"/>
        <v>0</v>
      </c>
      <c r="AA61" s="338">
        <f t="shared" si="17"/>
        <v>0</v>
      </c>
      <c r="AB61" s="338">
        <f t="shared" si="40"/>
        <v>0</v>
      </c>
      <c r="AC61" s="338">
        <f t="shared" si="41"/>
        <v>0</v>
      </c>
      <c r="AF61" s="138">
        <f t="shared" si="42"/>
        <v>1</v>
      </c>
      <c r="AG61" s="138">
        <f t="shared" si="43"/>
        <v>4</v>
      </c>
      <c r="AH61" s="138">
        <f t="shared" si="53"/>
        <v>30</v>
      </c>
      <c r="AI61" s="138">
        <f t="shared" si="44"/>
        <v>1201</v>
      </c>
      <c r="AJ61" s="138">
        <f t="shared" si="45"/>
        <v>1218</v>
      </c>
      <c r="AL61" s="136">
        <f t="shared" si="19"/>
        <v>3.282</v>
      </c>
      <c r="AM61" s="258">
        <f t="shared" si="20"/>
        <v>0.14499999999999999</v>
      </c>
      <c r="AN61" s="258">
        <f t="shared" si="21"/>
        <v>0</v>
      </c>
      <c r="AO61" s="258">
        <f t="shared" si="22"/>
        <v>0.17499999999999999</v>
      </c>
      <c r="AP61" s="258">
        <f t="shared" si="23"/>
        <v>0</v>
      </c>
      <c r="AQ61" s="136">
        <f t="shared" si="46"/>
        <v>0</v>
      </c>
      <c r="AR61" s="137">
        <f t="shared" si="24"/>
        <v>0</v>
      </c>
      <c r="AS61" s="136">
        <f t="shared" si="47"/>
        <v>3.427</v>
      </c>
      <c r="AT61" s="137">
        <f t="shared" si="48"/>
        <v>4.6401056415071598E-2</v>
      </c>
      <c r="AU61" s="137">
        <f t="shared" si="25"/>
        <v>0.85848224491701053</v>
      </c>
      <c r="AV61" s="394">
        <f t="shared" si="49"/>
        <v>0</v>
      </c>
      <c r="AW61" s="137">
        <f t="shared" si="26"/>
        <v>0.29749999999999999</v>
      </c>
      <c r="AX61" s="137">
        <f t="shared" si="27"/>
        <v>0.45</v>
      </c>
      <c r="AY61" s="137">
        <f t="shared" si="28"/>
        <v>0.45</v>
      </c>
      <c r="AZ61" s="137"/>
      <c r="BA61" s="264"/>
      <c r="BB61" s="258">
        <f t="shared" si="29"/>
        <v>0</v>
      </c>
      <c r="BC61" s="258">
        <f t="shared" si="50"/>
        <v>0</v>
      </c>
      <c r="BD61" s="137">
        <f t="shared" si="51"/>
        <v>5.7705951543307599E-6</v>
      </c>
      <c r="BE61" s="137">
        <f t="shared" si="52"/>
        <v>5.7705951543307599E-6</v>
      </c>
      <c r="BF61" s="137">
        <f>_xll.xSPRDOPT($BW61,$BV61,$CG61,0,$BY61,$BX61,$BZ61,$AJ61,1,4)*$CB61</f>
        <v>1.0658067180842241</v>
      </c>
      <c r="BG61" s="137">
        <f>_xll.xSPRDOPT($BW61,$BV61,$CG61,0,$BY61,$BX61,$BZ61,$AJ61,1,3)*$CB61</f>
        <v>1.0473884872849542</v>
      </c>
      <c r="BH61" s="137">
        <f>IF(OR(BF61&lt;&gt;0,BG61&lt;&gt;0),_xll.xSPRDOPT($BW61,$BV61,$CG61,0,$BY61,$BX61,$BZ61,$AJ61,1,12)*$CB61,0)</f>
        <v>-1.0565580753120769</v>
      </c>
      <c r="BI61" s="137">
        <f>_xll.xSPRDOPT($BW61,$BV61,$CG61,2*LN(1+CA61/2),$BY61,$BX61,$BZ61,$AJ61,1,9)</f>
        <v>-3.7154355714380137E-4</v>
      </c>
      <c r="BJ61" s="137">
        <f>_xll.xSPRDOPT($BW61,$BV61,$CG61,0,$BY61,$BX61,$BZ61,$AJ61,1,6)*$CB61</f>
        <v>2.0155213867024471E-2</v>
      </c>
      <c r="BK61" s="137">
        <f>_xll.xSPRDOPT($BW61,$BV61,$CG61,0,$BY61,$BX61,$BZ61,$AJ61,1,5)*$CB61</f>
        <v>2.015481029745823E-2</v>
      </c>
      <c r="BL61" s="137">
        <f>_xll.xSPRDOPT(BW61,BV61,CG61,0,BY61,BX61,BZ61,AJ61,1,2)*CB61</f>
        <v>-0.77122040492077726</v>
      </c>
      <c r="BM61" s="137">
        <f>_xll.xSPRDOPT(BW61,BV61,CG61,0,BY61,BX61,BZ61,AJ61,1,1)*CB61</f>
        <v>0.77340118989820206</v>
      </c>
      <c r="BN61" s="137">
        <f>IF(AH61&lt;&gt;0,_xll.xSPRDOPT($BW61,$BV61,$CG61,2*LN(1+CA61/2),$BY61,$BX61,$BZ61,$AJ61,1,8)+(AJ61/365.25)*CH61/AH61,0)</f>
        <v>-0.10473917785553916</v>
      </c>
      <c r="BO61" s="137">
        <f>_xll.xSPRDOPT($BW61,$BV61,$CG61,0,$BY61,$BX61,$BZ61,$AJ61,1,0)</f>
        <v>3.5745819979959369E-2</v>
      </c>
      <c r="BP61" s="137"/>
      <c r="BQ61" s="137"/>
      <c r="BR61" s="137"/>
      <c r="BS61" s="137"/>
      <c r="BV61" s="262">
        <v>3.427</v>
      </c>
      <c r="BW61" s="136">
        <v>3.4569999999999999</v>
      </c>
      <c r="BX61" s="137">
        <v>0.2998482320510677</v>
      </c>
      <c r="BY61" s="137">
        <v>0.2998482320510677</v>
      </c>
      <c r="BZ61" s="137">
        <v>0.99972285337392364</v>
      </c>
      <c r="CA61" s="137">
        <v>4.6401056415071598E-2</v>
      </c>
      <c r="CB61" s="137">
        <v>0.85815886093193994</v>
      </c>
      <c r="CC61" s="258">
        <v>0.14499999999999999</v>
      </c>
      <c r="CD61" s="258">
        <v>0</v>
      </c>
      <c r="CE61" s="258">
        <v>0.17499999999999999</v>
      </c>
      <c r="CF61" s="258">
        <v>0</v>
      </c>
      <c r="CG61" s="258">
        <v>0</v>
      </c>
      <c r="CH61" s="258">
        <v>0</v>
      </c>
      <c r="CI61" s="258">
        <v>3.282</v>
      </c>
      <c r="CJ61" s="258"/>
      <c r="CK61" s="258"/>
      <c r="CL61" s="258"/>
      <c r="CM61" s="258"/>
    </row>
    <row r="62" spans="1:91" x14ac:dyDescent="0.25">
      <c r="A62" s="723"/>
      <c r="B62" s="723"/>
      <c r="D62" s="31">
        <f t="shared" si="30"/>
        <v>38487</v>
      </c>
      <c r="F62" s="28">
        <f t="shared" si="31"/>
        <v>0</v>
      </c>
      <c r="G62" s="28">
        <f t="shared" si="12"/>
        <v>0</v>
      </c>
      <c r="H62" s="52">
        <f t="shared" si="32"/>
        <v>3.4220000000000002</v>
      </c>
      <c r="I62" s="52">
        <f t="shared" si="33"/>
        <v>3.452</v>
      </c>
      <c r="K62" s="52">
        <f t="shared" si="34"/>
        <v>0.79417990244647219</v>
      </c>
      <c r="L62" s="135">
        <f t="shared" si="35"/>
        <v>0.1944911333933409</v>
      </c>
      <c r="N62" s="131">
        <f t="shared" si="13"/>
        <v>0.29353523846621882</v>
      </c>
      <c r="O62" s="131">
        <f t="shared" si="14"/>
        <v>0.29353523846621882</v>
      </c>
      <c r="P62" s="55">
        <f t="shared" si="36"/>
        <v>0.99963920630974645</v>
      </c>
      <c r="Q62" s="135">
        <f>_xll.xSPRDOPT(I62,H62,AQ62,0,O62,N62,P62,D62-$G$5,1,0)*AH62*AU62</f>
        <v>0.98867103583981308</v>
      </c>
      <c r="R62" s="135"/>
      <c r="S62" s="181">
        <f t="shared" si="37"/>
        <v>0</v>
      </c>
      <c r="T62" s="181">
        <f>_xll.xSPRDOPT(I62,H62,AQ62,AT62,O62,N62,P62,D62-$G$5,1,1)*AF62*F62*AH62</f>
        <v>0</v>
      </c>
      <c r="U62" s="135"/>
      <c r="V62" s="146">
        <f t="shared" si="38"/>
        <v>0</v>
      </c>
      <c r="W62" s="146"/>
      <c r="X62" s="338">
        <f t="shared" si="39"/>
        <v>0</v>
      </c>
      <c r="Y62" s="338">
        <f t="shared" si="15"/>
        <v>0</v>
      </c>
      <c r="Z62" s="338">
        <f t="shared" si="16"/>
        <v>0</v>
      </c>
      <c r="AA62" s="338">
        <f t="shared" si="17"/>
        <v>0</v>
      </c>
      <c r="AB62" s="338">
        <f t="shared" si="40"/>
        <v>0</v>
      </c>
      <c r="AC62" s="338">
        <f t="shared" si="41"/>
        <v>0</v>
      </c>
      <c r="AF62" s="138">
        <f t="shared" si="42"/>
        <v>1</v>
      </c>
      <c r="AG62" s="138">
        <f t="shared" si="43"/>
        <v>5</v>
      </c>
      <c r="AH62" s="138">
        <f t="shared" si="53"/>
        <v>31</v>
      </c>
      <c r="AI62" s="138">
        <f t="shared" si="44"/>
        <v>1231</v>
      </c>
      <c r="AJ62" s="138">
        <f t="shared" si="45"/>
        <v>1248</v>
      </c>
      <c r="AL62" s="136">
        <f t="shared" si="19"/>
        <v>3.2770000000000001</v>
      </c>
      <c r="AM62" s="258">
        <f t="shared" si="20"/>
        <v>0.14499999999999999</v>
      </c>
      <c r="AN62" s="258">
        <f t="shared" si="21"/>
        <v>0</v>
      </c>
      <c r="AO62" s="258">
        <f t="shared" si="22"/>
        <v>0.17499999999999999</v>
      </c>
      <c r="AP62" s="258">
        <f t="shared" si="23"/>
        <v>0</v>
      </c>
      <c r="AQ62" s="136">
        <f t="shared" si="46"/>
        <v>0</v>
      </c>
      <c r="AR62" s="137">
        <f t="shared" si="24"/>
        <v>0</v>
      </c>
      <c r="AS62" s="136">
        <f t="shared" si="47"/>
        <v>3.4220000000000002</v>
      </c>
      <c r="AT62" s="137">
        <f t="shared" si="48"/>
        <v>4.6856677050253197E-2</v>
      </c>
      <c r="AU62" s="137">
        <f t="shared" si="25"/>
        <v>0.85395688435105088</v>
      </c>
      <c r="AV62" s="394">
        <f t="shared" si="49"/>
        <v>0</v>
      </c>
      <c r="AW62" s="137">
        <f t="shared" si="26"/>
        <v>0.28999999999999998</v>
      </c>
      <c r="AX62" s="137">
        <f t="shared" si="27"/>
        <v>0.5</v>
      </c>
      <c r="AY62" s="137">
        <f t="shared" si="28"/>
        <v>0.5</v>
      </c>
      <c r="AZ62" s="137"/>
      <c r="BA62" s="264"/>
      <c r="BB62" s="258">
        <f t="shared" si="29"/>
        <v>0</v>
      </c>
      <c r="BC62" s="258">
        <f t="shared" si="50"/>
        <v>0</v>
      </c>
      <c r="BD62" s="137">
        <f t="shared" si="51"/>
        <v>8.4369756610525037E-6</v>
      </c>
      <c r="BE62" s="137">
        <f t="shared" si="52"/>
        <v>8.4369756610525037E-6</v>
      </c>
      <c r="BF62" s="137">
        <f>_xll.xSPRDOPT($BW62,$BV62,$CG62,0,$BY62,$BX62,$BZ62,$AJ62,1,4)*$CB62</f>
        <v>1.389728576900654</v>
      </c>
      <c r="BG62" s="137">
        <f>_xll.xSPRDOPT($BW62,$BV62,$CG62,0,$BY62,$BX62,$BZ62,$AJ62,1,3)*$CB62</f>
        <v>1.3656791429528308</v>
      </c>
      <c r="BH62" s="137">
        <f>IF(OR(BF62&lt;&gt;0,BG62&lt;&gt;0),_xll.xSPRDOPT($BW62,$BV62,$CG62,0,$BY62,$BX62,$BZ62,$AJ62,1,12)*$CB62,0)</f>
        <v>-1.3776525256559931</v>
      </c>
      <c r="BI62" s="137">
        <f>_xll.xSPRDOPT($BW62,$BV62,$CG62,2*LN(1+CA62/2),$BY62,$BX62,$BZ62,$AJ62,1,9)</f>
        <v>-5.6315874654407419E-4</v>
      </c>
      <c r="BJ62" s="137">
        <f>_xll.xSPRDOPT($BW62,$BV62,$CG62,0,$BY62,$BX62,$BZ62,$AJ62,1,6)*$CB62</f>
        <v>2.4248541654420926E-2</v>
      </c>
      <c r="BK62" s="137">
        <f>_xll.xSPRDOPT($BW62,$BV62,$CG62,0,$BY62,$BX62,$BZ62,$AJ62,1,5)*$CB62</f>
        <v>2.4249885961482483E-2</v>
      </c>
      <c r="BL62" s="137">
        <f>_xll.xSPRDOPT(BW62,BV62,CG62,0,BY62,BX62,BZ62,AJ62,1,2)*CB62</f>
        <v>-0.74176575858920424</v>
      </c>
      <c r="BM62" s="137">
        <f>_xll.xSPRDOPT(BW62,BV62,CG62,0,BY62,BX62,BZ62,AJ62,1,1)*CB62</f>
        <v>0.74455372275664333</v>
      </c>
      <c r="BN62" s="137">
        <f>IF(AH62&lt;&gt;0,_xll.xSPRDOPT($BW62,$BV62,$CG62,2*LN(1+CA62/2),$BY62,$BX62,$BZ62,$AJ62,1,8)+(AJ62/365.25)*CH62/AH62,0)</f>
        <v>-0.11213365802574296</v>
      </c>
      <c r="BO62" s="137">
        <f>_xll.xSPRDOPT($BW62,$BV62,$CG62,0,$BY62,$BX62,$BZ62,$AJ62,1,0)</f>
        <v>3.7342824538506895E-2</v>
      </c>
      <c r="BP62" s="137"/>
      <c r="BQ62" s="137"/>
      <c r="BR62" s="137"/>
      <c r="BS62" s="137"/>
      <c r="BV62" s="262">
        <v>3.4220000000000002</v>
      </c>
      <c r="BW62" s="136">
        <v>3.452</v>
      </c>
      <c r="BX62" s="137">
        <v>0.29352680149055776</v>
      </c>
      <c r="BY62" s="137">
        <v>0.29352680149055776</v>
      </c>
      <c r="BZ62" s="137">
        <v>0.99964005186968674</v>
      </c>
      <c r="CA62" s="137">
        <v>4.6856677050253197E-2</v>
      </c>
      <c r="CB62" s="137">
        <v>0.85363208329541629</v>
      </c>
      <c r="CC62" s="258">
        <v>0.14499999999999999</v>
      </c>
      <c r="CD62" s="258">
        <v>0</v>
      </c>
      <c r="CE62" s="258">
        <v>0.17499999999999999</v>
      </c>
      <c r="CF62" s="258">
        <v>0</v>
      </c>
      <c r="CG62" s="258">
        <v>0</v>
      </c>
      <c r="CH62" s="258">
        <v>0</v>
      </c>
      <c r="CI62" s="258">
        <v>3.2770000000000001</v>
      </c>
      <c r="CJ62" s="258"/>
      <c r="CK62" s="258"/>
      <c r="CL62" s="258"/>
      <c r="CM62" s="258"/>
    </row>
    <row r="63" spans="1:91" x14ac:dyDescent="0.25">
      <c r="A63" s="723"/>
      <c r="B63" s="723"/>
      <c r="D63" s="31">
        <f t="shared" si="30"/>
        <v>38518</v>
      </c>
      <c r="F63" s="28">
        <f t="shared" si="31"/>
        <v>0</v>
      </c>
      <c r="G63" s="28">
        <f t="shared" si="12"/>
        <v>0</v>
      </c>
      <c r="H63" s="52">
        <f t="shared" si="32"/>
        <v>3.4569999999999999</v>
      </c>
      <c r="I63" s="52">
        <f t="shared" si="33"/>
        <v>3.4869999999999997</v>
      </c>
      <c r="K63" s="52">
        <f t="shared" si="34"/>
        <v>0.76431671116146294</v>
      </c>
      <c r="L63" s="135">
        <f t="shared" si="35"/>
        <v>0.18301475725432503</v>
      </c>
      <c r="N63" s="131">
        <f t="shared" si="13"/>
        <v>0.29334060051271815</v>
      </c>
      <c r="O63" s="131">
        <f t="shared" si="14"/>
        <v>0.29334060051271815</v>
      </c>
      <c r="P63" s="55">
        <f t="shared" si="36"/>
        <v>0.99965873164658792</v>
      </c>
      <c r="Q63" s="135">
        <f>_xll.xSPRDOPT(I63,H63,AQ63,0,O63,N63,P63,D63-$G$5,1,0)*AH63*AU63</f>
        <v>0.94733146841578797</v>
      </c>
      <c r="R63" s="135"/>
      <c r="S63" s="181">
        <f t="shared" si="37"/>
        <v>0</v>
      </c>
      <c r="T63" s="181">
        <f>_xll.xSPRDOPT(I63,H63,AQ63,AT63,O63,N63,P63,D63-$G$5,1,1)*AF63*F63*AH63</f>
        <v>0</v>
      </c>
      <c r="U63" s="135"/>
      <c r="V63" s="146">
        <f t="shared" si="38"/>
        <v>0</v>
      </c>
      <c r="W63" s="146"/>
      <c r="X63" s="338">
        <f t="shared" si="39"/>
        <v>0</v>
      </c>
      <c r="Y63" s="338">
        <f t="shared" si="15"/>
        <v>0</v>
      </c>
      <c r="Z63" s="338">
        <f t="shared" si="16"/>
        <v>0</v>
      </c>
      <c r="AA63" s="338">
        <f t="shared" si="17"/>
        <v>0</v>
      </c>
      <c r="AB63" s="338">
        <f t="shared" si="40"/>
        <v>0</v>
      </c>
      <c r="AC63" s="338">
        <f t="shared" si="41"/>
        <v>0</v>
      </c>
      <c r="AF63" s="138">
        <f t="shared" si="42"/>
        <v>1</v>
      </c>
      <c r="AG63" s="138">
        <f t="shared" si="43"/>
        <v>6</v>
      </c>
      <c r="AH63" s="138">
        <f t="shared" si="53"/>
        <v>30</v>
      </c>
      <c r="AI63" s="138">
        <f t="shared" si="44"/>
        <v>1262</v>
      </c>
      <c r="AJ63" s="138">
        <f t="shared" si="45"/>
        <v>1279</v>
      </c>
      <c r="AL63" s="136">
        <f t="shared" si="19"/>
        <v>3.3119999999999998</v>
      </c>
      <c r="AM63" s="258">
        <f t="shared" si="20"/>
        <v>0.14499999999999999</v>
      </c>
      <c r="AN63" s="258">
        <f t="shared" si="21"/>
        <v>0</v>
      </c>
      <c r="AO63" s="258">
        <f t="shared" si="22"/>
        <v>0.17499999999999999</v>
      </c>
      <c r="AP63" s="258">
        <f t="shared" si="23"/>
        <v>0</v>
      </c>
      <c r="AQ63" s="136">
        <f t="shared" si="46"/>
        <v>0</v>
      </c>
      <c r="AR63" s="137">
        <f t="shared" si="24"/>
        <v>0</v>
      </c>
      <c r="AS63" s="136">
        <f t="shared" si="47"/>
        <v>3.4569999999999999</v>
      </c>
      <c r="AT63" s="137">
        <f t="shared" si="48"/>
        <v>4.7327485112866399E-2</v>
      </c>
      <c r="AU63" s="137">
        <f t="shared" si="25"/>
        <v>0.84924079017940879</v>
      </c>
      <c r="AV63" s="394">
        <f t="shared" si="49"/>
        <v>0</v>
      </c>
      <c r="AW63" s="137">
        <f t="shared" si="26"/>
        <v>0.28999999999999998</v>
      </c>
      <c r="AX63" s="137">
        <f t="shared" si="27"/>
        <v>0.5</v>
      </c>
      <c r="AY63" s="137">
        <f t="shared" si="28"/>
        <v>0.5</v>
      </c>
      <c r="AZ63" s="137"/>
      <c r="BA63" s="264"/>
      <c r="BB63" s="258">
        <f t="shared" si="29"/>
        <v>0</v>
      </c>
      <c r="BC63" s="258">
        <f t="shared" si="50"/>
        <v>0</v>
      </c>
      <c r="BD63" s="137">
        <f t="shared" si="51"/>
        <v>7.7850538949819637E-6</v>
      </c>
      <c r="BE63" s="137">
        <f t="shared" si="52"/>
        <v>7.7850538949819637E-6</v>
      </c>
      <c r="BF63" s="137">
        <f>_xll.xSPRDOPT($BW63,$BV63,$CG63,0,$BY63,$BX63,$BZ63,$AJ63,1,4)*$CB63</f>
        <v>1.2826232271513529</v>
      </c>
      <c r="BG63" s="137">
        <f>_xll.xSPRDOPT($BW63,$BV63,$CG63,0,$BY63,$BX63,$BZ63,$AJ63,1,3)*$CB63</f>
        <v>1.2606480396967048</v>
      </c>
      <c r="BH63" s="137">
        <f>IF(OR(BF63&lt;&gt;0,BG63&lt;&gt;0),_xll.xSPRDOPT($BW63,$BV63,$CG63,0,$BY63,$BX63,$BZ63,$AJ63,1,12)*$CB63,0)</f>
        <v>-1.2715890564997721</v>
      </c>
      <c r="BI63" s="137">
        <f>_xll.xSPRDOPT($BW63,$BV63,$CG63,2*LN(1+CA63/2),$BY63,$BX63,$BZ63,$AJ63,1,9)</f>
        <v>-4.8222287796635633E-4</v>
      </c>
      <c r="BJ63" s="137">
        <f>_xll.xSPRDOPT($BW63,$BV63,$CG63,0,$BY63,$BX63,$BZ63,$AJ63,1,6)*$CB63</f>
        <v>2.3932479669479718E-2</v>
      </c>
      <c r="BK63" s="137">
        <f>_xll.xSPRDOPT($BW63,$BV63,$CG63,0,$BY63,$BX63,$BZ63,$AJ63,1,5)*$CB63</f>
        <v>2.393369105323177E-2</v>
      </c>
      <c r="BL63" s="137">
        <f>_xll.xSPRDOPT(BW63,BV63,CG63,0,BY63,BX63,BZ63,AJ63,1,2)*CB63</f>
        <v>-0.74282513841757913</v>
      </c>
      <c r="BM63" s="137">
        <f>_xll.xSPRDOPT(BW63,BV63,CG63,0,BY63,BX63,BZ63,AJ63,1,1)*CB63</f>
        <v>0.74548571998030411</v>
      </c>
      <c r="BN63" s="137">
        <f>IF(AH63&lt;&gt;0,_xll.xSPRDOPT($BW63,$BV63,$CG63,2*LN(1+CA63/2),$BY63,$BX63,$BZ63,$AJ63,1,8)+(AJ63/365.25)*CH63/AH63,0)</f>
        <v>-0.11398510504817788</v>
      </c>
      <c r="BO63" s="137">
        <f>_xll.xSPRDOPT($BW63,$BV63,$CG63,0,$BY63,$BX63,$BZ63,$AJ63,1,0)</f>
        <v>3.7179488804595345E-2</v>
      </c>
      <c r="BP63" s="137"/>
      <c r="BQ63" s="137"/>
      <c r="BR63" s="137"/>
      <c r="BS63" s="137"/>
      <c r="BV63" s="262">
        <v>3.4569999999999999</v>
      </c>
      <c r="BW63" s="136">
        <v>3.4869999999999997</v>
      </c>
      <c r="BX63" s="137">
        <v>0.29333281545882317</v>
      </c>
      <c r="BY63" s="137">
        <v>0.29333281545882317</v>
      </c>
      <c r="BZ63" s="137">
        <v>0.99965951342198101</v>
      </c>
      <c r="CA63" s="137">
        <v>4.7327485112866399E-2</v>
      </c>
      <c r="CB63" s="137">
        <v>0.84891457563562278</v>
      </c>
      <c r="CC63" s="258">
        <v>0.14499999999999999</v>
      </c>
      <c r="CD63" s="258">
        <v>0</v>
      </c>
      <c r="CE63" s="258">
        <v>0.17499999999999999</v>
      </c>
      <c r="CF63" s="258">
        <v>0</v>
      </c>
      <c r="CG63" s="258">
        <v>0</v>
      </c>
      <c r="CH63" s="258">
        <v>0</v>
      </c>
      <c r="CI63" s="258">
        <v>3.3119999999999998</v>
      </c>
      <c r="CJ63" s="258"/>
      <c r="CK63" s="258"/>
      <c r="CL63" s="258"/>
      <c r="CM63" s="258"/>
    </row>
    <row r="64" spans="1:91" x14ac:dyDescent="0.25">
      <c r="A64" s="723"/>
      <c r="B64" s="723"/>
      <c r="D64" s="31">
        <f t="shared" si="30"/>
        <v>38548</v>
      </c>
      <c r="F64" s="28">
        <f t="shared" si="31"/>
        <v>0</v>
      </c>
      <c r="G64" s="28">
        <f t="shared" si="12"/>
        <v>0</v>
      </c>
      <c r="H64" s="52">
        <f t="shared" si="32"/>
        <v>3.4969999999999999</v>
      </c>
      <c r="I64" s="52">
        <f t="shared" si="33"/>
        <v>3.5269999999999997</v>
      </c>
      <c r="K64" s="52">
        <f t="shared" si="34"/>
        <v>0.78557646436541417</v>
      </c>
      <c r="L64" s="135">
        <f t="shared" si="35"/>
        <v>0.23937518186430617</v>
      </c>
      <c r="N64" s="131">
        <f t="shared" si="13"/>
        <v>0.28956544219828367</v>
      </c>
      <c r="O64" s="131">
        <f t="shared" si="14"/>
        <v>0.28956544219828367</v>
      </c>
      <c r="P64" s="55">
        <f t="shared" si="36"/>
        <v>0.99957231706777561</v>
      </c>
      <c r="Q64" s="135">
        <f>_xll.xSPRDOPT(I64,H64,AQ64,0,O64,N64,P64,D64-$G$5,1,0)*AH64*AU64</f>
        <v>1.0249516462297203</v>
      </c>
      <c r="R64" s="135"/>
      <c r="S64" s="181">
        <f t="shared" si="37"/>
        <v>0</v>
      </c>
      <c r="T64" s="181">
        <f>_xll.xSPRDOPT(I64,H64,AQ64,AT64,O64,N64,P64,D64-$G$5,1,1)*AF64*F64*AH64</f>
        <v>0</v>
      </c>
      <c r="U64" s="135"/>
      <c r="V64" s="146">
        <f t="shared" si="38"/>
        <v>0</v>
      </c>
      <c r="W64" s="146"/>
      <c r="X64" s="338">
        <f t="shared" si="39"/>
        <v>0</v>
      </c>
      <c r="Y64" s="338">
        <f t="shared" si="15"/>
        <v>0</v>
      </c>
      <c r="Z64" s="338">
        <f t="shared" si="16"/>
        <v>0</v>
      </c>
      <c r="AA64" s="338">
        <f t="shared" si="17"/>
        <v>0</v>
      </c>
      <c r="AB64" s="338">
        <f t="shared" si="40"/>
        <v>0</v>
      </c>
      <c r="AC64" s="338">
        <f t="shared" si="41"/>
        <v>0</v>
      </c>
      <c r="AF64" s="138">
        <f t="shared" si="42"/>
        <v>1</v>
      </c>
      <c r="AG64" s="138">
        <f t="shared" si="43"/>
        <v>7</v>
      </c>
      <c r="AH64" s="138">
        <f t="shared" si="53"/>
        <v>31</v>
      </c>
      <c r="AI64" s="138">
        <f t="shared" si="44"/>
        <v>1292</v>
      </c>
      <c r="AJ64" s="138">
        <f t="shared" si="45"/>
        <v>1309</v>
      </c>
      <c r="AL64" s="136">
        <f t="shared" si="19"/>
        <v>3.3519999999999999</v>
      </c>
      <c r="AM64" s="258">
        <f t="shared" si="20"/>
        <v>0.14499999999999999</v>
      </c>
      <c r="AN64" s="258">
        <f t="shared" si="21"/>
        <v>0</v>
      </c>
      <c r="AO64" s="258">
        <f t="shared" si="22"/>
        <v>0.17499999999999999</v>
      </c>
      <c r="AP64" s="258">
        <f t="shared" si="23"/>
        <v>0</v>
      </c>
      <c r="AQ64" s="136">
        <f t="shared" si="46"/>
        <v>0</v>
      </c>
      <c r="AR64" s="137">
        <f t="shared" si="24"/>
        <v>0</v>
      </c>
      <c r="AS64" s="136">
        <f t="shared" si="47"/>
        <v>3.4969999999999999</v>
      </c>
      <c r="AT64" s="137">
        <f t="shared" si="48"/>
        <v>4.7760481058800999E-2</v>
      </c>
      <c r="AU64" s="137">
        <f t="shared" si="25"/>
        <v>0.84470587566174116</v>
      </c>
      <c r="AV64" s="394">
        <f t="shared" si="49"/>
        <v>0</v>
      </c>
      <c r="AW64" s="137">
        <f t="shared" si="26"/>
        <v>0.28499999999999998</v>
      </c>
      <c r="AX64" s="137">
        <f t="shared" si="27"/>
        <v>0.55000000000000004</v>
      </c>
      <c r="AY64" s="137">
        <f t="shared" si="28"/>
        <v>0.55000000000000004</v>
      </c>
      <c r="AZ64" s="137"/>
      <c r="BA64" s="264"/>
      <c r="BB64" s="258">
        <f t="shared" si="29"/>
        <v>0</v>
      </c>
      <c r="BC64" s="258">
        <f t="shared" si="50"/>
        <v>0</v>
      </c>
      <c r="BD64" s="137">
        <f t="shared" si="51"/>
        <v>1.0369018023592691E-5</v>
      </c>
      <c r="BE64" s="137">
        <f t="shared" si="52"/>
        <v>1.0369018023592691E-5</v>
      </c>
      <c r="BF64" s="137">
        <f>_xll.xSPRDOPT($BW64,$BV64,$CG64,0,$BY64,$BX64,$BZ64,$AJ64,1,4)*$CB64</f>
        <v>1.5846909267010592</v>
      </c>
      <c r="BG64" s="137">
        <f>_xll.xSPRDOPT($BW64,$BV64,$CG64,0,$BY64,$BX64,$BZ64,$AJ64,1,3)*$CB64</f>
        <v>1.5578468528785931</v>
      </c>
      <c r="BH64" s="137">
        <f>IF(OR(BF64&lt;&gt;0,BG64&lt;&gt;0),_xll.xSPRDOPT($BW64,$BV64,$CG64,0,$BY64,$BX64,$BZ64,$AJ64,1,12)*$CB64,0)</f>
        <v>-1.5712123488631651</v>
      </c>
      <c r="BI64" s="137">
        <f>_xll.xSPRDOPT($BW64,$BV64,$CG64,2*LN(1+CA64/2),$BY64,$BX64,$BZ64,$AJ64,1,9)</f>
        <v>-6.7626976116840799E-4</v>
      </c>
      <c r="BJ64" s="137">
        <f>_xll.xSPRDOPT($BW64,$BV64,$CG64,0,$BY64,$BX64,$BZ64,$AJ64,1,6)*$CB64</f>
        <v>2.8373286557160111E-2</v>
      </c>
      <c r="BK64" s="137">
        <f>_xll.xSPRDOPT($BW64,$BV64,$CG64,0,$BY64,$BX64,$BZ64,$AJ64,1,5)*$CB64</f>
        <v>2.8376640291144901E-2</v>
      </c>
      <c r="BL64" s="137">
        <f>_xll.xSPRDOPT(BW64,BV64,CG64,0,BY64,BX64,BZ64,AJ64,1,2)*CB64</f>
        <v>-0.71164895724689048</v>
      </c>
      <c r="BM64" s="137">
        <f>_xll.xSPRDOPT(BW64,BV64,CG64,0,BY64,BX64,BZ64,AJ64,1,1)*CB64</f>
        <v>0.71496522591259781</v>
      </c>
      <c r="BN64" s="137">
        <f>IF(AH64&lt;&gt;0,_xll.xSPRDOPT($BW64,$BV64,$CG64,2*LN(1+CA64/2),$BY64,$BX64,$BZ64,$AJ64,1,8)+(AJ64/365.25)*CH64/AH64,0)</f>
        <v>-0.12272482612730799</v>
      </c>
      <c r="BO64" s="137">
        <f>_xll.xSPRDOPT($BW64,$BV64,$CG64,0,$BY64,$BX64,$BZ64,$AJ64,1,0)</f>
        <v>3.913642942639993E-2</v>
      </c>
      <c r="BP64" s="137"/>
      <c r="BQ64" s="137"/>
      <c r="BR64" s="137"/>
      <c r="BS64" s="137"/>
      <c r="BV64" s="262">
        <v>3.4969999999999999</v>
      </c>
      <c r="BW64" s="136">
        <v>3.5269999999999997</v>
      </c>
      <c r="BX64" s="137">
        <v>0.28955507318026008</v>
      </c>
      <c r="BY64" s="137">
        <v>0.28955507318026008</v>
      </c>
      <c r="BZ64" s="137">
        <v>0.99957326555942483</v>
      </c>
      <c r="CA64" s="137">
        <v>4.7760481058800999E-2</v>
      </c>
      <c r="CB64" s="137">
        <v>0.84437846983859632</v>
      </c>
      <c r="CC64" s="258">
        <v>0.14499999999999999</v>
      </c>
      <c r="CD64" s="258">
        <v>0</v>
      </c>
      <c r="CE64" s="258">
        <v>0.17499999999999999</v>
      </c>
      <c r="CF64" s="258">
        <v>0</v>
      </c>
      <c r="CG64" s="258">
        <v>0</v>
      </c>
      <c r="CH64" s="258">
        <v>0</v>
      </c>
      <c r="CI64" s="258">
        <v>3.3519999999999999</v>
      </c>
      <c r="CJ64" s="258"/>
      <c r="CK64" s="258"/>
      <c r="CL64" s="258"/>
      <c r="CM64" s="258"/>
    </row>
    <row r="65" spans="1:91" x14ac:dyDescent="0.25">
      <c r="A65" s="723"/>
      <c r="B65" s="723"/>
      <c r="D65" s="31">
        <f t="shared" si="30"/>
        <v>38579</v>
      </c>
      <c r="F65" s="28">
        <f t="shared" si="31"/>
        <v>0</v>
      </c>
      <c r="G65" s="28">
        <f t="shared" si="12"/>
        <v>0</v>
      </c>
      <c r="H65" s="52">
        <f t="shared" si="32"/>
        <v>3.5369999999999999</v>
      </c>
      <c r="I65" s="52">
        <f t="shared" si="33"/>
        <v>3.5669999999999997</v>
      </c>
      <c r="K65" s="52">
        <f t="shared" si="34"/>
        <v>0.78124609843918835</v>
      </c>
      <c r="L65" s="135">
        <f t="shared" si="35"/>
        <v>0.28598724430451872</v>
      </c>
      <c r="N65" s="131">
        <f t="shared" si="13"/>
        <v>0.2906084133445071</v>
      </c>
      <c r="O65" s="131">
        <f t="shared" si="14"/>
        <v>0.2906084133445071</v>
      </c>
      <c r="P65" s="55">
        <f t="shared" si="36"/>
        <v>0.99950637237436857</v>
      </c>
      <c r="Q65" s="135">
        <f>_xll.xSPRDOPT(I65,H65,AQ65,0,O65,N65,P65,D65-$G$5,1,0)*AH65*AU65</f>
        <v>1.0672333427437071</v>
      </c>
      <c r="R65" s="135"/>
      <c r="S65" s="181">
        <f t="shared" si="37"/>
        <v>0</v>
      </c>
      <c r="T65" s="181">
        <f>_xll.xSPRDOPT(I65,H65,AQ65,AT65,O65,N65,P65,D65-$G$5,1,1)*AF65*F65*AH65</f>
        <v>0</v>
      </c>
      <c r="U65" s="135"/>
      <c r="V65" s="146">
        <f t="shared" si="38"/>
        <v>0</v>
      </c>
      <c r="W65" s="146"/>
      <c r="X65" s="338">
        <f t="shared" si="39"/>
        <v>0</v>
      </c>
      <c r="Y65" s="338">
        <f t="shared" si="15"/>
        <v>0</v>
      </c>
      <c r="Z65" s="338">
        <f t="shared" si="16"/>
        <v>0</v>
      </c>
      <c r="AA65" s="338">
        <f t="shared" si="17"/>
        <v>0</v>
      </c>
      <c r="AB65" s="338">
        <f t="shared" si="40"/>
        <v>0</v>
      </c>
      <c r="AC65" s="338">
        <f t="shared" si="41"/>
        <v>0</v>
      </c>
      <c r="AF65" s="138">
        <f t="shared" si="42"/>
        <v>1</v>
      </c>
      <c r="AG65" s="138">
        <f t="shared" si="43"/>
        <v>8</v>
      </c>
      <c r="AH65" s="138">
        <f t="shared" si="53"/>
        <v>31</v>
      </c>
      <c r="AI65" s="138">
        <f t="shared" si="44"/>
        <v>1323</v>
      </c>
      <c r="AJ65" s="138">
        <f t="shared" si="45"/>
        <v>1340</v>
      </c>
      <c r="AL65" s="136">
        <f t="shared" si="19"/>
        <v>3.3919999999999999</v>
      </c>
      <c r="AM65" s="258">
        <f t="shared" si="20"/>
        <v>0.14499999999999999</v>
      </c>
      <c r="AN65" s="258">
        <f t="shared" si="21"/>
        <v>0</v>
      </c>
      <c r="AO65" s="258">
        <f t="shared" si="22"/>
        <v>0.17499999999999999</v>
      </c>
      <c r="AP65" s="258">
        <f t="shared" si="23"/>
        <v>0</v>
      </c>
      <c r="AQ65" s="136">
        <f t="shared" si="46"/>
        <v>0</v>
      </c>
      <c r="AR65" s="137">
        <f t="shared" si="24"/>
        <v>0</v>
      </c>
      <c r="AS65" s="136">
        <f t="shared" si="47"/>
        <v>3.5369999999999999</v>
      </c>
      <c r="AT65" s="137">
        <f t="shared" si="48"/>
        <v>4.81861434694211E-2</v>
      </c>
      <c r="AU65" s="137">
        <f t="shared" si="25"/>
        <v>0.84004956821418653</v>
      </c>
      <c r="AV65" s="394">
        <f t="shared" si="49"/>
        <v>0</v>
      </c>
      <c r="AW65" s="137">
        <f t="shared" si="26"/>
        <v>0.28499999999999998</v>
      </c>
      <c r="AX65" s="137">
        <f t="shared" si="27"/>
        <v>0.6</v>
      </c>
      <c r="AY65" s="137">
        <f t="shared" si="28"/>
        <v>0.6</v>
      </c>
      <c r="AZ65" s="137"/>
      <c r="BA65" s="264"/>
      <c r="BB65" s="258">
        <f t="shared" si="29"/>
        <v>0</v>
      </c>
      <c r="BC65" s="258">
        <f t="shared" si="50"/>
        <v>0</v>
      </c>
      <c r="BD65" s="137">
        <f t="shared" si="51"/>
        <v>1.2421350806646192E-5</v>
      </c>
      <c r="BE65" s="137">
        <f t="shared" si="52"/>
        <v>1.2421350806646192E-5</v>
      </c>
      <c r="BF65" s="137">
        <f>_xll.xSPRDOPT($BW65,$BV65,$CG65,0,$BY65,$BX65,$BZ65,$AJ65,1,4)*$CB65</f>
        <v>1.7766968770989584</v>
      </c>
      <c r="BG65" s="137">
        <f>_xll.xSPRDOPT($BW65,$BV65,$CG65,0,$BY65,$BX65,$BZ65,$AJ65,1,3)*$CB65</f>
        <v>1.746937247565574</v>
      </c>
      <c r="BH65" s="137">
        <f>IF(OR(BF65&lt;&gt;0,BG65&lt;&gt;0),_xll.xSPRDOPT($BW65,$BV65,$CG65,0,$BY65,$BX65,$BZ65,$AJ65,1,12)*$CB65,0)</f>
        <v>-1.7617548153139093</v>
      </c>
      <c r="BI65" s="137">
        <f>_xll.xSPRDOPT($BW65,$BV65,$CG65,2*LN(1+CA65/2),$BY65,$BX65,$BZ65,$AJ65,1,9)</f>
        <v>-8.1752163628108564E-4</v>
      </c>
      <c r="BJ65" s="137">
        <f>_xll.xSPRDOPT($BW65,$BV65,$CG65,0,$BY65,$BX65,$BZ65,$AJ65,1,6)*$CB65</f>
        <v>3.181872925898644E-2</v>
      </c>
      <c r="BK65" s="137">
        <f>_xll.xSPRDOPT($BW65,$BV65,$CG65,0,$BY65,$BX65,$BZ65,$AJ65,1,5)*$CB65</f>
        <v>3.1823735990499931E-2</v>
      </c>
      <c r="BL65" s="137">
        <f>_xll.xSPRDOPT(BW65,BV65,CG65,0,BY65,BX65,BZ65,AJ65,1,2)*CB65</f>
        <v>-0.68590174204635546</v>
      </c>
      <c r="BM65" s="137">
        <f>_xll.xSPRDOPT(BW65,BV65,CG65,0,BY65,BX65,BZ65,AJ65,1,1)*CB65</f>
        <v>0.68977933010526193</v>
      </c>
      <c r="BN65" s="137">
        <f>IF(AH65&lt;&gt;0,_xll.xSPRDOPT($BW65,$BV65,$CG65,2*LN(1+CA65/2),$BY65,$BX65,$BZ65,$AJ65,1,8)+(AJ65/365.25)*CH65/AH65,0)</f>
        <v>-0.13121762403172299</v>
      </c>
      <c r="BO65" s="137">
        <f>_xll.xSPRDOPT($BW65,$BV65,$CG65,0,$BY65,$BX65,$BZ65,$AJ65,1,0)</f>
        <v>4.0976011036748777E-2</v>
      </c>
      <c r="BP65" s="137"/>
      <c r="BQ65" s="137"/>
      <c r="BR65" s="137"/>
      <c r="BS65" s="137"/>
      <c r="BV65" s="262">
        <v>3.5369999999999999</v>
      </c>
      <c r="BW65" s="136">
        <v>3.5669999999999997</v>
      </c>
      <c r="BX65" s="137">
        <v>0.29059599199370045</v>
      </c>
      <c r="BY65" s="137">
        <v>0.29059599199370045</v>
      </c>
      <c r="BZ65" s="137">
        <v>0.99950743416897403</v>
      </c>
      <c r="CA65" s="137">
        <v>4.81861434694211E-2</v>
      </c>
      <c r="CB65" s="137">
        <v>0.83972110009682266</v>
      </c>
      <c r="CC65" s="258">
        <v>0.14499999999999999</v>
      </c>
      <c r="CD65" s="258">
        <v>0</v>
      </c>
      <c r="CE65" s="258">
        <v>0.17499999999999999</v>
      </c>
      <c r="CF65" s="258">
        <v>0</v>
      </c>
      <c r="CG65" s="258">
        <v>0</v>
      </c>
      <c r="CH65" s="258">
        <v>0</v>
      </c>
      <c r="CI65" s="258">
        <v>3.3919999999999999</v>
      </c>
      <c r="CJ65" s="258"/>
      <c r="CK65" s="258"/>
      <c r="CL65" s="258"/>
      <c r="CM65" s="258"/>
    </row>
    <row r="66" spans="1:91" x14ac:dyDescent="0.25">
      <c r="A66" s="723"/>
      <c r="B66" s="723"/>
      <c r="D66" s="31">
        <f t="shared" si="30"/>
        <v>38610</v>
      </c>
      <c r="F66" s="28">
        <f t="shared" si="31"/>
        <v>0</v>
      </c>
      <c r="G66" s="28">
        <f t="shared" si="12"/>
        <v>0</v>
      </c>
      <c r="H66" s="52">
        <f t="shared" si="32"/>
        <v>3.532</v>
      </c>
      <c r="I66" s="52">
        <f t="shared" si="33"/>
        <v>3.5619999999999998</v>
      </c>
      <c r="K66" s="52">
        <f t="shared" si="34"/>
        <v>0.75182422593542575</v>
      </c>
      <c r="L66" s="135">
        <f t="shared" si="35"/>
        <v>0.26447913163995507</v>
      </c>
      <c r="N66" s="131">
        <f t="shared" si="13"/>
        <v>0.29030933603946113</v>
      </c>
      <c r="O66" s="131">
        <f t="shared" si="14"/>
        <v>0.29030933603946113</v>
      </c>
      <c r="P66" s="55">
        <f t="shared" si="36"/>
        <v>0.99953197580314879</v>
      </c>
      <c r="Q66" s="135">
        <f>_xll.xSPRDOPT(I66,H66,AQ66,0,O66,N66,P66,D66-$G$5,1,0)*AH66*AU66</f>
        <v>1.0163033575753808</v>
      </c>
      <c r="R66" s="135"/>
      <c r="S66" s="181">
        <f t="shared" si="37"/>
        <v>0</v>
      </c>
      <c r="T66" s="181">
        <f>_xll.xSPRDOPT(I66,H66,AQ66,AT66,O66,N66,P66,D66-$G$5,1,1)*AF66*F66*AH66</f>
        <v>0</v>
      </c>
      <c r="U66" s="135"/>
      <c r="V66" s="146">
        <f t="shared" si="38"/>
        <v>0</v>
      </c>
      <c r="W66" s="146"/>
      <c r="X66" s="338">
        <f t="shared" si="39"/>
        <v>0</v>
      </c>
      <c r="Y66" s="338">
        <f t="shared" si="15"/>
        <v>0</v>
      </c>
      <c r="Z66" s="338">
        <f t="shared" si="16"/>
        <v>0</v>
      </c>
      <c r="AA66" s="338">
        <f t="shared" si="17"/>
        <v>0</v>
      </c>
      <c r="AB66" s="338">
        <f t="shared" si="40"/>
        <v>0</v>
      </c>
      <c r="AC66" s="338">
        <f t="shared" si="41"/>
        <v>0</v>
      </c>
      <c r="AF66" s="138">
        <f t="shared" si="42"/>
        <v>1</v>
      </c>
      <c r="AG66" s="138">
        <f t="shared" si="43"/>
        <v>9</v>
      </c>
      <c r="AH66" s="138">
        <f t="shared" si="53"/>
        <v>30</v>
      </c>
      <c r="AI66" s="138">
        <f t="shared" si="44"/>
        <v>1354</v>
      </c>
      <c r="AJ66" s="138">
        <f t="shared" si="45"/>
        <v>1371</v>
      </c>
      <c r="AL66" s="136">
        <f t="shared" si="19"/>
        <v>3.387</v>
      </c>
      <c r="AM66" s="258">
        <f t="shared" si="20"/>
        <v>0.14499999999999999</v>
      </c>
      <c r="AN66" s="258">
        <f t="shared" si="21"/>
        <v>0</v>
      </c>
      <c r="AO66" s="258">
        <f t="shared" si="22"/>
        <v>0.17499999999999999</v>
      </c>
      <c r="AP66" s="258">
        <f t="shared" si="23"/>
        <v>0</v>
      </c>
      <c r="AQ66" s="136">
        <f t="shared" si="46"/>
        <v>0</v>
      </c>
      <c r="AR66" s="137">
        <f t="shared" si="24"/>
        <v>0</v>
      </c>
      <c r="AS66" s="136">
        <f t="shared" si="47"/>
        <v>3.532</v>
      </c>
      <c r="AT66" s="137">
        <f t="shared" si="48"/>
        <v>4.8611805940590898E-2</v>
      </c>
      <c r="AU66" s="137">
        <f t="shared" si="25"/>
        <v>0.8353602510393674</v>
      </c>
      <c r="AV66" s="394">
        <f t="shared" si="49"/>
        <v>0</v>
      </c>
      <c r="AW66" s="137">
        <f t="shared" si="26"/>
        <v>0.28499999999999998</v>
      </c>
      <c r="AX66" s="137">
        <f t="shared" si="27"/>
        <v>0.6</v>
      </c>
      <c r="AY66" s="137">
        <f t="shared" si="28"/>
        <v>0.6</v>
      </c>
      <c r="AZ66" s="137"/>
      <c r="BA66" s="264"/>
      <c r="BB66" s="258">
        <f t="shared" si="29"/>
        <v>0</v>
      </c>
      <c r="BC66" s="258">
        <f t="shared" si="50"/>
        <v>0</v>
      </c>
      <c r="BD66" s="137">
        <f t="shared" si="51"/>
        <v>1.1503404332702249E-5</v>
      </c>
      <c r="BE66" s="137">
        <f t="shared" si="52"/>
        <v>1.1503404332702249E-5</v>
      </c>
      <c r="BF66" s="137">
        <f>_xll.xSPRDOPT($BW66,$BV66,$CG66,0,$BY66,$BX66,$BZ66,$AJ66,1,4)*$CB66</f>
        <v>1.6619198843732859</v>
      </c>
      <c r="BG66" s="137">
        <f>_xll.xSPRDOPT($BW66,$BV66,$CG66,0,$BY66,$BX66,$BZ66,$AJ66,1,3)*$CB66</f>
        <v>1.6340438145519689</v>
      </c>
      <c r="BH66" s="137">
        <f>IF(OR(BF66&lt;&gt;0,BG66&lt;&gt;0),_xll.xSPRDOPT($BW66,$BV66,$CG66,0,$BY66,$BX66,$BZ66,$AJ66,1,12)*$CB66,0)</f>
        <v>-1.6479240870793925</v>
      </c>
      <c r="BI66" s="137">
        <f>_xll.xSPRDOPT($BW66,$BV66,$CG66,2*LN(1+CA66/2),$BY66,$BX66,$BZ66,$AJ66,1,9)</f>
        <v>-7.0406724727664627E-4</v>
      </c>
      <c r="BJ66" s="137">
        <f>_xll.xSPRDOPT($BW66,$BV66,$CG66,0,$BY66,$BX66,$BZ66,$AJ66,1,6)*$CB66</f>
        <v>3.0990704678454262E-2</v>
      </c>
      <c r="BK66" s="137">
        <f>_xll.xSPRDOPT($BW66,$BV66,$CG66,0,$BY66,$BX66,$BZ66,$AJ66,1,5)*$CB66</f>
        <v>3.0995377013724287E-2</v>
      </c>
      <c r="BL66" s="137">
        <f>_xll.xSPRDOPT(BW66,BV66,CG66,0,BY66,BX66,BZ66,AJ66,1,2)*CB66</f>
        <v>-0.68953015022874919</v>
      </c>
      <c r="BM66" s="137">
        <f>_xll.xSPRDOPT(BW66,BV66,CG66,0,BY66,BX66,BZ66,AJ66,1,1)*CB66</f>
        <v>0.693228287992666</v>
      </c>
      <c r="BN66" s="137">
        <f>IF(AH66&lt;&gt;0,_xll.xSPRDOPT($BW66,$BV66,$CG66,2*LN(1+CA66/2),$BY66,$BX66,$BZ66,$AJ66,1,8)+(AJ66/365.25)*CH66/AH66,0)</f>
        <v>-0.13230093200455162</v>
      </c>
      <c r="BO66" s="137">
        <f>_xll.xSPRDOPT($BW66,$BV66,$CG66,0,$BY66,$BX66,$BZ66,$AJ66,1,0)</f>
        <v>4.0547826718863929E-2</v>
      </c>
      <c r="BP66" s="137"/>
      <c r="BQ66" s="137"/>
      <c r="BR66" s="137"/>
      <c r="BS66" s="137"/>
      <c r="BV66" s="262">
        <v>3.532</v>
      </c>
      <c r="BW66" s="136">
        <v>3.5619999999999998</v>
      </c>
      <c r="BX66" s="137">
        <v>0.29029783263512843</v>
      </c>
      <c r="BY66" s="137">
        <v>0.29029783263512843</v>
      </c>
      <c r="BZ66" s="137">
        <v>0.99953296216798981</v>
      </c>
      <c r="CA66" s="137">
        <v>4.8611805940590898E-2</v>
      </c>
      <c r="CB66" s="137">
        <v>0.8350307660330849</v>
      </c>
      <c r="CC66" s="258">
        <v>0.14499999999999999</v>
      </c>
      <c r="CD66" s="258">
        <v>0</v>
      </c>
      <c r="CE66" s="258">
        <v>0.17499999999999999</v>
      </c>
      <c r="CF66" s="258">
        <v>0</v>
      </c>
      <c r="CG66" s="258">
        <v>0</v>
      </c>
      <c r="CH66" s="258">
        <v>0</v>
      </c>
      <c r="CI66" s="258">
        <v>3.387</v>
      </c>
      <c r="CJ66" s="258"/>
      <c r="CK66" s="258"/>
      <c r="CL66" s="258"/>
      <c r="CM66" s="258"/>
    </row>
    <row r="67" spans="1:91" x14ac:dyDescent="0.25">
      <c r="A67" s="723"/>
      <c r="B67" s="723"/>
      <c r="D67" s="31">
        <f t="shared" si="30"/>
        <v>38640</v>
      </c>
      <c r="F67" s="28">
        <f t="shared" si="31"/>
        <v>0</v>
      </c>
      <c r="G67" s="28">
        <f t="shared" si="12"/>
        <v>0</v>
      </c>
      <c r="H67" s="52">
        <f t="shared" si="32"/>
        <v>3.5569999999999999</v>
      </c>
      <c r="I67" s="52">
        <f t="shared" si="33"/>
        <v>3.5869999999999997</v>
      </c>
      <c r="K67" s="52">
        <f t="shared" si="34"/>
        <v>0.77267827543688705</v>
      </c>
      <c r="L67" s="135">
        <f t="shared" si="35"/>
        <v>0.33038671507378936</v>
      </c>
      <c r="N67" s="131">
        <f t="shared" si="13"/>
        <v>0.29155574372156456</v>
      </c>
      <c r="O67" s="131">
        <f t="shared" si="14"/>
        <v>0.29155574372156456</v>
      </c>
      <c r="P67" s="55">
        <f t="shared" si="36"/>
        <v>0.99944951903577695</v>
      </c>
      <c r="Q67" s="135">
        <f>_xll.xSPRDOPT(I67,H67,AQ67,0,O67,N67,P67,D67-$G$5,1,0)*AH67*AU67</f>
        <v>1.1030649905106764</v>
      </c>
      <c r="R67" s="135"/>
      <c r="S67" s="181">
        <f t="shared" si="37"/>
        <v>0</v>
      </c>
      <c r="T67" s="181">
        <f>_xll.xSPRDOPT(I67,H67,AQ67,AT67,O67,N67,P67,D67-$G$5,1,1)*AF67*F67*AH67</f>
        <v>0</v>
      </c>
      <c r="U67" s="135"/>
      <c r="V67" s="146">
        <f t="shared" si="38"/>
        <v>0</v>
      </c>
      <c r="W67" s="146"/>
      <c r="X67" s="338">
        <f t="shared" si="39"/>
        <v>0</v>
      </c>
      <c r="Y67" s="338">
        <f t="shared" si="15"/>
        <v>0</v>
      </c>
      <c r="Z67" s="338">
        <f t="shared" si="16"/>
        <v>0</v>
      </c>
      <c r="AA67" s="338">
        <f t="shared" si="17"/>
        <v>0</v>
      </c>
      <c r="AB67" s="338">
        <f t="shared" si="40"/>
        <v>0</v>
      </c>
      <c r="AC67" s="338">
        <f t="shared" si="41"/>
        <v>0</v>
      </c>
      <c r="AF67" s="138">
        <f t="shared" si="42"/>
        <v>1</v>
      </c>
      <c r="AG67" s="138">
        <f t="shared" si="43"/>
        <v>10</v>
      </c>
      <c r="AH67" s="138">
        <f t="shared" si="53"/>
        <v>31</v>
      </c>
      <c r="AI67" s="138">
        <f t="shared" si="44"/>
        <v>1384</v>
      </c>
      <c r="AJ67" s="138">
        <f t="shared" si="45"/>
        <v>1401</v>
      </c>
      <c r="AL67" s="136">
        <f t="shared" si="19"/>
        <v>3.4119999999999999</v>
      </c>
      <c r="AM67" s="258">
        <f t="shared" si="20"/>
        <v>0.14499999999999999</v>
      </c>
      <c r="AN67" s="258">
        <f t="shared" si="21"/>
        <v>0</v>
      </c>
      <c r="AO67" s="258">
        <f t="shared" si="22"/>
        <v>0.17499999999999999</v>
      </c>
      <c r="AP67" s="258">
        <f t="shared" si="23"/>
        <v>0</v>
      </c>
      <c r="AQ67" s="136">
        <f t="shared" si="46"/>
        <v>0</v>
      </c>
      <c r="AR67" s="137">
        <f t="shared" si="24"/>
        <v>0</v>
      </c>
      <c r="AS67" s="136">
        <f t="shared" si="47"/>
        <v>3.5569999999999999</v>
      </c>
      <c r="AT67" s="137">
        <f t="shared" si="48"/>
        <v>4.9009151354921801E-2</v>
      </c>
      <c r="AU67" s="137">
        <f t="shared" si="25"/>
        <v>0.83083685530848617</v>
      </c>
      <c r="AV67" s="394">
        <f t="shared" si="49"/>
        <v>0</v>
      </c>
      <c r="AW67" s="137">
        <f t="shared" si="26"/>
        <v>0.28499999999999998</v>
      </c>
      <c r="AX67" s="137">
        <f t="shared" si="27"/>
        <v>0.65</v>
      </c>
      <c r="AY67" s="137">
        <f t="shared" si="28"/>
        <v>0.65</v>
      </c>
      <c r="AZ67" s="137"/>
      <c r="BA67" s="264"/>
      <c r="BB67" s="258">
        <f t="shared" si="29"/>
        <v>0</v>
      </c>
      <c r="BC67" s="258">
        <f t="shared" si="50"/>
        <v>0</v>
      </c>
      <c r="BD67" s="137">
        <f t="shared" si="51"/>
        <v>1.3865654850730991E-5</v>
      </c>
      <c r="BE67" s="137">
        <f t="shared" si="52"/>
        <v>1.3865654850730991E-5</v>
      </c>
      <c r="BF67" s="137">
        <f>_xll.xSPRDOPT($BW67,$BV67,$CG67,0,$BY67,$BX67,$BZ67,$AJ67,1,4)*$CB67</f>
        <v>1.9062532204421121</v>
      </c>
      <c r="BG67" s="137">
        <f>_xll.xSPRDOPT($BW67,$BV67,$CG67,0,$BY67,$BX67,$BZ67,$AJ67,1,3)*$CB67</f>
        <v>1.8745005544165143</v>
      </c>
      <c r="BH67" s="137">
        <f>IF(OR(BF67&lt;&gt;0,BG67&lt;&gt;0),_xll.xSPRDOPT($BW67,$BV67,$CG67,0,$BY67,$BX67,$BZ67,$AJ67,1,12)*$CB67,0)</f>
        <v>-1.8903107520275981</v>
      </c>
      <c r="BI67" s="137">
        <f>_xll.xSPRDOPT($BW67,$BV67,$CG67,2*LN(1+CA67/2),$BY67,$BX67,$BZ67,$AJ67,1,9)</f>
        <v>-8.5312477431411676E-4</v>
      </c>
      <c r="BJ67" s="137">
        <f>_xll.xSPRDOPT($BW67,$BV67,$CG67,0,$BY67,$BX67,$BZ67,$AJ67,1,6)*$CB67</f>
        <v>3.4807740193717664E-2</v>
      </c>
      <c r="BK67" s="137">
        <f>_xll.xSPRDOPT($BW67,$BV67,$CG67,0,$BY67,$BX67,$BZ67,$AJ67,1,5)*$CB67</f>
        <v>3.481390481779504E-2</v>
      </c>
      <c r="BL67" s="137">
        <f>_xll.xSPRDOPT(BW67,BV67,CG67,0,BY67,BX67,BZ67,AJ67,1,2)*CB67</f>
        <v>-0.6589824688084206</v>
      </c>
      <c r="BM67" s="137">
        <f>_xll.xSPRDOPT(BW67,BV67,CG67,0,BY67,BX67,BZ67,AJ67,1,1)*CB67</f>
        <v>0.663385431524952</v>
      </c>
      <c r="BN67" s="137">
        <f>IF(AH67&lt;&gt;0,_xll.xSPRDOPT($BW67,$BV67,$CG67,2*LN(1+CA67/2),$BY67,$BX67,$BZ67,$AJ67,1,8)+(AJ67/365.25)*CH67/AH67,0)</f>
        <v>-0.142022675809269</v>
      </c>
      <c r="BO67" s="137">
        <f>_xll.xSPRDOPT($BW67,$BV67,$CG67,0,$BY67,$BX67,$BZ67,$AJ67,1,0)</f>
        <v>4.2820754620007298E-2</v>
      </c>
      <c r="BP67" s="137"/>
      <c r="BQ67" s="137"/>
      <c r="BR67" s="137"/>
      <c r="BS67" s="137"/>
      <c r="BV67" s="262">
        <v>3.5569999999999999</v>
      </c>
      <c r="BW67" s="136">
        <v>3.5869999999999997</v>
      </c>
      <c r="BX67" s="137">
        <v>0.29154187806671383</v>
      </c>
      <c r="BY67" s="137">
        <v>0.29154187806671383</v>
      </c>
      <c r="BZ67" s="137">
        <v>0.99945064428446728</v>
      </c>
      <c r="CA67" s="137">
        <v>4.9009151354921801E-2</v>
      </c>
      <c r="CB67" s="137">
        <v>0.83050650854564589</v>
      </c>
      <c r="CC67" s="258">
        <v>0.14499999999999999</v>
      </c>
      <c r="CD67" s="258">
        <v>0</v>
      </c>
      <c r="CE67" s="258">
        <v>0.17499999999999999</v>
      </c>
      <c r="CF67" s="258">
        <v>0</v>
      </c>
      <c r="CG67" s="258">
        <v>0</v>
      </c>
      <c r="CH67" s="258">
        <v>0</v>
      </c>
      <c r="CI67" s="258">
        <v>3.4119999999999999</v>
      </c>
      <c r="CJ67" s="258"/>
      <c r="CK67" s="258"/>
      <c r="CL67" s="258"/>
      <c r="CM67" s="258"/>
    </row>
    <row r="68" spans="1:91" x14ac:dyDescent="0.25">
      <c r="A68" s="723"/>
      <c r="B68" s="723"/>
      <c r="D68" s="31">
        <f t="shared" si="30"/>
        <v>38671</v>
      </c>
      <c r="F68" s="28">
        <f t="shared" si="31"/>
        <v>9189</v>
      </c>
      <c r="G68" s="28">
        <f t="shared" si="12"/>
        <v>7592.1430697108726</v>
      </c>
      <c r="H68" s="52">
        <f t="shared" si="32"/>
        <v>3.944</v>
      </c>
      <c r="I68" s="52">
        <f t="shared" si="33"/>
        <v>3.944</v>
      </c>
      <c r="K68" s="52">
        <f t="shared" si="34"/>
        <v>0</v>
      </c>
      <c r="L68" s="135">
        <f t="shared" si="35"/>
        <v>0.78478410461576753</v>
      </c>
      <c r="N68" s="131">
        <f t="shared" si="13"/>
        <v>0.29510383973065518</v>
      </c>
      <c r="O68" s="131">
        <f t="shared" si="14"/>
        <v>0.29510383973065518</v>
      </c>
      <c r="P68" s="55">
        <f t="shared" si="36"/>
        <v>0.99922912231359662</v>
      </c>
      <c r="Q68" s="135">
        <f>_xll.xSPRDOPT(I68,H68,AQ68,0,O68,N68,P68,D68-$G$5,1,0)*AH68*AU68</f>
        <v>0.78478410461576753</v>
      </c>
      <c r="R68" s="135"/>
      <c r="S68" s="181">
        <f t="shared" si="37"/>
        <v>-114527.2030069124</v>
      </c>
      <c r="T68" s="181">
        <f>_xll.xSPRDOPT(I68,H68,AQ68,AT68,O68,N68,P68,D68-$G$5,1,1)*AF68*F68*AH68</f>
        <v>114527.2030069124</v>
      </c>
      <c r="U68" s="135"/>
      <c r="V68" s="146">
        <f t="shared" si="38"/>
        <v>0</v>
      </c>
      <c r="W68" s="146"/>
      <c r="X68" s="338">
        <f t="shared" si="39"/>
        <v>0</v>
      </c>
      <c r="Y68" s="338">
        <f t="shared" si="15"/>
        <v>0</v>
      </c>
      <c r="Z68" s="338">
        <f t="shared" si="16"/>
        <v>-5.3094224500152496</v>
      </c>
      <c r="AA68" s="338">
        <f t="shared" si="17"/>
        <v>0.57845249389293329</v>
      </c>
      <c r="AB68" s="338">
        <f t="shared" si="40"/>
        <v>0</v>
      </c>
      <c r="AC68" s="338">
        <f t="shared" si="41"/>
        <v>2.9215143250802775</v>
      </c>
      <c r="AF68" s="138">
        <f t="shared" si="42"/>
        <v>1</v>
      </c>
      <c r="AG68" s="138">
        <f t="shared" si="43"/>
        <v>11</v>
      </c>
      <c r="AH68" s="138">
        <f t="shared" si="53"/>
        <v>30</v>
      </c>
      <c r="AI68" s="138">
        <f t="shared" si="44"/>
        <v>1415</v>
      </c>
      <c r="AJ68" s="138">
        <f t="shared" si="45"/>
        <v>1432</v>
      </c>
      <c r="AL68" s="136">
        <f t="shared" si="19"/>
        <v>3.5640000000000001</v>
      </c>
      <c r="AM68" s="258">
        <f t="shared" si="20"/>
        <v>0.38</v>
      </c>
      <c r="AN68" s="258">
        <f t="shared" si="21"/>
        <v>0</v>
      </c>
      <c r="AO68" s="258">
        <f t="shared" si="22"/>
        <v>0.38</v>
      </c>
      <c r="AP68" s="258">
        <f t="shared" si="23"/>
        <v>0</v>
      </c>
      <c r="AQ68" s="136">
        <f t="shared" si="46"/>
        <v>0</v>
      </c>
      <c r="AR68" s="137">
        <f t="shared" si="24"/>
        <v>0</v>
      </c>
      <c r="AS68" s="136">
        <f t="shared" si="47"/>
        <v>3.944</v>
      </c>
      <c r="AT68" s="137">
        <f t="shared" si="48"/>
        <v>4.9392017987160801E-2</v>
      </c>
      <c r="AU68" s="137">
        <f t="shared" si="25"/>
        <v>0.82622081507355238</v>
      </c>
      <c r="AV68" s="394">
        <f t="shared" si="49"/>
        <v>0</v>
      </c>
      <c r="AW68" s="137">
        <f t="shared" si="26"/>
        <v>0.28499999999999998</v>
      </c>
      <c r="AX68" s="137">
        <f t="shared" si="27"/>
        <v>0.8</v>
      </c>
      <c r="AY68" s="137">
        <f t="shared" si="28"/>
        <v>0.8</v>
      </c>
      <c r="AZ68" s="137"/>
      <c r="BA68" s="264"/>
      <c r="BB68" s="258">
        <f t="shared" si="29"/>
        <v>0</v>
      </c>
      <c r="BC68" s="258">
        <f t="shared" si="50"/>
        <v>0</v>
      </c>
      <c r="BD68" s="137">
        <f t="shared" si="51"/>
        <v>2.0791110959539338E-5</v>
      </c>
      <c r="BE68" s="137">
        <f t="shared" si="52"/>
        <v>2.0791110959539338E-5</v>
      </c>
      <c r="BF68" s="137">
        <f>_xll.xSPRDOPT($BW68,$BV68,$CG68,0,$BY68,$BX68,$BZ68,$AJ68,1,4)*$CB68</f>
        <v>6243.8826234971475</v>
      </c>
      <c r="BG68" s="137">
        <f>_xll.xSPRDOPT($BW68,$BV68,$CG68,0,$BY68,$BX68,$BZ68,$AJ68,1,3)*$CB68</f>
        <v>6243.8826234845019</v>
      </c>
      <c r="BH68" s="137">
        <f>IF(OR(BF68&lt;&gt;0,BG68&lt;&gt;0),_xll.xSPRDOPT($BW68,$BV68,$CG68,0,$BY68,$BX68,$BZ68,$AJ68,1,12)*$CB68,0)</f>
        <v>-6243.882633005609</v>
      </c>
      <c r="BI68" s="137">
        <f>_xll.xSPRDOPT($BW68,$BV68,$CG68,2*LN(1+CA68/2),$BY68,$BX68,$BZ68,$AJ68,1,9)</f>
        <v>-2.3449130601420421E-3</v>
      </c>
      <c r="BJ68" s="137">
        <f>_xll.xSPRDOPT($BW68,$BV68,$CG68,0,$BY68,$BX68,$BZ68,$AJ68,1,6)*$CB68</f>
        <v>5.0244425708357583E-2</v>
      </c>
      <c r="BK68" s="137">
        <f>_xll.xSPRDOPT($BW68,$BV68,$CG68,0,$BY68,$BX68,$BZ68,$AJ68,1,5)*$CB68</f>
        <v>5.0680978014191989E-2</v>
      </c>
      <c r="BL68" s="137">
        <f>_xll.xSPRDOPT(BW68,BV68,CG68,0,BY68,BX68,BZ68,AJ68,1,2)*CB68</f>
        <v>-0.40963312858403228</v>
      </c>
      <c r="BM68" s="137">
        <f>_xll.xSPRDOPT(BW68,BV68,CG68,0,BY68,BX68,BZ68,AJ68,1,1)*CB68</f>
        <v>0.41625672291110427</v>
      </c>
      <c r="BN68" s="137">
        <f>IF(AH68&lt;&gt;0,_xll.xSPRDOPT($BW68,$BV68,$CG68,2*LN(1+CA68/2),$BY68,$BX68,$BZ68,$AJ68,1,8)+(AJ68/365.25)*CH68/AH68,0)</f>
        <v>-0.11676648435088717</v>
      </c>
      <c r="BO68" s="137">
        <f>_xll.xSPRDOPT($BW68,$BV68,$CG68,0,$BY68,$BX68,$BZ68,$AJ68,1,0)</f>
        <v>3.1630687199316804E-2</v>
      </c>
      <c r="BP68" s="137"/>
      <c r="BQ68" s="137"/>
      <c r="BR68" s="137"/>
      <c r="BS68" s="137"/>
      <c r="BV68" s="262">
        <v>3.944</v>
      </c>
      <c r="BW68" s="136">
        <v>3.944</v>
      </c>
      <c r="BX68" s="137">
        <v>0.29508304861969564</v>
      </c>
      <c r="BY68" s="137">
        <v>0.29508304861969564</v>
      </c>
      <c r="BZ68" s="137">
        <v>0.99923062774765059</v>
      </c>
      <c r="CA68" s="137">
        <v>4.9392017987160801E-2</v>
      </c>
      <c r="CB68" s="137">
        <v>0.82588976886354881</v>
      </c>
      <c r="CC68" s="258">
        <v>0.38</v>
      </c>
      <c r="CD68" s="258">
        <v>0</v>
      </c>
      <c r="CE68" s="258">
        <v>0.38</v>
      </c>
      <c r="CF68" s="258">
        <v>0</v>
      </c>
      <c r="CG68" s="258">
        <v>0</v>
      </c>
      <c r="CH68" s="258">
        <v>0</v>
      </c>
      <c r="CI68" s="258">
        <v>3.5640000000000001</v>
      </c>
      <c r="CJ68" s="258"/>
      <c r="CK68" s="258"/>
      <c r="CL68" s="258"/>
      <c r="CM68" s="258"/>
    </row>
    <row r="69" spans="1:91" x14ac:dyDescent="0.25">
      <c r="A69" s="723"/>
      <c r="B69" s="723"/>
      <c r="D69" s="31">
        <f t="shared" si="30"/>
        <v>38701</v>
      </c>
      <c r="F69" s="28">
        <f t="shared" si="31"/>
        <v>9189</v>
      </c>
      <c r="G69" s="28">
        <f t="shared" si="12"/>
        <v>7550.8649201271892</v>
      </c>
      <c r="H69" s="52">
        <f t="shared" si="32"/>
        <v>4.0869999999999997</v>
      </c>
      <c r="I69" s="52">
        <f t="shared" si="33"/>
        <v>4.0869999999999997</v>
      </c>
      <c r="K69" s="52">
        <f t="shared" si="34"/>
        <v>0</v>
      </c>
      <c r="L69" s="135">
        <f t="shared" si="35"/>
        <v>1.3302805950420511</v>
      </c>
      <c r="N69" s="131">
        <f t="shared" si="13"/>
        <v>0.3052940674956946</v>
      </c>
      <c r="O69" s="131">
        <f t="shared" si="14"/>
        <v>0.3052940674956946</v>
      </c>
      <c r="P69" s="55">
        <f t="shared" si="36"/>
        <v>0.99862222348739793</v>
      </c>
      <c r="Q69" s="135">
        <f>_xll.xSPRDOPT(I69,H69,AQ69,0,O69,N69,P69,D69-$G$5,1,0)*AH69*AU69</f>
        <v>1.3302805950420511</v>
      </c>
      <c r="R69" s="135"/>
      <c r="S69" s="181">
        <f t="shared" si="37"/>
        <v>-118245.88358474219</v>
      </c>
      <c r="T69" s="181">
        <f>_xll.xSPRDOPT(I69,H69,AQ69,AT69,O69,N69,P69,D69-$G$5,1,1)*AF69*F69*AH69</f>
        <v>118245.88358474219</v>
      </c>
      <c r="U69" s="135"/>
      <c r="V69" s="146">
        <f t="shared" si="38"/>
        <v>0</v>
      </c>
      <c r="W69" s="146"/>
      <c r="X69" s="338">
        <f t="shared" si="39"/>
        <v>0</v>
      </c>
      <c r="Y69" s="338">
        <f t="shared" si="15"/>
        <v>0</v>
      </c>
      <c r="Z69" s="338">
        <f t="shared" si="16"/>
        <v>-7.6024167186950642</v>
      </c>
      <c r="AA69" s="338">
        <f t="shared" si="17"/>
        <v>1.6098436811782879</v>
      </c>
      <c r="AB69" s="338">
        <f t="shared" si="40"/>
        <v>0</v>
      </c>
      <c r="AC69" s="338">
        <f t="shared" si="41"/>
        <v>4.9942485110713157</v>
      </c>
      <c r="AF69" s="138">
        <f t="shared" si="42"/>
        <v>1</v>
      </c>
      <c r="AG69" s="138">
        <f t="shared" si="43"/>
        <v>12</v>
      </c>
      <c r="AH69" s="138">
        <f t="shared" si="53"/>
        <v>31</v>
      </c>
      <c r="AI69" s="138">
        <f t="shared" si="44"/>
        <v>1445</v>
      </c>
      <c r="AJ69" s="138">
        <f t="shared" si="45"/>
        <v>1462</v>
      </c>
      <c r="AL69" s="136">
        <f t="shared" si="19"/>
        <v>3.7069999999999999</v>
      </c>
      <c r="AM69" s="258">
        <f t="shared" si="20"/>
        <v>0.38</v>
      </c>
      <c r="AN69" s="258">
        <f t="shared" si="21"/>
        <v>0</v>
      </c>
      <c r="AO69" s="258">
        <f t="shared" si="22"/>
        <v>0.38</v>
      </c>
      <c r="AP69" s="258">
        <f t="shared" si="23"/>
        <v>0</v>
      </c>
      <c r="AQ69" s="136">
        <f t="shared" si="46"/>
        <v>0</v>
      </c>
      <c r="AR69" s="137">
        <f t="shared" si="24"/>
        <v>0</v>
      </c>
      <c r="AS69" s="136">
        <f t="shared" si="47"/>
        <v>4.0869999999999997</v>
      </c>
      <c r="AT69" s="137">
        <f t="shared" si="48"/>
        <v>4.97625341294907E-2</v>
      </c>
      <c r="AU69" s="137">
        <f t="shared" si="25"/>
        <v>0.82172868866331361</v>
      </c>
      <c r="AV69" s="394">
        <f t="shared" si="49"/>
        <v>0</v>
      </c>
      <c r="AW69" s="137">
        <f t="shared" si="26"/>
        <v>0.28499999999999998</v>
      </c>
      <c r="AX69" s="137">
        <f t="shared" si="27"/>
        <v>1.1000000000000001</v>
      </c>
      <c r="AY69" s="137">
        <f t="shared" si="28"/>
        <v>1.1000000000000001</v>
      </c>
      <c r="AZ69" s="137"/>
      <c r="BA69" s="264"/>
      <c r="BB69" s="258">
        <f t="shared" si="29"/>
        <v>0</v>
      </c>
      <c r="BC69" s="258">
        <f t="shared" si="50"/>
        <v>0</v>
      </c>
      <c r="BD69" s="137">
        <f t="shared" si="51"/>
        <v>4.0220391602729944E-5</v>
      </c>
      <c r="BE69" s="137">
        <f t="shared" si="52"/>
        <v>4.0220391602729944E-5</v>
      </c>
      <c r="BF69" s="137">
        <f>_xll.xSPRDOPT($BW69,$BV69,$CG69,0,$BY69,$BX69,$BZ69,$AJ69,1,4)*$CB69</f>
        <v>2.5029210733792664</v>
      </c>
      <c r="BG69" s="137">
        <f>_xll.xSPRDOPT($BW69,$BV69,$CG69,0,$BY69,$BX69,$BZ69,$AJ69,1,3)*$CB69</f>
        <v>2.5029210251624781</v>
      </c>
      <c r="BH69" s="137">
        <f>IF(OR(BF69&lt;&gt;0,BG69&lt;&gt;0),_xll.xSPRDOPT($BW69,$BV69,$CG69,0,$BY69,$BX69,$BZ69,$AJ69,1,12)*$CB69,0)</f>
        <v>-2.5029297877773558</v>
      </c>
      <c r="BI69" s="137">
        <f>_xll.xSPRDOPT($BW69,$BV69,$CG69,2*LN(1+CA69/2),$BY69,$BX69,$BZ69,$AJ69,1,9)</f>
        <v>-3.2493066236317755E-3</v>
      </c>
      <c r="BJ69" s="137">
        <f>_xll.xSPRDOPT($BW69,$BV69,$CG69,0,$BY69,$BX69,$BZ69,$AJ69,1,6)*$CB69</f>
        <v>7.0052051196284534E-2</v>
      </c>
      <c r="BK69" s="137">
        <f>_xll.xSPRDOPT($BW69,$BV69,$CG69,0,$BY69,$BX69,$BZ69,$AJ69,1,5)*$CB69</f>
        <v>7.0458024310208714E-2</v>
      </c>
      <c r="BL69" s="137">
        <f>_xll.xSPRDOPT(BW69,BV69,CG69,0,BY69,BX69,BZ69,AJ69,1,2)*CB69</f>
        <v>-0.40545080617292323</v>
      </c>
      <c r="BM69" s="137">
        <f>_xll.xSPRDOPT(BW69,BV69,CG69,0,BY69,BX69,BZ69,AJ69,1,1)*CB69</f>
        <v>0.41594627803513373</v>
      </c>
      <c r="BN69" s="137">
        <f>IF(AH69&lt;&gt;0,_xll.xSPRDOPT($BW69,$BV69,$CG69,2*LN(1+CA69/2),$BY69,$BX69,$BZ69,$AJ69,1,8)+(AJ69/365.25)*CH69/AH69,0)</f>
        <v>-0.1716974451385834</v>
      </c>
      <c r="BO69" s="137">
        <f>_xll.xSPRDOPT($BW69,$BV69,$CG69,0,$BY69,$BX69,$BZ69,$AJ69,1,0)</f>
        <v>5.2222008475290793E-2</v>
      </c>
      <c r="BP69" s="137"/>
      <c r="BQ69" s="137"/>
      <c r="BR69" s="137"/>
      <c r="BS69" s="137"/>
      <c r="BV69" s="262">
        <v>4.0869999999999997</v>
      </c>
      <c r="BW69" s="136">
        <v>4.0869999999999997</v>
      </c>
      <c r="BX69" s="137">
        <v>0.30525384710409187</v>
      </c>
      <c r="BY69" s="137">
        <v>0.30525384710409187</v>
      </c>
      <c r="BZ69" s="137">
        <v>0.99862468541191229</v>
      </c>
      <c r="CA69" s="137">
        <v>4.97625341294907E-2</v>
      </c>
      <c r="CB69" s="137">
        <v>0.82139700307971564</v>
      </c>
      <c r="CC69" s="258">
        <v>0.38</v>
      </c>
      <c r="CD69" s="258">
        <v>0</v>
      </c>
      <c r="CE69" s="258">
        <v>0.38</v>
      </c>
      <c r="CF69" s="258">
        <v>0</v>
      </c>
      <c r="CG69" s="258">
        <v>0</v>
      </c>
      <c r="CH69" s="258">
        <v>0</v>
      </c>
      <c r="CI69" s="258">
        <v>3.7069999999999999</v>
      </c>
      <c r="CJ69" s="258"/>
      <c r="CK69" s="258"/>
      <c r="CL69" s="258"/>
      <c r="CM69" s="258"/>
    </row>
    <row r="70" spans="1:91" x14ac:dyDescent="0.25">
      <c r="A70" s="723"/>
      <c r="B70" s="723"/>
      <c r="D70" s="31">
        <f t="shared" si="30"/>
        <v>38732</v>
      </c>
      <c r="F70" s="28">
        <f t="shared" si="31"/>
        <v>9189</v>
      </c>
      <c r="G70" s="28">
        <f t="shared" si="12"/>
        <v>7508.6236529848993</v>
      </c>
      <c r="H70" s="52">
        <f t="shared" si="32"/>
        <v>4.1420000000000003</v>
      </c>
      <c r="I70" s="52">
        <f t="shared" si="33"/>
        <v>4.1420000000000003</v>
      </c>
      <c r="K70" s="52">
        <f t="shared" si="34"/>
        <v>0</v>
      </c>
      <c r="L70" s="135">
        <f t="shared" si="35"/>
        <v>1.3406548875844631</v>
      </c>
      <c r="N70" s="131">
        <f t="shared" si="13"/>
        <v>0.30488601322352626</v>
      </c>
      <c r="O70" s="131">
        <f t="shared" si="14"/>
        <v>0.30488601322352626</v>
      </c>
      <c r="P70" s="55">
        <f t="shared" si="36"/>
        <v>0.99864724605840471</v>
      </c>
      <c r="Q70" s="135">
        <f>_xll.xSPRDOPT(I70,H70,AQ70,0,O70,N70,P70,D70-$G$5,1,0)*AH70*AU70</f>
        <v>1.3406548875844631</v>
      </c>
      <c r="R70" s="135"/>
      <c r="S70" s="181">
        <f t="shared" si="37"/>
        <v>-117574.10495500966</v>
      </c>
      <c r="T70" s="181">
        <f>_xll.xSPRDOPT(I70,H70,AQ70,AT70,O70,N70,P70,D70-$G$5,1,1)*AF70*F70*AH70</f>
        <v>117574.10495500966</v>
      </c>
      <c r="U70" s="135"/>
      <c r="V70" s="146">
        <f t="shared" si="38"/>
        <v>0</v>
      </c>
      <c r="W70" s="146"/>
      <c r="X70" s="338">
        <f t="shared" si="39"/>
        <v>0</v>
      </c>
      <c r="Y70" s="338">
        <f t="shared" si="15"/>
        <v>0</v>
      </c>
      <c r="Z70" s="338">
        <f t="shared" si="16"/>
        <v>-7.3637142392706343</v>
      </c>
      <c r="AA70" s="338">
        <f t="shared" si="17"/>
        <v>1.5598745895862276</v>
      </c>
      <c r="AB70" s="338">
        <f t="shared" si="40"/>
        <v>0</v>
      </c>
      <c r="AC70" s="338">
        <f t="shared" si="41"/>
        <v>5.0697283917748583</v>
      </c>
      <c r="AF70" s="138">
        <f t="shared" si="42"/>
        <v>1</v>
      </c>
      <c r="AG70" s="138">
        <f t="shared" si="43"/>
        <v>1</v>
      </c>
      <c r="AH70" s="138">
        <f t="shared" si="53"/>
        <v>31</v>
      </c>
      <c r="AI70" s="138">
        <f t="shared" si="44"/>
        <v>1476</v>
      </c>
      <c r="AJ70" s="138">
        <f t="shared" si="45"/>
        <v>1493</v>
      </c>
      <c r="AL70" s="136">
        <f t="shared" si="19"/>
        <v>3.762</v>
      </c>
      <c r="AM70" s="258">
        <f t="shared" si="20"/>
        <v>0.38</v>
      </c>
      <c r="AN70" s="258">
        <f t="shared" si="21"/>
        <v>0</v>
      </c>
      <c r="AO70" s="258">
        <f t="shared" si="22"/>
        <v>0.38</v>
      </c>
      <c r="AP70" s="258">
        <f t="shared" si="23"/>
        <v>0</v>
      </c>
      <c r="AQ70" s="136">
        <f t="shared" si="46"/>
        <v>0</v>
      </c>
      <c r="AR70" s="137">
        <f t="shared" si="24"/>
        <v>0</v>
      </c>
      <c r="AS70" s="136">
        <f t="shared" si="47"/>
        <v>4.1420000000000003</v>
      </c>
      <c r="AT70" s="137">
        <f t="shared" si="48"/>
        <v>5.0123867010087399E-2</v>
      </c>
      <c r="AU70" s="137">
        <f t="shared" si="25"/>
        <v>0.81713175024321461</v>
      </c>
      <c r="AV70" s="394">
        <f t="shared" si="49"/>
        <v>0</v>
      </c>
      <c r="AW70" s="137">
        <f t="shared" si="26"/>
        <v>0.28499999999999998</v>
      </c>
      <c r="AX70" s="137">
        <f t="shared" si="27"/>
        <v>1.1000000000000001</v>
      </c>
      <c r="AY70" s="137">
        <f t="shared" si="28"/>
        <v>1.1000000000000001</v>
      </c>
      <c r="AZ70" s="137"/>
      <c r="BA70" s="264"/>
      <c r="BB70" s="258">
        <f t="shared" si="29"/>
        <v>0</v>
      </c>
      <c r="BC70" s="258">
        <f t="shared" si="50"/>
        <v>0</v>
      </c>
      <c r="BD70" s="137">
        <f t="shared" si="51"/>
        <v>3.8619012735274794E-5</v>
      </c>
      <c r="BE70" s="137">
        <f t="shared" si="52"/>
        <v>3.8619012735274794E-5</v>
      </c>
      <c r="BF70" s="137">
        <f>_xll.xSPRDOPT($BW70,$BV70,$CG70,0,$BY70,$BX70,$BZ70,$AJ70,1,4)*$CB70</f>
        <v>2.4558365229529473</v>
      </c>
      <c r="BG70" s="137">
        <f>_xll.xSPRDOPT($BW70,$BV70,$CG70,0,$BY70,$BX70,$BZ70,$AJ70,1,3)*$CB70</f>
        <v>2.4558364756276116</v>
      </c>
      <c r="BH70" s="137">
        <f>IF(OR(BF70&lt;&gt;0,BG70&lt;&gt;0),_xll.xSPRDOPT($BW70,$BV70,$CG70,0,$BY70,$BX70,$BZ70,$AJ70,1,12)*$CB70,0)</f>
        <v>-2.4558451032918205</v>
      </c>
      <c r="BI70" s="137">
        <f>_xll.xSPRDOPT($BW70,$BV70,$CG70,2*LN(1+CA70/2),$BY70,$BX70,$BZ70,$AJ70,1,9)</f>
        <v>-3.1472841252380992E-3</v>
      </c>
      <c r="BJ70" s="137">
        <f>_xll.xSPRDOPT($BW70,$BV70,$CG70,0,$BY70,$BX70,$BZ70,$AJ70,1,6)*$CB70</f>
        <v>7.0695469379790182E-2</v>
      </c>
      <c r="BK70" s="137">
        <f>_xll.xSPRDOPT($BW70,$BV70,$CG70,0,$BY70,$BX70,$BZ70,$AJ70,1,5)*$CB70</f>
        <v>7.1098764651545479E-2</v>
      </c>
      <c r="BL70" s="137">
        <f>_xll.xSPRDOPT(BW70,BV70,CG70,0,BY70,BX70,BZ70,AJ70,1,2)*CB70</f>
        <v>-0.40318139822844345</v>
      </c>
      <c r="BM70" s="137">
        <f>_xll.xSPRDOPT(BW70,BV70,CG70,0,BY70,BX70,BZ70,AJ70,1,1)*CB70</f>
        <v>0.41361823701202977</v>
      </c>
      <c r="BN70" s="137">
        <f>IF(AH70&lt;&gt;0,_xll.xSPRDOPT($BW70,$BV70,$CG70,2*LN(1+CA70/2),$BY70,$BX70,$BZ70,$AJ70,1,8)+(AJ70/365.25)*CH70/AH70,0)</f>
        <v>-0.17670495649894227</v>
      </c>
      <c r="BO70" s="137">
        <f>_xll.xSPRDOPT($BW70,$BV70,$CG70,0,$BY70,$BX70,$BZ70,$AJ70,1,0)</f>
        <v>5.2925339893763065E-2</v>
      </c>
      <c r="BP70" s="137"/>
      <c r="BQ70" s="137"/>
      <c r="BR70" s="137"/>
      <c r="BS70" s="137"/>
      <c r="BV70" s="262">
        <v>4.1420000000000003</v>
      </c>
      <c r="BW70" s="136">
        <v>4.1420000000000003</v>
      </c>
      <c r="BX70" s="137">
        <v>0.30484739421079099</v>
      </c>
      <c r="BY70" s="137">
        <v>0.30484739421079099</v>
      </c>
      <c r="BZ70" s="137">
        <v>0.99864961944720787</v>
      </c>
      <c r="CA70" s="137">
        <v>5.0123867010087399E-2</v>
      </c>
      <c r="CB70" s="137">
        <v>0.81679955512122238</v>
      </c>
      <c r="CC70" s="258">
        <v>0.38</v>
      </c>
      <c r="CD70" s="258">
        <v>0</v>
      </c>
      <c r="CE70" s="258">
        <v>0.38</v>
      </c>
      <c r="CF70" s="258">
        <v>0</v>
      </c>
      <c r="CG70" s="258">
        <v>0</v>
      </c>
      <c r="CH70" s="258">
        <v>0</v>
      </c>
      <c r="CI70" s="258">
        <v>3.762</v>
      </c>
      <c r="CJ70" s="258"/>
      <c r="CK70" s="258"/>
      <c r="CL70" s="258"/>
      <c r="CM70" s="258"/>
    </row>
    <row r="71" spans="1:91" x14ac:dyDescent="0.25">
      <c r="A71" s="723"/>
      <c r="B71" s="723"/>
      <c r="D71" s="31">
        <f t="shared" si="30"/>
        <v>38763</v>
      </c>
      <c r="F71" s="28">
        <f t="shared" si="31"/>
        <v>9189</v>
      </c>
      <c r="G71" s="28">
        <f t="shared" si="12"/>
        <v>7467.3612589664071</v>
      </c>
      <c r="H71" s="52">
        <f t="shared" si="32"/>
        <v>4.0570000000000004</v>
      </c>
      <c r="I71" s="52">
        <f t="shared" si="33"/>
        <v>4.0570000000000004</v>
      </c>
      <c r="K71" s="52">
        <f t="shared" si="34"/>
        <v>0</v>
      </c>
      <c r="L71" s="135">
        <f t="shared" si="35"/>
        <v>1.1215885103583634</v>
      </c>
      <c r="N71" s="131">
        <f t="shared" si="13"/>
        <v>0.29801976292303534</v>
      </c>
      <c r="O71" s="131">
        <f t="shared" si="14"/>
        <v>0.29801976292303534</v>
      </c>
      <c r="P71" s="55">
        <f t="shared" si="36"/>
        <v>0.99874601003191976</v>
      </c>
      <c r="Q71" s="135">
        <f>_xll.xSPRDOPT(I71,H71,AQ71,0,O71,N71,P71,D71-$G$5,1,0)*AH71*AU71</f>
        <v>1.1215885103583634</v>
      </c>
      <c r="R71" s="135"/>
      <c r="S71" s="181">
        <f t="shared" si="37"/>
        <v>-105537.905120321</v>
      </c>
      <c r="T71" s="181">
        <f>_xll.xSPRDOPT(I71,H71,AQ71,AT71,O71,N71,P71,D71-$G$5,1,1)*AF71*F71*AH71</f>
        <v>105537.905120321</v>
      </c>
      <c r="U71" s="135"/>
      <c r="V71" s="146">
        <f t="shared" si="38"/>
        <v>0</v>
      </c>
      <c r="W71" s="146"/>
      <c r="X71" s="338">
        <f t="shared" si="39"/>
        <v>0</v>
      </c>
      <c r="Y71" s="338">
        <f t="shared" si="15"/>
        <v>0</v>
      </c>
      <c r="Z71" s="338">
        <f t="shared" si="16"/>
        <v>-5.9234119657456175</v>
      </c>
      <c r="AA71" s="338">
        <f t="shared" si="17"/>
        <v>1.1892484184665482</v>
      </c>
      <c r="AB71" s="338">
        <f t="shared" si="40"/>
        <v>0</v>
      </c>
      <c r="AC71" s="338">
        <f t="shared" si="41"/>
        <v>4.2685685880831885</v>
      </c>
      <c r="AF71" s="138">
        <f t="shared" si="42"/>
        <v>1</v>
      </c>
      <c r="AG71" s="138">
        <f t="shared" si="43"/>
        <v>2</v>
      </c>
      <c r="AH71" s="138">
        <f t="shared" si="53"/>
        <v>28</v>
      </c>
      <c r="AI71" s="138">
        <f t="shared" si="44"/>
        <v>1507</v>
      </c>
      <c r="AJ71" s="138">
        <f t="shared" si="45"/>
        <v>1524</v>
      </c>
      <c r="AL71" s="136">
        <f t="shared" si="19"/>
        <v>3.677</v>
      </c>
      <c r="AM71" s="258">
        <f t="shared" si="20"/>
        <v>0.38</v>
      </c>
      <c r="AN71" s="258">
        <f t="shared" si="21"/>
        <v>0</v>
      </c>
      <c r="AO71" s="258">
        <f t="shared" si="22"/>
        <v>0.38</v>
      </c>
      <c r="AP71" s="258">
        <f t="shared" si="23"/>
        <v>0</v>
      </c>
      <c r="AQ71" s="136">
        <f t="shared" si="46"/>
        <v>0</v>
      </c>
      <c r="AR71" s="137">
        <f t="shared" si="24"/>
        <v>0</v>
      </c>
      <c r="AS71" s="136">
        <f t="shared" si="47"/>
        <v>4.0570000000000004</v>
      </c>
      <c r="AT71" s="137">
        <f t="shared" si="48"/>
        <v>5.0446047479093502E-2</v>
      </c>
      <c r="AU71" s="137">
        <f t="shared" si="25"/>
        <v>0.81264133844448871</v>
      </c>
      <c r="AV71" s="394">
        <f t="shared" si="49"/>
        <v>0</v>
      </c>
      <c r="AW71" s="137">
        <f t="shared" si="26"/>
        <v>0.28000000000000003</v>
      </c>
      <c r="AX71" s="137">
        <f t="shared" si="27"/>
        <v>1.1000000000000001</v>
      </c>
      <c r="AY71" s="137">
        <f t="shared" si="28"/>
        <v>1.1000000000000001</v>
      </c>
      <c r="AZ71" s="137"/>
      <c r="BA71" s="264"/>
      <c r="BB71" s="258">
        <f t="shared" si="29"/>
        <v>0</v>
      </c>
      <c r="BC71" s="258">
        <f t="shared" si="50"/>
        <v>0</v>
      </c>
      <c r="BD71" s="137">
        <f t="shared" si="51"/>
        <v>3.4401553468732526E-5</v>
      </c>
      <c r="BE71" s="137">
        <f t="shared" si="52"/>
        <v>3.4401553468732526E-5</v>
      </c>
      <c r="BF71" s="137">
        <f>_xll.xSPRDOPT($BW71,$BV71,$CG71,0,$BY71,$BX71,$BZ71,$AJ71,1,4)*$CB71</f>
        <v>2.6224025563220361</v>
      </c>
      <c r="BG71" s="137">
        <f>_xll.xSPRDOPT($BW71,$BV71,$CG71,0,$BY71,$BX71,$BZ71,$AJ71,1,3)*$CB71</f>
        <v>2.6224025076226596</v>
      </c>
      <c r="BH71" s="137">
        <f>IF(OR(BF71&lt;&gt;0,BG71&lt;&gt;0),_xll.xSPRDOPT($BW71,$BV71,$CG71,0,$BY71,$BX71,$BZ71,$AJ71,1,12)*$CB71,0)</f>
        <v>-2.6224119693039372</v>
      </c>
      <c r="BI71" s="137">
        <f>_xll.xSPRDOPT($BW71,$BV71,$CG71,2*LN(1+CA71/2),$BY71,$BX71,$BZ71,$AJ71,1,9)</f>
        <v>-2.8029453182746794E-3</v>
      </c>
      <c r="BJ71" s="137">
        <f>_xll.xSPRDOPT($BW71,$BV71,$CG71,0,$BY71,$BX71,$BZ71,$AJ71,1,6)*$CB71</f>
        <v>6.697234831635708E-2</v>
      </c>
      <c r="BK71" s="137">
        <f>_xll.xSPRDOPT($BW71,$BV71,$CG71,0,$BY71,$BX71,$BZ71,$AJ71,1,5)*$CB71</f>
        <v>6.738711030304749E-2</v>
      </c>
      <c r="BL71" s="137">
        <f>_xll.xSPRDOPT(BW71,BV71,CG71,0,BY71,BX71,BZ71,AJ71,1,2)*CB71</f>
        <v>-0.4012197537339397</v>
      </c>
      <c r="BM71" s="137">
        <f>_xll.xSPRDOPT(BW71,BV71,CG71,0,BY71,BX71,BZ71,AJ71,1,1)*CB71</f>
        <v>0.41108919849397152</v>
      </c>
      <c r="BN71" s="137">
        <f>IF(AH71&lt;&gt;0,_xll.xSPRDOPT($BW71,$BV71,$CG71,2*LN(1+CA71/2),$BY71,$BX71,$BZ71,$AJ71,1,8)+(AJ71/365.25)*CH71/AH71,0)</f>
        <v>-0.16706772133838274</v>
      </c>
      <c r="BO71" s="137">
        <f>_xll.xSPRDOPT($BW71,$BV71,$CG71,0,$BY71,$BX71,$BZ71,$AJ71,1,0)</f>
        <v>4.9292019344213463E-2</v>
      </c>
      <c r="BP71" s="137"/>
      <c r="BQ71" s="137"/>
      <c r="BR71" s="137"/>
      <c r="BS71" s="137"/>
      <c r="BV71" s="262">
        <v>4.0570000000000004</v>
      </c>
      <c r="BW71" s="136">
        <v>4.0570000000000004</v>
      </c>
      <c r="BX71" s="137">
        <v>0.2979853613695666</v>
      </c>
      <c r="BY71" s="137">
        <v>0.2979853613695666</v>
      </c>
      <c r="BZ71" s="137">
        <v>0.99874818953031241</v>
      </c>
      <c r="CA71" s="137">
        <v>5.0446047479093502E-2</v>
      </c>
      <c r="CB71" s="137">
        <v>0.81230887199365776</v>
      </c>
      <c r="CC71" s="258">
        <v>0.38</v>
      </c>
      <c r="CD71" s="258">
        <v>0</v>
      </c>
      <c r="CE71" s="258">
        <v>0.38</v>
      </c>
      <c r="CF71" s="258">
        <v>0</v>
      </c>
      <c r="CG71" s="258">
        <v>0</v>
      </c>
      <c r="CH71" s="258">
        <v>0</v>
      </c>
      <c r="CI71" s="258">
        <v>3.677</v>
      </c>
      <c r="CJ71" s="258"/>
      <c r="CK71" s="258"/>
      <c r="CL71" s="258"/>
      <c r="CM71" s="258"/>
    </row>
    <row r="72" spans="1:91" x14ac:dyDescent="0.25">
      <c r="A72" s="723"/>
      <c r="B72" s="723"/>
      <c r="D72" s="31">
        <f t="shared" si="30"/>
        <v>38791</v>
      </c>
      <c r="F72" s="28">
        <f t="shared" si="31"/>
        <v>9189</v>
      </c>
      <c r="G72" s="28">
        <f t="shared" si="12"/>
        <v>7429.9475705453606</v>
      </c>
      <c r="H72" s="52">
        <f t="shared" si="32"/>
        <v>3.927</v>
      </c>
      <c r="I72" s="52">
        <f t="shared" si="33"/>
        <v>3.927</v>
      </c>
      <c r="K72" s="52">
        <f t="shared" si="34"/>
        <v>0</v>
      </c>
      <c r="L72" s="135">
        <f t="shared" si="35"/>
        <v>0.72911138098230599</v>
      </c>
      <c r="N72" s="131">
        <f t="shared" si="13"/>
        <v>0.27891651287520841</v>
      </c>
      <c r="O72" s="131">
        <f t="shared" si="14"/>
        <v>0.27891651287520841</v>
      </c>
      <c r="P72" s="55">
        <f t="shared" si="36"/>
        <v>0.99927717360890911</v>
      </c>
      <c r="Q72" s="135">
        <f>_xll.xSPRDOPT(I72,H72,AQ72,0,O72,N72,P72,D72-$G$5,1,0)*AH72*AU72</f>
        <v>0.72911138098230599</v>
      </c>
      <c r="R72" s="135"/>
      <c r="S72" s="181">
        <f t="shared" si="37"/>
        <v>-115706.26918600607</v>
      </c>
      <c r="T72" s="181">
        <f>_xll.xSPRDOPT(I72,H72,AQ72,AT72,O72,N72,P72,D72-$G$5,1,1)*AF72*F72*AH72</f>
        <v>115706.26918600607</v>
      </c>
      <c r="U72" s="135"/>
      <c r="V72" s="146">
        <f t="shared" si="38"/>
        <v>0</v>
      </c>
      <c r="W72" s="146"/>
      <c r="X72" s="338">
        <f t="shared" si="39"/>
        <v>0</v>
      </c>
      <c r="Y72" s="338">
        <f t="shared" si="15"/>
        <v>0</v>
      </c>
      <c r="Z72" s="338">
        <f t="shared" si="16"/>
        <v>-4.3712225353223726</v>
      </c>
      <c r="AA72" s="338">
        <f t="shared" si="17"/>
        <v>0.47854581001783403</v>
      </c>
      <c r="AB72" s="338">
        <f t="shared" si="40"/>
        <v>0</v>
      </c>
      <c r="AC72" s="338">
        <f t="shared" si="41"/>
        <v>2.7883459981393663</v>
      </c>
      <c r="AF72" s="138">
        <f t="shared" si="42"/>
        <v>1</v>
      </c>
      <c r="AG72" s="138">
        <f t="shared" si="43"/>
        <v>3</v>
      </c>
      <c r="AH72" s="138">
        <f t="shared" si="53"/>
        <v>31</v>
      </c>
      <c r="AI72" s="138">
        <f t="shared" si="44"/>
        <v>1535</v>
      </c>
      <c r="AJ72" s="138">
        <f t="shared" si="45"/>
        <v>1552</v>
      </c>
      <c r="AL72" s="136">
        <f t="shared" si="19"/>
        <v>3.5470000000000002</v>
      </c>
      <c r="AM72" s="258">
        <f t="shared" si="20"/>
        <v>0.38</v>
      </c>
      <c r="AN72" s="258">
        <f t="shared" si="21"/>
        <v>0</v>
      </c>
      <c r="AO72" s="258">
        <f t="shared" si="22"/>
        <v>0.38</v>
      </c>
      <c r="AP72" s="258">
        <f t="shared" si="23"/>
        <v>0</v>
      </c>
      <c r="AQ72" s="136">
        <f t="shared" si="46"/>
        <v>0</v>
      </c>
      <c r="AR72" s="137">
        <f t="shared" si="24"/>
        <v>0</v>
      </c>
      <c r="AS72" s="136">
        <f t="shared" si="47"/>
        <v>3.927</v>
      </c>
      <c r="AT72" s="137">
        <f t="shared" si="48"/>
        <v>5.0737049222817202E-2</v>
      </c>
      <c r="AU72" s="137">
        <f t="shared" si="25"/>
        <v>0.80856976499568622</v>
      </c>
      <c r="AV72" s="394">
        <f t="shared" si="49"/>
        <v>0</v>
      </c>
      <c r="AW72" s="137">
        <f t="shared" si="26"/>
        <v>0.27</v>
      </c>
      <c r="AX72" s="137">
        <f t="shared" si="27"/>
        <v>0.75</v>
      </c>
      <c r="AY72" s="137">
        <f t="shared" si="28"/>
        <v>0.75</v>
      </c>
      <c r="AZ72" s="137"/>
      <c r="BA72" s="264"/>
      <c r="BB72" s="258">
        <f t="shared" si="29"/>
        <v>0</v>
      </c>
      <c r="BC72" s="258">
        <f t="shared" si="50"/>
        <v>0</v>
      </c>
      <c r="BD72" s="137">
        <f t="shared" si="51"/>
        <v>1.6944170124932878E-5</v>
      </c>
      <c r="BE72" s="137">
        <f t="shared" si="52"/>
        <v>1.6944170124932878E-5</v>
      </c>
      <c r="BF72" s="137">
        <f>_xll.xSPRDOPT($BW72,$BV72,$CG72,0,$BY72,$BX72,$BZ72,$AJ72,1,4)*$CB72</f>
        <v>7377.7041680701459</v>
      </c>
      <c r="BG72" s="137">
        <f>_xll.xSPRDOPT($BW72,$BV72,$CG72,0,$BY72,$BX72,$BZ72,$AJ72,1,3)*$CB72</f>
        <v>7377.7041679551503</v>
      </c>
      <c r="BH72" s="137">
        <f>IF(OR(BF72&lt;&gt;0,BG72&lt;&gt;0),_xll.xSPRDOPT($BW72,$BV72,$CG72,0,$BY72,$BX72,$BZ72,$AJ72,1,12)*$CB72,0)</f>
        <v>-7377.7041768853906</v>
      </c>
      <c r="BI72" s="137">
        <f>_xll.xSPRDOPT($BW72,$BV72,$CG72,2*LN(1+CA72/2),$BY72,$BX72,$BZ72,$AJ72,1,9)</f>
        <v>-1.8682798987411278E-3</v>
      </c>
      <c r="BJ72" s="137">
        <f>_xll.xSPRDOPT($BW72,$BV72,$CG72,0,$BY72,$BX72,$BZ72,$AJ72,1,6)*$CB72</f>
        <v>4.9349199267876821E-2</v>
      </c>
      <c r="BK72" s="137">
        <f>_xll.xSPRDOPT($BW72,$BV72,$CG72,0,$BY72,$BX72,$BZ72,$AJ72,1,5)*$CB72</f>
        <v>4.9796360577800722E-2</v>
      </c>
      <c r="BL72" s="137">
        <f>_xll.xSPRDOPT(BW72,BV72,CG72,0,BY72,BX72,BZ72,AJ72,1,2)*CB72</f>
        <v>-0.40112790389309577</v>
      </c>
      <c r="BM72" s="137">
        <f>_xll.xSPRDOPT(BW72,BV72,CG72,0,BY72,BX72,BZ72,AJ72,1,1)*CB72</f>
        <v>0.40710925779177021</v>
      </c>
      <c r="BN72" s="137">
        <f>IF(AH72&lt;&gt;0,_xll.xSPRDOPT($BW72,$BV72,$CG72,2*LN(1+CA72/2),$BY72,$BX72,$BZ72,$AJ72,1,8)+(AJ72/365.25)*CH72/AH72,0)</f>
        <v>-0.11750106346501589</v>
      </c>
      <c r="BO72" s="137">
        <f>_xll.xSPRDOPT($BW72,$BV72,$CG72,0,$BY72,$BX72,$BZ72,$AJ72,1,0)</f>
        <v>2.9061746543364016E-2</v>
      </c>
      <c r="BP72" s="137"/>
      <c r="BQ72" s="137"/>
      <c r="BR72" s="137"/>
      <c r="BS72" s="137"/>
      <c r="BV72" s="262">
        <v>3.927</v>
      </c>
      <c r="BW72" s="136">
        <v>3.927</v>
      </c>
      <c r="BX72" s="137">
        <v>0.27889956870508348</v>
      </c>
      <c r="BY72" s="137">
        <v>0.27889956870508348</v>
      </c>
      <c r="BZ72" s="137">
        <v>0.99927848181401768</v>
      </c>
      <c r="CA72" s="137">
        <v>5.0737049222817202E-2</v>
      </c>
      <c r="CB72" s="137">
        <v>0.80823708014464768</v>
      </c>
      <c r="CC72" s="258">
        <v>0.38</v>
      </c>
      <c r="CD72" s="258">
        <v>0</v>
      </c>
      <c r="CE72" s="258">
        <v>0.38</v>
      </c>
      <c r="CF72" s="258">
        <v>0</v>
      </c>
      <c r="CG72" s="258">
        <v>0</v>
      </c>
      <c r="CH72" s="258">
        <v>0</v>
      </c>
      <c r="CI72" s="258">
        <v>3.5470000000000002</v>
      </c>
      <c r="CJ72" s="258"/>
      <c r="CK72" s="258"/>
      <c r="CL72" s="258"/>
      <c r="CM72" s="258"/>
    </row>
    <row r="73" spans="1:91" x14ac:dyDescent="0.25">
      <c r="A73" s="723"/>
      <c r="B73" s="723"/>
      <c r="D73" s="31">
        <f t="shared" si="30"/>
        <v>38822</v>
      </c>
      <c r="F73" s="28">
        <f t="shared" si="31"/>
        <v>0</v>
      </c>
      <c r="G73" s="28">
        <f t="shared" si="12"/>
        <v>0</v>
      </c>
      <c r="H73" s="52">
        <f t="shared" si="32"/>
        <v>3.5070000000000001</v>
      </c>
      <c r="I73" s="52">
        <f t="shared" si="33"/>
        <v>3.5420000000000003</v>
      </c>
      <c r="K73" s="52">
        <f t="shared" si="34"/>
        <v>0.84424734714458138</v>
      </c>
      <c r="L73" s="135">
        <f t="shared" si="35"/>
        <v>0.13394348360241193</v>
      </c>
      <c r="N73" s="131">
        <f t="shared" si="13"/>
        <v>0.25264258003112178</v>
      </c>
      <c r="O73" s="131">
        <f t="shared" si="14"/>
        <v>0.25264258003112178</v>
      </c>
      <c r="P73" s="55">
        <f t="shared" si="36"/>
        <v>0.99969899665551865</v>
      </c>
      <c r="Q73" s="135">
        <f>_xll.xSPRDOPT(I73,H73,AQ73,0,O73,N73,P73,D73-$G$5,1,0)*AH73*AU73</f>
        <v>0.97819083074699331</v>
      </c>
      <c r="R73" s="135"/>
      <c r="S73" s="181">
        <f t="shared" si="37"/>
        <v>0</v>
      </c>
      <c r="T73" s="181">
        <f>_xll.xSPRDOPT(I73,H73,AQ73,AT73,O73,N73,P73,D73-$G$5,1,1)*AF73*F73*AH73</f>
        <v>0</v>
      </c>
      <c r="U73" s="135"/>
      <c r="V73" s="146">
        <f t="shared" si="38"/>
        <v>0</v>
      </c>
      <c r="W73" s="146"/>
      <c r="X73" s="338">
        <f t="shared" si="39"/>
        <v>0</v>
      </c>
      <c r="Y73" s="338">
        <f t="shared" si="15"/>
        <v>0</v>
      </c>
      <c r="Z73" s="338">
        <f t="shared" si="16"/>
        <v>0</v>
      </c>
      <c r="AA73" s="338">
        <f t="shared" si="17"/>
        <v>0</v>
      </c>
      <c r="AB73" s="338">
        <f t="shared" si="40"/>
        <v>0</v>
      </c>
      <c r="AC73" s="338">
        <f t="shared" si="41"/>
        <v>0</v>
      </c>
      <c r="AF73" s="138">
        <f t="shared" si="42"/>
        <v>1</v>
      </c>
      <c r="AG73" s="138">
        <f t="shared" si="43"/>
        <v>4</v>
      </c>
      <c r="AH73" s="138">
        <f t="shared" si="53"/>
        <v>30</v>
      </c>
      <c r="AI73" s="138">
        <f t="shared" si="44"/>
        <v>1566</v>
      </c>
      <c r="AJ73" s="138">
        <f t="shared" si="45"/>
        <v>1583</v>
      </c>
      <c r="AL73" s="136">
        <f t="shared" si="19"/>
        <v>3.3620000000000001</v>
      </c>
      <c r="AM73" s="258">
        <f t="shared" si="20"/>
        <v>0.14499999999999999</v>
      </c>
      <c r="AN73" s="258">
        <f t="shared" si="21"/>
        <v>0</v>
      </c>
      <c r="AO73" s="258">
        <f t="shared" si="22"/>
        <v>0.18</v>
      </c>
      <c r="AP73" s="258">
        <f t="shared" si="23"/>
        <v>0</v>
      </c>
      <c r="AQ73" s="136">
        <f t="shared" si="46"/>
        <v>0</v>
      </c>
      <c r="AR73" s="137">
        <f t="shared" si="24"/>
        <v>0</v>
      </c>
      <c r="AS73" s="136">
        <f t="shared" si="47"/>
        <v>3.5070000000000001</v>
      </c>
      <c r="AT73" s="137">
        <f t="shared" si="48"/>
        <v>5.10592297577648E-2</v>
      </c>
      <c r="AU73" s="137">
        <f t="shared" si="25"/>
        <v>0.80404509251864564</v>
      </c>
      <c r="AV73" s="394">
        <f t="shared" si="49"/>
        <v>0</v>
      </c>
      <c r="AW73" s="137">
        <f t="shared" si="26"/>
        <v>0.25</v>
      </c>
      <c r="AX73" s="137">
        <f t="shared" si="27"/>
        <v>0.45</v>
      </c>
      <c r="AY73" s="137">
        <f t="shared" si="28"/>
        <v>0.45</v>
      </c>
      <c r="AZ73" s="137"/>
      <c r="BA73" s="264"/>
      <c r="BB73" s="258">
        <f t="shared" si="29"/>
        <v>0</v>
      </c>
      <c r="BC73" s="258">
        <f t="shared" si="50"/>
        <v>0</v>
      </c>
      <c r="BD73" s="137">
        <f t="shared" si="51"/>
        <v>4.9787605318485362E-6</v>
      </c>
      <c r="BE73" s="137">
        <f t="shared" si="52"/>
        <v>4.9787605318485362E-6</v>
      </c>
      <c r="BF73" s="137">
        <f>_xll.xSPRDOPT($BW73,$BV73,$CG73,0,$BY73,$BX73,$BZ73,$AJ73,1,4)*$CB73</f>
        <v>1.0734981980578047</v>
      </c>
      <c r="BG73" s="137">
        <f>_xll.xSPRDOPT($BW73,$BV73,$CG73,0,$BY73,$BX73,$BZ73,$AJ73,1,3)*$CB73</f>
        <v>1.0523877402583675</v>
      </c>
      <c r="BH73" s="137">
        <f>IF(OR(BF73&lt;&gt;0,BG73&lt;&gt;0),_xll.xSPRDOPT($BW73,$BV73,$CG73,0,$BY73,$BX73,$BZ73,$AJ73,1,12)*$CB73,0)</f>
        <v>-1.0628917428907545</v>
      </c>
      <c r="BI73" s="137">
        <f>_xll.xSPRDOPT($BW73,$BV73,$CG73,2*LN(1+CA73/2),$BY73,$BX73,$BZ73,$AJ73,1,9)</f>
        <v>4.0208564036131318E-4</v>
      </c>
      <c r="BJ73" s="137">
        <f>_xll.xSPRDOPT($BW73,$BV73,$CG73,0,$BY73,$BX73,$BZ73,$AJ73,1,6)*$CB73</f>
        <v>2.1433603800915378E-2</v>
      </c>
      <c r="BK73" s="137">
        <f>_xll.xSPRDOPT($BW73,$BV73,$CG73,0,$BY73,$BX73,$BZ73,$AJ73,1,5)*$CB73</f>
        <v>2.1431730666131264E-2</v>
      </c>
      <c r="BL73" s="137">
        <f>_xll.xSPRDOPT(BW73,BV73,CG73,0,BY73,BX73,BZ73,AJ73,1,2)*CB73</f>
        <v>-0.72143264930187778</v>
      </c>
      <c r="BM73" s="137">
        <f>_xll.xSPRDOPT(BW73,BV73,CG73,0,BY73,BX73,BZ73,AJ73,1,1)*CB73</f>
        <v>0.72350526850070507</v>
      </c>
      <c r="BN73" s="137">
        <f>IF(AH73&lt;&gt;0,_xll.xSPRDOPT($BW73,$BV73,$CG73,2*LN(1+CA73/2),$BY73,$BX73,$BZ73,$AJ73,1,8)+(AJ73/365.25)*CH73/AH73,0)</f>
        <v>-0.14195963167349196</v>
      </c>
      <c r="BO73" s="137">
        <f>_xll.xSPRDOPT($BW73,$BV73,$CG73,0,$BY73,$BX73,$BZ73,$AJ73,1,0)</f>
        <v>4.0551038927026731E-2</v>
      </c>
      <c r="BP73" s="137"/>
      <c r="BQ73" s="137"/>
      <c r="BR73" s="137"/>
      <c r="BS73" s="137"/>
      <c r="BV73" s="262">
        <v>3.5070000000000001</v>
      </c>
      <c r="BW73" s="136">
        <v>3.5420000000000003</v>
      </c>
      <c r="BX73" s="137">
        <v>0.25263760127058993</v>
      </c>
      <c r="BY73" s="137">
        <v>0.25263760127058993</v>
      </c>
      <c r="BZ73" s="137">
        <v>0.99969955489614237</v>
      </c>
      <c r="CA73" s="137">
        <v>5.10592297577648E-2</v>
      </c>
      <c r="CB73" s="137">
        <v>0.80371219529642934</v>
      </c>
      <c r="CC73" s="258">
        <v>0.14499999999999999</v>
      </c>
      <c r="CD73" s="258">
        <v>0</v>
      </c>
      <c r="CE73" s="258">
        <v>0.18</v>
      </c>
      <c r="CF73" s="258">
        <v>0</v>
      </c>
      <c r="CG73" s="258">
        <v>0</v>
      </c>
      <c r="CH73" s="258">
        <v>0</v>
      </c>
      <c r="CI73" s="258">
        <v>3.3620000000000001</v>
      </c>
      <c r="CJ73" s="258"/>
      <c r="CK73" s="258"/>
      <c r="CL73" s="258"/>
      <c r="CM73" s="258"/>
    </row>
    <row r="74" spans="1:91" x14ac:dyDescent="0.25">
      <c r="A74" s="723"/>
      <c r="B74" s="723"/>
      <c r="D74" s="31">
        <f t="shared" si="30"/>
        <v>38852</v>
      </c>
      <c r="F74" s="28">
        <f t="shared" si="31"/>
        <v>0</v>
      </c>
      <c r="G74" s="28">
        <f t="shared" si="12"/>
        <v>0</v>
      </c>
      <c r="H74" s="52">
        <f t="shared" si="32"/>
        <v>3.5020000000000002</v>
      </c>
      <c r="I74" s="52">
        <f t="shared" si="33"/>
        <v>3.5370000000000004</v>
      </c>
      <c r="K74" s="52">
        <f t="shared" si="34"/>
        <v>0.86762029918397987</v>
      </c>
      <c r="L74" s="135">
        <f t="shared" si="35"/>
        <v>0.17554205085512464</v>
      </c>
      <c r="N74" s="131">
        <f t="shared" si="13"/>
        <v>0.2487011247602785</v>
      </c>
      <c r="O74" s="131">
        <f t="shared" si="14"/>
        <v>0.2487011247602785</v>
      </c>
      <c r="P74" s="55">
        <f t="shared" si="36"/>
        <v>0.99961123612865432</v>
      </c>
      <c r="Q74" s="135">
        <f>_xll.xSPRDOPT(I74,H74,AQ74,0,O74,N74,P74,D74-$G$5,1,0)*AH74*AU74</f>
        <v>1.0431623500391045</v>
      </c>
      <c r="R74" s="135"/>
      <c r="S74" s="181">
        <f t="shared" si="37"/>
        <v>0</v>
      </c>
      <c r="T74" s="181">
        <f>_xll.xSPRDOPT(I74,H74,AQ74,AT74,O74,N74,P74,D74-$G$5,1,1)*AF74*F74*AH74</f>
        <v>0</v>
      </c>
      <c r="U74" s="135"/>
      <c r="V74" s="146">
        <f t="shared" si="38"/>
        <v>0</v>
      </c>
      <c r="W74" s="146"/>
      <c r="X74" s="338">
        <f t="shared" si="39"/>
        <v>0</v>
      </c>
      <c r="Y74" s="338">
        <f t="shared" si="15"/>
        <v>0</v>
      </c>
      <c r="Z74" s="338">
        <f t="shared" si="16"/>
        <v>0</v>
      </c>
      <c r="AA74" s="338">
        <f t="shared" si="17"/>
        <v>0</v>
      </c>
      <c r="AB74" s="338">
        <f t="shared" si="40"/>
        <v>0</v>
      </c>
      <c r="AC74" s="338">
        <f t="shared" si="41"/>
        <v>0</v>
      </c>
      <c r="AF74" s="138">
        <f t="shared" si="42"/>
        <v>1</v>
      </c>
      <c r="AG74" s="138">
        <f t="shared" si="43"/>
        <v>5</v>
      </c>
      <c r="AH74" s="138">
        <f t="shared" si="53"/>
        <v>31</v>
      </c>
      <c r="AI74" s="138">
        <f t="shared" si="44"/>
        <v>1596</v>
      </c>
      <c r="AJ74" s="138">
        <f t="shared" si="45"/>
        <v>1613</v>
      </c>
      <c r="AL74" s="136">
        <f t="shared" si="19"/>
        <v>3.3570000000000002</v>
      </c>
      <c r="AM74" s="258">
        <f t="shared" si="20"/>
        <v>0.14499999999999999</v>
      </c>
      <c r="AN74" s="258">
        <f t="shared" si="21"/>
        <v>0</v>
      </c>
      <c r="AO74" s="258">
        <f t="shared" si="22"/>
        <v>0.18</v>
      </c>
      <c r="AP74" s="258">
        <f t="shared" si="23"/>
        <v>0</v>
      </c>
      <c r="AQ74" s="136">
        <f t="shared" si="46"/>
        <v>0</v>
      </c>
      <c r="AR74" s="137">
        <f t="shared" si="24"/>
        <v>0</v>
      </c>
      <c r="AS74" s="136">
        <f t="shared" si="47"/>
        <v>3.5020000000000002</v>
      </c>
      <c r="AT74" s="137">
        <f t="shared" si="48"/>
        <v>5.1371017405212001E-2</v>
      </c>
      <c r="AU74" s="137">
        <f t="shared" si="25"/>
        <v>0.79965004533085371</v>
      </c>
      <c r="AV74" s="394">
        <f t="shared" si="49"/>
        <v>0</v>
      </c>
      <c r="AW74" s="137">
        <f t="shared" si="26"/>
        <v>0.245</v>
      </c>
      <c r="AX74" s="137">
        <f t="shared" si="27"/>
        <v>0.5</v>
      </c>
      <c r="AY74" s="137">
        <f t="shared" si="28"/>
        <v>0.5</v>
      </c>
      <c r="AZ74" s="137"/>
      <c r="BA74" s="264"/>
      <c r="BB74" s="258">
        <f t="shared" si="29"/>
        <v>0</v>
      </c>
      <c r="BC74" s="258">
        <f t="shared" si="50"/>
        <v>0</v>
      </c>
      <c r="BD74" s="137">
        <f t="shared" si="51"/>
        <v>6.8262039848443479E-6</v>
      </c>
      <c r="BE74" s="137">
        <f t="shared" si="52"/>
        <v>6.8262039848443479E-6</v>
      </c>
      <c r="BF74" s="137">
        <f>_xll.xSPRDOPT($BW74,$BV74,$CG74,0,$BY74,$BX74,$BZ74,$AJ74,1,4)*$CB74</f>
        <v>1.3878080525471561</v>
      </c>
      <c r="BG74" s="137">
        <f>_xll.xSPRDOPT($BW74,$BV74,$CG74,0,$BY74,$BX74,$BZ74,$AJ74,1,3)*$CB74</f>
        <v>1.3604779604293487</v>
      </c>
      <c r="BH74" s="137">
        <f>IF(OR(BF74&lt;&gt;0,BG74&lt;&gt;0),_xll.xSPRDOPT($BW74,$BV74,$CG74,0,$BY74,$BX74,$BZ74,$AJ74,1,12)*$CB74,0)</f>
        <v>-1.3740771699325198</v>
      </c>
      <c r="BI74" s="137">
        <f>_xll.xSPRDOPT($BW74,$BV74,$CG74,2*LN(1+CA74/2),$BY74,$BX74,$BZ74,$AJ74,1,9)</f>
        <v>2.5935803102518579E-4</v>
      </c>
      <c r="BJ74" s="137">
        <f>_xll.xSPRDOPT($BW74,$BV74,$CG74,0,$BY74,$BX74,$BZ74,$AJ74,1,6)*$CB74</f>
        <v>2.601665902058603E-2</v>
      </c>
      <c r="BK74" s="137">
        <f>_xll.xSPRDOPT($BW74,$BV74,$CG74,0,$BY74,$BX74,$BZ74,$AJ74,1,5)*$CB74</f>
        <v>2.6016205141433192E-2</v>
      </c>
      <c r="BL74" s="137">
        <f>_xll.xSPRDOPT(BW74,BV74,CG74,0,BY74,BX74,BZ74,AJ74,1,2)*CB74</f>
        <v>-0.69400623017775187</v>
      </c>
      <c r="BM74" s="137">
        <f>_xll.xSPRDOPT(BW74,BV74,CG74,0,BY74,BX74,BZ74,AJ74,1,1)*CB74</f>
        <v>0.69664811466391008</v>
      </c>
      <c r="BN74" s="137">
        <f>IF(AH74&lt;&gt;0,_xll.xSPRDOPT($BW74,$BV74,$CG74,2*LN(1+CA74/2),$BY74,$BX74,$BZ74,$AJ74,1,8)+(AJ74/365.25)*CH74/AH74,0)</f>
        <v>-0.15014161411437496</v>
      </c>
      <c r="BO74" s="137">
        <f>_xll.xSPRDOPT($BW74,$BV74,$CG74,0,$BY74,$BX74,$BZ74,$AJ74,1,0)</f>
        <v>4.2079138008327535E-2</v>
      </c>
      <c r="BP74" s="137"/>
      <c r="BQ74" s="137"/>
      <c r="BR74" s="137"/>
      <c r="BS74" s="137"/>
      <c r="BV74" s="262">
        <v>3.5020000000000002</v>
      </c>
      <c r="BW74" s="136">
        <v>3.5370000000000004</v>
      </c>
      <c r="BX74" s="137">
        <v>0.24869429855629366</v>
      </c>
      <c r="BY74" s="137">
        <v>0.24869429855629366</v>
      </c>
      <c r="BZ74" s="137">
        <v>0.99961193721194186</v>
      </c>
      <c r="CA74" s="137">
        <v>5.1371017405212001E-2</v>
      </c>
      <c r="CB74" s="137">
        <v>0.79931697192961793</v>
      </c>
      <c r="CC74" s="258">
        <v>0.14499999999999999</v>
      </c>
      <c r="CD74" s="258">
        <v>0</v>
      </c>
      <c r="CE74" s="258">
        <v>0.18</v>
      </c>
      <c r="CF74" s="258">
        <v>0</v>
      </c>
      <c r="CG74" s="258">
        <v>0</v>
      </c>
      <c r="CH74" s="258">
        <v>0</v>
      </c>
      <c r="CI74" s="258">
        <v>3.3570000000000002</v>
      </c>
      <c r="CJ74" s="258"/>
      <c r="CK74" s="258"/>
      <c r="CL74" s="258"/>
      <c r="CM74" s="258"/>
    </row>
    <row r="75" spans="1:91" x14ac:dyDescent="0.25">
      <c r="A75" s="723"/>
      <c r="B75" s="723"/>
      <c r="D75" s="31">
        <f t="shared" si="30"/>
        <v>38883</v>
      </c>
      <c r="F75" s="28">
        <f t="shared" si="31"/>
        <v>0</v>
      </c>
      <c r="G75" s="28">
        <f t="shared" si="12"/>
        <v>0</v>
      </c>
      <c r="H75" s="52">
        <f t="shared" si="32"/>
        <v>3.5369999999999999</v>
      </c>
      <c r="I75" s="52">
        <f t="shared" si="33"/>
        <v>3.5720000000000001</v>
      </c>
      <c r="K75" s="52">
        <f t="shared" si="34"/>
        <v>0.83484680210103845</v>
      </c>
      <c r="L75" s="135">
        <f t="shared" si="35"/>
        <v>0.16505055090326559</v>
      </c>
      <c r="N75" s="131">
        <f t="shared" si="13"/>
        <v>0.25095908449170745</v>
      </c>
      <c r="O75" s="131">
        <f t="shared" si="14"/>
        <v>0.25095908449170745</v>
      </c>
      <c r="P75" s="55">
        <f t="shared" si="36"/>
        <v>0.99963737956695498</v>
      </c>
      <c r="Q75" s="135">
        <f>_xll.xSPRDOPT(I75,H75,AQ75,0,O75,N75,P75,D75-$G$5,1,0)*AH75*AU75</f>
        <v>0.99989735300430405</v>
      </c>
      <c r="R75" s="135"/>
      <c r="S75" s="181">
        <f t="shared" si="37"/>
        <v>0</v>
      </c>
      <c r="T75" s="181">
        <f>_xll.xSPRDOPT(I75,H75,AQ75,AT75,O75,N75,P75,D75-$G$5,1,1)*AF75*F75*AH75</f>
        <v>0</v>
      </c>
      <c r="U75" s="135"/>
      <c r="V75" s="146">
        <f t="shared" si="38"/>
        <v>0</v>
      </c>
      <c r="W75" s="146"/>
      <c r="X75" s="338">
        <f t="shared" si="39"/>
        <v>0</v>
      </c>
      <c r="Y75" s="338">
        <f t="shared" si="15"/>
        <v>0</v>
      </c>
      <c r="Z75" s="338">
        <f t="shared" si="16"/>
        <v>0</v>
      </c>
      <c r="AA75" s="338">
        <f t="shared" si="17"/>
        <v>0</v>
      </c>
      <c r="AB75" s="338">
        <f t="shared" si="40"/>
        <v>0</v>
      </c>
      <c r="AC75" s="338">
        <f t="shared" si="41"/>
        <v>0</v>
      </c>
      <c r="AF75" s="138">
        <f t="shared" si="42"/>
        <v>1</v>
      </c>
      <c r="AG75" s="138">
        <f t="shared" si="43"/>
        <v>6</v>
      </c>
      <c r="AH75" s="138">
        <f t="shared" si="53"/>
        <v>30</v>
      </c>
      <c r="AI75" s="138">
        <f t="shared" si="44"/>
        <v>1627</v>
      </c>
      <c r="AJ75" s="138">
        <f t="shared" si="45"/>
        <v>1644</v>
      </c>
      <c r="AL75" s="136">
        <f t="shared" si="19"/>
        <v>3.3919999999999999</v>
      </c>
      <c r="AM75" s="258">
        <f t="shared" si="20"/>
        <v>0.14499999999999999</v>
      </c>
      <c r="AN75" s="258">
        <f t="shared" si="21"/>
        <v>0</v>
      </c>
      <c r="AO75" s="258">
        <f t="shared" si="22"/>
        <v>0.18</v>
      </c>
      <c r="AP75" s="258">
        <f t="shared" si="23"/>
        <v>0</v>
      </c>
      <c r="AQ75" s="136">
        <f t="shared" si="46"/>
        <v>0</v>
      </c>
      <c r="AR75" s="137">
        <f t="shared" si="24"/>
        <v>0</v>
      </c>
      <c r="AS75" s="136">
        <f t="shared" si="47"/>
        <v>3.5369999999999999</v>
      </c>
      <c r="AT75" s="137">
        <f t="shared" si="48"/>
        <v>5.1693198008315698E-2</v>
      </c>
      <c r="AU75" s="137">
        <f t="shared" si="25"/>
        <v>0.79509219247717622</v>
      </c>
      <c r="AV75" s="394">
        <f t="shared" si="49"/>
        <v>0</v>
      </c>
      <c r="AW75" s="137">
        <f t="shared" si="26"/>
        <v>0.2475</v>
      </c>
      <c r="AX75" s="137">
        <f t="shared" si="27"/>
        <v>0.5</v>
      </c>
      <c r="AY75" s="137">
        <f t="shared" si="28"/>
        <v>0.5</v>
      </c>
      <c r="AZ75" s="137"/>
      <c r="BA75" s="264"/>
      <c r="BB75" s="258">
        <f t="shared" si="29"/>
        <v>0</v>
      </c>
      <c r="BC75" s="258">
        <f t="shared" si="50"/>
        <v>0</v>
      </c>
      <c r="BD75" s="137">
        <f t="shared" si="51"/>
        <v>6.2649634556266598E-6</v>
      </c>
      <c r="BE75" s="137">
        <f t="shared" si="52"/>
        <v>6.2649634556266598E-6</v>
      </c>
      <c r="BF75" s="137">
        <f>_xll.xSPRDOPT($BW75,$BV75,$CG75,0,$BY75,$BX75,$BZ75,$AJ75,1,4)*$CB75</f>
        <v>1.2571829962629089</v>
      </c>
      <c r="BG75" s="137">
        <f>_xll.xSPRDOPT($BW75,$BV75,$CG75,0,$BY75,$BX75,$BZ75,$AJ75,1,3)*$CB75</f>
        <v>1.2326670370764812</v>
      </c>
      <c r="BH75" s="137">
        <f>IF(OR(BF75&lt;&gt;0,BG75&lt;&gt;0),_xll.xSPRDOPT($BW75,$BV75,$CG75,0,$BY75,$BX75,$BZ75,$AJ75,1,12)*$CB75,0)</f>
        <v>-1.2448666826229819</v>
      </c>
      <c r="BI75" s="137">
        <f>_xll.xSPRDOPT($BW75,$BV75,$CG75,2*LN(1+CA75/2),$BY75,$BX75,$BZ75,$AJ75,1,9)</f>
        <v>3.0507302836686235E-4</v>
      </c>
      <c r="BJ75" s="137">
        <f>_xll.xSPRDOPT($BW75,$BV75,$CG75,0,$BY75,$BX75,$BZ75,$AJ75,1,6)*$CB75</f>
        <v>2.5397910030567794E-2</v>
      </c>
      <c r="BK75" s="137">
        <f>_xll.xSPRDOPT($BW75,$BV75,$CG75,0,$BY75,$BX75,$BZ75,$AJ75,1,5)*$CB75</f>
        <v>2.5397325222869648E-2</v>
      </c>
      <c r="BL75" s="137">
        <f>_xll.xSPRDOPT(BW75,BV75,CG75,0,BY75,BX75,BZ75,AJ75,1,2)*CB75</f>
        <v>-0.69580359183203078</v>
      </c>
      <c r="BM75" s="137">
        <f>_xll.xSPRDOPT(BW75,BV75,CG75,0,BY75,BX75,BZ75,AJ75,1,1)*CB75</f>
        <v>0.69831226277917702</v>
      </c>
      <c r="BN75" s="137">
        <f>IF(AH75&lt;&gt;0,_xll.xSPRDOPT($BW75,$BV75,$CG75,2*LN(1+CA75/2),$BY75,$BX75,$BZ75,$AJ75,1,8)+(AJ75/365.25)*CH75/AH75,0)</f>
        <v>-0.15178917387859092</v>
      </c>
      <c r="BO75" s="137">
        <f>_xll.xSPRDOPT($BW75,$BV75,$CG75,0,$BY75,$BX75,$BZ75,$AJ75,1,0)</f>
        <v>4.1917242216571157E-2</v>
      </c>
      <c r="BP75" s="137"/>
      <c r="BQ75" s="137"/>
      <c r="BR75" s="137"/>
      <c r="BS75" s="137"/>
      <c r="BV75" s="262">
        <v>3.5369999999999999</v>
      </c>
      <c r="BW75" s="136">
        <v>3.5720000000000001</v>
      </c>
      <c r="BX75" s="137">
        <v>0.25095281952825182</v>
      </c>
      <c r="BY75" s="137">
        <v>0.25095281952825182</v>
      </c>
      <c r="BZ75" s="137">
        <v>0.99963802280818292</v>
      </c>
      <c r="CA75" s="137">
        <v>5.1693198008315698E-2</v>
      </c>
      <c r="CB75" s="137">
        <v>0.79475896722761941</v>
      </c>
      <c r="CC75" s="258">
        <v>0.14499999999999999</v>
      </c>
      <c r="CD75" s="258">
        <v>0</v>
      </c>
      <c r="CE75" s="258">
        <v>0.18</v>
      </c>
      <c r="CF75" s="258">
        <v>0</v>
      </c>
      <c r="CG75" s="258">
        <v>0</v>
      </c>
      <c r="CH75" s="258">
        <v>0</v>
      </c>
      <c r="CI75" s="258">
        <v>3.3919999999999999</v>
      </c>
      <c r="CJ75" s="258"/>
      <c r="CK75" s="258"/>
      <c r="CL75" s="258"/>
      <c r="CM75" s="258"/>
    </row>
    <row r="76" spans="1:91" x14ac:dyDescent="0.25">
      <c r="A76" s="723"/>
      <c r="B76" s="723"/>
      <c r="D76" s="31">
        <f t="shared" si="30"/>
        <v>38913</v>
      </c>
      <c r="F76" s="28">
        <f t="shared" si="31"/>
        <v>0</v>
      </c>
      <c r="G76" s="28">
        <f t="shared" si="12"/>
        <v>0</v>
      </c>
      <c r="H76" s="52">
        <f t="shared" si="32"/>
        <v>3.577</v>
      </c>
      <c r="I76" s="52">
        <f t="shared" si="33"/>
        <v>3.6120000000000001</v>
      </c>
      <c r="K76" s="52">
        <f t="shared" si="34"/>
        <v>0.85787275744149161</v>
      </c>
      <c r="L76" s="135">
        <f t="shared" si="35"/>
        <v>0.2147727030022436</v>
      </c>
      <c r="N76" s="131">
        <f t="shared" si="13"/>
        <v>0.25197617303779796</v>
      </c>
      <c r="O76" s="131">
        <f t="shared" si="14"/>
        <v>0.25197617303779796</v>
      </c>
      <c r="P76" s="55">
        <f t="shared" si="36"/>
        <v>0.99955845802146437</v>
      </c>
      <c r="Q76" s="135">
        <f>_xll.xSPRDOPT(I76,H76,AQ76,0,O76,N76,P76,D76-$G$5,1,0)*AH76*AU76</f>
        <v>1.0726454604437352</v>
      </c>
      <c r="R76" s="135"/>
      <c r="S76" s="181">
        <f t="shared" si="37"/>
        <v>0</v>
      </c>
      <c r="T76" s="181">
        <f>_xll.xSPRDOPT(I76,H76,AQ76,AT76,O76,N76,P76,D76-$G$5,1,1)*AF76*F76*AH76</f>
        <v>0</v>
      </c>
      <c r="U76" s="135"/>
      <c r="V76" s="146">
        <f t="shared" si="38"/>
        <v>0</v>
      </c>
      <c r="W76" s="146"/>
      <c r="X76" s="338">
        <f t="shared" si="39"/>
        <v>0</v>
      </c>
      <c r="Y76" s="338">
        <f t="shared" si="15"/>
        <v>0</v>
      </c>
      <c r="Z76" s="338">
        <f t="shared" si="16"/>
        <v>0</v>
      </c>
      <c r="AA76" s="338">
        <f t="shared" si="17"/>
        <v>0</v>
      </c>
      <c r="AB76" s="338">
        <f t="shared" si="40"/>
        <v>0</v>
      </c>
      <c r="AC76" s="338">
        <f t="shared" si="41"/>
        <v>0</v>
      </c>
      <c r="AF76" s="138">
        <f t="shared" si="42"/>
        <v>1</v>
      </c>
      <c r="AG76" s="138">
        <f t="shared" si="43"/>
        <v>7</v>
      </c>
      <c r="AH76" s="138">
        <f t="shared" si="53"/>
        <v>31</v>
      </c>
      <c r="AI76" s="138">
        <f t="shared" si="44"/>
        <v>1657</v>
      </c>
      <c r="AJ76" s="138">
        <f t="shared" si="45"/>
        <v>1674</v>
      </c>
      <c r="AL76" s="136">
        <f t="shared" si="19"/>
        <v>3.4319999999999999</v>
      </c>
      <c r="AM76" s="258">
        <f t="shared" si="20"/>
        <v>0.14499999999999999</v>
      </c>
      <c r="AN76" s="258">
        <f t="shared" si="21"/>
        <v>0</v>
      </c>
      <c r="AO76" s="258">
        <f t="shared" si="22"/>
        <v>0.18</v>
      </c>
      <c r="AP76" s="258">
        <f t="shared" si="23"/>
        <v>0</v>
      </c>
      <c r="AQ76" s="136">
        <f t="shared" si="46"/>
        <v>0</v>
      </c>
      <c r="AR76" s="137">
        <f t="shared" si="24"/>
        <v>0</v>
      </c>
      <c r="AS76" s="136">
        <f t="shared" si="47"/>
        <v>3.577</v>
      </c>
      <c r="AT76" s="137">
        <f t="shared" si="48"/>
        <v>5.2004985721710598E-2</v>
      </c>
      <c r="AU76" s="137">
        <f t="shared" si="25"/>
        <v>0.7906661358907725</v>
      </c>
      <c r="AV76" s="394">
        <f t="shared" si="49"/>
        <v>0</v>
      </c>
      <c r="AW76" s="137">
        <f t="shared" si="26"/>
        <v>0.2475</v>
      </c>
      <c r="AX76" s="137">
        <f t="shared" si="27"/>
        <v>0.55000000000000004</v>
      </c>
      <c r="AY76" s="137">
        <f t="shared" si="28"/>
        <v>0.55000000000000004</v>
      </c>
      <c r="AZ76" s="137"/>
      <c r="BA76" s="264"/>
      <c r="BB76" s="258">
        <f t="shared" si="29"/>
        <v>0</v>
      </c>
      <c r="BC76" s="258">
        <f t="shared" si="50"/>
        <v>0</v>
      </c>
      <c r="BD76" s="137">
        <f t="shared" si="51"/>
        <v>7.94357205469165E-6</v>
      </c>
      <c r="BE76" s="137">
        <f t="shared" si="52"/>
        <v>7.94357205469165E-6</v>
      </c>
      <c r="BF76" s="137">
        <f>_xll.xSPRDOPT($BW76,$BV76,$CG76,0,$BY76,$BX76,$BZ76,$AJ76,1,4)*$CB76</f>
        <v>1.4917079270968367</v>
      </c>
      <c r="BG76" s="137">
        <f>_xll.xSPRDOPT($BW76,$BV76,$CG76,0,$BY76,$BX76,$BZ76,$AJ76,1,3)*$CB76</f>
        <v>1.4629385232013437</v>
      </c>
      <c r="BH76" s="137">
        <f>IF(OR(BF76&lt;&gt;0,BG76&lt;&gt;0),_xll.xSPRDOPT($BW76,$BV76,$CG76,0,$BY76,$BX76,$BZ76,$AJ76,1,12)*$CB76,0)</f>
        <v>-1.4772546239325752</v>
      </c>
      <c r="BI76" s="137">
        <f>_xll.xSPRDOPT($BW76,$BV76,$CG76,2*LN(1+CA76/2),$BY76,$BX76,$BZ76,$AJ76,1,9)</f>
        <v>1.630472083786463E-4</v>
      </c>
      <c r="BJ76" s="137">
        <f>_xll.xSPRDOPT($BW76,$BV76,$CG76,0,$BY76,$BX76,$BZ76,$AJ76,1,6)*$CB76</f>
        <v>2.9939482925964798E-2</v>
      </c>
      <c r="BK76" s="137">
        <f>_xll.xSPRDOPT($BW76,$BV76,$CG76,0,$BY76,$BX76,$BZ76,$AJ76,1,5)*$CB76</f>
        <v>2.9941014183732084E-2</v>
      </c>
      <c r="BL76" s="137">
        <f>_xll.xSPRDOPT(BW76,BV76,CG76,0,BY76,BX76,BZ76,AJ76,1,2)*CB76</f>
        <v>-0.66921198260301606</v>
      </c>
      <c r="BM76" s="137">
        <f>_xll.xSPRDOPT(BW76,BV76,CG76,0,BY76,BX76,BZ76,AJ76,1,1)*CB76</f>
        <v>0.6723022634466026</v>
      </c>
      <c r="BN76" s="137">
        <f>IF(AH76&lt;&gt;0,_xll.xSPRDOPT($BW76,$BV76,$CG76,2*LN(1+CA76/2),$BY76,$BX76,$BZ76,$AJ76,1,8)+(AJ76/365.25)*CH76/AH76,0)</f>
        <v>-0.16149679734387604</v>
      </c>
      <c r="BO76" s="137">
        <f>_xll.xSPRDOPT($BW76,$BV76,$CG76,0,$BY76,$BX76,$BZ76,$AJ76,1,0)</f>
        <v>4.3759441267156016E-2</v>
      </c>
      <c r="BP76" s="137"/>
      <c r="BQ76" s="137"/>
      <c r="BR76" s="137"/>
      <c r="BS76" s="137"/>
      <c r="BV76" s="262">
        <v>3.577</v>
      </c>
      <c r="BW76" s="136">
        <v>3.6120000000000001</v>
      </c>
      <c r="BX76" s="137">
        <v>0.25196822946574327</v>
      </c>
      <c r="BY76" s="137">
        <v>0.25196822946574327</v>
      </c>
      <c r="BZ76" s="137">
        <v>0.99955922081615256</v>
      </c>
      <c r="CA76" s="137">
        <v>5.2004985721710598E-2</v>
      </c>
      <c r="CB76" s="137">
        <v>0.79033279280378232</v>
      </c>
      <c r="CC76" s="258">
        <v>0.14499999999999999</v>
      </c>
      <c r="CD76" s="258">
        <v>0</v>
      </c>
      <c r="CE76" s="258">
        <v>0.18</v>
      </c>
      <c r="CF76" s="258">
        <v>0</v>
      </c>
      <c r="CG76" s="258">
        <v>0</v>
      </c>
      <c r="CH76" s="258">
        <v>0</v>
      </c>
      <c r="CI76" s="258">
        <v>3.4319999999999999</v>
      </c>
      <c r="CJ76" s="258"/>
      <c r="CK76" s="258"/>
      <c r="CL76" s="258"/>
      <c r="CM76" s="258"/>
    </row>
    <row r="77" spans="1:91" x14ac:dyDescent="0.25">
      <c r="A77" s="723"/>
      <c r="B77" s="723"/>
      <c r="D77" s="31">
        <f t="shared" si="30"/>
        <v>38944</v>
      </c>
      <c r="F77" s="28">
        <f t="shared" si="31"/>
        <v>0</v>
      </c>
      <c r="G77" s="28">
        <f t="shared" si="12"/>
        <v>0</v>
      </c>
      <c r="H77" s="52">
        <f t="shared" si="32"/>
        <v>3.617</v>
      </c>
      <c r="I77" s="52">
        <f t="shared" si="33"/>
        <v>3.6520000000000001</v>
      </c>
      <c r="K77" s="52">
        <f t="shared" si="34"/>
        <v>0.8528939524501078</v>
      </c>
      <c r="L77" s="135">
        <f t="shared" si="35"/>
        <v>0.25729785846758757</v>
      </c>
      <c r="N77" s="131">
        <f t="shared" si="13"/>
        <v>0.2529317965172882</v>
      </c>
      <c r="O77" s="131">
        <f t="shared" si="14"/>
        <v>0.2529317965172882</v>
      </c>
      <c r="P77" s="55">
        <f t="shared" si="36"/>
        <v>0.99948798202982059</v>
      </c>
      <c r="Q77" s="135">
        <f>_xll.xSPRDOPT(I77,H77,AQ77,0,O77,N77,P77,D77-$G$5,1,0)*AH77*AU77</f>
        <v>1.1101918109176954</v>
      </c>
      <c r="R77" s="135"/>
      <c r="S77" s="181">
        <f t="shared" si="37"/>
        <v>0</v>
      </c>
      <c r="T77" s="181">
        <f>_xll.xSPRDOPT(I77,H77,AQ77,AT77,O77,N77,P77,D77-$G$5,1,1)*AF77*F77*AH77</f>
        <v>0</v>
      </c>
      <c r="U77" s="135"/>
      <c r="V77" s="146">
        <f t="shared" si="38"/>
        <v>0</v>
      </c>
      <c r="W77" s="146"/>
      <c r="X77" s="338">
        <f t="shared" si="39"/>
        <v>0</v>
      </c>
      <c r="Y77" s="338">
        <f t="shared" si="15"/>
        <v>0</v>
      </c>
      <c r="Z77" s="338">
        <f t="shared" si="16"/>
        <v>0</v>
      </c>
      <c r="AA77" s="338">
        <f t="shared" si="17"/>
        <v>0</v>
      </c>
      <c r="AB77" s="338">
        <f t="shared" si="40"/>
        <v>0</v>
      </c>
      <c r="AC77" s="338">
        <f t="shared" si="41"/>
        <v>0</v>
      </c>
      <c r="AF77" s="138">
        <f t="shared" si="42"/>
        <v>1</v>
      </c>
      <c r="AG77" s="138">
        <f t="shared" si="43"/>
        <v>8</v>
      </c>
      <c r="AH77" s="138">
        <f t="shared" si="53"/>
        <v>31</v>
      </c>
      <c r="AI77" s="138">
        <f t="shared" si="44"/>
        <v>1688</v>
      </c>
      <c r="AJ77" s="138">
        <f t="shared" si="45"/>
        <v>1705</v>
      </c>
      <c r="AL77" s="136">
        <f t="shared" si="19"/>
        <v>3.472</v>
      </c>
      <c r="AM77" s="258">
        <f t="shared" si="20"/>
        <v>0.14499999999999999</v>
      </c>
      <c r="AN77" s="258">
        <f t="shared" si="21"/>
        <v>0</v>
      </c>
      <c r="AO77" s="258">
        <f t="shared" si="22"/>
        <v>0.18</v>
      </c>
      <c r="AP77" s="258">
        <f t="shared" si="23"/>
        <v>0</v>
      </c>
      <c r="AQ77" s="136">
        <f t="shared" si="46"/>
        <v>0</v>
      </c>
      <c r="AR77" s="137">
        <f t="shared" si="24"/>
        <v>0</v>
      </c>
      <c r="AS77" s="136">
        <f t="shared" si="47"/>
        <v>3.617</v>
      </c>
      <c r="AT77" s="137">
        <f t="shared" si="48"/>
        <v>5.2327166392949202E-2</v>
      </c>
      <c r="AU77" s="137">
        <f t="shared" si="25"/>
        <v>0.78607737553005008</v>
      </c>
      <c r="AV77" s="394">
        <f t="shared" si="49"/>
        <v>0</v>
      </c>
      <c r="AW77" s="137">
        <f t="shared" si="26"/>
        <v>0.2475</v>
      </c>
      <c r="AX77" s="137">
        <f t="shared" si="27"/>
        <v>0.6</v>
      </c>
      <c r="AY77" s="137">
        <f t="shared" si="28"/>
        <v>0.6</v>
      </c>
      <c r="AZ77" s="137"/>
      <c r="BA77" s="264"/>
      <c r="BB77" s="258">
        <f t="shared" si="29"/>
        <v>0</v>
      </c>
      <c r="BC77" s="258">
        <f t="shared" si="50"/>
        <v>0</v>
      </c>
      <c r="BD77" s="137">
        <f t="shared" si="51"/>
        <v>9.4466545992322182E-6</v>
      </c>
      <c r="BE77" s="137">
        <f t="shared" si="52"/>
        <v>9.4466545992322182E-6</v>
      </c>
      <c r="BF77" s="137">
        <f>_xll.xSPRDOPT($BW77,$BV77,$CG77,0,$BY77,$BX77,$BZ77,$AJ77,1,4)*$CB77</f>
        <v>1.6852603331327882</v>
      </c>
      <c r="BG77" s="137">
        <f>_xll.xSPRDOPT($BW77,$BV77,$CG77,0,$BY77,$BX77,$BZ77,$AJ77,1,3)*$CB77</f>
        <v>1.6531127207665266</v>
      </c>
      <c r="BH77" s="137">
        <f>IF(OR(BF77&lt;&gt;0,BG77&lt;&gt;0),_xll.xSPRDOPT($BW77,$BV77,$CG77,0,$BY77,$BX77,$BZ77,$AJ77,1,12)*$CB77,0)</f>
        <v>-1.6691110894146517</v>
      </c>
      <c r="BI77" s="137">
        <f>_xll.xSPRDOPT($BW77,$BV77,$CG77,2*LN(1+CA77/2),$BY77,$BX77,$BZ77,$AJ77,1,9)</f>
        <v>5.921506463206559E-5</v>
      </c>
      <c r="BJ77" s="137">
        <f>_xll.xSPRDOPT($BW77,$BV77,$CG77,0,$BY77,$BX77,$BZ77,$AJ77,1,6)*$CB77</f>
        <v>3.3802930947532589E-2</v>
      </c>
      <c r="BK77" s="137">
        <f>_xll.xSPRDOPT($BW77,$BV77,$CG77,0,$BY77,$BX77,$BZ77,$AJ77,1,5)*$CB77</f>
        <v>3.3806493943833012E-2</v>
      </c>
      <c r="BL77" s="137">
        <f>_xll.xSPRDOPT(BW77,BV77,CG77,0,BY77,BX77,BZ77,AJ77,1,2)*CB77</f>
        <v>-0.64465212217567303</v>
      </c>
      <c r="BM77" s="137">
        <f>_xll.xSPRDOPT(BW77,BV77,CG77,0,BY77,BX77,BZ77,AJ77,1,1)*CB77</f>
        <v>0.64827527264527496</v>
      </c>
      <c r="BN77" s="137">
        <f>IF(AH77&lt;&gt;0,_xll.xSPRDOPT($BW77,$BV77,$CG77,2*LN(1+CA77/2),$BY77,$BX77,$BZ77,$AJ77,1,8)+(AJ77/365.25)*CH77/AH77,0)</f>
        <v>-0.17087483300149839</v>
      </c>
      <c r="BO77" s="137">
        <f>_xll.xSPRDOPT($BW77,$BV77,$CG77,0,$BY77,$BX77,$BZ77,$AJ77,1,0)</f>
        <v>4.5555017775784079E-2</v>
      </c>
      <c r="BP77" s="137"/>
      <c r="BQ77" s="137"/>
      <c r="BR77" s="137"/>
      <c r="BS77" s="137"/>
      <c r="BV77" s="262">
        <v>3.617</v>
      </c>
      <c r="BW77" s="136">
        <v>3.6520000000000001</v>
      </c>
      <c r="BX77" s="137">
        <v>0.25292234986268897</v>
      </c>
      <c r="BY77" s="137">
        <v>0.25292234986268897</v>
      </c>
      <c r="BZ77" s="137">
        <v>0.99948884396807547</v>
      </c>
      <c r="CA77" s="137">
        <v>5.2327166392949202E-2</v>
      </c>
      <c r="CB77" s="137">
        <v>0.78574394063357444</v>
      </c>
      <c r="CC77" s="258">
        <v>0.14499999999999999</v>
      </c>
      <c r="CD77" s="258">
        <v>0</v>
      </c>
      <c r="CE77" s="258">
        <v>0.18</v>
      </c>
      <c r="CF77" s="258">
        <v>0</v>
      </c>
      <c r="CG77" s="258">
        <v>0</v>
      </c>
      <c r="CH77" s="258">
        <v>0</v>
      </c>
      <c r="CI77" s="258">
        <v>3.472</v>
      </c>
      <c r="CJ77" s="258"/>
      <c r="CK77" s="258"/>
      <c r="CL77" s="258"/>
      <c r="CM77" s="258"/>
    </row>
    <row r="78" spans="1:91" x14ac:dyDescent="0.25">
      <c r="A78" s="723"/>
      <c r="B78" s="723"/>
      <c r="D78" s="31">
        <f t="shared" si="30"/>
        <v>38975</v>
      </c>
      <c r="F78" s="28">
        <f t="shared" si="31"/>
        <v>0</v>
      </c>
      <c r="G78" s="28">
        <f t="shared" si="12"/>
        <v>0</v>
      </c>
      <c r="H78" s="52">
        <f t="shared" si="32"/>
        <v>3.6120000000000001</v>
      </c>
      <c r="I78" s="52">
        <f t="shared" si="33"/>
        <v>3.6470000000000002</v>
      </c>
      <c r="K78" s="52">
        <f t="shared" si="34"/>
        <v>0.82054746543547163</v>
      </c>
      <c r="L78" s="135">
        <f t="shared" si="35"/>
        <v>0.23831638973034663</v>
      </c>
      <c r="N78" s="131">
        <f t="shared" si="13"/>
        <v>0.25266685278209666</v>
      </c>
      <c r="O78" s="131">
        <f t="shared" si="14"/>
        <v>0.25266685278209666</v>
      </c>
      <c r="P78" s="55">
        <f t="shared" si="36"/>
        <v>0.99951219289112581</v>
      </c>
      <c r="Q78" s="135">
        <f>_xll.xSPRDOPT(I78,H78,AQ78,0,O78,N78,P78,D78-$G$5,1,0)*AH78*AU78</f>
        <v>1.0588638551658183</v>
      </c>
      <c r="R78" s="135"/>
      <c r="S78" s="181">
        <f t="shared" si="37"/>
        <v>0</v>
      </c>
      <c r="T78" s="181">
        <f>_xll.xSPRDOPT(I78,H78,AQ78,AT78,O78,N78,P78,D78-$G$5,1,1)*AF78*F78*AH78</f>
        <v>0</v>
      </c>
      <c r="U78" s="135"/>
      <c r="V78" s="146">
        <f t="shared" si="38"/>
        <v>0</v>
      </c>
      <c r="W78" s="146"/>
      <c r="X78" s="338">
        <f t="shared" si="39"/>
        <v>0</v>
      </c>
      <c r="Y78" s="338">
        <f t="shared" si="15"/>
        <v>0</v>
      </c>
      <c r="Z78" s="338">
        <f t="shared" si="16"/>
        <v>0</v>
      </c>
      <c r="AA78" s="338">
        <f t="shared" si="17"/>
        <v>0</v>
      </c>
      <c r="AB78" s="338">
        <f t="shared" si="40"/>
        <v>0</v>
      </c>
      <c r="AC78" s="338">
        <f t="shared" si="41"/>
        <v>0</v>
      </c>
      <c r="AF78" s="138">
        <f t="shared" si="42"/>
        <v>1</v>
      </c>
      <c r="AG78" s="138">
        <f t="shared" si="43"/>
        <v>9</v>
      </c>
      <c r="AH78" s="138">
        <f t="shared" si="53"/>
        <v>30</v>
      </c>
      <c r="AI78" s="138">
        <f t="shared" si="44"/>
        <v>1719</v>
      </c>
      <c r="AJ78" s="138">
        <f t="shared" si="45"/>
        <v>1736</v>
      </c>
      <c r="AL78" s="136">
        <f t="shared" si="19"/>
        <v>3.4670000000000001</v>
      </c>
      <c r="AM78" s="258">
        <f t="shared" si="20"/>
        <v>0.14499999999999999</v>
      </c>
      <c r="AN78" s="258">
        <f t="shared" si="21"/>
        <v>0</v>
      </c>
      <c r="AO78" s="258">
        <f t="shared" si="22"/>
        <v>0.18</v>
      </c>
      <c r="AP78" s="258">
        <f t="shared" si="23"/>
        <v>0</v>
      </c>
      <c r="AQ78" s="136">
        <f t="shared" si="46"/>
        <v>0</v>
      </c>
      <c r="AR78" s="137">
        <f t="shared" si="24"/>
        <v>0</v>
      </c>
      <c r="AS78" s="136">
        <f t="shared" si="47"/>
        <v>3.6120000000000001</v>
      </c>
      <c r="AT78" s="137">
        <f t="shared" si="48"/>
        <v>5.2649347098806303E-2</v>
      </c>
      <c r="AU78" s="137">
        <f t="shared" si="25"/>
        <v>0.78147377660520789</v>
      </c>
      <c r="AV78" s="394">
        <f t="shared" si="49"/>
        <v>0</v>
      </c>
      <c r="AW78" s="137">
        <f t="shared" si="26"/>
        <v>0.2475</v>
      </c>
      <c r="AX78" s="137">
        <f t="shared" si="27"/>
        <v>0.6</v>
      </c>
      <c r="AY78" s="137">
        <f t="shared" si="28"/>
        <v>0.6</v>
      </c>
      <c r="AZ78" s="137"/>
      <c r="BA78" s="264"/>
      <c r="BB78" s="258">
        <f t="shared" si="29"/>
        <v>0</v>
      </c>
      <c r="BC78" s="258">
        <f t="shared" si="50"/>
        <v>0</v>
      </c>
      <c r="BD78" s="137">
        <f t="shared" si="51"/>
        <v>8.8326649159697901E-6</v>
      </c>
      <c r="BE78" s="137">
        <f t="shared" si="52"/>
        <v>8.8326649159697901E-6</v>
      </c>
      <c r="BF78" s="137">
        <f>_xll.xSPRDOPT($BW78,$BV78,$CG78,0,$BY78,$BX78,$BZ78,$AJ78,1,4)*$CB78</f>
        <v>1.5873588362955802</v>
      </c>
      <c r="BG78" s="137">
        <f>_xll.xSPRDOPT($BW78,$BV78,$CG78,0,$BY78,$BX78,$BZ78,$AJ78,1,3)*$CB78</f>
        <v>1.557037769243923</v>
      </c>
      <c r="BH78" s="137">
        <f>IF(OR(BF78&lt;&gt;0,BG78&lt;&gt;0),_xll.xSPRDOPT($BW78,$BV78,$CG78,0,$BY78,$BX78,$BZ78,$AJ78,1,12)*$CB78,0)</f>
        <v>-1.5721267962037806</v>
      </c>
      <c r="BI78" s="137">
        <f>_xll.xSPRDOPT($BW78,$BV78,$CG78,2*LN(1+CA78/2),$BY78,$BX78,$BZ78,$AJ78,1,9)</f>
        <v>1.2819859442426127E-4</v>
      </c>
      <c r="BJ78" s="137">
        <f>_xll.xSPRDOPT($BW78,$BV78,$CG78,0,$BY78,$BX78,$BZ78,$AJ78,1,6)*$CB78</f>
        <v>3.2873121451130798E-2</v>
      </c>
      <c r="BK78" s="137">
        <f>_xll.xSPRDOPT($BW78,$BV78,$CG78,0,$BY78,$BX78,$BZ78,$AJ78,1,5)*$CB78</f>
        <v>3.287626709883746E-2</v>
      </c>
      <c r="BL78" s="137">
        <f>_xll.xSPRDOPT(BW78,BV78,CG78,0,BY78,BX78,BZ78,AJ78,1,2)*CB78</f>
        <v>-0.64712509029374521</v>
      </c>
      <c r="BM78" s="137">
        <f>_xll.xSPRDOPT(BW78,BV78,CG78,0,BY78,BX78,BZ78,AJ78,1,1)*CB78</f>
        <v>0.65058773788783197</v>
      </c>
      <c r="BN78" s="137">
        <f>IF(AH78&lt;&gt;0,_xll.xSPRDOPT($BW78,$BV78,$CG78,2*LN(1+CA78/2),$BY78,$BX78,$BZ78,$AJ78,1,8)+(AJ78/365.25)*CH78/AH78,0)</f>
        <v>-0.1715549023252208</v>
      </c>
      <c r="BO78" s="137">
        <f>_xll.xSPRDOPT($BW78,$BV78,$CG78,0,$BY78,$BX78,$BZ78,$AJ78,1,0)</f>
        <v>4.5161751203416367E-2</v>
      </c>
      <c r="BP78" s="137"/>
      <c r="BQ78" s="137"/>
      <c r="BR78" s="137"/>
      <c r="BS78" s="137"/>
      <c r="BV78" s="262">
        <v>3.6120000000000001</v>
      </c>
      <c r="BW78" s="136">
        <v>3.6470000000000002</v>
      </c>
      <c r="BX78" s="137">
        <v>0.25265802011718069</v>
      </c>
      <c r="BY78" s="137">
        <v>0.25265802011718069</v>
      </c>
      <c r="BZ78" s="137">
        <v>0.99951300134229004</v>
      </c>
      <c r="CA78" s="137">
        <v>5.2649347098806303E-2</v>
      </c>
      <c r="CB78" s="137">
        <v>0.78114028021149551</v>
      </c>
      <c r="CC78" s="258">
        <v>0.14499999999999999</v>
      </c>
      <c r="CD78" s="258">
        <v>0</v>
      </c>
      <c r="CE78" s="258">
        <v>0.18</v>
      </c>
      <c r="CF78" s="258">
        <v>0</v>
      </c>
      <c r="CG78" s="258">
        <v>0</v>
      </c>
      <c r="CH78" s="258">
        <v>0</v>
      </c>
      <c r="CI78" s="258">
        <v>3.4670000000000001</v>
      </c>
      <c r="CJ78" s="258"/>
      <c r="CK78" s="258"/>
      <c r="CL78" s="258"/>
      <c r="CM78" s="258"/>
    </row>
    <row r="79" spans="1:91" x14ac:dyDescent="0.25">
      <c r="A79" s="723"/>
      <c r="B79" s="723"/>
      <c r="D79" s="31">
        <f t="shared" si="30"/>
        <v>39005</v>
      </c>
      <c r="F79" s="28">
        <f t="shared" si="31"/>
        <v>0</v>
      </c>
      <c r="G79" s="28">
        <f t="shared" si="12"/>
        <v>0</v>
      </c>
      <c r="H79" s="52">
        <f t="shared" si="32"/>
        <v>3.637</v>
      </c>
      <c r="I79" s="52">
        <f t="shared" si="33"/>
        <v>3.6720000000000002</v>
      </c>
      <c r="K79" s="52">
        <f t="shared" si="34"/>
        <v>0.84305053610272729</v>
      </c>
      <c r="L79" s="135">
        <f t="shared" si="35"/>
        <v>0.29842203385623967</v>
      </c>
      <c r="N79" s="131">
        <f t="shared" si="13"/>
        <v>0.25382975493137849</v>
      </c>
      <c r="O79" s="131">
        <f t="shared" si="14"/>
        <v>0.25382975493137849</v>
      </c>
      <c r="P79" s="55">
        <f t="shared" si="36"/>
        <v>0.99942396126521582</v>
      </c>
      <c r="Q79" s="135">
        <f>_xll.xSPRDOPT(I79,H79,AQ79,0,O79,N79,P79,D79-$G$5,1,0)*AH79*AU79</f>
        <v>1.141472569958967</v>
      </c>
      <c r="R79" s="135"/>
      <c r="S79" s="181">
        <f t="shared" si="37"/>
        <v>0</v>
      </c>
      <c r="T79" s="181">
        <f>_xll.xSPRDOPT(I79,H79,AQ79,AT79,O79,N79,P79,D79-$G$5,1,1)*AF79*F79*AH79</f>
        <v>0</v>
      </c>
      <c r="U79" s="135"/>
      <c r="V79" s="146">
        <f t="shared" si="38"/>
        <v>0</v>
      </c>
      <c r="W79" s="146"/>
      <c r="X79" s="338">
        <f t="shared" si="39"/>
        <v>0</v>
      </c>
      <c r="Y79" s="338">
        <f t="shared" si="15"/>
        <v>0</v>
      </c>
      <c r="Z79" s="338">
        <f t="shared" si="16"/>
        <v>0</v>
      </c>
      <c r="AA79" s="338">
        <f t="shared" si="17"/>
        <v>0</v>
      </c>
      <c r="AB79" s="338">
        <f t="shared" si="40"/>
        <v>0</v>
      </c>
      <c r="AC79" s="338">
        <f t="shared" si="41"/>
        <v>0</v>
      </c>
      <c r="AF79" s="138">
        <f t="shared" si="42"/>
        <v>1</v>
      </c>
      <c r="AG79" s="138">
        <f t="shared" si="43"/>
        <v>10</v>
      </c>
      <c r="AH79" s="138">
        <f t="shared" si="53"/>
        <v>31</v>
      </c>
      <c r="AI79" s="138">
        <f t="shared" si="44"/>
        <v>1749</v>
      </c>
      <c r="AJ79" s="138">
        <f t="shared" si="45"/>
        <v>1766</v>
      </c>
      <c r="AL79" s="136">
        <f t="shared" si="19"/>
        <v>3.492</v>
      </c>
      <c r="AM79" s="258">
        <f t="shared" si="20"/>
        <v>0.14499999999999999</v>
      </c>
      <c r="AN79" s="258">
        <f t="shared" si="21"/>
        <v>0</v>
      </c>
      <c r="AO79" s="258">
        <f t="shared" si="22"/>
        <v>0.18</v>
      </c>
      <c r="AP79" s="258">
        <f t="shared" si="23"/>
        <v>0</v>
      </c>
      <c r="AQ79" s="136">
        <f t="shared" si="46"/>
        <v>0</v>
      </c>
      <c r="AR79" s="137">
        <f t="shared" si="24"/>
        <v>0</v>
      </c>
      <c r="AS79" s="136">
        <f t="shared" si="47"/>
        <v>3.637</v>
      </c>
      <c r="AT79" s="137">
        <f t="shared" si="48"/>
        <v>5.2961134911624401E-2</v>
      </c>
      <c r="AU79" s="137">
        <f t="shared" si="25"/>
        <v>0.77700510239882381</v>
      </c>
      <c r="AV79" s="394">
        <f t="shared" si="49"/>
        <v>0</v>
      </c>
      <c r="AW79" s="137">
        <f t="shared" si="26"/>
        <v>0.2475</v>
      </c>
      <c r="AX79" s="137">
        <f t="shared" si="27"/>
        <v>0.65</v>
      </c>
      <c r="AY79" s="137">
        <f t="shared" si="28"/>
        <v>0.65</v>
      </c>
      <c r="AZ79" s="137"/>
      <c r="BA79" s="264"/>
      <c r="BB79" s="258">
        <f t="shared" si="29"/>
        <v>0</v>
      </c>
      <c r="BC79" s="258">
        <f t="shared" si="50"/>
        <v>0</v>
      </c>
      <c r="BD79" s="137">
        <f t="shared" si="51"/>
        <v>1.0609838181130371E-5</v>
      </c>
      <c r="BE79" s="137">
        <f t="shared" si="52"/>
        <v>1.0609838181130371E-5</v>
      </c>
      <c r="BF79" s="137">
        <f>_xll.xSPRDOPT($BW79,$BV79,$CG79,0,$BY79,$BX79,$BZ79,$AJ79,1,4)*$CB79</f>
        <v>1.8322692169845221</v>
      </c>
      <c r="BG79" s="137">
        <f>_xll.xSPRDOPT($BW79,$BV79,$CG79,0,$BY79,$BX79,$BZ79,$AJ79,1,3)*$CB79</f>
        <v>1.7975070875387649</v>
      </c>
      <c r="BH79" s="137">
        <f>IF(OR(BF79&lt;&gt;0,BG79&lt;&gt;0),_xll.xSPRDOPT($BW79,$BV79,$CG79,0,$BY79,$BX79,$BZ79,$AJ79,1,12)*$CB79,0)</f>
        <v>-1.8148068258559533</v>
      </c>
      <c r="BI79" s="137">
        <f>_xll.xSPRDOPT($BW79,$BV79,$CG79,2*LN(1+CA79/2),$BY79,$BX79,$BZ79,$AJ79,1,9)</f>
        <v>2.1197690312164345E-5</v>
      </c>
      <c r="BJ79" s="137">
        <f>_xll.xSPRDOPT($BW79,$BV79,$CG79,0,$BY79,$BX79,$BZ79,$AJ79,1,6)*$CB79</f>
        <v>3.7143870202029736E-2</v>
      </c>
      <c r="BK79" s="137">
        <f>_xll.xSPRDOPT($BW79,$BV79,$CG79,0,$BY79,$BX79,$BZ79,$AJ79,1,5)*$CB79</f>
        <v>3.7149208659729829E-2</v>
      </c>
      <c r="BL79" s="137">
        <f>_xll.xSPRDOPT(BW79,BV79,CG79,0,BY79,BX79,BZ79,AJ79,1,2)*CB79</f>
        <v>-0.61799944799023621</v>
      </c>
      <c r="BM79" s="137">
        <f>_xll.xSPRDOPT(BW79,BV79,CG79,0,BY79,BX79,BZ79,AJ79,1,1)*CB79</f>
        <v>0.622131411009477</v>
      </c>
      <c r="BN79" s="137">
        <f>IF(AH79&lt;&gt;0,_xll.xSPRDOPT($BW79,$BV79,$CG79,2*LN(1+CA79/2),$BY79,$BX79,$BZ79,$AJ79,1,8)+(AJ79/365.25)*CH79/AH79,0)</f>
        <v>-0.18233526783058279</v>
      </c>
      <c r="BO79" s="137">
        <f>_xll.xSPRDOPT($BW79,$BV79,$CG79,0,$BY79,$BX79,$BZ79,$AJ79,1,0)</f>
        <v>4.7384971064420293E-2</v>
      </c>
      <c r="BP79" s="137"/>
      <c r="BQ79" s="137"/>
      <c r="BR79" s="137"/>
      <c r="BS79" s="137"/>
      <c r="BV79" s="262">
        <v>3.637</v>
      </c>
      <c r="BW79" s="136">
        <v>3.6720000000000002</v>
      </c>
      <c r="BX79" s="137">
        <v>0.25381914509319736</v>
      </c>
      <c r="BY79" s="137">
        <v>0.25381914509319736</v>
      </c>
      <c r="BZ79" s="137">
        <v>0.99942489090600928</v>
      </c>
      <c r="CA79" s="137">
        <v>5.2961134911624401E-2</v>
      </c>
      <c r="CB79" s="137">
        <v>0.77667157521957753</v>
      </c>
      <c r="CC79" s="258">
        <v>0.14499999999999999</v>
      </c>
      <c r="CD79" s="258">
        <v>0</v>
      </c>
      <c r="CE79" s="258">
        <v>0.18</v>
      </c>
      <c r="CF79" s="258">
        <v>0</v>
      </c>
      <c r="CG79" s="258">
        <v>0</v>
      </c>
      <c r="CH79" s="258">
        <v>0</v>
      </c>
      <c r="CI79" s="258">
        <v>3.492</v>
      </c>
      <c r="CJ79" s="258"/>
      <c r="CK79" s="258"/>
      <c r="CL79" s="258"/>
      <c r="CM79" s="258"/>
    </row>
    <row r="80" spans="1:91" x14ac:dyDescent="0.25">
      <c r="A80" s="723"/>
      <c r="B80" s="723"/>
      <c r="D80" s="31">
        <f t="shared" si="30"/>
        <v>39036</v>
      </c>
      <c r="F80" s="28">
        <f t="shared" si="31"/>
        <v>9189</v>
      </c>
      <c r="G80" s="28">
        <f t="shared" si="12"/>
        <v>7097.3447608112938</v>
      </c>
      <c r="H80" s="52">
        <f t="shared" si="32"/>
        <v>4.0289999999999999</v>
      </c>
      <c r="I80" s="52">
        <f t="shared" si="33"/>
        <v>4.0289999999999999</v>
      </c>
      <c r="K80" s="52">
        <f t="shared" si="34"/>
        <v>0</v>
      </c>
      <c r="L80" s="135">
        <f t="shared" si="35"/>
        <v>0.76790582667038421</v>
      </c>
      <c r="N80" s="131">
        <f t="shared" si="13"/>
        <v>0.25708471122670462</v>
      </c>
      <c r="O80" s="131">
        <f t="shared" si="14"/>
        <v>0.25708471122670462</v>
      </c>
      <c r="P80" s="55">
        <f t="shared" si="36"/>
        <v>0.99919080297000606</v>
      </c>
      <c r="Q80" s="135">
        <f>_xll.xSPRDOPT(I80,H80,AQ80,0,O80,N80,P80,D80-$G$5,1,0)*AH80*AU80</f>
        <v>0.76790582667038421</v>
      </c>
      <c r="R80" s="135"/>
      <c r="S80" s="181">
        <f t="shared" si="37"/>
        <v>-106968.81794152835</v>
      </c>
      <c r="T80" s="181">
        <f>_xll.xSPRDOPT(I80,H80,AQ80,AT80,O80,N80,P80,D80-$G$5,1,1)*AF80*F80*AH80</f>
        <v>106968.81794152835</v>
      </c>
      <c r="U80" s="135"/>
      <c r="V80" s="146">
        <f t="shared" si="38"/>
        <v>0</v>
      </c>
      <c r="W80" s="146"/>
      <c r="X80" s="338">
        <f t="shared" si="39"/>
        <v>0</v>
      </c>
      <c r="Y80" s="338">
        <f t="shared" si="15"/>
        <v>0</v>
      </c>
      <c r="Z80" s="338">
        <f t="shared" si="16"/>
        <v>-3.1580713299993972</v>
      </c>
      <c r="AA80" s="338">
        <f t="shared" si="17"/>
        <v>0.47867963545415859</v>
      </c>
      <c r="AB80" s="338">
        <f t="shared" si="40"/>
        <v>0</v>
      </c>
      <c r="AC80" s="338">
        <f t="shared" si="41"/>
        <v>3.0844304911530869</v>
      </c>
      <c r="AF80" s="138">
        <f t="shared" si="42"/>
        <v>1</v>
      </c>
      <c r="AG80" s="138">
        <f t="shared" si="43"/>
        <v>11</v>
      </c>
      <c r="AH80" s="138">
        <f t="shared" si="53"/>
        <v>30</v>
      </c>
      <c r="AI80" s="138">
        <f t="shared" si="44"/>
        <v>1780</v>
      </c>
      <c r="AJ80" s="138">
        <f t="shared" si="45"/>
        <v>1797</v>
      </c>
      <c r="AL80" s="136">
        <f t="shared" si="19"/>
        <v>3.6440000000000001</v>
      </c>
      <c r="AM80" s="258">
        <f t="shared" si="20"/>
        <v>0.38500000000000001</v>
      </c>
      <c r="AN80" s="258">
        <f t="shared" si="21"/>
        <v>0</v>
      </c>
      <c r="AO80" s="258">
        <f t="shared" si="22"/>
        <v>0.38500000000000001</v>
      </c>
      <c r="AP80" s="258">
        <f t="shared" si="23"/>
        <v>0</v>
      </c>
      <c r="AQ80" s="136">
        <f t="shared" si="46"/>
        <v>0</v>
      </c>
      <c r="AR80" s="137">
        <f t="shared" si="24"/>
        <v>0</v>
      </c>
      <c r="AS80" s="136">
        <f t="shared" si="47"/>
        <v>4.0289999999999999</v>
      </c>
      <c r="AT80" s="137">
        <f t="shared" si="48"/>
        <v>5.3283315685584802E-2</v>
      </c>
      <c r="AU80" s="137">
        <f t="shared" si="25"/>
        <v>0.77237400814139667</v>
      </c>
      <c r="AV80" s="394">
        <f t="shared" si="49"/>
        <v>0</v>
      </c>
      <c r="AW80" s="137">
        <f t="shared" si="26"/>
        <v>0.2475</v>
      </c>
      <c r="AX80" s="137">
        <f t="shared" si="27"/>
        <v>0.8</v>
      </c>
      <c r="AY80" s="137">
        <f t="shared" si="28"/>
        <v>0.8</v>
      </c>
      <c r="AZ80" s="137"/>
      <c r="BA80" s="264"/>
      <c r="BB80" s="258">
        <f t="shared" si="29"/>
        <v>0</v>
      </c>
      <c r="BC80" s="258">
        <f t="shared" si="50"/>
        <v>0</v>
      </c>
      <c r="BD80" s="137">
        <f t="shared" si="51"/>
        <v>1.5694652291009525E-5</v>
      </c>
      <c r="BE80" s="137">
        <f t="shared" si="52"/>
        <v>1.5694652291009525E-5</v>
      </c>
      <c r="BF80" s="137">
        <f>_xll.xSPRDOPT($BW80,$BV80,$CG80,0,$BY80,$BX80,$BZ80,$AJ80,1,4)*$CB80</f>
        <v>4861.0595061453769</v>
      </c>
      <c r="BG80" s="137">
        <f>_xll.xSPRDOPT($BW80,$BV80,$CG80,0,$BY80,$BX80,$BZ80,$AJ80,1,3)*$CB80</f>
        <v>4861.0595060909836</v>
      </c>
      <c r="BH80" s="137">
        <f>IF(OR(BF80&lt;&gt;0,BG80&lt;&gt;0),_xll.xSPRDOPT($BW80,$BV80,$CG80,0,$BY80,$BX80,$BZ80,$AJ80,1,12)*$CB80,0)</f>
        <v>-4861.0595154867251</v>
      </c>
      <c r="BI80" s="137">
        <f>_xll.xSPRDOPT($BW80,$BV80,$CG80,2*LN(1+CA80/2),$BY80,$BX80,$BZ80,$AJ80,1,9)</f>
        <v>-1.3947661494809976E-3</v>
      </c>
      <c r="BJ80" s="137">
        <f>_xll.xSPRDOPT($BW80,$BV80,$CG80,0,$BY80,$BX80,$BZ80,$AJ80,1,6)*$CB80</f>
        <v>5.5087770305966254E-2</v>
      </c>
      <c r="BK80" s="137">
        <f>_xll.xSPRDOPT($BW80,$BV80,$CG80,0,$BY80,$BX80,$BZ80,$AJ80,1,5)*$CB80</f>
        <v>5.5550084589040656E-2</v>
      </c>
      <c r="BL80" s="137">
        <f>_xll.xSPRDOPT(BW80,BV80,CG80,0,BY80,BX80,BZ80,AJ80,1,2)*CB80</f>
        <v>-0.38284752853092219</v>
      </c>
      <c r="BM80" s="137">
        <f>_xll.xSPRDOPT(BW80,BV80,CG80,0,BY80,BX80,BZ80,AJ80,1,1)*CB80</f>
        <v>0.38919302870824812</v>
      </c>
      <c r="BN80" s="137">
        <f>IF(AH80&lt;&gt;0,_xll.xSPRDOPT($BW80,$BV80,$CG80,2*LN(1+CA80/2),$BY80,$BX80,$BZ80,$AJ80,1,8)+(AJ80/365.25)*CH80/AH80,0)</f>
        <v>-0.13993694011447116</v>
      </c>
      <c r="BO80" s="137">
        <f>_xll.xSPRDOPT($BW80,$BV80,$CG80,0,$BY80,$BX80,$BZ80,$AJ80,1,0)</f>
        <v>3.3114876365962227E-2</v>
      </c>
      <c r="BP80" s="137"/>
      <c r="BQ80" s="137"/>
      <c r="BR80" s="137"/>
      <c r="BS80" s="137"/>
      <c r="BV80" s="262">
        <v>4.0289999999999999</v>
      </c>
      <c r="BW80" s="136">
        <v>4.0289999999999999</v>
      </c>
      <c r="BX80" s="137">
        <v>0.25706901657441361</v>
      </c>
      <c r="BY80" s="137">
        <v>0.25706901657441361</v>
      </c>
      <c r="BZ80" s="137">
        <v>0.99919205448708814</v>
      </c>
      <c r="CA80" s="137">
        <v>5.3283315685584802E-2</v>
      </c>
      <c r="CB80" s="137">
        <v>0.77204047869284675</v>
      </c>
      <c r="CC80" s="258">
        <v>0.38500000000000001</v>
      </c>
      <c r="CD80" s="258">
        <v>0</v>
      </c>
      <c r="CE80" s="258">
        <v>0.38500000000000001</v>
      </c>
      <c r="CF80" s="258">
        <v>0</v>
      </c>
      <c r="CG80" s="258">
        <v>0</v>
      </c>
      <c r="CH80" s="258">
        <v>0</v>
      </c>
      <c r="CI80" s="258">
        <v>3.6440000000000001</v>
      </c>
      <c r="CJ80" s="258"/>
      <c r="CK80" s="258"/>
      <c r="CL80" s="258"/>
      <c r="CM80" s="258"/>
    </row>
    <row r="81" spans="1:91" x14ac:dyDescent="0.25">
      <c r="A81" s="723"/>
      <c r="B81" s="723"/>
      <c r="D81" s="31">
        <f t="shared" si="30"/>
        <v>39066</v>
      </c>
      <c r="F81" s="28">
        <f t="shared" si="31"/>
        <v>9189</v>
      </c>
      <c r="G81" s="28">
        <f t="shared" si="12"/>
        <v>7056.0476233867876</v>
      </c>
      <c r="H81" s="52">
        <f t="shared" si="32"/>
        <v>4.1719999999999997</v>
      </c>
      <c r="I81" s="52">
        <f t="shared" si="33"/>
        <v>4.1719999999999997</v>
      </c>
      <c r="K81" s="52">
        <f t="shared" si="34"/>
        <v>0</v>
      </c>
      <c r="L81" s="135">
        <f t="shared" si="35"/>
        <v>1.2690897309701688</v>
      </c>
      <c r="N81" s="131">
        <f t="shared" si="13"/>
        <v>0.26647707499561696</v>
      </c>
      <c r="O81" s="131">
        <f t="shared" si="14"/>
        <v>0.26647707499561696</v>
      </c>
      <c r="P81" s="55">
        <f t="shared" si="36"/>
        <v>0.9985531765941309</v>
      </c>
      <c r="Q81" s="135">
        <f>_xll.xSPRDOPT(I81,H81,AQ81,0,O81,N81,P81,D81-$G$5,1,0)*AH81*AU81</f>
        <v>1.2690897309701688</v>
      </c>
      <c r="R81" s="135"/>
      <c r="S81" s="181">
        <f t="shared" si="37"/>
        <v>-110376.7817978581</v>
      </c>
      <c r="T81" s="181">
        <f>_xll.xSPRDOPT(I81,H81,AQ81,AT81,O81,N81,P81,D81-$G$5,1,1)*AF81*F81*AH81</f>
        <v>110376.7817978581</v>
      </c>
      <c r="U81" s="135"/>
      <c r="V81" s="146">
        <f t="shared" si="38"/>
        <v>0</v>
      </c>
      <c r="W81" s="146"/>
      <c r="X81" s="338">
        <f t="shared" si="39"/>
        <v>0</v>
      </c>
      <c r="Y81" s="338">
        <f t="shared" si="15"/>
        <v>0</v>
      </c>
      <c r="Z81" s="338">
        <f t="shared" si="16"/>
        <v>-4.5057027042618261</v>
      </c>
      <c r="AA81" s="338">
        <f t="shared" si="17"/>
        <v>1.3135813207667653</v>
      </c>
      <c r="AB81" s="338">
        <f t="shared" si="40"/>
        <v>0</v>
      </c>
      <c r="AC81" s="338">
        <f t="shared" si="41"/>
        <v>5.1313112350012053</v>
      </c>
      <c r="AF81" s="138">
        <f t="shared" si="42"/>
        <v>1</v>
      </c>
      <c r="AG81" s="138">
        <f t="shared" si="43"/>
        <v>12</v>
      </c>
      <c r="AH81" s="138">
        <f t="shared" si="53"/>
        <v>31</v>
      </c>
      <c r="AI81" s="138">
        <f t="shared" si="44"/>
        <v>1810</v>
      </c>
      <c r="AJ81" s="138">
        <f t="shared" si="45"/>
        <v>1827</v>
      </c>
      <c r="AL81" s="136">
        <f t="shared" si="19"/>
        <v>3.7869999999999999</v>
      </c>
      <c r="AM81" s="258">
        <f t="shared" si="20"/>
        <v>0.38500000000000001</v>
      </c>
      <c r="AN81" s="258">
        <f t="shared" si="21"/>
        <v>0</v>
      </c>
      <c r="AO81" s="258">
        <f t="shared" si="22"/>
        <v>0.38500000000000001</v>
      </c>
      <c r="AP81" s="258">
        <f t="shared" si="23"/>
        <v>0</v>
      </c>
      <c r="AQ81" s="136">
        <f t="shared" si="46"/>
        <v>0</v>
      </c>
      <c r="AR81" s="137">
        <f t="shared" si="24"/>
        <v>0</v>
      </c>
      <c r="AS81" s="136">
        <f t="shared" si="47"/>
        <v>4.1719999999999997</v>
      </c>
      <c r="AT81" s="137">
        <f t="shared" si="48"/>
        <v>5.3595103564298502E-2</v>
      </c>
      <c r="AU81" s="137">
        <f t="shared" si="25"/>
        <v>0.76787981536476091</v>
      </c>
      <c r="AV81" s="394">
        <f t="shared" si="49"/>
        <v>0</v>
      </c>
      <c r="AW81" s="137">
        <f t="shared" si="26"/>
        <v>0.2475</v>
      </c>
      <c r="AX81" s="137">
        <f t="shared" si="27"/>
        <v>1.1000000000000001</v>
      </c>
      <c r="AY81" s="137">
        <f t="shared" si="28"/>
        <v>1.1000000000000001</v>
      </c>
      <c r="AZ81" s="137"/>
      <c r="BA81" s="264"/>
      <c r="BB81" s="258">
        <f t="shared" si="29"/>
        <v>0</v>
      </c>
      <c r="BC81" s="258">
        <f t="shared" si="50"/>
        <v>0</v>
      </c>
      <c r="BD81" s="137">
        <f t="shared" si="51"/>
        <v>3.0028520459024488E-5</v>
      </c>
      <c r="BE81" s="137">
        <f t="shared" si="52"/>
        <v>3.0028520459024488E-5</v>
      </c>
      <c r="BF81" s="137">
        <f>_xll.xSPRDOPT($BW81,$BV81,$CG81,0,$BY81,$BX81,$BZ81,$AJ81,1,4)*$CB81</f>
        <v>2.290944083223093</v>
      </c>
      <c r="BG81" s="137">
        <f>_xll.xSPRDOPT($BW81,$BV81,$CG81,0,$BY81,$BX81,$BZ81,$AJ81,1,3)*$CB81</f>
        <v>2.2909440391451765</v>
      </c>
      <c r="BH81" s="137">
        <f>IF(OR(BF81&lt;&gt;0,BG81&lt;&gt;0),_xll.xSPRDOPT($BW81,$BV81,$CG81,0,$BY81,$BX81,$BZ81,$AJ81,1,12)*$CB81,0)</f>
        <v>-2.2909531850272109</v>
      </c>
      <c r="BI81" s="137">
        <f>_xll.xSPRDOPT($BW81,$BV81,$CG81,2*LN(1+CA81/2),$BY81,$BX81,$BZ81,$AJ81,1,9)</f>
        <v>-1.9257573193891624E-3</v>
      </c>
      <c r="BJ81" s="137">
        <f>_xll.xSPRDOPT($BW81,$BV81,$CG81,0,$BY81,$BX81,$BZ81,$AJ81,1,6)*$CB81</f>
        <v>7.6568707463768995E-2</v>
      </c>
      <c r="BK81" s="137">
        <f>_xll.xSPRDOPT($BW81,$BV81,$CG81,0,$BY81,$BX81,$BZ81,$AJ81,1,5)*$CB81</f>
        <v>7.6996589610048044E-2</v>
      </c>
      <c r="BL81" s="137">
        <f>_xll.xSPRDOPT(BW81,BV81,CG81,0,BY81,BX81,BZ81,AJ81,1,2)*CB81</f>
        <v>-0.37886899781650496</v>
      </c>
      <c r="BM81" s="137">
        <f>_xll.xSPRDOPT(BW81,BV81,CG81,0,BY81,BX81,BZ81,AJ81,1,1)*CB81</f>
        <v>0.38867739151239383</v>
      </c>
      <c r="BN81" s="137">
        <f>IF(AH81&lt;&gt;0,_xll.xSPRDOPT($BW81,$BV81,$CG81,2*LN(1+CA81/2),$BY81,$BX81,$BZ81,$AJ81,1,8)+(AJ81/365.25)*CH81/AH81,0)</f>
        <v>-0.20468715515382729</v>
      </c>
      <c r="BO81" s="137">
        <f>_xll.xSPRDOPT($BW81,$BV81,$CG81,0,$BY81,$BX81,$BZ81,$AJ81,1,0)</f>
        <v>5.3313559321326323E-2</v>
      </c>
      <c r="BP81" s="137"/>
      <c r="BQ81" s="137"/>
      <c r="BR81" s="137"/>
      <c r="BS81" s="137"/>
      <c r="BV81" s="262">
        <v>4.1719999999999997</v>
      </c>
      <c r="BW81" s="136">
        <v>4.1719999999999997</v>
      </c>
      <c r="BX81" s="137">
        <v>0.26644704647515793</v>
      </c>
      <c r="BY81" s="137">
        <v>0.26644704647515793</v>
      </c>
      <c r="BZ81" s="137">
        <v>0.9985552247848859</v>
      </c>
      <c r="CA81" s="137">
        <v>5.3595103564298502E-2</v>
      </c>
      <c r="CB81" s="137">
        <v>0.76754631216761238</v>
      </c>
      <c r="CC81" s="258">
        <v>0.38500000000000001</v>
      </c>
      <c r="CD81" s="258">
        <v>0</v>
      </c>
      <c r="CE81" s="258">
        <v>0.38500000000000001</v>
      </c>
      <c r="CF81" s="258">
        <v>0</v>
      </c>
      <c r="CG81" s="258">
        <v>0</v>
      </c>
      <c r="CH81" s="258">
        <v>0</v>
      </c>
      <c r="CI81" s="258">
        <v>3.7869999999999999</v>
      </c>
      <c r="CJ81" s="258"/>
      <c r="CK81" s="258"/>
      <c r="CL81" s="258"/>
      <c r="CM81" s="258"/>
    </row>
    <row r="82" spans="1:91" x14ac:dyDescent="0.25">
      <c r="A82" s="723"/>
      <c r="B82" s="723"/>
      <c r="D82" s="31">
        <f t="shared" si="30"/>
        <v>39097</v>
      </c>
      <c r="F82" s="28">
        <f t="shared" si="31"/>
        <v>9189</v>
      </c>
      <c r="G82" s="28">
        <f t="shared" si="12"/>
        <v>7015.4250158021305</v>
      </c>
      <c r="H82" s="52">
        <f t="shared" si="32"/>
        <v>4.2244999999999999</v>
      </c>
      <c r="I82" s="52">
        <f t="shared" si="33"/>
        <v>4.2244999999999999</v>
      </c>
      <c r="K82" s="52">
        <f t="shared" si="34"/>
        <v>0</v>
      </c>
      <c r="L82" s="135">
        <f t="shared" si="35"/>
        <v>1.2776703479083789</v>
      </c>
      <c r="N82" s="131">
        <f t="shared" si="13"/>
        <v>0.26617130198123173</v>
      </c>
      <c r="O82" s="131">
        <f t="shared" si="14"/>
        <v>0.26617130198123173</v>
      </c>
      <c r="P82" s="55">
        <f t="shared" si="36"/>
        <v>0.99857406523651526</v>
      </c>
      <c r="Q82" s="135">
        <f>_xll.xSPRDOPT(I82,H82,AQ82,0,O82,N82,P82,D82-$G$5,1,0)*AH82*AU82</f>
        <v>1.2776703479083789</v>
      </c>
      <c r="R82" s="135"/>
      <c r="S82" s="181">
        <f t="shared" si="37"/>
        <v>-109730.97883429544</v>
      </c>
      <c r="T82" s="181">
        <f>_xll.xSPRDOPT(I82,H82,AQ82,AT82,O82,N82,P82,D82-$G$5,1,1)*AF82*F82*AH82</f>
        <v>109730.97883429544</v>
      </c>
      <c r="U82" s="135"/>
      <c r="V82" s="146">
        <f t="shared" si="38"/>
        <v>0</v>
      </c>
      <c r="W82" s="146"/>
      <c r="X82" s="338">
        <f t="shared" si="39"/>
        <v>0</v>
      </c>
      <c r="Y82" s="338">
        <f t="shared" si="15"/>
        <v>0</v>
      </c>
      <c r="Z82" s="338">
        <f t="shared" si="16"/>
        <v>-4.3510300043393935</v>
      </c>
      <c r="AA82" s="338">
        <f t="shared" si="17"/>
        <v>1.2816314795619617</v>
      </c>
      <c r="AB82" s="338">
        <f t="shared" si="40"/>
        <v>0</v>
      </c>
      <c r="AC82" s="338">
        <f t="shared" si="41"/>
        <v>5.1910347791446965</v>
      </c>
      <c r="AF82" s="138">
        <f t="shared" si="42"/>
        <v>1</v>
      </c>
      <c r="AG82" s="138">
        <f t="shared" si="43"/>
        <v>1</v>
      </c>
      <c r="AH82" s="138">
        <f t="shared" si="53"/>
        <v>31</v>
      </c>
      <c r="AI82" s="138">
        <f t="shared" si="44"/>
        <v>1841</v>
      </c>
      <c r="AJ82" s="138">
        <f t="shared" si="45"/>
        <v>1858</v>
      </c>
      <c r="AL82" s="136">
        <f t="shared" si="19"/>
        <v>3.8395000000000001</v>
      </c>
      <c r="AM82" s="258">
        <f t="shared" si="20"/>
        <v>0.38500000000000001</v>
      </c>
      <c r="AN82" s="258">
        <f t="shared" si="21"/>
        <v>0</v>
      </c>
      <c r="AO82" s="258">
        <f t="shared" si="22"/>
        <v>0.38500000000000001</v>
      </c>
      <c r="AP82" s="258">
        <f t="shared" si="23"/>
        <v>0</v>
      </c>
      <c r="AQ82" s="136">
        <f t="shared" si="46"/>
        <v>0</v>
      </c>
      <c r="AR82" s="137">
        <f t="shared" si="24"/>
        <v>0</v>
      </c>
      <c r="AS82" s="136">
        <f t="shared" si="47"/>
        <v>4.2244999999999999</v>
      </c>
      <c r="AT82" s="137">
        <f t="shared" si="48"/>
        <v>5.38548873933569E-2</v>
      </c>
      <c r="AU82" s="137">
        <f t="shared" si="25"/>
        <v>0.76345902881729577</v>
      </c>
      <c r="AV82" s="394">
        <f t="shared" si="49"/>
        <v>0</v>
      </c>
      <c r="AW82" s="137">
        <f t="shared" si="26"/>
        <v>0.2475</v>
      </c>
      <c r="AX82" s="137">
        <f t="shared" si="27"/>
        <v>1.1000000000000001</v>
      </c>
      <c r="AY82" s="137">
        <f t="shared" si="28"/>
        <v>1.1000000000000001</v>
      </c>
      <c r="AZ82" s="137"/>
      <c r="BA82" s="264"/>
      <c r="BB82" s="258">
        <f t="shared" si="29"/>
        <v>0</v>
      </c>
      <c r="BC82" s="258">
        <f t="shared" si="50"/>
        <v>0</v>
      </c>
      <c r="BD82" s="137">
        <f t="shared" si="51"/>
        <v>2.9068155078693092E-5</v>
      </c>
      <c r="BE82" s="137">
        <f t="shared" si="52"/>
        <v>2.9068155078693092E-5</v>
      </c>
      <c r="BF82" s="137">
        <f>_xll.xSPRDOPT($BW82,$BV82,$CG82,0,$BY82,$BX82,$BZ82,$AJ82,1,4)*$CB82</f>
        <v>2.2494279268555921</v>
      </c>
      <c r="BG82" s="137">
        <f>_xll.xSPRDOPT($BW82,$BV82,$CG82,0,$BY82,$BX82,$BZ82,$AJ82,1,3)*$CB82</f>
        <v>2.2494278835561001</v>
      </c>
      <c r="BH82" s="137">
        <f>IF(OR(BF82&lt;&gt;0,BG82&lt;&gt;0),_xll.xSPRDOPT($BW82,$BV82,$CG82,0,$BY82,$BX82,$BZ82,$AJ82,1,12)*$CB82,0)</f>
        <v>-2.2494357099180911</v>
      </c>
      <c r="BI82" s="137">
        <f>_xll.xSPRDOPT($BW82,$BV82,$CG82,2*LN(1+CA82/2),$BY82,$BX82,$BZ82,$AJ82,1,9)</f>
        <v>-1.8596495214415597E-3</v>
      </c>
      <c r="BJ82" s="137">
        <f>_xll.xSPRDOPT($BW82,$BV82,$CG82,0,$BY82,$BX82,$BZ82,$AJ82,1,6)*$CB82</f>
        <v>7.7172638613415279E-2</v>
      </c>
      <c r="BK82" s="137">
        <f>_xll.xSPRDOPT($BW82,$BV82,$CG82,0,$BY82,$BX82,$BZ82,$AJ82,1,5)*$CB82</f>
        <v>7.7607685663592232E-2</v>
      </c>
      <c r="BL82" s="137">
        <f>_xll.xSPRDOPT(BW82,BV82,CG82,0,BY82,BX82,BZ82,AJ82,1,2)*CB82</f>
        <v>-0.37668698209156659</v>
      </c>
      <c r="BM82" s="137">
        <f>_xll.xSPRDOPT(BW82,BV82,CG82,0,BY82,BX82,BZ82,AJ82,1,1)*CB82</f>
        <v>0.38643895415313056</v>
      </c>
      <c r="BN82" s="137">
        <f>IF(AH82&lt;&gt;0,_xll.xSPRDOPT($BW82,$BV82,$CG82,2*LN(1+CA82/2),$BY82,$BX82,$BZ82,$AJ82,1,8)+(AJ82/365.25)*CH82/AH82,0)</f>
        <v>-0.2095672073076304</v>
      </c>
      <c r="BO82" s="137">
        <f>_xll.xSPRDOPT($BW82,$BV82,$CG82,0,$BY82,$BX82,$BZ82,$AJ82,1,0)</f>
        <v>5.3984821572230453E-2</v>
      </c>
      <c r="BP82" s="137"/>
      <c r="BQ82" s="137"/>
      <c r="BR82" s="137"/>
      <c r="BS82" s="137"/>
      <c r="BV82" s="262">
        <v>4.2244999999999999</v>
      </c>
      <c r="BW82" s="136">
        <v>4.2244999999999999</v>
      </c>
      <c r="BX82" s="137">
        <v>0.26614223382615304</v>
      </c>
      <c r="BY82" s="137">
        <v>0.26614223382615304</v>
      </c>
      <c r="BZ82" s="137">
        <v>0.99857605475299149</v>
      </c>
      <c r="CA82" s="137">
        <v>5.38548873933569E-2</v>
      </c>
      <c r="CB82" s="137">
        <v>0.76312585991900983</v>
      </c>
      <c r="CC82" s="258">
        <v>0.38500000000000001</v>
      </c>
      <c r="CD82" s="258">
        <v>0</v>
      </c>
      <c r="CE82" s="258">
        <v>0.38500000000000001</v>
      </c>
      <c r="CF82" s="258">
        <v>0</v>
      </c>
      <c r="CG82" s="258">
        <v>0</v>
      </c>
      <c r="CH82" s="258">
        <v>0</v>
      </c>
      <c r="CI82" s="258">
        <v>3.8395000000000001</v>
      </c>
      <c r="CJ82" s="258"/>
      <c r="CK82" s="258"/>
      <c r="CL82" s="258"/>
      <c r="CM82" s="258"/>
    </row>
    <row r="83" spans="1:91" x14ac:dyDescent="0.25">
      <c r="A83" s="723"/>
      <c r="B83" s="723"/>
      <c r="D83" s="31">
        <f t="shared" si="30"/>
        <v>39128</v>
      </c>
      <c r="F83" s="28">
        <f t="shared" si="31"/>
        <v>9189</v>
      </c>
      <c r="G83" s="28">
        <f t="shared" si="12"/>
        <v>6977.3953203468536</v>
      </c>
      <c r="H83" s="52">
        <f t="shared" si="32"/>
        <v>4.1395</v>
      </c>
      <c r="I83" s="52">
        <f t="shared" si="33"/>
        <v>4.1395</v>
      </c>
      <c r="K83" s="52">
        <f t="shared" si="34"/>
        <v>0</v>
      </c>
      <c r="L83" s="135">
        <f t="shared" si="35"/>
        <v>1.0693073962801702</v>
      </c>
      <c r="N83" s="131">
        <f t="shared" si="13"/>
        <v>0.25952205438578685</v>
      </c>
      <c r="O83" s="131">
        <f t="shared" si="14"/>
        <v>0.25952205438578685</v>
      </c>
      <c r="P83" s="55">
        <f t="shared" si="36"/>
        <v>0.9986664074007302</v>
      </c>
      <c r="Q83" s="135">
        <f>_xll.xSPRDOPT(I83,H83,AQ83,0,O83,N83,P83,D83-$G$5,1,0)*AH83*AU83</f>
        <v>1.0693073962801702</v>
      </c>
      <c r="R83" s="135"/>
      <c r="S83" s="181">
        <f t="shared" si="37"/>
        <v>-98504.933978007684</v>
      </c>
      <c r="T83" s="181">
        <f>_xll.xSPRDOPT(I83,H83,AQ83,AT83,O83,N83,P83,D83-$G$5,1,1)*AF83*F83*AH83</f>
        <v>98504.933978007684</v>
      </c>
      <c r="U83" s="135"/>
      <c r="V83" s="146">
        <f t="shared" si="38"/>
        <v>0</v>
      </c>
      <c r="W83" s="146"/>
      <c r="X83" s="338">
        <f t="shared" si="39"/>
        <v>0</v>
      </c>
      <c r="Y83" s="338">
        <f t="shared" si="15"/>
        <v>0</v>
      </c>
      <c r="Z83" s="338">
        <f t="shared" si="16"/>
        <v>-3.4969517825638246</v>
      </c>
      <c r="AA83" s="338">
        <f t="shared" si="17"/>
        <v>0.9895937573805651</v>
      </c>
      <c r="AB83" s="338">
        <f t="shared" si="40"/>
        <v>0</v>
      </c>
      <c r="AC83" s="338">
        <f t="shared" si="41"/>
        <v>4.3593142453572913</v>
      </c>
      <c r="AF83" s="138">
        <f t="shared" si="42"/>
        <v>1</v>
      </c>
      <c r="AG83" s="138">
        <f t="shared" si="43"/>
        <v>2</v>
      </c>
      <c r="AH83" s="138">
        <f t="shared" si="53"/>
        <v>28</v>
      </c>
      <c r="AI83" s="138">
        <f t="shared" si="44"/>
        <v>1872</v>
      </c>
      <c r="AJ83" s="138">
        <f t="shared" si="45"/>
        <v>1889</v>
      </c>
      <c r="AL83" s="136">
        <f t="shared" si="19"/>
        <v>3.7545000000000002</v>
      </c>
      <c r="AM83" s="258">
        <f t="shared" si="20"/>
        <v>0.38500000000000001</v>
      </c>
      <c r="AN83" s="258">
        <f t="shared" si="21"/>
        <v>0</v>
      </c>
      <c r="AO83" s="258">
        <f t="shared" si="22"/>
        <v>0.38500000000000001</v>
      </c>
      <c r="AP83" s="258">
        <f t="shared" si="23"/>
        <v>0</v>
      </c>
      <c r="AQ83" s="136">
        <f t="shared" si="46"/>
        <v>0</v>
      </c>
      <c r="AR83" s="137">
        <f t="shared" si="24"/>
        <v>0</v>
      </c>
      <c r="AS83" s="136">
        <f t="shared" si="47"/>
        <v>4.1395</v>
      </c>
      <c r="AT83" s="137">
        <f t="shared" si="48"/>
        <v>5.4038903438607302E-2</v>
      </c>
      <c r="AU83" s="137">
        <f t="shared" si="25"/>
        <v>0.7593204179287032</v>
      </c>
      <c r="AV83" s="394">
        <f t="shared" si="49"/>
        <v>0</v>
      </c>
      <c r="AW83" s="137">
        <f t="shared" si="26"/>
        <v>0.24249999999999999</v>
      </c>
      <c r="AX83" s="137">
        <f t="shared" si="27"/>
        <v>1.1000000000000001</v>
      </c>
      <c r="AY83" s="137">
        <f t="shared" si="28"/>
        <v>1.1000000000000001</v>
      </c>
      <c r="AZ83" s="137"/>
      <c r="BA83" s="264"/>
      <c r="BB83" s="258">
        <f t="shared" si="29"/>
        <v>0</v>
      </c>
      <c r="BC83" s="258">
        <f t="shared" si="50"/>
        <v>0</v>
      </c>
      <c r="BD83" s="137">
        <f t="shared" si="51"/>
        <v>2.614819290891468E-5</v>
      </c>
      <c r="BE83" s="137">
        <f t="shared" si="52"/>
        <v>2.614819290891468E-5</v>
      </c>
      <c r="BF83" s="137">
        <f>_xll.xSPRDOPT($BW83,$BV83,$CG83,0,$BY83,$BX83,$BZ83,$AJ83,1,4)*$CB83</f>
        <v>2.4014312553344497</v>
      </c>
      <c r="BG83" s="137">
        <f>_xll.xSPRDOPT($BW83,$BV83,$CG83,0,$BY83,$BX83,$BZ83,$AJ83,1,3)*$CB83</f>
        <v>2.401431210696626</v>
      </c>
      <c r="BH83" s="137">
        <f>IF(OR(BF83&lt;&gt;0,BG83&lt;&gt;0),_xll.xSPRDOPT($BW83,$BV83,$CG83,0,$BY83,$BX83,$BZ83,$AJ83,1,12)*$CB83,0)</f>
        <v>-2.4014409541525978</v>
      </c>
      <c r="BI83" s="137">
        <f>_xll.xSPRDOPT($BW83,$BV83,$CG83,2*LN(1+CA83/2),$BY83,$BX83,$BZ83,$AJ83,1,9)</f>
        <v>-1.6547497766240134E-3</v>
      </c>
      <c r="BJ83" s="137">
        <f>_xll.xSPRDOPT($BW83,$BV83,$CG83,0,$BY83,$BX83,$BZ83,$AJ83,1,6)*$CB83</f>
        <v>7.3328653868032875E-2</v>
      </c>
      <c r="BK83" s="137">
        <f>_xll.xSPRDOPT($BW83,$BV83,$CG83,0,$BY83,$BX83,$BZ83,$AJ83,1,5)*$CB83</f>
        <v>7.3763322665485534E-2</v>
      </c>
      <c r="BL83" s="137">
        <f>_xll.xSPRDOPT(BW83,BV83,CG83,0,BY83,BX83,BZ83,AJ83,1,2)*CB83</f>
        <v>-0.3748832064212142</v>
      </c>
      <c r="BM83" s="137">
        <f>_xll.xSPRDOPT(BW83,BV83,CG83,0,BY83,BX83,BZ83,AJ83,1,1)*CB83</f>
        <v>0.38410480828236521</v>
      </c>
      <c r="BN83" s="137">
        <f>IF(AH83&lt;&gt;0,_xll.xSPRDOPT($BW83,$BV83,$CG83,2*LN(1+CA83/2),$BY83,$BX83,$BZ83,$AJ83,1,8)+(AJ83/365.25)*CH83/AH83,0)</f>
        <v>-0.19742223731885902</v>
      </c>
      <c r="BO83" s="137">
        <f>_xll.xSPRDOPT($BW83,$BV83,$CG83,0,$BY83,$BX83,$BZ83,$AJ83,1,0)</f>
        <v>5.0294380361298921E-2</v>
      </c>
      <c r="BP83" s="137"/>
      <c r="BQ83" s="137"/>
      <c r="BR83" s="137"/>
      <c r="BS83" s="137"/>
      <c r="BV83" s="262">
        <v>4.1395</v>
      </c>
      <c r="BW83" s="136">
        <v>4.1395</v>
      </c>
      <c r="BX83" s="137">
        <v>0.25949590619287793</v>
      </c>
      <c r="BY83" s="137">
        <v>0.25949590619287793</v>
      </c>
      <c r="BZ83" s="137">
        <v>0.99866825698846906</v>
      </c>
      <c r="CA83" s="137">
        <v>5.4038903438607302E-2</v>
      </c>
      <c r="CB83" s="137">
        <v>0.75898793807064624</v>
      </c>
      <c r="CC83" s="258">
        <v>0.38500000000000001</v>
      </c>
      <c r="CD83" s="258">
        <v>0</v>
      </c>
      <c r="CE83" s="258">
        <v>0.38500000000000001</v>
      </c>
      <c r="CF83" s="258">
        <v>0</v>
      </c>
      <c r="CG83" s="258">
        <v>0</v>
      </c>
      <c r="CH83" s="258">
        <v>0</v>
      </c>
      <c r="CI83" s="258">
        <v>3.7545000000000002</v>
      </c>
      <c r="CJ83" s="258"/>
      <c r="CK83" s="258"/>
      <c r="CL83" s="258"/>
      <c r="CM83" s="258"/>
    </row>
    <row r="84" spans="1:91" x14ac:dyDescent="0.25">
      <c r="A84" s="723"/>
      <c r="B84" s="723"/>
      <c r="D84" s="31">
        <f t="shared" si="30"/>
        <v>39156</v>
      </c>
      <c r="F84" s="28">
        <f t="shared" si="31"/>
        <v>9189</v>
      </c>
      <c r="G84" s="28">
        <f t="shared" si="12"/>
        <v>6943.0421304360489</v>
      </c>
      <c r="H84" s="52">
        <f t="shared" si="32"/>
        <v>4.0095000000000001</v>
      </c>
      <c r="I84" s="52">
        <f t="shared" si="33"/>
        <v>4.0095000000000001</v>
      </c>
      <c r="K84" s="52">
        <f t="shared" si="34"/>
        <v>0</v>
      </c>
      <c r="L84" s="135">
        <f t="shared" si="35"/>
        <v>0.70291809157652507</v>
      </c>
      <c r="N84" s="131">
        <f t="shared" si="13"/>
        <v>0.24836584151095337</v>
      </c>
      <c r="O84" s="131">
        <f t="shared" si="14"/>
        <v>0.24836584151095337</v>
      </c>
      <c r="P84" s="55">
        <f t="shared" si="36"/>
        <v>0.99926211558602307</v>
      </c>
      <c r="Q84" s="135">
        <f>_xll.xSPRDOPT(I84,H84,AQ84,0,O84,N84,P84,D84-$G$5,1,0)*AH84*AU84</f>
        <v>0.70291809157652507</v>
      </c>
      <c r="R84" s="135"/>
      <c r="S84" s="181">
        <f t="shared" si="37"/>
        <v>-108013.46272280654</v>
      </c>
      <c r="T84" s="181">
        <f>_xll.xSPRDOPT(I84,H84,AQ84,AT84,O84,N84,P84,D84-$G$5,1,1)*AF84*F84*AH84</f>
        <v>108013.46272280654</v>
      </c>
      <c r="U84" s="135"/>
      <c r="V84" s="146">
        <f t="shared" si="38"/>
        <v>0</v>
      </c>
      <c r="W84" s="146"/>
      <c r="X84" s="338">
        <f t="shared" si="39"/>
        <v>0</v>
      </c>
      <c r="Y84" s="338">
        <f t="shared" si="15"/>
        <v>0</v>
      </c>
      <c r="Z84" s="338">
        <f t="shared" si="16"/>
        <v>-2.5791522191610849</v>
      </c>
      <c r="AA84" s="338">
        <f t="shared" si="17"/>
        <v>0.38922993545167295</v>
      </c>
      <c r="AB84" s="338">
        <f t="shared" si="40"/>
        <v>0</v>
      </c>
      <c r="AC84" s="338">
        <f t="shared" si="41"/>
        <v>2.8723435293593824</v>
      </c>
      <c r="AF84" s="138">
        <f t="shared" si="42"/>
        <v>1</v>
      </c>
      <c r="AG84" s="138">
        <f t="shared" si="43"/>
        <v>3</v>
      </c>
      <c r="AH84" s="138">
        <f t="shared" si="53"/>
        <v>31</v>
      </c>
      <c r="AI84" s="138">
        <f t="shared" si="44"/>
        <v>1900</v>
      </c>
      <c r="AJ84" s="138">
        <f t="shared" si="45"/>
        <v>1917</v>
      </c>
      <c r="AL84" s="136">
        <f t="shared" si="19"/>
        <v>3.6244999999999998</v>
      </c>
      <c r="AM84" s="258">
        <f t="shared" si="20"/>
        <v>0.38500000000000001</v>
      </c>
      <c r="AN84" s="258">
        <f t="shared" si="21"/>
        <v>0</v>
      </c>
      <c r="AO84" s="258">
        <f t="shared" si="22"/>
        <v>0.38500000000000001</v>
      </c>
      <c r="AP84" s="258">
        <f t="shared" si="23"/>
        <v>0</v>
      </c>
      <c r="AQ84" s="136">
        <f t="shared" si="46"/>
        <v>0</v>
      </c>
      <c r="AR84" s="137">
        <f t="shared" si="24"/>
        <v>0</v>
      </c>
      <c r="AS84" s="136">
        <f t="shared" si="47"/>
        <v>4.0095000000000001</v>
      </c>
      <c r="AT84" s="137">
        <f t="shared" si="48"/>
        <v>5.4205111489177997E-2</v>
      </c>
      <c r="AU84" s="137">
        <f t="shared" si="25"/>
        <v>0.75558190558668503</v>
      </c>
      <c r="AV84" s="394">
        <f t="shared" si="49"/>
        <v>0</v>
      </c>
      <c r="AW84" s="137">
        <f t="shared" si="26"/>
        <v>0.24</v>
      </c>
      <c r="AX84" s="137">
        <f t="shared" si="27"/>
        <v>0.75</v>
      </c>
      <c r="AY84" s="137">
        <f t="shared" si="28"/>
        <v>0.75</v>
      </c>
      <c r="AZ84" s="137"/>
      <c r="BA84" s="264"/>
      <c r="BB84" s="258">
        <f t="shared" si="29"/>
        <v>0</v>
      </c>
      <c r="BC84" s="258">
        <f t="shared" si="50"/>
        <v>0</v>
      </c>
      <c r="BD84" s="137">
        <f t="shared" si="51"/>
        <v>1.2861859098489692E-5</v>
      </c>
      <c r="BE84" s="137">
        <f t="shared" si="52"/>
        <v>1.2861859098489692E-5</v>
      </c>
      <c r="BF84" s="137">
        <f>_xll.xSPRDOPT($BW84,$BV84,$CG84,0,$BY84,$BX84,$BZ84,$AJ84,1,4)*$CB84</f>
        <v>6515.6887892361219</v>
      </c>
      <c r="BG84" s="137">
        <f>_xll.xSPRDOPT($BW84,$BV84,$CG84,0,$BY84,$BX84,$BZ84,$AJ84,1,3)*$CB84</f>
        <v>6515.6887892969826</v>
      </c>
      <c r="BH84" s="137">
        <f>IF(OR(BF84&lt;&gt;0,BG84&lt;&gt;0),_xll.xSPRDOPT($BW84,$BV84,$CG84,0,$BY84,$BX84,$BZ84,$AJ84,1,12)*$CB84,0)</f>
        <v>-6515.6887977395108</v>
      </c>
      <c r="BI84" s="137">
        <f>_xll.xSPRDOPT($BW84,$BV84,$CG84,2*LN(1+CA84/2),$BY84,$BX84,$BZ84,$AJ84,1,9)</f>
        <v>-1.1023410974652795E-3</v>
      </c>
      <c r="BJ84" s="137">
        <f>_xll.xSPRDOPT($BW84,$BV84,$CG84,0,$BY84,$BX84,$BZ84,$AJ84,1,6)*$CB84</f>
        <v>5.2882646356519514E-2</v>
      </c>
      <c r="BK84" s="137">
        <f>_xll.xSPRDOPT($BW84,$BV84,$CG84,0,$BY84,$BX84,$BZ84,$AJ84,1,5)*$CB84</f>
        <v>5.335355692349758E-2</v>
      </c>
      <c r="BL84" s="137">
        <f>_xll.xSPRDOPT(BW84,BV84,CG84,0,BY84,BX84,BZ84,AJ84,1,2)*CB84</f>
        <v>-0.37480074149039716</v>
      </c>
      <c r="BM84" s="137">
        <f>_xll.xSPRDOPT(BW84,BV84,CG84,0,BY84,BX84,BZ84,AJ84,1,1)*CB84</f>
        <v>0.3804493940586986</v>
      </c>
      <c r="BN84" s="137">
        <f>IF(AH84&lt;&gt;0,_xll.xSPRDOPT($BW84,$BV84,$CG84,2*LN(1+CA84/2),$BY84,$BX84,$BZ84,$AJ84,1,8)+(AJ84/365.25)*CH84/AH84,0)</f>
        <v>-0.13848203059553998</v>
      </c>
      <c r="BO84" s="137">
        <f>_xll.xSPRDOPT($BW84,$BV84,$CG84,0,$BY84,$BX84,$BZ84,$AJ84,1,0)</f>
        <v>2.9987785422662963E-2</v>
      </c>
      <c r="BP84" s="137"/>
      <c r="BQ84" s="137"/>
      <c r="BR84" s="137"/>
      <c r="BS84" s="137"/>
      <c r="BV84" s="262">
        <v>4.0095000000000001</v>
      </c>
      <c r="BW84" s="136">
        <v>4.0095000000000001</v>
      </c>
      <c r="BX84" s="137">
        <v>0.24835297965185488</v>
      </c>
      <c r="BY84" s="137">
        <v>0.24835297965185488</v>
      </c>
      <c r="BZ84" s="137">
        <v>0.99926319312136125</v>
      </c>
      <c r="CA84" s="137">
        <v>5.4205111489177997E-2</v>
      </c>
      <c r="CB84" s="137">
        <v>0.75525005882146279</v>
      </c>
      <c r="CC84" s="258">
        <v>0.38500000000000001</v>
      </c>
      <c r="CD84" s="258">
        <v>0</v>
      </c>
      <c r="CE84" s="258">
        <v>0.38500000000000001</v>
      </c>
      <c r="CF84" s="258">
        <v>0</v>
      </c>
      <c r="CG84" s="258">
        <v>0</v>
      </c>
      <c r="CH84" s="258">
        <v>0</v>
      </c>
      <c r="CI84" s="258">
        <v>3.6244999999999998</v>
      </c>
      <c r="CJ84" s="258"/>
      <c r="CK84" s="258"/>
      <c r="CL84" s="258"/>
      <c r="CM84" s="258"/>
    </row>
    <row r="85" spans="1:91" x14ac:dyDescent="0.25">
      <c r="A85" s="723"/>
      <c r="B85" s="723"/>
      <c r="D85" s="31">
        <f t="shared" si="30"/>
        <v>39187</v>
      </c>
      <c r="F85" s="28">
        <f t="shared" si="31"/>
        <v>0</v>
      </c>
      <c r="G85" s="28">
        <f t="shared" si="12"/>
        <v>0</v>
      </c>
      <c r="H85" s="52">
        <f t="shared" si="32"/>
        <v>3.5944999999999996</v>
      </c>
      <c r="I85" s="52">
        <f t="shared" si="33"/>
        <v>3.6294999999999997</v>
      </c>
      <c r="K85" s="52">
        <f t="shared" si="34"/>
        <v>0.78901474873784783</v>
      </c>
      <c r="L85" s="135">
        <f t="shared" si="35"/>
        <v>0.12707879194583405</v>
      </c>
      <c r="N85" s="131">
        <f t="shared" si="13"/>
        <v>0.24231571652457903</v>
      </c>
      <c r="O85" s="131">
        <f t="shared" si="14"/>
        <v>0.24231571652457903</v>
      </c>
      <c r="P85" s="55">
        <f t="shared" si="36"/>
        <v>0.9997341661481266</v>
      </c>
      <c r="Q85" s="135">
        <f>_xll.xSPRDOPT(I85,H85,AQ85,0,O85,N85,P85,D85-$G$5,1,0)*AH85*AU85</f>
        <v>0.91609354068368187</v>
      </c>
      <c r="R85" s="135"/>
      <c r="S85" s="181">
        <f t="shared" si="37"/>
        <v>0</v>
      </c>
      <c r="T85" s="181">
        <f>_xll.xSPRDOPT(I85,H85,AQ85,AT85,O85,N85,P85,D85-$G$5,1,1)*AF85*F85*AH85</f>
        <v>0</v>
      </c>
      <c r="U85" s="135"/>
      <c r="V85" s="146">
        <f t="shared" si="38"/>
        <v>0</v>
      </c>
      <c r="W85" s="146"/>
      <c r="X85" s="338">
        <f t="shared" si="39"/>
        <v>0</v>
      </c>
      <c r="Y85" s="338">
        <f t="shared" si="15"/>
        <v>0</v>
      </c>
      <c r="Z85" s="338">
        <f t="shared" si="16"/>
        <v>0</v>
      </c>
      <c r="AA85" s="338">
        <f t="shared" si="17"/>
        <v>0</v>
      </c>
      <c r="AB85" s="338">
        <f t="shared" si="40"/>
        <v>0</v>
      </c>
      <c r="AC85" s="338">
        <f t="shared" si="41"/>
        <v>0</v>
      </c>
      <c r="AF85" s="138">
        <f t="shared" si="42"/>
        <v>1</v>
      </c>
      <c r="AG85" s="138">
        <f t="shared" si="43"/>
        <v>4</v>
      </c>
      <c r="AH85" s="138">
        <f t="shared" si="53"/>
        <v>30</v>
      </c>
      <c r="AI85" s="138">
        <f t="shared" si="44"/>
        <v>1931</v>
      </c>
      <c r="AJ85" s="138">
        <f t="shared" si="45"/>
        <v>1948</v>
      </c>
      <c r="AL85" s="136">
        <f t="shared" si="19"/>
        <v>3.4394999999999998</v>
      </c>
      <c r="AM85" s="258">
        <f t="shared" si="20"/>
        <v>0.155</v>
      </c>
      <c r="AN85" s="258">
        <f t="shared" si="21"/>
        <v>0</v>
      </c>
      <c r="AO85" s="258">
        <f t="shared" si="22"/>
        <v>0.19</v>
      </c>
      <c r="AP85" s="258">
        <f t="shared" si="23"/>
        <v>0</v>
      </c>
      <c r="AQ85" s="136">
        <f t="shared" si="46"/>
        <v>0</v>
      </c>
      <c r="AR85" s="137">
        <f t="shared" si="24"/>
        <v>0</v>
      </c>
      <c r="AS85" s="136">
        <f t="shared" si="47"/>
        <v>3.5944999999999996</v>
      </c>
      <c r="AT85" s="137">
        <f t="shared" si="48"/>
        <v>5.4389127555903201E-2</v>
      </c>
      <c r="AU85" s="137">
        <f t="shared" si="25"/>
        <v>0.75144261784556632</v>
      </c>
      <c r="AV85" s="394">
        <f t="shared" si="49"/>
        <v>0</v>
      </c>
      <c r="AW85" s="137">
        <f t="shared" si="26"/>
        <v>0.24</v>
      </c>
      <c r="AX85" s="137">
        <f t="shared" si="27"/>
        <v>0.45</v>
      </c>
      <c r="AY85" s="137">
        <f t="shared" si="28"/>
        <v>0.45</v>
      </c>
      <c r="AZ85" s="137"/>
      <c r="BA85" s="264"/>
      <c r="BB85" s="258">
        <f t="shared" si="29"/>
        <v>0</v>
      </c>
      <c r="BC85" s="258">
        <f t="shared" si="50"/>
        <v>0</v>
      </c>
      <c r="BD85" s="137">
        <f t="shared" si="51"/>
        <v>3.5474625900977497E-6</v>
      </c>
      <c r="BE85" s="137">
        <f t="shared" si="52"/>
        <v>3.5474625900977497E-6</v>
      </c>
      <c r="BF85" s="137">
        <f>_xll.xSPRDOPT($BW85,$BV85,$CG85,0,$BY85,$BX85,$BZ85,$AJ85,1,4)*$CB85</f>
        <v>0.82424375946218109</v>
      </c>
      <c r="BG85" s="137">
        <f>_xll.xSPRDOPT($BW85,$BV85,$CG85,0,$BY85,$BX85,$BZ85,$AJ85,1,3)*$CB85</f>
        <v>0.80842336531011283</v>
      </c>
      <c r="BH85" s="137">
        <f>IF(OR(BF85&lt;&gt;0,BG85&lt;&gt;0),_xll.xSPRDOPT($BW85,$BV85,$CG85,0,$BY85,$BX85,$BZ85,$AJ85,1,12)*$CB85,0)</f>
        <v>-0.8162959997072905</v>
      </c>
      <c r="BI85" s="137">
        <f>_xll.xSPRDOPT($BW85,$BV85,$CG85,2*LN(1+CA85/2),$BY85,$BX85,$BZ85,$AJ85,1,9)</f>
        <v>6.6991880977334043E-4</v>
      </c>
      <c r="BJ85" s="137">
        <f>_xll.xSPRDOPT($BW85,$BV85,$CG85,0,$BY85,$BX85,$BZ85,$AJ85,1,6)*$CB85</f>
        <v>2.1710849057860006E-2</v>
      </c>
      <c r="BK85" s="137">
        <f>_xll.xSPRDOPT($BW85,$BV85,$CG85,0,$BY85,$BX85,$BZ85,$AJ85,1,5)*$CB85</f>
        <v>2.1709093328054204E-2</v>
      </c>
      <c r="BL85" s="137">
        <f>_xll.xSPRDOPT(BW85,BV85,CG85,0,BY85,BX85,BZ85,AJ85,1,2)*CB85</f>
        <v>-0.68054535426766416</v>
      </c>
      <c r="BM85" s="137">
        <f>_xll.xSPRDOPT(BW85,BV85,CG85,0,BY85,BX85,BZ85,AJ85,1,1)*CB85</f>
        <v>0.68239204091490524</v>
      </c>
      <c r="BN85" s="137">
        <f>IF(AH85&lt;&gt;0,_xll.xSPRDOPT($BW85,$BV85,$CG85,2*LN(1+CA85/2),$BY85,$BX85,$BZ85,$AJ85,1,8)+(AJ85/365.25)*CH85/AH85,0)</f>
        <v>-0.1646119352398786</v>
      </c>
      <c r="BO85" s="137">
        <f>_xll.xSPRDOPT($BW85,$BV85,$CG85,0,$BY85,$BX85,$BZ85,$AJ85,1,0)</f>
        <v>4.0635301304001122E-2</v>
      </c>
      <c r="BP85" s="137"/>
      <c r="BQ85" s="137"/>
      <c r="BR85" s="137"/>
      <c r="BS85" s="137"/>
      <c r="BV85" s="262">
        <v>3.5944999999999996</v>
      </c>
      <c r="BW85" s="136">
        <v>3.6294999999999997</v>
      </c>
      <c r="BX85" s="137">
        <v>0.24231216906198894</v>
      </c>
      <c r="BY85" s="137">
        <v>0.24231216906198894</v>
      </c>
      <c r="BZ85" s="137">
        <v>0.99973456756140344</v>
      </c>
      <c r="CA85" s="137">
        <v>5.4389127555903201E-2</v>
      </c>
      <c r="CB85" s="137">
        <v>0.7511114837850088</v>
      </c>
      <c r="CC85" s="258">
        <v>0.155</v>
      </c>
      <c r="CD85" s="258">
        <v>0</v>
      </c>
      <c r="CE85" s="258">
        <v>0.19</v>
      </c>
      <c r="CF85" s="258">
        <v>0</v>
      </c>
      <c r="CG85" s="258">
        <v>0</v>
      </c>
      <c r="CH85" s="258">
        <v>0</v>
      </c>
      <c r="CI85" s="258">
        <v>3.4394999999999998</v>
      </c>
      <c r="CJ85" s="258"/>
      <c r="CK85" s="258"/>
      <c r="CL85" s="258"/>
      <c r="CM85" s="258"/>
    </row>
    <row r="86" spans="1:91" x14ac:dyDescent="0.25">
      <c r="A86" s="723"/>
      <c r="B86" s="723"/>
      <c r="D86" s="31">
        <f t="shared" si="30"/>
        <v>39217</v>
      </c>
      <c r="F86" s="28">
        <f t="shared" si="31"/>
        <v>0</v>
      </c>
      <c r="G86" s="28">
        <f t="shared" si="12"/>
        <v>0</v>
      </c>
      <c r="H86" s="52">
        <f t="shared" si="32"/>
        <v>3.5894999999999997</v>
      </c>
      <c r="I86" s="52">
        <f t="shared" si="33"/>
        <v>3.6244999999999998</v>
      </c>
      <c r="K86" s="52">
        <f t="shared" si="34"/>
        <v>0.81096900067108579</v>
      </c>
      <c r="L86" s="135">
        <f t="shared" si="35"/>
        <v>0.16544697922289298</v>
      </c>
      <c r="N86" s="131">
        <f t="shared" si="13"/>
        <v>0.24312307323178436</v>
      </c>
      <c r="O86" s="131">
        <f t="shared" si="14"/>
        <v>0.24312307323178436</v>
      </c>
      <c r="P86" s="55">
        <f t="shared" si="36"/>
        <v>0.99966831751814211</v>
      </c>
      <c r="Q86" s="135">
        <f>_xll.xSPRDOPT(I86,H86,AQ86,0,O86,N86,P86,D86-$G$5,1,0)*AH86*AU86</f>
        <v>0.97641597989397877</v>
      </c>
      <c r="R86" s="135"/>
      <c r="S86" s="181">
        <f t="shared" si="37"/>
        <v>0</v>
      </c>
      <c r="T86" s="181">
        <f>_xll.xSPRDOPT(I86,H86,AQ86,AT86,O86,N86,P86,D86-$G$5,1,1)*AF86*F86*AH86</f>
        <v>0</v>
      </c>
      <c r="U86" s="135"/>
      <c r="V86" s="146">
        <f t="shared" si="38"/>
        <v>0</v>
      </c>
      <c r="W86" s="146"/>
      <c r="X86" s="338">
        <f t="shared" si="39"/>
        <v>0</v>
      </c>
      <c r="Y86" s="338">
        <f t="shared" si="15"/>
        <v>0</v>
      </c>
      <c r="Z86" s="338">
        <f t="shared" si="16"/>
        <v>0</v>
      </c>
      <c r="AA86" s="338">
        <f t="shared" si="17"/>
        <v>0</v>
      </c>
      <c r="AB86" s="338">
        <f t="shared" si="40"/>
        <v>0</v>
      </c>
      <c r="AC86" s="338">
        <f t="shared" si="41"/>
        <v>0</v>
      </c>
      <c r="AF86" s="138">
        <f t="shared" si="42"/>
        <v>1</v>
      </c>
      <c r="AG86" s="138">
        <f t="shared" si="43"/>
        <v>5</v>
      </c>
      <c r="AH86" s="138">
        <f t="shared" ref="AH86:AH99" si="54">(EOMONTH(D86,0)-EOMONTH(D86-DAY(D86),0))*AF86</f>
        <v>31</v>
      </c>
      <c r="AI86" s="138">
        <f t="shared" si="44"/>
        <v>1961</v>
      </c>
      <c r="AJ86" s="138">
        <f t="shared" si="45"/>
        <v>1978</v>
      </c>
      <c r="AL86" s="136">
        <f t="shared" si="19"/>
        <v>3.4344999999999999</v>
      </c>
      <c r="AM86" s="258">
        <f t="shared" si="20"/>
        <v>0.155</v>
      </c>
      <c r="AN86" s="258">
        <f t="shared" si="21"/>
        <v>0</v>
      </c>
      <c r="AO86" s="258">
        <f t="shared" si="22"/>
        <v>0.19</v>
      </c>
      <c r="AP86" s="258">
        <f t="shared" si="23"/>
        <v>0</v>
      </c>
      <c r="AQ86" s="136">
        <f t="shared" si="46"/>
        <v>0</v>
      </c>
      <c r="AR86" s="137">
        <f t="shared" si="24"/>
        <v>0</v>
      </c>
      <c r="AS86" s="136">
        <f t="shared" si="47"/>
        <v>3.5894999999999997</v>
      </c>
      <c r="AT86" s="137">
        <f t="shared" si="48"/>
        <v>5.4567207631218001E-2</v>
      </c>
      <c r="AU86" s="137">
        <f t="shared" si="25"/>
        <v>0.7474368669779563</v>
      </c>
      <c r="AV86" s="394">
        <f t="shared" si="49"/>
        <v>0</v>
      </c>
      <c r="AW86" s="137">
        <f t="shared" si="26"/>
        <v>0.24</v>
      </c>
      <c r="AX86" s="137">
        <f t="shared" si="27"/>
        <v>0.5</v>
      </c>
      <c r="AY86" s="137">
        <f t="shared" si="28"/>
        <v>0.5</v>
      </c>
      <c r="AZ86" s="137"/>
      <c r="BA86" s="264"/>
      <c r="BB86" s="258">
        <f t="shared" si="29"/>
        <v>0</v>
      </c>
      <c r="BC86" s="258">
        <f t="shared" si="50"/>
        <v>0</v>
      </c>
      <c r="BD86" s="137">
        <f t="shared" si="51"/>
        <v>4.7027698327206657E-6</v>
      </c>
      <c r="BE86" s="137">
        <f t="shared" si="52"/>
        <v>4.7027698327206657E-6</v>
      </c>
      <c r="BF86" s="137">
        <f>_xll.xSPRDOPT($BW86,$BV86,$CG86,0,$BY86,$BX86,$BZ86,$AJ86,1,4)*$CB86</f>
        <v>1.0146655772371562</v>
      </c>
      <c r="BG86" s="137">
        <f>_xll.xSPRDOPT($BW86,$BV86,$CG86,0,$BY86,$BX86,$BZ86,$AJ86,1,3)*$CB86</f>
        <v>0.99516389099802416</v>
      </c>
      <c r="BH86" s="137">
        <f>IF(OR(BF86&lt;&gt;0,BG86&lt;&gt;0),_xll.xSPRDOPT($BW86,$BV86,$CG86,0,$BY86,$BX86,$BZ86,$AJ86,1,12)*$CB86,0)</f>
        <v>-1.0048689439830103</v>
      </c>
      <c r="BI86" s="137">
        <f>_xll.xSPRDOPT($BW86,$BV86,$CG86,2*LN(1+CA86/2),$BY86,$BX86,$BZ86,$AJ86,1,9)</f>
        <v>5.6962622911515301E-4</v>
      </c>
      <c r="BJ86" s="137">
        <f>_xll.xSPRDOPT($BW86,$BV86,$CG86,0,$BY86,$BX86,$BZ86,$AJ86,1,6)*$CB86</f>
        <v>2.578309972759852E-2</v>
      </c>
      <c r="BK86" s="137">
        <f>_xll.xSPRDOPT($BW86,$BV86,$CG86,0,$BY86,$BX86,$BZ86,$AJ86,1,5)*$CB86</f>
        <v>2.5782865192055394E-2</v>
      </c>
      <c r="BL86" s="137">
        <f>_xll.xSPRDOPT(BW86,BV86,CG86,0,BY86,BX86,BZ86,AJ86,1,2)*CB86</f>
        <v>-0.65917462528437687</v>
      </c>
      <c r="BM86" s="137">
        <f>_xll.xSPRDOPT(BW86,BV86,CG86,0,BY86,BX86,BZ86,AJ86,1,1)*CB86</f>
        <v>0.66149509856674338</v>
      </c>
      <c r="BN86" s="137">
        <f>IF(AH86&lt;&gt;0,_xll.xSPRDOPT($BW86,$BV86,$CG86,2*LN(1+CA86/2),$BY86,$BX86,$BZ86,$AJ86,1,8)+(AJ86/365.25)*CH86/AH86,0)</f>
        <v>-0.17373388704360315</v>
      </c>
      <c r="BO86" s="137">
        <f>_xll.xSPRDOPT($BW86,$BV86,$CG86,0,$BY86,$BX86,$BZ86,$AJ86,1,0)</f>
        <v>4.2138137258731445E-2</v>
      </c>
      <c r="BP86" s="137"/>
      <c r="BQ86" s="137"/>
      <c r="BR86" s="137"/>
      <c r="BS86" s="137"/>
      <c r="BV86" s="262">
        <v>3.5894999999999997</v>
      </c>
      <c r="BW86" s="136">
        <v>3.6244999999999998</v>
      </c>
      <c r="BX86" s="137">
        <v>0.24311837046195164</v>
      </c>
      <c r="BY86" s="137">
        <v>0.24311837046195164</v>
      </c>
      <c r="BZ86" s="137">
        <v>0.99966880738179209</v>
      </c>
      <c r="CA86" s="137">
        <v>5.4567207631218001E-2</v>
      </c>
      <c r="CB86" s="137">
        <v>0.7471064343152839</v>
      </c>
      <c r="CC86" s="258">
        <v>0.155</v>
      </c>
      <c r="CD86" s="258">
        <v>0</v>
      </c>
      <c r="CE86" s="258">
        <v>0.19</v>
      </c>
      <c r="CF86" s="258">
        <v>0</v>
      </c>
      <c r="CG86" s="258">
        <v>0</v>
      </c>
      <c r="CH86" s="258">
        <v>0</v>
      </c>
      <c r="CI86" s="258">
        <v>3.4344999999999999</v>
      </c>
      <c r="CJ86" s="258"/>
      <c r="CK86" s="258"/>
      <c r="CL86" s="258"/>
      <c r="CM86" s="258"/>
    </row>
    <row r="87" spans="1:91" x14ac:dyDescent="0.25">
      <c r="A87" s="723"/>
      <c r="B87" s="723"/>
      <c r="D87" s="31">
        <f t="shared" si="30"/>
        <v>39248</v>
      </c>
      <c r="F87" s="28">
        <f t="shared" si="31"/>
        <v>0</v>
      </c>
      <c r="G87" s="28">
        <f t="shared" si="12"/>
        <v>0</v>
      </c>
      <c r="H87" s="52">
        <f t="shared" si="32"/>
        <v>3.6244999999999998</v>
      </c>
      <c r="I87" s="52">
        <f t="shared" si="33"/>
        <v>3.6595</v>
      </c>
      <c r="K87" s="52">
        <f t="shared" si="34"/>
        <v>0.78046274194044929</v>
      </c>
      <c r="L87" s="135">
        <f t="shared" si="35"/>
        <v>0.15598414846166242</v>
      </c>
      <c r="N87" s="131">
        <f t="shared" si="13"/>
        <v>0.24297729753023667</v>
      </c>
      <c r="O87" s="131">
        <f t="shared" si="14"/>
        <v>0.24297729753023667</v>
      </c>
      <c r="P87" s="55">
        <f t="shared" si="36"/>
        <v>0.99968351545963685</v>
      </c>
      <c r="Q87" s="135">
        <f>_xll.xSPRDOPT(I87,H87,AQ87,0,O87,N87,P87,D87-$G$5,1,0)*AH87*AU87</f>
        <v>0.93644689040211171</v>
      </c>
      <c r="R87" s="135"/>
      <c r="S87" s="181">
        <f t="shared" si="37"/>
        <v>0</v>
      </c>
      <c r="T87" s="181">
        <f>_xll.xSPRDOPT(I87,H87,AQ87,AT87,O87,N87,P87,D87-$G$5,1,1)*AF87*F87*AH87</f>
        <v>0</v>
      </c>
      <c r="U87" s="135"/>
      <c r="V87" s="146">
        <f t="shared" si="38"/>
        <v>0</v>
      </c>
      <c r="W87" s="146"/>
      <c r="X87" s="338">
        <f t="shared" si="39"/>
        <v>0</v>
      </c>
      <c r="Y87" s="338">
        <f t="shared" si="15"/>
        <v>0</v>
      </c>
      <c r="Z87" s="338">
        <f t="shared" si="16"/>
        <v>0</v>
      </c>
      <c r="AA87" s="338">
        <f t="shared" si="17"/>
        <v>0</v>
      </c>
      <c r="AB87" s="338">
        <f t="shared" si="40"/>
        <v>0</v>
      </c>
      <c r="AC87" s="338">
        <f t="shared" si="41"/>
        <v>0</v>
      </c>
      <c r="AF87" s="138">
        <f t="shared" si="42"/>
        <v>1</v>
      </c>
      <c r="AG87" s="138">
        <f t="shared" si="43"/>
        <v>6</v>
      </c>
      <c r="AH87" s="138">
        <f t="shared" si="54"/>
        <v>30</v>
      </c>
      <c r="AI87" s="138">
        <f t="shared" si="44"/>
        <v>1992</v>
      </c>
      <c r="AJ87" s="138">
        <f t="shared" si="45"/>
        <v>2009</v>
      </c>
      <c r="AL87" s="136">
        <f t="shared" si="19"/>
        <v>3.4695</v>
      </c>
      <c r="AM87" s="258">
        <f t="shared" si="20"/>
        <v>0.155</v>
      </c>
      <c r="AN87" s="258">
        <f t="shared" si="21"/>
        <v>0</v>
      </c>
      <c r="AO87" s="258">
        <f t="shared" si="22"/>
        <v>0.19</v>
      </c>
      <c r="AP87" s="258">
        <f t="shared" si="23"/>
        <v>0</v>
      </c>
      <c r="AQ87" s="136">
        <f t="shared" si="46"/>
        <v>0</v>
      </c>
      <c r="AR87" s="137">
        <f t="shared" si="24"/>
        <v>0</v>
      </c>
      <c r="AS87" s="136">
        <f t="shared" si="47"/>
        <v>3.6244999999999998</v>
      </c>
      <c r="AT87" s="137">
        <f t="shared" si="48"/>
        <v>5.4751223720142399E-2</v>
      </c>
      <c r="AU87" s="137">
        <f t="shared" si="25"/>
        <v>0.74329784946709154</v>
      </c>
      <c r="AV87" s="394">
        <f t="shared" si="49"/>
        <v>0</v>
      </c>
      <c r="AW87" s="137">
        <f t="shared" si="26"/>
        <v>0.24</v>
      </c>
      <c r="AX87" s="137">
        <f t="shared" si="27"/>
        <v>0.5</v>
      </c>
      <c r="AY87" s="137">
        <f t="shared" si="28"/>
        <v>0.5</v>
      </c>
      <c r="AZ87" s="137"/>
      <c r="BA87" s="264"/>
      <c r="BB87" s="258">
        <f t="shared" si="29"/>
        <v>0</v>
      </c>
      <c r="BC87" s="258">
        <f t="shared" si="50"/>
        <v>0</v>
      </c>
      <c r="BD87" s="137">
        <f t="shared" si="51"/>
        <v>4.4165424145370391E-6</v>
      </c>
      <c r="BE87" s="137">
        <f t="shared" si="52"/>
        <v>4.4165424145370391E-6</v>
      </c>
      <c r="BF87" s="137">
        <f>_xll.xSPRDOPT($BW87,$BV87,$CG87,0,$BY87,$BX87,$BZ87,$AJ87,1,4)*$CB87</f>
        <v>0.94897568810791522</v>
      </c>
      <c r="BG87" s="137">
        <f>_xll.xSPRDOPT($BW87,$BV87,$CG87,0,$BY87,$BX87,$BZ87,$AJ87,1,3)*$CB87</f>
        <v>0.93091036502385005</v>
      </c>
      <c r="BH87" s="137">
        <f>IF(OR(BF87&lt;&gt;0,BG87&lt;&gt;0),_xll.xSPRDOPT($BW87,$BV87,$CG87,0,$BY87,$BX87,$BZ87,$AJ87,1,12)*$CB87,0)</f>
        <v>-0.93990087253527188</v>
      </c>
      <c r="BI87" s="137">
        <f>_xll.xSPRDOPT($BW87,$BV87,$CG87,2*LN(1+CA87/2),$BY87,$BX87,$BZ87,$AJ87,1,9)</f>
        <v>5.9630284683879456E-4</v>
      </c>
      <c r="BJ87" s="137">
        <f>_xll.xSPRDOPT($BW87,$BV87,$CG87,0,$BY87,$BX87,$BZ87,$AJ87,1,6)*$CB87</f>
        <v>2.5411572390227115E-2</v>
      </c>
      <c r="BK87" s="137">
        <f>_xll.xSPRDOPT($BW87,$BV87,$CG87,0,$BY87,$BX87,$BZ87,$AJ87,1,5)*$CB87</f>
        <v>2.5411210642879448E-2</v>
      </c>
      <c r="BL87" s="137">
        <f>_xll.xSPRDOPT(BW87,BV87,CG87,0,BY87,BX87,BZ87,AJ87,1,2)*CB87</f>
        <v>-0.65896001549325856</v>
      </c>
      <c r="BM87" s="137">
        <f>_xll.xSPRDOPT(BW87,BV87,CG87,0,BY87,BX87,BZ87,AJ87,1,1)*CB87</f>
        <v>0.6611832087363948</v>
      </c>
      <c r="BN87" s="137">
        <f>IF(AH87&lt;&gt;0,_xll.xSPRDOPT($BW87,$BV87,$CG87,2*LN(1+CA87/2),$BY87,$BX87,$BZ87,$AJ87,1,8)+(AJ87/365.25)*CH87/AH87,0)</f>
        <v>-0.175028338107445</v>
      </c>
      <c r="BO87" s="137">
        <f>_xll.xSPRDOPT($BW87,$BV87,$CG87,0,$BY87,$BX87,$BZ87,$AJ87,1,0)</f>
        <v>4.1992893197183197E-2</v>
      </c>
      <c r="BP87" s="137"/>
      <c r="BQ87" s="137"/>
      <c r="BR87" s="137"/>
      <c r="BS87" s="137"/>
      <c r="BV87" s="262">
        <v>3.6244999999999998</v>
      </c>
      <c r="BW87" s="136">
        <v>3.6595</v>
      </c>
      <c r="BX87" s="137">
        <v>0.24297288098782213</v>
      </c>
      <c r="BY87" s="137">
        <v>0.24297288098782213</v>
      </c>
      <c r="BZ87" s="137">
        <v>0.99968397633614825</v>
      </c>
      <c r="CA87" s="137">
        <v>5.4751223720142399E-2</v>
      </c>
      <c r="CB87" s="137">
        <v>0.74296815354434165</v>
      </c>
      <c r="CC87" s="258">
        <v>0.155</v>
      </c>
      <c r="CD87" s="258">
        <v>0</v>
      </c>
      <c r="CE87" s="258">
        <v>0.19</v>
      </c>
      <c r="CF87" s="258">
        <v>0</v>
      </c>
      <c r="CG87" s="258">
        <v>0</v>
      </c>
      <c r="CH87" s="258">
        <v>0</v>
      </c>
      <c r="CI87" s="258">
        <v>3.4695</v>
      </c>
      <c r="CJ87" s="258"/>
      <c r="CK87" s="258"/>
      <c r="CL87" s="258"/>
      <c r="CM87" s="258"/>
    </row>
    <row r="88" spans="1:91" x14ac:dyDescent="0.25">
      <c r="A88" s="723"/>
      <c r="B88" s="723"/>
      <c r="D88" s="31">
        <f t="shared" ref="D88:D99" si="55">D87+AH87</f>
        <v>39278</v>
      </c>
      <c r="F88" s="28">
        <f t="shared" ref="F88:F99" si="56">VLOOKUP(AG88,$AL$4:$AS$15,2)</f>
        <v>0</v>
      </c>
      <c r="G88" s="28">
        <f t="shared" si="12"/>
        <v>0</v>
      </c>
      <c r="H88" s="52">
        <f t="shared" ref="H88:H99" si="57">(AL88+AM88+AN88)/(1-(AR88))</f>
        <v>3.6644999999999999</v>
      </c>
      <c r="I88" s="52">
        <f t="shared" ref="I88:I99" si="58">(AL88+AO88+AP88)</f>
        <v>3.6995</v>
      </c>
      <c r="K88" s="52">
        <f t="shared" ref="K88:K99" si="59">MAX(((I88-H88)-AQ88)*AU88*AH88,0)</f>
        <v>0.80213272417891279</v>
      </c>
      <c r="L88" s="135">
        <f t="shared" ref="L88:L99" si="60">MAX(Q88-K88,0)</f>
        <v>0.20282216583424717</v>
      </c>
      <c r="N88" s="131">
        <f t="shared" si="13"/>
        <v>0.2438504520085728</v>
      </c>
      <c r="O88" s="131">
        <f t="shared" si="14"/>
        <v>0.2438504520085728</v>
      </c>
      <c r="P88" s="55">
        <f t="shared" ref="P88:P99" si="61">(VLOOKUP(AI88,CorrelationTwo,2)*(AW88^2)*AI88+VLOOKUP(D88,CorrelationOne,$AK$9)*AX88*AY88*(AH88/2))/((AI88+(AH88/2))*O88*N88)*AF88</f>
        <v>0.99961299878379895</v>
      </c>
      <c r="Q88" s="135">
        <f>_xll.xSPRDOPT(I88,H88,AQ88,0,O88,N88,P88,D88-$G$5,1,0)*AH88*AU88</f>
        <v>1.00495489001316</v>
      </c>
      <c r="R88" s="135"/>
      <c r="S88" s="181">
        <f t="shared" ref="S88:S99" si="62">-T88/(1-AR88)</f>
        <v>0</v>
      </c>
      <c r="T88" s="181">
        <f>_xll.xSPRDOPT(I88,H88,AQ88,AT88,O88,N88,P88,D88-$G$5,1,1)*AF88*F88*AH88</f>
        <v>0</v>
      </c>
      <c r="U88" s="135"/>
      <c r="V88" s="146">
        <f t="shared" ref="V88:V99" si="63">VLOOKUP($AG88,$AL$4:$AS$15,8)*AH88*AU88</f>
        <v>0</v>
      </c>
      <c r="W88" s="146"/>
      <c r="X88" s="338">
        <f t="shared" ref="X88:X99" si="64">((BM88*BC88)+(BL88*BB88))*AH88*F88</f>
        <v>0</v>
      </c>
      <c r="Y88" s="338">
        <f t="shared" si="15"/>
        <v>0</v>
      </c>
      <c r="Z88" s="338">
        <f t="shared" si="16"/>
        <v>0</v>
      </c>
      <c r="AA88" s="338">
        <f t="shared" si="17"/>
        <v>0</v>
      </c>
      <c r="AB88" s="338">
        <f t="shared" ref="AB88:AB99" si="65">BN88*(AT88-CA88)*F88*AH88</f>
        <v>0</v>
      </c>
      <c r="AC88" s="338">
        <f t="shared" ref="AC88:AC99" si="66">BO88*CB88*F88*AH88*CA88*($G$5-$BV$5)/365.25</f>
        <v>0</v>
      </c>
      <c r="AF88" s="138">
        <f t="shared" ref="AF88:AF99" si="67">IF(AND(D88&gt;=$G$7,D88&lt;=$G$8),1,0)</f>
        <v>1</v>
      </c>
      <c r="AG88" s="138">
        <f t="shared" ref="AG88:AG99" si="68">MONTH(D88)</f>
        <v>7</v>
      </c>
      <c r="AH88" s="138">
        <f t="shared" si="54"/>
        <v>31</v>
      </c>
      <c r="AI88" s="138">
        <f t="shared" ref="AI88:AI99" si="69">AI87+AH87</f>
        <v>2022</v>
      </c>
      <c r="AJ88" s="138">
        <f t="shared" ref="AJ88:AJ99" si="70">D88-$BV$5</f>
        <v>2039</v>
      </c>
      <c r="AL88" s="136">
        <f t="shared" si="19"/>
        <v>3.5095000000000001</v>
      </c>
      <c r="AM88" s="258">
        <f t="shared" si="20"/>
        <v>0.155</v>
      </c>
      <c r="AN88" s="258">
        <f t="shared" si="21"/>
        <v>0</v>
      </c>
      <c r="AO88" s="258">
        <f t="shared" si="22"/>
        <v>0.19</v>
      </c>
      <c r="AP88" s="258">
        <f t="shared" si="23"/>
        <v>0</v>
      </c>
      <c r="AQ88" s="136">
        <f t="shared" ref="AQ88:AQ99" si="71">VLOOKUP($AG88,$AL$4:$AS$15,3)+VLOOKUP($AG88,$AL$4:$AS$15,5)+($AH$10*VLOOKUP(D88,GRITable,2))</f>
        <v>0</v>
      </c>
      <c r="AR88" s="137">
        <f t="shared" si="24"/>
        <v>0</v>
      </c>
      <c r="AS88" s="136">
        <f t="shared" ref="AS88:AS99" si="72">(AL88+AM88+AN88)</f>
        <v>3.6644999999999999</v>
      </c>
      <c r="AT88" s="137">
        <f t="shared" ref="AT88:AT99" si="73">VLOOKUP(D88,CurveTbl,$AK$6)</f>
        <v>5.4929303816937801E-2</v>
      </c>
      <c r="AU88" s="137">
        <f t="shared" si="25"/>
        <v>0.73929283334461715</v>
      </c>
      <c r="AV88" s="394">
        <f t="shared" ref="AV88:AV99" si="74">ROUND((F88/(1-AR88))-F88,0)*AF88*AH88*AU88</f>
        <v>0</v>
      </c>
      <c r="AW88" s="137">
        <f t="shared" si="26"/>
        <v>0.24</v>
      </c>
      <c r="AX88" s="137">
        <f t="shared" si="27"/>
        <v>0.55000000000000004</v>
      </c>
      <c r="AY88" s="137">
        <f t="shared" si="28"/>
        <v>0.55000000000000004</v>
      </c>
      <c r="AZ88" s="137"/>
      <c r="BA88" s="264"/>
      <c r="BB88" s="258">
        <f t="shared" si="29"/>
        <v>0</v>
      </c>
      <c r="BC88" s="258">
        <f t="shared" ref="BC88:BC99" si="75">I88-BW88</f>
        <v>0</v>
      </c>
      <c r="BD88" s="137">
        <f t="shared" ref="BD88:BD99" si="76">N88-BX88</f>
        <v>5.6164120477986135E-6</v>
      </c>
      <c r="BE88" s="137">
        <f t="shared" ref="BE88:BE99" si="77">O88-BY88</f>
        <v>5.6164120477986135E-6</v>
      </c>
      <c r="BF88" s="137">
        <f>_xll.xSPRDOPT($BW88,$BV88,$CG88,0,$BY88,$BX88,$BZ88,$AJ88,1,4)*$CB88</f>
        <v>1.1325093903533465</v>
      </c>
      <c r="BG88" s="137">
        <f>_xll.xSPRDOPT($BW88,$BV88,$CG88,0,$BY88,$BX88,$BZ88,$AJ88,1,3)*$CB88</f>
        <v>1.1111825306211061</v>
      </c>
      <c r="BH88" s="137">
        <f>IF(OR(BF88&lt;&gt;0,BG88&lt;&gt;0),_xll.xSPRDOPT($BW88,$BV88,$CG88,0,$BY88,$BX88,$BZ88,$AJ88,1,12)*$CB88,0)</f>
        <v>-1.1217964337863895</v>
      </c>
      <c r="BI88" s="137">
        <f>_xll.xSPRDOPT($BW88,$BV88,$CG88,2*LN(1+CA88/2),$BY88,$BX88,$BZ88,$AJ88,1,9)</f>
        <v>4.9836347862409732E-4</v>
      </c>
      <c r="BJ88" s="137">
        <f>_xll.xSPRDOPT($BW88,$BV88,$CG88,0,$BY88,$BX88,$BZ88,$AJ88,1,6)*$CB88</f>
        <v>2.9891591512417288E-2</v>
      </c>
      <c r="BK88" s="137">
        <f>_xll.xSPRDOPT($BW88,$BV88,$CG88,0,$BY88,$BX88,$BZ88,$AJ88,1,5)*$CB88</f>
        <v>2.9893397355959191E-2</v>
      </c>
      <c r="BL88" s="137">
        <f>_xll.xSPRDOPT(BW88,BV88,CG88,0,BY88,BX88,BZ88,AJ88,1,2)*CB88</f>
        <v>-0.6359001395345657</v>
      </c>
      <c r="BM88" s="137">
        <f>_xll.xSPRDOPT(BW88,BV88,CG88,0,BY88,BX88,BZ88,AJ88,1,1)*CB88</f>
        <v>0.63864236004182562</v>
      </c>
      <c r="BN88" s="137">
        <f>IF(AH88&lt;&gt;0,_xll.xSPRDOPT($BW88,$BV88,$CG88,2*LN(1+CA88/2),$BY88,$BX88,$BZ88,$AJ88,1,8)+(AJ88/365.25)*CH88/AH88,0)</f>
        <v>-0.1858563332180363</v>
      </c>
      <c r="BO88" s="137">
        <f>_xll.xSPRDOPT($BW88,$BV88,$CG88,0,$BY88,$BX88,$BZ88,$AJ88,1,0)</f>
        <v>4.3847012239725126E-2</v>
      </c>
      <c r="BP88" s="137"/>
      <c r="BQ88" s="137"/>
      <c r="BR88" s="137"/>
      <c r="BS88" s="137"/>
      <c r="BV88" s="262">
        <v>3.6644999999999999</v>
      </c>
      <c r="BW88" s="136">
        <v>3.6995</v>
      </c>
      <c r="BX88" s="137">
        <v>0.24384483559652501</v>
      </c>
      <c r="BY88" s="137">
        <v>0.24384483559652501</v>
      </c>
      <c r="BZ88" s="137">
        <v>0.99961354996239549</v>
      </c>
      <c r="CA88" s="137">
        <v>5.4929303816937801E-2</v>
      </c>
      <c r="CB88" s="137">
        <v>0.73896386186516361</v>
      </c>
      <c r="CC88" s="258">
        <v>0.155</v>
      </c>
      <c r="CD88" s="258">
        <v>0</v>
      </c>
      <c r="CE88" s="258">
        <v>0.19</v>
      </c>
      <c r="CF88" s="258">
        <v>0</v>
      </c>
      <c r="CG88" s="258">
        <v>0</v>
      </c>
      <c r="CH88" s="258">
        <v>0</v>
      </c>
      <c r="CI88" s="258">
        <v>3.5095000000000001</v>
      </c>
      <c r="CJ88" s="258"/>
      <c r="CK88" s="258"/>
      <c r="CL88" s="258"/>
      <c r="CM88" s="258"/>
    </row>
    <row r="89" spans="1:91" x14ac:dyDescent="0.25">
      <c r="A89" s="723"/>
      <c r="B89" s="723"/>
      <c r="D89" s="31">
        <f t="shared" si="55"/>
        <v>39309</v>
      </c>
      <c r="F89" s="28">
        <f t="shared" si="56"/>
        <v>0</v>
      </c>
      <c r="G89" s="28">
        <f t="shared" si="12"/>
        <v>0</v>
      </c>
      <c r="H89" s="52">
        <f t="shared" si="57"/>
        <v>3.7044999999999999</v>
      </c>
      <c r="I89" s="52">
        <f t="shared" si="58"/>
        <v>3.7395</v>
      </c>
      <c r="K89" s="52">
        <f t="shared" si="59"/>
        <v>0.7976432414379111</v>
      </c>
      <c r="L89" s="135">
        <f t="shared" si="60"/>
        <v>0.24281952030500364</v>
      </c>
      <c r="N89" s="131">
        <f t="shared" si="13"/>
        <v>0.24467527428760702</v>
      </c>
      <c r="O89" s="131">
        <f t="shared" si="14"/>
        <v>0.24467527428760702</v>
      </c>
      <c r="P89" s="55">
        <f t="shared" si="61"/>
        <v>0.99954939240653518</v>
      </c>
      <c r="Q89" s="135">
        <f>_xll.xSPRDOPT(I89,H89,AQ89,0,O89,N89,P89,D89-$G$5,1,0)*AH89*AU89</f>
        <v>1.0404627617429147</v>
      </c>
      <c r="R89" s="135"/>
      <c r="S89" s="181">
        <f t="shared" si="62"/>
        <v>0</v>
      </c>
      <c r="T89" s="181">
        <f>_xll.xSPRDOPT(I89,H89,AQ89,AT89,O89,N89,P89,D89-$G$5,1,1)*AF89*F89*AH89</f>
        <v>0</v>
      </c>
      <c r="U89" s="135"/>
      <c r="V89" s="146">
        <f t="shared" si="63"/>
        <v>0</v>
      </c>
      <c r="W89" s="146"/>
      <c r="X89" s="338">
        <f t="shared" si="64"/>
        <v>0</v>
      </c>
      <c r="Y89" s="338">
        <f t="shared" si="15"/>
        <v>0</v>
      </c>
      <c r="Z89" s="338">
        <f t="shared" si="16"/>
        <v>0</v>
      </c>
      <c r="AA89" s="338">
        <f t="shared" si="17"/>
        <v>0</v>
      </c>
      <c r="AB89" s="338">
        <f t="shared" si="65"/>
        <v>0</v>
      </c>
      <c r="AC89" s="338">
        <f t="shared" si="66"/>
        <v>0</v>
      </c>
      <c r="AF89" s="138">
        <f t="shared" si="67"/>
        <v>1</v>
      </c>
      <c r="AG89" s="138">
        <f t="shared" si="68"/>
        <v>8</v>
      </c>
      <c r="AH89" s="138">
        <f t="shared" si="54"/>
        <v>31</v>
      </c>
      <c r="AI89" s="138">
        <f t="shared" si="69"/>
        <v>2053</v>
      </c>
      <c r="AJ89" s="138">
        <f t="shared" si="70"/>
        <v>2070</v>
      </c>
      <c r="AL89" s="136">
        <f t="shared" si="19"/>
        <v>3.5495000000000001</v>
      </c>
      <c r="AM89" s="258">
        <f t="shared" si="20"/>
        <v>0.155</v>
      </c>
      <c r="AN89" s="258">
        <f t="shared" si="21"/>
        <v>0</v>
      </c>
      <c r="AO89" s="258">
        <f t="shared" si="22"/>
        <v>0.19</v>
      </c>
      <c r="AP89" s="258">
        <f t="shared" si="23"/>
        <v>0</v>
      </c>
      <c r="AQ89" s="136">
        <f t="shared" si="71"/>
        <v>0</v>
      </c>
      <c r="AR89" s="137">
        <f t="shared" si="24"/>
        <v>0</v>
      </c>
      <c r="AS89" s="136">
        <f t="shared" si="72"/>
        <v>3.7044999999999999</v>
      </c>
      <c r="AT89" s="137">
        <f t="shared" si="73"/>
        <v>5.5113319928056501E-2</v>
      </c>
      <c r="AU89" s="137">
        <f t="shared" si="25"/>
        <v>0.73515506123309482</v>
      </c>
      <c r="AV89" s="394">
        <f t="shared" si="74"/>
        <v>0</v>
      </c>
      <c r="AW89" s="137">
        <f t="shared" si="26"/>
        <v>0.24</v>
      </c>
      <c r="AX89" s="137">
        <f t="shared" si="27"/>
        <v>0.6</v>
      </c>
      <c r="AY89" s="137">
        <f t="shared" si="28"/>
        <v>0.6</v>
      </c>
      <c r="AZ89" s="137"/>
      <c r="BA89" s="264"/>
      <c r="BB89" s="258">
        <f t="shared" si="29"/>
        <v>0</v>
      </c>
      <c r="BC89" s="258">
        <f t="shared" si="75"/>
        <v>0</v>
      </c>
      <c r="BD89" s="137">
        <f t="shared" si="76"/>
        <v>6.7062563282871412E-6</v>
      </c>
      <c r="BE89" s="137">
        <f t="shared" si="77"/>
        <v>6.7062563282871412E-6</v>
      </c>
      <c r="BF89" s="137">
        <f>_xll.xSPRDOPT($BW89,$BV89,$CG89,0,$BY89,$BX89,$BZ89,$AJ89,1,4)*$CB89</f>
        <v>1.2867106871705494</v>
      </c>
      <c r="BG89" s="137">
        <f>_xll.xSPRDOPT($BW89,$BV89,$CG89,0,$BY89,$BX89,$BZ89,$AJ89,1,3)*$CB89</f>
        <v>1.2627373473792622</v>
      </c>
      <c r="BH89" s="137">
        <f>IF(OR(BF89&lt;&gt;0,BG89&lt;&gt;0),_xll.xSPRDOPT($BW89,$BV89,$CG89,0,$BY89,$BX89,$BZ89,$AJ89,1,12)*$CB89,0)</f>
        <v>-1.2746684008277254</v>
      </c>
      <c r="BI89" s="137">
        <f>_xll.xSPRDOPT($BW89,$BV89,$CG89,2*LN(1+CA89/2),$BY89,$BX89,$BZ89,$AJ89,1,9)</f>
        <v>4.2702943274370588E-4</v>
      </c>
      <c r="BJ89" s="137">
        <f>_xll.xSPRDOPT($BW89,$BV89,$CG89,0,$BY89,$BX89,$BZ89,$AJ89,1,6)*$CB89</f>
        <v>3.3705860282590386E-2</v>
      </c>
      <c r="BK89" s="137">
        <f>_xll.xSPRDOPT($BW89,$BV89,$CG89,0,$BY89,$BX89,$BZ89,$AJ89,1,5)*$CB89</f>
        <v>3.3709673226098677E-2</v>
      </c>
      <c r="BL89" s="137">
        <f>_xll.xSPRDOPT(BW89,BV89,CG89,0,BY89,BX89,BZ89,AJ89,1,2)*CB89</f>
        <v>-0.61449155758009255</v>
      </c>
      <c r="BM89" s="137">
        <f>_xll.xSPRDOPT(BW89,BV89,CG89,0,BY89,BX89,BZ89,AJ89,1,1)*CB89</f>
        <v>0.61771085507704226</v>
      </c>
      <c r="BN89" s="137">
        <f>IF(AH89&lt;&gt;0,_xll.xSPRDOPT($BW89,$BV89,$CG89,2*LN(1+CA89/2),$BY89,$BX89,$BZ89,$AJ89,1,8)+(AJ89/365.25)*CH89/AH89,0)</f>
        <v>-0.19620884292354374</v>
      </c>
      <c r="BO89" s="137">
        <f>_xll.xSPRDOPT($BW89,$BV89,$CG89,0,$BY89,$BX89,$BZ89,$AJ89,1,0)</f>
        <v>4.5651267477700291E-2</v>
      </c>
      <c r="BP89" s="137"/>
      <c r="BQ89" s="137"/>
      <c r="BR89" s="137"/>
      <c r="BS89" s="137"/>
      <c r="BV89" s="262">
        <v>3.7044999999999999</v>
      </c>
      <c r="BW89" s="136">
        <v>3.7395</v>
      </c>
      <c r="BX89" s="137">
        <v>0.24466856803127873</v>
      </c>
      <c r="BY89" s="137">
        <v>0.24466856803127873</v>
      </c>
      <c r="BZ89" s="137">
        <v>0.99955002032166285</v>
      </c>
      <c r="CA89" s="137">
        <v>5.5113319928056501E-2</v>
      </c>
      <c r="CB89" s="137">
        <v>0.73482685008391269</v>
      </c>
      <c r="CC89" s="258">
        <v>0.155</v>
      </c>
      <c r="CD89" s="258">
        <v>0</v>
      </c>
      <c r="CE89" s="258">
        <v>0.19</v>
      </c>
      <c r="CF89" s="258">
        <v>0</v>
      </c>
      <c r="CG89" s="258">
        <v>0</v>
      </c>
      <c r="CH89" s="258">
        <v>0</v>
      </c>
      <c r="CI89" s="258">
        <v>3.5495000000000001</v>
      </c>
      <c r="CJ89" s="258"/>
      <c r="CK89" s="258"/>
      <c r="CL89" s="258"/>
      <c r="CM89" s="258"/>
    </row>
    <row r="90" spans="1:91" x14ac:dyDescent="0.25">
      <c r="A90" s="723"/>
      <c r="B90" s="723"/>
      <c r="D90" s="31">
        <f t="shared" si="55"/>
        <v>39340</v>
      </c>
      <c r="F90" s="28">
        <f t="shared" si="56"/>
        <v>0</v>
      </c>
      <c r="G90" s="28">
        <f t="shared" si="12"/>
        <v>0</v>
      </c>
      <c r="H90" s="52">
        <f t="shared" si="57"/>
        <v>3.6995</v>
      </c>
      <c r="I90" s="52">
        <f t="shared" si="58"/>
        <v>3.7345000000000002</v>
      </c>
      <c r="K90" s="52">
        <f t="shared" si="59"/>
        <v>0.76756920668302731</v>
      </c>
      <c r="L90" s="135">
        <f t="shared" si="60"/>
        <v>0.22502242340083678</v>
      </c>
      <c r="N90" s="131">
        <f t="shared" si="13"/>
        <v>0.24446069021717548</v>
      </c>
      <c r="O90" s="131">
        <f t="shared" si="14"/>
        <v>0.24446069021717548</v>
      </c>
      <c r="P90" s="55">
        <f t="shared" si="61"/>
        <v>0.99956950981517623</v>
      </c>
      <c r="Q90" s="135">
        <f>_xll.xSPRDOPT(I90,H90,AQ90,0,O90,N90,P90,D90-$G$5,1,0)*AH90*AU90</f>
        <v>0.99259163008386408</v>
      </c>
      <c r="R90" s="135"/>
      <c r="S90" s="181">
        <f t="shared" si="62"/>
        <v>0</v>
      </c>
      <c r="T90" s="181">
        <f>_xll.xSPRDOPT(I90,H90,AQ90,AT90,O90,N90,P90,D90-$G$5,1,1)*AF90*F90*AH90</f>
        <v>0</v>
      </c>
      <c r="U90" s="135"/>
      <c r="V90" s="146">
        <f t="shared" si="63"/>
        <v>0</v>
      </c>
      <c r="W90" s="146"/>
      <c r="X90" s="338">
        <f t="shared" si="64"/>
        <v>0</v>
      </c>
      <c r="Y90" s="338">
        <f t="shared" si="15"/>
        <v>0</v>
      </c>
      <c r="Z90" s="338">
        <f t="shared" si="16"/>
        <v>0</v>
      </c>
      <c r="AA90" s="338">
        <f t="shared" si="17"/>
        <v>0</v>
      </c>
      <c r="AB90" s="338">
        <f t="shared" si="65"/>
        <v>0</v>
      </c>
      <c r="AC90" s="338">
        <f t="shared" si="66"/>
        <v>0</v>
      </c>
      <c r="AF90" s="138">
        <f t="shared" si="67"/>
        <v>1</v>
      </c>
      <c r="AG90" s="138">
        <f t="shared" si="68"/>
        <v>9</v>
      </c>
      <c r="AH90" s="138">
        <f t="shared" si="54"/>
        <v>30</v>
      </c>
      <c r="AI90" s="138">
        <f t="shared" si="69"/>
        <v>2084</v>
      </c>
      <c r="AJ90" s="138">
        <f t="shared" si="70"/>
        <v>2101</v>
      </c>
      <c r="AL90" s="136">
        <f t="shared" si="19"/>
        <v>3.5445000000000002</v>
      </c>
      <c r="AM90" s="258">
        <f t="shared" si="20"/>
        <v>0.155</v>
      </c>
      <c r="AN90" s="258">
        <f t="shared" si="21"/>
        <v>0</v>
      </c>
      <c r="AO90" s="258">
        <f t="shared" si="22"/>
        <v>0.19</v>
      </c>
      <c r="AP90" s="258">
        <f t="shared" si="23"/>
        <v>0</v>
      </c>
      <c r="AQ90" s="136">
        <f t="shared" si="71"/>
        <v>0</v>
      </c>
      <c r="AR90" s="137">
        <f t="shared" si="24"/>
        <v>0</v>
      </c>
      <c r="AS90" s="136">
        <f t="shared" si="72"/>
        <v>3.6995</v>
      </c>
      <c r="AT90" s="137">
        <f t="shared" si="73"/>
        <v>5.5297336050453602E-2</v>
      </c>
      <c r="AU90" s="137">
        <f t="shared" si="25"/>
        <v>0.73101829207907065</v>
      </c>
      <c r="AV90" s="394">
        <f t="shared" si="74"/>
        <v>0</v>
      </c>
      <c r="AW90" s="137">
        <f t="shared" si="26"/>
        <v>0.24</v>
      </c>
      <c r="AX90" s="137">
        <f t="shared" si="27"/>
        <v>0.6</v>
      </c>
      <c r="AY90" s="137">
        <f t="shared" si="28"/>
        <v>0.6</v>
      </c>
      <c r="AZ90" s="137"/>
      <c r="BA90" s="264"/>
      <c r="BB90" s="258">
        <f t="shared" si="29"/>
        <v>0</v>
      </c>
      <c r="BC90" s="258">
        <f t="shared" si="75"/>
        <v>0</v>
      </c>
      <c r="BD90" s="137">
        <f t="shared" si="76"/>
        <v>6.3083491827486959E-6</v>
      </c>
      <c r="BE90" s="137">
        <f t="shared" si="77"/>
        <v>6.3083491827486959E-6</v>
      </c>
      <c r="BF90" s="137">
        <f>_xll.xSPRDOPT($BW90,$BV90,$CG90,0,$BY90,$BX90,$BZ90,$AJ90,1,4)*$CB90</f>
        <v>1.2168489240578266</v>
      </c>
      <c r="BG90" s="137">
        <f>_xll.xSPRDOPT($BW90,$BV90,$CG90,0,$BY90,$BX90,$BZ90,$AJ90,1,3)*$CB90</f>
        <v>1.194147258519203</v>
      </c>
      <c r="BH90" s="137">
        <f>IF(OR(BF90&lt;&gt;0,BG90&lt;&gt;0),_xll.xSPRDOPT($BW90,$BV90,$CG90,0,$BY90,$BX90,$BZ90,$AJ90,1,12)*$CB90,0)</f>
        <v>-1.2054458812097866</v>
      </c>
      <c r="BI90" s="137">
        <f>_xll.xSPRDOPT($BW90,$BV90,$CG90,2*LN(1+CA90/2),$BY90,$BX90,$BZ90,$AJ90,1,9)</f>
        <v>4.6870647621740464E-4</v>
      </c>
      <c r="BJ90" s="137">
        <f>_xll.xSPRDOPT($BW90,$BV90,$CG90,0,$BY90,$BX90,$BZ90,$AJ90,1,6)*$CB90</f>
        <v>3.2789278267903621E-2</v>
      </c>
      <c r="BK90" s="137">
        <f>_xll.xSPRDOPT($BW90,$BV90,$CG90,0,$BY90,$BX90,$BZ90,$AJ90,1,5)*$CB90</f>
        <v>3.2792682433953599E-2</v>
      </c>
      <c r="BL90" s="137">
        <f>_xll.xSPRDOPT(BW90,BV90,CG90,0,BY90,BX90,BZ90,AJ90,1,2)*CB90</f>
        <v>-0.61614141602390649</v>
      </c>
      <c r="BM90" s="137">
        <f>_xll.xSPRDOPT(BW90,BV90,CG90,0,BY90,BX90,BZ90,AJ90,1,1)*CB90</f>
        <v>0.61922192919936025</v>
      </c>
      <c r="BN90" s="137">
        <f>IF(AH90&lt;&gt;0,_xll.xSPRDOPT($BW90,$BV90,$CG90,2*LN(1+CA90/2),$BY90,$BX90,$BZ90,$AJ90,1,8)+(AJ90/365.25)*CH90/AH90,0)</f>
        <v>-0.1963832027562378</v>
      </c>
      <c r="BO90" s="137">
        <f>_xll.xSPRDOPT($BW90,$BV90,$CG90,0,$BY90,$BX90,$BZ90,$AJ90,1,0)</f>
        <v>4.5257354776931311E-2</v>
      </c>
      <c r="BP90" s="137"/>
      <c r="BQ90" s="137"/>
      <c r="BR90" s="137"/>
      <c r="BS90" s="137"/>
      <c r="BV90" s="262">
        <v>3.6995</v>
      </c>
      <c r="BW90" s="136">
        <v>3.7345000000000002</v>
      </c>
      <c r="BX90" s="137">
        <v>0.24445438186799273</v>
      </c>
      <c r="BY90" s="137">
        <v>0.24445438186799273</v>
      </c>
      <c r="BZ90" s="137">
        <v>0.99957010202911845</v>
      </c>
      <c r="CA90" s="137">
        <v>5.5297336050453602E-2</v>
      </c>
      <c r="CB90" s="137">
        <v>0.73069085307622372</v>
      </c>
      <c r="CC90" s="258">
        <v>0.155</v>
      </c>
      <c r="CD90" s="258">
        <v>0</v>
      </c>
      <c r="CE90" s="258">
        <v>0.19</v>
      </c>
      <c r="CF90" s="258">
        <v>0</v>
      </c>
      <c r="CG90" s="258">
        <v>0</v>
      </c>
      <c r="CH90" s="258">
        <v>0</v>
      </c>
      <c r="CI90" s="258">
        <v>3.5445000000000002</v>
      </c>
      <c r="CJ90" s="258"/>
      <c r="CK90" s="258"/>
      <c r="CL90" s="258"/>
      <c r="CM90" s="258"/>
    </row>
    <row r="91" spans="1:91" x14ac:dyDescent="0.25">
      <c r="A91" s="723"/>
      <c r="B91" s="723"/>
      <c r="D91" s="31">
        <f t="shared" si="55"/>
        <v>39370</v>
      </c>
      <c r="F91" s="28">
        <f t="shared" si="56"/>
        <v>0</v>
      </c>
      <c r="G91" s="28">
        <f t="shared" si="12"/>
        <v>0</v>
      </c>
      <c r="H91" s="52">
        <f t="shared" si="57"/>
        <v>3.7244999999999999</v>
      </c>
      <c r="I91" s="52">
        <f t="shared" si="58"/>
        <v>3.7595000000000001</v>
      </c>
      <c r="K91" s="52">
        <f t="shared" si="59"/>
        <v>0.78881252821076209</v>
      </c>
      <c r="L91" s="135">
        <f t="shared" si="60"/>
        <v>0.28174337164704744</v>
      </c>
      <c r="N91" s="131">
        <f t="shared" si="13"/>
        <v>0.24547097396802822</v>
      </c>
      <c r="O91" s="131">
        <f t="shared" si="14"/>
        <v>0.24547097396802822</v>
      </c>
      <c r="P91" s="55">
        <f t="shared" si="61"/>
        <v>0.99948963547952063</v>
      </c>
      <c r="Q91" s="135">
        <f>_xll.xSPRDOPT(I91,H91,AQ91,0,O91,N91,P91,D91-$G$5,1,0)*AH91*AU91</f>
        <v>1.0705558998578095</v>
      </c>
      <c r="R91" s="135"/>
      <c r="S91" s="181">
        <f t="shared" si="62"/>
        <v>0</v>
      </c>
      <c r="T91" s="181">
        <f>_xll.xSPRDOPT(I91,H91,AQ91,AT91,O91,N91,P91,D91-$G$5,1,1)*AF91*F91*AH91</f>
        <v>0</v>
      </c>
      <c r="U91" s="135"/>
      <c r="V91" s="146">
        <f t="shared" si="63"/>
        <v>0</v>
      </c>
      <c r="W91" s="146"/>
      <c r="X91" s="338">
        <f t="shared" si="64"/>
        <v>0</v>
      </c>
      <c r="Y91" s="338">
        <f t="shared" si="15"/>
        <v>0</v>
      </c>
      <c r="Z91" s="338">
        <f t="shared" si="16"/>
        <v>0</v>
      </c>
      <c r="AA91" s="338">
        <f t="shared" si="17"/>
        <v>0</v>
      </c>
      <c r="AB91" s="338">
        <f t="shared" si="65"/>
        <v>0</v>
      </c>
      <c r="AC91" s="338">
        <f t="shared" si="66"/>
        <v>0</v>
      </c>
      <c r="AF91" s="138">
        <f t="shared" si="67"/>
        <v>1</v>
      </c>
      <c r="AG91" s="138">
        <f t="shared" si="68"/>
        <v>10</v>
      </c>
      <c r="AH91" s="138">
        <f t="shared" si="54"/>
        <v>31</v>
      </c>
      <c r="AI91" s="138">
        <f t="shared" si="69"/>
        <v>2114</v>
      </c>
      <c r="AJ91" s="138">
        <f t="shared" si="70"/>
        <v>2131</v>
      </c>
      <c r="AL91" s="136">
        <f t="shared" si="19"/>
        <v>3.5695000000000001</v>
      </c>
      <c r="AM91" s="258">
        <f t="shared" si="20"/>
        <v>0.155</v>
      </c>
      <c r="AN91" s="258">
        <f t="shared" si="21"/>
        <v>0</v>
      </c>
      <c r="AO91" s="258">
        <f t="shared" si="22"/>
        <v>0.19</v>
      </c>
      <c r="AP91" s="258">
        <f t="shared" si="23"/>
        <v>0</v>
      </c>
      <c r="AQ91" s="136">
        <f t="shared" si="71"/>
        <v>0</v>
      </c>
      <c r="AR91" s="137">
        <f t="shared" si="24"/>
        <v>0</v>
      </c>
      <c r="AS91" s="136">
        <f t="shared" si="72"/>
        <v>3.7244999999999999</v>
      </c>
      <c r="AT91" s="137">
        <f t="shared" si="73"/>
        <v>5.5475416179639102E-2</v>
      </c>
      <c r="AU91" s="137">
        <f t="shared" si="25"/>
        <v>0.72701615503295747</v>
      </c>
      <c r="AV91" s="394">
        <f t="shared" si="74"/>
        <v>0</v>
      </c>
      <c r="AW91" s="137">
        <f t="shared" si="26"/>
        <v>0.24</v>
      </c>
      <c r="AX91" s="137">
        <f t="shared" si="27"/>
        <v>0.65</v>
      </c>
      <c r="AY91" s="137">
        <f t="shared" si="28"/>
        <v>0.65</v>
      </c>
      <c r="AZ91" s="137"/>
      <c r="BA91" s="264"/>
      <c r="BB91" s="258">
        <f t="shared" si="29"/>
        <v>0</v>
      </c>
      <c r="BC91" s="258">
        <f t="shared" si="75"/>
        <v>0</v>
      </c>
      <c r="BD91" s="137">
        <f t="shared" si="76"/>
        <v>7.6109124000078854E-6</v>
      </c>
      <c r="BE91" s="137">
        <f t="shared" si="77"/>
        <v>7.6109124000078854E-6</v>
      </c>
      <c r="BF91" s="137">
        <f>_xll.xSPRDOPT($BW91,$BV91,$CG91,0,$BY91,$BX91,$BZ91,$AJ91,1,4)*$CB91</f>
        <v>1.4124111576639793</v>
      </c>
      <c r="BG91" s="137">
        <f>_xll.xSPRDOPT($BW91,$BV91,$CG91,0,$BY91,$BX91,$BZ91,$AJ91,1,3)*$CB91</f>
        <v>1.386235225072121</v>
      </c>
      <c r="BH91" s="137">
        <f>IF(OR(BF91&lt;&gt;0,BG91&lt;&gt;0),_xll.xSPRDOPT($BW91,$BV91,$CG91,0,$BY91,$BX91,$BZ91,$AJ91,1,12)*$CB91,0)</f>
        <v>-1.3992629564692531</v>
      </c>
      <c r="BI91" s="137">
        <f>_xll.xSPRDOPT($BW91,$BV91,$CG91,2*LN(1+CA91/2),$BY91,$BX91,$BZ91,$AJ91,1,9)</f>
        <v>3.9644521721316894E-4</v>
      </c>
      <c r="BJ91" s="137">
        <f>_xll.xSPRDOPT($BW91,$BV91,$CG91,0,$BY91,$BX91,$BZ91,$AJ91,1,6)*$CB91</f>
        <v>3.7018537355030745E-2</v>
      </c>
      <c r="BK91" s="137">
        <f>_xll.xSPRDOPT($BW91,$BV91,$CG91,0,$BY91,$BX91,$BZ91,$AJ91,1,5)*$CB91</f>
        <v>3.7024055759296765E-2</v>
      </c>
      <c r="BL91" s="137">
        <f>_xll.xSPRDOPT(BW91,BV91,CG91,0,BY91,BX91,BZ91,AJ91,1,2)*CB91</f>
        <v>-0.59071687807322926</v>
      </c>
      <c r="BM91" s="137">
        <f>_xll.xSPRDOPT(BW91,BV91,CG91,0,BY91,BX91,BZ91,AJ91,1,1)*CB91</f>
        <v>0.59439835079052239</v>
      </c>
      <c r="BN91" s="137">
        <f>IF(AH91&lt;&gt;0,_xll.xSPRDOPT($BW91,$BV91,$CG91,2*LN(1+CA91/2),$BY91,$BX91,$BZ91,$AJ91,1,8)+(AJ91/365.25)*CH91/AH91,0)</f>
        <v>-0.20834126781158024</v>
      </c>
      <c r="BO91" s="137">
        <f>_xll.xSPRDOPT($BW91,$BV91,$CG91,0,$BY91,$BX91,$BZ91,$AJ91,1,0)</f>
        <v>4.7497039393013675E-2</v>
      </c>
      <c r="BP91" s="137"/>
      <c r="BQ91" s="137"/>
      <c r="BR91" s="137"/>
      <c r="BS91" s="137"/>
      <c r="BV91" s="262">
        <v>3.7244999999999999</v>
      </c>
      <c r="BW91" s="136">
        <v>3.7595000000000001</v>
      </c>
      <c r="BX91" s="137">
        <v>0.24546336305562821</v>
      </c>
      <c r="BY91" s="137">
        <v>0.24546336305562821</v>
      </c>
      <c r="BZ91" s="137">
        <v>0.99949032185508413</v>
      </c>
      <c r="CA91" s="137">
        <v>5.5475416179639102E-2</v>
      </c>
      <c r="CB91" s="137">
        <v>0.72668947440852616</v>
      </c>
      <c r="CC91" s="258">
        <v>0.155</v>
      </c>
      <c r="CD91" s="258">
        <v>0</v>
      </c>
      <c r="CE91" s="258">
        <v>0.19</v>
      </c>
      <c r="CF91" s="258">
        <v>0</v>
      </c>
      <c r="CG91" s="258">
        <v>0</v>
      </c>
      <c r="CH91" s="258">
        <v>0</v>
      </c>
      <c r="CI91" s="258">
        <v>3.5695000000000001</v>
      </c>
      <c r="CJ91" s="258"/>
      <c r="CK91" s="258"/>
      <c r="CL91" s="258"/>
      <c r="CM91" s="258"/>
    </row>
    <row r="92" spans="1:91" x14ac:dyDescent="0.25">
      <c r="A92" s="723"/>
      <c r="B92" s="723"/>
      <c r="D92" s="31">
        <f t="shared" si="55"/>
        <v>39401</v>
      </c>
      <c r="F92" s="28">
        <f t="shared" si="56"/>
        <v>9189</v>
      </c>
      <c r="G92" s="28">
        <f t="shared" si="12"/>
        <v>6642.563435063852</v>
      </c>
      <c r="H92" s="52">
        <f t="shared" si="57"/>
        <v>4.0764999999999993</v>
      </c>
      <c r="I92" s="52">
        <f t="shared" si="58"/>
        <v>4.0764999999999993</v>
      </c>
      <c r="K92" s="52">
        <f t="shared" si="59"/>
        <v>0</v>
      </c>
      <c r="L92" s="135">
        <f t="shared" si="60"/>
        <v>0.68642262579116797</v>
      </c>
      <c r="N92" s="131">
        <f t="shared" si="13"/>
        <v>0.24828299266048096</v>
      </c>
      <c r="O92" s="131">
        <f t="shared" si="14"/>
        <v>0.24828299266048096</v>
      </c>
      <c r="P92" s="55">
        <f t="shared" si="61"/>
        <v>0.99927901946647435</v>
      </c>
      <c r="Q92" s="135">
        <f>_xll.xSPRDOPT(I92,H92,AQ92,0,O92,N92,P92,D92-$G$5,1,0)*AH92*AU92</f>
        <v>0.68642262579116797</v>
      </c>
      <c r="R92" s="135"/>
      <c r="S92" s="181">
        <f t="shared" si="62"/>
        <v>-99961.783667205062</v>
      </c>
      <c r="T92" s="181">
        <f>_xll.xSPRDOPT(I92,H92,AQ92,AT92,O92,N92,P92,D92-$G$5,1,1)*AF92*F92*AH92</f>
        <v>99961.783667205062</v>
      </c>
      <c r="U92" s="135"/>
      <c r="V92" s="146">
        <f t="shared" si="63"/>
        <v>0</v>
      </c>
      <c r="W92" s="146"/>
      <c r="X92" s="338">
        <f t="shared" si="64"/>
        <v>0</v>
      </c>
      <c r="Y92" s="338">
        <f t="shared" si="15"/>
        <v>0</v>
      </c>
      <c r="Z92" s="338">
        <f t="shared" si="16"/>
        <v>-1.8032425366846883</v>
      </c>
      <c r="AA92" s="338">
        <f t="shared" si="17"/>
        <v>0.33784233387014129</v>
      </c>
      <c r="AB92" s="338">
        <f t="shared" si="65"/>
        <v>0</v>
      </c>
      <c r="AC92" s="338">
        <f t="shared" si="66"/>
        <v>2.8803967557705197</v>
      </c>
      <c r="AF92" s="138">
        <f t="shared" si="67"/>
        <v>1</v>
      </c>
      <c r="AG92" s="138">
        <f t="shared" si="68"/>
        <v>11</v>
      </c>
      <c r="AH92" s="138">
        <f t="shared" si="54"/>
        <v>30</v>
      </c>
      <c r="AI92" s="138">
        <f t="shared" si="69"/>
        <v>2145</v>
      </c>
      <c r="AJ92" s="138">
        <f t="shared" si="70"/>
        <v>2162</v>
      </c>
      <c r="AL92" s="136">
        <f t="shared" si="19"/>
        <v>3.7214999999999998</v>
      </c>
      <c r="AM92" s="258">
        <f t="shared" si="20"/>
        <v>0.35499999999999998</v>
      </c>
      <c r="AN92" s="258">
        <f t="shared" si="21"/>
        <v>0</v>
      </c>
      <c r="AO92" s="258">
        <f t="shared" si="22"/>
        <v>0.35499999999999998</v>
      </c>
      <c r="AP92" s="258">
        <f t="shared" si="23"/>
        <v>0</v>
      </c>
      <c r="AQ92" s="136">
        <f t="shared" si="71"/>
        <v>0</v>
      </c>
      <c r="AR92" s="137">
        <f t="shared" si="24"/>
        <v>0</v>
      </c>
      <c r="AS92" s="136">
        <f t="shared" si="72"/>
        <v>4.0764999999999993</v>
      </c>
      <c r="AT92" s="137">
        <f t="shared" si="73"/>
        <v>5.5659432324225197E-2</v>
      </c>
      <c r="AU92" s="137">
        <f t="shared" si="25"/>
        <v>0.72288208021154121</v>
      </c>
      <c r="AV92" s="394">
        <f t="shared" si="74"/>
        <v>0</v>
      </c>
      <c r="AW92" s="137">
        <f t="shared" si="26"/>
        <v>0.24</v>
      </c>
      <c r="AX92" s="137">
        <f t="shared" si="27"/>
        <v>0.8</v>
      </c>
      <c r="AY92" s="137">
        <f t="shared" si="28"/>
        <v>0.8</v>
      </c>
      <c r="AZ92" s="137"/>
      <c r="BA92" s="264"/>
      <c r="BB92" s="258">
        <f t="shared" si="29"/>
        <v>0</v>
      </c>
      <c r="BC92" s="258">
        <f t="shared" si="75"/>
        <v>0</v>
      </c>
      <c r="BD92" s="137">
        <f t="shared" si="76"/>
        <v>1.1296828160367589E-5</v>
      </c>
      <c r="BE92" s="137">
        <f t="shared" si="77"/>
        <v>1.1296828160367589E-5</v>
      </c>
      <c r="BF92" s="137">
        <f>_xll.xSPRDOPT($BW92,$BV92,$CG92,0,$BY92,$BX92,$BZ92,$AJ92,1,4)*$CB92</f>
        <v>6630.2762124120654</v>
      </c>
      <c r="BG92" s="137">
        <f>_xll.xSPRDOPT($BW92,$BV92,$CG92,0,$BY92,$BX92,$BZ92,$AJ92,1,3)*$CB92</f>
        <v>6630.276212476313</v>
      </c>
      <c r="BH92" s="137">
        <f>IF(OR(BF92&lt;&gt;0,BG92&lt;&gt;0),_xll.xSPRDOPT($BW92,$BV92,$CG92,0,$BY92,$BX92,$BZ92,$AJ92,1,12)*$CB92,0)</f>
        <v>-6630.2762197365537</v>
      </c>
      <c r="BI92" s="137">
        <f>_xll.xSPRDOPT($BW92,$BV92,$CG92,2*LN(1+CA92/2),$BY92,$BX92,$BZ92,$AJ92,1,9)</f>
        <v>-7.9640431980759893E-4</v>
      </c>
      <c r="BJ92" s="137">
        <f>_xll.xSPRDOPT($BW92,$BV92,$CG92,0,$BY92,$BX92,$BZ92,$AJ92,1,6)*$CB92</f>
        <v>5.4000861660523258E-2</v>
      </c>
      <c r="BK92" s="137">
        <f>_xll.xSPRDOPT($BW92,$BV92,$CG92,0,$BY92,$BX92,$BZ92,$AJ92,1,5)*$CB92</f>
        <v>5.4483725283135921E-2</v>
      </c>
      <c r="BL92" s="137">
        <f>_xll.xSPRDOPT(BW92,BV92,CG92,0,BY92,BX92,BZ92,AJ92,1,2)*CB92</f>
        <v>-0.35847479446600944</v>
      </c>
      <c r="BM92" s="137">
        <f>_xll.xSPRDOPT(BW92,BV92,CG92,0,BY92,BX92,BZ92,AJ92,1,1)*CB92</f>
        <v>0.36408147071650526</v>
      </c>
      <c r="BN92" s="137">
        <f>IF(AH92&lt;&gt;0,_xll.xSPRDOPT($BW92,$BV92,$CG92,2*LN(1+CA92/2),$BY92,$BX92,$BZ92,$AJ92,1,8)+(AJ92/365.25)*CH92/AH92,0)</f>
        <v>-0.15943444502632825</v>
      </c>
      <c r="BO92" s="137">
        <f>_xll.xSPRDOPT($BW92,$BV92,$CG92,0,$BY92,$BX92,$BZ92,$AJ92,1,0)</f>
        <v>3.1631615683954874E-2</v>
      </c>
      <c r="BP92" s="137"/>
      <c r="BQ92" s="137"/>
      <c r="BR92" s="137"/>
      <c r="BS92" s="137"/>
      <c r="BV92" s="262">
        <v>4.0764999999999993</v>
      </c>
      <c r="BW92" s="136">
        <v>4.0764999999999993</v>
      </c>
      <c r="BX92" s="137">
        <v>0.24827169583232059</v>
      </c>
      <c r="BY92" s="137">
        <v>0.24827169583232059</v>
      </c>
      <c r="BZ92" s="137">
        <v>0.99927995391705071</v>
      </c>
      <c r="CA92" s="137">
        <v>5.5659432324225197E-2</v>
      </c>
      <c r="CB92" s="137">
        <v>0.72255619464132093</v>
      </c>
      <c r="CC92" s="258">
        <v>0.35499999999999998</v>
      </c>
      <c r="CD92" s="258">
        <v>0</v>
      </c>
      <c r="CE92" s="258">
        <v>0.35499999999999998</v>
      </c>
      <c r="CF92" s="258">
        <v>0</v>
      </c>
      <c r="CG92" s="258">
        <v>0</v>
      </c>
      <c r="CH92" s="258">
        <v>0</v>
      </c>
      <c r="CI92" s="258">
        <v>3.7214999999999998</v>
      </c>
      <c r="CJ92" s="258"/>
      <c r="CK92" s="258"/>
      <c r="CL92" s="258"/>
      <c r="CM92" s="258"/>
    </row>
    <row r="93" spans="1:91" x14ac:dyDescent="0.25">
      <c r="A93" s="723"/>
      <c r="B93" s="723"/>
      <c r="D93" s="31">
        <f t="shared" si="55"/>
        <v>39431</v>
      </c>
      <c r="F93" s="28">
        <f t="shared" si="56"/>
        <v>9189</v>
      </c>
      <c r="G93" s="28">
        <f t="shared" si="12"/>
        <v>6605.8159760379858</v>
      </c>
      <c r="H93" s="52">
        <f t="shared" si="57"/>
        <v>4.2195</v>
      </c>
      <c r="I93" s="52">
        <f t="shared" si="58"/>
        <v>4.2195</v>
      </c>
      <c r="K93" s="52">
        <f t="shared" si="59"/>
        <v>0</v>
      </c>
      <c r="L93" s="135">
        <f t="shared" si="60"/>
        <v>1.2017213632513915</v>
      </c>
      <c r="N93" s="131">
        <f t="shared" si="13"/>
        <v>0.25642619595895139</v>
      </c>
      <c r="O93" s="131">
        <f t="shared" si="14"/>
        <v>0.25642619595895139</v>
      </c>
      <c r="P93" s="55">
        <f t="shared" si="61"/>
        <v>0.99869788593050313</v>
      </c>
      <c r="Q93" s="135">
        <f>_xll.xSPRDOPT(I93,H93,AQ93,0,O93,N93,P93,D93-$G$5,1,0)*AH93*AU93</f>
        <v>1.2017213632513915</v>
      </c>
      <c r="R93" s="135"/>
      <c r="S93" s="181">
        <f t="shared" si="62"/>
        <v>-103224.18113473784</v>
      </c>
      <c r="T93" s="181">
        <f>_xll.xSPRDOPT(I93,H93,AQ93,AT93,O93,N93,P93,D93-$G$5,1,1)*AF93*F93*AH93</f>
        <v>103224.18113473784</v>
      </c>
      <c r="U93" s="135"/>
      <c r="V93" s="146">
        <f t="shared" si="63"/>
        <v>0</v>
      </c>
      <c r="W93" s="146"/>
      <c r="X93" s="338">
        <f t="shared" si="64"/>
        <v>0</v>
      </c>
      <c r="Y93" s="338">
        <f t="shared" si="15"/>
        <v>0</v>
      </c>
      <c r="Z93" s="338">
        <f t="shared" si="16"/>
        <v>-2.5597239156556144</v>
      </c>
      <c r="AA93" s="338">
        <f t="shared" si="17"/>
        <v>0.93608025576671661</v>
      </c>
      <c r="AB93" s="338">
        <f t="shared" si="65"/>
        <v>0</v>
      </c>
      <c r="AC93" s="338">
        <f t="shared" si="66"/>
        <v>5.06212519241629</v>
      </c>
      <c r="AF93" s="138">
        <f t="shared" si="67"/>
        <v>1</v>
      </c>
      <c r="AG93" s="138">
        <f t="shared" si="68"/>
        <v>12</v>
      </c>
      <c r="AH93" s="138">
        <f t="shared" si="54"/>
        <v>31</v>
      </c>
      <c r="AI93" s="138">
        <f t="shared" si="69"/>
        <v>2175</v>
      </c>
      <c r="AJ93" s="138">
        <f t="shared" si="70"/>
        <v>2192</v>
      </c>
      <c r="AL93" s="136">
        <f t="shared" si="19"/>
        <v>3.8645</v>
      </c>
      <c r="AM93" s="258">
        <f t="shared" si="20"/>
        <v>0.35499999999999998</v>
      </c>
      <c r="AN93" s="258">
        <f t="shared" si="21"/>
        <v>0</v>
      </c>
      <c r="AO93" s="258">
        <f t="shared" si="22"/>
        <v>0.35499999999999998</v>
      </c>
      <c r="AP93" s="258">
        <f t="shared" si="23"/>
        <v>0</v>
      </c>
      <c r="AQ93" s="136">
        <f t="shared" si="71"/>
        <v>0</v>
      </c>
      <c r="AR93" s="137">
        <f t="shared" si="24"/>
        <v>0</v>
      </c>
      <c r="AS93" s="136">
        <f t="shared" si="72"/>
        <v>4.2195</v>
      </c>
      <c r="AT93" s="137">
        <f t="shared" si="73"/>
        <v>5.5837512474881598E-2</v>
      </c>
      <c r="AU93" s="137">
        <f t="shared" si="25"/>
        <v>0.71888300968962737</v>
      </c>
      <c r="AV93" s="394">
        <f t="shared" si="74"/>
        <v>0</v>
      </c>
      <c r="AW93" s="137">
        <f t="shared" si="26"/>
        <v>0.24</v>
      </c>
      <c r="AX93" s="137">
        <f t="shared" si="27"/>
        <v>1.1000000000000001</v>
      </c>
      <c r="AY93" s="137">
        <f t="shared" si="28"/>
        <v>1.1000000000000001</v>
      </c>
      <c r="AZ93" s="137"/>
      <c r="BA93" s="264"/>
      <c r="BB93" s="258">
        <f t="shared" si="29"/>
        <v>0</v>
      </c>
      <c r="BC93" s="258">
        <f t="shared" si="75"/>
        <v>0</v>
      </c>
      <c r="BD93" s="137">
        <f t="shared" si="76"/>
        <v>2.1747099282098947E-5</v>
      </c>
      <c r="BE93" s="137">
        <f t="shared" si="77"/>
        <v>2.1747099282098947E-5</v>
      </c>
      <c r="BF93" s="137">
        <f>_xll.xSPRDOPT($BW93,$BV93,$CG93,0,$BY93,$BX93,$BZ93,$AJ93,1,4)*$CB93</f>
        <v>2.1204366694040053</v>
      </c>
      <c r="BG93" s="137">
        <f>_xll.xSPRDOPT($BW93,$BV93,$CG93,0,$BY93,$BX93,$BZ93,$AJ93,1,3)*$CB93</f>
        <v>2.1204366285212242</v>
      </c>
      <c r="BH93" s="137">
        <f>IF(OR(BF93&lt;&gt;0,BG93&lt;&gt;0),_xll.xSPRDOPT($BW93,$BV93,$CG93,0,$BY93,$BX93,$BZ93,$AJ93,1,12)*$CB93,0)</f>
        <v>-2.1204441315704297</v>
      </c>
      <c r="BI93" s="137">
        <f>_xll.xSPRDOPT($BW93,$BV93,$CG93,2*LN(1+CA93/2),$BY93,$BX93,$BZ93,$AJ93,1,9)</f>
        <v>-1.0940373543790825E-3</v>
      </c>
      <c r="BJ93" s="137">
        <f>_xll.xSPRDOPT($BW93,$BV93,$CG93,0,$BY93,$BX93,$BZ93,$AJ93,1,6)*$CB93</f>
        <v>7.5334295841048129E-2</v>
      </c>
      <c r="BK93" s="137">
        <f>_xll.xSPRDOPT($BW93,$BV93,$CG93,0,$BY93,$BX93,$BZ93,$AJ93,1,5)*$CB93</f>
        <v>7.5771736575396487E-2</v>
      </c>
      <c r="BL93" s="137">
        <f>_xll.xSPRDOPT(BW93,BV93,CG93,0,BY93,BX93,BZ93,AJ93,1,2)*CB93</f>
        <v>-0.35468748494804231</v>
      </c>
      <c r="BM93" s="137">
        <f>_xll.xSPRDOPT(BW93,BV93,CG93,0,BY93,BX93,BZ93,AJ93,1,1)*CB93</f>
        <v>0.36387048894085833</v>
      </c>
      <c r="BN93" s="137">
        <f>IF(AH93&lt;&gt;0,_xll.xSPRDOPT($BW93,$BV93,$CG93,2*LN(1+CA93/2),$BY93,$BX93,$BZ93,$AJ93,1,8)+(AJ93/365.25)*CH93/AH93,0)</f>
        <v>-0.23253919719685995</v>
      </c>
      <c r="BO93" s="137">
        <f>_xll.xSPRDOPT($BW93,$BV93,$CG93,0,$BY93,$BX93,$BZ93,$AJ93,1,0)</f>
        <v>5.3924244902791185E-2</v>
      </c>
      <c r="BP93" s="137"/>
      <c r="BQ93" s="137"/>
      <c r="BR93" s="137"/>
      <c r="BS93" s="137"/>
      <c r="BV93" s="262">
        <v>4.2195</v>
      </c>
      <c r="BW93" s="136">
        <v>4.2195</v>
      </c>
      <c r="BX93" s="137">
        <v>0.25640444885966929</v>
      </c>
      <c r="BY93" s="137">
        <v>0.25640444885966929</v>
      </c>
      <c r="BZ93" s="137">
        <v>0.99869944621580831</v>
      </c>
      <c r="CA93" s="137">
        <v>5.5837512474881598E-2</v>
      </c>
      <c r="CB93" s="137">
        <v>0.71855790444499312</v>
      </c>
      <c r="CC93" s="258">
        <v>0.35499999999999998</v>
      </c>
      <c r="CD93" s="258">
        <v>0</v>
      </c>
      <c r="CE93" s="258">
        <v>0.35499999999999998</v>
      </c>
      <c r="CF93" s="258">
        <v>0</v>
      </c>
      <c r="CG93" s="258">
        <v>0</v>
      </c>
      <c r="CH93" s="258">
        <v>0</v>
      </c>
      <c r="CI93" s="258">
        <v>3.8645</v>
      </c>
      <c r="CJ93" s="258"/>
      <c r="CK93" s="258"/>
      <c r="CL93" s="258"/>
      <c r="CM93" s="258"/>
    </row>
    <row r="94" spans="1:91" x14ac:dyDescent="0.25">
      <c r="A94" s="723"/>
      <c r="B94" s="723"/>
      <c r="D94" s="31">
        <f t="shared" si="55"/>
        <v>39462</v>
      </c>
      <c r="F94" s="28">
        <f t="shared" si="56"/>
        <v>9189</v>
      </c>
      <c r="G94" s="28">
        <f t="shared" si="12"/>
        <v>6567.861411428642</v>
      </c>
      <c r="H94" s="52">
        <f t="shared" si="57"/>
        <v>4.2694999999999999</v>
      </c>
      <c r="I94" s="52">
        <f t="shared" si="58"/>
        <v>4.2694999999999999</v>
      </c>
      <c r="K94" s="52">
        <f t="shared" si="59"/>
        <v>0</v>
      </c>
      <c r="L94" s="135">
        <f t="shared" si="60"/>
        <v>1.2089807853398571</v>
      </c>
      <c r="N94" s="131">
        <f t="shared" si="13"/>
        <v>0.25620422165928242</v>
      </c>
      <c r="O94" s="131">
        <f t="shared" si="14"/>
        <v>0.25620422165928242</v>
      </c>
      <c r="P94" s="55">
        <f t="shared" si="61"/>
        <v>0.99871383055617646</v>
      </c>
      <c r="Q94" s="135">
        <f>_xll.xSPRDOPT(I94,H94,AQ94,0,O94,N94,P94,D94-$G$5,1,0)*AH94*AU94</f>
        <v>1.2089807853398571</v>
      </c>
      <c r="R94" s="135"/>
      <c r="S94" s="181">
        <f t="shared" si="62"/>
        <v>-102621.31146493366</v>
      </c>
      <c r="T94" s="181">
        <f>_xll.xSPRDOPT(I94,H94,AQ94,AT94,O94,N94,P94,D94-$G$5,1,1)*AF94*F94*AH94</f>
        <v>102621.31146493366</v>
      </c>
      <c r="U94" s="135"/>
      <c r="V94" s="146">
        <f t="shared" si="63"/>
        <v>0</v>
      </c>
      <c r="W94" s="146"/>
      <c r="X94" s="338">
        <f t="shared" si="64"/>
        <v>0</v>
      </c>
      <c r="Y94" s="338">
        <f t="shared" si="15"/>
        <v>0</v>
      </c>
      <c r="Z94" s="338">
        <f t="shared" si="16"/>
        <v>-2.4528998807108451</v>
      </c>
      <c r="AA94" s="338">
        <f t="shared" si="17"/>
        <v>0.91723577770346565</v>
      </c>
      <c r="AB94" s="338">
        <f t="shared" si="65"/>
        <v>0</v>
      </c>
      <c r="AC94" s="338">
        <f t="shared" si="66"/>
        <v>5.1094805084476578</v>
      </c>
      <c r="AF94" s="138">
        <f t="shared" si="67"/>
        <v>1</v>
      </c>
      <c r="AG94" s="138">
        <f t="shared" si="68"/>
        <v>1</v>
      </c>
      <c r="AH94" s="138">
        <f t="shared" si="54"/>
        <v>31</v>
      </c>
      <c r="AI94" s="138">
        <f t="shared" si="69"/>
        <v>2206</v>
      </c>
      <c r="AJ94" s="138">
        <f t="shared" si="70"/>
        <v>2223</v>
      </c>
      <c r="AL94" s="136">
        <f t="shared" si="19"/>
        <v>3.9144999999999999</v>
      </c>
      <c r="AM94" s="258">
        <f t="shared" si="20"/>
        <v>0.35499999999999998</v>
      </c>
      <c r="AN94" s="258">
        <f t="shared" si="21"/>
        <v>0</v>
      </c>
      <c r="AO94" s="258">
        <f t="shared" si="22"/>
        <v>0.35499999999999998</v>
      </c>
      <c r="AP94" s="258">
        <f t="shared" si="23"/>
        <v>0</v>
      </c>
      <c r="AQ94" s="136">
        <f t="shared" si="71"/>
        <v>0</v>
      </c>
      <c r="AR94" s="137">
        <f t="shared" si="24"/>
        <v>0</v>
      </c>
      <c r="AS94" s="136">
        <f t="shared" si="72"/>
        <v>4.2694999999999999</v>
      </c>
      <c r="AT94" s="137">
        <f t="shared" si="73"/>
        <v>5.60215286416526E-2</v>
      </c>
      <c r="AU94" s="137">
        <f t="shared" si="25"/>
        <v>0.71475257497318989</v>
      </c>
      <c r="AV94" s="394">
        <f t="shared" si="74"/>
        <v>0</v>
      </c>
      <c r="AW94" s="137">
        <f t="shared" si="26"/>
        <v>0.24</v>
      </c>
      <c r="AX94" s="137">
        <f t="shared" si="27"/>
        <v>1.1000000000000001</v>
      </c>
      <c r="AY94" s="137">
        <f t="shared" si="28"/>
        <v>1.1000000000000001</v>
      </c>
      <c r="AZ94" s="137"/>
      <c r="BA94" s="264"/>
      <c r="BB94" s="258">
        <f t="shared" si="29"/>
        <v>0</v>
      </c>
      <c r="BC94" s="258">
        <f t="shared" si="75"/>
        <v>0</v>
      </c>
      <c r="BD94" s="137">
        <f t="shared" si="76"/>
        <v>2.1163092725207111E-5</v>
      </c>
      <c r="BE94" s="137">
        <f t="shared" si="77"/>
        <v>2.1163092725207111E-5</v>
      </c>
      <c r="BF94" s="137">
        <f>_xll.xSPRDOPT($BW94,$BV94,$CG94,0,$BY94,$BX94,$BZ94,$AJ94,1,4)*$CB94</f>
        <v>2.0835507269683728</v>
      </c>
      <c r="BG94" s="137">
        <f>_xll.xSPRDOPT($BW94,$BV94,$CG94,0,$BY94,$BX94,$BZ94,$AJ94,1,3)*$CB94</f>
        <v>2.0835506867945353</v>
      </c>
      <c r="BH94" s="137">
        <f>IF(OR(BF94&lt;&gt;0,BG94&lt;&gt;0),_xll.xSPRDOPT($BW94,$BV94,$CG94,0,$BY94,$BX94,$BZ94,$AJ94,1,12)*$CB94,0)</f>
        <v>-2.0835580772439335</v>
      </c>
      <c r="BI94" s="137">
        <f>_xll.xSPRDOPT($BW94,$BV94,$CG94,2*LN(1+CA94/2),$BY94,$BX94,$BZ94,$AJ94,1,9)</f>
        <v>-1.048380288060217E-3</v>
      </c>
      <c r="BJ94" s="137">
        <f>_xll.xSPRDOPT($BW94,$BV94,$CG94,0,$BY94,$BX94,$BZ94,$AJ94,1,6)*$CB94</f>
        <v>7.5853157943203062E-2</v>
      </c>
      <c r="BK94" s="137">
        <f>_xll.xSPRDOPT($BW94,$BV94,$CG94,0,$BY94,$BX94,$BZ94,$AJ94,1,5)*$CB94</f>
        <v>7.6296824413294162E-2</v>
      </c>
      <c r="BL94" s="137">
        <f>_xll.xSPRDOPT(BW94,BV94,CG94,0,BY94,BX94,BZ94,AJ94,1,2)*CB94</f>
        <v>-0.35264904193324159</v>
      </c>
      <c r="BM94" s="137">
        <f>_xll.xSPRDOPT(BW94,BV94,CG94,0,BY94,BX94,BZ94,AJ94,1,1)*CB94</f>
        <v>0.36177931399841862</v>
      </c>
      <c r="BN94" s="137">
        <f>IF(AH94&lt;&gt;0,_xll.xSPRDOPT($BW94,$BV94,$CG94,2*LN(1+CA94/2),$BY94,$BX94,$BZ94,$AJ94,1,8)+(AJ94/365.25)*CH94/AH94,0)</f>
        <v>-0.23725209402366029</v>
      </c>
      <c r="BO94" s="137">
        <f>_xll.xSPRDOPT($BW94,$BV94,$CG94,0,$BY94,$BX94,$BZ94,$AJ94,1,0)</f>
        <v>5.4563494201429932E-2</v>
      </c>
      <c r="BP94" s="137"/>
      <c r="BQ94" s="137"/>
      <c r="BR94" s="137"/>
      <c r="BS94" s="137"/>
      <c r="BV94" s="262">
        <v>4.2694999999999999</v>
      </c>
      <c r="BW94" s="136">
        <v>4.2694999999999999</v>
      </c>
      <c r="BX94" s="137">
        <v>0.25618305856655721</v>
      </c>
      <c r="BY94" s="137">
        <v>0.25618305856655721</v>
      </c>
      <c r="BZ94" s="137">
        <v>0.99871535288581526</v>
      </c>
      <c r="CA94" s="137">
        <v>5.60215286416526E-2</v>
      </c>
      <c r="CB94" s="137">
        <v>0.71442828723099994</v>
      </c>
      <c r="CC94" s="258">
        <v>0.35499999999999998</v>
      </c>
      <c r="CD94" s="258">
        <v>0</v>
      </c>
      <c r="CE94" s="258">
        <v>0.35499999999999998</v>
      </c>
      <c r="CF94" s="258">
        <v>0</v>
      </c>
      <c r="CG94" s="258">
        <v>0</v>
      </c>
      <c r="CH94" s="258">
        <v>0</v>
      </c>
      <c r="CI94" s="258">
        <v>3.9144999999999999</v>
      </c>
      <c r="CJ94" s="258"/>
      <c r="CK94" s="258"/>
      <c r="CL94" s="258"/>
      <c r="CM94" s="258"/>
    </row>
    <row r="95" spans="1:91" x14ac:dyDescent="0.25">
      <c r="A95" s="723"/>
      <c r="B95" s="723"/>
      <c r="D95" s="31">
        <f t="shared" si="55"/>
        <v>39493</v>
      </c>
      <c r="F95" s="28">
        <f t="shared" si="56"/>
        <v>9189</v>
      </c>
      <c r="G95" s="28">
        <f t="shared" si="12"/>
        <v>6529.9271399817471</v>
      </c>
      <c r="H95" s="52">
        <f t="shared" si="57"/>
        <v>4.1844999999999999</v>
      </c>
      <c r="I95" s="52">
        <f t="shared" si="58"/>
        <v>4.1844999999999999</v>
      </c>
      <c r="K95" s="52">
        <f t="shared" si="59"/>
        <v>0</v>
      </c>
      <c r="L95" s="135">
        <f t="shared" si="60"/>
        <v>1.0661650209455029</v>
      </c>
      <c r="N95" s="131">
        <f t="shared" si="13"/>
        <v>0.25499339211914523</v>
      </c>
      <c r="O95" s="131">
        <f t="shared" si="14"/>
        <v>0.25499339211914523</v>
      </c>
      <c r="P95" s="55">
        <f t="shared" si="61"/>
        <v>0.99880153993068121</v>
      </c>
      <c r="Q95" s="135">
        <f>_xll.xSPRDOPT(I95,H95,AQ95,0,O95,N95,P95,D95-$G$5,1,0)*AH95*AU95</f>
        <v>1.0661650209455029</v>
      </c>
      <c r="R95" s="135"/>
      <c r="S95" s="181">
        <f t="shared" si="62"/>
        <v>-95397.685851629125</v>
      </c>
      <c r="T95" s="181">
        <f>_xll.xSPRDOPT(I95,H95,AQ95,AT95,O95,N95,P95,D95-$G$5,1,1)*AF95*F95*AH95</f>
        <v>95397.685851629125</v>
      </c>
      <c r="U95" s="135"/>
      <c r="V95" s="146">
        <f t="shared" si="63"/>
        <v>0</v>
      </c>
      <c r="W95" s="146"/>
      <c r="X95" s="338">
        <f t="shared" si="64"/>
        <v>0</v>
      </c>
      <c r="Y95" s="338">
        <f t="shared" si="15"/>
        <v>0</v>
      </c>
      <c r="Z95" s="338">
        <f t="shared" si="16"/>
        <v>-2.0579069529959324</v>
      </c>
      <c r="AA95" s="338">
        <f t="shared" si="17"/>
        <v>0.74368794423109286</v>
      </c>
      <c r="AB95" s="338">
        <f t="shared" si="65"/>
        <v>0</v>
      </c>
      <c r="AC95" s="338">
        <f t="shared" si="66"/>
        <v>4.520695057812226</v>
      </c>
      <c r="AF95" s="138">
        <f t="shared" si="67"/>
        <v>1</v>
      </c>
      <c r="AG95" s="138">
        <f t="shared" si="68"/>
        <v>2</v>
      </c>
      <c r="AH95" s="138">
        <f t="shared" si="54"/>
        <v>29</v>
      </c>
      <c r="AI95" s="138">
        <f t="shared" si="69"/>
        <v>2237</v>
      </c>
      <c r="AJ95" s="138">
        <f t="shared" si="70"/>
        <v>2254</v>
      </c>
      <c r="AL95" s="136">
        <f t="shared" si="19"/>
        <v>3.8294999999999999</v>
      </c>
      <c r="AM95" s="258">
        <f t="shared" si="20"/>
        <v>0.35499999999999998</v>
      </c>
      <c r="AN95" s="258">
        <f t="shared" si="21"/>
        <v>0</v>
      </c>
      <c r="AO95" s="258">
        <f t="shared" si="22"/>
        <v>0.35499999999999998</v>
      </c>
      <c r="AP95" s="258">
        <f t="shared" si="23"/>
        <v>0</v>
      </c>
      <c r="AQ95" s="136">
        <f t="shared" si="71"/>
        <v>0</v>
      </c>
      <c r="AR95" s="137">
        <f t="shared" si="24"/>
        <v>0</v>
      </c>
      <c r="AS95" s="136">
        <f t="shared" si="72"/>
        <v>4.1844999999999999</v>
      </c>
      <c r="AT95" s="137">
        <f t="shared" si="73"/>
        <v>5.62055448196963E-2</v>
      </c>
      <c r="AU95" s="137">
        <f t="shared" si="25"/>
        <v>0.7106243486757805</v>
      </c>
      <c r="AV95" s="394">
        <f t="shared" si="74"/>
        <v>0</v>
      </c>
      <c r="AW95" s="137">
        <f t="shared" si="26"/>
        <v>0.24</v>
      </c>
      <c r="AX95" s="137">
        <f t="shared" si="27"/>
        <v>1.1000000000000001</v>
      </c>
      <c r="AY95" s="137">
        <f t="shared" si="28"/>
        <v>1.1000000000000001</v>
      </c>
      <c r="AZ95" s="137"/>
      <c r="BA95" s="264"/>
      <c r="BB95" s="258">
        <f t="shared" si="29"/>
        <v>0</v>
      </c>
      <c r="BC95" s="258">
        <f t="shared" si="75"/>
        <v>0</v>
      </c>
      <c r="BD95" s="137">
        <f t="shared" si="76"/>
        <v>1.9365463018339302E-5</v>
      </c>
      <c r="BE95" s="137">
        <f t="shared" si="77"/>
        <v>1.9365463018339302E-5</v>
      </c>
      <c r="BF95" s="137">
        <f>_xll.xSPRDOPT($BW95,$BV95,$CG95,0,$BY95,$BX95,$BZ95,$AJ95,1,4)*$CB95</f>
        <v>2.1847832107233169</v>
      </c>
      <c r="BG95" s="137">
        <f>_xll.xSPRDOPT($BW95,$BV95,$CG95,0,$BY95,$BX95,$BZ95,$AJ95,1,3)*$CB95</f>
        <v>2.1847831696409434</v>
      </c>
      <c r="BH95" s="137">
        <f>IF(OR(BF95&lt;&gt;0,BG95&lt;&gt;0),_xll.xSPRDOPT($BW95,$BV95,$CG95,0,$BY95,$BX95,$BZ95,$AJ95,1,12)*$CB95,0)</f>
        <v>-2.1847910844158323</v>
      </c>
      <c r="BI95" s="137">
        <f>_xll.xSPRDOPT($BW95,$BV95,$CG95,2*LN(1+CA95/2),$BY95,$BX95,$BZ95,$AJ95,1,9)</f>
        <v>-9.4021776984946296E-4</v>
      </c>
      <c r="BJ95" s="137">
        <f>_xll.xSPRDOPT($BW95,$BV95,$CG95,0,$BY95,$BX95,$BZ95,$AJ95,1,6)*$CB95</f>
        <v>7.1834644282191398E-2</v>
      </c>
      <c r="BK95" s="137">
        <f>_xll.xSPRDOPT($BW95,$BV95,$CG95,0,$BY95,$BX95,$BZ95,$AJ95,1,5)*$CB95</f>
        <v>7.2276181461142966E-2</v>
      </c>
      <c r="BL95" s="137">
        <f>_xll.xSPRDOPT(BW95,BV95,CG95,0,BY95,BX95,BZ95,AJ95,1,2)*CB95</f>
        <v>-0.35075956291735455</v>
      </c>
      <c r="BM95" s="137">
        <f>_xll.xSPRDOPT(BW95,BV95,CG95,0,BY95,BX95,BZ95,AJ95,1,1)*CB95</f>
        <v>0.35954139481646608</v>
      </c>
      <c r="BN95" s="137">
        <f>IF(AH95&lt;&gt;0,_xll.xSPRDOPT($BW95,$BV95,$CG95,2*LN(1+CA95/2),$BY95,$BX95,$BZ95,$AJ95,1,8)+(AJ95/365.25)*CH95/AH95,0)</f>
        <v>-0.22677358118141583</v>
      </c>
      <c r="BO95" s="137">
        <f>_xll.xSPRDOPT($BW95,$BV95,$CG95,0,$BY95,$BX95,$BZ95,$AJ95,1,0)</f>
        <v>5.1735233398290642E-2</v>
      </c>
      <c r="BP95" s="137"/>
      <c r="BQ95" s="137"/>
      <c r="BR95" s="137"/>
      <c r="BS95" s="137"/>
      <c r="BV95" s="262">
        <v>4.1844999999999999</v>
      </c>
      <c r="BW95" s="136">
        <v>4.1844999999999999</v>
      </c>
      <c r="BX95" s="137">
        <v>0.2549740266561269</v>
      </c>
      <c r="BY95" s="137">
        <v>0.2549740266561269</v>
      </c>
      <c r="BZ95" s="137">
        <v>0.99880295287543741</v>
      </c>
      <c r="CA95" s="137">
        <v>5.62055448196963E-2</v>
      </c>
      <c r="CB95" s="137">
        <v>0.71030088966628813</v>
      </c>
      <c r="CC95" s="258">
        <v>0.35499999999999998</v>
      </c>
      <c r="CD95" s="258">
        <v>0</v>
      </c>
      <c r="CE95" s="258">
        <v>0.35499999999999998</v>
      </c>
      <c r="CF95" s="258">
        <v>0</v>
      </c>
      <c r="CG95" s="258">
        <v>0</v>
      </c>
      <c r="CH95" s="258">
        <v>0</v>
      </c>
      <c r="CI95" s="258">
        <v>3.8294999999999999</v>
      </c>
      <c r="CJ95" s="258"/>
      <c r="CK95" s="258"/>
      <c r="CL95" s="258"/>
      <c r="CM95" s="258"/>
    </row>
    <row r="96" spans="1:91" x14ac:dyDescent="0.25">
      <c r="A96" s="723"/>
      <c r="B96" s="723"/>
      <c r="D96" s="31">
        <f t="shared" si="55"/>
        <v>39522</v>
      </c>
      <c r="F96" s="28">
        <f t="shared" si="56"/>
        <v>9189</v>
      </c>
      <c r="G96" s="28">
        <f t="shared" si="12"/>
        <v>6494.4605618034493</v>
      </c>
      <c r="H96" s="52">
        <f t="shared" si="57"/>
        <v>4.0545</v>
      </c>
      <c r="I96" s="52">
        <f t="shared" si="58"/>
        <v>4.0545</v>
      </c>
      <c r="K96" s="52">
        <f t="shared" si="59"/>
        <v>0</v>
      </c>
      <c r="L96" s="135">
        <f t="shared" si="60"/>
        <v>0.62471313030446474</v>
      </c>
      <c r="N96" s="131">
        <f t="shared" si="13"/>
        <v>0.24222161904514466</v>
      </c>
      <c r="O96" s="131">
        <f t="shared" si="14"/>
        <v>0.24222161904514466</v>
      </c>
      <c r="P96" s="55">
        <f t="shared" si="61"/>
        <v>0.99934865970509179</v>
      </c>
      <c r="Q96" s="135">
        <f>_xll.xSPRDOPT(I96,H96,AQ96,0,O96,N96,P96,D96-$G$5,1,0)*AH96*AU96</f>
        <v>0.62471313030446474</v>
      </c>
      <c r="R96" s="135"/>
      <c r="S96" s="181">
        <f t="shared" si="62"/>
        <v>-100879.69208092274</v>
      </c>
      <c r="T96" s="181">
        <f>_xll.xSPRDOPT(I96,H96,AQ96,AT96,O96,N96,P96,D96-$G$5,1,1)*AF96*F96*AH96</f>
        <v>100879.69208092274</v>
      </c>
      <c r="U96" s="135"/>
      <c r="V96" s="146">
        <f t="shared" si="63"/>
        <v>0</v>
      </c>
      <c r="W96" s="146"/>
      <c r="X96" s="338">
        <f t="shared" si="64"/>
        <v>0</v>
      </c>
      <c r="Y96" s="338">
        <f t="shared" si="15"/>
        <v>0</v>
      </c>
      <c r="Z96" s="338">
        <f t="shared" si="16"/>
        <v>-1.4244240668312447</v>
      </c>
      <c r="AA96" s="338">
        <f t="shared" si="17"/>
        <v>0.2742114675851583</v>
      </c>
      <c r="AB96" s="338">
        <f t="shared" si="65"/>
        <v>0</v>
      </c>
      <c r="AC96" s="338">
        <f t="shared" si="66"/>
        <v>2.655341846545455</v>
      </c>
      <c r="AF96" s="138">
        <f t="shared" si="67"/>
        <v>1</v>
      </c>
      <c r="AG96" s="138">
        <f t="shared" si="68"/>
        <v>3</v>
      </c>
      <c r="AH96" s="138">
        <f t="shared" si="54"/>
        <v>31</v>
      </c>
      <c r="AI96" s="138">
        <f t="shared" si="69"/>
        <v>2266</v>
      </c>
      <c r="AJ96" s="138">
        <f t="shared" si="70"/>
        <v>2283</v>
      </c>
      <c r="AL96" s="136">
        <f t="shared" si="19"/>
        <v>3.6995</v>
      </c>
      <c r="AM96" s="258">
        <f t="shared" si="20"/>
        <v>0.35499999999999998</v>
      </c>
      <c r="AN96" s="258">
        <f t="shared" si="21"/>
        <v>0</v>
      </c>
      <c r="AO96" s="258">
        <f t="shared" si="22"/>
        <v>0.35499999999999998</v>
      </c>
      <c r="AP96" s="258">
        <f t="shared" si="23"/>
        <v>0</v>
      </c>
      <c r="AQ96" s="136">
        <f t="shared" si="71"/>
        <v>0</v>
      </c>
      <c r="AR96" s="137">
        <f t="shared" si="24"/>
        <v>0</v>
      </c>
      <c r="AS96" s="136">
        <f t="shared" si="72"/>
        <v>4.0545</v>
      </c>
      <c r="AT96" s="137">
        <f t="shared" si="73"/>
        <v>5.6377688996458002E-2</v>
      </c>
      <c r="AU96" s="137">
        <f t="shared" si="25"/>
        <v>0.70676467099830764</v>
      </c>
      <c r="AV96" s="394">
        <f t="shared" si="74"/>
        <v>0</v>
      </c>
      <c r="AW96" s="137">
        <f t="shared" si="26"/>
        <v>0.23499999999999999</v>
      </c>
      <c r="AX96" s="137">
        <f t="shared" si="27"/>
        <v>0.75</v>
      </c>
      <c r="AY96" s="137">
        <f t="shared" si="28"/>
        <v>0.75</v>
      </c>
      <c r="AZ96" s="137"/>
      <c r="BA96" s="264"/>
      <c r="BB96" s="258">
        <f t="shared" si="29"/>
        <v>0</v>
      </c>
      <c r="BC96" s="258">
        <f t="shared" si="75"/>
        <v>0</v>
      </c>
      <c r="BD96" s="137">
        <f t="shared" si="76"/>
        <v>9.3422235172835322E-6</v>
      </c>
      <c r="BE96" s="137">
        <f t="shared" si="77"/>
        <v>9.3422235172835322E-6</v>
      </c>
      <c r="BF96" s="137">
        <f>_xll.xSPRDOPT($BW96,$BV96,$CG96,0,$BY96,$BX96,$BZ96,$AJ96,1,4)*$CB96</f>
        <v>8091.3246338961708</v>
      </c>
      <c r="BG96" s="137">
        <f>_xll.xSPRDOPT($BW96,$BV96,$CG96,0,$BY96,$BX96,$BZ96,$AJ96,1,3)*$CB96</f>
        <v>8091.3246337597993</v>
      </c>
      <c r="BH96" s="137">
        <f>IF(OR(BF96&lt;&gt;0,BG96&lt;&gt;0),_xll.xSPRDOPT($BW96,$BV96,$CG96,0,$BY96,$BX96,$BZ96,$AJ96,1,12)*$CB96,0)</f>
        <v>-8091.3246401876213</v>
      </c>
      <c r="BI96" s="137">
        <f>_xll.xSPRDOPT($BW96,$BV96,$CG96,2*LN(1+CA96/2),$BY96,$BX96,$BZ96,$AJ96,1,9)</f>
        <v>-6.0880516373610825E-4</v>
      </c>
      <c r="BJ96" s="137">
        <f>_xll.xSPRDOPT($BW96,$BV96,$CG96,0,$BY96,$BX96,$BZ96,$AJ96,1,6)*$CB96</f>
        <v>5.127550820636468E-2</v>
      </c>
      <c r="BK96" s="137">
        <f>_xll.xSPRDOPT($BW96,$BV96,$CG96,0,$BY96,$BX96,$BZ96,$AJ96,1,5)*$CB96</f>
        <v>5.1764388340752067E-2</v>
      </c>
      <c r="BL96" s="137">
        <f>_xll.xSPRDOPT(BW96,BV96,CG96,0,BY96,BX96,BZ96,AJ96,1,2)*CB96</f>
        <v>-0.35073855836401524</v>
      </c>
      <c r="BM96" s="137">
        <f>_xll.xSPRDOPT(BW96,BV96,CG96,0,BY96,BX96,BZ96,AJ96,1,1)*CB96</f>
        <v>0.35570350758707853</v>
      </c>
      <c r="BN96" s="137">
        <f>IF(AH96&lt;&gt;0,_xll.xSPRDOPT($BW96,$BV96,$CG96,2*LN(1+CA96/2),$BY96,$BX96,$BZ96,$AJ96,1,8)+(AJ96/365.25)*CH96/AH96,0)</f>
        <v>-0.15600456753061231</v>
      </c>
      <c r="BO96" s="137">
        <f>_xll.xSPRDOPT($BW96,$BV96,$CG96,0,$BY96,$BX96,$BZ96,$AJ96,1,0)</f>
        <v>2.8495460842319284E-2</v>
      </c>
      <c r="BP96" s="137"/>
      <c r="BQ96" s="137"/>
      <c r="BR96" s="137"/>
      <c r="BS96" s="137"/>
      <c r="BV96" s="262">
        <v>4.0545</v>
      </c>
      <c r="BW96" s="136">
        <v>4.0545</v>
      </c>
      <c r="BX96" s="137">
        <v>0.24221227682162738</v>
      </c>
      <c r="BY96" s="137">
        <v>0.24221227682162738</v>
      </c>
      <c r="BZ96" s="137">
        <v>0.99934946486373433</v>
      </c>
      <c r="CA96" s="137">
        <v>5.6377688996458002E-2</v>
      </c>
      <c r="CB96" s="137">
        <v>0.70644199731475499</v>
      </c>
      <c r="CC96" s="258">
        <v>0.35499999999999998</v>
      </c>
      <c r="CD96" s="258">
        <v>0</v>
      </c>
      <c r="CE96" s="258">
        <v>0.35499999999999998</v>
      </c>
      <c r="CF96" s="258">
        <v>0</v>
      </c>
      <c r="CG96" s="258">
        <v>0</v>
      </c>
      <c r="CH96" s="258">
        <v>0</v>
      </c>
      <c r="CI96" s="258">
        <v>3.6995</v>
      </c>
      <c r="CJ96" s="258"/>
      <c r="CK96" s="258"/>
      <c r="CL96" s="258"/>
      <c r="CM96" s="258"/>
    </row>
    <row r="97" spans="1:91" x14ac:dyDescent="0.25">
      <c r="A97" s="723"/>
      <c r="B97" s="723"/>
      <c r="D97" s="31">
        <f t="shared" si="55"/>
        <v>39553</v>
      </c>
      <c r="F97" s="28">
        <f t="shared" si="56"/>
        <v>0</v>
      </c>
      <c r="G97" s="28">
        <f t="shared" si="12"/>
        <v>0</v>
      </c>
      <c r="H97" s="52">
        <f t="shared" si="57"/>
        <v>3.6694999999999998</v>
      </c>
      <c r="I97" s="52">
        <f t="shared" si="58"/>
        <v>3.7044999999999999</v>
      </c>
      <c r="K97" s="52">
        <f t="shared" si="59"/>
        <v>0</v>
      </c>
      <c r="L97" s="135">
        <f t="shared" si="60"/>
        <v>0</v>
      </c>
      <c r="N97" s="131">
        <f t="shared" si="13"/>
        <v>0.23</v>
      </c>
      <c r="O97" s="131">
        <f t="shared" si="14"/>
        <v>0.23</v>
      </c>
      <c r="P97" s="55">
        <f t="shared" si="61"/>
        <v>0</v>
      </c>
      <c r="Q97" s="135">
        <f>_xll.xSPRDOPT(I97,H97,AQ97,0,O97,N97,P97,D97-$G$5,1,0)*AH97*AU97</f>
        <v>0</v>
      </c>
      <c r="R97" s="135"/>
      <c r="S97" s="181">
        <f t="shared" si="62"/>
        <v>0</v>
      </c>
      <c r="T97" s="181">
        <f>_xll.xSPRDOPT(I97,H97,AQ97,AT97,O97,N97,P97,D97-$G$5,1,1)*AF97*F97*AH97</f>
        <v>0</v>
      </c>
      <c r="U97" s="135"/>
      <c r="V97" s="146">
        <f t="shared" si="63"/>
        <v>0</v>
      </c>
      <c r="W97" s="146"/>
      <c r="X97" s="338">
        <f t="shared" si="64"/>
        <v>0</v>
      </c>
      <c r="Y97" s="338">
        <f t="shared" si="15"/>
        <v>0</v>
      </c>
      <c r="Z97" s="338">
        <f t="shared" si="16"/>
        <v>0</v>
      </c>
      <c r="AA97" s="338">
        <f t="shared" si="17"/>
        <v>0</v>
      </c>
      <c r="AB97" s="338">
        <f t="shared" si="65"/>
        <v>0</v>
      </c>
      <c r="AC97" s="338">
        <f t="shared" si="66"/>
        <v>0</v>
      </c>
      <c r="AF97" s="138">
        <f t="shared" si="67"/>
        <v>0</v>
      </c>
      <c r="AG97" s="138">
        <f t="shared" si="68"/>
        <v>4</v>
      </c>
      <c r="AH97" s="138">
        <f t="shared" si="54"/>
        <v>0</v>
      </c>
      <c r="AI97" s="138">
        <f t="shared" si="69"/>
        <v>2297</v>
      </c>
      <c r="AJ97" s="138">
        <f t="shared" si="70"/>
        <v>2314</v>
      </c>
      <c r="AL97" s="136">
        <f t="shared" si="19"/>
        <v>3.5145</v>
      </c>
      <c r="AM97" s="258">
        <f t="shared" si="20"/>
        <v>0.155</v>
      </c>
      <c r="AN97" s="258">
        <f t="shared" si="21"/>
        <v>0</v>
      </c>
      <c r="AO97" s="258">
        <f t="shared" si="22"/>
        <v>0.19</v>
      </c>
      <c r="AP97" s="258">
        <f t="shared" si="23"/>
        <v>0</v>
      </c>
      <c r="AQ97" s="136">
        <f t="shared" si="71"/>
        <v>0</v>
      </c>
      <c r="AR97" s="137">
        <f t="shared" si="24"/>
        <v>0</v>
      </c>
      <c r="AS97" s="136">
        <f t="shared" si="72"/>
        <v>3.6694999999999998</v>
      </c>
      <c r="AT97" s="137">
        <f t="shared" si="73"/>
        <v>5.6561705196317202E-2</v>
      </c>
      <c r="AU97" s="137">
        <f t="shared" si="25"/>
        <v>0</v>
      </c>
      <c r="AV97" s="394">
        <f t="shared" si="74"/>
        <v>0</v>
      </c>
      <c r="AW97" s="137">
        <f t="shared" si="26"/>
        <v>0.23</v>
      </c>
      <c r="AX97" s="137">
        <f t="shared" si="27"/>
        <v>0.45</v>
      </c>
      <c r="AY97" s="137">
        <f t="shared" si="28"/>
        <v>0.45</v>
      </c>
      <c r="AZ97" s="137"/>
      <c r="BA97" s="264"/>
      <c r="BB97" s="258">
        <f t="shared" si="29"/>
        <v>0</v>
      </c>
      <c r="BC97" s="258">
        <f t="shared" si="75"/>
        <v>0</v>
      </c>
      <c r="BD97" s="137">
        <f t="shared" si="76"/>
        <v>0</v>
      </c>
      <c r="BE97" s="137">
        <f t="shared" si="77"/>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-1.4802270232929467E-2</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1.1890095552268567</v>
      </c>
      <c r="BP97" s="137"/>
      <c r="BQ97" s="137"/>
      <c r="BR97" s="137"/>
      <c r="BS97" s="137"/>
      <c r="BV97" s="262">
        <v>3.6694999999999998</v>
      </c>
      <c r="BW97" s="136">
        <v>3.7044999999999999</v>
      </c>
      <c r="BX97" s="137">
        <v>0.23</v>
      </c>
      <c r="BY97" s="137">
        <v>0.23</v>
      </c>
      <c r="BZ97" s="137">
        <v>0</v>
      </c>
      <c r="CA97" s="137">
        <v>5.6561705196317202E-2</v>
      </c>
      <c r="CB97" s="137">
        <v>0</v>
      </c>
      <c r="CC97" s="258">
        <v>0.155</v>
      </c>
      <c r="CD97" s="258">
        <v>0</v>
      </c>
      <c r="CE97" s="258">
        <v>0.19</v>
      </c>
      <c r="CF97" s="258">
        <v>0</v>
      </c>
      <c r="CG97" s="258">
        <v>0</v>
      </c>
      <c r="CH97" s="258">
        <v>0</v>
      </c>
      <c r="CI97" s="258">
        <v>3.5145</v>
      </c>
      <c r="CJ97" s="258"/>
      <c r="CK97" s="258"/>
      <c r="CL97" s="258"/>
      <c r="CM97" s="258"/>
    </row>
    <row r="98" spans="1:91" x14ac:dyDescent="0.25">
      <c r="A98" s="723"/>
      <c r="B98" s="723"/>
      <c r="D98" s="31">
        <f t="shared" si="55"/>
        <v>39553</v>
      </c>
      <c r="F98" s="28">
        <f t="shared" si="56"/>
        <v>0</v>
      </c>
      <c r="G98" s="28">
        <f t="shared" si="12"/>
        <v>0</v>
      </c>
      <c r="H98" s="52">
        <f t="shared" si="57"/>
        <v>3.6694999999999998</v>
      </c>
      <c r="I98" s="52">
        <f t="shared" si="58"/>
        <v>3.7044999999999999</v>
      </c>
      <c r="K98" s="52">
        <f t="shared" si="59"/>
        <v>0</v>
      </c>
      <c r="L98" s="135">
        <f t="shared" si="60"/>
        <v>0</v>
      </c>
      <c r="N98" s="131">
        <f t="shared" si="13"/>
        <v>0.23</v>
      </c>
      <c r="O98" s="131">
        <f t="shared" si="14"/>
        <v>0.23</v>
      </c>
      <c r="P98" s="55">
        <f t="shared" si="61"/>
        <v>0</v>
      </c>
      <c r="Q98" s="135">
        <f>_xll.xSPRDOPT(I98,H98,AQ98,0,O98,N98,P98,D98-$G$5,1,0)*AH98*AU98</f>
        <v>0</v>
      </c>
      <c r="R98" s="135"/>
      <c r="S98" s="181">
        <f t="shared" si="62"/>
        <v>0</v>
      </c>
      <c r="T98" s="181">
        <f>_xll.xSPRDOPT(I98,H98,AQ98,AT98,O98,N98,P98,D98-$G$5,1,1)*AF98*F98*AH98</f>
        <v>0</v>
      </c>
      <c r="U98" s="135"/>
      <c r="V98" s="146">
        <f t="shared" si="63"/>
        <v>0</v>
      </c>
      <c r="W98" s="146"/>
      <c r="X98" s="338">
        <f t="shared" si="64"/>
        <v>0</v>
      </c>
      <c r="Y98" s="338">
        <f t="shared" si="15"/>
        <v>0</v>
      </c>
      <c r="Z98" s="338">
        <f t="shared" si="16"/>
        <v>0</v>
      </c>
      <c r="AA98" s="338">
        <f t="shared" si="17"/>
        <v>0</v>
      </c>
      <c r="AB98" s="338">
        <f t="shared" si="65"/>
        <v>0</v>
      </c>
      <c r="AC98" s="338">
        <f t="shared" si="66"/>
        <v>0</v>
      </c>
      <c r="AF98" s="138">
        <f t="shared" si="67"/>
        <v>0</v>
      </c>
      <c r="AG98" s="138">
        <f t="shared" si="68"/>
        <v>4</v>
      </c>
      <c r="AH98" s="138">
        <f t="shared" si="54"/>
        <v>0</v>
      </c>
      <c r="AI98" s="138">
        <f t="shared" si="69"/>
        <v>2297</v>
      </c>
      <c r="AJ98" s="138">
        <f t="shared" si="70"/>
        <v>2314</v>
      </c>
      <c r="AL98" s="136">
        <f t="shared" si="19"/>
        <v>3.5145</v>
      </c>
      <c r="AM98" s="258">
        <f t="shared" si="20"/>
        <v>0.155</v>
      </c>
      <c r="AN98" s="258">
        <f t="shared" si="21"/>
        <v>0</v>
      </c>
      <c r="AO98" s="258">
        <f t="shared" si="22"/>
        <v>0.19</v>
      </c>
      <c r="AP98" s="258">
        <f t="shared" si="23"/>
        <v>0</v>
      </c>
      <c r="AQ98" s="136">
        <f t="shared" si="71"/>
        <v>0</v>
      </c>
      <c r="AR98" s="137">
        <f t="shared" si="24"/>
        <v>0</v>
      </c>
      <c r="AS98" s="136">
        <f t="shared" si="72"/>
        <v>3.6694999999999998</v>
      </c>
      <c r="AT98" s="137">
        <f t="shared" si="73"/>
        <v>5.6561705196317202E-2</v>
      </c>
      <c r="AU98" s="137">
        <f t="shared" si="25"/>
        <v>0</v>
      </c>
      <c r="AV98" s="394">
        <f t="shared" si="74"/>
        <v>0</v>
      </c>
      <c r="AW98" s="137">
        <f t="shared" si="26"/>
        <v>0.23</v>
      </c>
      <c r="AX98" s="137">
        <f t="shared" si="27"/>
        <v>0.45</v>
      </c>
      <c r="AY98" s="137">
        <f t="shared" si="28"/>
        <v>0.45</v>
      </c>
      <c r="AZ98" s="137"/>
      <c r="BA98" s="264"/>
      <c r="BB98" s="258">
        <f t="shared" si="29"/>
        <v>0</v>
      </c>
      <c r="BC98" s="258">
        <f t="shared" si="75"/>
        <v>0</v>
      </c>
      <c r="BD98" s="137">
        <f t="shared" si="76"/>
        <v>0</v>
      </c>
      <c r="BE98" s="137">
        <f t="shared" si="77"/>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-1.4802270232929467E-2</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1.1890095552268567</v>
      </c>
      <c r="BP98" s="137"/>
      <c r="BQ98" s="137"/>
      <c r="BR98" s="137"/>
      <c r="BS98" s="137"/>
      <c r="BV98" s="262">
        <v>3.6694999999999998</v>
      </c>
      <c r="BW98" s="136">
        <v>3.7044999999999999</v>
      </c>
      <c r="BX98" s="137">
        <v>0.23</v>
      </c>
      <c r="BY98" s="137">
        <v>0.23</v>
      </c>
      <c r="BZ98" s="137">
        <v>0</v>
      </c>
      <c r="CA98" s="137">
        <v>5.6561705196317202E-2</v>
      </c>
      <c r="CB98" s="137">
        <v>0</v>
      </c>
      <c r="CC98" s="258">
        <v>0.155</v>
      </c>
      <c r="CD98" s="258">
        <v>0</v>
      </c>
      <c r="CE98" s="258">
        <v>0.19</v>
      </c>
      <c r="CF98" s="258">
        <v>0</v>
      </c>
      <c r="CG98" s="258">
        <v>0</v>
      </c>
      <c r="CH98" s="258">
        <v>0</v>
      </c>
      <c r="CI98" s="258">
        <v>3.5145</v>
      </c>
      <c r="CJ98" s="258"/>
      <c r="CK98" s="258"/>
      <c r="CL98" s="258"/>
      <c r="CM98" s="258"/>
    </row>
    <row r="99" spans="1:91" x14ac:dyDescent="0.25">
      <c r="A99" s="723"/>
      <c r="B99" s="723"/>
      <c r="D99" s="31">
        <f t="shared" si="55"/>
        <v>39553</v>
      </c>
      <c r="F99" s="28">
        <f t="shared" si="56"/>
        <v>0</v>
      </c>
      <c r="G99" s="28">
        <f t="shared" si="12"/>
        <v>0</v>
      </c>
      <c r="H99" s="52">
        <f t="shared" si="57"/>
        <v>3.6694999999999998</v>
      </c>
      <c r="I99" s="52">
        <f t="shared" si="58"/>
        <v>3.7044999999999999</v>
      </c>
      <c r="K99" s="52">
        <f t="shared" si="59"/>
        <v>0</v>
      </c>
      <c r="L99" s="135">
        <f t="shared" si="60"/>
        <v>0</v>
      </c>
      <c r="N99" s="131">
        <f t="shared" si="13"/>
        <v>0.23</v>
      </c>
      <c r="O99" s="131">
        <f t="shared" si="14"/>
        <v>0.23</v>
      </c>
      <c r="P99" s="55">
        <f t="shared" si="61"/>
        <v>0</v>
      </c>
      <c r="Q99" s="135">
        <f>_xll.xSPRDOPT(I99,H99,AQ99,0,O99,N99,P99,D99-$G$5,1,0)*AH99*AU99</f>
        <v>0</v>
      </c>
      <c r="R99" s="135"/>
      <c r="S99" s="181">
        <f t="shared" si="62"/>
        <v>0</v>
      </c>
      <c r="T99" s="181">
        <f>_xll.xSPRDOPT(I99,H99,AQ99,AT99,O99,N99,P99,D99-$G$5,1,1)*AF99*F99*AH99</f>
        <v>0</v>
      </c>
      <c r="U99" s="135"/>
      <c r="V99" s="146">
        <f t="shared" si="63"/>
        <v>0</v>
      </c>
      <c r="W99" s="146"/>
      <c r="X99" s="338">
        <f t="shared" si="64"/>
        <v>0</v>
      </c>
      <c r="Y99" s="338">
        <f t="shared" si="15"/>
        <v>0</v>
      </c>
      <c r="Z99" s="338">
        <f t="shared" si="16"/>
        <v>0</v>
      </c>
      <c r="AA99" s="338">
        <f t="shared" si="17"/>
        <v>0</v>
      </c>
      <c r="AB99" s="338">
        <f t="shared" si="65"/>
        <v>0</v>
      </c>
      <c r="AC99" s="338">
        <f t="shared" si="66"/>
        <v>0</v>
      </c>
      <c r="AF99" s="138">
        <f t="shared" si="67"/>
        <v>0</v>
      </c>
      <c r="AG99" s="138">
        <f t="shared" si="68"/>
        <v>4</v>
      </c>
      <c r="AH99" s="138">
        <f t="shared" si="54"/>
        <v>0</v>
      </c>
      <c r="AI99" s="138">
        <f t="shared" si="69"/>
        <v>2297</v>
      </c>
      <c r="AJ99" s="138">
        <f t="shared" si="70"/>
        <v>2314</v>
      </c>
      <c r="AL99" s="136">
        <f t="shared" si="19"/>
        <v>3.5145</v>
      </c>
      <c r="AM99" s="258">
        <f t="shared" si="20"/>
        <v>0.155</v>
      </c>
      <c r="AN99" s="258">
        <f t="shared" si="21"/>
        <v>0</v>
      </c>
      <c r="AO99" s="258">
        <f t="shared" si="22"/>
        <v>0.19</v>
      </c>
      <c r="AP99" s="258">
        <f t="shared" si="23"/>
        <v>0</v>
      </c>
      <c r="AQ99" s="136">
        <f t="shared" si="71"/>
        <v>0</v>
      </c>
      <c r="AR99" s="137">
        <f t="shared" si="24"/>
        <v>0</v>
      </c>
      <c r="AS99" s="136">
        <f t="shared" si="72"/>
        <v>3.6694999999999998</v>
      </c>
      <c r="AT99" s="137">
        <f t="shared" si="73"/>
        <v>5.6561705196317202E-2</v>
      </c>
      <c r="AU99" s="137">
        <f t="shared" si="25"/>
        <v>0</v>
      </c>
      <c r="AV99" s="394">
        <f t="shared" si="74"/>
        <v>0</v>
      </c>
      <c r="AW99" s="137">
        <f t="shared" si="26"/>
        <v>0.23</v>
      </c>
      <c r="AX99" s="137">
        <f t="shared" si="27"/>
        <v>0.45</v>
      </c>
      <c r="AY99" s="137">
        <f t="shared" si="28"/>
        <v>0.45</v>
      </c>
      <c r="AZ99" s="137"/>
      <c r="BA99" s="264"/>
      <c r="BB99" s="258">
        <f t="shared" si="29"/>
        <v>0</v>
      </c>
      <c r="BC99" s="258">
        <f t="shared" si="75"/>
        <v>0</v>
      </c>
      <c r="BD99" s="137">
        <f t="shared" si="76"/>
        <v>0</v>
      </c>
      <c r="BE99" s="137">
        <f t="shared" si="77"/>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-1.4802270232929467E-2</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1.1890095552268567</v>
      </c>
      <c r="BP99" s="137"/>
      <c r="BQ99" s="137"/>
      <c r="BR99" s="137"/>
      <c r="BS99" s="137"/>
      <c r="BV99" s="262">
        <v>3.6694999999999998</v>
      </c>
      <c r="BW99" s="136">
        <v>3.7044999999999999</v>
      </c>
      <c r="BX99" s="137">
        <v>0.23</v>
      </c>
      <c r="BY99" s="137">
        <v>0.23</v>
      </c>
      <c r="BZ99" s="137">
        <v>0</v>
      </c>
      <c r="CA99" s="137">
        <v>5.6561705196317202E-2</v>
      </c>
      <c r="CB99" s="137">
        <v>0</v>
      </c>
      <c r="CC99" s="258">
        <v>0.155</v>
      </c>
      <c r="CD99" s="258">
        <v>0</v>
      </c>
      <c r="CE99" s="258">
        <v>0.19</v>
      </c>
      <c r="CF99" s="258">
        <v>0</v>
      </c>
      <c r="CG99" s="258">
        <v>0</v>
      </c>
      <c r="CH99" s="258">
        <v>0</v>
      </c>
      <c r="CI99" s="258">
        <v>3.5145</v>
      </c>
      <c r="CJ99" s="258"/>
      <c r="CK99" s="258"/>
      <c r="CL99" s="258"/>
      <c r="CM99" s="258"/>
    </row>
  </sheetData>
  <sheetCalcPr fullCalcOnLoad="1"/>
  <mergeCells count="103">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8:B28"/>
    <mergeCell ref="A29:B29"/>
    <mergeCell ref="A30:B30"/>
    <mergeCell ref="A31:B31"/>
    <mergeCell ref="L18:M18"/>
    <mergeCell ref="L19:M19"/>
    <mergeCell ref="A22:B22"/>
    <mergeCell ref="A23:B23"/>
    <mergeCell ref="A36:B36"/>
    <mergeCell ref="A37:B37"/>
    <mergeCell ref="A38:B38"/>
    <mergeCell ref="A39:B39"/>
    <mergeCell ref="A32:B32"/>
    <mergeCell ref="A33:B33"/>
    <mergeCell ref="A34:B34"/>
    <mergeCell ref="A35:B35"/>
    <mergeCell ref="A44:B44"/>
    <mergeCell ref="A45:B45"/>
    <mergeCell ref="A46:B46"/>
    <mergeCell ref="A47:B47"/>
    <mergeCell ref="A40:B40"/>
    <mergeCell ref="A41:B41"/>
    <mergeCell ref="A42:B42"/>
    <mergeCell ref="A43:B43"/>
    <mergeCell ref="A52:B52"/>
    <mergeCell ref="A53:B53"/>
    <mergeCell ref="A54:B54"/>
    <mergeCell ref="A55:B55"/>
    <mergeCell ref="A48:B48"/>
    <mergeCell ref="A49:B49"/>
    <mergeCell ref="A50:B50"/>
    <mergeCell ref="A51:B51"/>
    <mergeCell ref="A60:B60"/>
    <mergeCell ref="A61:B61"/>
    <mergeCell ref="A62:B62"/>
    <mergeCell ref="A63:B63"/>
    <mergeCell ref="A56:B56"/>
    <mergeCell ref="A57:B57"/>
    <mergeCell ref="A58:B58"/>
    <mergeCell ref="A59:B59"/>
    <mergeCell ref="A68:B68"/>
    <mergeCell ref="A69:B69"/>
    <mergeCell ref="A70:B70"/>
    <mergeCell ref="A71:B71"/>
    <mergeCell ref="A64:B64"/>
    <mergeCell ref="A65:B65"/>
    <mergeCell ref="A66:B66"/>
    <mergeCell ref="A67:B67"/>
    <mergeCell ref="A76:B76"/>
    <mergeCell ref="A77:B77"/>
    <mergeCell ref="A78:B78"/>
    <mergeCell ref="A79:B79"/>
    <mergeCell ref="A72:B72"/>
    <mergeCell ref="A73:B73"/>
    <mergeCell ref="A74:B74"/>
    <mergeCell ref="A75:B75"/>
    <mergeCell ref="A85:B85"/>
    <mergeCell ref="A86:B86"/>
    <mergeCell ref="A87:B87"/>
    <mergeCell ref="A80:B80"/>
    <mergeCell ref="A81:B81"/>
    <mergeCell ref="A82:B82"/>
    <mergeCell ref="A83:B83"/>
    <mergeCell ref="A97:B97"/>
    <mergeCell ref="A98:B98"/>
    <mergeCell ref="A99:B99"/>
    <mergeCell ref="A92:B92"/>
    <mergeCell ref="A93:B93"/>
    <mergeCell ref="A94:B94"/>
    <mergeCell ref="A95:B95"/>
    <mergeCell ref="A24:B24"/>
    <mergeCell ref="A25:B25"/>
    <mergeCell ref="A26:B26"/>
    <mergeCell ref="A96:B96"/>
    <mergeCell ref="A27:B27"/>
    <mergeCell ref="A88:B88"/>
    <mergeCell ref="A89:B89"/>
    <mergeCell ref="A90:B90"/>
    <mergeCell ref="A91:B91"/>
    <mergeCell ref="A84:B8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3619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3619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autoPageBreaks="0"/>
  </sheetPr>
  <dimension ref="A1:CX36"/>
  <sheetViews>
    <sheetView zoomScale="80" workbookViewId="0">
      <pane xSplit="5" ySplit="21" topLeftCell="BF22" activePane="bottomRight" state="frozen"/>
      <selection activeCell="T23" sqref="T23"/>
      <selection pane="topRight" activeCell="T23" sqref="T23"/>
      <selection pane="bottomLeft" activeCell="T23" sqref="T23"/>
      <selection pane="bottomRight" activeCell="CI21" sqref="CI21:CI31"/>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LongTerm72</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72</v>
      </c>
      <c r="F2" s="178" t="str">
        <f>GetRcptPoint($AH$12,$AH$13)</f>
        <v>MidCon</v>
      </c>
      <c r="G2" s="179" t="str">
        <f>GetDelPoint($AH$12,$AH$13)</f>
        <v>Permian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42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5">
      <c r="A4" s="269" t="str">
        <f>ADDRESS(ROW($S$22),COLUMN($S$22))</f>
        <v>$S$22</v>
      </c>
      <c r="L4" s="721" t="s">
        <v>201</v>
      </c>
      <c r="M4" s="722"/>
      <c r="N4" s="352">
        <f ca="1">SUMPRODUCT(INDIRECT(CONCATENATE(AV4,":",AW4)),INDIRECT(CONCATENATE($AV$2,":",$AW$2)),INDIRECT(CONCATENATE($AV$3,":",$AW$3)))</f>
        <v>13019.661355288339</v>
      </c>
      <c r="O4" s="352">
        <v>13486.38</v>
      </c>
      <c r="P4" s="354">
        <f ca="1">N4-O4</f>
        <v>-466.71864471166009</v>
      </c>
      <c r="S4" s="427" t="s">
        <v>635</v>
      </c>
      <c r="T4" s="422">
        <f ca="1">SUMPRODUCT(INDIRECT(CONCATENATE(V4,":",W4)),INDIRECT(CONCATENATE(AV2,":",AW2)),INDIRECT(CONCATENATE(AV3,":",AW3)))</f>
        <v>0</v>
      </c>
      <c r="V4" s="30" t="str">
        <f>ADDRESS(ROW(K22),COLUMN(K22))</f>
        <v>$K$22</v>
      </c>
      <c r="W4" s="30" t="str">
        <f ca="1">GetEnd($AV$1,V4)</f>
        <v>$K$31</v>
      </c>
      <c r="AF4" s="28"/>
      <c r="AG4" s="103" t="s">
        <v>32</v>
      </c>
      <c r="AH4" s="104">
        <f>GetRcptIndexCol($AH$12,$AH$13)</f>
        <v>43</v>
      </c>
      <c r="AI4" s="29"/>
      <c r="AJ4" s="103" t="s">
        <v>72</v>
      </c>
      <c r="AK4" s="104">
        <f>GetNymexCol(AK3)</f>
        <v>3</v>
      </c>
      <c r="AL4" s="34">
        <v>1</v>
      </c>
      <c r="AM4" s="45">
        <f t="shared" ref="AM4:AM15" si="0">GetVolume($AH$12,$AH$13,AT4)</f>
        <v>10000</v>
      </c>
      <c r="AN4" s="46">
        <f t="shared" ref="AN4:AN15" si="1">GetCommodity($AH$12,$AH$13,AT4)</f>
        <v>1.11E-2</v>
      </c>
      <c r="AO4" s="47">
        <f t="shared" ref="AO4:AO15" si="2">GetFuelRate($AH$12,$AH$13,AT4)</f>
        <v>2.12E-2</v>
      </c>
      <c r="AP4" s="46">
        <f t="shared" ref="AP4:AP15" si="3">GetSurcharge($AH$12,$AH$13,$AT4)</f>
        <v>0</v>
      </c>
      <c r="AQ4" s="46">
        <f t="shared" ref="AQ4:AQ15" si="4">GetRcptIndexAdj($AH$12,$AH$13,$AT4)</f>
        <v>0</v>
      </c>
      <c r="AR4" s="132">
        <f t="shared" ref="AR4:AR15" si="5">GetDelIndexAdj($AH$12,$AH$13,$AT4)</f>
        <v>0</v>
      </c>
      <c r="AS4" s="48">
        <f t="shared" ref="AS4:AS15" si="6">GetDemandRate($AH$12,$AH$13,$AT4)</f>
        <v>0.16</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143556.4884428654</v>
      </c>
      <c r="O5" s="352">
        <v>143534.06</v>
      </c>
      <c r="P5" s="355">
        <f ca="1">N5-O5</f>
        <v>22.428442865406396</v>
      </c>
      <c r="S5" s="428" t="s">
        <v>636</v>
      </c>
      <c r="T5" s="423">
        <f ca="1">SUMPRODUCT(INDIRECT(CONCATENATE(V5,":",W5)),INDIRECT(CONCATENATE(AV2,":",AW2)),INDIRECT(CONCATENATE(AV3,":",AW3)))</f>
        <v>13019.661355288339</v>
      </c>
      <c r="V5" s="30" t="str">
        <f>ADDRESS(ROW(L22),COLUMN(L22))</f>
        <v>$L$22</v>
      </c>
      <c r="W5" s="30" t="str">
        <f ca="1">GetEnd($AV$1,V5)</f>
        <v>$L$31</v>
      </c>
      <c r="AF5" s="28"/>
      <c r="AG5" s="103" t="s">
        <v>33</v>
      </c>
      <c r="AH5" s="104">
        <f>GetDelBasisCol($AH$12,$AH$13)</f>
        <v>52</v>
      </c>
      <c r="AI5" s="29"/>
      <c r="AJ5" s="103" t="s">
        <v>77</v>
      </c>
      <c r="AK5" s="104" t="str">
        <f>LiborCurve</f>
        <v>Libor AA</v>
      </c>
      <c r="AL5" s="34">
        <v>2</v>
      </c>
      <c r="AM5" s="37">
        <f t="shared" si="0"/>
        <v>10000</v>
      </c>
      <c r="AN5" s="38">
        <f t="shared" si="1"/>
        <v>1.11E-2</v>
      </c>
      <c r="AO5" s="39">
        <f t="shared" si="2"/>
        <v>2.12E-2</v>
      </c>
      <c r="AP5" s="38">
        <f t="shared" si="3"/>
        <v>0</v>
      </c>
      <c r="AQ5" s="38">
        <f t="shared" si="4"/>
        <v>0</v>
      </c>
      <c r="AR5" s="133">
        <f t="shared" si="5"/>
        <v>0</v>
      </c>
      <c r="AS5" s="40">
        <f t="shared" si="6"/>
        <v>0.16</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5">
      <c r="A6" s="269" t="str">
        <f>ADDRESS(ROW($BW$2),COLUMN($BW$2))</f>
        <v>$BW$2</v>
      </c>
      <c r="F6" s="187"/>
      <c r="G6" s="187"/>
      <c r="L6" s="704" t="s">
        <v>149</v>
      </c>
      <c r="M6" s="705"/>
      <c r="N6" s="356">
        <f ca="1">N4-N5</f>
        <v>-130536.82708757707</v>
      </c>
      <c r="O6" s="357">
        <v>-130047.67999999999</v>
      </c>
      <c r="P6" s="358">
        <f ca="1">N6-O6</f>
        <v>-489.14708757707558</v>
      </c>
      <c r="S6" s="428" t="s">
        <v>637</v>
      </c>
      <c r="T6" s="424">
        <f ca="1">SUMPRODUCT(INDIRECT(CONCATENATE(V6,":",W6)),INDIRECT(CONCATENATE(AV3,":",AW3)),INDIRECT(CONCATENATE(AX3,":",AY3)))</f>
        <v>897228.05276790878</v>
      </c>
      <c r="V6" s="30" t="str">
        <f>ADDRESS(ROW(G22),COLUMN(G22))</f>
        <v>$G$22</v>
      </c>
      <c r="W6" s="30" t="str">
        <f ca="1">GetEnd($AV$1,V6)</f>
        <v>$G$31</v>
      </c>
      <c r="AF6" s="28"/>
      <c r="AG6" s="103" t="s">
        <v>34</v>
      </c>
      <c r="AH6" s="104">
        <f>GetDelIndexCol($AH$12,$AH$13)</f>
        <v>53</v>
      </c>
      <c r="AI6" s="29"/>
      <c r="AJ6" s="103" t="s">
        <v>79</v>
      </c>
      <c r="AK6" s="104">
        <f>GetLiborCol(AK5)</f>
        <v>4</v>
      </c>
      <c r="AL6" s="34">
        <v>3</v>
      </c>
      <c r="AM6" s="37">
        <f t="shared" si="0"/>
        <v>10000</v>
      </c>
      <c r="AN6" s="38">
        <f t="shared" si="1"/>
        <v>1.11E-2</v>
      </c>
      <c r="AO6" s="39">
        <f t="shared" si="2"/>
        <v>2.12E-2</v>
      </c>
      <c r="AP6" s="38">
        <f t="shared" si="3"/>
        <v>0</v>
      </c>
      <c r="AQ6" s="38">
        <f t="shared" si="4"/>
        <v>0</v>
      </c>
      <c r="AR6" s="133">
        <f t="shared" si="5"/>
        <v>0</v>
      </c>
      <c r="AS6" s="40">
        <f t="shared" si="6"/>
        <v>0.16</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1660.84</v>
      </c>
      <c r="P7" s="355">
        <f ca="1">N7</f>
        <v>0</v>
      </c>
      <c r="S7" s="428" t="s">
        <v>638</v>
      </c>
      <c r="T7" s="425">
        <f ca="1">T5/T6</f>
        <v>1.4510983372759313E-2</v>
      </c>
      <c r="AF7" s="28"/>
      <c r="AG7" s="103" t="s">
        <v>76</v>
      </c>
      <c r="AH7" s="104">
        <f>GetRcptOmicronCol($AH$12,$AH$13)</f>
        <v>8</v>
      </c>
      <c r="AI7" s="29"/>
      <c r="AJ7" s="103" t="s">
        <v>80</v>
      </c>
      <c r="AK7" s="104" t="str">
        <f>Configuration!$D$8</f>
        <v>Nymex Vol</v>
      </c>
      <c r="AL7" s="34">
        <v>4</v>
      </c>
      <c r="AM7" s="37">
        <f t="shared" si="0"/>
        <v>10000</v>
      </c>
      <c r="AN7" s="38">
        <f t="shared" si="1"/>
        <v>1.11E-2</v>
      </c>
      <c r="AO7" s="39">
        <f t="shared" si="2"/>
        <v>2.12E-2</v>
      </c>
      <c r="AP7" s="38">
        <f t="shared" si="3"/>
        <v>0</v>
      </c>
      <c r="AQ7" s="38">
        <f t="shared" si="4"/>
        <v>0</v>
      </c>
      <c r="AR7" s="133">
        <f t="shared" si="5"/>
        <v>0</v>
      </c>
      <c r="AS7" s="40">
        <f t="shared" si="6"/>
        <v>0.16</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-19175.310000000001</v>
      </c>
      <c r="P8" s="355">
        <f ca="1">N8</f>
        <v>0</v>
      </c>
      <c r="S8" s="429" t="s">
        <v>639</v>
      </c>
      <c r="T8" s="426">
        <f ca="1">Y8/Z8</f>
        <v>0.98677484399553828</v>
      </c>
      <c r="V8" s="30" t="str">
        <f>ADDRESS(ROW(P22),COLUMN(P22))</f>
        <v>$P$22</v>
      </c>
      <c r="W8" s="30" t="str">
        <f ca="1">GetEnd($AV$1,V8)</f>
        <v>$P$31</v>
      </c>
      <c r="Y8" s="334">
        <f ca="1">SUMIF(INDIRECT(CONCATENATE(V8,":",W8)),"&gt;0",INDIRECT(CONCATENATE(V8,":",W8)))</f>
        <v>2.9603245319866147</v>
      </c>
      <c r="Z8" s="334">
        <f ca="1">COUNTIF(INDIRECT(CONCATENATE(V8,":",W8)),"&gt;0")</f>
        <v>3</v>
      </c>
      <c r="AF8" s="28"/>
      <c r="AG8" s="103" t="s">
        <v>75</v>
      </c>
      <c r="AH8" s="105">
        <f>GetDelOmicronCol($AH$12,$AH$13)</f>
        <v>9</v>
      </c>
      <c r="AI8" s="29"/>
      <c r="AJ8" s="103" t="s">
        <v>81</v>
      </c>
      <c r="AK8" s="104">
        <f>GetNGOmicronCol(AK7)</f>
        <v>5</v>
      </c>
      <c r="AL8" s="34">
        <v>5</v>
      </c>
      <c r="AM8" s="37">
        <f t="shared" si="0"/>
        <v>10000</v>
      </c>
      <c r="AN8" s="38">
        <f t="shared" si="1"/>
        <v>1.11E-2</v>
      </c>
      <c r="AO8" s="39">
        <f t="shared" si="2"/>
        <v>2.12E-2</v>
      </c>
      <c r="AP8" s="38">
        <f t="shared" si="3"/>
        <v>0</v>
      </c>
      <c r="AQ8" s="38">
        <f t="shared" si="4"/>
        <v>0</v>
      </c>
      <c r="AR8" s="133">
        <f t="shared" si="5"/>
        <v>0</v>
      </c>
      <c r="AS8" s="40">
        <f t="shared" si="6"/>
        <v>0.16</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66</v>
      </c>
      <c r="AL9" s="34">
        <v>6</v>
      </c>
      <c r="AM9" s="37">
        <f t="shared" si="0"/>
        <v>10000</v>
      </c>
      <c r="AN9" s="38">
        <f t="shared" si="1"/>
        <v>1.11E-2</v>
      </c>
      <c r="AO9" s="39">
        <f t="shared" si="2"/>
        <v>2.12E-2</v>
      </c>
      <c r="AP9" s="38">
        <f t="shared" si="3"/>
        <v>0</v>
      </c>
      <c r="AQ9" s="38">
        <f t="shared" si="4"/>
        <v>0</v>
      </c>
      <c r="AR9" s="133">
        <f t="shared" si="5"/>
        <v>0</v>
      </c>
      <c r="AS9" s="40">
        <f t="shared" si="6"/>
        <v>0.16</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-53402.324336072357</v>
      </c>
      <c r="O10" s="352">
        <v>-53393.98</v>
      </c>
      <c r="P10" s="355">
        <f t="shared" ref="P10:P19" ca="1" si="10">N10-O10</f>
        <v>-8.3443360723540536</v>
      </c>
      <c r="AF10" s="28"/>
      <c r="AG10" s="103" t="s">
        <v>142</v>
      </c>
      <c r="AH10" s="119" t="b">
        <f>GetGRIFactor($AH$12,$AH$13)</f>
        <v>0</v>
      </c>
      <c r="AI10" s="29"/>
      <c r="AJ10" s="29"/>
      <c r="AK10" s="29"/>
      <c r="AL10" s="34">
        <v>7</v>
      </c>
      <c r="AM10" s="37">
        <f t="shared" si="0"/>
        <v>10000</v>
      </c>
      <c r="AN10" s="38">
        <f t="shared" si="1"/>
        <v>1.11E-2</v>
      </c>
      <c r="AO10" s="39">
        <f t="shared" si="2"/>
        <v>2.12E-2</v>
      </c>
      <c r="AP10" s="38">
        <f t="shared" si="3"/>
        <v>0</v>
      </c>
      <c r="AQ10" s="38">
        <f t="shared" si="4"/>
        <v>0</v>
      </c>
      <c r="AR10" s="133">
        <f t="shared" si="5"/>
        <v>0</v>
      </c>
      <c r="AS10" s="40">
        <f t="shared" si="6"/>
        <v>0.16</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-9990</v>
      </c>
      <c r="O11" s="357">
        <v>-9990</v>
      </c>
      <c r="P11" s="358">
        <f t="shared" ca="1" si="10"/>
        <v>0</v>
      </c>
      <c r="AL11" s="34">
        <v>8</v>
      </c>
      <c r="AM11" s="37">
        <f t="shared" si="0"/>
        <v>10000</v>
      </c>
      <c r="AN11" s="38">
        <f t="shared" si="1"/>
        <v>1.11E-2</v>
      </c>
      <c r="AO11" s="39">
        <f t="shared" si="2"/>
        <v>2.12E-2</v>
      </c>
      <c r="AP11" s="38">
        <f t="shared" si="3"/>
        <v>0</v>
      </c>
      <c r="AQ11" s="38">
        <f t="shared" si="4"/>
        <v>0</v>
      </c>
      <c r="AR11" s="133">
        <f t="shared" si="5"/>
        <v>0</v>
      </c>
      <c r="AS11" s="40">
        <f t="shared" si="6"/>
        <v>0.16</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-3239.37</v>
      </c>
      <c r="P12" s="355">
        <f t="shared" ca="1" si="10"/>
        <v>3239.37</v>
      </c>
      <c r="AG12" s="248" t="s">
        <v>185</v>
      </c>
      <c r="AH12" s="119" t="str">
        <f>GetDBPage($D$2)</f>
        <v>Contract DB (Central)</v>
      </c>
      <c r="AL12" s="34">
        <v>9</v>
      </c>
      <c r="AM12" s="37">
        <f t="shared" si="0"/>
        <v>10000</v>
      </c>
      <c r="AN12" s="38">
        <f t="shared" si="1"/>
        <v>1.11E-2</v>
      </c>
      <c r="AO12" s="39">
        <f t="shared" si="2"/>
        <v>2.12E-2</v>
      </c>
      <c r="AP12" s="38">
        <f t="shared" si="3"/>
        <v>0</v>
      </c>
      <c r="AQ12" s="38">
        <f t="shared" si="4"/>
        <v>0</v>
      </c>
      <c r="AR12" s="133">
        <f t="shared" si="5"/>
        <v>0</v>
      </c>
      <c r="AS12" s="40">
        <f t="shared" si="6"/>
        <v>0.16</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5">
      <c r="A13" s="270" t="s">
        <v>224</v>
      </c>
      <c r="D13" s="170"/>
      <c r="E13" s="171"/>
      <c r="F13" s="172"/>
      <c r="G13" s="172"/>
      <c r="H13" s="173"/>
      <c r="L13" s="706" t="s">
        <v>155</v>
      </c>
      <c r="M13" s="707"/>
      <c r="N13" s="352">
        <f t="shared" ca="1" si="11"/>
        <v>0</v>
      </c>
      <c r="O13" s="352">
        <v>500.81</v>
      </c>
      <c r="P13" s="355">
        <f t="shared" ca="1" si="10"/>
        <v>-500.81</v>
      </c>
      <c r="AG13" s="248" t="s">
        <v>186</v>
      </c>
      <c r="AH13" s="119">
        <f>GetRecNdx($AH$12,$D$2)</f>
        <v>5</v>
      </c>
      <c r="AL13" s="34">
        <v>10</v>
      </c>
      <c r="AM13" s="37">
        <f t="shared" si="0"/>
        <v>10000</v>
      </c>
      <c r="AN13" s="38">
        <f t="shared" si="1"/>
        <v>1.11E-2</v>
      </c>
      <c r="AO13" s="39">
        <f t="shared" si="2"/>
        <v>2.12E-2</v>
      </c>
      <c r="AP13" s="38">
        <f t="shared" si="3"/>
        <v>0</v>
      </c>
      <c r="AQ13" s="38">
        <f t="shared" si="4"/>
        <v>0</v>
      </c>
      <c r="AR13" s="133">
        <f t="shared" si="5"/>
        <v>0</v>
      </c>
      <c r="AS13" s="40">
        <f t="shared" si="6"/>
        <v>0.16</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5">
      <c r="A14" s="270" t="s">
        <v>224</v>
      </c>
      <c r="D14" s="170"/>
      <c r="E14" s="171"/>
      <c r="F14" s="172"/>
      <c r="G14" s="172"/>
      <c r="H14" s="173"/>
      <c r="K14" s="185"/>
      <c r="L14" s="706" t="s">
        <v>156</v>
      </c>
      <c r="M14" s="707"/>
      <c r="N14" s="352">
        <f t="shared" ca="1" si="11"/>
        <v>-1098.0497368801939</v>
      </c>
      <c r="O14" s="352">
        <v>-378.09</v>
      </c>
      <c r="P14" s="355">
        <f t="shared" ca="1" si="10"/>
        <v>-719.95973688019399</v>
      </c>
      <c r="S14" s="181">
        <f>F22/(1-AR22)*AH22*AU22</f>
        <v>316244.99764519167</v>
      </c>
      <c r="T14" s="181">
        <f>F22*AH22*AU22</f>
        <v>309540.60369511362</v>
      </c>
      <c r="AL14" s="34">
        <v>11</v>
      </c>
      <c r="AM14" s="37">
        <f t="shared" si="0"/>
        <v>10000</v>
      </c>
      <c r="AN14" s="38">
        <f t="shared" si="1"/>
        <v>1.11E-2</v>
      </c>
      <c r="AO14" s="39">
        <f t="shared" si="2"/>
        <v>2.12E-2</v>
      </c>
      <c r="AP14" s="38">
        <f t="shared" si="3"/>
        <v>0</v>
      </c>
      <c r="AQ14" s="38">
        <f t="shared" si="4"/>
        <v>0</v>
      </c>
      <c r="AR14" s="133">
        <f t="shared" si="5"/>
        <v>0</v>
      </c>
      <c r="AS14" s="40">
        <f t="shared" si="6"/>
        <v>0.16</v>
      </c>
      <c r="AT14" s="35">
        <f t="shared" si="7"/>
        <v>1</v>
      </c>
      <c r="AU14" s="361" t="s">
        <v>156</v>
      </c>
      <c r="AV14" s="339" t="str">
        <f>ADDRESS(ROW($Z$22),COLUMN($Z$22))</f>
        <v>$Z$22</v>
      </c>
      <c r="AW14" s="138" t="str">
        <f t="shared" ca="1" si="8"/>
        <v>$Z$31</v>
      </c>
      <c r="AX14" s="353" t="str">
        <f ca="1">CONCATENATE(AX8,":",AY8)</f>
        <v>$AO$22:$AO$31</v>
      </c>
      <c r="AY14" s="353" t="str">
        <f ca="1">CONCATENATE(AX10,":",AY10)</f>
        <v>$CC$22:$CC$31</v>
      </c>
    </row>
    <row r="15" spans="1:102" ht="13.8" thickBot="1" x14ac:dyDescent="0.3">
      <c r="A15" s="270" t="s">
        <v>224</v>
      </c>
      <c r="D15" s="170"/>
      <c r="E15" s="171"/>
      <c r="F15" s="172"/>
      <c r="G15" s="172"/>
      <c r="H15" s="173"/>
      <c r="L15" s="706" t="s">
        <v>157</v>
      </c>
      <c r="M15" s="707"/>
      <c r="N15" s="352">
        <f t="shared" ca="1" si="11"/>
        <v>146.02831626943635</v>
      </c>
      <c r="O15" s="352">
        <v>96.18</v>
      </c>
      <c r="P15" s="355">
        <f t="shared" ca="1" si="10"/>
        <v>49.848316269436339</v>
      </c>
      <c r="AL15" s="34">
        <v>12</v>
      </c>
      <c r="AM15" s="41">
        <f t="shared" si="0"/>
        <v>10000</v>
      </c>
      <c r="AN15" s="42">
        <f t="shared" si="1"/>
        <v>1.11E-2</v>
      </c>
      <c r="AO15" s="43">
        <f t="shared" si="2"/>
        <v>2.12E-2</v>
      </c>
      <c r="AP15" s="42">
        <f t="shared" si="3"/>
        <v>0</v>
      </c>
      <c r="AQ15" s="42">
        <f t="shared" si="4"/>
        <v>0</v>
      </c>
      <c r="AR15" s="134">
        <f t="shared" si="5"/>
        <v>0</v>
      </c>
      <c r="AS15" s="44">
        <f t="shared" si="6"/>
        <v>0.16</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5">
      <c r="D16" s="174"/>
      <c r="E16" s="175"/>
      <c r="F16" s="176"/>
      <c r="G16" s="176"/>
      <c r="H16" s="177"/>
      <c r="L16" s="706" t="s">
        <v>158</v>
      </c>
      <c r="M16" s="707"/>
      <c r="N16" s="352">
        <f t="shared" ca="1" si="11"/>
        <v>0</v>
      </c>
      <c r="O16" s="352">
        <v>3.3</v>
      </c>
      <c r="P16" s="355">
        <f t="shared" ca="1" si="10"/>
        <v>-3.3</v>
      </c>
      <c r="AU16" s="361" t="s">
        <v>158</v>
      </c>
      <c r="AV16" s="339" t="str">
        <f>ADDRESS(ROW($AB$22),COLUMN($AB$22))</f>
        <v>$AB$22</v>
      </c>
      <c r="AW16" s="138" t="str">
        <f t="shared" ca="1" si="8"/>
        <v>$AB$31</v>
      </c>
      <c r="AX16" s="353" t="str">
        <f ca="1">CONCATENATE(AX9,":",AY9)</f>
        <v>$AP$22:$AP$31</v>
      </c>
      <c r="AY16" s="353" t="str">
        <f ca="1">CONCATENATE(AX12,":",AY12)</f>
        <v>$CE$22:$CE$31</v>
      </c>
    </row>
    <row r="17" spans="1:91" x14ac:dyDescent="0.25">
      <c r="D17" s="171"/>
      <c r="E17" s="171"/>
      <c r="F17" s="172"/>
      <c r="G17" s="172"/>
      <c r="H17" s="172"/>
      <c r="L17" s="704" t="s">
        <v>211</v>
      </c>
      <c r="M17" s="705"/>
      <c r="N17" s="356">
        <f t="shared" ca="1" si="11"/>
        <v>2.1088170837780114</v>
      </c>
      <c r="O17" s="357">
        <v>0.85</v>
      </c>
      <c r="P17" s="358">
        <f t="shared" ca="1" si="10"/>
        <v>1.2588170837780113</v>
      </c>
      <c r="AU17" s="361" t="s">
        <v>211</v>
      </c>
      <c r="AV17" s="339" t="str">
        <f>ADDRESS(ROW($AC$22),COLUMN($AC$22))</f>
        <v>$AC$22</v>
      </c>
      <c r="AW17" s="138" t="str">
        <f t="shared" ca="1" si="8"/>
        <v>$AC$31</v>
      </c>
      <c r="AX17" s="353" t="str">
        <f ca="1">CONCATENATE(AV9,":",AW9)</f>
        <v>$AN$22:$AN$31</v>
      </c>
      <c r="AY17" s="353" t="str">
        <f ca="1">CONCATENATE(AX13,":",AY13)</f>
        <v>$CF$22:$CF$31</v>
      </c>
    </row>
    <row r="18" spans="1:91" x14ac:dyDescent="0.25">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$CI$31</v>
      </c>
    </row>
    <row r="19" spans="1:91" x14ac:dyDescent="0.25">
      <c r="D19" s="171"/>
      <c r="E19" s="171"/>
      <c r="F19" s="172"/>
      <c r="G19" s="172"/>
      <c r="H19" s="172"/>
      <c r="L19" s="724" t="s">
        <v>624</v>
      </c>
      <c r="M19" s="725"/>
      <c r="N19" s="359">
        <f ca="1">SUMPRODUCT(INDIRECT(CONCATENATE(AX5,":",AY5)),INDIRECT(CONCATENATE($AV$2,":",$AW$2)),INDIRECT(CONCATENATE($AV$3,":",$AW$3)))</f>
        <v>13019.661355288339</v>
      </c>
      <c r="O19" s="359">
        <v>13486.38</v>
      </c>
      <c r="P19" s="360">
        <f t="shared" ca="1" si="10"/>
        <v>-466.71864471166009</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IF-NGPL/MIDCON Basis Mid</v>
      </c>
      <c r="T20" s="182" t="str">
        <f>GetDelBasis($AH$12,$AH$13)</f>
        <v>IF-ELPO/PERMIAN Basis Mid</v>
      </c>
      <c r="U20" s="158"/>
      <c r="V20" s="158"/>
      <c r="W20" s="158"/>
      <c r="X20" s="158"/>
      <c r="Y20" s="335"/>
      <c r="Z20" s="335"/>
      <c r="AA20" s="335"/>
      <c r="AB20" s="335"/>
      <c r="AC20" s="335"/>
      <c r="AI20" s="138"/>
      <c r="AM20" s="702" t="str">
        <f>GetRcptPoint($AH$12,$AH$13)</f>
        <v>MidCon</v>
      </c>
      <c r="AN20" s="703"/>
      <c r="AO20" s="702" t="str">
        <f>GetDelPoint($AH$12,$AH$13)</f>
        <v>Permian</v>
      </c>
      <c r="AP20" s="703"/>
      <c r="AQ20" s="137"/>
      <c r="AS20" s="137"/>
      <c r="AU20" s="136" t="s">
        <v>576</v>
      </c>
      <c r="AV20" s="353">
        <f ca="1">SUMPRODUCT(INDIRECT(CONCATENATE(AV8,":",AW8)),INDIRECT(CONCATENATE($AV$2,":",$AW$2)),INDIRECT(CONCATENATE($AV$3,":",$AW$3)),INDIRECT(CONCATENATE(AX3,":",AY3)))</f>
        <v>-123050</v>
      </c>
      <c r="AW20" s="353">
        <f ca="1">SUMPRODUCT(INDIRECT(CONCATENATE(AX8,":",AY8)),INDIRECT(CONCATENATE($AV$2,":",$AW$2)),INDIRECT(CONCATENATE($AV$3,":",$AW$3)),INDIRECT(CONCATENATE(AX3,":",AY3)))</f>
        <v>-158750</v>
      </c>
      <c r="AX20" s="353">
        <f ca="1">SUMPRODUCT(INDIRECT(CONCATENATE(AV9,":",AW9)),INDIRECT(CONCATENATE($AV$2,":",$AW$2)),INDIRECT(CONCATENATE($AV$3,":",$AW$3)),INDIRECT(CONCATENATE(AX3,":",AY3)))</f>
        <v>-4500</v>
      </c>
      <c r="AY20" s="353">
        <f ca="1">SUMPRODUCT(INDIRECT(CONCATENATE(AX9,":",AY9)),INDIRECT(CONCATENATE($AV$2,":",$AW$2)),INDIRECT(CONCATENATE($AV$3,":",$AW$3)),INDIRECT(CONCATENATE(AX3,":",AY3)))</f>
        <v>-24750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0" si="12">VLOOKUP(AG22,$AL$4:$AS$15,2)</f>
        <v>10000</v>
      </c>
      <c r="G22" s="28">
        <f t="shared" ref="G22:G31" si="13">F22*$AU22</f>
        <v>9985.1807643585034</v>
      </c>
      <c r="H22" s="52">
        <f t="shared" ref="H22:H30" si="14">(AL22+AM22+AN22)/(1-(AR22))</f>
        <v>2.7595014303228442</v>
      </c>
      <c r="I22" s="52">
        <f t="shared" ref="I22:I30" si="15">(AL22+AO22+AP22)</f>
        <v>2.6635000000000004</v>
      </c>
      <c r="K22" s="52">
        <f t="shared" ref="K22:K30" si="16">MAX(((I22-H22)-AQ22)*AU22*AH22,0)</f>
        <v>0</v>
      </c>
      <c r="L22" s="135">
        <f t="shared" ref="L22:L30" si="17">MAX(Q22-K22,0)</f>
        <v>0.64184344279825478</v>
      </c>
      <c r="N22" s="131">
        <f t="shared" ref="N22:N31" si="18">SQRT(($AX22^2*($AH22/2)+$AW22^2*$AI22)/(($AH22/2)+$AI22))</f>
        <v>0.96016221307122684</v>
      </c>
      <c r="O22" s="131">
        <f t="shared" ref="O22:O31" si="19">SQRT(($AY22^2*($AH22/2)+$AW22^2*$AI22)/(($AH22/2)+$AI22))</f>
        <v>0.96016221307122684</v>
      </c>
      <c r="P22" s="55">
        <f t="shared" ref="P22:P30" si="20">(VLOOKUP(AI22,CorrelationTwo,2)*(AW22^2)*AI22+VLOOKUP(D22,CorrelationOne,$AK$9)*AX22*AY22*(AH22/2))/((AI22+(AH22/2))*O22*N22)*AF22</f>
        <v>0.97926797139229627</v>
      </c>
      <c r="Q22" s="135">
        <f>_xll.xSPRDOPT(I22,H22,AQ22,0,O22,N22,P22,D22-$G$5,1,0)*AH22*AU22</f>
        <v>0.64184344279825478</v>
      </c>
      <c r="R22" s="135"/>
      <c r="S22" s="181">
        <f>_xll.xSPRDOPT(I22,H22,AQ22,AT22,O22,N22,P22,D22-$G$5,1,2)*AF22*(F22/(1-AR22))*AH22</f>
        <v>-72197.201823046533</v>
      </c>
      <c r="T22" s="181">
        <f>_xll.xSPRDOPT(I22,H22,AQ22,AT22,O22,N22,P22,D22-$G$5,1,1)*AF22*F22*AH22</f>
        <v>75926.568474694359</v>
      </c>
      <c r="U22" s="135"/>
      <c r="V22" s="146">
        <f t="shared" ref="V22:V30" si="21">VLOOKUP($AG22,$AL$4:$AS$15,8)*AH22*AU22</f>
        <v>4.9526496591218176</v>
      </c>
      <c r="W22" s="146"/>
      <c r="X22" s="338">
        <f t="shared" ref="X22:X30" si="22">((BM22*BC22)+(BL22*BB22))*AH22*F22</f>
        <v>0</v>
      </c>
      <c r="Y22" s="338">
        <f t="shared" ref="Y22:Y31" si="23">($F22*$AH22)*((($BG22/2)*($BC22)^2)+(($BF22/2)*($BB22)^2)+($BH22*$BC22*$BB22))</f>
        <v>0</v>
      </c>
      <c r="Z22" s="338">
        <f t="shared" ref="Z22:Z31" si="24">($BI22*$F22*$AH22*($G$5-$BV$5))/365.25</f>
        <v>-689.25998755163096</v>
      </c>
      <c r="AA22" s="338">
        <f t="shared" ref="AA22:AA31" si="25">(($BK22*$BE22)+($BJ22*$BD22))*$F22*$AH22*$AF22</f>
        <v>119.46005453656919</v>
      </c>
      <c r="AB22" s="338">
        <f t="shared" ref="AB22:AB30" si="26">BN22*(AT22-CA22)*F22*AH22</f>
        <v>0</v>
      </c>
      <c r="AC22" s="338">
        <f t="shared" ref="AC22:AC30" si="27">BO22*CB22*F22*AH22*CA22*($G$5-$BV$5)/365.25</f>
        <v>1.0370118727230262</v>
      </c>
      <c r="AF22" s="138">
        <f t="shared" ref="AF22:AF30" si="28">IF(AND(D22&gt;=$G$7,D22&lt;=$G$8),1,0)</f>
        <v>1</v>
      </c>
      <c r="AG22" s="138">
        <f t="shared" ref="AG22:AG30" si="29">MONTH(D22)</f>
        <v>1</v>
      </c>
      <c r="AH22" s="138">
        <f t="shared" ref="AH22:AH31" si="30">(EOMONTH(D22,0)-EOMONTH(D22-DAY(D22),0))*AF22</f>
        <v>31</v>
      </c>
      <c r="AI22" s="138">
        <f>MAX(0,(D22-DAY(D22))-$G$5+1)</f>
        <v>15</v>
      </c>
      <c r="AJ22" s="138">
        <f t="shared" ref="AJ22:AJ30" si="31">D22-$BV$5</f>
        <v>32</v>
      </c>
      <c r="AL22" s="136">
        <f t="shared" ref="AL22:AL31" si="32">VLOOKUP($D22,CurveTbl,$AK$4)</f>
        <v>2.8460000000000001</v>
      </c>
      <c r="AM22" s="258">
        <f t="shared" ref="AM22:AM31" si="33">VLOOKUP($D22,CurveTbl,$AH$3)</f>
        <v>-0.14000000000000001</v>
      </c>
      <c r="AN22" s="258">
        <f t="shared" ref="AN22:AN31" si="34">VLOOKUP($D22,CurveTbl,$AH$4)+VLOOKUP($AG22,$AL$3:$AS$15,6)</f>
        <v>-5.0000000000000001E-3</v>
      </c>
      <c r="AO22" s="258">
        <f t="shared" ref="AO22:AO31" si="35">VLOOKUP($D22,CurveTbl,$AH$5)</f>
        <v>-0.155</v>
      </c>
      <c r="AP22" s="258">
        <f t="shared" ref="AP22:AP31" si="36">VLOOKUP($D22,CurveTbl,$AH$6)+VLOOKUP($AG22,$AL$3:$AS$15,7)</f>
        <v>-2.75E-2</v>
      </c>
      <c r="AQ22" s="136">
        <f t="shared" ref="AQ22:AQ30" si="37">VLOOKUP($AG22,$AL$4:$AS$15,3)+VLOOKUP($AG22,$AL$4:$AS$15,5)+($AH$10*VLOOKUP(D22,GRITable,2))</f>
        <v>1.11E-2</v>
      </c>
      <c r="AR22" s="137">
        <f t="shared" ref="AR22:AR31" si="38">VLOOKUP($AG22,$AL$4:$AS$15,4)</f>
        <v>2.12E-2</v>
      </c>
      <c r="AS22" s="136">
        <f t="shared" ref="AS22:AS30" si="39">(AL22+AM22+AN22)</f>
        <v>2.7010000000000001</v>
      </c>
      <c r="AT22" s="137">
        <f t="shared" ref="AT22:AT30" si="40">VLOOKUP(D22,CurveTbl,$AK$6)</f>
        <v>1.8765908157160699E-2</v>
      </c>
      <c r="AU22" s="137">
        <f t="shared" ref="AU22:AU31" si="41">(1+$AT22/2)^(-2*($D22-$G$5)/365.25)*$AF22</f>
        <v>0.99851807643585033</v>
      </c>
      <c r="AV22" s="394">
        <f t="shared" ref="AV22:AV30" si="42">ROUND((F22/(1-AR22))-F22,0)*AF22*AH22*AU22</f>
        <v>6717.0311001839655</v>
      </c>
      <c r="AW22" s="137">
        <f t="shared" ref="AW22:AW31" si="43">VLOOKUP($D22,CurveTbl,$AK$8)</f>
        <v>0.87</v>
      </c>
      <c r="AX22" s="137">
        <f t="shared" ref="AX22:AX31" si="44">VLOOKUP($D22,CurveTbl,$AH$7)</f>
        <v>1.04</v>
      </c>
      <c r="AY22" s="137">
        <f t="shared" ref="AY22:AY31" si="45">VLOOKUP($D22,CurveTbl,$AH$8)</f>
        <v>1.04</v>
      </c>
      <c r="AZ22" s="137"/>
      <c r="BA22" s="264"/>
      <c r="BB22" s="258">
        <f t="shared" ref="BB22:BB31" si="46">$H22-$BV22</f>
        <v>0</v>
      </c>
      <c r="BC22" s="258">
        <f t="shared" ref="BC22:BC30" si="47">I22-BW22</f>
        <v>0</v>
      </c>
      <c r="BD22" s="137">
        <f t="shared" ref="BD22:BD30" si="48">N22-BX22</f>
        <v>7.7262160833929672E-3</v>
      </c>
      <c r="BE22" s="137">
        <f t="shared" ref="BE22:BE30" si="49">O22-BY22</f>
        <v>7.7262160833929672E-3</v>
      </c>
      <c r="BF22" s="137">
        <f>_xll.xSPRDOPT($BW22,$BV22,$CG22,0,$BY22,$BX22,$BZ22,$AJ22,1,4)*$CB22</f>
        <v>1.9603234859869441</v>
      </c>
      <c r="BG22" s="137">
        <f>_xll.xSPRDOPT($BW22,$BV22,$CG22,0,$BY22,$BX22,$BZ22,$AJ22,1,3)*$CB22</f>
        <v>2.1214182507291031</v>
      </c>
      <c r="BH22" s="137">
        <f>IF(OR(BF22&lt;&gt;0,BG22&lt;&gt;0),_xll.xSPRDOPT($BW22,$BV22,$CG22,0,$BY22,$BX22,$BZ22,$AJ22,1,12)*$CB22,0)</f>
        <v>-2.0392801951433865</v>
      </c>
      <c r="BI22" s="137">
        <f>_xll.xSPRDOPT($BW22,$BV22,$CG22,2*LN(1+CA22/2),$BY22,$BX22,$BZ22,$AJ22,1,9)</f>
        <v>-0.27070130156261635</v>
      </c>
      <c r="BJ22" s="137">
        <f>_xll.xSPRDOPT($BW22,$BV22,$CG22,0,$BY22,$BX22,$BZ22,$AJ22,1,6)*$CB22</f>
        <v>1.9836766196934988E-2</v>
      </c>
      <c r="BK22" s="137">
        <f>_xll.xSPRDOPT($BW22,$BV22,$CG22,0,$BY22,$BX22,$BZ22,$AJ22,1,5)*$CB22</f>
        <v>3.0039526476575838E-2</v>
      </c>
      <c r="BL22" s="137">
        <f>_xll.xSPRDOPT(BW22,BV22,CG22,0,BY22,BX22,BZ22,AJ22,1,2)*CB22</f>
        <v>-0.23235508173370079</v>
      </c>
      <c r="BM22" s="137">
        <f>_xll.xSPRDOPT(BW22,BV22,CG22,0,BY22,BX22,BZ22,AJ22,1,1)*CB22</f>
        <v>0.24987501803449572</v>
      </c>
      <c r="BN22" s="137">
        <f>IF(AH22&lt;&gt;0,_xll.xSPRDOPT($BW22,$BV22,$CG22,2*LN(1+CA22/2),$BY22,$BX22,$BZ22,$AJ22,1,8)+(AJ22/365.25)*CH22/AH22,0)</f>
        <v>1.2093441888754133E-2</v>
      </c>
      <c r="BO22" s="137">
        <f>_xll.xSPRDOPT($BW22,$BV22,$CG22,0,$BY22,$BX22,$BZ22,$AJ22,1,0)</f>
        <v>2.1738627187418303E-2</v>
      </c>
      <c r="BP22" s="137"/>
      <c r="BQ22" s="137"/>
      <c r="BR22" s="137"/>
      <c r="BS22" s="137"/>
      <c r="BV22" s="262">
        <v>2.7595014303228442</v>
      </c>
      <c r="BW22" s="136">
        <v>2.6635000000000004</v>
      </c>
      <c r="BX22" s="137">
        <v>0.95243599698783388</v>
      </c>
      <c r="BY22" s="137">
        <v>0.95243599698783388</v>
      </c>
      <c r="BZ22" s="137">
        <v>0.98006988054888278</v>
      </c>
      <c r="CA22" s="137">
        <v>1.8765908157160699E-2</v>
      </c>
      <c r="CB22" s="137">
        <v>0.99836489939579565</v>
      </c>
      <c r="CC22" s="258">
        <v>-0.14000000000000001</v>
      </c>
      <c r="CD22" s="258">
        <v>-5.0000000000000001E-3</v>
      </c>
      <c r="CE22" s="258">
        <v>-0.155</v>
      </c>
      <c r="CF22" s="258">
        <v>-2.75E-2</v>
      </c>
      <c r="CG22" s="258">
        <v>1.11E-2</v>
      </c>
      <c r="CH22" s="258">
        <v>4.9518899010031463</v>
      </c>
      <c r="CI22" s="258">
        <v>2.8460000000000001</v>
      </c>
      <c r="CJ22" s="258"/>
      <c r="CK22" s="258"/>
      <c r="CL22" s="258"/>
      <c r="CM22" s="258"/>
    </row>
    <row r="23" spans="1:91" x14ac:dyDescent="0.25">
      <c r="A23" s="723"/>
      <c r="B23" s="723"/>
      <c r="D23" s="31">
        <f t="shared" ref="D23:D30" si="50">D22+AH22</f>
        <v>37302</v>
      </c>
      <c r="F23" s="28">
        <f t="shared" si="12"/>
        <v>10000</v>
      </c>
      <c r="G23" s="28">
        <f t="shared" si="13"/>
        <v>9968.4549368744574</v>
      </c>
      <c r="H23" s="52">
        <f t="shared" si="14"/>
        <v>2.827952595014303</v>
      </c>
      <c r="I23" s="52">
        <f t="shared" si="15"/>
        <v>2.6955</v>
      </c>
      <c r="K23" s="52">
        <f t="shared" si="16"/>
        <v>0</v>
      </c>
      <c r="L23" s="135">
        <f t="shared" si="17"/>
        <v>0.43440134334745606</v>
      </c>
      <c r="N23" s="131">
        <f t="shared" si="18"/>
        <v>0.90885229823112634</v>
      </c>
      <c r="O23" s="131">
        <f t="shared" si="19"/>
        <v>0.90885229823112634</v>
      </c>
      <c r="P23" s="55">
        <f t="shared" si="20"/>
        <v>0.98797276171163662</v>
      </c>
      <c r="Q23" s="135">
        <f>_xll.xSPRDOPT(I23,H23,AQ23,0,O23,N23,P23,D23-$G$5,1,0)*AH23*AU23</f>
        <v>0.43440134334745606</v>
      </c>
      <c r="R23" s="135"/>
      <c r="S23" s="181">
        <f>_xll.xSPRDOPT(I23,H23,AQ23,AT23,O23,N23,P23,D23-$G$5,1,2)*AF23*(F23/(1-AR23))*AH23</f>
        <v>-49632.829536487377</v>
      </c>
      <c r="T23" s="181">
        <f>_xll.xSPRDOPT(I23,H23,AQ23,AT23,O23,N23,P23,D23-$G$5,1,1)*AF23*F23*AH23</f>
        <v>52784.902962978951</v>
      </c>
      <c r="U23" s="135"/>
      <c r="V23" s="146">
        <f t="shared" si="21"/>
        <v>4.4658678117197574</v>
      </c>
      <c r="W23" s="146"/>
      <c r="X23" s="338">
        <f t="shared" si="22"/>
        <v>0</v>
      </c>
      <c r="Y23" s="338">
        <f t="shared" si="23"/>
        <v>0</v>
      </c>
      <c r="Z23" s="338">
        <f t="shared" si="24"/>
        <v>-280.47131622716864</v>
      </c>
      <c r="AA23" s="338">
        <f t="shared" si="25"/>
        <v>26.568261732867164</v>
      </c>
      <c r="AB23" s="338">
        <f t="shared" si="26"/>
        <v>0</v>
      </c>
      <c r="AC23" s="338">
        <f t="shared" si="27"/>
        <v>0.7067997834767229</v>
      </c>
      <c r="AF23" s="138">
        <f t="shared" si="28"/>
        <v>1</v>
      </c>
      <c r="AG23" s="138">
        <f t="shared" si="29"/>
        <v>2</v>
      </c>
      <c r="AH23" s="138">
        <f t="shared" si="30"/>
        <v>28</v>
      </c>
      <c r="AI23" s="138">
        <f t="shared" ref="AI23:AI30" si="51">AI22+AH22</f>
        <v>46</v>
      </c>
      <c r="AJ23" s="138">
        <f t="shared" si="31"/>
        <v>63</v>
      </c>
      <c r="AL23" s="136">
        <f t="shared" si="32"/>
        <v>2.9079999999999999</v>
      </c>
      <c r="AM23" s="258">
        <f t="shared" si="33"/>
        <v>-0.13500000000000001</v>
      </c>
      <c r="AN23" s="258">
        <f t="shared" si="34"/>
        <v>-5.0000000000000001E-3</v>
      </c>
      <c r="AO23" s="258">
        <f t="shared" si="35"/>
        <v>-0.185</v>
      </c>
      <c r="AP23" s="258">
        <f t="shared" si="36"/>
        <v>-2.75E-2</v>
      </c>
      <c r="AQ23" s="136">
        <f t="shared" si="37"/>
        <v>1.11E-2</v>
      </c>
      <c r="AR23" s="137">
        <f t="shared" si="38"/>
        <v>2.12E-2</v>
      </c>
      <c r="AS23" s="136">
        <f t="shared" si="39"/>
        <v>2.7679999999999998</v>
      </c>
      <c r="AT23" s="137">
        <f t="shared" si="40"/>
        <v>1.9326187282006298E-2</v>
      </c>
      <c r="AU23" s="137">
        <f t="shared" si="41"/>
        <v>0.99684549368744568</v>
      </c>
      <c r="AV23" s="394">
        <f t="shared" si="42"/>
        <v>6056.8332196449201</v>
      </c>
      <c r="AW23" s="137">
        <f t="shared" si="43"/>
        <v>0.86499999999999999</v>
      </c>
      <c r="AX23" s="137">
        <f t="shared" si="44"/>
        <v>1.04</v>
      </c>
      <c r="AY23" s="137">
        <f t="shared" si="45"/>
        <v>1.04</v>
      </c>
      <c r="AZ23" s="137"/>
      <c r="BA23" s="264"/>
      <c r="BB23" s="258">
        <f t="shared" si="46"/>
        <v>0</v>
      </c>
      <c r="BC23" s="258">
        <f t="shared" si="47"/>
        <v>0</v>
      </c>
      <c r="BD23" s="137">
        <f t="shared" si="48"/>
        <v>2.0401162808982853E-3</v>
      </c>
      <c r="BE23" s="137">
        <f t="shared" si="49"/>
        <v>2.0401162808982853E-3</v>
      </c>
      <c r="BF23" s="137">
        <f>_xll.xSPRDOPT($BW23,$BV23,$CG23,0,$BY23,$BX23,$BZ23,$AJ23,1,4)*$CB23</f>
        <v>1.5783746328277488</v>
      </c>
      <c r="BG23" s="137">
        <f>_xll.xSPRDOPT($BW23,$BV23,$CG23,0,$BY23,$BX23,$BZ23,$AJ23,1,3)*$CB23</f>
        <v>1.7512003960675337</v>
      </c>
      <c r="BH23" s="137">
        <f>IF(OR(BF23&lt;&gt;0,BG23&lt;&gt;0),_xll.xSPRDOPT($BW23,$BV23,$CG23,0,$BY23,$BX23,$BZ23,$AJ23,1,12)*$CB23,0)</f>
        <v>-1.6625393314595613</v>
      </c>
      <c r="BI23" s="137">
        <f>_xll.xSPRDOPT($BW23,$BV23,$CG23,2*LN(1+CA23/2),$BY23,$BX23,$BZ23,$AJ23,1,9)</f>
        <v>-0.12195493839520639</v>
      </c>
      <c r="BJ23" s="137">
        <f>_xll.xSPRDOPT($BW23,$BV23,$CG23,0,$BY23,$BX23,$BZ23,$AJ23,1,6)*$CB23</f>
        <v>1.5359349465371762E-2</v>
      </c>
      <c r="BK23" s="137">
        <f>_xll.xSPRDOPT($BW23,$BV23,$CG23,0,$BY23,$BX23,$BZ23,$AJ23,1,5)*$CB23</f>
        <v>3.1151062678476497E-2</v>
      </c>
      <c r="BL23" s="137">
        <f>_xll.xSPRDOPT(BW23,BV23,CG23,0,BY23,BX23,BZ23,AJ23,1,2)*CB23</f>
        <v>-0.17558165871463902</v>
      </c>
      <c r="BM23" s="137">
        <f>_xll.xSPRDOPT(BW23,BV23,CG23,0,BY23,BX23,BZ23,AJ23,1,1)*CB23</f>
        <v>0.19085177326441366</v>
      </c>
      <c r="BN23" s="137">
        <f>IF(AH23&lt;&gt;0,_xll.xSPRDOPT($BW23,$BV23,$CG23,2*LN(1+CA23/2),$BY23,$BX23,$BZ23,$AJ23,1,8)+(AJ23/365.25)*CH23/AH23,0)</f>
        <v>2.4763224163746399E-2</v>
      </c>
      <c r="BO23" s="137">
        <f>_xll.xSPRDOPT($BW23,$BV23,$CG23,0,$BY23,$BX23,$BZ23,$AJ23,1,0)</f>
        <v>1.5955187788711106E-2</v>
      </c>
      <c r="BP23" s="137"/>
      <c r="BQ23" s="137"/>
      <c r="BR23" s="137"/>
      <c r="BS23" s="137"/>
      <c r="BV23" s="262">
        <v>2.827952595014303</v>
      </c>
      <c r="BW23" s="136">
        <v>2.6955</v>
      </c>
      <c r="BX23" s="137">
        <v>0.90681218195022806</v>
      </c>
      <c r="BY23" s="137">
        <v>0.90681218195022806</v>
      </c>
      <c r="BZ23" s="137">
        <v>0.98827724461289512</v>
      </c>
      <c r="CA23" s="137">
        <v>1.9326187282006298E-2</v>
      </c>
      <c r="CB23" s="137">
        <v>0.99668802984454063</v>
      </c>
      <c r="CC23" s="258">
        <v>-0.13500000000000001</v>
      </c>
      <c r="CD23" s="258">
        <v>-5.0000000000000001E-3</v>
      </c>
      <c r="CE23" s="258">
        <v>-0.185</v>
      </c>
      <c r="CF23" s="258">
        <v>-2.75E-2</v>
      </c>
      <c r="CG23" s="258">
        <v>1.11E-2</v>
      </c>
      <c r="CH23" s="258">
        <v>4.4651623737035422</v>
      </c>
      <c r="CI23" s="258">
        <v>2.9079999999999999</v>
      </c>
      <c r="CJ23" s="258"/>
      <c r="CK23" s="258"/>
      <c r="CL23" s="258"/>
      <c r="CM23" s="258"/>
    </row>
    <row r="24" spans="1:91" x14ac:dyDescent="0.25">
      <c r="A24" s="723"/>
      <c r="B24" s="723"/>
      <c r="D24" s="31">
        <f t="shared" si="50"/>
        <v>37330</v>
      </c>
      <c r="F24" s="28">
        <f t="shared" si="12"/>
        <v>10000</v>
      </c>
      <c r="G24" s="28">
        <f t="shared" si="13"/>
        <v>9953.8938980745261</v>
      </c>
      <c r="H24" s="52">
        <f t="shared" si="14"/>
        <v>2.8218226399673072</v>
      </c>
      <c r="I24" s="52">
        <f t="shared" si="15"/>
        <v>2.6845000000000003</v>
      </c>
      <c r="K24" s="52">
        <f t="shared" si="16"/>
        <v>0</v>
      </c>
      <c r="L24" s="135">
        <f t="shared" si="17"/>
        <v>0.22572134938312305</v>
      </c>
      <c r="N24" s="131">
        <f t="shared" si="18"/>
        <v>0.79</v>
      </c>
      <c r="O24" s="131">
        <f t="shared" si="19"/>
        <v>0.79</v>
      </c>
      <c r="P24" s="55">
        <f t="shared" si="20"/>
        <v>0.99308379888268183</v>
      </c>
      <c r="Q24" s="135">
        <f>_xll.xSPRDOPT(I24,H24,AQ24,0,O24,N24,P24,D24-$G$5,1,0)*AH24*AU24</f>
        <v>0.22572134938312305</v>
      </c>
      <c r="R24" s="135"/>
      <c r="S24" s="181">
        <f>_xll.xSPRDOPT(I24,H24,AQ24,AT24,O24,N24,P24,D24-$G$5,1,2)*AF24*(F24/(1-AR24))*AH24</f>
        <v>-36006.630133849023</v>
      </c>
      <c r="T24" s="181">
        <f>_xll.xSPRDOPT(I24,H24,AQ24,AT24,O24,N24,P24,D24-$G$5,1,1)*AF24*F24*AH24</f>
        <v>38034.83189314451</v>
      </c>
      <c r="U24" s="135"/>
      <c r="V24" s="146">
        <f t="shared" si="21"/>
        <v>4.9371313734449647</v>
      </c>
      <c r="W24" s="146"/>
      <c r="X24" s="338">
        <f t="shared" si="22"/>
        <v>0</v>
      </c>
      <c r="Y24" s="338">
        <f t="shared" si="23"/>
        <v>0</v>
      </c>
      <c r="Z24" s="338">
        <f t="shared" si="24"/>
        <v>-128.31843310139436</v>
      </c>
      <c r="AA24" s="338">
        <f t="shared" si="25"/>
        <v>0</v>
      </c>
      <c r="AB24" s="338">
        <f t="shared" si="26"/>
        <v>0</v>
      </c>
      <c r="AC24" s="338">
        <f t="shared" si="27"/>
        <v>0.36500542757826199</v>
      </c>
      <c r="AF24" s="138">
        <f t="shared" si="28"/>
        <v>1</v>
      </c>
      <c r="AG24" s="138">
        <f t="shared" si="29"/>
        <v>3</v>
      </c>
      <c r="AH24" s="138">
        <f t="shared" si="30"/>
        <v>31</v>
      </c>
      <c r="AI24" s="138">
        <f t="shared" si="51"/>
        <v>74</v>
      </c>
      <c r="AJ24" s="138">
        <f t="shared" si="31"/>
        <v>91</v>
      </c>
      <c r="AL24" s="136">
        <f t="shared" si="32"/>
        <v>2.9020000000000001</v>
      </c>
      <c r="AM24" s="258">
        <f t="shared" si="33"/>
        <v>-0.13500000000000001</v>
      </c>
      <c r="AN24" s="258">
        <f t="shared" si="34"/>
        <v>-5.0000000000000001E-3</v>
      </c>
      <c r="AO24" s="258">
        <f t="shared" si="35"/>
        <v>-0.19</v>
      </c>
      <c r="AP24" s="258">
        <f t="shared" si="36"/>
        <v>-2.75E-2</v>
      </c>
      <c r="AQ24" s="136">
        <f t="shared" si="37"/>
        <v>1.11E-2</v>
      </c>
      <c r="AR24" s="137">
        <f t="shared" si="38"/>
        <v>2.12E-2</v>
      </c>
      <c r="AS24" s="136">
        <f t="shared" si="39"/>
        <v>2.7620000000000005</v>
      </c>
      <c r="AT24" s="137">
        <f t="shared" si="40"/>
        <v>1.9273175363903501E-2</v>
      </c>
      <c r="AU24" s="137">
        <f t="shared" si="41"/>
        <v>0.99538938980745262</v>
      </c>
      <c r="AV24" s="394">
        <f t="shared" si="42"/>
        <v>6695.9844252347339</v>
      </c>
      <c r="AW24" s="137">
        <f t="shared" si="43"/>
        <v>0.79</v>
      </c>
      <c r="AX24" s="137">
        <f t="shared" si="44"/>
        <v>0.79</v>
      </c>
      <c r="AY24" s="137">
        <f t="shared" si="45"/>
        <v>0.79</v>
      </c>
      <c r="AZ24" s="137"/>
      <c r="BA24" s="264"/>
      <c r="BB24" s="258">
        <f t="shared" si="46"/>
        <v>0</v>
      </c>
      <c r="BC24" s="258">
        <f t="shared" si="47"/>
        <v>0</v>
      </c>
      <c r="BD24" s="137">
        <f t="shared" si="48"/>
        <v>0</v>
      </c>
      <c r="BE24" s="137">
        <f t="shared" si="49"/>
        <v>0</v>
      </c>
      <c r="BF24" s="137">
        <f>_xll.xSPRDOPT($BW24,$BV24,$CG24,0,$BY24,$BX24,$BZ24,$AJ24,1,4)*$CB24</f>
        <v>1.4935773980425546</v>
      </c>
      <c r="BG24" s="137">
        <f>_xll.xSPRDOPT($BW24,$BV24,$CG24,0,$BY24,$BX24,$BZ24,$AJ24,1,3)*$CB24</f>
        <v>1.6634287478665819</v>
      </c>
      <c r="BH24" s="137">
        <f>IF(OR(BF24&lt;&gt;0,BG24&lt;&gt;0),_xll.xSPRDOPT($BW24,$BV24,$CG24,0,$BY24,$BX24,$BZ24,$AJ24,1,12)*$CB24,0)</f>
        <v>-1.5762132380386682</v>
      </c>
      <c r="BI24" s="137">
        <f>_xll.xSPRDOPT($BW24,$BV24,$CG24,2*LN(1+CA24/2),$BY24,$BX24,$BZ24,$AJ24,1,9)</f>
        <v>-5.0396029774499237E-2</v>
      </c>
      <c r="BJ24" s="137">
        <f>_xll.xSPRDOPT($BW24,$BV24,$CG24,0,$BY24,$BX24,$BZ24,$AJ24,1,6)*$CB24</f>
        <v>6.6208698333793123E-3</v>
      </c>
      <c r="BK24" s="137">
        <f>_xll.xSPRDOPT($BW24,$BV24,$CG24,0,$BY24,$BX24,$BZ24,$AJ24,1,5)*$CB24</f>
        <v>2.5256179671059358E-2</v>
      </c>
      <c r="BL24" s="137">
        <f>_xll.xSPRDOPT(BW24,BV24,CG24,0,BY24,BX24,BZ24,AJ24,1,2)*CB24</f>
        <v>-0.11508066392001258</v>
      </c>
      <c r="BM24" s="137">
        <f>_xll.xSPRDOPT(BW24,BV24,CG24,0,BY24,BX24,BZ24,AJ24,1,1)*CB24</f>
        <v>0.12422087498702018</v>
      </c>
      <c r="BN24" s="137">
        <f>IF(AH24&lt;&gt;0,_xll.xSPRDOPT($BW24,$BV24,$CG24,2*LN(1+CA24/2),$BY24,$BX24,$BZ24,$AJ24,1,8)+(AJ24/365.25)*CH24/AH24,0)</f>
        <v>3.7819939437826453E-2</v>
      </c>
      <c r="BO24" s="137">
        <f>_xll.xSPRDOPT($BW24,$BV24,$CG24,0,$BY24,$BX24,$BZ24,$AJ24,1,0)</f>
        <v>7.4735808739429307E-3</v>
      </c>
      <c r="BP24" s="137"/>
      <c r="BQ24" s="137"/>
      <c r="BR24" s="137"/>
      <c r="BS24" s="137"/>
      <c r="BV24" s="262">
        <v>2.8218226399673072</v>
      </c>
      <c r="BW24" s="136">
        <v>2.6845000000000003</v>
      </c>
      <c r="BX24" s="137">
        <v>0.79</v>
      </c>
      <c r="BY24" s="137">
        <v>0.79</v>
      </c>
      <c r="BZ24" s="137">
        <v>0.99322702702702714</v>
      </c>
      <c r="CA24" s="137">
        <v>1.9273175363903501E-2</v>
      </c>
      <c r="CB24" s="137">
        <v>0.99523258517239033</v>
      </c>
      <c r="CC24" s="258">
        <v>-0.13500000000000001</v>
      </c>
      <c r="CD24" s="258">
        <v>-5.0000000000000001E-3</v>
      </c>
      <c r="CE24" s="258">
        <v>-0.19</v>
      </c>
      <c r="CF24" s="258">
        <v>-2.75E-2</v>
      </c>
      <c r="CG24" s="258">
        <v>1.11E-2</v>
      </c>
      <c r="CH24" s="258">
        <v>4.9363536224550559</v>
      </c>
      <c r="CI24" s="258">
        <v>2.9020000000000001</v>
      </c>
      <c r="CJ24" s="258"/>
      <c r="CK24" s="258"/>
      <c r="CL24" s="258"/>
      <c r="CM24" s="258"/>
    </row>
    <row r="25" spans="1:91" x14ac:dyDescent="0.25">
      <c r="A25" s="723"/>
      <c r="B25" s="723"/>
      <c r="D25" s="31">
        <f t="shared" si="50"/>
        <v>37361</v>
      </c>
      <c r="F25" s="28">
        <f t="shared" si="12"/>
        <v>10000</v>
      </c>
      <c r="G25" s="28">
        <f t="shared" si="13"/>
        <v>0</v>
      </c>
      <c r="H25" s="52">
        <f t="shared" si="14"/>
        <v>2.7411115651818552</v>
      </c>
      <c r="I25" s="52">
        <f t="shared" si="15"/>
        <v>2.653</v>
      </c>
      <c r="K25" s="52">
        <f t="shared" si="16"/>
        <v>0</v>
      </c>
      <c r="L25" s="135">
        <f t="shared" si="17"/>
        <v>0</v>
      </c>
      <c r="N25" s="131">
        <f t="shared" si="18"/>
        <v>0.61</v>
      </c>
      <c r="O25" s="131">
        <f t="shared" si="19"/>
        <v>0.61</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4</v>
      </c>
      <c r="AH25" s="138">
        <f t="shared" si="30"/>
        <v>0</v>
      </c>
      <c r="AI25" s="138">
        <f t="shared" si="51"/>
        <v>105</v>
      </c>
      <c r="AJ25" s="138">
        <f t="shared" si="31"/>
        <v>122</v>
      </c>
      <c r="AL25" s="136">
        <f t="shared" si="32"/>
        <v>2.8479999999999999</v>
      </c>
      <c r="AM25" s="258">
        <f t="shared" si="33"/>
        <v>-0.15</v>
      </c>
      <c r="AN25" s="258">
        <f t="shared" si="34"/>
        <v>-1.4999999999999999E-2</v>
      </c>
      <c r="AO25" s="258">
        <f t="shared" si="35"/>
        <v>-0.185</v>
      </c>
      <c r="AP25" s="258">
        <f t="shared" si="36"/>
        <v>-0.01</v>
      </c>
      <c r="AQ25" s="136">
        <f t="shared" si="37"/>
        <v>1.11E-2</v>
      </c>
      <c r="AR25" s="137">
        <f t="shared" si="38"/>
        <v>2.12E-2</v>
      </c>
      <c r="AS25" s="136">
        <f t="shared" si="39"/>
        <v>2.6829999999999998</v>
      </c>
      <c r="AT25" s="137">
        <f t="shared" si="40"/>
        <v>1.9422640119623601E-2</v>
      </c>
      <c r="AU25" s="137">
        <f t="shared" si="41"/>
        <v>0</v>
      </c>
      <c r="AV25" s="394">
        <f t="shared" si="42"/>
        <v>0</v>
      </c>
      <c r="AW25" s="137">
        <f t="shared" si="43"/>
        <v>0.61</v>
      </c>
      <c r="AX25" s="137">
        <f t="shared" si="44"/>
        <v>0.53</v>
      </c>
      <c r="AY25" s="137">
        <f t="shared" si="45"/>
        <v>0.57999999999999996</v>
      </c>
      <c r="AZ25" s="137"/>
      <c r="BA25" s="264"/>
      <c r="BB25" s="258">
        <f t="shared" si="46"/>
        <v>0</v>
      </c>
      <c r="BC25" s="258">
        <f t="shared" si="47"/>
        <v>0</v>
      </c>
      <c r="BD25" s="137">
        <f t="shared" si="48"/>
        <v>0</v>
      </c>
      <c r="BE25" s="137">
        <f t="shared" si="49"/>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-0.76196146999575454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0.48276607488396689</v>
      </c>
      <c r="BP25" s="137"/>
      <c r="BQ25" s="137"/>
      <c r="BR25" s="137"/>
      <c r="BS25" s="137"/>
      <c r="BV25" s="262">
        <v>2.7411115651818552</v>
      </c>
      <c r="BW25" s="136">
        <v>2.653</v>
      </c>
      <c r="BX25" s="137">
        <v>0.61</v>
      </c>
      <c r="BY25" s="137">
        <v>0.61</v>
      </c>
      <c r="BZ25" s="137">
        <v>0</v>
      </c>
      <c r="CA25" s="137">
        <v>1.9422640119623601E-2</v>
      </c>
      <c r="CB25" s="137">
        <v>0</v>
      </c>
      <c r="CC25" s="258">
        <v>-0.15</v>
      </c>
      <c r="CD25" s="258">
        <v>-1.4999999999999999E-2</v>
      </c>
      <c r="CE25" s="258">
        <v>-0.185</v>
      </c>
      <c r="CF25" s="258">
        <v>-0.01</v>
      </c>
      <c r="CG25" s="258">
        <v>1.11E-2</v>
      </c>
      <c r="CH25" s="258">
        <v>0</v>
      </c>
      <c r="CI25" s="258">
        <v>2.8479999999999999</v>
      </c>
      <c r="CJ25" s="258"/>
      <c r="CK25" s="258"/>
      <c r="CL25" s="258"/>
      <c r="CM25" s="258"/>
    </row>
    <row r="26" spans="1:91" x14ac:dyDescent="0.25">
      <c r="A26" s="723"/>
      <c r="B26" s="723"/>
      <c r="D26" s="31">
        <f t="shared" si="50"/>
        <v>37361</v>
      </c>
      <c r="F26" s="28">
        <f t="shared" si="12"/>
        <v>10000</v>
      </c>
      <c r="G26" s="28">
        <f t="shared" si="13"/>
        <v>0</v>
      </c>
      <c r="H26" s="52">
        <f t="shared" si="14"/>
        <v>2.7411115651818552</v>
      </c>
      <c r="I26" s="52">
        <f t="shared" si="15"/>
        <v>2.653</v>
      </c>
      <c r="K26" s="52">
        <f t="shared" si="16"/>
        <v>0</v>
      </c>
      <c r="L26" s="135">
        <f t="shared" si="17"/>
        <v>0</v>
      </c>
      <c r="N26" s="131">
        <f t="shared" si="18"/>
        <v>0.61</v>
      </c>
      <c r="O26" s="131">
        <f t="shared" si="19"/>
        <v>0.61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4</v>
      </c>
      <c r="AH26" s="138">
        <f t="shared" si="30"/>
        <v>0</v>
      </c>
      <c r="AI26" s="138">
        <f t="shared" si="51"/>
        <v>105</v>
      </c>
      <c r="AJ26" s="138">
        <f t="shared" si="31"/>
        <v>122</v>
      </c>
      <c r="AL26" s="136">
        <f t="shared" si="32"/>
        <v>2.8479999999999999</v>
      </c>
      <c r="AM26" s="258">
        <f t="shared" si="33"/>
        <v>-0.15</v>
      </c>
      <c r="AN26" s="258">
        <f t="shared" si="34"/>
        <v>-1.4999999999999999E-2</v>
      </c>
      <c r="AO26" s="258">
        <f t="shared" si="35"/>
        <v>-0.185</v>
      </c>
      <c r="AP26" s="258">
        <f t="shared" si="36"/>
        <v>-0.01</v>
      </c>
      <c r="AQ26" s="136">
        <f t="shared" si="37"/>
        <v>1.11E-2</v>
      </c>
      <c r="AR26" s="137">
        <f t="shared" si="38"/>
        <v>2.12E-2</v>
      </c>
      <c r="AS26" s="136">
        <f t="shared" si="39"/>
        <v>2.6829999999999998</v>
      </c>
      <c r="AT26" s="137">
        <f t="shared" si="40"/>
        <v>1.9422640119623601E-2</v>
      </c>
      <c r="AU26" s="137">
        <f t="shared" si="41"/>
        <v>0</v>
      </c>
      <c r="AV26" s="394">
        <f t="shared" si="42"/>
        <v>0</v>
      </c>
      <c r="AW26" s="137">
        <f t="shared" si="43"/>
        <v>0.61</v>
      </c>
      <c r="AX26" s="137">
        <f t="shared" si="44"/>
        <v>0.53</v>
      </c>
      <c r="AY26" s="137">
        <f t="shared" si="45"/>
        <v>0.57999999999999996</v>
      </c>
      <c r="AZ26" s="137"/>
      <c r="BA26" s="264"/>
      <c r="BB26" s="258">
        <f t="shared" si="46"/>
        <v>0</v>
      </c>
      <c r="BC26" s="258">
        <f t="shared" si="47"/>
        <v>0</v>
      </c>
      <c r="BD26" s="137">
        <f t="shared" si="48"/>
        <v>0</v>
      </c>
      <c r="BE26" s="137">
        <f t="shared" si="49"/>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-0.76196146999575454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0.48276607488396689</v>
      </c>
      <c r="BP26" s="137"/>
      <c r="BQ26" s="137"/>
      <c r="BR26" s="137"/>
      <c r="BS26" s="137"/>
      <c r="BV26" s="262">
        <v>2.7411115651818552</v>
      </c>
      <c r="BW26" s="136">
        <v>2.653</v>
      </c>
      <c r="BX26" s="137">
        <v>0.61</v>
      </c>
      <c r="BY26" s="137">
        <v>0.61</v>
      </c>
      <c r="BZ26" s="137">
        <v>0</v>
      </c>
      <c r="CA26" s="137">
        <v>1.9422640119623601E-2</v>
      </c>
      <c r="CB26" s="137">
        <v>0</v>
      </c>
      <c r="CC26" s="258">
        <v>-0.15</v>
      </c>
      <c r="CD26" s="258">
        <v>-1.4999999999999999E-2</v>
      </c>
      <c r="CE26" s="258">
        <v>-0.185</v>
      </c>
      <c r="CF26" s="258">
        <v>-0.01</v>
      </c>
      <c r="CG26" s="258">
        <v>1.11E-2</v>
      </c>
      <c r="CH26" s="258">
        <v>0</v>
      </c>
      <c r="CI26" s="258">
        <v>2.8479999999999999</v>
      </c>
      <c r="CJ26" s="258"/>
      <c r="CK26" s="258"/>
      <c r="CL26" s="258"/>
      <c r="CM26" s="258"/>
    </row>
    <row r="27" spans="1:91" x14ac:dyDescent="0.25">
      <c r="A27" s="726"/>
      <c r="B27" s="726"/>
      <c r="C27" s="726"/>
      <c r="D27" s="31">
        <f t="shared" si="50"/>
        <v>37361</v>
      </c>
      <c r="F27" s="28">
        <f t="shared" si="12"/>
        <v>10000</v>
      </c>
      <c r="G27" s="28">
        <f t="shared" si="13"/>
        <v>0</v>
      </c>
      <c r="H27" s="52">
        <f t="shared" si="14"/>
        <v>2.7411115651818552</v>
      </c>
      <c r="I27" s="52">
        <f t="shared" si="15"/>
        <v>2.653</v>
      </c>
      <c r="K27" s="52">
        <f t="shared" si="16"/>
        <v>0</v>
      </c>
      <c r="L27" s="135">
        <f t="shared" si="17"/>
        <v>0</v>
      </c>
      <c r="N27" s="131">
        <f t="shared" si="18"/>
        <v>0.61</v>
      </c>
      <c r="O27" s="131">
        <f t="shared" si="19"/>
        <v>0.61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4</v>
      </c>
      <c r="AH27" s="138">
        <f t="shared" si="30"/>
        <v>0</v>
      </c>
      <c r="AI27" s="138">
        <f t="shared" si="51"/>
        <v>105</v>
      </c>
      <c r="AJ27" s="138">
        <f t="shared" si="31"/>
        <v>122</v>
      </c>
      <c r="AL27" s="136">
        <f t="shared" si="32"/>
        <v>2.8479999999999999</v>
      </c>
      <c r="AM27" s="258">
        <f t="shared" si="33"/>
        <v>-0.15</v>
      </c>
      <c r="AN27" s="258">
        <f t="shared" si="34"/>
        <v>-1.4999999999999999E-2</v>
      </c>
      <c r="AO27" s="258">
        <f t="shared" si="35"/>
        <v>-0.185</v>
      </c>
      <c r="AP27" s="258">
        <f t="shared" si="36"/>
        <v>-0.01</v>
      </c>
      <c r="AQ27" s="136">
        <f t="shared" si="37"/>
        <v>1.11E-2</v>
      </c>
      <c r="AR27" s="137">
        <f t="shared" si="38"/>
        <v>2.12E-2</v>
      </c>
      <c r="AS27" s="136">
        <f t="shared" si="39"/>
        <v>2.6829999999999998</v>
      </c>
      <c r="AT27" s="137">
        <f t="shared" si="40"/>
        <v>1.9422640119623601E-2</v>
      </c>
      <c r="AU27" s="137">
        <f t="shared" si="41"/>
        <v>0</v>
      </c>
      <c r="AV27" s="394">
        <f t="shared" si="42"/>
        <v>0</v>
      </c>
      <c r="AW27" s="137">
        <f t="shared" si="43"/>
        <v>0.61</v>
      </c>
      <c r="AX27" s="137">
        <f t="shared" si="44"/>
        <v>0.53</v>
      </c>
      <c r="AY27" s="137">
        <f t="shared" si="45"/>
        <v>0.57999999999999996</v>
      </c>
      <c r="AZ27" s="137"/>
      <c r="BA27" s="264"/>
      <c r="BB27" s="258">
        <f t="shared" si="46"/>
        <v>0</v>
      </c>
      <c r="BC27" s="258">
        <f t="shared" si="47"/>
        <v>0</v>
      </c>
      <c r="BD27" s="137">
        <f t="shared" si="48"/>
        <v>0</v>
      </c>
      <c r="BE27" s="137">
        <f t="shared" si="49"/>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-0.76196146999575454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0.48276607488396689</v>
      </c>
      <c r="BP27" s="137"/>
      <c r="BQ27" s="137"/>
      <c r="BR27" s="137"/>
      <c r="BS27" s="137"/>
      <c r="BV27" s="262">
        <v>2.7411115651818552</v>
      </c>
      <c r="BW27" s="136">
        <v>2.653</v>
      </c>
      <c r="BX27" s="137">
        <v>0.61</v>
      </c>
      <c r="BY27" s="137">
        <v>0.61</v>
      </c>
      <c r="BZ27" s="137">
        <v>0</v>
      </c>
      <c r="CA27" s="137">
        <v>1.9422640119623601E-2</v>
      </c>
      <c r="CB27" s="137">
        <v>0</v>
      </c>
      <c r="CC27" s="258">
        <v>-0.15</v>
      </c>
      <c r="CD27" s="258">
        <v>-1.4999999999999999E-2</v>
      </c>
      <c r="CE27" s="258">
        <v>-0.185</v>
      </c>
      <c r="CF27" s="258">
        <v>-0.01</v>
      </c>
      <c r="CG27" s="258">
        <v>1.11E-2</v>
      </c>
      <c r="CH27" s="258">
        <v>0</v>
      </c>
      <c r="CI27" s="258">
        <v>2.8479999999999999</v>
      </c>
      <c r="CJ27" s="258"/>
      <c r="CK27" s="258"/>
      <c r="CL27" s="258"/>
      <c r="CM27" s="258"/>
    </row>
    <row r="28" spans="1:91" x14ac:dyDescent="0.25">
      <c r="A28" s="723"/>
      <c r="B28" s="723"/>
      <c r="D28" s="31">
        <f t="shared" si="50"/>
        <v>37361</v>
      </c>
      <c r="F28" s="28">
        <f t="shared" si="12"/>
        <v>10000</v>
      </c>
      <c r="G28" s="28">
        <f t="shared" si="13"/>
        <v>0</v>
      </c>
      <c r="H28" s="52">
        <f t="shared" si="14"/>
        <v>2.7411115651818552</v>
      </c>
      <c r="I28" s="52">
        <f t="shared" si="15"/>
        <v>2.653</v>
      </c>
      <c r="K28" s="52">
        <f t="shared" si="16"/>
        <v>0</v>
      </c>
      <c r="L28" s="135">
        <f t="shared" si="17"/>
        <v>0</v>
      </c>
      <c r="N28" s="131">
        <f t="shared" si="18"/>
        <v>0.61</v>
      </c>
      <c r="O28" s="131">
        <f t="shared" si="19"/>
        <v>0.61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21"/>
        <v>0</v>
      </c>
      <c r="W28" s="146"/>
      <c r="X28" s="338">
        <f t="shared" si="22"/>
        <v>0</v>
      </c>
      <c r="Y28" s="338">
        <f t="shared" si="23"/>
        <v>0</v>
      </c>
      <c r="Z28" s="338">
        <f t="shared" si="24"/>
        <v>0</v>
      </c>
      <c r="AA28" s="338">
        <f t="shared" si="25"/>
        <v>0</v>
      </c>
      <c r="AB28" s="338">
        <f t="shared" si="26"/>
        <v>0</v>
      </c>
      <c r="AC28" s="338">
        <f t="shared" si="27"/>
        <v>0</v>
      </c>
      <c r="AF28" s="138">
        <f t="shared" si="28"/>
        <v>0</v>
      </c>
      <c r="AG28" s="138">
        <f t="shared" si="29"/>
        <v>4</v>
      </c>
      <c r="AH28" s="138">
        <f t="shared" si="30"/>
        <v>0</v>
      </c>
      <c r="AI28" s="138">
        <f t="shared" si="51"/>
        <v>105</v>
      </c>
      <c r="AJ28" s="138">
        <f t="shared" si="31"/>
        <v>122</v>
      </c>
      <c r="AL28" s="136">
        <f t="shared" si="32"/>
        <v>2.8479999999999999</v>
      </c>
      <c r="AM28" s="258">
        <f t="shared" si="33"/>
        <v>-0.15</v>
      </c>
      <c r="AN28" s="258">
        <f t="shared" si="34"/>
        <v>-1.4999999999999999E-2</v>
      </c>
      <c r="AO28" s="258">
        <f t="shared" si="35"/>
        <v>-0.185</v>
      </c>
      <c r="AP28" s="258">
        <f t="shared" si="36"/>
        <v>-0.01</v>
      </c>
      <c r="AQ28" s="136">
        <f t="shared" si="37"/>
        <v>1.11E-2</v>
      </c>
      <c r="AR28" s="137">
        <f t="shared" si="38"/>
        <v>2.12E-2</v>
      </c>
      <c r="AS28" s="136">
        <f t="shared" si="39"/>
        <v>2.6829999999999998</v>
      </c>
      <c r="AT28" s="137">
        <f t="shared" si="40"/>
        <v>1.9422640119623601E-2</v>
      </c>
      <c r="AU28" s="137">
        <f t="shared" si="41"/>
        <v>0</v>
      </c>
      <c r="AV28" s="394">
        <f t="shared" si="42"/>
        <v>0</v>
      </c>
      <c r="AW28" s="137">
        <f t="shared" si="43"/>
        <v>0.61</v>
      </c>
      <c r="AX28" s="137">
        <f t="shared" si="44"/>
        <v>0.53</v>
      </c>
      <c r="AY28" s="137">
        <f t="shared" si="45"/>
        <v>0.57999999999999996</v>
      </c>
      <c r="AZ28" s="137"/>
      <c r="BA28" s="264"/>
      <c r="BB28" s="258">
        <f t="shared" si="46"/>
        <v>0</v>
      </c>
      <c r="BC28" s="258">
        <f t="shared" si="47"/>
        <v>0</v>
      </c>
      <c r="BD28" s="137">
        <f t="shared" si="48"/>
        <v>0</v>
      </c>
      <c r="BE28" s="137">
        <f t="shared" si="49"/>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-0.76196146999575454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0.48276607488396689</v>
      </c>
      <c r="BP28" s="137"/>
      <c r="BQ28" s="137"/>
      <c r="BR28" s="137"/>
      <c r="BS28" s="137"/>
      <c r="BV28" s="262">
        <v>2.7411115651818552</v>
      </c>
      <c r="BW28" s="136">
        <v>2.653</v>
      </c>
      <c r="BX28" s="137">
        <v>0.61</v>
      </c>
      <c r="BY28" s="137">
        <v>0.61</v>
      </c>
      <c r="BZ28" s="137">
        <v>0</v>
      </c>
      <c r="CA28" s="137">
        <v>1.9422640119623601E-2</v>
      </c>
      <c r="CB28" s="137">
        <v>0</v>
      </c>
      <c r="CC28" s="258">
        <v>-0.15</v>
      </c>
      <c r="CD28" s="258">
        <v>-1.4999999999999999E-2</v>
      </c>
      <c r="CE28" s="258">
        <v>-0.185</v>
      </c>
      <c r="CF28" s="258">
        <v>-0.01</v>
      </c>
      <c r="CG28" s="258">
        <v>1.11E-2</v>
      </c>
      <c r="CH28" s="258">
        <v>0</v>
      </c>
      <c r="CI28" s="258">
        <v>2.8479999999999999</v>
      </c>
      <c r="CJ28" s="258"/>
      <c r="CK28" s="258"/>
      <c r="CL28" s="258"/>
      <c r="CM28" s="258"/>
    </row>
    <row r="29" spans="1:91" x14ac:dyDescent="0.25">
      <c r="A29" s="723"/>
      <c r="B29" s="723"/>
      <c r="D29" s="31">
        <f t="shared" si="50"/>
        <v>37361</v>
      </c>
      <c r="F29" s="28">
        <f t="shared" si="12"/>
        <v>10000</v>
      </c>
      <c r="G29" s="28">
        <f t="shared" si="13"/>
        <v>0</v>
      </c>
      <c r="H29" s="52">
        <f t="shared" si="14"/>
        <v>2.7411115651818552</v>
      </c>
      <c r="I29" s="52">
        <f t="shared" si="15"/>
        <v>2.653</v>
      </c>
      <c r="K29" s="52">
        <f t="shared" si="16"/>
        <v>0</v>
      </c>
      <c r="L29" s="135">
        <f t="shared" si="17"/>
        <v>0</v>
      </c>
      <c r="N29" s="131">
        <f t="shared" si="18"/>
        <v>0.61</v>
      </c>
      <c r="O29" s="131">
        <f t="shared" si="19"/>
        <v>0.61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21"/>
        <v>0</v>
      </c>
      <c r="W29" s="146"/>
      <c r="X29" s="338">
        <f t="shared" si="22"/>
        <v>0</v>
      </c>
      <c r="Y29" s="338">
        <f t="shared" si="23"/>
        <v>0</v>
      </c>
      <c r="Z29" s="338">
        <f t="shared" si="24"/>
        <v>0</v>
      </c>
      <c r="AA29" s="338">
        <f t="shared" si="25"/>
        <v>0</v>
      </c>
      <c r="AB29" s="338">
        <f t="shared" si="26"/>
        <v>0</v>
      </c>
      <c r="AC29" s="338">
        <f t="shared" si="27"/>
        <v>0</v>
      </c>
      <c r="AF29" s="138">
        <f t="shared" si="28"/>
        <v>0</v>
      </c>
      <c r="AG29" s="138">
        <f t="shared" si="29"/>
        <v>4</v>
      </c>
      <c r="AH29" s="138">
        <f t="shared" si="30"/>
        <v>0</v>
      </c>
      <c r="AI29" s="138">
        <f t="shared" si="51"/>
        <v>105</v>
      </c>
      <c r="AJ29" s="138">
        <f t="shared" si="31"/>
        <v>122</v>
      </c>
      <c r="AL29" s="136">
        <f t="shared" si="32"/>
        <v>2.8479999999999999</v>
      </c>
      <c r="AM29" s="258">
        <f t="shared" si="33"/>
        <v>-0.15</v>
      </c>
      <c r="AN29" s="258">
        <f t="shared" si="34"/>
        <v>-1.4999999999999999E-2</v>
      </c>
      <c r="AO29" s="258">
        <f t="shared" si="35"/>
        <v>-0.185</v>
      </c>
      <c r="AP29" s="258">
        <f t="shared" si="36"/>
        <v>-0.01</v>
      </c>
      <c r="AQ29" s="136">
        <f t="shared" si="37"/>
        <v>1.11E-2</v>
      </c>
      <c r="AR29" s="137">
        <f t="shared" si="38"/>
        <v>2.12E-2</v>
      </c>
      <c r="AS29" s="136">
        <f t="shared" si="39"/>
        <v>2.6829999999999998</v>
      </c>
      <c r="AT29" s="137">
        <f t="shared" si="40"/>
        <v>1.9422640119623601E-2</v>
      </c>
      <c r="AU29" s="137">
        <f t="shared" si="41"/>
        <v>0</v>
      </c>
      <c r="AV29" s="394">
        <f t="shared" si="42"/>
        <v>0</v>
      </c>
      <c r="AW29" s="137">
        <f t="shared" si="43"/>
        <v>0.61</v>
      </c>
      <c r="AX29" s="137">
        <f t="shared" si="44"/>
        <v>0.53</v>
      </c>
      <c r="AY29" s="137">
        <f t="shared" si="45"/>
        <v>0.57999999999999996</v>
      </c>
      <c r="AZ29" s="137"/>
      <c r="BA29" s="264"/>
      <c r="BB29" s="258">
        <f t="shared" si="46"/>
        <v>0</v>
      </c>
      <c r="BC29" s="258">
        <f t="shared" si="47"/>
        <v>0</v>
      </c>
      <c r="BD29" s="137">
        <f t="shared" si="48"/>
        <v>0</v>
      </c>
      <c r="BE29" s="137">
        <f t="shared" si="49"/>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-0.76196146999575454</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0.48276607488396689</v>
      </c>
      <c r="BP29" s="137"/>
      <c r="BQ29" s="137"/>
      <c r="BR29" s="137"/>
      <c r="BS29" s="137"/>
      <c r="BV29" s="262">
        <v>2.7411115651818552</v>
      </c>
      <c r="BW29" s="136">
        <v>2.653</v>
      </c>
      <c r="BX29" s="137">
        <v>0.61</v>
      </c>
      <c r="BY29" s="137">
        <v>0.61</v>
      </c>
      <c r="BZ29" s="137">
        <v>0</v>
      </c>
      <c r="CA29" s="137">
        <v>1.9422640119623601E-2</v>
      </c>
      <c r="CB29" s="137">
        <v>0</v>
      </c>
      <c r="CC29" s="258">
        <v>-0.15</v>
      </c>
      <c r="CD29" s="258">
        <v>-1.4999999999999999E-2</v>
      </c>
      <c r="CE29" s="258">
        <v>-0.185</v>
      </c>
      <c r="CF29" s="258">
        <v>-0.01</v>
      </c>
      <c r="CG29" s="258">
        <v>1.11E-2</v>
      </c>
      <c r="CH29" s="258">
        <v>0</v>
      </c>
      <c r="CI29" s="258">
        <v>2.8479999999999999</v>
      </c>
      <c r="CJ29" s="258"/>
      <c r="CK29" s="258"/>
      <c r="CL29" s="258"/>
      <c r="CM29" s="258"/>
    </row>
    <row r="30" spans="1:91" x14ac:dyDescent="0.25">
      <c r="A30" s="723"/>
      <c r="B30" s="723"/>
      <c r="D30" s="31">
        <f t="shared" si="50"/>
        <v>37361</v>
      </c>
      <c r="F30" s="28">
        <f t="shared" si="12"/>
        <v>10000</v>
      </c>
      <c r="G30" s="28">
        <f t="shared" si="13"/>
        <v>0</v>
      </c>
      <c r="H30" s="52">
        <f t="shared" si="14"/>
        <v>2.7411115651818552</v>
      </c>
      <c r="I30" s="52">
        <f t="shared" si="15"/>
        <v>2.653</v>
      </c>
      <c r="K30" s="52">
        <f t="shared" si="16"/>
        <v>0</v>
      </c>
      <c r="L30" s="135">
        <f t="shared" si="17"/>
        <v>0</v>
      </c>
      <c r="N30" s="131">
        <f t="shared" si="18"/>
        <v>0.61</v>
      </c>
      <c r="O30" s="131">
        <f t="shared" si="19"/>
        <v>0.61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21"/>
        <v>0</v>
      </c>
      <c r="W30" s="146"/>
      <c r="X30" s="338">
        <f t="shared" si="22"/>
        <v>0</v>
      </c>
      <c r="Y30" s="338">
        <f t="shared" si="23"/>
        <v>0</v>
      </c>
      <c r="Z30" s="338">
        <f t="shared" si="24"/>
        <v>0</v>
      </c>
      <c r="AA30" s="338">
        <f t="shared" si="25"/>
        <v>0</v>
      </c>
      <c r="AB30" s="338">
        <f t="shared" si="26"/>
        <v>0</v>
      </c>
      <c r="AC30" s="338">
        <f t="shared" si="27"/>
        <v>0</v>
      </c>
      <c r="AF30" s="138">
        <f t="shared" si="28"/>
        <v>0</v>
      </c>
      <c r="AG30" s="138">
        <f t="shared" si="29"/>
        <v>4</v>
      </c>
      <c r="AH30" s="138">
        <f t="shared" si="30"/>
        <v>0</v>
      </c>
      <c r="AI30" s="138">
        <f t="shared" si="51"/>
        <v>105</v>
      </c>
      <c r="AJ30" s="138">
        <f t="shared" si="31"/>
        <v>122</v>
      </c>
      <c r="AL30" s="136">
        <f t="shared" si="32"/>
        <v>2.8479999999999999</v>
      </c>
      <c r="AM30" s="258">
        <f t="shared" si="33"/>
        <v>-0.15</v>
      </c>
      <c r="AN30" s="258">
        <f t="shared" si="34"/>
        <v>-1.4999999999999999E-2</v>
      </c>
      <c r="AO30" s="258">
        <f t="shared" si="35"/>
        <v>-0.185</v>
      </c>
      <c r="AP30" s="258">
        <f t="shared" si="36"/>
        <v>-0.01</v>
      </c>
      <c r="AQ30" s="136">
        <f t="shared" si="37"/>
        <v>1.11E-2</v>
      </c>
      <c r="AR30" s="137">
        <f t="shared" si="38"/>
        <v>2.12E-2</v>
      </c>
      <c r="AS30" s="136">
        <f t="shared" si="39"/>
        <v>2.6829999999999998</v>
      </c>
      <c r="AT30" s="137">
        <f t="shared" si="40"/>
        <v>1.9422640119623601E-2</v>
      </c>
      <c r="AU30" s="137">
        <f t="shared" si="41"/>
        <v>0</v>
      </c>
      <c r="AV30" s="394">
        <f t="shared" si="42"/>
        <v>0</v>
      </c>
      <c r="AW30" s="137">
        <f t="shared" si="43"/>
        <v>0.61</v>
      </c>
      <c r="AX30" s="137">
        <f t="shared" si="44"/>
        <v>0.53</v>
      </c>
      <c r="AY30" s="137">
        <f t="shared" si="45"/>
        <v>0.57999999999999996</v>
      </c>
      <c r="AZ30" s="137"/>
      <c r="BA30" s="264"/>
      <c r="BB30" s="258">
        <f t="shared" si="46"/>
        <v>0</v>
      </c>
      <c r="BC30" s="258">
        <f t="shared" si="47"/>
        <v>0</v>
      </c>
      <c r="BD30" s="137">
        <f t="shared" si="48"/>
        <v>0</v>
      </c>
      <c r="BE30" s="137">
        <f t="shared" si="49"/>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-0.76196146999575454</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0.48276607488396689</v>
      </c>
      <c r="BP30" s="137"/>
      <c r="BQ30" s="137"/>
      <c r="BR30" s="137"/>
      <c r="BS30" s="137"/>
      <c r="BV30" s="262">
        <v>2.7411115651818552</v>
      </c>
      <c r="BW30" s="136">
        <v>2.653</v>
      </c>
      <c r="BX30" s="137">
        <v>0.61</v>
      </c>
      <c r="BY30" s="137">
        <v>0.61</v>
      </c>
      <c r="BZ30" s="137">
        <v>0</v>
      </c>
      <c r="CA30" s="137">
        <v>1.9422640119623601E-2</v>
      </c>
      <c r="CB30" s="137">
        <v>0</v>
      </c>
      <c r="CC30" s="258">
        <v>-0.15</v>
      </c>
      <c r="CD30" s="258">
        <v>-1.4999999999999999E-2</v>
      </c>
      <c r="CE30" s="258">
        <v>-0.185</v>
      </c>
      <c r="CF30" s="258">
        <v>-0.01</v>
      </c>
      <c r="CG30" s="258">
        <v>1.11E-2</v>
      </c>
      <c r="CH30" s="258">
        <v>0</v>
      </c>
      <c r="CI30" s="258">
        <v>2.8479999999999999</v>
      </c>
      <c r="CJ30" s="258"/>
      <c r="CK30" s="258"/>
      <c r="CL30" s="258"/>
      <c r="CM30" s="258"/>
    </row>
    <row r="31" spans="1:91" x14ac:dyDescent="0.25">
      <c r="A31" s="723"/>
      <c r="B31" s="723"/>
      <c r="D31" s="31">
        <f>D30+AH30</f>
        <v>37361</v>
      </c>
      <c r="F31" s="28">
        <f>VLOOKUP(AG31,$AL$4:$AS$15,2)</f>
        <v>10000</v>
      </c>
      <c r="G31" s="28">
        <f t="shared" si="13"/>
        <v>0</v>
      </c>
      <c r="H31" s="52">
        <f>(AL31+AM31+AN31)/(1-(AR31))</f>
        <v>2.7411115651818552</v>
      </c>
      <c r="I31" s="52">
        <f>(AL31+AO31+AP31)</f>
        <v>2.653</v>
      </c>
      <c r="K31" s="52">
        <f>MAX(((I31-H31)-AQ31)*AU31*AH31,0)</f>
        <v>0</v>
      </c>
      <c r="L31" s="135">
        <f>MAX(Q31-K31,0)</f>
        <v>0</v>
      </c>
      <c r="N31" s="131">
        <f t="shared" si="18"/>
        <v>0.61</v>
      </c>
      <c r="O31" s="131">
        <f t="shared" si="19"/>
        <v>0.61</v>
      </c>
      <c r="P31" s="55">
        <f>(VLOOKUP(AI31,CorrelationTwo,2)*(AW31^2)*AI31+VLOOKUP(D31,CorrelationOne,$AK$9)*AX31*AY31*(AH31/2))/((AI31+(AH31/2))*O31*N31)*AF31</f>
        <v>0</v>
      </c>
      <c r="Q31" s="135">
        <f>_xll.xSPRDOPT(I31,H31,AQ31,0,O31,N31,P31,D31-$G$5,1,0)*AH31*AU31</f>
        <v>0</v>
      </c>
      <c r="R31" s="135"/>
      <c r="S31" s="181">
        <f>_xll.xSPRDOPT(I31,H31,AQ31,AT31,O31,N31,P31,D31-$G$5,1,2)*AF31*(F31/(1-AR31))*AH31</f>
        <v>0</v>
      </c>
      <c r="T31" s="181">
        <f>_xll.xSPRDOPT(I31,H31,AQ31,AT31,O31,N31,P31,D31-$G$5,1,1)*AF31*F31*AH31</f>
        <v>0</v>
      </c>
      <c r="U31" s="135"/>
      <c r="V31" s="146">
        <f>VLOOKUP($AG31,$AL$4:$AS$15,8)*AH31*AU31</f>
        <v>0</v>
      </c>
      <c r="W31" s="146"/>
      <c r="X31" s="338">
        <f>((BM31*BC31)+(BL31*BB31))*AH31*F31</f>
        <v>0</v>
      </c>
      <c r="Y31" s="338">
        <f t="shared" si="23"/>
        <v>0</v>
      </c>
      <c r="Z31" s="338">
        <f t="shared" si="24"/>
        <v>0</v>
      </c>
      <c r="AA31" s="338">
        <f t="shared" si="25"/>
        <v>0</v>
      </c>
      <c r="AB31" s="338">
        <f>BN31*(AT31-CA31)*F31*AH31</f>
        <v>0</v>
      </c>
      <c r="AC31" s="338">
        <f>BO31*CB31*F31*AH31*CA31*($G$5-$BV$5)/365.25</f>
        <v>0</v>
      </c>
      <c r="AF31" s="138">
        <f>IF(AND(D31&gt;=$G$7,D31&lt;=$G$8),1,0)</f>
        <v>0</v>
      </c>
      <c r="AG31" s="138">
        <f>MONTH(D31)</f>
        <v>4</v>
      </c>
      <c r="AH31" s="138">
        <f t="shared" si="30"/>
        <v>0</v>
      </c>
      <c r="AI31" s="138">
        <f>AI30+AH30</f>
        <v>105</v>
      </c>
      <c r="AJ31" s="138">
        <f>D31-$BV$5</f>
        <v>122</v>
      </c>
      <c r="AL31" s="136">
        <f t="shared" si="32"/>
        <v>2.8479999999999999</v>
      </c>
      <c r="AM31" s="258">
        <f t="shared" si="33"/>
        <v>-0.15</v>
      </c>
      <c r="AN31" s="258">
        <f t="shared" si="34"/>
        <v>-1.4999999999999999E-2</v>
      </c>
      <c r="AO31" s="258">
        <f t="shared" si="35"/>
        <v>-0.185</v>
      </c>
      <c r="AP31" s="258">
        <f t="shared" si="36"/>
        <v>-0.01</v>
      </c>
      <c r="AQ31" s="136">
        <f>VLOOKUP($AG31,$AL$4:$AS$15,3)+VLOOKUP($AG31,$AL$4:$AS$15,5)+($AH$10*VLOOKUP(D31,GRITable,2))</f>
        <v>1.11E-2</v>
      </c>
      <c r="AR31" s="137">
        <f t="shared" si="38"/>
        <v>2.12E-2</v>
      </c>
      <c r="AS31" s="136">
        <f>(AL31+AM31+AN31)</f>
        <v>2.6829999999999998</v>
      </c>
      <c r="AT31" s="137">
        <f>VLOOKUP(D31,CurveTbl,$AK$6)</f>
        <v>1.9422640119623601E-2</v>
      </c>
      <c r="AU31" s="137">
        <f t="shared" si="41"/>
        <v>0</v>
      </c>
      <c r="AV31" s="394">
        <f>ROUND((F31/(1-AR31))-F31,0)*AF31*AH31*AU31</f>
        <v>0</v>
      </c>
      <c r="AW31" s="137">
        <f t="shared" si="43"/>
        <v>0.61</v>
      </c>
      <c r="AX31" s="137">
        <f t="shared" si="44"/>
        <v>0.53</v>
      </c>
      <c r="AY31" s="137">
        <f t="shared" si="45"/>
        <v>0.57999999999999996</v>
      </c>
      <c r="AZ31" s="137"/>
      <c r="BA31" s="264"/>
      <c r="BB31" s="258">
        <f t="shared" si="46"/>
        <v>0</v>
      </c>
      <c r="BC31" s="258">
        <f>I31-BW31</f>
        <v>0</v>
      </c>
      <c r="BD31" s="137">
        <f>N31-BX31</f>
        <v>0</v>
      </c>
      <c r="BE31" s="137">
        <f>O31-BY31</f>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-0.76196146999575454</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0.48276607488396689</v>
      </c>
      <c r="BP31" s="137"/>
      <c r="BQ31" s="137"/>
      <c r="BR31" s="137"/>
      <c r="BS31" s="137"/>
      <c r="BV31" s="262">
        <v>2.7411115651818552</v>
      </c>
      <c r="BW31" s="136">
        <v>2.653</v>
      </c>
      <c r="BX31" s="137">
        <v>0.61</v>
      </c>
      <c r="BY31" s="137">
        <v>0.61</v>
      </c>
      <c r="BZ31" s="137">
        <v>0</v>
      </c>
      <c r="CA31" s="137">
        <v>1.9422640119623601E-2</v>
      </c>
      <c r="CB31" s="137">
        <v>0</v>
      </c>
      <c r="CC31" s="258">
        <v>-0.15</v>
      </c>
      <c r="CD31" s="258">
        <v>-1.4999999999999999E-2</v>
      </c>
      <c r="CE31" s="258">
        <v>-0.185</v>
      </c>
      <c r="CF31" s="258">
        <v>-0.01</v>
      </c>
      <c r="CG31" s="258">
        <v>1.11E-2</v>
      </c>
      <c r="CH31" s="258">
        <v>0</v>
      </c>
      <c r="CI31" s="258">
        <v>2.8479999999999999</v>
      </c>
      <c r="CJ31" s="258"/>
      <c r="CK31" s="258"/>
      <c r="CL31" s="258"/>
      <c r="CM31" s="258"/>
    </row>
    <row r="32" spans="1:91" x14ac:dyDescent="0.25">
      <c r="A32" s="723"/>
      <c r="B32" s="723"/>
      <c r="D32" s="29"/>
      <c r="E32" s="29"/>
      <c r="F32" s="29"/>
      <c r="G32" s="29"/>
      <c r="H32" s="29"/>
      <c r="I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U32" s="29"/>
      <c r="BV32" s="29"/>
    </row>
    <row r="33" spans="1:74" x14ac:dyDescent="0.25">
      <c r="A33" s="723"/>
      <c r="B33" s="723"/>
      <c r="D33" s="29"/>
      <c r="E33" s="29"/>
      <c r="F33" s="29"/>
      <c r="G33" s="29"/>
      <c r="H33" s="29"/>
      <c r="I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U33" s="29"/>
      <c r="BV33" s="29"/>
    </row>
    <row r="34" spans="1:74" x14ac:dyDescent="0.25">
      <c r="D34" s="29"/>
      <c r="E34" s="29"/>
      <c r="F34" s="29"/>
      <c r="G34" s="29"/>
      <c r="H34" s="29"/>
      <c r="I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U34" s="29"/>
      <c r="BV34" s="29"/>
    </row>
    <row r="35" spans="1:74" x14ac:dyDescent="0.25">
      <c r="D35" s="29"/>
      <c r="E35" s="29"/>
      <c r="F35" s="29"/>
      <c r="G35" s="29"/>
      <c r="H35" s="29"/>
      <c r="I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U35" s="29"/>
      <c r="BV35" s="29"/>
    </row>
    <row r="36" spans="1:74" x14ac:dyDescent="0.25">
      <c r="D36" s="29"/>
      <c r="E36" s="29"/>
      <c r="F36" s="29"/>
      <c r="G36" s="29"/>
      <c r="H36" s="29"/>
      <c r="I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U36" s="29"/>
      <c r="BV36" s="29"/>
    </row>
  </sheetData>
  <sheetCalcPr fullCalcOnLoad="1"/>
  <mergeCells count="37">
    <mergeCell ref="A31:B31"/>
    <mergeCell ref="A32:B32"/>
    <mergeCell ref="A33:B33"/>
    <mergeCell ref="A27:C27"/>
    <mergeCell ref="A28:B28"/>
    <mergeCell ref="A29:B29"/>
    <mergeCell ref="A30:B30"/>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7460"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47461"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8">
    <pageSetUpPr autoPageBreaks="0"/>
  </sheetPr>
  <dimension ref="A1:CX414"/>
  <sheetViews>
    <sheetView zoomScale="80" workbookViewId="0">
      <pane xSplit="5" ySplit="21" topLeftCell="N241" activePane="bottomRight" state="frozen"/>
      <selection activeCell="T23" sqref="T23"/>
      <selection pane="topRight" activeCell="T23" sqref="T23"/>
      <selection pane="bottomLeft" activeCell="T23" sqref="T23"/>
      <selection pane="bottomRight" activeCell="CI21" sqref="CI21:CI248"/>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LongTerm73</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73</v>
      </c>
      <c r="F2" s="178" t="str">
        <f>GetRcptPoint($AH$12,$AH$13)</f>
        <v>FGT</v>
      </c>
      <c r="G2" s="179" t="str">
        <f>GetDelPoint($AH$12,$AH$13)</f>
        <v>FGT/MKT</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$F$248</v>
      </c>
      <c r="AX2" s="339" t="str">
        <f>ADDRESS(ROW($G$22),COLUMN($G$22))</f>
        <v>$G$22</v>
      </c>
      <c r="AY2" s="138" t="str">
        <f ca="1">GetEnd($AV$1,AX2)</f>
        <v>$G$248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108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$AF$248</v>
      </c>
      <c r="AX3" s="339" t="str">
        <f>ADDRESS(ROW($AH$22),COLUMN($AH$22))</f>
        <v>$AH$22</v>
      </c>
      <c r="AY3" s="138" t="str">
        <f ca="1">GetEnd($AV$1,AX3)</f>
        <v>$AH$248</v>
      </c>
    </row>
    <row r="4" spans="1:102" x14ac:dyDescent="0.25">
      <c r="A4" s="269" t="str">
        <f>ADDRESS(ROW($S$22),COLUMN($S$22))</f>
        <v>$S$22</v>
      </c>
      <c r="L4" s="721" t="s">
        <v>201</v>
      </c>
      <c r="M4" s="722"/>
      <c r="N4" s="352">
        <f ca="1">SUMPRODUCT(INDIRECT(CONCATENATE(AV4,":",AW4)),INDIRECT(CONCATENATE($AV$2,":",$AW$2)),INDIRECT(CONCATENATE($AV$3,":",$AW$3)))</f>
        <v>13840031.726511773</v>
      </c>
      <c r="O4" s="352">
        <v>13834308.890000001</v>
      </c>
      <c r="P4" s="354">
        <f ca="1">N4-O4</f>
        <v>5722.836511772126</v>
      </c>
      <c r="S4" s="427" t="s">
        <v>635</v>
      </c>
      <c r="T4" s="422">
        <f ca="1">SUMPRODUCT(INDIRECT(CONCATENATE(V4,":",W4)),INDIRECT(CONCATENATE(AV2,":",AW2)),INDIRECT(CONCATENATE(AV3,":",AW3)))</f>
        <v>13839654.235790545</v>
      </c>
      <c r="V4" s="30" t="str">
        <f>ADDRESS(ROW(K22),COLUMN(K22))</f>
        <v>$K$22</v>
      </c>
      <c r="W4" s="30" t="str">
        <f ca="1">GetEnd($AV$1,V4)</f>
        <v>$K$248</v>
      </c>
      <c r="AF4" s="28"/>
      <c r="AG4" s="103" t="s">
        <v>32</v>
      </c>
      <c r="AH4" s="104">
        <f>GetRcptIndexCol($AH$12,$AH$13)</f>
        <v>109</v>
      </c>
      <c r="AI4" s="29"/>
      <c r="AJ4" s="103" t="s">
        <v>72</v>
      </c>
      <c r="AK4" s="104">
        <f>GetNymexCol(AK3)</f>
        <v>3</v>
      </c>
      <c r="AL4" s="34">
        <v>1</v>
      </c>
      <c r="AM4" s="45">
        <f t="shared" ref="AM4:AM15" si="0">GetVolume($AH$12,$AH$13,AT4)</f>
        <v>11107</v>
      </c>
      <c r="AN4" s="46">
        <f t="shared" ref="AN4:AN15" si="1">GetCommodity($AH$12,$AH$13,AT4)</f>
        <v>3.6400000000000002E-2</v>
      </c>
      <c r="AO4" s="47">
        <f t="shared" ref="AO4:AO15" si="2">GetFuelRate($AH$12,$AH$13,AT4)</f>
        <v>2.2499999999999999E-2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0.36870000000000003</v>
      </c>
      <c r="AT4" s="35">
        <f t="shared" ref="AT4:AT15" si="7">gettier($AH$12,$AH$13,AL4)</f>
        <v>2</v>
      </c>
      <c r="AV4" s="339" t="str">
        <f>ADDRESS(ROW($Q$22),COLUMN($Q$22))</f>
        <v>$Q$22</v>
      </c>
      <c r="AW4" s="138" t="str">
        <f ca="1">GetEnd($AV$1,AV4)</f>
        <v>$Q$248</v>
      </c>
      <c r="AX4" s="339" t="str">
        <f>ADDRESS(ROW($K$22),COLUMN($K$22))</f>
        <v>$K$22</v>
      </c>
      <c r="AY4" s="138" t="str">
        <f ca="1">GetEnd($AV$1,AX4)</f>
        <v>$K$248</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12311186.60244518</v>
      </c>
      <c r="O5" s="352">
        <v>12306040.470000001</v>
      </c>
      <c r="P5" s="355">
        <f ca="1">N5-O5</f>
        <v>5146.132445178926</v>
      </c>
      <c r="S5" s="428" t="s">
        <v>636</v>
      </c>
      <c r="T5" s="423">
        <f ca="1">SUMPRODUCT(INDIRECT(CONCATENATE(V5,":",W5)),INDIRECT(CONCATENATE(AV2,":",AW2)),INDIRECT(CONCATENATE(AV3,":",AW3)))</f>
        <v>377.49072124256787</v>
      </c>
      <c r="V5" s="30" t="str">
        <f>ADDRESS(ROW(L22),COLUMN(L22))</f>
        <v>$L$22</v>
      </c>
      <c r="W5" s="30" t="str">
        <f ca="1">GetEnd($AV$1,V5)</f>
        <v>$L$248</v>
      </c>
      <c r="AF5" s="28"/>
      <c r="AG5" s="103" t="s">
        <v>33</v>
      </c>
      <c r="AH5" s="104">
        <f>GetDelBasisCol($AH$12,$AH$13)</f>
        <v>104</v>
      </c>
      <c r="AI5" s="29"/>
      <c r="AJ5" s="103" t="s">
        <v>77</v>
      </c>
      <c r="AK5" s="104" t="str">
        <f>LiborCurve</f>
        <v>Libor AA</v>
      </c>
      <c r="AL5" s="34">
        <v>2</v>
      </c>
      <c r="AM5" s="37">
        <f t="shared" si="0"/>
        <v>11107</v>
      </c>
      <c r="AN5" s="38">
        <f t="shared" si="1"/>
        <v>3.6400000000000002E-2</v>
      </c>
      <c r="AO5" s="39">
        <f t="shared" si="2"/>
        <v>2.2499999999999999E-2</v>
      </c>
      <c r="AP5" s="38">
        <f t="shared" si="3"/>
        <v>0</v>
      </c>
      <c r="AQ5" s="38">
        <f t="shared" si="4"/>
        <v>0</v>
      </c>
      <c r="AR5" s="133">
        <f t="shared" si="5"/>
        <v>0</v>
      </c>
      <c r="AS5" s="40">
        <f t="shared" si="6"/>
        <v>0.36870000000000003</v>
      </c>
      <c r="AT5" s="35">
        <f t="shared" si="7"/>
        <v>2</v>
      </c>
      <c r="AV5" s="339" t="str">
        <f>ADDRESS(ROW($V$22),COLUMN($V$22))</f>
        <v>$V$22</v>
      </c>
      <c r="AW5" s="138" t="str">
        <f ca="1">GetEnd($AV$1,AV5)</f>
        <v>$V$248</v>
      </c>
      <c r="AX5" s="339" t="str">
        <f>ADDRESS(ROW($L$22),COLUMN($L$22))</f>
        <v>$L$22</v>
      </c>
      <c r="AY5" s="138" t="str">
        <f ca="1">GetEnd($AV$1,AX5)</f>
        <v>$L$248</v>
      </c>
      <c r="BV5" s="266">
        <f>O2</f>
        <v>37239</v>
      </c>
    </row>
    <row r="6" spans="1:102" x14ac:dyDescent="0.25">
      <c r="A6" s="269" t="str">
        <f>ADDRESS(ROW($BW$2),COLUMN($BW$2))</f>
        <v>$BW$2</v>
      </c>
      <c r="F6" s="187"/>
      <c r="G6" s="187"/>
      <c r="L6" s="704" t="s">
        <v>149</v>
      </c>
      <c r="M6" s="705"/>
      <c r="N6" s="356">
        <f ca="1">N4-N5</f>
        <v>1528845.1240665931</v>
      </c>
      <c r="O6" s="357">
        <v>1528268.43</v>
      </c>
      <c r="P6" s="358">
        <f ca="1">N6-O6</f>
        <v>576.69406659319066</v>
      </c>
      <c r="S6" s="428" t="s">
        <v>637</v>
      </c>
      <c r="T6" s="424">
        <f ca="1">SUMPRODUCT(INDIRECT(CONCATENATE(V6,":",W6)),INDIRECT(CONCATENATE(AV3,":",AW3)),INDIRECT(CONCATENATE(AX3,":",AY3)))</f>
        <v>33390796.317996126</v>
      </c>
      <c r="V6" s="30" t="str">
        <f>ADDRESS(ROW(G22),COLUMN(G22))</f>
        <v>$G$22</v>
      </c>
      <c r="W6" s="30" t="str">
        <f ca="1">GetEnd($AV$1,V6)</f>
        <v>$G$248</v>
      </c>
      <c r="AF6" s="28"/>
      <c r="AG6" s="103" t="s">
        <v>34</v>
      </c>
      <c r="AH6" s="104">
        <f>GetDelIndexCol($AH$12,$AH$13)</f>
        <v>105</v>
      </c>
      <c r="AI6" s="29"/>
      <c r="AJ6" s="103" t="s">
        <v>79</v>
      </c>
      <c r="AK6" s="104">
        <f>GetLiborCol(AK5)</f>
        <v>4</v>
      </c>
      <c r="AL6" s="34">
        <v>3</v>
      </c>
      <c r="AM6" s="37">
        <f t="shared" si="0"/>
        <v>11107</v>
      </c>
      <c r="AN6" s="38">
        <f t="shared" si="1"/>
        <v>3.6400000000000002E-2</v>
      </c>
      <c r="AO6" s="39">
        <f t="shared" si="2"/>
        <v>2.2499999999999999E-2</v>
      </c>
      <c r="AP6" s="38">
        <f t="shared" si="3"/>
        <v>0</v>
      </c>
      <c r="AQ6" s="38">
        <f t="shared" si="4"/>
        <v>0</v>
      </c>
      <c r="AR6" s="133">
        <f t="shared" si="5"/>
        <v>0</v>
      </c>
      <c r="AS6" s="40">
        <f t="shared" si="6"/>
        <v>0.36870000000000003</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27551.88</v>
      </c>
      <c r="P7" s="355">
        <f ca="1">N7</f>
        <v>0</v>
      </c>
      <c r="S7" s="428" t="s">
        <v>638</v>
      </c>
      <c r="T7" s="425">
        <f ca="1">T5/T6</f>
        <v>1.1305232664939994E-5</v>
      </c>
      <c r="AF7" s="28"/>
      <c r="AG7" s="103" t="s">
        <v>76</v>
      </c>
      <c r="AH7" s="104">
        <f>GetRcptOmicronCol($AH$12,$AH$13)</f>
        <v>17</v>
      </c>
      <c r="AI7" s="29"/>
      <c r="AJ7" s="103" t="s">
        <v>80</v>
      </c>
      <c r="AK7" s="104" t="str">
        <f>Configuration!$D$8</f>
        <v>Nymex Vol</v>
      </c>
      <c r="AL7" s="34">
        <v>4</v>
      </c>
      <c r="AM7" s="37">
        <f t="shared" si="0"/>
        <v>5899</v>
      </c>
      <c r="AN7" s="38">
        <f t="shared" si="1"/>
        <v>3.6400000000000002E-2</v>
      </c>
      <c r="AO7" s="39">
        <f t="shared" si="2"/>
        <v>2.2499999999999999E-2</v>
      </c>
      <c r="AP7" s="38">
        <f t="shared" si="3"/>
        <v>0</v>
      </c>
      <c r="AQ7" s="38">
        <f t="shared" si="4"/>
        <v>0</v>
      </c>
      <c r="AR7" s="133">
        <f t="shared" si="5"/>
        <v>0</v>
      </c>
      <c r="AS7" s="40">
        <f t="shared" si="6"/>
        <v>0.36870000000000003</v>
      </c>
      <c r="AT7" s="35">
        <f t="shared" si="7"/>
        <v>3</v>
      </c>
      <c r="AU7" s="361" t="s">
        <v>574</v>
      </c>
      <c r="AV7" s="339" t="str">
        <f>ADDRESS(ROW($AL$22),COLUMN($AL$22))</f>
        <v>$AL$22</v>
      </c>
      <c r="AW7" s="138" t="str">
        <f t="shared" ref="AW7:AW17" ca="1" si="8">GetEnd($AV$1,AV7)</f>
        <v>$AL$248</v>
      </c>
      <c r="AX7" s="339" t="str">
        <f>ADDRESS(ROW($AV$22),COLUMN($AV$22))</f>
        <v>$AV$22</v>
      </c>
      <c r="AY7" s="138" t="str">
        <f t="shared" ref="AY7:AY13" ca="1" si="9">GetEnd($AV$1,AX7)</f>
        <v>$AV$248</v>
      </c>
    </row>
    <row r="8" spans="1:102" x14ac:dyDescent="0.25">
      <c r="A8" s="270" t="s">
        <v>224</v>
      </c>
      <c r="F8" s="186" t="s">
        <v>26</v>
      </c>
      <c r="G8" s="190">
        <f>GetMonthEnd($AH$12,$AH$13)</f>
        <v>44043</v>
      </c>
      <c r="L8" s="706" t="s">
        <v>626</v>
      </c>
      <c r="M8" s="707"/>
      <c r="N8" s="352">
        <f t="array" aca="1" ref="N8" ca="1">SUM(((INDIRECT(AX14)-INDIRECT(AY16))-(INDIRECT(AX15)-INDIRECT(AY14)))*INDIRECT(CONCATENATE(AX2,":",AY2))*INDIRECT(CONCATENATE(AV3,":",AW3))*INDIRECT(CONCATENATE(AX3,":",AY3)))</f>
        <v>0</v>
      </c>
      <c r="O8" s="421">
        <v>-16388.46</v>
      </c>
      <c r="P8" s="355">
        <f ca="1">N8</f>
        <v>0</v>
      </c>
      <c r="S8" s="429" t="s">
        <v>639</v>
      </c>
      <c r="T8" s="426">
        <f ca="1">Y8/Z8</f>
        <v>0.99995705318164441</v>
      </c>
      <c r="V8" s="30" t="str">
        <f>ADDRESS(ROW(P22),COLUMN(P22))</f>
        <v>$P$22</v>
      </c>
      <c r="W8" s="30" t="str">
        <f ca="1">GetEnd($AV$1,V8)</f>
        <v>$P$248</v>
      </c>
      <c r="Y8" s="334">
        <f ca="1">SUMIF(INDIRECT(CONCATENATE(V8,":",W8)),"&gt;0",INDIRECT(CONCATENATE(V8,":",W8)))</f>
        <v>222.99042285950671</v>
      </c>
      <c r="Z8" s="334">
        <f ca="1">COUNTIF(INDIRECT(CONCATENATE(V8,":",W8)),"&gt;0")</f>
        <v>223</v>
      </c>
      <c r="AF8" s="28"/>
      <c r="AG8" s="103" t="s">
        <v>75</v>
      </c>
      <c r="AH8" s="105">
        <f>GetDelOmicronCol($AH$12,$AH$13)</f>
        <v>17</v>
      </c>
      <c r="AI8" s="29"/>
      <c r="AJ8" s="103" t="s">
        <v>81</v>
      </c>
      <c r="AK8" s="104">
        <f>GetNGOmicronCol(AK7)</f>
        <v>5</v>
      </c>
      <c r="AL8" s="34">
        <v>5</v>
      </c>
      <c r="AM8" s="37">
        <f t="shared" si="0"/>
        <v>5895</v>
      </c>
      <c r="AN8" s="38">
        <f t="shared" si="1"/>
        <v>3.6400000000000002E-2</v>
      </c>
      <c r="AO8" s="39">
        <f t="shared" si="2"/>
        <v>2.2499999999999999E-2</v>
      </c>
      <c r="AP8" s="38">
        <f t="shared" si="3"/>
        <v>0</v>
      </c>
      <c r="AQ8" s="38">
        <f t="shared" si="4"/>
        <v>0</v>
      </c>
      <c r="AR8" s="133">
        <f t="shared" si="5"/>
        <v>0</v>
      </c>
      <c r="AS8" s="40">
        <f t="shared" si="6"/>
        <v>0.36870000000000003</v>
      </c>
      <c r="AT8" s="35">
        <f t="shared" si="7"/>
        <v>4</v>
      </c>
      <c r="AU8" s="362" t="s">
        <v>575</v>
      </c>
      <c r="AV8" s="339" t="str">
        <f>ADDRESS(ROW($AM$22),COLUMN($AM$22))</f>
        <v>$AM$22</v>
      </c>
      <c r="AW8" s="138" t="str">
        <f t="shared" ca="1" si="8"/>
        <v>$AM$248</v>
      </c>
      <c r="AX8" s="339" t="str">
        <f>ADDRESS(ROW($AO$22),COLUMN($AO$22))</f>
        <v>$AO$22</v>
      </c>
      <c r="AY8" s="138" t="str">
        <f t="shared" ca="1" si="9"/>
        <v>$AO$248</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55</v>
      </c>
      <c r="AL9" s="34">
        <v>6</v>
      </c>
      <c r="AM9" s="37">
        <f t="shared" si="0"/>
        <v>5895</v>
      </c>
      <c r="AN9" s="38">
        <f t="shared" si="1"/>
        <v>3.6400000000000002E-2</v>
      </c>
      <c r="AO9" s="39">
        <f t="shared" si="2"/>
        <v>2.2499999999999999E-2</v>
      </c>
      <c r="AP9" s="38">
        <f t="shared" si="3"/>
        <v>0</v>
      </c>
      <c r="AQ9" s="38">
        <f t="shared" si="4"/>
        <v>0</v>
      </c>
      <c r="AR9" s="133">
        <f t="shared" si="5"/>
        <v>0</v>
      </c>
      <c r="AS9" s="40">
        <f t="shared" si="6"/>
        <v>0.36870000000000003</v>
      </c>
      <c r="AT9" s="35">
        <f t="shared" si="7"/>
        <v>4</v>
      </c>
      <c r="AU9" s="361" t="s">
        <v>578</v>
      </c>
      <c r="AV9" s="339" t="str">
        <f>ADDRESS(ROW($AN$22),COLUMN($AN$22))</f>
        <v>$AN$22</v>
      </c>
      <c r="AW9" s="138" t="str">
        <f t="shared" ca="1" si="8"/>
        <v>$AN$248</v>
      </c>
      <c r="AX9" s="339" t="str">
        <f>ADDRESS(ROW($AP$22),COLUMN($AP$22))</f>
        <v>$AP$22</v>
      </c>
      <c r="AY9" s="138" t="str">
        <f t="shared" ca="1" si="9"/>
        <v>$AP$248</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-2949803.5537846158</v>
      </c>
      <c r="O10" s="352">
        <v>-2948534.63</v>
      </c>
      <c r="P10" s="355">
        <f t="shared" ref="P10:P19" ca="1" si="10">N10-O10</f>
        <v>-1268.9237846159376</v>
      </c>
      <c r="AF10" s="28"/>
      <c r="AG10" s="103" t="s">
        <v>142</v>
      </c>
      <c r="AH10" s="119" t="b">
        <f>GetGRIFactor($AH$12,$AH$13)</f>
        <v>1</v>
      </c>
      <c r="AI10" s="29"/>
      <c r="AJ10" s="29"/>
      <c r="AK10" s="29"/>
      <c r="AL10" s="34">
        <v>7</v>
      </c>
      <c r="AM10" s="37">
        <f t="shared" si="0"/>
        <v>5895</v>
      </c>
      <c r="AN10" s="38">
        <f t="shared" si="1"/>
        <v>3.6400000000000002E-2</v>
      </c>
      <c r="AO10" s="39">
        <f t="shared" si="2"/>
        <v>2.2499999999999999E-2</v>
      </c>
      <c r="AP10" s="38">
        <f t="shared" si="3"/>
        <v>0</v>
      </c>
      <c r="AQ10" s="38">
        <f t="shared" si="4"/>
        <v>0</v>
      </c>
      <c r="AR10" s="133">
        <f t="shared" si="5"/>
        <v>0</v>
      </c>
      <c r="AS10" s="40">
        <f t="shared" si="6"/>
        <v>0.36870000000000003</v>
      </c>
      <c r="AT10" s="35">
        <f t="shared" si="7"/>
        <v>4</v>
      </c>
      <c r="AU10" s="361" t="s">
        <v>577</v>
      </c>
      <c r="AV10" s="339" t="str">
        <f>ADDRESS(ROW($AS$22),COLUMN($AS$22))</f>
        <v>$AS$22</v>
      </c>
      <c r="AW10" s="138" t="str">
        <f t="shared" ca="1" si="8"/>
        <v>$AS$248</v>
      </c>
      <c r="AX10" s="339" t="str">
        <f>ADDRESS(ROW($CC$22),COLUMN($CC$22))</f>
        <v>$CC$22</v>
      </c>
      <c r="AY10" s="138" t="str">
        <f t="shared" ca="1" si="9"/>
        <v>$CC$248</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-2032483.3142000053</v>
      </c>
      <c r="O11" s="357">
        <v>-2032483.31</v>
      </c>
      <c r="P11" s="358">
        <f t="shared" ca="1" si="10"/>
        <v>-4.200005205348134E-3</v>
      </c>
      <c r="AL11" s="34">
        <v>8</v>
      </c>
      <c r="AM11" s="37">
        <f t="shared" si="0"/>
        <v>5895</v>
      </c>
      <c r="AN11" s="38">
        <f t="shared" si="1"/>
        <v>3.6400000000000002E-2</v>
      </c>
      <c r="AO11" s="39">
        <f t="shared" si="2"/>
        <v>2.2499999999999999E-2</v>
      </c>
      <c r="AP11" s="38">
        <f t="shared" si="3"/>
        <v>0</v>
      </c>
      <c r="AQ11" s="38">
        <f t="shared" si="4"/>
        <v>0</v>
      </c>
      <c r="AR11" s="133">
        <f t="shared" si="5"/>
        <v>0</v>
      </c>
      <c r="AS11" s="40">
        <f t="shared" si="6"/>
        <v>0.36870000000000003</v>
      </c>
      <c r="AT11" s="35">
        <f t="shared" si="7"/>
        <v>4</v>
      </c>
      <c r="AU11" s="361" t="s">
        <v>579</v>
      </c>
      <c r="AV11" s="339" t="str">
        <f>ADDRESS(ROW($AQ$22),COLUMN($AQ$22))</f>
        <v>$AQ$22</v>
      </c>
      <c r="AW11" s="138" t="str">
        <f t="shared" ca="1" si="8"/>
        <v>$AQ$248</v>
      </c>
      <c r="AX11" s="339" t="str">
        <f>ADDRESS(ROW($CD$22),COLUMN($CD$22))</f>
        <v>$CD$22</v>
      </c>
      <c r="AY11" s="138" t="str">
        <f t="shared" ca="1" si="9"/>
        <v>$CD$248</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-44607.25</v>
      </c>
      <c r="P12" s="355">
        <f t="shared" ca="1" si="10"/>
        <v>44607.25</v>
      </c>
      <c r="AG12" s="248" t="s">
        <v>185</v>
      </c>
      <c r="AH12" s="119" t="str">
        <f>GetDBPage($D$2)</f>
        <v>Contract DB (East)</v>
      </c>
      <c r="AL12" s="34">
        <v>9</v>
      </c>
      <c r="AM12" s="37">
        <f t="shared" si="0"/>
        <v>5895</v>
      </c>
      <c r="AN12" s="38">
        <f t="shared" si="1"/>
        <v>3.6400000000000002E-2</v>
      </c>
      <c r="AO12" s="39">
        <f t="shared" si="2"/>
        <v>2.2499999999999999E-2</v>
      </c>
      <c r="AP12" s="38">
        <f t="shared" si="3"/>
        <v>0</v>
      </c>
      <c r="AQ12" s="38">
        <f t="shared" si="4"/>
        <v>0</v>
      </c>
      <c r="AR12" s="133">
        <f t="shared" si="5"/>
        <v>0</v>
      </c>
      <c r="AS12" s="40">
        <f t="shared" si="6"/>
        <v>0.36870000000000003</v>
      </c>
      <c r="AT12" s="35">
        <f t="shared" si="7"/>
        <v>4</v>
      </c>
      <c r="AU12" s="361" t="s">
        <v>271</v>
      </c>
      <c r="AV12" s="339" t="str">
        <f>ADDRESS(ROW($X$22),COLUMN($X$22))</f>
        <v>$X$22</v>
      </c>
      <c r="AW12" s="138" t="str">
        <f t="shared" ca="1" si="8"/>
        <v>$X$248</v>
      </c>
      <c r="AX12" s="339" t="str">
        <f>ADDRESS(ROW($CE$22),COLUMN($CE$22))</f>
        <v>$CE$22</v>
      </c>
      <c r="AY12" s="138" t="str">
        <f t="shared" ca="1" si="9"/>
        <v>$CE$248</v>
      </c>
    </row>
    <row r="13" spans="1:102" x14ac:dyDescent="0.25">
      <c r="A13" s="270" t="s">
        <v>224</v>
      </c>
      <c r="D13" s="170"/>
      <c r="E13" s="171"/>
      <c r="F13" s="172"/>
      <c r="G13" s="172"/>
      <c r="H13" s="173"/>
      <c r="L13" s="706" t="s">
        <v>155</v>
      </c>
      <c r="M13" s="707"/>
      <c r="N13" s="352">
        <f t="shared" ca="1" si="11"/>
        <v>0</v>
      </c>
      <c r="O13" s="352">
        <v>2.37</v>
      </c>
      <c r="P13" s="355">
        <f t="shared" ca="1" si="10"/>
        <v>-2.37</v>
      </c>
      <c r="AG13" s="248" t="s">
        <v>186</v>
      </c>
      <c r="AH13" s="119">
        <f>GetRecNdx($AH$12,$D$2)</f>
        <v>12</v>
      </c>
      <c r="AL13" s="34">
        <v>10</v>
      </c>
      <c r="AM13" s="37">
        <f t="shared" si="0"/>
        <v>6669</v>
      </c>
      <c r="AN13" s="38">
        <f t="shared" si="1"/>
        <v>3.6400000000000002E-2</v>
      </c>
      <c r="AO13" s="39">
        <f t="shared" si="2"/>
        <v>2.5000000000000001E-2</v>
      </c>
      <c r="AP13" s="38">
        <f t="shared" si="3"/>
        <v>0</v>
      </c>
      <c r="AQ13" s="38">
        <f t="shared" si="4"/>
        <v>0</v>
      </c>
      <c r="AR13" s="133">
        <f t="shared" si="5"/>
        <v>0</v>
      </c>
      <c r="AS13" s="40">
        <f t="shared" si="6"/>
        <v>0.36870000000000003</v>
      </c>
      <c r="AT13" s="35">
        <f t="shared" si="7"/>
        <v>1</v>
      </c>
      <c r="AU13" s="361" t="s">
        <v>155</v>
      </c>
      <c r="AV13" s="339" t="str">
        <f>ADDRESS(ROW($Y$22),COLUMN($Y$22))</f>
        <v>$Y$22</v>
      </c>
      <c r="AW13" s="138" t="str">
        <f t="shared" ca="1" si="8"/>
        <v>$Y$248</v>
      </c>
      <c r="AX13" s="339" t="str">
        <f>ADDRESS(ROW($CF$22),COLUMN($CF$22))</f>
        <v>$CF$22</v>
      </c>
      <c r="AY13" s="138" t="str">
        <f t="shared" ca="1" si="9"/>
        <v>$CF$248</v>
      </c>
    </row>
    <row r="14" spans="1:102" x14ac:dyDescent="0.25">
      <c r="A14" s="270" t="s">
        <v>224</v>
      </c>
      <c r="D14" s="170"/>
      <c r="E14" s="171"/>
      <c r="F14" s="172"/>
      <c r="G14" s="172"/>
      <c r="H14" s="173"/>
      <c r="K14" s="185"/>
      <c r="L14" s="706" t="s">
        <v>156</v>
      </c>
      <c r="M14" s="707"/>
      <c r="N14" s="352">
        <f t="shared" ca="1" si="11"/>
        <v>5724.1389086704903</v>
      </c>
      <c r="O14" s="352">
        <v>1892.43</v>
      </c>
      <c r="P14" s="355">
        <f t="shared" ca="1" si="10"/>
        <v>3831.70890867049</v>
      </c>
      <c r="S14" s="181">
        <f>F22/(1-AR22)*AH22*AU22</f>
        <v>351720.45884824829</v>
      </c>
      <c r="T14" s="181">
        <f>F22*AH22*AU22</f>
        <v>343806.74852416269</v>
      </c>
      <c r="AL14" s="34">
        <v>11</v>
      </c>
      <c r="AM14" s="37">
        <f t="shared" si="0"/>
        <v>11107</v>
      </c>
      <c r="AN14" s="38">
        <f t="shared" si="1"/>
        <v>3.6400000000000002E-2</v>
      </c>
      <c r="AO14" s="39">
        <f t="shared" si="2"/>
        <v>2.2499999999999999E-2</v>
      </c>
      <c r="AP14" s="38">
        <f t="shared" si="3"/>
        <v>0</v>
      </c>
      <c r="AQ14" s="38">
        <f t="shared" si="4"/>
        <v>0</v>
      </c>
      <c r="AR14" s="133">
        <f t="shared" si="5"/>
        <v>0</v>
      </c>
      <c r="AS14" s="40">
        <f t="shared" si="6"/>
        <v>0.36870000000000003</v>
      </c>
      <c r="AT14" s="35">
        <f t="shared" si="7"/>
        <v>2</v>
      </c>
      <c r="AU14" s="361" t="s">
        <v>156</v>
      </c>
      <c r="AV14" s="339" t="str">
        <f>ADDRESS(ROW($Z$22),COLUMN($Z$22))</f>
        <v>$Z$22</v>
      </c>
      <c r="AW14" s="138" t="str">
        <f t="shared" ca="1" si="8"/>
        <v>$Z$248</v>
      </c>
      <c r="AX14" s="353" t="str">
        <f ca="1">CONCATENATE(AX8,":",AY8)</f>
        <v>$AO$22:$AO$248</v>
      </c>
      <c r="AY14" s="353" t="str">
        <f ca="1">CONCATENATE(AX10,":",AY10)</f>
        <v>$CC$22:$CC$248</v>
      </c>
    </row>
    <row r="15" spans="1:102" ht="13.8" thickBot="1" x14ac:dyDescent="0.3">
      <c r="A15" s="270" t="s">
        <v>224</v>
      </c>
      <c r="D15" s="170"/>
      <c r="E15" s="171"/>
      <c r="F15" s="172"/>
      <c r="G15" s="172"/>
      <c r="H15" s="173"/>
      <c r="L15" s="706" t="s">
        <v>157</v>
      </c>
      <c r="M15" s="707"/>
      <c r="N15" s="352">
        <f t="shared" ca="1" si="11"/>
        <v>1.9972288225843373</v>
      </c>
      <c r="O15" s="352">
        <v>2.4900000000000002</v>
      </c>
      <c r="P15" s="355">
        <f t="shared" ca="1" si="10"/>
        <v>-0.4927711774156629</v>
      </c>
      <c r="AL15" s="34">
        <v>12</v>
      </c>
      <c r="AM15" s="41">
        <f t="shared" si="0"/>
        <v>11107</v>
      </c>
      <c r="AN15" s="42">
        <f t="shared" si="1"/>
        <v>3.6400000000000002E-2</v>
      </c>
      <c r="AO15" s="43">
        <f t="shared" si="2"/>
        <v>2.2499999999999999E-2</v>
      </c>
      <c r="AP15" s="42">
        <f t="shared" si="3"/>
        <v>0</v>
      </c>
      <c r="AQ15" s="42">
        <f t="shared" si="4"/>
        <v>0</v>
      </c>
      <c r="AR15" s="134">
        <f t="shared" si="5"/>
        <v>0</v>
      </c>
      <c r="AS15" s="44">
        <f t="shared" si="6"/>
        <v>0.36870000000000003</v>
      </c>
      <c r="AT15" s="35">
        <f t="shared" si="7"/>
        <v>2</v>
      </c>
      <c r="AU15" s="363" t="s">
        <v>157</v>
      </c>
      <c r="AV15" s="339" t="str">
        <f>ADDRESS(ROW($AA$22),COLUMN($AA$22))</f>
        <v>$AA$22</v>
      </c>
      <c r="AW15" s="138" t="str">
        <f t="shared" ca="1" si="8"/>
        <v>$AA$248</v>
      </c>
      <c r="AX15" s="353" t="str">
        <f ca="1">CONCATENATE(AV8,":",AW8)</f>
        <v>$AM$22:$AM$248</v>
      </c>
      <c r="AY15" s="353" t="str">
        <f ca="1">CONCATENATE(AX11,":",AY11)</f>
        <v>$CD$22:$CD$248</v>
      </c>
    </row>
    <row r="16" spans="1:102" x14ac:dyDescent="0.25">
      <c r="D16" s="174"/>
      <c r="E16" s="175"/>
      <c r="F16" s="176"/>
      <c r="G16" s="176"/>
      <c r="H16" s="177"/>
      <c r="L16" s="706" t="s">
        <v>158</v>
      </c>
      <c r="M16" s="707"/>
      <c r="N16" s="352">
        <f t="shared" ca="1" si="11"/>
        <v>0</v>
      </c>
      <c r="O16" s="352">
        <v>-12843.49</v>
      </c>
      <c r="P16" s="355">
        <f t="shared" ca="1" si="10"/>
        <v>12843.49</v>
      </c>
      <c r="AU16" s="361" t="s">
        <v>158</v>
      </c>
      <c r="AV16" s="339" t="str">
        <f>ADDRESS(ROW($AB$22),COLUMN($AB$22))</f>
        <v>$AB$22</v>
      </c>
      <c r="AW16" s="138" t="str">
        <f t="shared" ca="1" si="8"/>
        <v>$AB$248</v>
      </c>
      <c r="AX16" s="353" t="str">
        <f ca="1">CONCATENATE(AX9,":",AY9)</f>
        <v>$AP$22:$AP$248</v>
      </c>
      <c r="AY16" s="353" t="str">
        <f ca="1">CONCATENATE(AX12,":",AY12)</f>
        <v>$CE$22:$CE$248</v>
      </c>
    </row>
    <row r="17" spans="1:91" x14ac:dyDescent="0.25">
      <c r="D17" s="171"/>
      <c r="E17" s="171"/>
      <c r="F17" s="172"/>
      <c r="G17" s="172"/>
      <c r="H17" s="172"/>
      <c r="L17" s="704" t="s">
        <v>211</v>
      </c>
      <c r="M17" s="705"/>
      <c r="N17" s="356">
        <f t="shared" ca="1" si="11"/>
        <v>5820.7702719413537</v>
      </c>
      <c r="O17" s="357">
        <v>1922.83</v>
      </c>
      <c r="P17" s="358">
        <f t="shared" ca="1" si="10"/>
        <v>3897.9402719413538</v>
      </c>
      <c r="AU17" s="361" t="s">
        <v>211</v>
      </c>
      <c r="AV17" s="339" t="str">
        <f>ADDRESS(ROW($AC$22),COLUMN($AC$22))</f>
        <v>$AC$22</v>
      </c>
      <c r="AW17" s="138" t="str">
        <f t="shared" ca="1" si="8"/>
        <v>$AC$248</v>
      </c>
      <c r="AX17" s="353" t="str">
        <f ca="1">CONCATENATE(AV9,":",AW9)</f>
        <v>$AN$22:$AN$248</v>
      </c>
      <c r="AY17" s="353" t="str">
        <f ca="1">CONCATENATE(AX13,":",AY13)</f>
        <v>$CF$22:$CF$248</v>
      </c>
    </row>
    <row r="18" spans="1:91" x14ac:dyDescent="0.25">
      <c r="D18" s="171"/>
      <c r="E18" s="171"/>
      <c r="F18" s="172"/>
      <c r="G18" s="172"/>
      <c r="H18" s="172"/>
      <c r="L18" s="706" t="s">
        <v>623</v>
      </c>
      <c r="M18" s="707"/>
      <c r="N18" s="352">
        <f ca="1">SUMPRODUCT(INDIRECT(CONCATENATE(AX4,":",AY4)),INDIRECT(CONCATENATE($AV$2,":",$AW$2)),INDIRECT(CONCATENATE($AV$3,":",$AW$3)))</f>
        <v>13839654.235790545</v>
      </c>
      <c r="O18" s="352">
        <v>13833911.050000001</v>
      </c>
      <c r="P18" s="355">
        <f t="shared" ca="1" si="10"/>
        <v>5743.1857905443758</v>
      </c>
      <c r="AU18" s="361"/>
      <c r="AV18" s="339"/>
      <c r="AW18" s="138"/>
      <c r="AX18" s="339" t="str">
        <f>ADDRESS(ROW($CI$22),COLUMN($CI$22))</f>
        <v>$CI$22</v>
      </c>
      <c r="AY18" s="138" t="str">
        <f ca="1">GetEnd($AV$1,AX18)</f>
        <v>$CI$248</v>
      </c>
    </row>
    <row r="19" spans="1:91" x14ac:dyDescent="0.25">
      <c r="D19" s="171"/>
      <c r="E19" s="171"/>
      <c r="F19" s="172"/>
      <c r="G19" s="172"/>
      <c r="H19" s="172"/>
      <c r="L19" s="724" t="s">
        <v>624</v>
      </c>
      <c r="M19" s="725"/>
      <c r="N19" s="359">
        <f ca="1">SUMPRODUCT(INDIRECT(CONCATENATE(AX5,":",AY5)),INDIRECT(CONCATENATE($AV$2,":",$AW$2)),INDIRECT(CONCATENATE($AV$3,":",$AW$3)))</f>
        <v>377.49072124256787</v>
      </c>
      <c r="O19" s="359">
        <v>397.84</v>
      </c>
      <c r="P19" s="360">
        <f t="shared" ca="1" si="10"/>
        <v>-20.349278757432103</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IF-FGT/Z2 Basis Mid</v>
      </c>
      <c r="T20" s="182" t="str">
        <f>GetDelBasis($AH$12,$AH$13)</f>
        <v>IF-FGT/MKT Basis Mid</v>
      </c>
      <c r="U20" s="158"/>
      <c r="V20" s="158"/>
      <c r="W20" s="158"/>
      <c r="X20" s="158"/>
      <c r="Y20" s="335"/>
      <c r="Z20" s="335"/>
      <c r="AA20" s="335"/>
      <c r="AB20" s="335"/>
      <c r="AC20" s="335"/>
      <c r="AI20" s="138"/>
      <c r="AM20" s="702" t="str">
        <f>GetRcptPoint($AH$12,$AH$13)</f>
        <v>FGT</v>
      </c>
      <c r="AN20" s="703"/>
      <c r="AO20" s="702" t="str">
        <f>GetDelPoint($AH$12,$AH$13)</f>
        <v>FGT/MKT</v>
      </c>
      <c r="AP20" s="703"/>
      <c r="AQ20" s="137"/>
      <c r="AS20" s="137"/>
      <c r="AU20" s="136" t="s">
        <v>576</v>
      </c>
      <c r="AV20" s="353">
        <f ca="1">SUMPRODUCT(INDIRECT(CONCATENATE(AV8,":",AW8)),INDIRECT(CONCATENATE($AV$2,":",$AW$2)),INDIRECT(CONCATENATE($AV$3,":",$AW$3)),INDIRECT(CONCATENATE(AX3,":",AY3)))</f>
        <v>704046.85800000036</v>
      </c>
      <c r="AW20" s="353">
        <f ca="1">SUMPRODUCT(INDIRECT(CONCATENATE(AX8,":",AY8)),INDIRECT(CONCATENATE($AV$2,":",$AW$2)),INDIRECT(CONCATENATE($AV$3,":",$AW$3)),INDIRECT(CONCATENATE(AX3,":",AY3)))</f>
        <v>30811567.200000025</v>
      </c>
      <c r="AX20" s="353">
        <f ca="1">SUMPRODUCT(INDIRECT(CONCATENATE(AV9,":",AW9)),INDIRECT(CONCATENATE($AV$2,":",$AW$2)),INDIRECT(CONCATENATE($AV$3,":",$AW$3)),INDIRECT(CONCATENATE(AX3,":",AY3)))</f>
        <v>436250.99000000081</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3" si="12">VLOOKUP(AG22,$AL$4:$AS$15,2)</f>
        <v>11107</v>
      </c>
      <c r="G22" s="28">
        <f t="shared" ref="G22:G85" si="13">F22*$AU22</f>
        <v>11090.540274972989</v>
      </c>
      <c r="H22" s="52">
        <f t="shared" ref="H22:H33" si="14">(AL22+AM22+AN22)/(1-(AR22))</f>
        <v>2.8987212276214835</v>
      </c>
      <c r="I22" s="52">
        <f t="shared" ref="I22:I33" si="15">(AL22+AO22+AP22)</f>
        <v>3.1960000000000002</v>
      </c>
      <c r="K22" s="52">
        <f t="shared" ref="K22:K33" si="16">MAX(((I22-H22)-AQ22)*AU22*AH22,0)</f>
        <v>7.9204869674810592</v>
      </c>
      <c r="L22" s="135">
        <f t="shared" ref="L22:L33" si="17">MAX(Q22-K22,0)</f>
        <v>1.9523280679312194E-4</v>
      </c>
      <c r="N22" s="131">
        <f t="shared" ref="N22:N85" si="18">SQRT(($AX22^2*($AH22/2)+$AW22^2*$AI22)/(($AH22/2)+$AI22))</f>
        <v>0.96016221307122684</v>
      </c>
      <c r="O22" s="131">
        <f t="shared" ref="O22:O85" si="19">SQRT(($AY22^2*($AH22/2)+$AW22^2*$AI22)/(($AH22/2)+$AI22))</f>
        <v>0.96016221307122684</v>
      </c>
      <c r="P22" s="55">
        <f t="shared" ref="P22:P33" si="20">(VLOOKUP(AI22,CorrelationTwo,2)*(AW22^2)*AI22+VLOOKUP(D22,CorrelationOne,$AK$9)*AX22*AY22*(AH22/2))/((AI22+(AH22/2))*O22*N22)*AF22</f>
        <v>0.99596223811539109</v>
      </c>
      <c r="Q22" s="135">
        <f>_xll.xSPRDOPT(I22,H22,AQ22,0,O22,N22,P22,D22-$G$5,1,0)*AH22*AU22</f>
        <v>7.9206822002878523</v>
      </c>
      <c r="R22" s="135"/>
      <c r="S22" s="181">
        <f>_xll.xSPRDOPT(I22,H22,AQ22,AT22,O22,N22,P22,D22-$G$5,1,2)*AF22*(F22/(1-AR22))*AH22</f>
        <v>-351598.50220141798</v>
      </c>
      <c r="T22" s="181">
        <f>_xll.xSPRDOPT(I22,H22,AQ22,AT22,O22,N22,P22,D22-$G$5,1,1)*AF22*F22*AH22</f>
        <v>343697.3417734353</v>
      </c>
      <c r="U22" s="135"/>
      <c r="V22" s="146">
        <f t="shared" ref="V22:V33" si="21">VLOOKUP($AG22,$AL$4:$AS$15,8)*AH22*AU22</f>
        <v>11.412762058238838</v>
      </c>
      <c r="W22" s="146"/>
      <c r="X22" s="338">
        <f t="shared" ref="X22:X33" si="22">((BM22*BC22)+(BL22*BB22))*AH22*F22</f>
        <v>0</v>
      </c>
      <c r="Y22" s="338">
        <f t="shared" ref="Y22:Y85" si="23">($F22*$AH22)*((($BG22/2)*($BC22)^2)+(($BF22/2)*($BB22)^2)+($BH22*$BC22*$BB22))</f>
        <v>0</v>
      </c>
      <c r="Z22" s="338">
        <f t="shared" ref="Z22:Z85" si="24">($BI22*$F22*$AH22*($G$5-$BV$5))/365.25</f>
        <v>9.2864252330564572</v>
      </c>
      <c r="AA22" s="338">
        <f t="shared" ref="AA22:AA85" si="25">(($BK22*$BE22)+($BJ22*$BD22))*$F22*$AH22*$AF22</f>
        <v>0.72841217154953142</v>
      </c>
      <c r="AB22" s="338">
        <f t="shared" ref="AB22:AB33" si="26">BN22*(AT22-CA22)*F22*AH22</f>
        <v>0</v>
      </c>
      <c r="AC22" s="338">
        <f t="shared" ref="AC22:AC33" si="27">BO22*CB22*F22*AH22*CA22*($G$5-$BV$5)/365.25</f>
        <v>13.55872134873065</v>
      </c>
      <c r="AF22" s="138">
        <f t="shared" ref="AF22:AF33" si="28">IF(AND(D22&gt;=$G$7,D22&lt;=$G$8),1,0)</f>
        <v>1</v>
      </c>
      <c r="AG22" s="138">
        <f t="shared" ref="AG22:AG33" si="29">MONTH(D22)</f>
        <v>1</v>
      </c>
      <c r="AH22" s="138">
        <f t="shared" ref="AH22:AH85" si="30">(EOMONTH(D22,0)-EOMONTH(D22-DAY(D22),0))*AF22</f>
        <v>31</v>
      </c>
      <c r="AI22" s="138">
        <f>MAX(0,(D22-DAY(D22))-$G$5+1)</f>
        <v>15</v>
      </c>
      <c r="AJ22" s="138">
        <f t="shared" ref="AJ22:AJ33" si="31">D22-$BV$5</f>
        <v>32</v>
      </c>
      <c r="AL22" s="136">
        <f t="shared" ref="AL22:AL85" si="32">VLOOKUP($D22,CurveTbl,$AK$4)</f>
        <v>2.8460000000000001</v>
      </c>
      <c r="AM22" s="258">
        <f t="shared" ref="AM22:AM85" si="33">VLOOKUP($D22,CurveTbl,$AH$3)</f>
        <v>-0.01</v>
      </c>
      <c r="AN22" s="258">
        <f t="shared" ref="AN22:AN85" si="34">VLOOKUP($D22,CurveTbl,$AH$4)+VLOOKUP($AG22,$AL$3:$AS$15,6)</f>
        <v>-2.5000000000000001E-3</v>
      </c>
      <c r="AO22" s="258">
        <f t="shared" ref="AO22:AO85" si="35">VLOOKUP($D22,CurveTbl,$AH$5)</f>
        <v>0.35</v>
      </c>
      <c r="AP22" s="258">
        <f t="shared" ref="AP22:AP85" si="36">VLOOKUP($D22,CurveTbl,$AH$6)+VLOOKUP($AG22,$AL$3:$AS$15,7)</f>
        <v>0</v>
      </c>
      <c r="AQ22" s="136">
        <f t="shared" ref="AQ22:AQ33" si="37">VLOOKUP($AG22,$AL$4:$AS$15,3)+VLOOKUP($AG22,$AL$4:$AS$15,5)+($AH$10*VLOOKUP(D22,GRITable,2))</f>
        <v>4.1399999999999999E-2</v>
      </c>
      <c r="AR22" s="137">
        <f t="shared" ref="AR22:AR85" si="38">VLOOKUP($AG22,$AL$4:$AS$15,4)</f>
        <v>2.2499999999999999E-2</v>
      </c>
      <c r="AS22" s="136">
        <f t="shared" ref="AS22:AS33" si="39">(AL22+AM22+AN22)</f>
        <v>2.8335000000000004</v>
      </c>
      <c r="AT22" s="137">
        <f t="shared" ref="AT22:AT33" si="40">VLOOKUP(D22,CurveTbl,$AK$6)</f>
        <v>1.8765908157160699E-2</v>
      </c>
      <c r="AU22" s="137">
        <f t="shared" ref="AU22:AU85" si="41">(1+$AT22/2)^(-2*($D22-$G$5)/365.25)*$AF22</f>
        <v>0.99851807643585033</v>
      </c>
      <c r="AV22" s="394">
        <f t="shared" ref="AV22:AV33" si="42">ROUND((F22/(1-AR22))-F22,0)*AF22*AH22*AU22</f>
        <v>7924.2394545949082</v>
      </c>
      <c r="AW22" s="137">
        <f t="shared" ref="AW22:AW85" si="43">VLOOKUP($D22,CurveTbl,$AK$8)</f>
        <v>0.87</v>
      </c>
      <c r="AX22" s="137">
        <f t="shared" ref="AX22:AX85" si="44">VLOOKUP($D22,CurveTbl,$AH$7)</f>
        <v>1.04</v>
      </c>
      <c r="AY22" s="137">
        <f t="shared" ref="AY22:AY85" si="45">VLOOKUP($D22,CurveTbl,$AH$8)</f>
        <v>1.04</v>
      </c>
      <c r="AZ22" s="137"/>
      <c r="BA22" s="264"/>
      <c r="BB22" s="258">
        <f t="shared" ref="BB22:BB85" si="46">$H22-$BV22</f>
        <v>0</v>
      </c>
      <c r="BC22" s="258">
        <f t="shared" ref="BC22:BC33" si="47">I22-BW22</f>
        <v>0</v>
      </c>
      <c r="BD22" s="137">
        <f t="shared" ref="BD22:BD33" si="48">N22-BX22</f>
        <v>7.7262160833929672E-3</v>
      </c>
      <c r="BE22" s="137">
        <f t="shared" ref="BE22:BE33" si="49">O22-BY22</f>
        <v>7.7262160833929672E-3</v>
      </c>
      <c r="BF22" s="137">
        <f>_xll.xSPRDOPT($BW22,$BV22,$CG22,0,$BY22,$BX22,$BZ22,$AJ22,1,4)*$CB22</f>
        <v>4.1630219376402121E-2</v>
      </c>
      <c r="BG22" s="137">
        <f>_xll.xSPRDOPT($BW22,$BV22,$CG22,0,$BY22,$BX22,$BZ22,$AJ22,1,3)*$CB22</f>
        <v>3.5340908079149837E-2</v>
      </c>
      <c r="BH22" s="137">
        <f>IF(OR(BF22&lt;&gt;0,BG22&lt;&gt;0),_xll.xSPRDOPT($BW22,$BV22,$CG22,0,$BY22,$BX22,$BZ22,$AJ22,1,12)*$CB22,0)</f>
        <v>-3.8356829743673028E-2</v>
      </c>
      <c r="BI22" s="137">
        <f>_xll.xSPRDOPT($BW22,$BV22,$CG22,2*LN(1+CA22/2),$BY22,$BX22,$BZ22,$AJ22,1,9)</f>
        <v>3.2836667144655182E-3</v>
      </c>
      <c r="BJ22" s="137">
        <f>_xll.xSPRDOPT($BW22,$BV22,$CG22,0,$BY22,$BX22,$BZ22,$AJ22,1,6)*$CB22</f>
        <v>-3.2970501956695121E-4</v>
      </c>
      <c r="BK22" s="137">
        <f>_xll.xSPRDOPT($BW22,$BV22,$CG22,0,$BY22,$BX22,$BZ22,$AJ22,1,5)*$CB22</f>
        <v>6.035166417909598E-4</v>
      </c>
      <c r="BL22" s="137">
        <f>_xll.xSPRDOPT(BW22,BV22,CG22,0,BY22,BX22,BZ22,AJ22,1,2)*CB22</f>
        <v>-0.99738866193634579</v>
      </c>
      <c r="BM22" s="137">
        <f>_xll.xSPRDOPT(BW22,BV22,CG22,0,BY22,BX22,BZ22,AJ22,1,1)*CB22</f>
        <v>0.99747187319297725</v>
      </c>
      <c r="BN22" s="137">
        <f>IF(AH22&lt;&gt;0,_xll.xSPRDOPT($BW22,$BV22,$CG22,2*LN(1+CA22/2),$BY22,$BX22,$BZ22,$AJ22,1,8)+(AJ22/365.25)*CH22/AH22,0)</f>
        <v>9.8663839659352895E-3</v>
      </c>
      <c r="BO22" s="137">
        <f>_xll.xSPRDOPT($BW22,$BV22,$CG22,0,$BY22,$BX22,$BZ22,$AJ22,1,0)</f>
        <v>0.25590003747694107</v>
      </c>
      <c r="BP22" s="137"/>
      <c r="BQ22" s="137"/>
      <c r="BR22" s="137"/>
      <c r="BS22" s="137"/>
      <c r="BV22" s="262">
        <v>2.8987212276214835</v>
      </c>
      <c r="BW22" s="136">
        <v>3.1960000000000002</v>
      </c>
      <c r="BX22" s="137">
        <v>0.95243599698783388</v>
      </c>
      <c r="BY22" s="137">
        <v>0.95243599698783388</v>
      </c>
      <c r="BZ22" s="137">
        <v>0.99551673302839838</v>
      </c>
      <c r="CA22" s="137">
        <v>1.8765908157160699E-2</v>
      </c>
      <c r="CB22" s="137">
        <v>0.99836489939579565</v>
      </c>
      <c r="CC22" s="258">
        <v>-0.01</v>
      </c>
      <c r="CD22" s="258">
        <v>-2.5000000000000001E-3</v>
      </c>
      <c r="CE22" s="258">
        <v>0.35</v>
      </c>
      <c r="CF22" s="258">
        <v>0</v>
      </c>
      <c r="CG22" s="258">
        <v>4.1399999999999999E-2</v>
      </c>
      <c r="CH22" s="258">
        <v>11.411011290624126</v>
      </c>
      <c r="CI22" s="258">
        <v>2.8460000000000001</v>
      </c>
      <c r="CJ22" s="258"/>
      <c r="CK22" s="258"/>
      <c r="CL22" s="258"/>
      <c r="CM22" s="258"/>
    </row>
    <row r="23" spans="1:91" x14ac:dyDescent="0.25">
      <c r="A23" s="723"/>
      <c r="B23" s="723"/>
      <c r="D23" s="31">
        <f t="shared" ref="D23:D33" si="50">D22+AH22</f>
        <v>37302</v>
      </c>
      <c r="F23" s="28">
        <f t="shared" si="12"/>
        <v>11107</v>
      </c>
      <c r="G23" s="28">
        <f t="shared" si="13"/>
        <v>11071.962898386459</v>
      </c>
      <c r="H23" s="52">
        <f t="shared" si="14"/>
        <v>2.9621483375959081</v>
      </c>
      <c r="I23" s="52">
        <f t="shared" si="15"/>
        <v>3.258</v>
      </c>
      <c r="K23" s="52">
        <f t="shared" si="16"/>
        <v>7.1021718048063507</v>
      </c>
      <c r="L23" s="135">
        <f t="shared" si="17"/>
        <v>3.6689428073124475E-3</v>
      </c>
      <c r="N23" s="131">
        <f t="shared" si="18"/>
        <v>0.90885229823112634</v>
      </c>
      <c r="O23" s="131">
        <f t="shared" si="19"/>
        <v>0.90885229823112634</v>
      </c>
      <c r="P23" s="55">
        <f t="shared" si="20"/>
        <v>0.9965276604974701</v>
      </c>
      <c r="Q23" s="135">
        <f>_xll.xSPRDOPT(I23,H23,AQ23,0,O23,N23,P23,D23-$G$5,1,0)*AH23*AU23</f>
        <v>7.1058407476136631</v>
      </c>
      <c r="R23" s="135"/>
      <c r="S23" s="181">
        <f t="shared" ref="S23:S33" si="51">-T23/(1-AR23)</f>
        <v>-315832.99539364578</v>
      </c>
      <c r="T23" s="181">
        <f>_xll.xSPRDOPT(I23,H23,AQ23,AT23,O23,N23,P23,D23-$G$5,1,1)*AF23*F23*AH23</f>
        <v>308726.75299728877</v>
      </c>
      <c r="U23" s="135"/>
      <c r="V23" s="146">
        <f t="shared" si="21"/>
        <v>10.291034138631716</v>
      </c>
      <c r="W23" s="146"/>
      <c r="X23" s="338">
        <f t="shared" si="22"/>
        <v>0</v>
      </c>
      <c r="Y23" s="338">
        <f t="shared" si="23"/>
        <v>0</v>
      </c>
      <c r="Z23" s="338">
        <f t="shared" si="24"/>
        <v>0.8320462508440869</v>
      </c>
      <c r="AA23" s="338">
        <f t="shared" si="25"/>
        <v>1.0995083373749974</v>
      </c>
      <c r="AB23" s="338">
        <f t="shared" si="26"/>
        <v>0</v>
      </c>
      <c r="AC23" s="338">
        <f t="shared" si="27"/>
        <v>12.528397487818618</v>
      </c>
      <c r="AF23" s="138">
        <f t="shared" si="28"/>
        <v>1</v>
      </c>
      <c r="AG23" s="138">
        <f t="shared" si="29"/>
        <v>2</v>
      </c>
      <c r="AH23" s="138">
        <f t="shared" si="30"/>
        <v>28</v>
      </c>
      <c r="AI23" s="138">
        <f t="shared" ref="AI23:AI33" si="52">AI22+AH22</f>
        <v>46</v>
      </c>
      <c r="AJ23" s="138">
        <f t="shared" si="31"/>
        <v>63</v>
      </c>
      <c r="AL23" s="136">
        <f t="shared" si="32"/>
        <v>2.9079999999999999</v>
      </c>
      <c r="AM23" s="258">
        <f t="shared" si="33"/>
        <v>-0.01</v>
      </c>
      <c r="AN23" s="258">
        <f t="shared" si="34"/>
        <v>-2.5000000000000001E-3</v>
      </c>
      <c r="AO23" s="258">
        <f t="shared" si="35"/>
        <v>0.35</v>
      </c>
      <c r="AP23" s="258">
        <f t="shared" si="36"/>
        <v>0</v>
      </c>
      <c r="AQ23" s="136">
        <f t="shared" si="37"/>
        <v>4.1399999999999999E-2</v>
      </c>
      <c r="AR23" s="137">
        <f t="shared" si="38"/>
        <v>2.2499999999999999E-2</v>
      </c>
      <c r="AS23" s="136">
        <f t="shared" si="39"/>
        <v>2.8955000000000002</v>
      </c>
      <c r="AT23" s="137">
        <f t="shared" si="40"/>
        <v>1.9326187282006298E-2</v>
      </c>
      <c r="AU23" s="137">
        <f t="shared" si="41"/>
        <v>0.99684549368744568</v>
      </c>
      <c r="AV23" s="394">
        <f t="shared" si="42"/>
        <v>7145.3884987516103</v>
      </c>
      <c r="AW23" s="137">
        <f t="shared" si="43"/>
        <v>0.86499999999999999</v>
      </c>
      <c r="AX23" s="137">
        <f t="shared" si="44"/>
        <v>1.04</v>
      </c>
      <c r="AY23" s="137">
        <f t="shared" si="45"/>
        <v>1.04</v>
      </c>
      <c r="AZ23" s="137"/>
      <c r="BA23" s="264"/>
      <c r="BB23" s="258">
        <f t="shared" si="46"/>
        <v>0</v>
      </c>
      <c r="BC23" s="258">
        <f t="shared" si="47"/>
        <v>0</v>
      </c>
      <c r="BD23" s="137">
        <f t="shared" si="48"/>
        <v>2.0401162808982853E-3</v>
      </c>
      <c r="BE23" s="137">
        <f t="shared" si="49"/>
        <v>2.0401162808982853E-3</v>
      </c>
      <c r="BF23" s="137">
        <f>_xll.xSPRDOPT($BW23,$BV23,$CG23,0,$BY23,$BX23,$BZ23,$AJ23,1,4)*$CB23</f>
        <v>0.16841222621720775</v>
      </c>
      <c r="BG23" s="137">
        <f>_xll.xSPRDOPT($BW23,$BV23,$CG23,0,$BY23,$BX23,$BZ23,$AJ23,1,3)*$CB23</f>
        <v>0.14374345373358782</v>
      </c>
      <c r="BH23" s="137">
        <f>IF(OR(BF23&lt;&gt;0,BG23&lt;&gt;0),_xll.xSPRDOPT($BW23,$BV23,$CG23,0,$BY23,$BX23,$BZ23,$AJ23,1,12)*$CB23,0)</f>
        <v>-0.15558433964639651</v>
      </c>
      <c r="BI23" s="137">
        <f>_xll.xSPRDOPT($BW23,$BV23,$CG23,2*LN(1+CA23/2),$BY23,$BX23,$BZ23,$AJ23,1,9)</f>
        <v>3.257329066620393E-4</v>
      </c>
      <c r="BJ23" s="137">
        <f>_xll.xSPRDOPT($BW23,$BV23,$CG23,0,$BY23,$BX23,$BZ23,$AJ23,1,6)*$CB23</f>
        <v>-2.8932022930355464E-3</v>
      </c>
      <c r="BK23" s="137">
        <f>_xll.xSPRDOPT($BW23,$BV23,$CG23,0,$BY23,$BX23,$BZ23,$AJ23,1,5)*$CB23</f>
        <v>4.6261633444351236E-3</v>
      </c>
      <c r="BL23" s="137">
        <f>_xll.xSPRDOPT(BW23,BV23,CG23,0,BY23,BX23,BZ23,AJ23,1,2)*CB23</f>
        <v>-0.99098766467016886</v>
      </c>
      <c r="BM23" s="137">
        <f>_xll.xSPRDOPT(BW23,BV23,CG23,0,BY23,BX23,BZ23,AJ23,1,1)*CB23</f>
        <v>0.99147298694517216</v>
      </c>
      <c r="BN23" s="137">
        <f>IF(AH23&lt;&gt;0,_xll.xSPRDOPT($BW23,$BV23,$CG23,2*LN(1+CA23/2),$BY23,$BX23,$BZ23,$AJ23,1,8)+(AJ23/365.25)*CH23/AH23,0)</f>
        <v>1.9610689001091024E-2</v>
      </c>
      <c r="BO23" s="137">
        <f>_xll.xSPRDOPT($BW23,$BV23,$CG23,0,$BY23,$BX23,$BZ23,$AJ23,1,0)</f>
        <v>0.25462688917173776</v>
      </c>
      <c r="BP23" s="137"/>
      <c r="BQ23" s="137"/>
      <c r="BR23" s="137"/>
      <c r="BS23" s="137"/>
      <c r="BV23" s="262">
        <v>2.9621483375959081</v>
      </c>
      <c r="BW23" s="136">
        <v>3.258</v>
      </c>
      <c r="BX23" s="137">
        <v>0.90681218195022806</v>
      </c>
      <c r="BY23" s="137">
        <v>0.90681218195022806</v>
      </c>
      <c r="BZ23" s="137">
        <v>0.99646146856241391</v>
      </c>
      <c r="CA23" s="137">
        <v>1.9326187282006298E-2</v>
      </c>
      <c r="CB23" s="137">
        <v>0.99668802984454063</v>
      </c>
      <c r="CC23" s="258">
        <v>-0.01</v>
      </c>
      <c r="CD23" s="258">
        <v>-2.5000000000000001E-3</v>
      </c>
      <c r="CE23" s="258">
        <v>0.35</v>
      </c>
      <c r="CF23" s="258">
        <v>0</v>
      </c>
      <c r="CG23" s="258">
        <v>4.1399999999999999E-2</v>
      </c>
      <c r="CH23" s="258">
        <v>10.2894085449031</v>
      </c>
      <c r="CI23" s="258">
        <v>2.9079999999999999</v>
      </c>
      <c r="CJ23" s="258"/>
      <c r="CK23" s="258"/>
      <c r="CL23" s="258"/>
      <c r="CM23" s="258"/>
    </row>
    <row r="24" spans="1:91" x14ac:dyDescent="0.25">
      <c r="A24" s="723"/>
      <c r="B24" s="723"/>
      <c r="D24" s="31">
        <f t="shared" si="50"/>
        <v>37330</v>
      </c>
      <c r="F24" s="28">
        <f t="shared" si="12"/>
        <v>11107</v>
      </c>
      <c r="G24" s="28">
        <f t="shared" si="13"/>
        <v>11055.789952591376</v>
      </c>
      <c r="H24" s="52">
        <f t="shared" si="14"/>
        <v>2.9560102301790283</v>
      </c>
      <c r="I24" s="52">
        <f t="shared" si="15"/>
        <v>3.302</v>
      </c>
      <c r="K24" s="52">
        <f t="shared" si="16"/>
        <v>9.3987481788343743</v>
      </c>
      <c r="L24" s="135">
        <f t="shared" si="17"/>
        <v>4.8447461637124434E-5</v>
      </c>
      <c r="N24" s="131">
        <f t="shared" si="18"/>
        <v>0.79</v>
      </c>
      <c r="O24" s="131">
        <f t="shared" si="19"/>
        <v>0.79</v>
      </c>
      <c r="P24" s="55">
        <f t="shared" si="20"/>
        <v>0.99793296089385497</v>
      </c>
      <c r="Q24" s="135">
        <f>_xll.xSPRDOPT(I24,H24,AQ24,0,O24,N24,P24,D24-$G$5,1,0)*AH24*AU24</f>
        <v>9.3987966262960114</v>
      </c>
      <c r="R24" s="135"/>
      <c r="S24" s="181">
        <f t="shared" si="51"/>
        <v>-350584.42118237319</v>
      </c>
      <c r="T24" s="181">
        <f>_xll.xSPRDOPT(I24,H24,AQ24,AT24,O24,N24,P24,D24-$G$5,1,1)*AF24*F24*AH24</f>
        <v>342696.27170576982</v>
      </c>
      <c r="U24" s="135"/>
      <c r="V24" s="146">
        <f t="shared" si="21"/>
        <v>11.377002108682241</v>
      </c>
      <c r="W24" s="146"/>
      <c r="X24" s="338">
        <f t="shared" si="22"/>
        <v>0</v>
      </c>
      <c r="Y24" s="338">
        <f t="shared" si="23"/>
        <v>0</v>
      </c>
      <c r="Z24" s="338">
        <f t="shared" si="24"/>
        <v>16.244232054129707</v>
      </c>
      <c r="AA24" s="338">
        <f t="shared" si="25"/>
        <v>0</v>
      </c>
      <c r="AB24" s="338">
        <f t="shared" si="26"/>
        <v>0</v>
      </c>
      <c r="AC24" s="338">
        <f t="shared" si="27"/>
        <v>16.522880739534454</v>
      </c>
      <c r="AF24" s="138">
        <f t="shared" si="28"/>
        <v>1</v>
      </c>
      <c r="AG24" s="138">
        <f t="shared" si="29"/>
        <v>3</v>
      </c>
      <c r="AH24" s="138">
        <f t="shared" si="30"/>
        <v>31</v>
      </c>
      <c r="AI24" s="138">
        <f t="shared" si="52"/>
        <v>74</v>
      </c>
      <c r="AJ24" s="138">
        <f t="shared" si="31"/>
        <v>91</v>
      </c>
      <c r="AL24" s="136">
        <f t="shared" si="32"/>
        <v>2.9020000000000001</v>
      </c>
      <c r="AM24" s="258">
        <f t="shared" si="33"/>
        <v>-0.01</v>
      </c>
      <c r="AN24" s="258">
        <f t="shared" si="34"/>
        <v>-2.5000000000000001E-3</v>
      </c>
      <c r="AO24" s="258">
        <f t="shared" si="35"/>
        <v>0.4</v>
      </c>
      <c r="AP24" s="258">
        <f t="shared" si="36"/>
        <v>0</v>
      </c>
      <c r="AQ24" s="136">
        <f t="shared" si="37"/>
        <v>4.1399999999999999E-2</v>
      </c>
      <c r="AR24" s="137">
        <f t="shared" si="38"/>
        <v>2.2499999999999999E-2</v>
      </c>
      <c r="AS24" s="136">
        <f t="shared" si="39"/>
        <v>2.8895000000000004</v>
      </c>
      <c r="AT24" s="137">
        <f t="shared" si="40"/>
        <v>1.9273175363903501E-2</v>
      </c>
      <c r="AU24" s="137">
        <f t="shared" si="41"/>
        <v>0.99538938980745262</v>
      </c>
      <c r="AV24" s="394">
        <f t="shared" si="42"/>
        <v>7899.4101975119438</v>
      </c>
      <c r="AW24" s="137">
        <f t="shared" si="43"/>
        <v>0.79</v>
      </c>
      <c r="AX24" s="137">
        <f t="shared" si="44"/>
        <v>0.79</v>
      </c>
      <c r="AY24" s="137">
        <f t="shared" si="45"/>
        <v>0.79</v>
      </c>
      <c r="AZ24" s="137"/>
      <c r="BA24" s="264"/>
      <c r="BB24" s="258">
        <f t="shared" si="46"/>
        <v>0</v>
      </c>
      <c r="BC24" s="258">
        <f t="shared" si="47"/>
        <v>0</v>
      </c>
      <c r="BD24" s="137">
        <f t="shared" si="48"/>
        <v>0</v>
      </c>
      <c r="BE24" s="137">
        <f t="shared" si="49"/>
        <v>0</v>
      </c>
      <c r="BF24" s="137">
        <f>_xll.xSPRDOPT($BW24,$BV24,$CG24,0,$BY24,$BX24,$BZ24,$AJ24,1,4)*$CB24</f>
        <v>5.3881411728993632E-3</v>
      </c>
      <c r="BG24" s="137">
        <f>_xll.xSPRDOPT($BW24,$BV24,$CG24,0,$BY24,$BX24,$BZ24,$AJ24,1,3)*$CB24</f>
        <v>4.5029336745094715E-3</v>
      </c>
      <c r="BH24" s="137">
        <f>IF(OR(BF24&lt;&gt;0,BG24&lt;&gt;0),_xll.xSPRDOPT($BW24,$BV24,$CG24,0,$BY24,$BX24,$BZ24,$AJ24,1,12)*$CB24,0)</f>
        <v>-4.9260668427111749E-3</v>
      </c>
      <c r="BI24" s="137">
        <f>_xll.xSPRDOPT($BW24,$BV24,$CG24,2*LN(1+CA24/2),$BY24,$BX24,$BZ24,$AJ24,1,9)</f>
        <v>5.743937280442998E-3</v>
      </c>
      <c r="BJ24" s="137">
        <f>_xll.xSPRDOPT($BW24,$BV24,$CG24,0,$BY24,$BX24,$BZ24,$AJ24,1,6)*$CB24</f>
        <v>-1.75887741042598E-4</v>
      </c>
      <c r="BK24" s="137">
        <f>_xll.xSPRDOPT($BW24,$BV24,$CG24,0,$BY24,$BX24,$BZ24,$AJ24,1,5)*$CB24</f>
        <v>2.2039245487744222E-4</v>
      </c>
      <c r="BL24" s="137">
        <f>_xll.xSPRDOPT(BW24,BV24,CG24,0,BY24,BX24,BZ24,AJ24,1,2)*CB24</f>
        <v>-0.99512268216910849</v>
      </c>
      <c r="BM24" s="137">
        <f>_xll.xSPRDOPT(BW24,BV24,CG24,0,BY24,BX24,BZ24,AJ24,1,1)*CB24</f>
        <v>0.99513262605728636</v>
      </c>
      <c r="BN24" s="137">
        <f>IF(AH24&lt;&gt;0,_xll.xSPRDOPT($BW24,$BV24,$CG24,2*LN(1+CA24/2),$BY24,$BX24,$BZ24,$AJ24,1,8)+(AJ24/365.25)*CH24/AH24,0)</f>
        <v>1.5896018649605992E-2</v>
      </c>
      <c r="BO24" s="137">
        <f>_xll.xSPRDOPT($BW24,$BV24,$CG24,0,$BY24,$BX24,$BZ24,$AJ24,1,0)</f>
        <v>0.30459194379934834</v>
      </c>
      <c r="BP24" s="137"/>
      <c r="BQ24" s="137"/>
      <c r="BR24" s="137"/>
      <c r="BS24" s="137"/>
      <c r="BV24" s="262">
        <v>2.9560102301790283</v>
      </c>
      <c r="BW24" s="136">
        <v>3.302</v>
      </c>
      <c r="BX24" s="137">
        <v>0.79</v>
      </c>
      <c r="BY24" s="137">
        <v>0.79</v>
      </c>
      <c r="BZ24" s="137">
        <v>0.99791891891891904</v>
      </c>
      <c r="CA24" s="137">
        <v>1.9273175363903501E-2</v>
      </c>
      <c r="CB24" s="137">
        <v>0.99523258517239033</v>
      </c>
      <c r="CC24" s="258">
        <v>-0.01</v>
      </c>
      <c r="CD24" s="258">
        <v>-2.5000000000000001E-3</v>
      </c>
      <c r="CE24" s="258">
        <v>0.4</v>
      </c>
      <c r="CF24" s="258">
        <v>0</v>
      </c>
      <c r="CG24" s="258">
        <v>4.1399999999999999E-2</v>
      </c>
      <c r="CH24" s="258">
        <v>11.375209878744871</v>
      </c>
      <c r="CI24" s="258">
        <v>2.9020000000000001</v>
      </c>
      <c r="CJ24" s="258"/>
      <c r="CK24" s="258"/>
      <c r="CL24" s="258"/>
      <c r="CM24" s="258"/>
    </row>
    <row r="25" spans="1:91" x14ac:dyDescent="0.25">
      <c r="A25" s="723"/>
      <c r="B25" s="723"/>
      <c r="D25" s="31">
        <f t="shared" si="50"/>
        <v>37361</v>
      </c>
      <c r="F25" s="28">
        <f t="shared" si="12"/>
        <v>5899</v>
      </c>
      <c r="G25" s="28">
        <f t="shared" si="13"/>
        <v>5861.9680708186561</v>
      </c>
      <c r="H25" s="52">
        <f t="shared" si="14"/>
        <v>2.928900255754475</v>
      </c>
      <c r="I25" s="52">
        <f t="shared" si="15"/>
        <v>3.448</v>
      </c>
      <c r="K25" s="52">
        <f t="shared" si="16"/>
        <v>14.24102719887526</v>
      </c>
      <c r="L25" s="135">
        <f t="shared" si="17"/>
        <v>1.6834634006812621E-6</v>
      </c>
      <c r="N25" s="131">
        <f t="shared" si="18"/>
        <v>0.60058305004387191</v>
      </c>
      <c r="O25" s="131">
        <f t="shared" si="19"/>
        <v>0.60058305004387191</v>
      </c>
      <c r="P25" s="55">
        <f t="shared" si="20"/>
        <v>1</v>
      </c>
      <c r="Q25" s="135">
        <f>_xll.xSPRDOPT(I25,H25,AQ25,0,O25,N25,P25,D25-$G$5,1,0)*AH25*AU25</f>
        <v>14.241028882338661</v>
      </c>
      <c r="R25" s="135"/>
      <c r="S25" s="181">
        <f t="shared" si="51"/>
        <v>-179901.47761697375</v>
      </c>
      <c r="T25" s="181">
        <f>_xll.xSPRDOPT(I25,H25,AQ25,AT25,O25,N25,P25,D25-$G$5,1,1)*AF25*F25*AH25</f>
        <v>175853.69437059184</v>
      </c>
      <c r="U25" s="135"/>
      <c r="V25" s="146">
        <f t="shared" si="21"/>
        <v>10.991562778661665</v>
      </c>
      <c r="W25" s="146"/>
      <c r="X25" s="338">
        <f t="shared" si="22"/>
        <v>0</v>
      </c>
      <c r="Y25" s="338">
        <f t="shared" si="23"/>
        <v>0</v>
      </c>
      <c r="Z25" s="338">
        <f t="shared" si="24"/>
        <v>13.334928512104012</v>
      </c>
      <c r="AA25" s="338">
        <f t="shared" si="25"/>
        <v>8.5237018383353614E-7</v>
      </c>
      <c r="AB25" s="338">
        <f t="shared" si="26"/>
        <v>0</v>
      </c>
      <c r="AC25" s="338">
        <f t="shared" si="27"/>
        <v>13.399546752562156</v>
      </c>
      <c r="AF25" s="138">
        <f t="shared" si="28"/>
        <v>1</v>
      </c>
      <c r="AG25" s="138">
        <f t="shared" si="29"/>
        <v>4</v>
      </c>
      <c r="AH25" s="138">
        <f t="shared" si="30"/>
        <v>30</v>
      </c>
      <c r="AI25" s="138">
        <f t="shared" si="52"/>
        <v>105</v>
      </c>
      <c r="AJ25" s="138">
        <f t="shared" si="31"/>
        <v>122</v>
      </c>
      <c r="AL25" s="136">
        <f t="shared" si="32"/>
        <v>2.8479999999999999</v>
      </c>
      <c r="AM25" s="258">
        <f t="shared" si="33"/>
        <v>0.01</v>
      </c>
      <c r="AN25" s="258">
        <f t="shared" si="34"/>
        <v>5.0000000000000001E-3</v>
      </c>
      <c r="AO25" s="258">
        <f t="shared" si="35"/>
        <v>0.6</v>
      </c>
      <c r="AP25" s="258">
        <f t="shared" si="36"/>
        <v>0</v>
      </c>
      <c r="AQ25" s="136">
        <f t="shared" si="37"/>
        <v>4.1399999999999999E-2</v>
      </c>
      <c r="AR25" s="137">
        <f t="shared" si="38"/>
        <v>2.2499999999999999E-2</v>
      </c>
      <c r="AS25" s="136">
        <f t="shared" si="39"/>
        <v>2.8629999999999995</v>
      </c>
      <c r="AT25" s="137">
        <f t="shared" si="40"/>
        <v>1.9422640119623601E-2</v>
      </c>
      <c r="AU25" s="137">
        <f t="shared" si="41"/>
        <v>0.99372233782313213</v>
      </c>
      <c r="AV25" s="394">
        <f t="shared" si="42"/>
        <v>4054.3871383183791</v>
      </c>
      <c r="AW25" s="137">
        <f t="shared" si="43"/>
        <v>0.61</v>
      </c>
      <c r="AX25" s="137">
        <f t="shared" si="44"/>
        <v>0.53</v>
      </c>
      <c r="AY25" s="137">
        <f t="shared" si="45"/>
        <v>0.53</v>
      </c>
      <c r="AZ25" s="137"/>
      <c r="BA25" s="264"/>
      <c r="BB25" s="258">
        <f t="shared" si="46"/>
        <v>0</v>
      </c>
      <c r="BC25" s="258">
        <f t="shared" si="47"/>
        <v>0</v>
      </c>
      <c r="BD25" s="137">
        <f t="shared" si="48"/>
        <v>-2.3143778118694946E-4</v>
      </c>
      <c r="BE25" s="137">
        <f t="shared" si="49"/>
        <v>-2.3143778118694946E-4</v>
      </c>
      <c r="BF25" s="137">
        <f>_xll.xSPRDOPT($BW25,$BV25,$CG25,0,$BY25,$BX25,$BZ25,$AJ25,1,4)*$CB25</f>
        <v>-9.4753702902792212E-7</v>
      </c>
      <c r="BG25" s="137">
        <f>_xll.xSPRDOPT($BW25,$BV25,$CG25,0,$BY25,$BX25,$BZ25,$AJ25,1,3)*$CB25</f>
        <v>-1.1844212862849028E-7</v>
      </c>
      <c r="BH25" s="137">
        <f>IF(OR(BF25&lt;&gt;0,BG25&lt;&gt;0),_xll.xSPRDOPT($BW25,$BV25,$CG25,0,$BY25,$BX25,$BZ25,$AJ25,1,12)*$CB25,0)</f>
        <v>6.514317074566965E-7</v>
      </c>
      <c r="BI25" s="137">
        <f>_xll.xSPRDOPT($BW25,$BV25,$CG25,2*LN(1+CA25/2),$BY25,$BX25,$BZ25,$AJ25,1,9)</f>
        <v>9.174026933088452E-3</v>
      </c>
      <c r="BJ25" s="137">
        <f>_xll.xSPRDOPT($BW25,$BV25,$CG25,0,$BY25,$BX25,$BZ25,$AJ25,1,6)*$CB25</f>
        <v>1.1744028573944362E-7</v>
      </c>
      <c r="BK25" s="137">
        <f>_xll.xSPRDOPT($BW25,$BV25,$CG25,0,$BY25,$BX25,$BZ25,$AJ25,1,5)*$CB25</f>
        <v>-1.3825135246233138E-7</v>
      </c>
      <c r="BL25" s="137">
        <f>_xll.xSPRDOPT(BW25,BV25,CG25,0,BY25,BX25,BZ25,AJ25,1,2)*CB25</f>
        <v>-0.99356470592463331</v>
      </c>
      <c r="BM25" s="137">
        <f>_xll.xSPRDOPT(BW25,BV25,CG25,0,BY25,BX25,BZ25,AJ25,1,1)*CB25</f>
        <v>0.99356470590746404</v>
      </c>
      <c r="BN25" s="137">
        <f>IF(AH25&lt;&gt;0,_xll.xSPRDOPT($BW25,$BV25,$CG25,2*LN(1+CA25/2),$BY25,$BX25,$BZ25,$AJ25,1,8)+(AJ25/365.25)*CH25/AH25,0)</f>
        <v>-3.6173573476562526E-2</v>
      </c>
      <c r="BO25" s="137">
        <f>_xll.xSPRDOPT($BW25,$BV25,$CG25,0,$BY25,$BX25,$BZ25,$AJ25,1,0)</f>
        <v>0.47769980055596445</v>
      </c>
      <c r="BP25" s="137"/>
      <c r="BQ25" s="137"/>
      <c r="BR25" s="137"/>
      <c r="BS25" s="137"/>
      <c r="BV25" s="262">
        <v>2.928900255754475</v>
      </c>
      <c r="BW25" s="136">
        <v>3.448</v>
      </c>
      <c r="BX25" s="137">
        <v>0.60081448782505886</v>
      </c>
      <c r="BY25" s="137">
        <v>0.60081448782505886</v>
      </c>
      <c r="BZ25" s="137">
        <v>1</v>
      </c>
      <c r="CA25" s="137">
        <v>1.9422640119623601E-2</v>
      </c>
      <c r="CB25" s="137">
        <v>0.99356458774998258</v>
      </c>
      <c r="CC25" s="258">
        <v>0.01</v>
      </c>
      <c r="CD25" s="258">
        <v>5.0000000000000001E-3</v>
      </c>
      <c r="CE25" s="258">
        <v>0.6</v>
      </c>
      <c r="CF25" s="258">
        <v>0</v>
      </c>
      <c r="CG25" s="258">
        <v>4.1399999999999999E-2</v>
      </c>
      <c r="CH25" s="258">
        <v>10.989817905102557</v>
      </c>
      <c r="CI25" s="258">
        <v>2.8479999999999999</v>
      </c>
      <c r="CJ25" s="258"/>
      <c r="CK25" s="258"/>
      <c r="CL25" s="258"/>
      <c r="CM25" s="258"/>
    </row>
    <row r="26" spans="1:91" x14ac:dyDescent="0.25">
      <c r="A26" s="723"/>
      <c r="B26" s="723"/>
      <c r="D26" s="31">
        <f t="shared" si="50"/>
        <v>37391</v>
      </c>
      <c r="F26" s="28">
        <f t="shared" si="12"/>
        <v>5895</v>
      </c>
      <c r="G26" s="28">
        <f t="shared" si="13"/>
        <v>5848.016418198692</v>
      </c>
      <c r="H26" s="52">
        <f t="shared" si="14"/>
        <v>2.9780051150895135</v>
      </c>
      <c r="I26" s="52">
        <f t="shared" si="15"/>
        <v>3.6459999999999999</v>
      </c>
      <c r="K26" s="52">
        <f t="shared" si="16"/>
        <v>19.269627211194432</v>
      </c>
      <c r="L26" s="135">
        <f t="shared" si="17"/>
        <v>2.2441086144908695E-6</v>
      </c>
      <c r="N26" s="131">
        <f t="shared" si="18"/>
        <v>0.57775797476853397</v>
      </c>
      <c r="O26" s="131">
        <f t="shared" si="19"/>
        <v>0.57775797476853397</v>
      </c>
      <c r="P26" s="55">
        <f t="shared" si="20"/>
        <v>0.99999999999999989</v>
      </c>
      <c r="Q26" s="135">
        <f>_xll.xSPRDOPT(I26,H26,AQ26,0,O26,N26,P26,D26-$G$5,1,0)*AH26*AU26</f>
        <v>19.269629455303047</v>
      </c>
      <c r="R26" s="135"/>
      <c r="S26" s="181">
        <f t="shared" si="51"/>
        <v>-185454.11058881198</v>
      </c>
      <c r="T26" s="181">
        <f>_xll.xSPRDOPT(I26,H26,AQ26,AT26,O26,N26,P26,D26-$G$5,1,1)*AF26*F26*AH26</f>
        <v>181281.39310056373</v>
      </c>
      <c r="U26" s="135"/>
      <c r="V26" s="146">
        <f t="shared" si="21"/>
        <v>11.338604453788905</v>
      </c>
      <c r="W26" s="146"/>
      <c r="X26" s="338">
        <f t="shared" si="22"/>
        <v>0</v>
      </c>
      <c r="Y26" s="338">
        <f t="shared" si="23"/>
        <v>0</v>
      </c>
      <c r="Z26" s="338">
        <f t="shared" si="24"/>
        <v>18.298763594903168</v>
      </c>
      <c r="AA26" s="338">
        <f t="shared" si="25"/>
        <v>-2.9463503995538716E-8</v>
      </c>
      <c r="AB26" s="338">
        <f t="shared" si="26"/>
        <v>0</v>
      </c>
      <c r="AC26" s="338">
        <f t="shared" si="27"/>
        <v>18.38875972629496</v>
      </c>
      <c r="AF26" s="138">
        <f t="shared" si="28"/>
        <v>1</v>
      </c>
      <c r="AG26" s="138">
        <f t="shared" si="29"/>
        <v>5</v>
      </c>
      <c r="AH26" s="138">
        <f t="shared" si="30"/>
        <v>31</v>
      </c>
      <c r="AI26" s="138">
        <f t="shared" si="52"/>
        <v>135</v>
      </c>
      <c r="AJ26" s="138">
        <f t="shared" si="31"/>
        <v>152</v>
      </c>
      <c r="AL26" s="136">
        <f t="shared" si="32"/>
        <v>2.8959999999999999</v>
      </c>
      <c r="AM26" s="258">
        <f t="shared" si="33"/>
        <v>0.01</v>
      </c>
      <c r="AN26" s="258">
        <f t="shared" si="34"/>
        <v>5.0000000000000001E-3</v>
      </c>
      <c r="AO26" s="258">
        <f t="shared" si="35"/>
        <v>0.75</v>
      </c>
      <c r="AP26" s="258">
        <f t="shared" si="36"/>
        <v>0</v>
      </c>
      <c r="AQ26" s="136">
        <f t="shared" si="37"/>
        <v>4.1399999999999999E-2</v>
      </c>
      <c r="AR26" s="137">
        <f t="shared" si="38"/>
        <v>2.2499999999999999E-2</v>
      </c>
      <c r="AS26" s="136">
        <f t="shared" si="39"/>
        <v>2.9109999999999996</v>
      </c>
      <c r="AT26" s="137">
        <f t="shared" si="40"/>
        <v>1.9712159578257001E-2</v>
      </c>
      <c r="AU26" s="137">
        <f t="shared" si="41"/>
        <v>0.99202992675126245</v>
      </c>
      <c r="AV26" s="394">
        <f t="shared" si="42"/>
        <v>4182.3981711833221</v>
      </c>
      <c r="AW26" s="137">
        <f t="shared" si="43"/>
        <v>0.57750000000000001</v>
      </c>
      <c r="AX26" s="137">
        <f t="shared" si="44"/>
        <v>0.57999999999999996</v>
      </c>
      <c r="AY26" s="137">
        <f t="shared" si="45"/>
        <v>0.57999999999999996</v>
      </c>
      <c r="AZ26" s="137"/>
      <c r="BA26" s="264"/>
      <c r="BB26" s="258">
        <f t="shared" si="46"/>
        <v>0</v>
      </c>
      <c r="BC26" s="258">
        <f t="shared" si="47"/>
        <v>0</v>
      </c>
      <c r="BD26" s="137">
        <f t="shared" si="48"/>
        <v>5.0407485243653127E-6</v>
      </c>
      <c r="BE26" s="137">
        <f t="shared" si="49"/>
        <v>5.0407485243653127E-6</v>
      </c>
      <c r="BF26" s="137">
        <f>_xll.xSPRDOPT($BW26,$BV26,$CG26,0,$BY26,$BX26,$BZ26,$AJ26,1,4)*$CB26</f>
        <v>-4.7296052434070991E-7</v>
      </c>
      <c r="BG26" s="137">
        <f>_xll.xSPRDOPT($BW26,$BV26,$CG26,0,$BY26,$BX26,$BZ26,$AJ26,1,3)*$CB26</f>
        <v>-2.3648026217035498E-7</v>
      </c>
      <c r="BH26" s="137">
        <f>IF(OR(BF26&lt;&gt;0,BG26&lt;&gt;0),_xll.xSPRDOPT($BW26,$BV26,$CG26,0,$BY26,$BX26,$BZ26,$AJ26,1,12)*$CB26,0)</f>
        <v>0</v>
      </c>
      <c r="BI26" s="137">
        <f>_xll.xSPRDOPT($BW26,$BV26,$CG26,2*LN(1+CA26/2),$BY26,$BX26,$BZ26,$AJ26,1,9)</f>
        <v>1.2191165108098503E-2</v>
      </c>
      <c r="BJ26" s="137">
        <f>_xll.xSPRDOPT($BW26,$BV26,$CG26,0,$BY26,$BX26,$BZ26,$AJ26,1,6)*$CB26</f>
        <v>1.4259719102495525E-7</v>
      </c>
      <c r="BK26" s="137">
        <f>_xll.xSPRDOPT($BW26,$BV26,$CG26,0,$BY26,$BX26,$BZ26,$AJ26,1,5)*$CB26</f>
        <v>-1.7458200725751011E-7</v>
      </c>
      <c r="BL26" s="137">
        <f>_xll.xSPRDOPT(BW26,BV26,CG26,0,BY26,BX26,BZ26,AJ26,1,2)*CB26</f>
        <v>-0.99187022569123051</v>
      </c>
      <c r="BM26" s="137">
        <f>_xll.xSPRDOPT(BW26,BV26,CG26,0,BY26,BX26,BZ26,AJ26,1,1)*CB26</f>
        <v>0.99187022568942629</v>
      </c>
      <c r="BN26" s="137">
        <f>IF(AH26&lt;&gt;0,_xll.xSPRDOPT($BW26,$BV26,$CG26,2*LN(1+CA26/2),$BY26,$BX26,$BZ26,$AJ26,1,8)+(AJ26/365.25)*CH26/AH26,0)</f>
        <v>-0.10645131168069075</v>
      </c>
      <c r="BO26" s="137">
        <f>_xll.xSPRDOPT($BW26,$BV26,$CG26,0,$BY26,$BX26,$BZ26,$AJ26,1,0)</f>
        <v>0.62659495769895845</v>
      </c>
      <c r="BP26" s="137"/>
      <c r="BQ26" s="137"/>
      <c r="BR26" s="137"/>
      <c r="BS26" s="137"/>
      <c r="BV26" s="262">
        <v>2.9780051150895135</v>
      </c>
      <c r="BW26" s="136">
        <v>3.6459999999999999</v>
      </c>
      <c r="BX26" s="137">
        <v>0.5777529340200096</v>
      </c>
      <c r="BY26" s="137">
        <v>0.5777529340200096</v>
      </c>
      <c r="BZ26" s="137">
        <v>1</v>
      </c>
      <c r="CA26" s="137">
        <v>1.9712159578257001E-2</v>
      </c>
      <c r="CB26" s="137">
        <v>0.99187010954216859</v>
      </c>
      <c r="CC26" s="258">
        <v>0.01</v>
      </c>
      <c r="CD26" s="258">
        <v>5.0000000000000001E-3</v>
      </c>
      <c r="CE26" s="258">
        <v>0.75</v>
      </c>
      <c r="CF26" s="258">
        <v>0</v>
      </c>
      <c r="CG26" s="258">
        <v>4.1399999999999999E-2</v>
      </c>
      <c r="CH26" s="258">
        <v>11.336777791034125</v>
      </c>
      <c r="CI26" s="258">
        <v>2.8959999999999999</v>
      </c>
      <c r="CJ26" s="258"/>
      <c r="CK26" s="258"/>
      <c r="CL26" s="258"/>
      <c r="CM26" s="258"/>
    </row>
    <row r="27" spans="1:91" x14ac:dyDescent="0.25">
      <c r="A27" s="726"/>
      <c r="B27" s="726"/>
      <c r="C27" s="726"/>
      <c r="D27" s="31">
        <f t="shared" si="50"/>
        <v>37422</v>
      </c>
      <c r="F27" s="28">
        <f t="shared" si="12"/>
        <v>5895</v>
      </c>
      <c r="G27" s="28">
        <f t="shared" si="13"/>
        <v>5837.4362270713609</v>
      </c>
      <c r="H27" s="52">
        <f t="shared" si="14"/>
        <v>3.0317135549872125</v>
      </c>
      <c r="I27" s="52">
        <f t="shared" si="15"/>
        <v>3.7960000000000003</v>
      </c>
      <c r="K27" s="52">
        <f t="shared" si="16"/>
        <v>21.474827084867563</v>
      </c>
      <c r="L27" s="135">
        <f t="shared" si="17"/>
        <v>2.4737900048421579E-6</v>
      </c>
      <c r="N27" s="131">
        <f t="shared" si="18"/>
        <v>0.5502663217587267</v>
      </c>
      <c r="O27" s="131">
        <f t="shared" si="19"/>
        <v>0.5502663217587267</v>
      </c>
      <c r="P27" s="55">
        <f t="shared" si="20"/>
        <v>0.99999999999999978</v>
      </c>
      <c r="Q27" s="135">
        <f>_xll.xSPRDOPT(I27,H27,AQ27,0,O27,N27,P27,D27-$G$5,1,0)*AH27*AU27</f>
        <v>21.474829558657568</v>
      </c>
      <c r="R27" s="135"/>
      <c r="S27" s="181">
        <f t="shared" si="51"/>
        <v>-179145.29357787815</v>
      </c>
      <c r="T27" s="181">
        <f>_xll.xSPRDOPT(I27,H27,AQ27,AT27,O27,N27,P27,D27-$G$5,1,1)*AF27*F27*AH27</f>
        <v>175114.5244723759</v>
      </c>
      <c r="U27" s="135"/>
      <c r="V27" s="146">
        <f t="shared" si="21"/>
        <v>10.952991027588858</v>
      </c>
      <c r="W27" s="146"/>
      <c r="X27" s="338">
        <f t="shared" si="22"/>
        <v>0</v>
      </c>
      <c r="Y27" s="338">
        <f t="shared" si="23"/>
        <v>0</v>
      </c>
      <c r="Z27" s="338">
        <f t="shared" si="24"/>
        <v>20.700769368990475</v>
      </c>
      <c r="AA27" s="338">
        <f t="shared" si="25"/>
        <v>-3.3279441696392506E-7</v>
      </c>
      <c r="AB27" s="338">
        <f t="shared" si="26"/>
        <v>0</v>
      </c>
      <c r="AC27" s="338">
        <f t="shared" si="27"/>
        <v>20.804126460143841</v>
      </c>
      <c r="AF27" s="138">
        <f t="shared" si="28"/>
        <v>1</v>
      </c>
      <c r="AG27" s="138">
        <f t="shared" si="29"/>
        <v>6</v>
      </c>
      <c r="AH27" s="138">
        <f t="shared" si="30"/>
        <v>30</v>
      </c>
      <c r="AI27" s="138">
        <f t="shared" si="52"/>
        <v>166</v>
      </c>
      <c r="AJ27" s="138">
        <f t="shared" si="31"/>
        <v>183</v>
      </c>
      <c r="AL27" s="136">
        <f t="shared" si="32"/>
        <v>2.9460000000000002</v>
      </c>
      <c r="AM27" s="258">
        <f t="shared" si="33"/>
        <v>1.2500000000000001E-2</v>
      </c>
      <c r="AN27" s="258">
        <f t="shared" si="34"/>
        <v>5.0000000000000001E-3</v>
      </c>
      <c r="AO27" s="258">
        <f t="shared" si="35"/>
        <v>0.85</v>
      </c>
      <c r="AP27" s="258">
        <f t="shared" si="36"/>
        <v>0</v>
      </c>
      <c r="AQ27" s="136">
        <f t="shared" si="37"/>
        <v>4.1399999999999999E-2</v>
      </c>
      <c r="AR27" s="137">
        <f t="shared" si="38"/>
        <v>2.2499999999999999E-2</v>
      </c>
      <c r="AS27" s="136">
        <f t="shared" si="39"/>
        <v>2.9635000000000002</v>
      </c>
      <c r="AT27" s="137">
        <f t="shared" si="40"/>
        <v>2.0011329715354399E-2</v>
      </c>
      <c r="AU27" s="137">
        <f t="shared" si="41"/>
        <v>0.99023515302313159</v>
      </c>
      <c r="AV27" s="394">
        <f t="shared" si="42"/>
        <v>4040.159424334377</v>
      </c>
      <c r="AW27" s="137">
        <f t="shared" si="43"/>
        <v>0.54749999999999999</v>
      </c>
      <c r="AX27" s="137">
        <f t="shared" si="44"/>
        <v>0.57999999999999996</v>
      </c>
      <c r="AY27" s="137">
        <f t="shared" si="45"/>
        <v>0.57999999999999996</v>
      </c>
      <c r="AZ27" s="137"/>
      <c r="BA27" s="264"/>
      <c r="BB27" s="258">
        <f t="shared" si="46"/>
        <v>0</v>
      </c>
      <c r="BC27" s="258">
        <f t="shared" si="47"/>
        <v>0</v>
      </c>
      <c r="BD27" s="137">
        <f t="shared" si="48"/>
        <v>4.4991539458583141E-5</v>
      </c>
      <c r="BE27" s="137">
        <f t="shared" si="49"/>
        <v>4.4991539458583141E-5</v>
      </c>
      <c r="BF27" s="137">
        <f>_xll.xSPRDOPT($BW27,$BV27,$CG27,0,$BY27,$BX27,$BZ27,$AJ27,1,4)*$CB27</f>
        <v>1.6523629455852076E-6</v>
      </c>
      <c r="BG27" s="137">
        <f>_xll.xSPRDOPT($BW27,$BV27,$CG27,0,$BY27,$BX27,$BZ27,$AJ27,1,3)*$CB27</f>
        <v>9.442073974772615E-7</v>
      </c>
      <c r="BH27" s="137">
        <f>IF(OR(BF27&lt;&gt;0,BG27&lt;&gt;0),_xll.xSPRDOPT($BW27,$BV27,$CG27,0,$BY27,$BX27,$BZ27,$AJ27,1,12)*$CB27,0)</f>
        <v>-4.7210369873863075E-7</v>
      </c>
      <c r="BI27" s="137">
        <f>_xll.xSPRDOPT($BW27,$BV27,$CG27,2*LN(1+CA27/2),$BY27,$BX27,$BZ27,$AJ27,1,9)</f>
        <v>1.4251165794032176E-2</v>
      </c>
      <c r="BJ27" s="137">
        <f>_xll.xSPRDOPT($BW27,$BV27,$CG27,0,$BY27,$BX27,$BZ27,$AJ27,1,6)*$CB27</f>
        <v>1.659725880471379E-7</v>
      </c>
      <c r="BK27" s="137">
        <f>_xll.xSPRDOPT($BW27,$BV27,$CG27,0,$BY27,$BX27,$BZ27,$AJ27,1,5)*$CB27</f>
        <v>-2.0779798911952557E-7</v>
      </c>
      <c r="BL27" s="137">
        <f>_xll.xSPRDOPT(BW27,BV27,CG27,0,BY27,BX27,BZ27,AJ27,1,2)*CB27</f>
        <v>-0.99007333066809378</v>
      </c>
      <c r="BM27" s="137">
        <f>_xll.xSPRDOPT(BW27,BV27,CG27,0,BY27,BX27,BZ27,AJ27,1,1)*CB27</f>
        <v>0.99007333067529746</v>
      </c>
      <c r="BN27" s="137">
        <f>IF(AH27&lt;&gt;0,_xll.xSPRDOPT($BW27,$BV27,$CG27,2*LN(1+CA27/2),$BY27,$BX27,$BZ27,$AJ27,1,8)+(AJ27/365.25)*CH27/AH27,0)</f>
        <v>-0.17569532888304615</v>
      </c>
      <c r="BO27" s="137">
        <f>_xll.xSPRDOPT($BW27,$BV27,$CG27,0,$BY27,$BX27,$BZ27,$AJ27,1,0)</f>
        <v>0.72288652809686593</v>
      </c>
      <c r="BP27" s="137"/>
      <c r="BQ27" s="137"/>
      <c r="BR27" s="137"/>
      <c r="BS27" s="137"/>
      <c r="BV27" s="262">
        <v>3.0317135549872125</v>
      </c>
      <c r="BW27" s="136">
        <v>3.7960000000000003</v>
      </c>
      <c r="BX27" s="137">
        <v>0.55022133021926811</v>
      </c>
      <c r="BY27" s="137">
        <v>0.55022133021926811</v>
      </c>
      <c r="BZ27" s="137">
        <v>1</v>
      </c>
      <c r="CA27" s="137">
        <v>2.0011329715354399E-2</v>
      </c>
      <c r="CB27" s="137">
        <v>0.99007321601711695</v>
      </c>
      <c r="CC27" s="258">
        <v>1.2500000000000001E-2</v>
      </c>
      <c r="CD27" s="258">
        <v>5.0000000000000001E-3</v>
      </c>
      <c r="CE27" s="258">
        <v>0.85</v>
      </c>
      <c r="CF27" s="258">
        <v>0</v>
      </c>
      <c r="CG27" s="258">
        <v>4.1399999999999999E-2</v>
      </c>
      <c r="CH27" s="258">
        <v>10.95119984236533</v>
      </c>
      <c r="CI27" s="258">
        <v>2.9460000000000002</v>
      </c>
      <c r="CJ27" s="258"/>
      <c r="CK27" s="258"/>
      <c r="CL27" s="258"/>
      <c r="CM27" s="258"/>
    </row>
    <row r="28" spans="1:91" x14ac:dyDescent="0.25">
      <c r="A28" s="723"/>
      <c r="B28" s="723"/>
      <c r="D28" s="31">
        <f t="shared" si="50"/>
        <v>37452</v>
      </c>
      <c r="F28" s="28">
        <f t="shared" si="12"/>
        <v>5895</v>
      </c>
      <c r="G28" s="28">
        <f t="shared" si="13"/>
        <v>5826.5129571012603</v>
      </c>
      <c r="H28" s="52">
        <f t="shared" si="14"/>
        <v>3.0705882352941174</v>
      </c>
      <c r="I28" s="52">
        <f t="shared" si="15"/>
        <v>4.0339999999999998</v>
      </c>
      <c r="K28" s="52">
        <f t="shared" si="16"/>
        <v>28.250299966652637</v>
      </c>
      <c r="L28" s="135">
        <f t="shared" si="17"/>
        <v>3.1876388888463225E-6</v>
      </c>
      <c r="N28" s="131">
        <f t="shared" si="18"/>
        <v>0.54938596714727361</v>
      </c>
      <c r="O28" s="131">
        <f t="shared" si="19"/>
        <v>0.54938596714727361</v>
      </c>
      <c r="P28" s="55">
        <f t="shared" si="20"/>
        <v>0.99999999999999978</v>
      </c>
      <c r="Q28" s="135">
        <f>_xll.xSPRDOPT(I28,H28,AQ28,0,O28,N28,P28,D28-$G$5,1,0)*AH28*AU28</f>
        <v>28.250303154291526</v>
      </c>
      <c r="R28" s="135"/>
      <c r="S28" s="181">
        <f t="shared" si="51"/>
        <v>-184768.45115290169</v>
      </c>
      <c r="T28" s="181">
        <f>_xll.xSPRDOPT(I28,H28,AQ28,AT28,O28,N28,P28,D28-$G$5,1,1)*AF28*F28*AH28</f>
        <v>180611.16100196142</v>
      </c>
      <c r="U28" s="135"/>
      <c r="V28" s="146">
        <f t="shared" si="21"/>
        <v>11.296911814381726</v>
      </c>
      <c r="W28" s="146"/>
      <c r="X28" s="338">
        <f t="shared" si="22"/>
        <v>0</v>
      </c>
      <c r="Y28" s="338">
        <f t="shared" si="23"/>
        <v>0</v>
      </c>
      <c r="Z28" s="338">
        <f t="shared" si="24"/>
        <v>27.796923725643371</v>
      </c>
      <c r="AA28" s="338">
        <f t="shared" si="25"/>
        <v>-1.0680417570771752E-6</v>
      </c>
      <c r="AB28" s="338">
        <f t="shared" si="26"/>
        <v>0</v>
      </c>
      <c r="AC28" s="338">
        <f t="shared" si="27"/>
        <v>27.938603178505659</v>
      </c>
      <c r="AF28" s="138">
        <f t="shared" si="28"/>
        <v>1</v>
      </c>
      <c r="AG28" s="138">
        <f t="shared" si="29"/>
        <v>7</v>
      </c>
      <c r="AH28" s="138">
        <f t="shared" si="30"/>
        <v>31</v>
      </c>
      <c r="AI28" s="138">
        <f t="shared" si="52"/>
        <v>196</v>
      </c>
      <c r="AJ28" s="138">
        <f t="shared" si="31"/>
        <v>213</v>
      </c>
      <c r="AL28" s="136">
        <f t="shared" si="32"/>
        <v>2.984</v>
      </c>
      <c r="AM28" s="258">
        <f t="shared" si="33"/>
        <v>1.2500000000000001E-2</v>
      </c>
      <c r="AN28" s="258">
        <f t="shared" si="34"/>
        <v>5.0000000000000001E-3</v>
      </c>
      <c r="AO28" s="258">
        <f t="shared" si="35"/>
        <v>1.05</v>
      </c>
      <c r="AP28" s="258">
        <f t="shared" si="36"/>
        <v>0</v>
      </c>
      <c r="AQ28" s="136">
        <f t="shared" si="37"/>
        <v>4.1399999999999999E-2</v>
      </c>
      <c r="AR28" s="137">
        <f t="shared" si="38"/>
        <v>2.2499999999999999E-2</v>
      </c>
      <c r="AS28" s="136">
        <f t="shared" si="39"/>
        <v>3.0015000000000001</v>
      </c>
      <c r="AT28" s="137">
        <f t="shared" si="40"/>
        <v>2.0428629809483099E-2</v>
      </c>
      <c r="AU28" s="137">
        <f t="shared" si="41"/>
        <v>0.98838218101802544</v>
      </c>
      <c r="AV28" s="394">
        <f t="shared" si="42"/>
        <v>4167.0192751719951</v>
      </c>
      <c r="AW28" s="137">
        <f t="shared" si="43"/>
        <v>0.54249999999999998</v>
      </c>
      <c r="AX28" s="137">
        <f t="shared" si="44"/>
        <v>0.63</v>
      </c>
      <c r="AY28" s="137">
        <f t="shared" si="45"/>
        <v>0.63</v>
      </c>
      <c r="AZ28" s="137"/>
      <c r="BA28" s="264"/>
      <c r="BB28" s="258">
        <f t="shared" si="46"/>
        <v>0</v>
      </c>
      <c r="BC28" s="258">
        <f t="shared" si="47"/>
        <v>0</v>
      </c>
      <c r="BD28" s="137">
        <f t="shared" si="48"/>
        <v>9.5712015904636516E-5</v>
      </c>
      <c r="BE28" s="137">
        <f t="shared" si="49"/>
        <v>9.5712015904636516E-5</v>
      </c>
      <c r="BF28" s="137">
        <f>_xll.xSPRDOPT($BW28,$BV28,$CG28,0,$BY28,$BX28,$BZ28,$AJ28,1,4)*$CB28</f>
        <v>-7.068280175691092E-7</v>
      </c>
      <c r="BG28" s="137">
        <f>_xll.xSPRDOPT($BW28,$BV28,$CG28,0,$BY28,$BX28,$BZ28,$AJ28,1,3)*$CB28</f>
        <v>-4.712186783794061E-7</v>
      </c>
      <c r="BH28" s="137">
        <f>IF(OR(BF28&lt;&gt;0,BG28&lt;&gt;0),_xll.xSPRDOPT($BW28,$BV28,$CG28,0,$BY28,$BX28,$BZ28,$AJ28,1,12)*$CB28,0)</f>
        <v>1.1780466959485154E-7</v>
      </c>
      <c r="BI28" s="137">
        <f>_xll.xSPRDOPT($BW28,$BV28,$CG28,2*LN(1+CA28/2),$BY28,$BX28,$BZ28,$AJ28,1,9)</f>
        <v>1.8519113866847684E-2</v>
      </c>
      <c r="BJ28" s="137">
        <f>_xll.xSPRDOPT($BW28,$BV28,$CG28,0,$BY28,$BX28,$BZ28,$AJ28,1,6)*$CB28</f>
        <v>1.9454480467388666E-7</v>
      </c>
      <c r="BK28" s="137">
        <f>_xll.xSPRDOPT($BW28,$BV28,$CG28,0,$BY28,$BX28,$BZ28,$AJ28,1,5)*$CB28</f>
        <v>-2.556075415497062E-7</v>
      </c>
      <c r="BL28" s="137">
        <f>_xll.xSPRDOPT(BW28,BV28,CG28,0,BY28,BX28,BZ28,AJ28,1,2)*CB28</f>
        <v>-0.98821730584063394</v>
      </c>
      <c r="BM28" s="137">
        <f>_xll.xSPRDOPT(BW28,BV28,CG28,0,BY28,BX28,BZ28,AJ28,1,1)*CB28</f>
        <v>0.98821730583883638</v>
      </c>
      <c r="BN28" s="137">
        <f>IF(AH28&lt;&gt;0,_xll.xSPRDOPT($BW28,$BV28,$CG28,2*LN(1+CA28/2),$BY28,$BX28,$BZ28,$AJ28,1,8)+(AJ28/365.25)*CH28/AH28,0)</f>
        <v>-0.31886861142981404</v>
      </c>
      <c r="BO28" s="137">
        <f>_xll.xSPRDOPT($BW28,$BV28,$CG28,0,$BY28,$BX28,$BZ28,$AJ28,1,0)</f>
        <v>0.92201186850847472</v>
      </c>
      <c r="BP28" s="137"/>
      <c r="BQ28" s="137"/>
      <c r="BR28" s="137"/>
      <c r="BS28" s="137"/>
      <c r="BV28" s="262">
        <v>3.0705882352941174</v>
      </c>
      <c r="BW28" s="136">
        <v>4.0339999999999998</v>
      </c>
      <c r="BX28" s="137">
        <v>0.54929025513136898</v>
      </c>
      <c r="BY28" s="137">
        <v>0.54929025513136898</v>
      </c>
      <c r="BZ28" s="137">
        <v>1</v>
      </c>
      <c r="CA28" s="137">
        <v>2.0428629809483099E-2</v>
      </c>
      <c r="CB28" s="137">
        <v>0.98821719380072837</v>
      </c>
      <c r="CC28" s="258">
        <v>1.2500000000000001E-2</v>
      </c>
      <c r="CD28" s="258">
        <v>5.0000000000000001E-3</v>
      </c>
      <c r="CE28" s="258">
        <v>1.05</v>
      </c>
      <c r="CF28" s="258">
        <v>0</v>
      </c>
      <c r="CG28" s="258">
        <v>4.1399999999999999E-2</v>
      </c>
      <c r="CH28" s="258">
        <v>11.295026059984185</v>
      </c>
      <c r="CI28" s="258">
        <v>2.984</v>
      </c>
      <c r="CJ28" s="258"/>
      <c r="CK28" s="258"/>
      <c r="CL28" s="258"/>
      <c r="CM28" s="258"/>
    </row>
    <row r="29" spans="1:91" x14ac:dyDescent="0.25">
      <c r="A29" s="723"/>
      <c r="B29" s="723"/>
      <c r="D29" s="31">
        <f t="shared" si="50"/>
        <v>37483</v>
      </c>
      <c r="F29" s="28">
        <f t="shared" si="12"/>
        <v>5895</v>
      </c>
      <c r="G29" s="28">
        <f t="shared" si="13"/>
        <v>5814.0538476597903</v>
      </c>
      <c r="H29" s="52">
        <f t="shared" si="14"/>
        <v>3.1135549872122761</v>
      </c>
      <c r="I29" s="52">
        <f t="shared" si="15"/>
        <v>4.0759999999999996</v>
      </c>
      <c r="K29" s="52">
        <f t="shared" si="16"/>
        <v>28.160333217040893</v>
      </c>
      <c r="L29" s="135">
        <f t="shared" si="17"/>
        <v>3.1007442515829098E-6</v>
      </c>
      <c r="N29" s="131">
        <f t="shared" si="18"/>
        <v>0.55001555741820785</v>
      </c>
      <c r="O29" s="131">
        <f t="shared" si="19"/>
        <v>0.55001555741820785</v>
      </c>
      <c r="P29" s="55">
        <f t="shared" si="20"/>
        <v>1</v>
      </c>
      <c r="Q29" s="135">
        <f>_xll.xSPRDOPT(I29,H29,AQ29,0,O29,N29,P29,D29-$G$5,1,0)*AH29*AU29</f>
        <v>28.160336317785145</v>
      </c>
      <c r="R29" s="135"/>
      <c r="S29" s="181">
        <f t="shared" si="51"/>
        <v>-184370.93509561045</v>
      </c>
      <c r="T29" s="181">
        <f>_xll.xSPRDOPT(I29,H29,AQ29,AT29,O29,N29,P29,D29-$G$5,1,1)*AF29*F29*AH29</f>
        <v>180222.58905595922</v>
      </c>
      <c r="U29" s="135"/>
      <c r="V29" s="146">
        <f t="shared" si="21"/>
        <v>11.272755091195439</v>
      </c>
      <c r="W29" s="146"/>
      <c r="X29" s="338">
        <f t="shared" si="22"/>
        <v>0</v>
      </c>
      <c r="Y29" s="338">
        <f t="shared" si="23"/>
        <v>0</v>
      </c>
      <c r="Z29" s="338">
        <f t="shared" si="24"/>
        <v>28.566898104281577</v>
      </c>
      <c r="AA29" s="338">
        <f t="shared" si="25"/>
        <v>-1.5437665843565524E-6</v>
      </c>
      <c r="AB29" s="338">
        <f t="shared" si="26"/>
        <v>0</v>
      </c>
      <c r="AC29" s="338">
        <f t="shared" si="27"/>
        <v>28.717032645299827</v>
      </c>
      <c r="AF29" s="138">
        <f t="shared" si="28"/>
        <v>1</v>
      </c>
      <c r="AG29" s="138">
        <f t="shared" si="29"/>
        <v>8</v>
      </c>
      <c r="AH29" s="138">
        <f t="shared" si="30"/>
        <v>31</v>
      </c>
      <c r="AI29" s="138">
        <f t="shared" si="52"/>
        <v>227</v>
      </c>
      <c r="AJ29" s="138">
        <f t="shared" si="31"/>
        <v>244</v>
      </c>
      <c r="AL29" s="136">
        <f t="shared" si="32"/>
        <v>3.0259999999999998</v>
      </c>
      <c r="AM29" s="258">
        <f t="shared" si="33"/>
        <v>1.2500000000000001E-2</v>
      </c>
      <c r="AN29" s="258">
        <f t="shared" si="34"/>
        <v>5.0000000000000001E-3</v>
      </c>
      <c r="AO29" s="258">
        <f t="shared" si="35"/>
        <v>1.05</v>
      </c>
      <c r="AP29" s="258">
        <f t="shared" si="36"/>
        <v>0</v>
      </c>
      <c r="AQ29" s="136">
        <f t="shared" si="37"/>
        <v>4.1399999999999999E-2</v>
      </c>
      <c r="AR29" s="137">
        <f t="shared" si="38"/>
        <v>2.2499999999999999E-2</v>
      </c>
      <c r="AS29" s="136">
        <f t="shared" si="39"/>
        <v>3.0434999999999999</v>
      </c>
      <c r="AT29" s="137">
        <f t="shared" si="40"/>
        <v>2.1065008234303999E-2</v>
      </c>
      <c r="AU29" s="137">
        <f t="shared" si="41"/>
        <v>0.98626867644780158</v>
      </c>
      <c r="AV29" s="394">
        <f t="shared" si="42"/>
        <v>4158.1087399039316</v>
      </c>
      <c r="AW29" s="137">
        <f t="shared" si="43"/>
        <v>0.54</v>
      </c>
      <c r="AX29" s="137">
        <f t="shared" si="44"/>
        <v>0.68</v>
      </c>
      <c r="AY29" s="137">
        <f t="shared" si="45"/>
        <v>0.68</v>
      </c>
      <c r="AZ29" s="137"/>
      <c r="BA29" s="264"/>
      <c r="BB29" s="258">
        <f t="shared" si="46"/>
        <v>0</v>
      </c>
      <c r="BC29" s="258">
        <f t="shared" si="47"/>
        <v>0</v>
      </c>
      <c r="BD29" s="137">
        <f t="shared" si="48"/>
        <v>1.2128874378558585E-4</v>
      </c>
      <c r="BE29" s="137">
        <f t="shared" si="49"/>
        <v>1.2128874378558585E-4</v>
      </c>
      <c r="BF29" s="137">
        <f>_xll.xSPRDOPT($BW29,$BV29,$CG29,0,$BY29,$BX29,$BZ29,$AJ29,1,4)*$CB29</f>
        <v>7.0531292486284178E-7</v>
      </c>
      <c r="BG29" s="137">
        <f>_xll.xSPRDOPT($BW29,$BV29,$CG29,0,$BY29,$BX29,$BZ29,$AJ29,1,3)*$CB29</f>
        <v>2.3510430828761395E-7</v>
      </c>
      <c r="BH29" s="137">
        <f>IF(OR(BF29&lt;&gt;0,BG29&lt;&gt;0),_xll.xSPRDOPT($BW29,$BV29,$CG29,0,$BY29,$BX29,$BZ29,$AJ29,1,12)*$CB29,0)</f>
        <v>-2.3510430828761395E-7</v>
      </c>
      <c r="BI29" s="137">
        <f>_xll.xSPRDOPT($BW29,$BV29,$CG29,2*LN(1+CA29/2),$BY29,$BX29,$BZ29,$AJ29,1,9)</f>
        <v>1.9032093048763479E-2</v>
      </c>
      <c r="BJ29" s="137">
        <f>_xll.xSPRDOPT($BW29,$BV29,$CG29,0,$BY29,$BX29,$BZ29,$AJ29,1,6)*$CB29</f>
        <v>2.2526669273465658E-7</v>
      </c>
      <c r="BK29" s="137">
        <f>_xll.xSPRDOPT($BW29,$BV29,$CG29,0,$BY29,$BX29,$BZ29,$AJ29,1,5)*$CB29</f>
        <v>-2.9491581294584442E-7</v>
      </c>
      <c r="BL29" s="137">
        <f>_xll.xSPRDOPT(BW29,BV29,CG29,0,BY29,BX29,BZ29,AJ29,1,2)*CB29</f>
        <v>-0.98609904991707287</v>
      </c>
      <c r="BM29" s="137">
        <f>_xll.xSPRDOPT(BW29,BV29,CG29,0,BY29,BX29,BZ29,AJ29,1,1)*CB29</f>
        <v>0.98609904990989805</v>
      </c>
      <c r="BN29" s="137">
        <f>IF(AH29&lt;&gt;0,_xll.xSPRDOPT($BW29,$BV29,$CG29,2*LN(1+CA29/2),$BY29,$BX29,$BZ29,$AJ29,1,8)+(AJ29/365.25)*CH29/AH29,0)</f>
        <v>-0.36385689624255202</v>
      </c>
      <c r="BO29" s="137">
        <f>_xll.xSPRDOPT($BW29,$BV29,$CG29,0,$BY29,$BX29,$BZ29,$AJ29,1,0)</f>
        <v>0.92104511397402711</v>
      </c>
      <c r="BP29" s="137"/>
      <c r="BQ29" s="137"/>
      <c r="BR29" s="137"/>
      <c r="BS29" s="137"/>
      <c r="BV29" s="262">
        <v>3.1135549872122761</v>
      </c>
      <c r="BW29" s="136">
        <v>4.0759999999999996</v>
      </c>
      <c r="BX29" s="137">
        <v>0.54989426867442226</v>
      </c>
      <c r="BY29" s="137">
        <v>0.54989426867442226</v>
      </c>
      <c r="BZ29" s="137">
        <v>1</v>
      </c>
      <c r="CA29" s="137">
        <v>2.1065008234303999E-2</v>
      </c>
      <c r="CB29" s="137">
        <v>0.98609894066797232</v>
      </c>
      <c r="CC29" s="258">
        <v>1.2500000000000001E-2</v>
      </c>
      <c r="CD29" s="258">
        <v>5.0000000000000001E-3</v>
      </c>
      <c r="CE29" s="258">
        <v>1.05</v>
      </c>
      <c r="CF29" s="258">
        <v>0</v>
      </c>
      <c r="CG29" s="258">
        <v>4.1399999999999999E-2</v>
      </c>
      <c r="CH29" s="258">
        <v>11.270815062152725</v>
      </c>
      <c r="CI29" s="258">
        <v>3.0259999999999998</v>
      </c>
      <c r="CJ29" s="258"/>
      <c r="CK29" s="258"/>
      <c r="CL29" s="258"/>
      <c r="CM29" s="258"/>
    </row>
    <row r="30" spans="1:91" x14ac:dyDescent="0.25">
      <c r="A30" s="723"/>
      <c r="B30" s="723"/>
      <c r="D30" s="31">
        <f t="shared" si="50"/>
        <v>37514</v>
      </c>
      <c r="F30" s="28">
        <f t="shared" si="12"/>
        <v>5895</v>
      </c>
      <c r="G30" s="28">
        <f t="shared" si="13"/>
        <v>5801.0019941408973</v>
      </c>
      <c r="H30" s="52">
        <f t="shared" si="14"/>
        <v>3.1002557544757026</v>
      </c>
      <c r="I30" s="52">
        <f t="shared" si="15"/>
        <v>3.7679999999999998</v>
      </c>
      <c r="K30" s="52">
        <f t="shared" si="16"/>
        <v>18.490708485013354</v>
      </c>
      <c r="L30" s="135">
        <f t="shared" si="17"/>
        <v>1.9807315574382756E-6</v>
      </c>
      <c r="N30" s="131">
        <f t="shared" si="18"/>
        <v>0.54862064797509713</v>
      </c>
      <c r="O30" s="131">
        <f t="shared" si="19"/>
        <v>0.54862064797509713</v>
      </c>
      <c r="P30" s="55">
        <f t="shared" si="20"/>
        <v>1</v>
      </c>
      <c r="Q30" s="135">
        <f>_xll.xSPRDOPT(I30,H30,AQ30,0,O30,N30,P30,D30-$G$5,1,0)*AH30*AU30</f>
        <v>18.490710465744911</v>
      </c>
      <c r="R30" s="135"/>
      <c r="S30" s="181">
        <f t="shared" si="51"/>
        <v>-178020.38880842086</v>
      </c>
      <c r="T30" s="181">
        <f>_xll.xSPRDOPT(I30,H30,AQ30,AT30,O30,N30,P30,D30-$G$5,1,1)*AF30*F30*AH30</f>
        <v>174014.93006023139</v>
      </c>
      <c r="U30" s="135"/>
      <c r="V30" s="146">
        <f t="shared" si="21"/>
        <v>10.884628169159027</v>
      </c>
      <c r="W30" s="146"/>
      <c r="X30" s="338">
        <f t="shared" si="22"/>
        <v>0</v>
      </c>
      <c r="Y30" s="338">
        <f t="shared" si="23"/>
        <v>0</v>
      </c>
      <c r="Z30" s="338">
        <f t="shared" si="24"/>
        <v>19.321193003411317</v>
      </c>
      <c r="AA30" s="338">
        <f t="shared" si="25"/>
        <v>-8.5952944438957847E-7</v>
      </c>
      <c r="AB30" s="338">
        <f t="shared" si="26"/>
        <v>0</v>
      </c>
      <c r="AC30" s="338">
        <f t="shared" si="27"/>
        <v>19.425800818080887</v>
      </c>
      <c r="AF30" s="138">
        <f t="shared" si="28"/>
        <v>1</v>
      </c>
      <c r="AG30" s="138">
        <f t="shared" si="29"/>
        <v>9</v>
      </c>
      <c r="AH30" s="138">
        <f t="shared" si="30"/>
        <v>30</v>
      </c>
      <c r="AI30" s="138">
        <f t="shared" si="52"/>
        <v>258</v>
      </c>
      <c r="AJ30" s="138">
        <f t="shared" si="31"/>
        <v>275</v>
      </c>
      <c r="AL30" s="136">
        <f t="shared" si="32"/>
        <v>3.0179999999999998</v>
      </c>
      <c r="AM30" s="258">
        <f t="shared" si="33"/>
        <v>7.4999999999999997E-3</v>
      </c>
      <c r="AN30" s="258">
        <f t="shared" si="34"/>
        <v>5.0000000000000001E-3</v>
      </c>
      <c r="AO30" s="258">
        <f t="shared" si="35"/>
        <v>0.75</v>
      </c>
      <c r="AP30" s="258">
        <f t="shared" si="36"/>
        <v>0</v>
      </c>
      <c r="AQ30" s="136">
        <f t="shared" si="37"/>
        <v>4.1399999999999999E-2</v>
      </c>
      <c r="AR30" s="137">
        <f t="shared" si="38"/>
        <v>2.2499999999999999E-2</v>
      </c>
      <c r="AS30" s="136">
        <f t="shared" si="39"/>
        <v>3.0304999999999995</v>
      </c>
      <c r="AT30" s="137">
        <f t="shared" si="40"/>
        <v>2.1701386796276499E-2</v>
      </c>
      <c r="AU30" s="137">
        <f t="shared" si="41"/>
        <v>0.98405462156758228</v>
      </c>
      <c r="AV30" s="394">
        <f t="shared" si="42"/>
        <v>4014.9428559957355</v>
      </c>
      <c r="AW30" s="137">
        <f t="shared" si="43"/>
        <v>0.54</v>
      </c>
      <c r="AX30" s="137">
        <f t="shared" si="44"/>
        <v>0.68</v>
      </c>
      <c r="AY30" s="137">
        <f t="shared" si="45"/>
        <v>0.68</v>
      </c>
      <c r="AZ30" s="137"/>
      <c r="BA30" s="264"/>
      <c r="BB30" s="258">
        <f t="shared" si="46"/>
        <v>0</v>
      </c>
      <c r="BC30" s="258">
        <f t="shared" si="47"/>
        <v>0</v>
      </c>
      <c r="BD30" s="137">
        <f t="shared" si="48"/>
        <v>9.2974383643640301E-5</v>
      </c>
      <c r="BE30" s="137">
        <f t="shared" si="49"/>
        <v>9.2974383643640301E-5</v>
      </c>
      <c r="BF30" s="137">
        <f>_xll.xSPRDOPT($BW30,$BV30,$CG30,0,$BY30,$BX30,$BZ30,$AJ30,1,4)*$CB30</f>
        <v>9.3830125669600928E-7</v>
      </c>
      <c r="BG30" s="137">
        <f>_xll.xSPRDOPT($BW30,$BV30,$CG30,0,$BY30,$BX30,$BZ30,$AJ30,1,3)*$CB30</f>
        <v>9.3830125669600928E-7</v>
      </c>
      <c r="BH30" s="137">
        <f>IF(OR(BF30&lt;&gt;0,BG30&lt;&gt;0),_xll.xSPRDOPT($BW30,$BV30,$CG30,0,$BY30,$BX30,$BZ30,$AJ30,1,12)*$CB30,0)</f>
        <v>-1.0555889137830104E-6</v>
      </c>
      <c r="BI30" s="137">
        <f>_xll.xSPRDOPT($BW30,$BV30,$CG30,2*LN(1+CA30/2),$BY30,$BX30,$BZ30,$AJ30,1,9)</f>
        <v>1.3301415030621022E-2</v>
      </c>
      <c r="BJ30" s="137">
        <f>_xll.xSPRDOPT($BW30,$BV30,$CG30,0,$BY30,$BX30,$BZ30,$AJ30,1,6)*$CB30</f>
        <v>2.4266404379713046E-7</v>
      </c>
      <c r="BK30" s="137">
        <f>_xll.xSPRDOPT($BW30,$BV30,$CG30,0,$BY30,$BX30,$BZ30,$AJ30,1,5)*$CB30</f>
        <v>-2.9493884459380605E-7</v>
      </c>
      <c r="BL30" s="137">
        <f>_xll.xSPRDOPT(BW30,BV30,CG30,0,BY30,BX30,BZ30,AJ30,1,2)*CB30</f>
        <v>-0.98388028461845378</v>
      </c>
      <c r="BM30" s="137">
        <f>_xll.xSPRDOPT(BW30,BV30,CG30,0,BY30,BX30,BZ30,AJ30,1,1)*CB30</f>
        <v>0.98388028462203314</v>
      </c>
      <c r="BN30" s="137">
        <f>IF(AH30&lt;&gt;0,_xll.xSPRDOPT($BW30,$BV30,$CG30,2*LN(1+CA30/2),$BY30,$BX30,$BZ30,$AJ30,1,8)+(AJ30/365.25)*CH30/AH30,0)</f>
        <v>-0.190855746312457</v>
      </c>
      <c r="BO30" s="137">
        <f>_xll.xSPRDOPT($BW30,$BV30,$CG30,0,$BY30,$BX30,$BZ30,$AJ30,1,0)</f>
        <v>0.62634431246451083</v>
      </c>
      <c r="BP30" s="137"/>
      <c r="BQ30" s="137"/>
      <c r="BR30" s="137"/>
      <c r="BS30" s="137"/>
      <c r="BV30" s="262">
        <v>3.1002557544757026</v>
      </c>
      <c r="BW30" s="136">
        <v>3.7679999999999998</v>
      </c>
      <c r="BX30" s="137">
        <v>0.54852767359145349</v>
      </c>
      <c r="BY30" s="137">
        <v>0.54852767359145349</v>
      </c>
      <c r="BZ30" s="137">
        <v>1</v>
      </c>
      <c r="CA30" s="137">
        <v>2.1701386796276499E-2</v>
      </c>
      <c r="CB30" s="137">
        <v>0.98388017854127463</v>
      </c>
      <c r="CC30" s="258">
        <v>7.4999999999999997E-3</v>
      </c>
      <c r="CD30" s="258">
        <v>5.0000000000000001E-3</v>
      </c>
      <c r="CE30" s="258">
        <v>0.75</v>
      </c>
      <c r="CF30" s="258">
        <v>0</v>
      </c>
      <c r="CG30" s="258">
        <v>4.1399999999999999E-2</v>
      </c>
      <c r="CH30" s="258">
        <v>10.882698654845038</v>
      </c>
      <c r="CI30" s="258">
        <v>3.0179999999999998</v>
      </c>
      <c r="CJ30" s="258"/>
      <c r="CK30" s="258"/>
      <c r="CL30" s="258"/>
      <c r="CM30" s="258"/>
    </row>
    <row r="31" spans="1:91" x14ac:dyDescent="0.25">
      <c r="A31" s="723"/>
      <c r="B31" s="723"/>
      <c r="D31" s="31">
        <f t="shared" si="50"/>
        <v>37544</v>
      </c>
      <c r="F31" s="28">
        <f t="shared" si="12"/>
        <v>6669</v>
      </c>
      <c r="G31" s="28">
        <f t="shared" si="13"/>
        <v>6547.2397557708018</v>
      </c>
      <c r="H31" s="52">
        <f t="shared" si="14"/>
        <v>3.1215384615384614</v>
      </c>
      <c r="I31" s="52">
        <f t="shared" si="15"/>
        <v>3.4810000000000003</v>
      </c>
      <c r="K31" s="52">
        <f t="shared" si="16"/>
        <v>9.6798889835518622</v>
      </c>
      <c r="L31" s="135">
        <f t="shared" si="17"/>
        <v>3.8676437945639464E-6</v>
      </c>
      <c r="N31" s="131">
        <f t="shared" si="18"/>
        <v>0.55129247567847639</v>
      </c>
      <c r="O31" s="131">
        <f t="shared" si="19"/>
        <v>0.55129247567847639</v>
      </c>
      <c r="P31" s="55">
        <f t="shared" si="20"/>
        <v>1</v>
      </c>
      <c r="Q31" s="135">
        <f>_xll.xSPRDOPT(I31,H31,AQ31,0,O31,N31,P31,D31-$G$5,1,0)*AH31*AU31</f>
        <v>9.6798928511956568</v>
      </c>
      <c r="R31" s="135"/>
      <c r="S31" s="181">
        <f t="shared" si="51"/>
        <v>-208146.92248315332</v>
      </c>
      <c r="T31" s="181">
        <f>_xll.xSPRDOPT(I31,H31,AQ31,AT31,O31,N31,P31,D31-$G$5,1,1)*AF31*F31*AH31</f>
        <v>202943.24942107449</v>
      </c>
      <c r="U31" s="135"/>
      <c r="V31" s="146">
        <f t="shared" si="21"/>
        <v>11.221020578277633</v>
      </c>
      <c r="W31" s="146"/>
      <c r="X31" s="338">
        <f t="shared" si="22"/>
        <v>0</v>
      </c>
      <c r="Y31" s="338">
        <f t="shared" si="23"/>
        <v>0</v>
      </c>
      <c r="Z31" s="338">
        <f t="shared" si="24"/>
        <v>11.810503542487158</v>
      </c>
      <c r="AA31" s="338">
        <f t="shared" si="25"/>
        <v>1.5102190529915472E-4</v>
      </c>
      <c r="AB31" s="338">
        <f t="shared" si="26"/>
        <v>0</v>
      </c>
      <c r="AC31" s="338">
        <f t="shared" si="27"/>
        <v>11.88031217217792</v>
      </c>
      <c r="AF31" s="138">
        <f t="shared" si="28"/>
        <v>1</v>
      </c>
      <c r="AG31" s="138">
        <f t="shared" si="29"/>
        <v>10</v>
      </c>
      <c r="AH31" s="138">
        <f t="shared" si="30"/>
        <v>31</v>
      </c>
      <c r="AI31" s="138">
        <f t="shared" si="52"/>
        <v>288</v>
      </c>
      <c r="AJ31" s="138">
        <f t="shared" si="31"/>
        <v>305</v>
      </c>
      <c r="AL31" s="136">
        <f t="shared" si="32"/>
        <v>3.0310000000000001</v>
      </c>
      <c r="AM31" s="258">
        <f t="shared" si="33"/>
        <v>7.4999999999999997E-3</v>
      </c>
      <c r="AN31" s="258">
        <f t="shared" si="34"/>
        <v>5.0000000000000001E-3</v>
      </c>
      <c r="AO31" s="258">
        <f t="shared" si="35"/>
        <v>0.45</v>
      </c>
      <c r="AP31" s="258">
        <f t="shared" si="36"/>
        <v>0</v>
      </c>
      <c r="AQ31" s="136">
        <f t="shared" si="37"/>
        <v>4.1399999999999999E-2</v>
      </c>
      <c r="AR31" s="137">
        <f t="shared" si="38"/>
        <v>2.5000000000000001E-2</v>
      </c>
      <c r="AS31" s="136">
        <f t="shared" si="39"/>
        <v>3.0434999999999999</v>
      </c>
      <c r="AT31" s="137">
        <f t="shared" si="40"/>
        <v>2.2410164045373999E-2</v>
      </c>
      <c r="AU31" s="137">
        <f t="shared" si="41"/>
        <v>0.98174235354188055</v>
      </c>
      <c r="AV31" s="394">
        <f t="shared" si="42"/>
        <v>5204.2162161255092</v>
      </c>
      <c r="AW31" s="137">
        <f t="shared" si="43"/>
        <v>0.54</v>
      </c>
      <c r="AX31" s="137">
        <f t="shared" si="44"/>
        <v>0.73</v>
      </c>
      <c r="AY31" s="137">
        <f t="shared" si="45"/>
        <v>0.73</v>
      </c>
      <c r="AZ31" s="137"/>
      <c r="BA31" s="264"/>
      <c r="BB31" s="258">
        <f t="shared" si="46"/>
        <v>0</v>
      </c>
      <c r="BC31" s="258">
        <f t="shared" si="47"/>
        <v>0</v>
      </c>
      <c r="BD31" s="137">
        <f t="shared" si="48"/>
        <v>1.0940877027609819E-4</v>
      </c>
      <c r="BE31" s="137">
        <f t="shared" si="49"/>
        <v>1.0940877027609819E-4</v>
      </c>
      <c r="BF31" s="137">
        <f>_xll.xSPRDOPT($BW31,$BV31,$CG31,0,$BY31,$BX31,$BZ31,$AJ31,1,4)*$CB31</f>
        <v>1.170113883588594E-6</v>
      </c>
      <c r="BG31" s="137">
        <f>_xll.xSPRDOPT($BW31,$BV31,$CG31,0,$BY31,$BX31,$BZ31,$AJ31,1,3)*$CB31</f>
        <v>0</v>
      </c>
      <c r="BH31" s="137">
        <f>IF(OR(BF31&lt;&gt;0,BG31&lt;&gt;0),_xll.xSPRDOPT($BW31,$BV31,$CG31,0,$BY31,$BX31,$BZ31,$AJ31,1,12)*$CB31,0)</f>
        <v>2.9252847089714849E-7</v>
      </c>
      <c r="BI31" s="137">
        <f>_xll.xSPRDOPT($BW31,$BV31,$CG31,2*LN(1+CA31/2),$BY31,$BX31,$BZ31,$AJ31,1,9)</f>
        <v>6.9552856804851113E-3</v>
      </c>
      <c r="BJ31" s="137">
        <f>_xll.xSPRDOPT($BW31,$BV31,$CG31,0,$BY31,$BX31,$BZ31,$AJ31,1,6)*$CB31</f>
        <v>-5.7980538213204199E-5</v>
      </c>
      <c r="BK31" s="137">
        <f>_xll.xSPRDOPT($BW31,$BV31,$CG31,0,$BY31,$BX31,$BZ31,$AJ31,1,5)*$CB31</f>
        <v>6.4657292548450364E-5</v>
      </c>
      <c r="BL31" s="137">
        <f>_xll.xSPRDOPT(BW31,BV31,CG31,0,BY31,BX31,BZ31,AJ31,1,2)*CB31</f>
        <v>-0.98155838825410524</v>
      </c>
      <c r="BM31" s="137">
        <f>_xll.xSPRDOPT(BW31,BV31,CG31,0,BY31,BX31,BZ31,AJ31,1,1)*CB31</f>
        <v>0.98155838825053432</v>
      </c>
      <c r="BN31" s="137">
        <f>IF(AH31&lt;&gt;0,_xll.xSPRDOPT($BW31,$BV31,$CG31,2*LN(1+CA31/2),$BY31,$BX31,$BZ31,$AJ31,1,8)+(AJ31/365.25)*CH31/AH31,0)</f>
        <v>4.1505626339017443E-2</v>
      </c>
      <c r="BO31" s="137">
        <f>_xll.xSPRDOPT($BW31,$BV31,$CG31,0,$BY31,$BX31,$BZ31,$AJ31,1,0)</f>
        <v>0.31806167583849432</v>
      </c>
      <c r="BP31" s="137"/>
      <c r="BQ31" s="137"/>
      <c r="BR31" s="137"/>
      <c r="BS31" s="137"/>
      <c r="BV31" s="262">
        <v>3.1215384615384614</v>
      </c>
      <c r="BW31" s="136">
        <v>3.4810000000000003</v>
      </c>
      <c r="BX31" s="137">
        <v>0.55118306690820029</v>
      </c>
      <c r="BY31" s="137">
        <v>0.55118306690820029</v>
      </c>
      <c r="BZ31" s="137">
        <v>1</v>
      </c>
      <c r="CA31" s="137">
        <v>2.2410164045373999E-2</v>
      </c>
      <c r="CB31" s="137">
        <v>0.98156266847823481</v>
      </c>
      <c r="CC31" s="258">
        <v>7.4999999999999997E-3</v>
      </c>
      <c r="CD31" s="258">
        <v>5.0000000000000001E-3</v>
      </c>
      <c r="CE31" s="258">
        <v>0.45</v>
      </c>
      <c r="CF31" s="258">
        <v>0</v>
      </c>
      <c r="CG31" s="258">
        <v>4.1399999999999999E-2</v>
      </c>
      <c r="CH31" s="258">
        <v>11.21896683190568</v>
      </c>
      <c r="CI31" s="258">
        <v>3.0310000000000001</v>
      </c>
      <c r="CJ31" s="258"/>
      <c r="CK31" s="258"/>
      <c r="CL31" s="258"/>
      <c r="CM31" s="258"/>
    </row>
    <row r="32" spans="1:91" x14ac:dyDescent="0.25">
      <c r="A32" s="723"/>
      <c r="B32" s="723"/>
      <c r="D32" s="31">
        <f t="shared" si="50"/>
        <v>37575</v>
      </c>
      <c r="F32" s="28">
        <f t="shared" si="12"/>
        <v>11107</v>
      </c>
      <c r="G32" s="28">
        <f t="shared" si="13"/>
        <v>10875.134978571605</v>
      </c>
      <c r="H32" s="52">
        <f t="shared" si="14"/>
        <v>3.2951406649616364</v>
      </c>
      <c r="I32" s="52">
        <f t="shared" si="15"/>
        <v>3.661</v>
      </c>
      <c r="K32" s="52">
        <f t="shared" si="16"/>
        <v>9.5305817869806209</v>
      </c>
      <c r="L32" s="135">
        <f t="shared" si="17"/>
        <v>9.2213685380926336E-6</v>
      </c>
      <c r="N32" s="131">
        <f t="shared" si="18"/>
        <v>0.55763051961597798</v>
      </c>
      <c r="O32" s="131">
        <f t="shared" si="19"/>
        <v>0.55763051961597798</v>
      </c>
      <c r="P32" s="55">
        <f t="shared" si="20"/>
        <v>1.0000000000000002</v>
      </c>
      <c r="Q32" s="135">
        <f>_xll.xSPRDOPT(I32,H32,AQ32,0,O32,N32,P32,D32-$G$5,1,0)*AH32*AU32</f>
        <v>9.530591008349159</v>
      </c>
      <c r="R32" s="135"/>
      <c r="S32" s="181">
        <f t="shared" si="51"/>
        <v>-333721.57641310646</v>
      </c>
      <c r="T32" s="181">
        <f>_xll.xSPRDOPT(I32,H32,AQ32,AT32,O32,N32,P32,D32-$G$5,1,1)*AF32*F32*AH32</f>
        <v>326212.84094381158</v>
      </c>
      <c r="U32" s="135"/>
      <c r="V32" s="146">
        <f t="shared" si="21"/>
        <v>10.83009525506262</v>
      </c>
      <c r="W32" s="146"/>
      <c r="X32" s="338">
        <f t="shared" si="22"/>
        <v>0</v>
      </c>
      <c r="Y32" s="338">
        <f t="shared" si="23"/>
        <v>0</v>
      </c>
      <c r="Z32" s="338">
        <f t="shared" si="24"/>
        <v>20.109987075345153</v>
      </c>
      <c r="AA32" s="338">
        <f t="shared" si="25"/>
        <v>6.1365050183541316E-4</v>
      </c>
      <c r="AB32" s="338">
        <f t="shared" si="26"/>
        <v>0</v>
      </c>
      <c r="AC32" s="338">
        <f t="shared" si="27"/>
        <v>20.231931941180981</v>
      </c>
      <c r="AF32" s="138">
        <f t="shared" si="28"/>
        <v>1</v>
      </c>
      <c r="AG32" s="138">
        <f t="shared" si="29"/>
        <v>11</v>
      </c>
      <c r="AH32" s="138">
        <f t="shared" si="30"/>
        <v>30</v>
      </c>
      <c r="AI32" s="138">
        <f t="shared" si="52"/>
        <v>319</v>
      </c>
      <c r="AJ32" s="138">
        <f t="shared" si="31"/>
        <v>336</v>
      </c>
      <c r="AL32" s="136">
        <f t="shared" si="32"/>
        <v>3.2109999999999999</v>
      </c>
      <c r="AM32" s="258">
        <f t="shared" si="33"/>
        <v>5.0000000000000001E-3</v>
      </c>
      <c r="AN32" s="258">
        <f t="shared" si="34"/>
        <v>5.0000000000000001E-3</v>
      </c>
      <c r="AO32" s="258">
        <f t="shared" si="35"/>
        <v>0.45</v>
      </c>
      <c r="AP32" s="258">
        <f t="shared" si="36"/>
        <v>0</v>
      </c>
      <c r="AQ32" s="136">
        <f t="shared" si="37"/>
        <v>4.1399999999999999E-2</v>
      </c>
      <c r="AR32" s="137">
        <f t="shared" si="38"/>
        <v>2.2499999999999999E-2</v>
      </c>
      <c r="AS32" s="136">
        <f t="shared" si="39"/>
        <v>3.2209999999999996</v>
      </c>
      <c r="AT32" s="137">
        <f t="shared" si="40"/>
        <v>2.3274064967752799E-2</v>
      </c>
      <c r="AU32" s="137">
        <f t="shared" si="41"/>
        <v>0.97912442410836453</v>
      </c>
      <c r="AV32" s="394">
        <f t="shared" si="42"/>
        <v>7519.6755771522394</v>
      </c>
      <c r="AW32" s="137">
        <f t="shared" si="43"/>
        <v>0.54</v>
      </c>
      <c r="AX32" s="137">
        <f t="shared" si="44"/>
        <v>0.85</v>
      </c>
      <c r="AY32" s="137">
        <f t="shared" si="45"/>
        <v>0.85</v>
      </c>
      <c r="AZ32" s="137"/>
      <c r="BA32" s="264"/>
      <c r="BB32" s="258">
        <f t="shared" si="46"/>
        <v>0</v>
      </c>
      <c r="BC32" s="258">
        <f t="shared" si="47"/>
        <v>0</v>
      </c>
      <c r="BD32" s="137">
        <f t="shared" si="48"/>
        <v>1.5448854150035274E-4</v>
      </c>
      <c r="BE32" s="137">
        <f t="shared" si="49"/>
        <v>1.5448854150035274E-4</v>
      </c>
      <c r="BF32" s="137">
        <f>_xll.xSPRDOPT($BW32,$BV32,$CG32,0,$BY32,$BX32,$BZ32,$AJ32,1,4)*$CB32</f>
        <v>-7.0019127156312019E-7</v>
      </c>
      <c r="BG32" s="137">
        <f>_xll.xSPRDOPT($BW32,$BV32,$CG32,0,$BY32,$BX32,$BZ32,$AJ32,1,3)*$CB32</f>
        <v>-9.3358836208416021E-7</v>
      </c>
      <c r="BH32" s="137">
        <f>IF(OR(BF32&lt;&gt;0,BG32&lt;&gt;0),_xll.xSPRDOPT($BW32,$BV32,$CG32,0,$BY32,$BX32,$BZ32,$AJ32,1,12)*$CB32,0)</f>
        <v>2.9174636315130009E-7</v>
      </c>
      <c r="BI32" s="137">
        <f>_xll.xSPRDOPT($BW32,$BV32,$CG32,2*LN(1+CA32/2),$BY32,$BX32,$BZ32,$AJ32,1,9)</f>
        <v>7.3478914991244931E-3</v>
      </c>
      <c r="BJ32" s="137">
        <f>_xll.xSPRDOPT($BW32,$BV32,$CG32,0,$BY32,$BX32,$BZ32,$AJ32,1,6)*$CB32</f>
        <v>-9.6954364853178045E-5</v>
      </c>
      <c r="BK32" s="137">
        <f>_xll.xSPRDOPT($BW32,$BV32,$CG32,0,$BY32,$BX32,$BZ32,$AJ32,1,5)*$CB32</f>
        <v>1.0887520307067534E-4</v>
      </c>
      <c r="BL32" s="137">
        <f>_xll.xSPRDOPT(BW32,BV32,CG32,0,BY32,BX32,BZ32,AJ32,1,2)*CB32</f>
        <v>-0.97893466841713161</v>
      </c>
      <c r="BM32" s="137">
        <f>_xll.xSPRDOPT(BW32,BV32,CG32,0,BY32,BX32,BZ32,AJ32,1,1)*CB32</f>
        <v>0.97893466842603494</v>
      </c>
      <c r="BN32" s="137">
        <f>IF(AH32&lt;&gt;0,_xll.xSPRDOPT($BW32,$BV32,$CG32,2*LN(1+CA32/2),$BY32,$BX32,$BZ32,$AJ32,1,8)+(AJ32/365.25)*CH32/AH32,0)</f>
        <v>3.9840319594613538E-2</v>
      </c>
      <c r="BO32" s="137">
        <f>_xll.xSPRDOPT($BW32,$BV32,$CG32,0,$BY32,$BX32,$BZ32,$AJ32,1,0)</f>
        <v>0.32445966383764613</v>
      </c>
      <c r="BP32" s="137"/>
      <c r="BQ32" s="137"/>
      <c r="BR32" s="137"/>
      <c r="BS32" s="137"/>
      <c r="BV32" s="262">
        <v>3.2951406649616364</v>
      </c>
      <c r="BW32" s="136">
        <v>3.661</v>
      </c>
      <c r="BX32" s="137">
        <v>0.55747603107447763</v>
      </c>
      <c r="BY32" s="137">
        <v>0.55747603107447763</v>
      </c>
      <c r="BZ32" s="137">
        <v>1</v>
      </c>
      <c r="CA32" s="137">
        <v>2.3274064967752799E-2</v>
      </c>
      <c r="CB32" s="137">
        <v>0.97893835036076038</v>
      </c>
      <c r="CC32" s="258">
        <v>5.0000000000000001E-3</v>
      </c>
      <c r="CD32" s="258">
        <v>5.0000000000000001E-3</v>
      </c>
      <c r="CE32" s="258">
        <v>0.45</v>
      </c>
      <c r="CF32" s="258">
        <v>0</v>
      </c>
      <c r="CG32" s="258">
        <v>4.1399999999999999E-2</v>
      </c>
      <c r="CH32" s="258">
        <v>10.82803709334037</v>
      </c>
      <c r="CI32" s="258">
        <v>3.2109999999999999</v>
      </c>
      <c r="CJ32" s="258"/>
      <c r="CK32" s="258"/>
      <c r="CL32" s="258"/>
      <c r="CM32" s="258"/>
    </row>
    <row r="33" spans="1:91" x14ac:dyDescent="0.25">
      <c r="A33" s="723"/>
      <c r="B33" s="723"/>
      <c r="D33" s="31">
        <f t="shared" si="50"/>
        <v>37605</v>
      </c>
      <c r="F33" s="28">
        <f t="shared" si="12"/>
        <v>11107</v>
      </c>
      <c r="G33" s="28">
        <f t="shared" si="13"/>
        <v>10845.575867061722</v>
      </c>
      <c r="H33" s="52">
        <f t="shared" si="14"/>
        <v>3.4588235294117644</v>
      </c>
      <c r="I33" s="52">
        <f t="shared" si="15"/>
        <v>3.7709999999999999</v>
      </c>
      <c r="K33" s="52">
        <f t="shared" si="16"/>
        <v>8.1965003509658203</v>
      </c>
      <c r="L33" s="135">
        <f t="shared" si="17"/>
        <v>9.3788007031747611E-5</v>
      </c>
      <c r="N33" s="131">
        <f t="shared" si="18"/>
        <v>0.57103652777154523</v>
      </c>
      <c r="O33" s="131">
        <f t="shared" si="19"/>
        <v>0.57103652777154523</v>
      </c>
      <c r="P33" s="55">
        <f t="shared" si="20"/>
        <v>1.0000000000000002</v>
      </c>
      <c r="Q33" s="135">
        <f>_xll.xSPRDOPT(I33,H33,AQ33,0,O33,N33,P33,D33-$G$5,1,0)*AH33*AU33</f>
        <v>8.1965941389728521</v>
      </c>
      <c r="R33" s="135"/>
      <c r="S33" s="181">
        <f t="shared" si="51"/>
        <v>-343876.36040365911</v>
      </c>
      <c r="T33" s="181">
        <f>_xll.xSPRDOPT(I33,H33,AQ33,AT33,O33,N33,P33,D33-$G$5,1,1)*AF33*F33*AH33</f>
        <v>336139.1422945768</v>
      </c>
      <c r="U33" s="135"/>
      <c r="V33" s="146">
        <f t="shared" si="21"/>
        <v>11.160680515688787</v>
      </c>
      <c r="W33" s="146"/>
      <c r="X33" s="338">
        <f t="shared" si="22"/>
        <v>0</v>
      </c>
      <c r="Y33" s="338">
        <f t="shared" si="23"/>
        <v>0</v>
      </c>
      <c r="Z33" s="338">
        <f t="shared" si="24"/>
        <v>17.842444671239583</v>
      </c>
      <c r="AA33" s="338">
        <f t="shared" si="25"/>
        <v>7.8791320417281631E-3</v>
      </c>
      <c r="AB33" s="338">
        <f t="shared" si="26"/>
        <v>0</v>
      </c>
      <c r="AC33" s="338">
        <f t="shared" si="27"/>
        <v>18.024990632467098</v>
      </c>
      <c r="AF33" s="138">
        <f t="shared" si="28"/>
        <v>1</v>
      </c>
      <c r="AG33" s="138">
        <f t="shared" si="29"/>
        <v>12</v>
      </c>
      <c r="AH33" s="138">
        <f t="shared" si="30"/>
        <v>31</v>
      </c>
      <c r="AI33" s="138">
        <f t="shared" si="52"/>
        <v>349</v>
      </c>
      <c r="AJ33" s="138">
        <f t="shared" si="31"/>
        <v>366</v>
      </c>
      <c r="AL33" s="136">
        <f t="shared" si="32"/>
        <v>3.371</v>
      </c>
      <c r="AM33" s="258">
        <f t="shared" si="33"/>
        <v>5.0000000000000001E-3</v>
      </c>
      <c r="AN33" s="258">
        <f t="shared" si="34"/>
        <v>5.0000000000000001E-3</v>
      </c>
      <c r="AO33" s="258">
        <f t="shared" si="35"/>
        <v>0.4</v>
      </c>
      <c r="AP33" s="258">
        <f t="shared" si="36"/>
        <v>0</v>
      </c>
      <c r="AQ33" s="136">
        <f t="shared" si="37"/>
        <v>4.1399999999999999E-2</v>
      </c>
      <c r="AR33" s="137">
        <f t="shared" si="38"/>
        <v>2.2499999999999999E-2</v>
      </c>
      <c r="AS33" s="136">
        <f t="shared" si="39"/>
        <v>3.3809999999999998</v>
      </c>
      <c r="AT33" s="137">
        <f t="shared" si="40"/>
        <v>2.4110098358835999E-2</v>
      </c>
      <c r="AU33" s="137">
        <f t="shared" si="41"/>
        <v>0.97646311938972907</v>
      </c>
      <c r="AV33" s="394">
        <f t="shared" si="42"/>
        <v>7749.2113154768904</v>
      </c>
      <c r="AW33" s="137">
        <f t="shared" si="43"/>
        <v>0.54</v>
      </c>
      <c r="AX33" s="137">
        <f t="shared" si="44"/>
        <v>1.05</v>
      </c>
      <c r="AY33" s="137">
        <f t="shared" si="45"/>
        <v>1.05</v>
      </c>
      <c r="AZ33" s="137"/>
      <c r="BA33" s="264"/>
      <c r="BB33" s="258">
        <f t="shared" si="46"/>
        <v>0</v>
      </c>
      <c r="BC33" s="258">
        <f t="shared" si="47"/>
        <v>0</v>
      </c>
      <c r="BD33" s="137">
        <f t="shared" si="48"/>
        <v>2.4652743009223599E-4</v>
      </c>
      <c r="BE33" s="137">
        <f t="shared" si="49"/>
        <v>2.4652743009223599E-4</v>
      </c>
      <c r="BF33" s="137">
        <f>_xll.xSPRDOPT($BW33,$BV33,$CG33,0,$BY33,$BX33,$BZ33,$AJ33,1,4)*$CB33</f>
        <v>-2.3276112699504098E-7</v>
      </c>
      <c r="BG33" s="137">
        <f>_xll.xSPRDOPT($BW33,$BV33,$CG33,0,$BY33,$BX33,$BZ33,$AJ33,1,3)*$CB33</f>
        <v>0</v>
      </c>
      <c r="BH33" s="137">
        <f>IF(OR(BF33&lt;&gt;0,BG33&lt;&gt;0),_xll.xSPRDOPT($BW33,$BV33,$CG33,0,$BY33,$BX33,$BZ33,$AJ33,1,12)*$CB33,0)</f>
        <v>-5.8190281748760245E-8</v>
      </c>
      <c r="BI33" s="137">
        <f>_xll.xSPRDOPT($BW33,$BV33,$CG33,2*LN(1+CA33/2),$BY33,$BX33,$BZ33,$AJ33,1,9)</f>
        <v>6.3090629818551491E-3</v>
      </c>
      <c r="BJ33" s="137">
        <f>_xll.xSPRDOPT($BW33,$BV33,$CG33,0,$BY33,$BX33,$BZ33,$AJ33,1,6)*$CB33</f>
        <v>-1.0284492152081469E-3</v>
      </c>
      <c r="BK33" s="137">
        <f>_xll.xSPRDOPT($BW33,$BV33,$CG33,0,$BY33,$BX33,$BZ33,$AJ33,1,5)*$CB33</f>
        <v>1.1212720151414538E-3</v>
      </c>
      <c r="BL33" s="137">
        <f>_xll.xSPRDOPT(BW33,BV33,CG33,0,BY33,BX33,BZ33,AJ33,1,2)*CB33</f>
        <v>-0.97619737799161344</v>
      </c>
      <c r="BM33" s="137">
        <f>_xll.xSPRDOPT(BW33,BV33,CG33,0,BY33,BX33,BZ33,AJ33,1,1)*CB33</f>
        <v>0.97619737799161344</v>
      </c>
      <c r="BN33" s="137">
        <f>IF(AH33&lt;&gt;0,_xll.xSPRDOPT($BW33,$BV33,$CG33,2*LN(1+CA33/2),$BY33,$BX33,$BZ33,$AJ33,1,8)+(AJ33/365.25)*CH33/AH33,0)</f>
        <v>9.5792971406815031E-2</v>
      </c>
      <c r="BO33" s="137">
        <f>_xll.xSPRDOPT($BW33,$BV33,$CG33,0,$BY33,$BX33,$BZ33,$AJ33,1,0)</f>
        <v>0.27077976926450142</v>
      </c>
      <c r="BP33" s="137"/>
      <c r="BQ33" s="137"/>
      <c r="BR33" s="137"/>
      <c r="BS33" s="137"/>
      <c r="BV33" s="262">
        <v>3.4588235294117644</v>
      </c>
      <c r="BW33" s="136">
        <v>3.7709999999999999</v>
      </c>
      <c r="BX33" s="137">
        <v>0.570790000341453</v>
      </c>
      <c r="BY33" s="137">
        <v>0.570790000341453</v>
      </c>
      <c r="BZ33" s="137">
        <v>1</v>
      </c>
      <c r="CA33" s="137">
        <v>2.4110098358835999E-2</v>
      </c>
      <c r="CB33" s="137">
        <v>0.97627092599980836</v>
      </c>
      <c r="CC33" s="258">
        <v>5.0000000000000001E-3</v>
      </c>
      <c r="CD33" s="258">
        <v>5.0000000000000001E-3</v>
      </c>
      <c r="CE33" s="258">
        <v>0.4</v>
      </c>
      <c r="CF33" s="258">
        <v>0</v>
      </c>
      <c r="CG33" s="258">
        <v>4.1399999999999999E-2</v>
      </c>
      <c r="CH33" s="258">
        <v>11.15848380290001</v>
      </c>
      <c r="CI33" s="258">
        <v>3.371</v>
      </c>
      <c r="CJ33" s="258"/>
      <c r="CK33" s="258"/>
      <c r="CL33" s="258"/>
      <c r="CM33" s="258"/>
    </row>
    <row r="34" spans="1:91" x14ac:dyDescent="0.25">
      <c r="A34" s="723"/>
      <c r="B34" s="723"/>
      <c r="D34" s="31">
        <f t="shared" ref="D34:D97" si="53">D33+AH33</f>
        <v>37636</v>
      </c>
      <c r="F34" s="28">
        <f t="shared" ref="F34:F97" si="54">VLOOKUP(AG34,$AL$4:$AS$15,2)</f>
        <v>11107</v>
      </c>
      <c r="G34" s="28">
        <f t="shared" si="13"/>
        <v>10812.835802120817</v>
      </c>
      <c r="H34" s="52">
        <f t="shared" ref="H34:H97" si="55">(AL34+AM34+AN34)/(1-(AR34))</f>
        <v>3.5355498721227621</v>
      </c>
      <c r="I34" s="52">
        <f t="shared" ref="I34:I97" si="56">(AL34+AO34+AP34)</f>
        <v>3.7960000000000003</v>
      </c>
      <c r="K34" s="52">
        <f t="shared" ref="K34:K97" si="57">MAX(((I34-H34)-AQ34)*AU34*AH34,0)</f>
        <v>6.6408879922697608</v>
      </c>
      <c r="L34" s="135">
        <f t="shared" ref="L34:L97" si="58">MAX(Q34-K34,0)</f>
        <v>3.6616916625753504E-4</v>
      </c>
      <c r="N34" s="131">
        <f t="shared" si="18"/>
        <v>0.5685912571426992</v>
      </c>
      <c r="O34" s="131">
        <f t="shared" si="19"/>
        <v>0.5685912571426992</v>
      </c>
      <c r="P34" s="55">
        <f t="shared" ref="P34:P97" si="59">(VLOOKUP(AI34,CorrelationTwo,2)*(AW34^2)*AI34+VLOOKUP(D34,CorrelationOne,$AK$9)*AX34*AY34*(AH34/2))/((AI34+(AH34/2))*O34*N34)*AF34</f>
        <v>0.99999999999999989</v>
      </c>
      <c r="Q34" s="135">
        <f>_xll.xSPRDOPT(I34,H34,AQ34,0,O34,N34,P34,D34-$G$5,1,0)*AH34*AU34</f>
        <v>6.6412541614360183</v>
      </c>
      <c r="R34" s="135"/>
      <c r="S34" s="181">
        <f t="shared" ref="S34:S97" si="60">-T34/(1-AR34)</f>
        <v>-342794.69106753456</v>
      </c>
      <c r="T34" s="181">
        <f>_xll.xSPRDOPT(I34,H34,AQ34,AT34,O34,N34,P34,D34-$G$5,1,1)*AF34*F34*AH34</f>
        <v>335081.81051851506</v>
      </c>
      <c r="U34" s="135"/>
      <c r="V34" s="146">
        <f t="shared" ref="V34:V97" si="61">VLOOKUP($AG34,$AL$4:$AS$15,8)*AH34*AU34</f>
        <v>11.126989229089791</v>
      </c>
      <c r="W34" s="146"/>
      <c r="X34" s="338">
        <f t="shared" ref="X34:X97" si="62">((BM34*BC34)+(BL34*BB34))*AH34*F34</f>
        <v>0</v>
      </c>
      <c r="Y34" s="338">
        <f t="shared" si="23"/>
        <v>0</v>
      </c>
      <c r="Z34" s="338">
        <f t="shared" si="24"/>
        <v>14.769750014616362</v>
      </c>
      <c r="AA34" s="338">
        <f t="shared" si="25"/>
        <v>2.3088665817322794E-2</v>
      </c>
      <c r="AB34" s="338">
        <f t="shared" ref="AB34:AB97" si="63">BN34*(AT34-CA34)*F34*AH34</f>
        <v>0</v>
      </c>
      <c r="AC34" s="338">
        <f t="shared" ref="AC34:AC97" si="64">BO34*CB34*F34*AH34*CA34*($G$5-$BV$5)/365.25</f>
        <v>15.166908471560305</v>
      </c>
      <c r="AF34" s="138">
        <f t="shared" ref="AF34:AF97" si="65">IF(AND(D34&gt;=$G$7,D34&lt;=$G$8),1,0)</f>
        <v>1</v>
      </c>
      <c r="AG34" s="138">
        <f t="shared" ref="AG34:AG97" si="66">MONTH(D34)</f>
        <v>1</v>
      </c>
      <c r="AH34" s="138">
        <f t="shared" si="30"/>
        <v>31</v>
      </c>
      <c r="AI34" s="138">
        <f t="shared" ref="AI34:AI97" si="67">AI33+AH33</f>
        <v>380</v>
      </c>
      <c r="AJ34" s="138">
        <f t="shared" ref="AJ34:AJ97" si="68">D34-$BV$5</f>
        <v>397</v>
      </c>
      <c r="AL34" s="136">
        <f t="shared" si="32"/>
        <v>3.4460000000000002</v>
      </c>
      <c r="AM34" s="258">
        <f t="shared" si="33"/>
        <v>5.0000000000000001E-3</v>
      </c>
      <c r="AN34" s="258">
        <f t="shared" si="34"/>
        <v>5.0000000000000001E-3</v>
      </c>
      <c r="AO34" s="258">
        <f t="shared" si="35"/>
        <v>0.35</v>
      </c>
      <c r="AP34" s="258">
        <f t="shared" si="36"/>
        <v>0</v>
      </c>
      <c r="AQ34" s="136">
        <f t="shared" ref="AQ34:AQ97" si="69">VLOOKUP($AG34,$AL$4:$AS$15,3)+VLOOKUP($AG34,$AL$4:$AS$15,5)+($AH$10*VLOOKUP(D34,GRITable,2))</f>
        <v>4.0400000000000005E-2</v>
      </c>
      <c r="AR34" s="137">
        <f t="shared" si="38"/>
        <v>2.2499999999999999E-2</v>
      </c>
      <c r="AS34" s="136">
        <f t="shared" ref="AS34:AS97" si="70">(AL34+AM34+AN34)</f>
        <v>3.456</v>
      </c>
      <c r="AT34" s="137">
        <f t="shared" ref="AT34:AT97" si="71">VLOOKUP(D34,CurveTbl,$AK$6)</f>
        <v>2.50384261928196E-2</v>
      </c>
      <c r="AU34" s="137">
        <f t="shared" si="41"/>
        <v>0.97351542289734561</v>
      </c>
      <c r="AV34" s="394">
        <f t="shared" ref="AV34:AV97" si="72">ROUND((F34/(1-AR34))-F34,0)*AF34*AH34*AU34</f>
        <v>7725.8183961133345</v>
      </c>
      <c r="AW34" s="137">
        <f t="shared" si="43"/>
        <v>0.53749999999999998</v>
      </c>
      <c r="AX34" s="137">
        <f t="shared" si="44"/>
        <v>1.08</v>
      </c>
      <c r="AY34" s="137">
        <f t="shared" si="45"/>
        <v>1.08</v>
      </c>
      <c r="AZ34" s="137"/>
      <c r="BA34" s="264"/>
      <c r="BB34" s="258">
        <f t="shared" si="46"/>
        <v>0</v>
      </c>
      <c r="BC34" s="258">
        <f t="shared" ref="BC34:BC97" si="73">I34-BW34</f>
        <v>0</v>
      </c>
      <c r="BD34" s="137">
        <f t="shared" ref="BD34:BD97" si="74">N34-BX34</f>
        <v>2.2770835683916246E-4</v>
      </c>
      <c r="BE34" s="137">
        <f t="shared" ref="BE34:BE97" si="75">O34-BY34</f>
        <v>2.2770835683916246E-4</v>
      </c>
      <c r="BF34" s="137">
        <f>_xll.xSPRDOPT($BW34,$BV34,$CG34,0,$BY34,$BX34,$BZ34,$AJ34,1,4)*$CB34</f>
        <v>1.0442552930116078E-6</v>
      </c>
      <c r="BG34" s="137">
        <f>_xll.xSPRDOPT($BW34,$BV34,$CG34,0,$BY34,$BX34,$BZ34,$AJ34,1,3)*$CB34</f>
        <v>8.1219856123125058E-7</v>
      </c>
      <c r="BH34" s="137">
        <f>IF(OR(BF34&lt;&gt;0,BG34&lt;&gt;0),_xll.xSPRDOPT($BW34,$BV34,$CG34,0,$BY34,$BX34,$BZ34,$AJ34,1,12)*$CB34,0)</f>
        <v>-5.8014182945089318E-7</v>
      </c>
      <c r="BI34" s="137">
        <f>_xll.xSPRDOPT($BW34,$BV34,$CG34,2*LN(1+CA34/2),$BY34,$BX34,$BZ34,$AJ34,1,9)</f>
        <v>5.2225625347558846E-3</v>
      </c>
      <c r="BJ34" s="137">
        <f>_xll.xSPRDOPT($BW34,$BV34,$CG34,0,$BY34,$BX34,$BZ34,$AJ34,1,6)*$CB34</f>
        <v>-5.5550506526652436E-3</v>
      </c>
      <c r="BK34" s="137">
        <f>_xll.xSPRDOPT($BW34,$BV34,$CG34,0,$BY34,$BX34,$BZ34,$AJ34,1,5)*$CB34</f>
        <v>5.8495344487107213E-3</v>
      </c>
      <c r="BL34" s="137">
        <f>_xll.xSPRDOPT(BW34,BV34,CG34,0,BY34,BX34,BZ34,AJ34,1,2)*CB34</f>
        <v>-0.97289757010027333</v>
      </c>
      <c r="BM34" s="137">
        <f>_xll.xSPRDOPT(BW34,BV34,CG34,0,BY34,BX34,BZ34,AJ34,1,1)*CB34</f>
        <v>0.97289757010027333</v>
      </c>
      <c r="BN34" s="137">
        <f>IF(AH34&lt;&gt;0,_xll.xSPRDOPT($BW34,$BV34,$CG34,2*LN(1+CA34/2),$BY34,$BX34,$BZ34,$AJ34,1,8)+(AJ34/365.25)*CH34/AH34,0)</f>
        <v>0.1572469108853172</v>
      </c>
      <c r="BO34" s="137">
        <f>_xll.xSPRDOPT($BW34,$BV34,$CG34,0,$BY34,$BX34,$BZ34,$AJ34,1,0)</f>
        <v>0.22006271488838208</v>
      </c>
      <c r="BP34" s="137"/>
      <c r="BQ34" s="137"/>
      <c r="BR34" s="137"/>
      <c r="BS34" s="137"/>
      <c r="BV34" s="262">
        <v>3.5355498721227621</v>
      </c>
      <c r="BW34" s="136">
        <v>3.7960000000000003</v>
      </c>
      <c r="BX34" s="137">
        <v>0.56836354878586004</v>
      </c>
      <c r="BY34" s="137">
        <v>0.56836354878586004</v>
      </c>
      <c r="BZ34" s="137">
        <v>1</v>
      </c>
      <c r="CA34" s="137">
        <v>2.50384261928196E-2</v>
      </c>
      <c r="CB34" s="137">
        <v>0.97331647833327972</v>
      </c>
      <c r="CC34" s="258">
        <v>5.0000000000000001E-3</v>
      </c>
      <c r="CD34" s="258">
        <v>5.0000000000000001E-3</v>
      </c>
      <c r="CE34" s="258">
        <v>0.35</v>
      </c>
      <c r="CF34" s="258">
        <v>0</v>
      </c>
      <c r="CG34" s="258">
        <v>4.0400000000000005E-2</v>
      </c>
      <c r="CH34" s="258">
        <v>11.124715352405888</v>
      </c>
      <c r="CI34" s="258">
        <v>3.4460000000000002</v>
      </c>
      <c r="CJ34" s="258"/>
      <c r="CK34" s="258"/>
      <c r="CL34" s="258"/>
      <c r="CM34" s="258"/>
    </row>
    <row r="35" spans="1:91" x14ac:dyDescent="0.25">
      <c r="A35" s="723"/>
      <c r="B35" s="723"/>
      <c r="D35" s="31">
        <f t="shared" si="53"/>
        <v>37667</v>
      </c>
      <c r="F35" s="28">
        <f t="shared" si="54"/>
        <v>11107</v>
      </c>
      <c r="G35" s="28">
        <f t="shared" si="13"/>
        <v>10777.553309947009</v>
      </c>
      <c r="H35" s="52">
        <f t="shared" si="55"/>
        <v>3.4588235294117644</v>
      </c>
      <c r="I35" s="52">
        <f t="shared" si="56"/>
        <v>3.7210000000000001</v>
      </c>
      <c r="K35" s="52">
        <f t="shared" si="57"/>
        <v>6.0255529459246366</v>
      </c>
      <c r="L35" s="135">
        <f t="shared" si="58"/>
        <v>3.8336211861089708E-4</v>
      </c>
      <c r="N35" s="131">
        <f t="shared" si="18"/>
        <v>0.5545383214891465</v>
      </c>
      <c r="O35" s="131">
        <f t="shared" si="19"/>
        <v>0.5545383214891465</v>
      </c>
      <c r="P35" s="55">
        <f t="shared" si="59"/>
        <v>1</v>
      </c>
      <c r="Q35" s="135">
        <f>_xll.xSPRDOPT(I35,H35,AQ35,0,O35,N35,P35,D35-$G$5,1,0)*AH35*AU35</f>
        <v>6.0259363080432475</v>
      </c>
      <c r="R35" s="135"/>
      <c r="S35" s="181">
        <f t="shared" si="60"/>
        <v>-308527.0747990933</v>
      </c>
      <c r="T35" s="181">
        <f>_xll.xSPRDOPT(I35,H35,AQ35,AT35,O35,N35,P35,D35-$G$5,1,1)*AF35*F35*AH35</f>
        <v>301585.21561611374</v>
      </c>
      <c r="U35" s="135"/>
      <c r="V35" s="146">
        <f t="shared" si="61"/>
        <v>10.017389875805254</v>
      </c>
      <c r="W35" s="146"/>
      <c r="X35" s="338">
        <f t="shared" si="62"/>
        <v>0</v>
      </c>
      <c r="Y35" s="338">
        <f t="shared" si="23"/>
        <v>0</v>
      </c>
      <c r="Z35" s="338">
        <f t="shared" si="24"/>
        <v>13.970880472146295</v>
      </c>
      <c r="AA35" s="338">
        <f t="shared" si="25"/>
        <v>2.3941925774264756E-2</v>
      </c>
      <c r="AB35" s="338">
        <f t="shared" si="63"/>
        <v>0</v>
      </c>
      <c r="AC35" s="338">
        <f t="shared" si="64"/>
        <v>14.314812180648754</v>
      </c>
      <c r="AF35" s="138">
        <f t="shared" si="65"/>
        <v>1</v>
      </c>
      <c r="AG35" s="138">
        <f t="shared" si="66"/>
        <v>2</v>
      </c>
      <c r="AH35" s="138">
        <f t="shared" si="30"/>
        <v>28</v>
      </c>
      <c r="AI35" s="138">
        <f t="shared" si="67"/>
        <v>411</v>
      </c>
      <c r="AJ35" s="138">
        <f t="shared" si="68"/>
        <v>428</v>
      </c>
      <c r="AL35" s="136">
        <f t="shared" si="32"/>
        <v>3.371</v>
      </c>
      <c r="AM35" s="258">
        <f t="shared" si="33"/>
        <v>5.0000000000000001E-3</v>
      </c>
      <c r="AN35" s="258">
        <f t="shared" si="34"/>
        <v>5.0000000000000001E-3</v>
      </c>
      <c r="AO35" s="258">
        <f t="shared" si="35"/>
        <v>0.35</v>
      </c>
      <c r="AP35" s="258">
        <f t="shared" si="36"/>
        <v>0</v>
      </c>
      <c r="AQ35" s="136">
        <f t="shared" si="69"/>
        <v>4.0400000000000005E-2</v>
      </c>
      <c r="AR35" s="137">
        <f t="shared" si="38"/>
        <v>2.2499999999999999E-2</v>
      </c>
      <c r="AS35" s="136">
        <f t="shared" si="70"/>
        <v>3.3809999999999998</v>
      </c>
      <c r="AT35" s="137">
        <f t="shared" si="71"/>
        <v>2.6044986419747399E-2</v>
      </c>
      <c r="AU35" s="137">
        <f t="shared" si="41"/>
        <v>0.97033882325983689</v>
      </c>
      <c r="AV35" s="394">
        <f t="shared" si="72"/>
        <v>6955.3886851265106</v>
      </c>
      <c r="AW35" s="137">
        <f t="shared" si="43"/>
        <v>0.52749999999999997</v>
      </c>
      <c r="AX35" s="137">
        <f t="shared" si="44"/>
        <v>1.08</v>
      </c>
      <c r="AY35" s="137">
        <f t="shared" si="45"/>
        <v>1.08</v>
      </c>
      <c r="AZ35" s="137"/>
      <c r="BA35" s="264"/>
      <c r="BB35" s="258">
        <f t="shared" si="46"/>
        <v>0</v>
      </c>
      <c r="BC35" s="258">
        <f t="shared" si="73"/>
        <v>0</v>
      </c>
      <c r="BD35" s="137">
        <f t="shared" si="74"/>
        <v>1.8493142576248012E-4</v>
      </c>
      <c r="BE35" s="137">
        <f t="shared" si="75"/>
        <v>1.8493142576248012E-4</v>
      </c>
      <c r="BF35" s="137">
        <f>_xll.xSPRDOPT($BW35,$BV35,$CG35,0,$BY35,$BX35,$BZ35,$AJ35,1,4)*$CB35</f>
        <v>-1.9082055138894771E-6</v>
      </c>
      <c r="BG35" s="137">
        <f>_xll.xSPRDOPT($BW35,$BV35,$CG35,0,$BY35,$BX35,$BZ35,$AJ35,1,3)*$CB35</f>
        <v>-7.5171732365343032E-7</v>
      </c>
      <c r="BH35" s="137">
        <f>IF(OR(BF35&lt;&gt;0,BG35&lt;&gt;0),_xll.xSPRDOPT($BW35,$BV35,$CG35,0,$BY35,$BX35,$BZ35,$AJ35,1,12)*$CB35,0)</f>
        <v>-2.3129763804720932E-7</v>
      </c>
      <c r="BI35" s="137">
        <f>_xll.xSPRDOPT($BW35,$BV35,$CG35,2*LN(1+CA35/2),$BY35,$BX35,$BZ35,$AJ35,1,9)</f>
        <v>5.4693780546496143E-3</v>
      </c>
      <c r="BJ35" s="137">
        <f>_xll.xSPRDOPT($BW35,$BV35,$CG35,0,$BY35,$BX35,$BZ35,$AJ35,1,6)*$CB35</f>
        <v>-5.4919711651535046E-3</v>
      </c>
      <c r="BK35" s="137">
        <f>_xll.xSPRDOPT($BW35,$BV35,$CG35,0,$BY35,$BX35,$BZ35,$AJ35,1,5)*$CB35</f>
        <v>5.9082588458480908E-3</v>
      </c>
      <c r="BL35" s="137">
        <f>_xll.xSPRDOPT(BW35,BV35,CG35,0,BY35,BX35,BZ35,AJ35,1,2)*CB35</f>
        <v>-0.96972626209521473</v>
      </c>
      <c r="BM35" s="137">
        <f>_xll.xSPRDOPT(BW35,BV35,CG35,0,BY35,BX35,BZ35,AJ35,1,1)*CB35</f>
        <v>0.96972626211418478</v>
      </c>
      <c r="BN35" s="137">
        <f>IF(AH35&lt;&gt;0,_xll.xSPRDOPT($BW35,$BV35,$CG35,2*LN(1+CA35/2),$BY35,$BX35,$BZ35,$AJ35,1,8)+(AJ35/365.25)*CH35/AH35,0)</f>
        <v>0.16700598951477075</v>
      </c>
      <c r="BO35" s="137">
        <f>_xll.xSPRDOPT($BW35,$BV35,$CG35,0,$BY35,$BX35,$BZ35,$AJ35,1,0)</f>
        <v>0.22179133909580426</v>
      </c>
      <c r="BP35" s="137"/>
      <c r="BQ35" s="137"/>
      <c r="BR35" s="137"/>
      <c r="BS35" s="137"/>
      <c r="BV35" s="262">
        <v>3.4588235294117644</v>
      </c>
      <c r="BW35" s="136">
        <v>3.7210000000000001</v>
      </c>
      <c r="BX35" s="137">
        <v>0.55435339006338402</v>
      </c>
      <c r="BY35" s="137">
        <v>0.55435339006338402</v>
      </c>
      <c r="BZ35" s="137">
        <v>1</v>
      </c>
      <c r="CA35" s="137">
        <v>2.6044986419747399E-2</v>
      </c>
      <c r="CB35" s="137">
        <v>0.97013260845196225</v>
      </c>
      <c r="CC35" s="258">
        <v>5.0000000000000001E-3</v>
      </c>
      <c r="CD35" s="258">
        <v>5.0000000000000001E-3</v>
      </c>
      <c r="CE35" s="258">
        <v>0.35</v>
      </c>
      <c r="CF35" s="258">
        <v>0</v>
      </c>
      <c r="CG35" s="258">
        <v>4.0400000000000005E-2</v>
      </c>
      <c r="CH35" s="258">
        <v>10.015260996614678</v>
      </c>
      <c r="CI35" s="258">
        <v>3.371</v>
      </c>
      <c r="CJ35" s="258"/>
      <c r="CK35" s="258"/>
      <c r="CL35" s="258"/>
      <c r="CM35" s="258"/>
    </row>
    <row r="36" spans="1:91" x14ac:dyDescent="0.25">
      <c r="A36" s="723"/>
      <c r="B36" s="723"/>
      <c r="D36" s="31">
        <f t="shared" si="53"/>
        <v>37695</v>
      </c>
      <c r="F36" s="28">
        <f t="shared" si="54"/>
        <v>11107</v>
      </c>
      <c r="G36" s="28">
        <f t="shared" si="13"/>
        <v>10744.231774836881</v>
      </c>
      <c r="H36" s="52">
        <f t="shared" si="55"/>
        <v>3.3667519181585677</v>
      </c>
      <c r="I36" s="52">
        <f t="shared" si="56"/>
        <v>3.681</v>
      </c>
      <c r="K36" s="52">
        <f t="shared" si="57"/>
        <v>8.2120199094592863</v>
      </c>
      <c r="L36" s="135">
        <f t="shared" si="58"/>
        <v>5.5747500233849223E-5</v>
      </c>
      <c r="N36" s="131">
        <f t="shared" si="18"/>
        <v>0.50303598357381651</v>
      </c>
      <c r="O36" s="131">
        <f t="shared" si="19"/>
        <v>0.50303598357381651</v>
      </c>
      <c r="P36" s="55">
        <f t="shared" si="59"/>
        <v>1</v>
      </c>
      <c r="Q36" s="135">
        <f>_xll.xSPRDOPT(I36,H36,AQ36,0,O36,N36,P36,D36-$G$5,1,0)*AH36*AU36</f>
        <v>8.2120756569595201</v>
      </c>
      <c r="R36" s="135"/>
      <c r="S36" s="181">
        <f t="shared" si="60"/>
        <v>-340651.75849587569</v>
      </c>
      <c r="T36" s="181">
        <f>_xll.xSPRDOPT(I36,H36,AQ36,AT36,O36,N36,P36,D36-$G$5,1,1)*AF36*F36*AH36</f>
        <v>332987.09392971848</v>
      </c>
      <c r="U36" s="135"/>
      <c r="V36" s="146">
        <f t="shared" si="61"/>
        <v>11.056391997555874</v>
      </c>
      <c r="W36" s="146"/>
      <c r="X36" s="338">
        <f t="shared" si="62"/>
        <v>0</v>
      </c>
      <c r="Y36" s="338">
        <f t="shared" si="23"/>
        <v>0</v>
      </c>
      <c r="Z36" s="338">
        <f t="shared" si="24"/>
        <v>20.03003491707917</v>
      </c>
      <c r="AA36" s="338">
        <f t="shared" si="25"/>
        <v>1.4519009841927918E-3</v>
      </c>
      <c r="AB36" s="338">
        <f t="shared" si="63"/>
        <v>0</v>
      </c>
      <c r="AC36" s="338">
        <f t="shared" si="64"/>
        <v>20.188813273025399</v>
      </c>
      <c r="AF36" s="138">
        <f t="shared" si="65"/>
        <v>1</v>
      </c>
      <c r="AG36" s="138">
        <f t="shared" si="66"/>
        <v>3</v>
      </c>
      <c r="AH36" s="138">
        <f t="shared" si="30"/>
        <v>31</v>
      </c>
      <c r="AI36" s="138">
        <f t="shared" si="67"/>
        <v>439</v>
      </c>
      <c r="AJ36" s="138">
        <f t="shared" si="68"/>
        <v>456</v>
      </c>
      <c r="AL36" s="136">
        <f t="shared" si="32"/>
        <v>3.2810000000000001</v>
      </c>
      <c r="AM36" s="258">
        <f t="shared" si="33"/>
        <v>5.0000000000000001E-3</v>
      </c>
      <c r="AN36" s="258">
        <f t="shared" si="34"/>
        <v>5.0000000000000001E-3</v>
      </c>
      <c r="AO36" s="258">
        <f t="shared" si="35"/>
        <v>0.4</v>
      </c>
      <c r="AP36" s="258">
        <f t="shared" si="36"/>
        <v>0</v>
      </c>
      <c r="AQ36" s="136">
        <f t="shared" si="69"/>
        <v>4.0400000000000005E-2</v>
      </c>
      <c r="AR36" s="137">
        <f t="shared" si="38"/>
        <v>2.2499999999999999E-2</v>
      </c>
      <c r="AS36" s="136">
        <f t="shared" si="70"/>
        <v>3.2909999999999999</v>
      </c>
      <c r="AT36" s="137">
        <f t="shared" si="71"/>
        <v>2.6954137886657601E-2</v>
      </c>
      <c r="AU36" s="137">
        <f t="shared" si="41"/>
        <v>0.96733877508209964</v>
      </c>
      <c r="AV36" s="394">
        <f t="shared" si="72"/>
        <v>7676.8005190515432</v>
      </c>
      <c r="AW36" s="137">
        <f t="shared" si="43"/>
        <v>0.48749999999999999</v>
      </c>
      <c r="AX36" s="137">
        <f t="shared" si="44"/>
        <v>0.83</v>
      </c>
      <c r="AY36" s="137">
        <f t="shared" si="45"/>
        <v>0.83</v>
      </c>
      <c r="AZ36" s="137"/>
      <c r="BA36" s="264"/>
      <c r="BB36" s="258">
        <f t="shared" si="46"/>
        <v>0</v>
      </c>
      <c r="BC36" s="258">
        <f t="shared" si="73"/>
        <v>0</v>
      </c>
      <c r="BD36" s="137">
        <f t="shared" si="74"/>
        <v>1.0031212319616678E-4</v>
      </c>
      <c r="BE36" s="137">
        <f t="shared" si="75"/>
        <v>1.0031212319616678E-4</v>
      </c>
      <c r="BF36" s="137">
        <f>_xll.xSPRDOPT($BW36,$BV36,$CG36,0,$BY36,$BX36,$BZ36,$AJ36,1,4)*$CB36</f>
        <v>1.4987753528108525E-6</v>
      </c>
      <c r="BG36" s="137">
        <f>_xll.xSPRDOPT($BW36,$BV36,$CG36,0,$BY36,$BX36,$BZ36,$AJ36,1,3)*$CB36</f>
        <v>2.3058082350936192E-7</v>
      </c>
      <c r="BH36" s="137">
        <f>IF(OR(BF36&lt;&gt;0,BG36&lt;&gt;0),_xll.xSPRDOPT($BW36,$BV36,$CG36,0,$BY36,$BX36,$BZ36,$AJ36,1,12)*$CB36,0)</f>
        <v>-6.9174247052808575E-7</v>
      </c>
      <c r="BI36" s="137">
        <f>_xll.xSPRDOPT($BW36,$BV36,$CG36,2*LN(1+CA36/2),$BY36,$BX36,$BZ36,$AJ36,1,9)</f>
        <v>7.0825917719845059E-3</v>
      </c>
      <c r="BJ36" s="137">
        <f>_xll.xSPRDOPT($BW36,$BV36,$CG36,0,$BY36,$BX36,$BZ36,$AJ36,1,6)*$CB36</f>
        <v>-4.5036389920915403E-4</v>
      </c>
      <c r="BK36" s="137">
        <f>_xll.xSPRDOPT($BW36,$BV36,$CG36,0,$BY36,$BX36,$BZ36,$AJ36,1,5)*$CB36</f>
        <v>4.9240026003285E-4</v>
      </c>
      <c r="BL36" s="137">
        <f>_xll.xSPRDOPT(BW36,BV36,CG36,0,BY36,BX36,BZ36,AJ36,1,2)*CB36</f>
        <v>-0.96709800128920909</v>
      </c>
      <c r="BM36" s="137">
        <f>_xll.xSPRDOPT(BW36,BV36,CG36,0,BY36,BX36,BZ36,AJ36,1,1)*CB36</f>
        <v>0.96709800128569068</v>
      </c>
      <c r="BN36" s="137">
        <f>IF(AH36&lt;&gt;0,_xll.xSPRDOPT($BW36,$BV36,$CG36,2*LN(1+CA36/2),$BY36,$BX36,$BZ36,$AJ36,1,8)+(AJ36/365.25)*CH36/AH36,0)</f>
        <v>0.11452360320509541</v>
      </c>
      <c r="BO36" s="137">
        <f>_xll.xSPRDOPT($BW36,$BV36,$CG36,0,$BY36,$BX36,$BZ36,$AJ36,1,0)</f>
        <v>0.27385000878551113</v>
      </c>
      <c r="BP36" s="137"/>
      <c r="BQ36" s="137"/>
      <c r="BR36" s="137"/>
      <c r="BS36" s="137"/>
      <c r="BV36" s="262">
        <v>3.3667519181585677</v>
      </c>
      <c r="BW36" s="136">
        <v>3.681</v>
      </c>
      <c r="BX36" s="137">
        <v>0.50293567145062035</v>
      </c>
      <c r="BY36" s="137">
        <v>0.50293567145062035</v>
      </c>
      <c r="BZ36" s="137">
        <v>1</v>
      </c>
      <c r="CA36" s="137">
        <v>2.6954137886657601E-2</v>
      </c>
      <c r="CB36" s="137">
        <v>0.96712607036861076</v>
      </c>
      <c r="CC36" s="258">
        <v>5.0000000000000001E-3</v>
      </c>
      <c r="CD36" s="258">
        <v>5.0000000000000001E-3</v>
      </c>
      <c r="CE36" s="258">
        <v>0.4</v>
      </c>
      <c r="CF36" s="258">
        <v>0</v>
      </c>
      <c r="CG36" s="258">
        <v>4.0400000000000005E-2</v>
      </c>
      <c r="CH36" s="258">
        <v>11.05396084649211</v>
      </c>
      <c r="CI36" s="258">
        <v>3.2810000000000001</v>
      </c>
      <c r="CJ36" s="258"/>
      <c r="CK36" s="258"/>
      <c r="CL36" s="258"/>
      <c r="CM36" s="258"/>
    </row>
    <row r="37" spans="1:91" x14ac:dyDescent="0.25">
      <c r="A37" s="723"/>
      <c r="B37" s="723"/>
      <c r="D37" s="31">
        <f t="shared" si="53"/>
        <v>37726</v>
      </c>
      <c r="F37" s="28">
        <f t="shared" si="54"/>
        <v>5899</v>
      </c>
      <c r="G37" s="28">
        <f t="shared" si="13"/>
        <v>5685.7896258359606</v>
      </c>
      <c r="H37" s="52">
        <f t="shared" si="55"/>
        <v>3.2132992327365724</v>
      </c>
      <c r="I37" s="52">
        <f t="shared" si="56"/>
        <v>3.726</v>
      </c>
      <c r="K37" s="52">
        <f t="shared" si="57"/>
        <v>13.656905252317824</v>
      </c>
      <c r="L37" s="135">
        <f t="shared" si="58"/>
        <v>1.4935743131161416E-6</v>
      </c>
      <c r="N37" s="131">
        <f t="shared" si="18"/>
        <v>0.38888404308877494</v>
      </c>
      <c r="O37" s="131">
        <f t="shared" si="19"/>
        <v>0.38888404308877494</v>
      </c>
      <c r="P37" s="55">
        <f t="shared" si="59"/>
        <v>1.0000000000000002</v>
      </c>
      <c r="Q37" s="135">
        <f>_xll.xSPRDOPT(I37,H37,AQ37,0,O37,N37,P37,D37-$G$5,1,0)*AH37*AU37</f>
        <v>13.656906745892137</v>
      </c>
      <c r="R37" s="135"/>
      <c r="S37" s="181">
        <f t="shared" si="60"/>
        <v>-174455.13995168646</v>
      </c>
      <c r="T37" s="181">
        <f>_xll.xSPRDOPT(I37,H37,AQ37,AT37,O37,N37,P37,D37-$G$5,1,1)*AF37*F37*AH37</f>
        <v>170529.89930277353</v>
      </c>
      <c r="U37" s="135"/>
      <c r="V37" s="146">
        <f t="shared" si="61"/>
        <v>10.661216994638339</v>
      </c>
      <c r="W37" s="146"/>
      <c r="X37" s="338">
        <f t="shared" si="62"/>
        <v>0</v>
      </c>
      <c r="Y37" s="338">
        <f t="shared" si="23"/>
        <v>0</v>
      </c>
      <c r="Z37" s="338">
        <f t="shared" si="24"/>
        <v>18.378368906833867</v>
      </c>
      <c r="AA37" s="338">
        <f t="shared" si="25"/>
        <v>-6.3110228046921966E-8</v>
      </c>
      <c r="AB37" s="338">
        <f t="shared" si="63"/>
        <v>0</v>
      </c>
      <c r="AC37" s="338">
        <f t="shared" si="64"/>
        <v>18.506594253141817</v>
      </c>
      <c r="AF37" s="138">
        <f t="shared" si="65"/>
        <v>1</v>
      </c>
      <c r="AG37" s="138">
        <f t="shared" si="66"/>
        <v>4</v>
      </c>
      <c r="AH37" s="138">
        <f t="shared" si="30"/>
        <v>30</v>
      </c>
      <c r="AI37" s="138">
        <f t="shared" si="67"/>
        <v>470</v>
      </c>
      <c r="AJ37" s="138">
        <f t="shared" si="68"/>
        <v>487</v>
      </c>
      <c r="AL37" s="136">
        <f t="shared" si="32"/>
        <v>3.1259999999999999</v>
      </c>
      <c r="AM37" s="258">
        <f t="shared" si="33"/>
        <v>0.01</v>
      </c>
      <c r="AN37" s="258">
        <f t="shared" si="34"/>
        <v>5.0000000000000001E-3</v>
      </c>
      <c r="AO37" s="258">
        <f t="shared" si="35"/>
        <v>0.6</v>
      </c>
      <c r="AP37" s="258">
        <f t="shared" si="36"/>
        <v>0</v>
      </c>
      <c r="AQ37" s="136">
        <f t="shared" si="69"/>
        <v>4.0400000000000005E-2</v>
      </c>
      <c r="AR37" s="137">
        <f t="shared" si="38"/>
        <v>2.2499999999999999E-2</v>
      </c>
      <c r="AS37" s="136">
        <f t="shared" si="70"/>
        <v>3.1409999999999996</v>
      </c>
      <c r="AT37" s="137">
        <f t="shared" si="71"/>
        <v>2.79745964320606E-2</v>
      </c>
      <c r="AU37" s="137">
        <f t="shared" si="41"/>
        <v>0.96385652243362618</v>
      </c>
      <c r="AV37" s="394">
        <f t="shared" si="72"/>
        <v>3932.534611529195</v>
      </c>
      <c r="AW37" s="137">
        <f t="shared" si="43"/>
        <v>0.38750000000000001</v>
      </c>
      <c r="AX37" s="137">
        <f t="shared" si="44"/>
        <v>0.43</v>
      </c>
      <c r="AY37" s="137">
        <f t="shared" si="45"/>
        <v>0.43</v>
      </c>
      <c r="AZ37" s="137"/>
      <c r="BA37" s="264"/>
      <c r="BB37" s="258">
        <f t="shared" si="46"/>
        <v>0</v>
      </c>
      <c r="BC37" s="258">
        <f t="shared" si="73"/>
        <v>0</v>
      </c>
      <c r="BD37" s="137">
        <f t="shared" si="74"/>
        <v>8.4934135016756507E-6</v>
      </c>
      <c r="BE37" s="137">
        <f t="shared" si="75"/>
        <v>8.4934135016756507E-6</v>
      </c>
      <c r="BF37" s="137">
        <f>_xll.xSPRDOPT($BW37,$BV37,$CG37,0,$BY37,$BX37,$BZ37,$AJ37,1,4)*$CB37</f>
        <v>1.1487443637732494E-7</v>
      </c>
      <c r="BG37" s="137">
        <f>_xll.xSPRDOPT($BW37,$BV37,$CG37,0,$BY37,$BX37,$BZ37,$AJ37,1,3)*$CB37</f>
        <v>1.0338699273959244E-6</v>
      </c>
      <c r="BH37" s="137">
        <f>IF(OR(BF37&lt;&gt;0,BG37&lt;&gt;0),_xll.xSPRDOPT($BW37,$BV37,$CG37,0,$BY37,$BX37,$BZ37,$AJ37,1,12)*$CB37,0)</f>
        <v>-1.091307145584587E-6</v>
      </c>
      <c r="BI37" s="137">
        <f>_xll.xSPRDOPT($BW37,$BV37,$CG37,2*LN(1+CA37/2),$BY37,$BX37,$BZ37,$AJ37,1,9)</f>
        <v>1.2643761170859599E-2</v>
      </c>
      <c r="BJ37" s="137">
        <f>_xll.xSPRDOPT($BW37,$BV37,$CG37,0,$BY37,$BX37,$BZ37,$AJ37,1,6)*$CB37</f>
        <v>2.6320057771282301E-7</v>
      </c>
      <c r="BK37" s="137">
        <f>_xll.xSPRDOPT($BW37,$BV37,$CG37,0,$BY37,$BX37,$BZ37,$AJ37,1,5)*$CB37</f>
        <v>-3.0518786632599745E-7</v>
      </c>
      <c r="BL37" s="137">
        <f>_xll.xSPRDOPT(BW37,BV37,CG37,0,BY37,BX37,BZ37,AJ37,1,2)*CB37</f>
        <v>-0.96363672019080704</v>
      </c>
      <c r="BM37" s="137">
        <f>_xll.xSPRDOPT(BW37,BV37,CG37,0,BY37,BX37,BZ37,AJ37,1,1)*CB37</f>
        <v>0.96363672019781843</v>
      </c>
      <c r="BN37" s="137">
        <f>IF(AH37&lt;&gt;0,_xll.xSPRDOPT($BW37,$BV37,$CG37,2*LN(1+CA37/2),$BY37,$BX37,$BZ37,$AJ37,1,8)+(AJ37/365.25)*CH37/AH37,0)</f>
        <v>-0.13311139000572531</v>
      </c>
      <c r="BO37" s="137">
        <f>_xll.xSPRDOPT($BW37,$BV37,$CG37,0,$BY37,$BX37,$BZ37,$AJ37,1,0)</f>
        <v>0.47230081886437686</v>
      </c>
      <c r="BP37" s="137"/>
      <c r="BQ37" s="137"/>
      <c r="BR37" s="137"/>
      <c r="BS37" s="137"/>
      <c r="BV37" s="262">
        <v>3.2132992327365724</v>
      </c>
      <c r="BW37" s="136">
        <v>3.726</v>
      </c>
      <c r="BX37" s="137">
        <v>0.38887554967527327</v>
      </c>
      <c r="BY37" s="137">
        <v>0.38887554967527327</v>
      </c>
      <c r="BZ37" s="137">
        <v>1</v>
      </c>
      <c r="CA37" s="137">
        <v>2.79745964320606E-2</v>
      </c>
      <c r="CB37" s="137">
        <v>0.96363661599031902</v>
      </c>
      <c r="CC37" s="258">
        <v>0.01</v>
      </c>
      <c r="CD37" s="258">
        <v>5.0000000000000001E-3</v>
      </c>
      <c r="CE37" s="258">
        <v>0.6</v>
      </c>
      <c r="CF37" s="258">
        <v>0</v>
      </c>
      <c r="CG37" s="258">
        <v>4.0400000000000005E-2</v>
      </c>
      <c r="CH37" s="258">
        <v>10.658784609468919</v>
      </c>
      <c r="CI37" s="258">
        <v>3.1259999999999999</v>
      </c>
      <c r="CJ37" s="258"/>
      <c r="CK37" s="258"/>
      <c r="CL37" s="258"/>
      <c r="CM37" s="258"/>
    </row>
    <row r="38" spans="1:91" x14ac:dyDescent="0.25">
      <c r="A38" s="723"/>
      <c r="B38" s="723"/>
      <c r="D38" s="31">
        <f t="shared" si="53"/>
        <v>37756</v>
      </c>
      <c r="F38" s="28">
        <f t="shared" si="54"/>
        <v>5895</v>
      </c>
      <c r="G38" s="28">
        <f t="shared" si="13"/>
        <v>5661.2134014436533</v>
      </c>
      <c r="H38" s="52">
        <f t="shared" si="55"/>
        <v>3.2143222506393854</v>
      </c>
      <c r="I38" s="52">
        <f t="shared" si="56"/>
        <v>3.8769999999999998</v>
      </c>
      <c r="K38" s="52">
        <f t="shared" si="57"/>
        <v>18.525574411724456</v>
      </c>
      <c r="L38" s="135">
        <f t="shared" si="58"/>
        <v>2.0333828558705136E-6</v>
      </c>
      <c r="N38" s="131">
        <f t="shared" si="18"/>
        <v>0.3761805213924197</v>
      </c>
      <c r="O38" s="131">
        <f t="shared" si="19"/>
        <v>0.3761805213924197</v>
      </c>
      <c r="P38" s="55">
        <f t="shared" si="59"/>
        <v>1.0000000000000002</v>
      </c>
      <c r="Q38" s="135">
        <f>_xll.xSPRDOPT(I38,H38,AQ38,0,O38,N38,P38,D38-$G$5,1,0)*AH38*AU38</f>
        <v>18.525576445107312</v>
      </c>
      <c r="R38" s="135"/>
      <c r="S38" s="181">
        <f t="shared" si="60"/>
        <v>-179484.75030973722</v>
      </c>
      <c r="T38" s="181">
        <f>_xll.xSPRDOPT(I38,H38,AQ38,AT38,O38,N38,P38,D38-$G$5,1,1)*AF38*F38*AH38</f>
        <v>175446.34342776815</v>
      </c>
      <c r="U38" s="135"/>
      <c r="V38" s="146">
        <f t="shared" si="61"/>
        <v>10.976415744610776</v>
      </c>
      <c r="W38" s="146"/>
      <c r="X38" s="338">
        <f t="shared" si="62"/>
        <v>0</v>
      </c>
      <c r="Y38" s="338">
        <f t="shared" si="23"/>
        <v>0</v>
      </c>
      <c r="Z38" s="338">
        <f t="shared" si="24"/>
        <v>25.787226912134386</v>
      </c>
      <c r="AA38" s="338">
        <f t="shared" si="25"/>
        <v>-2.6152885584604532E-7</v>
      </c>
      <c r="AB38" s="338">
        <f t="shared" si="63"/>
        <v>0</v>
      </c>
      <c r="AC38" s="338">
        <f t="shared" si="64"/>
        <v>25.973485935117079</v>
      </c>
      <c r="AF38" s="138">
        <f t="shared" si="65"/>
        <v>1</v>
      </c>
      <c r="AG38" s="138">
        <f t="shared" si="66"/>
        <v>5</v>
      </c>
      <c r="AH38" s="138">
        <f t="shared" si="30"/>
        <v>31</v>
      </c>
      <c r="AI38" s="138">
        <f t="shared" si="67"/>
        <v>500</v>
      </c>
      <c r="AJ38" s="138">
        <f t="shared" si="68"/>
        <v>517</v>
      </c>
      <c r="AL38" s="136">
        <f t="shared" si="32"/>
        <v>3.1269999999999998</v>
      </c>
      <c r="AM38" s="258">
        <f t="shared" si="33"/>
        <v>0.01</v>
      </c>
      <c r="AN38" s="258">
        <f t="shared" si="34"/>
        <v>5.0000000000000001E-3</v>
      </c>
      <c r="AO38" s="258">
        <f t="shared" si="35"/>
        <v>0.75</v>
      </c>
      <c r="AP38" s="258">
        <f t="shared" si="36"/>
        <v>0</v>
      </c>
      <c r="AQ38" s="136">
        <f t="shared" si="69"/>
        <v>4.0400000000000005E-2</v>
      </c>
      <c r="AR38" s="137">
        <f t="shared" si="38"/>
        <v>2.2499999999999999E-2</v>
      </c>
      <c r="AS38" s="136">
        <f t="shared" si="70"/>
        <v>3.1419999999999995</v>
      </c>
      <c r="AT38" s="137">
        <f t="shared" si="71"/>
        <v>2.8963180076380102E-2</v>
      </c>
      <c r="AU38" s="137">
        <f t="shared" si="41"/>
        <v>0.96034154392598015</v>
      </c>
      <c r="AV38" s="394">
        <f t="shared" si="72"/>
        <v>4048.7999491919322</v>
      </c>
      <c r="AW38" s="137">
        <f t="shared" si="43"/>
        <v>0.3725</v>
      </c>
      <c r="AX38" s="137">
        <f t="shared" si="44"/>
        <v>0.48</v>
      </c>
      <c r="AY38" s="137">
        <f t="shared" si="45"/>
        <v>0.48</v>
      </c>
      <c r="AZ38" s="137"/>
      <c r="BA38" s="264"/>
      <c r="BB38" s="258">
        <f t="shared" si="46"/>
        <v>0</v>
      </c>
      <c r="BC38" s="258">
        <f t="shared" si="73"/>
        <v>0</v>
      </c>
      <c r="BD38" s="137">
        <f t="shared" si="74"/>
        <v>2.1191627312566741E-5</v>
      </c>
      <c r="BE38" s="137">
        <f t="shared" si="75"/>
        <v>2.1191627312566741E-5</v>
      </c>
      <c r="BF38" s="137">
        <f>_xll.xSPRDOPT($BW38,$BV38,$CG38,0,$BY38,$BX38,$BZ38,$AJ38,1,4)*$CB38</f>
        <v>1.6023643661139662E-6</v>
      </c>
      <c r="BG38" s="137">
        <f>_xll.xSPRDOPT($BW38,$BV38,$CG38,0,$BY38,$BX38,$BZ38,$AJ38,1,3)*$CB38</f>
        <v>9.1563678063655212E-7</v>
      </c>
      <c r="BH38" s="137">
        <f>IF(OR(BF38&lt;&gt;0,BG38&lt;&gt;0),_xll.xSPRDOPT($BW38,$BV38,$CG38,0,$BY38,$BX38,$BZ38,$AJ38,1,12)*$CB38,0)</f>
        <v>-8.0118218305698309E-7</v>
      </c>
      <c r="BI38" s="137">
        <f>_xll.xSPRDOPT($BW38,$BV38,$CG38,2*LN(1+CA38/2),$BY38,$BX38,$BZ38,$AJ38,1,9)</f>
        <v>1.7180195773084689E-2</v>
      </c>
      <c r="BJ38" s="137">
        <f>_xll.xSPRDOPT($BW38,$BV38,$CG38,0,$BY38,$BX38,$BZ38,$AJ38,1,6)*$CB38</f>
        <v>3.2764336064050551E-7</v>
      </c>
      <c r="BK38" s="137">
        <f>_xll.xSPRDOPT($BW38,$BV38,$CG38,0,$BY38,$BX38,$BZ38,$AJ38,1,5)*$CB38</f>
        <v>-3.9517539036340961E-7</v>
      </c>
      <c r="BL38" s="137">
        <f>_xll.xSPRDOPT(BW38,BV38,CG38,0,BY38,BX38,BZ38,AJ38,1,2)*CB38</f>
        <v>-0.96011485938533747</v>
      </c>
      <c r="BM38" s="137">
        <f>_xll.xSPRDOPT(BW38,BV38,CG38,0,BY38,BX38,BZ38,AJ38,1,1)*CB38</f>
        <v>0.96011485938009811</v>
      </c>
      <c r="BN38" s="137">
        <f>IF(AH38&lt;&gt;0,_xll.xSPRDOPT($BW38,$BV38,$CG38,2*LN(1+CA38/2),$BY38,$BX38,$BZ38,$AJ38,1,8)+(AJ38/365.25)*CH38/AH38,0)</f>
        <v>-0.34461543189118682</v>
      </c>
      <c r="BO38" s="137">
        <f>_xll.xSPRDOPT($BW38,$BV38,$CG38,0,$BY38,$BX38,$BZ38,$AJ38,1,0)</f>
        <v>0.62227781758705014</v>
      </c>
      <c r="BP38" s="137"/>
      <c r="BQ38" s="137"/>
      <c r="BR38" s="137"/>
      <c r="BS38" s="137"/>
      <c r="BV38" s="262">
        <v>3.2143222506393854</v>
      </c>
      <c r="BW38" s="136">
        <v>3.8769999999999998</v>
      </c>
      <c r="BX38" s="137">
        <v>0.37615932976510713</v>
      </c>
      <c r="BY38" s="137">
        <v>0.37615932976510713</v>
      </c>
      <c r="BZ38" s="137">
        <v>1</v>
      </c>
      <c r="CA38" s="137">
        <v>2.8963180076380102E-2</v>
      </c>
      <c r="CB38" s="137">
        <v>0.96011475289275328</v>
      </c>
      <c r="CC38" s="258">
        <v>0.01</v>
      </c>
      <c r="CD38" s="258">
        <v>5.0000000000000001E-3</v>
      </c>
      <c r="CE38" s="258">
        <v>0.75</v>
      </c>
      <c r="CF38" s="258">
        <v>0</v>
      </c>
      <c r="CG38" s="258">
        <v>4.0400000000000005E-2</v>
      </c>
      <c r="CH38" s="258">
        <v>10.973823591138302</v>
      </c>
      <c r="CI38" s="258">
        <v>3.1269999999999998</v>
      </c>
      <c r="CJ38" s="258"/>
      <c r="CK38" s="258"/>
      <c r="CL38" s="258"/>
      <c r="CM38" s="258"/>
    </row>
    <row r="39" spans="1:91" x14ac:dyDescent="0.25">
      <c r="A39" s="723"/>
      <c r="B39" s="723"/>
      <c r="D39" s="31">
        <f t="shared" si="53"/>
        <v>37787</v>
      </c>
      <c r="F39" s="28">
        <f t="shared" si="54"/>
        <v>5895</v>
      </c>
      <c r="G39" s="28">
        <f t="shared" si="13"/>
        <v>5638.9368732816893</v>
      </c>
      <c r="H39" s="52">
        <f t="shared" si="55"/>
        <v>3.2526854219948849</v>
      </c>
      <c r="I39" s="52">
        <f t="shared" si="56"/>
        <v>4.0119999999999996</v>
      </c>
      <c r="K39" s="52">
        <f t="shared" si="57"/>
        <v>20.630605204339883</v>
      </c>
      <c r="L39" s="135">
        <f t="shared" si="58"/>
        <v>2.2426538386355332E-6</v>
      </c>
      <c r="N39" s="131">
        <f t="shared" si="18"/>
        <v>0.37586425134556289</v>
      </c>
      <c r="O39" s="131">
        <f t="shared" si="19"/>
        <v>0.37586425134556289</v>
      </c>
      <c r="P39" s="55">
        <f t="shared" si="59"/>
        <v>0.99999999999999978</v>
      </c>
      <c r="Q39" s="135">
        <f>_xll.xSPRDOPT(I39,H39,AQ39,0,O39,N39,P39,D39-$G$5,1,0)*AH39*AU39</f>
        <v>20.630607446993722</v>
      </c>
      <c r="R39" s="135"/>
      <c r="S39" s="181">
        <f t="shared" si="60"/>
        <v>-173004.56072169909</v>
      </c>
      <c r="T39" s="181">
        <f>_xll.xSPRDOPT(I39,H39,AQ39,AT39,O39,N39,P39,D39-$G$5,1,1)*AF39*F39*AH39</f>
        <v>169111.95810546086</v>
      </c>
      <c r="U39" s="135"/>
      <c r="V39" s="146">
        <f t="shared" si="61"/>
        <v>10.580539568340757</v>
      </c>
      <c r="W39" s="146"/>
      <c r="X39" s="338">
        <f t="shared" si="62"/>
        <v>0</v>
      </c>
      <c r="Y39" s="338">
        <f t="shared" si="23"/>
        <v>0</v>
      </c>
      <c r="Z39" s="338">
        <f t="shared" si="24"/>
        <v>29.722508904376582</v>
      </c>
      <c r="AA39" s="338">
        <f t="shared" si="25"/>
        <v>-2.6404200693339102E-7</v>
      </c>
      <c r="AB39" s="338">
        <f t="shared" si="63"/>
        <v>0</v>
      </c>
      <c r="AC39" s="338">
        <f t="shared" si="64"/>
        <v>29.944746613946112</v>
      </c>
      <c r="AF39" s="138">
        <f t="shared" si="65"/>
        <v>1</v>
      </c>
      <c r="AG39" s="138">
        <f t="shared" si="66"/>
        <v>6</v>
      </c>
      <c r="AH39" s="138">
        <f t="shared" si="30"/>
        <v>30</v>
      </c>
      <c r="AI39" s="138">
        <f t="shared" si="67"/>
        <v>531</v>
      </c>
      <c r="AJ39" s="138">
        <f t="shared" si="68"/>
        <v>548</v>
      </c>
      <c r="AL39" s="136">
        <f t="shared" si="32"/>
        <v>3.1619999999999999</v>
      </c>
      <c r="AM39" s="258">
        <f t="shared" si="33"/>
        <v>1.2500000000000001E-2</v>
      </c>
      <c r="AN39" s="258">
        <f t="shared" si="34"/>
        <v>5.0000000000000001E-3</v>
      </c>
      <c r="AO39" s="258">
        <f t="shared" si="35"/>
        <v>0.85</v>
      </c>
      <c r="AP39" s="258">
        <f t="shared" si="36"/>
        <v>0</v>
      </c>
      <c r="AQ39" s="136">
        <f t="shared" si="69"/>
        <v>4.0400000000000005E-2</v>
      </c>
      <c r="AR39" s="137">
        <f t="shared" si="38"/>
        <v>2.2499999999999999E-2</v>
      </c>
      <c r="AS39" s="136">
        <f t="shared" si="70"/>
        <v>3.1795</v>
      </c>
      <c r="AT39" s="137">
        <f t="shared" si="71"/>
        <v>2.99847168551968E-2</v>
      </c>
      <c r="AU39" s="137">
        <f t="shared" si="41"/>
        <v>0.95656265874159274</v>
      </c>
      <c r="AV39" s="394">
        <f t="shared" si="72"/>
        <v>3902.7756476656982</v>
      </c>
      <c r="AW39" s="137">
        <f t="shared" si="43"/>
        <v>0.3725</v>
      </c>
      <c r="AX39" s="137">
        <f t="shared" si="44"/>
        <v>0.48</v>
      </c>
      <c r="AY39" s="137">
        <f t="shared" si="45"/>
        <v>0.48</v>
      </c>
      <c r="AZ39" s="137"/>
      <c r="BA39" s="264"/>
      <c r="BB39" s="258">
        <f t="shared" si="46"/>
        <v>0</v>
      </c>
      <c r="BC39" s="258">
        <f t="shared" si="73"/>
        <v>0</v>
      </c>
      <c r="BD39" s="137">
        <f t="shared" si="74"/>
        <v>1.8302058320429637E-5</v>
      </c>
      <c r="BE39" s="137">
        <f t="shared" si="75"/>
        <v>1.8302058320429637E-5</v>
      </c>
      <c r="BF39" s="137">
        <f>_xll.xSPRDOPT($BW39,$BV39,$CG39,0,$BY39,$BX39,$BZ39,$AJ39,1,4)*$CB39</f>
        <v>-6.8401969856603085E-7</v>
      </c>
      <c r="BG39" s="137">
        <f>_xll.xSPRDOPT($BW39,$BV39,$CG39,0,$BY39,$BX39,$BZ39,$AJ39,1,3)*$CB39</f>
        <v>-2.2800656618867693E-7</v>
      </c>
      <c r="BH39" s="137">
        <f>IF(OR(BF39&lt;&gt;0,BG39&lt;&gt;0),_xll.xSPRDOPT($BW39,$BV39,$CG39,0,$BY39,$BX39,$BZ39,$AJ39,1,12)*$CB39,0)</f>
        <v>4.5601313237735386E-7</v>
      </c>
      <c r="BI39" s="137">
        <f>_xll.xSPRDOPT($BW39,$BV39,$CG39,2*LN(1+CA39/2),$BY39,$BX39,$BZ39,$AJ39,1,9)</f>
        <v>2.0462060837477234E-2</v>
      </c>
      <c r="BJ39" s="137">
        <f>_xll.xSPRDOPT($BW39,$BV39,$CG39,0,$BY39,$BX39,$BZ39,$AJ39,1,6)*$CB39</f>
        <v>3.4950154500065877E-7</v>
      </c>
      <c r="BK39" s="137">
        <f>_xll.xSPRDOPT($BW39,$BV39,$CG39,0,$BY39,$BX39,$BZ39,$AJ39,1,5)*$CB39</f>
        <v>-4.3107860059118863E-7</v>
      </c>
      <c r="BL39" s="137">
        <f>_xll.xSPRDOPT(BW39,BV39,CG39,0,BY39,BX39,BZ39,AJ39,1,2)*CB39</f>
        <v>-0.95632895755252401</v>
      </c>
      <c r="BM39" s="137">
        <f>_xll.xSPRDOPT(BW39,BV39,CG39,0,BY39,BX39,BZ39,AJ39,1,1)*CB39</f>
        <v>0.95632895756122172</v>
      </c>
      <c r="BN39" s="137">
        <f>IF(AH39&lt;&gt;0,_xll.xSPRDOPT($BW39,$BV39,$CG39,2*LN(1+CA39/2),$BY39,$BX39,$BZ39,$AJ39,1,8)+(AJ39/365.25)*CH39/AH39,0)</f>
        <v>-0.50249519055156022</v>
      </c>
      <c r="BO39" s="137">
        <f>_xll.xSPRDOPT($BW39,$BV39,$CG39,0,$BY39,$BX39,$BZ39,$AJ39,1,0)</f>
        <v>0.71891465606864136</v>
      </c>
      <c r="BP39" s="137"/>
      <c r="BQ39" s="137"/>
      <c r="BR39" s="137"/>
      <c r="BS39" s="137"/>
      <c r="BV39" s="262">
        <v>3.2526854219948849</v>
      </c>
      <c r="BW39" s="136">
        <v>4.0119999999999996</v>
      </c>
      <c r="BX39" s="137">
        <v>0.37584594928724246</v>
      </c>
      <c r="BY39" s="137">
        <v>0.37584594928724246</v>
      </c>
      <c r="BZ39" s="137">
        <v>1</v>
      </c>
      <c r="CA39" s="137">
        <v>2.99847168551968E-2</v>
      </c>
      <c r="CB39" s="137">
        <v>0.95632885259143241</v>
      </c>
      <c r="CC39" s="258">
        <v>1.2500000000000001E-2</v>
      </c>
      <c r="CD39" s="258">
        <v>5.0000000000000001E-3</v>
      </c>
      <c r="CE39" s="258">
        <v>0.85</v>
      </c>
      <c r="CF39" s="258">
        <v>0</v>
      </c>
      <c r="CG39" s="258">
        <v>4.0400000000000005E-2</v>
      </c>
      <c r="CH39" s="258">
        <v>10.577953438513834</v>
      </c>
      <c r="CI39" s="258">
        <v>3.1619999999999999</v>
      </c>
      <c r="CJ39" s="258"/>
      <c r="CK39" s="258"/>
      <c r="CL39" s="258"/>
      <c r="CM39" s="258"/>
    </row>
    <row r="40" spans="1:91" x14ac:dyDescent="0.25">
      <c r="A40" s="723"/>
      <c r="B40" s="723"/>
      <c r="D40" s="31">
        <f t="shared" si="53"/>
        <v>37817</v>
      </c>
      <c r="F40" s="28">
        <f t="shared" si="54"/>
        <v>5895</v>
      </c>
      <c r="G40" s="28">
        <f t="shared" si="13"/>
        <v>5616.6226035897744</v>
      </c>
      <c r="H40" s="52">
        <f t="shared" si="55"/>
        <v>3.2956521739130435</v>
      </c>
      <c r="I40" s="52">
        <f t="shared" si="56"/>
        <v>4.2540000000000004</v>
      </c>
      <c r="K40" s="52">
        <f t="shared" si="57"/>
        <v>27.112597417540123</v>
      </c>
      <c r="L40" s="135">
        <f t="shared" si="58"/>
        <v>2.9157015575265177E-6</v>
      </c>
      <c r="N40" s="131">
        <f t="shared" si="18"/>
        <v>0.37759499646180722</v>
      </c>
      <c r="O40" s="131">
        <f t="shared" si="19"/>
        <v>0.37759499646180722</v>
      </c>
      <c r="P40" s="55">
        <f t="shared" si="59"/>
        <v>1</v>
      </c>
      <c r="Q40" s="135">
        <f>_xll.xSPRDOPT(I40,H40,AQ40,0,O40,N40,P40,D40-$G$5,1,0)*AH40*AU40</f>
        <v>27.11260033324168</v>
      </c>
      <c r="R40" s="135"/>
      <c r="S40" s="181">
        <f t="shared" si="60"/>
        <v>-178056.5690395264</v>
      </c>
      <c r="T40" s="181">
        <f>_xll.xSPRDOPT(I40,H40,AQ40,AT40,O40,N40,P40,D40-$G$5,1,1)*AF40*F40*AH40</f>
        <v>174050.29623613704</v>
      </c>
      <c r="U40" s="135"/>
      <c r="V40" s="146">
        <f t="shared" si="61"/>
        <v>10.889959520313832</v>
      </c>
      <c r="W40" s="146"/>
      <c r="X40" s="338">
        <f t="shared" si="62"/>
        <v>0</v>
      </c>
      <c r="Y40" s="338">
        <f t="shared" si="23"/>
        <v>0</v>
      </c>
      <c r="Z40" s="338">
        <f t="shared" si="24"/>
        <v>40.328409078351854</v>
      </c>
      <c r="AA40" s="338">
        <f t="shared" si="25"/>
        <v>-5.2054714689129196E-7</v>
      </c>
      <c r="AB40" s="338">
        <f t="shared" si="63"/>
        <v>0</v>
      </c>
      <c r="AC40" s="338">
        <f t="shared" si="64"/>
        <v>40.639785156905667</v>
      </c>
      <c r="AF40" s="138">
        <f t="shared" si="65"/>
        <v>1</v>
      </c>
      <c r="AG40" s="138">
        <f t="shared" si="66"/>
        <v>7</v>
      </c>
      <c r="AH40" s="138">
        <f t="shared" si="30"/>
        <v>31</v>
      </c>
      <c r="AI40" s="138">
        <f t="shared" si="67"/>
        <v>561</v>
      </c>
      <c r="AJ40" s="138">
        <f t="shared" si="68"/>
        <v>578</v>
      </c>
      <c r="AL40" s="136">
        <f t="shared" si="32"/>
        <v>3.2040000000000002</v>
      </c>
      <c r="AM40" s="258">
        <f t="shared" si="33"/>
        <v>1.2500000000000001E-2</v>
      </c>
      <c r="AN40" s="258">
        <f t="shared" si="34"/>
        <v>5.0000000000000001E-3</v>
      </c>
      <c r="AO40" s="258">
        <f t="shared" si="35"/>
        <v>1.05</v>
      </c>
      <c r="AP40" s="258">
        <f t="shared" si="36"/>
        <v>0</v>
      </c>
      <c r="AQ40" s="136">
        <f t="shared" si="69"/>
        <v>4.0400000000000005E-2</v>
      </c>
      <c r="AR40" s="137">
        <f t="shared" si="38"/>
        <v>2.2499999999999999E-2</v>
      </c>
      <c r="AS40" s="136">
        <f t="shared" si="70"/>
        <v>3.2215000000000003</v>
      </c>
      <c r="AT40" s="137">
        <f t="shared" si="71"/>
        <v>3.0965279300479799E-2</v>
      </c>
      <c r="AU40" s="137">
        <f t="shared" si="41"/>
        <v>0.9527773712620482</v>
      </c>
      <c r="AV40" s="394">
        <f t="shared" si="72"/>
        <v>4016.909397240795</v>
      </c>
      <c r="AW40" s="137">
        <f t="shared" si="43"/>
        <v>0.3725</v>
      </c>
      <c r="AX40" s="137">
        <f t="shared" si="44"/>
        <v>0.53</v>
      </c>
      <c r="AY40" s="137">
        <f t="shared" si="45"/>
        <v>0.53</v>
      </c>
      <c r="AZ40" s="137"/>
      <c r="BA40" s="264"/>
      <c r="BB40" s="258">
        <f t="shared" si="46"/>
        <v>0</v>
      </c>
      <c r="BC40" s="258">
        <f t="shared" si="73"/>
        <v>0</v>
      </c>
      <c r="BD40" s="137">
        <f t="shared" si="74"/>
        <v>2.6199126392512095E-5</v>
      </c>
      <c r="BE40" s="137">
        <f t="shared" si="75"/>
        <v>2.6199126392512095E-5</v>
      </c>
      <c r="BF40" s="137">
        <f>_xll.xSPRDOPT($BW40,$BV40,$CG40,0,$BY40,$BX40,$BZ40,$AJ40,1,4)*$CB40</f>
        <v>-1.1355125114893561E-6</v>
      </c>
      <c r="BG40" s="137">
        <f>_xll.xSPRDOPT($BW40,$BV40,$CG40,0,$BY40,$BX40,$BZ40,$AJ40,1,3)*$CB40</f>
        <v>2.2710250229787119E-7</v>
      </c>
      <c r="BH40" s="137">
        <f>IF(OR(BF40&lt;&gt;0,BG40&lt;&gt;0),_xll.xSPRDOPT($BW40,$BV40,$CG40,0,$BY40,$BX40,$BZ40,$AJ40,1,12)*$CB40,0)</f>
        <v>1.135512511489356E-7</v>
      </c>
      <c r="BI40" s="137">
        <f>_xll.xSPRDOPT($BW40,$BV40,$CG40,2*LN(1+CA40/2),$BY40,$BX40,$BZ40,$AJ40,1,9)</f>
        <v>2.6867951546085189E-2</v>
      </c>
      <c r="BJ40" s="137">
        <f>_xll.xSPRDOPT($BW40,$BV40,$CG40,0,$BY40,$BX40,$BZ40,$AJ40,1,6)*$CB40</f>
        <v>3.7387407243605081E-7</v>
      </c>
      <c r="BK40" s="137">
        <f>_xll.xSPRDOPT($BW40,$BV40,$CG40,0,$BY40,$BX40,$BZ40,$AJ40,1,5)*$CB40</f>
        <v>-4.825986570600982E-7</v>
      </c>
      <c r="BL40" s="137">
        <f>_xll.xSPRDOPT(BW40,BV40,CG40,0,BY40,BX40,BZ40,AJ40,1,2)*CB40</f>
        <v>-0.95253703705378789</v>
      </c>
      <c r="BM40" s="137">
        <f>_xll.xSPRDOPT(BW40,BV40,CG40,0,BY40,BX40,BZ40,AJ40,1,1)*CB40</f>
        <v>0.95253703706591653</v>
      </c>
      <c r="BN40" s="137">
        <f>IF(AH40&lt;&gt;0,_xll.xSPRDOPT($BW40,$BV40,$CG40,2*LN(1+CA40/2),$BY40,$BX40,$BZ40,$AJ40,1,8)+(AJ40/365.25)*CH40/AH40,0)</f>
        <v>-0.82791902505209392</v>
      </c>
      <c r="BO40" s="137">
        <f>_xll.xSPRDOPT($BW40,$BV40,$CG40,0,$BY40,$BX40,$BZ40,$AJ40,1,0)</f>
        <v>0.91794792469463393</v>
      </c>
      <c r="BP40" s="137"/>
      <c r="BQ40" s="137"/>
      <c r="BR40" s="137"/>
      <c r="BS40" s="137"/>
      <c r="BV40" s="262">
        <v>3.2956521739130435</v>
      </c>
      <c r="BW40" s="136">
        <v>4.2540000000000004</v>
      </c>
      <c r="BX40" s="137">
        <v>0.37756879733541471</v>
      </c>
      <c r="BY40" s="137">
        <v>0.37756879733541471</v>
      </c>
      <c r="BZ40" s="137">
        <v>1</v>
      </c>
      <c r="CA40" s="137">
        <v>3.0965279300479799E-2</v>
      </c>
      <c r="CB40" s="137">
        <v>0.95253693379797033</v>
      </c>
      <c r="CC40" s="258">
        <v>1.2500000000000001E-2</v>
      </c>
      <c r="CD40" s="258">
        <v>5.0000000000000001E-3</v>
      </c>
      <c r="CE40" s="258">
        <v>1.05</v>
      </c>
      <c r="CF40" s="258">
        <v>0</v>
      </c>
      <c r="CG40" s="258">
        <v>4.0400000000000005E-2</v>
      </c>
      <c r="CH40" s="258">
        <v>10.887211392230661</v>
      </c>
      <c r="CI40" s="258">
        <v>3.2040000000000002</v>
      </c>
      <c r="CJ40" s="258"/>
      <c r="CK40" s="258"/>
      <c r="CL40" s="258"/>
      <c r="CM40" s="258"/>
    </row>
    <row r="41" spans="1:91" x14ac:dyDescent="0.25">
      <c r="A41" s="723"/>
      <c r="B41" s="723"/>
      <c r="D41" s="31">
        <f t="shared" si="53"/>
        <v>37848</v>
      </c>
      <c r="F41" s="28">
        <f t="shared" si="54"/>
        <v>5895</v>
      </c>
      <c r="G41" s="28">
        <f t="shared" si="13"/>
        <v>5592.8340676472408</v>
      </c>
      <c r="H41" s="52">
        <f t="shared" si="55"/>
        <v>3.3386189258312018</v>
      </c>
      <c r="I41" s="52">
        <f t="shared" si="56"/>
        <v>4.2960000000000003</v>
      </c>
      <c r="K41" s="52">
        <f t="shared" si="57"/>
        <v>26.969332098552933</v>
      </c>
      <c r="L41" s="135">
        <f t="shared" si="58"/>
        <v>2.8606391708763113E-6</v>
      </c>
      <c r="N41" s="131">
        <f t="shared" si="18"/>
        <v>0.37920840226144648</v>
      </c>
      <c r="O41" s="131">
        <f t="shared" si="19"/>
        <v>0.37920840226144648</v>
      </c>
      <c r="P41" s="55">
        <f t="shared" si="59"/>
        <v>1</v>
      </c>
      <c r="Q41" s="135">
        <f>_xll.xSPRDOPT(I41,H41,AQ41,0,O41,N41,P41,D41-$G$5,1,0)*AH41*AU41</f>
        <v>26.969334959192103</v>
      </c>
      <c r="R41" s="135"/>
      <c r="S41" s="181">
        <f t="shared" si="60"/>
        <v>-177294.29643310257</v>
      </c>
      <c r="T41" s="181">
        <f>_xll.xSPRDOPT(I41,H41,AQ41,AT41,O41,N41,P41,D41-$G$5,1,1)*AF41*F41*AH41</f>
        <v>173305.17476335776</v>
      </c>
      <c r="U41" s="135"/>
      <c r="V41" s="146">
        <f t="shared" si="61"/>
        <v>10.843836394060673</v>
      </c>
      <c r="W41" s="146"/>
      <c r="X41" s="338">
        <f t="shared" si="62"/>
        <v>0</v>
      </c>
      <c r="Y41" s="338">
        <f t="shared" si="23"/>
        <v>0</v>
      </c>
      <c r="Z41" s="338">
        <f t="shared" si="24"/>
        <v>41.40256805307579</v>
      </c>
      <c r="AA41" s="338">
        <f t="shared" si="25"/>
        <v>-6.8168219076685731E-7</v>
      </c>
      <c r="AB41" s="338">
        <f t="shared" si="63"/>
        <v>0</v>
      </c>
      <c r="AC41" s="338">
        <f t="shared" si="64"/>
        <v>41.7325537899438</v>
      </c>
      <c r="AF41" s="138">
        <f t="shared" si="65"/>
        <v>1</v>
      </c>
      <c r="AG41" s="138">
        <f t="shared" si="66"/>
        <v>8</v>
      </c>
      <c r="AH41" s="138">
        <f t="shared" si="30"/>
        <v>31</v>
      </c>
      <c r="AI41" s="138">
        <f t="shared" si="67"/>
        <v>592</v>
      </c>
      <c r="AJ41" s="138">
        <f t="shared" si="68"/>
        <v>609</v>
      </c>
      <c r="AL41" s="136">
        <f t="shared" si="32"/>
        <v>3.246</v>
      </c>
      <c r="AM41" s="258">
        <f t="shared" si="33"/>
        <v>1.2500000000000001E-2</v>
      </c>
      <c r="AN41" s="258">
        <f t="shared" si="34"/>
        <v>5.0000000000000001E-3</v>
      </c>
      <c r="AO41" s="258">
        <f t="shared" si="35"/>
        <v>1.05</v>
      </c>
      <c r="AP41" s="258">
        <f t="shared" si="36"/>
        <v>0</v>
      </c>
      <c r="AQ41" s="136">
        <f t="shared" si="69"/>
        <v>4.0400000000000005E-2</v>
      </c>
      <c r="AR41" s="137">
        <f t="shared" si="38"/>
        <v>2.2499999999999999E-2</v>
      </c>
      <c r="AS41" s="136">
        <f t="shared" si="70"/>
        <v>3.2635000000000001</v>
      </c>
      <c r="AT41" s="137">
        <f t="shared" si="71"/>
        <v>3.1967083332272501E-2</v>
      </c>
      <c r="AU41" s="137">
        <f t="shared" si="41"/>
        <v>0.94874199620818334</v>
      </c>
      <c r="AV41" s="394">
        <f t="shared" si="72"/>
        <v>3999.8962560137011</v>
      </c>
      <c r="AW41" s="137">
        <f t="shared" si="43"/>
        <v>0.3725</v>
      </c>
      <c r="AX41" s="137">
        <f t="shared" si="44"/>
        <v>0.57999999999999996</v>
      </c>
      <c r="AY41" s="137">
        <f t="shared" si="45"/>
        <v>0.57999999999999996</v>
      </c>
      <c r="AZ41" s="137"/>
      <c r="BA41" s="264"/>
      <c r="BB41" s="258">
        <f t="shared" si="46"/>
        <v>0</v>
      </c>
      <c r="BC41" s="258">
        <f t="shared" si="73"/>
        <v>0</v>
      </c>
      <c r="BD41" s="137">
        <f t="shared" si="74"/>
        <v>3.2674943976684911E-5</v>
      </c>
      <c r="BE41" s="137">
        <f t="shared" si="75"/>
        <v>3.2674943976684911E-5</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2.7583587296297993E-2</v>
      </c>
      <c r="BJ41" s="137">
        <f>_xll.xSPRDOPT($BW41,$BV41,$CG41,0,$BY41,$BX41,$BZ41,$AJ41,1,6)*$CB41</f>
        <v>3.9823444141400324E-7</v>
      </c>
      <c r="BK41" s="137">
        <f>_xll.xSPRDOPT($BW41,$BV41,$CG41,0,$BY41,$BX41,$BZ41,$AJ41,1,5)*$CB41</f>
        <v>-5.123964478715953E-7</v>
      </c>
      <c r="BL41" s="137">
        <f>_xll.xSPRDOPT(BW41,BV41,CG41,0,BY41,BX41,BZ41,AJ41,1,2)*CB41</f>
        <v>-0.94849499485709754</v>
      </c>
      <c r="BM41" s="137">
        <f>_xll.xSPRDOPT(BW41,BV41,CG41,0,BY41,BX41,BZ41,AJ41,1,1)*CB41</f>
        <v>0.94849499486572408</v>
      </c>
      <c r="BN41" s="137">
        <f>IF(AH41&lt;&gt;0,_xll.xSPRDOPT($BW41,$BV41,$CG41,2*LN(1+CA41/2),$BY41,$BX41,$BZ41,$AJ41,1,8)+(AJ41/365.25)*CH41/AH41,0)</f>
        <v>-0.86709243450304874</v>
      </c>
      <c r="BO41" s="137">
        <f>_xll.xSPRDOPT($BW41,$BV41,$CG41,0,$BY41,$BX41,$BZ41,$AJ41,1,0)</f>
        <v>0.91698117132442913</v>
      </c>
      <c r="BP41" s="137"/>
      <c r="BQ41" s="137"/>
      <c r="BR41" s="137"/>
      <c r="BS41" s="137"/>
      <c r="BV41" s="262">
        <v>3.3386189258312018</v>
      </c>
      <c r="BW41" s="136">
        <v>4.2960000000000003</v>
      </c>
      <c r="BX41" s="137">
        <v>0.37917572731746979</v>
      </c>
      <c r="BY41" s="137">
        <v>0.37917572731746979</v>
      </c>
      <c r="BZ41" s="137">
        <v>1</v>
      </c>
      <c r="CA41" s="137">
        <v>3.1967083332272501E-2</v>
      </c>
      <c r="CB41" s="137">
        <v>0.94849489337827508</v>
      </c>
      <c r="CC41" s="258">
        <v>1.2500000000000001E-2</v>
      </c>
      <c r="CD41" s="258">
        <v>5.0000000000000001E-3</v>
      </c>
      <c r="CE41" s="258">
        <v>1.05</v>
      </c>
      <c r="CF41" s="258">
        <v>0</v>
      </c>
      <c r="CG41" s="258">
        <v>4.0400000000000005E-2</v>
      </c>
      <c r="CH41" s="258">
        <v>10.841012082845671</v>
      </c>
      <c r="CI41" s="258">
        <v>3.246</v>
      </c>
      <c r="CJ41" s="258"/>
      <c r="CK41" s="258"/>
      <c r="CL41" s="258"/>
      <c r="CM41" s="258"/>
    </row>
    <row r="42" spans="1:91" x14ac:dyDescent="0.25">
      <c r="A42" s="723"/>
      <c r="B42" s="723"/>
      <c r="D42" s="31">
        <f t="shared" si="53"/>
        <v>37879</v>
      </c>
      <c r="F42" s="28">
        <f t="shared" si="54"/>
        <v>5895</v>
      </c>
      <c r="G42" s="28">
        <f t="shared" si="13"/>
        <v>5568.2187002637829</v>
      </c>
      <c r="H42" s="52">
        <f t="shared" si="55"/>
        <v>3.3283887468030686</v>
      </c>
      <c r="I42" s="52">
        <f t="shared" si="56"/>
        <v>3.9910000000000001</v>
      </c>
      <c r="K42" s="52">
        <f t="shared" si="57"/>
        <v>17.631594583031642</v>
      </c>
      <c r="L42" s="135">
        <f t="shared" si="58"/>
        <v>1.8493833486843414E-6</v>
      </c>
      <c r="N42" s="131">
        <f t="shared" si="18"/>
        <v>0.3762850500238793</v>
      </c>
      <c r="O42" s="131">
        <f t="shared" si="19"/>
        <v>0.3762850500238793</v>
      </c>
      <c r="P42" s="55">
        <f t="shared" si="59"/>
        <v>1.0000000000000002</v>
      </c>
      <c r="Q42" s="135">
        <f>_xll.xSPRDOPT(I42,H42,AQ42,0,O42,N42,P42,D42-$G$5,1,0)*AH42*AU42</f>
        <v>17.631596432414991</v>
      </c>
      <c r="R42" s="135"/>
      <c r="S42" s="181">
        <f t="shared" si="60"/>
        <v>-170811.55065524022</v>
      </c>
      <c r="T42" s="181">
        <f>_xll.xSPRDOPT(I42,H42,AQ42,AT42,O42,N42,P42,D42-$G$5,1,1)*AF42*F42*AH42</f>
        <v>166968.29076549731</v>
      </c>
      <c r="U42" s="135"/>
      <c r="V42" s="146">
        <f t="shared" si="61"/>
        <v>10.447848523090366</v>
      </c>
      <c r="W42" s="146"/>
      <c r="X42" s="338">
        <f t="shared" si="62"/>
        <v>0</v>
      </c>
      <c r="Y42" s="338">
        <f t="shared" si="23"/>
        <v>0</v>
      </c>
      <c r="Z42" s="338">
        <f t="shared" si="24"/>
        <v>27.908667160293312</v>
      </c>
      <c r="AA42" s="338">
        <f t="shared" si="25"/>
        <v>-3.7207947655972052E-7</v>
      </c>
      <c r="AB42" s="338">
        <f t="shared" si="63"/>
        <v>0</v>
      </c>
      <c r="AC42" s="338">
        <f t="shared" si="64"/>
        <v>28.138058419447237</v>
      </c>
      <c r="AF42" s="138">
        <f t="shared" si="65"/>
        <v>1</v>
      </c>
      <c r="AG42" s="138">
        <f t="shared" si="66"/>
        <v>9</v>
      </c>
      <c r="AH42" s="138">
        <f t="shared" si="30"/>
        <v>30</v>
      </c>
      <c r="AI42" s="138">
        <f t="shared" si="67"/>
        <v>623</v>
      </c>
      <c r="AJ42" s="138">
        <f t="shared" si="68"/>
        <v>640</v>
      </c>
      <c r="AL42" s="136">
        <f t="shared" si="32"/>
        <v>3.2410000000000001</v>
      </c>
      <c r="AM42" s="258">
        <f t="shared" si="33"/>
        <v>7.4999999999999997E-3</v>
      </c>
      <c r="AN42" s="258">
        <f t="shared" si="34"/>
        <v>5.0000000000000001E-3</v>
      </c>
      <c r="AO42" s="258">
        <f t="shared" si="35"/>
        <v>0.75</v>
      </c>
      <c r="AP42" s="258">
        <f t="shared" si="36"/>
        <v>0</v>
      </c>
      <c r="AQ42" s="136">
        <f t="shared" si="69"/>
        <v>4.0400000000000005E-2</v>
      </c>
      <c r="AR42" s="137">
        <f t="shared" si="38"/>
        <v>2.2499999999999999E-2</v>
      </c>
      <c r="AS42" s="136">
        <f t="shared" si="70"/>
        <v>3.2534999999999998</v>
      </c>
      <c r="AT42" s="137">
        <f t="shared" si="71"/>
        <v>3.2968887702129003E-2</v>
      </c>
      <c r="AU42" s="137">
        <f t="shared" si="41"/>
        <v>0.94456636136790217</v>
      </c>
      <c r="AV42" s="394">
        <f t="shared" si="72"/>
        <v>3853.8307543810411</v>
      </c>
      <c r="AW42" s="137">
        <f t="shared" si="43"/>
        <v>0.37</v>
      </c>
      <c r="AX42" s="137">
        <f t="shared" si="44"/>
        <v>0.57999999999999996</v>
      </c>
      <c r="AY42" s="137">
        <f t="shared" si="45"/>
        <v>0.57999999999999996</v>
      </c>
      <c r="AZ42" s="137"/>
      <c r="BA42" s="264"/>
      <c r="BB42" s="258">
        <f t="shared" si="46"/>
        <v>0</v>
      </c>
      <c r="BC42" s="258">
        <f t="shared" si="73"/>
        <v>0</v>
      </c>
      <c r="BD42" s="137">
        <f t="shared" si="74"/>
        <v>2.9170681815626764E-5</v>
      </c>
      <c r="BE42" s="137">
        <f t="shared" si="75"/>
        <v>2.9170681815626764E-5</v>
      </c>
      <c r="BF42" s="137">
        <f>_xll.xSPRDOPT($BW42,$BV42,$CG42,0,$BY42,$BX42,$BZ42,$AJ42,1,4)*$CB42</f>
        <v>1.3508501530164299E-6</v>
      </c>
      <c r="BG42" s="137">
        <f>_xll.xSPRDOPT($BW42,$BV42,$CG42,0,$BY42,$BX42,$BZ42,$AJ42,1,3)*$CB42</f>
        <v>1.1257084608470248E-6</v>
      </c>
      <c r="BH42" s="137">
        <f>IF(OR(BF42&lt;&gt;0,BG42&lt;&gt;0),_xll.xSPRDOPT($BW42,$BV42,$CG42,0,$BY42,$BX42,$BZ42,$AJ42,1,12)*$CB42,0)</f>
        <v>-2.2514169216940496E-7</v>
      </c>
      <c r="BI42" s="137">
        <f>_xll.xSPRDOPT($BW42,$BV42,$CG42,2*LN(1+CA42/2),$BY42,$BX42,$BZ42,$AJ42,1,9)</f>
        <v>1.9213345924601138E-2</v>
      </c>
      <c r="BJ42" s="137">
        <f>_xll.xSPRDOPT($BW42,$BV42,$CG42,0,$BY42,$BX42,$BZ42,$AJ42,1,6)*$CB42</f>
        <v>3.6228265140680109E-7</v>
      </c>
      <c r="BK42" s="137">
        <f>_xll.xSPRDOPT($BW42,$BV42,$CG42,0,$BY42,$BX42,$BZ42,$AJ42,1,5)*$CB42</f>
        <v>-4.3440735996117782E-7</v>
      </c>
      <c r="BL42" s="137">
        <f>_xll.xSPRDOPT(BW42,BV42,CG42,0,BY42,BX42,BZ42,AJ42,1,2)*CB42</f>
        <v>-0.94431279844307414</v>
      </c>
      <c r="BM42" s="137">
        <f>_xll.xSPRDOPT(BW42,BV42,CG42,0,BY42,BX42,BZ42,AJ42,1,1)*CB42</f>
        <v>0.9443127984258971</v>
      </c>
      <c r="BN42" s="137">
        <f>IF(AH42&lt;&gt;0,_xll.xSPRDOPT($BW42,$BV42,$CG42,2*LN(1+CA42/2),$BY42,$BX42,$BZ42,$AJ42,1,8)+(AJ42/365.25)*CH42/AH42,0)</f>
        <v>-0.41947195849541385</v>
      </c>
      <c r="BO42" s="137">
        <f>_xll.xSPRDOPT($BW42,$BV42,$CG42,0,$BY42,$BX42,$BZ42,$AJ42,1,0)</f>
        <v>0.62221131839576149</v>
      </c>
      <c r="BP42" s="137"/>
      <c r="BQ42" s="137"/>
      <c r="BR42" s="137"/>
      <c r="BS42" s="137"/>
      <c r="BV42" s="262">
        <v>3.3283887468030686</v>
      </c>
      <c r="BW42" s="136">
        <v>3.9910000000000001</v>
      </c>
      <c r="BX42" s="137">
        <v>0.37625587934206367</v>
      </c>
      <c r="BY42" s="137">
        <v>0.37625587934206367</v>
      </c>
      <c r="BZ42" s="137">
        <v>1</v>
      </c>
      <c r="CA42" s="137">
        <v>3.2968887702129003E-2</v>
      </c>
      <c r="CB42" s="137">
        <v>0.94431270003290391</v>
      </c>
      <c r="CC42" s="258">
        <v>7.4999999999999997E-3</v>
      </c>
      <c r="CD42" s="258">
        <v>5.0000000000000001E-3</v>
      </c>
      <c r="CE42" s="258">
        <v>0.75</v>
      </c>
      <c r="CF42" s="258">
        <v>0</v>
      </c>
      <c r="CG42" s="258">
        <v>4.0400000000000005E-2</v>
      </c>
      <c r="CH42" s="258">
        <v>10.44504277506395</v>
      </c>
      <c r="CI42" s="258">
        <v>3.2410000000000001</v>
      </c>
      <c r="CJ42" s="258"/>
      <c r="CK42" s="258"/>
      <c r="CL42" s="258"/>
      <c r="CM42" s="258"/>
    </row>
    <row r="43" spans="1:91" x14ac:dyDescent="0.25">
      <c r="A43" s="723"/>
      <c r="B43" s="723"/>
      <c r="D43" s="31">
        <f t="shared" si="53"/>
        <v>37909</v>
      </c>
      <c r="F43" s="28">
        <f t="shared" si="54"/>
        <v>6669</v>
      </c>
      <c r="G43" s="28">
        <f t="shared" si="13"/>
        <v>6271.8434702996256</v>
      </c>
      <c r="H43" s="52">
        <f t="shared" si="55"/>
        <v>3.3635897435897433</v>
      </c>
      <c r="I43" s="52">
        <f t="shared" si="56"/>
        <v>3.7170000000000001</v>
      </c>
      <c r="K43" s="52">
        <f t="shared" si="57"/>
        <v>9.1254597866108718</v>
      </c>
      <c r="L43" s="135">
        <f t="shared" si="58"/>
        <v>5.7508950028761774E-6</v>
      </c>
      <c r="N43" s="131">
        <f t="shared" si="18"/>
        <v>0.3804492507364664</v>
      </c>
      <c r="O43" s="131">
        <f t="shared" si="19"/>
        <v>0.3804492507364664</v>
      </c>
      <c r="P43" s="55">
        <f t="shared" si="59"/>
        <v>1</v>
      </c>
      <c r="Q43" s="135">
        <f>_xll.xSPRDOPT(I43,H43,AQ43,0,O43,N43,P43,D43-$G$5,1,0)*AH43*AU43</f>
        <v>9.1254655375058746</v>
      </c>
      <c r="R43" s="135"/>
      <c r="S43" s="181">
        <f t="shared" si="60"/>
        <v>-199308.16260970794</v>
      </c>
      <c r="T43" s="181">
        <f>_xll.xSPRDOPT(I43,H43,AQ43,AT43,O43,N43,P43,D43-$G$5,1,1)*AF43*F43*AH43</f>
        <v>194325.45854446525</v>
      </c>
      <c r="U43" s="135"/>
      <c r="V43" s="146">
        <f t="shared" si="61"/>
        <v>10.749031235939965</v>
      </c>
      <c r="W43" s="146"/>
      <c r="X43" s="338">
        <f t="shared" si="62"/>
        <v>0</v>
      </c>
      <c r="Y43" s="338">
        <f t="shared" si="23"/>
        <v>0</v>
      </c>
      <c r="Z43" s="338">
        <f t="shared" si="24"/>
        <v>16.800279174897632</v>
      </c>
      <c r="AA43" s="338">
        <f t="shared" si="25"/>
        <v>6.4288652339711619E-5</v>
      </c>
      <c r="AB43" s="338">
        <f t="shared" si="63"/>
        <v>0</v>
      </c>
      <c r="AC43" s="338">
        <f t="shared" si="64"/>
        <v>16.943861772269504</v>
      </c>
      <c r="AF43" s="138">
        <f t="shared" si="65"/>
        <v>1</v>
      </c>
      <c r="AG43" s="138">
        <f t="shared" si="66"/>
        <v>10</v>
      </c>
      <c r="AH43" s="138">
        <f t="shared" si="30"/>
        <v>31</v>
      </c>
      <c r="AI43" s="138">
        <f t="shared" si="67"/>
        <v>653</v>
      </c>
      <c r="AJ43" s="138">
        <f t="shared" si="68"/>
        <v>670</v>
      </c>
      <c r="AL43" s="136">
        <f t="shared" si="32"/>
        <v>3.2669999999999999</v>
      </c>
      <c r="AM43" s="258">
        <f t="shared" si="33"/>
        <v>7.4999999999999997E-3</v>
      </c>
      <c r="AN43" s="258">
        <f t="shared" si="34"/>
        <v>5.0000000000000001E-3</v>
      </c>
      <c r="AO43" s="258">
        <f t="shared" si="35"/>
        <v>0.45</v>
      </c>
      <c r="AP43" s="258">
        <f t="shared" si="36"/>
        <v>0</v>
      </c>
      <c r="AQ43" s="136">
        <f t="shared" si="69"/>
        <v>4.0400000000000005E-2</v>
      </c>
      <c r="AR43" s="137">
        <f t="shared" si="38"/>
        <v>2.5000000000000001E-2</v>
      </c>
      <c r="AS43" s="136">
        <f t="shared" si="70"/>
        <v>3.2794999999999996</v>
      </c>
      <c r="AT43" s="137">
        <f t="shared" si="71"/>
        <v>3.3906701822071103E-2</v>
      </c>
      <c r="AU43" s="137">
        <f t="shared" si="41"/>
        <v>0.94044736396755513</v>
      </c>
      <c r="AV43" s="394">
        <f t="shared" si="72"/>
        <v>4985.3114763920094</v>
      </c>
      <c r="AW43" s="137">
        <f t="shared" si="43"/>
        <v>0.3725</v>
      </c>
      <c r="AX43" s="137">
        <f t="shared" si="44"/>
        <v>0.63</v>
      </c>
      <c r="AY43" s="137">
        <f t="shared" si="45"/>
        <v>0.63</v>
      </c>
      <c r="AZ43" s="137"/>
      <c r="BA43" s="264"/>
      <c r="BB43" s="258">
        <f t="shared" si="46"/>
        <v>0</v>
      </c>
      <c r="BC43" s="258">
        <f t="shared" si="73"/>
        <v>0</v>
      </c>
      <c r="BD43" s="137">
        <f t="shared" si="74"/>
        <v>3.5144750946347614E-5</v>
      </c>
      <c r="BE43" s="137">
        <f t="shared" si="75"/>
        <v>3.5144750946347614E-5</v>
      </c>
      <c r="BF43" s="137">
        <f>_xll.xSPRDOPT($BW43,$BV43,$CG43,0,$BY43,$BX43,$BZ43,$AJ43,1,4)*$CB43</f>
        <v>2.2415821213197381E-7</v>
      </c>
      <c r="BG43" s="137">
        <f>_xll.xSPRDOPT($BW43,$BV43,$CG43,0,$BY43,$BX43,$BZ43,$AJ43,1,3)*$CB43</f>
        <v>0</v>
      </c>
      <c r="BH43" s="137">
        <f>IF(OR(BF43&lt;&gt;0,BG43&lt;&gt;0),_xll.xSPRDOPT($BW43,$BV43,$CG43,0,$BY43,$BX43,$BZ43,$AJ43,1,12)*$CB43,0)</f>
        <v>3.9227687123095417E-7</v>
      </c>
      <c r="BI43" s="137">
        <f>_xll.xSPRDOPT($BW43,$BV43,$CG43,2*LN(1+CA43/2),$BY43,$BX43,$BZ43,$AJ43,1,9)</f>
        <v>9.8937984102844025E-3</v>
      </c>
      <c r="BJ43" s="137">
        <f>_xll.xSPRDOPT($BW43,$BV43,$CG43,0,$BY43,$BX43,$BZ43,$AJ43,1,6)*$CB43</f>
        <v>-8.421242612974656E-5</v>
      </c>
      <c r="BK43" s="137">
        <f>_xll.xSPRDOPT($BW43,$BV43,$CG43,0,$BY43,$BX43,$BZ43,$AJ43,1,5)*$CB43</f>
        <v>9.306055502526508E-5</v>
      </c>
      <c r="BL43" s="137">
        <f>_xll.xSPRDOPT(BW43,BV43,CG43,0,BY43,BX43,BZ43,AJ43,1,2)*CB43</f>
        <v>-0.94018380517233369</v>
      </c>
      <c r="BM43" s="137">
        <f>_xll.xSPRDOPT(BW43,BV43,CG43,0,BY43,BX43,BZ43,AJ43,1,1)*CB43</f>
        <v>0.94018380516036237</v>
      </c>
      <c r="BN43" s="137">
        <f>IF(AH43&lt;&gt;0,_xll.xSPRDOPT($BW43,$BV43,$CG43,2*LN(1+CA43/2),$BY43,$BX43,$BZ43,$AJ43,1,8)+(AJ43/365.25)*CH43/AH43,0)</f>
        <v>9.6044556743615894E-2</v>
      </c>
      <c r="BO43" s="137">
        <f>_xll.xSPRDOPT($BW43,$BV43,$CG43,0,$BY43,$BX43,$BZ43,$AJ43,1,0)</f>
        <v>0.31301046138366057</v>
      </c>
      <c r="BP43" s="137"/>
      <c r="BQ43" s="137"/>
      <c r="BR43" s="137"/>
      <c r="BS43" s="137"/>
      <c r="BV43" s="262">
        <v>3.3635897435897433</v>
      </c>
      <c r="BW43" s="136">
        <v>3.7170000000000001</v>
      </c>
      <c r="BX43" s="137">
        <v>0.38041410598552006</v>
      </c>
      <c r="BY43" s="137">
        <v>0.38041410598552006</v>
      </c>
      <c r="BZ43" s="137">
        <v>1</v>
      </c>
      <c r="CA43" s="137">
        <v>3.3906701822071103E-2</v>
      </c>
      <c r="CB43" s="137">
        <v>0.94018768577798628</v>
      </c>
      <c r="CC43" s="258">
        <v>7.4999999999999997E-3</v>
      </c>
      <c r="CD43" s="258">
        <v>5.0000000000000001E-3</v>
      </c>
      <c r="CE43" s="258">
        <v>0.45</v>
      </c>
      <c r="CF43" s="258">
        <v>0</v>
      </c>
      <c r="CG43" s="258">
        <v>4.0400000000000005E-2</v>
      </c>
      <c r="CH43" s="258">
        <v>10.746063192136651</v>
      </c>
      <c r="CI43" s="258">
        <v>3.2669999999999999</v>
      </c>
      <c r="CJ43" s="258"/>
      <c r="CK43" s="258"/>
      <c r="CL43" s="258"/>
      <c r="CM43" s="258"/>
    </row>
    <row r="44" spans="1:91" x14ac:dyDescent="0.25">
      <c r="A44" s="723"/>
      <c r="B44" s="723"/>
      <c r="D44" s="31">
        <f t="shared" si="53"/>
        <v>37940</v>
      </c>
      <c r="F44" s="28">
        <f t="shared" si="54"/>
        <v>11107</v>
      </c>
      <c r="G44" s="28">
        <f t="shared" si="13"/>
        <v>10397.611288033579</v>
      </c>
      <c r="H44" s="52">
        <f t="shared" si="55"/>
        <v>3.4930946291560101</v>
      </c>
      <c r="I44" s="52">
        <f t="shared" si="56"/>
        <v>3.8520000000000003</v>
      </c>
      <c r="K44" s="52">
        <f t="shared" si="57"/>
        <v>8.9448862137034144</v>
      </c>
      <c r="L44" s="135">
        <f t="shared" si="58"/>
        <v>8.5329268770806266E-6</v>
      </c>
      <c r="N44" s="131">
        <f t="shared" si="18"/>
        <v>0.38567537328980672</v>
      </c>
      <c r="O44" s="131">
        <f t="shared" si="19"/>
        <v>0.38567537328980672</v>
      </c>
      <c r="P44" s="55">
        <f t="shared" si="59"/>
        <v>0.99999999999999989</v>
      </c>
      <c r="Q44" s="135">
        <f>_xll.xSPRDOPT(I44,H44,AQ44,0,O44,N44,P44,D44-$G$5,1,0)*AH44*AU44</f>
        <v>8.9448947466302915</v>
      </c>
      <c r="R44" s="135"/>
      <c r="S44" s="181">
        <f t="shared" si="60"/>
        <v>-318924.22596325685</v>
      </c>
      <c r="T44" s="181">
        <f>_xll.xSPRDOPT(I44,H44,AQ44,AT44,O44,N44,P44,D44-$G$5,1,1)*AF44*F44*AH44</f>
        <v>311748.43087908358</v>
      </c>
      <c r="U44" s="135"/>
      <c r="V44" s="146">
        <f t="shared" si="61"/>
        <v>10.354549244344955</v>
      </c>
      <c r="W44" s="146"/>
      <c r="X44" s="338">
        <f t="shared" si="62"/>
        <v>0</v>
      </c>
      <c r="Y44" s="338">
        <f t="shared" si="23"/>
        <v>0</v>
      </c>
      <c r="Z44" s="338">
        <f t="shared" si="24"/>
        <v>28.172107482710459</v>
      </c>
      <c r="AA44" s="338">
        <f t="shared" si="25"/>
        <v>1.8367519710033964E-4</v>
      </c>
      <c r="AB44" s="338">
        <f t="shared" si="63"/>
        <v>0</v>
      </c>
      <c r="AC44" s="338">
        <f t="shared" si="64"/>
        <v>28.419082519326331</v>
      </c>
      <c r="AF44" s="138">
        <f t="shared" si="65"/>
        <v>1</v>
      </c>
      <c r="AG44" s="138">
        <f t="shared" si="66"/>
        <v>11</v>
      </c>
      <c r="AH44" s="138">
        <f t="shared" si="30"/>
        <v>30</v>
      </c>
      <c r="AI44" s="138">
        <f t="shared" si="67"/>
        <v>684</v>
      </c>
      <c r="AJ44" s="138">
        <f t="shared" si="68"/>
        <v>701</v>
      </c>
      <c r="AL44" s="136">
        <f t="shared" si="32"/>
        <v>3.4020000000000001</v>
      </c>
      <c r="AM44" s="258">
        <f t="shared" si="33"/>
        <v>5.0000000000000001E-3</v>
      </c>
      <c r="AN44" s="258">
        <f t="shared" si="34"/>
        <v>7.4999999999999997E-3</v>
      </c>
      <c r="AO44" s="258">
        <f t="shared" si="35"/>
        <v>0.45</v>
      </c>
      <c r="AP44" s="258">
        <f t="shared" si="36"/>
        <v>0</v>
      </c>
      <c r="AQ44" s="136">
        <f t="shared" si="69"/>
        <v>4.0400000000000005E-2</v>
      </c>
      <c r="AR44" s="137">
        <f t="shared" si="38"/>
        <v>2.2499999999999999E-2</v>
      </c>
      <c r="AS44" s="136">
        <f t="shared" si="70"/>
        <v>3.4144999999999999</v>
      </c>
      <c r="AT44" s="137">
        <f t="shared" si="71"/>
        <v>3.4836153967131397E-2</v>
      </c>
      <c r="AU44" s="137">
        <f t="shared" si="41"/>
        <v>0.9361313845353002</v>
      </c>
      <c r="AV44" s="394">
        <f t="shared" si="72"/>
        <v>7189.4890332311052</v>
      </c>
      <c r="AW44" s="137">
        <f t="shared" si="43"/>
        <v>0.37</v>
      </c>
      <c r="AX44" s="137">
        <f t="shared" si="44"/>
        <v>0.83</v>
      </c>
      <c r="AY44" s="137">
        <f t="shared" si="45"/>
        <v>0.83</v>
      </c>
      <c r="AZ44" s="137"/>
      <c r="BA44" s="264"/>
      <c r="BB44" s="258">
        <f t="shared" si="46"/>
        <v>0</v>
      </c>
      <c r="BC44" s="258">
        <f t="shared" si="73"/>
        <v>0</v>
      </c>
      <c r="BD44" s="137">
        <f t="shared" si="74"/>
        <v>6.5633014911969934E-5</v>
      </c>
      <c r="BE44" s="137">
        <f t="shared" si="75"/>
        <v>6.5633014911969934E-5</v>
      </c>
      <c r="BF44" s="137">
        <f>_xll.xSPRDOPT($BW44,$BV44,$CG44,0,$BY44,$BX44,$BZ44,$AJ44,1,4)*$CB44</f>
        <v>-1.4503307778213668E-6</v>
      </c>
      <c r="BG44" s="137">
        <f>_xll.xSPRDOPT($BW44,$BV44,$CG44,0,$BY44,$BX44,$BZ44,$AJ44,1,3)*$CB44</f>
        <v>0</v>
      </c>
      <c r="BH44" s="137">
        <f>IF(OR(BF44&lt;&gt;0,BG44&lt;&gt;0),_xll.xSPRDOPT($BW44,$BV44,$CG44,0,$BY44,$BX44,$BZ44,$AJ44,1,12)*$CB44,0)</f>
        <v>1.673458589793885E-7</v>
      </c>
      <c r="BI44" s="137">
        <f>_xll.xSPRDOPT($BW44,$BV44,$CG44,2*LN(1+CA44/2),$BY44,$BX44,$BZ44,$AJ44,1,9)</f>
        <v>1.0293670916299026E-2</v>
      </c>
      <c r="BJ44" s="137">
        <f>_xll.xSPRDOPT($BW44,$BV44,$CG44,0,$BY44,$BX44,$BZ44,$AJ44,1,6)*$CB44</f>
        <v>-8.1741006140756878E-5</v>
      </c>
      <c r="BK44" s="137">
        <f>_xll.xSPRDOPT($BW44,$BV44,$CG44,0,$BY44,$BX44,$BZ44,$AJ44,1,5)*$CB44</f>
        <v>9.0139668718919091E-5</v>
      </c>
      <c r="BL44" s="137">
        <f>_xll.xSPRDOPT(BW44,BV44,CG44,0,BY44,BX44,BZ44,AJ44,1,2)*CB44</f>
        <v>-0.93586234625822584</v>
      </c>
      <c r="BM44" s="137">
        <f>_xll.xSPRDOPT(BW44,BV44,CG44,0,BY44,BX44,BZ44,AJ44,1,1)*CB44</f>
        <v>0.935862346248863</v>
      </c>
      <c r="BN44" s="137">
        <f>IF(AH44&lt;&gt;0,_xll.xSPRDOPT($BW44,$BV44,$CG44,2*LN(1+CA44/2),$BY44,$BX44,$BZ44,$AJ44,1,8)+(AJ44/365.25)*CH44/AH44,0)</f>
        <v>9.0156276445791717E-2</v>
      </c>
      <c r="BO44" s="137">
        <f>_xll.xSPRDOPT($BW44,$BV44,$CG44,0,$BY44,$BX44,$BZ44,$AJ44,1,0)</f>
        <v>0.31850568152184111</v>
      </c>
      <c r="BP44" s="137"/>
      <c r="BQ44" s="137"/>
      <c r="BR44" s="137"/>
      <c r="BS44" s="137"/>
      <c r="BV44" s="262">
        <v>3.4930946291560101</v>
      </c>
      <c r="BW44" s="136">
        <v>3.8520000000000003</v>
      </c>
      <c r="BX44" s="137">
        <v>0.38560974027489475</v>
      </c>
      <c r="BY44" s="137">
        <v>0.38560974027489475</v>
      </c>
      <c r="BZ44" s="137">
        <v>1</v>
      </c>
      <c r="CA44" s="137">
        <v>3.4836153967131397E-2</v>
      </c>
      <c r="CB44" s="137">
        <v>0.93586587426758006</v>
      </c>
      <c r="CC44" s="258">
        <v>5.0000000000000001E-3</v>
      </c>
      <c r="CD44" s="258">
        <v>7.4999999999999997E-3</v>
      </c>
      <c r="CE44" s="258">
        <v>0.45</v>
      </c>
      <c r="CF44" s="258">
        <v>0</v>
      </c>
      <c r="CG44" s="258">
        <v>4.0400000000000005E-2</v>
      </c>
      <c r="CH44" s="258">
        <v>10.351612435273703</v>
      </c>
      <c r="CI44" s="258">
        <v>3.4020000000000001</v>
      </c>
      <c r="CJ44" s="258"/>
      <c r="CK44" s="258"/>
      <c r="CL44" s="258"/>
      <c r="CM44" s="258"/>
    </row>
    <row r="45" spans="1:91" x14ac:dyDescent="0.25">
      <c r="A45" s="723"/>
      <c r="B45" s="723"/>
      <c r="D45" s="31">
        <f t="shared" si="53"/>
        <v>37970</v>
      </c>
      <c r="F45" s="28">
        <f t="shared" si="54"/>
        <v>11107</v>
      </c>
      <c r="G45" s="28">
        <f t="shared" si="13"/>
        <v>10349.909146136877</v>
      </c>
      <c r="H45" s="52">
        <f t="shared" si="55"/>
        <v>3.631202046035805</v>
      </c>
      <c r="I45" s="52">
        <f t="shared" si="56"/>
        <v>3.9369999999999998</v>
      </c>
      <c r="K45" s="52">
        <f t="shared" si="57"/>
        <v>7.6665333613127808</v>
      </c>
      <c r="L45" s="135">
        <f t="shared" si="58"/>
        <v>5.901716264844481E-5</v>
      </c>
      <c r="N45" s="131">
        <f t="shared" si="18"/>
        <v>0.39564204160538236</v>
      </c>
      <c r="O45" s="131">
        <f t="shared" si="19"/>
        <v>0.39564204160538236</v>
      </c>
      <c r="P45" s="55">
        <f t="shared" si="59"/>
        <v>1.0000000000000002</v>
      </c>
      <c r="Q45" s="135">
        <f>_xll.xSPRDOPT(I45,H45,AQ45,0,O45,N45,P45,D45-$G$5,1,0)*AH45*AU45</f>
        <v>7.6665923784754293</v>
      </c>
      <c r="R45" s="135"/>
      <c r="S45" s="181">
        <f t="shared" si="60"/>
        <v>-328016.40904385626</v>
      </c>
      <c r="T45" s="181">
        <f>_xll.xSPRDOPT(I45,H45,AQ45,AT45,O45,N45,P45,D45-$G$5,1,1)*AF45*F45*AH45</f>
        <v>320636.03984036949</v>
      </c>
      <c r="U45" s="135"/>
      <c r="V45" s="146">
        <f t="shared" si="61"/>
        <v>10.650612817826657</v>
      </c>
      <c r="W45" s="146"/>
      <c r="X45" s="338">
        <f t="shared" si="62"/>
        <v>0</v>
      </c>
      <c r="Y45" s="338">
        <f t="shared" si="23"/>
        <v>0</v>
      </c>
      <c r="Z45" s="338">
        <f t="shared" si="24"/>
        <v>24.751811135200789</v>
      </c>
      <c r="AA45" s="338">
        <f t="shared" si="25"/>
        <v>1.7625475086491425E-3</v>
      </c>
      <c r="AB45" s="338">
        <f t="shared" si="63"/>
        <v>0</v>
      </c>
      <c r="AC45" s="338">
        <f t="shared" si="64"/>
        <v>24.986490528490219</v>
      </c>
      <c r="AF45" s="138">
        <f t="shared" si="65"/>
        <v>1</v>
      </c>
      <c r="AG45" s="138">
        <f t="shared" si="66"/>
        <v>12</v>
      </c>
      <c r="AH45" s="138">
        <f t="shared" si="30"/>
        <v>31</v>
      </c>
      <c r="AI45" s="138">
        <f t="shared" si="67"/>
        <v>714</v>
      </c>
      <c r="AJ45" s="138">
        <f t="shared" si="68"/>
        <v>731</v>
      </c>
      <c r="AL45" s="136">
        <f t="shared" si="32"/>
        <v>3.5369999999999999</v>
      </c>
      <c r="AM45" s="258">
        <f t="shared" si="33"/>
        <v>5.0000000000000001E-3</v>
      </c>
      <c r="AN45" s="258">
        <f t="shared" si="34"/>
        <v>7.4999999999999997E-3</v>
      </c>
      <c r="AO45" s="258">
        <f t="shared" si="35"/>
        <v>0.4</v>
      </c>
      <c r="AP45" s="258">
        <f t="shared" si="36"/>
        <v>0</v>
      </c>
      <c r="AQ45" s="136">
        <f t="shared" si="69"/>
        <v>4.0400000000000005E-2</v>
      </c>
      <c r="AR45" s="137">
        <f t="shared" si="38"/>
        <v>2.2499999999999999E-2</v>
      </c>
      <c r="AS45" s="136">
        <f t="shared" si="70"/>
        <v>3.5494999999999997</v>
      </c>
      <c r="AT45" s="137">
        <f t="shared" si="71"/>
        <v>3.5735624061610197E-2</v>
      </c>
      <c r="AU45" s="137">
        <f t="shared" si="41"/>
        <v>0.93183660269531621</v>
      </c>
      <c r="AV45" s="394">
        <f t="shared" si="72"/>
        <v>7395.0552789900294</v>
      </c>
      <c r="AW45" s="137">
        <f t="shared" si="43"/>
        <v>0.37</v>
      </c>
      <c r="AX45" s="137">
        <f t="shared" si="44"/>
        <v>1.03</v>
      </c>
      <c r="AY45" s="137">
        <f t="shared" si="45"/>
        <v>1.03</v>
      </c>
      <c r="AZ45" s="137"/>
      <c r="BA45" s="264"/>
      <c r="BB45" s="258">
        <f t="shared" si="46"/>
        <v>0</v>
      </c>
      <c r="BC45" s="258">
        <f t="shared" si="73"/>
        <v>0</v>
      </c>
      <c r="BD45" s="137">
        <f t="shared" si="74"/>
        <v>1.0162846149874838E-4</v>
      </c>
      <c r="BE45" s="137">
        <f t="shared" si="75"/>
        <v>1.0162846149874838E-4</v>
      </c>
      <c r="BF45" s="137">
        <f>_xll.xSPRDOPT($BW45,$BV45,$CG45,0,$BY45,$BX45,$BZ45,$AJ45,1,4)*$CB45</f>
        <v>3.3315380128636772E-7</v>
      </c>
      <c r="BG45" s="137">
        <f>_xll.xSPRDOPT($BW45,$BV45,$CG45,0,$BY45,$BX45,$BZ45,$AJ45,1,3)*$CB45</f>
        <v>1.1105126709545591E-7</v>
      </c>
      <c r="BH45" s="137">
        <f>IF(OR(BF45&lt;&gt;0,BG45&lt;&gt;0),_xll.xSPRDOPT($BW45,$BV45,$CG45,0,$BY45,$BX45,$BZ45,$AJ45,1,12)*$CB45,0)</f>
        <v>-1.1105126709545591E-7</v>
      </c>
      <c r="BI45" s="137">
        <f>_xll.xSPRDOPT($BW45,$BV45,$CG45,2*LN(1+CA45/2),$BY45,$BX45,$BZ45,$AJ45,1,9)</f>
        <v>8.7522051066624539E-3</v>
      </c>
      <c r="BJ45" s="137">
        <f>_xll.xSPRDOPT($BW45,$BV45,$CG45,0,$BY45,$BX45,$BZ45,$AJ45,1,6)*$CB45</f>
        <v>-5.9811255468756621E-4</v>
      </c>
      <c r="BK45" s="137">
        <f>_xll.xSPRDOPT($BW45,$BV45,$CG45,0,$BY45,$BX45,$BZ45,$AJ45,1,5)*$CB45</f>
        <v>6.4848198225406922E-4</v>
      </c>
      <c r="BL45" s="137">
        <f>_xll.xSPRDOPT(BW45,BV45,CG45,0,BY45,BX45,BZ45,AJ45,1,2)*CB45</f>
        <v>-0.93153823447353756</v>
      </c>
      <c r="BM45" s="137">
        <f>_xll.xSPRDOPT(BW45,BV45,CG45,0,BY45,BX45,BZ45,AJ45,1,1)*CB45</f>
        <v>0.93153823447014861</v>
      </c>
      <c r="BN45" s="137">
        <f>IF(AH45&lt;&gt;0,_xll.xSPRDOPT($BW45,$BV45,$CG45,2*LN(1+CA45/2),$BY45,$BX45,$BZ45,$AJ45,1,8)+(AJ45/365.25)*CH45/AH45,0)</f>
        <v>0.19259310856481471</v>
      </c>
      <c r="BO45" s="137">
        <f>_xll.xSPRDOPT($BW45,$BV45,$CG45,0,$BY45,$BX45,$BZ45,$AJ45,1,0)</f>
        <v>0.26540003552886909</v>
      </c>
      <c r="BP45" s="137"/>
      <c r="BQ45" s="137"/>
      <c r="BR45" s="137"/>
      <c r="BS45" s="137"/>
      <c r="BV45" s="262">
        <v>3.631202046035805</v>
      </c>
      <c r="BW45" s="136">
        <v>3.9369999999999998</v>
      </c>
      <c r="BX45" s="137">
        <v>0.39554041314388361</v>
      </c>
      <c r="BY45" s="137">
        <v>0.39554041314388361</v>
      </c>
      <c r="BZ45" s="137">
        <v>1</v>
      </c>
      <c r="CA45" s="137">
        <v>3.5735624061610197E-2</v>
      </c>
      <c r="CB45" s="137">
        <v>0.93156554756707821</v>
      </c>
      <c r="CC45" s="258">
        <v>5.0000000000000001E-3</v>
      </c>
      <c r="CD45" s="258">
        <v>7.4999999999999997E-3</v>
      </c>
      <c r="CE45" s="258">
        <v>0.4</v>
      </c>
      <c r="CF45" s="258">
        <v>0</v>
      </c>
      <c r="CG45" s="258">
        <v>4.0400000000000005E-2</v>
      </c>
      <c r="CH45" s="258">
        <v>10.647514739027434</v>
      </c>
      <c r="CI45" s="258">
        <v>3.5369999999999999</v>
      </c>
      <c r="CJ45" s="258"/>
      <c r="CK45" s="258"/>
      <c r="CL45" s="258"/>
      <c r="CM45" s="258"/>
    </row>
    <row r="46" spans="1:91" x14ac:dyDescent="0.25">
      <c r="A46" s="723"/>
      <c r="B46" s="723"/>
      <c r="D46" s="31">
        <f t="shared" si="53"/>
        <v>38001</v>
      </c>
      <c r="F46" s="28">
        <f t="shared" si="54"/>
        <v>11107</v>
      </c>
      <c r="G46" s="28">
        <f t="shared" si="13"/>
        <v>10300.034337454246</v>
      </c>
      <c r="H46" s="52">
        <f t="shared" si="55"/>
        <v>3.6925831202046031</v>
      </c>
      <c r="I46" s="52">
        <f t="shared" si="56"/>
        <v>3.9470000000000001</v>
      </c>
      <c r="K46" s="52">
        <f t="shared" si="57"/>
        <v>6.2674909326689416</v>
      </c>
      <c r="L46" s="135">
        <f t="shared" si="58"/>
        <v>1.1609338142370973E-4</v>
      </c>
      <c r="N46" s="131">
        <f t="shared" si="18"/>
        <v>0.39305358955281788</v>
      </c>
      <c r="O46" s="131">
        <f t="shared" si="19"/>
        <v>0.39305358955281788</v>
      </c>
      <c r="P46" s="55">
        <f t="shared" si="59"/>
        <v>1</v>
      </c>
      <c r="Q46" s="135">
        <f>_xll.xSPRDOPT(I46,H46,AQ46,0,O46,N46,P46,D46-$G$5,1,0)*AH46*AU46</f>
        <v>6.2676070260503653</v>
      </c>
      <c r="R46" s="135"/>
      <c r="S46" s="181">
        <f t="shared" si="60"/>
        <v>-326400.76993120747</v>
      </c>
      <c r="T46" s="181">
        <f>_xll.xSPRDOPT(I46,H46,AQ46,AT46,O46,N46,P46,D46-$G$5,1,1)*AF46*F46*AH46</f>
        <v>319056.7526077553</v>
      </c>
      <c r="U46" s="135"/>
      <c r="V46" s="146">
        <f t="shared" si="61"/>
        <v>10.599288958926875</v>
      </c>
      <c r="W46" s="146"/>
      <c r="X46" s="338">
        <f t="shared" si="62"/>
        <v>0</v>
      </c>
      <c r="Y46" s="338">
        <f t="shared" si="23"/>
        <v>0</v>
      </c>
      <c r="Z46" s="338">
        <f t="shared" si="24"/>
        <v>20.720319182035841</v>
      </c>
      <c r="AA46" s="338">
        <f t="shared" si="25"/>
        <v>3.1838391195927831E-3</v>
      </c>
      <c r="AB46" s="338">
        <f t="shared" si="63"/>
        <v>0</v>
      </c>
      <c r="AC46" s="338">
        <f t="shared" si="64"/>
        <v>20.937751325777089</v>
      </c>
      <c r="AF46" s="138">
        <f t="shared" si="65"/>
        <v>1</v>
      </c>
      <c r="AG46" s="138">
        <f t="shared" si="66"/>
        <v>1</v>
      </c>
      <c r="AH46" s="138">
        <f t="shared" si="30"/>
        <v>31</v>
      </c>
      <c r="AI46" s="138">
        <f t="shared" si="67"/>
        <v>745</v>
      </c>
      <c r="AJ46" s="138">
        <f t="shared" si="68"/>
        <v>762</v>
      </c>
      <c r="AL46" s="136">
        <f t="shared" si="32"/>
        <v>3.597</v>
      </c>
      <c r="AM46" s="258">
        <f t="shared" si="33"/>
        <v>5.0000000000000001E-3</v>
      </c>
      <c r="AN46" s="258">
        <f t="shared" si="34"/>
        <v>7.4999999999999997E-3</v>
      </c>
      <c r="AO46" s="258">
        <f t="shared" si="35"/>
        <v>0.35</v>
      </c>
      <c r="AP46" s="258">
        <f t="shared" si="36"/>
        <v>0</v>
      </c>
      <c r="AQ46" s="136">
        <f t="shared" si="69"/>
        <v>3.6400000000000002E-2</v>
      </c>
      <c r="AR46" s="137">
        <f t="shared" si="38"/>
        <v>2.2499999999999999E-2</v>
      </c>
      <c r="AS46" s="136">
        <f t="shared" si="70"/>
        <v>3.6094999999999997</v>
      </c>
      <c r="AT46" s="137">
        <f t="shared" si="71"/>
        <v>3.6629399588957501E-2</v>
      </c>
      <c r="AU46" s="137">
        <f t="shared" si="41"/>
        <v>0.9273462084680153</v>
      </c>
      <c r="AV46" s="394">
        <f t="shared" si="72"/>
        <v>7359.4195104021692</v>
      </c>
      <c r="AW46" s="137">
        <f t="shared" si="43"/>
        <v>0.37</v>
      </c>
      <c r="AX46" s="137">
        <f t="shared" si="44"/>
        <v>1</v>
      </c>
      <c r="AY46" s="137">
        <f t="shared" si="45"/>
        <v>1</v>
      </c>
      <c r="AZ46" s="137"/>
      <c r="BA46" s="264"/>
      <c r="BB46" s="258">
        <f t="shared" si="46"/>
        <v>0</v>
      </c>
      <c r="BC46" s="258">
        <f t="shared" si="73"/>
        <v>0</v>
      </c>
      <c r="BD46" s="137">
        <f t="shared" si="74"/>
        <v>8.793719974886649E-5</v>
      </c>
      <c r="BE46" s="137">
        <f t="shared" si="75"/>
        <v>8.793719974886649E-5</v>
      </c>
      <c r="BF46" s="137">
        <f>_xll.xSPRDOPT($BW46,$BV46,$CG46,0,$BY46,$BX46,$BZ46,$AJ46,1,4)*$CB46</f>
        <v>-1.2156686213222171E-6</v>
      </c>
      <c r="BG46" s="137">
        <f>_xll.xSPRDOPT($BW46,$BV46,$CG46,0,$BY46,$BX46,$BZ46,$AJ46,1,3)*$CB46</f>
        <v>-6.6309197526666393E-7</v>
      </c>
      <c r="BH46" s="137">
        <f>IF(OR(BF46&lt;&gt;0,BG46&lt;&gt;0),_xll.xSPRDOPT($BW46,$BV46,$CG46,0,$BY46,$BX46,$BZ46,$AJ46,1,12)*$CB46,0)</f>
        <v>3.591748199361096E-7</v>
      </c>
      <c r="BI46" s="137">
        <f>_xll.xSPRDOPT($BW46,$BV46,$CG46,2*LN(1+CA46/2),$BY46,$BX46,$BZ46,$AJ46,1,9)</f>
        <v>7.3266753033189294E-3</v>
      </c>
      <c r="BJ46" s="137">
        <f>_xll.xSPRDOPT($BW46,$BV46,$CG46,0,$BY46,$BX46,$BZ46,$AJ46,1,6)*$CB46</f>
        <v>-1.5261751642610048E-3</v>
      </c>
      <c r="BK46" s="137">
        <f>_xll.xSPRDOPT($BW46,$BV46,$CG46,0,$BY46,$BX46,$BZ46,$AJ46,1,5)*$CB46</f>
        <v>1.6313277646091058E-3</v>
      </c>
      <c r="BL46" s="137">
        <f>_xll.xSPRDOPT(BW46,BV46,CG46,0,BY46,BX46,BZ46,AJ46,1,2)*CB46</f>
        <v>-0.92699885865391518</v>
      </c>
      <c r="BM46" s="137">
        <f>_xll.xSPRDOPT(BW46,BV46,CG46,0,BY46,BX46,BZ46,AJ46,1,1)*CB46</f>
        <v>0.926998858637895</v>
      </c>
      <c r="BN46" s="137">
        <f>IF(AH46&lt;&gt;0,_xll.xSPRDOPT($BW46,$BV46,$CG46,2*LN(1+CA46/2),$BY46,$BX46,$BZ46,$AJ46,1,8)+(AJ46/365.25)*CH46/AH46,0)</f>
        <v>0.2914270828492464</v>
      </c>
      <c r="BO46" s="137">
        <f>_xll.xSPRDOPT($BW46,$BV46,$CG46,0,$BY46,$BX46,$BZ46,$AJ46,1,0)</f>
        <v>0.21802099616343412</v>
      </c>
      <c r="BP46" s="137"/>
      <c r="BQ46" s="137"/>
      <c r="BR46" s="137"/>
      <c r="BS46" s="137"/>
      <c r="BV46" s="262">
        <v>3.6925831202046031</v>
      </c>
      <c r="BW46" s="136">
        <v>3.9470000000000001</v>
      </c>
      <c r="BX46" s="137">
        <v>0.39296565235306902</v>
      </c>
      <c r="BY46" s="137">
        <v>0.39296565235306902</v>
      </c>
      <c r="BZ46" s="137">
        <v>1</v>
      </c>
      <c r="CA46" s="137">
        <v>3.6629399588957501E-2</v>
      </c>
      <c r="CB46" s="137">
        <v>0.92706977474295649</v>
      </c>
      <c r="CC46" s="258">
        <v>5.0000000000000001E-3</v>
      </c>
      <c r="CD46" s="258">
        <v>7.4999999999999997E-3</v>
      </c>
      <c r="CE46" s="258">
        <v>0.35</v>
      </c>
      <c r="CF46" s="258">
        <v>0</v>
      </c>
      <c r="CG46" s="258">
        <v>3.6400000000000002E-2</v>
      </c>
      <c r="CH46" s="258">
        <v>10.596129404379569</v>
      </c>
      <c r="CI46" s="258">
        <v>3.597</v>
      </c>
      <c r="CJ46" s="258"/>
      <c r="CK46" s="258"/>
      <c r="CL46" s="258"/>
      <c r="CM46" s="258"/>
    </row>
    <row r="47" spans="1:91" x14ac:dyDescent="0.25">
      <c r="A47" s="723"/>
      <c r="B47" s="723"/>
      <c r="D47" s="31">
        <f t="shared" si="53"/>
        <v>38032</v>
      </c>
      <c r="F47" s="28">
        <f t="shared" si="54"/>
        <v>11107</v>
      </c>
      <c r="G47" s="28">
        <f t="shared" si="13"/>
        <v>10249.709103375975</v>
      </c>
      <c r="H47" s="52">
        <f t="shared" si="55"/>
        <v>3.6056265984654727</v>
      </c>
      <c r="I47" s="52">
        <f t="shared" si="56"/>
        <v>3.8620000000000001</v>
      </c>
      <c r="K47" s="52">
        <f t="shared" si="57"/>
        <v>5.8868495462376611</v>
      </c>
      <c r="L47" s="135">
        <f t="shared" si="58"/>
        <v>1.2111888524479753E-4</v>
      </c>
      <c r="N47" s="131">
        <f t="shared" si="18"/>
        <v>0.39080901832551673</v>
      </c>
      <c r="O47" s="131">
        <f t="shared" si="19"/>
        <v>0.39080901832551673</v>
      </c>
      <c r="P47" s="55">
        <f t="shared" si="59"/>
        <v>1</v>
      </c>
      <c r="Q47" s="135">
        <f>_xll.xSPRDOPT(I47,H47,AQ47,0,O47,N47,P47,D47-$G$5,1,0)*AH47*AU47</f>
        <v>5.8869706651229059</v>
      </c>
      <c r="R47" s="135"/>
      <c r="S47" s="181">
        <f t="shared" si="60"/>
        <v>-303832.75306740258</v>
      </c>
      <c r="T47" s="181">
        <f>_xll.xSPRDOPT(I47,H47,AQ47,AT47,O47,N47,P47,D47-$G$5,1,1)*AF47*F47*AH47</f>
        <v>296996.51612338604</v>
      </c>
      <c r="U47" s="135"/>
      <c r="V47" s="146">
        <f t="shared" si="61"/>
        <v>9.8670176146598507</v>
      </c>
      <c r="W47" s="146"/>
      <c r="X47" s="338">
        <f t="shared" si="62"/>
        <v>0</v>
      </c>
      <c r="Y47" s="338">
        <f t="shared" si="23"/>
        <v>0</v>
      </c>
      <c r="Z47" s="338">
        <f t="shared" si="24"/>
        <v>19.914375059678257</v>
      </c>
      <c r="AA47" s="338">
        <f t="shared" si="25"/>
        <v>2.5726692055714241E-3</v>
      </c>
      <c r="AB47" s="338">
        <f t="shared" si="63"/>
        <v>0</v>
      </c>
      <c r="AC47" s="338">
        <f t="shared" si="64"/>
        <v>20.125480059278853</v>
      </c>
      <c r="AF47" s="138">
        <f t="shared" si="65"/>
        <v>1</v>
      </c>
      <c r="AG47" s="138">
        <f t="shared" si="66"/>
        <v>2</v>
      </c>
      <c r="AH47" s="138">
        <f t="shared" si="30"/>
        <v>29</v>
      </c>
      <c r="AI47" s="138">
        <f t="shared" si="67"/>
        <v>776</v>
      </c>
      <c r="AJ47" s="138">
        <f t="shared" si="68"/>
        <v>793</v>
      </c>
      <c r="AL47" s="136">
        <f t="shared" si="32"/>
        <v>3.512</v>
      </c>
      <c r="AM47" s="258">
        <f t="shared" si="33"/>
        <v>5.0000000000000001E-3</v>
      </c>
      <c r="AN47" s="258">
        <f t="shared" si="34"/>
        <v>7.4999999999999997E-3</v>
      </c>
      <c r="AO47" s="258">
        <f t="shared" si="35"/>
        <v>0.35</v>
      </c>
      <c r="AP47" s="258">
        <f t="shared" si="36"/>
        <v>0</v>
      </c>
      <c r="AQ47" s="136">
        <f t="shared" si="69"/>
        <v>3.6400000000000002E-2</v>
      </c>
      <c r="AR47" s="137">
        <f t="shared" si="38"/>
        <v>2.2499999999999999E-2</v>
      </c>
      <c r="AS47" s="136">
        <f t="shared" si="70"/>
        <v>3.5244999999999997</v>
      </c>
      <c r="AT47" s="137">
        <f t="shared" si="71"/>
        <v>3.74851197051385E-2</v>
      </c>
      <c r="AU47" s="137">
        <f t="shared" si="41"/>
        <v>0.92281526095038946</v>
      </c>
      <c r="AV47" s="394">
        <f t="shared" si="72"/>
        <v>6850.9804972956917</v>
      </c>
      <c r="AW47" s="137">
        <f t="shared" si="43"/>
        <v>0.37</v>
      </c>
      <c r="AX47" s="137">
        <f t="shared" si="44"/>
        <v>1</v>
      </c>
      <c r="AY47" s="137">
        <f t="shared" si="45"/>
        <v>1</v>
      </c>
      <c r="AZ47" s="137"/>
      <c r="BA47" s="264"/>
      <c r="BB47" s="258">
        <f t="shared" si="46"/>
        <v>0</v>
      </c>
      <c r="BC47" s="258">
        <f t="shared" si="73"/>
        <v>0</v>
      </c>
      <c r="BD47" s="137">
        <f t="shared" si="74"/>
        <v>7.6586028947334128E-5</v>
      </c>
      <c r="BE47" s="137">
        <f t="shared" si="75"/>
        <v>7.6586028947334128E-5</v>
      </c>
      <c r="BF47" s="137">
        <f>_xll.xSPRDOPT($BW47,$BV47,$CG47,0,$BY47,$BX47,$BZ47,$AJ47,1,4)*$CB47</f>
        <v>5.4987300143403093E-8</v>
      </c>
      <c r="BG47" s="137">
        <f>_xll.xSPRDOPT($BW47,$BV47,$CG47,0,$BY47,$BX47,$BZ47,$AJ47,1,3)*$CB47</f>
        <v>5.4987300143403093E-8</v>
      </c>
      <c r="BH47" s="137">
        <f>IF(OR(BF47&lt;&gt;0,BG47&lt;&gt;0),_xll.xSPRDOPT($BW47,$BV47,$CG47,0,$BY47,$BX47,$BZ47,$AJ47,1,12)*$CB47,0)</f>
        <v>-3.574174509321201E-7</v>
      </c>
      <c r="BI47" s="137">
        <f>_xll.xSPRDOPT($BW47,$BV47,$CG47,2*LN(1+CA47/2),$BY47,$BX47,$BZ47,$AJ47,1,9)</f>
        <v>7.5273287225385288E-3</v>
      </c>
      <c r="BJ47" s="137">
        <f>_xll.xSPRDOPT($BW47,$BV47,$CG47,0,$BY47,$BX47,$BZ47,$AJ47,1,6)*$CB47</f>
        <v>-1.4667206844559254E-3</v>
      </c>
      <c r="BK47" s="137">
        <f>_xll.xSPRDOPT($BW47,$BV47,$CG47,0,$BY47,$BX47,$BZ47,$AJ47,1,5)*$CB47</f>
        <v>1.5710099542817647E-3</v>
      </c>
      <c r="BL47" s="137">
        <f>_xll.xSPRDOPT(BW47,BV47,CG47,0,BY47,BX47,BZ47,AJ47,1,2)*CB47</f>
        <v>-0.92246552496604184</v>
      </c>
      <c r="BM47" s="137">
        <f>_xll.xSPRDOPT(BW47,BV47,CG47,0,BY47,BX47,BZ47,AJ47,1,1)*CB47</f>
        <v>0.92246552497359324</v>
      </c>
      <c r="BN47" s="137">
        <f>IF(AH47&lt;&gt;0,_xll.xSPRDOPT($BW47,$BV47,$CG47,2*LN(1+CA47/2),$BY47,$BX47,$BZ47,$AJ47,1,8)+(AJ47/365.25)*CH47/AH47,0)</f>
        <v>0.29787939629498666</v>
      </c>
      <c r="BO47" s="137">
        <f>_xll.xSPRDOPT($BW47,$BV47,$CG47,0,$BY47,$BX47,$BZ47,$AJ47,1,0)</f>
        <v>0.21997800250251584</v>
      </c>
      <c r="BP47" s="137"/>
      <c r="BQ47" s="137"/>
      <c r="BR47" s="137"/>
      <c r="BS47" s="137"/>
      <c r="BV47" s="262">
        <v>3.6056265984654727</v>
      </c>
      <c r="BW47" s="136">
        <v>3.8620000000000001</v>
      </c>
      <c r="BX47" s="137">
        <v>0.3907324322965694</v>
      </c>
      <c r="BY47" s="137">
        <v>0.3907324322965694</v>
      </c>
      <c r="BZ47" s="137">
        <v>1</v>
      </c>
      <c r="CA47" s="137">
        <v>3.74851197051385E-2</v>
      </c>
      <c r="CB47" s="137">
        <v>0.92253381176270466</v>
      </c>
      <c r="CC47" s="258">
        <v>5.0000000000000001E-3</v>
      </c>
      <c r="CD47" s="258">
        <v>7.4999999999999997E-3</v>
      </c>
      <c r="CE47" s="258">
        <v>0.35</v>
      </c>
      <c r="CF47" s="258">
        <v>0</v>
      </c>
      <c r="CG47" s="258">
        <v>3.6400000000000002E-2</v>
      </c>
      <c r="CH47" s="258">
        <v>9.8640082755103684</v>
      </c>
      <c r="CI47" s="258">
        <v>3.512</v>
      </c>
      <c r="CJ47" s="258"/>
      <c r="CK47" s="258"/>
      <c r="CL47" s="258"/>
      <c r="CM47" s="258"/>
    </row>
    <row r="48" spans="1:91" x14ac:dyDescent="0.25">
      <c r="A48" s="723"/>
      <c r="B48" s="723"/>
      <c r="D48" s="31">
        <f t="shared" si="53"/>
        <v>38061</v>
      </c>
      <c r="F48" s="28">
        <f t="shared" si="54"/>
        <v>11107</v>
      </c>
      <c r="G48" s="28">
        <f t="shared" si="13"/>
        <v>10201.543391592073</v>
      </c>
      <c r="H48" s="52">
        <f t="shared" si="55"/>
        <v>3.4726342710997438</v>
      </c>
      <c r="I48" s="52">
        <f t="shared" si="56"/>
        <v>3.782</v>
      </c>
      <c r="K48" s="52">
        <f t="shared" si="57"/>
        <v>7.7721098011703624</v>
      </c>
      <c r="L48" s="135">
        <f t="shared" si="58"/>
        <v>1.8393778647762815E-5</v>
      </c>
      <c r="N48" s="131">
        <f t="shared" si="18"/>
        <v>0.36642927609768672</v>
      </c>
      <c r="O48" s="131">
        <f t="shared" si="19"/>
        <v>0.36642927609768672</v>
      </c>
      <c r="P48" s="55">
        <f t="shared" si="59"/>
        <v>0.99999999999999989</v>
      </c>
      <c r="Q48" s="135">
        <f>_xll.xSPRDOPT(I48,H48,AQ48,0,O48,N48,P48,D48-$G$5,1,0)*AH48*AU48</f>
        <v>7.7721281949490102</v>
      </c>
      <c r="R48" s="135"/>
      <c r="S48" s="181">
        <f t="shared" si="60"/>
        <v>-323261.34293306933</v>
      </c>
      <c r="T48" s="181">
        <f>_xll.xSPRDOPT(I48,H48,AQ48,AT48,O48,N48,P48,D48-$G$5,1,1)*AF48*F48*AH48</f>
        <v>315987.96271707531</v>
      </c>
      <c r="U48" s="135"/>
      <c r="V48" s="146">
        <f t="shared" si="61"/>
        <v>10.497936481757444</v>
      </c>
      <c r="W48" s="146"/>
      <c r="X48" s="338">
        <f t="shared" si="62"/>
        <v>0</v>
      </c>
      <c r="Y48" s="338">
        <f t="shared" si="23"/>
        <v>0</v>
      </c>
      <c r="Z48" s="338">
        <f t="shared" si="24"/>
        <v>26.876196403584867</v>
      </c>
      <c r="AA48" s="338">
        <f t="shared" si="25"/>
        <v>2.9022634875217491E-4</v>
      </c>
      <c r="AB48" s="338">
        <f t="shared" si="63"/>
        <v>0</v>
      </c>
      <c r="AC48" s="338">
        <f t="shared" si="64"/>
        <v>27.137405597650918</v>
      </c>
      <c r="AF48" s="138">
        <f t="shared" si="65"/>
        <v>1</v>
      </c>
      <c r="AG48" s="138">
        <f t="shared" si="66"/>
        <v>3</v>
      </c>
      <c r="AH48" s="138">
        <f t="shared" si="30"/>
        <v>31</v>
      </c>
      <c r="AI48" s="138">
        <f t="shared" si="67"/>
        <v>805</v>
      </c>
      <c r="AJ48" s="138">
        <f t="shared" si="68"/>
        <v>822</v>
      </c>
      <c r="AL48" s="136">
        <f t="shared" si="32"/>
        <v>3.3820000000000001</v>
      </c>
      <c r="AM48" s="258">
        <f t="shared" si="33"/>
        <v>5.0000000000000001E-3</v>
      </c>
      <c r="AN48" s="258">
        <f t="shared" si="34"/>
        <v>7.4999999999999997E-3</v>
      </c>
      <c r="AO48" s="258">
        <f t="shared" si="35"/>
        <v>0.4</v>
      </c>
      <c r="AP48" s="258">
        <f t="shared" si="36"/>
        <v>0</v>
      </c>
      <c r="AQ48" s="136">
        <f t="shared" si="69"/>
        <v>3.6400000000000002E-2</v>
      </c>
      <c r="AR48" s="137">
        <f t="shared" si="38"/>
        <v>2.2499999999999999E-2</v>
      </c>
      <c r="AS48" s="136">
        <f t="shared" si="70"/>
        <v>3.3944999999999999</v>
      </c>
      <c r="AT48" s="137">
        <f t="shared" si="71"/>
        <v>3.8285632294587903E-2</v>
      </c>
      <c r="AU48" s="137">
        <f t="shared" si="41"/>
        <v>0.91847874237796645</v>
      </c>
      <c r="AV48" s="394">
        <f t="shared" si="72"/>
        <v>7289.0472995115415</v>
      </c>
      <c r="AW48" s="137">
        <f t="shared" si="43"/>
        <v>0.35499999999999998</v>
      </c>
      <c r="AX48" s="137">
        <f t="shared" si="44"/>
        <v>0.75</v>
      </c>
      <c r="AY48" s="137">
        <f t="shared" si="45"/>
        <v>0.75</v>
      </c>
      <c r="AZ48" s="137"/>
      <c r="BA48" s="264"/>
      <c r="BB48" s="258">
        <f t="shared" si="46"/>
        <v>0</v>
      </c>
      <c r="BC48" s="258">
        <f t="shared" si="73"/>
        <v>0</v>
      </c>
      <c r="BD48" s="137">
        <f t="shared" si="74"/>
        <v>4.0989655535617064E-5</v>
      </c>
      <c r="BE48" s="137">
        <f t="shared" si="75"/>
        <v>4.0989655535617064E-5</v>
      </c>
      <c r="BF48" s="137">
        <f>_xll.xSPRDOPT($BW48,$BV48,$CG48,0,$BY48,$BX48,$BZ48,$AJ48,1,4)*$CB48</f>
        <v>5.4728549172528226E-7</v>
      </c>
      <c r="BG48" s="137">
        <f>_xll.xSPRDOPT($BW48,$BV48,$CG48,0,$BY48,$BX48,$BZ48,$AJ48,1,3)*$CB48</f>
        <v>-2.1891419669011291E-7</v>
      </c>
      <c r="BH48" s="137">
        <f>IF(OR(BF48&lt;&gt;0,BG48&lt;&gt;0),_xll.xSPRDOPT($BW48,$BV48,$CG48,0,$BY48,$BX48,$BZ48,$AJ48,1,12)*$CB48,0)</f>
        <v>0</v>
      </c>
      <c r="BI48" s="137">
        <f>_xll.xSPRDOPT($BW48,$BV48,$CG48,2*LN(1+CA48/2),$BY48,$BX48,$BZ48,$AJ48,1,9)</f>
        <v>9.503384706931281E-3</v>
      </c>
      <c r="BJ48" s="137">
        <f>_xll.xSPRDOPT($BW48,$BV48,$CG48,0,$BY48,$BX48,$BZ48,$AJ48,1,6)*$CB48</f>
        <v>-2.3082930329954777E-4</v>
      </c>
      <c r="BK48" s="137">
        <f>_xll.xSPRDOPT($BW48,$BV48,$CG48,0,$BY48,$BX48,$BZ48,$AJ48,1,5)*$CB48</f>
        <v>2.5139313798076737E-4</v>
      </c>
      <c r="BL48" s="137">
        <f>_xll.xSPRDOPT(BW48,BV48,CG48,0,BY48,BX48,BZ48,AJ48,1,2)*CB48</f>
        <v>-0.91818285385174547</v>
      </c>
      <c r="BM48" s="137">
        <f>_xll.xSPRDOPT(BW48,BV48,CG48,0,BY48,BX48,BZ48,AJ48,1,1)*CB48</f>
        <v>0.91818285385926135</v>
      </c>
      <c r="BN48" s="137">
        <f>IF(AH48&lt;&gt;0,_xll.xSPRDOPT($BW48,$BV48,$CG48,2*LN(1+CA48/2),$BY48,$BX48,$BZ48,$AJ48,1,8)+(AJ48/365.25)*CH48/AH48,0)</f>
        <v>0.19782440340322049</v>
      </c>
      <c r="BO48" s="137">
        <f>_xll.xSPRDOPT($BW48,$BV48,$CG48,0,$BY48,$BX48,$BZ48,$AJ48,1,0)</f>
        <v>0.27296638901110493</v>
      </c>
      <c r="BP48" s="137"/>
      <c r="BQ48" s="137"/>
      <c r="BR48" s="137"/>
      <c r="BS48" s="137"/>
      <c r="BV48" s="262">
        <v>3.4726342710997438</v>
      </c>
      <c r="BW48" s="136">
        <v>3.782</v>
      </c>
      <c r="BX48" s="137">
        <v>0.3663882864421511</v>
      </c>
      <c r="BY48" s="137">
        <v>0.3663882864421511</v>
      </c>
      <c r="BZ48" s="137">
        <v>1</v>
      </c>
      <c r="CA48" s="137">
        <v>3.8285632294587903E-2</v>
      </c>
      <c r="CB48" s="137">
        <v>0.91819269083412736</v>
      </c>
      <c r="CC48" s="258">
        <v>5.0000000000000001E-3</v>
      </c>
      <c r="CD48" s="258">
        <v>7.4999999999999997E-3</v>
      </c>
      <c r="CE48" s="258">
        <v>0.4</v>
      </c>
      <c r="CF48" s="258">
        <v>0</v>
      </c>
      <c r="CG48" s="258">
        <v>3.6400000000000002E-2</v>
      </c>
      <c r="CH48" s="258">
        <v>10.494666998426826</v>
      </c>
      <c r="CI48" s="258">
        <v>3.3820000000000001</v>
      </c>
      <c r="CJ48" s="258"/>
      <c r="CK48" s="258"/>
      <c r="CL48" s="258"/>
      <c r="CM48" s="258"/>
    </row>
    <row r="49" spans="1:91" x14ac:dyDescent="0.25">
      <c r="A49" s="723"/>
      <c r="B49" s="723"/>
      <c r="D49" s="31">
        <f t="shared" si="53"/>
        <v>38092</v>
      </c>
      <c r="F49" s="28">
        <f t="shared" si="54"/>
        <v>5899</v>
      </c>
      <c r="G49" s="28">
        <f t="shared" si="13"/>
        <v>5390.8511762727339</v>
      </c>
      <c r="H49" s="52">
        <f t="shared" si="55"/>
        <v>3.2859335038363167</v>
      </c>
      <c r="I49" s="52">
        <f t="shared" si="56"/>
        <v>3.7970000000000002</v>
      </c>
      <c r="K49" s="52">
        <f t="shared" si="57"/>
        <v>13.013340087377101</v>
      </c>
      <c r="L49" s="135">
        <f t="shared" si="58"/>
        <v>1.3749844374189024E-6</v>
      </c>
      <c r="N49" s="131">
        <f t="shared" si="18"/>
        <v>0.3313618943887166</v>
      </c>
      <c r="O49" s="131">
        <f t="shared" si="19"/>
        <v>0.3313618943887166</v>
      </c>
      <c r="P49" s="55">
        <f t="shared" si="59"/>
        <v>1</v>
      </c>
      <c r="Q49" s="135">
        <f>_xll.xSPRDOPT(I49,H49,AQ49,0,O49,N49,P49,D49-$G$5,1,0)*AH49*AU49</f>
        <v>13.013341462361538</v>
      </c>
      <c r="R49" s="135"/>
      <c r="S49" s="181">
        <f t="shared" si="60"/>
        <v>-165303.03879373273</v>
      </c>
      <c r="T49" s="181">
        <f>_xll.xSPRDOPT(I49,H49,AQ49,AT49,O49,N49,P49,D49-$G$5,1,1)*AF49*F49*AH49</f>
        <v>161583.72042087375</v>
      </c>
      <c r="U49" s="135"/>
      <c r="V49" s="146">
        <f t="shared" si="61"/>
        <v>10.108188652441552</v>
      </c>
      <c r="W49" s="146"/>
      <c r="X49" s="338">
        <f t="shared" si="62"/>
        <v>0</v>
      </c>
      <c r="Y49" s="338">
        <f t="shared" si="23"/>
        <v>0</v>
      </c>
      <c r="Z49" s="338">
        <f t="shared" si="24"/>
        <v>24.398189899083548</v>
      </c>
      <c r="AA49" s="338">
        <f t="shared" si="25"/>
        <v>4.6370605700515063E-8</v>
      </c>
      <c r="AB49" s="338">
        <f t="shared" si="63"/>
        <v>0</v>
      </c>
      <c r="AC49" s="338">
        <f t="shared" si="64"/>
        <v>24.635825702092308</v>
      </c>
      <c r="AF49" s="138">
        <f t="shared" si="65"/>
        <v>1</v>
      </c>
      <c r="AG49" s="138">
        <f t="shared" si="66"/>
        <v>4</v>
      </c>
      <c r="AH49" s="138">
        <f t="shared" si="30"/>
        <v>30</v>
      </c>
      <c r="AI49" s="138">
        <f t="shared" si="67"/>
        <v>836</v>
      </c>
      <c r="AJ49" s="138">
        <f t="shared" si="68"/>
        <v>853</v>
      </c>
      <c r="AL49" s="136">
        <f t="shared" si="32"/>
        <v>3.1970000000000001</v>
      </c>
      <c r="AM49" s="258">
        <f t="shared" si="33"/>
        <v>0.01</v>
      </c>
      <c r="AN49" s="258">
        <f t="shared" si="34"/>
        <v>5.0000000000000001E-3</v>
      </c>
      <c r="AO49" s="258">
        <f t="shared" si="35"/>
        <v>0.6</v>
      </c>
      <c r="AP49" s="258">
        <f t="shared" si="36"/>
        <v>0</v>
      </c>
      <c r="AQ49" s="136">
        <f t="shared" si="69"/>
        <v>3.6400000000000002E-2</v>
      </c>
      <c r="AR49" s="137">
        <f t="shared" si="38"/>
        <v>2.2499999999999999E-2</v>
      </c>
      <c r="AS49" s="136">
        <f t="shared" si="70"/>
        <v>3.2119999999999997</v>
      </c>
      <c r="AT49" s="137">
        <f t="shared" si="71"/>
        <v>3.9084714616572501E-2</v>
      </c>
      <c r="AU49" s="137">
        <f t="shared" si="41"/>
        <v>0.9138584804666442</v>
      </c>
      <c r="AV49" s="394">
        <f t="shared" si="72"/>
        <v>3728.5426003039083</v>
      </c>
      <c r="AW49" s="137">
        <f t="shared" si="43"/>
        <v>0.33</v>
      </c>
      <c r="AX49" s="137">
        <f t="shared" si="44"/>
        <v>0.4</v>
      </c>
      <c r="AY49" s="137">
        <f t="shared" si="45"/>
        <v>0.4</v>
      </c>
      <c r="AZ49" s="137"/>
      <c r="BA49" s="264"/>
      <c r="BB49" s="258">
        <f t="shared" si="46"/>
        <v>0</v>
      </c>
      <c r="BC49" s="258">
        <f t="shared" si="73"/>
        <v>0</v>
      </c>
      <c r="BD49" s="137">
        <f t="shared" si="74"/>
        <v>4.7743752686346674E-6</v>
      </c>
      <c r="BE49" s="137">
        <f t="shared" si="75"/>
        <v>4.7743752686346674E-6</v>
      </c>
      <c r="BF49" s="137">
        <f>_xll.xSPRDOPT($BW49,$BV49,$CG49,0,$BY49,$BX49,$BZ49,$AJ49,1,4)*$CB49</f>
        <v>-1.6335868577846443E-6</v>
      </c>
      <c r="BG49" s="137">
        <f>_xll.xSPRDOPT($BW49,$BV49,$CG49,0,$BY49,$BX49,$BZ49,$AJ49,1,3)*$CB49</f>
        <v>2.1781158103795246E-7</v>
      </c>
      <c r="BH49" s="137">
        <f>IF(OR(BF49&lt;&gt;0,BG49&lt;&gt;0),_xll.xSPRDOPT($BW49,$BV49,$CG49,0,$BY49,$BX49,$BZ49,$AJ49,1,12)*$CB49,0)</f>
        <v>4.3562316207590491E-7</v>
      </c>
      <c r="BI49" s="137">
        <f>_xll.xSPRDOPT($BW49,$BV49,$CG49,2*LN(1+CA49/2),$BY49,$BX49,$BZ49,$AJ49,1,9)</f>
        <v>1.6785215687480488E-2</v>
      </c>
      <c r="BJ49" s="137">
        <f>_xll.xSPRDOPT($BW49,$BV49,$CG49,0,$BY49,$BX49,$BZ49,$AJ49,1,6)*$CB49</f>
        <v>-3.5287267300274472E-7</v>
      </c>
      <c r="BK49" s="137">
        <f>_xll.xSPRDOPT($BW49,$BV49,$CG49,0,$BY49,$BX49,$BZ49,$AJ49,1,5)*$CB49</f>
        <v>4.0775424796916571E-7</v>
      </c>
      <c r="BL49" s="137">
        <f>_xll.xSPRDOPT(BW49,BV49,CG49,0,BY49,BX49,BZ49,AJ49,1,2)*CB49</f>
        <v>-0.91356805283568909</v>
      </c>
      <c r="BM49" s="137">
        <f>_xll.xSPRDOPT(BW49,BV49,CG49,0,BY49,BX49,BZ49,AJ49,1,1)*CB49</f>
        <v>0.9135680528348582</v>
      </c>
      <c r="BN49" s="137">
        <f>IF(AH49&lt;&gt;0,_xll.xSPRDOPT($BW49,$BV49,$CG49,2*LN(1+CA49/2),$BY49,$BX49,$BZ49,$AJ49,1,8)+(AJ49/365.25)*CH49/AH49,0)</f>
        <v>-0.22608328700925628</v>
      </c>
      <c r="BO49" s="137">
        <f>_xll.xSPRDOPT($BW49,$BV49,$CG49,0,$BY49,$BX49,$BZ49,$AJ49,1,0)</f>
        <v>0.47466654635174044</v>
      </c>
      <c r="BP49" s="137"/>
      <c r="BQ49" s="137"/>
      <c r="BR49" s="137"/>
      <c r="BS49" s="137"/>
      <c r="BV49" s="262">
        <v>3.2859335038363167</v>
      </c>
      <c r="BW49" s="136">
        <v>3.7970000000000002</v>
      </c>
      <c r="BX49" s="137">
        <v>0.33135712001344797</v>
      </c>
      <c r="BY49" s="137">
        <v>0.33135712001344797</v>
      </c>
      <c r="BZ49" s="137">
        <v>1</v>
      </c>
      <c r="CA49" s="137">
        <v>3.9084714616572501E-2</v>
      </c>
      <c r="CB49" s="137">
        <v>0.91356798559380814</v>
      </c>
      <c r="CC49" s="258">
        <v>0.01</v>
      </c>
      <c r="CD49" s="258">
        <v>5.0000000000000001E-3</v>
      </c>
      <c r="CE49" s="258">
        <v>0.6</v>
      </c>
      <c r="CF49" s="258">
        <v>0</v>
      </c>
      <c r="CG49" s="258">
        <v>3.6400000000000002E-2</v>
      </c>
      <c r="CH49" s="258">
        <v>10.104975488653112</v>
      </c>
      <c r="CI49" s="258">
        <v>3.1970000000000001</v>
      </c>
      <c r="CJ49" s="258"/>
      <c r="CK49" s="258"/>
      <c r="CL49" s="258"/>
      <c r="CM49" s="258"/>
    </row>
    <row r="50" spans="1:91" x14ac:dyDescent="0.25">
      <c r="A50" s="723"/>
      <c r="B50" s="723"/>
      <c r="D50" s="31">
        <f t="shared" si="53"/>
        <v>38122</v>
      </c>
      <c r="F50" s="28">
        <f t="shared" si="54"/>
        <v>5895</v>
      </c>
      <c r="G50" s="28">
        <f t="shared" si="13"/>
        <v>5361.0333074877544</v>
      </c>
      <c r="H50" s="52">
        <f t="shared" si="55"/>
        <v>3.2808184143222503</v>
      </c>
      <c r="I50" s="52">
        <f t="shared" si="56"/>
        <v>3.9420000000000002</v>
      </c>
      <c r="K50" s="52">
        <f t="shared" si="57"/>
        <v>17.613862868944253</v>
      </c>
      <c r="L50" s="135">
        <f t="shared" si="58"/>
        <v>1.8273665070012157E-6</v>
      </c>
      <c r="N50" s="131">
        <f t="shared" si="18"/>
        <v>0.32761016081651256</v>
      </c>
      <c r="O50" s="131">
        <f t="shared" si="19"/>
        <v>0.32761016081651256</v>
      </c>
      <c r="P50" s="55">
        <f t="shared" si="59"/>
        <v>1.0000000000000002</v>
      </c>
      <c r="Q50" s="135">
        <f>_xll.xSPRDOPT(I50,H50,AQ50,0,O50,N50,P50,D50-$G$5,1,0)*AH50*AU50</f>
        <v>17.61386469631076</v>
      </c>
      <c r="R50" s="135"/>
      <c r="S50" s="181">
        <f t="shared" si="60"/>
        <v>-169857.42609002502</v>
      </c>
      <c r="T50" s="181">
        <f>_xll.xSPRDOPT(I50,H50,AQ50,AT50,O50,N50,P50,D50-$G$5,1,1)*AF50*F50*AH50</f>
        <v>166035.63400299946</v>
      </c>
      <c r="U50" s="135"/>
      <c r="V50" s="146">
        <f t="shared" si="61"/>
        <v>10.394402441830838</v>
      </c>
      <c r="W50" s="146"/>
      <c r="X50" s="338">
        <f t="shared" si="62"/>
        <v>0</v>
      </c>
      <c r="Y50" s="338">
        <f t="shared" si="23"/>
        <v>0</v>
      </c>
      <c r="Z50" s="338">
        <f t="shared" si="24"/>
        <v>33.598622529363745</v>
      </c>
      <c r="AA50" s="338">
        <f t="shared" si="25"/>
        <v>-1.3559580218384338E-7</v>
      </c>
      <c r="AB50" s="338">
        <f t="shared" si="63"/>
        <v>0</v>
      </c>
      <c r="AC50" s="338">
        <f t="shared" si="64"/>
        <v>33.931818586867657</v>
      </c>
      <c r="AF50" s="138">
        <f t="shared" si="65"/>
        <v>1</v>
      </c>
      <c r="AG50" s="138">
        <f t="shared" si="66"/>
        <v>5</v>
      </c>
      <c r="AH50" s="138">
        <f t="shared" si="30"/>
        <v>31</v>
      </c>
      <c r="AI50" s="138">
        <f t="shared" si="67"/>
        <v>866</v>
      </c>
      <c r="AJ50" s="138">
        <f t="shared" si="68"/>
        <v>883</v>
      </c>
      <c r="AL50" s="136">
        <f t="shared" si="32"/>
        <v>3.1920000000000002</v>
      </c>
      <c r="AM50" s="258">
        <f t="shared" si="33"/>
        <v>0.01</v>
      </c>
      <c r="AN50" s="258">
        <f t="shared" si="34"/>
        <v>5.0000000000000001E-3</v>
      </c>
      <c r="AO50" s="258">
        <f t="shared" si="35"/>
        <v>0.75</v>
      </c>
      <c r="AP50" s="258">
        <f t="shared" si="36"/>
        <v>0</v>
      </c>
      <c r="AQ50" s="136">
        <f t="shared" si="69"/>
        <v>3.6400000000000002E-2</v>
      </c>
      <c r="AR50" s="137">
        <f t="shared" si="38"/>
        <v>2.2499999999999999E-2</v>
      </c>
      <c r="AS50" s="136">
        <f t="shared" si="70"/>
        <v>3.2069999999999999</v>
      </c>
      <c r="AT50" s="137">
        <f t="shared" si="71"/>
        <v>3.9799554968306797E-2</v>
      </c>
      <c r="AU50" s="137">
        <f t="shared" si="41"/>
        <v>0.90942040839486926</v>
      </c>
      <c r="AV50" s="394">
        <f t="shared" si="72"/>
        <v>3834.1164417927689</v>
      </c>
      <c r="AW50" s="137">
        <f t="shared" si="43"/>
        <v>0.32500000000000001</v>
      </c>
      <c r="AX50" s="137">
        <f t="shared" si="44"/>
        <v>0.45</v>
      </c>
      <c r="AY50" s="137">
        <f t="shared" si="45"/>
        <v>0.45</v>
      </c>
      <c r="AZ50" s="137"/>
      <c r="BA50" s="264"/>
      <c r="BB50" s="258">
        <f t="shared" si="46"/>
        <v>0</v>
      </c>
      <c r="BC50" s="258">
        <f t="shared" si="73"/>
        <v>0</v>
      </c>
      <c r="BD50" s="137">
        <f t="shared" si="74"/>
        <v>8.8178559663476541E-6</v>
      </c>
      <c r="BE50" s="137">
        <f t="shared" si="75"/>
        <v>8.8178559663476541E-6</v>
      </c>
      <c r="BF50" s="137">
        <f>_xll.xSPRDOPT($BW50,$BV50,$CG50,0,$BY50,$BX50,$BZ50,$AJ50,1,4)*$CB50</f>
        <v>-4.3350510105015011E-7</v>
      </c>
      <c r="BG50" s="137">
        <f>_xll.xSPRDOPT($BW50,$BV50,$CG50,0,$BY50,$BX50,$BZ50,$AJ50,1,3)*$CB50</f>
        <v>0</v>
      </c>
      <c r="BH50" s="137">
        <f>IF(OR(BF50&lt;&gt;0,BG50&lt;&gt;0),_xll.xSPRDOPT($BW50,$BV50,$CG50,0,$BY50,$BX50,$BZ50,$AJ50,1,12)*$CB50,0)</f>
        <v>0</v>
      </c>
      <c r="BI50" s="137">
        <f>_xll.xSPRDOPT($BW50,$BV50,$CG50,2*LN(1+CA50/2),$BY50,$BX50,$BZ50,$AJ50,1,9)</f>
        <v>2.2384373268489074E-2</v>
      </c>
      <c r="BJ50" s="137">
        <f>_xll.xSPRDOPT($BW50,$BV50,$CG50,0,$BY50,$BX50,$BZ50,$AJ50,1,6)*$CB50</f>
        <v>4.1750037067892167E-7</v>
      </c>
      <c r="BK50" s="137">
        <f>_xll.xSPRDOPT($BW50,$BV50,$CG50,0,$BY50,$BX50,$BZ50,$AJ50,1,5)*$CB50</f>
        <v>-5.0164719700462712E-7</v>
      </c>
      <c r="BL50" s="137">
        <f>_xll.xSPRDOPT(BW50,BV50,CG50,0,BY50,BX50,BZ50,AJ50,1,2)*CB50</f>
        <v>-0.90912618349636032</v>
      </c>
      <c r="BM50" s="137">
        <f>_xll.xSPRDOPT(BW50,BV50,CG50,0,BY50,BX50,BZ50,AJ50,1,1)*CB50</f>
        <v>0.90912618348974561</v>
      </c>
      <c r="BN50" s="137">
        <f>IF(AH50&lt;&gt;0,_xll.xSPRDOPT($BW50,$BV50,$CG50,2*LN(1+CA50/2),$BY50,$BX50,$BZ50,$AJ50,1,8)+(AJ50/365.25)*CH50/AH50,0)</f>
        <v>-0.56282458561363968</v>
      </c>
      <c r="BO50" s="137">
        <f>_xll.xSPRDOPT($BW50,$BV50,$CG50,0,$BY50,$BX50,$BZ50,$AJ50,1,0)</f>
        <v>0.62478165044562073</v>
      </c>
      <c r="BP50" s="137"/>
      <c r="BQ50" s="137"/>
      <c r="BR50" s="137"/>
      <c r="BS50" s="137"/>
      <c r="BV50" s="262">
        <v>3.2808184143222503</v>
      </c>
      <c r="BW50" s="136">
        <v>3.9420000000000002</v>
      </c>
      <c r="BX50" s="137">
        <v>0.32760134296054622</v>
      </c>
      <c r="BY50" s="137">
        <v>0.32760134296054622</v>
      </c>
      <c r="BZ50" s="137">
        <v>1</v>
      </c>
      <c r="CA50" s="137">
        <v>3.9799554968306797E-2</v>
      </c>
      <c r="CB50" s="137">
        <v>0.90912608967752451</v>
      </c>
      <c r="CC50" s="258">
        <v>0.01</v>
      </c>
      <c r="CD50" s="258">
        <v>5.0000000000000001E-3</v>
      </c>
      <c r="CE50" s="258">
        <v>0.75</v>
      </c>
      <c r="CF50" s="258">
        <v>0</v>
      </c>
      <c r="CG50" s="258">
        <v>3.6400000000000002E-2</v>
      </c>
      <c r="CH50" s="258">
        <v>10.391038467187203</v>
      </c>
      <c r="CI50" s="258">
        <v>3.1920000000000002</v>
      </c>
      <c r="CJ50" s="258"/>
      <c r="CK50" s="258"/>
      <c r="CL50" s="258"/>
      <c r="CM50" s="258"/>
    </row>
    <row r="51" spans="1:91" x14ac:dyDescent="0.25">
      <c r="A51" s="723"/>
      <c r="B51" s="723"/>
      <c r="D51" s="31">
        <f t="shared" si="53"/>
        <v>38153</v>
      </c>
      <c r="F51" s="28">
        <f t="shared" si="54"/>
        <v>5895</v>
      </c>
      <c r="G51" s="28">
        <f t="shared" si="13"/>
        <v>5333.4904178505421</v>
      </c>
      <c r="H51" s="52">
        <f t="shared" si="55"/>
        <v>3.3191815856777493</v>
      </c>
      <c r="I51" s="52">
        <f t="shared" si="56"/>
        <v>4.077</v>
      </c>
      <c r="K51" s="52">
        <f t="shared" si="57"/>
        <v>19.581059542232342</v>
      </c>
      <c r="L51" s="135">
        <f t="shared" si="58"/>
        <v>2.0315491262579144E-6</v>
      </c>
      <c r="N51" s="131">
        <f t="shared" si="18"/>
        <v>0.32256221350143816</v>
      </c>
      <c r="O51" s="131">
        <f t="shared" si="19"/>
        <v>0.32256221350143816</v>
      </c>
      <c r="P51" s="55">
        <f t="shared" si="59"/>
        <v>1</v>
      </c>
      <c r="Q51" s="135">
        <f>_xll.xSPRDOPT(I51,H51,AQ51,0,O51,N51,P51,D51-$G$5,1,0)*AH51*AU51</f>
        <v>19.581061573781469</v>
      </c>
      <c r="R51" s="135"/>
      <c r="S51" s="181">
        <f t="shared" si="60"/>
        <v>-163522.28770816635</v>
      </c>
      <c r="T51" s="181">
        <f>_xll.xSPRDOPT(I51,H51,AQ51,AT51,O51,N51,P51,D51-$G$5,1,1)*AF51*F51*AH51</f>
        <v>159843.0362347326</v>
      </c>
      <c r="U51" s="135"/>
      <c r="V51" s="146">
        <f t="shared" si="61"/>
        <v>10.007419425249337</v>
      </c>
      <c r="W51" s="146"/>
      <c r="X51" s="338">
        <f t="shared" si="62"/>
        <v>0</v>
      </c>
      <c r="Y51" s="338">
        <f t="shared" si="23"/>
        <v>0</v>
      </c>
      <c r="Z51" s="338">
        <f t="shared" si="24"/>
        <v>38.037160259738322</v>
      </c>
      <c r="AA51" s="338">
        <f t="shared" si="25"/>
        <v>-1.5863978701074603E-7</v>
      </c>
      <c r="AB51" s="338">
        <f t="shared" si="63"/>
        <v>0</v>
      </c>
      <c r="AC51" s="338">
        <f t="shared" si="64"/>
        <v>38.42135062572148</v>
      </c>
      <c r="AF51" s="138">
        <f t="shared" si="65"/>
        <v>1</v>
      </c>
      <c r="AG51" s="138">
        <f t="shared" si="66"/>
        <v>6</v>
      </c>
      <c r="AH51" s="138">
        <f t="shared" si="30"/>
        <v>30</v>
      </c>
      <c r="AI51" s="138">
        <f t="shared" si="67"/>
        <v>897</v>
      </c>
      <c r="AJ51" s="138">
        <f t="shared" si="68"/>
        <v>914</v>
      </c>
      <c r="AL51" s="136">
        <f t="shared" si="32"/>
        <v>3.2269999999999999</v>
      </c>
      <c r="AM51" s="258">
        <f t="shared" si="33"/>
        <v>1.2500000000000001E-2</v>
      </c>
      <c r="AN51" s="258">
        <f t="shared" si="34"/>
        <v>5.0000000000000001E-3</v>
      </c>
      <c r="AO51" s="258">
        <f t="shared" si="35"/>
        <v>0.85</v>
      </c>
      <c r="AP51" s="258">
        <f t="shared" si="36"/>
        <v>0</v>
      </c>
      <c r="AQ51" s="136">
        <f t="shared" si="69"/>
        <v>3.6400000000000002E-2</v>
      </c>
      <c r="AR51" s="137">
        <f t="shared" si="38"/>
        <v>2.2499999999999999E-2</v>
      </c>
      <c r="AS51" s="136">
        <f t="shared" si="70"/>
        <v>3.2444999999999999</v>
      </c>
      <c r="AT51" s="137">
        <f t="shared" si="71"/>
        <v>4.0538223511899799E-2</v>
      </c>
      <c r="AU51" s="137">
        <f t="shared" si="41"/>
        <v>0.90474816248524881</v>
      </c>
      <c r="AV51" s="394">
        <f t="shared" si="72"/>
        <v>3691.3725029398151</v>
      </c>
      <c r="AW51" s="137">
        <f t="shared" si="43"/>
        <v>0.32</v>
      </c>
      <c r="AX51" s="137">
        <f t="shared" si="44"/>
        <v>0.45</v>
      </c>
      <c r="AY51" s="137">
        <f t="shared" si="45"/>
        <v>0.45</v>
      </c>
      <c r="AZ51" s="137"/>
      <c r="BA51" s="264"/>
      <c r="BB51" s="258">
        <f t="shared" si="46"/>
        <v>0</v>
      </c>
      <c r="BC51" s="258">
        <f t="shared" si="73"/>
        <v>0</v>
      </c>
      <c r="BD51" s="137">
        <f t="shared" si="74"/>
        <v>8.3674438265957107E-6</v>
      </c>
      <c r="BE51" s="137">
        <f t="shared" si="75"/>
        <v>8.3674438265957107E-6</v>
      </c>
      <c r="BF51" s="137">
        <f>_xll.xSPRDOPT($BW51,$BV51,$CG51,0,$BY51,$BX51,$BZ51,$AJ51,1,4)*$CB51</f>
        <v>8.6255071306736416E-7</v>
      </c>
      <c r="BG51" s="137">
        <f>_xll.xSPRDOPT($BW51,$BV51,$CG51,0,$BY51,$BX51,$BZ51,$AJ51,1,3)*$CB51</f>
        <v>4.3127535653368208E-7</v>
      </c>
      <c r="BH51" s="137">
        <f>IF(OR(BF51&lt;&gt;0,BG51&lt;&gt;0),_xll.xSPRDOPT($BW51,$BV51,$CG51,0,$BY51,$BX51,$BZ51,$AJ51,1,12)*$CB51,0)</f>
        <v>-4.3127535653368208E-7</v>
      </c>
      <c r="BI51" s="137">
        <f>_xll.xSPRDOPT($BW51,$BV51,$CG51,2*LN(1+CA51/2),$BY51,$BX51,$BZ51,$AJ51,1,9)</f>
        <v>2.6186170549183718E-2</v>
      </c>
      <c r="BJ51" s="137">
        <f>_xll.xSPRDOPT($BW51,$BV51,$CG51,0,$BY51,$BX51,$BZ51,$AJ51,1,6)*$CB51</f>
        <v>4.6957074314406557E-7</v>
      </c>
      <c r="BK51" s="137">
        <f>_xll.xSPRDOPT($BW51,$BV51,$CG51,0,$BY51,$BX51,$BZ51,$AJ51,1,5)*$CB51</f>
        <v>-5.7677554747470516E-7</v>
      </c>
      <c r="BL51" s="137">
        <f>_xll.xSPRDOPT(BW51,BV51,CG51,0,BY51,BX51,BZ51,AJ51,1,2)*CB51</f>
        <v>-0.90445007107055386</v>
      </c>
      <c r="BM51" s="137">
        <f>_xll.xSPRDOPT(BW51,BV51,CG51,0,BY51,BX51,BZ51,AJ51,1,1)*CB51</f>
        <v>0.90445007107548936</v>
      </c>
      <c r="BN51" s="137">
        <f>IF(AH51&lt;&gt;0,_xll.xSPRDOPT($BW51,$BV51,$CG51,2*LN(1+CA51/2),$BY51,$BX51,$BZ51,$AJ51,1,8)+(AJ51/365.25)*CH51/AH51,0)</f>
        <v>-0.79830481444712675</v>
      </c>
      <c r="BO51" s="137">
        <f>_xll.xSPRDOPT($BW51,$BV51,$CG51,0,$BY51,$BX51,$BZ51,$AJ51,1,0)</f>
        <v>0.72141848910817807</v>
      </c>
      <c r="BP51" s="137"/>
      <c r="BQ51" s="137"/>
      <c r="BR51" s="137"/>
      <c r="BS51" s="137"/>
      <c r="BV51" s="262">
        <v>3.3191815856777493</v>
      </c>
      <c r="BW51" s="136">
        <v>4.077</v>
      </c>
      <c r="BX51" s="137">
        <v>0.32255384605761156</v>
      </c>
      <c r="BY51" s="137">
        <v>0.32255384605761156</v>
      </c>
      <c r="BZ51" s="137">
        <v>1</v>
      </c>
      <c r="CA51" s="137">
        <v>4.0538223511899799E-2</v>
      </c>
      <c r="CB51" s="137">
        <v>0.90444997650532444</v>
      </c>
      <c r="CC51" s="258">
        <v>1.2500000000000001E-2</v>
      </c>
      <c r="CD51" s="258">
        <v>5.0000000000000001E-3</v>
      </c>
      <c r="CE51" s="258">
        <v>0.85</v>
      </c>
      <c r="CF51" s="258">
        <v>0</v>
      </c>
      <c r="CG51" s="258">
        <v>3.6400000000000002E-2</v>
      </c>
      <c r="CH51" s="258">
        <v>10.004121190125394</v>
      </c>
      <c r="CI51" s="258">
        <v>3.2269999999999999</v>
      </c>
      <c r="CJ51" s="258"/>
      <c r="CK51" s="258"/>
      <c r="CL51" s="258"/>
      <c r="CM51" s="258"/>
    </row>
    <row r="52" spans="1:91" x14ac:dyDescent="0.25">
      <c r="A52" s="723"/>
      <c r="B52" s="723"/>
      <c r="D52" s="31">
        <f t="shared" si="53"/>
        <v>38183</v>
      </c>
      <c r="F52" s="28">
        <f t="shared" si="54"/>
        <v>5895</v>
      </c>
      <c r="G52" s="28">
        <f t="shared" si="13"/>
        <v>5306.8596392607096</v>
      </c>
      <c r="H52" s="52">
        <f t="shared" si="55"/>
        <v>3.3601023017902811</v>
      </c>
      <c r="I52" s="52">
        <f t="shared" si="56"/>
        <v>4.3170000000000002</v>
      </c>
      <c r="K52" s="52">
        <f t="shared" si="57"/>
        <v>25.688467270993694</v>
      </c>
      <c r="L52" s="135">
        <f t="shared" si="58"/>
        <v>2.6439588829418881E-6</v>
      </c>
      <c r="N52" s="131">
        <f t="shared" si="18"/>
        <v>0.32377055765666068</v>
      </c>
      <c r="O52" s="131">
        <f t="shared" si="19"/>
        <v>0.32377055765666068</v>
      </c>
      <c r="P52" s="55">
        <f t="shared" si="59"/>
        <v>1.0000000000000002</v>
      </c>
      <c r="Q52" s="135">
        <f>_xll.xSPRDOPT(I52,H52,AQ52,0,O52,N52,P52,D52-$G$5,1,0)*AH52*AU52</f>
        <v>25.688469914952577</v>
      </c>
      <c r="R52" s="135"/>
      <c r="S52" s="181">
        <f t="shared" si="60"/>
        <v>-168117.85609879391</v>
      </c>
      <c r="T52" s="181">
        <f>_xll.xSPRDOPT(I52,H52,AQ52,AT52,O52,N52,P52,D52-$G$5,1,1)*AF52*F52*AH52</f>
        <v>164335.20433657104</v>
      </c>
      <c r="U52" s="135"/>
      <c r="V52" s="146">
        <f t="shared" si="61"/>
        <v>10.289366177923348</v>
      </c>
      <c r="W52" s="146"/>
      <c r="X52" s="338">
        <f t="shared" si="62"/>
        <v>0</v>
      </c>
      <c r="Y52" s="338">
        <f t="shared" si="23"/>
        <v>0</v>
      </c>
      <c r="Z52" s="338">
        <f t="shared" si="24"/>
        <v>50.72577191543305</v>
      </c>
      <c r="AA52" s="338">
        <f t="shared" si="25"/>
        <v>-3.1095895992321256E-7</v>
      </c>
      <c r="AB52" s="338">
        <f t="shared" si="63"/>
        <v>0</v>
      </c>
      <c r="AC52" s="338">
        <f t="shared" si="64"/>
        <v>51.246650257321811</v>
      </c>
      <c r="AF52" s="138">
        <f t="shared" si="65"/>
        <v>1</v>
      </c>
      <c r="AG52" s="138">
        <f t="shared" si="66"/>
        <v>7</v>
      </c>
      <c r="AH52" s="138">
        <f t="shared" si="30"/>
        <v>31</v>
      </c>
      <c r="AI52" s="138">
        <f t="shared" si="67"/>
        <v>927</v>
      </c>
      <c r="AJ52" s="138">
        <f t="shared" si="68"/>
        <v>944</v>
      </c>
      <c r="AL52" s="136">
        <f t="shared" si="32"/>
        <v>3.2669999999999999</v>
      </c>
      <c r="AM52" s="258">
        <f t="shared" si="33"/>
        <v>1.2500000000000001E-2</v>
      </c>
      <c r="AN52" s="258">
        <f t="shared" si="34"/>
        <v>5.0000000000000001E-3</v>
      </c>
      <c r="AO52" s="258">
        <f t="shared" si="35"/>
        <v>1.05</v>
      </c>
      <c r="AP52" s="258">
        <f t="shared" si="36"/>
        <v>0</v>
      </c>
      <c r="AQ52" s="136">
        <f t="shared" si="69"/>
        <v>3.6400000000000002E-2</v>
      </c>
      <c r="AR52" s="137">
        <f t="shared" si="38"/>
        <v>2.2499999999999999E-2</v>
      </c>
      <c r="AS52" s="136">
        <f t="shared" si="70"/>
        <v>3.2845</v>
      </c>
      <c r="AT52" s="137">
        <f t="shared" si="71"/>
        <v>4.12152492802473E-2</v>
      </c>
      <c r="AU52" s="137">
        <f t="shared" si="41"/>
        <v>0.90023064279231713</v>
      </c>
      <c r="AV52" s="394">
        <f t="shared" si="72"/>
        <v>3795.3723900124091</v>
      </c>
      <c r="AW52" s="137">
        <f t="shared" si="43"/>
        <v>0.32</v>
      </c>
      <c r="AX52" s="137">
        <f t="shared" si="44"/>
        <v>0.5</v>
      </c>
      <c r="AY52" s="137">
        <f t="shared" si="45"/>
        <v>0.5</v>
      </c>
      <c r="AZ52" s="137"/>
      <c r="BA52" s="264"/>
      <c r="BB52" s="258">
        <f t="shared" si="46"/>
        <v>0</v>
      </c>
      <c r="BC52" s="258">
        <f t="shared" si="73"/>
        <v>0</v>
      </c>
      <c r="BD52" s="137">
        <f t="shared" si="74"/>
        <v>1.1894249567379056E-5</v>
      </c>
      <c r="BE52" s="137">
        <f t="shared" si="75"/>
        <v>1.1894249567379056E-5</v>
      </c>
      <c r="BF52" s="137">
        <f>_xll.xSPRDOPT($BW52,$BV52,$CG52,0,$BY52,$BX52,$BZ52,$AJ52,1,4)*$CB52</f>
        <v>8.5823921355878186E-7</v>
      </c>
      <c r="BG52" s="137">
        <f>_xll.xSPRDOPT($BW52,$BV52,$CG52,0,$BY52,$BX52,$BZ52,$AJ52,1,3)*$CB52</f>
        <v>4.2911960677939093E-7</v>
      </c>
      <c r="BH52" s="137">
        <f>IF(OR(BF52&lt;&gt;0,BG52&lt;&gt;0),_xll.xSPRDOPT($BW52,$BV52,$CG52,0,$BY52,$BX52,$BZ52,$AJ52,1,12)*$CB52,0)</f>
        <v>0</v>
      </c>
      <c r="BI52" s="137">
        <f>_xll.xSPRDOPT($BW52,$BV52,$CG52,2*LN(1+CA52/2),$BY52,$BX52,$BZ52,$AJ52,1,9)</f>
        <v>3.3794975133130727E-2</v>
      </c>
      <c r="BJ52" s="137">
        <f>_xll.xSPRDOPT($BW52,$BV52,$CG52,0,$BY52,$BX52,$BZ52,$AJ52,1,6)*$CB52</f>
        <v>5.0233165140557555E-7</v>
      </c>
      <c r="BK52" s="137">
        <f>_xll.xSPRDOPT($BW52,$BV52,$CG52,0,$BY52,$BX52,$BZ52,$AJ52,1,5)*$CB52</f>
        <v>-6.4539241047605877E-7</v>
      </c>
      <c r="BL52" s="137">
        <f>_xll.xSPRDOPT(BW52,BV52,CG52,0,BY52,BX52,BZ52,AJ52,1,2)*CB52</f>
        <v>-0.89992913509002614</v>
      </c>
      <c r="BM52" s="137">
        <f>_xll.xSPRDOPT(BW52,BV52,CG52,0,BY52,BX52,BZ52,AJ52,1,1)*CB52</f>
        <v>0.89992913508675221</v>
      </c>
      <c r="BN52" s="137">
        <f>IF(AH52&lt;&gt;0,_xll.xSPRDOPT($BW52,$BV52,$CG52,2*LN(1+CA52/2),$BY52,$BX52,$BZ52,$AJ52,1,8)+(AJ52/365.25)*CH52/AH52,0)</f>
        <v>-1.2834235257921138</v>
      </c>
      <c r="BO52" s="137">
        <f>_xll.xSPRDOPT($BW52,$BV52,$CG52,0,$BY52,$BX52,$BZ52,$AJ52,1,0)</f>
        <v>0.9204977928710959</v>
      </c>
      <c r="BP52" s="137"/>
      <c r="BQ52" s="137"/>
      <c r="BR52" s="137"/>
      <c r="BS52" s="137"/>
      <c r="BV52" s="262">
        <v>3.3601023017902811</v>
      </c>
      <c r="BW52" s="136">
        <v>4.3170000000000002</v>
      </c>
      <c r="BX52" s="137">
        <v>0.32375866340709331</v>
      </c>
      <c r="BY52" s="137">
        <v>0.32375866340709331</v>
      </c>
      <c r="BZ52" s="137">
        <v>1</v>
      </c>
      <c r="CA52" s="137">
        <v>4.12152492802473E-2</v>
      </c>
      <c r="CB52" s="137">
        <v>0.89992904159661324</v>
      </c>
      <c r="CC52" s="258">
        <v>1.2500000000000001E-2</v>
      </c>
      <c r="CD52" s="258">
        <v>5.0000000000000001E-3</v>
      </c>
      <c r="CE52" s="258">
        <v>1.05</v>
      </c>
      <c r="CF52" s="258">
        <v>0</v>
      </c>
      <c r="CG52" s="258">
        <v>3.6400000000000002E-2</v>
      </c>
      <c r="CH52" s="258">
        <v>10.28591896673681</v>
      </c>
      <c r="CI52" s="258">
        <v>3.2669999999999999</v>
      </c>
      <c r="CJ52" s="258"/>
      <c r="CK52" s="258"/>
      <c r="CL52" s="258"/>
      <c r="CM52" s="258"/>
    </row>
    <row r="53" spans="1:91" x14ac:dyDescent="0.25">
      <c r="A53" s="723"/>
      <c r="B53" s="723"/>
      <c r="D53" s="31">
        <f t="shared" si="53"/>
        <v>38214</v>
      </c>
      <c r="F53" s="28">
        <f t="shared" si="54"/>
        <v>5895</v>
      </c>
      <c r="G53" s="28">
        <f t="shared" si="13"/>
        <v>5279.4503929263874</v>
      </c>
      <c r="H53" s="52">
        <f t="shared" si="55"/>
        <v>3.4010230179028134</v>
      </c>
      <c r="I53" s="52">
        <f t="shared" si="56"/>
        <v>4.3570000000000002</v>
      </c>
      <c r="K53" s="52">
        <f t="shared" si="57"/>
        <v>25.530227793592992</v>
      </c>
      <c r="L53" s="135">
        <f t="shared" si="58"/>
        <v>2.5989639311774226E-6</v>
      </c>
      <c r="N53" s="131">
        <f t="shared" si="18"/>
        <v>0.32493996126723368</v>
      </c>
      <c r="O53" s="131">
        <f t="shared" si="19"/>
        <v>0.32493996126723368</v>
      </c>
      <c r="P53" s="55">
        <f t="shared" si="59"/>
        <v>0.99999999999999989</v>
      </c>
      <c r="Q53" s="135">
        <f>_xll.xSPRDOPT(I53,H53,AQ53,0,O53,N53,P53,D53-$G$5,1,0)*AH53*AU53</f>
        <v>25.530230392556923</v>
      </c>
      <c r="R53" s="135"/>
      <c r="S53" s="181">
        <f t="shared" si="60"/>
        <v>-167237.6418727579</v>
      </c>
      <c r="T53" s="181">
        <f>_xll.xSPRDOPT(I53,H53,AQ53,AT53,O53,N53,P53,D53-$G$5,1,1)*AF53*F53*AH53</f>
        <v>163474.79493062085</v>
      </c>
      <c r="U53" s="135"/>
      <c r="V53" s="146">
        <f t="shared" si="61"/>
        <v>10.236222927231676</v>
      </c>
      <c r="W53" s="146"/>
      <c r="X53" s="338">
        <f t="shared" si="62"/>
        <v>0</v>
      </c>
      <c r="Y53" s="338">
        <f t="shared" si="23"/>
        <v>0</v>
      </c>
      <c r="Z53" s="338">
        <f t="shared" si="24"/>
        <v>51.209738579430891</v>
      </c>
      <c r="AA53" s="338">
        <f t="shared" si="25"/>
        <v>-4.0388085790712472E-7</v>
      </c>
      <c r="AB53" s="338">
        <f t="shared" si="63"/>
        <v>0</v>
      </c>
      <c r="AC53" s="338">
        <f t="shared" si="64"/>
        <v>51.743954756321806</v>
      </c>
      <c r="AF53" s="138">
        <f t="shared" si="65"/>
        <v>1</v>
      </c>
      <c r="AG53" s="138">
        <f t="shared" si="66"/>
        <v>8</v>
      </c>
      <c r="AH53" s="138">
        <f t="shared" si="30"/>
        <v>31</v>
      </c>
      <c r="AI53" s="138">
        <f t="shared" si="67"/>
        <v>958</v>
      </c>
      <c r="AJ53" s="138">
        <f t="shared" si="68"/>
        <v>975</v>
      </c>
      <c r="AL53" s="136">
        <f t="shared" si="32"/>
        <v>3.3069999999999999</v>
      </c>
      <c r="AM53" s="258">
        <f t="shared" si="33"/>
        <v>1.2500000000000001E-2</v>
      </c>
      <c r="AN53" s="258">
        <f t="shared" si="34"/>
        <v>5.0000000000000001E-3</v>
      </c>
      <c r="AO53" s="258">
        <f t="shared" si="35"/>
        <v>1.05</v>
      </c>
      <c r="AP53" s="258">
        <f t="shared" si="36"/>
        <v>0</v>
      </c>
      <c r="AQ53" s="136">
        <f t="shared" si="69"/>
        <v>3.6400000000000002E-2</v>
      </c>
      <c r="AR53" s="137">
        <f t="shared" si="38"/>
        <v>2.2499999999999999E-2</v>
      </c>
      <c r="AS53" s="136">
        <f t="shared" si="70"/>
        <v>3.3245</v>
      </c>
      <c r="AT53" s="137">
        <f t="shared" si="71"/>
        <v>4.1873365630825901E-2</v>
      </c>
      <c r="AU53" s="137">
        <f t="shared" si="41"/>
        <v>0.89558106750235578</v>
      </c>
      <c r="AV53" s="394">
        <f t="shared" si="72"/>
        <v>3775.769780589932</v>
      </c>
      <c r="AW53" s="137">
        <f t="shared" si="43"/>
        <v>0.32</v>
      </c>
      <c r="AX53" s="137">
        <f t="shared" si="44"/>
        <v>0.55000000000000004</v>
      </c>
      <c r="AY53" s="137">
        <f t="shared" si="45"/>
        <v>0.55000000000000004</v>
      </c>
      <c r="AZ53" s="137"/>
      <c r="BA53" s="264"/>
      <c r="BB53" s="258">
        <f t="shared" si="46"/>
        <v>0</v>
      </c>
      <c r="BC53" s="258">
        <f t="shared" si="73"/>
        <v>0</v>
      </c>
      <c r="BD53" s="137">
        <f t="shared" si="74"/>
        <v>1.5061519321957206E-5</v>
      </c>
      <c r="BE53" s="137">
        <f t="shared" si="75"/>
        <v>1.5061519321957206E-5</v>
      </c>
      <c r="BF53" s="137">
        <f>_xll.xSPRDOPT($BW53,$BV53,$CG53,0,$BY53,$BX53,$BZ53,$AJ53,1,4)*$CB53</f>
        <v>-8.5380199729202131E-7</v>
      </c>
      <c r="BG53" s="137">
        <f>_xll.xSPRDOPT($BW53,$BV53,$CG53,0,$BY53,$BX53,$BZ53,$AJ53,1,3)*$CB53</f>
        <v>8.5380199729202141E-7</v>
      </c>
      <c r="BH53" s="137">
        <f>IF(OR(BF53&lt;&gt;0,BG53&lt;&gt;0),_xll.xSPRDOPT($BW53,$BV53,$CG53,0,$BY53,$BX53,$BZ53,$AJ53,1,12)*$CB53,0)</f>
        <v>-2.1345049932300535E-7</v>
      </c>
      <c r="BI53" s="137">
        <f>_xll.xSPRDOPT($BW53,$BV53,$CG53,2*LN(1+CA53/2),$BY53,$BX53,$BZ53,$AJ53,1,9)</f>
        <v>3.4117407710447405E-2</v>
      </c>
      <c r="BJ53" s="137">
        <f>_xll.xSPRDOPT($BW53,$BV53,$CG53,0,$BY53,$BX53,$BZ53,$AJ53,1,6)*$CB53</f>
        <v>5.220039564175433E-7</v>
      </c>
      <c r="BK53" s="137">
        <f>_xll.xSPRDOPT($BW53,$BV53,$CG53,0,$BY53,$BX53,$BZ53,$AJ53,1,5)*$CB53</f>
        <v>-6.6874073604456475E-7</v>
      </c>
      <c r="BL53" s="137">
        <f>_xll.xSPRDOPT(BW53,BV53,CG53,0,BY53,BX53,BZ53,AJ53,1,2)*CB53</f>
        <v>-0.89527637511447722</v>
      </c>
      <c r="BM53" s="137">
        <f>_xll.xSPRDOPT(BW53,BV53,CG53,0,BY53,BX53,BZ53,AJ53,1,1)*CB53</f>
        <v>0.89527637510633473</v>
      </c>
      <c r="BN53" s="137">
        <f>IF(AH53&lt;&gt;0,_xll.xSPRDOPT($BW53,$BV53,$CG53,2*LN(1+CA53/2),$BY53,$BX53,$BZ53,$AJ53,1,8)+(AJ53/365.25)*CH53/AH53,0)</f>
        <v>-1.3165160881697604</v>
      </c>
      <c r="BO53" s="137">
        <f>_xll.xSPRDOPT($BW53,$BV53,$CG53,0,$BY53,$BX53,$BZ53,$AJ53,1,0)</f>
        <v>0.91957707563017732</v>
      </c>
      <c r="BP53" s="137"/>
      <c r="BQ53" s="137"/>
      <c r="BR53" s="137"/>
      <c r="BS53" s="137"/>
      <c r="BV53" s="262">
        <v>3.4010230179028134</v>
      </c>
      <c r="BW53" s="136">
        <v>4.3570000000000002</v>
      </c>
      <c r="BX53" s="137">
        <v>0.32492489974791172</v>
      </c>
      <c r="BY53" s="137">
        <v>0.32492489974791172</v>
      </c>
      <c r="BZ53" s="137">
        <v>1</v>
      </c>
      <c r="CA53" s="137">
        <v>4.1873365630825901E-2</v>
      </c>
      <c r="CB53" s="137">
        <v>0.89527628311247864</v>
      </c>
      <c r="CC53" s="258">
        <v>1.2500000000000001E-2</v>
      </c>
      <c r="CD53" s="258">
        <v>5.0000000000000001E-3</v>
      </c>
      <c r="CE53" s="258">
        <v>1.05</v>
      </c>
      <c r="CF53" s="258">
        <v>0</v>
      </c>
      <c r="CG53" s="258">
        <v>3.6400000000000002E-2</v>
      </c>
      <c r="CH53" s="258">
        <v>10.232739333090697</v>
      </c>
      <c r="CI53" s="258">
        <v>3.3069999999999999</v>
      </c>
      <c r="CJ53" s="258"/>
      <c r="CK53" s="258"/>
      <c r="CL53" s="258"/>
      <c r="CM53" s="258"/>
    </row>
    <row r="54" spans="1:91" x14ac:dyDescent="0.25">
      <c r="A54" s="723"/>
      <c r="B54" s="723"/>
      <c r="D54" s="31">
        <f t="shared" si="53"/>
        <v>38245</v>
      </c>
      <c r="F54" s="28">
        <f t="shared" si="54"/>
        <v>5895</v>
      </c>
      <c r="G54" s="28">
        <f t="shared" si="13"/>
        <v>5251.6109396048678</v>
      </c>
      <c r="H54" s="52">
        <f t="shared" si="55"/>
        <v>3.3907928388746797</v>
      </c>
      <c r="I54" s="52">
        <f t="shared" si="56"/>
        <v>4.0519999999999996</v>
      </c>
      <c r="K54" s="52">
        <f t="shared" si="57"/>
        <v>16.698443371548048</v>
      </c>
      <c r="L54" s="135">
        <f t="shared" si="58"/>
        <v>1.6902547628205866E-6</v>
      </c>
      <c r="N54" s="131">
        <f t="shared" si="18"/>
        <v>0.32463755456303778</v>
      </c>
      <c r="O54" s="131">
        <f t="shared" si="19"/>
        <v>0.32463755456303778</v>
      </c>
      <c r="P54" s="55">
        <f t="shared" si="59"/>
        <v>0.99999999999999989</v>
      </c>
      <c r="Q54" s="135">
        <f>_xll.xSPRDOPT(I54,H54,AQ54,0,O54,N54,P54,D54-$G$5,1,0)*AH54*AU54</f>
        <v>16.698445061802811</v>
      </c>
      <c r="R54" s="135"/>
      <c r="S54" s="181">
        <f t="shared" si="60"/>
        <v>-160977.53351042446</v>
      </c>
      <c r="T54" s="181">
        <f>_xll.xSPRDOPT(I54,H54,AQ54,AT54,O54,N54,P54,D54-$G$5,1,1)*AF54*F54*AH54</f>
        <v>157355.53900643991</v>
      </c>
      <c r="U54" s="135"/>
      <c r="V54" s="146">
        <f t="shared" si="61"/>
        <v>9.8537860225563101</v>
      </c>
      <c r="W54" s="146"/>
      <c r="X54" s="338">
        <f t="shared" si="62"/>
        <v>0</v>
      </c>
      <c r="Y54" s="338">
        <f t="shared" si="23"/>
        <v>0</v>
      </c>
      <c r="Z54" s="338">
        <f t="shared" si="24"/>
        <v>34.015271656614189</v>
      </c>
      <c r="AA54" s="338">
        <f t="shared" si="25"/>
        <v>-1.6166152566722342E-7</v>
      </c>
      <c r="AB54" s="338">
        <f t="shared" si="63"/>
        <v>0</v>
      </c>
      <c r="AC54" s="338">
        <f t="shared" si="64"/>
        <v>34.375677423285367</v>
      </c>
      <c r="AF54" s="138">
        <f t="shared" si="65"/>
        <v>1</v>
      </c>
      <c r="AG54" s="138">
        <f t="shared" si="66"/>
        <v>9</v>
      </c>
      <c r="AH54" s="138">
        <f t="shared" si="30"/>
        <v>30</v>
      </c>
      <c r="AI54" s="138">
        <f t="shared" si="67"/>
        <v>989</v>
      </c>
      <c r="AJ54" s="138">
        <f t="shared" si="68"/>
        <v>1006</v>
      </c>
      <c r="AL54" s="136">
        <f t="shared" si="32"/>
        <v>3.302</v>
      </c>
      <c r="AM54" s="258">
        <f t="shared" si="33"/>
        <v>7.4999999999999997E-3</v>
      </c>
      <c r="AN54" s="258">
        <f t="shared" si="34"/>
        <v>5.0000000000000001E-3</v>
      </c>
      <c r="AO54" s="258">
        <f t="shared" si="35"/>
        <v>0.75</v>
      </c>
      <c r="AP54" s="258">
        <f t="shared" si="36"/>
        <v>0</v>
      </c>
      <c r="AQ54" s="136">
        <f t="shared" si="69"/>
        <v>3.6400000000000002E-2</v>
      </c>
      <c r="AR54" s="137">
        <f t="shared" si="38"/>
        <v>2.2499999999999999E-2</v>
      </c>
      <c r="AS54" s="136">
        <f t="shared" si="70"/>
        <v>3.3144999999999998</v>
      </c>
      <c r="AT54" s="137">
        <f t="shared" si="71"/>
        <v>4.2531482126591399E-2</v>
      </c>
      <c r="AU54" s="137">
        <f t="shared" si="41"/>
        <v>0.89085851392788262</v>
      </c>
      <c r="AV54" s="394">
        <f t="shared" si="72"/>
        <v>3634.7027368257609</v>
      </c>
      <c r="AW54" s="137">
        <f t="shared" si="43"/>
        <v>0.32</v>
      </c>
      <c r="AX54" s="137">
        <f t="shared" si="44"/>
        <v>0.55000000000000004</v>
      </c>
      <c r="AY54" s="137">
        <f t="shared" si="45"/>
        <v>0.55000000000000004</v>
      </c>
      <c r="AZ54" s="137"/>
      <c r="BA54" s="264"/>
      <c r="BB54" s="258">
        <f t="shared" si="46"/>
        <v>0</v>
      </c>
      <c r="BC54" s="258">
        <f t="shared" si="73"/>
        <v>0</v>
      </c>
      <c r="BD54" s="137">
        <f t="shared" si="74"/>
        <v>1.3717559126436019E-5</v>
      </c>
      <c r="BE54" s="137">
        <f t="shared" si="75"/>
        <v>1.3717559126436019E-5</v>
      </c>
      <c r="BF54" s="137">
        <f>_xll.xSPRDOPT($BW54,$BV54,$CG54,0,$BY54,$BX54,$BZ54,$AJ54,1,4)*$CB54</f>
        <v>4.2464762799100944E-7</v>
      </c>
      <c r="BG54" s="137">
        <f>_xll.xSPRDOPT($BW54,$BV54,$CG54,0,$BY54,$BX54,$BZ54,$AJ54,1,3)*$CB54</f>
        <v>2.1232381399550472E-7</v>
      </c>
      <c r="BH54" s="137">
        <f>IF(OR(BF54&lt;&gt;0,BG54&lt;&gt;0),_xll.xSPRDOPT($BW54,$BV54,$CG54,0,$BY54,$BX54,$BZ54,$AJ54,1,12)*$CB54,0)</f>
        <v>-3.1848572099325707E-7</v>
      </c>
      <c r="BI54" s="137">
        <f>_xll.xSPRDOPT($BW54,$BV54,$CG54,2*LN(1+CA54/2),$BY54,$BX54,$BZ54,$AJ54,1,9)</f>
        <v>2.341735552271856E-2</v>
      </c>
      <c r="BJ54" s="137">
        <f>_xll.xSPRDOPT($BW54,$BV54,$CG54,0,$BY54,$BX54,$BZ54,$AJ54,1,6)*$CB54</f>
        <v>3.4167527494987395E-7</v>
      </c>
      <c r="BK54" s="137">
        <f>_xll.xSPRDOPT($BW54,$BV54,$CG54,0,$BY54,$BX54,$BZ54,$AJ54,1,5)*$CB54</f>
        <v>-4.0831370672954909E-7</v>
      </c>
      <c r="BL54" s="137">
        <f>_xll.xSPRDOPT(BW54,BV54,CG54,0,BY54,BX54,BZ54,AJ54,1,2)*CB54</f>
        <v>-0.89055070729074959</v>
      </c>
      <c r="BM54" s="137">
        <f>_xll.xSPRDOPT(BW54,BV54,CG54,0,BY54,BX54,BZ54,AJ54,1,1)*CB54</f>
        <v>0.89055070728426988</v>
      </c>
      <c r="BN54" s="137">
        <f>IF(AH54&lt;&gt;0,_xll.xSPRDOPT($BW54,$BV54,$CG54,2*LN(1+CA54/2),$BY54,$BX54,$BZ54,$AJ54,1,8)+(AJ54/365.25)*CH54/AH54,0)</f>
        <v>-0.62818591842347771</v>
      </c>
      <c r="BO54" s="137">
        <f>_xll.xSPRDOPT($BW54,$BV54,$CG54,0,$BY54,$BX54,$BZ54,$AJ54,1,0)</f>
        <v>0.62480722433460101</v>
      </c>
      <c r="BP54" s="137"/>
      <c r="BQ54" s="137"/>
      <c r="BR54" s="137"/>
      <c r="BS54" s="137"/>
      <c r="BV54" s="262">
        <v>3.3907928388746797</v>
      </c>
      <c r="BW54" s="136">
        <v>4.0519999999999996</v>
      </c>
      <c r="BX54" s="137">
        <v>0.32462383700391134</v>
      </c>
      <c r="BY54" s="137">
        <v>0.32462383700391134</v>
      </c>
      <c r="BZ54" s="137">
        <v>1</v>
      </c>
      <c r="CA54" s="137">
        <v>4.2531482126591399E-2</v>
      </c>
      <c r="CB54" s="137">
        <v>0.89055062233660143</v>
      </c>
      <c r="CC54" s="258">
        <v>7.4999999999999997E-3</v>
      </c>
      <c r="CD54" s="258">
        <v>5.0000000000000001E-3</v>
      </c>
      <c r="CE54" s="258">
        <v>0.75</v>
      </c>
      <c r="CF54" s="258">
        <v>0</v>
      </c>
      <c r="CG54" s="258">
        <v>3.6400000000000002E-2</v>
      </c>
      <c r="CH54" s="258">
        <v>9.8503804336651477</v>
      </c>
      <c r="CI54" s="258">
        <v>3.302</v>
      </c>
      <c r="CJ54" s="258"/>
      <c r="CK54" s="258"/>
      <c r="CL54" s="258"/>
      <c r="CM54" s="258"/>
    </row>
    <row r="55" spans="1:91" x14ac:dyDescent="0.25">
      <c r="A55" s="723"/>
      <c r="B55" s="723"/>
      <c r="D55" s="31">
        <f t="shared" si="53"/>
        <v>38275</v>
      </c>
      <c r="F55" s="28">
        <f t="shared" si="54"/>
        <v>6669</v>
      </c>
      <c r="G55" s="28">
        <f t="shared" si="13"/>
        <v>5910.7790670936556</v>
      </c>
      <c r="H55" s="52">
        <f t="shared" si="55"/>
        <v>3.425128205128205</v>
      </c>
      <c r="I55" s="52">
        <f t="shared" si="56"/>
        <v>3.7770000000000001</v>
      </c>
      <c r="K55" s="52">
        <f t="shared" si="57"/>
        <v>8.6677472669046001</v>
      </c>
      <c r="L55" s="135">
        <f t="shared" si="58"/>
        <v>7.1043518143909523E-6</v>
      </c>
      <c r="N55" s="131">
        <f t="shared" si="18"/>
        <v>0.3259749105978777</v>
      </c>
      <c r="O55" s="131">
        <f t="shared" si="19"/>
        <v>0.3259749105978777</v>
      </c>
      <c r="P55" s="55">
        <f t="shared" si="59"/>
        <v>1</v>
      </c>
      <c r="Q55" s="135">
        <f>_xll.xSPRDOPT(I55,H55,AQ55,0,O55,N55,P55,D55-$G$5,1,0)*AH55*AU55</f>
        <v>8.6677543712564145</v>
      </c>
      <c r="R55" s="135"/>
      <c r="S55" s="181">
        <f t="shared" si="60"/>
        <v>-187688.24240219631</v>
      </c>
      <c r="T55" s="181">
        <f>_xll.xSPRDOPT(I55,H55,AQ55,AT55,O55,N55,P55,D55-$G$5,1,1)*AF55*F55*AH55</f>
        <v>182996.03634214139</v>
      </c>
      <c r="U55" s="135"/>
      <c r="V55" s="146">
        <f t="shared" si="61"/>
        <v>10.130219148771983</v>
      </c>
      <c r="W55" s="146"/>
      <c r="X55" s="338">
        <f t="shared" si="62"/>
        <v>0</v>
      </c>
      <c r="Y55" s="338">
        <f t="shared" si="23"/>
        <v>0</v>
      </c>
      <c r="Z55" s="338">
        <f t="shared" si="24"/>
        <v>20.253354833723058</v>
      </c>
      <c r="AA55" s="338">
        <f t="shared" si="25"/>
        <v>3.1371071090931951E-5</v>
      </c>
      <c r="AB55" s="338">
        <f t="shared" si="63"/>
        <v>0</v>
      </c>
      <c r="AC55" s="338">
        <f t="shared" si="64"/>
        <v>20.471849963309204</v>
      </c>
      <c r="AF55" s="138">
        <f t="shared" si="65"/>
        <v>1</v>
      </c>
      <c r="AG55" s="138">
        <f t="shared" si="66"/>
        <v>10</v>
      </c>
      <c r="AH55" s="138">
        <f t="shared" si="30"/>
        <v>31</v>
      </c>
      <c r="AI55" s="138">
        <f t="shared" si="67"/>
        <v>1019</v>
      </c>
      <c r="AJ55" s="138">
        <f t="shared" si="68"/>
        <v>1036</v>
      </c>
      <c r="AL55" s="136">
        <f t="shared" si="32"/>
        <v>3.327</v>
      </c>
      <c r="AM55" s="258">
        <f t="shared" si="33"/>
        <v>7.4999999999999997E-3</v>
      </c>
      <c r="AN55" s="258">
        <f t="shared" si="34"/>
        <v>5.0000000000000001E-3</v>
      </c>
      <c r="AO55" s="258">
        <f t="shared" si="35"/>
        <v>0.45</v>
      </c>
      <c r="AP55" s="258">
        <f t="shared" si="36"/>
        <v>0</v>
      </c>
      <c r="AQ55" s="136">
        <f t="shared" si="69"/>
        <v>3.6400000000000002E-2</v>
      </c>
      <c r="AR55" s="137">
        <f t="shared" si="38"/>
        <v>2.5000000000000001E-2</v>
      </c>
      <c r="AS55" s="136">
        <f t="shared" si="70"/>
        <v>3.3394999999999997</v>
      </c>
      <c r="AT55" s="137">
        <f t="shared" si="71"/>
        <v>4.3133129078657198E-2</v>
      </c>
      <c r="AU55" s="137">
        <f t="shared" si="41"/>
        <v>0.88630665273559095</v>
      </c>
      <c r="AV55" s="394">
        <f t="shared" si="72"/>
        <v>4698.3115661513675</v>
      </c>
      <c r="AW55" s="137">
        <f t="shared" si="43"/>
        <v>0.32</v>
      </c>
      <c r="AX55" s="137">
        <f t="shared" si="44"/>
        <v>0.6</v>
      </c>
      <c r="AY55" s="137">
        <f t="shared" si="45"/>
        <v>0.6</v>
      </c>
      <c r="AZ55" s="137"/>
      <c r="BA55" s="264"/>
      <c r="BB55" s="258">
        <f t="shared" si="46"/>
        <v>0</v>
      </c>
      <c r="BC55" s="258">
        <f t="shared" si="73"/>
        <v>0</v>
      </c>
      <c r="BD55" s="137">
        <f t="shared" si="74"/>
        <v>1.711896265560453E-5</v>
      </c>
      <c r="BE55" s="137">
        <f t="shared" si="75"/>
        <v>1.711896265560453E-5</v>
      </c>
      <c r="BF55" s="137">
        <f>_xll.xSPRDOPT($BW55,$BV55,$CG55,0,$BY55,$BX55,$BZ55,$AJ55,1,4)*$CB55</f>
        <v>3.1685687821726172E-7</v>
      </c>
      <c r="BG55" s="137">
        <f>_xll.xSPRDOPT($BW55,$BV55,$CG55,0,$BY55,$BX55,$BZ55,$AJ55,1,3)*$CB55</f>
        <v>-1.056189594057539E-6</v>
      </c>
      <c r="BH55" s="137">
        <f>IF(OR(BF55&lt;&gt;0,BG55&lt;&gt;0),_xll.xSPRDOPT($BW55,$BV55,$CG55,0,$BY55,$BX55,$BZ55,$AJ55,1,12)*$CB55,0)</f>
        <v>6.3371375643452345E-7</v>
      </c>
      <c r="BI55" s="137">
        <f>_xll.xSPRDOPT($BW55,$BV55,$CG55,2*LN(1+CA55/2),$BY55,$BX55,$BZ55,$AJ55,1,9)</f>
        <v>1.1927338097822773E-2</v>
      </c>
      <c r="BJ55" s="137">
        <f>_xll.xSPRDOPT($BW55,$BV55,$CG55,0,$BY55,$BX55,$BZ55,$AJ55,1,6)*$CB55</f>
        <v>-8.6282356884392046E-5</v>
      </c>
      <c r="BK55" s="137">
        <f>_xll.xSPRDOPT($BW55,$BV55,$CG55,0,$BY55,$BX55,$BZ55,$AJ55,1,5)*$CB55</f>
        <v>9.5146351653994539E-5</v>
      </c>
      <c r="BL55" s="137">
        <f>_xll.xSPRDOPT(BW55,BV55,CG55,0,BY55,BX55,BZ55,AJ55,1,2)*CB55</f>
        <v>-0.8859929360876887</v>
      </c>
      <c r="BM55" s="137">
        <f>_xll.xSPRDOPT(BW55,BV55,CG55,0,BY55,BX55,BZ55,AJ55,1,1)*CB55</f>
        <v>0.8859929360844655</v>
      </c>
      <c r="BN55" s="137">
        <f>IF(AH55&lt;&gt;0,_xll.xSPRDOPT($BW55,$BV55,$CG55,2*LN(1+CA55/2),$BY55,$BX55,$BZ55,$AJ55,1,8)+(AJ55/365.25)*CH55/AH55,0)</f>
        <v>0.13376453691118473</v>
      </c>
      <c r="BO55" s="137">
        <f>_xll.xSPRDOPT($BW55,$BV55,$CG55,0,$BY55,$BX55,$BZ55,$AJ55,1,0)</f>
        <v>0.31547205800411476</v>
      </c>
      <c r="BP55" s="137"/>
      <c r="BQ55" s="137"/>
      <c r="BR55" s="137"/>
      <c r="BS55" s="137"/>
      <c r="BV55" s="262">
        <v>3.425128205128205</v>
      </c>
      <c r="BW55" s="136">
        <v>3.7770000000000001</v>
      </c>
      <c r="BX55" s="137">
        <v>0.32595779163522209</v>
      </c>
      <c r="BY55" s="137">
        <v>0.32595779163522209</v>
      </c>
      <c r="BZ55" s="137">
        <v>1</v>
      </c>
      <c r="CA55" s="137">
        <v>4.3133129078657198E-2</v>
      </c>
      <c r="CB55" s="137">
        <v>0.88599604782278252</v>
      </c>
      <c r="CC55" s="258">
        <v>7.4999999999999997E-3</v>
      </c>
      <c r="CD55" s="258">
        <v>5.0000000000000001E-3</v>
      </c>
      <c r="CE55" s="258">
        <v>0.45</v>
      </c>
      <c r="CF55" s="258">
        <v>0</v>
      </c>
      <c r="CG55" s="258">
        <v>3.6400000000000002E-2</v>
      </c>
      <c r="CH55" s="258">
        <v>10.126669027800057</v>
      </c>
      <c r="CI55" s="258">
        <v>3.327</v>
      </c>
      <c r="CJ55" s="258"/>
      <c r="CK55" s="258"/>
      <c r="CL55" s="258"/>
      <c r="CM55" s="258"/>
    </row>
    <row r="56" spans="1:91" x14ac:dyDescent="0.25">
      <c r="A56" s="723"/>
      <c r="B56" s="723"/>
      <c r="D56" s="31">
        <f t="shared" si="53"/>
        <v>38306</v>
      </c>
      <c r="F56" s="28">
        <f t="shared" si="54"/>
        <v>11107</v>
      </c>
      <c r="G56" s="28">
        <f t="shared" si="13"/>
        <v>9792.1916335294554</v>
      </c>
      <c r="H56" s="52">
        <f t="shared" si="55"/>
        <v>3.5718670076726338</v>
      </c>
      <c r="I56" s="52">
        <f t="shared" si="56"/>
        <v>3.9290000000000003</v>
      </c>
      <c r="K56" s="52">
        <f t="shared" si="57"/>
        <v>8.4829717945392247</v>
      </c>
      <c r="L56" s="135">
        <f t="shared" si="58"/>
        <v>1.1124038513443679E-5</v>
      </c>
      <c r="N56" s="131">
        <f t="shared" si="18"/>
        <v>0.33162000992991286</v>
      </c>
      <c r="O56" s="131">
        <f t="shared" si="19"/>
        <v>0.33162000992991286</v>
      </c>
      <c r="P56" s="55">
        <f t="shared" si="59"/>
        <v>1</v>
      </c>
      <c r="Q56" s="135">
        <f>_xll.xSPRDOPT(I56,H56,AQ56,0,O56,N56,P56,D56-$G$5,1,0)*AH56*AU56</f>
        <v>8.4829829185777381</v>
      </c>
      <c r="R56" s="135"/>
      <c r="S56" s="181">
        <f t="shared" si="60"/>
        <v>-300112.55059361574</v>
      </c>
      <c r="T56" s="181">
        <f>_xll.xSPRDOPT(I56,H56,AQ56,AT56,O56,N56,P56,D56-$G$5,1,1)*AF56*F56*AH56</f>
        <v>293360.0182052594</v>
      </c>
      <c r="U56" s="135"/>
      <c r="V56" s="146">
        <f t="shared" si="61"/>
        <v>9.751636954935563</v>
      </c>
      <c r="W56" s="146"/>
      <c r="X56" s="338">
        <f t="shared" si="62"/>
        <v>0</v>
      </c>
      <c r="Y56" s="338">
        <f t="shared" si="23"/>
        <v>0</v>
      </c>
      <c r="Z56" s="338">
        <f t="shared" si="24"/>
        <v>33.454843293134921</v>
      </c>
      <c r="AA56" s="338">
        <f t="shared" si="25"/>
        <v>2.5783420860992889E-4</v>
      </c>
      <c r="AB56" s="338">
        <f t="shared" si="63"/>
        <v>0</v>
      </c>
      <c r="AC56" s="338">
        <f t="shared" si="64"/>
        <v>33.82298343076301</v>
      </c>
      <c r="AF56" s="138">
        <f t="shared" si="65"/>
        <v>1</v>
      </c>
      <c r="AG56" s="138">
        <f t="shared" si="66"/>
        <v>11</v>
      </c>
      <c r="AH56" s="138">
        <f t="shared" si="30"/>
        <v>30</v>
      </c>
      <c r="AI56" s="138">
        <f t="shared" si="67"/>
        <v>1050</v>
      </c>
      <c r="AJ56" s="138">
        <f t="shared" si="68"/>
        <v>1067</v>
      </c>
      <c r="AL56" s="136">
        <f t="shared" si="32"/>
        <v>3.4790000000000001</v>
      </c>
      <c r="AM56" s="258">
        <f t="shared" si="33"/>
        <v>5.0000000000000001E-3</v>
      </c>
      <c r="AN56" s="258">
        <f t="shared" si="34"/>
        <v>7.4999999999999997E-3</v>
      </c>
      <c r="AO56" s="258">
        <f t="shared" si="35"/>
        <v>0.45</v>
      </c>
      <c r="AP56" s="258">
        <f t="shared" si="36"/>
        <v>0</v>
      </c>
      <c r="AQ56" s="136">
        <f t="shared" si="69"/>
        <v>3.6400000000000002E-2</v>
      </c>
      <c r="AR56" s="137">
        <f t="shared" si="38"/>
        <v>2.2499999999999999E-2</v>
      </c>
      <c r="AS56" s="136">
        <f t="shared" si="70"/>
        <v>3.4914999999999998</v>
      </c>
      <c r="AT56" s="137">
        <f t="shared" si="71"/>
        <v>4.37209690349563E-2</v>
      </c>
      <c r="AU56" s="137">
        <f t="shared" si="41"/>
        <v>0.88162344769329748</v>
      </c>
      <c r="AV56" s="394">
        <f t="shared" si="72"/>
        <v>6770.8680782845249</v>
      </c>
      <c r="AW56" s="137">
        <f t="shared" si="43"/>
        <v>0.32</v>
      </c>
      <c r="AX56" s="137">
        <f t="shared" si="44"/>
        <v>0.8</v>
      </c>
      <c r="AY56" s="137">
        <f t="shared" si="45"/>
        <v>0.8</v>
      </c>
      <c r="AZ56" s="137"/>
      <c r="BA56" s="264"/>
      <c r="BB56" s="258">
        <f t="shared" si="46"/>
        <v>0</v>
      </c>
      <c r="BC56" s="258">
        <f t="shared" si="73"/>
        <v>0</v>
      </c>
      <c r="BD56" s="137">
        <f t="shared" si="74"/>
        <v>3.2070164678321689E-5</v>
      </c>
      <c r="BE56" s="137">
        <f t="shared" si="75"/>
        <v>3.2070164678321689E-5</v>
      </c>
      <c r="BF56" s="137">
        <f>_xll.xSPRDOPT($BW56,$BV56,$CG56,0,$BY56,$BX56,$BZ56,$AJ56,1,4)*$CB56</f>
        <v>4.2024150811886252E-7</v>
      </c>
      <c r="BG56" s="137">
        <f>_xll.xSPRDOPT($BW56,$BV56,$CG56,0,$BY56,$BX56,$BZ56,$AJ56,1,3)*$CB56</f>
        <v>6.3036226217829381E-7</v>
      </c>
      <c r="BH56" s="137">
        <f>IF(OR(BF56&lt;&gt;0,BG56&lt;&gt;0),_xll.xSPRDOPT($BW56,$BV56,$CG56,0,$BY56,$BX56,$BZ56,$AJ56,1,12)*$CB56,0)</f>
        <v>5.2530188514857815E-8</v>
      </c>
      <c r="BI56" s="137">
        <f>_xll.xSPRDOPT($BW56,$BV56,$CG56,2*LN(1+CA56/2),$BY56,$BX56,$BZ56,$AJ56,1,9)</f>
        <v>1.2223904357429777E-2</v>
      </c>
      <c r="BJ56" s="137">
        <f>_xll.xSPRDOPT($BW56,$BV56,$CG56,0,$BY56,$BX56,$BZ56,$AJ56,1,6)*$CB56</f>
        <v>-2.4131631730035116E-4</v>
      </c>
      <c r="BK56" s="137">
        <f>_xll.xSPRDOPT($BW56,$BV56,$CG56,0,$BY56,$BX56,$BZ56,$AJ56,1,5)*$CB56</f>
        <v>2.6544431712493898E-4</v>
      </c>
      <c r="BL56" s="137">
        <f>_xll.xSPRDOPT(BW56,BV56,CG56,0,BY56,BX56,BZ56,AJ56,1,2)*CB56</f>
        <v>-0.88130157857293823</v>
      </c>
      <c r="BM56" s="137">
        <f>_xll.xSPRDOPT(BW56,BV56,CG56,0,BY56,BX56,BZ56,AJ56,1,1)*CB56</f>
        <v>0.88130157857213665</v>
      </c>
      <c r="BN56" s="137">
        <f>IF(AH56&lt;&gt;0,_xll.xSPRDOPT($BW56,$BV56,$CG56,2*LN(1+CA56/2),$BY56,$BX56,$BZ56,$AJ56,1,8)+(AJ56/365.25)*CH56/AH56,0)</f>
        <v>0.12349283504503661</v>
      </c>
      <c r="BO56" s="137">
        <f>_xll.xSPRDOPT($BW56,$BV56,$CG56,0,$BY56,$BX56,$BZ56,$AJ56,1,0)</f>
        <v>0.32073342482970968</v>
      </c>
      <c r="BP56" s="137"/>
      <c r="BQ56" s="137"/>
      <c r="BR56" s="137"/>
      <c r="BS56" s="137"/>
      <c r="BV56" s="262">
        <v>3.5718670076726338</v>
      </c>
      <c r="BW56" s="136">
        <v>3.9290000000000003</v>
      </c>
      <c r="BX56" s="137">
        <v>0.33158793976523454</v>
      </c>
      <c r="BY56" s="137">
        <v>0.33158793976523454</v>
      </c>
      <c r="BZ56" s="137">
        <v>1</v>
      </c>
      <c r="CA56" s="137">
        <v>4.37209690349563E-2</v>
      </c>
      <c r="CB56" s="137">
        <v>0.88131031923448877</v>
      </c>
      <c r="CC56" s="258">
        <v>5.0000000000000001E-3</v>
      </c>
      <c r="CD56" s="258">
        <v>7.4999999999999997E-3</v>
      </c>
      <c r="CE56" s="258">
        <v>0.45</v>
      </c>
      <c r="CF56" s="258">
        <v>0</v>
      </c>
      <c r="CG56" s="258">
        <v>3.6400000000000002E-2</v>
      </c>
      <c r="CH56" s="258">
        <v>9.7481734410526801</v>
      </c>
      <c r="CI56" s="258">
        <v>3.4790000000000001</v>
      </c>
      <c r="CJ56" s="258"/>
      <c r="CK56" s="258"/>
      <c r="CL56" s="258"/>
      <c r="CM56" s="258"/>
    </row>
    <row r="57" spans="1:91" x14ac:dyDescent="0.25">
      <c r="A57" s="723"/>
      <c r="B57" s="723"/>
      <c r="D57" s="31">
        <f t="shared" si="53"/>
        <v>38336</v>
      </c>
      <c r="F57" s="28">
        <f t="shared" si="54"/>
        <v>11107</v>
      </c>
      <c r="G57" s="28">
        <f t="shared" si="13"/>
        <v>9741.2136641319612</v>
      </c>
      <c r="H57" s="52">
        <f t="shared" si="55"/>
        <v>3.7181585677749354</v>
      </c>
      <c r="I57" s="52">
        <f t="shared" si="56"/>
        <v>4.0220000000000002</v>
      </c>
      <c r="K57" s="52">
        <f t="shared" si="57"/>
        <v>7.2712098813649533</v>
      </c>
      <c r="L57" s="135">
        <f t="shared" si="58"/>
        <v>5.718904548324133E-5</v>
      </c>
      <c r="N57" s="131">
        <f t="shared" si="18"/>
        <v>0.33926384180861408</v>
      </c>
      <c r="O57" s="131">
        <f t="shared" si="19"/>
        <v>0.33926384180861408</v>
      </c>
      <c r="P57" s="55">
        <f t="shared" si="59"/>
        <v>0.99999999999999978</v>
      </c>
      <c r="Q57" s="135">
        <f>_xll.xSPRDOPT(I57,H57,AQ57,0,O57,N57,P57,D57-$G$5,1,0)*AH57*AU57</f>
        <v>7.2712670704104365</v>
      </c>
      <c r="R57" s="135"/>
      <c r="S57" s="181">
        <f t="shared" si="60"/>
        <v>-308459.85841980198</v>
      </c>
      <c r="T57" s="181">
        <f>_xll.xSPRDOPT(I57,H57,AQ57,AT57,O57,N57,P57,D57-$G$5,1,1)*AF57*F57*AH57</f>
        <v>301519.51160535647</v>
      </c>
      <c r="U57" s="135"/>
      <c r="V57" s="146">
        <f t="shared" si="61"/>
        <v>10.024232449529944</v>
      </c>
      <c r="W57" s="146"/>
      <c r="X57" s="338">
        <f t="shared" si="62"/>
        <v>0</v>
      </c>
      <c r="Y57" s="338">
        <f t="shared" si="23"/>
        <v>0</v>
      </c>
      <c r="Z57" s="338">
        <f t="shared" si="24"/>
        <v>29.027251974022384</v>
      </c>
      <c r="AA57" s="338">
        <f t="shared" si="25"/>
        <v>2.3217641525994665E-3</v>
      </c>
      <c r="AB57" s="338">
        <f t="shared" si="63"/>
        <v>0</v>
      </c>
      <c r="AC57" s="338">
        <f t="shared" si="64"/>
        <v>29.36878042725429</v>
      </c>
      <c r="AF57" s="138">
        <f t="shared" si="65"/>
        <v>1</v>
      </c>
      <c r="AG57" s="138">
        <f t="shared" si="66"/>
        <v>12</v>
      </c>
      <c r="AH57" s="138">
        <f t="shared" si="30"/>
        <v>31</v>
      </c>
      <c r="AI57" s="138">
        <f t="shared" si="67"/>
        <v>1080</v>
      </c>
      <c r="AJ57" s="138">
        <f t="shared" si="68"/>
        <v>1097</v>
      </c>
      <c r="AL57" s="136">
        <f t="shared" si="32"/>
        <v>3.6219999999999999</v>
      </c>
      <c r="AM57" s="258">
        <f t="shared" si="33"/>
        <v>5.0000000000000001E-3</v>
      </c>
      <c r="AN57" s="258">
        <f t="shared" si="34"/>
        <v>7.4999999999999997E-3</v>
      </c>
      <c r="AO57" s="258">
        <f t="shared" si="35"/>
        <v>0.4</v>
      </c>
      <c r="AP57" s="258">
        <f t="shared" si="36"/>
        <v>0</v>
      </c>
      <c r="AQ57" s="136">
        <f t="shared" si="69"/>
        <v>3.6400000000000002E-2</v>
      </c>
      <c r="AR57" s="137">
        <f t="shared" si="38"/>
        <v>2.2499999999999999E-2</v>
      </c>
      <c r="AS57" s="136">
        <f t="shared" si="70"/>
        <v>3.6344999999999996</v>
      </c>
      <c r="AT57" s="137">
        <f t="shared" si="71"/>
        <v>4.4289846522210997E-2</v>
      </c>
      <c r="AU57" s="137">
        <f t="shared" si="41"/>
        <v>0.87703373225281001</v>
      </c>
      <c r="AV57" s="394">
        <f t="shared" si="72"/>
        <v>6960.1396991583006</v>
      </c>
      <c r="AW57" s="137">
        <f t="shared" si="43"/>
        <v>0.32</v>
      </c>
      <c r="AX57" s="137">
        <f t="shared" si="44"/>
        <v>1</v>
      </c>
      <c r="AY57" s="137">
        <f t="shared" si="45"/>
        <v>1</v>
      </c>
      <c r="AZ57" s="137"/>
      <c r="BA57" s="264"/>
      <c r="BB57" s="258">
        <f t="shared" si="46"/>
        <v>0</v>
      </c>
      <c r="BC57" s="258">
        <f t="shared" si="73"/>
        <v>0</v>
      </c>
      <c r="BD57" s="137">
        <f t="shared" si="74"/>
        <v>5.1119724299109048E-5</v>
      </c>
      <c r="BE57" s="137">
        <f t="shared" si="75"/>
        <v>5.1119724299109048E-5</v>
      </c>
      <c r="BF57" s="137">
        <f>_xll.xSPRDOPT($BW57,$BV57,$CG57,0,$BY57,$BX57,$BZ57,$AJ57,1,4)*$CB57</f>
        <v>-1.0451295681577057E-6</v>
      </c>
      <c r="BG57" s="137">
        <f>_xll.xSPRDOPT($BW57,$BV57,$CG57,0,$BY57,$BX57,$BZ57,$AJ57,1,3)*$CB57</f>
        <v>-2.0902591363154113E-7</v>
      </c>
      <c r="BH57" s="137">
        <f>IF(OR(BF57&lt;&gt;0,BG57&lt;&gt;0),_xll.xSPRDOPT($BW57,$BV57,$CG57,0,$BY57,$BX57,$BZ57,$AJ57,1,12)*$CB57,0)</f>
        <v>5.2256478407885287E-7</v>
      </c>
      <c r="BI57" s="137">
        <f>_xll.xSPRDOPT($BW57,$BV57,$CG57,2*LN(1+CA57/2),$BY57,$BX57,$BZ57,$AJ57,1,9)</f>
        <v>1.0263994887958552E-2</v>
      </c>
      <c r="BJ57" s="137">
        <f>_xll.xSPRDOPT($BW57,$BV57,$CG57,0,$BY57,$BX57,$BZ57,$AJ57,1,6)*$CB57</f>
        <v>-1.614180282133375E-3</v>
      </c>
      <c r="BK57" s="137">
        <f>_xll.xSPRDOPT($BW57,$BV57,$CG57,0,$BY57,$BX57,$BZ57,$AJ57,1,5)*$CB57</f>
        <v>1.7460882813250416E-3</v>
      </c>
      <c r="BL57" s="137">
        <f>_xll.xSPRDOPT(BW57,BV57,CG57,0,BY57,BX57,BZ57,AJ57,1,2)*CB57</f>
        <v>-0.87665644171188029</v>
      </c>
      <c r="BM57" s="137">
        <f>_xll.xSPRDOPT(BW57,BV57,CG57,0,BY57,BX57,BZ57,AJ57,1,1)*CB57</f>
        <v>0.87665644171825918</v>
      </c>
      <c r="BN57" s="137">
        <f>IF(AH57&lt;&gt;0,_xll.xSPRDOPT($BW57,$BV57,$CG57,2*LN(1+CA57/2),$BY57,$BX57,$BZ57,$AJ57,1,8)+(AJ57/365.25)*CH57/AH57,0)</f>
        <v>0.26662380966094845</v>
      </c>
      <c r="BO57" s="137">
        <f>_xll.xSPRDOPT($BW57,$BV57,$CG57,0,$BY57,$BX57,$BZ57,$AJ57,1,0)</f>
        <v>0.26744359792589634</v>
      </c>
      <c r="BP57" s="137"/>
      <c r="BQ57" s="137"/>
      <c r="BR57" s="137"/>
      <c r="BS57" s="137"/>
      <c r="BV57" s="262">
        <v>3.7181585677749354</v>
      </c>
      <c r="BW57" s="136">
        <v>4.0220000000000002</v>
      </c>
      <c r="BX57" s="137">
        <v>0.33921272208431497</v>
      </c>
      <c r="BY57" s="137">
        <v>0.33921272208431497</v>
      </c>
      <c r="BZ57" s="137">
        <v>1</v>
      </c>
      <c r="CA57" s="137">
        <v>4.4289846522210997E-2</v>
      </c>
      <c r="CB57" s="137">
        <v>0.8767182256484275</v>
      </c>
      <c r="CC57" s="258">
        <v>5.0000000000000001E-3</v>
      </c>
      <c r="CD57" s="258">
        <v>7.4999999999999997E-3</v>
      </c>
      <c r="CE57" s="258">
        <v>0.4</v>
      </c>
      <c r="CF57" s="258">
        <v>0</v>
      </c>
      <c r="CG57" s="258">
        <v>3.6400000000000002E-2</v>
      </c>
      <c r="CH57" s="258">
        <v>10.020626303693833</v>
      </c>
      <c r="CI57" s="258">
        <v>3.6219999999999999</v>
      </c>
      <c r="CJ57" s="258"/>
      <c r="CK57" s="258"/>
      <c r="CL57" s="258"/>
      <c r="CM57" s="258"/>
    </row>
    <row r="58" spans="1:91" x14ac:dyDescent="0.25">
      <c r="A58" s="723"/>
      <c r="B58" s="723"/>
      <c r="D58" s="31">
        <f t="shared" si="53"/>
        <v>38367</v>
      </c>
      <c r="F58" s="28">
        <f t="shared" si="54"/>
        <v>11107</v>
      </c>
      <c r="G58" s="28">
        <f t="shared" si="13"/>
        <v>9688.5548131136693</v>
      </c>
      <c r="H58" s="52">
        <f t="shared" si="55"/>
        <v>3.7795396419437335</v>
      </c>
      <c r="I58" s="52">
        <f t="shared" si="56"/>
        <v>4.032</v>
      </c>
      <c r="K58" s="52">
        <f t="shared" si="57"/>
        <v>5.8425039417522484</v>
      </c>
      <c r="L58" s="135">
        <f t="shared" si="58"/>
        <v>2.2797330651336267E-4</v>
      </c>
      <c r="N58" s="131">
        <f t="shared" si="18"/>
        <v>0.33874838161277315</v>
      </c>
      <c r="O58" s="131">
        <f t="shared" si="19"/>
        <v>0.33874838161277315</v>
      </c>
      <c r="P58" s="55">
        <f t="shared" si="59"/>
        <v>1</v>
      </c>
      <c r="Q58" s="135">
        <f>_xll.xSPRDOPT(I58,H58,AQ58,0,O58,N58,P58,D58-$G$5,1,0)*AH58*AU58</f>
        <v>5.8427319150587618</v>
      </c>
      <c r="R58" s="135"/>
      <c r="S58" s="181">
        <f t="shared" si="60"/>
        <v>-306735.84451198875</v>
      </c>
      <c r="T58" s="181">
        <f>_xll.xSPRDOPT(I58,H58,AQ58,AT58,O58,N58,P58,D58-$G$5,1,1)*AF58*F58*AH58</f>
        <v>299834.288010469</v>
      </c>
      <c r="U58" s="135"/>
      <c r="V58" s="146">
        <f t="shared" si="61"/>
        <v>9.9700436614248051</v>
      </c>
      <c r="W58" s="146"/>
      <c r="X58" s="338">
        <f t="shared" si="62"/>
        <v>0</v>
      </c>
      <c r="Y58" s="338">
        <f t="shared" si="23"/>
        <v>0</v>
      </c>
      <c r="Z58" s="338">
        <f t="shared" si="24"/>
        <v>23.595444215753677</v>
      </c>
      <c r="AA58" s="338">
        <f t="shared" si="25"/>
        <v>4.3390997163369263E-3</v>
      </c>
      <c r="AB58" s="338">
        <f t="shared" si="63"/>
        <v>0</v>
      </c>
      <c r="AC58" s="338">
        <f t="shared" si="64"/>
        <v>23.899870136047404</v>
      </c>
      <c r="AF58" s="138">
        <f t="shared" si="65"/>
        <v>1</v>
      </c>
      <c r="AG58" s="138">
        <f t="shared" si="66"/>
        <v>1</v>
      </c>
      <c r="AH58" s="138">
        <f t="shared" si="30"/>
        <v>31</v>
      </c>
      <c r="AI58" s="138">
        <f t="shared" si="67"/>
        <v>1111</v>
      </c>
      <c r="AJ58" s="138">
        <f t="shared" si="68"/>
        <v>1128</v>
      </c>
      <c r="AL58" s="136">
        <f t="shared" si="32"/>
        <v>3.6819999999999999</v>
      </c>
      <c r="AM58" s="258">
        <f t="shared" si="33"/>
        <v>5.0000000000000001E-3</v>
      </c>
      <c r="AN58" s="258">
        <f t="shared" si="34"/>
        <v>7.4999999999999997E-3</v>
      </c>
      <c r="AO58" s="258">
        <f t="shared" si="35"/>
        <v>0.35</v>
      </c>
      <c r="AP58" s="258">
        <f t="shared" si="36"/>
        <v>0</v>
      </c>
      <c r="AQ58" s="136">
        <f t="shared" si="69"/>
        <v>3.6400000000000002E-2</v>
      </c>
      <c r="AR58" s="137">
        <f t="shared" si="38"/>
        <v>2.2499999999999999E-2</v>
      </c>
      <c r="AS58" s="136">
        <f t="shared" si="70"/>
        <v>3.6944999999999997</v>
      </c>
      <c r="AT58" s="137">
        <f t="shared" si="71"/>
        <v>4.4854887495736399E-2</v>
      </c>
      <c r="AU58" s="137">
        <f t="shared" si="41"/>
        <v>0.87229268147237504</v>
      </c>
      <c r="AV58" s="394">
        <f t="shared" si="72"/>
        <v>6922.5147201647687</v>
      </c>
      <c r="AW58" s="137">
        <f t="shared" si="43"/>
        <v>0.32</v>
      </c>
      <c r="AX58" s="137">
        <f t="shared" si="44"/>
        <v>1</v>
      </c>
      <c r="AY58" s="137">
        <f t="shared" si="45"/>
        <v>1</v>
      </c>
      <c r="AZ58" s="137"/>
      <c r="BA58" s="264"/>
      <c r="BB58" s="258">
        <f t="shared" si="46"/>
        <v>0</v>
      </c>
      <c r="BC58" s="258">
        <f t="shared" si="73"/>
        <v>0</v>
      </c>
      <c r="BD58" s="137">
        <f t="shared" si="74"/>
        <v>4.8421939609133435E-5</v>
      </c>
      <c r="BE58" s="137">
        <f t="shared" si="75"/>
        <v>4.8421939609133435E-5</v>
      </c>
      <c r="BF58" s="137">
        <f>_xll.xSPRDOPT($BW58,$BV58,$CG58,0,$BY58,$BX58,$BZ58,$AJ58,1,4)*$CB58</f>
        <v>-2.2348714851046206E-6</v>
      </c>
      <c r="BG58" s="137">
        <f>_xll.xSPRDOPT($BW58,$BV58,$CG58,0,$BY58,$BX58,$BZ58,$AJ58,1,3)*$CB58</f>
        <v>-8.8355384294833847E-7</v>
      </c>
      <c r="BH58" s="137">
        <f>IF(OR(BF58&lt;&gt;0,BG58&lt;&gt;0),_xll.xSPRDOPT($BW58,$BV58,$CG58,0,$BY58,$BX58,$BZ58,$AJ58,1,12)*$CB58,0)</f>
        <v>1.273357008906554E-6</v>
      </c>
      <c r="BI58" s="137">
        <f>_xll.xSPRDOPT($BW58,$BV58,$CG58,2*LN(1+CA58/2),$BY58,$BX58,$BZ58,$AJ58,1,9)</f>
        <v>8.3433154136101622E-3</v>
      </c>
      <c r="BJ58" s="137">
        <f>_xll.xSPRDOPT($BW58,$BV58,$CG58,0,$BY58,$BX58,$BZ58,$AJ58,1,6)*$CB58</f>
        <v>-3.8962309108013346E-3</v>
      </c>
      <c r="BK58" s="137">
        <f>_xll.xSPRDOPT($BW58,$BV58,$CG58,0,$BY58,$BX58,$BZ58,$AJ58,1,5)*$CB58</f>
        <v>4.1564858517042147E-3</v>
      </c>
      <c r="BL58" s="137">
        <f>_xll.xSPRDOPT(BW58,BV58,CG58,0,BY58,BX58,BZ58,AJ58,1,2)*CB58</f>
        <v>-0.87182183222173415</v>
      </c>
      <c r="BM58" s="137">
        <f>_xll.xSPRDOPT(BW58,BV58,CG58,0,BY58,BX58,BZ58,AJ58,1,1)*CB58</f>
        <v>0.87182183222014809</v>
      </c>
      <c r="BN58" s="137">
        <f>IF(AH58&lt;&gt;0,_xll.xSPRDOPT($BW58,$BV58,$CG58,2*LN(1+CA58/2),$BY58,$BX58,$BZ58,$AJ58,1,8)+(AJ58/365.25)*CH58/AH58,0)</f>
        <v>0.41102276692858941</v>
      </c>
      <c r="BO58" s="137">
        <f>_xll.xSPRDOPT($BW58,$BV58,$CG58,0,$BY58,$BX58,$BZ58,$AJ58,1,0)</f>
        <v>0.2160689089246243</v>
      </c>
      <c r="BP58" s="137"/>
      <c r="BQ58" s="137"/>
      <c r="BR58" s="137"/>
      <c r="BS58" s="137"/>
      <c r="BV58" s="262">
        <v>3.7795396419437335</v>
      </c>
      <c r="BW58" s="136">
        <v>4.032</v>
      </c>
      <c r="BX58" s="137">
        <v>0.33869995967316402</v>
      </c>
      <c r="BY58" s="137">
        <v>0.33869995967316402</v>
      </c>
      <c r="BZ58" s="137">
        <v>1</v>
      </c>
      <c r="CA58" s="137">
        <v>4.4854887495736399E-2</v>
      </c>
      <c r="CB58" s="137">
        <v>0.87197492181025593</v>
      </c>
      <c r="CC58" s="258">
        <v>5.0000000000000001E-3</v>
      </c>
      <c r="CD58" s="258">
        <v>7.4999999999999997E-3</v>
      </c>
      <c r="CE58" s="258">
        <v>0.35</v>
      </c>
      <c r="CF58" s="258">
        <v>0</v>
      </c>
      <c r="CG58" s="258">
        <v>3.6400000000000002E-2</v>
      </c>
      <c r="CH58" s="258">
        <v>9.9664117638146834</v>
      </c>
      <c r="CI58" s="258">
        <v>3.6819999999999999</v>
      </c>
      <c r="CJ58" s="258"/>
      <c r="CK58" s="258"/>
      <c r="CL58" s="258"/>
      <c r="CM58" s="258"/>
    </row>
    <row r="59" spans="1:91" x14ac:dyDescent="0.25">
      <c r="A59" s="723"/>
      <c r="B59" s="723"/>
      <c r="D59" s="31">
        <f t="shared" si="53"/>
        <v>38398</v>
      </c>
      <c r="F59" s="28">
        <f t="shared" si="54"/>
        <v>11107</v>
      </c>
      <c r="G59" s="28">
        <f t="shared" si="13"/>
        <v>9635.8411034448654</v>
      </c>
      <c r="H59" s="52">
        <f t="shared" si="55"/>
        <v>3.6925831202046031</v>
      </c>
      <c r="I59" s="52">
        <f t="shared" si="56"/>
        <v>3.9470000000000001</v>
      </c>
      <c r="K59" s="52">
        <f t="shared" si="57"/>
        <v>5.2959150377387196</v>
      </c>
      <c r="L59" s="135">
        <f t="shared" si="58"/>
        <v>1.9667829632563638E-4</v>
      </c>
      <c r="N59" s="131">
        <f t="shared" si="18"/>
        <v>0.33420972413423633</v>
      </c>
      <c r="O59" s="131">
        <f t="shared" si="19"/>
        <v>0.33420972413423633</v>
      </c>
      <c r="P59" s="55">
        <f t="shared" si="59"/>
        <v>1.0000000000000002</v>
      </c>
      <c r="Q59" s="135">
        <f>_xll.xSPRDOPT(I59,H59,AQ59,0,O59,N59,P59,D59-$G$5,1,0)*AH59*AU59</f>
        <v>5.2961117160350453</v>
      </c>
      <c r="R59" s="135"/>
      <c r="S59" s="181">
        <f t="shared" si="60"/>
        <v>-275522.25115125359</v>
      </c>
      <c r="T59" s="181">
        <f>_xll.xSPRDOPT(I59,H59,AQ59,AT59,O59,N59,P59,D59-$G$5,1,1)*AF59*F59*AH59</f>
        <v>269323.00050035038</v>
      </c>
      <c r="U59" s="135"/>
      <c r="V59" s="146">
        <f t="shared" si="61"/>
        <v>8.9562050252564536</v>
      </c>
      <c r="W59" s="146"/>
      <c r="X59" s="338">
        <f t="shared" si="62"/>
        <v>0</v>
      </c>
      <c r="Y59" s="338">
        <f t="shared" si="23"/>
        <v>0</v>
      </c>
      <c r="Z59" s="338">
        <f t="shared" si="24"/>
        <v>21.646903430216419</v>
      </c>
      <c r="AA59" s="338">
        <f t="shared" si="25"/>
        <v>3.4672454969988885E-3</v>
      </c>
      <c r="AB59" s="338">
        <f t="shared" si="63"/>
        <v>0</v>
      </c>
      <c r="AC59" s="338">
        <f t="shared" si="64"/>
        <v>21.927641250023392</v>
      </c>
      <c r="AF59" s="138">
        <f t="shared" si="65"/>
        <v>1</v>
      </c>
      <c r="AG59" s="138">
        <f t="shared" si="66"/>
        <v>2</v>
      </c>
      <c r="AH59" s="138">
        <f t="shared" si="30"/>
        <v>28</v>
      </c>
      <c r="AI59" s="138">
        <f t="shared" si="67"/>
        <v>1142</v>
      </c>
      <c r="AJ59" s="138">
        <f t="shared" si="68"/>
        <v>1159</v>
      </c>
      <c r="AL59" s="136">
        <f t="shared" si="32"/>
        <v>3.597</v>
      </c>
      <c r="AM59" s="258">
        <f t="shared" si="33"/>
        <v>5.0000000000000001E-3</v>
      </c>
      <c r="AN59" s="258">
        <f t="shared" si="34"/>
        <v>7.4999999999999997E-3</v>
      </c>
      <c r="AO59" s="258">
        <f t="shared" si="35"/>
        <v>0.35</v>
      </c>
      <c r="AP59" s="258">
        <f t="shared" si="36"/>
        <v>0</v>
      </c>
      <c r="AQ59" s="136">
        <f t="shared" si="69"/>
        <v>3.6400000000000002E-2</v>
      </c>
      <c r="AR59" s="137">
        <f t="shared" si="38"/>
        <v>2.2499999999999999E-2</v>
      </c>
      <c r="AS59" s="136">
        <f t="shared" si="70"/>
        <v>3.6094999999999997</v>
      </c>
      <c r="AT59" s="137">
        <f t="shared" si="71"/>
        <v>4.5401152752323697E-2</v>
      </c>
      <c r="AU59" s="137">
        <f t="shared" si="41"/>
        <v>0.86754669158592468</v>
      </c>
      <c r="AV59" s="394">
        <f t="shared" si="72"/>
        <v>6218.5746852879083</v>
      </c>
      <c r="AW59" s="137">
        <f t="shared" si="43"/>
        <v>0.3175</v>
      </c>
      <c r="AX59" s="137">
        <f t="shared" si="44"/>
        <v>1</v>
      </c>
      <c r="AY59" s="137">
        <f t="shared" si="45"/>
        <v>1</v>
      </c>
      <c r="AZ59" s="137"/>
      <c r="BA59" s="264"/>
      <c r="BB59" s="258">
        <f t="shared" si="46"/>
        <v>0</v>
      </c>
      <c r="BC59" s="258">
        <f t="shared" si="73"/>
        <v>0</v>
      </c>
      <c r="BD59" s="137">
        <f t="shared" si="74"/>
        <v>4.2173498050079861E-5</v>
      </c>
      <c r="BE59" s="137">
        <f t="shared" si="75"/>
        <v>4.2173498050079861E-5</v>
      </c>
      <c r="BF59" s="137">
        <f>_xll.xSPRDOPT($BW59,$BV59,$CG59,0,$BY59,$BX59,$BZ59,$AJ59,1,4)*$CB59</f>
        <v>-1.5507224600230234E-6</v>
      </c>
      <c r="BG59" s="137">
        <f>_xll.xSPRDOPT($BW59,$BV59,$CG59,0,$BY59,$BX59,$BZ59,$AJ59,1,3)*$CB59</f>
        <v>-9.3043347601381395E-7</v>
      </c>
      <c r="BH59" s="137">
        <f>IF(OR(BF59&lt;&gt;0,BG59&lt;&gt;0),_xll.xSPRDOPT($BW59,$BV59,$CG59,0,$BY59,$BX59,$BZ59,$AJ59,1,12)*$CB59,0)</f>
        <v>6.7197973267664342E-7</v>
      </c>
      <c r="BI59" s="137">
        <f>_xll.xSPRDOPT($BW59,$BV59,$CG59,2*LN(1+CA59/2),$BY59,$BX59,$BZ59,$AJ59,1,9)</f>
        <v>8.4744192614337448E-3</v>
      </c>
      <c r="BJ59" s="137">
        <f>_xll.xSPRDOPT($BW59,$BV59,$CG59,0,$BY59,$BX59,$BZ59,$AJ59,1,6)*$CB59</f>
        <v>-3.8368474155742577E-3</v>
      </c>
      <c r="BK59" s="137">
        <f>_xll.xSPRDOPT($BW59,$BV59,$CG59,0,$BY59,$BX59,$BZ59,$AJ59,1,5)*$CB59</f>
        <v>4.1012040199872972E-3</v>
      </c>
      <c r="BL59" s="137">
        <f>_xll.xSPRDOPT(BW59,BV59,CG59,0,BY59,BX59,BZ59,AJ59,1,2)*CB59</f>
        <v>-0.86707462864788232</v>
      </c>
      <c r="BM59" s="137">
        <f>_xll.xSPRDOPT(BW59,BV59,CG59,0,BY59,BX59,BZ59,AJ59,1,1)*CB59</f>
        <v>0.86707462863605123</v>
      </c>
      <c r="BN59" s="137">
        <f>IF(AH59&lt;&gt;0,_xll.xSPRDOPT($BW59,$BV59,$CG59,2*LN(1+CA59/2),$BY59,$BX59,$BZ59,$AJ59,1,8)+(AJ59/365.25)*CH59/AH59,0)</f>
        <v>0.41463585469458319</v>
      </c>
      <c r="BO59" s="137">
        <f>_xll.xSPRDOPT($BW59,$BV59,$CG59,0,$BY59,$BX59,$BZ59,$AJ59,1,0)</f>
        <v>0.21802509567835959</v>
      </c>
      <c r="BP59" s="137"/>
      <c r="BQ59" s="137"/>
      <c r="BR59" s="137"/>
      <c r="BS59" s="137"/>
      <c r="BV59" s="262">
        <v>3.6925831202046031</v>
      </c>
      <c r="BW59" s="136">
        <v>3.9470000000000001</v>
      </c>
      <c r="BX59" s="137">
        <v>0.33416755063618625</v>
      </c>
      <c r="BY59" s="137">
        <v>0.33416755063618625</v>
      </c>
      <c r="BZ59" s="137">
        <v>1</v>
      </c>
      <c r="CA59" s="137">
        <v>4.5401152752323697E-2</v>
      </c>
      <c r="CB59" s="137">
        <v>0.86722685559525425</v>
      </c>
      <c r="CC59" s="258">
        <v>5.0000000000000001E-3</v>
      </c>
      <c r="CD59" s="258">
        <v>7.4999999999999997E-3</v>
      </c>
      <c r="CE59" s="258">
        <v>0.35</v>
      </c>
      <c r="CF59" s="258">
        <v>0</v>
      </c>
      <c r="CG59" s="258">
        <v>3.6400000000000002E-2</v>
      </c>
      <c r="CH59" s="258">
        <v>8.9529031664231677</v>
      </c>
      <c r="CI59" s="258">
        <v>3.597</v>
      </c>
      <c r="CJ59" s="258"/>
      <c r="CK59" s="258"/>
      <c r="CL59" s="258"/>
      <c r="CM59" s="258"/>
    </row>
    <row r="60" spans="1:91" x14ac:dyDescent="0.25">
      <c r="A60" s="723"/>
      <c r="B60" s="723"/>
      <c r="D60" s="31">
        <f t="shared" si="53"/>
        <v>38426</v>
      </c>
      <c r="F60" s="28">
        <f t="shared" si="54"/>
        <v>11107</v>
      </c>
      <c r="G60" s="28">
        <f t="shared" si="13"/>
        <v>9587.7317726956371</v>
      </c>
      <c r="H60" s="52">
        <f t="shared" si="55"/>
        <v>3.5595907928388741</v>
      </c>
      <c r="I60" s="52">
        <f t="shared" si="56"/>
        <v>3.867</v>
      </c>
      <c r="K60" s="52">
        <f t="shared" si="57"/>
        <v>7.2521176890200056</v>
      </c>
      <c r="L60" s="135">
        <f t="shared" si="58"/>
        <v>3.6916276687115612E-5</v>
      </c>
      <c r="N60" s="131">
        <f t="shared" si="18"/>
        <v>0.31729237574852004</v>
      </c>
      <c r="O60" s="131">
        <f t="shared" si="19"/>
        <v>0.31729237574852004</v>
      </c>
      <c r="P60" s="55">
        <f t="shared" si="59"/>
        <v>0.99999999999999989</v>
      </c>
      <c r="Q60" s="135">
        <f>_xll.xSPRDOPT(I60,H60,AQ60,0,O60,N60,P60,D60-$G$5,1,0)*AH60*AU60</f>
        <v>7.2521546052966928</v>
      </c>
      <c r="R60" s="135"/>
      <c r="S60" s="181">
        <f t="shared" si="60"/>
        <v>-303541.80713057297</v>
      </c>
      <c r="T60" s="181">
        <f>_xll.xSPRDOPT(I60,H60,AQ60,AT60,O60,N60,P60,D60-$G$5,1,1)*AF60*F60*AH60</f>
        <v>296712.11647013511</v>
      </c>
      <c r="U60" s="135"/>
      <c r="V60" s="146">
        <f t="shared" si="61"/>
        <v>9.8662913336075739</v>
      </c>
      <c r="W60" s="146"/>
      <c r="X60" s="338">
        <f t="shared" si="62"/>
        <v>0</v>
      </c>
      <c r="Y60" s="338">
        <f t="shared" si="23"/>
        <v>0</v>
      </c>
      <c r="Z60" s="338">
        <f t="shared" si="24"/>
        <v>30.00161624967436</v>
      </c>
      <c r="AA60" s="338">
        <f t="shared" si="25"/>
        <v>4.7641143650482343E-4</v>
      </c>
      <c r="AB60" s="338">
        <f t="shared" si="63"/>
        <v>0</v>
      </c>
      <c r="AC60" s="338">
        <f t="shared" si="64"/>
        <v>30.352480345972502</v>
      </c>
      <c r="AF60" s="138">
        <f t="shared" si="65"/>
        <v>1</v>
      </c>
      <c r="AG60" s="138">
        <f t="shared" si="66"/>
        <v>3</v>
      </c>
      <c r="AH60" s="138">
        <f t="shared" si="30"/>
        <v>31</v>
      </c>
      <c r="AI60" s="138">
        <f t="shared" si="67"/>
        <v>1170</v>
      </c>
      <c r="AJ60" s="138">
        <f t="shared" si="68"/>
        <v>1187</v>
      </c>
      <c r="AL60" s="136">
        <f t="shared" si="32"/>
        <v>3.4670000000000001</v>
      </c>
      <c r="AM60" s="258">
        <f t="shared" si="33"/>
        <v>5.0000000000000001E-3</v>
      </c>
      <c r="AN60" s="258">
        <f t="shared" si="34"/>
        <v>7.4999999999999997E-3</v>
      </c>
      <c r="AO60" s="258">
        <f t="shared" si="35"/>
        <v>0.4</v>
      </c>
      <c r="AP60" s="258">
        <f t="shared" si="36"/>
        <v>0</v>
      </c>
      <c r="AQ60" s="136">
        <f t="shared" si="69"/>
        <v>3.6400000000000002E-2</v>
      </c>
      <c r="AR60" s="137">
        <f t="shared" si="38"/>
        <v>2.2499999999999999E-2</v>
      </c>
      <c r="AS60" s="136">
        <f t="shared" si="70"/>
        <v>3.4794999999999998</v>
      </c>
      <c r="AT60" s="137">
        <f t="shared" si="71"/>
        <v>4.5894553715070799E-2</v>
      </c>
      <c r="AU60" s="137">
        <f t="shared" si="41"/>
        <v>0.86321524918480574</v>
      </c>
      <c r="AV60" s="394">
        <f t="shared" si="72"/>
        <v>6850.4762175306187</v>
      </c>
      <c r="AW60" s="137">
        <f t="shared" si="43"/>
        <v>0.3075</v>
      </c>
      <c r="AX60" s="137">
        <f t="shared" si="44"/>
        <v>0.75</v>
      </c>
      <c r="AY60" s="137">
        <f t="shared" si="45"/>
        <v>0.75</v>
      </c>
      <c r="AZ60" s="137"/>
      <c r="BA60" s="264"/>
      <c r="BB60" s="258">
        <f t="shared" si="46"/>
        <v>0</v>
      </c>
      <c r="BC60" s="258">
        <f t="shared" si="73"/>
        <v>0</v>
      </c>
      <c r="BD60" s="137">
        <f t="shared" si="74"/>
        <v>2.4337327348467053E-5</v>
      </c>
      <c r="BE60" s="137">
        <f t="shared" si="75"/>
        <v>2.4337327348467053E-5</v>
      </c>
      <c r="BF60" s="137">
        <f>_xll.xSPRDOPT($BW60,$BV60,$CG60,0,$BY60,$BX60,$BZ60,$AJ60,1,4)*$CB60</f>
        <v>5.1432465978873164E-7</v>
      </c>
      <c r="BG60" s="137">
        <f>_xll.xSPRDOPT($BW60,$BV60,$CG60,0,$BY60,$BX60,$BZ60,$AJ60,1,3)*$CB60</f>
        <v>0</v>
      </c>
      <c r="BH60" s="137">
        <f>IF(OR(BF60&lt;&gt;0,BG60&lt;&gt;0),_xll.xSPRDOPT($BW60,$BV60,$CG60,0,$BY60,$BX60,$BZ60,$AJ60,1,12)*$CB60,0)</f>
        <v>2.5716232989436582E-7</v>
      </c>
      <c r="BI60" s="137">
        <f>_xll.xSPRDOPT($BW60,$BV60,$CG60,2*LN(1+CA60/2),$BY60,$BX60,$BZ60,$AJ60,1,9)</f>
        <v>1.0608528705808466E-2</v>
      </c>
      <c r="BJ60" s="137">
        <f>_xll.xSPRDOPT($BW60,$BV60,$CG60,0,$BY60,$BX60,$BZ60,$AJ60,1,6)*$CB60</f>
        <v>-6.5831556337787118E-4</v>
      </c>
      <c r="BK60" s="137">
        <f>_xll.xSPRDOPT($BW60,$BV60,$CG60,0,$BY60,$BX60,$BZ60,$AJ60,1,5)*$CB60</f>
        <v>7.1516822861305738E-4</v>
      </c>
      <c r="BL60" s="137">
        <f>_xll.xSPRDOPT(BW60,BV60,CG60,0,BY60,BX60,BZ60,AJ60,1,2)*CB60</f>
        <v>-0.86286959362553084</v>
      </c>
      <c r="BM60" s="137">
        <f>_xll.xSPRDOPT(BW60,BV60,CG60,0,BY60,BX60,BZ60,AJ60,1,1)*CB60</f>
        <v>0.86286959362788518</v>
      </c>
      <c r="BN60" s="137">
        <f>IF(AH60&lt;&gt;0,_xll.xSPRDOPT($BW60,$BV60,$CG60,2*LN(1+CA60/2),$BY60,$BX60,$BZ60,$AJ60,1,8)+(AJ60/365.25)*CH60/AH60,0)</f>
        <v>0.27394610409218279</v>
      </c>
      <c r="BO60" s="137">
        <f>_xll.xSPRDOPT($BW60,$BV60,$CG60,0,$BY60,$BX60,$BZ60,$AJ60,1,0)</f>
        <v>0.27101061157501016</v>
      </c>
      <c r="BP60" s="137"/>
      <c r="BQ60" s="137"/>
      <c r="BR60" s="137"/>
      <c r="BS60" s="137"/>
      <c r="BV60" s="262">
        <v>3.5595907928388741</v>
      </c>
      <c r="BW60" s="136">
        <v>3.867</v>
      </c>
      <c r="BX60" s="137">
        <v>0.31726803842117157</v>
      </c>
      <c r="BY60" s="137">
        <v>0.31726803842117157</v>
      </c>
      <c r="BZ60" s="137">
        <v>1</v>
      </c>
      <c r="CA60" s="137">
        <v>4.5894553715070799E-2</v>
      </c>
      <c r="CB60" s="137">
        <v>0.86289359114020647</v>
      </c>
      <c r="CC60" s="258">
        <v>5.0000000000000001E-3</v>
      </c>
      <c r="CD60" s="258">
        <v>7.4999999999999997E-3</v>
      </c>
      <c r="CE60" s="258">
        <v>0.4</v>
      </c>
      <c r="CF60" s="258">
        <v>0</v>
      </c>
      <c r="CG60" s="258">
        <v>3.6400000000000002E-2</v>
      </c>
      <c r="CH60" s="258">
        <v>9.8626148786552186</v>
      </c>
      <c r="CI60" s="258">
        <v>3.4670000000000001</v>
      </c>
      <c r="CJ60" s="258"/>
      <c r="CK60" s="258"/>
      <c r="CL60" s="258"/>
      <c r="CM60" s="258"/>
    </row>
    <row r="61" spans="1:91" x14ac:dyDescent="0.25">
      <c r="A61" s="723"/>
      <c r="B61" s="723"/>
      <c r="D61" s="31">
        <f t="shared" si="53"/>
        <v>38457</v>
      </c>
      <c r="F61" s="28">
        <f t="shared" si="54"/>
        <v>5899</v>
      </c>
      <c r="G61" s="28">
        <f t="shared" si="13"/>
        <v>5064.1867627654447</v>
      </c>
      <c r="H61" s="52">
        <f t="shared" si="55"/>
        <v>3.3754475703324802</v>
      </c>
      <c r="I61" s="52">
        <f t="shared" si="56"/>
        <v>3.8820000000000001</v>
      </c>
      <c r="K61" s="52">
        <f t="shared" si="57"/>
        <v>12.108525398224781</v>
      </c>
      <c r="L61" s="135">
        <f t="shared" si="58"/>
        <v>1.4261386862557401E-6</v>
      </c>
      <c r="N61" s="131">
        <f t="shared" si="18"/>
        <v>0.29897853273193292</v>
      </c>
      <c r="O61" s="131">
        <f t="shared" si="19"/>
        <v>0.29897853273193292</v>
      </c>
      <c r="P61" s="55">
        <f t="shared" si="59"/>
        <v>0.99999999999999989</v>
      </c>
      <c r="Q61" s="135">
        <f>_xll.xSPRDOPT(I61,H61,AQ61,0,O61,N61,P61,D61-$G$5,1,0)*AH61*AU61</f>
        <v>12.108526824363468</v>
      </c>
      <c r="R61" s="135"/>
      <c r="S61" s="181">
        <f t="shared" si="60"/>
        <v>-155148.79566620156</v>
      </c>
      <c r="T61" s="181">
        <f>_xll.xSPRDOPT(I61,H61,AQ61,AT61,O61,N61,P61,D61-$G$5,1,1)*AF61*F61*AH61</f>
        <v>151657.94776371203</v>
      </c>
      <c r="U61" s="135"/>
      <c r="V61" s="146">
        <f t="shared" si="61"/>
        <v>9.4956721110270532</v>
      </c>
      <c r="W61" s="146"/>
      <c r="X61" s="338">
        <f t="shared" si="62"/>
        <v>0</v>
      </c>
      <c r="Y61" s="338">
        <f t="shared" si="23"/>
        <v>0</v>
      </c>
      <c r="Z61" s="338">
        <f t="shared" si="24"/>
        <v>26.90139099719476</v>
      </c>
      <c r="AA61" s="338">
        <f t="shared" si="25"/>
        <v>2.0946090261107227E-7</v>
      </c>
      <c r="AB61" s="338">
        <f t="shared" si="63"/>
        <v>0</v>
      </c>
      <c r="AC61" s="338">
        <f t="shared" si="64"/>
        <v>27.212282853997198</v>
      </c>
      <c r="AF61" s="138">
        <f t="shared" si="65"/>
        <v>1</v>
      </c>
      <c r="AG61" s="138">
        <f t="shared" si="66"/>
        <v>4</v>
      </c>
      <c r="AH61" s="138">
        <f t="shared" si="30"/>
        <v>30</v>
      </c>
      <c r="AI61" s="138">
        <f t="shared" si="67"/>
        <v>1201</v>
      </c>
      <c r="AJ61" s="138">
        <f t="shared" si="68"/>
        <v>1218</v>
      </c>
      <c r="AL61" s="136">
        <f t="shared" si="32"/>
        <v>3.282</v>
      </c>
      <c r="AM61" s="258">
        <f t="shared" si="33"/>
        <v>0.01</v>
      </c>
      <c r="AN61" s="258">
        <f t="shared" si="34"/>
        <v>7.4999999999999997E-3</v>
      </c>
      <c r="AO61" s="258">
        <f t="shared" si="35"/>
        <v>0.6</v>
      </c>
      <c r="AP61" s="258">
        <f t="shared" si="36"/>
        <v>0</v>
      </c>
      <c r="AQ61" s="136">
        <f t="shared" si="69"/>
        <v>3.6400000000000002E-2</v>
      </c>
      <c r="AR61" s="137">
        <f t="shared" si="38"/>
        <v>2.2499999999999999E-2</v>
      </c>
      <c r="AS61" s="136">
        <f t="shared" si="70"/>
        <v>3.2994999999999997</v>
      </c>
      <c r="AT61" s="137">
        <f t="shared" si="71"/>
        <v>4.6401056415071598E-2</v>
      </c>
      <c r="AU61" s="137">
        <f t="shared" si="41"/>
        <v>0.85848224491701053</v>
      </c>
      <c r="AV61" s="394">
        <f t="shared" si="72"/>
        <v>3502.6075592614029</v>
      </c>
      <c r="AW61" s="137">
        <f t="shared" si="43"/>
        <v>0.29749999999999999</v>
      </c>
      <c r="AX61" s="137">
        <f t="shared" si="44"/>
        <v>0.4</v>
      </c>
      <c r="AY61" s="137">
        <f t="shared" si="45"/>
        <v>0.4</v>
      </c>
      <c r="AZ61" s="137"/>
      <c r="BA61" s="264"/>
      <c r="BB61" s="258">
        <f t="shared" si="46"/>
        <v>0</v>
      </c>
      <c r="BC61" s="258">
        <f t="shared" si="73"/>
        <v>0</v>
      </c>
      <c r="BD61" s="137">
        <f t="shared" si="74"/>
        <v>3.6297435732079997E-6</v>
      </c>
      <c r="BE61" s="137">
        <f t="shared" si="75"/>
        <v>3.6297435732079997E-6</v>
      </c>
      <c r="BF61" s="137">
        <f>_xll.xSPRDOPT($BW61,$BV61,$CG61,0,$BY61,$BX61,$BZ61,$AJ61,1,4)*$CB61</f>
        <v>3.0690152440021274E-7</v>
      </c>
      <c r="BG61" s="137">
        <f>_xll.xSPRDOPT($BW61,$BV61,$CG61,0,$BY61,$BX61,$BZ61,$AJ61,1,3)*$CB61</f>
        <v>1.0230050813340425E-7</v>
      </c>
      <c r="BH61" s="137">
        <f>IF(OR(BF61&lt;&gt;0,BG61&lt;&gt;0),_xll.xSPRDOPT($BW61,$BV61,$CG61,0,$BY61,$BX61,$BZ61,$AJ61,1,12)*$CB61,0)</f>
        <v>-5.1150254066702129E-7</v>
      </c>
      <c r="BI61" s="137">
        <f>_xll.xSPRDOPT($BW61,$BV61,$CG61,2*LN(1+CA61/2),$BY61,$BX61,$BZ61,$AJ61,1,9)</f>
        <v>1.8507342226978935E-2</v>
      </c>
      <c r="BJ61" s="137">
        <f>_xll.xSPRDOPT($BW61,$BV61,$CG61,0,$BY61,$BX61,$BZ61,$AJ61,1,6)*$CB61</f>
        <v>-2.1727953886654947E-6</v>
      </c>
      <c r="BK61" s="137">
        <f>_xll.xSPRDOPT($BW61,$BV61,$CG61,0,$BY61,$BX61,$BZ61,$AJ61,1,5)*$CB61</f>
        <v>2.4988778007003059E-6</v>
      </c>
      <c r="BL61" s="137">
        <f>_xll.xSPRDOPT(BW61,BV61,CG61,0,BY61,BX61,BZ61,AJ61,1,2)*CB61</f>
        <v>-0.85815886528161589</v>
      </c>
      <c r="BM61" s="137">
        <f>_xll.xSPRDOPT(BW61,BV61,CG61,0,BY61,BX61,BZ61,AJ61,1,1)*CB61</f>
        <v>0.85815886528864038</v>
      </c>
      <c r="BN61" s="137">
        <f>IF(AH61&lt;&gt;0,_xll.xSPRDOPT($BW61,$BV61,$CG61,2*LN(1+CA61/2),$BY61,$BX61,$BZ61,$AJ61,1,8)+(AJ61/365.25)*CH61/AH61,0)</f>
        <v>-0.29032701226565494</v>
      </c>
      <c r="BO61" s="137">
        <f>_xll.xSPRDOPT($BW61,$BV61,$CG61,0,$BY61,$BX61,$BZ61,$AJ61,1,0)</f>
        <v>0.47015248518087654</v>
      </c>
      <c r="BP61" s="137"/>
      <c r="BQ61" s="137"/>
      <c r="BR61" s="137"/>
      <c r="BS61" s="137"/>
      <c r="BV61" s="262">
        <v>3.3754475703324802</v>
      </c>
      <c r="BW61" s="136">
        <v>3.8820000000000001</v>
      </c>
      <c r="BX61" s="137">
        <v>0.29897490298835971</v>
      </c>
      <c r="BY61" s="137">
        <v>0.29897490298835971</v>
      </c>
      <c r="BZ61" s="137">
        <v>1</v>
      </c>
      <c r="CA61" s="137">
        <v>4.6401056415071598E-2</v>
      </c>
      <c r="CB61" s="137">
        <v>0.85815886093193994</v>
      </c>
      <c r="CC61" s="258">
        <v>0.01</v>
      </c>
      <c r="CD61" s="258">
        <v>7.4999999999999997E-3</v>
      </c>
      <c r="CE61" s="258">
        <v>0.6</v>
      </c>
      <c r="CF61" s="258">
        <v>0</v>
      </c>
      <c r="CG61" s="258">
        <v>3.6400000000000002E-2</v>
      </c>
      <c r="CH61" s="258">
        <v>9.4920951607681872</v>
      </c>
      <c r="CI61" s="258">
        <v>3.282</v>
      </c>
      <c r="CJ61" s="258"/>
      <c r="CK61" s="258"/>
      <c r="CL61" s="258"/>
      <c r="CM61" s="258"/>
    </row>
    <row r="62" spans="1:91" x14ac:dyDescent="0.25">
      <c r="A62" s="723"/>
      <c r="B62" s="723"/>
      <c r="D62" s="31">
        <f t="shared" si="53"/>
        <v>38487</v>
      </c>
      <c r="F62" s="28">
        <f t="shared" si="54"/>
        <v>5895</v>
      </c>
      <c r="G62" s="28">
        <f t="shared" si="13"/>
        <v>5034.0758332494452</v>
      </c>
      <c r="H62" s="52">
        <f t="shared" si="55"/>
        <v>3.3703324808184139</v>
      </c>
      <c r="I62" s="52">
        <f t="shared" si="56"/>
        <v>4.0270000000000001</v>
      </c>
      <c r="K62" s="52">
        <f t="shared" si="57"/>
        <v>16.420133262478355</v>
      </c>
      <c r="L62" s="135">
        <f t="shared" si="58"/>
        <v>1.6602711703228579E-6</v>
      </c>
      <c r="N62" s="131">
        <f t="shared" si="18"/>
        <v>0.29252740451228487</v>
      </c>
      <c r="O62" s="131">
        <f t="shared" si="19"/>
        <v>0.29252740451228487</v>
      </c>
      <c r="P62" s="55">
        <f t="shared" si="59"/>
        <v>0.99999999999999989</v>
      </c>
      <c r="Q62" s="135">
        <f>_xll.xSPRDOPT(I62,H62,AQ62,0,O62,N62,P62,D62-$G$5,1,0)*AH62*AU62</f>
        <v>16.420134922749526</v>
      </c>
      <c r="R62" s="135"/>
      <c r="S62" s="181">
        <f t="shared" si="60"/>
        <v>-159354.61728019075</v>
      </c>
      <c r="T62" s="181">
        <f>_xll.xSPRDOPT(I62,H62,AQ62,AT62,O62,N62,P62,D62-$G$5,1,1)*AF62*F62*AH62</f>
        <v>155769.13839138646</v>
      </c>
      <c r="U62" s="135"/>
      <c r="V62" s="146">
        <f t="shared" si="61"/>
        <v>9.7604710010672058</v>
      </c>
      <c r="W62" s="146"/>
      <c r="X62" s="338">
        <f t="shared" si="62"/>
        <v>0</v>
      </c>
      <c r="Y62" s="338">
        <f t="shared" si="23"/>
        <v>0</v>
      </c>
      <c r="Z62" s="338">
        <f t="shared" si="24"/>
        <v>36.809461423171832</v>
      </c>
      <c r="AA62" s="338">
        <f t="shared" si="25"/>
        <v>-7.8922909619123141E-8</v>
      </c>
      <c r="AB62" s="338">
        <f t="shared" si="63"/>
        <v>0</v>
      </c>
      <c r="AC62" s="338">
        <f t="shared" si="64"/>
        <v>37.238984782856704</v>
      </c>
      <c r="AF62" s="138">
        <f t="shared" si="65"/>
        <v>1</v>
      </c>
      <c r="AG62" s="138">
        <f t="shared" si="66"/>
        <v>5</v>
      </c>
      <c r="AH62" s="138">
        <f t="shared" si="30"/>
        <v>31</v>
      </c>
      <c r="AI62" s="138">
        <f t="shared" si="67"/>
        <v>1231</v>
      </c>
      <c r="AJ62" s="138">
        <f t="shared" si="68"/>
        <v>1248</v>
      </c>
      <c r="AL62" s="136">
        <f t="shared" si="32"/>
        <v>3.2770000000000001</v>
      </c>
      <c r="AM62" s="258">
        <f t="shared" si="33"/>
        <v>0.01</v>
      </c>
      <c r="AN62" s="258">
        <f t="shared" si="34"/>
        <v>7.4999999999999997E-3</v>
      </c>
      <c r="AO62" s="258">
        <f t="shared" si="35"/>
        <v>0.75</v>
      </c>
      <c r="AP62" s="258">
        <f t="shared" si="36"/>
        <v>0</v>
      </c>
      <c r="AQ62" s="136">
        <f t="shared" si="69"/>
        <v>3.6400000000000002E-2</v>
      </c>
      <c r="AR62" s="137">
        <f t="shared" si="38"/>
        <v>2.2499999999999999E-2</v>
      </c>
      <c r="AS62" s="136">
        <f t="shared" si="70"/>
        <v>3.2944999999999998</v>
      </c>
      <c r="AT62" s="137">
        <f t="shared" si="71"/>
        <v>4.6856677050253197E-2</v>
      </c>
      <c r="AU62" s="137">
        <f t="shared" si="41"/>
        <v>0.85395688435105088</v>
      </c>
      <c r="AV62" s="394">
        <f t="shared" si="72"/>
        <v>3600.2822244240306</v>
      </c>
      <c r="AW62" s="137">
        <f t="shared" si="43"/>
        <v>0.28999999999999998</v>
      </c>
      <c r="AX62" s="137">
        <f t="shared" si="44"/>
        <v>0.45</v>
      </c>
      <c r="AY62" s="137">
        <f t="shared" si="45"/>
        <v>0.45</v>
      </c>
      <c r="AZ62" s="137"/>
      <c r="BA62" s="264"/>
      <c r="BB62" s="258">
        <f t="shared" si="46"/>
        <v>0</v>
      </c>
      <c r="BC62" s="258">
        <f t="shared" si="73"/>
        <v>0</v>
      </c>
      <c r="BD62" s="137">
        <f t="shared" si="74"/>
        <v>6.0420462256738361E-6</v>
      </c>
      <c r="BE62" s="137">
        <f t="shared" si="75"/>
        <v>6.0420462256738361E-6</v>
      </c>
      <c r="BF62" s="137">
        <f>_xll.xSPRDOPT($BW62,$BV62,$CG62,0,$BY62,$BX62,$BZ62,$AJ62,1,4)*$CB62</f>
        <v>-1.6281739869983984E-6</v>
      </c>
      <c r="BG62" s="137">
        <f>_xll.xSPRDOPT($BW62,$BV62,$CG62,0,$BY62,$BX62,$BZ62,$AJ62,1,3)*$CB62</f>
        <v>-6.1056524512439944E-7</v>
      </c>
      <c r="BH62" s="137">
        <f>IF(OR(BF62&lt;&gt;0,BG62&lt;&gt;0),_xll.xSPRDOPT($BW62,$BV62,$CG62,0,$BY62,$BX62,$BZ62,$AJ62,1,12)*$CB62,0)</f>
        <v>1.2211304902487991E-6</v>
      </c>
      <c r="BI62" s="137">
        <f>_xll.xSPRDOPT($BW62,$BV62,$CG62,2*LN(1+CA62/2),$BY62,$BX62,$BZ62,$AJ62,1,9)</f>
        <v>2.4523526926981152E-2</v>
      </c>
      <c r="BJ62" s="137">
        <f>_xll.xSPRDOPT($BW62,$BV62,$CG62,0,$BY62,$BX62,$BZ62,$AJ62,1,6)*$CB62</f>
        <v>3.6690653624526604E-7</v>
      </c>
      <c r="BK62" s="137">
        <f>_xll.xSPRDOPT($BW62,$BV62,$CG62,0,$BY62,$BX62,$BZ62,$AJ62,1,5)*$CB62</f>
        <v>-4.38384725321589E-7</v>
      </c>
      <c r="BL62" s="137">
        <f>_xll.xSPRDOPT(BW62,BV62,CG62,0,BY62,BX62,BZ62,AJ62,1,2)*CB62</f>
        <v>-0.85363216461126135</v>
      </c>
      <c r="BM62" s="137">
        <f>_xll.xSPRDOPT(BW62,BV62,CG62,0,BY62,BX62,BZ62,AJ62,1,1)*CB62</f>
        <v>0.85363216459418112</v>
      </c>
      <c r="BN62" s="137">
        <f>IF(AH62&lt;&gt;0,_xll.xSPRDOPT($BW62,$BV62,$CG62,2*LN(1+CA62/2),$BY62,$BX62,$BZ62,$AJ62,1,8)+(AJ62/365.25)*CH62/AH62,0)</f>
        <v>-0.73375278968558999</v>
      </c>
      <c r="BO62" s="137">
        <f>_xll.xSPRDOPT($BW62,$BV62,$CG62,0,$BY62,$BX62,$BZ62,$AJ62,1,0)</f>
        <v>0.62026758186912456</v>
      </c>
      <c r="BP62" s="137"/>
      <c r="BQ62" s="137"/>
      <c r="BR62" s="137"/>
      <c r="BS62" s="137"/>
      <c r="BV62" s="262">
        <v>3.3703324808184139</v>
      </c>
      <c r="BW62" s="136">
        <v>4.0270000000000001</v>
      </c>
      <c r="BX62" s="137">
        <v>0.2925213624660592</v>
      </c>
      <c r="BY62" s="137">
        <v>0.2925213624660592</v>
      </c>
      <c r="BZ62" s="137">
        <v>1</v>
      </c>
      <c r="CA62" s="137">
        <v>4.6856677050253197E-2</v>
      </c>
      <c r="CB62" s="137">
        <v>0.85363208329541629</v>
      </c>
      <c r="CC62" s="258">
        <v>0.01</v>
      </c>
      <c r="CD62" s="258">
        <v>7.4999999999999997E-3</v>
      </c>
      <c r="CE62" s="258">
        <v>0.75</v>
      </c>
      <c r="CF62" s="258">
        <v>0</v>
      </c>
      <c r="CG62" s="258">
        <v>3.6400000000000002E-2</v>
      </c>
      <c r="CH62" s="258">
        <v>9.7567586224416196</v>
      </c>
      <c r="CI62" s="258">
        <v>3.2770000000000001</v>
      </c>
      <c r="CJ62" s="258"/>
      <c r="CK62" s="258"/>
      <c r="CL62" s="258"/>
      <c r="CM62" s="258"/>
    </row>
    <row r="63" spans="1:91" x14ac:dyDescent="0.25">
      <c r="A63" s="723"/>
      <c r="B63" s="723"/>
      <c r="D63" s="31">
        <f t="shared" si="53"/>
        <v>38518</v>
      </c>
      <c r="F63" s="28">
        <f t="shared" si="54"/>
        <v>5895</v>
      </c>
      <c r="G63" s="28">
        <f t="shared" si="13"/>
        <v>5006.2744581076149</v>
      </c>
      <c r="H63" s="52">
        <f t="shared" si="55"/>
        <v>3.4086956521739129</v>
      </c>
      <c r="I63" s="52">
        <f t="shared" si="56"/>
        <v>4.1619999999999999</v>
      </c>
      <c r="K63" s="52">
        <f t="shared" si="57"/>
        <v>18.264732444926398</v>
      </c>
      <c r="L63" s="135">
        <f t="shared" si="58"/>
        <v>1.8247866435672222E-6</v>
      </c>
      <c r="N63" s="131">
        <f t="shared" si="18"/>
        <v>0.29238802915440232</v>
      </c>
      <c r="O63" s="131">
        <f t="shared" si="19"/>
        <v>0.29238802915440232</v>
      </c>
      <c r="P63" s="55">
        <f t="shared" si="59"/>
        <v>0.99999999999999978</v>
      </c>
      <c r="Q63" s="135">
        <f>_xll.xSPRDOPT(I63,H63,AQ63,0,O63,N63,P63,D63-$G$5,1,0)*AH63*AU63</f>
        <v>18.264734269713042</v>
      </c>
      <c r="R63" s="135"/>
      <c r="S63" s="181">
        <f t="shared" si="60"/>
        <v>-153349.6405520633</v>
      </c>
      <c r="T63" s="181">
        <f>_xll.xSPRDOPT(I63,H63,AQ63,AT63,O63,N63,P63,D63-$G$5,1,1)*AF63*F63*AH63</f>
        <v>149899.27363964188</v>
      </c>
      <c r="U63" s="135"/>
      <c r="V63" s="146">
        <f t="shared" si="61"/>
        <v>9.3934523801744412</v>
      </c>
      <c r="W63" s="146"/>
      <c r="X63" s="338">
        <f t="shared" si="62"/>
        <v>0</v>
      </c>
      <c r="Y63" s="338">
        <f t="shared" si="23"/>
        <v>0</v>
      </c>
      <c r="Z63" s="338">
        <f t="shared" si="24"/>
        <v>41.351025710844318</v>
      </c>
      <c r="AA63" s="338">
        <f t="shared" si="25"/>
        <v>-1.1740242328162049E-7</v>
      </c>
      <c r="AB63" s="338">
        <f t="shared" si="63"/>
        <v>0</v>
      </c>
      <c r="AC63" s="338">
        <f t="shared" si="64"/>
        <v>41.838371300030602</v>
      </c>
      <c r="AF63" s="138">
        <f t="shared" si="65"/>
        <v>1</v>
      </c>
      <c r="AG63" s="138">
        <f t="shared" si="66"/>
        <v>6</v>
      </c>
      <c r="AH63" s="138">
        <f t="shared" si="30"/>
        <v>30</v>
      </c>
      <c r="AI63" s="138">
        <f t="shared" si="67"/>
        <v>1262</v>
      </c>
      <c r="AJ63" s="138">
        <f t="shared" si="68"/>
        <v>1279</v>
      </c>
      <c r="AL63" s="136">
        <f t="shared" si="32"/>
        <v>3.3119999999999998</v>
      </c>
      <c r="AM63" s="258">
        <f t="shared" si="33"/>
        <v>1.2500000000000001E-2</v>
      </c>
      <c r="AN63" s="258">
        <f t="shared" si="34"/>
        <v>7.4999999999999997E-3</v>
      </c>
      <c r="AO63" s="258">
        <f t="shared" si="35"/>
        <v>0.85</v>
      </c>
      <c r="AP63" s="258">
        <f t="shared" si="36"/>
        <v>0</v>
      </c>
      <c r="AQ63" s="136">
        <f t="shared" si="69"/>
        <v>3.6400000000000002E-2</v>
      </c>
      <c r="AR63" s="137">
        <f t="shared" si="38"/>
        <v>2.2499999999999999E-2</v>
      </c>
      <c r="AS63" s="136">
        <f t="shared" si="70"/>
        <v>3.3319999999999999</v>
      </c>
      <c r="AT63" s="137">
        <f t="shared" si="71"/>
        <v>4.7327485112866399E-2</v>
      </c>
      <c r="AU63" s="137">
        <f t="shared" si="41"/>
        <v>0.84924079017940879</v>
      </c>
      <c r="AV63" s="394">
        <f t="shared" si="72"/>
        <v>3464.9024239319879</v>
      </c>
      <c r="AW63" s="137">
        <f t="shared" si="43"/>
        <v>0.28999999999999998</v>
      </c>
      <c r="AX63" s="137">
        <f t="shared" si="44"/>
        <v>0.45</v>
      </c>
      <c r="AY63" s="137">
        <f t="shared" si="45"/>
        <v>0.45</v>
      </c>
      <c r="AZ63" s="137"/>
      <c r="BA63" s="264"/>
      <c r="BB63" s="258">
        <f t="shared" si="46"/>
        <v>0</v>
      </c>
      <c r="BC63" s="258">
        <f t="shared" si="73"/>
        <v>0</v>
      </c>
      <c r="BD63" s="137">
        <f t="shared" si="74"/>
        <v>5.5741404257902971E-6</v>
      </c>
      <c r="BE63" s="137">
        <f t="shared" si="75"/>
        <v>5.5741404257902971E-6</v>
      </c>
      <c r="BF63" s="137">
        <f>_xll.xSPRDOPT($BW63,$BV63,$CG63,0,$BY63,$BX63,$BZ63,$AJ63,1,4)*$CB63</f>
        <v>-1.0119850345082555E-6</v>
      </c>
      <c r="BG63" s="137">
        <f>_xll.xSPRDOPT($BW63,$BV63,$CG63,0,$BY63,$BX63,$BZ63,$AJ63,1,3)*$CB63</f>
        <v>0</v>
      </c>
      <c r="BH63" s="137">
        <f>IF(OR(BF63&lt;&gt;0,BG63&lt;&gt;0),_xll.xSPRDOPT($BW63,$BV63,$CG63,0,$BY63,$BX63,$BZ63,$AJ63,1,12)*$CB63,0)</f>
        <v>2.0239700690165109E-7</v>
      </c>
      <c r="BI63" s="137">
        <f>_xll.xSPRDOPT($BW63,$BV63,$CG63,2*LN(1+CA63/2),$BY63,$BX63,$BZ63,$AJ63,1,9)</f>
        <v>2.8467556575037016E-2</v>
      </c>
      <c r="BJ63" s="137">
        <f>_xll.xSPRDOPT($BW63,$BV63,$CG63,0,$BY63,$BX63,$BZ63,$AJ63,1,6)*$CB63</f>
        <v>5.3887198858657229E-7</v>
      </c>
      <c r="BK63" s="137">
        <f>_xll.xSPRDOPT($BW63,$BV63,$CG63,0,$BY63,$BX63,$BZ63,$AJ63,1,5)*$CB63</f>
        <v>-6.5796714294048674E-7</v>
      </c>
      <c r="BL63" s="137">
        <f>_xll.xSPRDOPT(BW63,BV63,CG63,0,BY63,BX63,BZ63,AJ63,1,2)*CB63</f>
        <v>-0.84891466019881923</v>
      </c>
      <c r="BM63" s="137">
        <f>_xll.xSPRDOPT(BW63,BV63,CG63,0,BY63,BX63,BZ63,AJ63,1,1)*CB63</f>
        <v>0.84891466019418671</v>
      </c>
      <c r="BN63" s="137">
        <f>IF(AH63&lt;&gt;0,_xll.xSPRDOPT($BW63,$BV63,$CG63,2*LN(1+CA63/2),$BY63,$BX63,$BZ63,$AJ63,1,8)+(AJ63/365.25)*CH63/AH63,0)</f>
        <v>-1.0350911350197582</v>
      </c>
      <c r="BO63" s="137">
        <f>_xll.xSPRDOPT($BW63,$BV63,$CG63,0,$BY63,$BX63,$BZ63,$AJ63,1,0)</f>
        <v>0.71690441940300753</v>
      </c>
      <c r="BP63" s="137"/>
      <c r="BQ63" s="137"/>
      <c r="BR63" s="137"/>
      <c r="BS63" s="137"/>
      <c r="BV63" s="262">
        <v>3.4086956521739129</v>
      </c>
      <c r="BW63" s="136">
        <v>4.1619999999999999</v>
      </c>
      <c r="BX63" s="137">
        <v>0.29238245501397653</v>
      </c>
      <c r="BY63" s="137">
        <v>0.29238245501397653</v>
      </c>
      <c r="BZ63" s="137">
        <v>1</v>
      </c>
      <c r="CA63" s="137">
        <v>4.7327485112866399E-2</v>
      </c>
      <c r="CB63" s="137">
        <v>0.84891457563562278</v>
      </c>
      <c r="CC63" s="258">
        <v>1.2500000000000001E-2</v>
      </c>
      <c r="CD63" s="258">
        <v>7.4999999999999997E-3</v>
      </c>
      <c r="CE63" s="258">
        <v>0.85</v>
      </c>
      <c r="CF63" s="258">
        <v>0</v>
      </c>
      <c r="CG63" s="258">
        <v>3.6400000000000002E-2</v>
      </c>
      <c r="CH63" s="258">
        <v>9.3898441211056234</v>
      </c>
      <c r="CI63" s="258">
        <v>3.3119999999999998</v>
      </c>
      <c r="CJ63" s="258"/>
      <c r="CK63" s="258"/>
      <c r="CL63" s="258"/>
      <c r="CM63" s="258"/>
    </row>
    <row r="64" spans="1:91" x14ac:dyDescent="0.25">
      <c r="A64" s="723"/>
      <c r="B64" s="723"/>
      <c r="D64" s="31">
        <f t="shared" si="53"/>
        <v>38548</v>
      </c>
      <c r="F64" s="28">
        <f t="shared" si="54"/>
        <v>5895</v>
      </c>
      <c r="G64" s="28">
        <f t="shared" si="13"/>
        <v>4979.5411370259644</v>
      </c>
      <c r="H64" s="52">
        <f t="shared" si="55"/>
        <v>3.4496163682864447</v>
      </c>
      <c r="I64" s="52">
        <f t="shared" si="56"/>
        <v>4.4020000000000001</v>
      </c>
      <c r="K64" s="52">
        <f t="shared" si="57"/>
        <v>23.985839427271042</v>
      </c>
      <c r="L64" s="135">
        <f t="shared" si="58"/>
        <v>2.4008324714941409E-6</v>
      </c>
      <c r="N64" s="131">
        <f t="shared" si="18"/>
        <v>0.28848877686763669</v>
      </c>
      <c r="O64" s="131">
        <f t="shared" si="19"/>
        <v>0.28848877686763669</v>
      </c>
      <c r="P64" s="55">
        <f t="shared" si="59"/>
        <v>1.0000000000000002</v>
      </c>
      <c r="Q64" s="135">
        <f>_xll.xSPRDOPT(I64,H64,AQ64,0,O64,N64,P64,D64-$G$5,1,0)*AH64*AU64</f>
        <v>23.985841828103514</v>
      </c>
      <c r="R64" s="135"/>
      <c r="S64" s="181">
        <f t="shared" si="60"/>
        <v>-157602.31529146983</v>
      </c>
      <c r="T64" s="181">
        <f>_xll.xSPRDOPT(I64,H64,AQ64,AT64,O64,N64,P64,D64-$G$5,1,1)*AF64*F64*AH64</f>
        <v>154056.26319741175</v>
      </c>
      <c r="U64" s="135"/>
      <c r="V64" s="146">
        <f t="shared" si="61"/>
        <v>9.6547347470510037</v>
      </c>
      <c r="W64" s="146"/>
      <c r="X64" s="338">
        <f t="shared" si="62"/>
        <v>0</v>
      </c>
      <c r="Y64" s="338">
        <f t="shared" si="23"/>
        <v>0</v>
      </c>
      <c r="Z64" s="338">
        <f t="shared" si="24"/>
        <v>54.794321275515003</v>
      </c>
      <c r="AA64" s="338">
        <f t="shared" si="25"/>
        <v>-2.3466400124674315E-7</v>
      </c>
      <c r="AB64" s="338">
        <f t="shared" si="63"/>
        <v>0</v>
      </c>
      <c r="AC64" s="338">
        <f t="shared" si="64"/>
        <v>55.445988864412712</v>
      </c>
      <c r="AF64" s="138">
        <f t="shared" si="65"/>
        <v>1</v>
      </c>
      <c r="AG64" s="138">
        <f t="shared" si="66"/>
        <v>7</v>
      </c>
      <c r="AH64" s="138">
        <f t="shared" si="30"/>
        <v>31</v>
      </c>
      <c r="AI64" s="138">
        <f t="shared" si="67"/>
        <v>1292</v>
      </c>
      <c r="AJ64" s="138">
        <f t="shared" si="68"/>
        <v>1309</v>
      </c>
      <c r="AL64" s="136">
        <f t="shared" si="32"/>
        <v>3.3519999999999999</v>
      </c>
      <c r="AM64" s="258">
        <f t="shared" si="33"/>
        <v>1.2500000000000001E-2</v>
      </c>
      <c r="AN64" s="258">
        <f t="shared" si="34"/>
        <v>7.4999999999999997E-3</v>
      </c>
      <c r="AO64" s="258">
        <f t="shared" si="35"/>
        <v>1.05</v>
      </c>
      <c r="AP64" s="258">
        <f t="shared" si="36"/>
        <v>0</v>
      </c>
      <c r="AQ64" s="136">
        <f t="shared" si="69"/>
        <v>3.6400000000000002E-2</v>
      </c>
      <c r="AR64" s="137">
        <f t="shared" si="38"/>
        <v>2.2499999999999999E-2</v>
      </c>
      <c r="AS64" s="136">
        <f t="shared" si="70"/>
        <v>3.3719999999999999</v>
      </c>
      <c r="AT64" s="137">
        <f t="shared" si="71"/>
        <v>4.7760481058800999E-2</v>
      </c>
      <c r="AU64" s="137">
        <f t="shared" si="41"/>
        <v>0.84470587566174116</v>
      </c>
      <c r="AV64" s="394">
        <f t="shared" si="72"/>
        <v>3561.2799717899006</v>
      </c>
      <c r="AW64" s="137">
        <f t="shared" si="43"/>
        <v>0.28499999999999998</v>
      </c>
      <c r="AX64" s="137">
        <f t="shared" si="44"/>
        <v>0.5</v>
      </c>
      <c r="AY64" s="137">
        <f t="shared" si="45"/>
        <v>0.5</v>
      </c>
      <c r="AZ64" s="137"/>
      <c r="BA64" s="264"/>
      <c r="BB64" s="258">
        <f t="shared" si="46"/>
        <v>0</v>
      </c>
      <c r="BC64" s="258">
        <f t="shared" si="73"/>
        <v>0</v>
      </c>
      <c r="BD64" s="137">
        <f t="shared" si="74"/>
        <v>7.9383346645589548E-6</v>
      </c>
      <c r="BE64" s="137">
        <f t="shared" si="75"/>
        <v>7.9383346645589548E-6</v>
      </c>
      <c r="BF64" s="137">
        <f>_xll.xSPRDOPT($BW64,$BV64,$CG64,0,$BY64,$BX64,$BZ64,$AJ64,1,4)*$CB64</f>
        <v>1.4092086050200878E-6</v>
      </c>
      <c r="BG64" s="137">
        <f>_xll.xSPRDOPT($BW64,$BV64,$CG64,0,$BY64,$BX64,$BZ64,$AJ64,1,3)*$CB64</f>
        <v>1.0065775750143486E-6</v>
      </c>
      <c r="BH64" s="137">
        <f>IF(OR(BF64&lt;&gt;0,BG64&lt;&gt;0),_xll.xSPRDOPT($BW64,$BV64,$CG64,0,$BY64,$BX64,$BZ64,$AJ64,1,12)*$CB64,0)</f>
        <v>-1.1072353325157834E-6</v>
      </c>
      <c r="BI64" s="137">
        <f>_xll.xSPRDOPT($BW64,$BV64,$CG64,2*LN(1+CA64/2),$BY64,$BX64,$BZ64,$AJ64,1,9)</f>
        <v>3.6505560290535727E-2</v>
      </c>
      <c r="BJ64" s="137">
        <f>_xll.xSPRDOPT($BW64,$BV64,$CG64,0,$BY64,$BX64,$BZ64,$AJ64,1,6)*$CB64</f>
        <v>5.8594730151227021E-7</v>
      </c>
      <c r="BK64" s="137">
        <f>_xll.xSPRDOPT($BW64,$BV64,$CG64,0,$BY64,$BX64,$BZ64,$AJ64,1,5)*$CB64</f>
        <v>-7.4770746020810023E-7</v>
      </c>
      <c r="BL64" s="137">
        <f>_xll.xSPRDOPT(BW64,BV64,CG64,0,BY64,BX64,BZ64,AJ64,1,2)*CB64</f>
        <v>-0.84437855500664616</v>
      </c>
      <c r="BM64" s="137">
        <f>_xll.xSPRDOPT(BW64,BV64,CG64,0,BY64,BX64,BZ64,AJ64,1,1)*CB64</f>
        <v>0.84437855501125392</v>
      </c>
      <c r="BN64" s="137">
        <f>IF(AH64&lt;&gt;0,_xll.xSPRDOPT($BW64,$BV64,$CG64,2*LN(1+CA64/2),$BY64,$BX64,$BZ64,$AJ64,1,8)+(AJ64/365.25)*CH64/AH64,0)</f>
        <v>-1.6561478496298441</v>
      </c>
      <c r="BO64" s="137">
        <f>_xll.xSPRDOPT($BW64,$BV64,$CG64,0,$BY64,$BX64,$BZ64,$AJ64,1,0)</f>
        <v>0.91598372333597322</v>
      </c>
      <c r="BP64" s="137"/>
      <c r="BQ64" s="137"/>
      <c r="BR64" s="137"/>
      <c r="BS64" s="137"/>
      <c r="BV64" s="262">
        <v>3.4496163682864447</v>
      </c>
      <c r="BW64" s="136">
        <v>4.4020000000000001</v>
      </c>
      <c r="BX64" s="137">
        <v>0.28848083853297213</v>
      </c>
      <c r="BY64" s="137">
        <v>0.28848083853297213</v>
      </c>
      <c r="BZ64" s="137">
        <v>1</v>
      </c>
      <c r="CA64" s="137">
        <v>4.7760481058800999E-2</v>
      </c>
      <c r="CB64" s="137">
        <v>0.84437846983859632</v>
      </c>
      <c r="CC64" s="258">
        <v>1.2500000000000001E-2</v>
      </c>
      <c r="CD64" s="258">
        <v>7.4999999999999997E-3</v>
      </c>
      <c r="CE64" s="258">
        <v>1.05</v>
      </c>
      <c r="CF64" s="258">
        <v>0</v>
      </c>
      <c r="CG64" s="258">
        <v>3.6400000000000002E-2</v>
      </c>
      <c r="CH64" s="258">
        <v>9.6509925967142056</v>
      </c>
      <c r="CI64" s="258">
        <v>3.3519999999999999</v>
      </c>
      <c r="CJ64" s="258"/>
      <c r="CK64" s="258"/>
      <c r="CL64" s="258"/>
      <c r="CM64" s="258"/>
    </row>
    <row r="65" spans="1:91" x14ac:dyDescent="0.25">
      <c r="A65" s="723"/>
      <c r="B65" s="723"/>
      <c r="D65" s="31">
        <f t="shared" si="53"/>
        <v>38579</v>
      </c>
      <c r="F65" s="28">
        <f t="shared" si="54"/>
        <v>5895</v>
      </c>
      <c r="G65" s="28">
        <f t="shared" si="13"/>
        <v>4952.0922046226297</v>
      </c>
      <c r="H65" s="52">
        <f t="shared" si="55"/>
        <v>3.4905370843989769</v>
      </c>
      <c r="I65" s="52">
        <f t="shared" si="56"/>
        <v>4.4420000000000002</v>
      </c>
      <c r="K65" s="52">
        <f t="shared" si="57"/>
        <v>23.829644421323081</v>
      </c>
      <c r="L65" s="135">
        <f t="shared" si="58"/>
        <v>2.3631890471165207E-6</v>
      </c>
      <c r="N65" s="131">
        <f t="shared" si="18"/>
        <v>0.28946051993952615</v>
      </c>
      <c r="O65" s="131">
        <f t="shared" si="19"/>
        <v>0.28946051993952615</v>
      </c>
      <c r="P65" s="55">
        <f t="shared" si="59"/>
        <v>0.99999999999999989</v>
      </c>
      <c r="Q65" s="135">
        <f>_xll.xSPRDOPT(I65,H65,AQ65,0,O65,N65,P65,D65-$G$5,1,0)*AH65*AU65</f>
        <v>23.829646784512128</v>
      </c>
      <c r="R65" s="135"/>
      <c r="S65" s="181">
        <f t="shared" si="60"/>
        <v>-156720.3699395608</v>
      </c>
      <c r="T65" s="181">
        <f>_xll.xSPRDOPT(I65,H65,AQ65,AT65,O65,N65,P65,D65-$G$5,1,1)*AF65*F65*AH65</f>
        <v>153194.16161592069</v>
      </c>
      <c r="U65" s="135"/>
      <c r="V65" s="146">
        <f t="shared" si="61"/>
        <v>9.6015145498176881</v>
      </c>
      <c r="W65" s="146"/>
      <c r="X65" s="338">
        <f t="shared" si="62"/>
        <v>0</v>
      </c>
      <c r="Y65" s="338">
        <f t="shared" si="23"/>
        <v>0</v>
      </c>
      <c r="Z65" s="338">
        <f t="shared" si="24"/>
        <v>54.916755862587166</v>
      </c>
      <c r="AA65" s="338">
        <f t="shared" si="25"/>
        <v>-2.987974898128701E-7</v>
      </c>
      <c r="AB65" s="338">
        <f t="shared" si="63"/>
        <v>0</v>
      </c>
      <c r="AC65" s="338">
        <f t="shared" si="64"/>
        <v>55.575677673509553</v>
      </c>
      <c r="AF65" s="138">
        <f t="shared" si="65"/>
        <v>1</v>
      </c>
      <c r="AG65" s="138">
        <f t="shared" si="66"/>
        <v>8</v>
      </c>
      <c r="AH65" s="138">
        <f t="shared" si="30"/>
        <v>31</v>
      </c>
      <c r="AI65" s="138">
        <f t="shared" si="67"/>
        <v>1323</v>
      </c>
      <c r="AJ65" s="138">
        <f t="shared" si="68"/>
        <v>1340</v>
      </c>
      <c r="AL65" s="136">
        <f t="shared" si="32"/>
        <v>3.3919999999999999</v>
      </c>
      <c r="AM65" s="258">
        <f t="shared" si="33"/>
        <v>1.2500000000000001E-2</v>
      </c>
      <c r="AN65" s="258">
        <f t="shared" si="34"/>
        <v>7.4999999999999997E-3</v>
      </c>
      <c r="AO65" s="258">
        <f t="shared" si="35"/>
        <v>1.05</v>
      </c>
      <c r="AP65" s="258">
        <f t="shared" si="36"/>
        <v>0</v>
      </c>
      <c r="AQ65" s="136">
        <f t="shared" si="69"/>
        <v>3.6400000000000002E-2</v>
      </c>
      <c r="AR65" s="137">
        <f t="shared" si="38"/>
        <v>2.2499999999999999E-2</v>
      </c>
      <c r="AS65" s="136">
        <f t="shared" si="70"/>
        <v>3.4119999999999999</v>
      </c>
      <c r="AT65" s="137">
        <f t="shared" si="71"/>
        <v>4.81861434694211E-2</v>
      </c>
      <c r="AU65" s="137">
        <f t="shared" si="41"/>
        <v>0.84004956821418653</v>
      </c>
      <c r="AV65" s="394">
        <f t="shared" si="72"/>
        <v>3541.6489795910102</v>
      </c>
      <c r="AW65" s="137">
        <f t="shared" si="43"/>
        <v>0.28499999999999998</v>
      </c>
      <c r="AX65" s="137">
        <f t="shared" si="44"/>
        <v>0.55000000000000004</v>
      </c>
      <c r="AY65" s="137">
        <f t="shared" si="45"/>
        <v>0.55000000000000004</v>
      </c>
      <c r="AZ65" s="137"/>
      <c r="BA65" s="264"/>
      <c r="BB65" s="258">
        <f t="shared" si="46"/>
        <v>0</v>
      </c>
      <c r="BC65" s="258">
        <f t="shared" si="73"/>
        <v>0</v>
      </c>
      <c r="BD65" s="137">
        <f t="shared" si="74"/>
        <v>9.8983850019274122E-6</v>
      </c>
      <c r="BE65" s="137">
        <f t="shared" si="75"/>
        <v>9.8983850019274122E-6</v>
      </c>
      <c r="BF65" s="137">
        <f>_xll.xSPRDOPT($BW65,$BV65,$CG65,0,$BY65,$BX65,$BZ65,$AJ65,1,4)*$CB65</f>
        <v>-6.0061533458005616E-7</v>
      </c>
      <c r="BG65" s="137">
        <f>_xll.xSPRDOPT($BW65,$BV65,$CG65,0,$BY65,$BX65,$BZ65,$AJ65,1,3)*$CB65</f>
        <v>0</v>
      </c>
      <c r="BH65" s="137">
        <f>IF(OR(BF65&lt;&gt;0,BG65&lt;&gt;0),_xll.xSPRDOPT($BW65,$BV65,$CG65,0,$BY65,$BX65,$BZ65,$AJ65,1,12)*$CB65,0)</f>
        <v>-8.0082044610674158E-7</v>
      </c>
      <c r="BI65" s="137">
        <f>_xll.xSPRDOPT($BW65,$BV65,$CG65,2*LN(1+CA65/2),$BY65,$BX65,$BZ65,$AJ65,1,9)</f>
        <v>3.6587129750581343E-2</v>
      </c>
      <c r="BJ65" s="137">
        <f>_xll.xSPRDOPT($BW65,$BV65,$CG65,0,$BY65,$BX65,$BZ65,$AJ65,1,6)*$CB65</f>
        <v>6.0602963818521333E-7</v>
      </c>
      <c r="BK65" s="137">
        <f>_xll.xSPRDOPT($BW65,$BV65,$CG65,0,$BY65,$BX65,$BZ65,$AJ65,1,5)*$CB65</f>
        <v>-7.7121330385744711E-7</v>
      </c>
      <c r="BL65" s="137">
        <f>_xll.xSPRDOPT(BW65,BV65,CG65,0,BY65,BX65,BZ65,AJ65,1,2)*CB65</f>
        <v>-0.83972118404513296</v>
      </c>
      <c r="BM65" s="137">
        <f>_xll.xSPRDOPT(BW65,BV65,CG65,0,BY65,BX65,BZ65,AJ65,1,1)*CB65</f>
        <v>0.83972118405887997</v>
      </c>
      <c r="BN65" s="137">
        <f>IF(AH65&lt;&gt;0,_xll.xSPRDOPT($BW65,$BV65,$CG65,2*LN(1+CA65/2),$BY65,$BX65,$BZ65,$AJ65,1,8)+(AJ65/365.25)*CH65/AH65,0)</f>
        <v>-1.683181409680153</v>
      </c>
      <c r="BO65" s="137">
        <f>_xll.xSPRDOPT($BW65,$BV65,$CG65,0,$BY65,$BX65,$BZ65,$AJ65,1,0)</f>
        <v>0.91506300628613846</v>
      </c>
      <c r="BP65" s="137"/>
      <c r="BQ65" s="137"/>
      <c r="BR65" s="137"/>
      <c r="BS65" s="137"/>
      <c r="BV65" s="262">
        <v>3.4905370843989769</v>
      </c>
      <c r="BW65" s="136">
        <v>4.4420000000000002</v>
      </c>
      <c r="BX65" s="137">
        <v>0.28945062155452422</v>
      </c>
      <c r="BY65" s="137">
        <v>0.28945062155452422</v>
      </c>
      <c r="BZ65" s="137">
        <v>1</v>
      </c>
      <c r="CA65" s="137">
        <v>4.81861434694211E-2</v>
      </c>
      <c r="CB65" s="137">
        <v>0.83972110009682266</v>
      </c>
      <c r="CC65" s="258">
        <v>1.2500000000000001E-2</v>
      </c>
      <c r="CD65" s="258">
        <v>7.4999999999999997E-3</v>
      </c>
      <c r="CE65" s="258">
        <v>1.05</v>
      </c>
      <c r="CF65" s="258">
        <v>0</v>
      </c>
      <c r="CG65" s="258">
        <v>3.6400000000000002E-2</v>
      </c>
      <c r="CH65" s="258">
        <v>9.5977602577766543</v>
      </c>
      <c r="CI65" s="258">
        <v>3.3919999999999999</v>
      </c>
      <c r="CJ65" s="258"/>
      <c r="CK65" s="258"/>
      <c r="CL65" s="258"/>
      <c r="CM65" s="258"/>
    </row>
    <row r="66" spans="1:91" x14ac:dyDescent="0.25">
      <c r="A66" s="723"/>
      <c r="B66" s="723"/>
      <c r="D66" s="31">
        <f t="shared" si="53"/>
        <v>38610</v>
      </c>
      <c r="F66" s="28">
        <f t="shared" si="54"/>
        <v>5895</v>
      </c>
      <c r="G66" s="28">
        <f t="shared" si="13"/>
        <v>4924.4486798770704</v>
      </c>
      <c r="H66" s="52">
        <f t="shared" si="55"/>
        <v>3.4803069053708438</v>
      </c>
      <c r="I66" s="52">
        <f t="shared" si="56"/>
        <v>4.1370000000000005</v>
      </c>
      <c r="K66" s="52">
        <f t="shared" si="57"/>
        <v>15.545045857421954</v>
      </c>
      <c r="L66" s="135">
        <f t="shared" si="58"/>
        <v>1.5688319603412992E-6</v>
      </c>
      <c r="N66" s="131">
        <f t="shared" si="18"/>
        <v>0.28922221332025494</v>
      </c>
      <c r="O66" s="131">
        <f t="shared" si="19"/>
        <v>0.28922221332025494</v>
      </c>
      <c r="P66" s="55">
        <f t="shared" si="59"/>
        <v>0.99999999999999989</v>
      </c>
      <c r="Q66" s="135">
        <f>_xll.xSPRDOPT(I66,H66,AQ66,0,O66,N66,P66,D66-$G$5,1,0)*AH66*AU66</f>
        <v>15.545047426253914</v>
      </c>
      <c r="R66" s="135"/>
      <c r="S66" s="181">
        <f t="shared" si="60"/>
        <v>-150805.25451281367</v>
      </c>
      <c r="T66" s="181">
        <f>_xll.xSPRDOPT(I66,H66,AQ66,AT66,O66,N66,P66,D66-$G$5,1,1)*AF66*F66*AH66</f>
        <v>147412.13628627537</v>
      </c>
      <c r="U66" s="135"/>
      <c r="V66" s="146">
        <f t="shared" si="61"/>
        <v>9.2399197367464421</v>
      </c>
      <c r="W66" s="146"/>
      <c r="X66" s="338">
        <f t="shared" si="62"/>
        <v>0</v>
      </c>
      <c r="Y66" s="338">
        <f t="shared" si="23"/>
        <v>0</v>
      </c>
      <c r="Z66" s="338">
        <f t="shared" si="24"/>
        <v>36.136994351829735</v>
      </c>
      <c r="AA66" s="338">
        <f t="shared" si="25"/>
        <v>3.675513166755986E-8</v>
      </c>
      <c r="AB66" s="338">
        <f t="shared" si="63"/>
        <v>0</v>
      </c>
      <c r="AC66" s="338">
        <f t="shared" si="64"/>
        <v>36.574408992181674</v>
      </c>
      <c r="AF66" s="138">
        <f t="shared" si="65"/>
        <v>1</v>
      </c>
      <c r="AG66" s="138">
        <f t="shared" si="66"/>
        <v>9</v>
      </c>
      <c r="AH66" s="138">
        <f t="shared" si="30"/>
        <v>30</v>
      </c>
      <c r="AI66" s="138">
        <f t="shared" si="67"/>
        <v>1354</v>
      </c>
      <c r="AJ66" s="138">
        <f t="shared" si="68"/>
        <v>1371</v>
      </c>
      <c r="AL66" s="136">
        <f t="shared" si="32"/>
        <v>3.387</v>
      </c>
      <c r="AM66" s="258">
        <f t="shared" si="33"/>
        <v>7.4999999999999997E-3</v>
      </c>
      <c r="AN66" s="258">
        <f t="shared" si="34"/>
        <v>7.4999999999999997E-3</v>
      </c>
      <c r="AO66" s="258">
        <f t="shared" si="35"/>
        <v>0.75</v>
      </c>
      <c r="AP66" s="258">
        <f t="shared" si="36"/>
        <v>0</v>
      </c>
      <c r="AQ66" s="136">
        <f t="shared" si="69"/>
        <v>3.6400000000000002E-2</v>
      </c>
      <c r="AR66" s="137">
        <f t="shared" si="38"/>
        <v>2.2499999999999999E-2</v>
      </c>
      <c r="AS66" s="136">
        <f t="shared" si="70"/>
        <v>3.4019999999999997</v>
      </c>
      <c r="AT66" s="137">
        <f t="shared" si="71"/>
        <v>4.8611805940590898E-2</v>
      </c>
      <c r="AU66" s="137">
        <f t="shared" si="41"/>
        <v>0.8353602510393674</v>
      </c>
      <c r="AV66" s="394">
        <f t="shared" si="72"/>
        <v>3408.2698242406191</v>
      </c>
      <c r="AW66" s="137">
        <f t="shared" si="43"/>
        <v>0.28499999999999998</v>
      </c>
      <c r="AX66" s="137">
        <f t="shared" si="44"/>
        <v>0.55000000000000004</v>
      </c>
      <c r="AY66" s="137">
        <f t="shared" si="45"/>
        <v>0.55000000000000004</v>
      </c>
      <c r="AZ66" s="137"/>
      <c r="BA66" s="264"/>
      <c r="BB66" s="258">
        <f t="shared" si="46"/>
        <v>0</v>
      </c>
      <c r="BC66" s="258">
        <f t="shared" si="73"/>
        <v>0</v>
      </c>
      <c r="BD66" s="137">
        <f t="shared" si="74"/>
        <v>9.1650015730526668E-6</v>
      </c>
      <c r="BE66" s="137">
        <f t="shared" si="75"/>
        <v>9.1650015730526668E-6</v>
      </c>
      <c r="BF66" s="137">
        <f>_xll.xSPRDOPT($BW66,$BV66,$CG66,0,$BY66,$BX66,$BZ66,$AJ66,1,4)*$CB66</f>
        <v>-5.972605462310922E-7</v>
      </c>
      <c r="BG66" s="137">
        <f>_xll.xSPRDOPT($BW66,$BV66,$CG66,0,$BY66,$BX66,$BZ66,$AJ66,1,3)*$CB66</f>
        <v>5.972605462310922E-7</v>
      </c>
      <c r="BH66" s="137">
        <f>IF(OR(BF66&lt;&gt;0,BG66&lt;&gt;0),_xll.xSPRDOPT($BW66,$BV66,$CG66,0,$BY66,$BX66,$BZ66,$AJ66,1,12)*$CB66,0)</f>
        <v>-4.9771712185924343E-7</v>
      </c>
      <c r="BI66" s="137">
        <f>_xll.xSPRDOPT($BW66,$BV66,$CG66,2*LN(1+CA66/2),$BY66,$BX66,$BZ66,$AJ66,1,9)</f>
        <v>2.4878026928669889E-2</v>
      </c>
      <c r="BJ66" s="137">
        <f>_xll.xSPRDOPT($BW66,$BV66,$CG66,0,$BY66,$BX66,$BZ66,$AJ66,1,6)*$CB66</f>
        <v>-1.2024955442370161E-7</v>
      </c>
      <c r="BK66" s="137">
        <f>_xll.xSPRDOPT($BW66,$BV66,$CG66,0,$BY66,$BX66,$BZ66,$AJ66,1,5)*$CB66</f>
        <v>1.4292628158808058E-7</v>
      </c>
      <c r="BL66" s="137">
        <f>_xll.xSPRDOPT(BW66,BV66,CG66,0,BY66,BX66,BZ66,AJ66,1,2)*CB66</f>
        <v>-0.83503082966487019</v>
      </c>
      <c r="BM66" s="137">
        <f>_xll.xSPRDOPT(BW66,BV66,CG66,0,BY66,BX66,BZ66,AJ66,1,1)*CB66</f>
        <v>0.83503082966335118</v>
      </c>
      <c r="BN66" s="137">
        <f>IF(AH66&lt;&gt;0,_xll.xSPRDOPT($BW66,$BV66,$CG66,2*LN(1+CA66/2),$BY66,$BX66,$BZ66,$AJ66,1,8)+(AJ66/365.25)*CH66/AH66,0)</f>
        <v>-0.78858503700754823</v>
      </c>
      <c r="BO66" s="137">
        <f>_xll.xSPRDOPT($BW66,$BV66,$CG66,0,$BY66,$BX66,$BZ66,$AJ66,1,0)</f>
        <v>0.62029315723863132</v>
      </c>
      <c r="BP66" s="137"/>
      <c r="BQ66" s="137"/>
      <c r="BR66" s="137"/>
      <c r="BS66" s="137"/>
      <c r="BV66" s="262">
        <v>3.4803069053708438</v>
      </c>
      <c r="BW66" s="136">
        <v>4.1370000000000005</v>
      </c>
      <c r="BX66" s="137">
        <v>0.28921304831868189</v>
      </c>
      <c r="BY66" s="137">
        <v>0.28921304831868189</v>
      </c>
      <c r="BZ66" s="137">
        <v>1</v>
      </c>
      <c r="CA66" s="137">
        <v>4.8611805940590898E-2</v>
      </c>
      <c r="CB66" s="137">
        <v>0.8350307660330849</v>
      </c>
      <c r="CC66" s="258">
        <v>7.4999999999999997E-3</v>
      </c>
      <c r="CD66" s="258">
        <v>7.4999999999999997E-3</v>
      </c>
      <c r="CE66" s="258">
        <v>0.75</v>
      </c>
      <c r="CF66" s="258">
        <v>0</v>
      </c>
      <c r="CG66" s="258">
        <v>3.6400000000000002E-2</v>
      </c>
      <c r="CH66" s="258">
        <v>9.2362753030919524</v>
      </c>
      <c r="CI66" s="258">
        <v>3.387</v>
      </c>
      <c r="CJ66" s="258"/>
      <c r="CK66" s="258"/>
      <c r="CL66" s="258"/>
      <c r="CM66" s="258"/>
    </row>
    <row r="67" spans="1:91" x14ac:dyDescent="0.25">
      <c r="A67" s="723"/>
      <c r="B67" s="723"/>
      <c r="D67" s="31">
        <f t="shared" si="53"/>
        <v>38640</v>
      </c>
      <c r="F67" s="28">
        <f t="shared" si="54"/>
        <v>6669</v>
      </c>
      <c r="G67" s="28">
        <f t="shared" si="13"/>
        <v>5540.8509880522943</v>
      </c>
      <c r="H67" s="52">
        <f t="shared" si="55"/>
        <v>3.5148717948717945</v>
      </c>
      <c r="I67" s="52">
        <f t="shared" si="56"/>
        <v>3.8620000000000001</v>
      </c>
      <c r="K67" s="52">
        <f t="shared" si="57"/>
        <v>8.0030977889354276</v>
      </c>
      <c r="L67" s="135">
        <f t="shared" si="58"/>
        <v>1.4227352547635519E-5</v>
      </c>
      <c r="N67" s="131">
        <f t="shared" si="18"/>
        <v>0.29036621737544821</v>
      </c>
      <c r="O67" s="131">
        <f t="shared" si="19"/>
        <v>0.29036621737544821</v>
      </c>
      <c r="P67" s="55">
        <f t="shared" si="59"/>
        <v>0.99999999999999989</v>
      </c>
      <c r="Q67" s="135">
        <f>_xll.xSPRDOPT(I67,H67,AQ67,0,O67,N67,P67,D67-$G$5,1,0)*AH67*AU67</f>
        <v>8.0031120162879752</v>
      </c>
      <c r="R67" s="135"/>
      <c r="S67" s="181">
        <f t="shared" si="60"/>
        <v>-175770.9621678956</v>
      </c>
      <c r="T67" s="181">
        <f>_xll.xSPRDOPT(I67,H67,AQ67,AT67,O67,N67,P67,D67-$G$5,1,1)*AF67*F67*AH67</f>
        <v>171376.68811369821</v>
      </c>
      <c r="U67" s="135"/>
      <c r="V67" s="146">
        <f t="shared" si="61"/>
        <v>9.496216005119404</v>
      </c>
      <c r="W67" s="146"/>
      <c r="X67" s="338">
        <f t="shared" si="62"/>
        <v>0</v>
      </c>
      <c r="Y67" s="338">
        <f t="shared" si="23"/>
        <v>0</v>
      </c>
      <c r="Z67" s="338">
        <f t="shared" si="24"/>
        <v>21.215561265436698</v>
      </c>
      <c r="AA67" s="338">
        <f t="shared" si="25"/>
        <v>5.9053318493159335E-5</v>
      </c>
      <c r="AB67" s="338">
        <f t="shared" si="63"/>
        <v>0</v>
      </c>
      <c r="AC67" s="338">
        <f t="shared" si="64"/>
        <v>21.476085541215554</v>
      </c>
      <c r="AF67" s="138">
        <f t="shared" si="65"/>
        <v>1</v>
      </c>
      <c r="AG67" s="138">
        <f t="shared" si="66"/>
        <v>10</v>
      </c>
      <c r="AH67" s="138">
        <f t="shared" si="30"/>
        <v>31</v>
      </c>
      <c r="AI67" s="138">
        <f t="shared" si="67"/>
        <v>1384</v>
      </c>
      <c r="AJ67" s="138">
        <f t="shared" si="68"/>
        <v>1401</v>
      </c>
      <c r="AL67" s="136">
        <f t="shared" si="32"/>
        <v>3.4119999999999999</v>
      </c>
      <c r="AM67" s="258">
        <f t="shared" si="33"/>
        <v>7.4999999999999997E-3</v>
      </c>
      <c r="AN67" s="258">
        <f t="shared" si="34"/>
        <v>7.4999999999999997E-3</v>
      </c>
      <c r="AO67" s="258">
        <f t="shared" si="35"/>
        <v>0.45</v>
      </c>
      <c r="AP67" s="258">
        <f t="shared" si="36"/>
        <v>0</v>
      </c>
      <c r="AQ67" s="136">
        <f t="shared" si="69"/>
        <v>3.6400000000000002E-2</v>
      </c>
      <c r="AR67" s="137">
        <f t="shared" si="38"/>
        <v>2.5000000000000001E-2</v>
      </c>
      <c r="AS67" s="136">
        <f t="shared" si="70"/>
        <v>3.4269999999999996</v>
      </c>
      <c r="AT67" s="137">
        <f t="shared" si="71"/>
        <v>4.9009151354921801E-2</v>
      </c>
      <c r="AU67" s="137">
        <f t="shared" si="41"/>
        <v>0.83083685530848617</v>
      </c>
      <c r="AV67" s="394">
        <f t="shared" si="72"/>
        <v>4404.2661699902856</v>
      </c>
      <c r="AW67" s="137">
        <f t="shared" si="43"/>
        <v>0.28499999999999998</v>
      </c>
      <c r="AX67" s="137">
        <f t="shared" si="44"/>
        <v>0.6</v>
      </c>
      <c r="AY67" s="137">
        <f t="shared" si="45"/>
        <v>0.6</v>
      </c>
      <c r="AZ67" s="137"/>
      <c r="BA67" s="264"/>
      <c r="BB67" s="258">
        <f t="shared" si="46"/>
        <v>0</v>
      </c>
      <c r="BC67" s="258">
        <f t="shared" si="73"/>
        <v>0</v>
      </c>
      <c r="BD67" s="137">
        <f t="shared" si="74"/>
        <v>1.1372695913058894E-5</v>
      </c>
      <c r="BE67" s="137">
        <f t="shared" si="75"/>
        <v>1.1372695913058894E-5</v>
      </c>
      <c r="BF67" s="137">
        <f>_xll.xSPRDOPT($BW67,$BV67,$CG67,0,$BY67,$BX67,$BZ67,$AJ67,1,4)*$CB67</f>
        <v>2.9701227255307887E-7</v>
      </c>
      <c r="BG67" s="137">
        <f>_xll.xSPRDOPT($BW67,$BV67,$CG67,0,$BY67,$BX67,$BZ67,$AJ67,1,3)*$CB67</f>
        <v>4.9502045425513141E-7</v>
      </c>
      <c r="BH67" s="137">
        <f>IF(OR(BF67&lt;&gt;0,BG67&lt;&gt;0),_xll.xSPRDOPT($BW67,$BV67,$CG67,0,$BY67,$BX67,$BZ67,$AJ67,1,12)*$CB67,0)</f>
        <v>-3.9601636340410514E-7</v>
      </c>
      <c r="BI67" s="137">
        <f>_xll.xSPRDOPT($BW67,$BV67,$CG67,2*LN(1+CA67/2),$BY67,$BX67,$BZ67,$AJ67,1,9)</f>
        <v>1.2493987994848179E-2</v>
      </c>
      <c r="BJ67" s="137">
        <f>_xll.xSPRDOPT($BW67,$BV67,$CG67,0,$BY67,$BX67,$BZ67,$AJ67,1,6)*$CB67</f>
        <v>-2.5431865135460471E-4</v>
      </c>
      <c r="BK67" s="137">
        <f>_xll.xSPRDOPT($BW67,$BV67,$CG67,0,$BY67,$BX67,$BZ67,$AJ67,1,5)*$CB67</f>
        <v>2.794351137307269E-4</v>
      </c>
      <c r="BL67" s="137">
        <f>_xll.xSPRDOPT(BW67,BV67,CG67,0,BY67,BX67,BZ67,AJ67,1,2)*CB67</f>
        <v>-0.83049834289788504</v>
      </c>
      <c r="BM67" s="137">
        <f>_xll.xSPRDOPT(BW67,BV67,CG67,0,BY67,BX67,BZ67,AJ67,1,1)*CB67</f>
        <v>0.83049834289788504</v>
      </c>
      <c r="BN67" s="137">
        <f>IF(AH67&lt;&gt;0,_xll.xSPRDOPT($BW67,$BV67,$CG67,2*LN(1+CA67/2),$BY67,$BX67,$BZ67,$AJ67,1,8)+(AJ67/365.25)*CH67/AH67,0)</f>
        <v>0.18467303709779359</v>
      </c>
      <c r="BO67" s="137">
        <f>_xll.xSPRDOPT($BW67,$BV67,$CG67,0,$BY67,$BX67,$BZ67,$AJ67,1,0)</f>
        <v>0.31072876659367826</v>
      </c>
      <c r="BP67" s="137"/>
      <c r="BQ67" s="137"/>
      <c r="BR67" s="137"/>
      <c r="BS67" s="137"/>
      <c r="BV67" s="262">
        <v>3.5148717948717945</v>
      </c>
      <c r="BW67" s="136">
        <v>3.8620000000000001</v>
      </c>
      <c r="BX67" s="137">
        <v>0.29035484467953515</v>
      </c>
      <c r="BY67" s="137">
        <v>0.29035484467953515</v>
      </c>
      <c r="BZ67" s="137">
        <v>1</v>
      </c>
      <c r="CA67" s="137">
        <v>4.9009151354921801E-2</v>
      </c>
      <c r="CB67" s="137">
        <v>0.83050650854564589</v>
      </c>
      <c r="CC67" s="258">
        <v>7.4999999999999997E-3</v>
      </c>
      <c r="CD67" s="258">
        <v>7.4999999999999997E-3</v>
      </c>
      <c r="CE67" s="258">
        <v>0.45</v>
      </c>
      <c r="CF67" s="258">
        <v>0</v>
      </c>
      <c r="CG67" s="258">
        <v>3.6400000000000002E-2</v>
      </c>
      <c r="CH67" s="258">
        <v>9.4924402407241697</v>
      </c>
      <c r="CI67" s="258">
        <v>3.4119999999999999</v>
      </c>
      <c r="CJ67" s="258"/>
      <c r="CK67" s="258"/>
      <c r="CL67" s="258"/>
      <c r="CM67" s="258"/>
    </row>
    <row r="68" spans="1:91" x14ac:dyDescent="0.25">
      <c r="A68" s="723"/>
      <c r="B68" s="723"/>
      <c r="D68" s="31">
        <f t="shared" si="53"/>
        <v>38671</v>
      </c>
      <c r="F68" s="28">
        <f t="shared" si="54"/>
        <v>11107</v>
      </c>
      <c r="G68" s="28">
        <f t="shared" si="13"/>
        <v>9176.8345930219457</v>
      </c>
      <c r="H68" s="52">
        <f t="shared" si="55"/>
        <v>3.6588235294117641</v>
      </c>
      <c r="I68" s="52">
        <f t="shared" si="56"/>
        <v>4.0140000000000002</v>
      </c>
      <c r="K68" s="52">
        <f t="shared" si="57"/>
        <v>7.9013926606704823</v>
      </c>
      <c r="L68" s="135">
        <f t="shared" si="58"/>
        <v>1.7661956315251359E-5</v>
      </c>
      <c r="N68" s="131">
        <f t="shared" si="18"/>
        <v>0.29510383973065518</v>
      </c>
      <c r="O68" s="131">
        <f t="shared" si="19"/>
        <v>0.29510383973065518</v>
      </c>
      <c r="P68" s="55">
        <f t="shared" si="59"/>
        <v>0.99999999999999989</v>
      </c>
      <c r="Q68" s="135">
        <f>_xll.xSPRDOPT(I68,H68,AQ68,0,O68,N68,P68,D68-$G$5,1,0)*AH68*AU68</f>
        <v>7.9014103226267975</v>
      </c>
      <c r="R68" s="135"/>
      <c r="S68" s="181">
        <f t="shared" si="60"/>
        <v>-280979.00416124373</v>
      </c>
      <c r="T68" s="181">
        <f>_xll.xSPRDOPT(I68,H68,AQ68,AT68,O68,N68,P68,D68-$G$5,1,1)*AF68*F68*AH68</f>
        <v>274656.97656761575</v>
      </c>
      <c r="U68" s="135"/>
      <c r="V68" s="146">
        <f t="shared" si="61"/>
        <v>9.1388284355285627</v>
      </c>
      <c r="W68" s="146"/>
      <c r="X68" s="338">
        <f t="shared" si="62"/>
        <v>0</v>
      </c>
      <c r="Y68" s="338">
        <f t="shared" si="23"/>
        <v>0</v>
      </c>
      <c r="Z68" s="338">
        <f t="shared" si="24"/>
        <v>35.154111258644122</v>
      </c>
      <c r="AA68" s="338">
        <f t="shared" si="25"/>
        <v>1.6736753410877457E-4</v>
      </c>
      <c r="AB68" s="338">
        <f t="shared" si="63"/>
        <v>0</v>
      </c>
      <c r="AC68" s="338">
        <f t="shared" si="64"/>
        <v>35.588948224708346</v>
      </c>
      <c r="AF68" s="138">
        <f t="shared" si="65"/>
        <v>1</v>
      </c>
      <c r="AG68" s="138">
        <f t="shared" si="66"/>
        <v>11</v>
      </c>
      <c r="AH68" s="138">
        <f t="shared" si="30"/>
        <v>30</v>
      </c>
      <c r="AI68" s="138">
        <f t="shared" si="67"/>
        <v>1415</v>
      </c>
      <c r="AJ68" s="138">
        <f t="shared" si="68"/>
        <v>1432</v>
      </c>
      <c r="AL68" s="136">
        <f t="shared" si="32"/>
        <v>3.5640000000000001</v>
      </c>
      <c r="AM68" s="258">
        <f t="shared" si="33"/>
        <v>5.0000000000000001E-3</v>
      </c>
      <c r="AN68" s="258">
        <f t="shared" si="34"/>
        <v>7.4999999999999997E-3</v>
      </c>
      <c r="AO68" s="258">
        <f t="shared" si="35"/>
        <v>0.45</v>
      </c>
      <c r="AP68" s="258">
        <f t="shared" si="36"/>
        <v>0</v>
      </c>
      <c r="AQ68" s="136">
        <f t="shared" si="69"/>
        <v>3.6400000000000002E-2</v>
      </c>
      <c r="AR68" s="137">
        <f t="shared" si="38"/>
        <v>2.2499999999999999E-2</v>
      </c>
      <c r="AS68" s="136">
        <f t="shared" si="70"/>
        <v>3.5764999999999998</v>
      </c>
      <c r="AT68" s="137">
        <f t="shared" si="71"/>
        <v>4.9392017987160801E-2</v>
      </c>
      <c r="AU68" s="137">
        <f t="shared" si="41"/>
        <v>0.82622081507355238</v>
      </c>
      <c r="AV68" s="394">
        <f t="shared" si="72"/>
        <v>6345.3758597648821</v>
      </c>
      <c r="AW68" s="137">
        <f t="shared" si="43"/>
        <v>0.28499999999999998</v>
      </c>
      <c r="AX68" s="137">
        <f t="shared" si="44"/>
        <v>0.8</v>
      </c>
      <c r="AY68" s="137">
        <f t="shared" si="45"/>
        <v>0.8</v>
      </c>
      <c r="AZ68" s="137"/>
      <c r="BA68" s="264"/>
      <c r="BB68" s="258">
        <f t="shared" si="46"/>
        <v>0</v>
      </c>
      <c r="BC68" s="258">
        <f t="shared" si="73"/>
        <v>0</v>
      </c>
      <c r="BD68" s="137">
        <f t="shared" si="74"/>
        <v>2.0791110959539338E-5</v>
      </c>
      <c r="BE68" s="137">
        <f t="shared" si="75"/>
        <v>2.0791110959539338E-5</v>
      </c>
      <c r="BF68" s="137">
        <f>_xll.xSPRDOPT($BW68,$BV68,$CG68,0,$BY68,$BX68,$BZ68,$AJ68,1,4)*$CB68</f>
        <v>4.9226866296741292E-7</v>
      </c>
      <c r="BG68" s="137">
        <f>_xll.xSPRDOPT($BW68,$BV68,$CG68,0,$BY68,$BX68,$BZ68,$AJ68,1,3)*$CB68</f>
        <v>9.8453732593482583E-7</v>
      </c>
      <c r="BH68" s="137">
        <f>IF(OR(BF68&lt;&gt;0,BG68&lt;&gt;0),_xll.xSPRDOPT($BW68,$BV68,$CG68,0,$BY68,$BX68,$BZ68,$AJ68,1,12)*$CB68,0)</f>
        <v>4.9226866296741296E-8</v>
      </c>
      <c r="BI68" s="137">
        <f>_xll.xSPRDOPT($BW68,$BV68,$CG68,2*LN(1+CA68/2),$BY68,$BX68,$BZ68,$AJ68,1,9)</f>
        <v>1.2844791710152521E-2</v>
      </c>
      <c r="BJ68" s="137">
        <f>_xll.xSPRDOPT($BW68,$BV68,$CG68,0,$BY68,$BX68,$BZ68,$AJ68,1,6)*$CB68</f>
        <v>-2.4887018151355575E-4</v>
      </c>
      <c r="BK68" s="137">
        <f>_xll.xSPRDOPT($BW68,$BV68,$CG68,0,$BY68,$BX68,$BZ68,$AJ68,1,5)*$CB68</f>
        <v>2.7302898909386999E-4</v>
      </c>
      <c r="BL68" s="137">
        <f>_xll.xSPRDOPT(BW68,BV68,CG68,0,BY68,BX68,BZ68,AJ68,1,2)*CB68</f>
        <v>-0.82588220360924058</v>
      </c>
      <c r="BM68" s="137">
        <f>_xll.xSPRDOPT(BW68,BV68,CG68,0,BY68,BX68,BZ68,AJ68,1,1)*CB68</f>
        <v>0.82588220359346665</v>
      </c>
      <c r="BN68" s="137">
        <f>IF(AH68&lt;&gt;0,_xll.xSPRDOPT($BW68,$BV68,$CG68,2*LN(1+CA68/2),$BY68,$BX68,$BZ68,$AJ68,1,8)+(AJ68/365.25)*CH68/AH68,0)</f>
        <v>0.16164932222820472</v>
      </c>
      <c r="BO68" s="137">
        <f>_xll.xSPRDOPT($BW68,$BV68,$CG68,0,$BY68,$BX68,$BZ68,$AJ68,1,0)</f>
        <v>0.3187771915974103</v>
      </c>
      <c r="BP68" s="137"/>
      <c r="BQ68" s="137"/>
      <c r="BR68" s="137"/>
      <c r="BS68" s="137"/>
      <c r="BV68" s="262">
        <v>3.6588235294117641</v>
      </c>
      <c r="BW68" s="136">
        <v>4.0140000000000002</v>
      </c>
      <c r="BX68" s="137">
        <v>0.29508304861969564</v>
      </c>
      <c r="BY68" s="137">
        <v>0.29508304861969564</v>
      </c>
      <c r="BZ68" s="137">
        <v>1</v>
      </c>
      <c r="CA68" s="137">
        <v>4.9392017987160801E-2</v>
      </c>
      <c r="CB68" s="137">
        <v>0.82588976886354881</v>
      </c>
      <c r="CC68" s="258">
        <v>5.0000000000000001E-3</v>
      </c>
      <c r="CD68" s="258">
        <v>7.4999999999999997E-3</v>
      </c>
      <c r="CE68" s="258">
        <v>0.45</v>
      </c>
      <c r="CF68" s="258">
        <v>0</v>
      </c>
      <c r="CG68" s="258">
        <v>3.6400000000000002E-2</v>
      </c>
      <c r="CH68" s="258">
        <v>9.1351667333997142</v>
      </c>
      <c r="CI68" s="258">
        <v>3.5640000000000001</v>
      </c>
      <c r="CJ68" s="258"/>
      <c r="CK68" s="258"/>
      <c r="CL68" s="258"/>
      <c r="CM68" s="258"/>
    </row>
    <row r="69" spans="1:91" x14ac:dyDescent="0.25">
      <c r="A69" s="723"/>
      <c r="B69" s="723"/>
      <c r="D69" s="31">
        <f t="shared" si="53"/>
        <v>38701</v>
      </c>
      <c r="F69" s="28">
        <f t="shared" si="54"/>
        <v>11107</v>
      </c>
      <c r="G69" s="28">
        <f t="shared" si="13"/>
        <v>9126.9405449834248</v>
      </c>
      <c r="H69" s="52">
        <f t="shared" si="55"/>
        <v>3.8051150895140657</v>
      </c>
      <c r="I69" s="52">
        <f t="shared" si="56"/>
        <v>4.1070000000000002</v>
      </c>
      <c r="K69" s="52">
        <f t="shared" si="57"/>
        <v>6.7628535879586282</v>
      </c>
      <c r="L69" s="135">
        <f t="shared" si="58"/>
        <v>9.0634093231400925E-5</v>
      </c>
      <c r="N69" s="131">
        <f t="shared" si="18"/>
        <v>0.30162191373118435</v>
      </c>
      <c r="O69" s="131">
        <f t="shared" si="19"/>
        <v>0.30162191373118435</v>
      </c>
      <c r="P69" s="55">
        <f t="shared" si="59"/>
        <v>1</v>
      </c>
      <c r="Q69" s="135">
        <f>_xll.xSPRDOPT(I69,H69,AQ69,0,O69,N69,P69,D69-$G$5,1,0)*AH69*AU69</f>
        <v>6.7629442220518596</v>
      </c>
      <c r="R69" s="135"/>
      <c r="S69" s="181">
        <f t="shared" si="60"/>
        <v>-288725.31274710794</v>
      </c>
      <c r="T69" s="181">
        <f>_xll.xSPRDOPT(I69,H69,AQ69,AT69,O69,N69,P69,D69-$G$5,1,1)*AF69*F69*AH69</f>
        <v>282228.99321029801</v>
      </c>
      <c r="U69" s="135"/>
      <c r="V69" s="146">
        <f t="shared" si="61"/>
        <v>9.3921123928150756</v>
      </c>
      <c r="W69" s="146"/>
      <c r="X69" s="338">
        <f t="shared" si="62"/>
        <v>0</v>
      </c>
      <c r="Y69" s="338">
        <f t="shared" si="23"/>
        <v>0</v>
      </c>
      <c r="Z69" s="338">
        <f t="shared" si="24"/>
        <v>30.299759452555449</v>
      </c>
      <c r="AA69" s="338">
        <f t="shared" si="25"/>
        <v>1.5240922395986884E-3</v>
      </c>
      <c r="AB69" s="338">
        <f t="shared" si="63"/>
        <v>0</v>
      </c>
      <c r="AC69" s="338">
        <f t="shared" si="64"/>
        <v>30.689572159746</v>
      </c>
      <c r="AF69" s="138">
        <f t="shared" si="65"/>
        <v>1</v>
      </c>
      <c r="AG69" s="138">
        <f t="shared" si="66"/>
        <v>12</v>
      </c>
      <c r="AH69" s="138">
        <f t="shared" si="30"/>
        <v>31</v>
      </c>
      <c r="AI69" s="138">
        <f t="shared" si="67"/>
        <v>1445</v>
      </c>
      <c r="AJ69" s="138">
        <f t="shared" si="68"/>
        <v>1462</v>
      </c>
      <c r="AL69" s="136">
        <f t="shared" si="32"/>
        <v>3.7069999999999999</v>
      </c>
      <c r="AM69" s="258">
        <f t="shared" si="33"/>
        <v>5.0000000000000001E-3</v>
      </c>
      <c r="AN69" s="258">
        <f t="shared" si="34"/>
        <v>7.4999999999999997E-3</v>
      </c>
      <c r="AO69" s="258">
        <f t="shared" si="35"/>
        <v>0.4</v>
      </c>
      <c r="AP69" s="258">
        <f t="shared" si="36"/>
        <v>0</v>
      </c>
      <c r="AQ69" s="136">
        <f t="shared" si="69"/>
        <v>3.6400000000000002E-2</v>
      </c>
      <c r="AR69" s="137">
        <f t="shared" si="38"/>
        <v>2.2499999999999999E-2</v>
      </c>
      <c r="AS69" s="136">
        <f t="shared" si="70"/>
        <v>3.7194999999999996</v>
      </c>
      <c r="AT69" s="137">
        <f t="shared" si="71"/>
        <v>4.97625341294907E-2</v>
      </c>
      <c r="AU69" s="137">
        <f t="shared" si="41"/>
        <v>0.82172868866331361</v>
      </c>
      <c r="AV69" s="394">
        <f t="shared" si="72"/>
        <v>6521.2388732320569</v>
      </c>
      <c r="AW69" s="137">
        <f t="shared" si="43"/>
        <v>0.28499999999999998</v>
      </c>
      <c r="AX69" s="137">
        <f t="shared" si="44"/>
        <v>1</v>
      </c>
      <c r="AY69" s="137">
        <f t="shared" si="45"/>
        <v>1</v>
      </c>
      <c r="AZ69" s="137"/>
      <c r="BA69" s="264"/>
      <c r="BB69" s="258">
        <f t="shared" si="46"/>
        <v>0</v>
      </c>
      <c r="BC69" s="258">
        <f t="shared" si="73"/>
        <v>0</v>
      </c>
      <c r="BD69" s="137">
        <f t="shared" si="74"/>
        <v>3.3135902504588532E-5</v>
      </c>
      <c r="BE69" s="137">
        <f t="shared" si="75"/>
        <v>3.3135902504588532E-5</v>
      </c>
      <c r="BF69" s="137">
        <f>_xll.xSPRDOPT($BW69,$BV69,$CG69,0,$BY69,$BX69,$BZ69,$AJ69,1,4)*$CB69</f>
        <v>1.6646086039966542E-6</v>
      </c>
      <c r="BG69" s="137">
        <f>_xll.xSPRDOPT($BW69,$BV69,$CG69,0,$BY69,$BX69,$BZ69,$AJ69,1,3)*$CB69</f>
        <v>7.8334522541019024E-7</v>
      </c>
      <c r="BH69" s="137">
        <f>IF(OR(BF69&lt;&gt;0,BG69&lt;&gt;0),_xll.xSPRDOPT($BW69,$BV69,$CG69,0,$BY69,$BX69,$BZ69,$AJ69,1,12)*$CB69,0)</f>
        <v>-3.4271353611695825E-7</v>
      </c>
      <c r="BI69" s="137">
        <f>_xll.xSPRDOPT($BW69,$BV69,$CG69,2*LN(1+CA69/2),$BY69,$BX69,$BZ69,$AJ69,1,9)</f>
        <v>1.0713951717018404E-2</v>
      </c>
      <c r="BJ69" s="137">
        <f>_xll.xSPRDOPT($BW69,$BV69,$CG69,0,$BY69,$BX69,$BZ69,$AJ69,1,6)*$CB69</f>
        <v>-1.6837607482919354E-3</v>
      </c>
      <c r="BK69" s="137">
        <f>_xll.xSPRDOPT($BW69,$BV69,$CG69,0,$BY69,$BX69,$BZ69,$AJ69,1,5)*$CB69</f>
        <v>1.8173446063694586E-3</v>
      </c>
      <c r="BL69" s="137">
        <f>_xll.xSPRDOPT(BW69,BV69,CG69,0,BY69,BX69,BZ69,AJ69,1,2)*CB69</f>
        <v>-0.82134265325737987</v>
      </c>
      <c r="BM69" s="137">
        <f>_xll.xSPRDOPT(BW69,BV69,CG69,0,BY69,BX69,BZ69,AJ69,1,1)*CB69</f>
        <v>0.82134265324617406</v>
      </c>
      <c r="BN69" s="137">
        <f>IF(AH69&lt;&gt;0,_xll.xSPRDOPT($BW69,$BV69,$CG69,2*LN(1+CA69/2),$BY69,$BX69,$BZ69,$AJ69,1,8)+(AJ69/365.25)*CH69/AH69,0)</f>
        <v>0.33934253133893544</v>
      </c>
      <c r="BO69" s="137">
        <f>_xll.xSPRDOPT($BW69,$BV69,$CG69,0,$BY69,$BX69,$BZ69,$AJ69,1,0)</f>
        <v>0.26548851346154168</v>
      </c>
      <c r="BP69" s="137"/>
      <c r="BQ69" s="137"/>
      <c r="BR69" s="137"/>
      <c r="BS69" s="137"/>
      <c r="BV69" s="262">
        <v>3.8051150895140657</v>
      </c>
      <c r="BW69" s="136">
        <v>4.1070000000000002</v>
      </c>
      <c r="BX69" s="137">
        <v>0.30158877782867977</v>
      </c>
      <c r="BY69" s="137">
        <v>0.30158877782867977</v>
      </c>
      <c r="BZ69" s="137">
        <v>1</v>
      </c>
      <c r="CA69" s="137">
        <v>4.97625341294907E-2</v>
      </c>
      <c r="CB69" s="137">
        <v>0.82139700307971564</v>
      </c>
      <c r="CC69" s="258">
        <v>5.0000000000000001E-3</v>
      </c>
      <c r="CD69" s="258">
        <v>7.4999999999999997E-3</v>
      </c>
      <c r="CE69" s="258">
        <v>0.4</v>
      </c>
      <c r="CF69" s="258">
        <v>0</v>
      </c>
      <c r="CG69" s="258">
        <v>3.6400000000000002E-2</v>
      </c>
      <c r="CH69" s="258">
        <v>9.3883213261002254</v>
      </c>
      <c r="CI69" s="258">
        <v>3.7069999999999999</v>
      </c>
      <c r="CJ69" s="258"/>
      <c r="CK69" s="258"/>
      <c r="CL69" s="258"/>
      <c r="CM69" s="258"/>
    </row>
    <row r="70" spans="1:91" x14ac:dyDescent="0.25">
      <c r="A70" s="723"/>
      <c r="B70" s="723"/>
      <c r="D70" s="31">
        <f t="shared" si="53"/>
        <v>38732</v>
      </c>
      <c r="F70" s="28">
        <f t="shared" si="54"/>
        <v>11107</v>
      </c>
      <c r="G70" s="28">
        <f t="shared" si="13"/>
        <v>9075.8823499513837</v>
      </c>
      <c r="H70" s="52">
        <f t="shared" si="55"/>
        <v>3.8613810741687975</v>
      </c>
      <c r="I70" s="52">
        <f t="shared" si="56"/>
        <v>4.1120000000000001</v>
      </c>
      <c r="K70" s="52">
        <f t="shared" si="57"/>
        <v>5.4263976597898305</v>
      </c>
      <c r="L70" s="135">
        <f t="shared" si="58"/>
        <v>2.8028645273181496E-4</v>
      </c>
      <c r="N70" s="131">
        <f t="shared" si="18"/>
        <v>0.30128576852292338</v>
      </c>
      <c r="O70" s="131">
        <f t="shared" si="19"/>
        <v>0.30128576852292338</v>
      </c>
      <c r="P70" s="55">
        <f t="shared" si="59"/>
        <v>0.99999999999999978</v>
      </c>
      <c r="Q70" s="135">
        <f>_xll.xSPRDOPT(I70,H70,AQ70,0,O70,N70,P70,D70-$G$5,1,0)*AH70*AU70</f>
        <v>5.4266779462425623</v>
      </c>
      <c r="R70" s="135"/>
      <c r="S70" s="181">
        <f t="shared" si="60"/>
        <v>-287056.11127721355</v>
      </c>
      <c r="T70" s="181">
        <f>_xll.xSPRDOPT(I70,H70,AQ70,AT70,O70,N70,P70,D70-$G$5,1,1)*AF70*F70*AH70</f>
        <v>280597.34877347626</v>
      </c>
      <c r="U70" s="135"/>
      <c r="V70" s="146">
        <f t="shared" si="61"/>
        <v>9.3395707657548694</v>
      </c>
      <c r="W70" s="146"/>
      <c r="X70" s="338">
        <f t="shared" si="62"/>
        <v>0</v>
      </c>
      <c r="Y70" s="338">
        <f t="shared" si="23"/>
        <v>0</v>
      </c>
      <c r="Z70" s="338">
        <f t="shared" si="24"/>
        <v>24.471139141311561</v>
      </c>
      <c r="AA70" s="338">
        <f t="shared" si="25"/>
        <v>2.9014730142661832E-3</v>
      </c>
      <c r="AB70" s="338">
        <f t="shared" si="63"/>
        <v>0</v>
      </c>
      <c r="AC70" s="338">
        <f t="shared" si="64"/>
        <v>24.804473025029854</v>
      </c>
      <c r="AF70" s="138">
        <f t="shared" si="65"/>
        <v>1</v>
      </c>
      <c r="AG70" s="138">
        <f t="shared" si="66"/>
        <v>1</v>
      </c>
      <c r="AH70" s="138">
        <f t="shared" si="30"/>
        <v>31</v>
      </c>
      <c r="AI70" s="138">
        <f t="shared" si="67"/>
        <v>1476</v>
      </c>
      <c r="AJ70" s="138">
        <f t="shared" si="68"/>
        <v>1493</v>
      </c>
      <c r="AL70" s="136">
        <f t="shared" si="32"/>
        <v>3.762</v>
      </c>
      <c r="AM70" s="258">
        <f t="shared" si="33"/>
        <v>5.0000000000000001E-3</v>
      </c>
      <c r="AN70" s="258">
        <f t="shared" si="34"/>
        <v>7.4999999999999997E-3</v>
      </c>
      <c r="AO70" s="258">
        <f t="shared" si="35"/>
        <v>0.35</v>
      </c>
      <c r="AP70" s="258">
        <f t="shared" si="36"/>
        <v>0</v>
      </c>
      <c r="AQ70" s="136">
        <f t="shared" si="69"/>
        <v>3.6400000000000002E-2</v>
      </c>
      <c r="AR70" s="137">
        <f t="shared" si="38"/>
        <v>2.2499999999999999E-2</v>
      </c>
      <c r="AS70" s="136">
        <f t="shared" si="70"/>
        <v>3.7744999999999997</v>
      </c>
      <c r="AT70" s="137">
        <f t="shared" si="71"/>
        <v>5.0123867010087399E-2</v>
      </c>
      <c r="AU70" s="137">
        <f t="shared" si="41"/>
        <v>0.81713175024321461</v>
      </c>
      <c r="AV70" s="394">
        <f t="shared" si="72"/>
        <v>6484.7575699301515</v>
      </c>
      <c r="AW70" s="137">
        <f t="shared" si="43"/>
        <v>0.28499999999999998</v>
      </c>
      <c r="AX70" s="137">
        <f t="shared" si="44"/>
        <v>1</v>
      </c>
      <c r="AY70" s="137">
        <f t="shared" si="45"/>
        <v>1</v>
      </c>
      <c r="AZ70" s="137"/>
      <c r="BA70" s="264"/>
      <c r="BB70" s="258">
        <f t="shared" si="46"/>
        <v>0</v>
      </c>
      <c r="BC70" s="258">
        <f t="shared" si="73"/>
        <v>0</v>
      </c>
      <c r="BD70" s="137">
        <f t="shared" si="74"/>
        <v>3.1809530461945901E-5</v>
      </c>
      <c r="BE70" s="137">
        <f t="shared" si="75"/>
        <v>3.1809530461945901E-5</v>
      </c>
      <c r="BF70" s="137">
        <f>_xll.xSPRDOPT($BW70,$BV70,$CG70,0,$BY70,$BX70,$BZ70,$AJ70,1,4)*$CB70</f>
        <v>-4.8685047335697554E-7</v>
      </c>
      <c r="BG70" s="137">
        <f>_xll.xSPRDOPT($BW70,$BV70,$CG70,0,$BY70,$BX70,$BZ70,$AJ70,1,3)*$CB70</f>
        <v>0</v>
      </c>
      <c r="BH70" s="137">
        <f>IF(OR(BF70&lt;&gt;0,BG70&lt;&gt;0),_xll.xSPRDOPT($BW70,$BV70,$CG70,0,$BY70,$BX70,$BZ70,$AJ70,1,12)*$CB70,0)</f>
        <v>0</v>
      </c>
      <c r="BI70" s="137">
        <f>_xll.xSPRDOPT($BW70,$BV70,$CG70,2*LN(1+CA70/2),$BY70,$BX70,$BZ70,$AJ70,1,9)</f>
        <v>8.6529598900277442E-3</v>
      </c>
      <c r="BJ70" s="137">
        <f>_xll.xSPRDOPT($BW70,$BV70,$CG70,0,$BY70,$BX70,$BZ70,$AJ70,1,6)*$CB70</f>
        <v>-4.0816110386887264E-3</v>
      </c>
      <c r="BK70" s="137">
        <f>_xll.xSPRDOPT($BW70,$BV70,$CG70,0,$BY70,$BX70,$BZ70,$AJ70,1,5)*$CB70</f>
        <v>4.3465237584484938E-3</v>
      </c>
      <c r="BL70" s="137">
        <f>_xll.xSPRDOPT(BW70,BV70,CG70,0,BY70,BX70,BZ70,AJ70,1,2)*CB70</f>
        <v>-0.81666357922407673</v>
      </c>
      <c r="BM70" s="137">
        <f>_xll.xSPRDOPT(BW70,BV70,CG70,0,BY70,BX70,BZ70,AJ70,1,1)*CB70</f>
        <v>0.8166635792244481</v>
      </c>
      <c r="BN70" s="137">
        <f>IF(AH70&lt;&gt;0,_xll.xSPRDOPT($BW70,$BV70,$CG70,2*LN(1+CA70/2),$BY70,$BX70,$BZ70,$AJ70,1,8)+(AJ70/365.25)*CH70/AH70,0)</f>
        <v>0.51573784448779081</v>
      </c>
      <c r="BO70" s="137">
        <f>_xll.xSPRDOPT($BW70,$BV70,$CG70,0,$BY70,$BX70,$BZ70,$AJ70,1,0)</f>
        <v>0.21423007874594419</v>
      </c>
      <c r="BP70" s="137"/>
      <c r="BQ70" s="137"/>
      <c r="BR70" s="137"/>
      <c r="BS70" s="137"/>
      <c r="BV70" s="262">
        <v>3.8613810741687975</v>
      </c>
      <c r="BW70" s="136">
        <v>4.1120000000000001</v>
      </c>
      <c r="BX70" s="137">
        <v>0.30125395899246143</v>
      </c>
      <c r="BY70" s="137">
        <v>0.30125395899246143</v>
      </c>
      <c r="BZ70" s="137">
        <v>1</v>
      </c>
      <c r="CA70" s="137">
        <v>5.0123867010087399E-2</v>
      </c>
      <c r="CB70" s="137">
        <v>0.81679955512122238</v>
      </c>
      <c r="CC70" s="258">
        <v>5.0000000000000001E-3</v>
      </c>
      <c r="CD70" s="258">
        <v>7.4999999999999997E-3</v>
      </c>
      <c r="CE70" s="258">
        <v>0.35</v>
      </c>
      <c r="CF70" s="258">
        <v>0</v>
      </c>
      <c r="CG70" s="258">
        <v>3.6400000000000002E-2</v>
      </c>
      <c r="CH70" s="258">
        <v>9.3357738751690356</v>
      </c>
      <c r="CI70" s="258">
        <v>3.762</v>
      </c>
      <c r="CJ70" s="258"/>
      <c r="CK70" s="258"/>
      <c r="CL70" s="258"/>
      <c r="CM70" s="258"/>
    </row>
    <row r="71" spans="1:91" x14ac:dyDescent="0.25">
      <c r="A71" s="723"/>
      <c r="B71" s="723"/>
      <c r="D71" s="31">
        <f t="shared" si="53"/>
        <v>38763</v>
      </c>
      <c r="F71" s="28">
        <f t="shared" si="54"/>
        <v>11107</v>
      </c>
      <c r="G71" s="28">
        <f t="shared" si="13"/>
        <v>9026.0073461029369</v>
      </c>
      <c r="H71" s="52">
        <f t="shared" si="55"/>
        <v>3.7744245524296671</v>
      </c>
      <c r="I71" s="52">
        <f t="shared" si="56"/>
        <v>4.0270000000000001</v>
      </c>
      <c r="K71" s="52">
        <f t="shared" si="57"/>
        <v>4.9188469414669713</v>
      </c>
      <c r="L71" s="135">
        <f t="shared" si="58"/>
        <v>2.1813482491594982E-4</v>
      </c>
      <c r="N71" s="131">
        <f t="shared" si="18"/>
        <v>0.29475895276765796</v>
      </c>
      <c r="O71" s="131">
        <f t="shared" si="19"/>
        <v>0.29475895276765796</v>
      </c>
      <c r="P71" s="55">
        <f t="shared" si="59"/>
        <v>1</v>
      </c>
      <c r="Q71" s="135">
        <f>_xll.xSPRDOPT(I71,H71,AQ71,0,O71,N71,P71,D71-$G$5,1,0)*AH71*AU71</f>
        <v>4.9190650762918873</v>
      </c>
      <c r="R71" s="135"/>
      <c r="S71" s="181">
        <f t="shared" si="60"/>
        <v>-257828.49667292222</v>
      </c>
      <c r="T71" s="181">
        <f>_xll.xSPRDOPT(I71,H71,AQ71,AT71,O71,N71,P71,D71-$G$5,1,1)*AF71*F71*AH71</f>
        <v>252027.35549778148</v>
      </c>
      <c r="U71" s="135"/>
      <c r="V71" s="146">
        <f t="shared" si="61"/>
        <v>8.3893841215655236</v>
      </c>
      <c r="W71" s="146"/>
      <c r="X71" s="338">
        <f t="shared" si="62"/>
        <v>0</v>
      </c>
      <c r="Y71" s="338">
        <f t="shared" si="23"/>
        <v>0</v>
      </c>
      <c r="Z71" s="338">
        <f t="shared" si="24"/>
        <v>22.323226233798515</v>
      </c>
      <c r="AA71" s="338">
        <f t="shared" si="25"/>
        <v>2.4237275795326229E-3</v>
      </c>
      <c r="AB71" s="338">
        <f t="shared" si="63"/>
        <v>0</v>
      </c>
      <c r="AC71" s="338">
        <f t="shared" si="64"/>
        <v>22.628719473292193</v>
      </c>
      <c r="AF71" s="138">
        <f t="shared" si="65"/>
        <v>1</v>
      </c>
      <c r="AG71" s="138">
        <f t="shared" si="66"/>
        <v>2</v>
      </c>
      <c r="AH71" s="138">
        <f t="shared" si="30"/>
        <v>28</v>
      </c>
      <c r="AI71" s="138">
        <f t="shared" si="67"/>
        <v>1507</v>
      </c>
      <c r="AJ71" s="138">
        <f t="shared" si="68"/>
        <v>1524</v>
      </c>
      <c r="AL71" s="136">
        <f t="shared" si="32"/>
        <v>3.677</v>
      </c>
      <c r="AM71" s="258">
        <f t="shared" si="33"/>
        <v>5.0000000000000001E-3</v>
      </c>
      <c r="AN71" s="258">
        <f t="shared" si="34"/>
        <v>7.4999999999999997E-3</v>
      </c>
      <c r="AO71" s="258">
        <f t="shared" si="35"/>
        <v>0.35</v>
      </c>
      <c r="AP71" s="258">
        <f t="shared" si="36"/>
        <v>0</v>
      </c>
      <c r="AQ71" s="136">
        <f t="shared" si="69"/>
        <v>3.6400000000000002E-2</v>
      </c>
      <c r="AR71" s="137">
        <f t="shared" si="38"/>
        <v>2.2499999999999999E-2</v>
      </c>
      <c r="AS71" s="136">
        <f t="shared" si="70"/>
        <v>3.6894999999999998</v>
      </c>
      <c r="AT71" s="137">
        <f t="shared" si="71"/>
        <v>5.0446047479093502E-2</v>
      </c>
      <c r="AU71" s="137">
        <f t="shared" si="41"/>
        <v>0.81264133844448871</v>
      </c>
      <c r="AV71" s="394">
        <f t="shared" si="72"/>
        <v>5825.0131139700952</v>
      </c>
      <c r="AW71" s="137">
        <f t="shared" si="43"/>
        <v>0.28000000000000003</v>
      </c>
      <c r="AX71" s="137">
        <f t="shared" si="44"/>
        <v>1</v>
      </c>
      <c r="AY71" s="137">
        <f t="shared" si="45"/>
        <v>1</v>
      </c>
      <c r="AZ71" s="137"/>
      <c r="BA71" s="264"/>
      <c r="BB71" s="258">
        <f t="shared" si="46"/>
        <v>0</v>
      </c>
      <c r="BC71" s="258">
        <f t="shared" si="73"/>
        <v>0</v>
      </c>
      <c r="BD71" s="137">
        <f t="shared" si="74"/>
        <v>2.8327056172949838E-5</v>
      </c>
      <c r="BE71" s="137">
        <f t="shared" si="75"/>
        <v>2.8327056172949838E-5</v>
      </c>
      <c r="BF71" s="137">
        <f>_xll.xSPRDOPT($BW71,$BV71,$CG71,0,$BY71,$BX71,$BZ71,$AJ71,1,4)*$CB71</f>
        <v>-1.0651823987877649E-6</v>
      </c>
      <c r="BG71" s="137">
        <f>_xll.xSPRDOPT($BW71,$BV71,$CG71,0,$BY71,$BX71,$BZ71,$AJ71,1,3)*$CB71</f>
        <v>-9.1993025349852423E-7</v>
      </c>
      <c r="BH71" s="137">
        <f>IF(OR(BF71&lt;&gt;0,BG71&lt;&gt;0),_xll.xSPRDOPT($BW71,$BV71,$CG71,0,$BY71,$BX71,$BZ71,$AJ71,1,12)*$CB71,0)</f>
        <v>7.0205203556466328E-7</v>
      </c>
      <c r="BI71" s="137">
        <f>_xll.xSPRDOPT($BW71,$BV71,$CG71,2*LN(1+CA71/2),$BY71,$BX71,$BZ71,$AJ71,1,9)</f>
        <v>8.7391889090694709E-3</v>
      </c>
      <c r="BJ71" s="137">
        <f>_xll.xSPRDOPT($BW71,$BV71,$CG71,0,$BY71,$BX71,$BZ71,$AJ71,1,6)*$CB71</f>
        <v>-4.1113757577602803E-3</v>
      </c>
      <c r="BK71" s="137">
        <f>_xll.xSPRDOPT($BW71,$BV71,$CG71,0,$BY71,$BX71,$BZ71,$AJ71,1,5)*$CB71</f>
        <v>4.3864991753909928E-3</v>
      </c>
      <c r="BL71" s="137">
        <f>_xll.xSPRDOPT(BW71,BV71,CG71,0,BY71,BX71,BZ71,AJ71,1,2)*CB71</f>
        <v>-0.81216993960366179</v>
      </c>
      <c r="BM71" s="137">
        <f>_xll.xSPRDOPT(BW71,BV71,CG71,0,BY71,BX71,BZ71,AJ71,1,1)*CB71</f>
        <v>0.81216993960107609</v>
      </c>
      <c r="BN71" s="137">
        <f>IF(AH71&lt;&gt;0,_xll.xSPRDOPT($BW71,$BV71,$CG71,2*LN(1+CA71/2),$BY71,$BX71,$BZ71,$AJ71,1,8)+(AJ71/365.25)*CH71/AH71,0)</f>
        <v>0.51692572756750543</v>
      </c>
      <c r="BO71" s="137">
        <f>_xll.xSPRDOPT($BW71,$BV71,$CG71,0,$BY71,$BX71,$BZ71,$AJ71,1,0)</f>
        <v>0.21618512304677598</v>
      </c>
      <c r="BP71" s="137"/>
      <c r="BQ71" s="137"/>
      <c r="BR71" s="137"/>
      <c r="BS71" s="137"/>
      <c r="BV71" s="262">
        <v>3.7744245524296671</v>
      </c>
      <c r="BW71" s="136">
        <v>4.0270000000000001</v>
      </c>
      <c r="BX71" s="137">
        <v>0.29473062571148501</v>
      </c>
      <c r="BY71" s="137">
        <v>0.29473062571148501</v>
      </c>
      <c r="BZ71" s="137">
        <v>1</v>
      </c>
      <c r="CA71" s="137">
        <v>5.0446047479093502E-2</v>
      </c>
      <c r="CB71" s="137">
        <v>0.81230887199365776</v>
      </c>
      <c r="CC71" s="258">
        <v>5.0000000000000001E-3</v>
      </c>
      <c r="CD71" s="258">
        <v>7.4999999999999997E-3</v>
      </c>
      <c r="CE71" s="258">
        <v>0.35</v>
      </c>
      <c r="CF71" s="258">
        <v>0</v>
      </c>
      <c r="CG71" s="258">
        <v>3.6400000000000002E-2</v>
      </c>
      <c r="CH71" s="258">
        <v>8.3859518709137255</v>
      </c>
      <c r="CI71" s="258">
        <v>3.677</v>
      </c>
      <c r="CJ71" s="258"/>
      <c r="CK71" s="258"/>
      <c r="CL71" s="258"/>
      <c r="CM71" s="258"/>
    </row>
    <row r="72" spans="1:91" x14ac:dyDescent="0.25">
      <c r="A72" s="723"/>
      <c r="B72" s="723"/>
      <c r="D72" s="31">
        <f t="shared" si="53"/>
        <v>38791</v>
      </c>
      <c r="F72" s="28">
        <f t="shared" si="54"/>
        <v>11107</v>
      </c>
      <c r="G72" s="28">
        <f t="shared" si="13"/>
        <v>8980.7843798070862</v>
      </c>
      <c r="H72" s="52">
        <f t="shared" si="55"/>
        <v>3.646547314578005</v>
      </c>
      <c r="I72" s="52">
        <f t="shared" si="56"/>
        <v>3.9470000000000001</v>
      </c>
      <c r="K72" s="52">
        <f t="shared" si="57"/>
        <v>6.6186555517424166</v>
      </c>
      <c r="L72" s="135">
        <f t="shared" si="58"/>
        <v>4.2225174957444267E-5</v>
      </c>
      <c r="N72" s="131">
        <f t="shared" si="18"/>
        <v>0.27891651287520841</v>
      </c>
      <c r="O72" s="131">
        <f t="shared" si="19"/>
        <v>0.27891651287520841</v>
      </c>
      <c r="P72" s="55">
        <f t="shared" si="59"/>
        <v>1.0000000000000002</v>
      </c>
      <c r="Q72" s="135">
        <f>_xll.xSPRDOPT(I72,H72,AQ72,0,O72,N72,P72,D72-$G$5,1,0)*AH72*AU72</f>
        <v>6.618697776917374</v>
      </c>
      <c r="R72" s="135"/>
      <c r="S72" s="181">
        <f t="shared" si="60"/>
        <v>-284041.36847805773</v>
      </c>
      <c r="T72" s="181">
        <f>_xll.xSPRDOPT(I72,H72,AQ72,AT72,O72,N72,P72,D72-$G$5,1,1)*AF72*F72*AH72</f>
        <v>277650.43768730143</v>
      </c>
      <c r="U72" s="135"/>
      <c r="V72" s="146">
        <f t="shared" si="61"/>
        <v>9.2417098429711952</v>
      </c>
      <c r="W72" s="146"/>
      <c r="X72" s="338">
        <f t="shared" si="62"/>
        <v>0</v>
      </c>
      <c r="Y72" s="338">
        <f t="shared" si="23"/>
        <v>0</v>
      </c>
      <c r="Z72" s="338">
        <f t="shared" si="24"/>
        <v>30.235498092352305</v>
      </c>
      <c r="AA72" s="338">
        <f t="shared" si="25"/>
        <v>3.4307487160594569E-4</v>
      </c>
      <c r="AB72" s="338">
        <f t="shared" si="63"/>
        <v>0</v>
      </c>
      <c r="AC72" s="338">
        <f t="shared" si="64"/>
        <v>30.622938506351133</v>
      </c>
      <c r="AF72" s="138">
        <f t="shared" si="65"/>
        <v>1</v>
      </c>
      <c r="AG72" s="138">
        <f t="shared" si="66"/>
        <v>3</v>
      </c>
      <c r="AH72" s="138">
        <f t="shared" si="30"/>
        <v>31</v>
      </c>
      <c r="AI72" s="138">
        <f t="shared" si="67"/>
        <v>1535</v>
      </c>
      <c r="AJ72" s="138">
        <f t="shared" si="68"/>
        <v>1552</v>
      </c>
      <c r="AL72" s="136">
        <f t="shared" si="32"/>
        <v>3.5470000000000002</v>
      </c>
      <c r="AM72" s="258">
        <f t="shared" si="33"/>
        <v>0.01</v>
      </c>
      <c r="AN72" s="258">
        <f t="shared" si="34"/>
        <v>7.4999999999999997E-3</v>
      </c>
      <c r="AO72" s="258">
        <f t="shared" si="35"/>
        <v>0.4</v>
      </c>
      <c r="AP72" s="258">
        <f t="shared" si="36"/>
        <v>0</v>
      </c>
      <c r="AQ72" s="136">
        <f t="shared" si="69"/>
        <v>3.6400000000000002E-2</v>
      </c>
      <c r="AR72" s="137">
        <f t="shared" si="38"/>
        <v>2.2499999999999999E-2</v>
      </c>
      <c r="AS72" s="136">
        <f t="shared" si="70"/>
        <v>3.5644999999999998</v>
      </c>
      <c r="AT72" s="137">
        <f t="shared" si="71"/>
        <v>5.0737049222817202E-2</v>
      </c>
      <c r="AU72" s="137">
        <f t="shared" si="41"/>
        <v>0.80856976499568622</v>
      </c>
      <c r="AV72" s="394">
        <f t="shared" si="72"/>
        <v>6416.8096550057662</v>
      </c>
      <c r="AW72" s="137">
        <f t="shared" si="43"/>
        <v>0.27</v>
      </c>
      <c r="AX72" s="137">
        <f t="shared" si="44"/>
        <v>0.75</v>
      </c>
      <c r="AY72" s="137">
        <f t="shared" si="45"/>
        <v>0.75</v>
      </c>
      <c r="AZ72" s="137"/>
      <c r="BA72" s="264"/>
      <c r="BB72" s="258">
        <f t="shared" si="46"/>
        <v>0</v>
      </c>
      <c r="BC72" s="258">
        <f t="shared" si="73"/>
        <v>0</v>
      </c>
      <c r="BD72" s="137">
        <f t="shared" si="74"/>
        <v>1.6944170124932878E-5</v>
      </c>
      <c r="BE72" s="137">
        <f t="shared" si="75"/>
        <v>1.6944170124932878E-5</v>
      </c>
      <c r="BF72" s="137">
        <f>_xll.xSPRDOPT($BW72,$BV72,$CG72,0,$BY72,$BX72,$BZ72,$AJ72,1,4)*$CB72</f>
        <v>-1.6379392579149021E-6</v>
      </c>
      <c r="BG72" s="137">
        <f>_xll.xSPRDOPT($BW72,$BV72,$CG72,0,$BY72,$BX72,$BZ72,$AJ72,1,3)*$CB72</f>
        <v>-7.7079494490113037E-7</v>
      </c>
      <c r="BH72" s="137">
        <f>IF(OR(BF72&lt;&gt;0,BG72&lt;&gt;0),_xll.xSPRDOPT($BW72,$BV72,$CG72,0,$BY72,$BX72,$BZ72,$AJ72,1,12)*$CB72,0)</f>
        <v>4.3357215650688582E-7</v>
      </c>
      <c r="BI72" s="137">
        <f>_xll.xSPRDOPT($BW72,$BV72,$CG72,2*LN(1+CA72/2),$BY72,$BX72,$BZ72,$AJ72,1,9)</f>
        <v>1.0691228991725338E-2</v>
      </c>
      <c r="BJ72" s="137">
        <f>_xll.xSPRDOPT($BW72,$BV72,$CG72,0,$BY72,$BX72,$BZ72,$AJ72,1,6)*$CB72</f>
        <v>-7.1370034293560044E-4</v>
      </c>
      <c r="BK72" s="137">
        <f>_xll.xSPRDOPT($BW72,$BV72,$CG72,0,$BY72,$BX72,$BZ72,$AJ72,1,5)*$CB72</f>
        <v>7.7250478591891982E-4</v>
      </c>
      <c r="BL72" s="137">
        <f>_xll.xSPRDOPT(BW72,BV72,CG72,0,BY72,BX72,BZ72,AJ72,1,2)*CB72</f>
        <v>-0.80821488541803277</v>
      </c>
      <c r="BM72" s="137">
        <f>_xll.xSPRDOPT(BW72,BV72,CG72,0,BY72,BX72,BZ72,AJ72,1,1)*CB72</f>
        <v>0.80821488541435726</v>
      </c>
      <c r="BN72" s="137">
        <f>IF(AH72&lt;&gt;0,_xll.xSPRDOPT($BW72,$BV72,$CG72,2*LN(1+CA72/2),$BY72,$BX72,$BZ72,$AJ72,1,8)+(AJ72/365.25)*CH72/AH72,0)</f>
        <v>0.35938610661984938</v>
      </c>
      <c r="BO72" s="137">
        <f>_xll.xSPRDOPT($BW72,$BV72,$CG72,0,$BY72,$BX72,$BZ72,$AJ72,1,0)</f>
        <v>0.2640543884135676</v>
      </c>
      <c r="BP72" s="137"/>
      <c r="BQ72" s="137"/>
      <c r="BR72" s="137"/>
      <c r="BS72" s="137"/>
      <c r="BV72" s="262">
        <v>3.646547314578005</v>
      </c>
      <c r="BW72" s="136">
        <v>3.9470000000000001</v>
      </c>
      <c r="BX72" s="137">
        <v>0.27889956870508348</v>
      </c>
      <c r="BY72" s="137">
        <v>0.27889956870508348</v>
      </c>
      <c r="BZ72" s="137">
        <v>1</v>
      </c>
      <c r="CA72" s="137">
        <v>5.0737049222817202E-2</v>
      </c>
      <c r="CB72" s="137">
        <v>0.80823708014464768</v>
      </c>
      <c r="CC72" s="258">
        <v>0.01</v>
      </c>
      <c r="CD72" s="258">
        <v>7.4999999999999997E-3</v>
      </c>
      <c r="CE72" s="258">
        <v>0.4</v>
      </c>
      <c r="CF72" s="258">
        <v>0</v>
      </c>
      <c r="CG72" s="258">
        <v>3.6400000000000002E-2</v>
      </c>
      <c r="CH72" s="258">
        <v>9.2379073549292805</v>
      </c>
      <c r="CI72" s="258">
        <v>3.5470000000000002</v>
      </c>
      <c r="CJ72" s="258"/>
      <c r="CK72" s="258"/>
      <c r="CL72" s="258"/>
      <c r="CM72" s="258"/>
    </row>
    <row r="73" spans="1:91" x14ac:dyDescent="0.25">
      <c r="A73" s="723"/>
      <c r="B73" s="723"/>
      <c r="D73" s="31">
        <f t="shared" si="53"/>
        <v>38822</v>
      </c>
      <c r="F73" s="28">
        <f t="shared" si="54"/>
        <v>5899</v>
      </c>
      <c r="G73" s="28">
        <f t="shared" si="13"/>
        <v>4743.0620007674906</v>
      </c>
      <c r="H73" s="52">
        <f t="shared" si="55"/>
        <v>3.4598465473145774</v>
      </c>
      <c r="I73" s="52">
        <f t="shared" si="56"/>
        <v>3.9620000000000002</v>
      </c>
      <c r="K73" s="52">
        <f t="shared" si="57"/>
        <v>11.234603338659882</v>
      </c>
      <c r="L73" s="135">
        <f t="shared" si="58"/>
        <v>1.2193016036832205E-6</v>
      </c>
      <c r="N73" s="131">
        <f t="shared" si="18"/>
        <v>0.25184329937151428</v>
      </c>
      <c r="O73" s="131">
        <f t="shared" si="19"/>
        <v>0.25184329937151428</v>
      </c>
      <c r="P73" s="55">
        <f t="shared" si="59"/>
        <v>1</v>
      </c>
      <c r="Q73" s="135">
        <f>_xll.xSPRDOPT(I73,H73,AQ73,0,O73,N73,P73,D73-$G$5,1,0)*AH73*AU73</f>
        <v>11.234604557961486</v>
      </c>
      <c r="R73" s="135"/>
      <c r="S73" s="181">
        <f t="shared" si="60"/>
        <v>-145164.12172220557</v>
      </c>
      <c r="T73" s="181">
        <f>_xll.xSPRDOPT(I73,H73,AQ73,AT73,O73,N73,P73,D73-$G$5,1,1)*AF73*F73*AH73</f>
        <v>141897.92898345596</v>
      </c>
      <c r="U73" s="135"/>
      <c r="V73" s="146">
        <f t="shared" si="61"/>
        <v>8.8935427683487394</v>
      </c>
      <c r="W73" s="146"/>
      <c r="X73" s="338">
        <f t="shared" si="62"/>
        <v>0</v>
      </c>
      <c r="Y73" s="338">
        <f t="shared" si="23"/>
        <v>0</v>
      </c>
      <c r="Z73" s="338">
        <f t="shared" si="24"/>
        <v>27.433155034941539</v>
      </c>
      <c r="AA73" s="338">
        <f t="shared" si="25"/>
        <v>2.4666525902433555E-7</v>
      </c>
      <c r="AB73" s="338">
        <f t="shared" si="63"/>
        <v>0</v>
      </c>
      <c r="AC73" s="338">
        <f t="shared" si="64"/>
        <v>27.781879840161423</v>
      </c>
      <c r="AF73" s="138">
        <f t="shared" si="65"/>
        <v>1</v>
      </c>
      <c r="AG73" s="138">
        <f t="shared" si="66"/>
        <v>4</v>
      </c>
      <c r="AH73" s="138">
        <f t="shared" si="30"/>
        <v>30</v>
      </c>
      <c r="AI73" s="138">
        <f t="shared" si="67"/>
        <v>1566</v>
      </c>
      <c r="AJ73" s="138">
        <f t="shared" si="68"/>
        <v>1583</v>
      </c>
      <c r="AL73" s="136">
        <f t="shared" si="32"/>
        <v>3.3620000000000001</v>
      </c>
      <c r="AM73" s="258">
        <f t="shared" si="33"/>
        <v>0.01</v>
      </c>
      <c r="AN73" s="258">
        <f t="shared" si="34"/>
        <v>0.01</v>
      </c>
      <c r="AO73" s="258">
        <f t="shared" si="35"/>
        <v>0.6</v>
      </c>
      <c r="AP73" s="258">
        <f t="shared" si="36"/>
        <v>0</v>
      </c>
      <c r="AQ73" s="136">
        <f t="shared" si="69"/>
        <v>3.6400000000000002E-2</v>
      </c>
      <c r="AR73" s="137">
        <f t="shared" si="38"/>
        <v>2.2499999999999999E-2</v>
      </c>
      <c r="AS73" s="136">
        <f t="shared" si="70"/>
        <v>3.3819999999999997</v>
      </c>
      <c r="AT73" s="137">
        <f t="shared" si="71"/>
        <v>5.10592297577648E-2</v>
      </c>
      <c r="AU73" s="137">
        <f t="shared" si="41"/>
        <v>0.80404509251864564</v>
      </c>
      <c r="AV73" s="394">
        <f t="shared" si="72"/>
        <v>3280.5039774760744</v>
      </c>
      <c r="AW73" s="137">
        <f t="shared" si="43"/>
        <v>0.25</v>
      </c>
      <c r="AX73" s="137">
        <f t="shared" si="44"/>
        <v>0.4</v>
      </c>
      <c r="AY73" s="137">
        <f t="shared" si="45"/>
        <v>0.4</v>
      </c>
      <c r="AZ73" s="137"/>
      <c r="BA73" s="264"/>
      <c r="BB73" s="258">
        <f t="shared" si="46"/>
        <v>0</v>
      </c>
      <c r="BC73" s="258">
        <f t="shared" si="73"/>
        <v>0</v>
      </c>
      <c r="BD73" s="137">
        <f t="shared" si="74"/>
        <v>3.4783452407816107E-6</v>
      </c>
      <c r="BE73" s="137">
        <f t="shared" si="75"/>
        <v>3.4783452407816107E-6</v>
      </c>
      <c r="BF73" s="137">
        <f>_xll.xSPRDOPT($BW73,$BV73,$CG73,0,$BY73,$BX73,$BZ73,$AJ73,1,4)*$CB73</f>
        <v>6.7066971863210262E-7</v>
      </c>
      <c r="BG73" s="137">
        <f>_xll.xSPRDOPT($BW73,$BV73,$CG73,0,$BY73,$BX73,$BZ73,$AJ73,1,3)*$CB73</f>
        <v>1.9161991960917219E-7</v>
      </c>
      <c r="BH73" s="137">
        <f>IF(OR(BF73&lt;&gt;0,BG73&lt;&gt;0),_xll.xSPRDOPT($BW73,$BV73,$CG73,0,$BY73,$BX73,$BZ73,$AJ73,1,12)*$CB73,0)</f>
        <v>1.9161991960917219E-7</v>
      </c>
      <c r="BI73" s="137">
        <f>_xll.xSPRDOPT($BW73,$BV73,$CG73,2*LN(1+CA73/2),$BY73,$BX73,$BZ73,$AJ73,1,9)</f>
        <v>1.8873179779081949E-2</v>
      </c>
      <c r="BJ73" s="137">
        <f>_xll.xSPRDOPT($BW73,$BV73,$CG73,0,$BY73,$BX73,$BZ73,$AJ73,1,6)*$CB73</f>
        <v>-2.7609998739848805E-6</v>
      </c>
      <c r="BK73" s="137">
        <f>_xll.xSPRDOPT($BW73,$BV73,$CG73,0,$BY73,$BX73,$BZ73,$AJ73,1,5)*$CB73</f>
        <v>3.1617149206875846E-6</v>
      </c>
      <c r="BL73" s="137">
        <f>_xll.xSPRDOPT(BW73,BV73,CG73,0,BY73,BX73,BZ73,AJ73,1,2)*CB73</f>
        <v>-0.80371219166057473</v>
      </c>
      <c r="BM73" s="137">
        <f>_xll.xSPRDOPT(BW73,BV73,CG73,0,BY73,BX73,BZ73,AJ73,1,1)*CB73</f>
        <v>0.80371219166057473</v>
      </c>
      <c r="BN73" s="137">
        <f>IF(AH73&lt;&gt;0,_xll.xSPRDOPT($BW73,$BV73,$CG73,2*LN(1+CA73/2),$BY73,$BX73,$BZ73,$AJ73,1,8)+(AJ73/365.25)*CH73/AH73,0)</f>
        <v>-0.33806675524093621</v>
      </c>
      <c r="BO73" s="137">
        <f>_xll.xSPRDOPT($BW73,$BV73,$CG73,0,$BY73,$BX73,$BZ73,$AJ73,1,0)</f>
        <v>0.46575350335156268</v>
      </c>
      <c r="BP73" s="137"/>
      <c r="BQ73" s="137"/>
      <c r="BR73" s="137"/>
      <c r="BS73" s="137"/>
      <c r="BV73" s="262">
        <v>3.4598465473145774</v>
      </c>
      <c r="BW73" s="136">
        <v>3.9620000000000002</v>
      </c>
      <c r="BX73" s="137">
        <v>0.2518398210262735</v>
      </c>
      <c r="BY73" s="137">
        <v>0.2518398210262735</v>
      </c>
      <c r="BZ73" s="137">
        <v>1</v>
      </c>
      <c r="CA73" s="137">
        <v>5.10592297577648E-2</v>
      </c>
      <c r="CB73" s="137">
        <v>0.80371219529642934</v>
      </c>
      <c r="CC73" s="258">
        <v>0.01</v>
      </c>
      <c r="CD73" s="258">
        <v>0.01</v>
      </c>
      <c r="CE73" s="258">
        <v>0.6</v>
      </c>
      <c r="CF73" s="258">
        <v>0</v>
      </c>
      <c r="CG73" s="258">
        <v>3.6400000000000002E-2</v>
      </c>
      <c r="CH73" s="258">
        <v>8.8898605921738056</v>
      </c>
      <c r="CI73" s="258">
        <v>3.3620000000000001</v>
      </c>
      <c r="CJ73" s="258"/>
      <c r="CK73" s="258"/>
      <c r="CL73" s="258"/>
      <c r="CM73" s="258"/>
    </row>
    <row r="74" spans="1:91" x14ac:dyDescent="0.25">
      <c r="A74" s="723"/>
      <c r="B74" s="723"/>
      <c r="D74" s="31">
        <f t="shared" si="53"/>
        <v>38852</v>
      </c>
      <c r="F74" s="28">
        <f t="shared" si="54"/>
        <v>5895</v>
      </c>
      <c r="G74" s="28">
        <f t="shared" si="13"/>
        <v>4713.937017225383</v>
      </c>
      <c r="H74" s="52">
        <f t="shared" si="55"/>
        <v>3.4572890025575447</v>
      </c>
      <c r="I74" s="52">
        <f t="shared" si="56"/>
        <v>4.1070000000000002</v>
      </c>
      <c r="K74" s="52">
        <f t="shared" si="57"/>
        <v>15.203459174109891</v>
      </c>
      <c r="L74" s="135">
        <f t="shared" si="58"/>
        <v>1.56022083253049E-6</v>
      </c>
      <c r="N74" s="131">
        <f t="shared" si="18"/>
        <v>0.24778090519241153</v>
      </c>
      <c r="O74" s="131">
        <f t="shared" si="19"/>
        <v>0.24778090519241153</v>
      </c>
      <c r="P74" s="55">
        <f t="shared" si="59"/>
        <v>1</v>
      </c>
      <c r="Q74" s="135">
        <f>_xll.xSPRDOPT(I74,H74,AQ74,0,O74,N74,P74,D74-$G$5,1,0)*AH74*AU74</f>
        <v>15.203460734330724</v>
      </c>
      <c r="R74" s="135"/>
      <c r="S74" s="181">
        <f t="shared" si="60"/>
        <v>-149068.87944654821</v>
      </c>
      <c r="T74" s="181">
        <f>_xll.xSPRDOPT(I74,H74,AQ74,AT74,O74,N74,P74,D74-$G$5,1,1)*AF74*F74*AH74</f>
        <v>145714.82965900088</v>
      </c>
      <c r="U74" s="135"/>
      <c r="V74" s="146">
        <f t="shared" si="61"/>
        <v>9.1397601231180587</v>
      </c>
      <c r="W74" s="146"/>
      <c r="X74" s="338">
        <f t="shared" si="62"/>
        <v>0</v>
      </c>
      <c r="Y74" s="338">
        <f t="shared" si="23"/>
        <v>0</v>
      </c>
      <c r="Z74" s="338">
        <f t="shared" si="24"/>
        <v>37.322938794517285</v>
      </c>
      <c r="AA74" s="338">
        <f t="shared" si="25"/>
        <v>-9.5234575000019772E-8</v>
      </c>
      <c r="AB74" s="338">
        <f t="shared" si="63"/>
        <v>0</v>
      </c>
      <c r="AC74" s="338">
        <f t="shared" si="64"/>
        <v>37.800237769278283</v>
      </c>
      <c r="AF74" s="138">
        <f t="shared" si="65"/>
        <v>1</v>
      </c>
      <c r="AG74" s="138">
        <f t="shared" si="66"/>
        <v>5</v>
      </c>
      <c r="AH74" s="138">
        <f t="shared" si="30"/>
        <v>31</v>
      </c>
      <c r="AI74" s="138">
        <f t="shared" si="67"/>
        <v>1596</v>
      </c>
      <c r="AJ74" s="138">
        <f t="shared" si="68"/>
        <v>1613</v>
      </c>
      <c r="AL74" s="136">
        <f t="shared" si="32"/>
        <v>3.3570000000000002</v>
      </c>
      <c r="AM74" s="258">
        <f t="shared" si="33"/>
        <v>1.2500000000000001E-2</v>
      </c>
      <c r="AN74" s="258">
        <f t="shared" si="34"/>
        <v>0.01</v>
      </c>
      <c r="AO74" s="258">
        <f t="shared" si="35"/>
        <v>0.75</v>
      </c>
      <c r="AP74" s="258">
        <f t="shared" si="36"/>
        <v>0</v>
      </c>
      <c r="AQ74" s="136">
        <f t="shared" si="69"/>
        <v>3.6400000000000002E-2</v>
      </c>
      <c r="AR74" s="137">
        <f t="shared" si="38"/>
        <v>2.2499999999999999E-2</v>
      </c>
      <c r="AS74" s="136">
        <f t="shared" si="70"/>
        <v>3.3795000000000002</v>
      </c>
      <c r="AT74" s="137">
        <f t="shared" si="71"/>
        <v>5.1371017405212001E-2</v>
      </c>
      <c r="AU74" s="137">
        <f t="shared" si="41"/>
        <v>0.79965004533085371</v>
      </c>
      <c r="AV74" s="394">
        <f t="shared" si="72"/>
        <v>3371.3245911148792</v>
      </c>
      <c r="AW74" s="137">
        <f t="shared" si="43"/>
        <v>0.245</v>
      </c>
      <c r="AX74" s="137">
        <f t="shared" si="44"/>
        <v>0.45</v>
      </c>
      <c r="AY74" s="137">
        <f t="shared" si="45"/>
        <v>0.45</v>
      </c>
      <c r="AZ74" s="137"/>
      <c r="BA74" s="264"/>
      <c r="BB74" s="258">
        <f t="shared" si="46"/>
        <v>0</v>
      </c>
      <c r="BC74" s="258">
        <f t="shared" si="73"/>
        <v>0</v>
      </c>
      <c r="BD74" s="137">
        <f t="shared" si="74"/>
        <v>5.1384239313778668E-6</v>
      </c>
      <c r="BE74" s="137">
        <f t="shared" si="75"/>
        <v>5.1384239313778668E-6</v>
      </c>
      <c r="BF74" s="137">
        <f>_xll.xSPRDOPT($BW74,$BV74,$CG74,0,$BY74,$BX74,$BZ74,$AJ74,1,4)*$CB74</f>
        <v>-7.6228806679689199E-7</v>
      </c>
      <c r="BG74" s="137">
        <f>_xll.xSPRDOPT($BW74,$BV74,$CG74,0,$BY74,$BX74,$BZ74,$AJ74,1,3)*$CB74</f>
        <v>7.622880667968921E-7</v>
      </c>
      <c r="BH74" s="137">
        <f>IF(OR(BF74&lt;&gt;0,BG74&lt;&gt;0),_xll.xSPRDOPT($BW74,$BV74,$CG74,0,$BY74,$BX74,$BZ74,$AJ74,1,12)*$CB74,0)</f>
        <v>0</v>
      </c>
      <c r="BI74" s="137">
        <f>_xll.xSPRDOPT($BW74,$BV74,$CG74,2*LN(1+CA74/2),$BY74,$BX74,$BZ74,$AJ74,1,9)</f>
        <v>2.4865620390338884E-2</v>
      </c>
      <c r="BJ74" s="137">
        <f>_xll.xSPRDOPT($BW74,$BV74,$CG74,0,$BY74,$BX74,$BZ74,$AJ74,1,6)*$CB74</f>
        <v>5.3966253769766731E-7</v>
      </c>
      <c r="BK74" s="137">
        <f>_xll.xSPRDOPT($BW74,$BV74,$CG74,0,$BY74,$BX74,$BZ74,$AJ74,1,5)*$CB74</f>
        <v>-6.4108151178540468E-7</v>
      </c>
      <c r="BL74" s="137">
        <f>_xll.xSPRDOPT(BW74,BV74,CG74,0,BY74,BX74,BZ74,AJ74,1,2)*CB74</f>
        <v>-0.79931705358776139</v>
      </c>
      <c r="BM74" s="137">
        <f>_xll.xSPRDOPT(BW74,BV74,CG74,0,BY74,BX74,BZ74,AJ74,1,1)*CB74</f>
        <v>0.7993170535848535</v>
      </c>
      <c r="BN74" s="137">
        <f>IF(AH74&lt;&gt;0,_xll.xSPRDOPT($BW74,$BV74,$CG74,2*LN(1+CA74/2),$BY74,$BX74,$BZ74,$AJ74,1,8)+(AJ74/365.25)*CH74/AH74,0)</f>
        <v>-0.86345412275555078</v>
      </c>
      <c r="BO74" s="137">
        <f>_xll.xSPRDOPT($BW74,$BV74,$CG74,0,$BY74,$BX74,$BZ74,$AJ74,1,0)</f>
        <v>0.61331106035353988</v>
      </c>
      <c r="BP74" s="137"/>
      <c r="BQ74" s="137"/>
      <c r="BR74" s="137"/>
      <c r="BS74" s="137"/>
      <c r="BV74" s="262">
        <v>3.4572890025575447</v>
      </c>
      <c r="BW74" s="136">
        <v>4.1070000000000002</v>
      </c>
      <c r="BX74" s="137">
        <v>0.24777576676848015</v>
      </c>
      <c r="BY74" s="137">
        <v>0.24777576676848015</v>
      </c>
      <c r="BZ74" s="137">
        <v>1</v>
      </c>
      <c r="CA74" s="137">
        <v>5.1371017405212001E-2</v>
      </c>
      <c r="CB74" s="137">
        <v>0.79931697192961793</v>
      </c>
      <c r="CC74" s="258">
        <v>1.2500000000000001E-2</v>
      </c>
      <c r="CD74" s="258">
        <v>0.01</v>
      </c>
      <c r="CE74" s="258">
        <v>0.75</v>
      </c>
      <c r="CF74" s="258">
        <v>0</v>
      </c>
      <c r="CG74" s="258">
        <v>3.6400000000000002E-2</v>
      </c>
      <c r="CH74" s="258">
        <v>9.1359531940639549</v>
      </c>
      <c r="CI74" s="258">
        <v>3.3570000000000002</v>
      </c>
      <c r="CJ74" s="258"/>
      <c r="CK74" s="258"/>
      <c r="CL74" s="258"/>
      <c r="CM74" s="258"/>
    </row>
    <row r="75" spans="1:91" x14ac:dyDescent="0.25">
      <c r="A75" s="723"/>
      <c r="B75" s="723"/>
      <c r="D75" s="31">
        <f t="shared" si="53"/>
        <v>38883</v>
      </c>
      <c r="F75" s="28">
        <f t="shared" si="54"/>
        <v>5895</v>
      </c>
      <c r="G75" s="28">
        <f t="shared" si="13"/>
        <v>4687.0684746529541</v>
      </c>
      <c r="H75" s="52">
        <f t="shared" si="55"/>
        <v>3.4930946291560101</v>
      </c>
      <c r="I75" s="52">
        <f t="shared" si="56"/>
        <v>4.242</v>
      </c>
      <c r="K75" s="52">
        <f t="shared" si="57"/>
        <v>16.995223723683342</v>
      </c>
      <c r="L75" s="135">
        <f t="shared" si="58"/>
        <v>1.7264868468203076E-6</v>
      </c>
      <c r="N75" s="131">
        <f t="shared" si="18"/>
        <v>0.2500930627639058</v>
      </c>
      <c r="O75" s="131">
        <f t="shared" si="19"/>
        <v>0.2500930627639058</v>
      </c>
      <c r="P75" s="55">
        <f t="shared" si="59"/>
        <v>1</v>
      </c>
      <c r="Q75" s="135">
        <f>_xll.xSPRDOPT(I75,H75,AQ75,0,O75,N75,P75,D75-$G$5,1,0)*AH75*AU75</f>
        <v>16.995225450170189</v>
      </c>
      <c r="R75" s="135"/>
      <c r="S75" s="181">
        <f t="shared" si="60"/>
        <v>-143424.83853234365</v>
      </c>
      <c r="T75" s="181">
        <f>_xll.xSPRDOPT(I75,H75,AQ75,AT75,O75,N75,P75,D75-$G$5,1,1)*AF75*F75*AH75</f>
        <v>140197.77966536593</v>
      </c>
      <c r="U75" s="135"/>
      <c r="V75" s="146">
        <f t="shared" si="61"/>
        <v>8.7945147409900457</v>
      </c>
      <c r="W75" s="146"/>
      <c r="X75" s="338">
        <f t="shared" si="62"/>
        <v>0</v>
      </c>
      <c r="Y75" s="338">
        <f t="shared" si="23"/>
        <v>0</v>
      </c>
      <c r="Z75" s="338">
        <f t="shared" si="24"/>
        <v>41.97978148140357</v>
      </c>
      <c r="AA75" s="338">
        <f t="shared" si="25"/>
        <v>-1.0025024742509648E-7</v>
      </c>
      <c r="AB75" s="338">
        <f t="shared" si="63"/>
        <v>0</v>
      </c>
      <c r="AC75" s="338">
        <f t="shared" si="64"/>
        <v>42.51998652228032</v>
      </c>
      <c r="AF75" s="138">
        <f t="shared" si="65"/>
        <v>1</v>
      </c>
      <c r="AG75" s="138">
        <f t="shared" si="66"/>
        <v>6</v>
      </c>
      <c r="AH75" s="138">
        <f t="shared" si="30"/>
        <v>30</v>
      </c>
      <c r="AI75" s="138">
        <f t="shared" si="67"/>
        <v>1627</v>
      </c>
      <c r="AJ75" s="138">
        <f t="shared" si="68"/>
        <v>1644</v>
      </c>
      <c r="AL75" s="136">
        <f t="shared" si="32"/>
        <v>3.3919999999999999</v>
      </c>
      <c r="AM75" s="258">
        <f t="shared" si="33"/>
        <v>1.2500000000000001E-2</v>
      </c>
      <c r="AN75" s="258">
        <f t="shared" si="34"/>
        <v>0.01</v>
      </c>
      <c r="AO75" s="258">
        <f t="shared" si="35"/>
        <v>0.85</v>
      </c>
      <c r="AP75" s="258">
        <f t="shared" si="36"/>
        <v>0</v>
      </c>
      <c r="AQ75" s="136">
        <f t="shared" si="69"/>
        <v>3.6400000000000002E-2</v>
      </c>
      <c r="AR75" s="137">
        <f t="shared" si="38"/>
        <v>2.2499999999999999E-2</v>
      </c>
      <c r="AS75" s="136">
        <f t="shared" si="70"/>
        <v>3.4144999999999999</v>
      </c>
      <c r="AT75" s="137">
        <f t="shared" si="71"/>
        <v>5.1693198008315698E-2</v>
      </c>
      <c r="AU75" s="137">
        <f t="shared" si="41"/>
        <v>0.79509219247717622</v>
      </c>
      <c r="AV75" s="394">
        <f t="shared" si="72"/>
        <v>3243.9761453068791</v>
      </c>
      <c r="AW75" s="137">
        <f t="shared" si="43"/>
        <v>0.2475</v>
      </c>
      <c r="AX75" s="137">
        <f t="shared" si="44"/>
        <v>0.45</v>
      </c>
      <c r="AY75" s="137">
        <f t="shared" si="45"/>
        <v>0.45</v>
      </c>
      <c r="AZ75" s="137"/>
      <c r="BA75" s="264"/>
      <c r="BB75" s="258">
        <f t="shared" si="46"/>
        <v>0</v>
      </c>
      <c r="BC75" s="258">
        <f t="shared" si="73"/>
        <v>0</v>
      </c>
      <c r="BD75" s="137">
        <f t="shared" si="74"/>
        <v>4.7045180826543742E-6</v>
      </c>
      <c r="BE75" s="137">
        <f t="shared" si="75"/>
        <v>4.7045180826543742E-6</v>
      </c>
      <c r="BF75" s="137">
        <f>_xll.xSPRDOPT($BW75,$BV75,$CG75,0,$BY75,$BX75,$BZ75,$AJ75,1,4)*$CB75</f>
        <v>3.7897060738926859E-7</v>
      </c>
      <c r="BG75" s="137">
        <f>_xll.xSPRDOPT($BW75,$BV75,$CG75,0,$BY75,$BX75,$BZ75,$AJ75,1,3)*$CB75</f>
        <v>0</v>
      </c>
      <c r="BH75" s="137">
        <f>IF(OR(BF75&lt;&gt;0,BG75&lt;&gt;0),_xll.xSPRDOPT($BW75,$BV75,$CG75,0,$BY75,$BX75,$BZ75,$AJ75,1,12)*$CB75,0)</f>
        <v>9.4742651847317148E-8</v>
      </c>
      <c r="BI75" s="137">
        <f>_xll.xSPRDOPT($BW75,$BV75,$CG75,2*LN(1+CA75/2),$BY75,$BX75,$BZ75,$AJ75,1,9)</f>
        <v>2.8900415014763269E-2</v>
      </c>
      <c r="BJ75" s="137">
        <f>_xll.xSPRDOPT($BW75,$BV75,$CG75,0,$BY75,$BX75,$BZ75,$AJ75,1,6)*$CB75</f>
        <v>5.6200332553680689E-7</v>
      </c>
      <c r="BK75" s="137">
        <f>_xll.xSPRDOPT($BW75,$BV75,$CG75,0,$BY75,$BX75,$BZ75,$AJ75,1,5)*$CB75</f>
        <v>-6.8249727701204015E-7</v>
      </c>
      <c r="BL75" s="137">
        <f>_xll.xSPRDOPT(BW75,BV75,CG75,0,BY75,BX75,BZ75,AJ75,1,2)*CB75</f>
        <v>-0.79475904769150585</v>
      </c>
      <c r="BM75" s="137">
        <f>_xll.xSPRDOPT(BW75,BV75,CG75,0,BY75,BX75,BZ75,AJ75,1,1)*CB75</f>
        <v>0.79475904767849492</v>
      </c>
      <c r="BN75" s="137">
        <f>IF(AH75&lt;&gt;0,_xll.xSPRDOPT($BW75,$BV75,$CG75,2*LN(1+CA75/2),$BY75,$BX75,$BZ75,$AJ75,1,8)+(AJ75/365.25)*CH75/AH75,0)</f>
        <v>-1.229871601715586</v>
      </c>
      <c r="BO75" s="137">
        <f>_xll.xSPRDOPT($BW75,$BV75,$CG75,0,$BY75,$BX75,$BZ75,$AJ75,1,0)</f>
        <v>0.71250544319110531</v>
      </c>
      <c r="BP75" s="137"/>
      <c r="BQ75" s="137"/>
      <c r="BR75" s="137"/>
      <c r="BS75" s="137"/>
      <c r="BV75" s="262">
        <v>3.4930946291560101</v>
      </c>
      <c r="BW75" s="136">
        <v>4.242</v>
      </c>
      <c r="BX75" s="137">
        <v>0.25008835824582315</v>
      </c>
      <c r="BY75" s="137">
        <v>0.25008835824582315</v>
      </c>
      <c r="BZ75" s="137">
        <v>1</v>
      </c>
      <c r="CA75" s="137">
        <v>5.1693198008315698E-2</v>
      </c>
      <c r="CB75" s="137">
        <v>0.79475896722761941</v>
      </c>
      <c r="CC75" s="258">
        <v>1.2500000000000001E-2</v>
      </c>
      <c r="CD75" s="258">
        <v>0.01</v>
      </c>
      <c r="CE75" s="258">
        <v>0.85</v>
      </c>
      <c r="CF75" s="258">
        <v>0</v>
      </c>
      <c r="CG75" s="258">
        <v>3.6400000000000002E-2</v>
      </c>
      <c r="CH75" s="258">
        <v>8.790828936504699</v>
      </c>
      <c r="CI75" s="258">
        <v>3.3919999999999999</v>
      </c>
      <c r="CJ75" s="258"/>
      <c r="CK75" s="258"/>
      <c r="CL75" s="258"/>
      <c r="CM75" s="258"/>
    </row>
    <row r="76" spans="1:91" x14ac:dyDescent="0.25">
      <c r="A76" s="723"/>
      <c r="B76" s="723"/>
      <c r="D76" s="31">
        <f t="shared" si="53"/>
        <v>38913</v>
      </c>
      <c r="F76" s="28">
        <f t="shared" si="54"/>
        <v>5895</v>
      </c>
      <c r="G76" s="28">
        <f t="shared" si="13"/>
        <v>4660.9768710761036</v>
      </c>
      <c r="H76" s="52">
        <f t="shared" si="55"/>
        <v>3.5340153452685419</v>
      </c>
      <c r="I76" s="52">
        <f t="shared" si="56"/>
        <v>4.4820000000000002</v>
      </c>
      <c r="K76" s="52">
        <f t="shared" si="57"/>
        <v>22.343532611309232</v>
      </c>
      <c r="L76" s="135">
        <f t="shared" si="58"/>
        <v>2.257681611439466E-6</v>
      </c>
      <c r="N76" s="131">
        <f t="shared" si="18"/>
        <v>0.25100885381510452</v>
      </c>
      <c r="O76" s="131">
        <f t="shared" si="19"/>
        <v>0.25100885381510452</v>
      </c>
      <c r="P76" s="55">
        <f t="shared" si="59"/>
        <v>0.99999999999999978</v>
      </c>
      <c r="Q76" s="135">
        <f>_xll.xSPRDOPT(I76,H76,AQ76,0,O76,N76,P76,D76-$G$5,1,0)*AH76*AU76</f>
        <v>22.343534868990844</v>
      </c>
      <c r="R76" s="135"/>
      <c r="S76" s="181">
        <f t="shared" si="60"/>
        <v>-147367.38515998371</v>
      </c>
      <c r="T76" s="181">
        <f>_xll.xSPRDOPT(I76,H76,AQ76,AT76,O76,N76,P76,D76-$G$5,1,1)*AF76*F76*AH76</f>
        <v>144051.61899388407</v>
      </c>
      <c r="U76" s="135"/>
      <c r="V76" s="146">
        <f t="shared" si="61"/>
        <v>9.0370767333907622</v>
      </c>
      <c r="W76" s="146"/>
      <c r="X76" s="338">
        <f t="shared" si="62"/>
        <v>0</v>
      </c>
      <c r="Y76" s="338">
        <f t="shared" si="23"/>
        <v>0</v>
      </c>
      <c r="Z76" s="338">
        <f t="shared" si="24"/>
        <v>55.519109215476945</v>
      </c>
      <c r="AA76" s="338">
        <f t="shared" si="25"/>
        <v>-1.9419201479428328E-7</v>
      </c>
      <c r="AB76" s="338">
        <f t="shared" si="63"/>
        <v>0</v>
      </c>
      <c r="AC76" s="338">
        <f t="shared" si="64"/>
        <v>56.237831576548075</v>
      </c>
      <c r="AF76" s="138">
        <f t="shared" si="65"/>
        <v>1</v>
      </c>
      <c r="AG76" s="138">
        <f t="shared" si="66"/>
        <v>7</v>
      </c>
      <c r="AH76" s="138">
        <f t="shared" si="30"/>
        <v>31</v>
      </c>
      <c r="AI76" s="138">
        <f t="shared" si="67"/>
        <v>1657</v>
      </c>
      <c r="AJ76" s="138">
        <f t="shared" si="68"/>
        <v>1674</v>
      </c>
      <c r="AL76" s="136">
        <f t="shared" si="32"/>
        <v>3.4319999999999999</v>
      </c>
      <c r="AM76" s="258">
        <f t="shared" si="33"/>
        <v>1.2500000000000001E-2</v>
      </c>
      <c r="AN76" s="258">
        <f t="shared" si="34"/>
        <v>0.01</v>
      </c>
      <c r="AO76" s="258">
        <f t="shared" si="35"/>
        <v>1.05</v>
      </c>
      <c r="AP76" s="258">
        <f t="shared" si="36"/>
        <v>0</v>
      </c>
      <c r="AQ76" s="136">
        <f t="shared" si="69"/>
        <v>3.6400000000000002E-2</v>
      </c>
      <c r="AR76" s="137">
        <f t="shared" si="38"/>
        <v>2.2499999999999999E-2</v>
      </c>
      <c r="AS76" s="136">
        <f t="shared" si="70"/>
        <v>3.4544999999999999</v>
      </c>
      <c r="AT76" s="137">
        <f t="shared" si="71"/>
        <v>5.2004985721710598E-2</v>
      </c>
      <c r="AU76" s="137">
        <f t="shared" si="41"/>
        <v>0.7906661358907725</v>
      </c>
      <c r="AV76" s="394">
        <f t="shared" si="72"/>
        <v>3333.4484289154971</v>
      </c>
      <c r="AW76" s="137">
        <f t="shared" si="43"/>
        <v>0.2475</v>
      </c>
      <c r="AX76" s="137">
        <f t="shared" si="44"/>
        <v>0.5</v>
      </c>
      <c r="AY76" s="137">
        <f t="shared" si="45"/>
        <v>0.5</v>
      </c>
      <c r="AZ76" s="137"/>
      <c r="BA76" s="264"/>
      <c r="BB76" s="258">
        <f t="shared" si="46"/>
        <v>0</v>
      </c>
      <c r="BC76" s="258">
        <f t="shared" si="73"/>
        <v>0</v>
      </c>
      <c r="BD76" s="137">
        <f t="shared" si="74"/>
        <v>6.2388038960525805E-6</v>
      </c>
      <c r="BE76" s="137">
        <f t="shared" si="75"/>
        <v>6.2388038960525805E-6</v>
      </c>
      <c r="BF76" s="137">
        <f>_xll.xSPRDOPT($BW76,$BV76,$CG76,0,$BY76,$BX76,$BZ76,$AJ76,1,4)*$CB76</f>
        <v>2.0727302362541214E-6</v>
      </c>
      <c r="BG76" s="137">
        <f>_xll.xSPRDOPT($BW76,$BV76,$CG76,0,$BY76,$BX76,$BZ76,$AJ76,1,3)*$CB76</f>
        <v>1.3190101503435318E-6</v>
      </c>
      <c r="BH76" s="137">
        <f>IF(OR(BF76&lt;&gt;0,BG76&lt;&gt;0),_xll.xSPRDOPT($BW76,$BV76,$CG76,0,$BY76,$BX76,$BZ76,$AJ76,1,12)*$CB76,0)</f>
        <v>-1.3190101503435318E-6</v>
      </c>
      <c r="BI76" s="137">
        <f>_xll.xSPRDOPT($BW76,$BV76,$CG76,2*LN(1+CA76/2),$BY76,$BX76,$BZ76,$AJ76,1,9)</f>
        <v>3.6988434961199038E-2</v>
      </c>
      <c r="BJ76" s="137">
        <f>_xll.xSPRDOPT($BW76,$BV76,$CG76,0,$BY76,$BX76,$BZ76,$AJ76,1,6)*$CB76</f>
        <v>6.349610996908428E-7</v>
      </c>
      <c r="BK76" s="137">
        <f>_xll.xSPRDOPT($BW76,$BV76,$CG76,0,$BY76,$BX76,$BZ76,$AJ76,1,5)*$CB76</f>
        <v>-8.0528850464791907E-7</v>
      </c>
      <c r="BL76" s="137">
        <f>_xll.xSPRDOPT(BW76,BV76,CG76,0,BY76,BX76,BZ76,AJ76,1,2)*CB76</f>
        <v>-0.79033287347797299</v>
      </c>
      <c r="BM76" s="137">
        <f>_xll.xSPRDOPT(BW76,BV76,CG76,0,BY76,BX76,BZ76,AJ76,1,1)*CB76</f>
        <v>0.79033287347941061</v>
      </c>
      <c r="BN76" s="137">
        <f>IF(AH76&lt;&gt;0,_xll.xSPRDOPT($BW76,$BV76,$CG76,2*LN(1+CA76/2),$BY76,$BX76,$BZ76,$AJ76,1,8)+(AJ76/365.25)*CH76/AH76,0)</f>
        <v>-1.9664498308207981</v>
      </c>
      <c r="BO76" s="137">
        <f>_xll.xSPRDOPT($BW76,$BV76,$CG76,0,$BY76,$BX76,$BZ76,$AJ76,1,0)</f>
        <v>0.91158474679455737</v>
      </c>
      <c r="BP76" s="137"/>
      <c r="BQ76" s="137"/>
      <c r="BR76" s="137"/>
      <c r="BS76" s="137"/>
      <c r="BV76" s="262">
        <v>3.5340153452685419</v>
      </c>
      <c r="BW76" s="136">
        <v>4.4820000000000002</v>
      </c>
      <c r="BX76" s="137">
        <v>0.25100261501120846</v>
      </c>
      <c r="BY76" s="137">
        <v>0.25100261501120846</v>
      </c>
      <c r="BZ76" s="137">
        <v>1</v>
      </c>
      <c r="CA76" s="137">
        <v>5.2004985721710598E-2</v>
      </c>
      <c r="CB76" s="137">
        <v>0.79033279280378232</v>
      </c>
      <c r="CC76" s="258">
        <v>1.2500000000000001E-2</v>
      </c>
      <c r="CD76" s="258">
        <v>0.01</v>
      </c>
      <c r="CE76" s="258">
        <v>1.05</v>
      </c>
      <c r="CF76" s="258">
        <v>0</v>
      </c>
      <c r="CG76" s="258">
        <v>3.6400000000000002E-2</v>
      </c>
      <c r="CH76" s="258">
        <v>9.0332667219093903</v>
      </c>
      <c r="CI76" s="258">
        <v>3.4319999999999999</v>
      </c>
      <c r="CJ76" s="258"/>
      <c r="CK76" s="258"/>
      <c r="CL76" s="258"/>
      <c r="CM76" s="258"/>
    </row>
    <row r="77" spans="1:91" x14ac:dyDescent="0.25">
      <c r="A77" s="723"/>
      <c r="B77" s="723"/>
      <c r="D77" s="31">
        <f t="shared" si="53"/>
        <v>38944</v>
      </c>
      <c r="F77" s="28">
        <f t="shared" si="54"/>
        <v>5895</v>
      </c>
      <c r="G77" s="28">
        <f t="shared" si="13"/>
        <v>4633.9261287496456</v>
      </c>
      <c r="H77" s="52">
        <f t="shared" si="55"/>
        <v>3.5698209718670073</v>
      </c>
      <c r="I77" s="52">
        <f t="shared" si="56"/>
        <v>4.5220000000000002</v>
      </c>
      <c r="K77" s="52">
        <f t="shared" si="57"/>
        <v>22.316068425007533</v>
      </c>
      <c r="L77" s="135">
        <f t="shared" si="58"/>
        <v>2.2380124491405695E-6</v>
      </c>
      <c r="N77" s="131">
        <f t="shared" si="18"/>
        <v>0.25189542698197026</v>
      </c>
      <c r="O77" s="131">
        <f t="shared" si="19"/>
        <v>0.25189542698197026</v>
      </c>
      <c r="P77" s="55">
        <f t="shared" si="59"/>
        <v>1</v>
      </c>
      <c r="Q77" s="135">
        <f>_xll.xSPRDOPT(I77,H77,AQ77,0,O77,N77,P77,D77-$G$5,1,0)*AH77*AU77</f>
        <v>22.316070663019982</v>
      </c>
      <c r="R77" s="135"/>
      <c r="S77" s="181">
        <f t="shared" si="60"/>
        <v>-146498.25886091706</v>
      </c>
      <c r="T77" s="181">
        <f>_xll.xSPRDOPT(I77,H77,AQ77,AT77,O77,N77,P77,D77-$G$5,1,1)*AF77*F77*AH77</f>
        <v>143202.04803654645</v>
      </c>
      <c r="U77" s="135"/>
      <c r="V77" s="146">
        <f t="shared" si="61"/>
        <v>8.9846285790958138</v>
      </c>
      <c r="W77" s="146"/>
      <c r="X77" s="338">
        <f t="shared" si="62"/>
        <v>0</v>
      </c>
      <c r="Y77" s="338">
        <f t="shared" si="23"/>
        <v>0</v>
      </c>
      <c r="Z77" s="338">
        <f t="shared" si="24"/>
        <v>55.789852495381027</v>
      </c>
      <c r="AA77" s="338">
        <f t="shared" si="25"/>
        <v>-2.3954383834986705E-7</v>
      </c>
      <c r="AB77" s="338">
        <f t="shared" si="63"/>
        <v>0</v>
      </c>
      <c r="AC77" s="338">
        <f t="shared" si="64"/>
        <v>56.516535151322891</v>
      </c>
      <c r="AF77" s="138">
        <f t="shared" si="65"/>
        <v>1</v>
      </c>
      <c r="AG77" s="138">
        <f t="shared" si="66"/>
        <v>8</v>
      </c>
      <c r="AH77" s="138">
        <f t="shared" si="30"/>
        <v>31</v>
      </c>
      <c r="AI77" s="138">
        <f t="shared" si="67"/>
        <v>1688</v>
      </c>
      <c r="AJ77" s="138">
        <f t="shared" si="68"/>
        <v>1705</v>
      </c>
      <c r="AL77" s="136">
        <f t="shared" si="32"/>
        <v>3.472</v>
      </c>
      <c r="AM77" s="258">
        <f t="shared" si="33"/>
        <v>7.4999999999999997E-3</v>
      </c>
      <c r="AN77" s="258">
        <f t="shared" si="34"/>
        <v>0.01</v>
      </c>
      <c r="AO77" s="258">
        <f t="shared" si="35"/>
        <v>1.05</v>
      </c>
      <c r="AP77" s="258">
        <f t="shared" si="36"/>
        <v>0</v>
      </c>
      <c r="AQ77" s="136">
        <f t="shared" si="69"/>
        <v>3.6400000000000002E-2</v>
      </c>
      <c r="AR77" s="137">
        <f t="shared" si="38"/>
        <v>2.2499999999999999E-2</v>
      </c>
      <c r="AS77" s="136">
        <f t="shared" si="70"/>
        <v>3.4894999999999996</v>
      </c>
      <c r="AT77" s="137">
        <f t="shared" si="71"/>
        <v>5.2327166392949202E-2</v>
      </c>
      <c r="AU77" s="137">
        <f t="shared" si="41"/>
        <v>0.78607737553005008</v>
      </c>
      <c r="AV77" s="394">
        <f t="shared" si="72"/>
        <v>3314.1022152346914</v>
      </c>
      <c r="AW77" s="137">
        <f t="shared" si="43"/>
        <v>0.2475</v>
      </c>
      <c r="AX77" s="137">
        <f t="shared" si="44"/>
        <v>0.55000000000000004</v>
      </c>
      <c r="AY77" s="137">
        <f t="shared" si="45"/>
        <v>0.55000000000000004</v>
      </c>
      <c r="AZ77" s="137"/>
      <c r="BA77" s="264"/>
      <c r="BB77" s="258">
        <f t="shared" si="46"/>
        <v>0</v>
      </c>
      <c r="BC77" s="258">
        <f t="shared" si="73"/>
        <v>0</v>
      </c>
      <c r="BD77" s="137">
        <f t="shared" si="74"/>
        <v>7.659790955905077E-6</v>
      </c>
      <c r="BE77" s="137">
        <f t="shared" si="75"/>
        <v>7.659790955905077E-6</v>
      </c>
      <c r="BF77" s="137">
        <f>_xll.xSPRDOPT($BW77,$BV77,$CG77,0,$BY77,$BX77,$BZ77,$AJ77,1,4)*$CB77</f>
        <v>-3.746719077270386E-7</v>
      </c>
      <c r="BG77" s="137">
        <f>_xll.xSPRDOPT($BW77,$BV77,$CG77,0,$BY77,$BX77,$BZ77,$AJ77,1,3)*$CB77</f>
        <v>-3.746719077270386E-7</v>
      </c>
      <c r="BH77" s="137">
        <f>IF(OR(BF77&lt;&gt;0,BG77&lt;&gt;0),_xll.xSPRDOPT($BW77,$BV77,$CG77,0,$BY77,$BX77,$BZ77,$AJ77,1,12)*$CB77,0)</f>
        <v>9.3667976931759649E-8</v>
      </c>
      <c r="BI77" s="137">
        <f>_xll.xSPRDOPT($BW77,$BV77,$CG77,2*LN(1+CA77/2),$BY77,$BX77,$BZ77,$AJ77,1,9)</f>
        <v>3.7168811958262278E-2</v>
      </c>
      <c r="BJ77" s="137">
        <f>_xll.xSPRDOPT($BW77,$BV77,$CG77,0,$BY77,$BX77,$BZ77,$AJ77,1,6)*$CB77</f>
        <v>6.4161369259546102E-7</v>
      </c>
      <c r="BK77" s="137">
        <f>_xll.xSPRDOPT($BW77,$BV77,$CG77,0,$BY77,$BX77,$BZ77,$AJ77,1,5)*$CB77</f>
        <v>-8.1274228713069861E-7</v>
      </c>
      <c r="BL77" s="137">
        <f>_xll.xSPRDOPT(BW77,BV77,CG77,0,BY77,BX77,BZ77,AJ77,1,2)*CB77</f>
        <v>-0.78574402005040089</v>
      </c>
      <c r="BM77" s="137">
        <f>_xll.xSPRDOPT(BW77,BV77,CG77,0,BY77,BX77,BZ77,AJ77,1,1)*CB77</f>
        <v>0.7857440200446838</v>
      </c>
      <c r="BN77" s="137">
        <f>IF(AH77&lt;&gt;0,_xll.xSPRDOPT($BW77,$BV77,$CG77,2*LN(1+CA77/2),$BY77,$BX77,$BZ77,$AJ77,1,8)+(AJ77/365.25)*CH77/AH77,0)</f>
        <v>-2.0066209350267123</v>
      </c>
      <c r="BO77" s="137">
        <f>_xll.xSPRDOPT($BW77,$BV77,$CG77,0,$BY77,$BX77,$BZ77,$AJ77,1,0)</f>
        <v>0.91577911992716232</v>
      </c>
      <c r="BP77" s="137"/>
      <c r="BQ77" s="137"/>
      <c r="BR77" s="137"/>
      <c r="BS77" s="137"/>
      <c r="BV77" s="262">
        <v>3.5698209718670073</v>
      </c>
      <c r="BW77" s="136">
        <v>4.5220000000000002</v>
      </c>
      <c r="BX77" s="137">
        <v>0.25188776719101436</v>
      </c>
      <c r="BY77" s="137">
        <v>0.25188776719101436</v>
      </c>
      <c r="BZ77" s="137">
        <v>1</v>
      </c>
      <c r="CA77" s="137">
        <v>5.2327166392949202E-2</v>
      </c>
      <c r="CB77" s="137">
        <v>0.78574394063357444</v>
      </c>
      <c r="CC77" s="258">
        <v>7.4999999999999997E-3</v>
      </c>
      <c r="CD77" s="258">
        <v>0.01</v>
      </c>
      <c r="CE77" s="258">
        <v>1.05</v>
      </c>
      <c r="CF77" s="258">
        <v>0</v>
      </c>
      <c r="CG77" s="258">
        <v>3.6400000000000002E-2</v>
      </c>
      <c r="CH77" s="258">
        <v>8.9808175182595669</v>
      </c>
      <c r="CI77" s="258">
        <v>3.472</v>
      </c>
      <c r="CJ77" s="258"/>
      <c r="CK77" s="258"/>
      <c r="CL77" s="258"/>
      <c r="CM77" s="258"/>
    </row>
    <row r="78" spans="1:91" x14ac:dyDescent="0.25">
      <c r="A78" s="723"/>
      <c r="B78" s="723"/>
      <c r="D78" s="31">
        <f t="shared" si="53"/>
        <v>38975</v>
      </c>
      <c r="F78" s="28">
        <f t="shared" si="54"/>
        <v>5895</v>
      </c>
      <c r="G78" s="28">
        <f t="shared" si="13"/>
        <v>4606.7879130877009</v>
      </c>
      <c r="H78" s="52">
        <f t="shared" si="55"/>
        <v>3.5647058823529409</v>
      </c>
      <c r="I78" s="52">
        <f t="shared" si="56"/>
        <v>4.2170000000000005</v>
      </c>
      <c r="K78" s="52">
        <f t="shared" si="57"/>
        <v>14.439153063197397</v>
      </c>
      <c r="L78" s="135">
        <f t="shared" si="58"/>
        <v>1.4549728710733234E-6</v>
      </c>
      <c r="N78" s="131">
        <f t="shared" si="18"/>
        <v>0.251680618344995</v>
      </c>
      <c r="O78" s="131">
        <f t="shared" si="19"/>
        <v>0.251680618344995</v>
      </c>
      <c r="P78" s="55">
        <f t="shared" si="59"/>
        <v>1</v>
      </c>
      <c r="Q78" s="135">
        <f>_xll.xSPRDOPT(I78,H78,AQ78,0,O78,N78,P78,D78-$G$5,1,0)*AH78*AU78</f>
        <v>14.439154518170268</v>
      </c>
      <c r="R78" s="135"/>
      <c r="S78" s="181">
        <f t="shared" si="60"/>
        <v>-140928.66817677335</v>
      </c>
      <c r="T78" s="181">
        <f>_xll.xSPRDOPT(I78,H78,AQ78,AT78,O78,N78,P78,D78-$G$5,1,1)*AF78*F78*AH78</f>
        <v>137757.77314279595</v>
      </c>
      <c r="U78" s="135"/>
      <c r="V78" s="146">
        <f t="shared" si="61"/>
        <v>8.6438814430302049</v>
      </c>
      <c r="W78" s="146"/>
      <c r="X78" s="338">
        <f t="shared" si="62"/>
        <v>0</v>
      </c>
      <c r="Y78" s="338">
        <f t="shared" si="23"/>
        <v>0</v>
      </c>
      <c r="Z78" s="338">
        <f t="shared" si="24"/>
        <v>36.316969248904215</v>
      </c>
      <c r="AA78" s="338">
        <f t="shared" si="25"/>
        <v>4.5418354201018253E-8</v>
      </c>
      <c r="AB78" s="338">
        <f t="shared" si="63"/>
        <v>0</v>
      </c>
      <c r="AC78" s="338">
        <f t="shared" si="64"/>
        <v>36.792916708764423</v>
      </c>
      <c r="AF78" s="138">
        <f t="shared" si="65"/>
        <v>1</v>
      </c>
      <c r="AG78" s="138">
        <f t="shared" si="66"/>
        <v>9</v>
      </c>
      <c r="AH78" s="138">
        <f t="shared" si="30"/>
        <v>30</v>
      </c>
      <c r="AI78" s="138">
        <f t="shared" si="67"/>
        <v>1719</v>
      </c>
      <c r="AJ78" s="138">
        <f t="shared" si="68"/>
        <v>1736</v>
      </c>
      <c r="AL78" s="136">
        <f t="shared" si="32"/>
        <v>3.4670000000000001</v>
      </c>
      <c r="AM78" s="258">
        <f t="shared" si="33"/>
        <v>7.4999999999999997E-3</v>
      </c>
      <c r="AN78" s="258">
        <f t="shared" si="34"/>
        <v>0.01</v>
      </c>
      <c r="AO78" s="258">
        <f t="shared" si="35"/>
        <v>0.75</v>
      </c>
      <c r="AP78" s="258">
        <f t="shared" si="36"/>
        <v>0</v>
      </c>
      <c r="AQ78" s="136">
        <f t="shared" si="69"/>
        <v>3.6400000000000002E-2</v>
      </c>
      <c r="AR78" s="137">
        <f t="shared" si="38"/>
        <v>2.2499999999999999E-2</v>
      </c>
      <c r="AS78" s="136">
        <f t="shared" si="70"/>
        <v>3.4844999999999997</v>
      </c>
      <c r="AT78" s="137">
        <f t="shared" si="71"/>
        <v>5.2649347098806303E-2</v>
      </c>
      <c r="AU78" s="137">
        <f t="shared" si="41"/>
        <v>0.78147377660520789</v>
      </c>
      <c r="AV78" s="394">
        <f t="shared" si="72"/>
        <v>3188.4130085492484</v>
      </c>
      <c r="AW78" s="137">
        <f t="shared" si="43"/>
        <v>0.2475</v>
      </c>
      <c r="AX78" s="137">
        <f t="shared" si="44"/>
        <v>0.55000000000000004</v>
      </c>
      <c r="AY78" s="137">
        <f t="shared" si="45"/>
        <v>0.55000000000000004</v>
      </c>
      <c r="AZ78" s="137"/>
      <c r="BA78" s="264"/>
      <c r="BB78" s="258">
        <f t="shared" si="46"/>
        <v>0</v>
      </c>
      <c r="BC78" s="258">
        <f t="shared" si="73"/>
        <v>0</v>
      </c>
      <c r="BD78" s="137">
        <f t="shared" si="74"/>
        <v>7.1605450768785772E-6</v>
      </c>
      <c r="BE78" s="137">
        <f t="shared" si="75"/>
        <v>7.1605450768785772E-6</v>
      </c>
      <c r="BF78" s="137">
        <f>_xll.xSPRDOPT($BW78,$BV78,$CG78,0,$BY78,$BX78,$BZ78,$AJ78,1,4)*$CB78</f>
        <v>5.5871506706106341E-7</v>
      </c>
      <c r="BG78" s="137">
        <f>_xll.xSPRDOPT($BW78,$BV78,$CG78,0,$BY78,$BX78,$BZ78,$AJ78,1,3)*$CB78</f>
        <v>1.6541288844164827E-22</v>
      </c>
      <c r="BH78" s="137">
        <f>IF(OR(BF78&lt;&gt;0,BG78&lt;&gt;0),_xll.xSPRDOPT($BW78,$BV78,$CG78,0,$BY78,$BX78,$BZ78,$AJ78,1,12)*$CB78,0)</f>
        <v>0</v>
      </c>
      <c r="BI78" s="137">
        <f>_xll.xSPRDOPT($BW78,$BV78,$CG78,2*LN(1+CA78/2),$BY78,$BX78,$BZ78,$AJ78,1,9)</f>
        <v>2.5001928221962611E-2</v>
      </c>
      <c r="BJ78" s="137">
        <f>_xll.xSPRDOPT($BW78,$BV78,$CG78,0,$BY78,$BX78,$BZ78,$AJ78,1,6)*$CB78</f>
        <v>-1.9603845792126354E-7</v>
      </c>
      <c r="BK78" s="137">
        <f>_xll.xSPRDOPT($BW78,$BV78,$CG78,0,$BY78,$BX78,$BZ78,$AJ78,1,5)*$CB78</f>
        <v>2.3190423507137694E-7</v>
      </c>
      <c r="BL78" s="137">
        <f>_xll.xSPRDOPT(BW78,BV78,CG78,0,BY78,BX78,BZ78,AJ78,1,2)*CB78</f>
        <v>-0.78114033948943407</v>
      </c>
      <c r="BM78" s="137">
        <f>_xll.xSPRDOPT(BW78,BV78,CG78,0,BY78,BX78,BZ78,AJ78,1,1)*CB78</f>
        <v>0.7811403394880132</v>
      </c>
      <c r="BN78" s="137">
        <f>IF(AH78&lt;&gt;0,_xll.xSPRDOPT($BW78,$BV78,$CG78,2*LN(1+CA78/2),$BY78,$BX78,$BZ78,$AJ78,1,8)+(AJ78/365.25)*CH78/AH78,0)</f>
        <v>-0.91775502337764903</v>
      </c>
      <c r="BO78" s="137">
        <f>_xll.xSPRDOPT($BW78,$BV78,$CG78,0,$BY78,$BX78,$BZ78,$AJ78,1,0)</f>
        <v>0.61589417971785398</v>
      </c>
      <c r="BP78" s="137"/>
      <c r="BQ78" s="137"/>
      <c r="BR78" s="137"/>
      <c r="BS78" s="137"/>
      <c r="BV78" s="262">
        <v>3.5647058823529409</v>
      </c>
      <c r="BW78" s="136">
        <v>4.2170000000000005</v>
      </c>
      <c r="BX78" s="137">
        <v>0.25167345779991812</v>
      </c>
      <c r="BY78" s="137">
        <v>0.25167345779991812</v>
      </c>
      <c r="BZ78" s="137">
        <v>1</v>
      </c>
      <c r="CA78" s="137">
        <v>5.2649347098806303E-2</v>
      </c>
      <c r="CB78" s="137">
        <v>0.78114028021149551</v>
      </c>
      <c r="CC78" s="258">
        <v>7.4999999999999997E-3</v>
      </c>
      <c r="CD78" s="258">
        <v>0.01</v>
      </c>
      <c r="CE78" s="258">
        <v>0.75</v>
      </c>
      <c r="CF78" s="258">
        <v>0</v>
      </c>
      <c r="CG78" s="258">
        <v>3.6400000000000002E-2</v>
      </c>
      <c r="CH78" s="258">
        <v>8.640192639419352</v>
      </c>
      <c r="CI78" s="258">
        <v>3.4670000000000001</v>
      </c>
      <c r="CJ78" s="258"/>
      <c r="CK78" s="258"/>
      <c r="CL78" s="258"/>
      <c r="CM78" s="258"/>
    </row>
    <row r="79" spans="1:91" x14ac:dyDescent="0.25">
      <c r="A79" s="723"/>
      <c r="B79" s="723"/>
      <c r="D79" s="31">
        <f t="shared" si="53"/>
        <v>39005</v>
      </c>
      <c r="F79" s="28">
        <f t="shared" si="54"/>
        <v>6669</v>
      </c>
      <c r="G79" s="28">
        <f t="shared" si="13"/>
        <v>5181.8470278977557</v>
      </c>
      <c r="H79" s="52">
        <f t="shared" si="55"/>
        <v>3.5969230769230767</v>
      </c>
      <c r="I79" s="52">
        <f t="shared" si="56"/>
        <v>3.9420000000000002</v>
      </c>
      <c r="K79" s="52">
        <f t="shared" si="57"/>
        <v>7.4351498709297035</v>
      </c>
      <c r="L79" s="135">
        <f t="shared" si="58"/>
        <v>8.9195254862062257E-6</v>
      </c>
      <c r="N79" s="131">
        <f t="shared" si="18"/>
        <v>0.25274596357326584</v>
      </c>
      <c r="O79" s="131">
        <f t="shared" si="19"/>
        <v>0.25274596357326584</v>
      </c>
      <c r="P79" s="55">
        <f t="shared" si="59"/>
        <v>1.0000000000000002</v>
      </c>
      <c r="Q79" s="135">
        <f>_xll.xSPRDOPT(I79,H79,AQ79,0,O79,N79,P79,D79-$G$5,1,0)*AH79*AU79</f>
        <v>7.4351587904551897</v>
      </c>
      <c r="R79" s="135"/>
      <c r="S79" s="181">
        <f t="shared" si="60"/>
        <v>-164207.36453708893</v>
      </c>
      <c r="T79" s="181">
        <f>_xll.xSPRDOPT(I79,H79,AQ79,AT79,O79,N79,P79,D79-$G$5,1,1)*AF79*F79*AH79</f>
        <v>160102.18042366169</v>
      </c>
      <c r="U79" s="135"/>
      <c r="V79" s="146">
        <f t="shared" si="61"/>
        <v>8.8809352188878368</v>
      </c>
      <c r="W79" s="146"/>
      <c r="X79" s="338">
        <f t="shared" si="62"/>
        <v>0</v>
      </c>
      <c r="Y79" s="338">
        <f t="shared" si="23"/>
        <v>0</v>
      </c>
      <c r="Z79" s="338">
        <f t="shared" si="24"/>
        <v>21.278450787098244</v>
      </c>
      <c r="AA79" s="338">
        <f t="shared" si="25"/>
        <v>5.0476485914173369E-5</v>
      </c>
      <c r="AB79" s="338">
        <f t="shared" si="63"/>
        <v>0</v>
      </c>
      <c r="AC79" s="338">
        <f t="shared" si="64"/>
        <v>21.560202192121565</v>
      </c>
      <c r="AF79" s="138">
        <f t="shared" si="65"/>
        <v>1</v>
      </c>
      <c r="AG79" s="138">
        <f t="shared" si="66"/>
        <v>10</v>
      </c>
      <c r="AH79" s="138">
        <f t="shared" si="30"/>
        <v>31</v>
      </c>
      <c r="AI79" s="138">
        <f t="shared" si="67"/>
        <v>1749</v>
      </c>
      <c r="AJ79" s="138">
        <f t="shared" si="68"/>
        <v>1766</v>
      </c>
      <c r="AL79" s="136">
        <f t="shared" si="32"/>
        <v>3.492</v>
      </c>
      <c r="AM79" s="258">
        <f t="shared" si="33"/>
        <v>5.0000000000000001E-3</v>
      </c>
      <c r="AN79" s="258">
        <f t="shared" si="34"/>
        <v>0.01</v>
      </c>
      <c r="AO79" s="258">
        <f t="shared" si="35"/>
        <v>0.45</v>
      </c>
      <c r="AP79" s="258">
        <f t="shared" si="36"/>
        <v>0</v>
      </c>
      <c r="AQ79" s="136">
        <f t="shared" si="69"/>
        <v>3.6400000000000002E-2</v>
      </c>
      <c r="AR79" s="137">
        <f t="shared" si="38"/>
        <v>2.5000000000000001E-2</v>
      </c>
      <c r="AS79" s="136">
        <f t="shared" si="70"/>
        <v>3.5069999999999997</v>
      </c>
      <c r="AT79" s="137">
        <f t="shared" si="71"/>
        <v>5.2961134911624401E-2</v>
      </c>
      <c r="AU79" s="137">
        <f t="shared" si="41"/>
        <v>0.77700510239882381</v>
      </c>
      <c r="AV79" s="394">
        <f t="shared" si="72"/>
        <v>4118.9040478161651</v>
      </c>
      <c r="AW79" s="137">
        <f t="shared" si="43"/>
        <v>0.2475</v>
      </c>
      <c r="AX79" s="137">
        <f t="shared" si="44"/>
        <v>0.6</v>
      </c>
      <c r="AY79" s="137">
        <f t="shared" si="45"/>
        <v>0.6</v>
      </c>
      <c r="AZ79" s="137"/>
      <c r="BA79" s="264"/>
      <c r="BB79" s="258">
        <f t="shared" si="46"/>
        <v>0</v>
      </c>
      <c r="BC79" s="258">
        <f t="shared" si="73"/>
        <v>0</v>
      </c>
      <c r="BD79" s="137">
        <f t="shared" si="74"/>
        <v>8.8117880494009704E-6</v>
      </c>
      <c r="BE79" s="137">
        <f t="shared" si="75"/>
        <v>8.8117880494009704E-6</v>
      </c>
      <c r="BF79" s="137">
        <f>_xll.xSPRDOPT($BW79,$BV79,$CG79,0,$BY79,$BX79,$BZ79,$AJ79,1,4)*$CB79</f>
        <v>-8.3327820026590793E-7</v>
      </c>
      <c r="BG79" s="137">
        <f>_xll.xSPRDOPT($BW79,$BV79,$CG79,0,$BY79,$BX79,$BZ79,$AJ79,1,3)*$CB79</f>
        <v>-6.4810526687078939E-7</v>
      </c>
      <c r="BH79" s="137">
        <f>IF(OR(BF79&lt;&gt;0,BG79&lt;&gt;0),_xll.xSPRDOPT($BW79,$BV79,$CG79,0,$BY79,$BX79,$BZ79,$AJ79,1,12)*$CB79,0)</f>
        <v>-9.2586466696211997E-8</v>
      </c>
      <c r="BI79" s="137">
        <f>_xll.xSPRDOPT($BW79,$BV79,$CG79,2*LN(1+CA79/2),$BY79,$BX79,$BZ79,$AJ79,1,9)</f>
        <v>1.2531024060913575E-2</v>
      </c>
      <c r="BJ79" s="137">
        <f>_xll.xSPRDOPT($BW79,$BV79,$CG79,0,$BY79,$BX79,$BZ79,$AJ79,1,6)*$CB79</f>
        <v>-2.8881374496518005E-4</v>
      </c>
      <c r="BK79" s="137">
        <f>_xll.xSPRDOPT($BW79,$BV79,$CG79,0,$BY79,$BX79,$BZ79,$AJ79,1,5)*$CB79</f>
        <v>3.165215841737486E-4</v>
      </c>
      <c r="BL79" s="137">
        <f>_xll.xSPRDOPT(BW79,BV79,CG79,0,BY79,BX79,BZ79,AJ79,1,2)*CB79</f>
        <v>-0.77666347978363781</v>
      </c>
      <c r="BM79" s="137">
        <f>_xll.xSPRDOPT(BW79,BV79,CG79,0,BY79,BX79,BZ79,AJ79,1,1)*CB79</f>
        <v>0.77666347978928885</v>
      </c>
      <c r="BN79" s="137">
        <f>IF(AH79&lt;&gt;0,_xll.xSPRDOPT($BW79,$BV79,$CG79,2*LN(1+CA79/2),$BY79,$BX79,$BZ79,$AJ79,1,8)+(AJ79/365.25)*CH79/AH79,0)</f>
        <v>0.22539973845152872</v>
      </c>
      <c r="BO79" s="137">
        <f>_xll.xSPRDOPT($BW79,$BV79,$CG79,0,$BY79,$BX79,$BZ79,$AJ79,1,0)</f>
        <v>0.30867730073365901</v>
      </c>
      <c r="BP79" s="137"/>
      <c r="BQ79" s="137"/>
      <c r="BR79" s="137"/>
      <c r="BS79" s="137"/>
      <c r="BV79" s="262">
        <v>3.5969230769230767</v>
      </c>
      <c r="BW79" s="136">
        <v>3.9420000000000002</v>
      </c>
      <c r="BX79" s="137">
        <v>0.25273715178521644</v>
      </c>
      <c r="BY79" s="137">
        <v>0.25273715178521644</v>
      </c>
      <c r="BZ79" s="137">
        <v>1</v>
      </c>
      <c r="CA79" s="137">
        <v>5.2961134911624401E-2</v>
      </c>
      <c r="CB79" s="137">
        <v>0.77667157521957753</v>
      </c>
      <c r="CC79" s="258">
        <v>5.0000000000000001E-3</v>
      </c>
      <c r="CD79" s="258">
        <v>0.01</v>
      </c>
      <c r="CE79" s="258">
        <v>0.45</v>
      </c>
      <c r="CF79" s="258">
        <v>0</v>
      </c>
      <c r="CG79" s="258">
        <v>3.6400000000000002E-2</v>
      </c>
      <c r="CH79" s="258">
        <v>8.8771231032872056</v>
      </c>
      <c r="CI79" s="258">
        <v>3.492</v>
      </c>
      <c r="CJ79" s="258"/>
      <c r="CK79" s="258"/>
      <c r="CL79" s="258"/>
      <c r="CM79" s="258"/>
    </row>
    <row r="80" spans="1:91" x14ac:dyDescent="0.25">
      <c r="A80" s="723"/>
      <c r="B80" s="723"/>
      <c r="D80" s="31">
        <f t="shared" si="53"/>
        <v>39036</v>
      </c>
      <c r="F80" s="28">
        <f t="shared" si="54"/>
        <v>11107</v>
      </c>
      <c r="G80" s="28">
        <f t="shared" si="13"/>
        <v>8578.758108426493</v>
      </c>
      <c r="H80" s="52">
        <f t="shared" si="55"/>
        <v>3.7416879795396416</v>
      </c>
      <c r="I80" s="52">
        <f t="shared" si="56"/>
        <v>4.0940000000000003</v>
      </c>
      <c r="K80" s="52">
        <f t="shared" si="57"/>
        <v>7.3200670038904248</v>
      </c>
      <c r="L80" s="135">
        <f t="shared" si="58"/>
        <v>1.2227390500996194E-5</v>
      </c>
      <c r="N80" s="131">
        <f t="shared" si="18"/>
        <v>0.25708471122670462</v>
      </c>
      <c r="O80" s="131">
        <f t="shared" si="19"/>
        <v>0.25708471122670462</v>
      </c>
      <c r="P80" s="55">
        <f t="shared" si="59"/>
        <v>1</v>
      </c>
      <c r="Q80" s="135">
        <f>_xll.xSPRDOPT(I80,H80,AQ80,0,O80,N80,P80,D80-$G$5,1,0)*AH80*AU80</f>
        <v>7.3200792312809257</v>
      </c>
      <c r="R80" s="135"/>
      <c r="S80" s="181">
        <f t="shared" si="60"/>
        <v>-262383.77817675209</v>
      </c>
      <c r="T80" s="181">
        <f>_xll.xSPRDOPT(I80,H80,AQ80,AT80,O80,N80,P80,D80-$G$5,1,1)*AF80*F80*AH80</f>
        <v>256480.14316777518</v>
      </c>
      <c r="U80" s="135"/>
      <c r="V80" s="146">
        <f t="shared" si="61"/>
        <v>8.543228904051988</v>
      </c>
      <c r="W80" s="146"/>
      <c r="X80" s="338">
        <f t="shared" si="62"/>
        <v>0</v>
      </c>
      <c r="Y80" s="338">
        <f t="shared" si="23"/>
        <v>0</v>
      </c>
      <c r="Z80" s="338">
        <f t="shared" si="24"/>
        <v>35.099563773971276</v>
      </c>
      <c r="AA80" s="338">
        <f t="shared" si="25"/>
        <v>1.3942615925335546E-4</v>
      </c>
      <c r="AB80" s="338">
        <f t="shared" si="63"/>
        <v>0</v>
      </c>
      <c r="AC80" s="338">
        <f t="shared" si="64"/>
        <v>35.56700173556181</v>
      </c>
      <c r="AF80" s="138">
        <f t="shared" si="65"/>
        <v>1</v>
      </c>
      <c r="AG80" s="138">
        <f t="shared" si="66"/>
        <v>11</v>
      </c>
      <c r="AH80" s="138">
        <f t="shared" si="30"/>
        <v>30</v>
      </c>
      <c r="AI80" s="138">
        <f t="shared" si="67"/>
        <v>1780</v>
      </c>
      <c r="AJ80" s="138">
        <f t="shared" si="68"/>
        <v>1797</v>
      </c>
      <c r="AL80" s="136">
        <f t="shared" si="32"/>
        <v>3.6440000000000001</v>
      </c>
      <c r="AM80" s="258">
        <f t="shared" si="33"/>
        <v>6.0000000000000001E-3</v>
      </c>
      <c r="AN80" s="258">
        <f t="shared" si="34"/>
        <v>7.4999999999999997E-3</v>
      </c>
      <c r="AO80" s="258">
        <f t="shared" si="35"/>
        <v>0.45</v>
      </c>
      <c r="AP80" s="258">
        <f t="shared" si="36"/>
        <v>0</v>
      </c>
      <c r="AQ80" s="136">
        <f t="shared" si="69"/>
        <v>3.6400000000000002E-2</v>
      </c>
      <c r="AR80" s="137">
        <f t="shared" si="38"/>
        <v>2.2499999999999999E-2</v>
      </c>
      <c r="AS80" s="136">
        <f t="shared" si="70"/>
        <v>3.6574999999999998</v>
      </c>
      <c r="AT80" s="137">
        <f t="shared" si="71"/>
        <v>5.3283315685584802E-2</v>
      </c>
      <c r="AU80" s="137">
        <f t="shared" si="41"/>
        <v>0.77237400814139667</v>
      </c>
      <c r="AV80" s="394">
        <f t="shared" si="72"/>
        <v>5931.8323825259267</v>
      </c>
      <c r="AW80" s="137">
        <f t="shared" si="43"/>
        <v>0.2475</v>
      </c>
      <c r="AX80" s="137">
        <f t="shared" si="44"/>
        <v>0.8</v>
      </c>
      <c r="AY80" s="137">
        <f t="shared" si="45"/>
        <v>0.8</v>
      </c>
      <c r="AZ80" s="137"/>
      <c r="BA80" s="264"/>
      <c r="BB80" s="258">
        <f t="shared" si="46"/>
        <v>0</v>
      </c>
      <c r="BC80" s="258">
        <f t="shared" si="73"/>
        <v>0</v>
      </c>
      <c r="BD80" s="137">
        <f t="shared" si="74"/>
        <v>1.5694652291009525E-5</v>
      </c>
      <c r="BE80" s="137">
        <f t="shared" si="75"/>
        <v>1.5694652291009525E-5</v>
      </c>
      <c r="BF80" s="137">
        <f>_xll.xSPRDOPT($BW80,$BV80,$CG80,0,$BY80,$BX80,$BZ80,$AJ80,1,4)*$CB80</f>
        <v>-6.4424077878593532E-7</v>
      </c>
      <c r="BG80" s="137">
        <f>_xll.xSPRDOPT($BW80,$BV80,$CG80,0,$BY80,$BX80,$BZ80,$AJ80,1,3)*$CB80</f>
        <v>1.8406879393883866E-7</v>
      </c>
      <c r="BH80" s="137">
        <f>IF(OR(BF80&lt;&gt;0,BG80&lt;&gt;0),_xll.xSPRDOPT($BW80,$BV80,$CG80,0,$BY80,$BX80,$BZ80,$AJ80,1,12)*$CB80,0)</f>
        <v>4.6017198484709665E-7</v>
      </c>
      <c r="BI80" s="137">
        <f>_xll.xSPRDOPT($BW80,$BV80,$CG80,2*LN(1+CA80/2),$BY80,$BX80,$BZ80,$AJ80,1,9)</f>
        <v>1.2824860866963788E-2</v>
      </c>
      <c r="BJ80" s="137">
        <f>_xll.xSPRDOPT($BW80,$BV80,$CG80,0,$BY80,$BX80,$BZ80,$AJ80,1,6)*$CB80</f>
        <v>-2.8314883190388746E-4</v>
      </c>
      <c r="BK80" s="137">
        <f>_xll.xSPRDOPT($BW80,$BV80,$CG80,0,$BY80,$BX80,$BZ80,$AJ80,1,5)*$CB80</f>
        <v>3.0980971551709439E-4</v>
      </c>
      <c r="BL80" s="137">
        <f>_xll.xSPRDOPT(BW80,BV80,CG80,0,BY80,BX80,BZ80,AJ80,1,2)*CB80</f>
        <v>-0.77203294064727279</v>
      </c>
      <c r="BM80" s="137">
        <f>_xll.xSPRDOPT(BW80,BV80,CG80,0,BY80,BX80,BZ80,AJ80,1,1)*CB80</f>
        <v>0.77203294064657069</v>
      </c>
      <c r="BN80" s="137">
        <f>IF(AH80&lt;&gt;0,_xll.xSPRDOPT($BW80,$BV80,$CG80,2*LN(1+CA80/2),$BY80,$BX80,$BZ80,$AJ80,1,8)+(AJ80/365.25)*CH80/AH80,0)</f>
        <v>0.200506550498184</v>
      </c>
      <c r="BO80" s="137">
        <f>_xll.xSPRDOPT($BW80,$BV80,$CG80,0,$BY80,$BX80,$BZ80,$AJ80,1,0)</f>
        <v>0.31591255503590193</v>
      </c>
      <c r="BP80" s="137"/>
      <c r="BQ80" s="137"/>
      <c r="BR80" s="137"/>
      <c r="BS80" s="137"/>
      <c r="BV80" s="262">
        <v>3.7416879795396416</v>
      </c>
      <c r="BW80" s="136">
        <v>4.0940000000000003</v>
      </c>
      <c r="BX80" s="137">
        <v>0.25706901657441361</v>
      </c>
      <c r="BY80" s="137">
        <v>0.25706901657441361</v>
      </c>
      <c r="BZ80" s="137">
        <v>1</v>
      </c>
      <c r="CA80" s="137">
        <v>5.3283315685584802E-2</v>
      </c>
      <c r="CB80" s="137">
        <v>0.77204047869284675</v>
      </c>
      <c r="CC80" s="258">
        <v>6.0000000000000001E-3</v>
      </c>
      <c r="CD80" s="258">
        <v>7.4999999999999997E-3</v>
      </c>
      <c r="CE80" s="258">
        <v>0.45</v>
      </c>
      <c r="CF80" s="258">
        <v>0</v>
      </c>
      <c r="CG80" s="258">
        <v>3.6400000000000002E-2</v>
      </c>
      <c r="CH80" s="258">
        <v>8.5395397348215774</v>
      </c>
      <c r="CI80" s="258">
        <v>3.6440000000000001</v>
      </c>
      <c r="CJ80" s="258"/>
      <c r="CK80" s="258"/>
      <c r="CL80" s="258"/>
      <c r="CM80" s="258"/>
    </row>
    <row r="81" spans="1:91" x14ac:dyDescent="0.25">
      <c r="A81" s="723"/>
      <c r="B81" s="723"/>
      <c r="D81" s="31">
        <f t="shared" si="53"/>
        <v>39066</v>
      </c>
      <c r="F81" s="28">
        <f t="shared" si="54"/>
        <v>11107</v>
      </c>
      <c r="G81" s="28">
        <f t="shared" si="13"/>
        <v>8528.8411092564002</v>
      </c>
      <c r="H81" s="52">
        <f t="shared" si="55"/>
        <v>3.8879795396419432</v>
      </c>
      <c r="I81" s="52">
        <f t="shared" si="56"/>
        <v>4.1870000000000003</v>
      </c>
      <c r="K81" s="52">
        <f t="shared" si="57"/>
        <v>6.2514894689333556</v>
      </c>
      <c r="L81" s="135">
        <f t="shared" si="58"/>
        <v>5.9845607623287833E-5</v>
      </c>
      <c r="N81" s="131">
        <f t="shared" si="18"/>
        <v>0.26311016393816972</v>
      </c>
      <c r="O81" s="131">
        <f t="shared" si="19"/>
        <v>0.26311016393816972</v>
      </c>
      <c r="P81" s="55">
        <f t="shared" si="59"/>
        <v>0.99999999999999978</v>
      </c>
      <c r="Q81" s="135">
        <f>_xll.xSPRDOPT(I81,H81,AQ81,0,O81,N81,P81,D81-$G$5,1,0)*AH81*AU81</f>
        <v>6.2515493145409788</v>
      </c>
      <c r="R81" s="135"/>
      <c r="S81" s="181">
        <f t="shared" si="60"/>
        <v>-269509.57626004546</v>
      </c>
      <c r="T81" s="181">
        <f>_xll.xSPRDOPT(I81,H81,AQ81,AT81,O81,N81,P81,D81-$G$5,1,1)*AF81*F81*AH81</f>
        <v>263445.61079419445</v>
      </c>
      <c r="U81" s="135"/>
      <c r="V81" s="146">
        <f t="shared" si="61"/>
        <v>8.7766359256746078</v>
      </c>
      <c r="W81" s="146"/>
      <c r="X81" s="338">
        <f t="shared" si="62"/>
        <v>0</v>
      </c>
      <c r="Y81" s="338">
        <f t="shared" si="23"/>
        <v>0</v>
      </c>
      <c r="Z81" s="338">
        <f t="shared" si="24"/>
        <v>30.139779976142215</v>
      </c>
      <c r="AA81" s="338">
        <f t="shared" si="25"/>
        <v>1.252545512642313E-3</v>
      </c>
      <c r="AB81" s="338">
        <f t="shared" si="63"/>
        <v>0</v>
      </c>
      <c r="AC81" s="338">
        <f t="shared" si="64"/>
        <v>30.552867440816989</v>
      </c>
      <c r="AF81" s="138">
        <f t="shared" si="65"/>
        <v>1</v>
      </c>
      <c r="AG81" s="138">
        <f t="shared" si="66"/>
        <v>12</v>
      </c>
      <c r="AH81" s="138">
        <f t="shared" si="30"/>
        <v>31</v>
      </c>
      <c r="AI81" s="138">
        <f t="shared" si="67"/>
        <v>1810</v>
      </c>
      <c r="AJ81" s="138">
        <f t="shared" si="68"/>
        <v>1827</v>
      </c>
      <c r="AL81" s="136">
        <f t="shared" si="32"/>
        <v>3.7869999999999999</v>
      </c>
      <c r="AM81" s="258">
        <f t="shared" si="33"/>
        <v>6.0000000000000001E-3</v>
      </c>
      <c r="AN81" s="258">
        <f t="shared" si="34"/>
        <v>7.4999999999999997E-3</v>
      </c>
      <c r="AO81" s="258">
        <f t="shared" si="35"/>
        <v>0.4</v>
      </c>
      <c r="AP81" s="258">
        <f t="shared" si="36"/>
        <v>0</v>
      </c>
      <c r="AQ81" s="136">
        <f t="shared" si="69"/>
        <v>3.6400000000000002E-2</v>
      </c>
      <c r="AR81" s="137">
        <f t="shared" si="38"/>
        <v>2.2499999999999999E-2</v>
      </c>
      <c r="AS81" s="136">
        <f t="shared" si="70"/>
        <v>3.8004999999999995</v>
      </c>
      <c r="AT81" s="137">
        <f t="shared" si="71"/>
        <v>5.3595103564298502E-2</v>
      </c>
      <c r="AU81" s="137">
        <f t="shared" si="41"/>
        <v>0.76787981536476091</v>
      </c>
      <c r="AV81" s="394">
        <f t="shared" si="72"/>
        <v>6093.8942147347425</v>
      </c>
      <c r="AW81" s="137">
        <f t="shared" si="43"/>
        <v>0.2475</v>
      </c>
      <c r="AX81" s="137">
        <f t="shared" si="44"/>
        <v>1</v>
      </c>
      <c r="AY81" s="137">
        <f t="shared" si="45"/>
        <v>1</v>
      </c>
      <c r="AZ81" s="137"/>
      <c r="BA81" s="264"/>
      <c r="BB81" s="258">
        <f t="shared" si="46"/>
        <v>0</v>
      </c>
      <c r="BC81" s="258">
        <f t="shared" si="73"/>
        <v>0</v>
      </c>
      <c r="BD81" s="137">
        <f t="shared" si="74"/>
        <v>2.485284437847568E-5</v>
      </c>
      <c r="BE81" s="137">
        <f t="shared" si="75"/>
        <v>2.485284437847568E-5</v>
      </c>
      <c r="BF81" s="137">
        <f>_xll.xSPRDOPT($BW81,$BV81,$CG81,0,$BY81,$BX81,$BZ81,$AJ81,1,4)*$CB81</f>
        <v>-1.8299730114164648E-7</v>
      </c>
      <c r="BG81" s="137">
        <f>_xll.xSPRDOPT($BW81,$BV81,$CG81,0,$BY81,$BX81,$BZ81,$AJ81,1,3)*$CB81</f>
        <v>-8.234878551374091E-7</v>
      </c>
      <c r="BH81" s="137">
        <f>IF(OR(BF81&lt;&gt;0,BG81&lt;&gt;0),_xll.xSPRDOPT($BW81,$BV81,$CG81,0,$BY81,$BX81,$BZ81,$AJ81,1,12)*$CB81,0)</f>
        <v>1.8299730114164648E-7</v>
      </c>
      <c r="BI81" s="137">
        <f>_xll.xSPRDOPT($BW81,$BV81,$CG81,2*LN(1+CA81/2),$BY81,$BX81,$BZ81,$AJ81,1,9)</f>
        <v>1.0657383202384184E-2</v>
      </c>
      <c r="BJ81" s="137">
        <f>_xll.xSPRDOPT($BW81,$BV81,$CG81,0,$BY81,$BX81,$BZ81,$AJ81,1,6)*$CB81</f>
        <v>-1.9031893814220062E-3</v>
      </c>
      <c r="BK81" s="137">
        <f>_xll.xSPRDOPT($BW81,$BV81,$CG81,0,$BY81,$BX81,$BZ81,$AJ81,1,5)*$CB81</f>
        <v>2.0495616990118645E-3</v>
      </c>
      <c r="BL81" s="137">
        <f>_xll.xSPRDOPT(BW81,BV81,CG81,0,BY81,BX81,BZ81,AJ81,1,2)*CB81</f>
        <v>-0.76749233760145852</v>
      </c>
      <c r="BM81" s="137">
        <f>_xll.xSPRDOPT(BW81,BV81,CG81,0,BY81,BX81,BZ81,AJ81,1,1)*CB81</f>
        <v>0.7674923376126277</v>
      </c>
      <c r="BN81" s="137">
        <f>IF(AH81&lt;&gt;0,_xll.xSPRDOPT($BW81,$BV81,$CG81,2*LN(1+CA81/2),$BY81,$BX81,$BZ81,$AJ81,1,8)+(AJ81/365.25)*CH81/AH81,0)</f>
        <v>0.40726219364062999</v>
      </c>
      <c r="BO81" s="137">
        <f>_xll.xSPRDOPT($BW81,$BV81,$CG81,0,$BY81,$BX81,$BZ81,$AJ81,1,0)</f>
        <v>0.2626230109301409</v>
      </c>
      <c r="BP81" s="137"/>
      <c r="BQ81" s="137"/>
      <c r="BR81" s="137"/>
      <c r="BS81" s="137"/>
      <c r="BV81" s="262">
        <v>3.8879795396419432</v>
      </c>
      <c r="BW81" s="136">
        <v>4.1870000000000003</v>
      </c>
      <c r="BX81" s="137">
        <v>0.26308531109379124</v>
      </c>
      <c r="BY81" s="137">
        <v>0.26308531109379124</v>
      </c>
      <c r="BZ81" s="137">
        <v>1</v>
      </c>
      <c r="CA81" s="137">
        <v>5.3595103564298502E-2</v>
      </c>
      <c r="CB81" s="137">
        <v>0.76754631216761238</v>
      </c>
      <c r="CC81" s="258">
        <v>6.0000000000000001E-3</v>
      </c>
      <c r="CD81" s="258">
        <v>7.4999999999999997E-3</v>
      </c>
      <c r="CE81" s="258">
        <v>0.4</v>
      </c>
      <c r="CF81" s="258">
        <v>0</v>
      </c>
      <c r="CG81" s="258">
        <v>3.6400000000000002E-2</v>
      </c>
      <c r="CH81" s="258">
        <v>8.7728240841821599</v>
      </c>
      <c r="CI81" s="258">
        <v>3.7869999999999999</v>
      </c>
      <c r="CJ81" s="258"/>
      <c r="CK81" s="258"/>
      <c r="CL81" s="258"/>
      <c r="CM81" s="258"/>
    </row>
    <row r="82" spans="1:91" x14ac:dyDescent="0.25">
      <c r="A82" s="723"/>
      <c r="B82" s="723"/>
      <c r="D82" s="31">
        <f t="shared" si="53"/>
        <v>39097</v>
      </c>
      <c r="F82" s="28">
        <f t="shared" si="54"/>
        <v>11107</v>
      </c>
      <c r="G82" s="28">
        <f t="shared" si="13"/>
        <v>8479.7394330737043</v>
      </c>
      <c r="H82" s="52">
        <f t="shared" si="55"/>
        <v>3.9416879795396413</v>
      </c>
      <c r="I82" s="52">
        <f t="shared" si="56"/>
        <v>4.1894999999999998</v>
      </c>
      <c r="K82" s="52">
        <f t="shared" si="57"/>
        <v>5.0035368904499933</v>
      </c>
      <c r="L82" s="135">
        <f t="shared" si="58"/>
        <v>2.1042266393145326E-4</v>
      </c>
      <c r="N82" s="131">
        <f t="shared" si="18"/>
        <v>0.26285711475899531</v>
      </c>
      <c r="O82" s="131">
        <f t="shared" si="19"/>
        <v>0.26285711475899531</v>
      </c>
      <c r="P82" s="55">
        <f t="shared" si="59"/>
        <v>1.0000000000000002</v>
      </c>
      <c r="Q82" s="135">
        <f>_xll.xSPRDOPT(I82,H82,AQ82,0,O82,N82,P82,D82-$G$5,1,0)*AH82*AU82</f>
        <v>5.0037473131139247</v>
      </c>
      <c r="R82" s="135"/>
      <c r="S82" s="181">
        <f t="shared" si="60"/>
        <v>-267903.99812719104</v>
      </c>
      <c r="T82" s="181">
        <f>_xll.xSPRDOPT(I82,H82,AQ82,AT82,O82,N82,P82,D82-$G$5,1,1)*AF82*F82*AH82</f>
        <v>261876.15816932922</v>
      </c>
      <c r="U82" s="135"/>
      <c r="V82" s="146">
        <f t="shared" si="61"/>
        <v>8.726107661673046</v>
      </c>
      <c r="W82" s="146"/>
      <c r="X82" s="338">
        <f t="shared" si="62"/>
        <v>0</v>
      </c>
      <c r="Y82" s="338">
        <f t="shared" si="23"/>
        <v>0</v>
      </c>
      <c r="Z82" s="338">
        <f t="shared" si="24"/>
        <v>24.226870358477942</v>
      </c>
      <c r="AA82" s="338">
        <f t="shared" si="25"/>
        <v>2.39709782104045E-3</v>
      </c>
      <c r="AB82" s="338">
        <f t="shared" si="63"/>
        <v>0</v>
      </c>
      <c r="AC82" s="338">
        <f t="shared" si="64"/>
        <v>24.573039341489501</v>
      </c>
      <c r="AF82" s="138">
        <f t="shared" si="65"/>
        <v>1</v>
      </c>
      <c r="AG82" s="138">
        <f t="shared" si="66"/>
        <v>1</v>
      </c>
      <c r="AH82" s="138">
        <f t="shared" si="30"/>
        <v>31</v>
      </c>
      <c r="AI82" s="138">
        <f t="shared" si="67"/>
        <v>1841</v>
      </c>
      <c r="AJ82" s="138">
        <f t="shared" si="68"/>
        <v>1858</v>
      </c>
      <c r="AL82" s="136">
        <f t="shared" si="32"/>
        <v>3.8395000000000001</v>
      </c>
      <c r="AM82" s="258">
        <f t="shared" si="33"/>
        <v>6.0000000000000001E-3</v>
      </c>
      <c r="AN82" s="258">
        <f t="shared" si="34"/>
        <v>7.4999999999999997E-3</v>
      </c>
      <c r="AO82" s="258">
        <f t="shared" si="35"/>
        <v>0.35</v>
      </c>
      <c r="AP82" s="258">
        <f t="shared" si="36"/>
        <v>0</v>
      </c>
      <c r="AQ82" s="136">
        <f t="shared" si="69"/>
        <v>3.6400000000000002E-2</v>
      </c>
      <c r="AR82" s="137">
        <f t="shared" si="38"/>
        <v>2.2499999999999999E-2</v>
      </c>
      <c r="AS82" s="136">
        <f t="shared" si="70"/>
        <v>3.8529999999999998</v>
      </c>
      <c r="AT82" s="137">
        <f t="shared" si="71"/>
        <v>5.38548873933569E-2</v>
      </c>
      <c r="AU82" s="137">
        <f t="shared" si="41"/>
        <v>0.76345902881729577</v>
      </c>
      <c r="AV82" s="394">
        <f t="shared" si="72"/>
        <v>6058.8108526940596</v>
      </c>
      <c r="AW82" s="137">
        <f t="shared" si="43"/>
        <v>0.2475</v>
      </c>
      <c r="AX82" s="137">
        <f t="shared" si="44"/>
        <v>1</v>
      </c>
      <c r="AY82" s="137">
        <f t="shared" si="45"/>
        <v>1</v>
      </c>
      <c r="AZ82" s="137"/>
      <c r="BA82" s="264"/>
      <c r="BB82" s="258">
        <f t="shared" si="46"/>
        <v>0</v>
      </c>
      <c r="BC82" s="258">
        <f t="shared" si="73"/>
        <v>0</v>
      </c>
      <c r="BD82" s="137">
        <f t="shared" si="74"/>
        <v>2.40535407127207E-5</v>
      </c>
      <c r="BE82" s="137">
        <f t="shared" si="75"/>
        <v>2.40535407127207E-5</v>
      </c>
      <c r="BF82" s="137">
        <f>_xll.xSPRDOPT($BW82,$BV82,$CG82,0,$BY82,$BX82,$BZ82,$AJ82,1,4)*$CB82</f>
        <v>-3.638867663950967E-7</v>
      </c>
      <c r="BG82" s="137">
        <f>_xll.xSPRDOPT($BW82,$BV82,$CG82,0,$BY82,$BX82,$BZ82,$AJ82,1,3)*$CB82</f>
        <v>-1.3645753739816126E-7</v>
      </c>
      <c r="BH82" s="137">
        <f>IF(OR(BF82&lt;&gt;0,BG82&lt;&gt;0),_xll.xSPRDOPT($BW82,$BV82,$CG82,0,$BY82,$BX82,$BZ82,$AJ82,1,12)*$CB82,0)</f>
        <v>5.0034430387798193E-7</v>
      </c>
      <c r="BI82" s="137">
        <f>_xll.xSPRDOPT($BW82,$BV82,$CG82,2*LN(1+CA82/2),$BY82,$BX82,$BZ82,$AJ82,1,9)</f>
        <v>8.5665867968897549E-3</v>
      </c>
      <c r="BJ82" s="137">
        <f>_xll.xSPRDOPT($BW82,$BV82,$CG82,0,$BY82,$BX82,$BZ82,$AJ82,1,6)*$CB82</f>
        <v>-4.6037122317420798E-3</v>
      </c>
      <c r="BK82" s="137">
        <f>_xll.xSPRDOPT($BW82,$BV82,$CG82,0,$BY82,$BX82,$BZ82,$AJ82,1,5)*$CB82</f>
        <v>4.893145385799479E-3</v>
      </c>
      <c r="BL82" s="137">
        <f>_xll.xSPRDOPT(BW82,BV82,CG82,0,BY82,BX82,BZ82,AJ82,1,2)*CB82</f>
        <v>-0.76299063456836869</v>
      </c>
      <c r="BM82" s="137">
        <f>_xll.xSPRDOPT(BW82,BV82,CG82,0,BY82,BX82,BZ82,AJ82,1,1)*CB82</f>
        <v>0.76299063455830485</v>
      </c>
      <c r="BN82" s="137">
        <f>IF(AH82&lt;&gt;0,_xll.xSPRDOPT($BW82,$BV82,$CG82,2*LN(1+CA82/2),$BY82,$BX82,$BZ82,$AJ82,1,8)+(AJ82/365.25)*CH82/AH82,0)</f>
        <v>0.61055169663372189</v>
      </c>
      <c r="BO82" s="137">
        <f>_xll.xSPRDOPT($BW82,$BV82,$CG82,0,$BY82,$BX82,$BZ82,$AJ82,1,0)</f>
        <v>0.21142098279665383</v>
      </c>
      <c r="BP82" s="137"/>
      <c r="BQ82" s="137"/>
      <c r="BR82" s="137"/>
      <c r="BS82" s="137"/>
      <c r="BV82" s="262">
        <v>3.9416879795396413</v>
      </c>
      <c r="BW82" s="136">
        <v>4.1894999999999998</v>
      </c>
      <c r="BX82" s="137">
        <v>0.26283306121828259</v>
      </c>
      <c r="BY82" s="137">
        <v>0.26283306121828259</v>
      </c>
      <c r="BZ82" s="137">
        <v>1</v>
      </c>
      <c r="CA82" s="137">
        <v>5.38548873933569E-2</v>
      </c>
      <c r="CB82" s="137">
        <v>0.76312585991900983</v>
      </c>
      <c r="CC82" s="258">
        <v>6.0000000000000001E-3</v>
      </c>
      <c r="CD82" s="258">
        <v>7.4999999999999997E-3</v>
      </c>
      <c r="CE82" s="258">
        <v>0.35</v>
      </c>
      <c r="CF82" s="258">
        <v>0</v>
      </c>
      <c r="CG82" s="258">
        <v>3.6400000000000002E-2</v>
      </c>
      <c r="CH82" s="258">
        <v>8.7222996411163063</v>
      </c>
      <c r="CI82" s="258">
        <v>3.8395000000000001</v>
      </c>
      <c r="CJ82" s="258"/>
      <c r="CK82" s="258"/>
      <c r="CL82" s="258"/>
      <c r="CM82" s="258"/>
    </row>
    <row r="83" spans="1:91" x14ac:dyDescent="0.25">
      <c r="A83" s="723"/>
      <c r="B83" s="723"/>
      <c r="D83" s="31">
        <f t="shared" si="53"/>
        <v>39128</v>
      </c>
      <c r="F83" s="28">
        <f t="shared" si="54"/>
        <v>11107</v>
      </c>
      <c r="G83" s="28">
        <f t="shared" si="13"/>
        <v>8433.7718819341062</v>
      </c>
      <c r="H83" s="52">
        <f t="shared" si="55"/>
        <v>3.854731457800511</v>
      </c>
      <c r="I83" s="52">
        <f t="shared" si="56"/>
        <v>4.1044999999999998</v>
      </c>
      <c r="K83" s="52">
        <f t="shared" si="57"/>
        <v>4.5364225378011129</v>
      </c>
      <c r="L83" s="135">
        <f t="shared" si="58"/>
        <v>1.4672011985084055E-4</v>
      </c>
      <c r="N83" s="131">
        <f t="shared" si="18"/>
        <v>0.25650115398110263</v>
      </c>
      <c r="O83" s="131">
        <f t="shared" si="19"/>
        <v>0.25650115398110263</v>
      </c>
      <c r="P83" s="55">
        <f t="shared" si="59"/>
        <v>1</v>
      </c>
      <c r="Q83" s="135">
        <f>_xll.xSPRDOPT(I83,H83,AQ83,0,O83,N83,P83,D83-$G$5,1,0)*AH83*AU83</f>
        <v>4.5365692579209638</v>
      </c>
      <c r="R83" s="135"/>
      <c r="S83" s="181">
        <f t="shared" si="60"/>
        <v>-240643.93651270383</v>
      </c>
      <c r="T83" s="181">
        <f>_xll.xSPRDOPT(I83,H83,AQ83,AT83,O83,N83,P83,D83-$G$5,1,1)*AF83*F83*AH83</f>
        <v>235229.44794116801</v>
      </c>
      <c r="U83" s="135"/>
      <c r="V83" s="146">
        <f t="shared" si="61"/>
        <v>7.8389202665287607</v>
      </c>
      <c r="W83" s="146"/>
      <c r="X83" s="338">
        <f t="shared" si="62"/>
        <v>0</v>
      </c>
      <c r="Y83" s="338">
        <f t="shared" si="23"/>
        <v>0</v>
      </c>
      <c r="Z83" s="338">
        <f t="shared" si="24"/>
        <v>22.039005810153334</v>
      </c>
      <c r="AA83" s="338">
        <f t="shared" si="25"/>
        <v>2.0360866443061721E-3</v>
      </c>
      <c r="AB83" s="338">
        <f t="shared" si="63"/>
        <v>0</v>
      </c>
      <c r="AC83" s="338">
        <f t="shared" si="64"/>
        <v>22.354853034755486</v>
      </c>
      <c r="AF83" s="138">
        <f t="shared" si="65"/>
        <v>1</v>
      </c>
      <c r="AG83" s="138">
        <f t="shared" si="66"/>
        <v>2</v>
      </c>
      <c r="AH83" s="138">
        <f t="shared" si="30"/>
        <v>28</v>
      </c>
      <c r="AI83" s="138">
        <f t="shared" si="67"/>
        <v>1872</v>
      </c>
      <c r="AJ83" s="138">
        <f t="shared" si="68"/>
        <v>1889</v>
      </c>
      <c r="AL83" s="136">
        <f t="shared" si="32"/>
        <v>3.7545000000000002</v>
      </c>
      <c r="AM83" s="258">
        <f t="shared" si="33"/>
        <v>6.0000000000000001E-3</v>
      </c>
      <c r="AN83" s="258">
        <f t="shared" si="34"/>
        <v>7.4999999999999997E-3</v>
      </c>
      <c r="AO83" s="258">
        <f t="shared" si="35"/>
        <v>0.35</v>
      </c>
      <c r="AP83" s="258">
        <f t="shared" si="36"/>
        <v>0</v>
      </c>
      <c r="AQ83" s="136">
        <f t="shared" si="69"/>
        <v>3.6400000000000002E-2</v>
      </c>
      <c r="AR83" s="137">
        <f t="shared" si="38"/>
        <v>2.2499999999999999E-2</v>
      </c>
      <c r="AS83" s="136">
        <f t="shared" si="70"/>
        <v>3.7679999999999998</v>
      </c>
      <c r="AT83" s="137">
        <f t="shared" si="71"/>
        <v>5.4038903438607302E-2</v>
      </c>
      <c r="AU83" s="137">
        <f t="shared" si="41"/>
        <v>0.7593204179287032</v>
      </c>
      <c r="AV83" s="394">
        <f t="shared" si="72"/>
        <v>5442.8087557129447</v>
      </c>
      <c r="AW83" s="137">
        <f t="shared" si="43"/>
        <v>0.24249999999999999</v>
      </c>
      <c r="AX83" s="137">
        <f t="shared" si="44"/>
        <v>1</v>
      </c>
      <c r="AY83" s="137">
        <f t="shared" si="45"/>
        <v>1</v>
      </c>
      <c r="AZ83" s="137"/>
      <c r="BA83" s="264"/>
      <c r="BB83" s="258">
        <f t="shared" si="46"/>
        <v>0</v>
      </c>
      <c r="BC83" s="258">
        <f t="shared" si="73"/>
        <v>0</v>
      </c>
      <c r="BD83" s="137">
        <f t="shared" si="74"/>
        <v>2.1629858151184234E-5</v>
      </c>
      <c r="BE83" s="137">
        <f t="shared" si="75"/>
        <v>2.1629858151184234E-5</v>
      </c>
      <c r="BF83" s="137">
        <f>_xll.xSPRDOPT($BW83,$BV83,$CG83,0,$BY83,$BX83,$BZ83,$AJ83,1,4)*$CB83</f>
        <v>6.7858809656260571E-7</v>
      </c>
      <c r="BG83" s="137">
        <f>_xll.xSPRDOPT($BW83,$BV83,$CG83,0,$BY83,$BX83,$BZ83,$AJ83,1,3)*$CB83</f>
        <v>6.7858809656260571E-7</v>
      </c>
      <c r="BH83" s="137">
        <f>IF(OR(BF83&lt;&gt;0,BG83&lt;&gt;0),_xll.xSPRDOPT($BW83,$BV83,$CG83,0,$BY83,$BX83,$BZ83,$AJ83,1,12)*$CB83,0)</f>
        <v>2.2619603218753524E-7</v>
      </c>
      <c r="BI83" s="137">
        <f>_xll.xSPRDOPT($BW83,$BV83,$CG83,2*LN(1+CA83/2),$BY83,$BX83,$BZ83,$AJ83,1,9)</f>
        <v>8.6279211224136922E-3</v>
      </c>
      <c r="BJ83" s="137">
        <f>_xll.xSPRDOPT($BW83,$BV83,$CG83,0,$BY83,$BX83,$BZ83,$AJ83,1,6)*$CB83</f>
        <v>-4.6713690188450539E-3</v>
      </c>
      <c r="BK83" s="137">
        <f>_xll.xSPRDOPT($BW83,$BV83,$CG83,0,$BY83,$BX83,$BZ83,$AJ83,1,5)*$CB83</f>
        <v>4.9740518452011948E-3</v>
      </c>
      <c r="BL83" s="137">
        <f>_xll.xSPRDOPT(BW83,BV83,CG83,0,BY83,BX83,BZ83,AJ83,1,2)*CB83</f>
        <v>-0.75884845617708174</v>
      </c>
      <c r="BM83" s="137">
        <f>_xll.xSPRDOPT(BW83,BV83,CG83,0,BY83,BX83,BZ83,AJ83,1,1)*CB83</f>
        <v>0.75884845617086905</v>
      </c>
      <c r="BN83" s="137">
        <f>IF(AH83&lt;&gt;0,_xll.xSPRDOPT($BW83,$BV83,$CG83,2*LN(1+CA83/2),$BY83,$BX83,$BZ83,$AJ83,1,8)+(AJ83/365.25)*CH83/AH83,0)</f>
        <v>0.60970046674967915</v>
      </c>
      <c r="BO83" s="137">
        <f>_xll.xSPRDOPT($BW83,$BV83,$CG83,0,$BY83,$BX83,$BZ83,$AJ83,1,0)</f>
        <v>0.21337551579995853</v>
      </c>
      <c r="BP83" s="137"/>
      <c r="BQ83" s="137"/>
      <c r="BR83" s="137"/>
      <c r="BS83" s="137"/>
      <c r="BV83" s="262">
        <v>3.854731457800511</v>
      </c>
      <c r="BW83" s="136">
        <v>4.1044999999999998</v>
      </c>
      <c r="BX83" s="137">
        <v>0.25647952412295144</v>
      </c>
      <c r="BY83" s="137">
        <v>0.25647952412295144</v>
      </c>
      <c r="BZ83" s="137">
        <v>1</v>
      </c>
      <c r="CA83" s="137">
        <v>5.4038903438607302E-2</v>
      </c>
      <c r="CB83" s="137">
        <v>0.75898793807064624</v>
      </c>
      <c r="CC83" s="258">
        <v>6.0000000000000001E-3</v>
      </c>
      <c r="CD83" s="258">
        <v>7.4999999999999997E-3</v>
      </c>
      <c r="CE83" s="258">
        <v>0.35</v>
      </c>
      <c r="CF83" s="258">
        <v>0</v>
      </c>
      <c r="CG83" s="258">
        <v>3.6400000000000002E-2</v>
      </c>
      <c r="CH83" s="258">
        <v>7.8354878774661243</v>
      </c>
      <c r="CI83" s="258">
        <v>3.7545000000000002</v>
      </c>
      <c r="CJ83" s="258"/>
      <c r="CK83" s="258"/>
      <c r="CL83" s="258"/>
      <c r="CM83" s="258"/>
    </row>
    <row r="84" spans="1:91" x14ac:dyDescent="0.25">
      <c r="A84" s="723"/>
      <c r="B84" s="723"/>
      <c r="D84" s="31">
        <f t="shared" si="53"/>
        <v>39156</v>
      </c>
      <c r="F84" s="28">
        <f t="shared" si="54"/>
        <v>11107</v>
      </c>
      <c r="G84" s="28">
        <f t="shared" si="13"/>
        <v>8392.2482253513099</v>
      </c>
      <c r="H84" s="52">
        <f t="shared" si="55"/>
        <v>3.7268542199488488</v>
      </c>
      <c r="I84" s="52">
        <f t="shared" si="56"/>
        <v>4.0244999999999997</v>
      </c>
      <c r="K84" s="52">
        <f t="shared" si="57"/>
        <v>6.1191701138433876</v>
      </c>
      <c r="L84" s="135">
        <f t="shared" si="58"/>
        <v>3.6418578988950401E-5</v>
      </c>
      <c r="N84" s="131">
        <f t="shared" si="18"/>
        <v>0.24836584151095337</v>
      </c>
      <c r="O84" s="131">
        <f t="shared" si="19"/>
        <v>0.24836584151095337</v>
      </c>
      <c r="P84" s="55">
        <f t="shared" si="59"/>
        <v>1</v>
      </c>
      <c r="Q84" s="135">
        <f>_xll.xSPRDOPT(I84,H84,AQ84,0,O84,N84,P84,D84-$G$5,1,0)*AH84*AU84</f>
        <v>6.1192065324223766</v>
      </c>
      <c r="R84" s="135"/>
      <c r="S84" s="181">
        <f t="shared" si="60"/>
        <v>-265136.12497359357</v>
      </c>
      <c r="T84" s="181">
        <f>_xll.xSPRDOPT(I84,H84,AQ84,AT84,O84,N84,P84,D84-$G$5,1,1)*AF84*F84*AH84</f>
        <v>259170.56216168773</v>
      </c>
      <c r="U84" s="135"/>
      <c r="V84" s="146">
        <f t="shared" si="61"/>
        <v>8.6360745062841335</v>
      </c>
      <c r="W84" s="146"/>
      <c r="X84" s="338">
        <f t="shared" si="62"/>
        <v>0</v>
      </c>
      <c r="Y84" s="338">
        <f t="shared" si="23"/>
        <v>0</v>
      </c>
      <c r="Z84" s="338">
        <f t="shared" si="24"/>
        <v>29.839545735606251</v>
      </c>
      <c r="AA84" s="338">
        <f t="shared" si="25"/>
        <v>2.7444399512217761E-4</v>
      </c>
      <c r="AB84" s="338">
        <f t="shared" si="63"/>
        <v>0</v>
      </c>
      <c r="AC84" s="338">
        <f t="shared" si="64"/>
        <v>30.246310002685792</v>
      </c>
      <c r="AF84" s="138">
        <f t="shared" si="65"/>
        <v>1</v>
      </c>
      <c r="AG84" s="138">
        <f t="shared" si="66"/>
        <v>3</v>
      </c>
      <c r="AH84" s="138">
        <f t="shared" si="30"/>
        <v>31</v>
      </c>
      <c r="AI84" s="138">
        <f t="shared" si="67"/>
        <v>1900</v>
      </c>
      <c r="AJ84" s="138">
        <f t="shared" si="68"/>
        <v>1917</v>
      </c>
      <c r="AL84" s="136">
        <f t="shared" si="32"/>
        <v>3.6244999999999998</v>
      </c>
      <c r="AM84" s="258">
        <f t="shared" si="33"/>
        <v>1.0999999999999999E-2</v>
      </c>
      <c r="AN84" s="258">
        <f t="shared" si="34"/>
        <v>7.4999999999999997E-3</v>
      </c>
      <c r="AO84" s="258">
        <f t="shared" si="35"/>
        <v>0.4</v>
      </c>
      <c r="AP84" s="258">
        <f t="shared" si="36"/>
        <v>0</v>
      </c>
      <c r="AQ84" s="136">
        <f t="shared" si="69"/>
        <v>3.6400000000000002E-2</v>
      </c>
      <c r="AR84" s="137">
        <f t="shared" si="38"/>
        <v>2.2499999999999999E-2</v>
      </c>
      <c r="AS84" s="136">
        <f t="shared" si="70"/>
        <v>3.6429999999999998</v>
      </c>
      <c r="AT84" s="137">
        <f t="shared" si="71"/>
        <v>5.4205111489177997E-2</v>
      </c>
      <c r="AU84" s="137">
        <f t="shared" si="41"/>
        <v>0.75558190558668503</v>
      </c>
      <c r="AV84" s="394">
        <f t="shared" si="72"/>
        <v>5996.2980027359326</v>
      </c>
      <c r="AW84" s="137">
        <f t="shared" si="43"/>
        <v>0.24</v>
      </c>
      <c r="AX84" s="137">
        <f t="shared" si="44"/>
        <v>0.75</v>
      </c>
      <c r="AY84" s="137">
        <f t="shared" si="45"/>
        <v>0.75</v>
      </c>
      <c r="AZ84" s="137"/>
      <c r="BA84" s="264"/>
      <c r="BB84" s="258">
        <f t="shared" si="46"/>
        <v>0</v>
      </c>
      <c r="BC84" s="258">
        <f t="shared" si="73"/>
        <v>0</v>
      </c>
      <c r="BD84" s="137">
        <f t="shared" si="74"/>
        <v>1.2861859098489692E-5</v>
      </c>
      <c r="BE84" s="137">
        <f t="shared" si="75"/>
        <v>1.2861859098489692E-5</v>
      </c>
      <c r="BF84" s="137">
        <f>_xll.xSPRDOPT($BW84,$BV84,$CG84,0,$BY84,$BX84,$BZ84,$AJ84,1,4)*$CB84</f>
        <v>9.0032822945292323E-7</v>
      </c>
      <c r="BG84" s="137">
        <f>_xll.xSPRDOPT($BW84,$BV84,$CG84,0,$BY84,$BX84,$BZ84,$AJ84,1,3)*$CB84</f>
        <v>7.2026258356233863E-7</v>
      </c>
      <c r="BH84" s="137">
        <f>IF(OR(BF84&lt;&gt;0,BG84&lt;&gt;0),_xll.xSPRDOPT($BW84,$BV84,$CG84,0,$BY84,$BX84,$BZ84,$AJ84,1,12)*$CB84,0)</f>
        <v>-5.4019693767175402E-7</v>
      </c>
      <c r="BI84" s="137">
        <f>_xll.xSPRDOPT($BW84,$BV84,$CG84,2*LN(1+CA84/2),$BY84,$BX84,$BZ84,$AJ84,1,9)</f>
        <v>1.0551220803242538E-2</v>
      </c>
      <c r="BJ84" s="137">
        <f>_xll.xSPRDOPT($BW84,$BV84,$CG84,0,$BY84,$BX84,$BZ84,$AJ84,1,6)*$CB84</f>
        <v>-7.7595089586391741E-4</v>
      </c>
      <c r="BK84" s="137">
        <f>_xll.xSPRDOPT($BW84,$BV84,$CG84,0,$BY84,$BX84,$BZ84,$AJ84,1,5)*$CB84</f>
        <v>8.3792232612515537E-4</v>
      </c>
      <c r="BL84" s="137">
        <f>_xll.xSPRDOPT(BW84,BV84,CG84,0,BY84,BX84,BZ84,AJ84,1,2)*CB84</f>
        <v>-0.75522878541968486</v>
      </c>
      <c r="BM84" s="137">
        <f>_xll.xSPRDOPT(BW84,BV84,CG84,0,BY84,BX84,BZ84,AJ84,1,1)*CB84</f>
        <v>0.75522878542243244</v>
      </c>
      <c r="BN84" s="137">
        <f>IF(AH84&lt;&gt;0,_xll.xSPRDOPT($BW84,$BV84,$CG84,2*LN(1+CA84/2),$BY84,$BX84,$BZ84,$AJ84,1,8)+(AJ84/365.25)*CH84/AH84,0)</f>
        <v>0.42593152718899385</v>
      </c>
      <c r="BO84" s="137">
        <f>_xll.xSPRDOPT($BW84,$BV84,$CG84,0,$BY84,$BX84,$BZ84,$AJ84,1,0)</f>
        <v>0.26124734977961461</v>
      </c>
      <c r="BP84" s="137"/>
      <c r="BQ84" s="137"/>
      <c r="BR84" s="137"/>
      <c r="BS84" s="137"/>
      <c r="BV84" s="262">
        <v>3.7268542199488488</v>
      </c>
      <c r="BW84" s="136">
        <v>4.0244999999999997</v>
      </c>
      <c r="BX84" s="137">
        <v>0.24835297965185488</v>
      </c>
      <c r="BY84" s="137">
        <v>0.24835297965185488</v>
      </c>
      <c r="BZ84" s="137">
        <v>1</v>
      </c>
      <c r="CA84" s="137">
        <v>5.4205111489177997E-2</v>
      </c>
      <c r="CB84" s="137">
        <v>0.75525005882146279</v>
      </c>
      <c r="CC84" s="258">
        <v>1.0999999999999999E-2</v>
      </c>
      <c r="CD84" s="258">
        <v>7.4999999999999997E-3</v>
      </c>
      <c r="CE84" s="258">
        <v>0.4</v>
      </c>
      <c r="CF84" s="258">
        <v>0</v>
      </c>
      <c r="CG84" s="258">
        <v>3.6400000000000002E-2</v>
      </c>
      <c r="CH84" s="258">
        <v>8.6322815973116729</v>
      </c>
      <c r="CI84" s="258">
        <v>3.6244999999999998</v>
      </c>
      <c r="CJ84" s="258"/>
      <c r="CK84" s="258"/>
      <c r="CL84" s="258"/>
      <c r="CM84" s="258"/>
    </row>
    <row r="85" spans="1:91" x14ac:dyDescent="0.25">
      <c r="A85" s="723"/>
      <c r="B85" s="723"/>
      <c r="D85" s="31">
        <f t="shared" si="53"/>
        <v>39187</v>
      </c>
      <c r="F85" s="28">
        <f t="shared" si="54"/>
        <v>5899</v>
      </c>
      <c r="G85" s="28">
        <f t="shared" si="13"/>
        <v>4432.7600026709961</v>
      </c>
      <c r="H85" s="52">
        <f t="shared" si="55"/>
        <v>3.5401534526854217</v>
      </c>
      <c r="I85" s="52">
        <f t="shared" si="56"/>
        <v>4.0394999999999994</v>
      </c>
      <c r="K85" s="52">
        <f t="shared" si="57"/>
        <v>10.436332963098979</v>
      </c>
      <c r="L85" s="135">
        <f t="shared" si="58"/>
        <v>1.4683972242579557E-6</v>
      </c>
      <c r="N85" s="131">
        <f t="shared" si="18"/>
        <v>0.24163880360574633</v>
      </c>
      <c r="O85" s="131">
        <f t="shared" si="19"/>
        <v>0.24163880360574633</v>
      </c>
      <c r="P85" s="55">
        <f t="shared" si="59"/>
        <v>1.0000000000000002</v>
      </c>
      <c r="Q85" s="135">
        <f>_xll.xSPRDOPT(I85,H85,AQ85,0,O85,N85,P85,D85-$G$5,1,0)*AH85*AU85</f>
        <v>10.436334431496203</v>
      </c>
      <c r="R85" s="135"/>
      <c r="S85" s="181">
        <f t="shared" si="60"/>
        <v>-135518.52839721987</v>
      </c>
      <c r="T85" s="181">
        <f>_xll.xSPRDOPT(I85,H85,AQ85,AT85,O85,N85,P85,D85-$G$5,1,1)*AF85*F85*AH85</f>
        <v>132469.36150828243</v>
      </c>
      <c r="U85" s="135"/>
      <c r="V85" s="146">
        <f t="shared" si="61"/>
        <v>8.3117067959898083</v>
      </c>
      <c r="W85" s="146"/>
      <c r="X85" s="338">
        <f t="shared" si="62"/>
        <v>0</v>
      </c>
      <c r="Y85" s="338">
        <f t="shared" si="23"/>
        <v>0</v>
      </c>
      <c r="Z85" s="338">
        <f t="shared" si="24"/>
        <v>27.123016730193754</v>
      </c>
      <c r="AA85" s="338">
        <f t="shared" si="25"/>
        <v>5.9996126122341399E-7</v>
      </c>
      <c r="AB85" s="338">
        <f t="shared" si="63"/>
        <v>0</v>
      </c>
      <c r="AC85" s="338">
        <f t="shared" si="64"/>
        <v>27.490211824893773</v>
      </c>
      <c r="AF85" s="138">
        <f t="shared" si="65"/>
        <v>1</v>
      </c>
      <c r="AG85" s="138">
        <f t="shared" si="66"/>
        <v>4</v>
      </c>
      <c r="AH85" s="138">
        <f t="shared" si="30"/>
        <v>30</v>
      </c>
      <c r="AI85" s="138">
        <f t="shared" si="67"/>
        <v>1931</v>
      </c>
      <c r="AJ85" s="138">
        <f t="shared" si="68"/>
        <v>1948</v>
      </c>
      <c r="AL85" s="136">
        <f t="shared" si="32"/>
        <v>3.4394999999999998</v>
      </c>
      <c r="AM85" s="258">
        <f t="shared" si="33"/>
        <v>1.0999999999999999E-2</v>
      </c>
      <c r="AN85" s="258">
        <f t="shared" si="34"/>
        <v>0.01</v>
      </c>
      <c r="AO85" s="258">
        <f t="shared" si="35"/>
        <v>0.6</v>
      </c>
      <c r="AP85" s="258">
        <f t="shared" si="36"/>
        <v>0</v>
      </c>
      <c r="AQ85" s="136">
        <f t="shared" si="69"/>
        <v>3.6400000000000002E-2</v>
      </c>
      <c r="AR85" s="137">
        <f t="shared" si="38"/>
        <v>2.2499999999999999E-2</v>
      </c>
      <c r="AS85" s="136">
        <f t="shared" si="70"/>
        <v>3.4604999999999997</v>
      </c>
      <c r="AT85" s="137">
        <f t="shared" si="71"/>
        <v>5.4389127555903201E-2</v>
      </c>
      <c r="AU85" s="137">
        <f t="shared" si="41"/>
        <v>0.75144261784556632</v>
      </c>
      <c r="AV85" s="394">
        <f t="shared" si="72"/>
        <v>3065.8858808099108</v>
      </c>
      <c r="AW85" s="137">
        <f t="shared" si="43"/>
        <v>0.24</v>
      </c>
      <c r="AX85" s="137">
        <f t="shared" si="44"/>
        <v>0.4</v>
      </c>
      <c r="AY85" s="137">
        <f t="shared" si="45"/>
        <v>0.4</v>
      </c>
      <c r="AZ85" s="137"/>
      <c r="BA85" s="264"/>
      <c r="BB85" s="258">
        <f t="shared" si="46"/>
        <v>0</v>
      </c>
      <c r="BC85" s="258">
        <f t="shared" si="73"/>
        <v>0</v>
      </c>
      <c r="BD85" s="137">
        <f t="shared" si="74"/>
        <v>2.5139890520997632E-6</v>
      </c>
      <c r="BE85" s="137">
        <f t="shared" si="75"/>
        <v>2.5139890520997632E-6</v>
      </c>
      <c r="BF85" s="137">
        <f>_xll.xSPRDOPT($BW85,$BV85,$CG85,0,$BY85,$BX85,$BZ85,$AJ85,1,4)*$CB85</f>
        <v>-3.581578654217762E-7</v>
      </c>
      <c r="BG85" s="137">
        <f>_xll.xSPRDOPT($BW85,$BV85,$CG85,0,$BY85,$BX85,$BZ85,$AJ85,1,3)*$CB85</f>
        <v>-4.4769733177722025E-7</v>
      </c>
      <c r="BH85" s="137">
        <f>IF(OR(BF85&lt;&gt;0,BG85&lt;&gt;0),_xll.xSPRDOPT($BW85,$BV85,$CG85,0,$BY85,$BX85,$BZ85,$AJ85,1,12)*$CB85,0)</f>
        <v>5.820065313103863E-7</v>
      </c>
      <c r="BI85" s="137">
        <f>_xll.xSPRDOPT($BW85,$BV85,$CG85,2*LN(1+CA85/2),$BY85,$BX85,$BZ85,$AJ85,1,9)</f>
        <v>1.8659814018766402E-2</v>
      </c>
      <c r="BJ85" s="137">
        <f>_xll.xSPRDOPT($BW85,$BV85,$CG85,0,$BY85,$BX85,$BZ85,$AJ85,1,6)*$CB85</f>
        <v>-9.5604436203735257E-6</v>
      </c>
      <c r="BK85" s="137">
        <f>_xll.xSPRDOPT($BW85,$BV85,$CG85,0,$BY85,$BX85,$BZ85,$AJ85,1,5)*$CB85</f>
        <v>1.0908972266645057E-5</v>
      </c>
      <c r="BL85" s="137">
        <f>_xll.xSPRDOPT(BW85,BV85,CG85,0,BY85,BX85,BZ85,AJ85,1,2)*CB85</f>
        <v>-0.75111131688221933</v>
      </c>
      <c r="BM85" s="137">
        <f>_xll.xSPRDOPT(BW85,BV85,CG85,0,BY85,BX85,BZ85,AJ85,1,1)*CB85</f>
        <v>0.75111131687607113</v>
      </c>
      <c r="BN85" s="137">
        <f>IF(AH85&lt;&gt;0,_xll.xSPRDOPT($BW85,$BV85,$CG85,2*LN(1+CA85/2),$BY85,$BX85,$BZ85,$AJ85,1,8)+(AJ85/365.25)*CH85/AH85,0)</f>
        <v>-0.37754513689589619</v>
      </c>
      <c r="BO85" s="137">
        <f>_xll.xSPRDOPT($BW85,$BV85,$CG85,0,$BY85,$BX85,$BZ85,$AJ85,1,0)</f>
        <v>0.46294661278144261</v>
      </c>
      <c r="BP85" s="137"/>
      <c r="BQ85" s="137"/>
      <c r="BR85" s="137"/>
      <c r="BS85" s="137"/>
      <c r="BV85" s="262">
        <v>3.5401534526854217</v>
      </c>
      <c r="BW85" s="136">
        <v>4.0394999999999994</v>
      </c>
      <c r="BX85" s="137">
        <v>0.24163628961669423</v>
      </c>
      <c r="BY85" s="137">
        <v>0.24163628961669423</v>
      </c>
      <c r="BZ85" s="137">
        <v>1</v>
      </c>
      <c r="CA85" s="137">
        <v>5.4389127555903201E-2</v>
      </c>
      <c r="CB85" s="137">
        <v>0.7511114837850088</v>
      </c>
      <c r="CC85" s="258">
        <v>1.0999999999999999E-2</v>
      </c>
      <c r="CD85" s="258">
        <v>0.01</v>
      </c>
      <c r="CE85" s="258">
        <v>0.6</v>
      </c>
      <c r="CF85" s="258">
        <v>0</v>
      </c>
      <c r="CG85" s="258">
        <v>3.6400000000000002E-2</v>
      </c>
      <c r="CH85" s="258">
        <v>8.3080441221459829</v>
      </c>
      <c r="CI85" s="258">
        <v>3.4394999999999998</v>
      </c>
      <c r="CJ85" s="258"/>
      <c r="CK85" s="258"/>
      <c r="CL85" s="258"/>
      <c r="CM85" s="258"/>
    </row>
    <row r="86" spans="1:91" x14ac:dyDescent="0.25">
      <c r="A86" s="723"/>
      <c r="B86" s="723"/>
      <c r="D86" s="31">
        <f t="shared" si="53"/>
        <v>39217</v>
      </c>
      <c r="F86" s="28">
        <f t="shared" si="54"/>
        <v>5895</v>
      </c>
      <c r="G86" s="28">
        <f t="shared" ref="G86:G149" si="76">F86*$AU86</f>
        <v>4406.1403308350527</v>
      </c>
      <c r="H86" s="52">
        <f t="shared" si="55"/>
        <v>3.5375959079283885</v>
      </c>
      <c r="I86" s="52">
        <f t="shared" si="56"/>
        <v>4.1844999999999999</v>
      </c>
      <c r="K86" s="52">
        <f t="shared" si="57"/>
        <v>14.145711241512036</v>
      </c>
      <c r="L86" s="135">
        <f t="shared" si="58"/>
        <v>1.4343769780822413E-6</v>
      </c>
      <c r="N86" s="131">
        <f t="shared" ref="N86:N149" si="77">SQRT(($AX86^2*($AH86/2)+$AW86^2*$AI86)/(($AH86/2)+$AI86))</f>
        <v>0.24235578565483928</v>
      </c>
      <c r="O86" s="131">
        <f t="shared" ref="O86:O149" si="78">SQRT(($AY86^2*($AH86/2)+$AW86^2*$AI86)/(($AH86/2)+$AI86))</f>
        <v>0.24235578565483928</v>
      </c>
      <c r="P86" s="55">
        <f t="shared" si="59"/>
        <v>1</v>
      </c>
      <c r="Q86" s="135">
        <f>_xll.xSPRDOPT(I86,H86,AQ86,0,O86,N86,P86,D86-$G$5,1,0)*AH86*AU86</f>
        <v>14.145712675889014</v>
      </c>
      <c r="R86" s="135"/>
      <c r="S86" s="181">
        <f t="shared" si="60"/>
        <v>-139183.05079377681</v>
      </c>
      <c r="T86" s="181">
        <f>_xll.xSPRDOPT(I86,H86,AQ86,AT86,O86,N86,P86,D86-$G$5,1,1)*AF86*F86*AH86</f>
        <v>136051.43215091684</v>
      </c>
      <c r="U86" s="135"/>
      <c r="V86" s="146">
        <f t="shared" si="61"/>
        <v>8.542979158497948</v>
      </c>
      <c r="W86" s="146"/>
      <c r="X86" s="338">
        <f t="shared" si="62"/>
        <v>0</v>
      </c>
      <c r="Y86" s="338">
        <f t="shared" ref="Y86:Y149" si="79">($F86*$AH86)*((($BG86/2)*($BC86)^2)+(($BF86/2)*($BB86)^2)+($BH86*$BC86*$BB86))</f>
        <v>0</v>
      </c>
      <c r="Z86" s="338">
        <f t="shared" ref="Z86:Z149" si="80">($BI86*$F86*$AH86*($G$5-$BV$5))/365.25</f>
        <v>36.857091916372795</v>
      </c>
      <c r="AA86" s="338">
        <f t="shared" ref="AA86:AA149" si="81">(($BK86*$BE86)+($BJ86*$BD86))*$F86*$AH86*$AF86</f>
        <v>1.3181268298627016E-8</v>
      </c>
      <c r="AB86" s="338">
        <f t="shared" si="63"/>
        <v>0</v>
      </c>
      <c r="AC86" s="338">
        <f t="shared" si="64"/>
        <v>37.35763405731074</v>
      </c>
      <c r="AF86" s="138">
        <f t="shared" si="65"/>
        <v>1</v>
      </c>
      <c r="AG86" s="138">
        <f t="shared" si="66"/>
        <v>5</v>
      </c>
      <c r="AH86" s="138">
        <f t="shared" ref="AH86:AH149" si="82">(EOMONTH(D86,0)-EOMONTH(D86-DAY(D86),0))*AF86</f>
        <v>31</v>
      </c>
      <c r="AI86" s="138">
        <f t="shared" si="67"/>
        <v>1961</v>
      </c>
      <c r="AJ86" s="138">
        <f t="shared" si="68"/>
        <v>1978</v>
      </c>
      <c r="AL86" s="136">
        <f t="shared" ref="AL86:AL149" si="83">VLOOKUP($D86,CurveTbl,$AK$4)</f>
        <v>3.4344999999999999</v>
      </c>
      <c r="AM86" s="258">
        <f t="shared" ref="AM86:AM149" si="84">VLOOKUP($D86,CurveTbl,$AH$3)</f>
        <v>1.35E-2</v>
      </c>
      <c r="AN86" s="258">
        <f t="shared" ref="AN86:AN149" si="85">VLOOKUP($D86,CurveTbl,$AH$4)+VLOOKUP($AG86,$AL$3:$AS$15,6)</f>
        <v>0.01</v>
      </c>
      <c r="AO86" s="258">
        <f t="shared" ref="AO86:AO149" si="86">VLOOKUP($D86,CurveTbl,$AH$5)</f>
        <v>0.75</v>
      </c>
      <c r="AP86" s="258">
        <f t="shared" ref="AP86:AP149" si="87">VLOOKUP($D86,CurveTbl,$AH$6)+VLOOKUP($AG86,$AL$3:$AS$15,7)</f>
        <v>0</v>
      </c>
      <c r="AQ86" s="136">
        <f t="shared" si="69"/>
        <v>3.6400000000000002E-2</v>
      </c>
      <c r="AR86" s="137">
        <f t="shared" ref="AR86:AR149" si="88">VLOOKUP($AG86,$AL$4:$AS$15,4)</f>
        <v>2.2499999999999999E-2</v>
      </c>
      <c r="AS86" s="136">
        <f t="shared" si="70"/>
        <v>3.4579999999999997</v>
      </c>
      <c r="AT86" s="137">
        <f t="shared" si="71"/>
        <v>5.4567207631218001E-2</v>
      </c>
      <c r="AU86" s="137">
        <f t="shared" ref="AU86:AU149" si="89">(1+$AT86/2)^(-2*($D86-$G$5)/365.25)*$AF86</f>
        <v>0.7474368669779563</v>
      </c>
      <c r="AV86" s="394">
        <f t="shared" si="72"/>
        <v>3151.1938311790636</v>
      </c>
      <c r="AW86" s="137">
        <f t="shared" ref="AW86:AW149" si="90">VLOOKUP($D86,CurveTbl,$AK$8)</f>
        <v>0.24</v>
      </c>
      <c r="AX86" s="137">
        <f t="shared" ref="AX86:AX149" si="91">VLOOKUP($D86,CurveTbl,$AH$7)</f>
        <v>0.45</v>
      </c>
      <c r="AY86" s="137">
        <f t="shared" ref="AY86:AY149" si="92">VLOOKUP($D86,CurveTbl,$AH$8)</f>
        <v>0.45</v>
      </c>
      <c r="AZ86" s="137"/>
      <c r="BA86" s="264"/>
      <c r="BB86" s="258">
        <f t="shared" ref="BB86:BB149" si="93">$H86-$BV86</f>
        <v>0</v>
      </c>
      <c r="BC86" s="258">
        <f t="shared" si="73"/>
        <v>0</v>
      </c>
      <c r="BD86" s="137">
        <f t="shared" si="74"/>
        <v>3.5529476572759844E-6</v>
      </c>
      <c r="BE86" s="137">
        <f t="shared" si="75"/>
        <v>3.5529476572759844E-6</v>
      </c>
      <c r="BF86" s="137">
        <f>_xll.xSPRDOPT($BW86,$BV86,$CG86,0,$BY86,$BX86,$BZ86,$AJ86,1,4)*$CB86</f>
        <v>-1.7812405450708482E-7</v>
      </c>
      <c r="BG86" s="137">
        <f>_xll.xSPRDOPT($BW86,$BV86,$CG86,0,$BY86,$BX86,$BZ86,$AJ86,1,3)*$CB86</f>
        <v>3.5624810901416964E-7</v>
      </c>
      <c r="BH86" s="137">
        <f>IF(OR(BF86&lt;&gt;0,BG86&lt;&gt;0),_xll.xSPRDOPT($BW86,$BV86,$CG86,0,$BY86,$BX86,$BZ86,$AJ86,1,12)*$CB86,0)</f>
        <v>0</v>
      </c>
      <c r="BI86" s="137">
        <f>_xll.xSPRDOPT($BW86,$BV86,$CG86,2*LN(1+CA86/2),$BY86,$BX86,$BZ86,$AJ86,1,9)</f>
        <v>2.4555259737986748E-2</v>
      </c>
      <c r="BJ86" s="137">
        <f>_xll.xSPRDOPT($BW86,$BV86,$CG86,0,$BY86,$BX86,$BZ86,$AJ86,1,6)*$CB86</f>
        <v>-1.1090628228397765E-7</v>
      </c>
      <c r="BK86" s="137">
        <f>_xll.xSPRDOPT($BW86,$BV86,$CG86,0,$BY86,$BX86,$BZ86,$AJ86,1,5)*$CB86</f>
        <v>1.3120753732936416E-7</v>
      </c>
      <c r="BL86" s="137">
        <f>_xll.xSPRDOPT(BW86,BV86,CG86,0,BY86,BX86,BZ86,AJ86,1,2)*CB86</f>
        <v>-0.74710649129997819</v>
      </c>
      <c r="BM86" s="137">
        <f>_xll.xSPRDOPT(BW86,BV86,CG86,0,BY86,BX86,BZ86,AJ86,1,1)*CB86</f>
        <v>0.74710649130541418</v>
      </c>
      <c r="BN86" s="137">
        <f>IF(AH86&lt;&gt;0,_xll.xSPRDOPT($BW86,$BV86,$CG86,2*LN(1+CA86/2),$BY86,$BX86,$BZ86,$AJ86,1,8)+(AJ86/365.25)*CH86/AH86,0)</f>
        <v>-0.97832307434254884</v>
      </c>
      <c r="BO86" s="137">
        <f>_xll.xSPRDOPT($BW86,$BV86,$CG86,0,$BY86,$BX86,$BZ86,$AJ86,1,0)</f>
        <v>0.61050415398175306</v>
      </c>
      <c r="BP86" s="137"/>
      <c r="BQ86" s="137"/>
      <c r="BR86" s="137"/>
      <c r="BS86" s="137"/>
      <c r="BV86" s="262">
        <v>3.5375959079283885</v>
      </c>
      <c r="BW86" s="136">
        <v>4.1844999999999999</v>
      </c>
      <c r="BX86" s="137">
        <v>0.24235223270718201</v>
      </c>
      <c r="BY86" s="137">
        <v>0.24235223270718201</v>
      </c>
      <c r="BZ86" s="137">
        <v>1</v>
      </c>
      <c r="CA86" s="137">
        <v>5.4567207631218001E-2</v>
      </c>
      <c r="CB86" s="137">
        <v>0.7471064343152839</v>
      </c>
      <c r="CC86" s="258">
        <v>1.35E-2</v>
      </c>
      <c r="CD86" s="258">
        <v>0.01</v>
      </c>
      <c r="CE86" s="258">
        <v>0.75</v>
      </c>
      <c r="CF86" s="258">
        <v>0</v>
      </c>
      <c r="CG86" s="258">
        <v>3.6400000000000002E-2</v>
      </c>
      <c r="CH86" s="258">
        <v>8.5392024122934007</v>
      </c>
      <c r="CI86" s="258">
        <v>3.4344999999999999</v>
      </c>
      <c r="CJ86" s="258"/>
      <c r="CK86" s="258"/>
      <c r="CL86" s="258"/>
      <c r="CM86" s="258"/>
    </row>
    <row r="87" spans="1:91" x14ac:dyDescent="0.25">
      <c r="A87" s="723"/>
      <c r="B87" s="723"/>
      <c r="D87" s="31">
        <f t="shared" si="53"/>
        <v>39248</v>
      </c>
      <c r="F87" s="28">
        <f t="shared" si="54"/>
        <v>5895</v>
      </c>
      <c r="G87" s="28">
        <f t="shared" si="76"/>
        <v>4381.7408226085045</v>
      </c>
      <c r="H87" s="52">
        <f t="shared" si="55"/>
        <v>3.5734015345268539</v>
      </c>
      <c r="I87" s="52">
        <f t="shared" si="56"/>
        <v>4.3194999999999997</v>
      </c>
      <c r="K87" s="52">
        <f t="shared" si="57"/>
        <v>15.825520294688525</v>
      </c>
      <c r="L87" s="135">
        <f t="shared" si="58"/>
        <v>1.5544071665374304E-6</v>
      </c>
      <c r="N87" s="131">
        <f t="shared" si="77"/>
        <v>0.24224565969539186</v>
      </c>
      <c r="O87" s="131">
        <f t="shared" si="78"/>
        <v>0.24224565969539186</v>
      </c>
      <c r="P87" s="55">
        <f t="shared" si="59"/>
        <v>1</v>
      </c>
      <c r="Q87" s="135">
        <f>_xll.xSPRDOPT(I87,H87,AQ87,0,O87,N87,P87,D87-$G$5,1,0)*AH87*AU87</f>
        <v>15.825521849095692</v>
      </c>
      <c r="R87" s="135"/>
      <c r="S87" s="181">
        <f t="shared" si="60"/>
        <v>-133935.48516446308</v>
      </c>
      <c r="T87" s="181">
        <f>_xll.xSPRDOPT(I87,H87,AQ87,AT87,O87,N87,P87,D87-$G$5,1,1)*AF87*F87*AH87</f>
        <v>130921.93674826267</v>
      </c>
      <c r="U87" s="135"/>
      <c r="V87" s="146">
        <f t="shared" si="61"/>
        <v>8.2216175129554987</v>
      </c>
      <c r="W87" s="146"/>
      <c r="X87" s="338">
        <f t="shared" si="62"/>
        <v>0</v>
      </c>
      <c r="Y87" s="338">
        <f t="shared" si="79"/>
        <v>0</v>
      </c>
      <c r="Z87" s="338">
        <f t="shared" si="80"/>
        <v>41.371021265170505</v>
      </c>
      <c r="AA87" s="338">
        <f t="shared" si="81"/>
        <v>-6.1183826789850525E-8</v>
      </c>
      <c r="AB87" s="338">
        <f t="shared" si="63"/>
        <v>0</v>
      </c>
      <c r="AC87" s="338">
        <f t="shared" si="64"/>
        <v>41.934747472261485</v>
      </c>
      <c r="AF87" s="138">
        <f t="shared" si="65"/>
        <v>1</v>
      </c>
      <c r="AG87" s="138">
        <f t="shared" si="66"/>
        <v>6</v>
      </c>
      <c r="AH87" s="138">
        <f t="shared" si="82"/>
        <v>30</v>
      </c>
      <c r="AI87" s="138">
        <f t="shared" si="67"/>
        <v>1992</v>
      </c>
      <c r="AJ87" s="138">
        <f t="shared" si="68"/>
        <v>2009</v>
      </c>
      <c r="AL87" s="136">
        <f t="shared" si="83"/>
        <v>3.4695</v>
      </c>
      <c r="AM87" s="258">
        <f t="shared" si="84"/>
        <v>1.35E-2</v>
      </c>
      <c r="AN87" s="258">
        <f t="shared" si="85"/>
        <v>0.01</v>
      </c>
      <c r="AO87" s="258">
        <f t="shared" si="86"/>
        <v>0.85</v>
      </c>
      <c r="AP87" s="258">
        <f t="shared" si="87"/>
        <v>0</v>
      </c>
      <c r="AQ87" s="136">
        <f t="shared" si="69"/>
        <v>3.6400000000000002E-2</v>
      </c>
      <c r="AR87" s="137">
        <f t="shared" si="88"/>
        <v>2.2499999999999999E-2</v>
      </c>
      <c r="AS87" s="136">
        <f t="shared" si="70"/>
        <v>3.4929999999999999</v>
      </c>
      <c r="AT87" s="137">
        <f t="shared" si="71"/>
        <v>5.4751223720142399E-2</v>
      </c>
      <c r="AU87" s="137">
        <f t="shared" si="89"/>
        <v>0.74329784946709154</v>
      </c>
      <c r="AV87" s="394">
        <f t="shared" si="72"/>
        <v>3032.6552258257334</v>
      </c>
      <c r="AW87" s="137">
        <f t="shared" si="90"/>
        <v>0.24</v>
      </c>
      <c r="AX87" s="137">
        <f t="shared" si="91"/>
        <v>0.45</v>
      </c>
      <c r="AY87" s="137">
        <f t="shared" si="92"/>
        <v>0.45</v>
      </c>
      <c r="AZ87" s="137"/>
      <c r="BA87" s="264"/>
      <c r="BB87" s="258">
        <f t="shared" si="93"/>
        <v>0</v>
      </c>
      <c r="BC87" s="258">
        <f t="shared" si="73"/>
        <v>0</v>
      </c>
      <c r="BD87" s="137">
        <f t="shared" si="74"/>
        <v>3.3362182957075159E-6</v>
      </c>
      <c r="BE87" s="137">
        <f t="shared" si="75"/>
        <v>3.3362182957075159E-6</v>
      </c>
      <c r="BF87" s="137">
        <f>_xll.xSPRDOPT($BW87,$BV87,$CG87,0,$BY87,$BX87,$BZ87,$AJ87,1,4)*$CB87</f>
        <v>-3.542748229715069E-7</v>
      </c>
      <c r="BG87" s="137">
        <f>_xll.xSPRDOPT($BW87,$BV87,$CG87,0,$BY87,$BX87,$BZ87,$AJ87,1,3)*$CB87</f>
        <v>-1.0628244689145208E-6</v>
      </c>
      <c r="BH87" s="137">
        <f>IF(OR(BF87&lt;&gt;0,BG87&lt;&gt;0),_xll.xSPRDOPT($BW87,$BV87,$CG87,0,$BY87,$BX87,$BZ87,$AJ87,1,12)*$CB87,0)</f>
        <v>7.0854964594301381E-7</v>
      </c>
      <c r="BI87" s="137">
        <f>_xll.xSPRDOPT($BW87,$BV87,$CG87,2*LN(1+CA87/2),$BY87,$BX87,$BZ87,$AJ87,1,9)</f>
        <v>2.8481322245035388E-2</v>
      </c>
      <c r="BJ87" s="137">
        <f>_xll.xSPRDOPT($BW87,$BV87,$CG87,0,$BY87,$BX87,$BZ87,$AJ87,1,6)*$CB87</f>
        <v>4.9676293443120357E-7</v>
      </c>
      <c r="BK87" s="137">
        <f>_xll.xSPRDOPT($BW87,$BV87,$CG87,0,$BY87,$BX87,$BZ87,$AJ87,1,5)*$CB87</f>
        <v>-6.0046254201351407E-7</v>
      </c>
      <c r="BL87" s="137">
        <f>_xll.xSPRDOPT(BW87,BV87,CG87,0,BY87,BX87,BZ87,AJ87,1,2)*CB87</f>
        <v>-0.74296822278324093</v>
      </c>
      <c r="BM87" s="137">
        <f>_xll.xSPRDOPT(BW87,BV87,CG87,0,BY87,BX87,BZ87,AJ87,1,1)*CB87</f>
        <v>0.7429682227940525</v>
      </c>
      <c r="BN87" s="137">
        <f>IF(AH87&lt;&gt;0,_xll.xSPRDOPT($BW87,$BV87,$CG87,2*LN(1+CA87/2),$BY87,$BX87,$BZ87,$AJ87,1,8)+(AJ87/365.25)*CH87/AH87,0)</f>
        <v>-1.3935174908163901</v>
      </c>
      <c r="BO87" s="137">
        <f>_xll.xSPRDOPT($BW87,$BV87,$CG87,0,$BY87,$BX87,$BZ87,$AJ87,1,0)</f>
        <v>0.70969853515606252</v>
      </c>
      <c r="BP87" s="137"/>
      <c r="BQ87" s="137"/>
      <c r="BR87" s="137"/>
      <c r="BS87" s="137"/>
      <c r="BV87" s="262">
        <v>3.5734015345268539</v>
      </c>
      <c r="BW87" s="136">
        <v>4.3194999999999997</v>
      </c>
      <c r="BX87" s="137">
        <v>0.24224232347709615</v>
      </c>
      <c r="BY87" s="137">
        <v>0.24224232347709615</v>
      </c>
      <c r="BZ87" s="137">
        <v>1</v>
      </c>
      <c r="CA87" s="137">
        <v>5.4751223720142399E-2</v>
      </c>
      <c r="CB87" s="137">
        <v>0.74296815354434165</v>
      </c>
      <c r="CC87" s="258">
        <v>1.35E-2</v>
      </c>
      <c r="CD87" s="258">
        <v>0.01</v>
      </c>
      <c r="CE87" s="258">
        <v>0.85</v>
      </c>
      <c r="CF87" s="258">
        <v>0</v>
      </c>
      <c r="CG87" s="258">
        <v>3.6400000000000002E-2</v>
      </c>
      <c r="CH87" s="258">
        <v>8.2179707463539629</v>
      </c>
      <c r="CI87" s="258">
        <v>3.4695</v>
      </c>
      <c r="CJ87" s="258"/>
      <c r="CK87" s="258"/>
      <c r="CL87" s="258"/>
      <c r="CM87" s="258"/>
    </row>
    <row r="88" spans="1:91" x14ac:dyDescent="0.25">
      <c r="A88" s="723"/>
      <c r="B88" s="723"/>
      <c r="D88" s="31">
        <f t="shared" si="53"/>
        <v>39278</v>
      </c>
      <c r="F88" s="28">
        <f t="shared" si="54"/>
        <v>5895</v>
      </c>
      <c r="G88" s="28">
        <f t="shared" si="76"/>
        <v>4358.131252566518</v>
      </c>
      <c r="H88" s="52">
        <f t="shared" si="55"/>
        <v>3.6143222506393862</v>
      </c>
      <c r="I88" s="52">
        <f t="shared" si="56"/>
        <v>4.5594999999999999</v>
      </c>
      <c r="K88" s="52">
        <f t="shared" si="57"/>
        <v>20.827439193365926</v>
      </c>
      <c r="L88" s="135">
        <f t="shared" si="58"/>
        <v>2.0190996288249607E-6</v>
      </c>
      <c r="N88" s="131">
        <f t="shared" si="77"/>
        <v>0.24303015541639639</v>
      </c>
      <c r="O88" s="131">
        <f t="shared" si="78"/>
        <v>0.24303015541639639</v>
      </c>
      <c r="P88" s="55">
        <f t="shared" si="59"/>
        <v>1.0000000000000002</v>
      </c>
      <c r="Q88" s="135">
        <f>_xll.xSPRDOPT(I88,H88,AQ88,0,O88,N88,P88,D88-$G$5,1,0)*AH88*AU88</f>
        <v>20.827441212465555</v>
      </c>
      <c r="R88" s="135"/>
      <c r="S88" s="181">
        <f t="shared" si="60"/>
        <v>-137642.31094011126</v>
      </c>
      <c r="T88" s="181">
        <f>_xll.xSPRDOPT(I88,H88,AQ88,AT88,O88,N88,P88,D88-$G$5,1,1)*AF88*F88*AH88</f>
        <v>134545.35894395877</v>
      </c>
      <c r="U88" s="135"/>
      <c r="V88" s="146">
        <f t="shared" si="61"/>
        <v>8.4498952972789709</v>
      </c>
      <c r="W88" s="146"/>
      <c r="X88" s="338">
        <f t="shared" si="62"/>
        <v>0</v>
      </c>
      <c r="Y88" s="338">
        <f t="shared" si="79"/>
        <v>0</v>
      </c>
      <c r="Z88" s="338">
        <f t="shared" si="80"/>
        <v>54.621657204086141</v>
      </c>
      <c r="AA88" s="338">
        <f t="shared" si="81"/>
        <v>-1.4156816472235856E-7</v>
      </c>
      <c r="AB88" s="338">
        <f t="shared" si="63"/>
        <v>0</v>
      </c>
      <c r="AC88" s="338">
        <f t="shared" si="64"/>
        <v>55.368346696554525</v>
      </c>
      <c r="AF88" s="138">
        <f t="shared" si="65"/>
        <v>1</v>
      </c>
      <c r="AG88" s="138">
        <f t="shared" si="66"/>
        <v>7</v>
      </c>
      <c r="AH88" s="138">
        <f t="shared" si="82"/>
        <v>31</v>
      </c>
      <c r="AI88" s="138">
        <f t="shared" si="67"/>
        <v>2022</v>
      </c>
      <c r="AJ88" s="138">
        <f t="shared" si="68"/>
        <v>2039</v>
      </c>
      <c r="AL88" s="136">
        <f t="shared" si="83"/>
        <v>3.5095000000000001</v>
      </c>
      <c r="AM88" s="258">
        <f t="shared" si="84"/>
        <v>1.35E-2</v>
      </c>
      <c r="AN88" s="258">
        <f t="shared" si="85"/>
        <v>0.01</v>
      </c>
      <c r="AO88" s="258">
        <f t="shared" si="86"/>
        <v>1.05</v>
      </c>
      <c r="AP88" s="258">
        <f t="shared" si="87"/>
        <v>0</v>
      </c>
      <c r="AQ88" s="136">
        <f t="shared" si="69"/>
        <v>3.6400000000000002E-2</v>
      </c>
      <c r="AR88" s="137">
        <f t="shared" si="88"/>
        <v>2.2499999999999999E-2</v>
      </c>
      <c r="AS88" s="136">
        <f t="shared" si="70"/>
        <v>3.5329999999999999</v>
      </c>
      <c r="AT88" s="137">
        <f t="shared" si="71"/>
        <v>5.4929303816937801E-2</v>
      </c>
      <c r="AU88" s="137">
        <f t="shared" si="89"/>
        <v>0.73929283334461715</v>
      </c>
      <c r="AV88" s="394">
        <f t="shared" si="72"/>
        <v>3116.8585853809059</v>
      </c>
      <c r="AW88" s="137">
        <f t="shared" si="90"/>
        <v>0.24</v>
      </c>
      <c r="AX88" s="137">
        <f t="shared" si="91"/>
        <v>0.5</v>
      </c>
      <c r="AY88" s="137">
        <f t="shared" si="92"/>
        <v>0.5</v>
      </c>
      <c r="AZ88" s="137"/>
      <c r="BA88" s="264"/>
      <c r="BB88" s="258">
        <f t="shared" si="93"/>
        <v>0</v>
      </c>
      <c r="BC88" s="258">
        <f t="shared" si="73"/>
        <v>0</v>
      </c>
      <c r="BD88" s="137">
        <f t="shared" si="74"/>
        <v>4.4272862194938423E-6</v>
      </c>
      <c r="BE88" s="137">
        <f t="shared" si="75"/>
        <v>4.4272862194938423E-6</v>
      </c>
      <c r="BF88" s="137">
        <f>_xll.xSPRDOPT($BW88,$BV88,$CG88,0,$BY88,$BX88,$BZ88,$AJ88,1,4)*$CB88</f>
        <v>-8.809135697664781E-7</v>
      </c>
      <c r="BG88" s="137">
        <f>_xll.xSPRDOPT($BW88,$BV88,$CG88,0,$BY88,$BX88,$BZ88,$AJ88,1,3)*$CB88</f>
        <v>-3.5236542790659123E-7</v>
      </c>
      <c r="BH88" s="137">
        <f>IF(OR(BF88&lt;&gt;0,BG88&lt;&gt;0),_xll.xSPRDOPT($BW88,$BV88,$CG88,0,$BY88,$BX88,$BZ88,$AJ88,1,12)*$CB88,0)</f>
        <v>8.8091356976647807E-8</v>
      </c>
      <c r="BI88" s="137">
        <f>_xll.xSPRDOPT($BW88,$BV88,$CG88,2*LN(1+CA88/2),$BY88,$BX88,$BZ88,$AJ88,1,9)</f>
        <v>3.6390526496470427E-2</v>
      </c>
      <c r="BJ88" s="137">
        <f>_xll.xSPRDOPT($BW88,$BV88,$CG88,0,$BY88,$BX88,$BZ88,$AJ88,1,6)*$CB88</f>
        <v>6.6909808965397067E-7</v>
      </c>
      <c r="BK88" s="137">
        <f>_xll.xSPRDOPT($BW88,$BV88,$CG88,0,$BY88,$BX88,$BZ88,$AJ88,1,5)*$CB88</f>
        <v>-8.4407570724666771E-7</v>
      </c>
      <c r="BL88" s="137">
        <f>_xll.xSPRDOPT(BW88,BV88,CG88,0,BY88,BX88,BZ88,AJ88,1,2)*CB88</f>
        <v>-0.73896393341654032</v>
      </c>
      <c r="BM88" s="137">
        <f>_xll.xSPRDOPT(BW88,BV88,CG88,0,BY88,BX88,BZ88,AJ88,1,1)*CB88</f>
        <v>0.73896393341788447</v>
      </c>
      <c r="BN88" s="137">
        <f>IF(AH88&lt;&gt;0,_xll.xSPRDOPT($BW88,$BV88,$CG88,2*LN(1+CA88/2),$BY88,$BX88,$BZ88,$AJ88,1,8)+(AJ88/365.25)*CH88/AH88,0)</f>
        <v>-2.2279557318792769</v>
      </c>
      <c r="BO88" s="137">
        <f>_xll.xSPRDOPT($BW88,$BV88,$CG88,0,$BY88,$BX88,$BZ88,$AJ88,1,0)</f>
        <v>0.90877783742007201</v>
      </c>
      <c r="BP88" s="137"/>
      <c r="BQ88" s="137"/>
      <c r="BR88" s="137"/>
      <c r="BS88" s="137"/>
      <c r="BV88" s="262">
        <v>3.6143222506393862</v>
      </c>
      <c r="BW88" s="136">
        <v>4.5594999999999999</v>
      </c>
      <c r="BX88" s="137">
        <v>0.24302572813017689</v>
      </c>
      <c r="BY88" s="137">
        <v>0.24302572813017689</v>
      </c>
      <c r="BZ88" s="137">
        <v>1</v>
      </c>
      <c r="CA88" s="137">
        <v>5.4929303816937801E-2</v>
      </c>
      <c r="CB88" s="137">
        <v>0.73896386186516361</v>
      </c>
      <c r="CC88" s="258">
        <v>1.35E-2</v>
      </c>
      <c r="CD88" s="258">
        <v>0.01</v>
      </c>
      <c r="CE88" s="258">
        <v>1.05</v>
      </c>
      <c r="CF88" s="258">
        <v>0</v>
      </c>
      <c r="CG88" s="258">
        <v>3.6400000000000002E-2</v>
      </c>
      <c r="CH88" s="258">
        <v>8.4461352519602606</v>
      </c>
      <c r="CI88" s="258">
        <v>3.5095000000000001</v>
      </c>
      <c r="CJ88" s="258"/>
      <c r="CK88" s="258"/>
      <c r="CL88" s="258"/>
      <c r="CM88" s="258"/>
    </row>
    <row r="89" spans="1:91" x14ac:dyDescent="0.25">
      <c r="A89" s="723"/>
      <c r="B89" s="723"/>
      <c r="D89" s="31">
        <f t="shared" si="53"/>
        <v>39309</v>
      </c>
      <c r="F89" s="28">
        <f t="shared" si="54"/>
        <v>5895</v>
      </c>
      <c r="G89" s="28">
        <f t="shared" si="76"/>
        <v>4333.739085969094</v>
      </c>
      <c r="H89" s="52">
        <f t="shared" si="55"/>
        <v>3.6501278772378516</v>
      </c>
      <c r="I89" s="52">
        <f t="shared" si="56"/>
        <v>4.5994999999999999</v>
      </c>
      <c r="K89" s="52">
        <f t="shared" si="57"/>
        <v>20.806458381212785</v>
      </c>
      <c r="L89" s="135">
        <f t="shared" si="58"/>
        <v>2.0028271094929551E-6</v>
      </c>
      <c r="N89" s="131">
        <f t="shared" si="77"/>
        <v>0.24379319528881896</v>
      </c>
      <c r="O89" s="131">
        <f t="shared" si="78"/>
        <v>0.24379319528881896</v>
      </c>
      <c r="P89" s="55">
        <f t="shared" si="59"/>
        <v>1</v>
      </c>
      <c r="Q89" s="135">
        <f>_xll.xSPRDOPT(I89,H89,AQ89,0,O89,N89,P89,D89-$G$5,1,0)*AH89*AU89</f>
        <v>20.806460384039895</v>
      </c>
      <c r="R89" s="135"/>
      <c r="S89" s="181">
        <f t="shared" si="60"/>
        <v>-136859.51503619194</v>
      </c>
      <c r="T89" s="181">
        <f>_xll.xSPRDOPT(I89,H89,AQ89,AT89,O89,N89,P89,D89-$G$5,1,1)*AF89*F89*AH89</f>
        <v>133780.17594787764</v>
      </c>
      <c r="U89" s="135"/>
      <c r="V89" s="146">
        <f t="shared" si="61"/>
        <v>8.4026018033759033</v>
      </c>
      <c r="W89" s="146"/>
      <c r="X89" s="338">
        <f t="shared" si="62"/>
        <v>0</v>
      </c>
      <c r="Y89" s="338">
        <f t="shared" si="79"/>
        <v>0</v>
      </c>
      <c r="Z89" s="338">
        <f t="shared" si="80"/>
        <v>54.746891639254848</v>
      </c>
      <c r="AA89" s="338">
        <f t="shared" si="81"/>
        <v>-1.7781180173088982E-7</v>
      </c>
      <c r="AB89" s="338">
        <f t="shared" si="63"/>
        <v>0</v>
      </c>
      <c r="AC89" s="338">
        <f t="shared" si="64"/>
        <v>55.497789020582736</v>
      </c>
      <c r="AF89" s="138">
        <f t="shared" si="65"/>
        <v>1</v>
      </c>
      <c r="AG89" s="138">
        <f t="shared" si="66"/>
        <v>8</v>
      </c>
      <c r="AH89" s="138">
        <f t="shared" si="82"/>
        <v>31</v>
      </c>
      <c r="AI89" s="138">
        <f t="shared" si="67"/>
        <v>2053</v>
      </c>
      <c r="AJ89" s="138">
        <f t="shared" si="68"/>
        <v>2070</v>
      </c>
      <c r="AL89" s="136">
        <f t="shared" si="83"/>
        <v>3.5495000000000001</v>
      </c>
      <c r="AM89" s="258">
        <f t="shared" si="84"/>
        <v>8.5000000000000006E-3</v>
      </c>
      <c r="AN89" s="258">
        <f t="shared" si="85"/>
        <v>0.01</v>
      </c>
      <c r="AO89" s="258">
        <f t="shared" si="86"/>
        <v>1.05</v>
      </c>
      <c r="AP89" s="258">
        <f t="shared" si="87"/>
        <v>0</v>
      </c>
      <c r="AQ89" s="136">
        <f t="shared" si="69"/>
        <v>3.6400000000000002E-2</v>
      </c>
      <c r="AR89" s="137">
        <f t="shared" si="88"/>
        <v>2.2499999999999999E-2</v>
      </c>
      <c r="AS89" s="136">
        <f t="shared" si="70"/>
        <v>3.5680000000000001</v>
      </c>
      <c r="AT89" s="137">
        <f t="shared" si="71"/>
        <v>5.5113319928056501E-2</v>
      </c>
      <c r="AU89" s="137">
        <f t="shared" si="89"/>
        <v>0.73515506123309482</v>
      </c>
      <c r="AV89" s="394">
        <f t="shared" si="72"/>
        <v>3099.4137381587279</v>
      </c>
      <c r="AW89" s="137">
        <f t="shared" si="90"/>
        <v>0.24</v>
      </c>
      <c r="AX89" s="137">
        <f t="shared" si="91"/>
        <v>0.55000000000000004</v>
      </c>
      <c r="AY89" s="137">
        <f t="shared" si="92"/>
        <v>0.55000000000000004</v>
      </c>
      <c r="AZ89" s="137"/>
      <c r="BA89" s="264"/>
      <c r="BB89" s="258">
        <f t="shared" si="93"/>
        <v>0</v>
      </c>
      <c r="BC89" s="258">
        <f t="shared" si="73"/>
        <v>0</v>
      </c>
      <c r="BD89" s="137">
        <f t="shared" si="74"/>
        <v>5.4507285572880093E-6</v>
      </c>
      <c r="BE89" s="137">
        <f t="shared" si="75"/>
        <v>5.4507285572880093E-6</v>
      </c>
      <c r="BF89" s="137">
        <f>_xll.xSPRDOPT($BW89,$BV89,$CG89,0,$BY89,$BX89,$BZ89,$AJ89,1,4)*$CB89</f>
        <v>-8.759818674134167E-7</v>
      </c>
      <c r="BG89" s="137">
        <f>_xll.xSPRDOPT($BW89,$BV89,$CG89,0,$BY89,$BX89,$BZ89,$AJ89,1,3)*$CB89</f>
        <v>-7.0078549393073338E-7</v>
      </c>
      <c r="BH89" s="137">
        <f>IF(OR(BF89&lt;&gt;0,BG89&lt;&gt;0),_xll.xSPRDOPT($BW89,$BV89,$CG89,0,$BY89,$BX89,$BZ89,$AJ89,1,12)*$CB89,0)</f>
        <v>6.1318730718939172E-7</v>
      </c>
      <c r="BI89" s="137">
        <f>_xll.xSPRDOPT($BW89,$BV89,$CG89,2*LN(1+CA89/2),$BY89,$BX89,$BZ89,$AJ89,1,9)</f>
        <v>3.6473961296228499E-2</v>
      </c>
      <c r="BJ89" s="137">
        <f>_xll.xSPRDOPT($BW89,$BV89,$CG89,0,$BY89,$BX89,$BZ89,$AJ89,1,6)*$CB89</f>
        <v>6.8632277293224649E-7</v>
      </c>
      <c r="BK89" s="137">
        <f>_xll.xSPRDOPT($BW89,$BV89,$CG89,0,$BY89,$BX89,$BZ89,$AJ89,1,5)*$CB89</f>
        <v>-8.6483194032557987E-7</v>
      </c>
      <c r="BL89" s="137">
        <f>_xll.xSPRDOPT(BW89,BV89,CG89,0,BY89,BX89,BZ89,AJ89,1,2)*CB89</f>
        <v>-0.7348269207602085</v>
      </c>
      <c r="BM89" s="137">
        <f>_xll.xSPRDOPT(BW89,BV89,CG89,0,BY89,BX89,BZ89,AJ89,1,1)*CB89</f>
        <v>0.7348269207575352</v>
      </c>
      <c r="BN89" s="137">
        <f>IF(AH89&lt;&gt;0,_xll.xSPRDOPT($BW89,$BV89,$CG89,2*LN(1+CA89/2),$BY89,$BX89,$BZ89,$AJ89,1,8)+(AJ89/365.25)*CH89/AH89,0)</f>
        <v>-2.2666334746032328</v>
      </c>
      <c r="BO89" s="137">
        <f>_xll.xSPRDOPT($BW89,$BV89,$CG89,0,$BY89,$BX89,$BZ89,$AJ89,1,0)</f>
        <v>0.91297221060314293</v>
      </c>
      <c r="BP89" s="137"/>
      <c r="BQ89" s="137"/>
      <c r="BR89" s="137"/>
      <c r="BS89" s="137"/>
      <c r="BV89" s="262">
        <v>3.6501278772378516</v>
      </c>
      <c r="BW89" s="136">
        <v>4.5994999999999999</v>
      </c>
      <c r="BX89" s="137">
        <v>0.24378774456026167</v>
      </c>
      <c r="BY89" s="137">
        <v>0.24378774456026167</v>
      </c>
      <c r="BZ89" s="137">
        <v>1</v>
      </c>
      <c r="CA89" s="137">
        <v>5.5113319928056501E-2</v>
      </c>
      <c r="CB89" s="137">
        <v>0.73482685008391269</v>
      </c>
      <c r="CC89" s="258">
        <v>8.5000000000000006E-3</v>
      </c>
      <c r="CD89" s="258">
        <v>0.01</v>
      </c>
      <c r="CE89" s="258">
        <v>1.05</v>
      </c>
      <c r="CF89" s="258">
        <v>0</v>
      </c>
      <c r="CG89" s="258">
        <v>3.6400000000000002E-2</v>
      </c>
      <c r="CH89" s="258">
        <v>8.3988504484040973</v>
      </c>
      <c r="CI89" s="258">
        <v>3.5495000000000001</v>
      </c>
      <c r="CJ89" s="258"/>
      <c r="CK89" s="258"/>
      <c r="CL89" s="258"/>
      <c r="CM89" s="258"/>
    </row>
    <row r="90" spans="1:91" x14ac:dyDescent="0.25">
      <c r="A90" s="723"/>
      <c r="B90" s="723"/>
      <c r="D90" s="31">
        <f t="shared" si="53"/>
        <v>39340</v>
      </c>
      <c r="F90" s="28">
        <f t="shared" si="54"/>
        <v>5895</v>
      </c>
      <c r="G90" s="28">
        <f t="shared" si="76"/>
        <v>4309.3528318061217</v>
      </c>
      <c r="H90" s="52">
        <f t="shared" si="55"/>
        <v>3.6450127877237852</v>
      </c>
      <c r="I90" s="52">
        <f t="shared" si="56"/>
        <v>4.2945000000000002</v>
      </c>
      <c r="K90" s="52">
        <f t="shared" si="57"/>
        <v>13.44533900441032</v>
      </c>
      <c r="L90" s="135">
        <f t="shared" si="58"/>
        <v>1.4271515205166452E-6</v>
      </c>
      <c r="N90" s="131">
        <f t="shared" si="77"/>
        <v>0.24361879874988177</v>
      </c>
      <c r="O90" s="131">
        <f t="shared" si="78"/>
        <v>0.24361879874988177</v>
      </c>
      <c r="P90" s="55">
        <f t="shared" si="59"/>
        <v>1</v>
      </c>
      <c r="Q90" s="135">
        <f>_xll.xSPRDOPT(I90,H90,AQ90,0,O90,N90,P90,D90-$G$5,1,0)*AH90*AU90</f>
        <v>13.44534043156184</v>
      </c>
      <c r="R90" s="135"/>
      <c r="S90" s="181">
        <f t="shared" si="60"/>
        <v>-131687.33223279583</v>
      </c>
      <c r="T90" s="181">
        <f>_xll.xSPRDOPT(I90,H90,AQ90,AT90,O90,N90,P90,D90-$G$5,1,1)*AF90*F90*AH90</f>
        <v>128724.36725755793</v>
      </c>
      <c r="U90" s="135"/>
      <c r="V90" s="146">
        <f t="shared" si="61"/>
        <v>8.0857933286866004</v>
      </c>
      <c r="W90" s="146"/>
      <c r="X90" s="338">
        <f t="shared" si="62"/>
        <v>0</v>
      </c>
      <c r="Y90" s="338">
        <f t="shared" si="79"/>
        <v>0</v>
      </c>
      <c r="Z90" s="338">
        <f t="shared" si="80"/>
        <v>35.494442099252602</v>
      </c>
      <c r="AA90" s="338">
        <f t="shared" si="81"/>
        <v>3.1892501425174209E-7</v>
      </c>
      <c r="AB90" s="338">
        <f t="shared" si="63"/>
        <v>0</v>
      </c>
      <c r="AC90" s="338">
        <f t="shared" si="64"/>
        <v>35.982909673367395</v>
      </c>
      <c r="AF90" s="138">
        <f t="shared" si="65"/>
        <v>1</v>
      </c>
      <c r="AG90" s="138">
        <f t="shared" si="66"/>
        <v>9</v>
      </c>
      <c r="AH90" s="138">
        <f t="shared" si="82"/>
        <v>30</v>
      </c>
      <c r="AI90" s="138">
        <f t="shared" si="67"/>
        <v>2084</v>
      </c>
      <c r="AJ90" s="138">
        <f t="shared" si="68"/>
        <v>2101</v>
      </c>
      <c r="AL90" s="136">
        <f t="shared" si="83"/>
        <v>3.5445000000000002</v>
      </c>
      <c r="AM90" s="258">
        <f t="shared" si="84"/>
        <v>8.5000000000000006E-3</v>
      </c>
      <c r="AN90" s="258">
        <f t="shared" si="85"/>
        <v>0.01</v>
      </c>
      <c r="AO90" s="258">
        <f t="shared" si="86"/>
        <v>0.75</v>
      </c>
      <c r="AP90" s="258">
        <f t="shared" si="87"/>
        <v>0</v>
      </c>
      <c r="AQ90" s="136">
        <f t="shared" si="69"/>
        <v>3.6400000000000002E-2</v>
      </c>
      <c r="AR90" s="137">
        <f t="shared" si="88"/>
        <v>2.2499999999999999E-2</v>
      </c>
      <c r="AS90" s="136">
        <f t="shared" si="70"/>
        <v>3.5630000000000002</v>
      </c>
      <c r="AT90" s="137">
        <f t="shared" si="71"/>
        <v>5.5297336050453602E-2</v>
      </c>
      <c r="AU90" s="137">
        <f t="shared" si="89"/>
        <v>0.73101829207907065</v>
      </c>
      <c r="AV90" s="394">
        <f t="shared" si="72"/>
        <v>2982.5546316826085</v>
      </c>
      <c r="AW90" s="137">
        <f t="shared" si="90"/>
        <v>0.24</v>
      </c>
      <c r="AX90" s="137">
        <f t="shared" si="91"/>
        <v>0.55000000000000004</v>
      </c>
      <c r="AY90" s="137">
        <f t="shared" si="92"/>
        <v>0.55000000000000004</v>
      </c>
      <c r="AZ90" s="137"/>
      <c r="BA90" s="264"/>
      <c r="BB90" s="258">
        <f t="shared" si="93"/>
        <v>0</v>
      </c>
      <c r="BC90" s="258">
        <f t="shared" si="73"/>
        <v>0</v>
      </c>
      <c r="BD90" s="137">
        <f t="shared" si="74"/>
        <v>5.1264877626300276E-6</v>
      </c>
      <c r="BE90" s="137">
        <f t="shared" si="75"/>
        <v>5.1264877626300276E-6</v>
      </c>
      <c r="BF90" s="137">
        <f>_xll.xSPRDOPT($BW90,$BV90,$CG90,0,$BY90,$BX90,$BZ90,$AJ90,1,4)*$CB90</f>
        <v>-1.7421027495294183E-7</v>
      </c>
      <c r="BG90" s="137">
        <f>_xll.xSPRDOPT($BW90,$BV90,$CG90,0,$BY90,$BX90,$BZ90,$AJ90,1,3)*$CB90</f>
        <v>-1.7421027495294183E-7</v>
      </c>
      <c r="BH90" s="137">
        <f>IF(OR(BF90&lt;&gt;0,BG90&lt;&gt;0),_xll.xSPRDOPT($BW90,$BV90,$CG90,0,$BY90,$BX90,$BZ90,$AJ90,1,12)*$CB90,0)</f>
        <v>2.6131541242941272E-7</v>
      </c>
      <c r="BI90" s="137">
        <f>_xll.xSPRDOPT($BW90,$BV90,$CG90,2*LN(1+CA90/2),$BY90,$BX90,$BZ90,$AJ90,1,9)</f>
        <v>2.4435670486762817E-2</v>
      </c>
      <c r="BJ90" s="137">
        <f>_xll.xSPRDOPT($BW90,$BV90,$CG90,0,$BY90,$BX90,$BZ90,$AJ90,1,6)*$CB90</f>
        <v>-1.9741840445648772E-6</v>
      </c>
      <c r="BK90" s="137">
        <f>_xll.xSPRDOPT($BW90,$BV90,$CG90,0,$BY90,$BX90,$BZ90,$AJ90,1,5)*$CB90</f>
        <v>2.3259579289907441E-6</v>
      </c>
      <c r="BL90" s="137">
        <f>_xll.xSPRDOPT(BW90,BV90,CG90,0,BY90,BX90,BZ90,AJ90,1,2)*CB90</f>
        <v>-0.73069086681532602</v>
      </c>
      <c r="BM90" s="137">
        <f>_xll.xSPRDOPT(BW90,BV90,CG90,0,BY90,BX90,BZ90,AJ90,1,1)*CB90</f>
        <v>0.73069086680735129</v>
      </c>
      <c r="BN90" s="137">
        <f>IF(AH90&lt;&gt;0,_xll.xSPRDOPT($BW90,$BV90,$CG90,2*LN(1+CA90/2),$BY90,$BX90,$BZ90,$AJ90,1,8)+(AJ90/365.25)*CH90/AH90,0)</f>
        <v>-1.0271836353976422</v>
      </c>
      <c r="BO90" s="137">
        <f>_xll.xSPRDOPT($BW90,$BV90,$CG90,0,$BY90,$BX90,$BZ90,$AJ90,1,0)</f>
        <v>0.61308727743360059</v>
      </c>
      <c r="BP90" s="137"/>
      <c r="BQ90" s="137"/>
      <c r="BR90" s="137"/>
      <c r="BS90" s="137"/>
      <c r="BV90" s="262">
        <v>3.6450127877237852</v>
      </c>
      <c r="BW90" s="136">
        <v>4.2945000000000002</v>
      </c>
      <c r="BX90" s="137">
        <v>0.24361367226211914</v>
      </c>
      <c r="BY90" s="137">
        <v>0.24361367226211914</v>
      </c>
      <c r="BZ90" s="137">
        <v>1</v>
      </c>
      <c r="CA90" s="137">
        <v>5.5297336050453602E-2</v>
      </c>
      <c r="CB90" s="137">
        <v>0.73069085307622372</v>
      </c>
      <c r="CC90" s="258">
        <v>8.5000000000000006E-3</v>
      </c>
      <c r="CD90" s="258">
        <v>0.01</v>
      </c>
      <c r="CE90" s="258">
        <v>0.75</v>
      </c>
      <c r="CF90" s="258">
        <v>0</v>
      </c>
      <c r="CG90" s="258">
        <v>3.6400000000000002E-2</v>
      </c>
      <c r="CH90" s="258">
        <v>8.0821715258761113</v>
      </c>
      <c r="CI90" s="258">
        <v>3.5445000000000002</v>
      </c>
      <c r="CJ90" s="258"/>
      <c r="CK90" s="258"/>
      <c r="CL90" s="258"/>
      <c r="CM90" s="258"/>
    </row>
    <row r="91" spans="1:91" x14ac:dyDescent="0.25">
      <c r="A91" s="723"/>
      <c r="B91" s="723"/>
      <c r="D91" s="31">
        <f t="shared" si="53"/>
        <v>39370</v>
      </c>
      <c r="F91" s="28">
        <f t="shared" si="54"/>
        <v>6669</v>
      </c>
      <c r="G91" s="28">
        <f t="shared" si="76"/>
        <v>4848.4707379147931</v>
      </c>
      <c r="H91" s="52">
        <f t="shared" si="55"/>
        <v>3.6774358974358972</v>
      </c>
      <c r="I91" s="52">
        <f t="shared" si="56"/>
        <v>4.0194999999999999</v>
      </c>
      <c r="K91" s="52">
        <f t="shared" si="57"/>
        <v>6.8889049579103592</v>
      </c>
      <c r="L91" s="135">
        <f t="shared" si="58"/>
        <v>2.6109703956223029E-5</v>
      </c>
      <c r="N91" s="131">
        <f t="shared" si="77"/>
        <v>0.24454259356141442</v>
      </c>
      <c r="O91" s="131">
        <f t="shared" si="78"/>
        <v>0.24454259356141442</v>
      </c>
      <c r="P91" s="55">
        <f t="shared" si="59"/>
        <v>1.0000000000000002</v>
      </c>
      <c r="Q91" s="135">
        <f>_xll.xSPRDOPT(I91,H91,AQ91,0,O91,N91,P91,D91-$G$5,1,0)*AH91*AU91</f>
        <v>6.8889310676143154</v>
      </c>
      <c r="R91" s="135"/>
      <c r="S91" s="181">
        <f t="shared" si="60"/>
        <v>-153475.5580583605</v>
      </c>
      <c r="T91" s="181">
        <f>_xll.xSPRDOPT(I91,H91,AQ91,AT91,O91,N91,P91,D91-$G$5,1,1)*AF91*F91*AH91</f>
        <v>149638.66910690148</v>
      </c>
      <c r="U91" s="135"/>
      <c r="V91" s="146">
        <f t="shared" si="61"/>
        <v>8.3095765471801943</v>
      </c>
      <c r="W91" s="146"/>
      <c r="X91" s="338">
        <f t="shared" si="62"/>
        <v>0</v>
      </c>
      <c r="Y91" s="338">
        <f t="shared" si="79"/>
        <v>0</v>
      </c>
      <c r="Z91" s="338">
        <f t="shared" si="80"/>
        <v>20.636913568274146</v>
      </c>
      <c r="AA91" s="338">
        <f t="shared" si="81"/>
        <v>8.6607816291241706E-5</v>
      </c>
      <c r="AB91" s="338">
        <f t="shared" si="63"/>
        <v>0</v>
      </c>
      <c r="AC91" s="338">
        <f t="shared" si="64"/>
        <v>20.924205926042578</v>
      </c>
      <c r="AF91" s="138">
        <f t="shared" si="65"/>
        <v>1</v>
      </c>
      <c r="AG91" s="138">
        <f t="shared" si="66"/>
        <v>10</v>
      </c>
      <c r="AH91" s="138">
        <f t="shared" si="82"/>
        <v>31</v>
      </c>
      <c r="AI91" s="138">
        <f t="shared" si="67"/>
        <v>2114</v>
      </c>
      <c r="AJ91" s="138">
        <f t="shared" si="68"/>
        <v>2131</v>
      </c>
      <c r="AL91" s="136">
        <f t="shared" si="83"/>
        <v>3.5695000000000001</v>
      </c>
      <c r="AM91" s="258">
        <f t="shared" si="84"/>
        <v>6.0000000000000001E-3</v>
      </c>
      <c r="AN91" s="258">
        <f t="shared" si="85"/>
        <v>0.01</v>
      </c>
      <c r="AO91" s="258">
        <f t="shared" si="86"/>
        <v>0.45</v>
      </c>
      <c r="AP91" s="258">
        <f t="shared" si="87"/>
        <v>0</v>
      </c>
      <c r="AQ91" s="136">
        <f t="shared" si="69"/>
        <v>3.6400000000000002E-2</v>
      </c>
      <c r="AR91" s="137">
        <f t="shared" si="88"/>
        <v>2.5000000000000001E-2</v>
      </c>
      <c r="AS91" s="136">
        <f t="shared" si="70"/>
        <v>3.5854999999999997</v>
      </c>
      <c r="AT91" s="137">
        <f t="shared" si="71"/>
        <v>5.5475416179639102E-2</v>
      </c>
      <c r="AU91" s="137">
        <f t="shared" si="89"/>
        <v>0.72701615503295747</v>
      </c>
      <c r="AV91" s="394">
        <f t="shared" si="72"/>
        <v>3853.9126378297074</v>
      </c>
      <c r="AW91" s="137">
        <f t="shared" si="90"/>
        <v>0.24</v>
      </c>
      <c r="AX91" s="137">
        <f t="shared" si="91"/>
        <v>0.6</v>
      </c>
      <c r="AY91" s="137">
        <f t="shared" si="92"/>
        <v>0.6</v>
      </c>
      <c r="AZ91" s="137"/>
      <c r="BA91" s="264"/>
      <c r="BB91" s="258">
        <f t="shared" si="93"/>
        <v>0</v>
      </c>
      <c r="BC91" s="258">
        <f t="shared" si="73"/>
        <v>0</v>
      </c>
      <c r="BD91" s="137">
        <f t="shared" si="74"/>
        <v>6.3312457022346447E-6</v>
      </c>
      <c r="BE91" s="137">
        <f t="shared" si="75"/>
        <v>6.3312457022346447E-6</v>
      </c>
      <c r="BF91" s="137">
        <f>_xll.xSPRDOPT($BW91,$BV91,$CG91,0,$BY91,$BX91,$BZ91,$AJ91,1,4)*$CB91</f>
        <v>-1.6459345833971496E-6</v>
      </c>
      <c r="BG91" s="137">
        <f>_xll.xSPRDOPT($BW91,$BV91,$CG91,0,$BY91,$BX91,$BZ91,$AJ91,1,3)*$CB91</f>
        <v>-7.7965322371443932E-7</v>
      </c>
      <c r="BH91" s="137">
        <f>IF(OR(BF91&lt;&gt;0,BG91&lt;&gt;0),_xll.xSPRDOPT($BW91,$BV91,$CG91,0,$BY91,$BX91,$BZ91,$AJ91,1,12)*$CB91,0)</f>
        <v>6.4971101976203272E-7</v>
      </c>
      <c r="BI91" s="137">
        <f>_xll.xSPRDOPT($BW91,$BV91,$CG91,2*LN(1+CA91/2),$BY91,$BX91,$BZ91,$AJ91,1,9)</f>
        <v>1.2153218439372239E-2</v>
      </c>
      <c r="BJ91" s="137">
        <f>_xll.xSPRDOPT($BW91,$BV91,$CG91,0,$BY91,$BX91,$BZ91,$AJ91,1,6)*$CB91</f>
        <v>-7.1134987507406064E-4</v>
      </c>
      <c r="BK91" s="137">
        <f>_xll.xSPRDOPT($BW91,$BV91,$CG91,0,$BY91,$BX91,$BZ91,$AJ91,1,5)*$CB91</f>
        <v>7.7751749442127077E-4</v>
      </c>
      <c r="BL91" s="137">
        <f>_xll.xSPRDOPT(BW91,BV91,CG91,0,BY91,BX91,BZ91,AJ91,1,2)*CB91</f>
        <v>-0.72667082194696564</v>
      </c>
      <c r="BM91" s="137">
        <f>_xll.xSPRDOPT(BW91,BV91,CG91,0,BY91,BX91,BZ91,AJ91,1,1)*CB91</f>
        <v>0.72667082194894839</v>
      </c>
      <c r="BN91" s="137">
        <f>IF(AH91&lt;&gt;0,_xll.xSPRDOPT($BW91,$BV91,$CG91,2*LN(1+CA91/2),$BY91,$BX91,$BZ91,$AJ91,1,8)+(AJ91/365.25)*CH91/AH91,0)</f>
        <v>0.26725260631919845</v>
      </c>
      <c r="BO91" s="137">
        <f>_xll.xSPRDOPT($BW91,$BV91,$CG91,0,$BY91,$BX91,$BZ91,$AJ91,1,0)</f>
        <v>0.30566527617910427</v>
      </c>
      <c r="BP91" s="137"/>
      <c r="BQ91" s="137"/>
      <c r="BR91" s="137"/>
      <c r="BS91" s="137"/>
      <c r="BV91" s="262">
        <v>3.6774358974358972</v>
      </c>
      <c r="BW91" s="136">
        <v>4.0194999999999999</v>
      </c>
      <c r="BX91" s="137">
        <v>0.24453626231571218</v>
      </c>
      <c r="BY91" s="137">
        <v>0.24453626231571218</v>
      </c>
      <c r="BZ91" s="137">
        <v>1</v>
      </c>
      <c r="CA91" s="137">
        <v>5.5475416179639102E-2</v>
      </c>
      <c r="CB91" s="137">
        <v>0.72668947440852616</v>
      </c>
      <c r="CC91" s="258">
        <v>6.0000000000000001E-3</v>
      </c>
      <c r="CD91" s="258">
        <v>0.01</v>
      </c>
      <c r="CE91" s="258">
        <v>0.45</v>
      </c>
      <c r="CF91" s="258">
        <v>0</v>
      </c>
      <c r="CG91" s="258">
        <v>3.6400000000000002E-2</v>
      </c>
      <c r="CH91" s="258">
        <v>8.3058426856471321</v>
      </c>
      <c r="CI91" s="258">
        <v>3.5695000000000001</v>
      </c>
      <c r="CJ91" s="258"/>
      <c r="CK91" s="258"/>
      <c r="CL91" s="258"/>
      <c r="CM91" s="258"/>
    </row>
    <row r="92" spans="1:91" x14ac:dyDescent="0.25">
      <c r="A92" s="723"/>
      <c r="B92" s="723"/>
      <c r="D92" s="31">
        <f t="shared" si="53"/>
        <v>39401</v>
      </c>
      <c r="F92" s="28">
        <f t="shared" si="54"/>
        <v>11107</v>
      </c>
      <c r="G92" s="28">
        <f t="shared" si="76"/>
        <v>8029.0512649095881</v>
      </c>
      <c r="H92" s="52">
        <f t="shared" si="55"/>
        <v>3.8219948849104854</v>
      </c>
      <c r="I92" s="52">
        <f t="shared" si="56"/>
        <v>4.1715</v>
      </c>
      <c r="K92" s="52">
        <f t="shared" si="57"/>
        <v>6.7901423076234693</v>
      </c>
      <c r="L92" s="135">
        <f t="shared" si="58"/>
        <v>3.1867955692987948E-5</v>
      </c>
      <c r="N92" s="131">
        <f t="shared" si="77"/>
        <v>0.24828299266048096</v>
      </c>
      <c r="O92" s="131">
        <f t="shared" si="78"/>
        <v>0.24828299266048096</v>
      </c>
      <c r="P92" s="55">
        <f t="shared" si="59"/>
        <v>1</v>
      </c>
      <c r="Q92" s="135">
        <f>_xll.xSPRDOPT(I92,H92,AQ92,0,O92,N92,P92,D92-$G$5,1,0)*AH92*AU92</f>
        <v>6.7901741755791623</v>
      </c>
      <c r="R92" s="135"/>
      <c r="S92" s="181">
        <f t="shared" si="60"/>
        <v>-245304.82593566878</v>
      </c>
      <c r="T92" s="181">
        <f>_xll.xSPRDOPT(I92,H92,AQ92,AT92,O92,N92,P92,D92-$G$5,1,1)*AF92*F92*AH92</f>
        <v>239785.46735211625</v>
      </c>
      <c r="U92" s="135"/>
      <c r="V92" s="146">
        <f t="shared" si="61"/>
        <v>7.9957986892198569</v>
      </c>
      <c r="W92" s="146"/>
      <c r="X92" s="338">
        <f t="shared" si="62"/>
        <v>0</v>
      </c>
      <c r="Y92" s="338">
        <f t="shared" si="79"/>
        <v>0</v>
      </c>
      <c r="Z92" s="338">
        <f t="shared" si="80"/>
        <v>33.988377615626767</v>
      </c>
      <c r="AA92" s="338">
        <f t="shared" si="81"/>
        <v>2.4137287634907448E-4</v>
      </c>
      <c r="AB92" s="338">
        <f t="shared" si="63"/>
        <v>0</v>
      </c>
      <c r="AC92" s="338">
        <f t="shared" si="64"/>
        <v>34.462888797402613</v>
      </c>
      <c r="AF92" s="138">
        <f t="shared" si="65"/>
        <v>1</v>
      </c>
      <c r="AG92" s="138">
        <f t="shared" si="66"/>
        <v>11</v>
      </c>
      <c r="AH92" s="138">
        <f t="shared" si="82"/>
        <v>30</v>
      </c>
      <c r="AI92" s="138">
        <f t="shared" si="67"/>
        <v>2145</v>
      </c>
      <c r="AJ92" s="138">
        <f t="shared" si="68"/>
        <v>2162</v>
      </c>
      <c r="AL92" s="136">
        <f t="shared" si="83"/>
        <v>3.7214999999999998</v>
      </c>
      <c r="AM92" s="258">
        <f t="shared" si="84"/>
        <v>7.0000000000000001E-3</v>
      </c>
      <c r="AN92" s="258">
        <f t="shared" si="85"/>
        <v>7.4999999999999997E-3</v>
      </c>
      <c r="AO92" s="258">
        <f t="shared" si="86"/>
        <v>0.45</v>
      </c>
      <c r="AP92" s="258">
        <f t="shared" si="87"/>
        <v>0</v>
      </c>
      <c r="AQ92" s="136">
        <f t="shared" si="69"/>
        <v>3.6400000000000002E-2</v>
      </c>
      <c r="AR92" s="137">
        <f t="shared" si="88"/>
        <v>2.2499999999999999E-2</v>
      </c>
      <c r="AS92" s="136">
        <f t="shared" si="70"/>
        <v>3.7359999999999998</v>
      </c>
      <c r="AT92" s="137">
        <f t="shared" si="71"/>
        <v>5.5659432324225197E-2</v>
      </c>
      <c r="AU92" s="137">
        <f t="shared" si="89"/>
        <v>0.72288208021154121</v>
      </c>
      <c r="AV92" s="394">
        <f t="shared" si="72"/>
        <v>5551.7343760246367</v>
      </c>
      <c r="AW92" s="137">
        <f t="shared" si="90"/>
        <v>0.24</v>
      </c>
      <c r="AX92" s="137">
        <f t="shared" si="91"/>
        <v>0.8</v>
      </c>
      <c r="AY92" s="137">
        <f t="shared" si="92"/>
        <v>0.8</v>
      </c>
      <c r="AZ92" s="137"/>
      <c r="BA92" s="264"/>
      <c r="BB92" s="258">
        <f t="shared" si="93"/>
        <v>0</v>
      </c>
      <c r="BC92" s="258">
        <f t="shared" si="73"/>
        <v>0</v>
      </c>
      <c r="BD92" s="137">
        <f t="shared" si="74"/>
        <v>1.1296828160367589E-5</v>
      </c>
      <c r="BE92" s="137">
        <f t="shared" si="75"/>
        <v>1.1296828160367589E-5</v>
      </c>
      <c r="BF92" s="137">
        <f>_xll.xSPRDOPT($BW92,$BV92,$CG92,0,$BY92,$BX92,$BZ92,$AJ92,1,4)*$CB92</f>
        <v>-8.6135410623707882E-8</v>
      </c>
      <c r="BG92" s="137">
        <f>_xll.xSPRDOPT($BW92,$BV92,$CG92,0,$BY92,$BX92,$BZ92,$AJ92,1,3)*$CB92</f>
        <v>2.5840623187112366E-7</v>
      </c>
      <c r="BH92" s="137">
        <f>IF(OR(BF92&lt;&gt;0,BG92&lt;&gt;0),_xll.xSPRDOPT($BW92,$BV92,$CG92,0,$BY92,$BX92,$BZ92,$AJ92,1,12)*$CB92,0)</f>
        <v>-5.5988016905410125E-7</v>
      </c>
      <c r="BI92" s="137">
        <f>_xll.xSPRDOPT($BW92,$BV92,$CG92,2*LN(1+CA92/2),$BY92,$BX92,$BZ92,$AJ92,1,9)</f>
        <v>1.2418849898570151E-2</v>
      </c>
      <c r="BJ92" s="137">
        <f>_xll.xSPRDOPT($BW92,$BV92,$CG92,0,$BY92,$BX92,$BZ92,$AJ92,1,6)*$CB92</f>
        <v>-7.0121381496899952E-4</v>
      </c>
      <c r="BK92" s="137">
        <f>_xll.xSPRDOPT($BW92,$BV92,$CG92,0,$BY92,$BX92,$BZ92,$AJ92,1,5)*$CB92</f>
        <v>7.6533682736019916E-4</v>
      </c>
      <c r="BL92" s="137">
        <f>_xll.xSPRDOPT(BW92,BV92,CG92,0,BY92,BX92,BZ92,AJ92,1,2)*CB92</f>
        <v>-0.72253868436616453</v>
      </c>
      <c r="BM92" s="137">
        <f>_xll.xSPRDOPT(BW92,BV92,CG92,0,BY92,BX92,BZ92,AJ92,1,1)*CB92</f>
        <v>0.7225386843549928</v>
      </c>
      <c r="BN92" s="137">
        <f>IF(AH92&lt;&gt;0,_xll.xSPRDOPT($BW92,$BV92,$CG92,2*LN(1+CA92/2),$BY92,$BX92,$BZ92,$AJ92,1,8)+(AJ92/365.25)*CH92/AH92,0)</f>
        <v>0.23777179590982556</v>
      </c>
      <c r="BO92" s="137">
        <f>_xll.xSPRDOPT($BW92,$BV92,$CG92,0,$BY92,$BX92,$BZ92,$AJ92,1,0)</f>
        <v>0.31310659887692666</v>
      </c>
      <c r="BP92" s="137"/>
      <c r="BQ92" s="137"/>
      <c r="BR92" s="137"/>
      <c r="BS92" s="137"/>
      <c r="BV92" s="262">
        <v>3.8219948849104854</v>
      </c>
      <c r="BW92" s="136">
        <v>4.1715</v>
      </c>
      <c r="BX92" s="137">
        <v>0.24827169583232059</v>
      </c>
      <c r="BY92" s="137">
        <v>0.24827169583232059</v>
      </c>
      <c r="BZ92" s="137">
        <v>1</v>
      </c>
      <c r="CA92" s="137">
        <v>5.5659432324225197E-2</v>
      </c>
      <c r="CB92" s="137">
        <v>0.72255619464132093</v>
      </c>
      <c r="CC92" s="258">
        <v>7.0000000000000001E-3</v>
      </c>
      <c r="CD92" s="258">
        <v>7.4999999999999997E-3</v>
      </c>
      <c r="CE92" s="258">
        <v>0.45</v>
      </c>
      <c r="CF92" s="258">
        <v>0</v>
      </c>
      <c r="CG92" s="258">
        <v>3.6400000000000002E-2</v>
      </c>
      <c r="CH92" s="258">
        <v>7.9921940689276507</v>
      </c>
      <c r="CI92" s="258">
        <v>3.7214999999999998</v>
      </c>
      <c r="CJ92" s="258"/>
      <c r="CK92" s="258"/>
      <c r="CL92" s="258"/>
      <c r="CM92" s="258"/>
    </row>
    <row r="93" spans="1:91" x14ac:dyDescent="0.25">
      <c r="A93" s="723"/>
      <c r="B93" s="723"/>
      <c r="D93" s="31">
        <f t="shared" si="53"/>
        <v>39431</v>
      </c>
      <c r="F93" s="28">
        <f t="shared" si="54"/>
        <v>11107</v>
      </c>
      <c r="G93" s="28">
        <f t="shared" si="76"/>
        <v>7984.6335886226916</v>
      </c>
      <c r="H93" s="52">
        <f t="shared" si="55"/>
        <v>3.9682864450127875</v>
      </c>
      <c r="I93" s="52">
        <f t="shared" si="56"/>
        <v>4.2645</v>
      </c>
      <c r="K93" s="52">
        <f t="shared" si="57"/>
        <v>5.7900420613884336</v>
      </c>
      <c r="L93" s="135">
        <f t="shared" si="58"/>
        <v>1.2719854040010858E-4</v>
      </c>
      <c r="N93" s="131">
        <f t="shared" si="77"/>
        <v>0.25351219273413861</v>
      </c>
      <c r="O93" s="131">
        <f t="shared" si="78"/>
        <v>0.25351219273413861</v>
      </c>
      <c r="P93" s="55">
        <f t="shared" si="59"/>
        <v>1</v>
      </c>
      <c r="Q93" s="135">
        <f>_xll.xSPRDOPT(I93,H93,AQ93,0,O93,N93,P93,D93-$G$5,1,0)*AH93*AU93</f>
        <v>5.7901692599288337</v>
      </c>
      <c r="R93" s="135"/>
      <c r="S93" s="181">
        <f t="shared" si="60"/>
        <v>-252022.30588287851</v>
      </c>
      <c r="T93" s="181">
        <f>_xll.xSPRDOPT(I93,H93,AQ93,AT93,O93,N93,P93,D93-$G$5,1,1)*AF93*F93*AH93</f>
        <v>246351.80400051374</v>
      </c>
      <c r="U93" s="135"/>
      <c r="V93" s="146">
        <f t="shared" si="61"/>
        <v>8.2166171358495337</v>
      </c>
      <c r="W93" s="146"/>
      <c r="X93" s="338">
        <f t="shared" si="62"/>
        <v>0</v>
      </c>
      <c r="Y93" s="338">
        <f t="shared" si="79"/>
        <v>0</v>
      </c>
      <c r="Z93" s="338">
        <f t="shared" si="80"/>
        <v>29.058311329553469</v>
      </c>
      <c r="AA93" s="338">
        <f t="shared" si="81"/>
        <v>1.9802038160422314E-3</v>
      </c>
      <c r="AB93" s="338">
        <f t="shared" si="63"/>
        <v>0</v>
      </c>
      <c r="AC93" s="338">
        <f t="shared" si="64"/>
        <v>29.481446705156028</v>
      </c>
      <c r="AF93" s="138">
        <f t="shared" si="65"/>
        <v>1</v>
      </c>
      <c r="AG93" s="138">
        <f t="shared" si="66"/>
        <v>12</v>
      </c>
      <c r="AH93" s="138">
        <f t="shared" si="82"/>
        <v>31</v>
      </c>
      <c r="AI93" s="138">
        <f t="shared" si="67"/>
        <v>2175</v>
      </c>
      <c r="AJ93" s="138">
        <f t="shared" si="68"/>
        <v>2192</v>
      </c>
      <c r="AL93" s="136">
        <f t="shared" si="83"/>
        <v>3.8645</v>
      </c>
      <c r="AM93" s="258">
        <f t="shared" si="84"/>
        <v>7.0000000000000001E-3</v>
      </c>
      <c r="AN93" s="258">
        <f t="shared" si="85"/>
        <v>7.4999999999999997E-3</v>
      </c>
      <c r="AO93" s="258">
        <f t="shared" si="86"/>
        <v>0.4</v>
      </c>
      <c r="AP93" s="258">
        <f t="shared" si="87"/>
        <v>0</v>
      </c>
      <c r="AQ93" s="136">
        <f t="shared" si="69"/>
        <v>3.6400000000000002E-2</v>
      </c>
      <c r="AR93" s="137">
        <f t="shared" si="88"/>
        <v>2.2499999999999999E-2</v>
      </c>
      <c r="AS93" s="136">
        <f t="shared" si="70"/>
        <v>3.879</v>
      </c>
      <c r="AT93" s="137">
        <f t="shared" si="71"/>
        <v>5.5837512474881598E-2</v>
      </c>
      <c r="AU93" s="137">
        <f t="shared" si="89"/>
        <v>0.71888300968962737</v>
      </c>
      <c r="AV93" s="394">
        <f t="shared" si="72"/>
        <v>5705.055564896883</v>
      </c>
      <c r="AW93" s="137">
        <f t="shared" si="90"/>
        <v>0.24</v>
      </c>
      <c r="AX93" s="137">
        <f t="shared" si="91"/>
        <v>1</v>
      </c>
      <c r="AY93" s="137">
        <f t="shared" si="92"/>
        <v>1</v>
      </c>
      <c r="AZ93" s="137"/>
      <c r="BA93" s="264"/>
      <c r="BB93" s="258">
        <f t="shared" si="93"/>
        <v>0</v>
      </c>
      <c r="BC93" s="258">
        <f t="shared" si="73"/>
        <v>0</v>
      </c>
      <c r="BD93" s="137">
        <f t="shared" si="74"/>
        <v>1.7988456285700227E-5</v>
      </c>
      <c r="BE93" s="137">
        <f t="shared" si="75"/>
        <v>1.7988456285700227E-5</v>
      </c>
      <c r="BF93" s="137">
        <f>_xll.xSPRDOPT($BW93,$BV93,$CG93,0,$BY93,$BX93,$BZ93,$AJ93,1,4)*$CB93</f>
        <v>0</v>
      </c>
      <c r="BG93" s="137">
        <f>_xll.xSPRDOPT($BW93,$BV93,$CG93,0,$BY93,$BX93,$BZ93,$AJ93,1,3)*$CB93</f>
        <v>-5.9961144102990052E-7</v>
      </c>
      <c r="BH93" s="137">
        <f>IF(OR(BF93&lt;&gt;0,BG93&lt;&gt;0),_xll.xSPRDOPT($BW93,$BV93,$CG93,0,$BY93,$BX93,$BZ93,$AJ93,1,12)*$CB93,0)</f>
        <v>4.2829388644992897E-7</v>
      </c>
      <c r="BI93" s="137">
        <f>_xll.xSPRDOPT($BW93,$BV93,$CG93,2*LN(1+CA93/2),$BY93,$BX93,$BZ93,$AJ93,1,9)</f>
        <v>1.0274977431765305E-2</v>
      </c>
      <c r="BJ93" s="137">
        <f>_xll.xSPRDOPT($BW93,$BV93,$CG93,0,$BY93,$BX93,$BZ93,$AJ93,1,6)*$CB93</f>
        <v>-4.2830744091089E-3</v>
      </c>
      <c r="BK93" s="137">
        <f>_xll.xSPRDOPT($BW93,$BV93,$CG93,0,$BY93,$BX93,$BZ93,$AJ93,1,5)*$CB93</f>
        <v>4.602785374792473E-3</v>
      </c>
      <c r="BL93" s="137">
        <f>_xll.xSPRDOPT(BW93,BV93,CG93,0,BY93,BX93,BZ93,AJ93,1,2)*CB93</f>
        <v>-0.71844365489023021</v>
      </c>
      <c r="BM93" s="137">
        <f>_xll.xSPRDOPT(BW93,BV93,CG93,0,BY93,BX93,BZ93,AJ93,1,1)*CB93</f>
        <v>0.7184436548908838</v>
      </c>
      <c r="BN93" s="137">
        <f>IF(AH93&lt;&gt;0,_xll.xSPRDOPT($BW93,$BV93,$CG93,2*LN(1+CA93/2),$BY93,$BX93,$BZ93,$AJ93,1,8)+(AJ93/365.25)*CH93/AH93,0)</f>
        <v>0.46952948867751076</v>
      </c>
      <c r="BO93" s="137">
        <f>_xll.xSPRDOPT($BW93,$BV93,$CG93,0,$BY93,$BX93,$BZ93,$AJ93,1,0)</f>
        <v>0.25981933195892976</v>
      </c>
      <c r="BP93" s="137"/>
      <c r="BQ93" s="137"/>
      <c r="BR93" s="137"/>
      <c r="BS93" s="137"/>
      <c r="BV93" s="262">
        <v>3.9682864450127875</v>
      </c>
      <c r="BW93" s="136">
        <v>4.2645</v>
      </c>
      <c r="BX93" s="137">
        <v>0.25349420427785291</v>
      </c>
      <c r="BY93" s="137">
        <v>0.25349420427785291</v>
      </c>
      <c r="BZ93" s="137">
        <v>1</v>
      </c>
      <c r="CA93" s="137">
        <v>5.5837512474881598E-2</v>
      </c>
      <c r="CB93" s="137">
        <v>0.71855790444499312</v>
      </c>
      <c r="CC93" s="258">
        <v>7.0000000000000001E-3</v>
      </c>
      <c r="CD93" s="258">
        <v>7.4999999999999997E-3</v>
      </c>
      <c r="CE93" s="258">
        <v>0.4</v>
      </c>
      <c r="CF93" s="258">
        <v>0</v>
      </c>
      <c r="CG93" s="258">
        <v>3.6400000000000002E-2</v>
      </c>
      <c r="CH93" s="258">
        <v>8.2129012804349379</v>
      </c>
      <c r="CI93" s="258">
        <v>3.8645</v>
      </c>
      <c r="CJ93" s="258"/>
      <c r="CK93" s="258"/>
      <c r="CL93" s="258"/>
      <c r="CM93" s="258"/>
    </row>
    <row r="94" spans="1:91" x14ac:dyDescent="0.25">
      <c r="A94" s="723"/>
      <c r="B94" s="723"/>
      <c r="D94" s="31">
        <f t="shared" si="53"/>
        <v>39462</v>
      </c>
      <c r="F94" s="28">
        <f t="shared" si="54"/>
        <v>11107</v>
      </c>
      <c r="G94" s="28">
        <f t="shared" si="76"/>
        <v>7938.7568502272197</v>
      </c>
      <c r="H94" s="52">
        <f t="shared" si="55"/>
        <v>4.019437340153452</v>
      </c>
      <c r="I94" s="52">
        <f t="shared" si="56"/>
        <v>4.2645</v>
      </c>
      <c r="K94" s="52">
        <f t="shared" si="57"/>
        <v>4.6234073762083252</v>
      </c>
      <c r="L94" s="135">
        <f t="shared" si="58"/>
        <v>4.0755100186817828E-4</v>
      </c>
      <c r="N94" s="131">
        <f t="shared" si="77"/>
        <v>0.25332859490693943</v>
      </c>
      <c r="O94" s="131">
        <f t="shared" si="78"/>
        <v>0.25332859490693943</v>
      </c>
      <c r="P94" s="55">
        <f t="shared" si="59"/>
        <v>0.99999999999999978</v>
      </c>
      <c r="Q94" s="135">
        <f>_xll.xSPRDOPT(I94,H94,AQ94,0,O94,N94,P94,D94-$G$5,1,0)*AH94*AU94</f>
        <v>4.6238149272101934</v>
      </c>
      <c r="R94" s="135"/>
      <c r="S94" s="181">
        <f t="shared" si="60"/>
        <v>-250494.22037428748</v>
      </c>
      <c r="T94" s="181">
        <f>_xll.xSPRDOPT(I94,H94,AQ94,AT94,O94,N94,P94,D94-$G$5,1,1)*AF94*F94*AH94</f>
        <v>244858.10041586604</v>
      </c>
      <c r="U94" s="135"/>
      <c r="V94" s="146">
        <f t="shared" si="61"/>
        <v>8.1694075061710691</v>
      </c>
      <c r="W94" s="146"/>
      <c r="X94" s="338">
        <f t="shared" si="62"/>
        <v>0</v>
      </c>
      <c r="Y94" s="338">
        <f t="shared" si="79"/>
        <v>0</v>
      </c>
      <c r="Z94" s="338">
        <f t="shared" si="80"/>
        <v>23.260235545681585</v>
      </c>
      <c r="AA94" s="338">
        <f t="shared" si="81"/>
        <v>3.6204772832994442E-3</v>
      </c>
      <c r="AB94" s="338">
        <f t="shared" si="63"/>
        <v>0</v>
      </c>
      <c r="AC94" s="338">
        <f t="shared" si="64"/>
        <v>23.620352889269373</v>
      </c>
      <c r="AF94" s="138">
        <f t="shared" si="65"/>
        <v>1</v>
      </c>
      <c r="AG94" s="138">
        <f t="shared" si="66"/>
        <v>1</v>
      </c>
      <c r="AH94" s="138">
        <f t="shared" si="82"/>
        <v>31</v>
      </c>
      <c r="AI94" s="138">
        <f t="shared" si="67"/>
        <v>2206</v>
      </c>
      <c r="AJ94" s="138">
        <f t="shared" si="68"/>
        <v>2223</v>
      </c>
      <c r="AL94" s="136">
        <f t="shared" si="83"/>
        <v>3.9144999999999999</v>
      </c>
      <c r="AM94" s="258">
        <f t="shared" si="84"/>
        <v>7.0000000000000001E-3</v>
      </c>
      <c r="AN94" s="258">
        <f t="shared" si="85"/>
        <v>7.4999999999999997E-3</v>
      </c>
      <c r="AO94" s="258">
        <f t="shared" si="86"/>
        <v>0.35</v>
      </c>
      <c r="AP94" s="258">
        <f t="shared" si="87"/>
        <v>0</v>
      </c>
      <c r="AQ94" s="136">
        <f t="shared" si="69"/>
        <v>3.6400000000000002E-2</v>
      </c>
      <c r="AR94" s="137">
        <f t="shared" si="88"/>
        <v>2.2499999999999999E-2</v>
      </c>
      <c r="AS94" s="136">
        <f t="shared" si="70"/>
        <v>3.9289999999999998</v>
      </c>
      <c r="AT94" s="137">
        <f t="shared" si="71"/>
        <v>5.60215286416526E-2</v>
      </c>
      <c r="AU94" s="137">
        <f t="shared" si="89"/>
        <v>0.71475257497318989</v>
      </c>
      <c r="AV94" s="394">
        <f t="shared" si="72"/>
        <v>5672.276434987235</v>
      </c>
      <c r="AW94" s="137">
        <f t="shared" si="90"/>
        <v>0.24</v>
      </c>
      <c r="AX94" s="137">
        <f t="shared" si="91"/>
        <v>1</v>
      </c>
      <c r="AY94" s="137">
        <f t="shared" si="92"/>
        <v>1</v>
      </c>
      <c r="AZ94" s="137"/>
      <c r="BA94" s="264"/>
      <c r="BB94" s="258">
        <f t="shared" si="93"/>
        <v>0</v>
      </c>
      <c r="BC94" s="258">
        <f t="shared" si="73"/>
        <v>0</v>
      </c>
      <c r="BD94" s="137">
        <f t="shared" si="74"/>
        <v>1.750291146668248E-5</v>
      </c>
      <c r="BE94" s="137">
        <f t="shared" si="75"/>
        <v>1.750291146668248E-5</v>
      </c>
      <c r="BF94" s="137">
        <f>_xll.xSPRDOPT($BW94,$BV94,$CG94,0,$BY94,$BX94,$BZ94,$AJ94,1,4)*$CB94</f>
        <v>0</v>
      </c>
      <c r="BG94" s="137">
        <f>_xll.xSPRDOPT($BW94,$BV94,$CG94,0,$BY94,$BX94,$BZ94,$AJ94,1,3)*$CB94</f>
        <v>-1.2774973283368349E-7</v>
      </c>
      <c r="BH94" s="137">
        <f>IF(OR(BF94&lt;&gt;0,BG94&lt;&gt;0),_xll.xSPRDOPT($BW94,$BV94,$CG94,0,$BY94,$BX94,$BZ94,$AJ94,1,12)*$CB94,0)</f>
        <v>-6.3874866416841746E-8</v>
      </c>
      <c r="BI94" s="137">
        <f>_xll.xSPRDOPT($BW94,$BV94,$CG94,2*LN(1+CA94/2),$BY94,$BX94,$BZ94,$AJ94,1,9)</f>
        <v>8.2247861060787963E-3</v>
      </c>
      <c r="BJ94" s="137">
        <f>_xll.xSPRDOPT($BW94,$BV94,$CG94,0,$BY94,$BX94,$BZ94,$AJ94,1,6)*$CB94</f>
        <v>-9.8533788227960026E-3</v>
      </c>
      <c r="BK94" s="137">
        <f>_xll.xSPRDOPT($BW94,$BV94,$CG94,0,$BY94,$BX94,$BZ94,$AJ94,1,5)*$CB94</f>
        <v>1.0454133367741246E-2</v>
      </c>
      <c r="BL94" s="137">
        <f>_xll.xSPRDOPT(BW94,BV94,CG94,0,BY94,BX94,BZ94,AJ94,1,2)*CB94</f>
        <v>-0.7141547884954188</v>
      </c>
      <c r="BM94" s="137">
        <f>_xll.xSPRDOPT(BW94,BV94,CG94,0,BY94,BX94,BZ94,AJ94,1,1)*CB94</f>
        <v>0.71415478849444414</v>
      </c>
      <c r="BN94" s="137">
        <f>IF(AH94&lt;&gt;0,_xll.xSPRDOPT($BW94,$BV94,$CG94,2*LN(1+CA94/2),$BY94,$BX94,$BZ94,$AJ94,1,8)+(AJ94/365.25)*CH94/AH94,0)</f>
        <v>0.69579120782853821</v>
      </c>
      <c r="BO94" s="137">
        <f>_xll.xSPRDOPT($BW94,$BV94,$CG94,0,$BY94,$BX94,$BZ94,$AJ94,1,0)</f>
        <v>0.20868118250550707</v>
      </c>
      <c r="BP94" s="137"/>
      <c r="BQ94" s="137"/>
      <c r="BR94" s="137"/>
      <c r="BS94" s="137"/>
      <c r="BV94" s="262">
        <v>4.019437340153452</v>
      </c>
      <c r="BW94" s="136">
        <v>4.2645</v>
      </c>
      <c r="BX94" s="137">
        <v>0.25331109199547275</v>
      </c>
      <c r="BY94" s="137">
        <v>0.25331109199547275</v>
      </c>
      <c r="BZ94" s="137">
        <v>1</v>
      </c>
      <c r="CA94" s="137">
        <v>5.60215286416526E-2</v>
      </c>
      <c r="CB94" s="137">
        <v>0.71442828723099994</v>
      </c>
      <c r="CC94" s="258">
        <v>7.0000000000000001E-3</v>
      </c>
      <c r="CD94" s="258">
        <v>7.4999999999999997E-3</v>
      </c>
      <c r="CE94" s="258">
        <v>0.35</v>
      </c>
      <c r="CF94" s="258">
        <v>0</v>
      </c>
      <c r="CG94" s="258">
        <v>3.6400000000000002E-2</v>
      </c>
      <c r="CH94" s="258">
        <v>8.1657009945641601</v>
      </c>
      <c r="CI94" s="258">
        <v>3.9144999999999999</v>
      </c>
      <c r="CJ94" s="258"/>
      <c r="CK94" s="258"/>
      <c r="CL94" s="258"/>
      <c r="CM94" s="258"/>
    </row>
    <row r="95" spans="1:91" x14ac:dyDescent="0.25">
      <c r="A95" s="723"/>
      <c r="B95" s="723"/>
      <c r="D95" s="31">
        <f t="shared" si="53"/>
        <v>39493</v>
      </c>
      <c r="F95" s="28">
        <f t="shared" si="54"/>
        <v>11107</v>
      </c>
      <c r="G95" s="28">
        <f t="shared" si="76"/>
        <v>7892.9046407418937</v>
      </c>
      <c r="H95" s="52">
        <f t="shared" si="55"/>
        <v>3.9324808184143221</v>
      </c>
      <c r="I95" s="52">
        <f t="shared" si="56"/>
        <v>4.1795</v>
      </c>
      <c r="K95" s="52">
        <f t="shared" si="57"/>
        <v>4.3404624432555012</v>
      </c>
      <c r="L95" s="135">
        <f t="shared" si="58"/>
        <v>3.7674632693818211E-4</v>
      </c>
      <c r="N95" s="131">
        <f t="shared" si="77"/>
        <v>0.25232756153903657</v>
      </c>
      <c r="O95" s="131">
        <f t="shared" si="78"/>
        <v>0.25232756153903657</v>
      </c>
      <c r="P95" s="55">
        <f t="shared" si="59"/>
        <v>1</v>
      </c>
      <c r="Q95" s="135">
        <f>_xll.xSPRDOPT(I95,H95,AQ95,0,O95,N95,P95,D95-$G$5,1,0)*AH95*AU95</f>
        <v>4.3408391895824394</v>
      </c>
      <c r="R95" s="135"/>
      <c r="S95" s="181">
        <f t="shared" si="60"/>
        <v>-232958.0157121644</v>
      </c>
      <c r="T95" s="181">
        <f>_xll.xSPRDOPT(I95,H95,AQ95,AT95,O95,N95,P95,D95-$G$5,1,1)*AF95*F95*AH95</f>
        <v>227716.4603586407</v>
      </c>
      <c r="U95" s="135"/>
      <c r="V95" s="146">
        <f t="shared" si="61"/>
        <v>7.5982087233460485</v>
      </c>
      <c r="W95" s="146"/>
      <c r="X95" s="338">
        <f t="shared" si="62"/>
        <v>0</v>
      </c>
      <c r="Y95" s="338">
        <f t="shared" si="79"/>
        <v>0</v>
      </c>
      <c r="Z95" s="338">
        <f t="shared" si="80"/>
        <v>21.908145531856537</v>
      </c>
      <c r="AA95" s="338">
        <f t="shared" si="81"/>
        <v>3.1055124058192948E-3</v>
      </c>
      <c r="AB95" s="338">
        <f t="shared" si="63"/>
        <v>0</v>
      </c>
      <c r="AC95" s="338">
        <f t="shared" si="64"/>
        <v>22.247601754661265</v>
      </c>
      <c r="AF95" s="138">
        <f t="shared" si="65"/>
        <v>1</v>
      </c>
      <c r="AG95" s="138">
        <f t="shared" si="66"/>
        <v>2</v>
      </c>
      <c r="AH95" s="138">
        <f t="shared" si="82"/>
        <v>29</v>
      </c>
      <c r="AI95" s="138">
        <f t="shared" si="67"/>
        <v>2237</v>
      </c>
      <c r="AJ95" s="138">
        <f t="shared" si="68"/>
        <v>2254</v>
      </c>
      <c r="AL95" s="136">
        <f t="shared" si="83"/>
        <v>3.8294999999999999</v>
      </c>
      <c r="AM95" s="258">
        <f t="shared" si="84"/>
        <v>7.0000000000000001E-3</v>
      </c>
      <c r="AN95" s="258">
        <f t="shared" si="85"/>
        <v>7.4999999999999997E-3</v>
      </c>
      <c r="AO95" s="258">
        <f t="shared" si="86"/>
        <v>0.35</v>
      </c>
      <c r="AP95" s="258">
        <f t="shared" si="87"/>
        <v>0</v>
      </c>
      <c r="AQ95" s="136">
        <f t="shared" si="69"/>
        <v>3.6400000000000002E-2</v>
      </c>
      <c r="AR95" s="137">
        <f t="shared" si="88"/>
        <v>2.2499999999999999E-2</v>
      </c>
      <c r="AS95" s="136">
        <f t="shared" si="70"/>
        <v>3.8439999999999999</v>
      </c>
      <c r="AT95" s="137">
        <f t="shared" si="71"/>
        <v>5.62055448196963E-2</v>
      </c>
      <c r="AU95" s="137">
        <f t="shared" si="89"/>
        <v>0.7106243486757805</v>
      </c>
      <c r="AV95" s="394">
        <f t="shared" si="72"/>
        <v>5275.6751645689947</v>
      </c>
      <c r="AW95" s="137">
        <f t="shared" si="90"/>
        <v>0.24</v>
      </c>
      <c r="AX95" s="137">
        <f t="shared" si="91"/>
        <v>1</v>
      </c>
      <c r="AY95" s="137">
        <f t="shared" si="92"/>
        <v>1</v>
      </c>
      <c r="AZ95" s="137"/>
      <c r="BA95" s="264"/>
      <c r="BB95" s="258">
        <f t="shared" si="93"/>
        <v>0</v>
      </c>
      <c r="BC95" s="258">
        <f t="shared" si="73"/>
        <v>0</v>
      </c>
      <c r="BD95" s="137">
        <f t="shared" si="74"/>
        <v>1.6003737884018321E-5</v>
      </c>
      <c r="BE95" s="137">
        <f t="shared" si="75"/>
        <v>1.6003737884018321E-5</v>
      </c>
      <c r="BF95" s="137">
        <f>_xll.xSPRDOPT($BW95,$BV95,$CG95,0,$BY95,$BX95,$BZ95,$AJ95,1,4)*$CB95</f>
        <v>-1.3971286630027002E-6</v>
      </c>
      <c r="BG95" s="137">
        <f>_xll.xSPRDOPT($BW95,$BV95,$CG95,0,$BY95,$BX95,$BZ95,$AJ95,1,3)*$CB95</f>
        <v>6.3505848318304554E-7</v>
      </c>
      <c r="BH95" s="137">
        <f>IF(OR(BF95&lt;&gt;0,BG95&lt;&gt;0),_xll.xSPRDOPT($BW95,$BV95,$CG95,0,$BY95,$BX95,$BZ95,$AJ95,1,12)*$CB95,0)</f>
        <v>2.1168616106101517E-8</v>
      </c>
      <c r="BI95" s="137">
        <f>_xll.xSPRDOPT($BW95,$BV95,$CG95,2*LN(1+CA95/2),$BY95,$BX95,$BZ95,$AJ95,1,9)</f>
        <v>8.2809434202833661E-3</v>
      </c>
      <c r="BJ95" s="137">
        <f>_xll.xSPRDOPT($BW95,$BV95,$CG95,0,$BY95,$BX95,$BZ95,$AJ95,1,6)*$CB95</f>
        <v>-9.5907596541521013E-3</v>
      </c>
      <c r="BK95" s="137">
        <f>_xll.xSPRDOPT($BW95,$BV95,$CG95,0,$BY95,$BX95,$BZ95,$AJ95,1,5)*$CB95</f>
        <v>1.0193204189061285E-2</v>
      </c>
      <c r="BL95" s="137">
        <f>_xll.xSPRDOPT(BW95,BV95,CG95,0,BY95,BX95,BZ95,AJ95,1,2)*CB95</f>
        <v>-0.71003080204379876</v>
      </c>
      <c r="BM95" s="137">
        <f>_xll.xSPRDOPT(BW95,BV95,CG95,0,BY95,BX95,BZ95,AJ95,1,1)*CB95</f>
        <v>0.71003080203959967</v>
      </c>
      <c r="BN95" s="137">
        <f>IF(AH95&lt;&gt;0,_xll.xSPRDOPT($BW95,$BV95,$CG95,2*LN(1+CA95/2),$BY95,$BX95,$BZ95,$AJ95,1,8)+(AJ95/365.25)*CH95/AH95,0)</f>
        <v>0.69284269059697612</v>
      </c>
      <c r="BO95" s="137">
        <f>_xll.xSPRDOPT($BW95,$BV95,$CG95,0,$BY95,$BX95,$BZ95,$AJ95,1,0)</f>
        <v>0.21063759202638729</v>
      </c>
      <c r="BP95" s="137"/>
      <c r="BQ95" s="137"/>
      <c r="BR95" s="137"/>
      <c r="BS95" s="137"/>
      <c r="BV95" s="262">
        <v>3.9324808184143221</v>
      </c>
      <c r="BW95" s="136">
        <v>4.1795</v>
      </c>
      <c r="BX95" s="137">
        <v>0.25231155780115255</v>
      </c>
      <c r="BY95" s="137">
        <v>0.25231155780115255</v>
      </c>
      <c r="BZ95" s="137">
        <v>1</v>
      </c>
      <c r="CA95" s="137">
        <v>5.62055448196963E-2</v>
      </c>
      <c r="CB95" s="137">
        <v>0.71030088966628813</v>
      </c>
      <c r="CC95" s="258">
        <v>7.0000000000000001E-3</v>
      </c>
      <c r="CD95" s="258">
        <v>7.4999999999999997E-3</v>
      </c>
      <c r="CE95" s="258">
        <v>0.35</v>
      </c>
      <c r="CF95" s="258">
        <v>0</v>
      </c>
      <c r="CG95" s="258">
        <v>3.6400000000000002E-2</v>
      </c>
      <c r="CH95" s="258">
        <v>7.5947502025788536</v>
      </c>
      <c r="CI95" s="258">
        <v>3.8294999999999999</v>
      </c>
      <c r="CJ95" s="258"/>
      <c r="CK95" s="258"/>
      <c r="CL95" s="258"/>
      <c r="CM95" s="258"/>
    </row>
    <row r="96" spans="1:91" x14ac:dyDescent="0.25">
      <c r="A96" s="723"/>
      <c r="B96" s="723"/>
      <c r="D96" s="31">
        <f t="shared" si="53"/>
        <v>39522</v>
      </c>
      <c r="F96" s="28">
        <f t="shared" si="54"/>
        <v>11107</v>
      </c>
      <c r="G96" s="28">
        <f t="shared" si="76"/>
        <v>7850.035200778203</v>
      </c>
      <c r="H96" s="52">
        <f t="shared" si="55"/>
        <v>3.8046035805626595</v>
      </c>
      <c r="I96" s="52">
        <f t="shared" si="56"/>
        <v>4.0994999999999999</v>
      </c>
      <c r="K96" s="52">
        <f t="shared" si="57"/>
        <v>5.6635802419740466</v>
      </c>
      <c r="L96" s="135">
        <f t="shared" si="58"/>
        <v>9.2186937252769496E-5</v>
      </c>
      <c r="N96" s="131">
        <f t="shared" si="77"/>
        <v>0.24222161904514466</v>
      </c>
      <c r="O96" s="131">
        <f t="shared" si="78"/>
        <v>0.24222161904514466</v>
      </c>
      <c r="P96" s="55">
        <f t="shared" si="59"/>
        <v>1</v>
      </c>
      <c r="Q96" s="135">
        <f>_xll.xSPRDOPT(I96,H96,AQ96,0,O96,N96,P96,D96-$G$5,1,0)*AH96*AU96</f>
        <v>5.6636724289112994</v>
      </c>
      <c r="R96" s="135"/>
      <c r="S96" s="181">
        <f t="shared" si="60"/>
        <v>-247727.06798795395</v>
      </c>
      <c r="T96" s="181">
        <f>_xll.xSPRDOPT(I96,H96,AQ96,AT96,O96,N96,P96,D96-$G$5,1,1)*AF96*F96*AH96</f>
        <v>242153.208958225</v>
      </c>
      <c r="U96" s="135"/>
      <c r="V96" s="146">
        <f t="shared" si="61"/>
        <v>8.0781081601093572</v>
      </c>
      <c r="W96" s="146"/>
      <c r="X96" s="338">
        <f t="shared" si="62"/>
        <v>0</v>
      </c>
      <c r="Y96" s="338">
        <f t="shared" si="79"/>
        <v>0</v>
      </c>
      <c r="Z96" s="338">
        <f t="shared" si="80"/>
        <v>28.70577092166608</v>
      </c>
      <c r="AA96" s="338">
        <f t="shared" si="81"/>
        <v>4.4738077147522039E-4</v>
      </c>
      <c r="AB96" s="338">
        <f t="shared" si="63"/>
        <v>0</v>
      </c>
      <c r="AC96" s="338">
        <f t="shared" si="64"/>
        <v>29.116215530645675</v>
      </c>
      <c r="AF96" s="138">
        <f t="shared" si="65"/>
        <v>1</v>
      </c>
      <c r="AG96" s="138">
        <f t="shared" si="66"/>
        <v>3</v>
      </c>
      <c r="AH96" s="138">
        <f t="shared" si="82"/>
        <v>31</v>
      </c>
      <c r="AI96" s="138">
        <f t="shared" si="67"/>
        <v>2266</v>
      </c>
      <c r="AJ96" s="138">
        <f t="shared" si="68"/>
        <v>2283</v>
      </c>
      <c r="AL96" s="136">
        <f t="shared" si="83"/>
        <v>3.6995</v>
      </c>
      <c r="AM96" s="258">
        <f t="shared" si="84"/>
        <v>1.2E-2</v>
      </c>
      <c r="AN96" s="258">
        <f t="shared" si="85"/>
        <v>7.4999999999999997E-3</v>
      </c>
      <c r="AO96" s="258">
        <f t="shared" si="86"/>
        <v>0.4</v>
      </c>
      <c r="AP96" s="258">
        <f t="shared" si="87"/>
        <v>0</v>
      </c>
      <c r="AQ96" s="136">
        <f t="shared" si="69"/>
        <v>3.6400000000000002E-2</v>
      </c>
      <c r="AR96" s="137">
        <f t="shared" si="88"/>
        <v>2.2499999999999999E-2</v>
      </c>
      <c r="AS96" s="136">
        <f t="shared" si="70"/>
        <v>3.7189999999999999</v>
      </c>
      <c r="AT96" s="137">
        <f t="shared" si="71"/>
        <v>5.6377688996458002E-2</v>
      </c>
      <c r="AU96" s="137">
        <f t="shared" si="89"/>
        <v>0.70676467099830764</v>
      </c>
      <c r="AV96" s="394">
        <f t="shared" si="72"/>
        <v>5608.8844290425695</v>
      </c>
      <c r="AW96" s="137">
        <f t="shared" si="90"/>
        <v>0.23499999999999999</v>
      </c>
      <c r="AX96" s="137">
        <f t="shared" si="91"/>
        <v>0.75</v>
      </c>
      <c r="AY96" s="137">
        <f t="shared" si="92"/>
        <v>0.75</v>
      </c>
      <c r="AZ96" s="137"/>
      <c r="BA96" s="264"/>
      <c r="BB96" s="258">
        <f t="shared" si="93"/>
        <v>0</v>
      </c>
      <c r="BC96" s="258">
        <f t="shared" si="73"/>
        <v>0</v>
      </c>
      <c r="BD96" s="137">
        <f t="shared" si="74"/>
        <v>9.3422235172835322E-6</v>
      </c>
      <c r="BE96" s="137">
        <f t="shared" si="75"/>
        <v>9.3422235172835322E-6</v>
      </c>
      <c r="BF96" s="137">
        <f>_xll.xSPRDOPT($BW96,$BV96,$CG96,0,$BY96,$BX96,$BZ96,$AJ96,1,4)*$CB96</f>
        <v>9.2635893469599547E-7</v>
      </c>
      <c r="BG96" s="137">
        <f>_xll.xSPRDOPT($BW96,$BV96,$CG96,0,$BY96,$BX96,$BZ96,$AJ96,1,3)*$CB96</f>
        <v>-2.5264334582618056E-7</v>
      </c>
      <c r="BH96" s="137">
        <f>IF(OR(BF96&lt;&gt;0,BG96&lt;&gt;0),_xll.xSPRDOPT($BW96,$BV96,$CG96,0,$BY96,$BX96,$BZ96,$AJ96,1,12)*$CB96,0)</f>
        <v>-2.1053612152181715E-7</v>
      </c>
      <c r="BI96" s="137">
        <f>_xll.xSPRDOPT($BW96,$BV96,$CG96,2*LN(1+CA96/2),$BY96,$BX96,$BZ96,$AJ96,1,9)</f>
        <v>1.0150319646467777E-2</v>
      </c>
      <c r="BJ96" s="137">
        <f>_xll.xSPRDOPT($BW96,$BV96,$CG96,0,$BY96,$BX96,$BZ96,$AJ96,1,6)*$CB96</f>
        <v>-1.7943557572625713E-3</v>
      </c>
      <c r="BK96" s="137">
        <f>_xll.xSPRDOPT($BW96,$BV96,$CG96,0,$BY96,$BX96,$BZ96,$AJ96,1,5)*$CB96</f>
        <v>1.9334370102501166E-3</v>
      </c>
      <c r="BL96" s="137">
        <f>_xll.xSPRDOPT(BW96,BV96,CG96,0,BY96,BX96,BZ96,AJ96,1,2)*CB96</f>
        <v>-0.70639566514809393</v>
      </c>
      <c r="BM96" s="137">
        <f>_xll.xSPRDOPT(BW96,BV96,CG96,0,BY96,BX96,BZ96,AJ96,1,1)*CB96</f>
        <v>0.70639566514552388</v>
      </c>
      <c r="BN96" s="137">
        <f>IF(AH96&lt;&gt;0,_xll.xSPRDOPT($BW96,$BV96,$CG96,2*LN(1+CA96/2),$BY96,$BX96,$BZ96,$AJ96,1,8)+(AJ96/365.25)*CH96/AH96,0)</f>
        <v>0.48659899060634526</v>
      </c>
      <c r="BO96" s="137">
        <f>_xll.xSPRDOPT($BW96,$BV96,$CG96,0,$BY96,$BX96,$BZ96,$AJ96,1,0)</f>
        <v>0.2585006565463866</v>
      </c>
      <c r="BP96" s="137"/>
      <c r="BQ96" s="137"/>
      <c r="BR96" s="137"/>
      <c r="BS96" s="137"/>
      <c r="BV96" s="262">
        <v>3.8046035805626595</v>
      </c>
      <c r="BW96" s="136">
        <v>4.0994999999999999</v>
      </c>
      <c r="BX96" s="137">
        <v>0.24221227682162738</v>
      </c>
      <c r="BY96" s="137">
        <v>0.24221227682162738</v>
      </c>
      <c r="BZ96" s="137">
        <v>1</v>
      </c>
      <c r="CA96" s="137">
        <v>5.6377688996458002E-2</v>
      </c>
      <c r="CB96" s="137">
        <v>0.70644199731475499</v>
      </c>
      <c r="CC96" s="258">
        <v>1.2E-2</v>
      </c>
      <c r="CD96" s="258">
        <v>7.4999999999999997E-3</v>
      </c>
      <c r="CE96" s="258">
        <v>0.4</v>
      </c>
      <c r="CF96" s="258">
        <v>0</v>
      </c>
      <c r="CG96" s="258">
        <v>3.6400000000000002E-2</v>
      </c>
      <c r="CH96" s="258">
        <v>8.0744200967084545</v>
      </c>
      <c r="CI96" s="258">
        <v>3.6995</v>
      </c>
      <c r="CJ96" s="258"/>
      <c r="CK96" s="258"/>
      <c r="CL96" s="258"/>
      <c r="CM96" s="258"/>
    </row>
    <row r="97" spans="1:91" x14ac:dyDescent="0.25">
      <c r="A97" s="723"/>
      <c r="B97" s="723"/>
      <c r="D97" s="31">
        <f t="shared" si="53"/>
        <v>39553</v>
      </c>
      <c r="F97" s="28">
        <f t="shared" si="54"/>
        <v>5899</v>
      </c>
      <c r="G97" s="28">
        <f t="shared" si="76"/>
        <v>4144.8816058196389</v>
      </c>
      <c r="H97" s="52">
        <f t="shared" si="55"/>
        <v>3.6179028132992324</v>
      </c>
      <c r="I97" s="52">
        <f t="shared" si="56"/>
        <v>4.1144999999999996</v>
      </c>
      <c r="K97" s="52">
        <f t="shared" si="57"/>
        <v>9.7006078362737238</v>
      </c>
      <c r="L97" s="135">
        <f t="shared" si="58"/>
        <v>2.1505530387599947E-6</v>
      </c>
      <c r="N97" s="131">
        <f t="shared" si="77"/>
        <v>0.23150562183492754</v>
      </c>
      <c r="O97" s="131">
        <f t="shared" si="78"/>
        <v>0.23150562183492754</v>
      </c>
      <c r="P97" s="55">
        <f t="shared" si="59"/>
        <v>0.99999999999999989</v>
      </c>
      <c r="Q97" s="135">
        <f>_xll.xSPRDOPT(I97,H97,AQ97,0,O97,N97,P97,D97-$G$5,1,0)*AH97*AU97</f>
        <v>9.7006099868267626</v>
      </c>
      <c r="R97" s="135"/>
      <c r="S97" s="181">
        <f t="shared" si="60"/>
        <v>-126578.24364733856</v>
      </c>
      <c r="T97" s="181">
        <f>_xll.xSPRDOPT(I97,H97,AQ97,AT97,O97,N97,P97,D97-$G$5,1,1)*AF97*F97*AH97</f>
        <v>123730.23316527344</v>
      </c>
      <c r="U97" s="135"/>
      <c r="V97" s="146">
        <f t="shared" si="61"/>
        <v>7.771916501436011</v>
      </c>
      <c r="W97" s="146"/>
      <c r="X97" s="338">
        <f t="shared" si="62"/>
        <v>0</v>
      </c>
      <c r="Y97" s="338">
        <f t="shared" si="79"/>
        <v>0</v>
      </c>
      <c r="Z97" s="338">
        <f t="shared" si="80"/>
        <v>26.203557333270005</v>
      </c>
      <c r="AA97" s="338">
        <f t="shared" si="81"/>
        <v>1.4087283264167201E-6</v>
      </c>
      <c r="AB97" s="338">
        <f t="shared" si="63"/>
        <v>0</v>
      </c>
      <c r="AC97" s="338">
        <f t="shared" si="64"/>
        <v>26.57247481740481</v>
      </c>
      <c r="AF97" s="138">
        <f t="shared" si="65"/>
        <v>1</v>
      </c>
      <c r="AG97" s="138">
        <f t="shared" si="66"/>
        <v>4</v>
      </c>
      <c r="AH97" s="138">
        <f t="shared" si="82"/>
        <v>30</v>
      </c>
      <c r="AI97" s="138">
        <f t="shared" si="67"/>
        <v>2297</v>
      </c>
      <c r="AJ97" s="138">
        <f t="shared" si="68"/>
        <v>2314</v>
      </c>
      <c r="AL97" s="136">
        <f t="shared" si="83"/>
        <v>3.5145</v>
      </c>
      <c r="AM97" s="258">
        <f t="shared" si="84"/>
        <v>1.2E-2</v>
      </c>
      <c r="AN97" s="258">
        <f t="shared" si="85"/>
        <v>0.01</v>
      </c>
      <c r="AO97" s="258">
        <f t="shared" si="86"/>
        <v>0.6</v>
      </c>
      <c r="AP97" s="258">
        <f t="shared" si="87"/>
        <v>0</v>
      </c>
      <c r="AQ97" s="136">
        <f t="shared" si="69"/>
        <v>3.6400000000000002E-2</v>
      </c>
      <c r="AR97" s="137">
        <f t="shared" si="88"/>
        <v>2.2499999999999999E-2</v>
      </c>
      <c r="AS97" s="136">
        <f t="shared" si="70"/>
        <v>3.5364999999999998</v>
      </c>
      <c r="AT97" s="137">
        <f t="shared" si="71"/>
        <v>5.6561705196317202E-2</v>
      </c>
      <c r="AU97" s="137">
        <f t="shared" si="89"/>
        <v>0.70264139783346991</v>
      </c>
      <c r="AV97" s="394">
        <f t="shared" si="72"/>
        <v>2866.7769031605571</v>
      </c>
      <c r="AW97" s="137">
        <f t="shared" si="90"/>
        <v>0.23</v>
      </c>
      <c r="AX97" s="137">
        <f t="shared" si="91"/>
        <v>0.4</v>
      </c>
      <c r="AY97" s="137">
        <f t="shared" si="92"/>
        <v>0.4</v>
      </c>
      <c r="AZ97" s="137"/>
      <c r="BA97" s="264"/>
      <c r="BB97" s="258">
        <f t="shared" si="93"/>
        <v>0</v>
      </c>
      <c r="BC97" s="258">
        <f t="shared" si="73"/>
        <v>0</v>
      </c>
      <c r="BD97" s="137">
        <f t="shared" si="74"/>
        <v>1.9447932846361482E-6</v>
      </c>
      <c r="BE97" s="137">
        <f t="shared" si="75"/>
        <v>1.9447932846361482E-6</v>
      </c>
      <c r="BF97" s="137">
        <f>_xll.xSPRDOPT($BW97,$BV97,$CG97,0,$BY97,$BX97,$BZ97,$AJ97,1,4)*$CB97</f>
        <v>-2.5116905246078306E-7</v>
      </c>
      <c r="BG97" s="137">
        <f>_xll.xSPRDOPT($BW97,$BV97,$CG97,0,$BY97,$BX97,$BZ97,$AJ97,1,3)*$CB97</f>
        <v>-5.0233810492156612E-7</v>
      </c>
      <c r="BH97" s="137">
        <f>IF(OR(BF97&lt;&gt;0,BG97&lt;&gt;0),_xll.xSPRDOPT($BW97,$BV97,$CG97,0,$BY97,$BX97,$BZ97,$AJ97,1,12)*$CB97,0)</f>
        <v>4.6047659617810227E-7</v>
      </c>
      <c r="BI97" s="137">
        <f>_xll.xSPRDOPT($BW97,$BV97,$CG97,2*LN(1+CA97/2),$BY97,$BX97,$BZ97,$AJ97,1,9)</f>
        <v>1.8027253801919101E-2</v>
      </c>
      <c r="BJ97" s="137">
        <f>_xll.xSPRDOPT($BW97,$BV97,$CG97,0,$BY97,$BX97,$BZ97,$AJ97,1,6)*$CB97</f>
        <v>-2.9819823339696812E-5</v>
      </c>
      <c r="BK97" s="137">
        <f>_xll.xSPRDOPT($BW97,$BV97,$CG97,0,$BY97,$BX97,$BZ97,$AJ97,1,5)*$CB97</f>
        <v>3.3912940258066952E-5</v>
      </c>
      <c r="BL97" s="137">
        <f>_xll.xSPRDOPT(BW97,BV97,CG97,0,BY97,BX97,BZ97,AJ97,1,2)*CB97</f>
        <v>-0.70231896695925544</v>
      </c>
      <c r="BM97" s="137">
        <f>_xll.xSPRDOPT(BW97,BV97,CG97,0,BY97,BX97,BZ97,AJ97,1,1)*CB97</f>
        <v>0.70231896695606166</v>
      </c>
      <c r="BN97" s="137">
        <f>IF(AH97&lt;&gt;0,_xll.xSPRDOPT($BW97,$BV97,$CG97,2*LN(1+CA97/2),$BY97,$BX97,$BZ97,$AJ97,1,8)+(AJ97/365.25)*CH97/AH97,0)</f>
        <v>-0.40711408872387134</v>
      </c>
      <c r="BO97" s="137">
        <f>_xll.xSPRDOPT($BW97,$BV97,$CG97,0,$BY97,$BX97,$BZ97,$AJ97,1,0)</f>
        <v>0.46019728958742073</v>
      </c>
      <c r="BP97" s="137"/>
      <c r="BQ97" s="137"/>
      <c r="BR97" s="137"/>
      <c r="BS97" s="137"/>
      <c r="BV97" s="262">
        <v>3.6179028132992324</v>
      </c>
      <c r="BW97" s="136">
        <v>4.1144999999999996</v>
      </c>
      <c r="BX97" s="137">
        <v>0.2315036770416429</v>
      </c>
      <c r="BY97" s="137">
        <v>0.2315036770416429</v>
      </c>
      <c r="BZ97" s="137">
        <v>1</v>
      </c>
      <c r="CA97" s="137">
        <v>5.6561705196317202E-2</v>
      </c>
      <c r="CB97" s="137">
        <v>0.70231957427498148</v>
      </c>
      <c r="CC97" s="258">
        <v>1.2E-2</v>
      </c>
      <c r="CD97" s="258">
        <v>0.01</v>
      </c>
      <c r="CE97" s="258">
        <v>0.6</v>
      </c>
      <c r="CF97" s="258">
        <v>0</v>
      </c>
      <c r="CG97" s="258">
        <v>3.6400000000000002E-2</v>
      </c>
      <c r="CH97" s="258">
        <v>7.7683568110555701</v>
      </c>
      <c r="CI97" s="258">
        <v>3.5145</v>
      </c>
      <c r="CJ97" s="258"/>
      <c r="CK97" s="258"/>
      <c r="CL97" s="258"/>
      <c r="CM97" s="258"/>
    </row>
    <row r="98" spans="1:91" x14ac:dyDescent="0.25">
      <c r="A98" s="723"/>
      <c r="B98" s="723"/>
      <c r="D98" s="31">
        <f t="shared" ref="D98:D140" si="94">D97+AH97</f>
        <v>39583</v>
      </c>
      <c r="F98" s="28">
        <f t="shared" ref="F98:F140" si="95">VLOOKUP(AG98,$AL$4:$AS$15,2)</f>
        <v>5895</v>
      </c>
      <c r="G98" s="28">
        <f t="shared" si="76"/>
        <v>4118.5647319585896</v>
      </c>
      <c r="H98" s="52">
        <f t="shared" ref="H98:H140" si="96">(AL98+AM98+AN98)/(1-(AR98))</f>
        <v>3.6153452685421992</v>
      </c>
      <c r="I98" s="52">
        <f t="shared" ref="I98:I140" si="97">(AL98+AO98+AP98)</f>
        <v>4.2595000000000001</v>
      </c>
      <c r="K98" s="52">
        <f t="shared" ref="K98:K140" si="98">MAX(((I98-H98)-AQ98)*AU98*AH98,0)</f>
        <v>13.162916587371489</v>
      </c>
      <c r="L98" s="135">
        <f t="shared" ref="L98:L140" si="99">MAX(Q98-K98,0)</f>
        <v>1.4236018515134674E-6</v>
      </c>
      <c r="N98" s="131">
        <f t="shared" si="77"/>
        <v>0.23214194494760204</v>
      </c>
      <c r="O98" s="131">
        <f t="shared" si="78"/>
        <v>0.23214194494760204</v>
      </c>
      <c r="P98" s="55">
        <f t="shared" ref="P98:P140" si="100">(VLOOKUP(AI98,CorrelationTwo,2)*(AW98^2)*AI98+VLOOKUP(D98,CorrelationOne,$AK$9)*AX98*AY98*(AH98/2))/((AI98+(AH98/2))*O98*N98)*AF98</f>
        <v>1.0000000000000002</v>
      </c>
      <c r="Q98" s="135">
        <f>_xll.xSPRDOPT(I98,H98,AQ98,0,O98,N98,P98,D98-$G$5,1,0)*AH98*AU98</f>
        <v>13.162918010973341</v>
      </c>
      <c r="R98" s="135"/>
      <c r="S98" s="181">
        <f t="shared" ref="S98:S140" si="101">-T98/(1-AR98)</f>
        <v>-129954.70226942025</v>
      </c>
      <c r="T98" s="181">
        <f>_xll.xSPRDOPT(I98,H98,AQ98,AT98,O98,N98,P98,D98-$G$5,1,1)*AF98*F98*AH98</f>
        <v>127030.7214683583</v>
      </c>
      <c r="U98" s="135"/>
      <c r="V98" s="146">
        <f t="shared" ref="V98:V140" si="102">VLOOKUP($AG98,$AL$4:$AS$15,8)*AH98*AU98</f>
        <v>7.9854044642692266</v>
      </c>
      <c r="W98" s="146"/>
      <c r="X98" s="338">
        <f t="shared" ref="X98:X140" si="103">((BM98*BC98)+(BL98*BB98))*AH98*F98</f>
        <v>0</v>
      </c>
      <c r="Y98" s="338">
        <f t="shared" si="79"/>
        <v>0</v>
      </c>
      <c r="Z98" s="338">
        <f t="shared" si="80"/>
        <v>35.642337207929472</v>
      </c>
      <c r="AA98" s="338">
        <f t="shared" si="81"/>
        <v>1.7033166990384735E-7</v>
      </c>
      <c r="AB98" s="338">
        <f t="shared" ref="AB98:AB140" si="104">BN98*(AT98-CA98)*F98*AH98</f>
        <v>0</v>
      </c>
      <c r="AC98" s="338">
        <f t="shared" ref="AC98:AC140" si="105">BO98*CB98*F98*AH98*CA98*($G$5-$BV$5)/365.25</f>
        <v>36.145574010350593</v>
      </c>
      <c r="AF98" s="138">
        <f t="shared" ref="AF98:AF140" si="106">IF(AND(D98&gt;=$G$7,D98&lt;=$G$8),1,0)</f>
        <v>1</v>
      </c>
      <c r="AG98" s="138">
        <f t="shared" ref="AG98:AG140" si="107">MONTH(D98)</f>
        <v>5</v>
      </c>
      <c r="AH98" s="138">
        <f t="shared" si="82"/>
        <v>31</v>
      </c>
      <c r="AI98" s="138">
        <f t="shared" ref="AI98:AI140" si="108">AI97+AH97</f>
        <v>2327</v>
      </c>
      <c r="AJ98" s="138">
        <f t="shared" ref="AJ98:AJ140" si="109">D98-$BV$5</f>
        <v>2344</v>
      </c>
      <c r="AL98" s="136">
        <f t="shared" si="83"/>
        <v>3.5095000000000001</v>
      </c>
      <c r="AM98" s="258">
        <f t="shared" si="84"/>
        <v>1.4500000000000001E-2</v>
      </c>
      <c r="AN98" s="258">
        <f t="shared" si="85"/>
        <v>0.01</v>
      </c>
      <c r="AO98" s="258">
        <f t="shared" si="86"/>
        <v>0.75</v>
      </c>
      <c r="AP98" s="258">
        <f t="shared" si="87"/>
        <v>0</v>
      </c>
      <c r="AQ98" s="136">
        <f t="shared" ref="AQ98:AQ140" si="110">VLOOKUP($AG98,$AL$4:$AS$15,3)+VLOOKUP($AG98,$AL$4:$AS$15,5)+($AH$10*VLOOKUP(D98,GRITable,2))</f>
        <v>3.6400000000000002E-2</v>
      </c>
      <c r="AR98" s="137">
        <f t="shared" si="88"/>
        <v>2.2499999999999999E-2</v>
      </c>
      <c r="AS98" s="136">
        <f t="shared" ref="AS98:AS140" si="111">(AL98+AM98+AN98)</f>
        <v>3.5339999999999998</v>
      </c>
      <c r="AT98" s="137">
        <f t="shared" ref="AT98:AT140" si="112">VLOOKUP(D98,CurveTbl,$AK$6)</f>
        <v>5.6739785400459201E-2</v>
      </c>
      <c r="AU98" s="137">
        <f t="shared" si="89"/>
        <v>0.6986538985510754</v>
      </c>
      <c r="AV98" s="394">
        <f t="shared" ref="AV98:AV140" si="113">ROUND((F98/(1-AR98))-F98,0)*AF98*AH98*AU98</f>
        <v>2945.5248362913339</v>
      </c>
      <c r="AW98" s="137">
        <f t="shared" si="90"/>
        <v>0.23</v>
      </c>
      <c r="AX98" s="137">
        <f t="shared" si="91"/>
        <v>0.45</v>
      </c>
      <c r="AY98" s="137">
        <f t="shared" si="92"/>
        <v>0.45</v>
      </c>
      <c r="AZ98" s="137"/>
      <c r="BA98" s="264"/>
      <c r="BB98" s="258">
        <f t="shared" si="93"/>
        <v>0</v>
      </c>
      <c r="BC98" s="258">
        <f t="shared" ref="BC98:BC140" si="114">I98-BW98</f>
        <v>0</v>
      </c>
      <c r="BD98" s="137">
        <f t="shared" ref="BD98:BD140" si="115">N98-BX98</f>
        <v>2.7270207721141748E-6</v>
      </c>
      <c r="BE98" s="137">
        <f t="shared" ref="BE98:BE140" si="116">O98-BY98</f>
        <v>2.7270207721141748E-6</v>
      </c>
      <c r="BF98" s="137">
        <f>_xll.xSPRDOPT($BW98,$BV98,$CG98,0,$BY98,$BX98,$BZ98,$AJ98,1,4)*$CB98</f>
        <v>4.9948661903070177E-7</v>
      </c>
      <c r="BG98" s="137">
        <f>_xll.xSPRDOPT($BW98,$BV98,$CG98,0,$BY98,$BX98,$BZ98,$AJ98,1,3)*$CB98</f>
        <v>1.6649553967690059E-7</v>
      </c>
      <c r="BH98" s="137">
        <f>IF(OR(BF98&lt;&gt;0,BG98&lt;&gt;0),_xll.xSPRDOPT($BW98,$BV98,$CG98,0,$BY98,$BX98,$BZ98,$AJ98,1,12)*$CB98,0)</f>
        <v>1.6649553967690059E-7</v>
      </c>
      <c r="BI98" s="137">
        <f>_xll.xSPRDOPT($BW98,$BV98,$CG98,2*LN(1+CA98/2),$BY98,$BX98,$BZ98,$AJ98,1,9)</f>
        <v>2.3745955047007654E-2</v>
      </c>
      <c r="BJ98" s="137">
        <f>_xll.xSPRDOPT($BW98,$BV98,$CG98,0,$BY98,$BX98,$BZ98,$AJ98,1,6)*$CB98</f>
        <v>-1.9183398660818982E-6</v>
      </c>
      <c r="BK98" s="137">
        <f>_xll.xSPRDOPT($BW98,$BV98,$CG98,0,$BY98,$BX98,$BZ98,$AJ98,1,5)*$CB98</f>
        <v>2.2601315209813272E-6</v>
      </c>
      <c r="BL98" s="137">
        <f>_xll.xSPRDOPT(BW98,BV98,CG98,0,BY98,BX98,BZ98,AJ98,1,2)*CB98</f>
        <v>-0.69833292200025021</v>
      </c>
      <c r="BM98" s="137">
        <f>_xll.xSPRDOPT(BW98,BV98,CG98,0,BY98,BX98,BZ98,AJ98,1,1)*CB98</f>
        <v>0.6983329219888178</v>
      </c>
      <c r="BN98" s="137">
        <f>IF(AH98&lt;&gt;0,_xll.xSPRDOPT($BW98,$BV98,$CG98,2*LN(1+CA98/2),$BY98,$BX98,$BZ98,$AJ98,1,8)+(AJ98/365.25)*CH98/AH98,0)</f>
        <v>-1.0713400838594469</v>
      </c>
      <c r="BO98" s="137">
        <f>_xll.xSPRDOPT($BW98,$BV98,$CG98,0,$BY98,$BX98,$BZ98,$AJ98,1,0)</f>
        <v>0.60775479725947512</v>
      </c>
      <c r="BP98" s="137"/>
      <c r="BQ98" s="137"/>
      <c r="BR98" s="137"/>
      <c r="BS98" s="137"/>
      <c r="BV98" s="262">
        <v>3.6153452685421992</v>
      </c>
      <c r="BW98" s="136">
        <v>4.2595000000000001</v>
      </c>
      <c r="BX98" s="137">
        <v>0.23213921792682993</v>
      </c>
      <c r="BY98" s="137">
        <v>0.23213921792682993</v>
      </c>
      <c r="BZ98" s="137">
        <v>1</v>
      </c>
      <c r="CA98" s="137">
        <v>5.6739785400459201E-2</v>
      </c>
      <c r="CB98" s="137">
        <v>0.69833290804898285</v>
      </c>
      <c r="CC98" s="258">
        <v>1.4500000000000001E-2</v>
      </c>
      <c r="CD98" s="258">
        <v>0.01</v>
      </c>
      <c r="CE98" s="258">
        <v>0.75</v>
      </c>
      <c r="CF98" s="258">
        <v>0</v>
      </c>
      <c r="CG98" s="258">
        <v>3.6400000000000002E-2</v>
      </c>
      <c r="CH98" s="258">
        <v>7.9817356391274599</v>
      </c>
      <c r="CI98" s="258">
        <v>3.5095000000000001</v>
      </c>
      <c r="CJ98" s="258"/>
      <c r="CK98" s="258"/>
      <c r="CL98" s="258"/>
      <c r="CM98" s="258"/>
    </row>
    <row r="99" spans="1:91" x14ac:dyDescent="0.25">
      <c r="A99" s="723"/>
      <c r="B99" s="723"/>
      <c r="D99" s="31">
        <f t="shared" si="94"/>
        <v>39614</v>
      </c>
      <c r="F99" s="28">
        <f t="shared" si="95"/>
        <v>5895</v>
      </c>
      <c r="G99" s="28">
        <f t="shared" si="76"/>
        <v>4094.2930693020603</v>
      </c>
      <c r="H99" s="52">
        <f t="shared" si="96"/>
        <v>3.6511508951406646</v>
      </c>
      <c r="I99" s="52">
        <f t="shared" si="97"/>
        <v>4.3944999999999999</v>
      </c>
      <c r="K99" s="52">
        <f t="shared" si="98"/>
        <v>14.730060154579501</v>
      </c>
      <c r="L99" s="135">
        <f t="shared" si="99"/>
        <v>1.4458349735235743E-6</v>
      </c>
      <c r="N99" s="131">
        <f t="shared" si="77"/>
        <v>0.23204662986642166</v>
      </c>
      <c r="O99" s="131">
        <f t="shared" si="78"/>
        <v>0.23204662986642166</v>
      </c>
      <c r="P99" s="55">
        <f t="shared" si="100"/>
        <v>1.0000000000000002</v>
      </c>
      <c r="Q99" s="135">
        <f>_xll.xSPRDOPT(I99,H99,AQ99,0,O99,N99,P99,D99-$G$5,1,0)*AH99*AU99</f>
        <v>14.730061600414475</v>
      </c>
      <c r="R99" s="135"/>
      <c r="S99" s="181">
        <f t="shared" si="101"/>
        <v>-125008.96409960788</v>
      </c>
      <c r="T99" s="181">
        <f>_xll.xSPRDOPT(I99,H99,AQ99,AT99,O99,N99,P99,D99-$G$5,1,1)*AF99*F99*AH99</f>
        <v>122196.26240736671</v>
      </c>
      <c r="U99" s="135"/>
      <c r="V99" s="146">
        <f t="shared" si="102"/>
        <v>7.6822689804156221</v>
      </c>
      <c r="W99" s="146"/>
      <c r="X99" s="338">
        <f t="shared" si="103"/>
        <v>0</v>
      </c>
      <c r="Y99" s="338">
        <f t="shared" si="79"/>
        <v>0</v>
      </c>
      <c r="Z99" s="338">
        <f t="shared" si="80"/>
        <v>40.01333296009831</v>
      </c>
      <c r="AA99" s="338">
        <f t="shared" si="81"/>
        <v>-3.3498143084827936E-9</v>
      </c>
      <c r="AB99" s="338">
        <f t="shared" si="104"/>
        <v>0</v>
      </c>
      <c r="AC99" s="338">
        <f t="shared" si="105"/>
        <v>40.580097120905599</v>
      </c>
      <c r="AF99" s="138">
        <f t="shared" si="106"/>
        <v>1</v>
      </c>
      <c r="AG99" s="138">
        <f t="shared" si="107"/>
        <v>6</v>
      </c>
      <c r="AH99" s="138">
        <f t="shared" si="82"/>
        <v>30</v>
      </c>
      <c r="AI99" s="138">
        <f t="shared" si="108"/>
        <v>2358</v>
      </c>
      <c r="AJ99" s="138">
        <f t="shared" si="109"/>
        <v>2375</v>
      </c>
      <c r="AL99" s="136">
        <f t="shared" si="83"/>
        <v>3.5445000000000002</v>
      </c>
      <c r="AM99" s="258">
        <f t="shared" si="84"/>
        <v>1.4500000000000001E-2</v>
      </c>
      <c r="AN99" s="258">
        <f t="shared" si="85"/>
        <v>0.01</v>
      </c>
      <c r="AO99" s="258">
        <f t="shared" si="86"/>
        <v>0.85</v>
      </c>
      <c r="AP99" s="258">
        <f t="shared" si="87"/>
        <v>0</v>
      </c>
      <c r="AQ99" s="136">
        <f t="shared" si="110"/>
        <v>3.6400000000000002E-2</v>
      </c>
      <c r="AR99" s="137">
        <f t="shared" si="88"/>
        <v>2.2499999999999999E-2</v>
      </c>
      <c r="AS99" s="136">
        <f t="shared" si="111"/>
        <v>3.569</v>
      </c>
      <c r="AT99" s="137">
        <f t="shared" si="112"/>
        <v>5.6923801622493997E-2</v>
      </c>
      <c r="AU99" s="137">
        <f t="shared" si="89"/>
        <v>0.69453656815980669</v>
      </c>
      <c r="AV99" s="394">
        <f t="shared" si="113"/>
        <v>2833.7091980920113</v>
      </c>
      <c r="AW99" s="137">
        <f t="shared" si="90"/>
        <v>0.23</v>
      </c>
      <c r="AX99" s="137">
        <f t="shared" si="91"/>
        <v>0.45</v>
      </c>
      <c r="AY99" s="137">
        <f t="shared" si="92"/>
        <v>0.45</v>
      </c>
      <c r="AZ99" s="137"/>
      <c r="BA99" s="264"/>
      <c r="BB99" s="258">
        <f t="shared" si="93"/>
        <v>0</v>
      </c>
      <c r="BC99" s="258">
        <f t="shared" si="114"/>
        <v>0</v>
      </c>
      <c r="BD99" s="137">
        <f t="shared" si="115"/>
        <v>2.5727469935010738E-6</v>
      </c>
      <c r="BE99" s="137">
        <f t="shared" si="116"/>
        <v>2.5727469935010738E-6</v>
      </c>
      <c r="BF99" s="137">
        <f>_xll.xSPRDOPT($BW99,$BV99,$CG99,0,$BY99,$BX99,$BZ99,$AJ99,1,4)*$CB99</f>
        <v>0</v>
      </c>
      <c r="BG99" s="137">
        <f>_xll.xSPRDOPT($BW99,$BV99,$CG99,0,$BY99,$BX99,$BZ99,$AJ99,1,3)*$CB99</f>
        <v>-1.1585986956221144E-6</v>
      </c>
      <c r="BH99" s="137">
        <f>IF(OR(BF99&lt;&gt;0,BG99&lt;&gt;0),_xll.xSPRDOPT($BW99,$BV99,$CG99,0,$BY99,$BX99,$BZ99,$AJ99,1,12)*$CB99,0)</f>
        <v>1.0758416459348206E-6</v>
      </c>
      <c r="BI99" s="137">
        <f>_xll.xSPRDOPT($BW99,$BV99,$CG99,2*LN(1+CA99/2),$BY99,$BX99,$BZ99,$AJ99,1,9)</f>
        <v>2.7546640022007175E-2</v>
      </c>
      <c r="BJ99" s="137">
        <f>_xll.xSPRDOPT($BW99,$BV99,$CG99,0,$BY99,$BX99,$BZ99,$AJ99,1,6)*$CB99</f>
        <v>3.6179281162693049E-8</v>
      </c>
      <c r="BK99" s="137">
        <f>_xll.xSPRDOPT($BW99,$BV99,$CG99,0,$BY99,$BX99,$BZ99,$AJ99,1,5)*$CB99</f>
        <v>-4.3541667274608092E-8</v>
      </c>
      <c r="BL99" s="137">
        <f>_xll.xSPRDOPT(BW99,BV99,CG99,0,BY99,BX99,BZ99,AJ99,1,2)*CB99</f>
        <v>-0.69421650211861197</v>
      </c>
      <c r="BM99" s="137">
        <f>_xll.xSPRDOPT(BW99,BV99,CG99,0,BY99,BX99,BZ99,AJ99,1,1)*CB99</f>
        <v>0.69421650211987473</v>
      </c>
      <c r="BN99" s="137">
        <f>IF(AH99&lt;&gt;0,_xll.xSPRDOPT($BW99,$BV99,$CG99,2*LN(1+CA99/2),$BY99,$BX99,$BZ99,$AJ99,1,8)+(AJ99/365.25)*CH99/AH99,0)</f>
        <v>-1.5268804490981627</v>
      </c>
      <c r="BO99" s="137">
        <f>_xll.xSPRDOPT($BW99,$BV99,$CG99,0,$BY99,$BX99,$BZ99,$AJ99,1,0)</f>
        <v>0.7069491742487215</v>
      </c>
      <c r="BP99" s="137"/>
      <c r="BQ99" s="137"/>
      <c r="BR99" s="137"/>
      <c r="BS99" s="137"/>
      <c r="BV99" s="262">
        <v>3.6511508951406646</v>
      </c>
      <c r="BW99" s="136">
        <v>4.3944999999999999</v>
      </c>
      <c r="BX99" s="137">
        <v>0.23204405711942816</v>
      </c>
      <c r="BY99" s="137">
        <v>0.23204405711942816</v>
      </c>
      <c r="BZ99" s="137">
        <v>1</v>
      </c>
      <c r="CA99" s="137">
        <v>5.6923801622493997E-2</v>
      </c>
      <c r="CB99" s="137">
        <v>0.6942164490632311</v>
      </c>
      <c r="CC99" s="258">
        <v>1.4500000000000001E-2</v>
      </c>
      <c r="CD99" s="258">
        <v>0.01</v>
      </c>
      <c r="CE99" s="258">
        <v>0.85</v>
      </c>
      <c r="CF99" s="258">
        <v>0</v>
      </c>
      <c r="CG99" s="258">
        <v>3.6400000000000002E-2</v>
      </c>
      <c r="CH99" s="258">
        <v>7.6787281430883993</v>
      </c>
      <c r="CI99" s="258">
        <v>3.5445000000000002</v>
      </c>
      <c r="CJ99" s="258"/>
      <c r="CK99" s="258"/>
      <c r="CL99" s="258"/>
      <c r="CM99" s="258"/>
    </row>
    <row r="100" spans="1:91" x14ac:dyDescent="0.25">
      <c r="A100" s="723"/>
      <c r="B100" s="723"/>
      <c r="D100" s="31">
        <f t="shared" si="94"/>
        <v>39644</v>
      </c>
      <c r="F100" s="28">
        <f t="shared" si="95"/>
        <v>5895</v>
      </c>
      <c r="G100" s="28">
        <f t="shared" si="76"/>
        <v>4070.8232449451443</v>
      </c>
      <c r="H100" s="52">
        <f t="shared" si="96"/>
        <v>3.6920716112531964</v>
      </c>
      <c r="I100" s="52">
        <f t="shared" si="97"/>
        <v>4.6345000000000001</v>
      </c>
      <c r="K100" s="52">
        <f t="shared" si="98"/>
        <v>19.395542695540492</v>
      </c>
      <c r="L100" s="135">
        <f t="shared" si="99"/>
        <v>1.834122898003443E-6</v>
      </c>
      <c r="N100" s="131">
        <f t="shared" si="77"/>
        <v>0.23274682347149744</v>
      </c>
      <c r="O100" s="131">
        <f t="shared" si="78"/>
        <v>0.23274682347149744</v>
      </c>
      <c r="P100" s="55">
        <f t="shared" si="100"/>
        <v>1</v>
      </c>
      <c r="Q100" s="135">
        <f>_xll.xSPRDOPT(I100,H100,AQ100,0,O100,N100,P100,D100-$G$5,1,0)*AH100*AU100</f>
        <v>19.39554452966339</v>
      </c>
      <c r="R100" s="135"/>
      <c r="S100" s="181">
        <f t="shared" si="101"/>
        <v>-128422.89769307109</v>
      </c>
      <c r="T100" s="181">
        <f>_xll.xSPRDOPT(I100,H100,AQ100,AT100,O100,N100,P100,D100-$G$5,1,1)*AF100*F100*AH100</f>
        <v>125533.38249497699</v>
      </c>
      <c r="U100" s="135"/>
      <c r="V100" s="146">
        <f t="shared" si="102"/>
        <v>7.8928394304918603</v>
      </c>
      <c r="W100" s="146"/>
      <c r="X100" s="338">
        <f t="shared" si="103"/>
        <v>0</v>
      </c>
      <c r="Y100" s="338">
        <f t="shared" si="79"/>
        <v>0</v>
      </c>
      <c r="Z100" s="338">
        <f t="shared" si="80"/>
        <v>52.849294316034623</v>
      </c>
      <c r="AA100" s="338">
        <f t="shared" si="81"/>
        <v>-9.384511971562039E-8</v>
      </c>
      <c r="AB100" s="338">
        <f t="shared" si="104"/>
        <v>0</v>
      </c>
      <c r="AC100" s="338">
        <f t="shared" si="105"/>
        <v>53.600199104455548</v>
      </c>
      <c r="AF100" s="138">
        <f t="shared" si="106"/>
        <v>1</v>
      </c>
      <c r="AG100" s="138">
        <f t="shared" si="107"/>
        <v>7</v>
      </c>
      <c r="AH100" s="138">
        <f t="shared" si="82"/>
        <v>31</v>
      </c>
      <c r="AI100" s="138">
        <f t="shared" si="108"/>
        <v>2388</v>
      </c>
      <c r="AJ100" s="138">
        <f t="shared" si="109"/>
        <v>2405</v>
      </c>
      <c r="AL100" s="136">
        <f t="shared" si="83"/>
        <v>3.5844999999999998</v>
      </c>
      <c r="AM100" s="258">
        <f t="shared" si="84"/>
        <v>1.4500000000000001E-2</v>
      </c>
      <c r="AN100" s="258">
        <f t="shared" si="85"/>
        <v>0.01</v>
      </c>
      <c r="AO100" s="258">
        <f t="shared" si="86"/>
        <v>1.05</v>
      </c>
      <c r="AP100" s="258">
        <f t="shared" si="87"/>
        <v>0</v>
      </c>
      <c r="AQ100" s="136">
        <f t="shared" si="110"/>
        <v>3.6400000000000002E-2</v>
      </c>
      <c r="AR100" s="137">
        <f t="shared" si="88"/>
        <v>2.2499999999999999E-2</v>
      </c>
      <c r="AS100" s="136">
        <f t="shared" si="111"/>
        <v>3.6089999999999995</v>
      </c>
      <c r="AT100" s="137">
        <f t="shared" si="112"/>
        <v>5.7101881848094803E-2</v>
      </c>
      <c r="AU100" s="137">
        <f t="shared" si="89"/>
        <v>0.69055525783632643</v>
      </c>
      <c r="AV100" s="394">
        <f t="shared" si="113"/>
        <v>2911.3809670379524</v>
      </c>
      <c r="AW100" s="137">
        <f t="shared" si="90"/>
        <v>0.23</v>
      </c>
      <c r="AX100" s="137">
        <f t="shared" si="91"/>
        <v>0.5</v>
      </c>
      <c r="AY100" s="137">
        <f t="shared" si="92"/>
        <v>0.5</v>
      </c>
      <c r="AZ100" s="137"/>
      <c r="BA100" s="264"/>
      <c r="BB100" s="258">
        <f t="shared" si="93"/>
        <v>0</v>
      </c>
      <c r="BC100" s="258">
        <f t="shared" si="114"/>
        <v>0</v>
      </c>
      <c r="BD100" s="137">
        <f t="shared" si="115"/>
        <v>3.4040740785612478E-6</v>
      </c>
      <c r="BE100" s="137">
        <f t="shared" si="116"/>
        <v>3.4040740785612478E-6</v>
      </c>
      <c r="BF100" s="137">
        <f>_xll.xSPRDOPT($BW100,$BV100,$CG100,0,$BY100,$BX100,$BZ100,$AJ100,1,4)*$CB100</f>
        <v>-1.9747810139463719E-6</v>
      </c>
      <c r="BG100" s="137">
        <f>_xll.xSPRDOPT($BW100,$BV100,$CG100,0,$BY100,$BX100,$BZ100,$AJ100,1,3)*$CB100</f>
        <v>-1.151955591468717E-6</v>
      </c>
      <c r="BH100" s="137">
        <f>IF(OR(BF100&lt;&gt;0,BG100&lt;&gt;0),_xll.xSPRDOPT($BW100,$BV100,$CG100,0,$BY100,$BX100,$BZ100,$AJ100,1,12)*$CB100,0)</f>
        <v>1.0696730492209516E-6</v>
      </c>
      <c r="BI100" s="137">
        <f>_xll.xSPRDOPT($BW100,$BV100,$CG100,2*LN(1+CA100/2),$BY100,$BX100,$BZ100,$AJ100,1,9)</f>
        <v>3.5209727122368417E-2</v>
      </c>
      <c r="BJ100" s="137">
        <f>_xll.xSPRDOPT($BW100,$BV100,$CG100,0,$BY100,$BX100,$BZ100,$AJ100,1,6)*$CB100</f>
        <v>5.9102279017451062E-7</v>
      </c>
      <c r="BK100" s="137">
        <f>_xll.xSPRDOPT($BW100,$BV100,$CG100,0,$BY100,$BX100,$BZ100,$AJ100,1,5)*$CB100</f>
        <v>-7.4188038762438234E-7</v>
      </c>
      <c r="BL100" s="137">
        <f>_xll.xSPRDOPT(BW100,BV100,CG100,0,BY100,BX100,BZ100,AJ100,1,2)*CB100</f>
        <v>-0.69023605478085548</v>
      </c>
      <c r="BM100" s="137">
        <f>_xll.xSPRDOPT(BW100,BV100,CG100,0,BY100,BX100,BZ100,AJ100,1,1)*CB100</f>
        <v>0.69023605478336658</v>
      </c>
      <c r="BN100" s="137">
        <f>IF(AH100&lt;&gt;0,_xll.xSPRDOPT($BW100,$BV100,$CG100,2*LN(1+CA100/2),$BY100,$BX100,$BZ100,$AJ100,1,8)+(AJ100/365.25)*CH100/AH100,0)</f>
        <v>-2.4420936443435957</v>
      </c>
      <c r="BO100" s="137">
        <f>_xll.xSPRDOPT($BW100,$BV100,$CG100,0,$BY100,$BX100,$BZ100,$AJ100,1,0)</f>
        <v>0.90602847439363177</v>
      </c>
      <c r="BP100" s="137"/>
      <c r="BQ100" s="137"/>
      <c r="BR100" s="137"/>
      <c r="BS100" s="137"/>
      <c r="BV100" s="262">
        <v>3.6920716112531964</v>
      </c>
      <c r="BW100" s="136">
        <v>4.6345000000000001</v>
      </c>
      <c r="BX100" s="137">
        <v>0.23274341939741888</v>
      </c>
      <c r="BY100" s="137">
        <v>0.23274341939741888</v>
      </c>
      <c r="BZ100" s="137">
        <v>1</v>
      </c>
      <c r="CA100" s="137">
        <v>5.7101881848094803E-2</v>
      </c>
      <c r="CB100" s="137">
        <v>0.69023599215994369</v>
      </c>
      <c r="CC100" s="258">
        <v>1.4500000000000001E-2</v>
      </c>
      <c r="CD100" s="258">
        <v>0.01</v>
      </c>
      <c r="CE100" s="258">
        <v>1.05</v>
      </c>
      <c r="CF100" s="258">
        <v>0</v>
      </c>
      <c r="CG100" s="258">
        <v>3.6400000000000002E-2</v>
      </c>
      <c r="CH100" s="258">
        <v>7.8891903195905089</v>
      </c>
      <c r="CI100" s="258">
        <v>3.5844999999999998</v>
      </c>
      <c r="CJ100" s="258"/>
      <c r="CK100" s="258"/>
      <c r="CL100" s="258"/>
      <c r="CM100" s="258"/>
    </row>
    <row r="101" spans="1:91" x14ac:dyDescent="0.25">
      <c r="A101" s="723"/>
      <c r="B101" s="723"/>
      <c r="D101" s="31">
        <f t="shared" si="94"/>
        <v>39675</v>
      </c>
      <c r="F101" s="28">
        <f t="shared" si="95"/>
        <v>5895</v>
      </c>
      <c r="G101" s="28">
        <f t="shared" si="76"/>
        <v>4046.591930280485</v>
      </c>
      <c r="H101" s="52">
        <f t="shared" si="96"/>
        <v>3.7278772378516618</v>
      </c>
      <c r="I101" s="52">
        <f t="shared" si="97"/>
        <v>4.6745000000000001</v>
      </c>
      <c r="K101" s="52">
        <f t="shared" si="98"/>
        <v>19.369347346239095</v>
      </c>
      <c r="L101" s="135">
        <f t="shared" si="99"/>
        <v>1.8210147167962987E-6</v>
      </c>
      <c r="N101" s="131">
        <f t="shared" si="77"/>
        <v>0.23342912389880816</v>
      </c>
      <c r="O101" s="131">
        <f t="shared" si="78"/>
        <v>0.23342912389880816</v>
      </c>
      <c r="P101" s="55">
        <f t="shared" si="100"/>
        <v>1</v>
      </c>
      <c r="Q101" s="135">
        <f>_xll.xSPRDOPT(I101,H101,AQ101,0,O101,N101,P101,D101-$G$5,1,0)*AH101*AU101</f>
        <v>19.369349167253812</v>
      </c>
      <c r="R101" s="135"/>
      <c r="S101" s="181">
        <f t="shared" si="101"/>
        <v>-127645.4513191086</v>
      </c>
      <c r="T101" s="181">
        <f>_xll.xSPRDOPT(I101,H101,AQ101,AT101,O101,N101,P101,D101-$G$5,1,1)*AF101*F101*AH101</f>
        <v>124773.42866442866</v>
      </c>
      <c r="U101" s="135"/>
      <c r="V101" s="146">
        <f t="shared" si="102"/>
        <v>7.8458578092496802</v>
      </c>
      <c r="W101" s="146"/>
      <c r="X101" s="338">
        <f t="shared" si="103"/>
        <v>0</v>
      </c>
      <c r="Y101" s="338">
        <f t="shared" si="79"/>
        <v>0</v>
      </c>
      <c r="Z101" s="338">
        <f t="shared" si="80"/>
        <v>52.945541709292627</v>
      </c>
      <c r="AA101" s="338">
        <f t="shared" si="81"/>
        <v>-1.1856897838422397E-7</v>
      </c>
      <c r="AB101" s="338">
        <f t="shared" si="104"/>
        <v>0</v>
      </c>
      <c r="AC101" s="338">
        <f t="shared" si="105"/>
        <v>53.700226936019831</v>
      </c>
      <c r="AF101" s="138">
        <f t="shared" si="106"/>
        <v>1</v>
      </c>
      <c r="AG101" s="138">
        <f t="shared" si="107"/>
        <v>8</v>
      </c>
      <c r="AH101" s="138">
        <f t="shared" si="82"/>
        <v>31</v>
      </c>
      <c r="AI101" s="138">
        <f t="shared" si="108"/>
        <v>2419</v>
      </c>
      <c r="AJ101" s="138">
        <f t="shared" si="109"/>
        <v>2436</v>
      </c>
      <c r="AL101" s="136">
        <f t="shared" si="83"/>
        <v>3.6244999999999998</v>
      </c>
      <c r="AM101" s="258">
        <f t="shared" si="84"/>
        <v>9.4999999999999998E-3</v>
      </c>
      <c r="AN101" s="258">
        <f t="shared" si="85"/>
        <v>0.01</v>
      </c>
      <c r="AO101" s="258">
        <f t="shared" si="86"/>
        <v>1.05</v>
      </c>
      <c r="AP101" s="258">
        <f t="shared" si="87"/>
        <v>0</v>
      </c>
      <c r="AQ101" s="136">
        <f t="shared" si="110"/>
        <v>3.6400000000000002E-2</v>
      </c>
      <c r="AR101" s="137">
        <f t="shared" si="88"/>
        <v>2.2499999999999999E-2</v>
      </c>
      <c r="AS101" s="136">
        <f t="shared" si="111"/>
        <v>3.6439999999999997</v>
      </c>
      <c r="AT101" s="137">
        <f t="shared" si="112"/>
        <v>5.7285898092300801E-2</v>
      </c>
      <c r="AU101" s="137">
        <f t="shared" si="89"/>
        <v>0.68644477188812303</v>
      </c>
      <c r="AV101" s="394">
        <f t="shared" si="113"/>
        <v>2894.0511582803265</v>
      </c>
      <c r="AW101" s="137">
        <f t="shared" si="90"/>
        <v>0.23</v>
      </c>
      <c r="AX101" s="137">
        <f t="shared" si="91"/>
        <v>0.55000000000000004</v>
      </c>
      <c r="AY101" s="137">
        <f t="shared" si="92"/>
        <v>0.55000000000000004</v>
      </c>
      <c r="AZ101" s="137"/>
      <c r="BA101" s="264"/>
      <c r="BB101" s="258">
        <f t="shared" si="93"/>
        <v>0</v>
      </c>
      <c r="BC101" s="258">
        <f t="shared" si="114"/>
        <v>0</v>
      </c>
      <c r="BD101" s="137">
        <f t="shared" si="115"/>
        <v>4.1894980462309217E-6</v>
      </c>
      <c r="BE101" s="137">
        <f t="shared" si="116"/>
        <v>4.1894980462309217E-6</v>
      </c>
      <c r="BF101" s="137">
        <f>_xll.xSPRDOPT($BW101,$BV101,$CG101,0,$BY101,$BX101,$BZ101,$AJ101,1,4)*$CB101</f>
        <v>-3.2717056199116143E-7</v>
      </c>
      <c r="BG101" s="137">
        <f>_xll.xSPRDOPT($BW101,$BV101,$CG101,0,$BY101,$BX101,$BZ101,$AJ101,1,3)*$CB101</f>
        <v>4.9075584298674218E-7</v>
      </c>
      <c r="BH101" s="137">
        <f>IF(OR(BF101&lt;&gt;0,BG101&lt;&gt;0),_xll.xSPRDOPT($BW101,$BV101,$CG101,0,$BY101,$BX101,$BZ101,$AJ101,1,12)*$CB101,0)</f>
        <v>0</v>
      </c>
      <c r="BI101" s="137">
        <f>_xll.xSPRDOPT($BW101,$BV101,$CG101,2*LN(1+CA101/2),$BY101,$BX101,$BZ101,$AJ101,1,9)</f>
        <v>3.5273849917132491E-2</v>
      </c>
      <c r="BJ101" s="137">
        <f>_xll.xSPRDOPT($BW101,$BV101,$CG101,0,$BY101,$BX101,$BZ101,$AJ101,1,6)*$CB101</f>
        <v>6.0987726375580208E-7</v>
      </c>
      <c r="BK101" s="137">
        <f>_xll.xSPRDOPT($BW101,$BV101,$CG101,0,$BY101,$BX101,$BZ101,$AJ101,1,5)*$CB101</f>
        <v>-7.6474593865501031E-7</v>
      </c>
      <c r="BL101" s="137">
        <f>_xll.xSPRDOPT(BW101,BV101,CG101,0,BY101,BX101,BZ101,AJ101,1,2)*CB101</f>
        <v>-0.68612646032949021</v>
      </c>
      <c r="BM101" s="137">
        <f>_xll.xSPRDOPT(BW101,BV101,CG101,0,BY101,BX101,BZ101,AJ101,1,1)*CB101</f>
        <v>0.68612646032200186</v>
      </c>
      <c r="BN101" s="137">
        <f>IF(AH101&lt;&gt;0,_xll.xSPRDOPT($BW101,$BV101,$CG101,2*LN(1+CA101/2),$BY101,$BX101,$BZ101,$AJ101,1,8)+(AJ101/365.25)*CH101/AH101,0)</f>
        <v>-2.4780380646674174</v>
      </c>
      <c r="BO101" s="137">
        <f>_xll.xSPRDOPT($BW101,$BV101,$CG101,0,$BY101,$BX101,$BZ101,$AJ101,1,0)</f>
        <v>0.91022284769170492</v>
      </c>
      <c r="BP101" s="137"/>
      <c r="BQ101" s="137"/>
      <c r="BR101" s="137"/>
      <c r="BS101" s="137"/>
      <c r="BV101" s="262">
        <v>3.7278772378516618</v>
      </c>
      <c r="BW101" s="136">
        <v>4.6745000000000001</v>
      </c>
      <c r="BX101" s="137">
        <v>0.23342493440076192</v>
      </c>
      <c r="BY101" s="137">
        <v>0.23342493440076192</v>
      </c>
      <c r="BZ101" s="137">
        <v>1</v>
      </c>
      <c r="CA101" s="137">
        <v>5.7285898092300801E-2</v>
      </c>
      <c r="CB101" s="137">
        <v>0.68612639842088818</v>
      </c>
      <c r="CC101" s="258">
        <v>9.4999999999999998E-3</v>
      </c>
      <c r="CD101" s="258">
        <v>0.01</v>
      </c>
      <c r="CE101" s="258">
        <v>1.05</v>
      </c>
      <c r="CF101" s="258">
        <v>0</v>
      </c>
      <c r="CG101" s="258">
        <v>3.6400000000000002E-2</v>
      </c>
      <c r="CH101" s="258">
        <v>7.842218896031226</v>
      </c>
      <c r="CI101" s="258">
        <v>3.6244999999999998</v>
      </c>
      <c r="CJ101" s="258"/>
      <c r="CK101" s="258"/>
      <c r="CL101" s="258"/>
      <c r="CM101" s="258"/>
    </row>
    <row r="102" spans="1:91" x14ac:dyDescent="0.25">
      <c r="A102" s="723"/>
      <c r="B102" s="723"/>
      <c r="D102" s="31">
        <f t="shared" si="94"/>
        <v>39706</v>
      </c>
      <c r="F102" s="28">
        <f t="shared" si="95"/>
        <v>5895</v>
      </c>
      <c r="G102" s="28">
        <f t="shared" si="76"/>
        <v>4022.3831323588674</v>
      </c>
      <c r="H102" s="52">
        <f t="shared" si="96"/>
        <v>3.7227621483375954</v>
      </c>
      <c r="I102" s="52">
        <f t="shared" si="97"/>
        <v>4.3695000000000004</v>
      </c>
      <c r="K102" s="52">
        <f t="shared" si="98"/>
        <v>12.493703203903339</v>
      </c>
      <c r="L102" s="135">
        <f t="shared" si="99"/>
        <v>1.5362615108927002E-6</v>
      </c>
      <c r="N102" s="131">
        <f t="shared" si="77"/>
        <v>0.23327851186374429</v>
      </c>
      <c r="O102" s="131">
        <f t="shared" si="78"/>
        <v>0.23327851186374429</v>
      </c>
      <c r="P102" s="55">
        <f t="shared" si="100"/>
        <v>1</v>
      </c>
      <c r="Q102" s="135">
        <f>_xll.xSPRDOPT(I102,H102,AQ102,0,O102,N102,P102,D102-$G$5,1,0)*AH102*AU102</f>
        <v>12.49370474016485</v>
      </c>
      <c r="R102" s="135"/>
      <c r="S102" s="181">
        <f t="shared" si="101"/>
        <v>-122776.1779473589</v>
      </c>
      <c r="T102" s="181">
        <f>_xll.xSPRDOPT(I102,H102,AQ102,AT102,O102,N102,P102,D102-$G$5,1,1)*AF102*F102*AH102</f>
        <v>120013.71394354332</v>
      </c>
      <c r="U102" s="135"/>
      <c r="V102" s="146">
        <f t="shared" si="102"/>
        <v>7.5473417857542717</v>
      </c>
      <c r="W102" s="146"/>
      <c r="X102" s="338">
        <f t="shared" si="103"/>
        <v>0</v>
      </c>
      <c r="Y102" s="338">
        <f t="shared" si="79"/>
        <v>0</v>
      </c>
      <c r="Z102" s="338">
        <f t="shared" si="80"/>
        <v>34.259246857239042</v>
      </c>
      <c r="AA102" s="338">
        <f t="shared" si="81"/>
        <v>9.5432829713585917E-7</v>
      </c>
      <c r="AB102" s="338">
        <f t="shared" si="104"/>
        <v>0</v>
      </c>
      <c r="AC102" s="338">
        <f t="shared" si="105"/>
        <v>34.749176498925486</v>
      </c>
      <c r="AF102" s="138">
        <f t="shared" si="106"/>
        <v>1</v>
      </c>
      <c r="AG102" s="138">
        <f t="shared" si="107"/>
        <v>9</v>
      </c>
      <c r="AH102" s="138">
        <f t="shared" si="82"/>
        <v>30</v>
      </c>
      <c r="AI102" s="138">
        <f t="shared" si="108"/>
        <v>2450</v>
      </c>
      <c r="AJ102" s="138">
        <f t="shared" si="109"/>
        <v>2467</v>
      </c>
      <c r="AL102" s="136">
        <f t="shared" si="83"/>
        <v>3.6194999999999999</v>
      </c>
      <c r="AM102" s="258">
        <f t="shared" si="84"/>
        <v>9.4999999999999998E-3</v>
      </c>
      <c r="AN102" s="258">
        <f t="shared" si="85"/>
        <v>0.01</v>
      </c>
      <c r="AO102" s="258">
        <f t="shared" si="86"/>
        <v>0.75</v>
      </c>
      <c r="AP102" s="258">
        <f t="shared" si="87"/>
        <v>0</v>
      </c>
      <c r="AQ102" s="136">
        <f t="shared" si="110"/>
        <v>3.6400000000000002E-2</v>
      </c>
      <c r="AR102" s="137">
        <f t="shared" si="88"/>
        <v>2.2499999999999999E-2</v>
      </c>
      <c r="AS102" s="136">
        <f t="shared" si="111"/>
        <v>3.6389999999999998</v>
      </c>
      <c r="AT102" s="137">
        <f t="shared" si="112"/>
        <v>5.7469914347772398E-2</v>
      </c>
      <c r="AU102" s="137">
        <f t="shared" si="89"/>
        <v>0.6823381055740233</v>
      </c>
      <c r="AV102" s="394">
        <f t="shared" si="113"/>
        <v>2783.9394707420151</v>
      </c>
      <c r="AW102" s="137">
        <f t="shared" si="90"/>
        <v>0.23</v>
      </c>
      <c r="AX102" s="137">
        <f t="shared" si="91"/>
        <v>0.55000000000000004</v>
      </c>
      <c r="AY102" s="137">
        <f t="shared" si="92"/>
        <v>0.55000000000000004</v>
      </c>
      <c r="AZ102" s="137"/>
      <c r="BA102" s="264"/>
      <c r="BB102" s="258">
        <f t="shared" si="93"/>
        <v>0</v>
      </c>
      <c r="BC102" s="258">
        <f t="shared" si="114"/>
        <v>0</v>
      </c>
      <c r="BD102" s="137">
        <f t="shared" si="115"/>
        <v>3.9572543721055897E-6</v>
      </c>
      <c r="BE102" s="137">
        <f t="shared" si="116"/>
        <v>3.9572543721055897E-6</v>
      </c>
      <c r="BF102" s="137">
        <f>_xll.xSPRDOPT($BW102,$BV102,$CG102,0,$BY102,$BX102,$BZ102,$AJ102,1,4)*$CB102</f>
        <v>-1.3008511251529328E-6</v>
      </c>
      <c r="BG102" s="137">
        <f>_xll.xSPRDOPT($BW102,$BV102,$CG102,0,$BY102,$BX102,$BZ102,$AJ102,1,3)*$CB102</f>
        <v>-9.7563834386469961E-7</v>
      </c>
      <c r="BH102" s="137">
        <f>IF(OR(BF102&lt;&gt;0,BG102&lt;&gt;0),_xll.xSPRDOPT($BW102,$BV102,$CG102,0,$BY102,$BX102,$BZ102,$AJ102,1,12)*$CB102,0)</f>
        <v>8.1303195322058301E-7</v>
      </c>
      <c r="BI102" s="137">
        <f>_xll.xSPRDOPT($BW102,$BV102,$CG102,2*LN(1+CA102/2),$BY102,$BX102,$BZ102,$AJ102,1,9)</f>
        <v>2.3585316962786845E-2</v>
      </c>
      <c r="BJ102" s="137">
        <f>_xll.xSPRDOPT($BW102,$BV102,$CG102,0,$BY102,$BX102,$BZ102,$AJ102,1,6)*$CB102</f>
        <v>-7.8494587346939474E-6</v>
      </c>
      <c r="BK102" s="137">
        <f>_xll.xSPRDOPT($BW102,$BV102,$CG102,0,$BY102,$BX102,$BZ102,$AJ102,1,5)*$CB102</f>
        <v>9.2130957131316678E-6</v>
      </c>
      <c r="BL102" s="137">
        <f>_xll.xSPRDOPT(BW102,BV102,CG102,0,BY102,BX102,BZ102,AJ102,1,2)*CB102</f>
        <v>-0.68202052808181879</v>
      </c>
      <c r="BM102" s="137">
        <f>_xll.xSPRDOPT(BW102,BV102,CG102,0,BY102,BX102,BZ102,AJ102,1,1)*CB102</f>
        <v>0.68202052807809699</v>
      </c>
      <c r="BN102" s="137">
        <f>IF(AH102&lt;&gt;0,_xll.xSPRDOPT($BW102,$BV102,$CG102,2*LN(1+CA102/2),$BY102,$BX102,$BZ102,$AJ102,1,8)+(AJ102/365.25)*CH102/AH102,0)</f>
        <v>-1.1131188586018055</v>
      </c>
      <c r="BO102" s="137">
        <f>_xll.xSPRDOPT($BW102,$BV102,$CG102,0,$BY102,$BX102,$BZ102,$AJ102,1,0)</f>
        <v>0.6103379269873479</v>
      </c>
      <c r="BP102" s="137"/>
      <c r="BQ102" s="137"/>
      <c r="BR102" s="137"/>
      <c r="BS102" s="137"/>
      <c r="BV102" s="262">
        <v>3.7227621483375954</v>
      </c>
      <c r="BW102" s="136">
        <v>4.3695000000000004</v>
      </c>
      <c r="BX102" s="137">
        <v>0.23327455460937219</v>
      </c>
      <c r="BY102" s="137">
        <v>0.23327455460937219</v>
      </c>
      <c r="BZ102" s="137">
        <v>1</v>
      </c>
      <c r="CA102" s="137">
        <v>5.7469914347772398E-2</v>
      </c>
      <c r="CB102" s="137">
        <v>0.68202063470418084</v>
      </c>
      <c r="CC102" s="258">
        <v>9.4999999999999998E-3</v>
      </c>
      <c r="CD102" s="258">
        <v>0.01</v>
      </c>
      <c r="CE102" s="258">
        <v>0.75</v>
      </c>
      <c r="CF102" s="258">
        <v>0</v>
      </c>
      <c r="CG102" s="258">
        <v>3.6400000000000002E-2</v>
      </c>
      <c r="CH102" s="258">
        <v>7.5438302404629445</v>
      </c>
      <c r="CI102" s="258">
        <v>3.6194999999999999</v>
      </c>
      <c r="CJ102" s="258"/>
      <c r="CK102" s="258"/>
      <c r="CL102" s="258"/>
      <c r="CM102" s="258"/>
    </row>
    <row r="103" spans="1:91" x14ac:dyDescent="0.25">
      <c r="A103" s="723"/>
      <c r="B103" s="723"/>
      <c r="D103" s="31">
        <f t="shared" si="94"/>
        <v>39736</v>
      </c>
      <c r="F103" s="28">
        <f t="shared" si="95"/>
        <v>6669</v>
      </c>
      <c r="G103" s="28">
        <f t="shared" si="76"/>
        <v>4524.0346156850901</v>
      </c>
      <c r="H103" s="52">
        <f t="shared" si="96"/>
        <v>3.7553846153846151</v>
      </c>
      <c r="I103" s="52">
        <f t="shared" si="97"/>
        <v>4.0945</v>
      </c>
      <c r="K103" s="52">
        <f t="shared" si="98"/>
        <v>6.3659231128674829</v>
      </c>
      <c r="L103" s="135">
        <f t="shared" si="99"/>
        <v>4.2151688993463665E-5</v>
      </c>
      <c r="N103" s="131">
        <f t="shared" si="77"/>
        <v>0.23410991738102227</v>
      </c>
      <c r="O103" s="131">
        <f t="shared" si="78"/>
        <v>0.23410991738102227</v>
      </c>
      <c r="P103" s="55">
        <f t="shared" si="100"/>
        <v>1.0000000000000002</v>
      </c>
      <c r="Q103" s="135">
        <f>_xll.xSPRDOPT(I103,H103,AQ103,0,O103,N103,P103,D103-$G$5,1,0)*AH103*AU103</f>
        <v>6.3659652645564764</v>
      </c>
      <c r="R103" s="135"/>
      <c r="S103" s="181">
        <f t="shared" si="101"/>
        <v>-143039.30690716812</v>
      </c>
      <c r="T103" s="181">
        <f>_xll.xSPRDOPT(I103,H103,AQ103,AT103,O103,N103,P103,D103-$G$5,1,1)*AF103*F103*AH103</f>
        <v>139463.32423448891</v>
      </c>
      <c r="U103" s="135"/>
      <c r="V103" s="146">
        <f t="shared" si="102"/>
        <v>7.753540028024573</v>
      </c>
      <c r="W103" s="146"/>
      <c r="X103" s="338">
        <f t="shared" si="103"/>
        <v>0</v>
      </c>
      <c r="Y103" s="338">
        <f t="shared" si="79"/>
        <v>0</v>
      </c>
      <c r="Z103" s="338">
        <f t="shared" si="80"/>
        <v>19.806769575545303</v>
      </c>
      <c r="AA103" s="338">
        <f t="shared" si="81"/>
        <v>6.1396444588241811E-5</v>
      </c>
      <c r="AB103" s="338">
        <f t="shared" si="104"/>
        <v>0</v>
      </c>
      <c r="AC103" s="338">
        <f t="shared" si="105"/>
        <v>20.092663241737103</v>
      </c>
      <c r="AF103" s="138">
        <f t="shared" si="106"/>
        <v>1</v>
      </c>
      <c r="AG103" s="138">
        <f t="shared" si="107"/>
        <v>10</v>
      </c>
      <c r="AH103" s="138">
        <f t="shared" si="82"/>
        <v>31</v>
      </c>
      <c r="AI103" s="138">
        <f t="shared" si="108"/>
        <v>2480</v>
      </c>
      <c r="AJ103" s="138">
        <f t="shared" si="109"/>
        <v>2497</v>
      </c>
      <c r="AL103" s="136">
        <f t="shared" si="83"/>
        <v>3.6444999999999999</v>
      </c>
      <c r="AM103" s="258">
        <f t="shared" si="84"/>
        <v>7.0000000000000001E-3</v>
      </c>
      <c r="AN103" s="258">
        <f t="shared" si="85"/>
        <v>0.01</v>
      </c>
      <c r="AO103" s="258">
        <f t="shared" si="86"/>
        <v>0.45</v>
      </c>
      <c r="AP103" s="258">
        <f t="shared" si="87"/>
        <v>0</v>
      </c>
      <c r="AQ103" s="136">
        <f t="shared" si="110"/>
        <v>3.6400000000000002E-2</v>
      </c>
      <c r="AR103" s="137">
        <f t="shared" si="88"/>
        <v>2.5000000000000001E-2</v>
      </c>
      <c r="AS103" s="136">
        <f t="shared" si="111"/>
        <v>3.6614999999999998</v>
      </c>
      <c r="AT103" s="137">
        <f t="shared" si="112"/>
        <v>5.76479946057291E-2</v>
      </c>
      <c r="AU103" s="137">
        <f t="shared" si="89"/>
        <v>0.67836776363549112</v>
      </c>
      <c r="AV103" s="394">
        <f t="shared" si="113"/>
        <v>3596.0275150317384</v>
      </c>
      <c r="AW103" s="137">
        <f t="shared" si="90"/>
        <v>0.23</v>
      </c>
      <c r="AX103" s="137">
        <f t="shared" si="91"/>
        <v>0.6</v>
      </c>
      <c r="AY103" s="137">
        <f t="shared" si="92"/>
        <v>0.6</v>
      </c>
      <c r="AZ103" s="137"/>
      <c r="BA103" s="264"/>
      <c r="BB103" s="258">
        <f t="shared" si="93"/>
        <v>0</v>
      </c>
      <c r="BC103" s="258">
        <f t="shared" si="114"/>
        <v>0</v>
      </c>
      <c r="BD103" s="137">
        <f t="shared" si="115"/>
        <v>4.8915958872630672E-6</v>
      </c>
      <c r="BE103" s="137">
        <f t="shared" si="116"/>
        <v>4.8915958872630672E-6</v>
      </c>
      <c r="BF103" s="137">
        <f>_xll.xSPRDOPT($BW103,$BV103,$CG103,0,$BY103,$BX103,$BZ103,$AJ103,1,4)*$CB103</f>
        <v>-1.0507899866421571E-6</v>
      </c>
      <c r="BG103" s="137">
        <f>_xll.xSPRDOPT($BW103,$BV103,$CG103,0,$BY103,$BX103,$BZ103,$AJ103,1,3)*$CB103</f>
        <v>-8.891299886972099E-7</v>
      </c>
      <c r="BH103" s="137">
        <f>IF(OR(BF103&lt;&gt;0,BG103&lt;&gt;0),_xll.xSPRDOPT($BW103,$BV103,$CG103,0,$BY103,$BX103,$BZ103,$AJ103,1,12)*$CB103,0)</f>
        <v>4.8497999383484178E-7</v>
      </c>
      <c r="BI103" s="137">
        <f>_xll.xSPRDOPT($BW103,$BV103,$CG103,2*LN(1+CA103/2),$BY103,$BX103,$BZ103,$AJ103,1,9)</f>
        <v>1.1664341008820979E-2</v>
      </c>
      <c r="BJ103" s="137">
        <f>_xll.xSPRDOPT($BW103,$BV103,$CG103,0,$BY103,$BX103,$BZ103,$AJ103,1,6)*$CB103</f>
        <v>-6.7232174841765188E-4</v>
      </c>
      <c r="BK103" s="137">
        <f>_xll.xSPRDOPT($BW103,$BV103,$CG103,0,$BY103,$BX103,$BZ103,$AJ103,1,5)*$CB103</f>
        <v>7.3303314730719478E-4</v>
      </c>
      <c r="BL103" s="137">
        <f>_xll.xSPRDOPT(BW103,BV103,CG103,0,BY103,BX103,BZ103,AJ103,1,2)*CB103</f>
        <v>-0.67803530614183971</v>
      </c>
      <c r="BM103" s="137">
        <f>_xll.xSPRDOPT(BW103,BV103,CG103,0,BY103,BX103,BZ103,AJ103,1,1)*CB103</f>
        <v>0.6780353061492399</v>
      </c>
      <c r="BN103" s="137">
        <f>IF(AH103&lt;&gt;0,_xll.xSPRDOPT($BW103,$BV103,$CG103,2*LN(1+CA103/2),$BY103,$BX103,$BZ103,$AJ103,1,8)+(AJ103/365.25)*CH103/AH103,0)</f>
        <v>0.30585825612121353</v>
      </c>
      <c r="BO103" s="137">
        <f>_xll.xSPRDOPT($BW103,$BV103,$CG103,0,$BY103,$BX103,$BZ103,$AJ103,1,0)</f>
        <v>0.30271740119920737</v>
      </c>
      <c r="BP103" s="137"/>
      <c r="BQ103" s="137"/>
      <c r="BR103" s="137"/>
      <c r="BS103" s="137"/>
      <c r="BV103" s="262">
        <v>3.7553846153846151</v>
      </c>
      <c r="BW103" s="136">
        <v>4.0945</v>
      </c>
      <c r="BX103" s="137">
        <v>0.23410502578513501</v>
      </c>
      <c r="BY103" s="137">
        <v>0.23410502578513501</v>
      </c>
      <c r="BZ103" s="137">
        <v>1</v>
      </c>
      <c r="CA103" s="137">
        <v>5.76479946057291E-2</v>
      </c>
      <c r="CB103" s="137">
        <v>0.67805117602048404</v>
      </c>
      <c r="CC103" s="258">
        <v>7.0000000000000001E-3</v>
      </c>
      <c r="CD103" s="258">
        <v>0.01</v>
      </c>
      <c r="CE103" s="258">
        <v>0.45</v>
      </c>
      <c r="CF103" s="258">
        <v>0</v>
      </c>
      <c r="CG103" s="258">
        <v>3.6400000000000002E-2</v>
      </c>
      <c r="CH103" s="258">
        <v>7.7499215265613266</v>
      </c>
      <c r="CI103" s="258">
        <v>3.6444999999999999</v>
      </c>
      <c r="CJ103" s="258"/>
      <c r="CK103" s="258"/>
      <c r="CL103" s="258"/>
      <c r="CM103" s="258"/>
    </row>
    <row r="104" spans="1:91" x14ac:dyDescent="0.25">
      <c r="A104" s="723"/>
      <c r="B104" s="723"/>
      <c r="D104" s="31">
        <f t="shared" si="94"/>
        <v>39767</v>
      </c>
      <c r="F104" s="28">
        <f t="shared" si="95"/>
        <v>11107</v>
      </c>
      <c r="G104" s="28">
        <f t="shared" si="76"/>
        <v>7489.1088541604804</v>
      </c>
      <c r="H104" s="52">
        <f t="shared" si="96"/>
        <v>3.8997442455242965</v>
      </c>
      <c r="I104" s="52">
        <f t="shared" si="97"/>
        <v>4.2465000000000002</v>
      </c>
      <c r="K104" s="52">
        <f t="shared" si="98"/>
        <v>6.2779005009011835</v>
      </c>
      <c r="L104" s="135">
        <f t="shared" si="99"/>
        <v>5.0856347817429537E-5</v>
      </c>
      <c r="N104" s="131">
        <f t="shared" si="77"/>
        <v>0.23745808481236294</v>
      </c>
      <c r="O104" s="131">
        <f t="shared" si="78"/>
        <v>0.23745808481236294</v>
      </c>
      <c r="P104" s="55">
        <f t="shared" si="100"/>
        <v>1</v>
      </c>
      <c r="Q104" s="135">
        <f>_xll.xSPRDOPT(I104,H104,AQ104,0,O104,N104,P104,D104-$G$5,1,0)*AH104*AU104</f>
        <v>6.2779513572490009</v>
      </c>
      <c r="R104" s="135"/>
      <c r="S104" s="181">
        <f t="shared" si="101"/>
        <v>-228531.08375175556</v>
      </c>
      <c r="T104" s="181">
        <f>_xll.xSPRDOPT(I104,H104,AQ104,AT104,O104,N104,P104,D104-$G$5,1,1)*AF104*F104*AH104</f>
        <v>223389.13436734106</v>
      </c>
      <c r="U104" s="135"/>
      <c r="V104" s="146">
        <f t="shared" si="102"/>
        <v>7.4580924674411699</v>
      </c>
      <c r="W104" s="146"/>
      <c r="X104" s="338">
        <f t="shared" si="103"/>
        <v>0</v>
      </c>
      <c r="Y104" s="338">
        <f t="shared" si="79"/>
        <v>0</v>
      </c>
      <c r="Z104" s="338">
        <f t="shared" si="80"/>
        <v>32.629525076507498</v>
      </c>
      <c r="AA104" s="338">
        <f t="shared" si="81"/>
        <v>4.4259992585221023E-4</v>
      </c>
      <c r="AB104" s="338">
        <f t="shared" si="104"/>
        <v>0</v>
      </c>
      <c r="AC104" s="338">
        <f t="shared" si="105"/>
        <v>33.106305431830343</v>
      </c>
      <c r="AF104" s="138">
        <f t="shared" si="106"/>
        <v>1</v>
      </c>
      <c r="AG104" s="138">
        <f t="shared" si="107"/>
        <v>11</v>
      </c>
      <c r="AH104" s="138">
        <f t="shared" si="82"/>
        <v>30</v>
      </c>
      <c r="AI104" s="138">
        <f t="shared" si="108"/>
        <v>2511</v>
      </c>
      <c r="AJ104" s="138">
        <f t="shared" si="109"/>
        <v>2528</v>
      </c>
      <c r="AL104" s="136">
        <f t="shared" si="83"/>
        <v>3.7965</v>
      </c>
      <c r="AM104" s="258">
        <f t="shared" si="84"/>
        <v>8.0000000000000002E-3</v>
      </c>
      <c r="AN104" s="258">
        <f t="shared" si="85"/>
        <v>7.4999999999999997E-3</v>
      </c>
      <c r="AO104" s="258">
        <f t="shared" si="86"/>
        <v>0.45</v>
      </c>
      <c r="AP104" s="258">
        <f t="shared" si="87"/>
        <v>0</v>
      </c>
      <c r="AQ104" s="136">
        <f t="shared" si="110"/>
        <v>3.6400000000000002E-2</v>
      </c>
      <c r="AR104" s="137">
        <f t="shared" si="88"/>
        <v>2.2499999999999999E-2</v>
      </c>
      <c r="AS104" s="136">
        <f t="shared" si="111"/>
        <v>3.8119999999999998</v>
      </c>
      <c r="AT104" s="137">
        <f t="shared" si="112"/>
        <v>5.7832010883366501E-2</v>
      </c>
      <c r="AU104" s="137">
        <f t="shared" si="89"/>
        <v>0.67426927650675073</v>
      </c>
      <c r="AV104" s="394">
        <f t="shared" si="113"/>
        <v>5178.3880435718456</v>
      </c>
      <c r="AW104" s="137">
        <f t="shared" si="90"/>
        <v>0.23</v>
      </c>
      <c r="AX104" s="137">
        <f t="shared" si="91"/>
        <v>0.8</v>
      </c>
      <c r="AY104" s="137">
        <f t="shared" si="92"/>
        <v>0.8</v>
      </c>
      <c r="AZ104" s="137"/>
      <c r="BA104" s="264"/>
      <c r="BB104" s="258">
        <f t="shared" si="93"/>
        <v>0</v>
      </c>
      <c r="BC104" s="258">
        <f t="shared" si="114"/>
        <v>0</v>
      </c>
      <c r="BD104" s="137">
        <f t="shared" si="115"/>
        <v>8.7083008758759295E-6</v>
      </c>
      <c r="BE104" s="137">
        <f t="shared" si="116"/>
        <v>8.7083008758759295E-6</v>
      </c>
      <c r="BF104" s="137">
        <f>_xll.xSPRDOPT($BW104,$BV104,$CG104,0,$BY104,$BX104,$BZ104,$AJ104,1,4)*$CB104</f>
        <v>-8.0341531224939061E-8</v>
      </c>
      <c r="BG104" s="137">
        <f>_xll.xSPRDOPT($BW104,$BV104,$CG104,0,$BY104,$BX104,$BZ104,$AJ104,1,3)*$CB104</f>
        <v>6.4273224979951248E-7</v>
      </c>
      <c r="BH104" s="137">
        <f>IF(OR(BF104&lt;&gt;0,BG104&lt;&gt;0),_xll.xSPRDOPT($BW104,$BV104,$CG104,0,$BY104,$BX104,$BZ104,$AJ104,1,12)*$CB104,0)</f>
        <v>3.2136612489975624E-7</v>
      </c>
      <c r="BI104" s="137">
        <f>_xll.xSPRDOPT($BW104,$BV104,$CG104,2*LN(1+CA104/2),$BY104,$BX104,$BZ104,$AJ104,1,9)</f>
        <v>1.1922345301956088E-2</v>
      </c>
      <c r="BJ104" s="137">
        <f>_xll.xSPRDOPT($BW104,$BV104,$CG104,0,$BY104,$BX104,$BZ104,$AJ104,1,6)*$CB104</f>
        <v>-1.7154273373601492E-3</v>
      </c>
      <c r="BK104" s="137">
        <f>_xll.xSPRDOPT($BW104,$BV104,$CG104,0,$BY104,$BX104,$BZ104,$AJ104,1,5)*$CB104</f>
        <v>1.8679589579656201E-3</v>
      </c>
      <c r="BL104" s="137">
        <f>_xll.xSPRDOPT(BW104,BV104,CG104,0,BY104,BX104,BZ104,AJ104,1,2)*CB104</f>
        <v>-0.67391273018780073</v>
      </c>
      <c r="BM104" s="137">
        <f>_xll.xSPRDOPT(BW104,BV104,CG104,0,BY104,BX104,BZ104,AJ104,1,1)*CB104</f>
        <v>0.67391273018105824</v>
      </c>
      <c r="BN104" s="137">
        <f>IF(AH104&lt;&gt;0,_xll.xSPRDOPT($BW104,$BV104,$CG104,2*LN(1+CA104/2),$BY104,$BX104,$BZ104,$AJ104,1,8)+(AJ104/365.25)*CH104/AH104,0)</f>
        <v>0.27214223072336452</v>
      </c>
      <c r="BO104" s="137">
        <f>_xll.xSPRDOPT($BW104,$BV104,$CG104,0,$BY104,$BX104,$BZ104,$AJ104,1,0)</f>
        <v>0.31035829856890496</v>
      </c>
      <c r="BP104" s="137"/>
      <c r="BQ104" s="137"/>
      <c r="BR104" s="137"/>
      <c r="BS104" s="137"/>
      <c r="BV104" s="262">
        <v>3.8997442455242965</v>
      </c>
      <c r="BW104" s="136">
        <v>4.2465000000000002</v>
      </c>
      <c r="BX104" s="137">
        <v>0.23744937651148706</v>
      </c>
      <c r="BY104" s="137">
        <v>0.23744937651148706</v>
      </c>
      <c r="BZ104" s="137">
        <v>1</v>
      </c>
      <c r="CA104" s="137">
        <v>5.7832010883366501E-2</v>
      </c>
      <c r="CB104" s="137">
        <v>0.6739536115657736</v>
      </c>
      <c r="CC104" s="258">
        <v>8.0000000000000002E-3</v>
      </c>
      <c r="CD104" s="258">
        <v>7.4999999999999997E-3</v>
      </c>
      <c r="CE104" s="258">
        <v>0.45</v>
      </c>
      <c r="CF104" s="258">
        <v>0</v>
      </c>
      <c r="CG104" s="258">
        <v>3.6400000000000002E-2</v>
      </c>
      <c r="CH104" s="258">
        <v>7.4546008975290219</v>
      </c>
      <c r="CI104" s="258">
        <v>3.7965</v>
      </c>
      <c r="CJ104" s="258"/>
      <c r="CK104" s="258"/>
      <c r="CL104" s="258"/>
      <c r="CM104" s="258"/>
    </row>
    <row r="105" spans="1:91" x14ac:dyDescent="0.25">
      <c r="A105" s="723"/>
      <c r="B105" s="723"/>
      <c r="D105" s="31">
        <f t="shared" si="94"/>
        <v>39797</v>
      </c>
      <c r="F105" s="28">
        <f t="shared" si="95"/>
        <v>11107</v>
      </c>
      <c r="G105" s="28">
        <f t="shared" si="76"/>
        <v>7445.1028651527531</v>
      </c>
      <c r="H105" s="52">
        <f t="shared" si="96"/>
        <v>4.0460358056265981</v>
      </c>
      <c r="I105" s="52">
        <f t="shared" si="97"/>
        <v>4.3395000000000001</v>
      </c>
      <c r="K105" s="52">
        <f t="shared" si="98"/>
        <v>5.3416719610863046</v>
      </c>
      <c r="L105" s="135">
        <f t="shared" si="99"/>
        <v>1.994485099743315E-4</v>
      </c>
      <c r="N105" s="131">
        <f t="shared" si="77"/>
        <v>0.2421616097922781</v>
      </c>
      <c r="O105" s="131">
        <f t="shared" si="78"/>
        <v>0.2421616097922781</v>
      </c>
      <c r="P105" s="55">
        <f t="shared" si="100"/>
        <v>1</v>
      </c>
      <c r="Q105" s="135">
        <f>_xll.xSPRDOPT(I105,H105,AQ105,0,O105,N105,P105,D105-$G$5,1,0)*AH105*AU105</f>
        <v>5.3418714095962789</v>
      </c>
      <c r="R105" s="135"/>
      <c r="S105" s="181">
        <f t="shared" si="101"/>
        <v>-234716.77076999246</v>
      </c>
      <c r="T105" s="181">
        <f>_xll.xSPRDOPT(I105,H105,AQ105,AT105,O105,N105,P105,D105-$G$5,1,1)*AF105*F105*AH105</f>
        <v>229435.64342766764</v>
      </c>
      <c r="U105" s="135"/>
      <c r="V105" s="146">
        <f t="shared" si="102"/>
        <v>7.6614110216833016</v>
      </c>
      <c r="W105" s="146"/>
      <c r="X105" s="338">
        <f t="shared" si="103"/>
        <v>0</v>
      </c>
      <c r="Y105" s="338">
        <f t="shared" si="79"/>
        <v>0</v>
      </c>
      <c r="Z105" s="338">
        <f t="shared" si="80"/>
        <v>27.840108339659725</v>
      </c>
      <c r="AA105" s="338">
        <f t="shared" si="81"/>
        <v>1.4209486315266563E-3</v>
      </c>
      <c r="AB105" s="338">
        <f t="shared" si="104"/>
        <v>0</v>
      </c>
      <c r="AC105" s="338">
        <f t="shared" si="105"/>
        <v>28.256664277353664</v>
      </c>
      <c r="AF105" s="138">
        <f t="shared" si="106"/>
        <v>1</v>
      </c>
      <c r="AG105" s="138">
        <f t="shared" si="107"/>
        <v>12</v>
      </c>
      <c r="AH105" s="138">
        <f t="shared" si="82"/>
        <v>31</v>
      </c>
      <c r="AI105" s="138">
        <f t="shared" si="108"/>
        <v>2541</v>
      </c>
      <c r="AJ105" s="138">
        <f t="shared" si="109"/>
        <v>2558</v>
      </c>
      <c r="AL105" s="136">
        <f t="shared" si="83"/>
        <v>3.9394999999999998</v>
      </c>
      <c r="AM105" s="258">
        <f t="shared" si="84"/>
        <v>8.0000000000000002E-3</v>
      </c>
      <c r="AN105" s="258">
        <f t="shared" si="85"/>
        <v>7.4999999999999997E-3</v>
      </c>
      <c r="AO105" s="258">
        <f t="shared" si="86"/>
        <v>0.4</v>
      </c>
      <c r="AP105" s="258">
        <f t="shared" si="87"/>
        <v>0</v>
      </c>
      <c r="AQ105" s="136">
        <f t="shared" si="110"/>
        <v>3.6400000000000002E-2</v>
      </c>
      <c r="AR105" s="137">
        <f t="shared" si="88"/>
        <v>2.2499999999999999E-2</v>
      </c>
      <c r="AS105" s="136">
        <f t="shared" si="111"/>
        <v>3.9549999999999996</v>
      </c>
      <c r="AT105" s="137">
        <f t="shared" si="112"/>
        <v>5.80100911627719E-2</v>
      </c>
      <c r="AU105" s="137">
        <f t="shared" si="89"/>
        <v>0.67030727155422287</v>
      </c>
      <c r="AV105" s="394">
        <f t="shared" si="113"/>
        <v>5319.5585070543129</v>
      </c>
      <c r="AW105" s="137">
        <f t="shared" si="90"/>
        <v>0.23</v>
      </c>
      <c r="AX105" s="137">
        <f t="shared" si="91"/>
        <v>1</v>
      </c>
      <c r="AY105" s="137">
        <f t="shared" si="92"/>
        <v>1</v>
      </c>
      <c r="AZ105" s="137"/>
      <c r="BA105" s="264"/>
      <c r="BB105" s="258">
        <f t="shared" si="93"/>
        <v>0</v>
      </c>
      <c r="BC105" s="258">
        <f t="shared" si="114"/>
        <v>0</v>
      </c>
      <c r="BD105" s="137">
        <f t="shared" si="115"/>
        <v>1.3897127106698992E-5</v>
      </c>
      <c r="BE105" s="137">
        <f t="shared" si="116"/>
        <v>1.3897127106698992E-5</v>
      </c>
      <c r="BF105" s="137">
        <f>_xll.xSPRDOPT($BW105,$BV105,$CG105,0,$BY105,$BX105,$BZ105,$AJ105,1,4)*$CB105</f>
        <v>-3.9934665504812336E-7</v>
      </c>
      <c r="BG105" s="137">
        <f>_xll.xSPRDOPT($BW105,$BV105,$CG105,0,$BY105,$BX105,$BZ105,$AJ105,1,3)*$CB105</f>
        <v>0</v>
      </c>
      <c r="BH105" s="137">
        <f>IF(OR(BF105&lt;&gt;0,BG105&lt;&gt;0),_xll.xSPRDOPT($BW105,$BV105,$CG105,0,$BY105,$BX105,$BZ105,$AJ105,1,12)*$CB105,0)</f>
        <v>4.3928132055293567E-7</v>
      </c>
      <c r="BI105" s="137">
        <f>_xll.xSPRDOPT($BW105,$BV105,$CG105,2*LN(1+CA105/2),$BY105,$BX105,$BZ105,$AJ105,1,9)</f>
        <v>9.8442225924179512E-3</v>
      </c>
      <c r="BJ105" s="137">
        <f>_xll.xSPRDOPT($BW105,$BV105,$CG105,0,$BY105,$BX105,$BZ105,$AJ105,1,6)*$CB105</f>
        <v>-4.0942039975046781E-3</v>
      </c>
      <c r="BK105" s="137">
        <f>_xll.xSPRDOPT($BW105,$BV105,$CG105,0,$BY105,$BX105,$BZ105,$AJ105,1,5)*$CB105</f>
        <v>4.3911618970637108E-3</v>
      </c>
      <c r="BL105" s="137">
        <f>_xll.xSPRDOPT(BW105,BV105,CG105,0,BY105,BX105,BZ105,AJ105,1,2)*CB105</f>
        <v>-0.66989383738069963</v>
      </c>
      <c r="BM105" s="137">
        <f>_xll.xSPRDOPT(BW105,BV105,CG105,0,BY105,BX105,BZ105,AJ105,1,1)*CB105</f>
        <v>0.66989383737704356</v>
      </c>
      <c r="BN105" s="137">
        <f>IF(AH105&lt;&gt;0,_xll.xSPRDOPT($BW105,$BV105,$CG105,2*LN(1+CA105/2),$BY105,$BX105,$BZ105,$AJ105,1,8)+(AJ105/365.25)*CH105/AH105,0)</f>
        <v>0.52377674275840347</v>
      </c>
      <c r="BO105" s="137">
        <f>_xll.xSPRDOPT($BW105,$BV105,$CG105,0,$BY105,$BX105,$BZ105,$AJ105,1,0)</f>
        <v>0.25707384952525497</v>
      </c>
      <c r="BP105" s="137"/>
      <c r="BQ105" s="137"/>
      <c r="BR105" s="137"/>
      <c r="BS105" s="137"/>
      <c r="BV105" s="262">
        <v>4.0460358056265981</v>
      </c>
      <c r="BW105" s="136">
        <v>4.3395000000000001</v>
      </c>
      <c r="BX105" s="137">
        <v>0.24214771266517141</v>
      </c>
      <c r="BY105" s="137">
        <v>0.24214771266517141</v>
      </c>
      <c r="BZ105" s="137">
        <v>1</v>
      </c>
      <c r="CA105" s="137">
        <v>5.80100911627719E-2</v>
      </c>
      <c r="CB105" s="137">
        <v>0.6699925090619856</v>
      </c>
      <c r="CC105" s="258">
        <v>8.0000000000000002E-3</v>
      </c>
      <c r="CD105" s="258">
        <v>7.4999999999999997E-3</v>
      </c>
      <c r="CE105" s="258">
        <v>0.4</v>
      </c>
      <c r="CF105" s="258">
        <v>0</v>
      </c>
      <c r="CG105" s="258">
        <v>3.6400000000000002E-2</v>
      </c>
      <c r="CH105" s="258">
        <v>7.6578133808257771</v>
      </c>
      <c r="CI105" s="258">
        <v>3.9394999999999998</v>
      </c>
      <c r="CJ105" s="258"/>
      <c r="CK105" s="258"/>
      <c r="CL105" s="258"/>
      <c r="CM105" s="258"/>
    </row>
    <row r="106" spans="1:91" x14ac:dyDescent="0.25">
      <c r="A106" s="723"/>
      <c r="B106" s="723"/>
      <c r="D106" s="31">
        <f t="shared" si="94"/>
        <v>39828</v>
      </c>
      <c r="F106" s="28">
        <f t="shared" si="95"/>
        <v>11107</v>
      </c>
      <c r="G106" s="28">
        <f t="shared" si="76"/>
        <v>7401.4037869845624</v>
      </c>
      <c r="H106" s="52">
        <f t="shared" si="96"/>
        <v>4.0997442455242972</v>
      </c>
      <c r="I106" s="52">
        <f t="shared" si="97"/>
        <v>4.3419999999999996</v>
      </c>
      <c r="K106" s="52">
        <f t="shared" si="98"/>
        <v>4.2524775711911307</v>
      </c>
      <c r="L106" s="135">
        <f t="shared" si="99"/>
        <v>5.3324604210835957E-4</v>
      </c>
      <c r="N106" s="131">
        <f t="shared" si="77"/>
        <v>0.24201952250874789</v>
      </c>
      <c r="O106" s="131">
        <f t="shared" si="78"/>
        <v>0.24201952250874789</v>
      </c>
      <c r="P106" s="55">
        <f t="shared" si="100"/>
        <v>1</v>
      </c>
      <c r="Q106" s="135">
        <f>_xll.xSPRDOPT(I106,H106,AQ106,0,O106,N106,P106,D106-$G$5,1,0)*AH106*AU106</f>
        <v>4.253010817233239</v>
      </c>
      <c r="R106" s="135"/>
      <c r="S106" s="181">
        <f t="shared" si="101"/>
        <v>-233266.81946649318</v>
      </c>
      <c r="T106" s="181">
        <f>_xll.xSPRDOPT(I106,H106,AQ106,AT106,O106,N106,P106,D106-$G$5,1,1)*AF106*F106*AH106</f>
        <v>228018.31602849709</v>
      </c>
      <c r="U106" s="135"/>
      <c r="V106" s="146">
        <f t="shared" si="102"/>
        <v>7.6164423214276988</v>
      </c>
      <c r="W106" s="146"/>
      <c r="X106" s="338">
        <f t="shared" si="103"/>
        <v>0</v>
      </c>
      <c r="Y106" s="338">
        <f t="shared" si="79"/>
        <v>0</v>
      </c>
      <c r="Z106" s="338">
        <f t="shared" si="80"/>
        <v>22.206443880782125</v>
      </c>
      <c r="AA106" s="338">
        <f t="shared" si="81"/>
        <v>4.1538049276807635E-3</v>
      </c>
      <c r="AB106" s="338">
        <f t="shared" si="104"/>
        <v>0</v>
      </c>
      <c r="AC106" s="338">
        <f t="shared" si="105"/>
        <v>22.555190491393393</v>
      </c>
      <c r="AF106" s="138">
        <f t="shared" si="106"/>
        <v>1</v>
      </c>
      <c r="AG106" s="138">
        <f t="shared" si="107"/>
        <v>1</v>
      </c>
      <c r="AH106" s="138">
        <f t="shared" si="82"/>
        <v>31</v>
      </c>
      <c r="AI106" s="138">
        <f t="shared" si="108"/>
        <v>2572</v>
      </c>
      <c r="AJ106" s="138">
        <f t="shared" si="109"/>
        <v>2589</v>
      </c>
      <c r="AL106" s="136">
        <f t="shared" si="83"/>
        <v>3.992</v>
      </c>
      <c r="AM106" s="258">
        <f t="shared" si="84"/>
        <v>8.0000000000000002E-3</v>
      </c>
      <c r="AN106" s="258">
        <f t="shared" si="85"/>
        <v>7.4999999999999997E-3</v>
      </c>
      <c r="AO106" s="258">
        <f t="shared" si="86"/>
        <v>0.35</v>
      </c>
      <c r="AP106" s="258">
        <f t="shared" si="87"/>
        <v>0</v>
      </c>
      <c r="AQ106" s="136">
        <f t="shared" si="110"/>
        <v>3.6400000000000002E-2</v>
      </c>
      <c r="AR106" s="137">
        <f t="shared" si="88"/>
        <v>2.2499999999999999E-2</v>
      </c>
      <c r="AS106" s="136">
        <f t="shared" si="111"/>
        <v>4.0075000000000003</v>
      </c>
      <c r="AT106" s="137">
        <f t="shared" si="112"/>
        <v>5.8160280129314401E-2</v>
      </c>
      <c r="AU106" s="137">
        <f t="shared" si="89"/>
        <v>0.66637289880116701</v>
      </c>
      <c r="AV106" s="394">
        <f t="shared" si="113"/>
        <v>5288.3353248860612</v>
      </c>
      <c r="AW106" s="137">
        <f t="shared" si="90"/>
        <v>0.23</v>
      </c>
      <c r="AX106" s="137">
        <f t="shared" si="91"/>
        <v>1</v>
      </c>
      <c r="AY106" s="137">
        <f t="shared" si="92"/>
        <v>1</v>
      </c>
      <c r="AZ106" s="137"/>
      <c r="BA106" s="264"/>
      <c r="BB106" s="258">
        <f t="shared" si="93"/>
        <v>0</v>
      </c>
      <c r="BC106" s="258">
        <f t="shared" si="114"/>
        <v>0</v>
      </c>
      <c r="BD106" s="137">
        <f t="shared" si="115"/>
        <v>1.357427422263302E-5</v>
      </c>
      <c r="BE106" s="137">
        <f t="shared" si="116"/>
        <v>1.357427422263302E-5</v>
      </c>
      <c r="BF106" s="137">
        <f>_xll.xSPRDOPT($BW106,$BV106,$CG106,0,$BY106,$BX106,$BZ106,$AJ106,1,4)*$CB106</f>
        <v>3.5730199020957884E-7</v>
      </c>
      <c r="BG106" s="137">
        <f>_xll.xSPRDOPT($BW106,$BV106,$CG106,0,$BY106,$BX106,$BZ106,$AJ106,1,3)*$CB106</f>
        <v>5.1610287485398239E-7</v>
      </c>
      <c r="BH106" s="137">
        <f>IF(OR(BF106&lt;&gt;0,BG106&lt;&gt;0),_xll.xSPRDOPT($BW106,$BV106,$CG106,0,$BY106,$BX106,$BZ106,$AJ106,1,12)*$CB106,0)</f>
        <v>-1.1910066342784208E-7</v>
      </c>
      <c r="BI106" s="137">
        <f>_xll.xSPRDOPT($BW106,$BV106,$CG106,2*LN(1+CA106/2),$BY106,$BX106,$BZ106,$AJ106,1,9)</f>
        <v>7.8521668767014812E-3</v>
      </c>
      <c r="BJ106" s="137">
        <f>_xll.xSPRDOPT($BW106,$BV106,$CG106,0,$BY106,$BX106,$BZ106,$AJ106,1,6)*$CB106</f>
        <v>-9.5995924600007151E-3</v>
      </c>
      <c r="BK106" s="137">
        <f>_xll.xSPRDOPT($BW106,$BV106,$CG106,0,$BY106,$BX106,$BZ106,$AJ106,1,5)*$CB106</f>
        <v>1.0488324859622941E-2</v>
      </c>
      <c r="BL106" s="137">
        <f>_xll.xSPRDOPT(BW106,BV106,CG106,0,BY106,BX106,BZ106,AJ106,1,2)*CB106</f>
        <v>-0.66582158756768239</v>
      </c>
      <c r="BM106" s="137">
        <f>_xll.xSPRDOPT(BW106,BV106,CG106,0,BY106,BX106,BZ106,AJ106,1,1)*CB106</f>
        <v>0.66582158755950438</v>
      </c>
      <c r="BN106" s="137">
        <f>IF(AH106&lt;&gt;0,_xll.xSPRDOPT($BW106,$BV106,$CG106,2*LN(1+CA106/2),$BY106,$BX106,$BZ106,$AJ106,1,8)+(AJ106/365.25)*CH106/AH106,0)</f>
        <v>0.76870185915060174</v>
      </c>
      <c r="BO106" s="137">
        <f>_xll.xSPRDOPT($BW106,$BV106,$CG106,0,$BY106,$BX106,$BZ106,$AJ106,1,0)</f>
        <v>0.20588167457272324</v>
      </c>
      <c r="BP106" s="137"/>
      <c r="BQ106" s="137"/>
      <c r="BR106" s="137"/>
      <c r="BS106" s="137"/>
      <c r="BV106" s="262">
        <v>4.0997442455242972</v>
      </c>
      <c r="BW106" s="136">
        <v>4.3419999999999996</v>
      </c>
      <c r="BX106" s="137">
        <v>0.24200594823452526</v>
      </c>
      <c r="BY106" s="137">
        <v>0.24200594823452526</v>
      </c>
      <c r="BZ106" s="137">
        <v>1</v>
      </c>
      <c r="CA106" s="137">
        <v>5.8160280129314401E-2</v>
      </c>
      <c r="CB106" s="137">
        <v>0.66605918535740238</v>
      </c>
      <c r="CC106" s="258">
        <v>8.0000000000000002E-3</v>
      </c>
      <c r="CD106" s="258">
        <v>7.4999999999999997E-3</v>
      </c>
      <c r="CE106" s="258">
        <v>0.35</v>
      </c>
      <c r="CF106" s="258">
        <v>0</v>
      </c>
      <c r="CG106" s="258">
        <v>3.6400000000000002E-2</v>
      </c>
      <c r="CH106" s="258">
        <v>7.612856670879502</v>
      </c>
      <c r="CI106" s="258">
        <v>3.992</v>
      </c>
      <c r="CJ106" s="258"/>
      <c r="CK106" s="258"/>
      <c r="CL106" s="258"/>
      <c r="CM106" s="258"/>
    </row>
    <row r="107" spans="1:91" x14ac:dyDescent="0.25">
      <c r="A107" s="723"/>
      <c r="B107" s="723"/>
      <c r="D107" s="31">
        <f t="shared" si="94"/>
        <v>39859</v>
      </c>
      <c r="F107" s="28">
        <f t="shared" si="95"/>
        <v>11107</v>
      </c>
      <c r="G107" s="28">
        <f t="shared" si="76"/>
        <v>7359.8839037734415</v>
      </c>
      <c r="H107" s="52">
        <f t="shared" si="96"/>
        <v>4.0127877237851663</v>
      </c>
      <c r="I107" s="52">
        <f t="shared" si="97"/>
        <v>4.2569999999999997</v>
      </c>
      <c r="K107" s="52">
        <f t="shared" si="98"/>
        <v>3.8557016609491335</v>
      </c>
      <c r="L107" s="135">
        <f t="shared" si="99"/>
        <v>4.3093430346141659E-4</v>
      </c>
      <c r="N107" s="131">
        <f t="shared" si="77"/>
        <v>0.23838835927853291</v>
      </c>
      <c r="O107" s="131">
        <f t="shared" si="78"/>
        <v>0.23838835927853291</v>
      </c>
      <c r="P107" s="55">
        <f t="shared" si="100"/>
        <v>1</v>
      </c>
      <c r="Q107" s="135">
        <f>_xll.xSPRDOPT(I107,H107,AQ107,0,O107,N107,P107,D107-$G$5,1,0)*AH107*AU107</f>
        <v>3.8561325952525949</v>
      </c>
      <c r="R107" s="135"/>
      <c r="S107" s="181">
        <f t="shared" si="101"/>
        <v>-209489.67777886346</v>
      </c>
      <c r="T107" s="181">
        <f>_xll.xSPRDOPT(I107,H107,AQ107,AT107,O107,N107,P107,D107-$G$5,1,1)*AF107*F107*AH107</f>
        <v>204776.16002883905</v>
      </c>
      <c r="U107" s="135"/>
      <c r="V107" s="146">
        <f t="shared" si="102"/>
        <v>6.840775859277529</v>
      </c>
      <c r="W107" s="146"/>
      <c r="X107" s="338">
        <f t="shared" si="103"/>
        <v>0</v>
      </c>
      <c r="Y107" s="338">
        <f t="shared" si="79"/>
        <v>0</v>
      </c>
      <c r="Z107" s="338">
        <f t="shared" si="80"/>
        <v>20.171531231547018</v>
      </c>
      <c r="AA107" s="338">
        <f t="shared" si="81"/>
        <v>2.1810262059119958E-3</v>
      </c>
      <c r="AB107" s="338">
        <f t="shared" si="104"/>
        <v>0</v>
      </c>
      <c r="AC107" s="338">
        <f t="shared" si="105"/>
        <v>20.488756392930249</v>
      </c>
      <c r="AF107" s="138">
        <f t="shared" si="106"/>
        <v>1</v>
      </c>
      <c r="AG107" s="138">
        <f t="shared" si="107"/>
        <v>2</v>
      </c>
      <c r="AH107" s="138">
        <f t="shared" si="82"/>
        <v>28</v>
      </c>
      <c r="AI107" s="138">
        <f t="shared" si="108"/>
        <v>2603</v>
      </c>
      <c r="AJ107" s="138">
        <f t="shared" si="109"/>
        <v>2620</v>
      </c>
      <c r="AL107" s="136">
        <f t="shared" si="83"/>
        <v>3.907</v>
      </c>
      <c r="AM107" s="258">
        <f t="shared" si="84"/>
        <v>8.0000000000000002E-3</v>
      </c>
      <c r="AN107" s="258">
        <f t="shared" si="85"/>
        <v>7.4999999999999997E-3</v>
      </c>
      <c r="AO107" s="258">
        <f t="shared" si="86"/>
        <v>0.35</v>
      </c>
      <c r="AP107" s="258">
        <f t="shared" si="87"/>
        <v>0</v>
      </c>
      <c r="AQ107" s="136">
        <f t="shared" si="110"/>
        <v>3.6400000000000002E-2</v>
      </c>
      <c r="AR107" s="137">
        <f t="shared" si="88"/>
        <v>2.2499999999999999E-2</v>
      </c>
      <c r="AS107" s="136">
        <f t="shared" si="111"/>
        <v>3.9224999999999999</v>
      </c>
      <c r="AT107" s="137">
        <f t="shared" si="112"/>
        <v>5.82693930542924E-2</v>
      </c>
      <c r="AU107" s="137">
        <f t="shared" si="89"/>
        <v>0.66263472618829944</v>
      </c>
      <c r="AV107" s="394">
        <f t="shared" si="113"/>
        <v>4749.7657173177304</v>
      </c>
      <c r="AW107" s="137">
        <f t="shared" si="90"/>
        <v>0.22750000000000001</v>
      </c>
      <c r="AX107" s="137">
        <f t="shared" si="91"/>
        <v>1</v>
      </c>
      <c r="AY107" s="137">
        <f t="shared" si="92"/>
        <v>1</v>
      </c>
      <c r="AZ107" s="137"/>
      <c r="BA107" s="264"/>
      <c r="BB107" s="258">
        <f t="shared" si="93"/>
        <v>0</v>
      </c>
      <c r="BC107" s="258">
        <f t="shared" si="114"/>
        <v>0</v>
      </c>
      <c r="BD107" s="137">
        <f t="shared" si="115"/>
        <v>1.2183170521096187E-5</v>
      </c>
      <c r="BE107" s="137">
        <f t="shared" si="116"/>
        <v>1.2183170521096187E-5</v>
      </c>
      <c r="BF107" s="137">
        <f>_xll.xSPRDOPT($BW107,$BV107,$CG107,0,$BY107,$BX107,$BZ107,$AJ107,1,4)*$CB107</f>
        <v>-7.8954958415601746E-8</v>
      </c>
      <c r="BG107" s="137">
        <f>_xll.xSPRDOPT($BW107,$BV107,$CG107,0,$BY107,$BX107,$BZ107,$AJ107,1,3)*$CB107</f>
        <v>0</v>
      </c>
      <c r="BH107" s="137">
        <f>IF(OR(BF107&lt;&gt;0,BG107&lt;&gt;0),_xll.xSPRDOPT($BW107,$BV107,$CG107,0,$BY107,$BX107,$BZ107,$AJ107,1,12)*$CB107,0)</f>
        <v>0</v>
      </c>
      <c r="BI107" s="137">
        <f>_xll.xSPRDOPT($BW107,$BV107,$CG107,2*LN(1+CA107/2),$BY107,$BX107,$BZ107,$AJ107,1,9)</f>
        <v>7.8968344526645015E-3</v>
      </c>
      <c r="BJ107" s="137">
        <f>_xll.xSPRDOPT($BW107,$BV107,$CG107,0,$BY107,$BX107,$BZ107,$AJ107,1,6)*$CB107</f>
        <v>-9.4585473128594982E-3</v>
      </c>
      <c r="BK107" s="137">
        <f>_xll.xSPRDOPT($BW107,$BV107,$CG107,0,$BY107,$BX107,$BZ107,$AJ107,1,5)*$CB107</f>
        <v>1.0034180411599754E-2</v>
      </c>
      <c r="BL107" s="137">
        <f>_xll.xSPRDOPT(BW107,BV107,CG107,0,BY107,BX107,BZ107,AJ107,1,2)*CB107</f>
        <v>-0.66208081121838525</v>
      </c>
      <c r="BM107" s="137">
        <f>_xll.xSPRDOPT(BW107,BV107,CG107,0,BY107,BX107,BZ107,AJ107,1,1)*CB107</f>
        <v>0.6620808112117591</v>
      </c>
      <c r="BN107" s="137">
        <f>IF(AH107&lt;&gt;0,_xll.xSPRDOPT($BW107,$BV107,$CG107,2*LN(1+CA107/2),$BY107,$BX107,$BZ107,$AJ107,1,8)+(AJ107/365.25)*CH107/AH107,0)</f>
        <v>0.76425852361677249</v>
      </c>
      <c r="BO107" s="137">
        <f>_xll.xSPRDOPT($BW107,$BV107,$CG107,0,$BY107,$BX107,$BZ107,$AJ107,1,0)</f>
        <v>0.20783561057590505</v>
      </c>
      <c r="BP107" s="137"/>
      <c r="BQ107" s="137"/>
      <c r="BR107" s="137"/>
      <c r="BS107" s="137"/>
      <c r="BV107" s="262">
        <v>4.0127877237851663</v>
      </c>
      <c r="BW107" s="136">
        <v>4.2569999999999997</v>
      </c>
      <c r="BX107" s="137">
        <v>0.23837617610801182</v>
      </c>
      <c r="BY107" s="137">
        <v>0.23837617610801182</v>
      </c>
      <c r="BZ107" s="137">
        <v>1</v>
      </c>
      <c r="CA107" s="137">
        <v>5.82693930542924E-2</v>
      </c>
      <c r="CB107" s="137">
        <v>0.66232219580478413</v>
      </c>
      <c r="CC107" s="258">
        <v>8.0000000000000002E-3</v>
      </c>
      <c r="CD107" s="258">
        <v>7.4999999999999997E-3</v>
      </c>
      <c r="CE107" s="258">
        <v>0.35</v>
      </c>
      <c r="CF107" s="258">
        <v>0</v>
      </c>
      <c r="CG107" s="258">
        <v>3.6400000000000002E-2</v>
      </c>
      <c r="CH107" s="258">
        <v>6.8375494206102703</v>
      </c>
      <c r="CI107" s="258">
        <v>3.907</v>
      </c>
      <c r="CJ107" s="258"/>
      <c r="CK107" s="258"/>
      <c r="CL107" s="258"/>
      <c r="CM107" s="258"/>
    </row>
    <row r="108" spans="1:91" x14ac:dyDescent="0.25">
      <c r="A108" s="723"/>
      <c r="B108" s="723"/>
      <c r="D108" s="31">
        <f t="shared" si="94"/>
        <v>39887</v>
      </c>
      <c r="F108" s="28">
        <f t="shared" si="95"/>
        <v>11107</v>
      </c>
      <c r="G108" s="28">
        <f t="shared" si="76"/>
        <v>7322.4692866673768</v>
      </c>
      <c r="H108" s="52">
        <f t="shared" si="96"/>
        <v>3.8849104859335037</v>
      </c>
      <c r="I108" s="52">
        <f t="shared" si="97"/>
        <v>4.1770000000000005</v>
      </c>
      <c r="K108" s="52">
        <f t="shared" si="98"/>
        <v>5.2255908007490497</v>
      </c>
      <c r="L108" s="135">
        <f t="shared" si="99"/>
        <v>9.7636688193958321E-5</v>
      </c>
      <c r="N108" s="131">
        <f t="shared" si="77"/>
        <v>0.22673988789306748</v>
      </c>
      <c r="O108" s="131">
        <f t="shared" si="78"/>
        <v>0.22673988789306748</v>
      </c>
      <c r="P108" s="55">
        <f t="shared" si="100"/>
        <v>1.0000000000000002</v>
      </c>
      <c r="Q108" s="135">
        <f>_xll.xSPRDOPT(I108,H108,AQ108,0,O108,N108,P108,D108-$G$5,1,0)*AH108*AU108</f>
        <v>5.2256884374372436</v>
      </c>
      <c r="R108" s="135"/>
      <c r="S108" s="181">
        <f t="shared" si="101"/>
        <v>-230805.91128438868</v>
      </c>
      <c r="T108" s="181">
        <f>_xll.xSPRDOPT(I108,H108,AQ108,AT108,O108,N108,P108,D108-$G$5,1,1)*AF108*F108*AH108</f>
        <v>225612.77828048993</v>
      </c>
      <c r="U108" s="135"/>
      <c r="V108" s="146">
        <f t="shared" si="102"/>
        <v>7.5352144778808068</v>
      </c>
      <c r="W108" s="146"/>
      <c r="X108" s="338">
        <f t="shared" si="103"/>
        <v>0</v>
      </c>
      <c r="Y108" s="338">
        <f t="shared" si="79"/>
        <v>0</v>
      </c>
      <c r="Z108" s="338">
        <f t="shared" si="80"/>
        <v>27.4084151909525</v>
      </c>
      <c r="AA108" s="338">
        <f t="shared" si="81"/>
        <v>3.5152075532480359E-4</v>
      </c>
      <c r="AB108" s="338">
        <f t="shared" si="104"/>
        <v>0</v>
      </c>
      <c r="AC108" s="338">
        <f t="shared" si="105"/>
        <v>27.812533325882498</v>
      </c>
      <c r="AF108" s="138">
        <f t="shared" si="106"/>
        <v>1</v>
      </c>
      <c r="AG108" s="138">
        <f t="shared" si="107"/>
        <v>3</v>
      </c>
      <c r="AH108" s="138">
        <f t="shared" si="82"/>
        <v>31</v>
      </c>
      <c r="AI108" s="138">
        <f t="shared" si="108"/>
        <v>2631</v>
      </c>
      <c r="AJ108" s="138">
        <f t="shared" si="109"/>
        <v>2648</v>
      </c>
      <c r="AL108" s="136">
        <f t="shared" si="83"/>
        <v>3.7770000000000001</v>
      </c>
      <c r="AM108" s="258">
        <f t="shared" si="84"/>
        <v>1.2999999999999999E-2</v>
      </c>
      <c r="AN108" s="258">
        <f t="shared" si="85"/>
        <v>7.4999999999999997E-3</v>
      </c>
      <c r="AO108" s="258">
        <f t="shared" si="86"/>
        <v>0.4</v>
      </c>
      <c r="AP108" s="258">
        <f t="shared" si="87"/>
        <v>0</v>
      </c>
      <c r="AQ108" s="136">
        <f t="shared" si="110"/>
        <v>3.6400000000000002E-2</v>
      </c>
      <c r="AR108" s="137">
        <f t="shared" si="88"/>
        <v>2.2499999999999999E-2</v>
      </c>
      <c r="AS108" s="136">
        <f t="shared" si="111"/>
        <v>3.7974999999999999</v>
      </c>
      <c r="AT108" s="137">
        <f t="shared" si="112"/>
        <v>5.8367946667353003E-2</v>
      </c>
      <c r="AU108" s="137">
        <f t="shared" si="89"/>
        <v>0.65926616428084783</v>
      </c>
      <c r="AV108" s="394">
        <f t="shared" si="113"/>
        <v>5231.9362797328085</v>
      </c>
      <c r="AW108" s="137">
        <f t="shared" si="90"/>
        <v>0.22</v>
      </c>
      <c r="AX108" s="137">
        <f t="shared" si="91"/>
        <v>0.75</v>
      </c>
      <c r="AY108" s="137">
        <f t="shared" si="92"/>
        <v>0.75</v>
      </c>
      <c r="AZ108" s="137"/>
      <c r="BA108" s="264"/>
      <c r="BB108" s="258">
        <f t="shared" si="93"/>
        <v>0</v>
      </c>
      <c r="BC108" s="258">
        <f t="shared" si="114"/>
        <v>0</v>
      </c>
      <c r="BD108" s="137">
        <f t="shared" si="115"/>
        <v>7.5182023690778532E-6</v>
      </c>
      <c r="BE108" s="137">
        <f t="shared" si="116"/>
        <v>7.5182023690778532E-6</v>
      </c>
      <c r="BF108" s="137">
        <f>_xll.xSPRDOPT($BW108,$BV108,$CG108,0,$BY108,$BX108,$BZ108,$AJ108,1,4)*$CB108</f>
        <v>-7.8553522155095124E-8</v>
      </c>
      <c r="BG108" s="137">
        <f>_xll.xSPRDOPT($BW108,$BV108,$CG108,0,$BY108,$BX108,$BZ108,$AJ108,1,3)*$CB108</f>
        <v>0</v>
      </c>
      <c r="BH108" s="137">
        <f>IF(OR(BF108&lt;&gt;0,BG108&lt;&gt;0),_xll.xSPRDOPT($BW108,$BV108,$CG108,0,$BY108,$BX108,$BZ108,$AJ108,1,12)*$CB108,0)</f>
        <v>-2.3566056646528538E-7</v>
      </c>
      <c r="BI108" s="137">
        <f>_xll.xSPRDOPT($BW108,$BV108,$CG108,2*LN(1+CA108/2),$BY108,$BX108,$BZ108,$AJ108,1,9)</f>
        <v>9.6915765108852216E-3</v>
      </c>
      <c r="BJ108" s="137">
        <f>_xll.xSPRDOPT($BW108,$BV108,$CG108,0,$BY108,$BX108,$BZ108,$AJ108,1,6)*$CB108</f>
        <v>-1.8061070660509435E-3</v>
      </c>
      <c r="BK108" s="137">
        <f>_xll.xSPRDOPT($BW108,$BV108,$CG108,0,$BY108,$BX108,$BZ108,$AJ108,1,5)*$CB108</f>
        <v>1.9419004138933817E-3</v>
      </c>
      <c r="BL108" s="137">
        <f>_xll.xSPRDOPT(BW108,BV108,CG108,0,BY108,BX108,BZ108,AJ108,1,2)*CB108</f>
        <v>-0.65891234650117769</v>
      </c>
      <c r="BM108" s="137">
        <f>_xll.xSPRDOPT(BW108,BV108,CG108,0,BY108,BX108,BZ108,AJ108,1,1)*CB108</f>
        <v>0.6589123465113661</v>
      </c>
      <c r="BN108" s="137">
        <f>IF(AH108&lt;&gt;0,_xll.xSPRDOPT($BW108,$BV108,$CG108,2*LN(1+CA108/2),$BY108,$BX108,$BZ108,$AJ108,1,8)+(AJ108/365.25)*CH108/AH108,0)</f>
        <v>0.53986305229403841</v>
      </c>
      <c r="BO108" s="137">
        <f>_xll.xSPRDOPT($BW108,$BV108,$CG108,0,$BY108,$BX108,$BZ108,$AJ108,1,0)</f>
        <v>0.25569431639695994</v>
      </c>
      <c r="BP108" s="137"/>
      <c r="BQ108" s="137"/>
      <c r="BR108" s="137"/>
      <c r="BS108" s="137"/>
      <c r="BV108" s="262">
        <v>3.8849104859335037</v>
      </c>
      <c r="BW108" s="136">
        <v>4.1770000000000005</v>
      </c>
      <c r="BX108" s="137">
        <v>0.2267323696906984</v>
      </c>
      <c r="BY108" s="137">
        <v>0.2267323696906984</v>
      </c>
      <c r="BZ108" s="137">
        <v>1</v>
      </c>
      <c r="CA108" s="137">
        <v>5.8367946667353003E-2</v>
      </c>
      <c r="CB108" s="137">
        <v>0.6589547043784082</v>
      </c>
      <c r="CC108" s="258">
        <v>1.2999999999999999E-2</v>
      </c>
      <c r="CD108" s="258">
        <v>7.4999999999999997E-3</v>
      </c>
      <c r="CE108" s="258">
        <v>0.4</v>
      </c>
      <c r="CF108" s="258">
        <v>0</v>
      </c>
      <c r="CG108" s="258">
        <v>3.6400000000000002E-2</v>
      </c>
      <c r="CH108" s="258">
        <v>7.531654584633892</v>
      </c>
      <c r="CI108" s="258">
        <v>3.7770000000000001</v>
      </c>
      <c r="CJ108" s="258"/>
      <c r="CK108" s="258"/>
      <c r="CL108" s="258"/>
      <c r="CM108" s="258"/>
    </row>
    <row r="109" spans="1:91" x14ac:dyDescent="0.25">
      <c r="A109" s="723"/>
      <c r="B109" s="723"/>
      <c r="D109" s="31">
        <f t="shared" si="94"/>
        <v>39918</v>
      </c>
      <c r="F109" s="28">
        <f t="shared" si="95"/>
        <v>5899</v>
      </c>
      <c r="G109" s="28">
        <f t="shared" si="76"/>
        <v>3867.0626385422788</v>
      </c>
      <c r="H109" s="52">
        <f t="shared" si="96"/>
        <v>3.6982097186700762</v>
      </c>
      <c r="I109" s="52">
        <f t="shared" si="97"/>
        <v>4.1920000000000002</v>
      </c>
      <c r="K109" s="52">
        <f t="shared" si="98"/>
        <v>8.9952036014407071</v>
      </c>
      <c r="L109" s="135">
        <f t="shared" si="99"/>
        <v>1.2276693528434635E-6</v>
      </c>
      <c r="N109" s="131">
        <f t="shared" si="77"/>
        <v>0.20413967317406972</v>
      </c>
      <c r="O109" s="131">
        <f t="shared" si="78"/>
        <v>0.20413967317406972</v>
      </c>
      <c r="P109" s="55">
        <f t="shared" si="100"/>
        <v>1</v>
      </c>
      <c r="Q109" s="135">
        <f>_xll.xSPRDOPT(I109,H109,AQ109,0,O109,N109,P109,D109-$G$5,1,0)*AH109*AU109</f>
        <v>8.9952048291100599</v>
      </c>
      <c r="R109" s="135"/>
      <c r="S109" s="181">
        <f t="shared" si="101"/>
        <v>-117955.26780495714</v>
      </c>
      <c r="T109" s="181">
        <f>_xll.xSPRDOPT(I109,H109,AQ109,AT109,O109,N109,P109,D109-$G$5,1,1)*AF109*F109*AH109</f>
        <v>115301.27427934561</v>
      </c>
      <c r="U109" s="135"/>
      <c r="V109" s="146">
        <f t="shared" si="102"/>
        <v>7.2509882768123655</v>
      </c>
      <c r="W109" s="146"/>
      <c r="X109" s="338">
        <f t="shared" si="103"/>
        <v>0</v>
      </c>
      <c r="Y109" s="338">
        <f t="shared" si="79"/>
        <v>0</v>
      </c>
      <c r="Z109" s="338">
        <f t="shared" si="80"/>
        <v>25.108852778874294</v>
      </c>
      <c r="AA109" s="338">
        <f t="shared" si="81"/>
        <v>4.5398658942975023E-7</v>
      </c>
      <c r="AB109" s="338">
        <f t="shared" si="104"/>
        <v>0</v>
      </c>
      <c r="AC109" s="338">
        <f t="shared" si="105"/>
        <v>25.474191440604006</v>
      </c>
      <c r="AF109" s="138">
        <f t="shared" si="106"/>
        <v>1</v>
      </c>
      <c r="AG109" s="138">
        <f t="shared" si="107"/>
        <v>4</v>
      </c>
      <c r="AH109" s="138">
        <f t="shared" si="82"/>
        <v>30</v>
      </c>
      <c r="AI109" s="138">
        <f t="shared" si="108"/>
        <v>2662</v>
      </c>
      <c r="AJ109" s="138">
        <f t="shared" si="109"/>
        <v>2679</v>
      </c>
      <c r="AL109" s="136">
        <f t="shared" si="83"/>
        <v>3.5920000000000001</v>
      </c>
      <c r="AM109" s="258">
        <f t="shared" si="84"/>
        <v>1.2999999999999999E-2</v>
      </c>
      <c r="AN109" s="258">
        <f t="shared" si="85"/>
        <v>0.01</v>
      </c>
      <c r="AO109" s="258">
        <f t="shared" si="86"/>
        <v>0.6</v>
      </c>
      <c r="AP109" s="258">
        <f t="shared" si="87"/>
        <v>0</v>
      </c>
      <c r="AQ109" s="136">
        <f t="shared" si="110"/>
        <v>3.6400000000000002E-2</v>
      </c>
      <c r="AR109" s="137">
        <f t="shared" si="88"/>
        <v>2.2499999999999999E-2</v>
      </c>
      <c r="AS109" s="136">
        <f t="shared" si="111"/>
        <v>3.6149999999999998</v>
      </c>
      <c r="AT109" s="137">
        <f t="shared" si="112"/>
        <v>5.84770595998663E-2</v>
      </c>
      <c r="AU109" s="137">
        <f t="shared" si="89"/>
        <v>0.65554545491477856</v>
      </c>
      <c r="AV109" s="394">
        <f t="shared" si="113"/>
        <v>2674.6254560522966</v>
      </c>
      <c r="AW109" s="137">
        <f t="shared" si="90"/>
        <v>0.20250000000000001</v>
      </c>
      <c r="AX109" s="137">
        <f t="shared" si="91"/>
        <v>0.4</v>
      </c>
      <c r="AY109" s="137">
        <f t="shared" si="92"/>
        <v>0.4</v>
      </c>
      <c r="AZ109" s="137"/>
      <c r="BA109" s="264"/>
      <c r="BB109" s="258">
        <f t="shared" si="93"/>
        <v>0</v>
      </c>
      <c r="BC109" s="258">
        <f t="shared" si="114"/>
        <v>0</v>
      </c>
      <c r="BD109" s="137">
        <f t="shared" si="115"/>
        <v>1.8280919386881589E-6</v>
      </c>
      <c r="BE109" s="137">
        <f t="shared" si="116"/>
        <v>1.8280919386881589E-6</v>
      </c>
      <c r="BF109" s="137">
        <f>_xll.xSPRDOPT($BW109,$BV109,$CG109,0,$BY109,$BX109,$BZ109,$AJ109,1,4)*$CB109</f>
        <v>4.6866072338416586E-7</v>
      </c>
      <c r="BG109" s="137">
        <f>_xll.xSPRDOPT($BW109,$BV109,$CG109,0,$BY109,$BX109,$BZ109,$AJ109,1,3)*$CB109</f>
        <v>3.9055060282013825E-7</v>
      </c>
      <c r="BH109" s="137">
        <f>IF(OR(BF109&lt;&gt;0,BG109&lt;&gt;0),_xll.xSPRDOPT($BW109,$BV109,$CG109,0,$BY109,$BX109,$BZ109,$AJ109,1,12)*$CB109,0)</f>
        <v>-3.1244048225611059E-7</v>
      </c>
      <c r="BI109" s="137">
        <f>_xll.xSPRDOPT($BW109,$BV109,$CG109,2*LN(1+CA109/2),$BY109,$BX109,$BZ109,$AJ109,1,9)</f>
        <v>1.7274130224489717E-2</v>
      </c>
      <c r="BJ109" s="137">
        <f>_xll.xSPRDOPT($BW109,$BV109,$CG109,0,$BY109,$BX109,$BZ109,$AJ109,1,6)*$CB109</f>
        <v>-1.0509796398206278E-5</v>
      </c>
      <c r="BK109" s="137">
        <f>_xll.xSPRDOPT($BW109,$BV109,$CG109,0,$BY109,$BX109,$BZ109,$AJ109,1,5)*$CB109</f>
        <v>1.1913079642892569E-5</v>
      </c>
      <c r="BL109" s="137">
        <f>_xll.xSPRDOPT(BW109,BV109,CG109,0,BY109,BX109,BZ109,AJ109,1,2)*CB109</f>
        <v>-0.65523503128263783</v>
      </c>
      <c r="BM109" s="137">
        <f>_xll.xSPRDOPT(BW109,BV109,CG109,0,BY109,BX109,BZ109,AJ109,1,1)*CB109</f>
        <v>0.65523503129098093</v>
      </c>
      <c r="BN109" s="137">
        <f>IF(AH109&lt;&gt;0,_xll.xSPRDOPT($BW109,$BV109,$CG109,2*LN(1+CA109/2),$BY109,$BX109,$BZ109,$AJ109,1,8)+(AJ109/365.25)*CH109/AH109,0)</f>
        <v>-0.42624179962496145</v>
      </c>
      <c r="BO109" s="137">
        <f>_xll.xSPRDOPT($BW109,$BV109,$CG109,0,$BY109,$BX109,$BZ109,$AJ109,1,0)</f>
        <v>0.45739034399589501</v>
      </c>
      <c r="BP109" s="137"/>
      <c r="BQ109" s="137"/>
      <c r="BR109" s="137"/>
      <c r="BS109" s="137"/>
      <c r="BV109" s="262">
        <v>3.6982097186700762</v>
      </c>
      <c r="BW109" s="136">
        <v>4.1920000000000002</v>
      </c>
      <c r="BX109" s="137">
        <v>0.20413784508213104</v>
      </c>
      <c r="BY109" s="137">
        <v>0.20413784508213104</v>
      </c>
      <c r="BZ109" s="137">
        <v>1</v>
      </c>
      <c r="CA109" s="137">
        <v>5.84770595998663E-2</v>
      </c>
      <c r="CB109" s="137">
        <v>0.65523518224436683</v>
      </c>
      <c r="CC109" s="258">
        <v>1.2999999999999999E-2</v>
      </c>
      <c r="CD109" s="258">
        <v>0.01</v>
      </c>
      <c r="CE109" s="258">
        <v>0.6</v>
      </c>
      <c r="CF109" s="258">
        <v>0</v>
      </c>
      <c r="CG109" s="258">
        <v>3.6400000000000002E-2</v>
      </c>
      <c r="CH109" s="258">
        <v>7.2475563508049419</v>
      </c>
      <c r="CI109" s="258">
        <v>3.5920000000000001</v>
      </c>
      <c r="CJ109" s="258"/>
      <c r="CK109" s="258"/>
      <c r="CL109" s="258"/>
      <c r="CM109" s="258"/>
    </row>
    <row r="110" spans="1:91" x14ac:dyDescent="0.25">
      <c r="A110" s="723"/>
      <c r="B110" s="723"/>
      <c r="D110" s="31">
        <f t="shared" si="94"/>
        <v>39948</v>
      </c>
      <c r="F110" s="28">
        <f t="shared" si="95"/>
        <v>5895</v>
      </c>
      <c r="G110" s="28">
        <f t="shared" si="76"/>
        <v>3843.2665779496747</v>
      </c>
      <c r="H110" s="52">
        <f t="shared" si="96"/>
        <v>3.695652173913043</v>
      </c>
      <c r="I110" s="52">
        <f t="shared" si="97"/>
        <v>4.3369999999999997</v>
      </c>
      <c r="K110" s="52">
        <f t="shared" si="98"/>
        <v>12.226335640967379</v>
      </c>
      <c r="L110" s="135">
        <f t="shared" si="99"/>
        <v>1.2408673750741173E-6</v>
      </c>
      <c r="N110" s="131">
        <f t="shared" si="77"/>
        <v>0.20477005548485039</v>
      </c>
      <c r="O110" s="131">
        <f t="shared" si="78"/>
        <v>0.20477005548485039</v>
      </c>
      <c r="P110" s="55">
        <f t="shared" si="100"/>
        <v>1</v>
      </c>
      <c r="Q110" s="135">
        <f>_xll.xSPRDOPT(I110,H110,AQ110,0,O110,N110,P110,D110-$G$5,1,0)*AH110*AU110</f>
        <v>12.226336881834754</v>
      </c>
      <c r="R110" s="135"/>
      <c r="S110" s="181">
        <f t="shared" si="101"/>
        <v>-121126.07448056975</v>
      </c>
      <c r="T110" s="181">
        <f>_xll.xSPRDOPT(I110,H110,AQ110,AT110,O110,N110,P110,D110-$G$5,1,1)*AF110*F110*AH110</f>
        <v>118400.73780475694</v>
      </c>
      <c r="U110" s="135"/>
      <c r="V110" s="146">
        <f t="shared" si="102"/>
        <v>7.4516342673437483</v>
      </c>
      <c r="W110" s="146"/>
      <c r="X110" s="338">
        <f t="shared" si="103"/>
        <v>0</v>
      </c>
      <c r="Y110" s="338">
        <f t="shared" si="79"/>
        <v>0</v>
      </c>
      <c r="Z110" s="338">
        <f t="shared" si="80"/>
        <v>34.165675898600377</v>
      </c>
      <c r="AA110" s="338">
        <f t="shared" si="81"/>
        <v>1.2379800273961238E-8</v>
      </c>
      <c r="AB110" s="338">
        <f t="shared" si="104"/>
        <v>0</v>
      </c>
      <c r="AC110" s="338">
        <f t="shared" si="105"/>
        <v>34.663647778891622</v>
      </c>
      <c r="AF110" s="138">
        <f t="shared" si="106"/>
        <v>1</v>
      </c>
      <c r="AG110" s="138">
        <f t="shared" si="107"/>
        <v>5</v>
      </c>
      <c r="AH110" s="138">
        <f t="shared" si="82"/>
        <v>31</v>
      </c>
      <c r="AI110" s="138">
        <f t="shared" si="108"/>
        <v>2692</v>
      </c>
      <c r="AJ110" s="138">
        <f t="shared" si="109"/>
        <v>2709</v>
      </c>
      <c r="AL110" s="136">
        <f t="shared" si="83"/>
        <v>3.5870000000000002</v>
      </c>
      <c r="AM110" s="258">
        <f t="shared" si="84"/>
        <v>1.55E-2</v>
      </c>
      <c r="AN110" s="258">
        <f t="shared" si="85"/>
        <v>0.01</v>
      </c>
      <c r="AO110" s="258">
        <f t="shared" si="86"/>
        <v>0.75</v>
      </c>
      <c r="AP110" s="258">
        <f t="shared" si="87"/>
        <v>0</v>
      </c>
      <c r="AQ110" s="136">
        <f t="shared" si="110"/>
        <v>3.6400000000000002E-2</v>
      </c>
      <c r="AR110" s="137">
        <f t="shared" si="88"/>
        <v>2.2499999999999999E-2</v>
      </c>
      <c r="AS110" s="136">
        <f t="shared" si="111"/>
        <v>3.6124999999999998</v>
      </c>
      <c r="AT110" s="137">
        <f t="shared" si="112"/>
        <v>5.8582652764132402E-2</v>
      </c>
      <c r="AU110" s="137">
        <f t="shared" si="89"/>
        <v>0.65195361797280316</v>
      </c>
      <c r="AV110" s="394">
        <f t="shared" si="113"/>
        <v>2748.6364533733381</v>
      </c>
      <c r="AW110" s="137">
        <f t="shared" si="90"/>
        <v>0.20250000000000001</v>
      </c>
      <c r="AX110" s="137">
        <f t="shared" si="91"/>
        <v>0.45</v>
      </c>
      <c r="AY110" s="137">
        <f t="shared" si="92"/>
        <v>0.45</v>
      </c>
      <c r="AZ110" s="137"/>
      <c r="BA110" s="264"/>
      <c r="BB110" s="258">
        <f t="shared" si="93"/>
        <v>0</v>
      </c>
      <c r="BC110" s="258">
        <f t="shared" si="114"/>
        <v>0</v>
      </c>
      <c r="BD110" s="137">
        <f t="shared" si="115"/>
        <v>2.4986015282058016E-6</v>
      </c>
      <c r="BE110" s="137">
        <f t="shared" si="116"/>
        <v>2.4986015282058016E-6</v>
      </c>
      <c r="BF110" s="137">
        <f>_xll.xSPRDOPT($BW110,$BV110,$CG110,0,$BY110,$BX110,$BZ110,$AJ110,1,4)*$CB110</f>
        <v>-1.5536415487203325E-7</v>
      </c>
      <c r="BG110" s="137">
        <f>_xll.xSPRDOPT($BW110,$BV110,$CG110,0,$BY110,$BX110,$BZ110,$AJ110,1,3)*$CB110</f>
        <v>4.6609246461609974E-7</v>
      </c>
      <c r="BH110" s="137">
        <f>IF(OR(BF110&lt;&gt;0,BG110&lt;&gt;0),_xll.xSPRDOPT($BW110,$BV110,$CG110,0,$BY110,$BX110,$BZ110,$AJ110,1,12)*$CB110,0)</f>
        <v>-9.3218492923219948E-7</v>
      </c>
      <c r="BI110" s="137">
        <f>_xll.xSPRDOPT($BW110,$BV110,$CG110,2*LN(1+CA110/2),$BY110,$BX110,$BZ110,$AJ110,1,9)</f>
        <v>2.276216060989136E-2</v>
      </c>
      <c r="BJ110" s="137">
        <f>_xll.xSPRDOPT($BW110,$BV110,$CG110,0,$BY110,$BX110,$BZ110,$AJ110,1,6)*$CB110</f>
        <v>-1.5616059252146855E-7</v>
      </c>
      <c r="BK110" s="137">
        <f>_xll.xSPRDOPT($BW110,$BV110,$CG110,0,$BY110,$BX110,$BZ110,$AJ110,1,5)*$CB110</f>
        <v>1.8327319044877521E-7</v>
      </c>
      <c r="BL110" s="137">
        <f>_xll.xSPRDOPT(BW110,BV110,CG110,0,BY110,BX110,BZ110,AJ110,1,2)*CB110</f>
        <v>-0.6516445458450052</v>
      </c>
      <c r="BM110" s="137">
        <f>_xll.xSPRDOPT(BW110,BV110,CG110,0,BY110,BX110,BZ110,AJ110,1,1)*CB110</f>
        <v>0.6516445458568586</v>
      </c>
      <c r="BN110" s="137">
        <f>IF(AH110&lt;&gt;0,_xll.xSPRDOPT($BW110,$BV110,$CG110,2*LN(1+CA110/2),$BY110,$BX110,$BZ110,$AJ110,1,8)+(AJ110/365.25)*CH110/AH110,0)</f>
        <v>-1.1418194741137488</v>
      </c>
      <c r="BO110" s="137">
        <f>_xll.xSPRDOPT($BW110,$BV110,$CG110,0,$BY110,$BX110,$BZ110,$AJ110,1,0)</f>
        <v>0.6049478874885712</v>
      </c>
      <c r="BP110" s="137"/>
      <c r="BQ110" s="137"/>
      <c r="BR110" s="137"/>
      <c r="BS110" s="137"/>
      <c r="BV110" s="262">
        <v>3.695652173913043</v>
      </c>
      <c r="BW110" s="136">
        <v>4.3369999999999997</v>
      </c>
      <c r="BX110" s="137">
        <v>0.20476755688332218</v>
      </c>
      <c r="BY110" s="137">
        <v>0.20476755688332218</v>
      </c>
      <c r="BZ110" s="137">
        <v>1</v>
      </c>
      <c r="CA110" s="137">
        <v>5.8582652764132402E-2</v>
      </c>
      <c r="CB110" s="137">
        <v>0.65164449623638854</v>
      </c>
      <c r="CC110" s="258">
        <v>1.55E-2</v>
      </c>
      <c r="CD110" s="258">
        <v>0.01</v>
      </c>
      <c r="CE110" s="258">
        <v>0.75</v>
      </c>
      <c r="CF110" s="258">
        <v>0</v>
      </c>
      <c r="CG110" s="258">
        <v>3.6400000000000002E-2</v>
      </c>
      <c r="CH110" s="258">
        <v>7.4481010986330505</v>
      </c>
      <c r="CI110" s="258">
        <v>3.5870000000000002</v>
      </c>
      <c r="CJ110" s="258"/>
      <c r="CK110" s="258"/>
      <c r="CL110" s="258"/>
      <c r="CM110" s="258"/>
    </row>
    <row r="111" spans="1:91" x14ac:dyDescent="0.25">
      <c r="A111" s="723"/>
      <c r="B111" s="723"/>
      <c r="D111" s="31">
        <f t="shared" si="94"/>
        <v>39979</v>
      </c>
      <c r="F111" s="28">
        <f t="shared" si="95"/>
        <v>5895</v>
      </c>
      <c r="G111" s="28">
        <f t="shared" si="76"/>
        <v>3821.4412761257195</v>
      </c>
      <c r="H111" s="52">
        <f t="shared" si="96"/>
        <v>3.7314578005115084</v>
      </c>
      <c r="I111" s="52">
        <f t="shared" si="97"/>
        <v>4.4719999999999995</v>
      </c>
      <c r="K111" s="52">
        <f t="shared" si="98"/>
        <v>13.693832393828348</v>
      </c>
      <c r="L111" s="135">
        <f t="shared" si="99"/>
        <v>1.3539394210226874E-6</v>
      </c>
      <c r="N111" s="131">
        <f t="shared" si="77"/>
        <v>0.204672874765365</v>
      </c>
      <c r="O111" s="131">
        <f t="shared" si="78"/>
        <v>0.204672874765365</v>
      </c>
      <c r="P111" s="55">
        <f t="shared" si="100"/>
        <v>1</v>
      </c>
      <c r="Q111" s="135">
        <f>_xll.xSPRDOPT(I111,H111,AQ111,0,O111,N111,P111,D111-$G$5,1,0)*AH111*AU111</f>
        <v>13.693833747767769</v>
      </c>
      <c r="R111" s="135"/>
      <c r="S111" s="181">
        <f t="shared" si="101"/>
        <v>-116542.07783147141</v>
      </c>
      <c r="T111" s="181">
        <f>_xll.xSPRDOPT(I111,H111,AQ111,AT111,O111,N111,P111,D111-$G$5,1,1)*AF111*F111*AH111</f>
        <v>113919.88108026331</v>
      </c>
      <c r="U111" s="135"/>
      <c r="V111" s="146">
        <f t="shared" si="102"/>
        <v>7.1703073715397085</v>
      </c>
      <c r="W111" s="146"/>
      <c r="X111" s="338">
        <f t="shared" si="103"/>
        <v>0</v>
      </c>
      <c r="Y111" s="338">
        <f t="shared" si="79"/>
        <v>0</v>
      </c>
      <c r="Z111" s="338">
        <f t="shared" si="80"/>
        <v>38.336718679540333</v>
      </c>
      <c r="AA111" s="338">
        <f t="shared" si="81"/>
        <v>-4.2273148428073119E-8</v>
      </c>
      <c r="AB111" s="338">
        <f t="shared" si="104"/>
        <v>0</v>
      </c>
      <c r="AC111" s="338">
        <f t="shared" si="105"/>
        <v>38.896517475066709</v>
      </c>
      <c r="AF111" s="138">
        <f t="shared" si="106"/>
        <v>1</v>
      </c>
      <c r="AG111" s="138">
        <f t="shared" si="107"/>
        <v>6</v>
      </c>
      <c r="AH111" s="138">
        <f t="shared" si="82"/>
        <v>30</v>
      </c>
      <c r="AI111" s="138">
        <f t="shared" si="108"/>
        <v>2723</v>
      </c>
      <c r="AJ111" s="138">
        <f t="shared" si="109"/>
        <v>2740</v>
      </c>
      <c r="AL111" s="136">
        <f t="shared" si="83"/>
        <v>3.6219999999999999</v>
      </c>
      <c r="AM111" s="258">
        <f t="shared" si="84"/>
        <v>1.55E-2</v>
      </c>
      <c r="AN111" s="258">
        <f t="shared" si="85"/>
        <v>0.01</v>
      </c>
      <c r="AO111" s="258">
        <f t="shared" si="86"/>
        <v>0.85</v>
      </c>
      <c r="AP111" s="258">
        <f t="shared" si="87"/>
        <v>0</v>
      </c>
      <c r="AQ111" s="136">
        <f t="shared" si="110"/>
        <v>3.6400000000000002E-2</v>
      </c>
      <c r="AR111" s="137">
        <f t="shared" si="88"/>
        <v>2.2499999999999999E-2</v>
      </c>
      <c r="AS111" s="136">
        <f t="shared" si="111"/>
        <v>3.6474999999999995</v>
      </c>
      <c r="AT111" s="137">
        <f t="shared" si="112"/>
        <v>5.8691765704435503E-2</v>
      </c>
      <c r="AU111" s="137">
        <f t="shared" si="89"/>
        <v>0.64825127669647487</v>
      </c>
      <c r="AV111" s="394">
        <f t="shared" si="113"/>
        <v>2644.8652089216175</v>
      </c>
      <c r="AW111" s="137">
        <f t="shared" si="90"/>
        <v>0.20250000000000001</v>
      </c>
      <c r="AX111" s="137">
        <f t="shared" si="91"/>
        <v>0.45</v>
      </c>
      <c r="AY111" s="137">
        <f t="shared" si="92"/>
        <v>0.45</v>
      </c>
      <c r="AZ111" s="137"/>
      <c r="BA111" s="264"/>
      <c r="BB111" s="258">
        <f t="shared" si="93"/>
        <v>0</v>
      </c>
      <c r="BC111" s="258">
        <f t="shared" si="114"/>
        <v>0</v>
      </c>
      <c r="BD111" s="137">
        <f t="shared" si="115"/>
        <v>2.3655818438550469E-6</v>
      </c>
      <c r="BE111" s="137">
        <f t="shared" si="116"/>
        <v>2.3655818438550469E-6</v>
      </c>
      <c r="BF111" s="137">
        <f>_xll.xSPRDOPT($BW111,$BV111,$CG111,0,$BY111,$BX111,$BZ111,$AJ111,1,4)*$CB111</f>
        <v>6.1792692781761708E-7</v>
      </c>
      <c r="BG111" s="137">
        <f>_xll.xSPRDOPT($BW111,$BV111,$CG111,0,$BY111,$BX111,$BZ111,$AJ111,1,3)*$CB111</f>
        <v>7.7240865977202138E-7</v>
      </c>
      <c r="BH111" s="137">
        <f>IF(OR(BF111&lt;&gt;0,BG111&lt;&gt;0),_xll.xSPRDOPT($BW111,$BV111,$CG111,0,$BY111,$BX111,$BZ111,$AJ111,1,12)*$CB111,0)</f>
        <v>-6.9516779379481917E-7</v>
      </c>
      <c r="BI111" s="137">
        <f>_xll.xSPRDOPT($BW111,$BV111,$CG111,2*LN(1+CA111/2),$BY111,$BX111,$BZ111,$AJ111,1,9)</f>
        <v>2.639239750768468E-2</v>
      </c>
      <c r="BJ111" s="137">
        <f>_xll.xSPRDOPT($BW111,$BV111,$CG111,0,$BY111,$BX111,$BZ111,$AJ111,1,6)*$CB111</f>
        <v>5.0918265488637572E-7</v>
      </c>
      <c r="BK111" s="137">
        <f>_xll.xSPRDOPT($BW111,$BV111,$CG111,0,$BY111,$BX111,$BZ111,$AJ111,1,5)*$CB111</f>
        <v>-6.1022921930319301E-7</v>
      </c>
      <c r="BL111" s="137">
        <f>_xll.xSPRDOPT(BW111,BV111,CG111,0,BY111,BX111,BZ111,AJ111,1,2)*CB111</f>
        <v>-0.64794340703554476</v>
      </c>
      <c r="BM111" s="137">
        <f>_xll.xSPRDOPT(BW111,BV111,CG111,0,BY111,BX111,BZ111,AJ111,1,1)*CB111</f>
        <v>0.64794340703672337</v>
      </c>
      <c r="BN111" s="137">
        <f>IF(AH111&lt;&gt;0,_xll.xSPRDOPT($BW111,$BV111,$CG111,2*LN(1+CA111/2),$BY111,$BX111,$BZ111,$AJ111,1,8)+(AJ111/365.25)*CH111/AH111,0)</f>
        <v>-1.6304788131373182</v>
      </c>
      <c r="BO111" s="137">
        <f>_xll.xSPRDOPT($BW111,$BV111,$CG111,0,$BY111,$BX111,$BZ111,$AJ111,1,0)</f>
        <v>0.70414226909148581</v>
      </c>
      <c r="BP111" s="137"/>
      <c r="BQ111" s="137"/>
      <c r="BR111" s="137"/>
      <c r="BS111" s="137"/>
      <c r="BV111" s="262">
        <v>3.7314578005115084</v>
      </c>
      <c r="BW111" s="136">
        <v>4.4719999999999995</v>
      </c>
      <c r="BX111" s="137">
        <v>0.20467050918352114</v>
      </c>
      <c r="BY111" s="137">
        <v>0.20467050918352114</v>
      </c>
      <c r="BZ111" s="137">
        <v>1</v>
      </c>
      <c r="CA111" s="137">
        <v>5.8691765704435503E-2</v>
      </c>
      <c r="CB111" s="137">
        <v>0.64794334626328565</v>
      </c>
      <c r="CC111" s="258">
        <v>1.55E-2</v>
      </c>
      <c r="CD111" s="258">
        <v>0.01</v>
      </c>
      <c r="CE111" s="258">
        <v>0.85</v>
      </c>
      <c r="CF111" s="258">
        <v>0</v>
      </c>
      <c r="CG111" s="258">
        <v>3.6400000000000002E-2</v>
      </c>
      <c r="CH111" s="258">
        <v>7.1669013530182024</v>
      </c>
      <c r="CI111" s="258">
        <v>3.6219999999999999</v>
      </c>
      <c r="CJ111" s="258"/>
      <c r="CK111" s="258"/>
      <c r="CL111" s="258"/>
      <c r="CM111" s="258"/>
    </row>
    <row r="112" spans="1:91" x14ac:dyDescent="0.25">
      <c r="A112" s="723"/>
      <c r="B112" s="723"/>
      <c r="D112" s="31">
        <f t="shared" si="94"/>
        <v>40009</v>
      </c>
      <c r="F112" s="28">
        <f t="shared" si="95"/>
        <v>5895</v>
      </c>
      <c r="G112" s="28">
        <f t="shared" si="76"/>
        <v>3800.3730759407285</v>
      </c>
      <c r="H112" s="52">
        <f t="shared" si="96"/>
        <v>3.7723785166240402</v>
      </c>
      <c r="I112" s="52">
        <f t="shared" si="97"/>
        <v>4.7119999999999997</v>
      </c>
      <c r="K112" s="52">
        <f t="shared" si="98"/>
        <v>18.050879867350389</v>
      </c>
      <c r="L112" s="135">
        <f t="shared" si="99"/>
        <v>1.7667556271305784E-6</v>
      </c>
      <c r="N112" s="131">
        <f t="shared" si="77"/>
        <v>0.2053687981082073</v>
      </c>
      <c r="O112" s="131">
        <f t="shared" si="78"/>
        <v>0.2053687981082073</v>
      </c>
      <c r="P112" s="55">
        <f t="shared" si="100"/>
        <v>1.0000000000000002</v>
      </c>
      <c r="Q112" s="135">
        <f>_xll.xSPRDOPT(I112,H112,AQ112,0,O112,N112,P112,D112-$G$5,1,0)*AH112*AU112</f>
        <v>18.050881634106016</v>
      </c>
      <c r="R112" s="135"/>
      <c r="S112" s="181">
        <f t="shared" si="101"/>
        <v>-119751.84025116198</v>
      </c>
      <c r="T112" s="181">
        <f>_xll.xSPRDOPT(I112,H112,AQ112,AT112,O112,N112,P112,D112-$G$5,1,1)*AF112*F112*AH112</f>
        <v>117057.42384551084</v>
      </c>
      <c r="U112" s="135"/>
      <c r="V112" s="146">
        <f t="shared" si="102"/>
        <v>7.3684688967056404</v>
      </c>
      <c r="W112" s="146"/>
      <c r="X112" s="338">
        <f t="shared" si="103"/>
        <v>0</v>
      </c>
      <c r="Y112" s="338">
        <f t="shared" si="79"/>
        <v>0</v>
      </c>
      <c r="Z112" s="338">
        <f t="shared" si="80"/>
        <v>50.624109760178769</v>
      </c>
      <c r="AA112" s="338">
        <f t="shared" si="81"/>
        <v>-9.7700848920462207E-8</v>
      </c>
      <c r="AB112" s="338">
        <f t="shared" si="104"/>
        <v>0</v>
      </c>
      <c r="AC112" s="338">
        <f t="shared" si="105"/>
        <v>51.364653659355561</v>
      </c>
      <c r="AF112" s="138">
        <f t="shared" si="106"/>
        <v>1</v>
      </c>
      <c r="AG112" s="138">
        <f t="shared" si="107"/>
        <v>7</v>
      </c>
      <c r="AH112" s="138">
        <f t="shared" si="82"/>
        <v>31</v>
      </c>
      <c r="AI112" s="138">
        <f t="shared" si="108"/>
        <v>2753</v>
      </c>
      <c r="AJ112" s="138">
        <f t="shared" si="109"/>
        <v>2770</v>
      </c>
      <c r="AL112" s="136">
        <f t="shared" si="83"/>
        <v>3.6619999999999999</v>
      </c>
      <c r="AM112" s="258">
        <f t="shared" si="84"/>
        <v>1.55E-2</v>
      </c>
      <c r="AN112" s="258">
        <f t="shared" si="85"/>
        <v>0.01</v>
      </c>
      <c r="AO112" s="258">
        <f t="shared" si="86"/>
        <v>1.05</v>
      </c>
      <c r="AP112" s="258">
        <f t="shared" si="87"/>
        <v>0</v>
      </c>
      <c r="AQ112" s="136">
        <f t="shared" si="110"/>
        <v>3.6400000000000002E-2</v>
      </c>
      <c r="AR112" s="137">
        <f t="shared" si="88"/>
        <v>2.2499999999999999E-2</v>
      </c>
      <c r="AS112" s="136">
        <f t="shared" si="111"/>
        <v>3.6874999999999996</v>
      </c>
      <c r="AT112" s="137">
        <f t="shared" si="112"/>
        <v>5.87973588762392E-2</v>
      </c>
      <c r="AU112" s="137">
        <f t="shared" si="89"/>
        <v>0.64467736657179453</v>
      </c>
      <c r="AV112" s="394">
        <f t="shared" si="113"/>
        <v>2717.9597774666859</v>
      </c>
      <c r="AW112" s="137">
        <f t="shared" si="90"/>
        <v>0.20250000000000001</v>
      </c>
      <c r="AX112" s="137">
        <f t="shared" si="91"/>
        <v>0.5</v>
      </c>
      <c r="AY112" s="137">
        <f t="shared" si="92"/>
        <v>0.5</v>
      </c>
      <c r="AZ112" s="137"/>
      <c r="BA112" s="264"/>
      <c r="BB112" s="258">
        <f t="shared" si="93"/>
        <v>0</v>
      </c>
      <c r="BC112" s="258">
        <f t="shared" si="114"/>
        <v>0</v>
      </c>
      <c r="BD112" s="137">
        <f t="shared" si="115"/>
        <v>3.0836540131085055E-6</v>
      </c>
      <c r="BE112" s="137">
        <f t="shared" si="116"/>
        <v>3.0836540131085055E-6</v>
      </c>
      <c r="BF112" s="137">
        <f>_xll.xSPRDOPT($BW112,$BV112,$CG112,0,$BY112,$BX112,$BZ112,$AJ112,1,4)*$CB112</f>
        <v>0</v>
      </c>
      <c r="BG112" s="137">
        <f>_xll.xSPRDOPT($BW112,$BV112,$CG112,0,$BY112,$BX112,$BZ112,$AJ112,1,3)*$CB112</f>
        <v>1.5362992069576285E-7</v>
      </c>
      <c r="BH112" s="137">
        <f>IF(OR(BF112&lt;&gt;0,BG112&lt;&gt;0),_xll.xSPRDOPT($BW112,$BV112,$CG112,0,$BY112,$BX112,$BZ112,$AJ112,1,12)*$CB112,0)</f>
        <v>-7.6814960347881425E-8</v>
      </c>
      <c r="BI112" s="137">
        <f>_xll.xSPRDOPT($BW112,$BV112,$CG112,2*LN(1+CA112/2),$BY112,$BX112,$BZ112,$AJ112,1,9)</f>
        <v>3.3727244867447895E-2</v>
      </c>
      <c r="BJ112" s="137">
        <f>_xll.xSPRDOPT($BW112,$BV112,$CG112,0,$BY112,$BX112,$BZ112,$AJ112,1,6)*$CB112</f>
        <v>6.9599023281521418E-7</v>
      </c>
      <c r="BK112" s="137">
        <f>_xll.xSPRDOPT($BW112,$BV112,$CG112,0,$BY112,$BX112,$BZ112,$AJ112,1,5)*$CB112</f>
        <v>-8.6936551857852589E-7</v>
      </c>
      <c r="BL112" s="137">
        <f>_xll.xSPRDOPT(BW112,BV112,CG112,0,BY112,BX112,BZ112,AJ112,1,2)*CB112</f>
        <v>-0.64437065388861148</v>
      </c>
      <c r="BM112" s="137">
        <f>_xll.xSPRDOPT(BW112,BV112,CG112,0,BY112,BX112,BZ112,AJ112,1,1)*CB112</f>
        <v>0.64437065387806258</v>
      </c>
      <c r="BN112" s="137">
        <f>IF(AH112&lt;&gt;0,_xll.xSPRDOPT($BW112,$BV112,$CG112,2*LN(1+CA112/2),$BY112,$BX112,$BZ112,$AJ112,1,8)+(AJ112/365.25)*CH112/AH112,0)</f>
        <v>-2.6121041682851773</v>
      </c>
      <c r="BO112" s="137">
        <f>_xll.xSPRDOPT($BW112,$BV112,$CG112,0,$BY112,$BX112,$BZ112,$AJ112,1,0)</f>
        <v>0.90322157175096307</v>
      </c>
      <c r="BP112" s="137"/>
      <c r="BQ112" s="137"/>
      <c r="BR112" s="137"/>
      <c r="BS112" s="137"/>
      <c r="BV112" s="262">
        <v>3.7723785166240402</v>
      </c>
      <c r="BW112" s="136">
        <v>4.7119999999999997</v>
      </c>
      <c r="BX112" s="137">
        <v>0.20536571445419419</v>
      </c>
      <c r="BY112" s="137">
        <v>0.20536571445419419</v>
      </c>
      <c r="BZ112" s="137">
        <v>1</v>
      </c>
      <c r="CA112" s="137">
        <v>5.87973588762392E-2</v>
      </c>
      <c r="CB112" s="137">
        <v>0.6443705908939209</v>
      </c>
      <c r="CC112" s="258">
        <v>1.55E-2</v>
      </c>
      <c r="CD112" s="258">
        <v>0.01</v>
      </c>
      <c r="CE112" s="258">
        <v>1.05</v>
      </c>
      <c r="CF112" s="258">
        <v>0</v>
      </c>
      <c r="CG112" s="258">
        <v>3.6400000000000002E-2</v>
      </c>
      <c r="CH112" s="258">
        <v>7.3649625427402476</v>
      </c>
      <c r="CI112" s="258">
        <v>3.6619999999999999</v>
      </c>
      <c r="CJ112" s="258"/>
      <c r="CK112" s="258"/>
      <c r="CL112" s="258"/>
      <c r="CM112" s="258"/>
    </row>
    <row r="113" spans="1:91" x14ac:dyDescent="0.25">
      <c r="A113" s="723"/>
      <c r="B113" s="723"/>
      <c r="D113" s="31">
        <f t="shared" si="94"/>
        <v>40040</v>
      </c>
      <c r="F113" s="28">
        <f t="shared" si="95"/>
        <v>5895</v>
      </c>
      <c r="G113" s="28">
        <f t="shared" si="76"/>
        <v>3778.6578855793414</v>
      </c>
      <c r="H113" s="52">
        <f t="shared" si="96"/>
        <v>3.8081841432225061</v>
      </c>
      <c r="I113" s="52">
        <f t="shared" si="97"/>
        <v>4.7519999999999998</v>
      </c>
      <c r="K113" s="52">
        <f t="shared" si="98"/>
        <v>18.031083386611083</v>
      </c>
      <c r="L113" s="135">
        <f t="shared" si="99"/>
        <v>1.7549589372833907E-6</v>
      </c>
      <c r="N113" s="131">
        <f t="shared" si="77"/>
        <v>0.20604383811600871</v>
      </c>
      <c r="O113" s="131">
        <f t="shared" si="78"/>
        <v>0.20604383811600871</v>
      </c>
      <c r="P113" s="55">
        <f t="shared" si="100"/>
        <v>1.0000000000000002</v>
      </c>
      <c r="Q113" s="135">
        <f>_xll.xSPRDOPT(I113,H113,AQ113,0,O113,N113,P113,D113-$G$5,1,0)*AH113*AU113</f>
        <v>18.031085141570021</v>
      </c>
      <c r="R113" s="135"/>
      <c r="S113" s="181">
        <f t="shared" si="101"/>
        <v>-119056.17164855232</v>
      </c>
      <c r="T113" s="181">
        <f>_xll.xSPRDOPT(I113,H113,AQ113,AT113,O113,N113,P113,D113-$G$5,1,1)*AF113*F113*AH113</f>
        <v>116377.40778645989</v>
      </c>
      <c r="U113" s="135"/>
      <c r="V113" s="146">
        <f t="shared" si="102"/>
        <v>7.3263657395769632</v>
      </c>
      <c r="W113" s="146"/>
      <c r="X113" s="338">
        <f t="shared" si="103"/>
        <v>0</v>
      </c>
      <c r="Y113" s="338">
        <f t="shared" si="79"/>
        <v>0</v>
      </c>
      <c r="Z113" s="338">
        <f t="shared" si="80"/>
        <v>50.661039462907411</v>
      </c>
      <c r="AA113" s="338">
        <f t="shared" si="81"/>
        <v>-1.2104894997790813E-7</v>
      </c>
      <c r="AB113" s="338">
        <f t="shared" si="104"/>
        <v>0</v>
      </c>
      <c r="AC113" s="338">
        <f t="shared" si="105"/>
        <v>51.403492233941229</v>
      </c>
      <c r="AF113" s="138">
        <f t="shared" si="106"/>
        <v>1</v>
      </c>
      <c r="AG113" s="138">
        <f t="shared" si="107"/>
        <v>8</v>
      </c>
      <c r="AH113" s="138">
        <f t="shared" si="82"/>
        <v>31</v>
      </c>
      <c r="AI113" s="138">
        <f t="shared" si="108"/>
        <v>2784</v>
      </c>
      <c r="AJ113" s="138">
        <f t="shared" si="109"/>
        <v>2801</v>
      </c>
      <c r="AL113" s="136">
        <f t="shared" si="83"/>
        <v>3.702</v>
      </c>
      <c r="AM113" s="258">
        <f t="shared" si="84"/>
        <v>1.0500000000000001E-2</v>
      </c>
      <c r="AN113" s="258">
        <f t="shared" si="85"/>
        <v>0.01</v>
      </c>
      <c r="AO113" s="258">
        <f t="shared" si="86"/>
        <v>1.05</v>
      </c>
      <c r="AP113" s="258">
        <f t="shared" si="87"/>
        <v>0</v>
      </c>
      <c r="AQ113" s="136">
        <f t="shared" si="110"/>
        <v>3.6400000000000002E-2</v>
      </c>
      <c r="AR113" s="137">
        <f t="shared" si="88"/>
        <v>2.2499999999999999E-2</v>
      </c>
      <c r="AS113" s="136">
        <f t="shared" si="111"/>
        <v>3.7224999999999997</v>
      </c>
      <c r="AT113" s="137">
        <f t="shared" si="112"/>
        <v>5.8906471824330599E-2</v>
      </c>
      <c r="AU113" s="137">
        <f t="shared" si="89"/>
        <v>0.64099370408470591</v>
      </c>
      <c r="AV113" s="394">
        <f t="shared" si="113"/>
        <v>2702.42945642112</v>
      </c>
      <c r="AW113" s="137">
        <f t="shared" si="90"/>
        <v>0.20250000000000001</v>
      </c>
      <c r="AX113" s="137">
        <f t="shared" si="91"/>
        <v>0.55000000000000004</v>
      </c>
      <c r="AY113" s="137">
        <f t="shared" si="92"/>
        <v>0.55000000000000004</v>
      </c>
      <c r="AZ113" s="137"/>
      <c r="BA113" s="264"/>
      <c r="BB113" s="258">
        <f t="shared" si="93"/>
        <v>0</v>
      </c>
      <c r="BC113" s="258">
        <f t="shared" si="114"/>
        <v>0</v>
      </c>
      <c r="BD113" s="137">
        <f t="shared" si="115"/>
        <v>3.7609928676685112E-6</v>
      </c>
      <c r="BE113" s="137">
        <f t="shared" si="116"/>
        <v>3.7609928676685112E-6</v>
      </c>
      <c r="BF113" s="137">
        <f>_xll.xSPRDOPT($BW113,$BV113,$CG113,0,$BY113,$BX113,$BZ113,$AJ113,1,4)*$CB113</f>
        <v>-1.5275195206084554E-6</v>
      </c>
      <c r="BG113" s="137">
        <f>_xll.xSPRDOPT($BW113,$BV113,$CG113,0,$BY113,$BX113,$BZ113,$AJ113,1,3)*$CB113</f>
        <v>-1.2220156164867642E-6</v>
      </c>
      <c r="BH113" s="137">
        <f>IF(OR(BF113&lt;&gt;0,BG113&lt;&gt;0),_xll.xSPRDOPT($BW113,$BV113,$CG113,0,$BY113,$BX113,$BZ113,$AJ113,1,12)*$CB113,0)</f>
        <v>1.2220156164867642E-6</v>
      </c>
      <c r="BI113" s="137">
        <f>_xll.xSPRDOPT($BW113,$BV113,$CG113,2*LN(1+CA113/2),$BY113,$BX113,$BZ113,$AJ113,1,9)</f>
        <v>3.3751848502607339E-2</v>
      </c>
      <c r="BJ113" s="137">
        <f>_xll.xSPRDOPT($BW113,$BV113,$CG113,0,$BY113,$BX113,$BZ113,$AJ113,1,6)*$CB113</f>
        <v>7.1058872107488457E-7</v>
      </c>
      <c r="BK113" s="137">
        <f>_xll.xSPRDOPT($BW113,$BV113,$CG113,0,$BY113,$BX113,$BZ113,$AJ113,1,5)*$CB113</f>
        <v>-8.8671047974548505E-7</v>
      </c>
      <c r="BL113" s="137">
        <f>_xll.xSPRDOPT(BW113,BV113,CG113,0,BY113,BX113,BZ113,AJ113,1,2)*CB113</f>
        <v>-0.64068818581468545</v>
      </c>
      <c r="BM113" s="137">
        <f>_xll.xSPRDOPT(BW113,BV113,CG113,0,BY113,BX113,BZ113,AJ113,1,1)*CB113</f>
        <v>0.64068818582517417</v>
      </c>
      <c r="BN113" s="137">
        <f>IF(AH113&lt;&gt;0,_xll.xSPRDOPT($BW113,$BV113,$CG113,2*LN(1+CA113/2),$BY113,$BX113,$BZ113,$AJ113,1,8)+(AJ113/365.25)*CH113/AH113,0)</f>
        <v>-2.6468503523810991</v>
      </c>
      <c r="BO113" s="137">
        <f>_xll.xSPRDOPT($BW113,$BV113,$CG113,0,$BY113,$BX113,$BZ113,$AJ113,1,0)</f>
        <v>0.9074159450666619</v>
      </c>
      <c r="BP113" s="137"/>
      <c r="BQ113" s="137"/>
      <c r="BR113" s="137"/>
      <c r="BS113" s="137"/>
      <c r="BV113" s="262">
        <v>3.8081841432225061</v>
      </c>
      <c r="BW113" s="136">
        <v>4.7519999999999998</v>
      </c>
      <c r="BX113" s="137">
        <v>0.20604007712314104</v>
      </c>
      <c r="BY113" s="137">
        <v>0.20604007712314104</v>
      </c>
      <c r="BZ113" s="137">
        <v>1</v>
      </c>
      <c r="CA113" s="137">
        <v>5.8906471824330599E-2</v>
      </c>
      <c r="CB113" s="137">
        <v>0.64068812353661264</v>
      </c>
      <c r="CC113" s="258">
        <v>1.0500000000000001E-2</v>
      </c>
      <c r="CD113" s="258">
        <v>0.01</v>
      </c>
      <c r="CE113" s="258">
        <v>1.05</v>
      </c>
      <c r="CF113" s="258">
        <v>0</v>
      </c>
      <c r="CG113" s="258">
        <v>3.6400000000000002E-2</v>
      </c>
      <c r="CH113" s="258">
        <v>7.3228730455864222</v>
      </c>
      <c r="CI113" s="258">
        <v>3.702</v>
      </c>
      <c r="CJ113" s="258"/>
      <c r="CK113" s="258"/>
      <c r="CL113" s="258"/>
      <c r="CM113" s="258"/>
    </row>
    <row r="114" spans="1:91" x14ac:dyDescent="0.25">
      <c r="A114" s="723"/>
      <c r="B114" s="723"/>
      <c r="D114" s="31">
        <f t="shared" si="94"/>
        <v>40071</v>
      </c>
      <c r="F114" s="28">
        <f t="shared" si="95"/>
        <v>5895</v>
      </c>
      <c r="G114" s="28">
        <f t="shared" si="76"/>
        <v>3756.9993413139996</v>
      </c>
      <c r="H114" s="52">
        <f t="shared" si="96"/>
        <v>3.8030690537084397</v>
      </c>
      <c r="I114" s="52">
        <f t="shared" si="97"/>
        <v>4.4470000000000001</v>
      </c>
      <c r="K114" s="52">
        <f t="shared" si="98"/>
        <v>11.615742315751975</v>
      </c>
      <c r="L114" s="135">
        <f t="shared" si="99"/>
        <v>1.1989947381607635E-6</v>
      </c>
      <c r="N114" s="131">
        <f t="shared" si="77"/>
        <v>0.20589380582139519</v>
      </c>
      <c r="O114" s="131">
        <f t="shared" si="78"/>
        <v>0.20589380582139519</v>
      </c>
      <c r="P114" s="55">
        <f t="shared" si="100"/>
        <v>0.99999999999999989</v>
      </c>
      <c r="Q114" s="135">
        <f>_xll.xSPRDOPT(I114,H114,AQ114,0,O114,N114,P114,D114-$G$5,1,0)*AH114*AU114</f>
        <v>11.615743514746713</v>
      </c>
      <c r="R114" s="135"/>
      <c r="S114" s="181">
        <f t="shared" si="101"/>
        <v>-114544.20234789904</v>
      </c>
      <c r="T114" s="181">
        <f>_xll.xSPRDOPT(I114,H114,AQ114,AT114,O114,N114,P114,D114-$G$5,1,1)*AF114*F114*AH114</f>
        <v>111966.95779507131</v>
      </c>
      <c r="U114" s="135"/>
      <c r="V114" s="146">
        <f t="shared" si="102"/>
        <v>7.0493926572135965</v>
      </c>
      <c r="W114" s="146"/>
      <c r="X114" s="338">
        <f t="shared" si="103"/>
        <v>0</v>
      </c>
      <c r="Y114" s="338">
        <f t="shared" si="79"/>
        <v>0</v>
      </c>
      <c r="Z114" s="338">
        <f t="shared" si="80"/>
        <v>32.695718017578699</v>
      </c>
      <c r="AA114" s="338">
        <f t="shared" si="81"/>
        <v>2.4215793216444235E-7</v>
      </c>
      <c r="AB114" s="338">
        <f t="shared" si="104"/>
        <v>0</v>
      </c>
      <c r="AC114" s="338">
        <f t="shared" si="105"/>
        <v>33.175776754198893</v>
      </c>
      <c r="AF114" s="138">
        <f t="shared" si="106"/>
        <v>1</v>
      </c>
      <c r="AG114" s="138">
        <f t="shared" si="107"/>
        <v>9</v>
      </c>
      <c r="AH114" s="138">
        <f t="shared" si="82"/>
        <v>30</v>
      </c>
      <c r="AI114" s="138">
        <f t="shared" si="108"/>
        <v>2815</v>
      </c>
      <c r="AJ114" s="138">
        <f t="shared" si="109"/>
        <v>2832</v>
      </c>
      <c r="AL114" s="136">
        <f t="shared" si="83"/>
        <v>3.6970000000000001</v>
      </c>
      <c r="AM114" s="258">
        <f t="shared" si="84"/>
        <v>1.0500000000000001E-2</v>
      </c>
      <c r="AN114" s="258">
        <f t="shared" si="85"/>
        <v>0.01</v>
      </c>
      <c r="AO114" s="258">
        <f t="shared" si="86"/>
        <v>0.75</v>
      </c>
      <c r="AP114" s="258">
        <f t="shared" si="87"/>
        <v>0</v>
      </c>
      <c r="AQ114" s="136">
        <f t="shared" si="110"/>
        <v>3.6400000000000002E-2</v>
      </c>
      <c r="AR114" s="137">
        <f t="shared" si="88"/>
        <v>2.2499999999999999E-2</v>
      </c>
      <c r="AS114" s="136">
        <f t="shared" si="111"/>
        <v>3.7174999999999998</v>
      </c>
      <c r="AT114" s="137">
        <f t="shared" si="112"/>
        <v>5.9015584776379797E-2</v>
      </c>
      <c r="AU114" s="137">
        <f t="shared" si="89"/>
        <v>0.63731965077421537</v>
      </c>
      <c r="AV114" s="394">
        <f t="shared" si="113"/>
        <v>2600.2641751587989</v>
      </c>
      <c r="AW114" s="137">
        <f t="shared" si="90"/>
        <v>0.20250000000000001</v>
      </c>
      <c r="AX114" s="137">
        <f t="shared" si="91"/>
        <v>0.55000000000000004</v>
      </c>
      <c r="AY114" s="137">
        <f t="shared" si="92"/>
        <v>0.55000000000000004</v>
      </c>
      <c r="AZ114" s="137"/>
      <c r="BA114" s="264"/>
      <c r="BB114" s="258">
        <f t="shared" si="93"/>
        <v>0</v>
      </c>
      <c r="BC114" s="258">
        <f t="shared" si="114"/>
        <v>0</v>
      </c>
      <c r="BD114" s="137">
        <f t="shared" si="115"/>
        <v>3.5642757760800947E-6</v>
      </c>
      <c r="BE114" s="137">
        <f t="shared" si="116"/>
        <v>3.5642757760800947E-6</v>
      </c>
      <c r="BF114" s="137">
        <f>_xll.xSPRDOPT($BW114,$BV114,$CG114,0,$BY114,$BX114,$BZ114,$AJ114,1,4)*$CB114</f>
        <v>-7.5938137436778369E-7</v>
      </c>
      <c r="BG114" s="137">
        <f>_xll.xSPRDOPT($BW114,$BV114,$CG114,0,$BY114,$BX114,$BZ114,$AJ114,1,3)*$CB114</f>
        <v>-4.5562882462067025E-7</v>
      </c>
      <c r="BH114" s="137">
        <f>IF(OR(BF114&lt;&gt;0,BG114&lt;&gt;0),_xll.xSPRDOPT($BW114,$BV114,$CG114,0,$BY114,$BX114,$BZ114,$AJ114,1,12)*$CB114,0)</f>
        <v>5.3156696205744856E-7</v>
      </c>
      <c r="BI114" s="137">
        <f>_xll.xSPRDOPT($BW114,$BV114,$CG114,2*LN(1+CA114/2),$BY114,$BX114,$BZ114,$AJ114,1,9)</f>
        <v>2.2508926596778098E-2</v>
      </c>
      <c r="BJ114" s="137">
        <f>_xll.xSPRDOPT($BW114,$BV114,$CG114,0,$BY114,$BX114,$BZ114,$AJ114,1,6)*$CB114</f>
        <v>-2.2688936578573483E-6</v>
      </c>
      <c r="BK114" s="137">
        <f>_xll.xSPRDOPT($BW114,$BV114,$CG114,0,$BY114,$BX114,$BZ114,$AJ114,1,5)*$CB114</f>
        <v>2.6530626747904274E-6</v>
      </c>
      <c r="BL114" s="137">
        <f>_xll.xSPRDOPT(BW114,BV114,CG114,0,BY114,BX114,BZ114,AJ114,1,2)*CB114</f>
        <v>-0.63701527693474669</v>
      </c>
      <c r="BM114" s="137">
        <f>_xll.xSPRDOPT(BW114,BV114,CG114,0,BY114,BX114,BZ114,AJ114,1,1)*CB114</f>
        <v>0.63701527693242921</v>
      </c>
      <c r="BN114" s="137">
        <f>IF(AH114&lt;&gt;0,_xll.xSPRDOPT($BW114,$BV114,$CG114,2*LN(1+CA114/2),$BY114,$BX114,$BZ114,$AJ114,1,8)+(AJ114/365.25)*CH114/AH114,0)</f>
        <v>-1.1796239434091089</v>
      </c>
      <c r="BO114" s="137">
        <f>_xll.xSPRDOPT($BW114,$BV114,$CG114,0,$BY114,$BX114,$BZ114,$AJ114,1,0)</f>
        <v>0.60753100906554292</v>
      </c>
      <c r="BP114" s="137"/>
      <c r="BQ114" s="137"/>
      <c r="BR114" s="137"/>
      <c r="BS114" s="137"/>
      <c r="BV114" s="262">
        <v>3.8030690537084397</v>
      </c>
      <c r="BW114" s="136">
        <v>4.4470000000000001</v>
      </c>
      <c r="BX114" s="137">
        <v>0.20589024154561911</v>
      </c>
      <c r="BY114" s="137">
        <v>0.20589024154561911</v>
      </c>
      <c r="BZ114" s="137">
        <v>1</v>
      </c>
      <c r="CA114" s="137">
        <v>5.9015584776379797E-2</v>
      </c>
      <c r="CB114" s="137">
        <v>0.63701526720725854</v>
      </c>
      <c r="CC114" s="258">
        <v>1.0500000000000001E-2</v>
      </c>
      <c r="CD114" s="258">
        <v>0.01</v>
      </c>
      <c r="CE114" s="258">
        <v>0.75</v>
      </c>
      <c r="CF114" s="258">
        <v>0</v>
      </c>
      <c r="CG114" s="258">
        <v>3.6400000000000002E-2</v>
      </c>
      <c r="CH114" s="258">
        <v>7.0460258705794869</v>
      </c>
      <c r="CI114" s="258">
        <v>3.6970000000000001</v>
      </c>
      <c r="CJ114" s="258"/>
      <c r="CK114" s="258"/>
      <c r="CL114" s="258"/>
      <c r="CM114" s="258"/>
    </row>
    <row r="115" spans="1:91" x14ac:dyDescent="0.25">
      <c r="A115" s="723"/>
      <c r="B115" s="723"/>
      <c r="D115" s="31">
        <f t="shared" si="94"/>
        <v>40101</v>
      </c>
      <c r="F115" s="28">
        <f t="shared" si="95"/>
        <v>6669</v>
      </c>
      <c r="G115" s="28">
        <f t="shared" si="76"/>
        <v>4226.6343869646998</v>
      </c>
      <c r="H115" s="52">
        <f t="shared" si="96"/>
        <v>3.8358974358974356</v>
      </c>
      <c r="I115" s="52">
        <f t="shared" si="97"/>
        <v>4.1719999999999997</v>
      </c>
      <c r="K115" s="52">
        <f t="shared" si="98"/>
        <v>5.8882483224200159</v>
      </c>
      <c r="L115" s="135">
        <f t="shared" si="99"/>
        <v>1.6888239833257046E-5</v>
      </c>
      <c r="N115" s="131">
        <f t="shared" si="77"/>
        <v>0.2067238740310105</v>
      </c>
      <c r="O115" s="131">
        <f t="shared" si="78"/>
        <v>0.2067238740310105</v>
      </c>
      <c r="P115" s="55">
        <f t="shared" si="100"/>
        <v>1.0000000000000002</v>
      </c>
      <c r="Q115" s="135">
        <f>_xll.xSPRDOPT(I115,H115,AQ115,0,O115,N115,P115,D115-$G$5,1,0)*AH115*AU115</f>
        <v>5.8882652106598492</v>
      </c>
      <c r="R115" s="135"/>
      <c r="S115" s="181">
        <f t="shared" si="101"/>
        <v>-133483.2427469971</v>
      </c>
      <c r="T115" s="181">
        <f>_xll.xSPRDOPT(I115,H115,AQ115,AT115,O115,N115,P115,D115-$G$5,1,1)*AF115*F115*AH115</f>
        <v>130146.16167832218</v>
      </c>
      <c r="U115" s="135"/>
      <c r="V115" s="146">
        <f t="shared" si="102"/>
        <v>7.2438391142135909</v>
      </c>
      <c r="W115" s="146"/>
      <c r="X115" s="338">
        <f t="shared" si="103"/>
        <v>0</v>
      </c>
      <c r="Y115" s="338">
        <f t="shared" si="79"/>
        <v>0</v>
      </c>
      <c r="Z115" s="338">
        <f t="shared" si="80"/>
        <v>18.781805739235434</v>
      </c>
      <c r="AA115" s="338">
        <f t="shared" si="81"/>
        <v>6.2444131554321189E-5</v>
      </c>
      <c r="AB115" s="338">
        <f t="shared" si="104"/>
        <v>0</v>
      </c>
      <c r="AC115" s="338">
        <f t="shared" si="105"/>
        <v>19.059625847073814</v>
      </c>
      <c r="AF115" s="138">
        <f t="shared" si="106"/>
        <v>1</v>
      </c>
      <c r="AG115" s="138">
        <f t="shared" si="107"/>
        <v>10</v>
      </c>
      <c r="AH115" s="138">
        <f t="shared" si="82"/>
        <v>31</v>
      </c>
      <c r="AI115" s="138">
        <f t="shared" si="108"/>
        <v>2845</v>
      </c>
      <c r="AJ115" s="138">
        <f t="shared" si="109"/>
        <v>2862</v>
      </c>
      <c r="AL115" s="136">
        <f t="shared" si="83"/>
        <v>3.722</v>
      </c>
      <c r="AM115" s="258">
        <f t="shared" si="84"/>
        <v>8.0000000000000002E-3</v>
      </c>
      <c r="AN115" s="258">
        <f t="shared" si="85"/>
        <v>0.01</v>
      </c>
      <c r="AO115" s="258">
        <f t="shared" si="86"/>
        <v>0.45</v>
      </c>
      <c r="AP115" s="258">
        <f t="shared" si="87"/>
        <v>0</v>
      </c>
      <c r="AQ115" s="136">
        <f t="shared" si="110"/>
        <v>3.6400000000000002E-2</v>
      </c>
      <c r="AR115" s="137">
        <f t="shared" si="88"/>
        <v>2.5000000000000001E-2</v>
      </c>
      <c r="AS115" s="136">
        <f t="shared" si="111"/>
        <v>3.7399999999999998</v>
      </c>
      <c r="AT115" s="137">
        <f t="shared" si="112"/>
        <v>5.9121177959550797E-2</v>
      </c>
      <c r="AU115" s="137">
        <f t="shared" si="89"/>
        <v>0.63377333737662322</v>
      </c>
      <c r="AV115" s="394">
        <f t="shared" si="113"/>
        <v>3359.6324614334799</v>
      </c>
      <c r="AW115" s="137">
        <f t="shared" si="90"/>
        <v>0.20250000000000001</v>
      </c>
      <c r="AX115" s="137">
        <f t="shared" si="91"/>
        <v>0.6</v>
      </c>
      <c r="AY115" s="137">
        <f t="shared" si="92"/>
        <v>0.6</v>
      </c>
      <c r="AZ115" s="137"/>
      <c r="BA115" s="264"/>
      <c r="BB115" s="258">
        <f t="shared" si="93"/>
        <v>0</v>
      </c>
      <c r="BC115" s="258">
        <f t="shared" si="114"/>
        <v>0</v>
      </c>
      <c r="BD115" s="137">
        <f t="shared" si="115"/>
        <v>4.3800589697717829E-6</v>
      </c>
      <c r="BE115" s="137">
        <f t="shared" si="116"/>
        <v>4.3800589697717829E-6</v>
      </c>
      <c r="BF115" s="137">
        <f>_xll.xSPRDOPT($BW115,$BV115,$CG115,0,$BY115,$BX115,$BZ115,$AJ115,1,4)*$CB115</f>
        <v>7.5515522227558736E-8</v>
      </c>
      <c r="BG115" s="137">
        <f>_xll.xSPRDOPT($BW115,$BV115,$CG115,0,$BY115,$BX115,$BZ115,$AJ115,1,3)*$CB115</f>
        <v>9.0618626673070488E-7</v>
      </c>
      <c r="BH115" s="137">
        <f>IF(OR(BF115&lt;&gt;0,BG115&lt;&gt;0),_xll.xSPRDOPT($BW115,$BV115,$CG115,0,$BY115,$BX115,$BZ115,$AJ115,1,12)*$CB115,0)</f>
        <v>-3.398198500240143E-7</v>
      </c>
      <c r="BI115" s="137">
        <f>_xll.xSPRDOPT($BW115,$BV115,$CG115,2*LN(1+CA115/2),$BY115,$BX115,$BZ115,$AJ115,1,9)</f>
        <v>1.1060732850366472E-2</v>
      </c>
      <c r="BJ115" s="137">
        <f>_xll.xSPRDOPT($BW115,$BV115,$CG115,0,$BY115,$BX115,$BZ115,$AJ115,1,6)*$CB115</f>
        <v>-7.8701753690424631E-4</v>
      </c>
      <c r="BK115" s="137">
        <f>_xll.xSPRDOPT($BW115,$BV115,$CG115,0,$BY115,$BX115,$BZ115,$AJ115,1,5)*$CB115</f>
        <v>8.5597626795706283E-4</v>
      </c>
      <c r="BL115" s="137">
        <f>_xll.xSPRDOPT(BW115,BV115,CG115,0,BY115,BX115,BZ115,AJ115,1,2)*CB115</f>
        <v>-0.63345299522572474</v>
      </c>
      <c r="BM115" s="137">
        <f>_xll.xSPRDOPT(BW115,BV115,CG115,0,BY115,BX115,BZ115,AJ115,1,1)*CB115</f>
        <v>0.63345299522860543</v>
      </c>
      <c r="BN115" s="137">
        <f>IF(AH115&lt;&gt;0,_xll.xSPRDOPT($BW115,$BV115,$CG115,2*LN(1+CA115/2),$BY115,$BX115,$BZ115,$AJ115,1,8)+(AJ115/365.25)*CH115/AH115,0)</f>
        <v>0.34247825734941695</v>
      </c>
      <c r="BO115" s="137">
        <f>_xll.xSPRDOPT($BW115,$BV115,$CG115,0,$BY115,$BX115,$BZ115,$AJ115,1,0)</f>
        <v>0.29970343501471852</v>
      </c>
      <c r="BP115" s="137"/>
      <c r="BQ115" s="137"/>
      <c r="BR115" s="137"/>
      <c r="BS115" s="137"/>
      <c r="BV115" s="262">
        <v>3.8358974358974356</v>
      </c>
      <c r="BW115" s="136">
        <v>4.1719999999999997</v>
      </c>
      <c r="BX115" s="137">
        <v>0.20671949397204073</v>
      </c>
      <c r="BY115" s="137">
        <v>0.20671949397204073</v>
      </c>
      <c r="BZ115" s="137">
        <v>1</v>
      </c>
      <c r="CA115" s="137">
        <v>5.9121177959550797E-2</v>
      </c>
      <c r="CB115" s="137">
        <v>0.63347011388227703</v>
      </c>
      <c r="CC115" s="258">
        <v>8.0000000000000002E-3</v>
      </c>
      <c r="CD115" s="258">
        <v>0.01</v>
      </c>
      <c r="CE115" s="258">
        <v>0.45</v>
      </c>
      <c r="CF115" s="258">
        <v>0</v>
      </c>
      <c r="CG115" s="258">
        <v>3.6400000000000002E-2</v>
      </c>
      <c r="CH115" s="258">
        <v>7.2403733606402616</v>
      </c>
      <c r="CI115" s="258">
        <v>3.722</v>
      </c>
      <c r="CJ115" s="258"/>
      <c r="CK115" s="258"/>
      <c r="CL115" s="258"/>
      <c r="CM115" s="258"/>
    </row>
    <row r="116" spans="1:91" x14ac:dyDescent="0.25">
      <c r="A116" s="723"/>
      <c r="B116" s="723"/>
      <c r="D116" s="31">
        <f t="shared" si="94"/>
        <v>40132</v>
      </c>
      <c r="F116" s="28">
        <f t="shared" si="95"/>
        <v>11107</v>
      </c>
      <c r="G116" s="28">
        <f t="shared" si="76"/>
        <v>6998.7252612765442</v>
      </c>
      <c r="H116" s="52">
        <f t="shared" si="96"/>
        <v>3.9800511508951404</v>
      </c>
      <c r="I116" s="52">
        <f t="shared" si="97"/>
        <v>4.3239999999999998</v>
      </c>
      <c r="K116" s="52">
        <f t="shared" si="98"/>
        <v>5.8137658214820602</v>
      </c>
      <c r="L116" s="135">
        <f t="shared" si="99"/>
        <v>2.1371183730245491E-5</v>
      </c>
      <c r="N116" s="131">
        <f t="shared" si="77"/>
        <v>0.21003366088874897</v>
      </c>
      <c r="O116" s="131">
        <f t="shared" si="78"/>
        <v>0.21003366088874897</v>
      </c>
      <c r="P116" s="55">
        <f t="shared" si="100"/>
        <v>1</v>
      </c>
      <c r="Q116" s="135">
        <f>_xll.xSPRDOPT(I116,H116,AQ116,0,O116,N116,P116,D116-$G$5,1,0)*AH116*AU116</f>
        <v>5.8137871926657905</v>
      </c>
      <c r="R116" s="135"/>
      <c r="S116" s="181">
        <f t="shared" si="101"/>
        <v>-213332.3263252925</v>
      </c>
      <c r="T116" s="181">
        <f>_xll.xSPRDOPT(I116,H116,AQ116,AT116,O116,N116,P116,D116-$G$5,1,1)*AF116*F116*AH116</f>
        <v>208532.34898297343</v>
      </c>
      <c r="U116" s="135"/>
      <c r="V116" s="146">
        <f t="shared" si="102"/>
        <v>6.9697398140793965</v>
      </c>
      <c r="W116" s="146"/>
      <c r="X116" s="338">
        <f t="shared" si="103"/>
        <v>0</v>
      </c>
      <c r="Y116" s="338">
        <f t="shared" si="79"/>
        <v>0</v>
      </c>
      <c r="Z116" s="338">
        <f t="shared" si="80"/>
        <v>30.941087147246655</v>
      </c>
      <c r="AA116" s="338">
        <f t="shared" si="81"/>
        <v>1.7140555652739542E-4</v>
      </c>
      <c r="AB116" s="338">
        <f t="shared" si="104"/>
        <v>0</v>
      </c>
      <c r="AC116" s="338">
        <f t="shared" si="105"/>
        <v>31.399490531934518</v>
      </c>
      <c r="AF116" s="138">
        <f t="shared" si="106"/>
        <v>1</v>
      </c>
      <c r="AG116" s="138">
        <f t="shared" si="107"/>
        <v>11</v>
      </c>
      <c r="AH116" s="138">
        <f t="shared" si="82"/>
        <v>30</v>
      </c>
      <c r="AI116" s="138">
        <f t="shared" si="108"/>
        <v>2876</v>
      </c>
      <c r="AJ116" s="138">
        <f t="shared" si="109"/>
        <v>2893</v>
      </c>
      <c r="AL116" s="136">
        <f t="shared" si="83"/>
        <v>3.8740000000000001</v>
      </c>
      <c r="AM116" s="258">
        <f t="shared" si="84"/>
        <v>8.9999999999999993E-3</v>
      </c>
      <c r="AN116" s="258">
        <f t="shared" si="85"/>
        <v>7.4999999999999997E-3</v>
      </c>
      <c r="AO116" s="258">
        <f t="shared" si="86"/>
        <v>0.45</v>
      </c>
      <c r="AP116" s="258">
        <f t="shared" si="87"/>
        <v>0</v>
      </c>
      <c r="AQ116" s="136">
        <f t="shared" si="110"/>
        <v>3.6400000000000002E-2</v>
      </c>
      <c r="AR116" s="137">
        <f t="shared" si="88"/>
        <v>2.2499999999999999E-2</v>
      </c>
      <c r="AS116" s="136">
        <f t="shared" si="111"/>
        <v>3.8904999999999998</v>
      </c>
      <c r="AT116" s="137">
        <f t="shared" si="112"/>
        <v>5.9230290919387599E-2</v>
      </c>
      <c r="AU116" s="137">
        <f t="shared" si="89"/>
        <v>0.63011841732930085</v>
      </c>
      <c r="AV116" s="394">
        <f t="shared" si="113"/>
        <v>4839.3094450890303</v>
      </c>
      <c r="AW116" s="137">
        <f t="shared" si="90"/>
        <v>0.20250000000000001</v>
      </c>
      <c r="AX116" s="137">
        <f t="shared" si="91"/>
        <v>0.8</v>
      </c>
      <c r="AY116" s="137">
        <f t="shared" si="92"/>
        <v>0.8</v>
      </c>
      <c r="AZ116" s="137"/>
      <c r="BA116" s="264"/>
      <c r="BB116" s="258">
        <f t="shared" si="93"/>
        <v>0</v>
      </c>
      <c r="BC116" s="258">
        <f t="shared" si="114"/>
        <v>0</v>
      </c>
      <c r="BD116" s="137">
        <f t="shared" si="115"/>
        <v>7.6696795322794831E-6</v>
      </c>
      <c r="BE116" s="137">
        <f t="shared" si="116"/>
        <v>7.6696795322794831E-6</v>
      </c>
      <c r="BF116" s="137">
        <f>_xll.xSPRDOPT($BW116,$BV116,$CG116,0,$BY116,$BX116,$BZ116,$AJ116,1,4)*$CB116</f>
        <v>-5.2555975436393301E-7</v>
      </c>
      <c r="BG116" s="137">
        <f>_xll.xSPRDOPT($BW116,$BV116,$CG116,0,$BY116,$BX116,$BZ116,$AJ116,1,3)*$CB116</f>
        <v>-7.5079964909133278E-7</v>
      </c>
      <c r="BH116" s="137">
        <f>IF(OR(BF116&lt;&gt;0,BG116&lt;&gt;0),_xll.xSPRDOPT($BW116,$BV116,$CG116,0,$BY116,$BX116,$BZ116,$AJ116,1,12)*$CB116,0)</f>
        <v>9.3849956136416603E-7</v>
      </c>
      <c r="BI116" s="137">
        <f>_xll.xSPRDOPT($BW116,$BV116,$CG116,2*LN(1+CA116/2),$BY116,$BX116,$BZ116,$AJ116,1,9)</f>
        <v>1.1305415084112962E-2</v>
      </c>
      <c r="BJ116" s="137">
        <f>_xll.xSPRDOPT($BW116,$BV116,$CG116,0,$BY116,$BX116,$BZ116,$AJ116,1,6)*$CB116</f>
        <v>-7.7611213718976001E-4</v>
      </c>
      <c r="BK116" s="137">
        <f>_xll.xSPRDOPT($BW116,$BV116,$CG116,0,$BY116,$BX116,$BZ116,$AJ116,1,5)*$CB116</f>
        <v>8.4318234501360172E-4</v>
      </c>
      <c r="BL116" s="137">
        <f>_xll.xSPRDOPT(BW116,BV116,CG116,0,BY116,BX116,BZ116,AJ116,1,2)*CB116</f>
        <v>-0.62980025778868065</v>
      </c>
      <c r="BM116" s="137">
        <f>_xll.xSPRDOPT(BW116,BV116,CG116,0,BY116,BX116,BZ116,AJ116,1,1)*CB116</f>
        <v>0.62980025778237969</v>
      </c>
      <c r="BN116" s="137">
        <f>IF(AH116&lt;&gt;0,_xll.xSPRDOPT($BW116,$BV116,$CG116,2*LN(1+CA116/2),$BY116,$BX116,$BZ116,$AJ116,1,8)+(AJ116/365.25)*CH116/AH116,0)</f>
        <v>0.30504836359819154</v>
      </c>
      <c r="BO116" s="137">
        <f>_xll.xSPRDOPT($BW116,$BV116,$CG116,0,$BY116,$BX116,$BZ116,$AJ116,1,0)</f>
        <v>0.30754999043236692</v>
      </c>
      <c r="BP116" s="137"/>
      <c r="BQ116" s="137"/>
      <c r="BR116" s="137"/>
      <c r="BS116" s="137"/>
      <c r="BV116" s="262">
        <v>3.9800511508951404</v>
      </c>
      <c r="BW116" s="136">
        <v>4.3239999999999998</v>
      </c>
      <c r="BX116" s="137">
        <v>0.21002599120921669</v>
      </c>
      <c r="BY116" s="137">
        <v>0.21002599120921669</v>
      </c>
      <c r="BZ116" s="137">
        <v>1</v>
      </c>
      <c r="CA116" s="137">
        <v>5.9230290919387599E-2</v>
      </c>
      <c r="CB116" s="137">
        <v>0.62981639427647473</v>
      </c>
      <c r="CC116" s="258">
        <v>8.9999999999999993E-3</v>
      </c>
      <c r="CD116" s="258">
        <v>7.4999999999999997E-3</v>
      </c>
      <c r="CE116" s="258">
        <v>0.45</v>
      </c>
      <c r="CF116" s="258">
        <v>0</v>
      </c>
      <c r="CG116" s="258">
        <v>3.6400000000000002E-2</v>
      </c>
      <c r="CH116" s="258">
        <v>6.966399137092087</v>
      </c>
      <c r="CI116" s="258">
        <v>3.8740000000000001</v>
      </c>
      <c r="CJ116" s="258"/>
      <c r="CK116" s="258"/>
      <c r="CL116" s="258"/>
      <c r="CM116" s="258"/>
    </row>
    <row r="117" spans="1:91" x14ac:dyDescent="0.25">
      <c r="A117" s="723"/>
      <c r="B117" s="723"/>
      <c r="D117" s="31">
        <f t="shared" si="94"/>
        <v>40162</v>
      </c>
      <c r="F117" s="28">
        <f t="shared" si="95"/>
        <v>11107</v>
      </c>
      <c r="G117" s="28">
        <f t="shared" si="76"/>
        <v>6959.5435955185903</v>
      </c>
      <c r="H117" s="52">
        <f t="shared" si="96"/>
        <v>4.1263427109974433</v>
      </c>
      <c r="I117" s="52">
        <f t="shared" si="97"/>
        <v>4.4170000000000007</v>
      </c>
      <c r="K117" s="52">
        <f t="shared" si="98"/>
        <v>4.9387733236735123</v>
      </c>
      <c r="L117" s="135">
        <f t="shared" si="99"/>
        <v>8.9939329988020233E-5</v>
      </c>
      <c r="N117" s="131">
        <f t="shared" si="77"/>
        <v>0.21469556434633544</v>
      </c>
      <c r="O117" s="131">
        <f t="shared" si="78"/>
        <v>0.21469556434633544</v>
      </c>
      <c r="P117" s="55">
        <f t="shared" si="100"/>
        <v>1</v>
      </c>
      <c r="Q117" s="135">
        <f>_xll.xSPRDOPT(I117,H117,AQ117,0,O117,N117,P117,D117-$G$5,1,0)*AH117*AU117</f>
        <v>4.9388632630035003</v>
      </c>
      <c r="R117" s="135"/>
      <c r="S117" s="181">
        <f t="shared" si="101"/>
        <v>-219179.79465664484</v>
      </c>
      <c r="T117" s="181">
        <f>_xll.xSPRDOPT(I117,H117,AQ117,AT117,O117,N117,P117,D117-$G$5,1,1)*AF117*F117*AH117</f>
        <v>214248.24927687034</v>
      </c>
      <c r="U117" s="135"/>
      <c r="V117" s="146">
        <f t="shared" si="102"/>
        <v>7.1617444344736505</v>
      </c>
      <c r="W117" s="146"/>
      <c r="X117" s="338">
        <f t="shared" si="103"/>
        <v>0</v>
      </c>
      <c r="Y117" s="338">
        <f t="shared" si="79"/>
        <v>0</v>
      </c>
      <c r="Z117" s="338">
        <f t="shared" si="80"/>
        <v>26.327775177358056</v>
      </c>
      <c r="AA117" s="338">
        <f t="shared" si="81"/>
        <v>5.7164911584844415E-4</v>
      </c>
      <c r="AB117" s="338">
        <f t="shared" si="104"/>
        <v>0</v>
      </c>
      <c r="AC117" s="338">
        <f t="shared" si="105"/>
        <v>26.7216751886622</v>
      </c>
      <c r="AF117" s="138">
        <f t="shared" si="106"/>
        <v>1</v>
      </c>
      <c r="AG117" s="138">
        <f t="shared" si="107"/>
        <v>12</v>
      </c>
      <c r="AH117" s="138">
        <f t="shared" si="82"/>
        <v>31</v>
      </c>
      <c r="AI117" s="138">
        <f t="shared" si="108"/>
        <v>2906</v>
      </c>
      <c r="AJ117" s="138">
        <f t="shared" si="109"/>
        <v>2923</v>
      </c>
      <c r="AL117" s="136">
        <f t="shared" si="83"/>
        <v>4.0170000000000003</v>
      </c>
      <c r="AM117" s="258">
        <f t="shared" si="84"/>
        <v>8.9999999999999993E-3</v>
      </c>
      <c r="AN117" s="258">
        <f t="shared" si="85"/>
        <v>7.4999999999999997E-3</v>
      </c>
      <c r="AO117" s="258">
        <f t="shared" si="86"/>
        <v>0.4</v>
      </c>
      <c r="AP117" s="258">
        <f t="shared" si="87"/>
        <v>0</v>
      </c>
      <c r="AQ117" s="136">
        <f t="shared" si="110"/>
        <v>3.6400000000000002E-2</v>
      </c>
      <c r="AR117" s="137">
        <f t="shared" si="88"/>
        <v>2.2499999999999999E-2</v>
      </c>
      <c r="AS117" s="136">
        <f t="shared" si="111"/>
        <v>4.033500000000001</v>
      </c>
      <c r="AT117" s="137">
        <f t="shared" si="112"/>
        <v>5.93358841100948E-2</v>
      </c>
      <c r="AU117" s="137">
        <f t="shared" si="89"/>
        <v>0.62659076217867926</v>
      </c>
      <c r="AV117" s="394">
        <f t="shared" si="113"/>
        <v>4972.6242886499986</v>
      </c>
      <c r="AW117" s="137">
        <f t="shared" si="90"/>
        <v>0.20250000000000001</v>
      </c>
      <c r="AX117" s="137">
        <f t="shared" si="91"/>
        <v>1</v>
      </c>
      <c r="AY117" s="137">
        <f t="shared" si="92"/>
        <v>1</v>
      </c>
      <c r="AZ117" s="137"/>
      <c r="BA117" s="264"/>
      <c r="BB117" s="258">
        <f t="shared" si="93"/>
        <v>0</v>
      </c>
      <c r="BC117" s="258">
        <f t="shared" si="114"/>
        <v>0</v>
      </c>
      <c r="BD117" s="137">
        <f t="shared" si="115"/>
        <v>1.2155433176064268E-5</v>
      </c>
      <c r="BE117" s="137">
        <f t="shared" si="116"/>
        <v>1.2155433176064268E-5</v>
      </c>
      <c r="BF117" s="137">
        <f>_xll.xSPRDOPT($BW117,$BV117,$CG117,0,$BY117,$BX117,$BZ117,$AJ117,1,4)*$CB117</f>
        <v>-2.2397872296470143E-7</v>
      </c>
      <c r="BG117" s="137">
        <f>_xll.xSPRDOPT($BW117,$BV117,$CG117,0,$BY117,$BX117,$BZ117,$AJ117,1,3)*$CB117</f>
        <v>0</v>
      </c>
      <c r="BH117" s="137">
        <f>IF(OR(BF117&lt;&gt;0,BG117&lt;&gt;0),_xll.xSPRDOPT($BW117,$BV117,$CG117,0,$BY117,$BX117,$BZ117,$AJ117,1,12)*$CB117,0)</f>
        <v>-1.1198936148235072E-7</v>
      </c>
      <c r="BI117" s="137">
        <f>_xll.xSPRDOPT($BW117,$BV117,$CG117,2*LN(1+CA117/2),$BY117,$BX117,$BZ117,$AJ117,1,9)</f>
        <v>9.3094637437110082E-3</v>
      </c>
      <c r="BJ117" s="137">
        <f>_xll.xSPRDOPT($BW117,$BV117,$CG117,0,$BY117,$BX117,$BZ117,$AJ117,1,6)*$CB117</f>
        <v>-1.9390307702619567E-3</v>
      </c>
      <c r="BK117" s="137">
        <f>_xll.xSPRDOPT($BW117,$BV117,$CG117,0,$BY117,$BX117,$BZ117,$AJ117,1,5)*$CB117</f>
        <v>2.0756150227849222E-3</v>
      </c>
      <c r="BL117" s="137">
        <f>_xll.xSPRDOPT(BW117,BV117,CG117,0,BY117,BX117,BZ117,AJ117,1,2)*CB117</f>
        <v>-0.6262491211845036</v>
      </c>
      <c r="BM117" s="137">
        <f>_xll.xSPRDOPT(BW117,BV117,CG117,0,BY117,BX117,BZ117,AJ117,1,1)*CB117</f>
        <v>0.62624912118279474</v>
      </c>
      <c r="BN117" s="137">
        <f>IF(AH117&lt;&gt;0,_xll.xSPRDOPT($BW117,$BV117,$CG117,2*LN(1+CA117/2),$BY117,$BX117,$BZ117,$AJ117,1,8)+(AJ117/365.25)*CH117/AH117,0)</f>
        <v>0.57356743384019393</v>
      </c>
      <c r="BO117" s="137">
        <f>_xll.xSPRDOPT($BW117,$BV117,$CG117,0,$BY117,$BX117,$BZ117,$AJ117,1,0)</f>
        <v>0.25426194064175783</v>
      </c>
      <c r="BP117" s="137"/>
      <c r="BQ117" s="137"/>
      <c r="BR117" s="137"/>
      <c r="BS117" s="137"/>
      <c r="BV117" s="262">
        <v>4.1263427109974433</v>
      </c>
      <c r="BW117" s="136">
        <v>4.4170000000000007</v>
      </c>
      <c r="BX117" s="137">
        <v>0.21468340891315937</v>
      </c>
      <c r="BY117" s="137">
        <v>0.21468340891315937</v>
      </c>
      <c r="BZ117" s="137">
        <v>1</v>
      </c>
      <c r="CA117" s="137">
        <v>5.93358841100948E-2</v>
      </c>
      <c r="CB117" s="137">
        <v>0.62628990243049276</v>
      </c>
      <c r="CC117" s="258">
        <v>8.9999999999999993E-3</v>
      </c>
      <c r="CD117" s="258">
        <v>7.4999999999999997E-3</v>
      </c>
      <c r="CE117" s="258">
        <v>0.4</v>
      </c>
      <c r="CF117" s="258">
        <v>0</v>
      </c>
      <c r="CG117" s="258">
        <v>3.6400000000000002E-2</v>
      </c>
      <c r="CH117" s="258">
        <v>7.1583056978098032</v>
      </c>
      <c r="CI117" s="258">
        <v>4.0170000000000003</v>
      </c>
      <c r="CJ117" s="258"/>
      <c r="CK117" s="258"/>
      <c r="CL117" s="258"/>
      <c r="CM117" s="258"/>
    </row>
    <row r="118" spans="1:91" x14ac:dyDescent="0.25">
      <c r="A118" s="723"/>
      <c r="B118" s="723"/>
      <c r="D118" s="31">
        <f t="shared" si="94"/>
        <v>40193</v>
      </c>
      <c r="F118" s="28">
        <f t="shared" si="95"/>
        <v>11107</v>
      </c>
      <c r="G118" s="28">
        <f t="shared" si="76"/>
        <v>6919.1641546746778</v>
      </c>
      <c r="H118" s="52">
        <f t="shared" si="96"/>
        <v>4.1826086956521742</v>
      </c>
      <c r="I118" s="52">
        <f t="shared" si="97"/>
        <v>4.4219999999999997</v>
      </c>
      <c r="K118" s="52">
        <f t="shared" si="98"/>
        <v>3.9200895704851089</v>
      </c>
      <c r="L118" s="135">
        <f t="shared" si="99"/>
        <v>3.0054368603993353E-4</v>
      </c>
      <c r="N118" s="131">
        <f t="shared" si="77"/>
        <v>0.21457111684216928</v>
      </c>
      <c r="O118" s="131">
        <f t="shared" si="78"/>
        <v>0.21457111684216928</v>
      </c>
      <c r="P118" s="55">
        <f t="shared" si="100"/>
        <v>1</v>
      </c>
      <c r="Q118" s="135">
        <f>_xll.xSPRDOPT(I118,H118,AQ118,0,O118,N118,P118,D118-$G$5,1,0)*AH118*AU118</f>
        <v>3.9203901141711488</v>
      </c>
      <c r="R118" s="135"/>
      <c r="S118" s="181">
        <f t="shared" si="101"/>
        <v>-217812.72282213869</v>
      </c>
      <c r="T118" s="181">
        <f>_xll.xSPRDOPT(I118,H118,AQ118,AT118,O118,N118,P118,D118-$G$5,1,1)*AF118*F118*AH118</f>
        <v>212911.93655864059</v>
      </c>
      <c r="U118" s="135"/>
      <c r="V118" s="146">
        <f t="shared" si="102"/>
        <v>7.1201918194548632</v>
      </c>
      <c r="W118" s="146"/>
      <c r="X118" s="338">
        <f t="shared" si="103"/>
        <v>0</v>
      </c>
      <c r="Y118" s="338">
        <f t="shared" si="79"/>
        <v>0</v>
      </c>
      <c r="Z118" s="338">
        <f t="shared" si="80"/>
        <v>20.91730386727621</v>
      </c>
      <c r="AA118" s="338">
        <f t="shared" si="81"/>
        <v>2.5405449188336555E-3</v>
      </c>
      <c r="AB118" s="338">
        <f t="shared" si="104"/>
        <v>0</v>
      </c>
      <c r="AC118" s="338">
        <f t="shared" si="105"/>
        <v>21.250230641595561</v>
      </c>
      <c r="AF118" s="138">
        <f t="shared" si="106"/>
        <v>1</v>
      </c>
      <c r="AG118" s="138">
        <f t="shared" si="107"/>
        <v>1</v>
      </c>
      <c r="AH118" s="138">
        <f t="shared" si="82"/>
        <v>31</v>
      </c>
      <c r="AI118" s="138">
        <f t="shared" si="108"/>
        <v>2937</v>
      </c>
      <c r="AJ118" s="138">
        <f t="shared" si="109"/>
        <v>2954</v>
      </c>
      <c r="AL118" s="136">
        <f t="shared" si="83"/>
        <v>4.0720000000000001</v>
      </c>
      <c r="AM118" s="258">
        <f t="shared" si="84"/>
        <v>8.9999999999999993E-3</v>
      </c>
      <c r="AN118" s="258">
        <f t="shared" si="85"/>
        <v>7.4999999999999997E-3</v>
      </c>
      <c r="AO118" s="258">
        <f t="shared" si="86"/>
        <v>0.35</v>
      </c>
      <c r="AP118" s="258">
        <f t="shared" si="87"/>
        <v>0</v>
      </c>
      <c r="AQ118" s="136">
        <f t="shared" si="110"/>
        <v>3.6400000000000002E-2</v>
      </c>
      <c r="AR118" s="137">
        <f t="shared" si="88"/>
        <v>2.2499999999999999E-2</v>
      </c>
      <c r="AS118" s="136">
        <f t="shared" si="111"/>
        <v>4.0885000000000007</v>
      </c>
      <c r="AT118" s="137">
        <f t="shared" si="112"/>
        <v>5.9444997077718699E-2</v>
      </c>
      <c r="AU118" s="137">
        <f t="shared" si="89"/>
        <v>0.62295526736964779</v>
      </c>
      <c r="AV118" s="394">
        <f t="shared" si="113"/>
        <v>4943.773001845525</v>
      </c>
      <c r="AW118" s="137">
        <f t="shared" si="90"/>
        <v>0.20250000000000001</v>
      </c>
      <c r="AX118" s="137">
        <f t="shared" si="91"/>
        <v>1</v>
      </c>
      <c r="AY118" s="137">
        <f t="shared" si="92"/>
        <v>1</v>
      </c>
      <c r="AZ118" s="137"/>
      <c r="BA118" s="264"/>
      <c r="BB118" s="258">
        <f t="shared" si="93"/>
        <v>0</v>
      </c>
      <c r="BC118" s="258">
        <f t="shared" si="114"/>
        <v>0</v>
      </c>
      <c r="BD118" s="137">
        <f t="shared" si="115"/>
        <v>1.1908543680799744E-5</v>
      </c>
      <c r="BE118" s="137">
        <f t="shared" si="116"/>
        <v>1.1908543680799744E-5</v>
      </c>
      <c r="BF118" s="137">
        <f>_xll.xSPRDOPT($BW118,$BV118,$CG118,0,$BY118,$BX118,$BZ118,$AJ118,1,4)*$CB118</f>
        <v>-1.1133949958369595E-7</v>
      </c>
      <c r="BG118" s="137">
        <f>_xll.xSPRDOPT($BW118,$BV118,$CG118,0,$BY118,$BX118,$BZ118,$AJ118,1,3)*$CB118</f>
        <v>6.30923830974277E-7</v>
      </c>
      <c r="BH118" s="137">
        <f>IF(OR(BF118&lt;&gt;0,BG118&lt;&gt;0),_xll.xSPRDOPT($BW118,$BV118,$CG118,0,$BY118,$BX118,$BZ118,$AJ118,1,12)*$CB118,0)</f>
        <v>0</v>
      </c>
      <c r="BI118" s="137">
        <f>_xll.xSPRDOPT($BW118,$BV118,$CG118,2*LN(1+CA118/2),$BY118,$BX118,$BZ118,$AJ118,1,9)</f>
        <v>7.3963288070030787E-3</v>
      </c>
      <c r="BJ118" s="137">
        <f>_xll.xSPRDOPT($BW118,$BV118,$CG118,0,$BY118,$BX118,$BZ118,$AJ118,1,6)*$CB118</f>
        <v>-1.0825516239347608E-2</v>
      </c>
      <c r="BK118" s="137">
        <f>_xll.xSPRDOPT($BW118,$BV118,$CG118,0,$BY118,$BX118,$BZ118,$AJ118,1,5)*$CB118</f>
        <v>1.1445113884169824E-2</v>
      </c>
      <c r="BL118" s="137">
        <f>_xll.xSPRDOPT(BW118,BV118,CG118,0,BY118,BX118,BZ118,AJ118,1,2)*CB118</f>
        <v>-0.62240415097231505</v>
      </c>
      <c r="BM118" s="137">
        <f>_xll.xSPRDOPT(BW118,BV118,CG118,0,BY118,BX118,BZ118,AJ118,1,1)*CB118</f>
        <v>0.62240415097542967</v>
      </c>
      <c r="BN118" s="137">
        <f>IF(AH118&lt;&gt;0,_xll.xSPRDOPT($BW118,$BV118,$CG118,2*LN(1+CA118/2),$BY118,$BX118,$BZ118,$AJ118,1,8)+(AJ118/365.25)*CH118/AH118,0)</f>
        <v>0.83439641343863391</v>
      </c>
      <c r="BO118" s="137">
        <f>_xll.xSPRDOPT($BW118,$BV118,$CG118,0,$BY118,$BX118,$BZ118,$AJ118,1,0)</f>
        <v>0.20300696383837716</v>
      </c>
      <c r="BP118" s="137"/>
      <c r="BQ118" s="137"/>
      <c r="BR118" s="137"/>
      <c r="BS118" s="137"/>
      <c r="BV118" s="262">
        <v>4.1826086956521742</v>
      </c>
      <c r="BW118" s="136">
        <v>4.4219999999999997</v>
      </c>
      <c r="BX118" s="137">
        <v>0.21455920829848849</v>
      </c>
      <c r="BY118" s="137">
        <v>0.21455920829848849</v>
      </c>
      <c r="BZ118" s="137">
        <v>1</v>
      </c>
      <c r="CA118" s="137">
        <v>5.9444997077718699E-2</v>
      </c>
      <c r="CB118" s="137">
        <v>0.62265561128252567</v>
      </c>
      <c r="CC118" s="258">
        <v>8.9999999999999993E-3</v>
      </c>
      <c r="CD118" s="258">
        <v>7.4999999999999997E-3</v>
      </c>
      <c r="CE118" s="258">
        <v>0.35</v>
      </c>
      <c r="CF118" s="258">
        <v>0</v>
      </c>
      <c r="CG118" s="258">
        <v>3.6400000000000002E-2</v>
      </c>
      <c r="CH118" s="258">
        <v>7.1167668402758837</v>
      </c>
      <c r="CI118" s="258">
        <v>4.0720000000000001</v>
      </c>
      <c r="CJ118" s="258"/>
      <c r="CK118" s="258"/>
      <c r="CL118" s="258"/>
      <c r="CM118" s="258"/>
    </row>
    <row r="119" spans="1:91" x14ac:dyDescent="0.25">
      <c r="A119" s="723"/>
      <c r="B119" s="723"/>
      <c r="D119" s="31">
        <f t="shared" si="94"/>
        <v>40224</v>
      </c>
      <c r="F119" s="28">
        <f t="shared" si="95"/>
        <v>11107</v>
      </c>
      <c r="G119" s="28">
        <f t="shared" si="76"/>
        <v>6878.8955766414565</v>
      </c>
      <c r="H119" s="52">
        <f t="shared" si="96"/>
        <v>4.0956521739130434</v>
      </c>
      <c r="I119" s="52">
        <f t="shared" si="97"/>
        <v>4.3369999999999997</v>
      </c>
      <c r="K119" s="52">
        <f t="shared" si="98"/>
        <v>3.5540480274360053</v>
      </c>
      <c r="L119" s="135">
        <f t="shared" si="99"/>
        <v>2.1214720541085086E-4</v>
      </c>
      <c r="N119" s="131">
        <f t="shared" si="77"/>
        <v>0.21096692217862292</v>
      </c>
      <c r="O119" s="131">
        <f t="shared" si="78"/>
        <v>0.21096692217862292</v>
      </c>
      <c r="P119" s="55">
        <f t="shared" si="100"/>
        <v>1</v>
      </c>
      <c r="Q119" s="135">
        <f>_xll.xSPRDOPT(I119,H119,AQ119,0,O119,N119,P119,D119-$G$5,1,0)*AH119*AU119</f>
        <v>3.5542601746414162</v>
      </c>
      <c r="R119" s="135"/>
      <c r="S119" s="181">
        <f t="shared" si="101"/>
        <v>-195567.63586386887</v>
      </c>
      <c r="T119" s="181">
        <f>_xll.xSPRDOPT(I119,H119,AQ119,AT119,O119,N119,P119,D119-$G$5,1,1)*AF119*F119*AH119</f>
        <v>191167.36405693184</v>
      </c>
      <c r="U119" s="135"/>
      <c r="V119" s="146">
        <f t="shared" si="102"/>
        <v>6.3937126474309665</v>
      </c>
      <c r="W119" s="146"/>
      <c r="X119" s="338">
        <f t="shared" si="103"/>
        <v>0</v>
      </c>
      <c r="Y119" s="338">
        <f t="shared" si="79"/>
        <v>0</v>
      </c>
      <c r="Z119" s="338">
        <f t="shared" si="80"/>
        <v>18.998131004961255</v>
      </c>
      <c r="AA119" s="338">
        <f t="shared" si="81"/>
        <v>2.1346211794131516E-3</v>
      </c>
      <c r="AB119" s="338">
        <f t="shared" si="104"/>
        <v>0</v>
      </c>
      <c r="AC119" s="338">
        <f t="shared" si="105"/>
        <v>19.300992013996503</v>
      </c>
      <c r="AF119" s="138">
        <f t="shared" si="106"/>
        <v>1</v>
      </c>
      <c r="AG119" s="138">
        <f t="shared" si="107"/>
        <v>2</v>
      </c>
      <c r="AH119" s="138">
        <f t="shared" si="82"/>
        <v>28</v>
      </c>
      <c r="AI119" s="138">
        <f t="shared" si="108"/>
        <v>2968</v>
      </c>
      <c r="AJ119" s="138">
        <f t="shared" si="109"/>
        <v>2985</v>
      </c>
      <c r="AL119" s="136">
        <f t="shared" si="83"/>
        <v>3.9870000000000001</v>
      </c>
      <c r="AM119" s="258">
        <f t="shared" si="84"/>
        <v>8.9999999999999993E-3</v>
      </c>
      <c r="AN119" s="258">
        <f t="shared" si="85"/>
        <v>7.4999999999999997E-3</v>
      </c>
      <c r="AO119" s="258">
        <f t="shared" si="86"/>
        <v>0.35</v>
      </c>
      <c r="AP119" s="258">
        <f t="shared" si="87"/>
        <v>0</v>
      </c>
      <c r="AQ119" s="136">
        <f t="shared" si="110"/>
        <v>3.6400000000000002E-2</v>
      </c>
      <c r="AR119" s="137">
        <f t="shared" si="88"/>
        <v>2.2499999999999999E-2</v>
      </c>
      <c r="AS119" s="136">
        <f t="shared" si="111"/>
        <v>4.0034999999999998</v>
      </c>
      <c r="AT119" s="137">
        <f t="shared" si="112"/>
        <v>5.9554110049299301E-2</v>
      </c>
      <c r="AU119" s="137">
        <f t="shared" si="89"/>
        <v>0.61932975390667655</v>
      </c>
      <c r="AV119" s="394">
        <f t="shared" si="113"/>
        <v>4439.3556760030579</v>
      </c>
      <c r="AW119" s="137">
        <f t="shared" si="90"/>
        <v>0.2</v>
      </c>
      <c r="AX119" s="137">
        <f t="shared" si="91"/>
        <v>1</v>
      </c>
      <c r="AY119" s="137">
        <f t="shared" si="92"/>
        <v>1</v>
      </c>
      <c r="AZ119" s="137"/>
      <c r="BA119" s="264"/>
      <c r="BB119" s="258">
        <f t="shared" si="93"/>
        <v>0</v>
      </c>
      <c r="BC119" s="258">
        <f t="shared" si="114"/>
        <v>0</v>
      </c>
      <c r="BD119" s="137">
        <f t="shared" si="115"/>
        <v>1.0735820379137451E-5</v>
      </c>
      <c r="BE119" s="137">
        <f t="shared" si="116"/>
        <v>1.0735820379137451E-5</v>
      </c>
      <c r="BF119" s="137">
        <f>_xll.xSPRDOPT($BW119,$BV119,$CG119,0,$BY119,$BX119,$BZ119,$AJ119,1,4)*$CB119</f>
        <v>-1.4758856368660982E-7</v>
      </c>
      <c r="BG119" s="137">
        <f>_xll.xSPRDOPT($BW119,$BV119,$CG119,0,$BY119,$BX119,$BZ119,$AJ119,1,3)*$CB119</f>
        <v>3.6897140921652452E-7</v>
      </c>
      <c r="BH119" s="137">
        <f>IF(OR(BF119&lt;&gt;0,BG119&lt;&gt;0),_xll.xSPRDOPT($BW119,$BV119,$CG119,0,$BY119,$BX119,$BZ119,$AJ119,1,12)*$CB119,0)</f>
        <v>-1.4758856368660982E-7</v>
      </c>
      <c r="BI119" s="137">
        <f>_xll.xSPRDOPT($BW119,$BV119,$CG119,2*LN(1+CA119/2),$BY119,$BX119,$BZ119,$AJ119,1,9)</f>
        <v>7.4374668801336112E-3</v>
      </c>
      <c r="BJ119" s="137">
        <f>_xll.xSPRDOPT($BW119,$BV119,$CG119,0,$BY119,$BX119,$BZ119,$AJ119,1,6)*$CB119</f>
        <v>-1.0849518376914946E-2</v>
      </c>
      <c r="BK119" s="137">
        <f>_xll.xSPRDOPT($BW119,$BV119,$CG119,0,$BY119,$BX119,$BZ119,$AJ119,1,5)*$CB119</f>
        <v>1.1488856753874843E-2</v>
      </c>
      <c r="BL119" s="137">
        <f>_xll.xSPRDOPT(BW119,BV119,CG119,0,BY119,BX119,BZ119,AJ119,1,2)*CB119</f>
        <v>-0.61877479879762698</v>
      </c>
      <c r="BM119" s="137">
        <f>_xll.xSPRDOPT(BW119,BV119,CG119,0,BY119,BX119,BZ119,AJ119,1,1)*CB119</f>
        <v>0.61877479879565644</v>
      </c>
      <c r="BN119" s="137">
        <f>IF(AH119&lt;&gt;0,_xll.xSPRDOPT($BW119,$BV119,$CG119,2*LN(1+CA119/2),$BY119,$BX119,$BZ119,$AJ119,1,8)+(AJ119/365.25)*CH119/AH119,0)</f>
        <v>0.82836375489343084</v>
      </c>
      <c r="BO119" s="137">
        <f>_xll.xSPRDOPT($BW119,$BV119,$CG119,0,$BY119,$BX119,$BZ119,$AJ119,1,0)</f>
        <v>0.20496015824895603</v>
      </c>
      <c r="BP119" s="137"/>
      <c r="BQ119" s="137"/>
      <c r="BR119" s="137"/>
      <c r="BS119" s="137"/>
      <c r="BV119" s="262">
        <v>4.0956521739130434</v>
      </c>
      <c r="BW119" s="136">
        <v>4.3369999999999997</v>
      </c>
      <c r="BX119" s="137">
        <v>0.21095618635824379</v>
      </c>
      <c r="BY119" s="137">
        <v>0.21095618635824379</v>
      </c>
      <c r="BZ119" s="137">
        <v>1</v>
      </c>
      <c r="CA119" s="137">
        <v>5.9554110049299301E-2</v>
      </c>
      <c r="CB119" s="137">
        <v>0.61903130302500231</v>
      </c>
      <c r="CC119" s="258">
        <v>8.9999999999999993E-3</v>
      </c>
      <c r="CD119" s="258">
        <v>7.4999999999999997E-3</v>
      </c>
      <c r="CE119" s="258">
        <v>0.35</v>
      </c>
      <c r="CF119" s="258">
        <v>0</v>
      </c>
      <c r="CG119" s="258">
        <v>3.6400000000000002E-2</v>
      </c>
      <c r="CH119" s="258">
        <v>6.3906315599089147</v>
      </c>
      <c r="CI119" s="258">
        <v>3.9870000000000001</v>
      </c>
      <c r="CJ119" s="258"/>
      <c r="CK119" s="258"/>
      <c r="CL119" s="258"/>
      <c r="CM119" s="258"/>
    </row>
    <row r="120" spans="1:91" x14ac:dyDescent="0.25">
      <c r="A120" s="723"/>
      <c r="B120" s="723"/>
      <c r="D120" s="31">
        <f t="shared" si="94"/>
        <v>40252</v>
      </c>
      <c r="F120" s="28">
        <f t="shared" si="95"/>
        <v>11107</v>
      </c>
      <c r="G120" s="28">
        <f t="shared" si="76"/>
        <v>6842.6199167691784</v>
      </c>
      <c r="H120" s="52">
        <f t="shared" si="96"/>
        <v>3.9677749360613808</v>
      </c>
      <c r="I120" s="52">
        <f t="shared" si="97"/>
        <v>4.2570000000000006</v>
      </c>
      <c r="K120" s="52">
        <f t="shared" si="98"/>
        <v>4.8284469574961797</v>
      </c>
      <c r="L120" s="135">
        <f t="shared" si="99"/>
        <v>4.7311602713762113E-5</v>
      </c>
      <c r="N120" s="131">
        <f t="shared" si="77"/>
        <v>0.20180297234683126</v>
      </c>
      <c r="O120" s="131">
        <f t="shared" si="78"/>
        <v>0.20180297234683126</v>
      </c>
      <c r="P120" s="55">
        <f t="shared" si="100"/>
        <v>1.0000000000000002</v>
      </c>
      <c r="Q120" s="135">
        <f>_xll.xSPRDOPT(I120,H120,AQ120,0,O120,N120,P120,D120-$G$5,1,0)*AH120*AU120</f>
        <v>4.8284942690988935</v>
      </c>
      <c r="R120" s="135"/>
      <c r="S120" s="181">
        <f t="shared" si="101"/>
        <v>-215433.71938084616</v>
      </c>
      <c r="T120" s="181">
        <f>_xll.xSPRDOPT(I120,H120,AQ120,AT120,O120,N120,P120,D120-$G$5,1,1)*AF120*F120*AH120</f>
        <v>210586.46069477714</v>
      </c>
      <c r="U120" s="135"/>
      <c r="V120" s="146">
        <f t="shared" si="102"/>
        <v>7.0414236844059319</v>
      </c>
      <c r="W120" s="146"/>
      <c r="X120" s="338">
        <f t="shared" si="103"/>
        <v>0</v>
      </c>
      <c r="Y120" s="338">
        <f t="shared" si="79"/>
        <v>0</v>
      </c>
      <c r="Z120" s="338">
        <f t="shared" si="80"/>
        <v>25.874652759555197</v>
      </c>
      <c r="AA120" s="338">
        <f t="shared" si="81"/>
        <v>3.457137277906976E-4</v>
      </c>
      <c r="AB120" s="338">
        <f t="shared" si="104"/>
        <v>0</v>
      </c>
      <c r="AC120" s="338">
        <f t="shared" si="105"/>
        <v>26.263930928373124</v>
      </c>
      <c r="AF120" s="138">
        <f t="shared" si="106"/>
        <v>1</v>
      </c>
      <c r="AG120" s="138">
        <f t="shared" si="107"/>
        <v>3</v>
      </c>
      <c r="AH120" s="138">
        <f t="shared" si="82"/>
        <v>31</v>
      </c>
      <c r="AI120" s="138">
        <f t="shared" si="108"/>
        <v>2996</v>
      </c>
      <c r="AJ120" s="138">
        <f t="shared" si="109"/>
        <v>3013</v>
      </c>
      <c r="AL120" s="136">
        <f t="shared" si="83"/>
        <v>3.8570000000000002</v>
      </c>
      <c r="AM120" s="258">
        <f t="shared" si="84"/>
        <v>1.4E-2</v>
      </c>
      <c r="AN120" s="258">
        <f t="shared" si="85"/>
        <v>7.4999999999999997E-3</v>
      </c>
      <c r="AO120" s="258">
        <f t="shared" si="86"/>
        <v>0.4</v>
      </c>
      <c r="AP120" s="258">
        <f t="shared" si="87"/>
        <v>0</v>
      </c>
      <c r="AQ120" s="136">
        <f t="shared" si="110"/>
        <v>3.6400000000000002E-2</v>
      </c>
      <c r="AR120" s="137">
        <f t="shared" si="88"/>
        <v>2.2499999999999999E-2</v>
      </c>
      <c r="AS120" s="136">
        <f t="shared" si="111"/>
        <v>3.8784999999999998</v>
      </c>
      <c r="AT120" s="137">
        <f t="shared" si="112"/>
        <v>5.9652663704449903E-2</v>
      </c>
      <c r="AU120" s="137">
        <f t="shared" si="89"/>
        <v>0.61606373609157994</v>
      </c>
      <c r="AV120" s="394">
        <f t="shared" si="113"/>
        <v>4889.0818096227786</v>
      </c>
      <c r="AW120" s="137">
        <f t="shared" si="90"/>
        <v>0.19500000000000001</v>
      </c>
      <c r="AX120" s="137">
        <f t="shared" si="91"/>
        <v>0.75</v>
      </c>
      <c r="AY120" s="137">
        <f t="shared" si="92"/>
        <v>0.75</v>
      </c>
      <c r="AZ120" s="137"/>
      <c r="BA120" s="264"/>
      <c r="BB120" s="258">
        <f t="shared" si="93"/>
        <v>0</v>
      </c>
      <c r="BC120" s="258">
        <f t="shared" si="114"/>
        <v>0</v>
      </c>
      <c r="BD120" s="137">
        <f t="shared" si="115"/>
        <v>6.6562434370975865E-6</v>
      </c>
      <c r="BE120" s="137">
        <f t="shared" si="116"/>
        <v>6.6562434370975865E-6</v>
      </c>
      <c r="BF120" s="137">
        <f>_xll.xSPRDOPT($BW120,$BV120,$CG120,0,$BY120,$BX120,$BZ120,$AJ120,1,4)*$CB120</f>
        <v>-7.3405072100017974E-7</v>
      </c>
      <c r="BG120" s="137">
        <f>_xll.xSPRDOPT($BW120,$BV120,$CG120,0,$BY120,$BX120,$BZ120,$AJ120,1,3)*$CB120</f>
        <v>7.3405072100017979E-8</v>
      </c>
      <c r="BH120" s="137">
        <f>IF(OR(BF120&lt;&gt;0,BG120&lt;&gt;0),_xll.xSPRDOPT($BW120,$BV120,$CG120,0,$BY120,$BX120,$BZ120,$AJ120,1,12)*$CB120,0)</f>
        <v>-4.037278965500989E-7</v>
      </c>
      <c r="BI120" s="137">
        <f>_xll.xSPRDOPT($BW120,$BV120,$CG120,2*LN(1+CA120/2),$BY120,$BX120,$BZ120,$AJ120,1,9)</f>
        <v>9.1492403031968959E-3</v>
      </c>
      <c r="BJ120" s="137">
        <f>_xll.xSPRDOPT($BW120,$BV120,$CG120,0,$BY120,$BX120,$BZ120,$AJ120,1,6)*$CB120</f>
        <v>-2.069379180353353E-3</v>
      </c>
      <c r="BK120" s="137">
        <f>_xll.xSPRDOPT($BW120,$BV120,$CG120,0,$BY120,$BX120,$BZ120,$AJ120,1,5)*$CB120</f>
        <v>2.2202235006619974E-3</v>
      </c>
      <c r="BL120" s="137">
        <f>_xll.xSPRDOPT(BW120,BV120,CG120,0,BY120,BX120,BZ120,AJ120,1,2)*CB120</f>
        <v>-0.61572150028216277</v>
      </c>
      <c r="BM120" s="137">
        <f>_xll.xSPRDOPT(BW120,BV120,CG120,0,BY120,BX120,BZ120,AJ120,1,1)*CB120</f>
        <v>0.61572150028384298</v>
      </c>
      <c r="BN120" s="137">
        <f>IF(AH120&lt;&gt;0,_xll.xSPRDOPT($BW120,$BV120,$CG120,2*LN(1+CA120/2),$BY120,$BX120,$BZ120,$AJ120,1,8)+(AJ120/365.25)*CH120/AH120,0)</f>
        <v>0.58857933948024521</v>
      </c>
      <c r="BO120" s="137">
        <f>_xll.xSPRDOPT($BW120,$BV120,$CG120,0,$BY120,$BX120,$BZ120,$AJ120,1,0)</f>
        <v>0.25282756424696767</v>
      </c>
      <c r="BP120" s="137"/>
      <c r="BQ120" s="137"/>
      <c r="BR120" s="137"/>
      <c r="BS120" s="137"/>
      <c r="BV120" s="262">
        <v>3.9677749360613808</v>
      </c>
      <c r="BW120" s="136">
        <v>4.2570000000000006</v>
      </c>
      <c r="BX120" s="137">
        <v>0.20179631610339416</v>
      </c>
      <c r="BY120" s="137">
        <v>0.20179631610339416</v>
      </c>
      <c r="BZ120" s="137">
        <v>1</v>
      </c>
      <c r="CA120" s="137">
        <v>5.9652663704449903E-2</v>
      </c>
      <c r="CB120" s="137">
        <v>0.61576637505878762</v>
      </c>
      <c r="CC120" s="258">
        <v>1.4E-2</v>
      </c>
      <c r="CD120" s="258">
        <v>7.4999999999999997E-3</v>
      </c>
      <c r="CE120" s="258">
        <v>0.4</v>
      </c>
      <c r="CF120" s="258">
        <v>0</v>
      </c>
      <c r="CG120" s="258">
        <v>3.6400000000000002E-2</v>
      </c>
      <c r="CH120" s="258">
        <v>7.0380249370094248</v>
      </c>
      <c r="CI120" s="258">
        <v>3.8570000000000002</v>
      </c>
      <c r="CJ120" s="258"/>
      <c r="CK120" s="258"/>
      <c r="CL120" s="258"/>
      <c r="CM120" s="258"/>
    </row>
    <row r="121" spans="1:91" x14ac:dyDescent="0.25">
      <c r="A121" s="723"/>
      <c r="B121" s="723"/>
      <c r="D121" s="31">
        <f t="shared" si="94"/>
        <v>40283</v>
      </c>
      <c r="F121" s="28">
        <f t="shared" si="95"/>
        <v>5899</v>
      </c>
      <c r="G121" s="28">
        <f t="shared" si="76"/>
        <v>3612.8863139458317</v>
      </c>
      <c r="H121" s="52">
        <f t="shared" si="96"/>
        <v>3.7810741687979537</v>
      </c>
      <c r="I121" s="52">
        <f t="shared" si="97"/>
        <v>4.2720000000000002</v>
      </c>
      <c r="K121" s="52">
        <f t="shared" si="98"/>
        <v>8.3513315217056814</v>
      </c>
      <c r="L121" s="135">
        <f t="shared" si="99"/>
        <v>1.1634612882005513E-6</v>
      </c>
      <c r="N121" s="131">
        <f t="shared" si="77"/>
        <v>0.19160100924985268</v>
      </c>
      <c r="O121" s="131">
        <f t="shared" si="78"/>
        <v>0.19160100924985268</v>
      </c>
      <c r="P121" s="55">
        <f t="shared" si="100"/>
        <v>0.99999999999999989</v>
      </c>
      <c r="Q121" s="135">
        <f>_xll.xSPRDOPT(I121,H121,AQ121,0,O121,N121,P121,D121-$G$5,1,0)*AH121*AU121</f>
        <v>8.3513326851669696</v>
      </c>
      <c r="R121" s="135"/>
      <c r="S121" s="181">
        <f t="shared" si="101"/>
        <v>-110076.12033261782</v>
      </c>
      <c r="T121" s="181">
        <f>_xll.xSPRDOPT(I121,H121,AQ121,AT121,O121,N121,P121,D121-$G$5,1,1)*AF121*F121*AH121</f>
        <v>107599.40762513393</v>
      </c>
      <c r="U121" s="135"/>
      <c r="V121" s="146">
        <f t="shared" si="102"/>
        <v>6.7743915101805126</v>
      </c>
      <c r="W121" s="146"/>
      <c r="X121" s="338">
        <f t="shared" si="103"/>
        <v>0</v>
      </c>
      <c r="Y121" s="338">
        <f t="shared" si="79"/>
        <v>0</v>
      </c>
      <c r="Z121" s="338">
        <f t="shared" si="80"/>
        <v>23.816012465122881</v>
      </c>
      <c r="AA121" s="338">
        <f t="shared" si="81"/>
        <v>3.8566686771701699E-7</v>
      </c>
      <c r="AB121" s="338">
        <f t="shared" si="104"/>
        <v>0</v>
      </c>
      <c r="AC121" s="338">
        <f t="shared" si="105"/>
        <v>24.170111735362749</v>
      </c>
      <c r="AF121" s="138">
        <f t="shared" si="106"/>
        <v>1</v>
      </c>
      <c r="AG121" s="138">
        <f t="shared" si="107"/>
        <v>4</v>
      </c>
      <c r="AH121" s="138">
        <f t="shared" si="82"/>
        <v>30</v>
      </c>
      <c r="AI121" s="138">
        <f t="shared" si="108"/>
        <v>3027</v>
      </c>
      <c r="AJ121" s="138">
        <f t="shared" si="109"/>
        <v>3044</v>
      </c>
      <c r="AL121" s="136">
        <f t="shared" si="83"/>
        <v>3.6720000000000002</v>
      </c>
      <c r="AM121" s="258">
        <f t="shared" si="84"/>
        <v>1.4E-2</v>
      </c>
      <c r="AN121" s="258">
        <f t="shared" si="85"/>
        <v>0.01</v>
      </c>
      <c r="AO121" s="258">
        <f t="shared" si="86"/>
        <v>0.6</v>
      </c>
      <c r="AP121" s="258">
        <f t="shared" si="87"/>
        <v>0</v>
      </c>
      <c r="AQ121" s="136">
        <f t="shared" si="110"/>
        <v>3.6400000000000002E-2</v>
      </c>
      <c r="AR121" s="137">
        <f t="shared" si="88"/>
        <v>2.2499999999999999E-2</v>
      </c>
      <c r="AS121" s="136">
        <f t="shared" si="111"/>
        <v>3.6959999999999997</v>
      </c>
      <c r="AT121" s="137">
        <f t="shared" si="112"/>
        <v>5.9761776683561002E-2</v>
      </c>
      <c r="AU121" s="137">
        <f t="shared" si="89"/>
        <v>0.61245741887537408</v>
      </c>
      <c r="AV121" s="394">
        <f t="shared" si="113"/>
        <v>2498.8262690115262</v>
      </c>
      <c r="AW121" s="137">
        <f t="shared" si="90"/>
        <v>0.19</v>
      </c>
      <c r="AX121" s="137">
        <f t="shared" si="91"/>
        <v>0.4</v>
      </c>
      <c r="AY121" s="137">
        <f t="shared" si="92"/>
        <v>0.4</v>
      </c>
      <c r="AZ121" s="137"/>
      <c r="BA121" s="264"/>
      <c r="BB121" s="258">
        <f t="shared" si="93"/>
        <v>0</v>
      </c>
      <c r="BC121" s="258">
        <f t="shared" si="114"/>
        <v>0</v>
      </c>
      <c r="BD121" s="137">
        <f t="shared" si="115"/>
        <v>1.5707653252539089E-6</v>
      </c>
      <c r="BE121" s="137">
        <f t="shared" si="116"/>
        <v>1.5707653252539089E-6</v>
      </c>
      <c r="BF121" s="137">
        <f>_xll.xSPRDOPT($BW121,$BV121,$CG121,0,$BY121,$BX121,$BZ121,$AJ121,1,4)*$CB121</f>
        <v>0</v>
      </c>
      <c r="BG121" s="137">
        <f>_xll.xSPRDOPT($BW121,$BV121,$CG121,0,$BY121,$BX121,$BZ121,$AJ121,1,3)*$CB121</f>
        <v>-7.2975309588604743E-8</v>
      </c>
      <c r="BH121" s="137">
        <f>IF(OR(BF121&lt;&gt;0,BG121&lt;&gt;0),_xll.xSPRDOPT($BW121,$BV121,$CG121,0,$BY121,$BX121,$BZ121,$AJ121,1,12)*$CB121,0)</f>
        <v>3.6487654794302371E-8</v>
      </c>
      <c r="BI121" s="137">
        <f>_xll.xSPRDOPT($BW121,$BV121,$CG121,2*LN(1+CA121/2),$BY121,$BX121,$BZ121,$AJ121,1,9)</f>
        <v>1.6384695245684075E-2</v>
      </c>
      <c r="BJ121" s="137">
        <f>_xll.xSPRDOPT($BW121,$BV121,$CG121,0,$BY121,$BX121,$BZ121,$AJ121,1,6)*$CB121</f>
        <v>-1.0685632731745311E-5</v>
      </c>
      <c r="BK121" s="137">
        <f>_xll.xSPRDOPT($BW121,$BV121,$CG121,0,$BY121,$BX121,$BZ121,$AJ121,1,5)*$CB121</f>
        <v>1.2073031722104945E-5</v>
      </c>
      <c r="BL121" s="137">
        <f>_xll.xSPRDOPT(BW121,BV121,CG121,0,BY121,BX121,BZ121,AJ121,1,2)*CB121</f>
        <v>-0.61216112504912545</v>
      </c>
      <c r="BM121" s="137">
        <f>_xll.xSPRDOPT(BW121,BV121,CG121,0,BY121,BX121,BZ121,AJ121,1,1)*CB121</f>
        <v>0.61216112504188758</v>
      </c>
      <c r="BN121" s="137">
        <f>IF(AH121&lt;&gt;0,_xll.xSPRDOPT($BW121,$BV121,$CG121,2*LN(1+CA121/2),$BY121,$BX121,$BZ121,$AJ121,1,8)+(AJ121/365.25)*CH121/AH121,0)</f>
        <v>-0.43786336418890115</v>
      </c>
      <c r="BO121" s="137">
        <f>_xll.xSPRDOPT($BW121,$BV121,$CG121,0,$BY121,$BX121,$BZ121,$AJ121,1,0)</f>
        <v>0.45452589473469934</v>
      </c>
      <c r="BP121" s="137"/>
      <c r="BQ121" s="137"/>
      <c r="BR121" s="137"/>
      <c r="BS121" s="137"/>
      <c r="BV121" s="262">
        <v>3.7810741687979537</v>
      </c>
      <c r="BW121" s="136">
        <v>4.2720000000000002</v>
      </c>
      <c r="BX121" s="137">
        <v>0.19159943848452743</v>
      </c>
      <c r="BY121" s="137">
        <v>0.19159943848452743</v>
      </c>
      <c r="BZ121" s="137">
        <v>1</v>
      </c>
      <c r="CA121" s="137">
        <v>5.9761776683561002E-2</v>
      </c>
      <c r="CB121" s="137">
        <v>0.61216126581744645</v>
      </c>
      <c r="CC121" s="258">
        <v>1.4E-2</v>
      </c>
      <c r="CD121" s="258">
        <v>0.01</v>
      </c>
      <c r="CE121" s="258">
        <v>0.6</v>
      </c>
      <c r="CF121" s="258">
        <v>0</v>
      </c>
      <c r="CG121" s="258">
        <v>3.6400000000000002E-2</v>
      </c>
      <c r="CH121" s="258">
        <v>6.7711157612067749</v>
      </c>
      <c r="CI121" s="258">
        <v>3.6720000000000002</v>
      </c>
      <c r="CJ121" s="258"/>
      <c r="CK121" s="258"/>
      <c r="CL121" s="258"/>
      <c r="CM121" s="258"/>
    </row>
    <row r="122" spans="1:91" x14ac:dyDescent="0.25">
      <c r="A122" s="723"/>
      <c r="B122" s="723"/>
      <c r="D122" s="31">
        <f t="shared" si="94"/>
        <v>40313</v>
      </c>
      <c r="F122" s="28">
        <f t="shared" si="95"/>
        <v>5895</v>
      </c>
      <c r="G122" s="28">
        <f t="shared" si="76"/>
        <v>3589.9202118307044</v>
      </c>
      <c r="H122" s="52">
        <f t="shared" si="96"/>
        <v>3.7785166240409205</v>
      </c>
      <c r="I122" s="52">
        <f t="shared" si="97"/>
        <v>4.4169999999999998</v>
      </c>
      <c r="K122" s="52">
        <f t="shared" si="98"/>
        <v>11.36630529218756</v>
      </c>
      <c r="L122" s="135">
        <f t="shared" si="99"/>
        <v>1.1496284582079852E-6</v>
      </c>
      <c r="N122" s="131">
        <f t="shared" si="77"/>
        <v>0.18728028624049192</v>
      </c>
      <c r="O122" s="131">
        <f t="shared" si="78"/>
        <v>0.18728028624049192</v>
      </c>
      <c r="P122" s="55">
        <f t="shared" si="100"/>
        <v>0.99999999999999989</v>
      </c>
      <c r="Q122" s="135">
        <f>_xll.xSPRDOPT(I122,H122,AQ122,0,O122,N122,P122,D122-$G$5,1,0)*AH122*AU122</f>
        <v>11.366306441816018</v>
      </c>
      <c r="R122" s="135"/>
      <c r="S122" s="181">
        <f t="shared" si="101"/>
        <v>-113011.2714628018</v>
      </c>
      <c r="T122" s="181">
        <f>_xll.xSPRDOPT(I122,H122,AQ122,AT122,O122,N122,P122,D122-$G$5,1,1)*AF122*F122*AH122</f>
        <v>110468.51785488876</v>
      </c>
      <c r="U122" s="135"/>
      <c r="V122" s="146">
        <f t="shared" si="102"/>
        <v>6.9604259618594408</v>
      </c>
      <c r="W122" s="146"/>
      <c r="X122" s="338">
        <f t="shared" si="103"/>
        <v>0</v>
      </c>
      <c r="Y122" s="338">
        <f t="shared" si="79"/>
        <v>0</v>
      </c>
      <c r="Z122" s="338">
        <f t="shared" si="80"/>
        <v>32.448421733471513</v>
      </c>
      <c r="AA122" s="338">
        <f t="shared" si="81"/>
        <v>1.70934858127462E-8</v>
      </c>
      <c r="AB122" s="338">
        <f t="shared" si="104"/>
        <v>0</v>
      </c>
      <c r="AC122" s="338">
        <f t="shared" si="105"/>
        <v>32.93168557287413</v>
      </c>
      <c r="AF122" s="138">
        <f t="shared" si="106"/>
        <v>1</v>
      </c>
      <c r="AG122" s="138">
        <f t="shared" si="107"/>
        <v>5</v>
      </c>
      <c r="AH122" s="138">
        <f t="shared" si="82"/>
        <v>31</v>
      </c>
      <c r="AI122" s="138">
        <f t="shared" si="108"/>
        <v>3057</v>
      </c>
      <c r="AJ122" s="138">
        <f t="shared" si="109"/>
        <v>3074</v>
      </c>
      <c r="AL122" s="136">
        <f t="shared" si="83"/>
        <v>3.6669999999999998</v>
      </c>
      <c r="AM122" s="258">
        <f t="shared" si="84"/>
        <v>1.6500000000000001E-2</v>
      </c>
      <c r="AN122" s="258">
        <f t="shared" si="85"/>
        <v>0.01</v>
      </c>
      <c r="AO122" s="258">
        <f t="shared" si="86"/>
        <v>0.75</v>
      </c>
      <c r="AP122" s="258">
        <f t="shared" si="87"/>
        <v>0</v>
      </c>
      <c r="AQ122" s="136">
        <f t="shared" si="110"/>
        <v>3.6400000000000002E-2</v>
      </c>
      <c r="AR122" s="137">
        <f t="shared" si="88"/>
        <v>2.2499999999999999E-2</v>
      </c>
      <c r="AS122" s="136">
        <f t="shared" si="111"/>
        <v>3.6934999999999998</v>
      </c>
      <c r="AT122" s="137">
        <f t="shared" si="112"/>
        <v>5.9867369892918597E-2</v>
      </c>
      <c r="AU122" s="137">
        <f t="shared" si="89"/>
        <v>0.60897713517060292</v>
      </c>
      <c r="AV122" s="394">
        <f t="shared" si="113"/>
        <v>2567.447601879262</v>
      </c>
      <c r="AW122" s="137">
        <f t="shared" si="90"/>
        <v>0.185</v>
      </c>
      <c r="AX122" s="137">
        <f t="shared" si="91"/>
        <v>0.45</v>
      </c>
      <c r="AY122" s="137">
        <f t="shared" si="92"/>
        <v>0.45</v>
      </c>
      <c r="AZ122" s="137"/>
      <c r="BA122" s="264"/>
      <c r="BB122" s="258">
        <f t="shared" si="93"/>
        <v>0</v>
      </c>
      <c r="BC122" s="258">
        <f t="shared" si="114"/>
        <v>0</v>
      </c>
      <c r="BD122" s="137">
        <f t="shared" si="115"/>
        <v>2.2107795183412549E-6</v>
      </c>
      <c r="BE122" s="137">
        <f t="shared" si="116"/>
        <v>2.2107795183412549E-6</v>
      </c>
      <c r="BF122" s="137">
        <f>_xll.xSPRDOPT($BW122,$BV122,$CG122,0,$BY122,$BX122,$BZ122,$AJ122,1,4)*$CB122</f>
        <v>7.2560566952480087E-7</v>
      </c>
      <c r="BG122" s="137">
        <f>_xll.xSPRDOPT($BW122,$BV122,$CG122,0,$BY122,$BX122,$BZ122,$AJ122,1,3)*$CB122</f>
        <v>-4.3536340171488057E-7</v>
      </c>
      <c r="BH122" s="137">
        <f>IF(OR(BF122&lt;&gt;0,BG122&lt;&gt;0),_xll.xSPRDOPT($BW122,$BV122,$CG122,0,$BY122,$BX122,$BZ122,$AJ122,1,12)*$CB122,0)</f>
        <v>7.256056695248009E-8</v>
      </c>
      <c r="BI122" s="137">
        <f>_xll.xSPRDOPT($BW122,$BV122,$CG122,2*LN(1+CA122/2),$BY122,$BX122,$BZ122,$AJ122,1,9)</f>
        <v>2.1618076259542839E-2</v>
      </c>
      <c r="BJ122" s="137">
        <f>_xll.xSPRDOPT($BW122,$BV122,$CG122,0,$BY122,$BX122,$BZ122,$AJ122,1,6)*$CB122</f>
        <v>-2.5034370214940342E-7</v>
      </c>
      <c r="BK122" s="137">
        <f>_xll.xSPRDOPT($BW122,$BV122,$CG122,0,$BY122,$BX122,$BZ122,$AJ122,1,5)*$CB122</f>
        <v>2.9265337820471599E-7</v>
      </c>
      <c r="BL122" s="137">
        <f>_xll.xSPRDOPT(BW122,BV122,CG122,0,BY122,BX122,BZ122,AJ122,1,2)*CB122</f>
        <v>-0.60868219849545713</v>
      </c>
      <c r="BM122" s="137">
        <f>_xll.xSPRDOPT(BW122,BV122,CG122,0,BY122,BX122,BZ122,AJ122,1,1)*CB122</f>
        <v>0.60868219850099303</v>
      </c>
      <c r="BN122" s="137">
        <f>IF(AH122&lt;&gt;0,_xll.xSPRDOPT($BW122,$BV122,$CG122,2*LN(1+CA122/2),$BY122,$BX122,$BZ122,$AJ122,1,8)+(AJ122/365.25)*CH122/AH122,0)</f>
        <v>-1.1955678759363388</v>
      </c>
      <c r="BO122" s="137">
        <f>_xll.xSPRDOPT($BW122,$BV122,$CG122,0,$BY122,$BX122,$BZ122,$AJ122,1,0)</f>
        <v>0.60208343686214894</v>
      </c>
      <c r="BP122" s="137"/>
      <c r="BQ122" s="137"/>
      <c r="BR122" s="137"/>
      <c r="BS122" s="137"/>
      <c r="BV122" s="262">
        <v>3.7785166240409205</v>
      </c>
      <c r="BW122" s="136">
        <v>4.4169999999999998</v>
      </c>
      <c r="BX122" s="137">
        <v>0.18727807546097358</v>
      </c>
      <c r="BY122" s="137">
        <v>0.18727807546097358</v>
      </c>
      <c r="BZ122" s="137">
        <v>1</v>
      </c>
      <c r="CA122" s="137">
        <v>5.9867369892918597E-2</v>
      </c>
      <c r="CB122" s="137">
        <v>0.6086821524221101</v>
      </c>
      <c r="CC122" s="258">
        <v>1.6500000000000001E-2</v>
      </c>
      <c r="CD122" s="258">
        <v>0.01</v>
      </c>
      <c r="CE122" s="258">
        <v>0.75</v>
      </c>
      <c r="CF122" s="258">
        <v>0</v>
      </c>
      <c r="CG122" s="258">
        <v>3.6400000000000002E-2</v>
      </c>
      <c r="CH122" s="258">
        <v>6.9570543975389922</v>
      </c>
      <c r="CI122" s="258">
        <v>3.6669999999999998</v>
      </c>
      <c r="CJ122" s="258"/>
      <c r="CK122" s="258"/>
      <c r="CL122" s="258"/>
      <c r="CM122" s="258"/>
    </row>
    <row r="123" spans="1:91" x14ac:dyDescent="0.25">
      <c r="A123" s="723"/>
      <c r="B123" s="723"/>
      <c r="D123" s="31">
        <f t="shared" si="94"/>
        <v>40344</v>
      </c>
      <c r="F123" s="28">
        <f t="shared" si="95"/>
        <v>5895</v>
      </c>
      <c r="G123" s="28">
        <f t="shared" si="76"/>
        <v>3568.7795552451735</v>
      </c>
      <c r="H123" s="52">
        <f t="shared" si="96"/>
        <v>3.8143222506393859</v>
      </c>
      <c r="I123" s="52">
        <f t="shared" si="97"/>
        <v>4.5519999999999996</v>
      </c>
      <c r="K123" s="52">
        <f t="shared" si="98"/>
        <v>12.736415747921155</v>
      </c>
      <c r="L123" s="135">
        <f t="shared" si="99"/>
        <v>1.2741615602607226E-6</v>
      </c>
      <c r="N123" s="131">
        <f t="shared" si="77"/>
        <v>0.18718559416931155</v>
      </c>
      <c r="O123" s="131">
        <f t="shared" si="78"/>
        <v>0.18718559416931155</v>
      </c>
      <c r="P123" s="55">
        <f t="shared" si="100"/>
        <v>1</v>
      </c>
      <c r="Q123" s="135">
        <f>_xll.xSPRDOPT(I123,H123,AQ123,0,O123,N123,P123,D123-$G$5,1,0)*AH123*AU123</f>
        <v>12.736417022082716</v>
      </c>
      <c r="R123" s="135"/>
      <c r="S123" s="181">
        <f t="shared" si="101"/>
        <v>-108710.66851131825</v>
      </c>
      <c r="T123" s="181">
        <f>_xll.xSPRDOPT(I123,H123,AQ123,AT123,O123,N123,P123,D123-$G$5,1,1)*AF123*F123*AH123</f>
        <v>106264.67846981359</v>
      </c>
      <c r="U123" s="135"/>
      <c r="V123" s="146">
        <f t="shared" si="102"/>
        <v>6.6962291196890353</v>
      </c>
      <c r="W123" s="146"/>
      <c r="X123" s="338">
        <f t="shared" si="103"/>
        <v>0</v>
      </c>
      <c r="Y123" s="338">
        <f t="shared" si="79"/>
        <v>0</v>
      </c>
      <c r="Z123" s="338">
        <f t="shared" si="80"/>
        <v>36.425069871137396</v>
      </c>
      <c r="AA123" s="338">
        <f t="shared" si="81"/>
        <v>-3.431671271981285E-8</v>
      </c>
      <c r="AB123" s="338">
        <f t="shared" si="104"/>
        <v>0</v>
      </c>
      <c r="AC123" s="338">
        <f t="shared" si="105"/>
        <v>36.968540696201877</v>
      </c>
      <c r="AF123" s="138">
        <f t="shared" si="106"/>
        <v>1</v>
      </c>
      <c r="AG123" s="138">
        <f t="shared" si="107"/>
        <v>6</v>
      </c>
      <c r="AH123" s="138">
        <f t="shared" si="82"/>
        <v>30</v>
      </c>
      <c r="AI123" s="138">
        <f t="shared" si="108"/>
        <v>3088</v>
      </c>
      <c r="AJ123" s="138">
        <f t="shared" si="109"/>
        <v>3105</v>
      </c>
      <c r="AL123" s="136">
        <f t="shared" si="83"/>
        <v>3.702</v>
      </c>
      <c r="AM123" s="258">
        <f t="shared" si="84"/>
        <v>1.6500000000000001E-2</v>
      </c>
      <c r="AN123" s="258">
        <f t="shared" si="85"/>
        <v>0.01</v>
      </c>
      <c r="AO123" s="258">
        <f t="shared" si="86"/>
        <v>0.85</v>
      </c>
      <c r="AP123" s="258">
        <f t="shared" si="87"/>
        <v>0</v>
      </c>
      <c r="AQ123" s="136">
        <f t="shared" si="110"/>
        <v>3.6400000000000002E-2</v>
      </c>
      <c r="AR123" s="137">
        <f t="shared" si="88"/>
        <v>2.2499999999999999E-2</v>
      </c>
      <c r="AS123" s="136">
        <f t="shared" si="111"/>
        <v>3.7284999999999999</v>
      </c>
      <c r="AT123" s="137">
        <f t="shared" si="112"/>
        <v>5.9976482879814198E-2</v>
      </c>
      <c r="AU123" s="137">
        <f t="shared" si="89"/>
        <v>0.60539093388382925</v>
      </c>
      <c r="AV123" s="394">
        <f t="shared" si="113"/>
        <v>2469.9950102460234</v>
      </c>
      <c r="AW123" s="137">
        <f t="shared" si="90"/>
        <v>0.185</v>
      </c>
      <c r="AX123" s="137">
        <f t="shared" si="91"/>
        <v>0.45</v>
      </c>
      <c r="AY123" s="137">
        <f t="shared" si="92"/>
        <v>0.45</v>
      </c>
      <c r="AZ123" s="137"/>
      <c r="BA123" s="264"/>
      <c r="BB123" s="258">
        <f t="shared" si="93"/>
        <v>0</v>
      </c>
      <c r="BC123" s="258">
        <f t="shared" si="114"/>
        <v>0</v>
      </c>
      <c r="BD123" s="137">
        <f t="shared" si="115"/>
        <v>2.0986929453736813E-6</v>
      </c>
      <c r="BE123" s="137">
        <f t="shared" si="116"/>
        <v>2.0986929453736813E-6</v>
      </c>
      <c r="BF123" s="137">
        <f>_xll.xSPRDOPT($BW123,$BV123,$CG123,0,$BY123,$BX123,$BZ123,$AJ123,1,4)*$CB123</f>
        <v>2.8853281104120808E-7</v>
      </c>
      <c r="BG123" s="137">
        <f>_xll.xSPRDOPT($BW123,$BV123,$CG123,0,$BY123,$BX123,$BZ123,$AJ123,1,3)*$CB123</f>
        <v>-5.7706562208241617E-7</v>
      </c>
      <c r="BH123" s="137">
        <f>IF(OR(BF123&lt;&gt;0,BG123&lt;&gt;0),_xll.xSPRDOPT($BW123,$BV123,$CG123,0,$BY123,$BX123,$BZ123,$AJ123,1,12)*$CB123,0)</f>
        <v>5.0493241932211413E-7</v>
      </c>
      <c r="BI123" s="137">
        <f>_xll.xSPRDOPT($BW123,$BV123,$CG123,2*LN(1+CA123/2),$BY123,$BX123,$BZ123,$AJ123,1,9)</f>
        <v>2.5076348639021643E-2</v>
      </c>
      <c r="BJ123" s="137">
        <f>_xll.xSPRDOPT($BW123,$BV123,$CG123,0,$BY123,$BX123,$BZ123,$AJ123,1,6)*$CB123</f>
        <v>4.7806446428294117E-7</v>
      </c>
      <c r="BK123" s="137">
        <f>_xll.xSPRDOPT($BW123,$BV123,$CG123,0,$BY123,$BX123,$BZ123,$AJ123,1,5)*$CB123</f>
        <v>-5.7052400083683574E-7</v>
      </c>
      <c r="BL123" s="137">
        <f>_xll.xSPRDOPT(BW123,BV123,CG123,0,BY123,BX123,BZ123,AJ123,1,2)*CB123</f>
        <v>-0.60509721915799897</v>
      </c>
      <c r="BM123" s="137">
        <f>_xll.xSPRDOPT(BW123,BV123,CG123,0,BY123,BX123,BZ123,AJ123,1,1)*CB123</f>
        <v>0.60509721915469694</v>
      </c>
      <c r="BN123" s="137">
        <f>IF(AH123&lt;&gt;0,_xll.xSPRDOPT($BW123,$BV123,$CG123,2*LN(1+CA123/2),$BY123,$BX123,$BZ123,$AJ123,1,8)+(AJ123/365.25)*CH123/AH123,0)</f>
        <v>-1.71076271829056</v>
      </c>
      <c r="BO123" s="137">
        <f>_xll.xSPRDOPT($BW123,$BV123,$CG123,0,$BY123,$BX123,$BZ123,$AJ123,1,0)</f>
        <v>0.70127781950352941</v>
      </c>
      <c r="BP123" s="137"/>
      <c r="BQ123" s="137"/>
      <c r="BR123" s="137"/>
      <c r="BS123" s="137"/>
      <c r="BV123" s="262">
        <v>3.8143222506393859</v>
      </c>
      <c r="BW123" s="136">
        <v>4.5519999999999996</v>
      </c>
      <c r="BX123" s="137">
        <v>0.18718349547636617</v>
      </c>
      <c r="BY123" s="137">
        <v>0.18718349547636617</v>
      </c>
      <c r="BZ123" s="137">
        <v>1</v>
      </c>
      <c r="CA123" s="137">
        <v>5.9976482879814198E-2</v>
      </c>
      <c r="CB123" s="137">
        <v>0.60509716174069161</v>
      </c>
      <c r="CC123" s="258">
        <v>1.6500000000000001E-2</v>
      </c>
      <c r="CD123" s="258">
        <v>0.01</v>
      </c>
      <c r="CE123" s="258">
        <v>0.85</v>
      </c>
      <c r="CF123" s="258">
        <v>0</v>
      </c>
      <c r="CG123" s="258">
        <v>3.6400000000000002E-2</v>
      </c>
      <c r="CH123" s="258">
        <v>6.6929797060137899</v>
      </c>
      <c r="CI123" s="258">
        <v>3.702</v>
      </c>
      <c r="CJ123" s="258"/>
      <c r="CK123" s="258"/>
      <c r="CL123" s="258"/>
      <c r="CM123" s="258"/>
    </row>
    <row r="124" spans="1:91" x14ac:dyDescent="0.25">
      <c r="A124" s="723"/>
      <c r="B124" s="723"/>
      <c r="D124" s="31">
        <f t="shared" si="94"/>
        <v>40374</v>
      </c>
      <c r="F124" s="28">
        <f t="shared" si="95"/>
        <v>5895</v>
      </c>
      <c r="G124" s="28">
        <f t="shared" si="76"/>
        <v>3548.3788052687551</v>
      </c>
      <c r="H124" s="52">
        <f t="shared" si="96"/>
        <v>3.8552429667519181</v>
      </c>
      <c r="I124" s="52">
        <f t="shared" si="97"/>
        <v>4.7919999999999998</v>
      </c>
      <c r="K124" s="52">
        <f t="shared" si="98"/>
        <v>16.800516069977377</v>
      </c>
      <c r="L124" s="135">
        <f t="shared" si="99"/>
        <v>1.6728009235578156E-6</v>
      </c>
      <c r="N124" s="131">
        <f t="shared" si="77"/>
        <v>0.18786255835832327</v>
      </c>
      <c r="O124" s="131">
        <f t="shared" si="78"/>
        <v>0.18786255835832327</v>
      </c>
      <c r="P124" s="55">
        <f t="shared" si="100"/>
        <v>1</v>
      </c>
      <c r="Q124" s="135">
        <f>_xll.xSPRDOPT(I124,H124,AQ124,0,O124,N124,P124,D124-$G$5,1,0)*AH124*AU124</f>
        <v>16.8005177427783</v>
      </c>
      <c r="R124" s="135"/>
      <c r="S124" s="181">
        <f t="shared" si="101"/>
        <v>-111681.16916015549</v>
      </c>
      <c r="T124" s="181">
        <f>_xll.xSPRDOPT(I124,H124,AQ124,AT124,O124,N124,P124,D124-$G$5,1,1)*AF124*F124*AH124</f>
        <v>109168.342854052</v>
      </c>
      <c r="U124" s="135"/>
      <c r="V124" s="146">
        <f t="shared" si="102"/>
        <v>6.8798821425920771</v>
      </c>
      <c r="W124" s="146"/>
      <c r="X124" s="338">
        <f t="shared" si="103"/>
        <v>0</v>
      </c>
      <c r="Y124" s="338">
        <f t="shared" si="79"/>
        <v>0</v>
      </c>
      <c r="Z124" s="338">
        <f t="shared" si="80"/>
        <v>48.131365474776509</v>
      </c>
      <c r="AA124" s="338">
        <f t="shared" si="81"/>
        <v>-8.7826152264547729E-8</v>
      </c>
      <c r="AB124" s="338">
        <f t="shared" si="104"/>
        <v>0</v>
      </c>
      <c r="AC124" s="338">
        <f t="shared" si="105"/>
        <v>48.850754241746024</v>
      </c>
      <c r="AF124" s="138">
        <f t="shared" si="106"/>
        <v>1</v>
      </c>
      <c r="AG124" s="138">
        <f t="shared" si="107"/>
        <v>7</v>
      </c>
      <c r="AH124" s="138">
        <f t="shared" si="82"/>
        <v>31</v>
      </c>
      <c r="AI124" s="138">
        <f t="shared" si="108"/>
        <v>3118</v>
      </c>
      <c r="AJ124" s="138">
        <f t="shared" si="109"/>
        <v>3135</v>
      </c>
      <c r="AL124" s="136">
        <f t="shared" si="83"/>
        <v>3.742</v>
      </c>
      <c r="AM124" s="258">
        <f t="shared" si="84"/>
        <v>1.6500000000000001E-2</v>
      </c>
      <c r="AN124" s="258">
        <f t="shared" si="85"/>
        <v>0.01</v>
      </c>
      <c r="AO124" s="258">
        <f t="shared" si="86"/>
        <v>1.05</v>
      </c>
      <c r="AP124" s="258">
        <f t="shared" si="87"/>
        <v>0</v>
      </c>
      <c r="AQ124" s="136">
        <f t="shared" si="110"/>
        <v>3.6400000000000002E-2</v>
      </c>
      <c r="AR124" s="137">
        <f t="shared" si="88"/>
        <v>2.2499999999999999E-2</v>
      </c>
      <c r="AS124" s="136">
        <f t="shared" si="111"/>
        <v>3.7685</v>
      </c>
      <c r="AT124" s="137">
        <f t="shared" si="112"/>
        <v>6.0082076096705801E-2</v>
      </c>
      <c r="AU124" s="137">
        <f t="shared" si="89"/>
        <v>0.6019302468649288</v>
      </c>
      <c r="AV124" s="394">
        <f t="shared" si="113"/>
        <v>2537.7379207825397</v>
      </c>
      <c r="AW124" s="137">
        <f t="shared" si="90"/>
        <v>0.185</v>
      </c>
      <c r="AX124" s="137">
        <f t="shared" si="91"/>
        <v>0.5</v>
      </c>
      <c r="AY124" s="137">
        <f t="shared" si="92"/>
        <v>0.5</v>
      </c>
      <c r="AZ124" s="137"/>
      <c r="BA124" s="264"/>
      <c r="BB124" s="258">
        <f t="shared" si="93"/>
        <v>0</v>
      </c>
      <c r="BC124" s="258">
        <f t="shared" si="114"/>
        <v>0</v>
      </c>
      <c r="BD124" s="137">
        <f t="shared" si="115"/>
        <v>2.7171399000491814E-6</v>
      </c>
      <c r="BE124" s="137">
        <f t="shared" si="116"/>
        <v>2.7171399000491814E-6</v>
      </c>
      <c r="BF124" s="137">
        <f>_xll.xSPRDOPT($BW124,$BV124,$CG124,0,$BY124,$BX124,$BZ124,$AJ124,1,4)*$CB124</f>
        <v>-4.3032477912638195E-7</v>
      </c>
      <c r="BG124" s="137">
        <f>_xll.xSPRDOPT($BW124,$BV124,$CG124,0,$BY124,$BX124,$BZ124,$AJ124,1,3)*$CB124</f>
        <v>-4.3032477912638195E-7</v>
      </c>
      <c r="BH124" s="137">
        <f>IF(OR(BF124&lt;&gt;0,BG124&lt;&gt;0),_xll.xSPRDOPT($BW124,$BV124,$CG124,0,$BY124,$BX124,$BZ124,$AJ124,1,12)*$CB124,0)</f>
        <v>6.4548716868957295E-7</v>
      </c>
      <c r="BI124" s="137">
        <f>_xll.xSPRDOPT($BW124,$BV124,$CG124,2*LN(1+CA124/2),$BY124,$BX124,$BZ124,$AJ124,1,9)</f>
        <v>3.2066506588711262E-2</v>
      </c>
      <c r="BJ124" s="137">
        <f>_xll.xSPRDOPT($BW124,$BV124,$CG124,0,$BY124,$BX124,$BZ124,$AJ124,1,6)*$CB124</f>
        <v>7.2796158602766245E-7</v>
      </c>
      <c r="BK124" s="137">
        <f>_xll.xSPRDOPT($BW124,$BV124,$CG124,0,$BY124,$BX124,$BZ124,$AJ124,1,5)*$CB124</f>
        <v>-9.0483654542262403E-7</v>
      </c>
      <c r="BL124" s="137">
        <f>_xll.xSPRDOPT(BW124,BV124,CG124,0,BY124,BX124,BZ124,AJ124,1,2)*CB124</f>
        <v>-0.60163770787889537</v>
      </c>
      <c r="BM124" s="137">
        <f>_xll.xSPRDOPT(BW124,BV124,CG124,0,BY124,BX124,BZ124,AJ124,1,1)*CB124</f>
        <v>0.60163770787561222</v>
      </c>
      <c r="BN124" s="137">
        <f>IF(AH124&lt;&gt;0,_xll.xSPRDOPT($BW124,$BV124,$CG124,2*LN(1+CA124/2),$BY124,$BX124,$BZ124,$AJ124,1,8)+(AJ124/365.25)*CH124/AH124,0)</f>
        <v>-2.7454526734282956</v>
      </c>
      <c r="BO124" s="137">
        <f>_xll.xSPRDOPT($BW124,$BV124,$CG124,0,$BY124,$BX124,$BZ124,$AJ124,1,0)</f>
        <v>0.90035712286958536</v>
      </c>
      <c r="BP124" s="137"/>
      <c r="BQ124" s="137"/>
      <c r="BR124" s="137"/>
      <c r="BS124" s="137"/>
      <c r="BV124" s="262">
        <v>3.8552429667519181</v>
      </c>
      <c r="BW124" s="136">
        <v>4.7919999999999998</v>
      </c>
      <c r="BX124" s="137">
        <v>0.18785984121842322</v>
      </c>
      <c r="BY124" s="137">
        <v>0.18785984121842322</v>
      </c>
      <c r="BZ124" s="137">
        <v>1</v>
      </c>
      <c r="CA124" s="137">
        <v>6.0082076096705801E-2</v>
      </c>
      <c r="CB124" s="137">
        <v>0.60163764746296677</v>
      </c>
      <c r="CC124" s="258">
        <v>1.6500000000000001E-2</v>
      </c>
      <c r="CD124" s="258">
        <v>0.01</v>
      </c>
      <c r="CE124" s="258">
        <v>1.05</v>
      </c>
      <c r="CF124" s="258">
        <v>0</v>
      </c>
      <c r="CG124" s="258">
        <v>3.6400000000000002E-2</v>
      </c>
      <c r="CH124" s="258">
        <v>6.8765378192074715</v>
      </c>
      <c r="CI124" s="258">
        <v>3.742</v>
      </c>
      <c r="CJ124" s="258"/>
      <c r="CK124" s="258"/>
      <c r="CL124" s="258"/>
      <c r="CM124" s="258"/>
    </row>
    <row r="125" spans="1:91" x14ac:dyDescent="0.25">
      <c r="A125" s="723"/>
      <c r="B125" s="723"/>
      <c r="D125" s="31">
        <f t="shared" si="94"/>
        <v>40405</v>
      </c>
      <c r="F125" s="28">
        <f t="shared" si="95"/>
        <v>5895</v>
      </c>
      <c r="G125" s="28">
        <f t="shared" si="76"/>
        <v>3527.358300695209</v>
      </c>
      <c r="H125" s="52">
        <f t="shared" si="96"/>
        <v>3.8910485933503831</v>
      </c>
      <c r="I125" s="52">
        <f t="shared" si="97"/>
        <v>4.8319999999999999</v>
      </c>
      <c r="K125" s="52">
        <f t="shared" si="98"/>
        <v>16.778792924882552</v>
      </c>
      <c r="L125" s="135">
        <f t="shared" si="99"/>
        <v>1.661987578671642E-6</v>
      </c>
      <c r="N125" s="131">
        <f t="shared" si="77"/>
        <v>0.18851799543444878</v>
      </c>
      <c r="O125" s="131">
        <f t="shared" si="78"/>
        <v>0.18851799543444878</v>
      </c>
      <c r="P125" s="55">
        <f t="shared" si="100"/>
        <v>0.99999999999999989</v>
      </c>
      <c r="Q125" s="135">
        <f>_xll.xSPRDOPT(I125,H125,AQ125,0,O125,N125,P125,D125-$G$5,1,0)*AH125*AU125</f>
        <v>16.778794586870131</v>
      </c>
      <c r="R125" s="135"/>
      <c r="S125" s="181">
        <f t="shared" si="101"/>
        <v>-111008.17415639182</v>
      </c>
      <c r="T125" s="181">
        <f>_xll.xSPRDOPT(I125,H125,AQ125,AT125,O125,N125,P125,D125-$G$5,1,1)*AF125*F125*AH125</f>
        <v>108510.490237873</v>
      </c>
      <c r="U125" s="135"/>
      <c r="V125" s="146">
        <f t="shared" si="102"/>
        <v>6.8391258981265537</v>
      </c>
      <c r="W125" s="146"/>
      <c r="X125" s="338">
        <f t="shared" si="103"/>
        <v>0</v>
      </c>
      <c r="Y125" s="338">
        <f t="shared" si="79"/>
        <v>0</v>
      </c>
      <c r="Z125" s="338">
        <f t="shared" si="80"/>
        <v>48.155104633872625</v>
      </c>
      <c r="AA125" s="338">
        <f t="shared" si="81"/>
        <v>-1.0800001553842506E-7</v>
      </c>
      <c r="AB125" s="338">
        <f t="shared" si="104"/>
        <v>0</v>
      </c>
      <c r="AC125" s="338">
        <f t="shared" si="105"/>
        <v>48.876148907011064</v>
      </c>
      <c r="AF125" s="138">
        <f t="shared" si="106"/>
        <v>1</v>
      </c>
      <c r="AG125" s="138">
        <f t="shared" si="107"/>
        <v>8</v>
      </c>
      <c r="AH125" s="138">
        <f t="shared" si="82"/>
        <v>31</v>
      </c>
      <c r="AI125" s="138">
        <f t="shared" si="108"/>
        <v>3149</v>
      </c>
      <c r="AJ125" s="138">
        <f t="shared" si="109"/>
        <v>3166</v>
      </c>
      <c r="AL125" s="136">
        <f t="shared" si="83"/>
        <v>3.782</v>
      </c>
      <c r="AM125" s="258">
        <f t="shared" si="84"/>
        <v>1.15E-2</v>
      </c>
      <c r="AN125" s="258">
        <f t="shared" si="85"/>
        <v>0.01</v>
      </c>
      <c r="AO125" s="258">
        <f t="shared" si="86"/>
        <v>1.05</v>
      </c>
      <c r="AP125" s="258">
        <f t="shared" si="87"/>
        <v>0</v>
      </c>
      <c r="AQ125" s="136">
        <f t="shared" si="110"/>
        <v>3.6400000000000002E-2</v>
      </c>
      <c r="AR125" s="137">
        <f t="shared" si="88"/>
        <v>2.2499999999999999E-2</v>
      </c>
      <c r="AS125" s="136">
        <f t="shared" si="111"/>
        <v>3.8034999999999997</v>
      </c>
      <c r="AT125" s="137">
        <f t="shared" si="112"/>
        <v>6.0191189091385301E-2</v>
      </c>
      <c r="AU125" s="137">
        <f t="shared" si="89"/>
        <v>0.598364427598848</v>
      </c>
      <c r="AV125" s="394">
        <f t="shared" si="113"/>
        <v>2522.704426756743</v>
      </c>
      <c r="AW125" s="137">
        <f t="shared" si="90"/>
        <v>0.185</v>
      </c>
      <c r="AX125" s="137">
        <f t="shared" si="91"/>
        <v>0.55000000000000004</v>
      </c>
      <c r="AY125" s="137">
        <f t="shared" si="92"/>
        <v>0.55000000000000004</v>
      </c>
      <c r="AZ125" s="137"/>
      <c r="BA125" s="264"/>
      <c r="BB125" s="258">
        <f t="shared" si="93"/>
        <v>0</v>
      </c>
      <c r="BC125" s="258">
        <f t="shared" si="114"/>
        <v>0</v>
      </c>
      <c r="BD125" s="137">
        <f t="shared" si="115"/>
        <v>3.3009004453687929E-6</v>
      </c>
      <c r="BE125" s="137">
        <f t="shared" si="116"/>
        <v>3.3009004453687929E-6</v>
      </c>
      <c r="BF125" s="137">
        <f>_xll.xSPRDOPT($BW125,$BV125,$CG125,0,$BY125,$BX125,$BZ125,$AJ125,1,4)*$CB125</f>
        <v>2.8518344936266015E-7</v>
      </c>
      <c r="BG125" s="137">
        <f>_xll.xSPRDOPT($BW125,$BV125,$CG125,0,$BY125,$BX125,$BZ125,$AJ125,1,3)*$CB125</f>
        <v>-8.5555034808798046E-7</v>
      </c>
      <c r="BH125" s="137">
        <f>IF(OR(BF125&lt;&gt;0,BG125&lt;&gt;0),_xll.xSPRDOPT($BW125,$BV125,$CG125,0,$BY125,$BX125,$BZ125,$AJ125,1,12)*$CB125,0)</f>
        <v>4.9907103638465522E-7</v>
      </c>
      <c r="BI125" s="137">
        <f>_xll.xSPRDOPT($BW125,$BV125,$CG125,2*LN(1+CA125/2),$BY125,$BX125,$BZ125,$AJ125,1,9)</f>
        <v>3.208232230251986E-2</v>
      </c>
      <c r="BJ125" s="137">
        <f>_xll.xSPRDOPT($BW125,$BV125,$CG125,0,$BY125,$BX125,$BZ125,$AJ125,1,6)*$CB125</f>
        <v>7.4045001782672639E-7</v>
      </c>
      <c r="BK125" s="137">
        <f>_xll.xSPRDOPT($BW125,$BV125,$CG125,0,$BY125,$BX125,$BZ125,$AJ125,1,5)*$CB125</f>
        <v>-9.1948829429881421E-7</v>
      </c>
      <c r="BL125" s="137">
        <f>_xll.xSPRDOPT(BW125,BV125,CG125,0,BY125,BX125,BZ125,AJ125,1,2)*CB125</f>
        <v>-0.59807310095769395</v>
      </c>
      <c r="BM125" s="137">
        <f>_xll.xSPRDOPT(BW125,BV125,CG125,0,BY125,BX125,BZ125,AJ125,1,1)*CB125</f>
        <v>0.59807310095116661</v>
      </c>
      <c r="BN125" s="137">
        <f>IF(AH125&lt;&gt;0,_xll.xSPRDOPT($BW125,$BV125,$CG125,2*LN(1+CA125/2),$BY125,$BX125,$BZ125,$AJ125,1,8)+(AJ125/365.25)*CH125/AH125,0)</f>
        <v>-2.7779176053885601</v>
      </c>
      <c r="BO125" s="137">
        <f>_xll.xSPRDOPT($BW125,$BV125,$CG125,0,$BY125,$BX125,$BZ125,$AJ125,1,0)</f>
        <v>0.90455149622227671</v>
      </c>
      <c r="BP125" s="137"/>
      <c r="BQ125" s="137"/>
      <c r="BR125" s="137"/>
      <c r="BS125" s="137"/>
      <c r="BV125" s="262">
        <v>3.8910485933503831</v>
      </c>
      <c r="BW125" s="136">
        <v>4.8319999999999999</v>
      </c>
      <c r="BX125" s="137">
        <v>0.18851469453400341</v>
      </c>
      <c r="BY125" s="137">
        <v>0.18851469453400341</v>
      </c>
      <c r="BZ125" s="137">
        <v>1</v>
      </c>
      <c r="CA125" s="137">
        <v>6.0191189091385301E-2</v>
      </c>
      <c r="CB125" s="137">
        <v>0.59807304119780147</v>
      </c>
      <c r="CC125" s="258">
        <v>1.15E-2</v>
      </c>
      <c r="CD125" s="258">
        <v>0.01</v>
      </c>
      <c r="CE125" s="258">
        <v>1.05</v>
      </c>
      <c r="CF125" s="258">
        <v>0</v>
      </c>
      <c r="CG125" s="258">
        <v>3.6400000000000002E-2</v>
      </c>
      <c r="CH125" s="258">
        <v>6.8357954389785114</v>
      </c>
      <c r="CI125" s="258">
        <v>3.782</v>
      </c>
      <c r="CJ125" s="258"/>
      <c r="CK125" s="258"/>
      <c r="CL125" s="258"/>
      <c r="CM125" s="258"/>
    </row>
    <row r="126" spans="1:91" x14ac:dyDescent="0.25">
      <c r="A126" s="723"/>
      <c r="B126" s="723"/>
      <c r="D126" s="31">
        <f t="shared" si="94"/>
        <v>40436</v>
      </c>
      <c r="F126" s="28">
        <f t="shared" si="95"/>
        <v>5895</v>
      </c>
      <c r="G126" s="28">
        <f t="shared" si="76"/>
        <v>3506.3994440971642</v>
      </c>
      <c r="H126" s="52">
        <f t="shared" si="96"/>
        <v>3.8859335038363167</v>
      </c>
      <c r="I126" s="52">
        <f t="shared" si="97"/>
        <v>4.5270000000000001</v>
      </c>
      <c r="K126" s="52">
        <f t="shared" si="98"/>
        <v>10.789833414821983</v>
      </c>
      <c r="L126" s="135">
        <f t="shared" si="99"/>
        <v>1.095115534255342E-6</v>
      </c>
      <c r="N126" s="131">
        <f t="shared" si="77"/>
        <v>0.18837331828646411</v>
      </c>
      <c r="O126" s="131">
        <f t="shared" si="78"/>
        <v>0.18837331828646411</v>
      </c>
      <c r="P126" s="55">
        <f t="shared" si="100"/>
        <v>1.0000000000000002</v>
      </c>
      <c r="Q126" s="135">
        <f>_xll.xSPRDOPT(I126,H126,AQ126,0,O126,N126,P126,D126-$G$5,1,0)*AH126*AU126</f>
        <v>10.789834509937517</v>
      </c>
      <c r="R126" s="135"/>
      <c r="S126" s="181">
        <f t="shared" si="101"/>
        <v>-106777.92428874895</v>
      </c>
      <c r="T126" s="181">
        <f>_xll.xSPRDOPT(I126,H126,AQ126,AT126,O126,N126,P126,D126-$G$5,1,1)*AF126*F126*AH126</f>
        <v>104375.42099225211</v>
      </c>
      <c r="U126" s="135"/>
      <c r="V126" s="146">
        <f t="shared" si="102"/>
        <v>6.5791830790769694</v>
      </c>
      <c r="W126" s="146"/>
      <c r="X126" s="338">
        <f t="shared" si="103"/>
        <v>0</v>
      </c>
      <c r="Y126" s="338">
        <f t="shared" si="79"/>
        <v>0</v>
      </c>
      <c r="Z126" s="338">
        <f t="shared" si="80"/>
        <v>31.022082949657651</v>
      </c>
      <c r="AA126" s="338">
        <f t="shared" si="81"/>
        <v>1.5101879794630264E-8</v>
      </c>
      <c r="AB126" s="338">
        <f t="shared" si="104"/>
        <v>0</v>
      </c>
      <c r="AC126" s="338">
        <f t="shared" si="105"/>
        <v>31.48742838446536</v>
      </c>
      <c r="AF126" s="138">
        <f t="shared" si="106"/>
        <v>1</v>
      </c>
      <c r="AG126" s="138">
        <f t="shared" si="107"/>
        <v>9</v>
      </c>
      <c r="AH126" s="138">
        <f t="shared" si="82"/>
        <v>30</v>
      </c>
      <c r="AI126" s="138">
        <f t="shared" si="108"/>
        <v>3180</v>
      </c>
      <c r="AJ126" s="138">
        <f t="shared" si="109"/>
        <v>3197</v>
      </c>
      <c r="AL126" s="136">
        <f t="shared" si="83"/>
        <v>3.7770000000000001</v>
      </c>
      <c r="AM126" s="258">
        <f t="shared" si="84"/>
        <v>1.15E-2</v>
      </c>
      <c r="AN126" s="258">
        <f t="shared" si="85"/>
        <v>0.01</v>
      </c>
      <c r="AO126" s="258">
        <f t="shared" si="86"/>
        <v>0.75</v>
      </c>
      <c r="AP126" s="258">
        <f t="shared" si="87"/>
        <v>0</v>
      </c>
      <c r="AQ126" s="136">
        <f t="shared" si="110"/>
        <v>3.6400000000000002E-2</v>
      </c>
      <c r="AR126" s="137">
        <f t="shared" si="88"/>
        <v>2.2499999999999999E-2</v>
      </c>
      <c r="AS126" s="136">
        <f t="shared" si="111"/>
        <v>3.7984999999999998</v>
      </c>
      <c r="AT126" s="137">
        <f t="shared" si="112"/>
        <v>6.0300302090020401E-2</v>
      </c>
      <c r="AU126" s="137">
        <f t="shared" si="89"/>
        <v>0.59480906600460803</v>
      </c>
      <c r="AV126" s="394">
        <f t="shared" si="113"/>
        <v>2426.8209892988007</v>
      </c>
      <c r="AW126" s="137">
        <f t="shared" si="90"/>
        <v>0.185</v>
      </c>
      <c r="AX126" s="137">
        <f t="shared" si="91"/>
        <v>0.55000000000000004</v>
      </c>
      <c r="AY126" s="137">
        <f t="shared" si="92"/>
        <v>0.55000000000000004</v>
      </c>
      <c r="AZ126" s="137"/>
      <c r="BA126" s="264"/>
      <c r="BB126" s="258">
        <f t="shared" si="93"/>
        <v>0</v>
      </c>
      <c r="BC126" s="258">
        <f t="shared" si="114"/>
        <v>0</v>
      </c>
      <c r="BD126" s="137">
        <f t="shared" si="115"/>
        <v>3.1361557790432482E-6</v>
      </c>
      <c r="BE126" s="137">
        <f t="shared" si="116"/>
        <v>3.1361557790432482E-6</v>
      </c>
      <c r="BF126" s="137">
        <f>_xll.xSPRDOPT($BW126,$BV126,$CG126,0,$BY126,$BX126,$BZ126,$AJ126,1,4)*$CB126</f>
        <v>-7.0872174946361237E-7</v>
      </c>
      <c r="BG126" s="137">
        <f>_xll.xSPRDOPT($BW126,$BV126,$CG126,0,$BY126,$BX126,$BZ126,$AJ126,1,3)*$CB126</f>
        <v>1.4174434989272238E-7</v>
      </c>
      <c r="BH126" s="137">
        <f>IF(OR(BF126&lt;&gt;0,BG126&lt;&gt;0),_xll.xSPRDOPT($BW126,$BV126,$CG126,0,$BY126,$BX126,$BZ126,$AJ126,1,12)*$CB126,0)</f>
        <v>-4.2523304967816713E-7</v>
      </c>
      <c r="BI126" s="137">
        <f>_xll.xSPRDOPT($BW126,$BV126,$CG126,2*LN(1+CA126/2),$BY126,$BX126,$BZ126,$AJ126,1,9)</f>
        <v>2.1356735081259931E-2</v>
      </c>
      <c r="BJ126" s="137">
        <f>_xll.xSPRDOPT($BW126,$BV126,$CG126,0,$BY126,$BX126,$BZ126,$AJ126,1,6)*$CB126</f>
        <v>-1.6504326107611771E-7</v>
      </c>
      <c r="BK126" s="137">
        <f>_xll.xSPRDOPT($BW126,$BV126,$CG126,0,$BY126,$BX126,$BZ126,$AJ126,1,5)*$CB126</f>
        <v>1.9227204955143794E-7</v>
      </c>
      <c r="BL126" s="137">
        <f>_xll.xSPRDOPT(BW126,BV126,CG126,0,BY126,BX126,BZ126,AJ126,1,2)*CB126</f>
        <v>-0.59451893899110275</v>
      </c>
      <c r="BM126" s="137">
        <f>_xll.xSPRDOPT(BW126,BV126,CG126,0,BY126,BX126,BZ126,AJ126,1,1)*CB126</f>
        <v>0.59451893899650987</v>
      </c>
      <c r="BN126" s="137">
        <f>IF(AH126&lt;&gt;0,_xll.xSPRDOPT($BW126,$BV126,$CG126,2*LN(1+CA126/2),$BY126,$BX126,$BZ126,$AJ126,1,8)+(AJ126/365.25)*CH126/AH126,0)</f>
        <v>-1.2279156354701128</v>
      </c>
      <c r="BO126" s="137">
        <f>_xll.xSPRDOPT($BW126,$BV126,$CG126,0,$BY126,$BX126,$BZ126,$AJ126,1,0)</f>
        <v>0.60466655753831111</v>
      </c>
      <c r="BP126" s="137"/>
      <c r="BQ126" s="137"/>
      <c r="BR126" s="137"/>
      <c r="BS126" s="137"/>
      <c r="BV126" s="262">
        <v>3.8859335038363167</v>
      </c>
      <c r="BW126" s="136">
        <v>4.5270000000000001</v>
      </c>
      <c r="BX126" s="137">
        <v>0.18837018213068507</v>
      </c>
      <c r="BY126" s="137">
        <v>0.18837018213068507</v>
      </c>
      <c r="BZ126" s="137">
        <v>1</v>
      </c>
      <c r="CA126" s="137">
        <v>6.0300302090020401E-2</v>
      </c>
      <c r="CB126" s="137">
        <v>0.59451889373244504</v>
      </c>
      <c r="CC126" s="258">
        <v>1.15E-2</v>
      </c>
      <c r="CD126" s="258">
        <v>0.01</v>
      </c>
      <c r="CE126" s="258">
        <v>0.75</v>
      </c>
      <c r="CF126" s="258">
        <v>0</v>
      </c>
      <c r="CG126" s="258">
        <v>3.6400000000000002E-2</v>
      </c>
      <c r="CH126" s="258">
        <v>6.5759734835745745</v>
      </c>
      <c r="CI126" s="258">
        <v>3.7770000000000001</v>
      </c>
      <c r="CJ126" s="258"/>
      <c r="CK126" s="258"/>
      <c r="CL126" s="258"/>
      <c r="CM126" s="258"/>
    </row>
    <row r="127" spans="1:91" x14ac:dyDescent="0.25">
      <c r="A127" s="723"/>
      <c r="B127" s="723"/>
      <c r="D127" s="31">
        <f t="shared" si="94"/>
        <v>40466</v>
      </c>
      <c r="F127" s="28">
        <f t="shared" si="95"/>
        <v>6669</v>
      </c>
      <c r="G127" s="28">
        <f t="shared" si="76"/>
        <v>3943.9026336631791</v>
      </c>
      <c r="H127" s="52">
        <f t="shared" si="96"/>
        <v>3.9189743589743586</v>
      </c>
      <c r="I127" s="52">
        <f t="shared" si="97"/>
        <v>4.2519999999999998</v>
      </c>
      <c r="K127" s="52">
        <f t="shared" si="98"/>
        <v>5.4379580225588091</v>
      </c>
      <c r="L127" s="135">
        <f t="shared" si="99"/>
        <v>1.1018274073570922E-5</v>
      </c>
      <c r="N127" s="131">
        <f t="shared" si="77"/>
        <v>0.18918376673824774</v>
      </c>
      <c r="O127" s="131">
        <f t="shared" si="78"/>
        <v>0.18918376673824774</v>
      </c>
      <c r="P127" s="55">
        <f t="shared" si="100"/>
        <v>1.0000000000000002</v>
      </c>
      <c r="Q127" s="135">
        <f>_xll.xSPRDOPT(I127,H127,AQ127,0,O127,N127,P127,D127-$G$5,1,0)*AH127*AU127</f>
        <v>5.4379690408328827</v>
      </c>
      <c r="R127" s="135"/>
      <c r="S127" s="181">
        <f t="shared" si="101"/>
        <v>-124408.70835720464</v>
      </c>
      <c r="T127" s="181">
        <f>_xll.xSPRDOPT(I127,H127,AQ127,AT127,O127,N127,P127,D127-$G$5,1,1)*AF127*F127*AH127</f>
        <v>121298.49064827451</v>
      </c>
      <c r="U127" s="135"/>
      <c r="V127" s="146">
        <f t="shared" si="102"/>
        <v>6.7592778425521125</v>
      </c>
      <c r="W127" s="146"/>
      <c r="X127" s="338">
        <f t="shared" si="103"/>
        <v>0</v>
      </c>
      <c r="Y127" s="338">
        <f t="shared" si="79"/>
        <v>0</v>
      </c>
      <c r="Z127" s="338">
        <f t="shared" si="80"/>
        <v>17.717652979658251</v>
      </c>
      <c r="AA127" s="338">
        <f t="shared" si="81"/>
        <v>2.1258892161316902E-5</v>
      </c>
      <c r="AB127" s="338">
        <f t="shared" si="104"/>
        <v>0</v>
      </c>
      <c r="AC127" s="338">
        <f t="shared" si="105"/>
        <v>17.984382284829824</v>
      </c>
      <c r="AF127" s="138">
        <f t="shared" si="106"/>
        <v>1</v>
      </c>
      <c r="AG127" s="138">
        <f t="shared" si="107"/>
        <v>10</v>
      </c>
      <c r="AH127" s="138">
        <f t="shared" si="82"/>
        <v>31</v>
      </c>
      <c r="AI127" s="138">
        <f t="shared" si="108"/>
        <v>3210</v>
      </c>
      <c r="AJ127" s="138">
        <f t="shared" si="109"/>
        <v>3227</v>
      </c>
      <c r="AL127" s="136">
        <f t="shared" si="83"/>
        <v>3.802</v>
      </c>
      <c r="AM127" s="258">
        <f t="shared" si="84"/>
        <v>8.9999999999999993E-3</v>
      </c>
      <c r="AN127" s="258">
        <f t="shared" si="85"/>
        <v>0.01</v>
      </c>
      <c r="AO127" s="258">
        <f t="shared" si="86"/>
        <v>0.45</v>
      </c>
      <c r="AP127" s="258">
        <f t="shared" si="87"/>
        <v>0</v>
      </c>
      <c r="AQ127" s="136">
        <f t="shared" si="110"/>
        <v>3.6400000000000002E-2</v>
      </c>
      <c r="AR127" s="137">
        <f t="shared" si="88"/>
        <v>2.5000000000000001E-2</v>
      </c>
      <c r="AS127" s="136">
        <f t="shared" si="111"/>
        <v>3.8209999999999997</v>
      </c>
      <c r="AT127" s="137">
        <f t="shared" si="112"/>
        <v>6.0405895318271299E-2</v>
      </c>
      <c r="AU127" s="137">
        <f t="shared" si="89"/>
        <v>0.59137841260506507</v>
      </c>
      <c r="AV127" s="394">
        <f t="shared" si="113"/>
        <v>3134.8969652194501</v>
      </c>
      <c r="AW127" s="137">
        <f t="shared" si="90"/>
        <v>0.185</v>
      </c>
      <c r="AX127" s="137">
        <f t="shared" si="91"/>
        <v>0.6</v>
      </c>
      <c r="AY127" s="137">
        <f t="shared" si="92"/>
        <v>0.6</v>
      </c>
      <c r="AZ127" s="137"/>
      <c r="BA127" s="264"/>
      <c r="BB127" s="258">
        <f t="shared" si="93"/>
        <v>0</v>
      </c>
      <c r="BC127" s="258">
        <f t="shared" si="114"/>
        <v>0</v>
      </c>
      <c r="BD127" s="137">
        <f t="shared" si="115"/>
        <v>3.8447085059511998E-6</v>
      </c>
      <c r="BE127" s="137">
        <f t="shared" si="116"/>
        <v>3.8447085059511998E-6</v>
      </c>
      <c r="BF127" s="137">
        <f>_xll.xSPRDOPT($BW127,$BV127,$CG127,0,$BY127,$BX127,$BZ127,$AJ127,1,4)*$CB127</f>
        <v>-1.4092669875951749E-7</v>
      </c>
      <c r="BG127" s="137">
        <f>_xll.xSPRDOPT($BW127,$BV127,$CG127,0,$BY127,$BX127,$BZ127,$AJ127,1,3)*$CB127</f>
        <v>-6.3417014441782877E-7</v>
      </c>
      <c r="BH127" s="137">
        <f>IF(OR(BF127&lt;&gt;0,BG127&lt;&gt;0),_xll.xSPRDOPT($BW127,$BV127,$CG127,0,$BY127,$BX127,$BZ127,$AJ127,1,12)*$CB127,0)</f>
        <v>5.2847512034819064E-7</v>
      </c>
      <c r="BI127" s="137">
        <f>_xll.xSPRDOPT($BW127,$BV127,$CG127,2*LN(1+CA127/2),$BY127,$BX127,$BZ127,$AJ127,1,9)</f>
        <v>1.0434046069069655E-2</v>
      </c>
      <c r="BJ127" s="137">
        <f>_xll.xSPRDOPT($BW127,$BV127,$CG127,0,$BY127,$BX127,$BZ127,$AJ127,1,6)*$CB127</f>
        <v>-3.147382353106334E-4</v>
      </c>
      <c r="BK127" s="137">
        <f>_xll.xSPRDOPT($BW127,$BV127,$CG127,0,$BY127,$BX127,$BZ127,$AJ127,1,5)*$CB127</f>
        <v>3.41483986440298E-4</v>
      </c>
      <c r="BL127" s="137">
        <f>_xll.xSPRDOPT(BW127,BV127,CG127,0,BY127,BX127,BZ127,AJ127,1,2)*CB127</f>
        <v>-0.59108343550267028</v>
      </c>
      <c r="BM127" s="137">
        <f>_xll.xSPRDOPT(BW127,BV127,CG127,0,BY127,BX127,BZ127,AJ127,1,1)*CB127</f>
        <v>0.59108343549890707</v>
      </c>
      <c r="BN127" s="137">
        <f>IF(AH127&lt;&gt;0,_xll.xSPRDOPT($BW127,$BV127,$CG127,2*LN(1+CA127/2),$BY127,$BX127,$BZ127,$AJ127,1,8)+(AJ127/365.25)*CH127/AH127,0)</f>
        <v>0.37639085932539529</v>
      </c>
      <c r="BO127" s="137">
        <f>_xll.xSPRDOPT($BW127,$BV127,$CG127,0,$BY127,$BX127,$BZ127,$AJ127,1,0)</f>
        <v>0.29662624585019465</v>
      </c>
      <c r="BP127" s="137"/>
      <c r="BQ127" s="137"/>
      <c r="BR127" s="137"/>
      <c r="BS127" s="137"/>
      <c r="BV127" s="262">
        <v>3.9189743589743586</v>
      </c>
      <c r="BW127" s="136">
        <v>4.2519999999999998</v>
      </c>
      <c r="BX127" s="137">
        <v>0.18917992202974179</v>
      </c>
      <c r="BY127" s="137">
        <v>0.18917992202974179</v>
      </c>
      <c r="BZ127" s="137">
        <v>1</v>
      </c>
      <c r="CA127" s="137">
        <v>6.0405895318271299E-2</v>
      </c>
      <c r="CB127" s="137">
        <v>0.59108941631383927</v>
      </c>
      <c r="CC127" s="258">
        <v>8.9999999999999993E-3</v>
      </c>
      <c r="CD127" s="258">
        <v>0.01</v>
      </c>
      <c r="CE127" s="258">
        <v>0.45</v>
      </c>
      <c r="CF127" s="258">
        <v>0</v>
      </c>
      <c r="CG127" s="258">
        <v>3.6400000000000002E-2</v>
      </c>
      <c r="CH127" s="258">
        <v>6.7559747016422893</v>
      </c>
      <c r="CI127" s="258">
        <v>3.802</v>
      </c>
      <c r="CJ127" s="258"/>
      <c r="CK127" s="258"/>
      <c r="CL127" s="258"/>
      <c r="CM127" s="258"/>
    </row>
    <row r="128" spans="1:91" x14ac:dyDescent="0.25">
      <c r="A128" s="723"/>
      <c r="B128" s="723"/>
      <c r="D128" s="31">
        <f t="shared" si="94"/>
        <v>40497</v>
      </c>
      <c r="F128" s="28">
        <f t="shared" si="95"/>
        <v>11107</v>
      </c>
      <c r="G128" s="28">
        <f t="shared" si="76"/>
        <v>6529.1813122658396</v>
      </c>
      <c r="H128" s="52">
        <f t="shared" si="96"/>
        <v>4.0629156010230174</v>
      </c>
      <c r="I128" s="52">
        <f t="shared" si="97"/>
        <v>4.4039999999999999</v>
      </c>
      <c r="K128" s="52">
        <f t="shared" si="98"/>
        <v>5.3732052325726025</v>
      </c>
      <c r="L128" s="135">
        <f t="shared" si="99"/>
        <v>1.2452451419342481E-5</v>
      </c>
      <c r="N128" s="131">
        <f t="shared" si="77"/>
        <v>0.19239473094099405</v>
      </c>
      <c r="O128" s="131">
        <f t="shared" si="78"/>
        <v>0.19239473094099405</v>
      </c>
      <c r="P128" s="55">
        <f t="shared" si="100"/>
        <v>1</v>
      </c>
      <c r="Q128" s="135">
        <f>_xll.xSPRDOPT(I128,H128,AQ128,0,O128,N128,P128,D128-$G$5,1,0)*AH128*AU128</f>
        <v>5.3732176850240219</v>
      </c>
      <c r="R128" s="135"/>
      <c r="S128" s="181">
        <f t="shared" si="101"/>
        <v>-198785.91984891598</v>
      </c>
      <c r="T128" s="181">
        <f>_xll.xSPRDOPT(I128,H128,AQ128,AT128,O128,N128,P128,D128-$G$5,1,1)*AF128*F128*AH128</f>
        <v>194313.23665231536</v>
      </c>
      <c r="U128" s="135"/>
      <c r="V128" s="146">
        <f t="shared" si="102"/>
        <v>6.5021404965312364</v>
      </c>
      <c r="W128" s="146"/>
      <c r="X128" s="338">
        <f t="shared" si="103"/>
        <v>0</v>
      </c>
      <c r="Y128" s="338">
        <f t="shared" si="79"/>
        <v>0</v>
      </c>
      <c r="Z128" s="338">
        <f t="shared" si="80"/>
        <v>29.20870589284257</v>
      </c>
      <c r="AA128" s="338">
        <f t="shared" si="81"/>
        <v>5.7741723152768212E-5</v>
      </c>
      <c r="AB128" s="338">
        <f t="shared" si="104"/>
        <v>0</v>
      </c>
      <c r="AC128" s="338">
        <f t="shared" si="105"/>
        <v>29.649179420585114</v>
      </c>
      <c r="AF128" s="138">
        <f t="shared" si="106"/>
        <v>1</v>
      </c>
      <c r="AG128" s="138">
        <f t="shared" si="107"/>
        <v>11</v>
      </c>
      <c r="AH128" s="138">
        <f t="shared" si="82"/>
        <v>30</v>
      </c>
      <c r="AI128" s="138">
        <f t="shared" si="108"/>
        <v>3241</v>
      </c>
      <c r="AJ128" s="138">
        <f t="shared" si="109"/>
        <v>3258</v>
      </c>
      <c r="AL128" s="136">
        <f t="shared" si="83"/>
        <v>3.9540000000000002</v>
      </c>
      <c r="AM128" s="258">
        <f t="shared" si="84"/>
        <v>0.01</v>
      </c>
      <c r="AN128" s="258">
        <f t="shared" si="85"/>
        <v>7.4999999999999997E-3</v>
      </c>
      <c r="AO128" s="258">
        <f t="shared" si="86"/>
        <v>0.45</v>
      </c>
      <c r="AP128" s="258">
        <f t="shared" si="87"/>
        <v>0</v>
      </c>
      <c r="AQ128" s="136">
        <f t="shared" si="110"/>
        <v>3.6400000000000002E-2</v>
      </c>
      <c r="AR128" s="137">
        <f t="shared" si="88"/>
        <v>2.2499999999999999E-2</v>
      </c>
      <c r="AS128" s="136">
        <f t="shared" si="111"/>
        <v>3.9714999999999998</v>
      </c>
      <c r="AT128" s="137">
        <f t="shared" si="112"/>
        <v>6.0515008324689E-2</v>
      </c>
      <c r="AU128" s="137">
        <f t="shared" si="89"/>
        <v>0.58784382031744298</v>
      </c>
      <c r="AV128" s="394">
        <f t="shared" si="113"/>
        <v>4514.6405400379617</v>
      </c>
      <c r="AW128" s="137">
        <f t="shared" si="90"/>
        <v>0.185</v>
      </c>
      <c r="AX128" s="137">
        <f t="shared" si="91"/>
        <v>0.8</v>
      </c>
      <c r="AY128" s="137">
        <f t="shared" si="92"/>
        <v>0.8</v>
      </c>
      <c r="AZ128" s="137"/>
      <c r="BA128" s="264"/>
      <c r="BB128" s="258">
        <f t="shared" si="93"/>
        <v>0</v>
      </c>
      <c r="BC128" s="258">
        <f t="shared" si="114"/>
        <v>0</v>
      </c>
      <c r="BD128" s="137">
        <f t="shared" si="115"/>
        <v>6.6763557357296666E-6</v>
      </c>
      <c r="BE128" s="137">
        <f t="shared" si="116"/>
        <v>6.6763557357296666E-6</v>
      </c>
      <c r="BF128" s="137">
        <f>_xll.xSPRDOPT($BW128,$BV128,$CG128,0,$BY128,$BX128,$BZ128,$AJ128,1,4)*$CB128</f>
        <v>-1.4008427624698202E-7</v>
      </c>
      <c r="BG128" s="137">
        <f>_xll.xSPRDOPT($BW128,$BV128,$CG128,0,$BY128,$BX128,$BZ128,$AJ128,1,3)*$CB128</f>
        <v>4.2025282874094605E-7</v>
      </c>
      <c r="BH128" s="137">
        <f>IF(OR(BF128&lt;&gt;0,BG128&lt;&gt;0),_xll.xSPRDOPT($BW128,$BV128,$CG128,0,$BY128,$BX128,$BZ128,$AJ128,1,12)*$CB128,0)</f>
        <v>-3.8523175967920056E-7</v>
      </c>
      <c r="BI128" s="137">
        <f>_xll.xSPRDOPT($BW128,$BV128,$CG128,2*LN(1+CA128/2),$BY128,$BX128,$BZ128,$AJ128,1,9)</f>
        <v>1.067242862595235E-2</v>
      </c>
      <c r="BJ128" s="137">
        <f>_xll.xSPRDOPT($BW128,$BV128,$CG128,0,$BY128,$BX128,$BZ128,$AJ128,1,6)*$CB128</f>
        <v>-3.0917776124645411E-4</v>
      </c>
      <c r="BK128" s="137">
        <f>_xll.xSPRDOPT($BW128,$BV128,$CG128,0,$BY128,$BX128,$BZ128,$AJ128,1,5)*$CB128</f>
        <v>3.3513343127867243E-4</v>
      </c>
      <c r="BL128" s="137">
        <f>_xll.xSPRDOPT(BW128,BV128,CG128,0,BY128,BX128,BZ128,AJ128,1,2)*CB128</f>
        <v>-0.58755041631128602</v>
      </c>
      <c r="BM128" s="137">
        <f>_xll.xSPRDOPT(BW128,BV128,CG128,0,BY128,BX128,BZ128,AJ128,1,1)*CB128</f>
        <v>0.5875504163080798</v>
      </c>
      <c r="BN128" s="137">
        <f>IF(AH128&lt;&gt;0,_xll.xSPRDOPT($BW128,$BV128,$CG128,2*LN(1+CA128/2),$BY128,$BX128,$BZ128,$AJ128,1,8)+(AJ128/365.25)*CH128/AH128,0)</f>
        <v>0.33549894818649317</v>
      </c>
      <c r="BO128" s="137">
        <f>_xll.xSPRDOPT($BW128,$BV128,$CG128,0,$BY128,$BX128,$BZ128,$AJ128,1,0)</f>
        <v>0.30468510870674637</v>
      </c>
      <c r="BP128" s="137"/>
      <c r="BQ128" s="137"/>
      <c r="BR128" s="137"/>
      <c r="BS128" s="137"/>
      <c r="BV128" s="262">
        <v>4.0629156010230174</v>
      </c>
      <c r="BW128" s="136">
        <v>4.4039999999999999</v>
      </c>
      <c r="BX128" s="137">
        <v>0.19238805458525832</v>
      </c>
      <c r="BY128" s="137">
        <v>0.19238805458525832</v>
      </c>
      <c r="BZ128" s="137">
        <v>1</v>
      </c>
      <c r="CA128" s="137">
        <v>6.0515008324689E-2</v>
      </c>
      <c r="CB128" s="137">
        <v>0.58755604019982166</v>
      </c>
      <c r="CC128" s="258">
        <v>0.01</v>
      </c>
      <c r="CD128" s="258">
        <v>7.4999999999999997E-3</v>
      </c>
      <c r="CE128" s="258">
        <v>0.45</v>
      </c>
      <c r="CF128" s="258">
        <v>0</v>
      </c>
      <c r="CG128" s="258">
        <v>3.6400000000000002E-2</v>
      </c>
      <c r="CH128" s="258">
        <v>6.4989573606502278</v>
      </c>
      <c r="CI128" s="258">
        <v>3.9540000000000002</v>
      </c>
      <c r="CJ128" s="258"/>
      <c r="CK128" s="258"/>
      <c r="CL128" s="258"/>
      <c r="CM128" s="258"/>
    </row>
    <row r="129" spans="1:91" x14ac:dyDescent="0.25">
      <c r="A129" s="723"/>
      <c r="B129" s="723"/>
      <c r="D129" s="31">
        <f t="shared" si="94"/>
        <v>40527</v>
      </c>
      <c r="F129" s="28">
        <f t="shared" si="95"/>
        <v>11107</v>
      </c>
      <c r="G129" s="28">
        <f t="shared" si="76"/>
        <v>6491.3016283799489</v>
      </c>
      <c r="H129" s="52">
        <f t="shared" si="96"/>
        <v>4.2092071611253203</v>
      </c>
      <c r="I129" s="52">
        <f t="shared" si="97"/>
        <v>4.4970000000000008</v>
      </c>
      <c r="K129" s="52">
        <f t="shared" si="98"/>
        <v>4.5545934163012891</v>
      </c>
      <c r="L129" s="135">
        <f t="shared" si="99"/>
        <v>6.3739576400045905E-5</v>
      </c>
      <c r="N129" s="131">
        <f t="shared" si="77"/>
        <v>0.19692599976601108</v>
      </c>
      <c r="O129" s="131">
        <f t="shared" si="78"/>
        <v>0.19692599976601108</v>
      </c>
      <c r="P129" s="55">
        <f t="shared" si="100"/>
        <v>0.99999999999999989</v>
      </c>
      <c r="Q129" s="135">
        <f>_xll.xSPRDOPT(I129,H129,AQ129,0,O129,N129,P129,D129-$G$5,1,0)*AH129*AU129</f>
        <v>4.5546571558776892</v>
      </c>
      <c r="R129" s="135"/>
      <c r="S129" s="181">
        <f t="shared" si="101"/>
        <v>-204187.36860474077</v>
      </c>
      <c r="T129" s="181">
        <f>_xll.xSPRDOPT(I129,H129,AQ129,AT129,O129,N129,P129,D129-$G$5,1,1)*AF129*F129*AH129</f>
        <v>199593.15281113412</v>
      </c>
      <c r="U129" s="135"/>
      <c r="V129" s="146">
        <f t="shared" si="102"/>
        <v>6.6798982823349515</v>
      </c>
      <c r="W129" s="146"/>
      <c r="X129" s="338">
        <f t="shared" si="103"/>
        <v>0</v>
      </c>
      <c r="Y129" s="338">
        <f t="shared" si="79"/>
        <v>0</v>
      </c>
      <c r="Z129" s="338">
        <f t="shared" si="80"/>
        <v>24.797813758519769</v>
      </c>
      <c r="AA129" s="338">
        <f t="shared" si="81"/>
        <v>5.1754336248018191E-4</v>
      </c>
      <c r="AB129" s="338">
        <f t="shared" si="104"/>
        <v>0</v>
      </c>
      <c r="AC129" s="338">
        <f t="shared" si="105"/>
        <v>25.176232553544089</v>
      </c>
      <c r="AF129" s="138">
        <f t="shared" si="106"/>
        <v>1</v>
      </c>
      <c r="AG129" s="138">
        <f t="shared" si="107"/>
        <v>12</v>
      </c>
      <c r="AH129" s="138">
        <f t="shared" si="82"/>
        <v>31</v>
      </c>
      <c r="AI129" s="138">
        <f t="shared" si="108"/>
        <v>3271</v>
      </c>
      <c r="AJ129" s="138">
        <f t="shared" si="109"/>
        <v>3288</v>
      </c>
      <c r="AL129" s="136">
        <f t="shared" si="83"/>
        <v>4.0970000000000004</v>
      </c>
      <c r="AM129" s="258">
        <f t="shared" si="84"/>
        <v>0.01</v>
      </c>
      <c r="AN129" s="258">
        <f t="shared" si="85"/>
        <v>7.4999999999999997E-3</v>
      </c>
      <c r="AO129" s="258">
        <f t="shared" si="86"/>
        <v>0.4</v>
      </c>
      <c r="AP129" s="258">
        <f t="shared" si="87"/>
        <v>0</v>
      </c>
      <c r="AQ129" s="136">
        <f t="shared" si="110"/>
        <v>3.6400000000000002E-2</v>
      </c>
      <c r="AR129" s="137">
        <f t="shared" si="88"/>
        <v>2.2499999999999999E-2</v>
      </c>
      <c r="AS129" s="136">
        <f t="shared" si="111"/>
        <v>4.1145000000000005</v>
      </c>
      <c r="AT129" s="137">
        <f t="shared" si="112"/>
        <v>6.0620601560471297E-2</v>
      </c>
      <c r="AU129" s="137">
        <f t="shared" si="89"/>
        <v>0.58443338690735114</v>
      </c>
      <c r="AV129" s="394">
        <f t="shared" si="113"/>
        <v>4638.0633584967391</v>
      </c>
      <c r="AW129" s="137">
        <f t="shared" si="90"/>
        <v>0.185</v>
      </c>
      <c r="AX129" s="137">
        <f t="shared" si="91"/>
        <v>1</v>
      </c>
      <c r="AY129" s="137">
        <f t="shared" si="92"/>
        <v>1</v>
      </c>
      <c r="AZ129" s="137"/>
      <c r="BA129" s="264"/>
      <c r="BB129" s="258">
        <f t="shared" si="93"/>
        <v>0</v>
      </c>
      <c r="BC129" s="258">
        <f t="shared" si="114"/>
        <v>0</v>
      </c>
      <c r="BD129" s="137">
        <f t="shared" si="115"/>
        <v>1.0547364639484913E-5</v>
      </c>
      <c r="BE129" s="137">
        <f t="shared" si="116"/>
        <v>1.0547364639484913E-5</v>
      </c>
      <c r="BF129" s="137">
        <f>_xll.xSPRDOPT($BW129,$BV129,$CG129,0,$BY129,$BX129,$BZ129,$AJ129,1,4)*$CB129</f>
        <v>-2.0890716957013257E-7</v>
      </c>
      <c r="BG129" s="137">
        <f>_xll.xSPRDOPT($BW129,$BV129,$CG129,0,$BY129,$BX129,$BZ129,$AJ129,1,3)*$CB129</f>
        <v>0</v>
      </c>
      <c r="BH129" s="137">
        <f>IF(OR(BF129&lt;&gt;0,BG129&lt;&gt;0),_xll.xSPRDOPT($BW129,$BV129,$CG129,0,$BY129,$BX129,$BZ129,$AJ129,1,12)*$CB129,0)</f>
        <v>3.8299647754524306E-7</v>
      </c>
      <c r="BI129" s="137">
        <f>_xll.xSPRDOPT($BW129,$BV129,$CG129,2*LN(1+CA129/2),$BY129,$BX129,$BZ129,$AJ129,1,9)</f>
        <v>8.768471568641056E-3</v>
      </c>
      <c r="BJ129" s="137">
        <f>_xll.xSPRDOPT($BW129,$BV129,$CG129,0,$BY129,$BX129,$BZ129,$AJ129,1,6)*$CB129</f>
        <v>-2.0843211588524894E-3</v>
      </c>
      <c r="BK129" s="137">
        <f>_xll.xSPRDOPT($BW129,$BV129,$CG129,0,$BY129,$BX129,$BZ129,$AJ129,1,5)*$CB129</f>
        <v>2.2268308230958956E-3</v>
      </c>
      <c r="BL129" s="137">
        <f>_xll.xSPRDOPT(BW129,BV129,CG129,0,BY129,BX129,BZ129,AJ129,1,2)*CB129</f>
        <v>-0.58410610755104697</v>
      </c>
      <c r="BM129" s="137">
        <f>_xll.xSPRDOPT(BW129,BV129,CG129,0,BY129,BX129,BZ129,AJ129,1,1)*CB129</f>
        <v>0.58410610754042136</v>
      </c>
      <c r="BN129" s="137">
        <f>IF(AH129&lt;&gt;0,_xll.xSPRDOPT($BW129,$BV129,$CG129,2*LN(1+CA129/2),$BY129,$BX129,$BZ129,$AJ129,1,8)+(AJ129/365.25)*CH129/AH129,0)</f>
        <v>0.61684351449960739</v>
      </c>
      <c r="BO129" s="137">
        <f>_xll.xSPRDOPT($BW129,$BV129,$CG129,0,$BY129,$BX129,$BZ129,$AJ129,1,0)</f>
        <v>0.25139637636719225</v>
      </c>
      <c r="BP129" s="137"/>
      <c r="BQ129" s="137"/>
      <c r="BR129" s="137"/>
      <c r="BS129" s="137"/>
      <c r="BV129" s="262">
        <v>4.2092071611253203</v>
      </c>
      <c r="BW129" s="136">
        <v>4.4970000000000008</v>
      </c>
      <c r="BX129" s="137">
        <v>0.19691545240137159</v>
      </c>
      <c r="BY129" s="137">
        <v>0.19691545240137159</v>
      </c>
      <c r="BZ129" s="137">
        <v>1</v>
      </c>
      <c r="CA129" s="137">
        <v>6.0620601560471297E-2</v>
      </c>
      <c r="CB129" s="137">
        <v>0.58414678463779024</v>
      </c>
      <c r="CC129" s="258">
        <v>0.01</v>
      </c>
      <c r="CD129" s="258">
        <v>7.4999999999999997E-3</v>
      </c>
      <c r="CE129" s="258">
        <v>0.4</v>
      </c>
      <c r="CF129" s="258">
        <v>0</v>
      </c>
      <c r="CG129" s="258">
        <v>3.6400000000000002E-2</v>
      </c>
      <c r="CH129" s="258">
        <v>6.6766225043745511</v>
      </c>
      <c r="CI129" s="258">
        <v>4.0970000000000004</v>
      </c>
      <c r="CJ129" s="258"/>
      <c r="CK129" s="258"/>
      <c r="CL129" s="258"/>
      <c r="CM129" s="258"/>
    </row>
    <row r="130" spans="1:91" x14ac:dyDescent="0.25">
      <c r="A130" s="723"/>
      <c r="B130" s="723"/>
      <c r="D130" s="31">
        <f t="shared" si="94"/>
        <v>40558</v>
      </c>
      <c r="F130" s="28">
        <f t="shared" si="95"/>
        <v>11107</v>
      </c>
      <c r="G130" s="28">
        <f t="shared" si="76"/>
        <v>6452.2763456036855</v>
      </c>
      <c r="H130" s="52">
        <f t="shared" si="96"/>
        <v>4.2680306905370839</v>
      </c>
      <c r="I130" s="52">
        <f t="shared" si="97"/>
        <v>4.5044999999999993</v>
      </c>
      <c r="K130" s="52">
        <f t="shared" si="98"/>
        <v>3.6029509913382372</v>
      </c>
      <c r="L130" s="135">
        <f t="shared" si="99"/>
        <v>1.9826054814320315E-4</v>
      </c>
      <c r="N130" s="131">
        <f t="shared" si="77"/>
        <v>0.19681790343815397</v>
      </c>
      <c r="O130" s="131">
        <f t="shared" si="78"/>
        <v>0.19681790343815397</v>
      </c>
      <c r="P130" s="55">
        <f t="shared" si="100"/>
        <v>0.99999999999999978</v>
      </c>
      <c r="Q130" s="135">
        <f>_xll.xSPRDOPT(I130,H130,AQ130,0,O130,N130,P130,D130-$G$5,1,0)*AH130*AU130</f>
        <v>3.6031492518863804</v>
      </c>
      <c r="R130" s="135"/>
      <c r="S130" s="181">
        <f t="shared" si="101"/>
        <v>-202916.59070736766</v>
      </c>
      <c r="T130" s="181">
        <f>_xll.xSPRDOPT(I130,H130,AQ130,AT130,O130,N130,P130,D130-$G$5,1,1)*AF130*F130*AH130</f>
        <v>198350.96741645189</v>
      </c>
      <c r="U130" s="135"/>
      <c r="V130" s="146">
        <f t="shared" si="102"/>
        <v>6.6397391687536196</v>
      </c>
      <c r="W130" s="146"/>
      <c r="X130" s="338">
        <f t="shared" si="103"/>
        <v>0</v>
      </c>
      <c r="Y130" s="338">
        <f t="shared" si="79"/>
        <v>0</v>
      </c>
      <c r="Z130" s="338">
        <f t="shared" si="80"/>
        <v>19.647010912884372</v>
      </c>
      <c r="AA130" s="338">
        <f t="shared" si="81"/>
        <v>1.6380346954432269E-3</v>
      </c>
      <c r="AB130" s="338">
        <f t="shared" si="104"/>
        <v>0</v>
      </c>
      <c r="AC130" s="338">
        <f t="shared" si="105"/>
        <v>19.952529949114677</v>
      </c>
      <c r="AF130" s="138">
        <f t="shared" si="106"/>
        <v>1</v>
      </c>
      <c r="AG130" s="138">
        <f t="shared" si="107"/>
        <v>1</v>
      </c>
      <c r="AH130" s="138">
        <f t="shared" si="82"/>
        <v>31</v>
      </c>
      <c r="AI130" s="138">
        <f t="shared" si="108"/>
        <v>3302</v>
      </c>
      <c r="AJ130" s="138">
        <f t="shared" si="109"/>
        <v>3319</v>
      </c>
      <c r="AL130" s="136">
        <f t="shared" si="83"/>
        <v>4.1544999999999996</v>
      </c>
      <c r="AM130" s="258">
        <f t="shared" si="84"/>
        <v>0.01</v>
      </c>
      <c r="AN130" s="258">
        <f t="shared" si="85"/>
        <v>7.4999999999999997E-3</v>
      </c>
      <c r="AO130" s="258">
        <f t="shared" si="86"/>
        <v>0.35</v>
      </c>
      <c r="AP130" s="258">
        <f t="shared" si="87"/>
        <v>0</v>
      </c>
      <c r="AQ130" s="136">
        <f t="shared" si="110"/>
        <v>3.6400000000000002E-2</v>
      </c>
      <c r="AR130" s="137">
        <f t="shared" si="88"/>
        <v>2.2499999999999999E-2</v>
      </c>
      <c r="AS130" s="136">
        <f t="shared" si="111"/>
        <v>4.1719999999999997</v>
      </c>
      <c r="AT130" s="137">
        <f t="shared" si="112"/>
        <v>6.0729714574670801E-2</v>
      </c>
      <c r="AU130" s="137">
        <f t="shared" si="89"/>
        <v>0.58091981143456251</v>
      </c>
      <c r="AV130" s="394">
        <f t="shared" si="113"/>
        <v>4610.1796235446882</v>
      </c>
      <c r="AW130" s="137">
        <f t="shared" si="90"/>
        <v>0.185</v>
      </c>
      <c r="AX130" s="137">
        <f t="shared" si="91"/>
        <v>1</v>
      </c>
      <c r="AY130" s="137">
        <f t="shared" si="92"/>
        <v>1</v>
      </c>
      <c r="AZ130" s="137"/>
      <c r="BA130" s="264"/>
      <c r="BB130" s="258">
        <f t="shared" si="93"/>
        <v>0</v>
      </c>
      <c r="BC130" s="258">
        <f t="shared" si="114"/>
        <v>0</v>
      </c>
      <c r="BD130" s="137">
        <f t="shared" si="115"/>
        <v>1.0356936792493832E-5</v>
      </c>
      <c r="BE130" s="137">
        <f t="shared" si="116"/>
        <v>1.0356936792493832E-5</v>
      </c>
      <c r="BF130" s="137">
        <f>_xll.xSPRDOPT($BW130,$BV130,$CG130,0,$BY130,$BX130,$BZ130,$AJ130,1,4)*$CB130</f>
        <v>1.3843403509929066E-7</v>
      </c>
      <c r="BG130" s="137">
        <f>_xll.xSPRDOPT($BW130,$BV130,$CG130,0,$BY130,$BX130,$BZ130,$AJ130,1,3)*$CB130</f>
        <v>1.0382552632446799E-7</v>
      </c>
      <c r="BH130" s="137">
        <f>IF(OR(BF130&lt;&gt;0,BG130&lt;&gt;0),_xll.xSPRDOPT($BW130,$BV130,$CG130,0,$BY130,$BX130,$BZ130,$AJ130,1,12)*$CB130,0)</f>
        <v>1.7304254387411332E-8</v>
      </c>
      <c r="BI130" s="137">
        <f>_xll.xSPRDOPT($BW130,$BV130,$CG130,2*LN(1+CA130/2),$BY130,$BX130,$BZ130,$AJ130,1,9)</f>
        <v>6.9471550305203415E-3</v>
      </c>
      <c r="BJ130" s="137">
        <f>_xll.xSPRDOPT($BW130,$BV130,$CG130,0,$BY130,$BX130,$BZ130,$AJ130,1,6)*$CB130</f>
        <v>-6.1969678564223578E-3</v>
      </c>
      <c r="BK130" s="137">
        <f>_xll.xSPRDOPT($BW130,$BV130,$CG130,0,$BY130,$BX130,$BZ130,$AJ130,1,5)*$CB130</f>
        <v>6.6563068398082697E-3</v>
      </c>
      <c r="BL130" s="137">
        <f>_xll.xSPRDOPT(BW130,BV130,CG130,0,BY130,BX130,BZ130,AJ130,1,2)*CB130</f>
        <v>-0.58053172327467262</v>
      </c>
      <c r="BM130" s="137">
        <f>_xll.xSPRDOPT(BW130,BV130,CG130,0,BY130,BX130,BZ130,AJ130,1,1)*CB130</f>
        <v>0.58053172327916136</v>
      </c>
      <c r="BN130" s="137">
        <f>IF(AH130&lt;&gt;0,_xll.xSPRDOPT($BW130,$BV130,$CG130,2*LN(1+CA130/2),$BY130,$BX130,$BZ130,$AJ130,1,8)+(AJ130/365.25)*CH130/AH130,0)</f>
        <v>0.88966801367134107</v>
      </c>
      <c r="BO130" s="137">
        <f>_xll.xSPRDOPT($BW130,$BV130,$CG130,0,$BY130,$BX130,$BZ130,$AJ130,1,0)</f>
        <v>0.20008035670906732</v>
      </c>
      <c r="BP130" s="137"/>
      <c r="BQ130" s="137"/>
      <c r="BR130" s="137"/>
      <c r="BS130" s="137"/>
      <c r="BV130" s="262">
        <v>4.2680306905370839</v>
      </c>
      <c r="BW130" s="136">
        <v>4.5044999999999993</v>
      </c>
      <c r="BX130" s="137">
        <v>0.19680754650136148</v>
      </c>
      <c r="BY130" s="137">
        <v>0.19680754650136148</v>
      </c>
      <c r="BZ130" s="137">
        <v>1</v>
      </c>
      <c r="CA130" s="137">
        <v>6.0729714574670801E-2</v>
      </c>
      <c r="CB130" s="137">
        <v>0.58063442715309521</v>
      </c>
      <c r="CC130" s="258">
        <v>0.01</v>
      </c>
      <c r="CD130" s="258">
        <v>7.4999999999999997E-3</v>
      </c>
      <c r="CE130" s="258">
        <v>0.35</v>
      </c>
      <c r="CF130" s="258">
        <v>0</v>
      </c>
      <c r="CG130" s="258">
        <v>3.6400000000000002E-2</v>
      </c>
      <c r="CH130" s="258">
        <v>6.6364773120317322</v>
      </c>
      <c r="CI130" s="258">
        <v>4.1544999999999996</v>
      </c>
      <c r="CJ130" s="258"/>
      <c r="CK130" s="258"/>
      <c r="CL130" s="258"/>
      <c r="CM130" s="258"/>
    </row>
    <row r="131" spans="1:91" x14ac:dyDescent="0.25">
      <c r="A131" s="723"/>
      <c r="B131" s="723"/>
      <c r="D131" s="31">
        <f t="shared" si="94"/>
        <v>40589</v>
      </c>
      <c r="F131" s="28">
        <f t="shared" si="95"/>
        <v>11107</v>
      </c>
      <c r="G131" s="28">
        <f t="shared" si="76"/>
        <v>6413.3707203687864</v>
      </c>
      <c r="H131" s="52">
        <f t="shared" si="96"/>
        <v>4.1810741687979531</v>
      </c>
      <c r="I131" s="52">
        <f t="shared" si="97"/>
        <v>4.4194999999999993</v>
      </c>
      <c r="K131" s="52">
        <f t="shared" si="98"/>
        <v>3.2662882341318404</v>
      </c>
      <c r="L131" s="135">
        <f t="shared" si="99"/>
        <v>1.7009049056371239E-4</v>
      </c>
      <c r="N131" s="131">
        <f t="shared" si="77"/>
        <v>0.19561363005099344</v>
      </c>
      <c r="O131" s="131">
        <f t="shared" si="78"/>
        <v>0.19561363005099344</v>
      </c>
      <c r="P131" s="55">
        <f t="shared" si="100"/>
        <v>0.99999999999999978</v>
      </c>
      <c r="Q131" s="135">
        <f>_xll.xSPRDOPT(I131,H131,AQ131,0,O131,N131,P131,D131-$G$5,1,0)*AH131*AU131</f>
        <v>3.2664583246224042</v>
      </c>
      <c r="R131" s="135"/>
      <c r="S131" s="181">
        <f t="shared" si="101"/>
        <v>-182154.91694131333</v>
      </c>
      <c r="T131" s="181">
        <f>_xll.xSPRDOPT(I131,H131,AQ131,AT131,O131,N131,P131,D131-$G$5,1,1)*AF131*F131*AH131</f>
        <v>178056.4313101338</v>
      </c>
      <c r="U131" s="135"/>
      <c r="V131" s="146">
        <f t="shared" si="102"/>
        <v>5.9610222354190334</v>
      </c>
      <c r="W131" s="146"/>
      <c r="X131" s="338">
        <f t="shared" si="103"/>
        <v>0</v>
      </c>
      <c r="Y131" s="338">
        <f t="shared" si="79"/>
        <v>0</v>
      </c>
      <c r="Z131" s="338">
        <f t="shared" si="80"/>
        <v>17.842720625696607</v>
      </c>
      <c r="AA131" s="338">
        <f t="shared" si="81"/>
        <v>8.1444100679260831E-4</v>
      </c>
      <c r="AB131" s="338">
        <f t="shared" si="104"/>
        <v>0</v>
      </c>
      <c r="AC131" s="338">
        <f t="shared" si="105"/>
        <v>18.120578552198044</v>
      </c>
      <c r="AF131" s="138">
        <f t="shared" si="106"/>
        <v>1</v>
      </c>
      <c r="AG131" s="138">
        <f t="shared" si="107"/>
        <v>2</v>
      </c>
      <c r="AH131" s="138">
        <f t="shared" si="82"/>
        <v>28</v>
      </c>
      <c r="AI131" s="138">
        <f t="shared" si="108"/>
        <v>3333</v>
      </c>
      <c r="AJ131" s="138">
        <f t="shared" si="109"/>
        <v>3350</v>
      </c>
      <c r="AL131" s="136">
        <f t="shared" si="83"/>
        <v>4.0694999999999997</v>
      </c>
      <c r="AM131" s="258">
        <f t="shared" si="84"/>
        <v>0.01</v>
      </c>
      <c r="AN131" s="258">
        <f t="shared" si="85"/>
        <v>7.4999999999999997E-3</v>
      </c>
      <c r="AO131" s="258">
        <f t="shared" si="86"/>
        <v>0.35</v>
      </c>
      <c r="AP131" s="258">
        <f t="shared" si="87"/>
        <v>0</v>
      </c>
      <c r="AQ131" s="136">
        <f t="shared" si="110"/>
        <v>3.6400000000000002E-2</v>
      </c>
      <c r="AR131" s="137">
        <f t="shared" si="88"/>
        <v>2.2499999999999999E-2</v>
      </c>
      <c r="AS131" s="136">
        <f t="shared" si="111"/>
        <v>4.0869999999999997</v>
      </c>
      <c r="AT131" s="137">
        <f t="shared" si="112"/>
        <v>6.0838827592824399E-2</v>
      </c>
      <c r="AU131" s="137">
        <f t="shared" si="89"/>
        <v>0.57741700912656757</v>
      </c>
      <c r="AV131" s="394">
        <f t="shared" si="113"/>
        <v>4138.9251214192363</v>
      </c>
      <c r="AW131" s="137">
        <f t="shared" si="90"/>
        <v>0.185</v>
      </c>
      <c r="AX131" s="137">
        <f t="shared" si="91"/>
        <v>1</v>
      </c>
      <c r="AY131" s="137">
        <f t="shared" si="92"/>
        <v>1</v>
      </c>
      <c r="AZ131" s="137"/>
      <c r="BA131" s="264"/>
      <c r="BB131" s="258">
        <f t="shared" si="93"/>
        <v>0</v>
      </c>
      <c r="BC131" s="258">
        <f t="shared" si="114"/>
        <v>0</v>
      </c>
      <c r="BD131" s="137">
        <f t="shared" si="115"/>
        <v>9.2471070888555662E-6</v>
      </c>
      <c r="BE131" s="137">
        <f t="shared" si="116"/>
        <v>9.2471070888555662E-6</v>
      </c>
      <c r="BF131" s="137">
        <f>_xll.xSPRDOPT($BW131,$BV131,$CG131,0,$BY131,$BX131,$BZ131,$AJ131,1,4)*$CB131</f>
        <v>-5.8479656829542173E-7</v>
      </c>
      <c r="BG131" s="137">
        <f>_xll.xSPRDOPT($BW131,$BV131,$CG131,0,$BY131,$BX131,$BZ131,$AJ131,1,3)*$CB131</f>
        <v>-8.2559515524059535E-7</v>
      </c>
      <c r="BH131" s="137">
        <f>IF(OR(BF131&lt;&gt;0,BG131&lt;&gt;0),_xll.xSPRDOPT($BW131,$BV131,$CG131,0,$BY131,$BX131,$BZ131,$AJ131,1,12)*$CB131,0)</f>
        <v>7.2239576083552096E-7</v>
      </c>
      <c r="BI131" s="137">
        <f>_xll.xSPRDOPT($BW131,$BV131,$CG131,2*LN(1+CA131/2),$BY131,$BX131,$BZ131,$AJ131,1,9)</f>
        <v>6.9851420474172079E-3</v>
      </c>
      <c r="BJ131" s="137">
        <f>_xll.xSPRDOPT($BW131,$BV131,$CG131,0,$BY131,$BX131,$BZ131,$AJ131,1,6)*$CB131</f>
        <v>-4.9663064754209355E-3</v>
      </c>
      <c r="BK131" s="137">
        <f>_xll.xSPRDOPT($BW131,$BV131,$CG131,0,$BY131,$BX131,$BZ131,$AJ131,1,5)*$CB131</f>
        <v>5.2495101876379579E-3</v>
      </c>
      <c r="BL131" s="137">
        <f>_xll.xSPRDOPT(BW131,BV131,CG131,0,BY131,BX131,BZ131,AJ131,1,2)*CB131</f>
        <v>-0.57703041470364547</v>
      </c>
      <c r="BM131" s="137">
        <f>_xll.xSPRDOPT(BW131,BV131,CG131,0,BY131,BX131,BZ131,AJ131,1,1)*CB131</f>
        <v>0.57703041470627003</v>
      </c>
      <c r="BN131" s="137">
        <f>IF(AH131&lt;&gt;0,_xll.xSPRDOPT($BW131,$BV131,$CG131,2*LN(1+CA131/2),$BY131,$BX131,$BZ131,$AJ131,1,8)+(AJ131/365.25)*CH131/AH131,0)</f>
        <v>0.8822083353653658</v>
      </c>
      <c r="BO131" s="137">
        <f>_xll.xSPRDOPT($BW131,$BV131,$CG131,0,$BY131,$BX131,$BZ131,$AJ131,1,0)</f>
        <v>0.20203639007489818</v>
      </c>
      <c r="BP131" s="137"/>
      <c r="BQ131" s="137"/>
      <c r="BR131" s="137"/>
      <c r="BS131" s="137"/>
      <c r="BV131" s="262">
        <v>4.1810741687979531</v>
      </c>
      <c r="BW131" s="136">
        <v>4.4194999999999993</v>
      </c>
      <c r="BX131" s="137">
        <v>0.19560438294390459</v>
      </c>
      <c r="BY131" s="137">
        <v>0.19560438294390459</v>
      </c>
      <c r="BZ131" s="137">
        <v>1</v>
      </c>
      <c r="CA131" s="137">
        <v>6.0838827592824399E-2</v>
      </c>
      <c r="CB131" s="137">
        <v>0.57713284366770834</v>
      </c>
      <c r="CC131" s="258">
        <v>0.01</v>
      </c>
      <c r="CD131" s="258">
        <v>7.4999999999999997E-3</v>
      </c>
      <c r="CE131" s="258">
        <v>0.35</v>
      </c>
      <c r="CF131" s="258">
        <v>0</v>
      </c>
      <c r="CG131" s="258">
        <v>3.6400000000000002E-2</v>
      </c>
      <c r="CH131" s="258">
        <v>5.9580886248879539</v>
      </c>
      <c r="CI131" s="258">
        <v>4.0694999999999997</v>
      </c>
      <c r="CJ131" s="258"/>
      <c r="CK131" s="258"/>
      <c r="CL131" s="258"/>
      <c r="CM131" s="258"/>
    </row>
    <row r="132" spans="1:91" x14ac:dyDescent="0.25">
      <c r="A132" s="723"/>
      <c r="B132" s="723"/>
      <c r="D132" s="31">
        <f t="shared" si="94"/>
        <v>40617</v>
      </c>
      <c r="F132" s="28">
        <f t="shared" si="95"/>
        <v>11107</v>
      </c>
      <c r="G132" s="28">
        <f t="shared" si="76"/>
        <v>6378.3335681006583</v>
      </c>
      <c r="H132" s="52">
        <f t="shared" si="96"/>
        <v>4.0531969309462914</v>
      </c>
      <c r="I132" s="52">
        <f t="shared" si="97"/>
        <v>4.3395000000000001</v>
      </c>
      <c r="K132" s="52">
        <f t="shared" si="98"/>
        <v>4.4488087834353172</v>
      </c>
      <c r="L132" s="135">
        <f t="shared" si="99"/>
        <v>3.2629753492052771E-5</v>
      </c>
      <c r="N132" s="131">
        <f t="shared" si="77"/>
        <v>0.1866372197585475</v>
      </c>
      <c r="O132" s="131">
        <f t="shared" si="78"/>
        <v>0.1866372197585475</v>
      </c>
      <c r="P132" s="55">
        <f t="shared" si="100"/>
        <v>1</v>
      </c>
      <c r="Q132" s="135">
        <f>_xll.xSPRDOPT(I132,H132,AQ132,0,O132,N132,P132,D132-$G$5,1,0)*AH132*AU132</f>
        <v>4.4488414131888092</v>
      </c>
      <c r="R132" s="135"/>
      <c r="S132" s="181">
        <f t="shared" si="101"/>
        <v>-200580.35687413465</v>
      </c>
      <c r="T132" s="181">
        <f>_xll.xSPRDOPT(I132,H132,AQ132,AT132,O132,N132,P132,D132-$G$5,1,1)*AF132*F132*AH132</f>
        <v>196067.29884446663</v>
      </c>
      <c r="U132" s="135"/>
      <c r="V132" s="146">
        <f t="shared" si="102"/>
        <v>6.5636480762870351</v>
      </c>
      <c r="W132" s="146"/>
      <c r="X132" s="338">
        <f t="shared" si="103"/>
        <v>0</v>
      </c>
      <c r="Y132" s="338">
        <f t="shared" si="79"/>
        <v>0</v>
      </c>
      <c r="Z132" s="338">
        <f t="shared" si="80"/>
        <v>24.348932383863072</v>
      </c>
      <c r="AA132" s="338">
        <f t="shared" si="81"/>
        <v>1.2050862792670463E-4</v>
      </c>
      <c r="AB132" s="338">
        <f t="shared" si="104"/>
        <v>0</v>
      </c>
      <c r="AC132" s="338">
        <f t="shared" si="105"/>
        <v>24.719768763413608</v>
      </c>
      <c r="AF132" s="138">
        <f t="shared" si="106"/>
        <v>1</v>
      </c>
      <c r="AG132" s="138">
        <f t="shared" si="107"/>
        <v>3</v>
      </c>
      <c r="AH132" s="138">
        <f t="shared" si="82"/>
        <v>31</v>
      </c>
      <c r="AI132" s="138">
        <f t="shared" si="108"/>
        <v>3361</v>
      </c>
      <c r="AJ132" s="138">
        <f t="shared" si="109"/>
        <v>3378</v>
      </c>
      <c r="AL132" s="136">
        <f t="shared" si="83"/>
        <v>3.9394999999999998</v>
      </c>
      <c r="AM132" s="258">
        <f t="shared" si="84"/>
        <v>1.4999999999999999E-2</v>
      </c>
      <c r="AN132" s="258">
        <f t="shared" si="85"/>
        <v>7.4999999999999997E-3</v>
      </c>
      <c r="AO132" s="258">
        <f t="shared" si="86"/>
        <v>0.4</v>
      </c>
      <c r="AP132" s="258">
        <f t="shared" si="87"/>
        <v>0</v>
      </c>
      <c r="AQ132" s="136">
        <f t="shared" si="110"/>
        <v>3.6400000000000002E-2</v>
      </c>
      <c r="AR132" s="137">
        <f t="shared" si="88"/>
        <v>2.2499999999999999E-2</v>
      </c>
      <c r="AS132" s="136">
        <f t="shared" si="111"/>
        <v>3.9619999999999997</v>
      </c>
      <c r="AT132" s="137">
        <f t="shared" si="112"/>
        <v>6.0937381290039602E-2</v>
      </c>
      <c r="AU132" s="137">
        <f t="shared" si="89"/>
        <v>0.57426249825341302</v>
      </c>
      <c r="AV132" s="394">
        <f t="shared" si="113"/>
        <v>4557.3471861390854</v>
      </c>
      <c r="AW132" s="137">
        <f t="shared" si="90"/>
        <v>0.18</v>
      </c>
      <c r="AX132" s="137">
        <f t="shared" si="91"/>
        <v>0.75</v>
      </c>
      <c r="AY132" s="137">
        <f t="shared" si="92"/>
        <v>0.75</v>
      </c>
      <c r="AZ132" s="137"/>
      <c r="BA132" s="264"/>
      <c r="BB132" s="258">
        <f t="shared" si="93"/>
        <v>0</v>
      </c>
      <c r="BC132" s="258">
        <f t="shared" si="114"/>
        <v>0</v>
      </c>
      <c r="BD132" s="137">
        <f t="shared" si="115"/>
        <v>5.7872205500575369E-6</v>
      </c>
      <c r="BE132" s="137">
        <f t="shared" si="116"/>
        <v>5.7872205500575369E-6</v>
      </c>
      <c r="BF132" s="137">
        <f>_xll.xSPRDOPT($BW132,$BV132,$CG132,0,$BY132,$BX132,$BZ132,$AJ132,1,4)*$CB132</f>
        <v>3.7633024321112134E-7</v>
      </c>
      <c r="BG132" s="137">
        <f>_xll.xSPRDOPT($BW132,$BV132,$CG132,0,$BY132,$BX132,$BZ132,$AJ132,1,3)*$CB132</f>
        <v>6.5002496554648232E-7</v>
      </c>
      <c r="BH132" s="137">
        <f>IF(OR(BF132&lt;&gt;0,BG132&lt;&gt;0),_xll.xSPRDOPT($BW132,$BV132,$CG132,0,$BY132,$BX132,$BZ132,$AJ132,1,12)*$CB132,0)</f>
        <v>-4.6185984394092167E-7</v>
      </c>
      <c r="BI132" s="137">
        <f>_xll.xSPRDOPT($BW132,$BV132,$CG132,2*LN(1+CA132/2),$BY132,$BX132,$BZ132,$AJ132,1,9)</f>
        <v>8.6097477549331846E-3</v>
      </c>
      <c r="BJ132" s="137">
        <f>_xll.xSPRDOPT($BW132,$BV132,$CG132,0,$BY132,$BX132,$BZ132,$AJ132,1,6)*$CB132</f>
        <v>-8.5617264022446284E-4</v>
      </c>
      <c r="BK132" s="137">
        <f>_xll.xSPRDOPT($BW132,$BV132,$CG132,0,$BY132,$BX132,$BZ132,$AJ132,1,5)*$CB132</f>
        <v>9.1664955707500956E-4</v>
      </c>
      <c r="BL132" s="137">
        <f>_xll.xSPRDOPT(BW132,BV132,CG132,0,BY132,BX132,BZ132,AJ132,1,2)*CB132</f>
        <v>-0.57396317025137644</v>
      </c>
      <c r="BM132" s="137">
        <f>_xll.xSPRDOPT(BW132,BV132,CG132,0,BY132,BX132,BZ132,AJ132,1,1)*CB132</f>
        <v>0.57396317026155608</v>
      </c>
      <c r="BN132" s="137">
        <f>IF(AH132&lt;&gt;0,_xll.xSPRDOPT($BW132,$BV132,$CG132,2*LN(1+CA132/2),$BY132,$BX132,$BZ132,$AJ132,1,8)+(AJ132/365.25)*CH132/AH132,0)</f>
        <v>0.63061492203497926</v>
      </c>
      <c r="BO132" s="137">
        <f>_xll.xSPRDOPT($BW132,$BV132,$CG132,0,$BY132,$BX132,$BZ132,$AJ132,1,0)</f>
        <v>0.24990491009404212</v>
      </c>
      <c r="BP132" s="137"/>
      <c r="BQ132" s="137"/>
      <c r="BR132" s="137"/>
      <c r="BS132" s="137"/>
      <c r="BV132" s="262">
        <v>4.0531969309462914</v>
      </c>
      <c r="BW132" s="136">
        <v>4.3395000000000001</v>
      </c>
      <c r="BX132" s="137">
        <v>0.18663143253799744</v>
      </c>
      <c r="BY132" s="137">
        <v>0.18663143253799744</v>
      </c>
      <c r="BZ132" s="137">
        <v>1</v>
      </c>
      <c r="CA132" s="137">
        <v>6.0937381290039602E-2</v>
      </c>
      <c r="CB132" s="137">
        <v>0.57397943433504695</v>
      </c>
      <c r="CC132" s="258">
        <v>1.4999999999999999E-2</v>
      </c>
      <c r="CD132" s="258">
        <v>7.4999999999999997E-3</v>
      </c>
      <c r="CE132" s="258">
        <v>0.4</v>
      </c>
      <c r="CF132" s="258">
        <v>0</v>
      </c>
      <c r="CG132" s="258">
        <v>3.6400000000000002E-2</v>
      </c>
      <c r="CH132" s="258">
        <v>6.5604127406192863</v>
      </c>
      <c r="CI132" s="258">
        <v>3.9394999999999998</v>
      </c>
      <c r="CJ132" s="258"/>
      <c r="CK132" s="258"/>
      <c r="CL132" s="258"/>
      <c r="CM132" s="258"/>
    </row>
    <row r="133" spans="1:91" x14ac:dyDescent="0.25">
      <c r="A133" s="723"/>
      <c r="B133" s="723"/>
      <c r="D133" s="31">
        <f t="shared" si="94"/>
        <v>40648</v>
      </c>
      <c r="F133" s="28">
        <f t="shared" si="95"/>
        <v>5899</v>
      </c>
      <c r="G133" s="28">
        <f t="shared" si="76"/>
        <v>3367.0333883371291</v>
      </c>
      <c r="H133" s="52">
        <f t="shared" si="96"/>
        <v>3.8664961636828643</v>
      </c>
      <c r="I133" s="52">
        <f t="shared" si="97"/>
        <v>4.3544999999999998</v>
      </c>
      <c r="K133" s="52">
        <f t="shared" si="98"/>
        <v>7.7329981107692705</v>
      </c>
      <c r="L133" s="135">
        <f t="shared" si="99"/>
        <v>1.1165703712734398E-6</v>
      </c>
      <c r="N133" s="131">
        <f t="shared" si="77"/>
        <v>0.18155380624266057</v>
      </c>
      <c r="O133" s="131">
        <f t="shared" si="78"/>
        <v>0.18155380624266057</v>
      </c>
      <c r="P133" s="55">
        <f t="shared" si="100"/>
        <v>0.99999999999999989</v>
      </c>
      <c r="Q133" s="135">
        <f>_xll.xSPRDOPT(I133,H133,AQ133,0,O133,N133,P133,D133-$G$5,1,0)*AH133*AU133</f>
        <v>7.7329992273396417</v>
      </c>
      <c r="R133" s="135"/>
      <c r="S133" s="181">
        <f t="shared" si="101"/>
        <v>-102459.86021204288</v>
      </c>
      <c r="T133" s="181">
        <f>_xll.xSPRDOPT(I133,H133,AQ133,AT133,O133,N133,P133,D133-$G$5,1,1)*AF133*F133*AH133</f>
        <v>100154.51335727192</v>
      </c>
      <c r="U133" s="135"/>
      <c r="V133" s="146">
        <f t="shared" si="102"/>
        <v>6.3134016457699582</v>
      </c>
      <c r="W133" s="146"/>
      <c r="X133" s="338">
        <f t="shared" si="103"/>
        <v>0</v>
      </c>
      <c r="Y133" s="338">
        <f t="shared" si="79"/>
        <v>0</v>
      </c>
      <c r="Z133" s="338">
        <f t="shared" si="80"/>
        <v>22.519461318976514</v>
      </c>
      <c r="AA133" s="338">
        <f t="shared" si="81"/>
        <v>3.2492021891901621E-7</v>
      </c>
      <c r="AB133" s="338">
        <f t="shared" si="104"/>
        <v>0</v>
      </c>
      <c r="AC133" s="338">
        <f t="shared" si="105"/>
        <v>22.861442009710164</v>
      </c>
      <c r="AF133" s="138">
        <f t="shared" si="106"/>
        <v>1</v>
      </c>
      <c r="AG133" s="138">
        <f t="shared" si="107"/>
        <v>4</v>
      </c>
      <c r="AH133" s="138">
        <f t="shared" si="82"/>
        <v>30</v>
      </c>
      <c r="AI133" s="138">
        <f t="shared" si="108"/>
        <v>3392</v>
      </c>
      <c r="AJ133" s="138">
        <f t="shared" si="109"/>
        <v>3409</v>
      </c>
      <c r="AL133" s="136">
        <f t="shared" si="83"/>
        <v>3.7545000000000002</v>
      </c>
      <c r="AM133" s="258">
        <f t="shared" si="84"/>
        <v>1.4999999999999999E-2</v>
      </c>
      <c r="AN133" s="258">
        <f t="shared" si="85"/>
        <v>0.01</v>
      </c>
      <c r="AO133" s="258">
        <f t="shared" si="86"/>
        <v>0.6</v>
      </c>
      <c r="AP133" s="258">
        <f t="shared" si="87"/>
        <v>0</v>
      </c>
      <c r="AQ133" s="136">
        <f t="shared" si="110"/>
        <v>3.6400000000000002E-2</v>
      </c>
      <c r="AR133" s="137">
        <f t="shared" si="88"/>
        <v>2.2499999999999999E-2</v>
      </c>
      <c r="AS133" s="136">
        <f t="shared" si="111"/>
        <v>3.7795000000000001</v>
      </c>
      <c r="AT133" s="137">
        <f t="shared" si="112"/>
        <v>6.1046494315718701E-2</v>
      </c>
      <c r="AU133" s="137">
        <f t="shared" si="89"/>
        <v>0.57078036757706885</v>
      </c>
      <c r="AV133" s="394">
        <f t="shared" si="113"/>
        <v>2328.7838997144408</v>
      </c>
      <c r="AW133" s="137">
        <f t="shared" si="90"/>
        <v>0.18</v>
      </c>
      <c r="AX133" s="137">
        <f t="shared" si="91"/>
        <v>0.4</v>
      </c>
      <c r="AY133" s="137">
        <f t="shared" si="92"/>
        <v>0.4</v>
      </c>
      <c r="AZ133" s="137"/>
      <c r="BA133" s="264"/>
      <c r="BB133" s="258">
        <f t="shared" si="93"/>
        <v>0</v>
      </c>
      <c r="BC133" s="258">
        <f t="shared" si="114"/>
        <v>0</v>
      </c>
      <c r="BD133" s="137">
        <f t="shared" si="115"/>
        <v>1.3611404790225823E-6</v>
      </c>
      <c r="BE133" s="137">
        <f t="shared" si="116"/>
        <v>1.3611404790225823E-6</v>
      </c>
      <c r="BF133" s="137">
        <f>_xll.xSPRDOPT($BW133,$BV133,$CG133,0,$BY133,$BX133,$BZ133,$AJ133,1,4)*$CB133</f>
        <v>-2.7203489489920562E-7</v>
      </c>
      <c r="BG133" s="137">
        <f>_xll.xSPRDOPT($BW133,$BV133,$CG133,0,$BY133,$BX133,$BZ133,$AJ133,1,3)*$CB133</f>
        <v>1.3601744744960281E-7</v>
      </c>
      <c r="BH133" s="137">
        <f>IF(OR(BF133&lt;&gt;0,BG133&lt;&gt;0),_xll.xSPRDOPT($BW133,$BV133,$CG133,0,$BY133,$BX133,$BZ133,$AJ133,1,12)*$CB133,0)</f>
        <v>3.4004361862400703E-8</v>
      </c>
      <c r="BI133" s="137">
        <f>_xll.xSPRDOPT($BW133,$BV133,$CG133,2*LN(1+CA133/2),$BY133,$BX133,$BZ133,$AJ133,1,9)</f>
        <v>1.5492707326582988E-2</v>
      </c>
      <c r="BJ133" s="137">
        <f>_xll.xSPRDOPT($BW133,$BV133,$CG133,0,$BY133,$BX133,$BZ133,$AJ133,1,6)*$CB133</f>
        <v>-1.068719212085645E-5</v>
      </c>
      <c r="BK133" s="137">
        <f>_xll.xSPRDOPT($BW133,$BV133,$CG133,0,$BY133,$BX133,$BZ133,$AJ133,1,5)*$CB133</f>
        <v>1.2036074671494041E-5</v>
      </c>
      <c r="BL133" s="137">
        <f>_xll.xSPRDOPT(BW133,BV133,CG133,0,BY133,BX133,BZ133,AJ133,1,2)*CB133</f>
        <v>-0.570498394089615</v>
      </c>
      <c r="BM133" s="137">
        <f>_xll.xSPRDOPT(BW133,BV133,CG133,0,BY133,BX133,BZ133,AJ133,1,1)*CB133</f>
        <v>0.57049839409895464</v>
      </c>
      <c r="BN133" s="137">
        <f>IF(AH133&lt;&gt;0,_xll.xSPRDOPT($BW133,$BV133,$CG133,2*LN(1+CA133/2),$BY133,$BX133,$BZ133,$AJ133,1,8)+(AJ133/365.25)*CH133/AH133,0)</f>
        <v>-0.44143449981730676</v>
      </c>
      <c r="BO133" s="137">
        <f>_xll.xSPRDOPT($BW133,$BV133,$CG133,0,$BY133,$BX133,$BZ133,$AJ133,1,0)</f>
        <v>0.4516039017101996</v>
      </c>
      <c r="BP133" s="137"/>
      <c r="BQ133" s="137"/>
      <c r="BR133" s="137"/>
      <c r="BS133" s="137"/>
      <c r="BV133" s="262">
        <v>3.8664961636828643</v>
      </c>
      <c r="BW133" s="136">
        <v>4.3544999999999998</v>
      </c>
      <c r="BX133" s="137">
        <v>0.18155244510218155</v>
      </c>
      <c r="BY133" s="137">
        <v>0.18155244510218155</v>
      </c>
      <c r="BZ133" s="137">
        <v>1</v>
      </c>
      <c r="CA133" s="137">
        <v>6.1046494315718701E-2</v>
      </c>
      <c r="CB133" s="137">
        <v>0.57049852390765887</v>
      </c>
      <c r="CC133" s="258">
        <v>1.4999999999999999E-2</v>
      </c>
      <c r="CD133" s="258">
        <v>0.01</v>
      </c>
      <c r="CE133" s="258">
        <v>0.6</v>
      </c>
      <c r="CF133" s="258">
        <v>0</v>
      </c>
      <c r="CG133" s="258">
        <v>3.6400000000000002E-2</v>
      </c>
      <c r="CH133" s="258">
        <v>6.3102841729426151</v>
      </c>
      <c r="CI133" s="258">
        <v>3.7545000000000002</v>
      </c>
      <c r="CJ133" s="258"/>
      <c r="CK133" s="258"/>
      <c r="CL133" s="258"/>
      <c r="CM133" s="258"/>
    </row>
    <row r="134" spans="1:91" x14ac:dyDescent="0.25">
      <c r="A134" s="723"/>
      <c r="B134" s="723"/>
      <c r="D134" s="31">
        <f t="shared" si="94"/>
        <v>40678</v>
      </c>
      <c r="F134" s="28">
        <f t="shared" si="95"/>
        <v>5895</v>
      </c>
      <c r="G134" s="28">
        <f t="shared" si="76"/>
        <v>3344.946717249572</v>
      </c>
      <c r="H134" s="52">
        <f t="shared" si="96"/>
        <v>3.8639386189258307</v>
      </c>
      <c r="I134" s="52">
        <f t="shared" si="97"/>
        <v>4.4994999999999994</v>
      </c>
      <c r="K134" s="52">
        <f t="shared" si="98"/>
        <v>10.539279005348527</v>
      </c>
      <c r="L134" s="135">
        <f t="shared" si="99"/>
        <v>1.0725479704376539E-6</v>
      </c>
      <c r="N134" s="131">
        <f t="shared" si="77"/>
        <v>0.18211808357117193</v>
      </c>
      <c r="O134" s="131">
        <f t="shared" si="78"/>
        <v>0.18211808357117193</v>
      </c>
      <c r="P134" s="55">
        <f t="shared" si="100"/>
        <v>1.0000000000000002</v>
      </c>
      <c r="Q134" s="135">
        <f>_xll.xSPRDOPT(I134,H134,AQ134,0,O134,N134,P134,D134-$G$5,1,0)*AH134*AU134</f>
        <v>10.539280077896498</v>
      </c>
      <c r="R134" s="135"/>
      <c r="S134" s="181">
        <f t="shared" si="101"/>
        <v>-105169.72792940878</v>
      </c>
      <c r="T134" s="181">
        <f>_xll.xSPRDOPT(I134,H134,AQ134,AT134,O134,N134,P134,D134-$G$5,1,1)*AF134*F134*AH134</f>
        <v>102803.40905099708</v>
      </c>
      <c r="U134" s="135"/>
      <c r="V134" s="146">
        <f t="shared" si="102"/>
        <v>6.4854516529512178</v>
      </c>
      <c r="W134" s="146"/>
      <c r="X134" s="338">
        <f t="shared" si="103"/>
        <v>0</v>
      </c>
      <c r="Y134" s="338">
        <f t="shared" si="79"/>
        <v>0</v>
      </c>
      <c r="Z134" s="338">
        <f t="shared" si="80"/>
        <v>30.723151664938921</v>
      </c>
      <c r="AA134" s="338">
        <f t="shared" si="81"/>
        <v>8.4412787539548792E-9</v>
      </c>
      <c r="AB134" s="338">
        <f t="shared" si="104"/>
        <v>0</v>
      </c>
      <c r="AC134" s="338">
        <f t="shared" si="105"/>
        <v>31.190490571499161</v>
      </c>
      <c r="AF134" s="138">
        <f t="shared" si="106"/>
        <v>1</v>
      </c>
      <c r="AG134" s="138">
        <f t="shared" si="107"/>
        <v>5</v>
      </c>
      <c r="AH134" s="138">
        <f t="shared" si="82"/>
        <v>31</v>
      </c>
      <c r="AI134" s="138">
        <f t="shared" si="108"/>
        <v>3422</v>
      </c>
      <c r="AJ134" s="138">
        <f t="shared" si="109"/>
        <v>3439</v>
      </c>
      <c r="AL134" s="136">
        <f t="shared" si="83"/>
        <v>3.7494999999999998</v>
      </c>
      <c r="AM134" s="258">
        <f t="shared" si="84"/>
        <v>1.7500000000000002E-2</v>
      </c>
      <c r="AN134" s="258">
        <f t="shared" si="85"/>
        <v>0.01</v>
      </c>
      <c r="AO134" s="258">
        <f t="shared" si="86"/>
        <v>0.75</v>
      </c>
      <c r="AP134" s="258">
        <f t="shared" si="87"/>
        <v>0</v>
      </c>
      <c r="AQ134" s="136">
        <f t="shared" si="110"/>
        <v>3.6400000000000002E-2</v>
      </c>
      <c r="AR134" s="137">
        <f t="shared" si="88"/>
        <v>2.2499999999999999E-2</v>
      </c>
      <c r="AS134" s="136">
        <f t="shared" si="111"/>
        <v>3.7769999999999997</v>
      </c>
      <c r="AT134" s="137">
        <f t="shared" si="112"/>
        <v>6.1152087570141199E-2</v>
      </c>
      <c r="AU134" s="137">
        <f t="shared" si="89"/>
        <v>0.56742098681078401</v>
      </c>
      <c r="AV134" s="394">
        <f t="shared" si="113"/>
        <v>2392.2468803942652</v>
      </c>
      <c r="AW134" s="137">
        <f t="shared" si="90"/>
        <v>0.18</v>
      </c>
      <c r="AX134" s="137">
        <f t="shared" si="91"/>
        <v>0.45</v>
      </c>
      <c r="AY134" s="137">
        <f t="shared" si="92"/>
        <v>0.45</v>
      </c>
      <c r="AZ134" s="137"/>
      <c r="BA134" s="264"/>
      <c r="BB134" s="258">
        <f t="shared" si="93"/>
        <v>0</v>
      </c>
      <c r="BC134" s="258">
        <f t="shared" si="114"/>
        <v>0</v>
      </c>
      <c r="BD134" s="137">
        <f t="shared" si="115"/>
        <v>1.8361667535049531E-6</v>
      </c>
      <c r="BE134" s="137">
        <f t="shared" si="116"/>
        <v>1.8361667535049531E-6</v>
      </c>
      <c r="BF134" s="137">
        <f>_xll.xSPRDOPT($BW134,$BV134,$CG134,0,$BY134,$BX134,$BZ134,$AJ134,1,4)*$CB134</f>
        <v>0</v>
      </c>
      <c r="BG134" s="137">
        <f>_xll.xSPRDOPT($BW134,$BV134,$CG134,0,$BY134,$BX134,$BZ134,$AJ134,1,3)*$CB134</f>
        <v>-5.4086716142758983E-7</v>
      </c>
      <c r="BH134" s="137">
        <f>IF(OR(BF134&lt;&gt;0,BG134&lt;&gt;0),_xll.xSPRDOPT($BW134,$BV134,$CG134,0,$BY134,$BX134,$BZ134,$AJ134,1,12)*$CB134,0)</f>
        <v>5.4086716142758983E-7</v>
      </c>
      <c r="BI134" s="137">
        <f>_xll.xSPRDOPT($BW134,$BV134,$CG134,2*LN(1+CA134/2),$BY134,$BX134,$BZ134,$AJ134,1,9)</f>
        <v>2.0468651482701654E-2</v>
      </c>
      <c r="BJ134" s="137">
        <f>_xll.xSPRDOPT($BW134,$BV134,$CG134,0,$BY134,$BX134,$BZ134,$AJ134,1,6)*$CB134</f>
        <v>-1.5292968383794581E-7</v>
      </c>
      <c r="BK134" s="137">
        <f>_xll.xSPRDOPT($BW134,$BV134,$CG134,0,$BY134,$BX134,$BZ134,$AJ134,1,5)*$CB134</f>
        <v>1.7808620707980009E-7</v>
      </c>
      <c r="BL134" s="137">
        <f>_xll.xSPRDOPT(BW134,BV134,CG134,0,BY134,BX134,BZ134,AJ134,1,2)*CB134</f>
        <v>-0.56714036786646749</v>
      </c>
      <c r="BM134" s="137">
        <f>_xll.xSPRDOPT(BW134,BV134,CG134,0,BY134,BX134,BZ134,AJ134,1,1)*CB134</f>
        <v>0.56714036785821453</v>
      </c>
      <c r="BN134" s="137">
        <f>IF(AH134&lt;&gt;0,_xll.xSPRDOPT($BW134,$BV134,$CG134,2*LN(1+CA134/2),$BY134,$BX134,$BZ134,$AJ134,1,8)+(AJ134/365.25)*CH134/AH134,0)</f>
        <v>-1.230639225557435</v>
      </c>
      <c r="BO134" s="137">
        <f>_xll.xSPRDOPT($BW134,$BV134,$CG134,0,$BY134,$BX134,$BZ134,$AJ134,1,0)</f>
        <v>0.59916144205232302</v>
      </c>
      <c r="BP134" s="137"/>
      <c r="BQ134" s="137"/>
      <c r="BR134" s="137"/>
      <c r="BS134" s="137"/>
      <c r="BV134" s="262">
        <v>3.8639386189258307</v>
      </c>
      <c r="BW134" s="136">
        <v>4.4994999999999994</v>
      </c>
      <c r="BX134" s="137">
        <v>0.18211624740441842</v>
      </c>
      <c r="BY134" s="137">
        <v>0.18211624740441842</v>
      </c>
      <c r="BZ134" s="137">
        <v>1</v>
      </c>
      <c r="CA134" s="137">
        <v>6.1152087570141199E-2</v>
      </c>
      <c r="CB134" s="137">
        <v>0.56714032466109643</v>
      </c>
      <c r="CC134" s="258">
        <v>1.7500000000000002E-2</v>
      </c>
      <c r="CD134" s="258">
        <v>0.01</v>
      </c>
      <c r="CE134" s="258">
        <v>0.75</v>
      </c>
      <c r="CF134" s="258">
        <v>0</v>
      </c>
      <c r="CG134" s="258">
        <v>3.6400000000000002E-2</v>
      </c>
      <c r="CH134" s="258">
        <v>6.4822437687789343</v>
      </c>
      <c r="CI134" s="258">
        <v>3.7494999999999998</v>
      </c>
      <c r="CJ134" s="258"/>
      <c r="CK134" s="258"/>
      <c r="CL134" s="258"/>
      <c r="CM134" s="258"/>
    </row>
    <row r="135" spans="1:91" x14ac:dyDescent="0.25">
      <c r="A135" s="723"/>
      <c r="B135" s="723"/>
      <c r="D135" s="31">
        <f t="shared" si="94"/>
        <v>40709</v>
      </c>
      <c r="F135" s="28">
        <f t="shared" si="95"/>
        <v>5895</v>
      </c>
      <c r="G135" s="28">
        <f t="shared" si="76"/>
        <v>3324.5468760448589</v>
      </c>
      <c r="H135" s="52">
        <f t="shared" si="96"/>
        <v>3.8997442455242965</v>
      </c>
      <c r="I135" s="52">
        <f t="shared" si="97"/>
        <v>4.6345000000000001</v>
      </c>
      <c r="K135" s="52">
        <f t="shared" si="98"/>
        <v>11.815350849415525</v>
      </c>
      <c r="L135" s="135">
        <f t="shared" si="99"/>
        <v>1.1681770200056008E-6</v>
      </c>
      <c r="N135" s="131">
        <f t="shared" si="77"/>
        <v>0.18203221320304439</v>
      </c>
      <c r="O135" s="131">
        <f t="shared" si="78"/>
        <v>0.18203221320304439</v>
      </c>
      <c r="P135" s="55">
        <f t="shared" si="100"/>
        <v>1.0000000000000002</v>
      </c>
      <c r="Q135" s="135">
        <f>_xll.xSPRDOPT(I135,H135,AQ135,0,O135,N135,P135,D135-$G$5,1,0)*AH135*AU135</f>
        <v>11.815352017592545</v>
      </c>
      <c r="R135" s="135"/>
      <c r="S135" s="181">
        <f t="shared" si="101"/>
        <v>-101145.47199851017</v>
      </c>
      <c r="T135" s="181">
        <f>_xll.xSPRDOPT(I135,H135,AQ135,AT135,O135,N135,P135,D135-$G$5,1,1)*AF135*F135*AH135</f>
        <v>98869.698878543699</v>
      </c>
      <c r="U135" s="135"/>
      <c r="V135" s="146">
        <f t="shared" si="102"/>
        <v>6.2379665811589788</v>
      </c>
      <c r="W135" s="146"/>
      <c r="X135" s="338">
        <f t="shared" si="103"/>
        <v>0</v>
      </c>
      <c r="Y135" s="338">
        <f t="shared" si="79"/>
        <v>0</v>
      </c>
      <c r="Z135" s="338">
        <f t="shared" si="80"/>
        <v>34.503550905995127</v>
      </c>
      <c r="AA135" s="338">
        <f t="shared" si="81"/>
        <v>-3.0396270400464389E-8</v>
      </c>
      <c r="AB135" s="338">
        <f t="shared" si="104"/>
        <v>0</v>
      </c>
      <c r="AC135" s="338">
        <f t="shared" si="105"/>
        <v>35.029324597976185</v>
      </c>
      <c r="AF135" s="138">
        <f t="shared" si="106"/>
        <v>1</v>
      </c>
      <c r="AG135" s="138">
        <f t="shared" si="107"/>
        <v>6</v>
      </c>
      <c r="AH135" s="138">
        <f t="shared" si="82"/>
        <v>30</v>
      </c>
      <c r="AI135" s="138">
        <f t="shared" si="108"/>
        <v>3453</v>
      </c>
      <c r="AJ135" s="138">
        <f t="shared" si="109"/>
        <v>3470</v>
      </c>
      <c r="AL135" s="136">
        <f t="shared" si="83"/>
        <v>3.7845</v>
      </c>
      <c r="AM135" s="258">
        <f t="shared" si="84"/>
        <v>1.7500000000000002E-2</v>
      </c>
      <c r="AN135" s="258">
        <f t="shared" si="85"/>
        <v>0.01</v>
      </c>
      <c r="AO135" s="258">
        <f t="shared" si="86"/>
        <v>0.85</v>
      </c>
      <c r="AP135" s="258">
        <f t="shared" si="87"/>
        <v>0</v>
      </c>
      <c r="AQ135" s="136">
        <f t="shared" si="110"/>
        <v>3.6400000000000002E-2</v>
      </c>
      <c r="AR135" s="137">
        <f t="shared" si="88"/>
        <v>2.2499999999999999E-2</v>
      </c>
      <c r="AS135" s="136">
        <f t="shared" si="111"/>
        <v>3.8119999999999998</v>
      </c>
      <c r="AT135" s="137">
        <f t="shared" si="112"/>
        <v>6.1261200603600401E-2</v>
      </c>
      <c r="AU135" s="137">
        <f t="shared" si="89"/>
        <v>0.56396045395162997</v>
      </c>
      <c r="AV135" s="394">
        <f t="shared" si="113"/>
        <v>2300.9586521226502</v>
      </c>
      <c r="AW135" s="137">
        <f t="shared" si="90"/>
        <v>0.18</v>
      </c>
      <c r="AX135" s="137">
        <f t="shared" si="91"/>
        <v>0.45</v>
      </c>
      <c r="AY135" s="137">
        <f t="shared" si="92"/>
        <v>0.45</v>
      </c>
      <c r="AZ135" s="137"/>
      <c r="BA135" s="264"/>
      <c r="BB135" s="258">
        <f t="shared" si="93"/>
        <v>0</v>
      </c>
      <c r="BC135" s="258">
        <f t="shared" si="114"/>
        <v>0</v>
      </c>
      <c r="BD135" s="137">
        <f t="shared" si="115"/>
        <v>1.7466543243693788E-6</v>
      </c>
      <c r="BE135" s="137">
        <f t="shared" si="116"/>
        <v>1.7466543243693788E-6</v>
      </c>
      <c r="BF135" s="137">
        <f>_xll.xSPRDOPT($BW135,$BV135,$CG135,0,$BY135,$BX135,$BZ135,$AJ135,1,4)*$CB135</f>
        <v>4.0317607877544178E-7</v>
      </c>
      <c r="BG135" s="137">
        <f>_xll.xSPRDOPT($BW135,$BV135,$CG135,0,$BY135,$BX135,$BZ135,$AJ135,1,3)*$CB135</f>
        <v>1.3439202625848059E-7</v>
      </c>
      <c r="BH135" s="137">
        <f>IF(OR(BF135&lt;&gt;0,BG135&lt;&gt;0),_xll.xSPRDOPT($BW135,$BV135,$CG135,0,$BY135,$BX135,$BZ135,$AJ135,1,12)*$CB135,0)</f>
        <v>-4.0317607877544178E-7</v>
      </c>
      <c r="BI135" s="137">
        <f>_xll.xSPRDOPT($BW135,$BV135,$CG135,2*LN(1+CA135/2),$BY135,$BX135,$BZ135,$AJ135,1,9)</f>
        <v>2.3753504793920875E-2</v>
      </c>
      <c r="BJ135" s="137">
        <f>_xll.xSPRDOPT($BW135,$BV135,$CG135,0,$BY135,$BX135,$BZ135,$AJ135,1,6)*$CB135</f>
        <v>5.2225440759491545E-7</v>
      </c>
      <c r="BK135" s="137">
        <f>_xll.xSPRDOPT($BW135,$BV135,$CG135,0,$BY135,$BX135,$BZ135,$AJ135,1,5)*$CB135</f>
        <v>-6.206573923605353E-7</v>
      </c>
      <c r="BL135" s="137">
        <f>_xll.xSPRDOPT(BW135,BV135,CG135,0,BY135,BX135,BZ135,AJ135,1,2)*CB135</f>
        <v>-0.56368106614749691</v>
      </c>
      <c r="BM135" s="137">
        <f>_xll.xSPRDOPT(BW135,BV135,CG135,0,BY135,BX135,BZ135,AJ135,1,1)*CB135</f>
        <v>0.56368106615364888</v>
      </c>
      <c r="BN135" s="137">
        <f>IF(AH135&lt;&gt;0,_xll.xSPRDOPT($BW135,$BV135,$CG135,2*LN(1+CA135/2),$BY135,$BX135,$BZ135,$AJ135,1,8)+(AJ135/365.25)*CH135/AH135,0)</f>
        <v>-1.7653605157276184</v>
      </c>
      <c r="BO135" s="137">
        <f>_xll.xSPRDOPT($BW135,$BV135,$CG135,0,$BY135,$BX135,$BZ135,$AJ135,1,0)</f>
        <v>0.69835582350831349</v>
      </c>
      <c r="BP135" s="137"/>
      <c r="BQ135" s="137"/>
      <c r="BR135" s="137"/>
      <c r="BS135" s="137"/>
      <c r="BV135" s="262">
        <v>3.8997442455242965</v>
      </c>
      <c r="BW135" s="136">
        <v>4.6345000000000001</v>
      </c>
      <c r="BX135" s="137">
        <v>0.18203046654872002</v>
      </c>
      <c r="BY135" s="137">
        <v>0.18203046654872002</v>
      </c>
      <c r="BZ135" s="137">
        <v>1</v>
      </c>
      <c r="CA135" s="137">
        <v>6.1261200603600401E-2</v>
      </c>
      <c r="CB135" s="137">
        <v>0.56368101330405018</v>
      </c>
      <c r="CC135" s="258">
        <v>1.7500000000000002E-2</v>
      </c>
      <c r="CD135" s="258">
        <v>0.01</v>
      </c>
      <c r="CE135" s="258">
        <v>0.85</v>
      </c>
      <c r="CF135" s="258">
        <v>0</v>
      </c>
      <c r="CG135" s="258">
        <v>3.6400000000000002E-2</v>
      </c>
      <c r="CH135" s="258">
        <v>6.2348756881560989</v>
      </c>
      <c r="CI135" s="258">
        <v>3.7845</v>
      </c>
      <c r="CJ135" s="258"/>
      <c r="CK135" s="258"/>
      <c r="CL135" s="258"/>
      <c r="CM135" s="258"/>
    </row>
    <row r="136" spans="1:91" x14ac:dyDescent="0.25">
      <c r="A136" s="723"/>
      <c r="B136" s="723"/>
      <c r="D136" s="31">
        <f t="shared" si="94"/>
        <v>40739</v>
      </c>
      <c r="F136" s="28">
        <f t="shared" si="95"/>
        <v>5895</v>
      </c>
      <c r="G136" s="28">
        <f t="shared" si="76"/>
        <v>3304.8671768872505</v>
      </c>
      <c r="H136" s="52">
        <f t="shared" si="96"/>
        <v>3.9406649616368283</v>
      </c>
      <c r="I136" s="52">
        <f t="shared" si="97"/>
        <v>4.8745000000000003</v>
      </c>
      <c r="K136" s="52">
        <f t="shared" si="98"/>
        <v>15.596778906178951</v>
      </c>
      <c r="L136" s="135">
        <f t="shared" si="99"/>
        <v>1.5266813875314256E-6</v>
      </c>
      <c r="N136" s="131">
        <f t="shared" si="77"/>
        <v>0.18265834313233451</v>
      </c>
      <c r="O136" s="131">
        <f t="shared" si="78"/>
        <v>0.18265834313233451</v>
      </c>
      <c r="P136" s="55">
        <f t="shared" si="100"/>
        <v>0.99999999999999989</v>
      </c>
      <c r="Q136" s="135">
        <f>_xll.xSPRDOPT(I136,H136,AQ136,0,O136,N136,P136,D136-$G$5,1,0)*AH136*AU136</f>
        <v>15.596780432860339</v>
      </c>
      <c r="R136" s="135"/>
      <c r="S136" s="181">
        <f t="shared" si="101"/>
        <v>-103887.32783228472</v>
      </c>
      <c r="T136" s="181">
        <f>_xll.xSPRDOPT(I136,H136,AQ136,AT136,O136,N136,P136,D136-$G$5,1,1)*AF136*F136*AH136</f>
        <v>101549.86295605832</v>
      </c>
      <c r="U136" s="135"/>
      <c r="V136" s="146">
        <f t="shared" si="102"/>
        <v>6.4077422174161507</v>
      </c>
      <c r="W136" s="146"/>
      <c r="X136" s="338">
        <f t="shared" si="103"/>
        <v>0</v>
      </c>
      <c r="Y136" s="338">
        <f t="shared" si="79"/>
        <v>0</v>
      </c>
      <c r="Z136" s="338">
        <f t="shared" si="80"/>
        <v>45.623487113700264</v>
      </c>
      <c r="AA136" s="338">
        <f t="shared" si="81"/>
        <v>-6.9567870970795521E-8</v>
      </c>
      <c r="AB136" s="338">
        <f t="shared" si="104"/>
        <v>0</v>
      </c>
      <c r="AC136" s="338">
        <f t="shared" si="105"/>
        <v>46.319900891020659</v>
      </c>
      <c r="AF136" s="138">
        <f t="shared" si="106"/>
        <v>1</v>
      </c>
      <c r="AG136" s="138">
        <f t="shared" si="107"/>
        <v>7</v>
      </c>
      <c r="AH136" s="138">
        <f t="shared" si="82"/>
        <v>31</v>
      </c>
      <c r="AI136" s="138">
        <f t="shared" si="108"/>
        <v>3483</v>
      </c>
      <c r="AJ136" s="138">
        <f t="shared" si="109"/>
        <v>3500</v>
      </c>
      <c r="AL136" s="136">
        <f t="shared" si="83"/>
        <v>3.8245</v>
      </c>
      <c r="AM136" s="258">
        <f t="shared" si="84"/>
        <v>1.7500000000000002E-2</v>
      </c>
      <c r="AN136" s="258">
        <f t="shared" si="85"/>
        <v>0.01</v>
      </c>
      <c r="AO136" s="258">
        <f t="shared" si="86"/>
        <v>1.05</v>
      </c>
      <c r="AP136" s="258">
        <f t="shared" si="87"/>
        <v>0</v>
      </c>
      <c r="AQ136" s="136">
        <f t="shared" si="110"/>
        <v>3.6400000000000002E-2</v>
      </c>
      <c r="AR136" s="137">
        <f t="shared" si="88"/>
        <v>2.2499999999999999E-2</v>
      </c>
      <c r="AS136" s="136">
        <f t="shared" si="111"/>
        <v>3.8519999999999999</v>
      </c>
      <c r="AT136" s="137">
        <f t="shared" si="112"/>
        <v>6.1366793865550703E-2</v>
      </c>
      <c r="AU136" s="137">
        <f t="shared" si="89"/>
        <v>0.56062208259325708</v>
      </c>
      <c r="AV136" s="394">
        <f t="shared" si="113"/>
        <v>2363.5827002131718</v>
      </c>
      <c r="AW136" s="137">
        <f t="shared" si="90"/>
        <v>0.18</v>
      </c>
      <c r="AX136" s="137">
        <f t="shared" si="91"/>
        <v>0.5</v>
      </c>
      <c r="AY136" s="137">
        <f t="shared" si="92"/>
        <v>0.5</v>
      </c>
      <c r="AZ136" s="137"/>
      <c r="BA136" s="264"/>
      <c r="BB136" s="258">
        <f t="shared" si="93"/>
        <v>0</v>
      </c>
      <c r="BC136" s="258">
        <f t="shared" si="114"/>
        <v>0</v>
      </c>
      <c r="BD136" s="137">
        <f t="shared" si="115"/>
        <v>2.2610439977810426E-6</v>
      </c>
      <c r="BE136" s="137">
        <f t="shared" si="116"/>
        <v>2.2610439977810426E-6</v>
      </c>
      <c r="BF136" s="137">
        <f>_xll.xSPRDOPT($BW136,$BV136,$CG136,0,$BY136,$BX136,$BZ136,$AJ136,1,4)*$CB136</f>
        <v>4.0078913538686199E-7</v>
      </c>
      <c r="BG136" s="137">
        <f>_xll.xSPRDOPT($BW136,$BV136,$CG136,0,$BY136,$BX136,$BZ136,$AJ136,1,3)*$CB136</f>
        <v>6.6798189231143671E-7</v>
      </c>
      <c r="BH136" s="137">
        <f>IF(OR(BF136&lt;&gt;0,BG136&lt;&gt;0),_xll.xSPRDOPT($BW136,$BV136,$CG136,0,$BY136,$BX136,$BZ136,$AJ136,1,12)*$CB136,0)</f>
        <v>-4.6758732461800567E-7</v>
      </c>
      <c r="BI136" s="137">
        <f>_xll.xSPRDOPT($BW136,$BV136,$CG136,2*LN(1+CA136/2),$BY136,$BX136,$BZ136,$AJ136,1,9)</f>
        <v>3.0395685551413212E-2</v>
      </c>
      <c r="BJ136" s="137">
        <f>_xll.xSPRDOPT($BW136,$BV136,$CG136,0,$BY136,$BX136,$BZ136,$AJ136,1,6)*$CB136</f>
        <v>7.1047311969173731E-7</v>
      </c>
      <c r="BK136" s="137">
        <f>_xll.xSPRDOPT($BW136,$BV136,$CG136,0,$BY136,$BX136,$BZ136,$AJ136,1,5)*$CB136</f>
        <v>-8.7883904284229202E-7</v>
      </c>
      <c r="BL136" s="137">
        <f>_xll.xSPRDOPT(BW136,BV136,CG136,0,BY136,BX136,BZ136,AJ136,1,2)*CB136</f>
        <v>-0.56034387934183227</v>
      </c>
      <c r="BM136" s="137">
        <f>_xll.xSPRDOPT(BW136,BV136,CG136,0,BY136,BX136,BZ136,AJ136,1,1)*CB136</f>
        <v>0.56034387934489005</v>
      </c>
      <c r="BN136" s="137">
        <f>IF(AH136&lt;&gt;0,_xll.xSPRDOPT($BW136,$BV136,$CG136,2*LN(1+CA136/2),$BY136,$BX136,$BZ136,$AJ136,1,8)+(AJ136/365.25)*CH136/AH136,0)</f>
        <v>-2.8390338665810906</v>
      </c>
      <c r="BO136" s="137">
        <f>_xll.xSPRDOPT($BW136,$BV136,$CG136,0,$BY136,$BX136,$BZ136,$AJ136,1,0)</f>
        <v>0.8974351261852237</v>
      </c>
      <c r="BP136" s="137"/>
      <c r="BQ136" s="137"/>
      <c r="BR136" s="137"/>
      <c r="BS136" s="137"/>
      <c r="BV136" s="262">
        <v>3.9406649616368283</v>
      </c>
      <c r="BW136" s="136">
        <v>4.8745000000000003</v>
      </c>
      <c r="BX136" s="137">
        <v>0.18265608208833672</v>
      </c>
      <c r="BY136" s="137">
        <v>0.18265608208833672</v>
      </c>
      <c r="BZ136" s="137">
        <v>1</v>
      </c>
      <c r="CA136" s="137">
        <v>6.1366793865550703E-2</v>
      </c>
      <c r="CB136" s="137">
        <v>0.56034382456988563</v>
      </c>
      <c r="CC136" s="258">
        <v>1.7500000000000002E-2</v>
      </c>
      <c r="CD136" s="258">
        <v>0.01</v>
      </c>
      <c r="CE136" s="258">
        <v>1.05</v>
      </c>
      <c r="CF136" s="258">
        <v>0</v>
      </c>
      <c r="CG136" s="258">
        <v>3.6400000000000002E-2</v>
      </c>
      <c r="CH136" s="258">
        <v>6.4045618116864222</v>
      </c>
      <c r="CI136" s="258">
        <v>3.8245</v>
      </c>
      <c r="CJ136" s="258"/>
      <c r="CK136" s="258"/>
      <c r="CL136" s="258"/>
      <c r="CM136" s="258"/>
    </row>
    <row r="137" spans="1:91" x14ac:dyDescent="0.25">
      <c r="A137" s="723"/>
      <c r="B137" s="723"/>
      <c r="D137" s="31">
        <f t="shared" si="94"/>
        <v>40770</v>
      </c>
      <c r="F137" s="28">
        <f t="shared" si="95"/>
        <v>5895</v>
      </c>
      <c r="G137" s="28">
        <f t="shared" si="76"/>
        <v>3284.5959633438938</v>
      </c>
      <c r="H137" s="52">
        <f t="shared" si="96"/>
        <v>3.9764705882352942</v>
      </c>
      <c r="I137" s="52">
        <f t="shared" si="97"/>
        <v>4.9145000000000003</v>
      </c>
      <c r="K137" s="52">
        <f t="shared" si="98"/>
        <v>15.573560324978622</v>
      </c>
      <c r="L137" s="135">
        <f t="shared" si="99"/>
        <v>1.5169813458726367E-6</v>
      </c>
      <c r="N137" s="131">
        <f t="shared" si="77"/>
        <v>0.18326527088534492</v>
      </c>
      <c r="O137" s="131">
        <f t="shared" si="78"/>
        <v>0.18326527088534492</v>
      </c>
      <c r="P137" s="55">
        <f t="shared" si="100"/>
        <v>1</v>
      </c>
      <c r="Q137" s="135">
        <f>_xll.xSPRDOPT(I137,H137,AQ137,0,O137,N137,P137,D137-$G$5,1,0)*AH137*AU137</f>
        <v>15.573561841959968</v>
      </c>
      <c r="R137" s="135"/>
      <c r="S137" s="181">
        <f t="shared" si="101"/>
        <v>-103238.78234968999</v>
      </c>
      <c r="T137" s="181">
        <f>_xll.xSPRDOPT(I137,H137,AQ137,AT137,O137,N137,P137,D137-$G$5,1,1)*AF137*F137*AH137</f>
        <v>100915.90974682197</v>
      </c>
      <c r="U137" s="135"/>
      <c r="V137" s="146">
        <f t="shared" si="102"/>
        <v>6.3684387586482964</v>
      </c>
      <c r="W137" s="146"/>
      <c r="X137" s="338">
        <f t="shared" si="103"/>
        <v>0</v>
      </c>
      <c r="Y137" s="338">
        <f t="shared" si="79"/>
        <v>0</v>
      </c>
      <c r="Z137" s="338">
        <f t="shared" si="80"/>
        <v>45.635314825383688</v>
      </c>
      <c r="AA137" s="338">
        <f t="shared" si="81"/>
        <v>-8.5644358345077382E-8</v>
      </c>
      <c r="AB137" s="338">
        <f t="shared" si="104"/>
        <v>0</v>
      </c>
      <c r="AC137" s="338">
        <f t="shared" si="105"/>
        <v>46.333141518935939</v>
      </c>
      <c r="AF137" s="138">
        <f t="shared" si="106"/>
        <v>1</v>
      </c>
      <c r="AG137" s="138">
        <f t="shared" si="107"/>
        <v>8</v>
      </c>
      <c r="AH137" s="138">
        <f t="shared" si="82"/>
        <v>31</v>
      </c>
      <c r="AI137" s="138">
        <f t="shared" si="108"/>
        <v>3514</v>
      </c>
      <c r="AJ137" s="138">
        <f t="shared" si="109"/>
        <v>3531</v>
      </c>
      <c r="AL137" s="136">
        <f t="shared" si="83"/>
        <v>3.8645</v>
      </c>
      <c r="AM137" s="258">
        <f t="shared" si="84"/>
        <v>1.2500000000000001E-2</v>
      </c>
      <c r="AN137" s="258">
        <f t="shared" si="85"/>
        <v>0.01</v>
      </c>
      <c r="AO137" s="258">
        <f t="shared" si="86"/>
        <v>1.05</v>
      </c>
      <c r="AP137" s="258">
        <f t="shared" si="87"/>
        <v>0</v>
      </c>
      <c r="AQ137" s="136">
        <f t="shared" si="110"/>
        <v>3.6400000000000002E-2</v>
      </c>
      <c r="AR137" s="137">
        <f t="shared" si="88"/>
        <v>2.2499999999999999E-2</v>
      </c>
      <c r="AS137" s="136">
        <f t="shared" si="111"/>
        <v>3.887</v>
      </c>
      <c r="AT137" s="137">
        <f t="shared" si="112"/>
        <v>6.1475906906789397E-2</v>
      </c>
      <c r="AU137" s="137">
        <f t="shared" si="89"/>
        <v>0.55718336952398539</v>
      </c>
      <c r="AV137" s="394">
        <f t="shared" si="113"/>
        <v>2349.0850859131224</v>
      </c>
      <c r="AW137" s="137">
        <f t="shared" si="90"/>
        <v>0.18</v>
      </c>
      <c r="AX137" s="137">
        <f t="shared" si="91"/>
        <v>0.55000000000000004</v>
      </c>
      <c r="AY137" s="137">
        <f t="shared" si="92"/>
        <v>0.55000000000000004</v>
      </c>
      <c r="AZ137" s="137"/>
      <c r="BA137" s="264"/>
      <c r="BB137" s="258">
        <f t="shared" si="93"/>
        <v>0</v>
      </c>
      <c r="BC137" s="258">
        <f t="shared" si="114"/>
        <v>0</v>
      </c>
      <c r="BD137" s="137">
        <f t="shared" si="115"/>
        <v>2.7483704347630589E-6</v>
      </c>
      <c r="BE137" s="137">
        <f t="shared" si="116"/>
        <v>2.7483704347630589E-6</v>
      </c>
      <c r="BF137" s="137">
        <f>_xll.xSPRDOPT($BW137,$BV137,$CG137,0,$BY137,$BX137,$BZ137,$AJ137,1,4)*$CB137</f>
        <v>-1.0622145348219069E-6</v>
      </c>
      <c r="BG137" s="137">
        <f>_xll.xSPRDOPT($BW137,$BV137,$CG137,0,$BY137,$BX137,$BZ137,$AJ137,1,3)*$CB137</f>
        <v>1.327768168527384E-7</v>
      </c>
      <c r="BH137" s="137">
        <f>IF(OR(BF137&lt;&gt;0,BG137&lt;&gt;0),_xll.xSPRDOPT($BW137,$BV137,$CG137,0,$BY137,$BX137,$BZ137,$AJ137,1,12)*$CB137,0)</f>
        <v>1.9916522527910759E-7</v>
      </c>
      <c r="BI137" s="137">
        <f>_xll.xSPRDOPT($BW137,$BV137,$CG137,2*LN(1+CA137/2),$BY137,$BX137,$BZ137,$AJ137,1,9)</f>
        <v>3.0403565514736181E-2</v>
      </c>
      <c r="BJ137" s="137">
        <f>_xll.xSPRDOPT($BW137,$BV137,$CG137,0,$BY137,$BX137,$BZ137,$AJ137,1,6)*$CB137</f>
        <v>7.2289127276428163E-7</v>
      </c>
      <c r="BK137" s="137">
        <f>_xll.xSPRDOPT($BW137,$BV137,$CG137,0,$BY137,$BX137,$BZ137,$AJ137,1,5)*$CB137</f>
        <v>-8.9341231901673335E-7</v>
      </c>
      <c r="BL137" s="137">
        <f>_xll.xSPRDOPT(BW137,BV137,CG137,0,BY137,BX137,BZ137,AJ137,1,2)*CB137</f>
        <v>-0.55690638821033345</v>
      </c>
      <c r="BM137" s="137">
        <f>_xll.xSPRDOPT(BW137,BV137,CG137,0,BY137,BX137,BZ137,AJ137,1,1)*CB137</f>
        <v>0.55690638820932048</v>
      </c>
      <c r="BN137" s="137">
        <f>IF(AH137&lt;&gt;0,_xll.xSPRDOPT($BW137,$BV137,$CG137,2*LN(1+CA137/2),$BY137,$BX137,$BZ137,$AJ137,1,8)+(AJ137/365.25)*CH137/AH137,0)</f>
        <v>-2.8691906773097271</v>
      </c>
      <c r="BO137" s="137">
        <f>_xll.xSPRDOPT($BW137,$BV137,$CG137,0,$BY137,$BX137,$BZ137,$AJ137,1,0)</f>
        <v>0.90162949956716398</v>
      </c>
      <c r="BP137" s="137"/>
      <c r="BQ137" s="137"/>
      <c r="BR137" s="137"/>
      <c r="BS137" s="137"/>
      <c r="BV137" s="262">
        <v>3.9764705882352942</v>
      </c>
      <c r="BW137" s="136">
        <v>4.9145000000000003</v>
      </c>
      <c r="BX137" s="137">
        <v>0.18326252251491015</v>
      </c>
      <c r="BY137" s="137">
        <v>0.18326252251491015</v>
      </c>
      <c r="BZ137" s="137">
        <v>1</v>
      </c>
      <c r="CA137" s="137">
        <v>6.1475906906789397E-2</v>
      </c>
      <c r="CB137" s="137">
        <v>0.55690633403270806</v>
      </c>
      <c r="CC137" s="258">
        <v>1.2500000000000001E-2</v>
      </c>
      <c r="CD137" s="258">
        <v>0.01</v>
      </c>
      <c r="CE137" s="258">
        <v>1.05</v>
      </c>
      <c r="CF137" s="258">
        <v>0</v>
      </c>
      <c r="CG137" s="258">
        <v>3.6400000000000002E-2</v>
      </c>
      <c r="CH137" s="258">
        <v>6.3652723260936437</v>
      </c>
      <c r="CI137" s="258">
        <v>3.8645</v>
      </c>
      <c r="CJ137" s="258"/>
      <c r="CK137" s="258"/>
      <c r="CL137" s="258"/>
      <c r="CM137" s="258"/>
    </row>
    <row r="138" spans="1:91" x14ac:dyDescent="0.25">
      <c r="A138" s="723"/>
      <c r="B138" s="723"/>
      <c r="D138" s="31">
        <f t="shared" si="94"/>
        <v>40801</v>
      </c>
      <c r="F138" s="28">
        <f t="shared" si="95"/>
        <v>5895</v>
      </c>
      <c r="G138" s="28">
        <f t="shared" si="76"/>
        <v>3264.3906056491269</v>
      </c>
      <c r="H138" s="52">
        <f t="shared" si="96"/>
        <v>3.9713554987212274</v>
      </c>
      <c r="I138" s="52">
        <f t="shared" si="97"/>
        <v>4.6095000000000006</v>
      </c>
      <c r="K138" s="52">
        <f t="shared" si="98"/>
        <v>9.9965857352440022</v>
      </c>
      <c r="L138" s="135">
        <f t="shared" si="99"/>
        <v>1.0354668038559112E-6</v>
      </c>
      <c r="N138" s="131">
        <f t="shared" si="77"/>
        <v>0.18313399956794699</v>
      </c>
      <c r="O138" s="131">
        <f t="shared" si="78"/>
        <v>0.18313399956794699</v>
      </c>
      <c r="P138" s="55">
        <f t="shared" si="100"/>
        <v>0.99999999999999989</v>
      </c>
      <c r="Q138" s="135">
        <f>_xll.xSPRDOPT(I138,H138,AQ138,0,O138,N138,P138,D138-$G$5,1,0)*AH138*AU138</f>
        <v>9.996586770710806</v>
      </c>
      <c r="R138" s="135"/>
      <c r="S138" s="181">
        <f t="shared" si="101"/>
        <v>-99282.94545546548</v>
      </c>
      <c r="T138" s="181">
        <f>_xll.xSPRDOPT(I138,H138,AQ138,AT138,O138,N138,P138,D138-$G$5,1,1)*AF138*F138*AH138</f>
        <v>97049.079182717513</v>
      </c>
      <c r="U138" s="135"/>
      <c r="V138" s="146">
        <f t="shared" si="102"/>
        <v>6.1250932127370641</v>
      </c>
      <c r="W138" s="146"/>
      <c r="X138" s="338">
        <f t="shared" si="103"/>
        <v>0</v>
      </c>
      <c r="Y138" s="338">
        <f t="shared" si="79"/>
        <v>0</v>
      </c>
      <c r="Z138" s="338">
        <f t="shared" si="80"/>
        <v>29.344245933156405</v>
      </c>
      <c r="AA138" s="338">
        <f t="shared" si="81"/>
        <v>1.7349180161376867E-7</v>
      </c>
      <c r="AB138" s="338">
        <f t="shared" si="104"/>
        <v>0</v>
      </c>
      <c r="AC138" s="338">
        <f t="shared" si="105"/>
        <v>29.793759002734227</v>
      </c>
      <c r="AF138" s="138">
        <f t="shared" si="106"/>
        <v>1</v>
      </c>
      <c r="AG138" s="138">
        <f t="shared" si="107"/>
        <v>9</v>
      </c>
      <c r="AH138" s="138">
        <f t="shared" si="82"/>
        <v>30</v>
      </c>
      <c r="AI138" s="138">
        <f t="shared" si="108"/>
        <v>3545</v>
      </c>
      <c r="AJ138" s="138">
        <f t="shared" si="109"/>
        <v>3562</v>
      </c>
      <c r="AL138" s="136">
        <f t="shared" si="83"/>
        <v>3.8595000000000002</v>
      </c>
      <c r="AM138" s="258">
        <f t="shared" si="84"/>
        <v>1.2500000000000001E-2</v>
      </c>
      <c r="AN138" s="258">
        <f t="shared" si="85"/>
        <v>0.01</v>
      </c>
      <c r="AO138" s="258">
        <f t="shared" si="86"/>
        <v>0.75</v>
      </c>
      <c r="AP138" s="258">
        <f t="shared" si="87"/>
        <v>0</v>
      </c>
      <c r="AQ138" s="136">
        <f t="shared" si="110"/>
        <v>3.6400000000000002E-2</v>
      </c>
      <c r="AR138" s="137">
        <f t="shared" si="88"/>
        <v>2.2499999999999999E-2</v>
      </c>
      <c r="AS138" s="136">
        <f t="shared" si="111"/>
        <v>3.8820000000000001</v>
      </c>
      <c r="AT138" s="137">
        <f t="shared" si="112"/>
        <v>6.1585019951980499E-2</v>
      </c>
      <c r="AU138" s="137">
        <f t="shared" si="89"/>
        <v>0.55375582793030143</v>
      </c>
      <c r="AV138" s="394">
        <f t="shared" si="113"/>
        <v>2259.3237779556298</v>
      </c>
      <c r="AW138" s="137">
        <f t="shared" si="90"/>
        <v>0.18</v>
      </c>
      <c r="AX138" s="137">
        <f t="shared" si="91"/>
        <v>0.55000000000000004</v>
      </c>
      <c r="AY138" s="137">
        <f t="shared" si="92"/>
        <v>0.55000000000000004</v>
      </c>
      <c r="AZ138" s="137"/>
      <c r="BA138" s="264"/>
      <c r="BB138" s="258">
        <f t="shared" si="93"/>
        <v>0</v>
      </c>
      <c r="BC138" s="258">
        <f t="shared" si="114"/>
        <v>0</v>
      </c>
      <c r="BD138" s="137">
        <f t="shared" si="115"/>
        <v>2.6162268822460533E-6</v>
      </c>
      <c r="BE138" s="137">
        <f t="shared" si="116"/>
        <v>2.6162268822460533E-6</v>
      </c>
      <c r="BF138" s="137">
        <f>_xll.xSPRDOPT($BW138,$BV138,$CG138,0,$BY138,$BX138,$BZ138,$AJ138,1,4)*$CB138</f>
        <v>-9.2371943184566755E-7</v>
      </c>
      <c r="BG138" s="137">
        <f>_xll.xSPRDOPT($BW138,$BV138,$CG138,0,$BY138,$BX138,$BZ138,$AJ138,1,3)*$CB138</f>
        <v>-6.5979959417547677E-7</v>
      </c>
      <c r="BH138" s="137">
        <f>IF(OR(BF138&lt;&gt;0,BG138&lt;&gt;0),_xll.xSPRDOPT($BW138,$BV138,$CG138,0,$BY138,$BX138,$BZ138,$AJ138,1,12)*$CB138,0)</f>
        <v>1.9793987825264305E-7</v>
      </c>
      <c r="BI138" s="137">
        <f>_xll.xSPRDOPT($BW138,$BV138,$CG138,2*LN(1+CA138/2),$BY138,$BX138,$BZ138,$AJ138,1,9)</f>
        <v>2.0201650790849828E-2</v>
      </c>
      <c r="BJ138" s="137">
        <f>_xll.xSPRDOPT($BW138,$BV138,$CG138,0,$BY138,$BX138,$BZ138,$AJ138,1,6)*$CB138</f>
        <v>-2.3335755386521497E-6</v>
      </c>
      <c r="BK138" s="137">
        <f>_xll.xSPRDOPT($BW138,$BV138,$CG138,0,$BY138,$BX138,$BZ138,$AJ138,1,5)*$CB138</f>
        <v>2.7085472362811919E-6</v>
      </c>
      <c r="BL138" s="137">
        <f>_xll.xSPRDOPT(BW138,BV138,CG138,0,BY138,BX138,BZ138,AJ138,1,2)*CB138</f>
        <v>-0.5534800235897569</v>
      </c>
      <c r="BM138" s="137">
        <f>_xll.xSPRDOPT(BW138,BV138,CG138,0,BY138,BX138,BZ138,AJ138,1,1)*CB138</f>
        <v>0.55348002358875004</v>
      </c>
      <c r="BN138" s="137">
        <f>IF(AH138&lt;&gt;0,_xll.xSPRDOPT($BW138,$BV138,$CG138,2*LN(1+CA138/2),$BY138,$BX138,$BZ138,$AJ138,1,8)+(AJ138/365.25)*CH138/AH138,0)</f>
        <v>-1.2578956384309388</v>
      </c>
      <c r="BO138" s="137">
        <f>_xll.xSPRDOPT($BW138,$BV138,$CG138,0,$BY138,$BX138,$BZ138,$AJ138,1,0)</f>
        <v>0.60174456365923057</v>
      </c>
      <c r="BP138" s="137"/>
      <c r="BQ138" s="137"/>
      <c r="BR138" s="137"/>
      <c r="BS138" s="137"/>
      <c r="BV138" s="262">
        <v>3.9713554987212274</v>
      </c>
      <c r="BW138" s="136">
        <v>4.6095000000000006</v>
      </c>
      <c r="BX138" s="137">
        <v>0.18313138334106474</v>
      </c>
      <c r="BY138" s="137">
        <v>0.18313138334106474</v>
      </c>
      <c r="BZ138" s="137">
        <v>1</v>
      </c>
      <c r="CA138" s="137">
        <v>6.1585019951980499E-2</v>
      </c>
      <c r="CB138" s="137">
        <v>0.55348001540971581</v>
      </c>
      <c r="CC138" s="258">
        <v>1.2500000000000001E-2</v>
      </c>
      <c r="CD138" s="258">
        <v>0.01</v>
      </c>
      <c r="CE138" s="258">
        <v>0.75</v>
      </c>
      <c r="CF138" s="258">
        <v>0</v>
      </c>
      <c r="CG138" s="258">
        <v>3.6400000000000002E-2</v>
      </c>
      <c r="CH138" s="258">
        <v>6.1220424504468669</v>
      </c>
      <c r="CI138" s="258">
        <v>3.8595000000000002</v>
      </c>
      <c r="CJ138" s="258"/>
      <c r="CK138" s="258"/>
      <c r="CL138" s="258"/>
      <c r="CM138" s="258"/>
    </row>
    <row r="139" spans="1:91" x14ac:dyDescent="0.25">
      <c r="A139" s="723"/>
      <c r="B139" s="723"/>
      <c r="D139" s="31">
        <f t="shared" si="94"/>
        <v>40831</v>
      </c>
      <c r="F139" s="28">
        <f t="shared" si="95"/>
        <v>6669</v>
      </c>
      <c r="G139" s="28">
        <f t="shared" si="76"/>
        <v>3670.9479839865271</v>
      </c>
      <c r="H139" s="52">
        <f t="shared" si="96"/>
        <v>4.0046153846153842</v>
      </c>
      <c r="I139" s="52">
        <f t="shared" si="97"/>
        <v>4.3345000000000002</v>
      </c>
      <c r="K139" s="52">
        <f t="shared" si="98"/>
        <v>5.0080026199570762</v>
      </c>
      <c r="L139" s="135">
        <f t="shared" si="99"/>
        <v>1.6266956108346164E-5</v>
      </c>
      <c r="N139" s="131">
        <f t="shared" si="77"/>
        <v>0.18388646497530495</v>
      </c>
      <c r="O139" s="131">
        <f t="shared" si="78"/>
        <v>0.18388646497530495</v>
      </c>
      <c r="P139" s="55">
        <f t="shared" si="100"/>
        <v>1</v>
      </c>
      <c r="Q139" s="135">
        <f>_xll.xSPRDOPT(I139,H139,AQ139,0,O139,N139,P139,D139-$G$5,1,0)*AH139*AU139</f>
        <v>5.0080188869131845</v>
      </c>
      <c r="R139" s="135"/>
      <c r="S139" s="181">
        <f t="shared" si="101"/>
        <v>-115649.79901525431</v>
      </c>
      <c r="T139" s="181">
        <f>_xll.xSPRDOPT(I139,H139,AQ139,AT139,O139,N139,P139,D139-$G$5,1,1)*AF139*F139*AH139</f>
        <v>112758.55403987295</v>
      </c>
      <c r="U139" s="135"/>
      <c r="V139" s="146">
        <f t="shared" si="102"/>
        <v>6.2914731102970176</v>
      </c>
      <c r="W139" s="146"/>
      <c r="X139" s="338">
        <f t="shared" si="103"/>
        <v>0</v>
      </c>
      <c r="Y139" s="338">
        <f t="shared" si="79"/>
        <v>0</v>
      </c>
      <c r="Z139" s="338">
        <f t="shared" si="80"/>
        <v>16.657857716955597</v>
      </c>
      <c r="AA139" s="338">
        <f t="shared" si="81"/>
        <v>4.406378928241286E-5</v>
      </c>
      <c r="AB139" s="338">
        <f t="shared" si="104"/>
        <v>0</v>
      </c>
      <c r="AC139" s="338">
        <f t="shared" si="105"/>
        <v>16.914535469176002</v>
      </c>
      <c r="AF139" s="138">
        <f t="shared" si="106"/>
        <v>1</v>
      </c>
      <c r="AG139" s="138">
        <f t="shared" si="107"/>
        <v>10</v>
      </c>
      <c r="AH139" s="138">
        <f t="shared" si="82"/>
        <v>31</v>
      </c>
      <c r="AI139" s="138">
        <f t="shared" si="108"/>
        <v>3575</v>
      </c>
      <c r="AJ139" s="138">
        <f t="shared" si="109"/>
        <v>3592</v>
      </c>
      <c r="AL139" s="136">
        <f t="shared" si="83"/>
        <v>3.8845000000000001</v>
      </c>
      <c r="AM139" s="258">
        <f t="shared" si="84"/>
        <v>0.01</v>
      </c>
      <c r="AN139" s="258">
        <f t="shared" si="85"/>
        <v>0.01</v>
      </c>
      <c r="AO139" s="258">
        <f t="shared" si="86"/>
        <v>0.45</v>
      </c>
      <c r="AP139" s="258">
        <f t="shared" si="87"/>
        <v>0</v>
      </c>
      <c r="AQ139" s="136">
        <f t="shared" si="110"/>
        <v>3.6400000000000002E-2</v>
      </c>
      <c r="AR139" s="137">
        <f t="shared" si="88"/>
        <v>2.5000000000000001E-2</v>
      </c>
      <c r="AS139" s="136">
        <f t="shared" si="111"/>
        <v>3.9044999999999996</v>
      </c>
      <c r="AT139" s="137">
        <f t="shared" si="112"/>
        <v>6.1690613225283901E-2</v>
      </c>
      <c r="AU139" s="137">
        <f t="shared" si="89"/>
        <v>0.55044954025888848</v>
      </c>
      <c r="AV139" s="394">
        <f t="shared" si="113"/>
        <v>2917.9330129123678</v>
      </c>
      <c r="AW139" s="137">
        <f t="shared" si="90"/>
        <v>0.18</v>
      </c>
      <c r="AX139" s="137">
        <f t="shared" si="91"/>
        <v>0.6</v>
      </c>
      <c r="AY139" s="137">
        <f t="shared" si="92"/>
        <v>0.6</v>
      </c>
      <c r="AZ139" s="137"/>
      <c r="BA139" s="264"/>
      <c r="BB139" s="258">
        <f t="shared" si="93"/>
        <v>0</v>
      </c>
      <c r="BC139" s="258">
        <f t="shared" si="114"/>
        <v>0</v>
      </c>
      <c r="BD139" s="137">
        <f t="shared" si="115"/>
        <v>3.2103197977750852E-6</v>
      </c>
      <c r="BE139" s="137">
        <f t="shared" si="116"/>
        <v>3.2103197977750852E-6</v>
      </c>
      <c r="BF139" s="137">
        <f>_xll.xSPRDOPT($BW139,$BV139,$CG139,0,$BY139,$BX139,$BZ139,$AJ139,1,4)*$CB139</f>
        <v>-5.2468768274539199E-7</v>
      </c>
      <c r="BG139" s="137">
        <f>_xll.xSPRDOPT($BW139,$BV139,$CG139,0,$BY139,$BX139,$BZ139,$AJ139,1,3)*$CB139</f>
        <v>-6.5585960343173993E-7</v>
      </c>
      <c r="BH139" s="137">
        <f>IF(OR(BF139&lt;&gt;0,BG139&lt;&gt;0),_xll.xSPRDOPT($BW139,$BV139,$CG139,0,$BY139,$BX139,$BZ139,$AJ139,1,12)*$CB139,0)</f>
        <v>6.5585960343173993E-7</v>
      </c>
      <c r="BI139" s="137">
        <f>_xll.xSPRDOPT($BW139,$BV139,$CG139,2*LN(1+CA139/2),$BY139,$BX139,$BZ139,$AJ139,1,9)</f>
        <v>9.8099254472515766E-3</v>
      </c>
      <c r="BJ139" s="137">
        <f>_xll.xSPRDOPT($BW139,$BV139,$CG139,0,$BY139,$BX139,$BZ139,$AJ139,1,6)*$CB139</f>
        <v>-8.0595327248662635E-4</v>
      </c>
      <c r="BK139" s="137">
        <f>_xll.xSPRDOPT($BW139,$BV139,$CG139,0,$BY139,$BX139,$BZ139,$AJ139,1,5)*$CB139</f>
        <v>8.7234456650111744E-4</v>
      </c>
      <c r="BL139" s="137">
        <f>_xll.xSPRDOPT(BW139,BV139,CG139,0,BY139,BX139,BZ139,AJ139,1,2)*CB139</f>
        <v>-0.55015991588387392</v>
      </c>
      <c r="BM139" s="137">
        <f>_xll.xSPRDOPT(BW139,BV139,CG139,0,BY139,BX139,BZ139,AJ139,1,1)*CB139</f>
        <v>0.55015991587786939</v>
      </c>
      <c r="BN139" s="137">
        <f>IF(AH139&lt;&gt;0,_xll.xSPRDOPT($BW139,$BV139,$CG139,2*LN(1+CA139/2),$BY139,$BX139,$BZ139,$AJ139,1,8)+(AJ139/365.25)*CH139/AH139,0)</f>
        <v>0.4069565198438001</v>
      </c>
      <c r="BO139" s="137">
        <f>_xll.xSPRDOPT($BW139,$BV139,$CG139,0,$BY139,$BX139,$BZ139,$AJ139,1,0)</f>
        <v>0.29348557756428972</v>
      </c>
      <c r="BP139" s="137"/>
      <c r="BQ139" s="137"/>
      <c r="BR139" s="137"/>
      <c r="BS139" s="137"/>
      <c r="BV139" s="262">
        <v>4.0046153846153842</v>
      </c>
      <c r="BW139" s="136">
        <v>4.3345000000000002</v>
      </c>
      <c r="BX139" s="137">
        <v>0.18388325465550717</v>
      </c>
      <c r="BY139" s="137">
        <v>0.18388325465550717</v>
      </c>
      <c r="BZ139" s="137">
        <v>1</v>
      </c>
      <c r="CA139" s="137">
        <v>6.1690613225283901E-2</v>
      </c>
      <c r="CB139" s="137">
        <v>0.55017491162243215</v>
      </c>
      <c r="CC139" s="258">
        <v>0.01</v>
      </c>
      <c r="CD139" s="258">
        <v>0.01</v>
      </c>
      <c r="CE139" s="258">
        <v>0.45</v>
      </c>
      <c r="CF139" s="258">
        <v>0</v>
      </c>
      <c r="CG139" s="258">
        <v>3.6400000000000002E-2</v>
      </c>
      <c r="CH139" s="258">
        <v>6.2883341873709133</v>
      </c>
      <c r="CI139" s="258">
        <v>3.8845000000000001</v>
      </c>
      <c r="CJ139" s="258"/>
      <c r="CK139" s="258"/>
      <c r="CL139" s="258"/>
      <c r="CM139" s="258"/>
    </row>
    <row r="140" spans="1:91" x14ac:dyDescent="0.25">
      <c r="A140" s="723"/>
      <c r="B140" s="723"/>
      <c r="D140" s="31">
        <f t="shared" si="94"/>
        <v>40862</v>
      </c>
      <c r="F140" s="28">
        <f t="shared" si="95"/>
        <v>11107</v>
      </c>
      <c r="G140" s="28">
        <f t="shared" si="76"/>
        <v>6076.0192569321071</v>
      </c>
      <c r="H140" s="52">
        <f t="shared" si="96"/>
        <v>4.1483375959079289</v>
      </c>
      <c r="I140" s="52">
        <f t="shared" si="97"/>
        <v>4.4865000000000004</v>
      </c>
      <c r="K140" s="52">
        <f t="shared" si="98"/>
        <v>4.9523206399969952</v>
      </c>
      <c r="L140" s="135">
        <f t="shared" si="99"/>
        <v>1.9434057168865593E-5</v>
      </c>
      <c r="N140" s="131">
        <f t="shared" si="77"/>
        <v>0.18686086871919472</v>
      </c>
      <c r="O140" s="131">
        <f t="shared" si="78"/>
        <v>0.18686086871919472</v>
      </c>
      <c r="P140" s="55">
        <f t="shared" si="100"/>
        <v>1</v>
      </c>
      <c r="Q140" s="135">
        <f>_xll.xSPRDOPT(I140,H140,AQ140,0,O140,N140,P140,D140-$G$5,1,0)*AH140*AU140</f>
        <v>4.9523400740541641</v>
      </c>
      <c r="R140" s="135"/>
      <c r="S140" s="181">
        <f t="shared" si="101"/>
        <v>-184750.38841220204</v>
      </c>
      <c r="T140" s="181">
        <f>_xll.xSPRDOPT(I140,H140,AQ140,AT140,O140,N140,P140,D140-$G$5,1,1)*AF140*F140*AH140</f>
        <v>180593.50467292749</v>
      </c>
      <c r="U140" s="135"/>
      <c r="V140" s="146">
        <f t="shared" si="102"/>
        <v>6.0508552265171538</v>
      </c>
      <c r="W140" s="146"/>
      <c r="X140" s="338">
        <f t="shared" si="103"/>
        <v>0</v>
      </c>
      <c r="Y140" s="338">
        <f t="shared" si="79"/>
        <v>0</v>
      </c>
      <c r="Z140" s="338">
        <f t="shared" si="80"/>
        <v>27.48250688894219</v>
      </c>
      <c r="AA140" s="338">
        <f t="shared" si="81"/>
        <v>1.2027457975766072E-4</v>
      </c>
      <c r="AB140" s="338">
        <f t="shared" si="104"/>
        <v>0</v>
      </c>
      <c r="AC140" s="338">
        <f t="shared" si="105"/>
        <v>27.90665073291343</v>
      </c>
      <c r="AF140" s="138">
        <f t="shared" si="106"/>
        <v>1</v>
      </c>
      <c r="AG140" s="138">
        <f t="shared" si="107"/>
        <v>11</v>
      </c>
      <c r="AH140" s="138">
        <f t="shared" si="82"/>
        <v>30</v>
      </c>
      <c r="AI140" s="138">
        <f t="shared" si="108"/>
        <v>3606</v>
      </c>
      <c r="AJ140" s="138">
        <f t="shared" si="109"/>
        <v>3623</v>
      </c>
      <c r="AL140" s="136">
        <f t="shared" si="83"/>
        <v>4.0365000000000002</v>
      </c>
      <c r="AM140" s="258">
        <f t="shared" si="84"/>
        <v>1.0999999999999999E-2</v>
      </c>
      <c r="AN140" s="258">
        <f t="shared" si="85"/>
        <v>7.4999999999999997E-3</v>
      </c>
      <c r="AO140" s="258">
        <f t="shared" si="86"/>
        <v>0.45</v>
      </c>
      <c r="AP140" s="258">
        <f t="shared" si="87"/>
        <v>0</v>
      </c>
      <c r="AQ140" s="136">
        <f t="shared" si="110"/>
        <v>3.6400000000000002E-2</v>
      </c>
      <c r="AR140" s="137">
        <f t="shared" si="88"/>
        <v>2.2499999999999999E-2</v>
      </c>
      <c r="AS140" s="136">
        <f t="shared" si="111"/>
        <v>4.0550000000000006</v>
      </c>
      <c r="AT140" s="137">
        <f t="shared" si="112"/>
        <v>6.1799726278253198E-2</v>
      </c>
      <c r="AU140" s="137">
        <f t="shared" si="89"/>
        <v>0.54704413945548813</v>
      </c>
      <c r="AV140" s="394">
        <f t="shared" si="113"/>
        <v>4201.2989910181486</v>
      </c>
      <c r="AW140" s="137">
        <f t="shared" si="90"/>
        <v>0.18</v>
      </c>
      <c r="AX140" s="137">
        <f t="shared" si="91"/>
        <v>0.8</v>
      </c>
      <c r="AY140" s="137">
        <f t="shared" si="92"/>
        <v>0.8</v>
      </c>
      <c r="AZ140" s="137"/>
      <c r="BA140" s="264"/>
      <c r="BB140" s="258">
        <f t="shared" si="93"/>
        <v>0</v>
      </c>
      <c r="BC140" s="258">
        <f t="shared" si="114"/>
        <v>0</v>
      </c>
      <c r="BD140" s="137">
        <f t="shared" si="115"/>
        <v>5.5753442098627204E-6</v>
      </c>
      <c r="BE140" s="137">
        <f t="shared" si="116"/>
        <v>5.5753442098627204E-6</v>
      </c>
      <c r="BF140" s="137">
        <f>_xll.xSPRDOPT($BW140,$BV140,$CG140,0,$BY140,$BX140,$BZ140,$AJ140,1,4)*$CB140</f>
        <v>2.6072060322151456E-7</v>
      </c>
      <c r="BG140" s="137">
        <f>_xll.xSPRDOPT($BW140,$BV140,$CG140,0,$BY140,$BX140,$BZ140,$AJ140,1,3)*$CB140</f>
        <v>6.518015080537864E-7</v>
      </c>
      <c r="BH140" s="137">
        <f>IF(OR(BF140&lt;&gt;0,BG140&lt;&gt;0),_xll.xSPRDOPT($BW140,$BV140,$CG140,0,$BY140,$BX140,$BZ140,$AJ140,1,12)*$CB140,0)</f>
        <v>-8.14751885067233E-7</v>
      </c>
      <c r="BI140" s="137">
        <f>_xll.xSPRDOPT($BW140,$BV140,$CG140,2*LN(1+CA140/2),$BY140,$BX140,$BZ140,$AJ140,1,9)</f>
        <v>1.004170107058225E-2</v>
      </c>
      <c r="BJ140" s="137">
        <f>_xll.xSPRDOPT($BW140,$BV140,$CG140,0,$BY140,$BX140,$BZ140,$AJ140,1,6)*$CB140</f>
        <v>-7.942054248611174E-4</v>
      </c>
      <c r="BK140" s="137">
        <f>_xll.xSPRDOPT($BW140,$BV140,$CG140,0,$BY140,$BX140,$BZ140,$AJ140,1,5)*$CB140</f>
        <v>8.5894713046434049E-4</v>
      </c>
      <c r="BL140" s="137">
        <f>_xll.xSPRDOPT(BW140,BV140,CG140,0,BY140,BX140,BZ140,AJ140,1,2)*CB140</f>
        <v>-0.54675656903658376</v>
      </c>
      <c r="BM140" s="137">
        <f>_xll.xSPRDOPT(BW140,BV140,CG140,0,BY140,BX140,BZ140,AJ140,1,1)*CB140</f>
        <v>0.54675656904652947</v>
      </c>
      <c r="BN140" s="137">
        <f>IF(AH140&lt;&gt;0,_xll.xSPRDOPT($BW140,$BV140,$CG140,2*LN(1+CA140/2),$BY140,$BX140,$BZ140,$AJ140,1,8)+(AJ140/365.25)*CH140/AH140,0)</f>
        <v>0.36303269756938916</v>
      </c>
      <c r="BO140" s="137">
        <f>_xll.xSPRDOPT($BW140,$BV140,$CG140,0,$BY140,$BX140,$BZ140,$AJ140,1,0)</f>
        <v>0.30176359678403897</v>
      </c>
      <c r="BP140" s="137"/>
      <c r="BQ140" s="137"/>
      <c r="BR140" s="137"/>
      <c r="BS140" s="137"/>
      <c r="BV140" s="262">
        <v>4.1483375959079289</v>
      </c>
      <c r="BW140" s="136">
        <v>4.4865000000000004</v>
      </c>
      <c r="BX140" s="137">
        <v>0.18685529337498485</v>
      </c>
      <c r="BY140" s="137">
        <v>0.18685529337498485</v>
      </c>
      <c r="BZ140" s="137">
        <v>1</v>
      </c>
      <c r="CA140" s="137">
        <v>6.1799726278253198E-2</v>
      </c>
      <c r="CB140" s="137">
        <v>0.5467707344872057</v>
      </c>
      <c r="CC140" s="258">
        <v>1.0999999999999999E-2</v>
      </c>
      <c r="CD140" s="258">
        <v>7.4999999999999997E-3</v>
      </c>
      <c r="CE140" s="258">
        <v>0.45</v>
      </c>
      <c r="CF140" s="258">
        <v>0</v>
      </c>
      <c r="CG140" s="258">
        <v>3.6400000000000002E-2</v>
      </c>
      <c r="CH140" s="258">
        <v>6.0478310941629818</v>
      </c>
      <c r="CI140" s="258">
        <v>4.0365000000000002</v>
      </c>
      <c r="CJ140" s="258"/>
      <c r="CK140" s="258"/>
      <c r="CL140" s="258"/>
      <c r="CM140" s="258"/>
    </row>
    <row r="141" spans="1:91" x14ac:dyDescent="0.25">
      <c r="A141" s="723"/>
      <c r="B141" s="723"/>
      <c r="D141" s="31">
        <f t="shared" ref="D141:D204" si="117">D140+AH140</f>
        <v>40892</v>
      </c>
      <c r="F141" s="28">
        <f t="shared" ref="F141:F204" si="118">VLOOKUP(AG141,$AL$4:$AS$15,2)</f>
        <v>11107</v>
      </c>
      <c r="G141" s="28">
        <f t="shared" si="76"/>
        <v>6039.5354094620989</v>
      </c>
      <c r="H141" s="52">
        <f t="shared" ref="H141:H204" si="119">(AL141+AM141+AN141)/(1-(AR141))</f>
        <v>4.2946291560102301</v>
      </c>
      <c r="I141" s="52">
        <f t="shared" ref="I141:I204" si="120">(AL141+AO141+AP141)</f>
        <v>4.5795000000000003</v>
      </c>
      <c r="K141" s="52">
        <f t="shared" ref="K141:K204" si="121">MAX(((I141-H141)-AQ141)*AU141*AH141,0)</f>
        <v>4.1883588975735719</v>
      </c>
      <c r="L141" s="135">
        <f t="shared" ref="L141:L204" si="122">MAX(Q141-K141,0)</f>
        <v>8.05136490917846E-5</v>
      </c>
      <c r="N141" s="131">
        <f t="shared" si="77"/>
        <v>0.19106883149936479</v>
      </c>
      <c r="O141" s="131">
        <f t="shared" si="78"/>
        <v>0.19106883149936479</v>
      </c>
      <c r="P141" s="55">
        <f t="shared" ref="P141:P204" si="123">(VLOOKUP(AI141,CorrelationTwo,2)*(AW141^2)*AI141+VLOOKUP(D141,CorrelationOne,$AK$9)*AX141*AY141*(AH141/2))/((AI141+(AH141/2))*O141*N141)*AF141</f>
        <v>1</v>
      </c>
      <c r="Q141" s="135">
        <f>_xll.xSPRDOPT(I141,H141,AQ141,0,O141,N141,P141,D141-$G$5,1,0)*AH141*AU141</f>
        <v>4.1884394112226637</v>
      </c>
      <c r="R141" s="135"/>
      <c r="S141" s="181">
        <f t="shared" ref="S141:S204" si="124">-T141/(1-AR141)</f>
        <v>-189734.22034004831</v>
      </c>
      <c r="T141" s="181">
        <f>_xll.xSPRDOPT(I141,H141,AQ141,AT141,O141,N141,P141,D141-$G$5,1,1)*AF141*F141*AH141</f>
        <v>185465.20038239722</v>
      </c>
      <c r="U141" s="135"/>
      <c r="V141" s="146">
        <f t="shared" ref="V141:V204" si="125">VLOOKUP($AG141,$AL$4:$AS$15,8)*AH141*AU141</f>
        <v>6.21500656068506</v>
      </c>
      <c r="W141" s="146"/>
      <c r="X141" s="338">
        <f t="shared" ref="X141:X204" si="126">((BM141*BC141)+(BL141*BB141))*AH141*F141</f>
        <v>0</v>
      </c>
      <c r="Y141" s="338">
        <f t="shared" si="79"/>
        <v>0</v>
      </c>
      <c r="Z141" s="338">
        <f t="shared" si="80"/>
        <v>23.280278413244098</v>
      </c>
      <c r="AA141" s="338">
        <f t="shared" si="81"/>
        <v>3.9924908886665309E-4</v>
      </c>
      <c r="AB141" s="338">
        <f t="shared" ref="AB141:AB204" si="127">BN141*(AT141-CA141)*F141*AH141</f>
        <v>0</v>
      </c>
      <c r="AC141" s="338">
        <f t="shared" ref="AC141:AC204" si="128">BO141*CB141*F141*AH141*CA141*($G$5-$BV$5)/365.25</f>
        <v>23.642345778548567</v>
      </c>
      <c r="AF141" s="138">
        <f t="shared" ref="AF141:AF204" si="129">IF(AND(D141&gt;=$G$7,D141&lt;=$G$8),1,0)</f>
        <v>1</v>
      </c>
      <c r="AG141" s="138">
        <f t="shared" ref="AG141:AG204" si="130">MONTH(D141)</f>
        <v>12</v>
      </c>
      <c r="AH141" s="138">
        <f t="shared" si="82"/>
        <v>31</v>
      </c>
      <c r="AI141" s="138">
        <f t="shared" ref="AI141:AI204" si="131">AI140+AH140</f>
        <v>3636</v>
      </c>
      <c r="AJ141" s="138">
        <f t="shared" ref="AJ141:AJ204" si="132">D141-$BV$5</f>
        <v>3653</v>
      </c>
      <c r="AL141" s="136">
        <f t="shared" si="83"/>
        <v>4.1795</v>
      </c>
      <c r="AM141" s="258">
        <f t="shared" si="84"/>
        <v>1.0999999999999999E-2</v>
      </c>
      <c r="AN141" s="258">
        <f t="shared" si="85"/>
        <v>7.4999999999999997E-3</v>
      </c>
      <c r="AO141" s="258">
        <f t="shared" si="86"/>
        <v>0.4</v>
      </c>
      <c r="AP141" s="258">
        <f t="shared" si="87"/>
        <v>0</v>
      </c>
      <c r="AQ141" s="136">
        <f t="shared" ref="AQ141:AQ204" si="133">VLOOKUP($AG141,$AL$4:$AS$15,3)+VLOOKUP($AG141,$AL$4:$AS$15,5)+($AH$10*VLOOKUP(D141,GRITable,2))</f>
        <v>3.6400000000000002E-2</v>
      </c>
      <c r="AR141" s="137">
        <f t="shared" si="88"/>
        <v>2.2499999999999999E-2</v>
      </c>
      <c r="AS141" s="136">
        <f t="shared" ref="AS141:AS204" si="134">(AL141+AM141+AN141)</f>
        <v>4.1980000000000004</v>
      </c>
      <c r="AT141" s="137">
        <f t="shared" ref="AT141:AT204" si="135">VLOOKUP(D141,CurveTbl,$AK$6)</f>
        <v>6.1905319559083502E-2</v>
      </c>
      <c r="AU141" s="137">
        <f t="shared" si="89"/>
        <v>0.54375937782138284</v>
      </c>
      <c r="AV141" s="394">
        <f t="shared" ref="AV141:AV204" si="136">ROUND((F141/(1-AR141))-F141,0)*AF141*AH141*AU141</f>
        <v>4315.2744223904938</v>
      </c>
      <c r="AW141" s="137">
        <f t="shared" si="90"/>
        <v>0.18</v>
      </c>
      <c r="AX141" s="137">
        <f t="shared" si="91"/>
        <v>1</v>
      </c>
      <c r="AY141" s="137">
        <f t="shared" si="92"/>
        <v>1</v>
      </c>
      <c r="AZ141" s="137"/>
      <c r="BA141" s="264"/>
      <c r="BB141" s="258">
        <f t="shared" si="93"/>
        <v>0</v>
      </c>
      <c r="BC141" s="258">
        <f t="shared" ref="BC141:BC204" si="137">I141-BW141</f>
        <v>0</v>
      </c>
      <c r="BD141" s="137">
        <f t="shared" ref="BD141:BD204" si="138">N141-BX141</f>
        <v>8.8234763498118429E-6</v>
      </c>
      <c r="BE141" s="137">
        <f t="shared" ref="BE141:BE204" si="139">O141-BY141</f>
        <v>8.8234763498118429E-6</v>
      </c>
      <c r="BF141" s="137">
        <f>_xll.xSPRDOPT($BW141,$BV141,$CG141,0,$BY141,$BX141,$BZ141,$AJ141,1,4)*$CB141</f>
        <v>-5.5070410217119926E-7</v>
      </c>
      <c r="BG141" s="137">
        <f>_xll.xSPRDOPT($BW141,$BV141,$CG141,0,$BY141,$BX141,$BZ141,$AJ141,1,3)*$CB141</f>
        <v>-5.5070410217119926E-7</v>
      </c>
      <c r="BH141" s="137">
        <f>IF(OR(BF141&lt;&gt;0,BG141&lt;&gt;0),_xll.xSPRDOPT($BW141,$BV141,$CG141,0,$BY141,$BX141,$BZ141,$AJ141,1,12)*$CB141,0)</f>
        <v>4.6971820479308176E-7</v>
      </c>
      <c r="BI141" s="137">
        <f>_xll.xSPRDOPT($BW141,$BV141,$CG141,2*LN(1+CA141/2),$BY141,$BX141,$BZ141,$AJ141,1,9)</f>
        <v>8.2318732354559002E-3</v>
      </c>
      <c r="BJ141" s="137">
        <f>_xll.xSPRDOPT($BW141,$BV141,$CG141,0,$BY141,$BX141,$BZ141,$AJ141,1,6)*$CB141</f>
        <v>-1.9811776333890784E-3</v>
      </c>
      <c r="BK141" s="137">
        <f>_xll.xSPRDOPT($BW141,$BV141,$CG141,0,$BY141,$BX141,$BZ141,$AJ141,1,5)*$CB141</f>
        <v>2.1125928762667991E-3</v>
      </c>
      <c r="BL141" s="137">
        <f>_xll.xSPRDOPT(BW141,BV141,CG141,0,BY141,BX141,BZ141,AJ141,1,2)*CB141</f>
        <v>-0.54345131914470635</v>
      </c>
      <c r="BM141" s="137">
        <f>_xll.xSPRDOPT(BW141,BV141,CG141,0,BY141,BX141,BZ141,AJ141,1,1)*CB141</f>
        <v>0.54345131913976341</v>
      </c>
      <c r="BN141" s="137">
        <f>IF(AH141&lt;&gt;0,_xll.xSPRDOPT($BW141,$BV141,$CG141,2*LN(1+CA141/2),$BY141,$BX141,$BZ141,$AJ141,1,8)+(AJ141/365.25)*CH141/AH141,0)</f>
        <v>0.65349341767126212</v>
      </c>
      <c r="BO141" s="137">
        <f>_xll.xSPRDOPT($BW141,$BV141,$CG141,0,$BY141,$BX141,$BZ141,$AJ141,1,0)</f>
        <v>0.24847563724219632</v>
      </c>
      <c r="BP141" s="137"/>
      <c r="BQ141" s="137"/>
      <c r="BR141" s="137"/>
      <c r="BS141" s="137"/>
      <c r="BV141" s="262">
        <v>4.2946291560102301</v>
      </c>
      <c r="BW141" s="136">
        <v>4.5795000000000003</v>
      </c>
      <c r="BX141" s="137">
        <v>0.19106000802301498</v>
      </c>
      <c r="BY141" s="137">
        <v>0.19106000802301498</v>
      </c>
      <c r="BZ141" s="137">
        <v>1</v>
      </c>
      <c r="CA141" s="137">
        <v>6.1905319559083502E-2</v>
      </c>
      <c r="CB141" s="137">
        <v>0.54348715730660468</v>
      </c>
      <c r="CC141" s="258">
        <v>1.0999999999999999E-2</v>
      </c>
      <c r="CD141" s="258">
        <v>7.4999999999999997E-3</v>
      </c>
      <c r="CE141" s="258">
        <v>0.4</v>
      </c>
      <c r="CF141" s="258">
        <v>0</v>
      </c>
      <c r="CG141" s="258">
        <v>3.6400000000000002E-2</v>
      </c>
      <c r="CH141" s="258">
        <v>6.2118951618673002</v>
      </c>
      <c r="CI141" s="258">
        <v>4.1795</v>
      </c>
      <c r="CJ141" s="258"/>
      <c r="CK141" s="258"/>
      <c r="CL141" s="258"/>
      <c r="CM141" s="258"/>
    </row>
    <row r="142" spans="1:91" x14ac:dyDescent="0.25">
      <c r="A142" s="723"/>
      <c r="B142" s="723"/>
      <c r="D142" s="31">
        <f t="shared" si="117"/>
        <v>40923</v>
      </c>
      <c r="F142" s="28">
        <f t="shared" si="118"/>
        <v>11107</v>
      </c>
      <c r="G142" s="28">
        <f t="shared" si="76"/>
        <v>6003.647057136438</v>
      </c>
      <c r="H142" s="52">
        <f t="shared" si="119"/>
        <v>4.3560102301790282</v>
      </c>
      <c r="I142" s="52">
        <f t="shared" si="120"/>
        <v>4.5894999999999992</v>
      </c>
      <c r="K142" s="52">
        <f t="shared" si="121"/>
        <v>3.3025101209956325</v>
      </c>
      <c r="L142" s="135">
        <f t="shared" si="122"/>
        <v>2.7987777709137518E-4</v>
      </c>
      <c r="N142" s="131">
        <f t="shared" si="77"/>
        <v>0.19097832949151586</v>
      </c>
      <c r="O142" s="131">
        <f t="shared" si="78"/>
        <v>0.19097832949151586</v>
      </c>
      <c r="P142" s="55">
        <f t="shared" si="123"/>
        <v>1</v>
      </c>
      <c r="Q142" s="135">
        <f>_xll.xSPRDOPT(I142,H142,AQ142,0,O142,N142,P142,D142-$G$5,1,0)*AH142*AU142</f>
        <v>3.3027899987727238</v>
      </c>
      <c r="R142" s="135"/>
      <c r="S142" s="181">
        <f t="shared" si="124"/>
        <v>-188522.35868293428</v>
      </c>
      <c r="T142" s="181">
        <f>_xll.xSPRDOPT(I142,H142,AQ142,AT142,O142,N142,P142,D142-$G$5,1,1)*AF142*F142*AH142</f>
        <v>184280.60561256827</v>
      </c>
      <c r="U142" s="135"/>
      <c r="V142" s="146">
        <f t="shared" si="125"/>
        <v>6.1780755171470556</v>
      </c>
      <c r="W142" s="146"/>
      <c r="X142" s="338">
        <f t="shared" si="126"/>
        <v>0</v>
      </c>
      <c r="Y142" s="338">
        <f t="shared" si="79"/>
        <v>0</v>
      </c>
      <c r="Z142" s="338">
        <f t="shared" si="80"/>
        <v>18.368036329646404</v>
      </c>
      <c r="AA142" s="338">
        <f t="shared" si="81"/>
        <v>1.7717685211923692E-3</v>
      </c>
      <c r="AB142" s="338">
        <f t="shared" si="127"/>
        <v>0</v>
      </c>
      <c r="AC142" s="338">
        <f t="shared" si="128"/>
        <v>18.667344103731235</v>
      </c>
      <c r="AF142" s="138">
        <f t="shared" si="129"/>
        <v>1</v>
      </c>
      <c r="AG142" s="138">
        <f t="shared" si="130"/>
        <v>1</v>
      </c>
      <c r="AH142" s="138">
        <f t="shared" si="82"/>
        <v>31</v>
      </c>
      <c r="AI142" s="138">
        <f t="shared" si="131"/>
        <v>3667</v>
      </c>
      <c r="AJ142" s="138">
        <f t="shared" si="132"/>
        <v>3684</v>
      </c>
      <c r="AL142" s="136">
        <f t="shared" si="83"/>
        <v>4.2394999999999996</v>
      </c>
      <c r="AM142" s="258">
        <f t="shared" si="84"/>
        <v>1.0999999999999999E-2</v>
      </c>
      <c r="AN142" s="258">
        <f t="shared" si="85"/>
        <v>7.4999999999999997E-3</v>
      </c>
      <c r="AO142" s="258">
        <f t="shared" si="86"/>
        <v>0.35</v>
      </c>
      <c r="AP142" s="258">
        <f t="shared" si="87"/>
        <v>0</v>
      </c>
      <c r="AQ142" s="136">
        <f t="shared" si="133"/>
        <v>3.6400000000000002E-2</v>
      </c>
      <c r="AR142" s="137">
        <f t="shared" si="88"/>
        <v>2.2499999999999999E-2</v>
      </c>
      <c r="AS142" s="136">
        <f t="shared" si="134"/>
        <v>4.258</v>
      </c>
      <c r="AT142" s="137">
        <f t="shared" si="135"/>
        <v>6.19856778870891E-2</v>
      </c>
      <c r="AU142" s="137">
        <f t="shared" si="89"/>
        <v>0.5405282305875968</v>
      </c>
      <c r="AV142" s="394">
        <f t="shared" si="136"/>
        <v>4289.6320379431681</v>
      </c>
      <c r="AW142" s="137">
        <f t="shared" si="90"/>
        <v>0.18</v>
      </c>
      <c r="AX142" s="137">
        <f t="shared" si="91"/>
        <v>1</v>
      </c>
      <c r="AY142" s="137">
        <f t="shared" si="92"/>
        <v>1</v>
      </c>
      <c r="AZ142" s="137"/>
      <c r="BA142" s="264"/>
      <c r="BB142" s="258">
        <f t="shared" si="93"/>
        <v>0</v>
      </c>
      <c r="BC142" s="258">
        <f t="shared" si="137"/>
        <v>0</v>
      </c>
      <c r="BD142" s="137">
        <f t="shared" si="138"/>
        <v>8.679714191828225E-6</v>
      </c>
      <c r="BE142" s="137">
        <f t="shared" si="139"/>
        <v>8.679714191828225E-6</v>
      </c>
      <c r="BF142" s="137">
        <f>_xll.xSPRDOPT($BW142,$BV142,$CG142,0,$BY142,$BX142,$BZ142,$AJ142,1,4)*$CB142</f>
        <v>-9.6605530106954269E-8</v>
      </c>
      <c r="BG142" s="137">
        <f>_xll.xSPRDOPT($BW142,$BV142,$CG142,0,$BY142,$BX142,$BZ142,$AJ142,1,3)*$CB142</f>
        <v>5.152294939037561E-7</v>
      </c>
      <c r="BH142" s="137">
        <f>IF(OR(BF142&lt;&gt;0,BG142&lt;&gt;0),_xll.xSPRDOPT($BW142,$BV142,$CG142,0,$BY142,$BX142,$BZ142,$AJ142,1,12)*$CB142,0)</f>
        <v>1.6100921684492378E-7</v>
      </c>
      <c r="BI142" s="137">
        <f>_xll.xSPRDOPT($BW142,$BV142,$CG142,2*LN(1+CA142/2),$BY142,$BX142,$BZ142,$AJ142,1,9)</f>
        <v>6.4949114424627591E-3</v>
      </c>
      <c r="BJ142" s="137">
        <f>_xll.xSPRDOPT($BW142,$BV142,$CG142,0,$BY142,$BX142,$BZ142,$AJ142,1,6)*$CB142</f>
        <v>-1.1060229084520538E-2</v>
      </c>
      <c r="BK142" s="137">
        <f>_xll.xSPRDOPT($BW142,$BV142,$CG142,0,$BY142,$BX142,$BZ142,$AJ142,1,5)*$CB142</f>
        <v>1.1653076718305129E-2</v>
      </c>
      <c r="BL142" s="137">
        <f>_xll.xSPRDOPT(BW142,BV142,CG142,0,BY142,BX142,BZ142,AJ142,1,2)*CB142</f>
        <v>-0.54003617296948525</v>
      </c>
      <c r="BM142" s="137">
        <f>_xll.xSPRDOPT(BW142,BV142,CG142,0,BY142,BX142,BZ142,AJ142,1,1)*CB142</f>
        <v>0.54003617296997664</v>
      </c>
      <c r="BN142" s="137">
        <f>IF(AH142&lt;&gt;0,_xll.xSPRDOPT($BW142,$BV142,$CG142,2*LN(1+CA142/2),$BY142,$BX142,$BZ142,$AJ142,1,8)+(AJ142/365.25)*CH142/AH142,0)</f>
        <v>0.93504117608842852</v>
      </c>
      <c r="BO142" s="137">
        <f>_xll.xSPRDOPT($BW142,$BV142,$CG142,0,$BY142,$BX142,$BZ142,$AJ142,1,0)</f>
        <v>0.1971065484347892</v>
      </c>
      <c r="BP142" s="137"/>
      <c r="BQ142" s="137"/>
      <c r="BR142" s="137"/>
      <c r="BS142" s="137"/>
      <c r="BV142" s="262">
        <v>4.3560102301790282</v>
      </c>
      <c r="BW142" s="136">
        <v>4.5894999999999992</v>
      </c>
      <c r="BX142" s="137">
        <v>0.19096964977732403</v>
      </c>
      <c r="BY142" s="137">
        <v>0.19096964977732403</v>
      </c>
      <c r="BZ142" s="137">
        <v>1</v>
      </c>
      <c r="CA142" s="137">
        <v>6.19856778870891E-2</v>
      </c>
      <c r="CB142" s="137">
        <v>0.54025728179962496</v>
      </c>
      <c r="CC142" s="258">
        <v>1.0999999999999999E-2</v>
      </c>
      <c r="CD142" s="258">
        <v>7.4999999999999997E-3</v>
      </c>
      <c r="CE142" s="258">
        <v>0.35</v>
      </c>
      <c r="CF142" s="258">
        <v>0</v>
      </c>
      <c r="CG142" s="258">
        <v>3.6400000000000002E-2</v>
      </c>
      <c r="CH142" s="258">
        <v>6.1749786537851739</v>
      </c>
      <c r="CI142" s="258">
        <v>4.2394999999999996</v>
      </c>
      <c r="CJ142" s="258"/>
      <c r="CK142" s="258"/>
      <c r="CL142" s="258"/>
      <c r="CM142" s="258"/>
    </row>
    <row r="143" spans="1:91" x14ac:dyDescent="0.25">
      <c r="A143" s="723"/>
      <c r="B143" s="723"/>
      <c r="D143" s="31">
        <f t="shared" si="117"/>
        <v>40954</v>
      </c>
      <c r="F143" s="28">
        <f t="shared" si="118"/>
        <v>11107</v>
      </c>
      <c r="G143" s="28">
        <f t="shared" si="76"/>
        <v>5970.2357639964703</v>
      </c>
      <c r="H143" s="52">
        <f t="shared" si="119"/>
        <v>4.2690537084398974</v>
      </c>
      <c r="I143" s="52">
        <f t="shared" si="120"/>
        <v>4.5044999999999993</v>
      </c>
      <c r="K143" s="52">
        <f t="shared" si="121"/>
        <v>3.1027501006866558</v>
      </c>
      <c r="L143" s="135">
        <f t="shared" si="122"/>
        <v>1.7028959797116272E-4</v>
      </c>
      <c r="N143" s="131">
        <f t="shared" si="77"/>
        <v>0.185502321039687</v>
      </c>
      <c r="O143" s="131">
        <f t="shared" si="78"/>
        <v>0.185502321039687</v>
      </c>
      <c r="P143" s="55">
        <f t="shared" si="123"/>
        <v>1.0000000000000002</v>
      </c>
      <c r="Q143" s="135">
        <f>_xll.xSPRDOPT(I143,H143,AQ143,0,O143,N143,P143,D143-$G$5,1,0)*AH143*AU143</f>
        <v>3.102920390284627</v>
      </c>
      <c r="R143" s="135"/>
      <c r="S143" s="181">
        <f t="shared" si="124"/>
        <v>-175402.57241529136</v>
      </c>
      <c r="T143" s="181">
        <f>_xll.xSPRDOPT(I143,H143,AQ143,AT143,O143,N143,P143,D143-$G$5,1,1)*AF143*F143*AH143</f>
        <v>171456.01453594732</v>
      </c>
      <c r="U143" s="135"/>
      <c r="V143" s="146">
        <f t="shared" si="125"/>
        <v>5.7473261780300229</v>
      </c>
      <c r="W143" s="146"/>
      <c r="X143" s="338">
        <f t="shared" si="126"/>
        <v>0</v>
      </c>
      <c r="Y143" s="338">
        <f t="shared" si="79"/>
        <v>0</v>
      </c>
      <c r="Z143" s="338">
        <f t="shared" si="80"/>
        <v>17.275883261452211</v>
      </c>
      <c r="AA143" s="338">
        <f t="shared" si="81"/>
        <v>1.1949936773705515E-3</v>
      </c>
      <c r="AB143" s="338">
        <f t="shared" si="127"/>
        <v>0</v>
      </c>
      <c r="AC143" s="338">
        <f t="shared" si="128"/>
        <v>17.549144362078412</v>
      </c>
      <c r="AF143" s="138">
        <f t="shared" si="129"/>
        <v>1</v>
      </c>
      <c r="AG143" s="138">
        <f t="shared" si="130"/>
        <v>2</v>
      </c>
      <c r="AH143" s="138">
        <f t="shared" si="82"/>
        <v>29</v>
      </c>
      <c r="AI143" s="138">
        <f t="shared" si="131"/>
        <v>3698</v>
      </c>
      <c r="AJ143" s="138">
        <f t="shared" si="132"/>
        <v>3715</v>
      </c>
      <c r="AL143" s="136">
        <f t="shared" si="83"/>
        <v>4.1544999999999996</v>
      </c>
      <c r="AM143" s="258">
        <f t="shared" si="84"/>
        <v>1.0999999999999999E-2</v>
      </c>
      <c r="AN143" s="258">
        <f t="shared" si="85"/>
        <v>7.4999999999999997E-3</v>
      </c>
      <c r="AO143" s="258">
        <f t="shared" si="86"/>
        <v>0.35</v>
      </c>
      <c r="AP143" s="258">
        <f t="shared" si="87"/>
        <v>0</v>
      </c>
      <c r="AQ143" s="136">
        <f t="shared" si="133"/>
        <v>3.6400000000000002E-2</v>
      </c>
      <c r="AR143" s="137">
        <f t="shared" si="88"/>
        <v>2.2499999999999999E-2</v>
      </c>
      <c r="AS143" s="136">
        <f t="shared" si="134"/>
        <v>4.173</v>
      </c>
      <c r="AT143" s="137">
        <f t="shared" si="135"/>
        <v>6.2026221971296397E-2</v>
      </c>
      <c r="AU143" s="137">
        <f t="shared" si="89"/>
        <v>0.53752010119712523</v>
      </c>
      <c r="AV143" s="394">
        <f t="shared" si="136"/>
        <v>3990.5492312874576</v>
      </c>
      <c r="AW143" s="137">
        <f t="shared" si="90"/>
        <v>0.17499999999999999</v>
      </c>
      <c r="AX143" s="137">
        <f t="shared" si="91"/>
        <v>1</v>
      </c>
      <c r="AY143" s="137">
        <f t="shared" si="92"/>
        <v>1</v>
      </c>
      <c r="AZ143" s="137"/>
      <c r="BA143" s="264"/>
      <c r="BB143" s="258">
        <f t="shared" si="93"/>
        <v>0</v>
      </c>
      <c r="BC143" s="258">
        <f t="shared" si="137"/>
        <v>0</v>
      </c>
      <c r="BD143" s="137">
        <f t="shared" si="138"/>
        <v>8.2400082459244128E-6</v>
      </c>
      <c r="BE143" s="137">
        <f t="shared" si="139"/>
        <v>8.2400082459244128E-6</v>
      </c>
      <c r="BF143" s="137">
        <f>_xll.xSPRDOPT($BW143,$BV143,$CG143,0,$BY143,$BX143,$BZ143,$AJ143,1,4)*$CB143</f>
        <v>7.0449773720404466E-7</v>
      </c>
      <c r="BG143" s="137">
        <f>_xll.xSPRDOPT($BW143,$BV143,$CG143,0,$BY143,$BX143,$BZ143,$AJ143,1,3)*$CB143</f>
        <v>3.2022624418365667E-8</v>
      </c>
      <c r="BH143" s="137">
        <f>IF(OR(BF143&lt;&gt;0,BG143&lt;&gt;0),_xll.xSPRDOPT($BW143,$BV143,$CG143,0,$BY143,$BX143,$BZ143,$AJ143,1,12)*$CB143,0)</f>
        <v>-1.1207918546427983E-7</v>
      </c>
      <c r="BI143" s="137">
        <f>_xll.xSPRDOPT($BW143,$BV143,$CG143,2*LN(1+CA143/2),$BY143,$BX143,$BZ143,$AJ143,1,9)</f>
        <v>6.5300192394414421E-3</v>
      </c>
      <c r="BJ143" s="137">
        <f>_xll.xSPRDOPT($BW143,$BV143,$CG143,0,$BY143,$BX143,$BZ143,$AJ143,1,6)*$CB143</f>
        <v>-5.4556691133167846E-3</v>
      </c>
      <c r="BK143" s="137">
        <f>_xll.xSPRDOPT($BW143,$BV143,$CG143,0,$BY143,$BX143,$BZ143,$AJ143,1,5)*$CB143</f>
        <v>5.9059081964909013E-3</v>
      </c>
      <c r="BL143" s="137">
        <f>_xll.xSPRDOPT(BW143,BV143,CG143,0,BY143,BX143,BZ143,AJ143,1,2)*CB143</f>
        <v>-0.53715484126440927</v>
      </c>
      <c r="BM143" s="137">
        <f>_xll.xSPRDOPT(BW143,BV143,CG143,0,BY143,BX143,BZ143,AJ143,1,1)*CB143</f>
        <v>0.53715484126953983</v>
      </c>
      <c r="BN143" s="137">
        <f>IF(AH143&lt;&gt;0,_xll.xSPRDOPT($BW143,$BV143,$CG143,2*LN(1+CA143/2),$BY143,$BX143,$BZ143,$AJ143,1,8)+(AJ143/365.25)*CH143/AH143,0)</f>
        <v>0.92700209367037978</v>
      </c>
      <c r="BO143" s="137">
        <f>_xll.xSPRDOPT($BW143,$BV143,$CG143,0,$BY143,$BX143,$BZ143,$AJ143,1,0)</f>
        <v>0.19905725004036015</v>
      </c>
      <c r="BP143" s="137"/>
      <c r="BQ143" s="137"/>
      <c r="BR143" s="137"/>
      <c r="BS143" s="137"/>
      <c r="BV143" s="262">
        <v>4.2690537084398974</v>
      </c>
      <c r="BW143" s="136">
        <v>4.5044999999999993</v>
      </c>
      <c r="BX143" s="137">
        <v>0.18549408103144108</v>
      </c>
      <c r="BY143" s="137">
        <v>0.18549408103144108</v>
      </c>
      <c r="BZ143" s="137">
        <v>1</v>
      </c>
      <c r="CA143" s="137">
        <v>6.2026221971296397E-2</v>
      </c>
      <c r="CB143" s="137">
        <v>0.53725048675379516</v>
      </c>
      <c r="CC143" s="258">
        <v>1.0999999999999999E-2</v>
      </c>
      <c r="CD143" s="258">
        <v>7.4999999999999997E-3</v>
      </c>
      <c r="CE143" s="258">
        <v>0.35</v>
      </c>
      <c r="CF143" s="258">
        <v>0</v>
      </c>
      <c r="CG143" s="258">
        <v>3.6400000000000002E-2</v>
      </c>
      <c r="CH143" s="258">
        <v>5.7444433795176044</v>
      </c>
      <c r="CI143" s="258">
        <v>4.1544999999999996</v>
      </c>
      <c r="CJ143" s="258"/>
      <c r="CK143" s="258"/>
      <c r="CL143" s="258"/>
      <c r="CM143" s="258"/>
    </row>
    <row r="144" spans="1:91" x14ac:dyDescent="0.25">
      <c r="A144" s="723"/>
      <c r="B144" s="723"/>
      <c r="D144" s="31">
        <f t="shared" si="117"/>
        <v>40983</v>
      </c>
      <c r="F144" s="28">
        <f t="shared" si="118"/>
        <v>11107</v>
      </c>
      <c r="G144" s="28">
        <f t="shared" si="76"/>
        <v>5939.1125419324117</v>
      </c>
      <c r="H144" s="52">
        <f t="shared" si="119"/>
        <v>4.1411764705882348</v>
      </c>
      <c r="I144" s="52">
        <f t="shared" si="120"/>
        <v>4.4245000000000001</v>
      </c>
      <c r="K144" s="52">
        <f t="shared" si="121"/>
        <v>4.0930679340286851</v>
      </c>
      <c r="L144" s="135">
        <f t="shared" si="122"/>
        <v>3.0149810700486057E-5</v>
      </c>
      <c r="N144" s="131">
        <f t="shared" si="77"/>
        <v>0.17638017632337941</v>
      </c>
      <c r="O144" s="131">
        <f t="shared" si="78"/>
        <v>0.17638017632337941</v>
      </c>
      <c r="P144" s="55">
        <f t="shared" si="123"/>
        <v>0.99999999999999989</v>
      </c>
      <c r="Q144" s="135">
        <f>_xll.xSPRDOPT(I144,H144,AQ144,0,O144,N144,P144,D144-$G$5,1,0)*AH144*AU144</f>
        <v>4.0930980838393856</v>
      </c>
      <c r="R144" s="135"/>
      <c r="S144" s="181">
        <f t="shared" si="124"/>
        <v>-186533.60033005365</v>
      </c>
      <c r="T144" s="181">
        <f>_xll.xSPRDOPT(I144,H144,AQ144,AT144,O144,N144,P144,D144-$G$5,1,1)*AF144*F144*AH144</f>
        <v>182336.59432262744</v>
      </c>
      <c r="U144" s="135"/>
      <c r="V144" s="146">
        <f t="shared" si="125"/>
        <v>6.1116660322791834</v>
      </c>
      <c r="W144" s="146"/>
      <c r="X144" s="338">
        <f t="shared" si="126"/>
        <v>0</v>
      </c>
      <c r="Y144" s="338">
        <f t="shared" si="79"/>
        <v>0</v>
      </c>
      <c r="Z144" s="338">
        <f t="shared" si="80"/>
        <v>22.809841881860105</v>
      </c>
      <c r="AA144" s="338">
        <f t="shared" si="81"/>
        <v>1.0254824969906651E-4</v>
      </c>
      <c r="AB144" s="338">
        <f t="shared" si="127"/>
        <v>0</v>
      </c>
      <c r="AC144" s="338">
        <f t="shared" si="128"/>
        <v>23.163424021685017</v>
      </c>
      <c r="AF144" s="138">
        <f t="shared" si="129"/>
        <v>1</v>
      </c>
      <c r="AG144" s="138">
        <f t="shared" si="130"/>
        <v>3</v>
      </c>
      <c r="AH144" s="138">
        <f t="shared" si="82"/>
        <v>31</v>
      </c>
      <c r="AI144" s="138">
        <f t="shared" si="131"/>
        <v>3727</v>
      </c>
      <c r="AJ144" s="138">
        <f t="shared" si="132"/>
        <v>3744</v>
      </c>
      <c r="AL144" s="136">
        <f t="shared" si="83"/>
        <v>4.0244999999999997</v>
      </c>
      <c r="AM144" s="258">
        <f t="shared" si="84"/>
        <v>1.6E-2</v>
      </c>
      <c r="AN144" s="258">
        <f t="shared" si="85"/>
        <v>7.4999999999999997E-3</v>
      </c>
      <c r="AO144" s="258">
        <f t="shared" si="86"/>
        <v>0.4</v>
      </c>
      <c r="AP144" s="258">
        <f t="shared" si="87"/>
        <v>0</v>
      </c>
      <c r="AQ144" s="136">
        <f t="shared" si="133"/>
        <v>3.6400000000000002E-2</v>
      </c>
      <c r="AR144" s="137">
        <f t="shared" si="88"/>
        <v>2.2499999999999999E-2</v>
      </c>
      <c r="AS144" s="136">
        <f t="shared" si="134"/>
        <v>4.048</v>
      </c>
      <c r="AT144" s="137">
        <f t="shared" si="135"/>
        <v>6.2064150308629398E-2</v>
      </c>
      <c r="AU144" s="137">
        <f t="shared" si="89"/>
        <v>0.53471797442445412</v>
      </c>
      <c r="AV144" s="394">
        <f t="shared" si="136"/>
        <v>4243.5218450324683</v>
      </c>
      <c r="AW144" s="137">
        <f t="shared" si="90"/>
        <v>0.17</v>
      </c>
      <c r="AX144" s="137">
        <f t="shared" si="91"/>
        <v>0.75</v>
      </c>
      <c r="AY144" s="137">
        <f t="shared" si="92"/>
        <v>0.75</v>
      </c>
      <c r="AZ144" s="137"/>
      <c r="BA144" s="264"/>
      <c r="BB144" s="258">
        <f t="shared" si="93"/>
        <v>0</v>
      </c>
      <c r="BC144" s="258">
        <f t="shared" si="137"/>
        <v>0</v>
      </c>
      <c r="BD144" s="137">
        <f t="shared" si="138"/>
        <v>5.0179181503573478E-6</v>
      </c>
      <c r="BE144" s="137">
        <f t="shared" si="139"/>
        <v>5.0179181503573478E-6</v>
      </c>
      <c r="BF144" s="137">
        <f>_xll.xSPRDOPT($BW144,$BV144,$CG144,0,$BY144,$BX144,$BZ144,$AJ144,1,4)*$CB144</f>
        <v>0</v>
      </c>
      <c r="BG144" s="137">
        <f>_xll.xSPRDOPT($BW144,$BV144,$CG144,0,$BY144,$BX144,$BZ144,$AJ144,1,3)*$CB144</f>
        <v>9.5567036392635343E-8</v>
      </c>
      <c r="BH144" s="137">
        <f>IF(OR(BF144&lt;&gt;0,BG144&lt;&gt;0),_xll.xSPRDOPT($BW144,$BV144,$CG144,0,$BY144,$BX144,$BZ144,$AJ144,1,12)*$CB144,0)</f>
        <v>-3.6634030617176884E-7</v>
      </c>
      <c r="BI144" s="137">
        <f>_xll.xSPRDOPT($BW144,$BV144,$CG144,2*LN(1+CA144/2),$BY144,$BX144,$BZ144,$AJ144,1,9)</f>
        <v>8.0655275490796804E-3</v>
      </c>
      <c r="BJ144" s="137">
        <f>_xll.xSPRDOPT($BW144,$BV144,$CG144,0,$BY144,$BX144,$BZ144,$AJ144,1,6)*$CB144</f>
        <v>-8.675355508025068E-4</v>
      </c>
      <c r="BK144" s="137">
        <f>_xll.xSPRDOPT($BW144,$BV144,$CG144,0,$BY144,$BX144,$BZ144,$AJ144,1,5)*$CB144</f>
        <v>9.2688903434883418E-4</v>
      </c>
      <c r="BL144" s="137">
        <f>_xll.xSPRDOPT(BW144,BV144,CG144,0,BY144,BX144,BZ144,AJ144,1,2)*CB144</f>
        <v>-0.53443427269037291</v>
      </c>
      <c r="BM144" s="137">
        <f>_xll.xSPRDOPT(BW144,BV144,CG144,0,BY144,BX144,BZ144,AJ144,1,1)*CB144</f>
        <v>0.53443427269183108</v>
      </c>
      <c r="BN144" s="137">
        <f>IF(AH144&lt;&gt;0,_xll.xSPRDOPT($BW144,$BV144,$CG144,2*LN(1+CA144/2),$BY144,$BX144,$BZ144,$AJ144,1,8)+(AJ144/365.25)*CH144/AH144,0)</f>
        <v>0.66712811747322376</v>
      </c>
      <c r="BO144" s="137">
        <f>_xll.xSPRDOPT($BW144,$BV144,$CG144,0,$BY144,$BX144,$BZ144,$AJ144,1,0)</f>
        <v>0.24692535556205125</v>
      </c>
      <c r="BP144" s="137"/>
      <c r="BQ144" s="137"/>
      <c r="BR144" s="137"/>
      <c r="BS144" s="137"/>
      <c r="BV144" s="262">
        <v>4.1411764705882348</v>
      </c>
      <c r="BW144" s="136">
        <v>4.4245000000000001</v>
      </c>
      <c r="BX144" s="137">
        <v>0.17637515840522905</v>
      </c>
      <c r="BY144" s="137">
        <v>0.17637515840522905</v>
      </c>
      <c r="BZ144" s="137">
        <v>1</v>
      </c>
      <c r="CA144" s="137">
        <v>6.2064150308629398E-2</v>
      </c>
      <c r="CB144" s="137">
        <v>0.53444960401303465</v>
      </c>
      <c r="CC144" s="258">
        <v>1.6E-2</v>
      </c>
      <c r="CD144" s="258">
        <v>7.4999999999999997E-3</v>
      </c>
      <c r="CE144" s="258">
        <v>0.4</v>
      </c>
      <c r="CF144" s="258">
        <v>0</v>
      </c>
      <c r="CG144" s="258">
        <v>3.6400000000000002E-2</v>
      </c>
      <c r="CH144" s="258">
        <v>6.1085986389877824</v>
      </c>
      <c r="CI144" s="258">
        <v>4.0244999999999997</v>
      </c>
      <c r="CJ144" s="258"/>
      <c r="CK144" s="258"/>
      <c r="CL144" s="258"/>
      <c r="CM144" s="258"/>
    </row>
    <row r="145" spans="1:91" x14ac:dyDescent="0.25">
      <c r="A145" s="723"/>
      <c r="B145" s="723"/>
      <c r="D145" s="31">
        <f t="shared" si="117"/>
        <v>41014</v>
      </c>
      <c r="F145" s="28">
        <f t="shared" si="118"/>
        <v>5899</v>
      </c>
      <c r="G145" s="28">
        <f t="shared" si="76"/>
        <v>3136.7066427446639</v>
      </c>
      <c r="H145" s="52">
        <f t="shared" si="119"/>
        <v>3.9544757033248081</v>
      </c>
      <c r="I145" s="52">
        <f t="shared" si="120"/>
        <v>4.4394999999999998</v>
      </c>
      <c r="K145" s="52">
        <f t="shared" si="121"/>
        <v>7.1564814959029999</v>
      </c>
      <c r="L145" s="135">
        <f t="shared" si="122"/>
        <v>1.0113986599336044E-6</v>
      </c>
      <c r="N145" s="131">
        <f t="shared" si="77"/>
        <v>0.17152610088995032</v>
      </c>
      <c r="O145" s="131">
        <f t="shared" si="78"/>
        <v>0.17152610088995032</v>
      </c>
      <c r="P145" s="55">
        <f t="shared" si="123"/>
        <v>1</v>
      </c>
      <c r="Q145" s="135">
        <f>_xll.xSPRDOPT(I145,H145,AQ145,0,O145,N145,P145,D145-$G$5,1,0)*AH145*AU145</f>
        <v>7.1564825073016598</v>
      </c>
      <c r="R145" s="135"/>
      <c r="S145" s="181">
        <f t="shared" si="124"/>
        <v>-95332.525388237773</v>
      </c>
      <c r="T145" s="181">
        <f>_xll.xSPRDOPT(I145,H145,AQ145,AT145,O145,N145,P145,D145-$G$5,1,1)*AF145*F145*AH145</f>
        <v>93187.543567002431</v>
      </c>
      <c r="U145" s="135"/>
      <c r="V145" s="146">
        <f t="shared" si="125"/>
        <v>5.8815243558906136</v>
      </c>
      <c r="W145" s="146"/>
      <c r="X145" s="338">
        <f t="shared" si="126"/>
        <v>0</v>
      </c>
      <c r="Y145" s="338">
        <f t="shared" si="79"/>
        <v>0</v>
      </c>
      <c r="Z145" s="338">
        <f t="shared" si="80"/>
        <v>21.196184739489517</v>
      </c>
      <c r="AA145" s="338">
        <f t="shared" si="81"/>
        <v>2.8571655876896123E-7</v>
      </c>
      <c r="AB145" s="338">
        <f t="shared" si="127"/>
        <v>0</v>
      </c>
      <c r="AC145" s="338">
        <f t="shared" si="128"/>
        <v>21.52361949864062</v>
      </c>
      <c r="AF145" s="138">
        <f t="shared" si="129"/>
        <v>1</v>
      </c>
      <c r="AG145" s="138">
        <f t="shared" si="130"/>
        <v>4</v>
      </c>
      <c r="AH145" s="138">
        <f t="shared" si="82"/>
        <v>30</v>
      </c>
      <c r="AI145" s="138">
        <f t="shared" si="131"/>
        <v>3758</v>
      </c>
      <c r="AJ145" s="138">
        <f t="shared" si="132"/>
        <v>3775</v>
      </c>
      <c r="AL145" s="136">
        <f t="shared" si="83"/>
        <v>3.8395000000000001</v>
      </c>
      <c r="AM145" s="258">
        <f t="shared" si="84"/>
        <v>1.6E-2</v>
      </c>
      <c r="AN145" s="258">
        <f t="shared" si="85"/>
        <v>0.01</v>
      </c>
      <c r="AO145" s="258">
        <f t="shared" si="86"/>
        <v>0.6</v>
      </c>
      <c r="AP145" s="258">
        <f t="shared" si="87"/>
        <v>0</v>
      </c>
      <c r="AQ145" s="136">
        <f t="shared" si="133"/>
        <v>3.6400000000000002E-2</v>
      </c>
      <c r="AR145" s="137">
        <f t="shared" si="88"/>
        <v>2.2499999999999999E-2</v>
      </c>
      <c r="AS145" s="136">
        <f t="shared" si="134"/>
        <v>3.8654999999999999</v>
      </c>
      <c r="AT145" s="137">
        <f t="shared" si="135"/>
        <v>6.2104694393893198E-2</v>
      </c>
      <c r="AU145" s="137">
        <f t="shared" si="89"/>
        <v>0.53173531831575926</v>
      </c>
      <c r="AV145" s="394">
        <f t="shared" si="136"/>
        <v>2169.4800987282979</v>
      </c>
      <c r="AW145" s="137">
        <f t="shared" si="90"/>
        <v>0.17</v>
      </c>
      <c r="AX145" s="137">
        <f t="shared" si="91"/>
        <v>0.4</v>
      </c>
      <c r="AY145" s="137">
        <f t="shared" si="92"/>
        <v>0.4</v>
      </c>
      <c r="AZ145" s="137"/>
      <c r="BA145" s="264"/>
      <c r="BB145" s="258">
        <f t="shared" si="93"/>
        <v>0</v>
      </c>
      <c r="BC145" s="258">
        <f t="shared" si="137"/>
        <v>0</v>
      </c>
      <c r="BD145" s="137">
        <f t="shared" si="138"/>
        <v>1.2070846625023002E-6</v>
      </c>
      <c r="BE145" s="137">
        <f t="shared" si="139"/>
        <v>1.2070846625023002E-6</v>
      </c>
      <c r="BF145" s="137">
        <f>_xll.xSPRDOPT($BW145,$BV145,$CG145,0,$BY145,$BX145,$BZ145,$AJ145,1,4)*$CB145</f>
        <v>-9.5033932903631831E-7</v>
      </c>
      <c r="BG145" s="137">
        <f>_xll.xSPRDOPT($BW145,$BV145,$CG145,0,$BY145,$BX145,$BZ145,$AJ145,1,3)*$CB145</f>
        <v>-6.3355955269087886E-8</v>
      </c>
      <c r="BH145" s="137">
        <f>IF(OR(BF145&lt;&gt;0,BG145&lt;&gt;0),_xll.xSPRDOPT($BW145,$BV145,$CG145,0,$BY145,$BX145,$BZ145,$AJ145,1,12)*$CB145,0)</f>
        <v>9.5033932903631828E-8</v>
      </c>
      <c r="BI145" s="137">
        <f>_xll.xSPRDOPT($BW145,$BV145,$CG145,2*LN(1+CA145/2),$BY145,$BX145,$BZ145,$AJ145,1,9)</f>
        <v>1.4582333118793291E-2</v>
      </c>
      <c r="BJ145" s="137">
        <f>_xll.xSPRDOPT($BW145,$BV145,$CG145,0,$BY145,$BX145,$BZ145,$AJ145,1,6)*$CB145</f>
        <v>-1.0904895055311691E-5</v>
      </c>
      <c r="BK145" s="137">
        <f>_xll.xSPRDOPT($BW145,$BV145,$CG145,0,$BY145,$BX145,$BZ145,$AJ145,1,5)*$CB145</f>
        <v>1.2242408105498809E-5</v>
      </c>
      <c r="BL145" s="137">
        <f>_xll.xSPRDOPT(BW145,BV145,CG145,0,BY145,BX145,BZ145,AJ145,1,2)*CB145</f>
        <v>-0.53146814955411825</v>
      </c>
      <c r="BM145" s="137">
        <f>_xll.xSPRDOPT(BW145,BV145,CG145,0,BY145,BX145,BZ145,AJ145,1,1)*CB145</f>
        <v>0.53146814955846855</v>
      </c>
      <c r="BN145" s="137">
        <f>IF(AH145&lt;&gt;0,_xll.xSPRDOPT($BW145,$BV145,$CG145,2*LN(1+CA145/2),$BY145,$BX145,$BZ145,$AJ145,1,8)+(AJ145/365.25)*CH145/AH145,0)</f>
        <v>-0.4390189268269693</v>
      </c>
      <c r="BO145" s="137">
        <f>_xll.xSPRDOPT($BW145,$BV145,$CG145,0,$BY145,$BX145,$BZ145,$AJ145,1,0)</f>
        <v>0.44862436024619762</v>
      </c>
      <c r="BP145" s="137"/>
      <c r="BQ145" s="137"/>
      <c r="BR145" s="137"/>
      <c r="BS145" s="137"/>
      <c r="BV145" s="262">
        <v>3.9544757033248081</v>
      </c>
      <c r="BW145" s="136">
        <v>4.4394999999999998</v>
      </c>
      <c r="BX145" s="137">
        <v>0.17152489380528782</v>
      </c>
      <c r="BY145" s="137">
        <v>0.17152489380528782</v>
      </c>
      <c r="BZ145" s="137">
        <v>1</v>
      </c>
      <c r="CA145" s="137">
        <v>6.2104694393893198E-2</v>
      </c>
      <c r="CB145" s="137">
        <v>0.53146827321791279</v>
      </c>
      <c r="CC145" s="258">
        <v>1.6E-2</v>
      </c>
      <c r="CD145" s="258">
        <v>0.01</v>
      </c>
      <c r="CE145" s="258">
        <v>0.6</v>
      </c>
      <c r="CF145" s="258">
        <v>0</v>
      </c>
      <c r="CG145" s="258">
        <v>3.6400000000000002E-2</v>
      </c>
      <c r="CH145" s="258">
        <v>5.8785705700633333</v>
      </c>
      <c r="CI145" s="258">
        <v>3.8395000000000001</v>
      </c>
      <c r="CJ145" s="258"/>
      <c r="CK145" s="258"/>
      <c r="CL145" s="258"/>
      <c r="CM145" s="258"/>
    </row>
    <row r="146" spans="1:91" x14ac:dyDescent="0.25">
      <c r="A146" s="723"/>
      <c r="B146" s="723"/>
      <c r="D146" s="31">
        <f t="shared" si="117"/>
        <v>41044</v>
      </c>
      <c r="F146" s="28">
        <f t="shared" si="118"/>
        <v>5895</v>
      </c>
      <c r="G146" s="28">
        <f t="shared" si="76"/>
        <v>3117.6377266791092</v>
      </c>
      <c r="H146" s="52">
        <f t="shared" si="119"/>
        <v>3.9519181585677745</v>
      </c>
      <c r="I146" s="52">
        <f t="shared" si="120"/>
        <v>4.5845000000000002</v>
      </c>
      <c r="K146" s="52">
        <f t="shared" si="121"/>
        <v>9.7742237532000011</v>
      </c>
      <c r="L146" s="135">
        <f t="shared" si="122"/>
        <v>9.9506903694646098E-7</v>
      </c>
      <c r="N146" s="131">
        <f t="shared" si="77"/>
        <v>0.17206816573992303</v>
      </c>
      <c r="O146" s="131">
        <f t="shared" si="78"/>
        <v>0.17206816573992303</v>
      </c>
      <c r="P146" s="55">
        <f t="shared" si="123"/>
        <v>1</v>
      </c>
      <c r="Q146" s="135">
        <f>_xll.xSPRDOPT(I146,H146,AQ146,0,O146,N146,P146,D146-$G$5,1,0)*AH146*AU146</f>
        <v>9.7742247482690381</v>
      </c>
      <c r="R146" s="135"/>
      <c r="S146" s="181">
        <f t="shared" si="124"/>
        <v>-97902.63306408198</v>
      </c>
      <c r="T146" s="181">
        <f>_xll.xSPRDOPT(I146,H146,AQ146,AT146,O146,N146,P146,D146-$G$5,1,1)*AF146*F146*AH146</f>
        <v>95699.82382014014</v>
      </c>
      <c r="U146" s="135"/>
      <c r="V146" s="146">
        <f t="shared" si="125"/>
        <v>6.0447267047708593</v>
      </c>
      <c r="W146" s="146"/>
      <c r="X146" s="338">
        <f t="shared" si="126"/>
        <v>0</v>
      </c>
      <c r="Y146" s="338">
        <f t="shared" si="79"/>
        <v>0</v>
      </c>
      <c r="Z146" s="338">
        <f t="shared" si="80"/>
        <v>28.947838609403036</v>
      </c>
      <c r="AA146" s="338">
        <f t="shared" si="81"/>
        <v>8.293896805094372E-9</v>
      </c>
      <c r="AB146" s="338">
        <f t="shared" si="127"/>
        <v>0</v>
      </c>
      <c r="AC146" s="338">
        <f t="shared" si="128"/>
        <v>29.395278554911886</v>
      </c>
      <c r="AF146" s="138">
        <f t="shared" si="129"/>
        <v>1</v>
      </c>
      <c r="AG146" s="138">
        <f t="shared" si="130"/>
        <v>5</v>
      </c>
      <c r="AH146" s="138">
        <f t="shared" si="82"/>
        <v>31</v>
      </c>
      <c r="AI146" s="138">
        <f t="shared" si="131"/>
        <v>3788</v>
      </c>
      <c r="AJ146" s="138">
        <f t="shared" si="132"/>
        <v>3805</v>
      </c>
      <c r="AL146" s="136">
        <f t="shared" si="83"/>
        <v>3.8344999999999998</v>
      </c>
      <c r="AM146" s="258">
        <f t="shared" si="84"/>
        <v>1.8499999999999999E-2</v>
      </c>
      <c r="AN146" s="258">
        <f t="shared" si="85"/>
        <v>0.01</v>
      </c>
      <c r="AO146" s="258">
        <f t="shared" si="86"/>
        <v>0.75</v>
      </c>
      <c r="AP146" s="258">
        <f t="shared" si="87"/>
        <v>0</v>
      </c>
      <c r="AQ146" s="136">
        <f t="shared" si="133"/>
        <v>3.6400000000000002E-2</v>
      </c>
      <c r="AR146" s="137">
        <f t="shared" si="88"/>
        <v>2.2499999999999999E-2</v>
      </c>
      <c r="AS146" s="136">
        <f t="shared" si="134"/>
        <v>3.8629999999999995</v>
      </c>
      <c r="AT146" s="137">
        <f t="shared" si="135"/>
        <v>6.2143930605958402E-2</v>
      </c>
      <c r="AU146" s="137">
        <f t="shared" si="89"/>
        <v>0.52886136160799135</v>
      </c>
      <c r="AV146" s="394">
        <f t="shared" si="136"/>
        <v>2229.6795005392914</v>
      </c>
      <c r="AW146" s="137">
        <f t="shared" si="90"/>
        <v>0.17</v>
      </c>
      <c r="AX146" s="137">
        <f t="shared" si="91"/>
        <v>0.45</v>
      </c>
      <c r="AY146" s="137">
        <f t="shared" si="92"/>
        <v>0.45</v>
      </c>
      <c r="AZ146" s="137"/>
      <c r="BA146" s="264"/>
      <c r="BB146" s="258">
        <f t="shared" si="93"/>
        <v>0</v>
      </c>
      <c r="BC146" s="258">
        <f t="shared" si="137"/>
        <v>0</v>
      </c>
      <c r="BD146" s="137">
        <f t="shared" si="138"/>
        <v>1.6201862378661946E-6</v>
      </c>
      <c r="BE146" s="137">
        <f t="shared" si="139"/>
        <v>1.6201862378661946E-6</v>
      </c>
      <c r="BF146" s="137">
        <f>_xll.xSPRDOPT($BW146,$BV146,$CG146,0,$BY146,$BX146,$BZ146,$AJ146,1,4)*$CB146</f>
        <v>-5.0410804236849154E-7</v>
      </c>
      <c r="BG146" s="137">
        <f>_xll.xSPRDOPT($BW146,$BV146,$CG146,0,$BY146,$BX146,$BZ146,$AJ146,1,3)*$CB146</f>
        <v>-5.0410804236849112E-7</v>
      </c>
      <c r="BH146" s="137">
        <f>IF(OR(BF146&lt;&gt;0,BG146&lt;&gt;0),_xll.xSPRDOPT($BW146,$BV146,$CG146,0,$BY146,$BX146,$BZ146,$AJ146,1,12)*$CB146,0)</f>
        <v>3.1506752648030696E-7</v>
      </c>
      <c r="BI146" s="137">
        <f>_xll.xSPRDOPT($BW146,$BV146,$CG146,2*LN(1+CA146/2),$BY146,$BX146,$BZ146,$AJ146,1,9)</f>
        <v>1.9285886621767053E-2</v>
      </c>
      <c r="BJ146" s="137">
        <f>_xll.xSPRDOPT($BW146,$BV146,$CG146,0,$BY146,$BX146,$BZ146,$AJ146,1,6)*$CB146</f>
        <v>-1.7495214203285437E-7</v>
      </c>
      <c r="BK146" s="137">
        <f>_xll.xSPRDOPT($BW146,$BV146,$CG146,0,$BY146,$BX146,$BZ146,$AJ146,1,5)*$CB146</f>
        <v>2.0296440439624548E-7</v>
      </c>
      <c r="BL146" s="137">
        <f>_xll.xSPRDOPT(BW146,BV146,CG146,0,BY146,BX146,BZ146,AJ146,1,2)*CB146</f>
        <v>-0.52859563485165273</v>
      </c>
      <c r="BM146" s="137">
        <f>_xll.xSPRDOPT(BW146,BV146,CG146,0,BY146,BX146,BZ146,AJ146,1,1)*CB146</f>
        <v>0.52859563484972971</v>
      </c>
      <c r="BN146" s="137">
        <f>IF(AH146&lt;&gt;0,_xll.xSPRDOPT($BW146,$BV146,$CG146,2*LN(1+CA146/2),$BY146,$BX146,$BZ146,$AJ146,1,8)+(AJ146/365.25)*CH146/AH146,0)</f>
        <v>-1.2526646644552235</v>
      </c>
      <c r="BO146" s="137">
        <f>_xll.xSPRDOPT($BW146,$BV146,$CG146,0,$BY146,$BX146,$BZ146,$AJ146,1,0)</f>
        <v>0.59618190213029609</v>
      </c>
      <c r="BP146" s="137"/>
      <c r="BQ146" s="137"/>
      <c r="BR146" s="137"/>
      <c r="BS146" s="137"/>
      <c r="BV146" s="262">
        <v>3.9519181585677745</v>
      </c>
      <c r="BW146" s="136">
        <v>4.5845000000000002</v>
      </c>
      <c r="BX146" s="137">
        <v>0.17206654555368517</v>
      </c>
      <c r="BY146" s="137">
        <v>0.17206654555368517</v>
      </c>
      <c r="BZ146" s="137">
        <v>1</v>
      </c>
      <c r="CA146" s="137">
        <v>6.2143930605958402E-2</v>
      </c>
      <c r="CB146" s="137">
        <v>0.52859559463458294</v>
      </c>
      <c r="CC146" s="258">
        <v>1.8499999999999999E-2</v>
      </c>
      <c r="CD146" s="258">
        <v>0.01</v>
      </c>
      <c r="CE146" s="258">
        <v>0.75</v>
      </c>
      <c r="CF146" s="258">
        <v>0</v>
      </c>
      <c r="CG146" s="258">
        <v>3.6400000000000002E-2</v>
      </c>
      <c r="CH146" s="258">
        <v>6.0416890679948931</v>
      </c>
      <c r="CI146" s="258">
        <v>3.8344999999999998</v>
      </c>
      <c r="CJ146" s="258"/>
      <c r="CK146" s="258"/>
      <c r="CL146" s="258"/>
      <c r="CM146" s="258"/>
    </row>
    <row r="147" spans="1:91" x14ac:dyDescent="0.25">
      <c r="A147" s="723"/>
      <c r="B147" s="723"/>
      <c r="D147" s="31">
        <f t="shared" si="117"/>
        <v>41075</v>
      </c>
      <c r="F147" s="28">
        <f t="shared" si="118"/>
        <v>5895</v>
      </c>
      <c r="G147" s="28">
        <f t="shared" si="76"/>
        <v>3100.2068768810341</v>
      </c>
      <c r="H147" s="52">
        <f t="shared" si="119"/>
        <v>3.9877237851662399</v>
      </c>
      <c r="I147" s="52">
        <f t="shared" si="120"/>
        <v>4.7195</v>
      </c>
      <c r="K147" s="52">
        <f t="shared" si="121"/>
        <v>10.971043884209294</v>
      </c>
      <c r="L147" s="135">
        <f t="shared" si="122"/>
        <v>1.0881848719890286E-6</v>
      </c>
      <c r="N147" s="131">
        <f t="shared" si="77"/>
        <v>0.17198600590885876</v>
      </c>
      <c r="O147" s="131">
        <f t="shared" si="78"/>
        <v>0.17198600590885876</v>
      </c>
      <c r="P147" s="55">
        <f t="shared" si="123"/>
        <v>1.0000000000000002</v>
      </c>
      <c r="Q147" s="135">
        <f>_xll.xSPRDOPT(I147,H147,AQ147,0,O147,N147,P147,D147-$G$5,1,0)*AH147*AU147</f>
        <v>10.971044972394166</v>
      </c>
      <c r="R147" s="135"/>
      <c r="S147" s="181">
        <f t="shared" si="124"/>
        <v>-94205.992825225345</v>
      </c>
      <c r="T147" s="181">
        <f>_xll.xSPRDOPT(I147,H147,AQ147,AT147,O147,N147,P147,D147-$G$5,1,1)*AF147*F147*AH147</f>
        <v>92086.357986657778</v>
      </c>
      <c r="U147" s="135"/>
      <c r="V147" s="146">
        <f t="shared" si="125"/>
        <v>5.8170293918882301</v>
      </c>
      <c r="W147" s="146"/>
      <c r="X147" s="338">
        <f t="shared" si="126"/>
        <v>0</v>
      </c>
      <c r="Y147" s="338">
        <f t="shared" si="79"/>
        <v>0</v>
      </c>
      <c r="Z147" s="338">
        <f t="shared" si="80"/>
        <v>32.513270473551223</v>
      </c>
      <c r="AA147" s="338">
        <f t="shared" si="81"/>
        <v>-2.5742607571785632E-8</v>
      </c>
      <c r="AB147" s="338">
        <f t="shared" si="127"/>
        <v>0</v>
      </c>
      <c r="AC147" s="338">
        <f t="shared" si="128"/>
        <v>33.016145143535482</v>
      </c>
      <c r="AF147" s="138">
        <f t="shared" si="129"/>
        <v>1</v>
      </c>
      <c r="AG147" s="138">
        <f t="shared" si="130"/>
        <v>6</v>
      </c>
      <c r="AH147" s="138">
        <f t="shared" si="82"/>
        <v>30</v>
      </c>
      <c r="AI147" s="138">
        <f t="shared" si="131"/>
        <v>3819</v>
      </c>
      <c r="AJ147" s="138">
        <f t="shared" si="132"/>
        <v>3836</v>
      </c>
      <c r="AL147" s="136">
        <f t="shared" si="83"/>
        <v>3.8694999999999999</v>
      </c>
      <c r="AM147" s="258">
        <f t="shared" si="84"/>
        <v>1.8499999999999999E-2</v>
      </c>
      <c r="AN147" s="258">
        <f t="shared" si="85"/>
        <v>0.01</v>
      </c>
      <c r="AO147" s="258">
        <f t="shared" si="86"/>
        <v>0.85</v>
      </c>
      <c r="AP147" s="258">
        <f t="shared" si="87"/>
        <v>0</v>
      </c>
      <c r="AQ147" s="136">
        <f t="shared" si="133"/>
        <v>3.6400000000000002E-2</v>
      </c>
      <c r="AR147" s="137">
        <f t="shared" si="88"/>
        <v>2.2499999999999999E-2</v>
      </c>
      <c r="AS147" s="136">
        <f t="shared" si="134"/>
        <v>3.8979999999999997</v>
      </c>
      <c r="AT147" s="137">
        <f t="shared" si="135"/>
        <v>6.2184474692295502E-2</v>
      </c>
      <c r="AU147" s="137">
        <f t="shared" si="89"/>
        <v>0.52590447444970889</v>
      </c>
      <c r="AV147" s="394">
        <f t="shared" si="136"/>
        <v>2145.6902557548124</v>
      </c>
      <c r="AW147" s="137">
        <f t="shared" si="90"/>
        <v>0.17</v>
      </c>
      <c r="AX147" s="137">
        <f t="shared" si="91"/>
        <v>0.45</v>
      </c>
      <c r="AY147" s="137">
        <f t="shared" si="92"/>
        <v>0.45</v>
      </c>
      <c r="AZ147" s="137"/>
      <c r="BA147" s="264"/>
      <c r="BB147" s="258">
        <f t="shared" si="93"/>
        <v>0</v>
      </c>
      <c r="BC147" s="258">
        <f t="shared" si="137"/>
        <v>0</v>
      </c>
      <c r="BD147" s="137">
        <f t="shared" si="138"/>
        <v>1.5438218012586713E-6</v>
      </c>
      <c r="BE147" s="137">
        <f t="shared" si="139"/>
        <v>1.5438218012586713E-6</v>
      </c>
      <c r="BF147" s="137">
        <f>_xll.xSPRDOPT($BW147,$BV147,$CG147,0,$BY147,$BX147,$BZ147,$AJ147,1,4)*$CB147</f>
        <v>0</v>
      </c>
      <c r="BG147" s="137">
        <f>_xll.xSPRDOPT($BW147,$BV147,$CG147,0,$BY147,$BX147,$BZ147,$AJ147,1,3)*$CB147</f>
        <v>0</v>
      </c>
      <c r="BH147" s="137">
        <f>IF(OR(BF147&lt;&gt;0,BG147&lt;&gt;0),_xll.xSPRDOPT($BW147,$BV147,$CG147,0,$BY147,$BX147,$BZ147,$AJ147,1,12)*$CB147,0)</f>
        <v>0</v>
      </c>
      <c r="BI147" s="137">
        <f>_xll.xSPRDOPT($BW147,$BV147,$CG147,2*LN(1+CA147/2),$BY147,$BX147,$BZ147,$AJ147,1,9)</f>
        <v>2.2383323043001759E-2</v>
      </c>
      <c r="BJ147" s="137">
        <f>_xll.xSPRDOPT($BW147,$BV147,$CG147,0,$BY147,$BX147,$BZ147,$AJ147,1,6)*$CB147</f>
        <v>5.1382907371975573E-7</v>
      </c>
      <c r="BK147" s="137">
        <f>_xll.xSPRDOPT($BW147,$BV147,$CG147,0,$BY147,$BX147,$BZ147,$AJ147,1,5)*$CB147</f>
        <v>-6.0811574476691389E-7</v>
      </c>
      <c r="BL147" s="137">
        <f>_xll.xSPRDOPT(BW147,BV147,CG147,0,BY147,BX147,BZ147,AJ147,1,2)*CB147</f>
        <v>-0.52564007305223048</v>
      </c>
      <c r="BM147" s="137">
        <f>_xll.xSPRDOPT(BW147,BV147,CG147,0,BY147,BX147,BZ147,AJ147,1,1)*CB147</f>
        <v>0.52564007305701121</v>
      </c>
      <c r="BN147" s="137">
        <f>IF(AH147&lt;&gt;0,_xll.xSPRDOPT($BW147,$BV147,$CG147,2*LN(1+CA147/2),$BY147,$BX147,$BZ147,$AJ147,1,8)+(AJ147/365.25)*CH147/AH147,0)</f>
        <v>-1.8034097217820548</v>
      </c>
      <c r="BO147" s="137">
        <f>_xll.xSPRDOPT($BW147,$BV147,$CG147,0,$BY147,$BX147,$BZ147,$AJ147,1,0)</f>
        <v>0.69537628379425431</v>
      </c>
      <c r="BP147" s="137"/>
      <c r="BQ147" s="137"/>
      <c r="BR147" s="137"/>
      <c r="BS147" s="137"/>
      <c r="BV147" s="262">
        <v>3.9877237851662399</v>
      </c>
      <c r="BW147" s="136">
        <v>4.7195</v>
      </c>
      <c r="BX147" s="137">
        <v>0.1719844620870575</v>
      </c>
      <c r="BY147" s="137">
        <v>0.1719844620870575</v>
      </c>
      <c r="BZ147" s="137">
        <v>1</v>
      </c>
      <c r="CA147" s="137">
        <v>6.2184474692295502E-2</v>
      </c>
      <c r="CB147" s="137">
        <v>0.52564002362394624</v>
      </c>
      <c r="CC147" s="258">
        <v>1.8499999999999999E-2</v>
      </c>
      <c r="CD147" s="258">
        <v>0.01</v>
      </c>
      <c r="CE147" s="258">
        <v>0.85</v>
      </c>
      <c r="CF147" s="258">
        <v>0</v>
      </c>
      <c r="CG147" s="258">
        <v>3.6400000000000002E-2</v>
      </c>
      <c r="CH147" s="258">
        <v>5.8141043013044698</v>
      </c>
      <c r="CI147" s="258">
        <v>3.8694999999999999</v>
      </c>
      <c r="CJ147" s="258"/>
      <c r="CK147" s="258"/>
      <c r="CL147" s="258"/>
      <c r="CM147" s="258"/>
    </row>
    <row r="148" spans="1:91" x14ac:dyDescent="0.25">
      <c r="A148" s="723"/>
      <c r="B148" s="723"/>
      <c r="D148" s="31">
        <f t="shared" si="117"/>
        <v>41105</v>
      </c>
      <c r="F148" s="28">
        <f t="shared" si="118"/>
        <v>5895</v>
      </c>
      <c r="G148" s="28">
        <f t="shared" si="76"/>
        <v>3083.4115378958118</v>
      </c>
      <c r="H148" s="52">
        <f t="shared" si="119"/>
        <v>4.0286445012787722</v>
      </c>
      <c r="I148" s="52">
        <f t="shared" si="120"/>
        <v>4.9595000000000002</v>
      </c>
      <c r="K148" s="52">
        <f t="shared" si="121"/>
        <v>14.503342926485667</v>
      </c>
      <c r="L148" s="135">
        <f t="shared" si="122"/>
        <v>1.4257620239988E-6</v>
      </c>
      <c r="N148" s="131">
        <f t="shared" si="77"/>
        <v>0.17258853655422438</v>
      </c>
      <c r="O148" s="131">
        <f t="shared" si="78"/>
        <v>0.17258853655422438</v>
      </c>
      <c r="P148" s="55">
        <f t="shared" si="123"/>
        <v>1</v>
      </c>
      <c r="Q148" s="135">
        <f>_xll.xSPRDOPT(I148,H148,AQ148,0,O148,N148,P148,D148-$G$5,1,0)*AH148*AU148</f>
        <v>14.503344352247691</v>
      </c>
      <c r="R148" s="135"/>
      <c r="S148" s="181">
        <f t="shared" si="124"/>
        <v>-96810.077630562635</v>
      </c>
      <c r="T148" s="181">
        <f>_xll.xSPRDOPT(I148,H148,AQ148,AT148,O148,N148,P148,D148-$G$5,1,1)*AF148*F148*AH148</f>
        <v>94631.850883874984</v>
      </c>
      <c r="U148" s="135"/>
      <c r="V148" s="146">
        <f t="shared" si="125"/>
        <v>5.9783662179283734</v>
      </c>
      <c r="W148" s="146"/>
      <c r="X148" s="338">
        <f t="shared" si="126"/>
        <v>0</v>
      </c>
      <c r="Y148" s="338">
        <f t="shared" si="79"/>
        <v>0</v>
      </c>
      <c r="Z148" s="338">
        <f t="shared" si="80"/>
        <v>43.00812160739212</v>
      </c>
      <c r="AA148" s="338">
        <f t="shared" si="81"/>
        <v>-6.1239217801071725E-8</v>
      </c>
      <c r="AB148" s="338">
        <f t="shared" si="127"/>
        <v>0</v>
      </c>
      <c r="AC148" s="338">
        <f t="shared" si="128"/>
        <v>43.673734605349566</v>
      </c>
      <c r="AF148" s="138">
        <f t="shared" si="129"/>
        <v>1</v>
      </c>
      <c r="AG148" s="138">
        <f t="shared" si="130"/>
        <v>7</v>
      </c>
      <c r="AH148" s="138">
        <f t="shared" si="82"/>
        <v>31</v>
      </c>
      <c r="AI148" s="138">
        <f t="shared" si="131"/>
        <v>3849</v>
      </c>
      <c r="AJ148" s="138">
        <f t="shared" si="132"/>
        <v>3866</v>
      </c>
      <c r="AL148" s="136">
        <f t="shared" si="83"/>
        <v>3.9095</v>
      </c>
      <c r="AM148" s="258">
        <f t="shared" si="84"/>
        <v>1.8499999999999999E-2</v>
      </c>
      <c r="AN148" s="258">
        <f t="shared" si="85"/>
        <v>0.01</v>
      </c>
      <c r="AO148" s="258">
        <f t="shared" si="86"/>
        <v>1.05</v>
      </c>
      <c r="AP148" s="258">
        <f t="shared" si="87"/>
        <v>0</v>
      </c>
      <c r="AQ148" s="136">
        <f t="shared" si="133"/>
        <v>3.6400000000000002E-2</v>
      </c>
      <c r="AR148" s="137">
        <f t="shared" si="88"/>
        <v>2.2499999999999999E-2</v>
      </c>
      <c r="AS148" s="136">
        <f t="shared" si="134"/>
        <v>3.9379999999999997</v>
      </c>
      <c r="AT148" s="137">
        <f t="shared" si="135"/>
        <v>6.2223710905399403E-2</v>
      </c>
      <c r="AU148" s="137">
        <f t="shared" si="89"/>
        <v>0.52305539234873821</v>
      </c>
      <c r="AV148" s="394">
        <f t="shared" si="136"/>
        <v>2205.2015341422803</v>
      </c>
      <c r="AW148" s="137">
        <f t="shared" si="90"/>
        <v>0.17</v>
      </c>
      <c r="AX148" s="137">
        <f t="shared" si="91"/>
        <v>0.5</v>
      </c>
      <c r="AY148" s="137">
        <f t="shared" si="92"/>
        <v>0.5</v>
      </c>
      <c r="AZ148" s="137"/>
      <c r="BA148" s="264"/>
      <c r="BB148" s="258">
        <f t="shared" si="93"/>
        <v>0</v>
      </c>
      <c r="BC148" s="258">
        <f t="shared" si="137"/>
        <v>0</v>
      </c>
      <c r="BD148" s="137">
        <f t="shared" si="138"/>
        <v>1.9928684283354592E-6</v>
      </c>
      <c r="BE148" s="137">
        <f t="shared" si="139"/>
        <v>1.9928684283354592E-6</v>
      </c>
      <c r="BF148" s="137">
        <f>_xll.xSPRDOPT($BW148,$BV148,$CG148,0,$BY148,$BX148,$BZ148,$AJ148,1,4)*$CB148</f>
        <v>3.7393012818219134E-7</v>
      </c>
      <c r="BG148" s="137">
        <f>_xll.xSPRDOPT($BW148,$BV148,$CG148,0,$BY148,$BX148,$BZ148,$AJ148,1,3)*$CB148</f>
        <v>3.7393012818219134E-7</v>
      </c>
      <c r="BH148" s="137">
        <f>IF(OR(BF148&lt;&gt;0,BG148&lt;&gt;0),_xll.xSPRDOPT($BW148,$BV148,$CG148,0,$BY148,$BX148,$BZ148,$AJ148,1,12)*$CB148,0)</f>
        <v>-1.2464337606073044E-7</v>
      </c>
      <c r="BI148" s="137">
        <f>_xll.xSPRDOPT($BW148,$BV148,$CG148,2*LN(1+CA148/2),$BY148,$BX148,$BZ148,$AJ148,1,9)</f>
        <v>2.8653253471777562E-2</v>
      </c>
      <c r="BJ148" s="137">
        <f>_xll.xSPRDOPT($BW148,$BV148,$CG148,0,$BY148,$BX148,$BZ148,$AJ148,1,6)*$CB148</f>
        <v>7.2017462269300832E-7</v>
      </c>
      <c r="BK148" s="137">
        <f>_xll.xSPRDOPT($BW148,$BV148,$CG148,0,$BY148,$BX148,$BZ148,$AJ148,1,5)*$CB148</f>
        <v>-8.8832796524373568E-7</v>
      </c>
      <c r="BL148" s="137">
        <f>_xll.xSPRDOPT(BW148,BV148,CG148,0,BY148,BX148,BZ148,AJ148,1,2)*CB148</f>
        <v>-0.52279226208896679</v>
      </c>
      <c r="BM148" s="137">
        <f>_xll.xSPRDOPT(BW148,BV148,CG148,0,BY148,BX148,BZ148,AJ148,1,1)*CB148</f>
        <v>0.52279226209847629</v>
      </c>
      <c r="BN148" s="137">
        <f>IF(AH148&lt;&gt;0,_xll.xSPRDOPT($BW148,$BV148,$CG148,2*LN(1+CA148/2),$BY148,$BX148,$BZ148,$AJ148,1,8)+(AJ148/365.25)*CH148/AH148,0)</f>
        <v>-2.9092740256162823</v>
      </c>
      <c r="BO148" s="137">
        <f>_xll.xSPRDOPT($BW148,$BV148,$CG148,0,$BY148,$BX148,$BZ148,$AJ148,1,0)</f>
        <v>0.89445558663069502</v>
      </c>
      <c r="BP148" s="137"/>
      <c r="BQ148" s="137"/>
      <c r="BR148" s="137"/>
      <c r="BS148" s="137"/>
      <c r="BV148" s="262">
        <v>4.0286445012787722</v>
      </c>
      <c r="BW148" s="136">
        <v>4.9595000000000002</v>
      </c>
      <c r="BX148" s="137">
        <v>0.17258654368579604</v>
      </c>
      <c r="BY148" s="137">
        <v>0.17258654368579604</v>
      </c>
      <c r="BZ148" s="137">
        <v>1</v>
      </c>
      <c r="CA148" s="137">
        <v>6.2223710905399403E-2</v>
      </c>
      <c r="CB148" s="137">
        <v>0.52279221078502591</v>
      </c>
      <c r="CC148" s="258">
        <v>1.8499999999999999E-2</v>
      </c>
      <c r="CD148" s="258">
        <v>0.01</v>
      </c>
      <c r="CE148" s="258">
        <v>1.05</v>
      </c>
      <c r="CF148" s="258">
        <v>0</v>
      </c>
      <c r="CG148" s="258">
        <v>3.6400000000000002E-2</v>
      </c>
      <c r="CH148" s="258">
        <v>5.9753581316096112</v>
      </c>
      <c r="CI148" s="258">
        <v>3.9095</v>
      </c>
      <c r="CJ148" s="258"/>
      <c r="CK148" s="258"/>
      <c r="CL148" s="258"/>
      <c r="CM148" s="258"/>
    </row>
    <row r="149" spans="1:91" x14ac:dyDescent="0.25">
      <c r="A149" s="723"/>
      <c r="B149" s="723"/>
      <c r="D149" s="31">
        <f t="shared" si="117"/>
        <v>41136</v>
      </c>
      <c r="F149" s="28">
        <f t="shared" si="118"/>
        <v>5895</v>
      </c>
      <c r="G149" s="28">
        <f t="shared" si="76"/>
        <v>3066.1318266341818</v>
      </c>
      <c r="H149" s="52">
        <f t="shared" si="119"/>
        <v>4.0644501278772376</v>
      </c>
      <c r="I149" s="52">
        <f t="shared" si="120"/>
        <v>4.9995000000000003</v>
      </c>
      <c r="K149" s="52">
        <f t="shared" si="121"/>
        <v>14.489694349687285</v>
      </c>
      <c r="L149" s="135">
        <f t="shared" si="122"/>
        <v>1.4179274252512641E-6</v>
      </c>
      <c r="N149" s="131">
        <f t="shared" si="77"/>
        <v>0.17317228629118056</v>
      </c>
      <c r="O149" s="131">
        <f t="shared" si="78"/>
        <v>0.17317228629118056</v>
      </c>
      <c r="P149" s="55">
        <f t="shared" si="123"/>
        <v>0.99999999999999989</v>
      </c>
      <c r="Q149" s="135">
        <f>_xll.xSPRDOPT(I149,H149,AQ149,0,O149,N149,P149,D149-$G$5,1,0)*AH149*AU149</f>
        <v>14.489695767614711</v>
      </c>
      <c r="R149" s="135"/>
      <c r="S149" s="181">
        <f t="shared" si="124"/>
        <v>-96258.541353999681</v>
      </c>
      <c r="T149" s="181">
        <f>_xll.xSPRDOPT(I149,H149,AQ149,AT149,O149,N149,P149,D149-$G$5,1,1)*AF149*F149*AH149</f>
        <v>94092.724173534691</v>
      </c>
      <c r="U149" s="135"/>
      <c r="V149" s="146">
        <f t="shared" si="125"/>
        <v>5.944862924322428</v>
      </c>
      <c r="W149" s="146"/>
      <c r="X149" s="338">
        <f t="shared" si="126"/>
        <v>0</v>
      </c>
      <c r="Y149" s="338">
        <f t="shared" si="79"/>
        <v>0</v>
      </c>
      <c r="Z149" s="338">
        <f t="shared" si="80"/>
        <v>42.995206616240488</v>
      </c>
      <c r="AA149" s="338">
        <f t="shared" si="81"/>
        <v>-7.2992441402821693E-8</v>
      </c>
      <c r="AB149" s="338">
        <f t="shared" si="127"/>
        <v>0</v>
      </c>
      <c r="AC149" s="338">
        <f t="shared" si="128"/>
        <v>43.661051102884542</v>
      </c>
      <c r="AF149" s="138">
        <f t="shared" si="129"/>
        <v>1</v>
      </c>
      <c r="AG149" s="138">
        <f t="shared" si="130"/>
        <v>8</v>
      </c>
      <c r="AH149" s="138">
        <f t="shared" si="82"/>
        <v>31</v>
      </c>
      <c r="AI149" s="138">
        <f t="shared" si="131"/>
        <v>3880</v>
      </c>
      <c r="AJ149" s="138">
        <f t="shared" si="132"/>
        <v>3897</v>
      </c>
      <c r="AL149" s="136">
        <f t="shared" si="83"/>
        <v>3.9495</v>
      </c>
      <c r="AM149" s="258">
        <f t="shared" si="84"/>
        <v>1.35E-2</v>
      </c>
      <c r="AN149" s="258">
        <f t="shared" si="85"/>
        <v>0.01</v>
      </c>
      <c r="AO149" s="258">
        <f t="shared" si="86"/>
        <v>1.05</v>
      </c>
      <c r="AP149" s="258">
        <f t="shared" si="87"/>
        <v>0</v>
      </c>
      <c r="AQ149" s="136">
        <f t="shared" si="133"/>
        <v>3.6400000000000002E-2</v>
      </c>
      <c r="AR149" s="137">
        <f t="shared" si="88"/>
        <v>2.2499999999999999E-2</v>
      </c>
      <c r="AS149" s="136">
        <f t="shared" si="134"/>
        <v>3.9729999999999999</v>
      </c>
      <c r="AT149" s="137">
        <f t="shared" si="135"/>
        <v>6.2264254992810297E-2</v>
      </c>
      <c r="AU149" s="137">
        <f t="shared" si="89"/>
        <v>0.52012414361903003</v>
      </c>
      <c r="AV149" s="394">
        <f t="shared" si="136"/>
        <v>2192.8433894978307</v>
      </c>
      <c r="AW149" s="137">
        <f t="shared" si="90"/>
        <v>0.17</v>
      </c>
      <c r="AX149" s="137">
        <f t="shared" si="91"/>
        <v>0.55000000000000004</v>
      </c>
      <c r="AY149" s="137">
        <f t="shared" si="92"/>
        <v>0.55000000000000004</v>
      </c>
      <c r="AZ149" s="137"/>
      <c r="BA149" s="264"/>
      <c r="BB149" s="258">
        <f t="shared" si="93"/>
        <v>0</v>
      </c>
      <c r="BC149" s="258">
        <f t="shared" si="137"/>
        <v>0</v>
      </c>
      <c r="BD149" s="137">
        <f t="shared" si="138"/>
        <v>2.4188166274363709E-6</v>
      </c>
      <c r="BE149" s="137">
        <f t="shared" si="139"/>
        <v>2.4188166274363709E-6</v>
      </c>
      <c r="BF149" s="137">
        <f>_xll.xSPRDOPT($BW149,$BV149,$CG149,0,$BY149,$BX149,$BZ149,$AJ149,1,4)*$CB149</f>
        <v>9.9155858812989153E-7</v>
      </c>
      <c r="BG149" s="137">
        <f>_xll.xSPRDOPT($BW149,$BV149,$CG149,0,$BY149,$BX149,$BZ149,$AJ149,1,3)*$CB149</f>
        <v>2.4788964703247288E-7</v>
      </c>
      <c r="BH149" s="137">
        <f>IF(OR(BF149&lt;&gt;0,BG149&lt;&gt;0),_xll.xSPRDOPT($BW149,$BV149,$CG149,0,$BY149,$BX149,$BZ149,$AJ149,1,12)*$CB149,0)</f>
        <v>0</v>
      </c>
      <c r="BI149" s="137">
        <f>_xll.xSPRDOPT($BW149,$BV149,$CG149,2*LN(1+CA149/2),$BY149,$BX149,$BZ149,$AJ149,1,9)</f>
        <v>2.8644649131452454E-2</v>
      </c>
      <c r="BJ149" s="137">
        <f>_xll.xSPRDOPT($BW149,$BV149,$CG149,0,$BY149,$BX149,$BZ149,$AJ149,1,6)*$CB149</f>
        <v>7.1772939942064583E-7</v>
      </c>
      <c r="BK149" s="137">
        <f>_xll.xSPRDOPT($BW149,$BV149,$CG149,0,$BY149,$BX149,$BZ149,$AJ149,1,5)*$CB149</f>
        <v>-8.8286071514039132E-7</v>
      </c>
      <c r="BL149" s="137">
        <f>_xll.xSPRDOPT(BW149,BV149,CG149,0,BY149,BX149,BZ149,AJ149,1,2)*CB149</f>
        <v>-0.51986231985047238</v>
      </c>
      <c r="BM149" s="137">
        <f>_xll.xSPRDOPT(BW149,BV149,CG149,0,BY149,BX149,BZ149,AJ149,1,1)*CB149</f>
        <v>0.51986231985709175</v>
      </c>
      <c r="BN149" s="137">
        <f>IF(AH149&lt;&gt;0,_xll.xSPRDOPT($BW149,$BV149,$CG149,2*LN(1+CA149/2),$BY149,$BX149,$BZ149,$AJ149,1,8)+(AJ149/365.25)*CH149/AH149,0)</f>
        <v>-2.9394314935298009</v>
      </c>
      <c r="BO149" s="137">
        <f>_xll.xSPRDOPT($BW149,$BV149,$CG149,0,$BY149,$BX149,$BZ149,$AJ149,1,0)</f>
        <v>0.89864996004212405</v>
      </c>
      <c r="BP149" s="137"/>
      <c r="BQ149" s="137"/>
      <c r="BR149" s="137"/>
      <c r="BS149" s="137"/>
      <c r="BV149" s="262">
        <v>4.0644501278772376</v>
      </c>
      <c r="BW149" s="136">
        <v>4.9995000000000003</v>
      </c>
      <c r="BX149" s="137">
        <v>0.17316986747455312</v>
      </c>
      <c r="BY149" s="137">
        <v>0.17316986747455312</v>
      </c>
      <c r="BZ149" s="137">
        <v>1</v>
      </c>
      <c r="CA149" s="137">
        <v>6.2264254992810297E-2</v>
      </c>
      <c r="CB149" s="137">
        <v>0.51986226905344457</v>
      </c>
      <c r="CC149" s="258">
        <v>1.35E-2</v>
      </c>
      <c r="CD149" s="258">
        <v>0.01</v>
      </c>
      <c r="CE149" s="258">
        <v>1.05</v>
      </c>
      <c r="CF149" s="258">
        <v>0</v>
      </c>
      <c r="CG149" s="258">
        <v>3.6400000000000002E-2</v>
      </c>
      <c r="CH149" s="258">
        <v>5.9418697766001554</v>
      </c>
      <c r="CI149" s="258">
        <v>3.9495</v>
      </c>
      <c r="CJ149" s="258"/>
      <c r="CK149" s="258"/>
      <c r="CL149" s="258"/>
      <c r="CM149" s="258"/>
    </row>
    <row r="150" spans="1:91" x14ac:dyDescent="0.25">
      <c r="A150" s="723"/>
      <c r="B150" s="723"/>
      <c r="D150" s="31">
        <f t="shared" si="117"/>
        <v>41167</v>
      </c>
      <c r="F150" s="28">
        <f t="shared" si="118"/>
        <v>5895</v>
      </c>
      <c r="G150" s="28">
        <f t="shared" ref="G150:G213" si="140">F150*$AU150</f>
        <v>3048.9286275630197</v>
      </c>
      <c r="H150" s="52">
        <f t="shared" si="119"/>
        <v>4.0593350383631712</v>
      </c>
      <c r="I150" s="52">
        <f t="shared" si="120"/>
        <v>4.6944999999999997</v>
      </c>
      <c r="K150" s="52">
        <f t="shared" si="121"/>
        <v>9.2905426601333296</v>
      </c>
      <c r="L150" s="135">
        <f t="shared" si="122"/>
        <v>9.5145954048803105E-7</v>
      </c>
      <c r="N150" s="131">
        <f t="shared" ref="N150:N213" si="141">SQRT(($AX150^2*($AH150/2)+$AW150^2*$AI150)/(($AH150/2)+$AI150))</f>
        <v>0.1730472154274465</v>
      </c>
      <c r="O150" s="131">
        <f t="shared" ref="O150:O213" si="142">SQRT(($AY150^2*($AH150/2)+$AW150^2*$AI150)/(($AH150/2)+$AI150))</f>
        <v>0.1730472154274465</v>
      </c>
      <c r="P150" s="55">
        <f t="shared" si="123"/>
        <v>1</v>
      </c>
      <c r="Q150" s="135">
        <f>_xll.xSPRDOPT(I150,H150,AQ150,0,O150,N150,P150,D150-$G$5,1,0)*AH150*AU150</f>
        <v>9.2905436115928701</v>
      </c>
      <c r="R150" s="135"/>
      <c r="S150" s="181">
        <f t="shared" si="124"/>
        <v>-92622.077983769545</v>
      </c>
      <c r="T150" s="181">
        <f>_xll.xSPRDOPT(I150,H150,AQ150,AT150,O150,N150,P150,D150-$G$5,1,1)*AF150*F150*AH150</f>
        <v>90538.081229134739</v>
      </c>
      <c r="U150" s="135"/>
      <c r="V150" s="146">
        <f t="shared" si="125"/>
        <v>5.7208141729388569</v>
      </c>
      <c r="W150" s="146"/>
      <c r="X150" s="338">
        <f t="shared" si="126"/>
        <v>0</v>
      </c>
      <c r="Y150" s="338">
        <f t="shared" ref="Y150:Y213" si="143">($F150*$AH150)*((($BG150/2)*($BC150)^2)+(($BF150/2)*($BB150)^2)+($BH150*$BC150*$BB150))</f>
        <v>0</v>
      </c>
      <c r="Z150" s="338">
        <f t="shared" ref="Z150:Z213" si="144">($BI150*$F150*$AH150*($G$5-$BV$5))/365.25</f>
        <v>27.585450604051452</v>
      </c>
      <c r="AA150" s="338">
        <f t="shared" ref="AA150:AA213" si="145">(($BK150*$BE150)+($BJ150*$BD150))*$F150*$AH150*$AF150</f>
        <v>1.5432814878258365E-7</v>
      </c>
      <c r="AB150" s="338">
        <f t="shared" si="127"/>
        <v>0</v>
      </c>
      <c r="AC150" s="338">
        <f t="shared" si="128"/>
        <v>28.012934757770189</v>
      </c>
      <c r="AF150" s="138">
        <f t="shared" si="129"/>
        <v>1</v>
      </c>
      <c r="AG150" s="138">
        <f t="shared" si="130"/>
        <v>9</v>
      </c>
      <c r="AH150" s="138">
        <f t="shared" ref="AH150:AH213" si="146">(EOMONTH(D150,0)-EOMONTH(D150-DAY(D150),0))*AF150</f>
        <v>30</v>
      </c>
      <c r="AI150" s="138">
        <f t="shared" si="131"/>
        <v>3911</v>
      </c>
      <c r="AJ150" s="138">
        <f t="shared" si="132"/>
        <v>3928</v>
      </c>
      <c r="AL150" s="136">
        <f t="shared" ref="AL150:AL213" si="147">VLOOKUP($D150,CurveTbl,$AK$4)</f>
        <v>3.9445000000000001</v>
      </c>
      <c r="AM150" s="258">
        <f t="shared" ref="AM150:AM213" si="148">VLOOKUP($D150,CurveTbl,$AH$3)</f>
        <v>1.35E-2</v>
      </c>
      <c r="AN150" s="258">
        <f t="shared" ref="AN150:AN213" si="149">VLOOKUP($D150,CurveTbl,$AH$4)+VLOOKUP($AG150,$AL$3:$AS$15,6)</f>
        <v>0.01</v>
      </c>
      <c r="AO150" s="258">
        <f t="shared" ref="AO150:AO213" si="150">VLOOKUP($D150,CurveTbl,$AH$5)</f>
        <v>0.75</v>
      </c>
      <c r="AP150" s="258">
        <f t="shared" ref="AP150:AP213" si="151">VLOOKUP($D150,CurveTbl,$AH$6)+VLOOKUP($AG150,$AL$3:$AS$15,7)</f>
        <v>0</v>
      </c>
      <c r="AQ150" s="136">
        <f t="shared" si="133"/>
        <v>3.6400000000000002E-2</v>
      </c>
      <c r="AR150" s="137">
        <f t="shared" ref="AR150:AR213" si="152">VLOOKUP($AG150,$AL$4:$AS$15,4)</f>
        <v>2.2499999999999999E-2</v>
      </c>
      <c r="AS150" s="136">
        <f t="shared" si="134"/>
        <v>3.968</v>
      </c>
      <c r="AT150" s="137">
        <f t="shared" si="135"/>
        <v>6.2304799080766603E-2</v>
      </c>
      <c r="AU150" s="137">
        <f t="shared" ref="AU150:AU213" si="153">(1+$AT150/2)^(-2*($D150-$G$5)/365.25)*$AF150</f>
        <v>0.51720587405649188</v>
      </c>
      <c r="AV150" s="394">
        <f t="shared" si="136"/>
        <v>2110.1999661504869</v>
      </c>
      <c r="AW150" s="137">
        <f t="shared" ref="AW150:AW213" si="154">VLOOKUP($D150,CurveTbl,$AK$8)</f>
        <v>0.17</v>
      </c>
      <c r="AX150" s="137">
        <f t="shared" ref="AX150:AX213" si="155">VLOOKUP($D150,CurveTbl,$AH$7)</f>
        <v>0.55000000000000004</v>
      </c>
      <c r="AY150" s="137">
        <f t="shared" ref="AY150:AY213" si="156">VLOOKUP($D150,CurveTbl,$AH$8)</f>
        <v>0.55000000000000004</v>
      </c>
      <c r="AZ150" s="137"/>
      <c r="BA150" s="264"/>
      <c r="BB150" s="258">
        <f t="shared" ref="BB150:BB213" si="157">$H150-$BV150</f>
        <v>0</v>
      </c>
      <c r="BC150" s="258">
        <f t="shared" si="137"/>
        <v>0</v>
      </c>
      <c r="BD150" s="137">
        <f t="shared" si="138"/>
        <v>2.3062403473328441E-6</v>
      </c>
      <c r="BE150" s="137">
        <f t="shared" si="139"/>
        <v>2.3062403473328441E-6</v>
      </c>
      <c r="BF150" s="137">
        <f>_xll.xSPRDOPT($BW150,$BV150,$CG150,0,$BY150,$BX150,$BZ150,$AJ150,1,4)*$CB150</f>
        <v>-1.2324936433929521E-7</v>
      </c>
      <c r="BG150" s="137">
        <f>_xll.xSPRDOPT($BW150,$BV150,$CG150,0,$BY150,$BX150,$BZ150,$AJ150,1,3)*$CB150</f>
        <v>0</v>
      </c>
      <c r="BH150" s="137">
        <f>IF(OR(BF150&lt;&gt;0,BG150&lt;&gt;0),_xll.xSPRDOPT($BW150,$BV150,$CG150,0,$BY150,$BX150,$BZ150,$AJ150,1,12)*$CB150,0)</f>
        <v>3.0812341084823803E-7</v>
      </c>
      <c r="BI150" s="137">
        <f>_xll.xSPRDOPT($BW150,$BV150,$CG150,2*LN(1+CA150/2),$BY150,$BX150,$BZ150,$AJ150,1,9)</f>
        <v>1.8990831840787471E-2</v>
      </c>
      <c r="BJ150" s="137">
        <f>_xll.xSPRDOPT($BW150,$BV150,$CG150,0,$BY150,$BX150,$BZ150,$AJ150,1,6)*$CB150</f>
        <v>-2.4182946137553565E-6</v>
      </c>
      <c r="BK150" s="137">
        <f>_xll.xSPRDOPT($BW150,$BV150,$CG150,0,$BY150,$BX150,$BZ150,$AJ150,1,5)*$CB150</f>
        <v>2.796681012202097E-6</v>
      </c>
      <c r="BL150" s="137">
        <f>_xll.xSPRDOPT(BW150,BV150,CG150,0,BY150,BX150,BZ150,AJ150,1,2)*CB150</f>
        <v>-0.51694530870914457</v>
      </c>
      <c r="BM150" s="137">
        <f>_xll.xSPRDOPT(BW150,BV150,CG150,0,BY150,BX150,BZ150,AJ150,1,1)*CB150</f>
        <v>0.51694530870256228</v>
      </c>
      <c r="BN150" s="137">
        <f>IF(AH150&lt;&gt;0,_xll.xSPRDOPT($BW150,$BV150,$CG150,2*LN(1+CA150/2),$BY150,$BX150,$BZ150,$AJ150,1,8)+(AJ150/365.25)*CH150/AH150,0)</f>
        <v>-1.2790173762768706</v>
      </c>
      <c r="BO150" s="137">
        <f>_xll.xSPRDOPT($BW150,$BV150,$CG150,0,$BY150,$BX150,$BZ150,$AJ150,1,0)</f>
        <v>0.59876502300404699</v>
      </c>
      <c r="BP150" s="137"/>
      <c r="BQ150" s="137"/>
      <c r="BR150" s="137"/>
      <c r="BS150" s="137"/>
      <c r="BV150" s="262">
        <v>4.0593350383631712</v>
      </c>
      <c r="BW150" s="136">
        <v>4.6944999999999997</v>
      </c>
      <c r="BX150" s="137">
        <v>0.17304490918709917</v>
      </c>
      <c r="BY150" s="137">
        <v>0.17304490918709917</v>
      </c>
      <c r="BZ150" s="137">
        <v>1</v>
      </c>
      <c r="CA150" s="137">
        <v>6.2304799080766603E-2</v>
      </c>
      <c r="CB150" s="137">
        <v>0.51694530184576326</v>
      </c>
      <c r="CC150" s="258">
        <v>1.35E-2</v>
      </c>
      <c r="CD150" s="258">
        <v>0.01</v>
      </c>
      <c r="CE150" s="258">
        <v>0.75</v>
      </c>
      <c r="CF150" s="258">
        <v>0</v>
      </c>
      <c r="CG150" s="258">
        <v>3.6400000000000002E-2</v>
      </c>
      <c r="CH150" s="258">
        <v>5.717931983715987</v>
      </c>
      <c r="CI150" s="258">
        <v>3.9445000000000001</v>
      </c>
      <c r="CJ150" s="258"/>
      <c r="CK150" s="258"/>
      <c r="CL150" s="258"/>
      <c r="CM150" s="258"/>
    </row>
    <row r="151" spans="1:91" x14ac:dyDescent="0.25">
      <c r="A151" s="723"/>
      <c r="B151" s="723"/>
      <c r="D151" s="31">
        <f t="shared" si="117"/>
        <v>41197</v>
      </c>
      <c r="F151" s="28">
        <f t="shared" si="118"/>
        <v>6669</v>
      </c>
      <c r="G151" s="28">
        <f t="shared" si="140"/>
        <v>3430.4940405999055</v>
      </c>
      <c r="H151" s="52">
        <f t="shared" si="119"/>
        <v>4.0928205128205128</v>
      </c>
      <c r="I151" s="52">
        <f t="shared" si="120"/>
        <v>4.4195000000000002</v>
      </c>
      <c r="K151" s="52">
        <f t="shared" si="121"/>
        <v>4.6288594357784474</v>
      </c>
      <c r="L151" s="135">
        <f t="shared" si="122"/>
        <v>1.3771191937017591E-5</v>
      </c>
      <c r="N151" s="131">
        <f t="shared" si="141"/>
        <v>0.17377318166359038</v>
      </c>
      <c r="O151" s="131">
        <f t="shared" si="142"/>
        <v>0.17377318166359038</v>
      </c>
      <c r="P151" s="55">
        <f t="shared" si="123"/>
        <v>0.99999999999999989</v>
      </c>
      <c r="Q151" s="135">
        <f>_xll.xSPRDOPT(I151,H151,AQ151,0,O151,N151,P151,D151-$G$5,1,0)*AH151*AU151</f>
        <v>4.6288732069703844</v>
      </c>
      <c r="R151" s="135"/>
      <c r="S151" s="181">
        <f t="shared" si="124"/>
        <v>-107950.5698505667</v>
      </c>
      <c r="T151" s="181">
        <f>_xll.xSPRDOPT(I151,H151,AQ151,AT151,O151,N151,P151,D151-$G$5,1,1)*AF151*F151*AH151</f>
        <v>105251.80560430253</v>
      </c>
      <c r="U151" s="135"/>
      <c r="V151" s="146">
        <f t="shared" si="125"/>
        <v>5.8793698809183894</v>
      </c>
      <c r="W151" s="146"/>
      <c r="X151" s="338">
        <f t="shared" si="126"/>
        <v>0</v>
      </c>
      <c r="Y151" s="338">
        <f t="shared" si="143"/>
        <v>0</v>
      </c>
      <c r="Z151" s="338">
        <f t="shared" si="144"/>
        <v>15.55734122646126</v>
      </c>
      <c r="AA151" s="338">
        <f t="shared" si="145"/>
        <v>3.8416582139352137E-5</v>
      </c>
      <c r="AB151" s="338">
        <f t="shared" si="127"/>
        <v>0</v>
      </c>
      <c r="AC151" s="338">
        <f t="shared" si="128"/>
        <v>15.799486125235333</v>
      </c>
      <c r="AF151" s="138">
        <f t="shared" si="129"/>
        <v>1</v>
      </c>
      <c r="AG151" s="138">
        <f t="shared" si="130"/>
        <v>10</v>
      </c>
      <c r="AH151" s="138">
        <f t="shared" si="146"/>
        <v>31</v>
      </c>
      <c r="AI151" s="138">
        <f t="shared" si="131"/>
        <v>3941</v>
      </c>
      <c r="AJ151" s="138">
        <f t="shared" si="132"/>
        <v>3958</v>
      </c>
      <c r="AL151" s="136">
        <f t="shared" si="147"/>
        <v>3.9695</v>
      </c>
      <c r="AM151" s="258">
        <f t="shared" si="148"/>
        <v>1.0999999999999999E-2</v>
      </c>
      <c r="AN151" s="258">
        <f t="shared" si="149"/>
        <v>0.01</v>
      </c>
      <c r="AO151" s="258">
        <f t="shared" si="150"/>
        <v>0.45</v>
      </c>
      <c r="AP151" s="258">
        <f t="shared" si="151"/>
        <v>0</v>
      </c>
      <c r="AQ151" s="136">
        <f t="shared" si="133"/>
        <v>3.6400000000000002E-2</v>
      </c>
      <c r="AR151" s="137">
        <f t="shared" si="152"/>
        <v>2.5000000000000001E-2</v>
      </c>
      <c r="AS151" s="136">
        <f t="shared" si="134"/>
        <v>3.9904999999999999</v>
      </c>
      <c r="AT151" s="137">
        <f t="shared" si="135"/>
        <v>6.2344035295437202E-2</v>
      </c>
      <c r="AU151" s="137">
        <f t="shared" si="153"/>
        <v>0.51439406816612765</v>
      </c>
      <c r="AV151" s="394">
        <f t="shared" si="136"/>
        <v>2726.8029553486426</v>
      </c>
      <c r="AW151" s="137">
        <f t="shared" si="154"/>
        <v>0.17</v>
      </c>
      <c r="AX151" s="137">
        <f t="shared" si="155"/>
        <v>0.6</v>
      </c>
      <c r="AY151" s="137">
        <f t="shared" si="156"/>
        <v>0.6</v>
      </c>
      <c r="AZ151" s="137"/>
      <c r="BA151" s="264"/>
      <c r="BB151" s="258">
        <f t="shared" si="157"/>
        <v>0</v>
      </c>
      <c r="BC151" s="258">
        <f t="shared" si="137"/>
        <v>0</v>
      </c>
      <c r="BD151" s="137">
        <f t="shared" si="138"/>
        <v>2.827817654121878E-6</v>
      </c>
      <c r="BE151" s="137">
        <f t="shared" si="139"/>
        <v>2.827817654121878E-6</v>
      </c>
      <c r="BF151" s="137">
        <f>_xll.xSPRDOPT($BW151,$BV151,$CG151,0,$BY151,$BX151,$BZ151,$AJ151,1,4)*$CB151</f>
        <v>2.4515855402088794E-7</v>
      </c>
      <c r="BG151" s="137">
        <f>_xll.xSPRDOPT($BW151,$BV151,$CG151,0,$BY151,$BX151,$BZ151,$AJ151,1,3)*$CB151</f>
        <v>-1.2257927701044397E-7</v>
      </c>
      <c r="BH151" s="137">
        <f>IF(OR(BF151&lt;&gt;0,BG151&lt;&gt;0),_xll.xSPRDOPT($BW151,$BV151,$CG151,0,$BY151,$BX151,$BZ151,$AJ151,1,12)*$CB151,0)</f>
        <v>0</v>
      </c>
      <c r="BI151" s="137">
        <f>_xll.xSPRDOPT($BW151,$BV151,$CG151,2*LN(1+CA151/2),$BY151,$BX151,$BZ151,$AJ151,1,9)</f>
        <v>9.1618238180588008E-3</v>
      </c>
      <c r="BJ151" s="137">
        <f>_xll.xSPRDOPT($BW151,$BV151,$CG151,0,$BY151,$BX151,$BZ151,$AJ151,1,6)*$CB151</f>
        <v>-8.2327666051356285E-4</v>
      </c>
      <c r="BK151" s="137">
        <f>_xll.xSPRDOPT($BW151,$BV151,$CG151,0,$BY151,$BX151,$BZ151,$AJ151,1,5)*$CB151</f>
        <v>8.8898869464088144E-4</v>
      </c>
      <c r="BL151" s="137">
        <f>_xll.xSPRDOPT(BW151,BV151,CG151,0,BY151,BX151,BZ151,AJ151,1,2)*CB151</f>
        <v>-0.51412045851144539</v>
      </c>
      <c r="BM151" s="137">
        <f>_xll.xSPRDOPT(BW151,BV151,CG151,0,BY151,BX151,BZ151,AJ151,1,1)*CB151</f>
        <v>0.51412045851238064</v>
      </c>
      <c r="BN151" s="137">
        <f>IF(AH151&lt;&gt;0,_xll.xSPRDOPT($BW151,$BV151,$CG151,2*LN(1+CA151/2),$BY151,$BX151,$BZ151,$AJ151,1,8)+(AJ151/365.25)*CH151/AH151,0)</f>
        <v>0.43690536334257479</v>
      </c>
      <c r="BO151" s="137">
        <f>_xll.xSPRDOPT($BW151,$BV151,$CG151,0,$BY151,$BX151,$BZ151,$AJ151,1,0)</f>
        <v>0.29028035884270154</v>
      </c>
      <c r="BP151" s="137"/>
      <c r="BQ151" s="137"/>
      <c r="BR151" s="137"/>
      <c r="BS151" s="137"/>
      <c r="BV151" s="262">
        <v>4.0928205128205128</v>
      </c>
      <c r="BW151" s="136">
        <v>4.4195000000000002</v>
      </c>
      <c r="BX151" s="137">
        <v>0.17377035384593625</v>
      </c>
      <c r="BY151" s="137">
        <v>0.17377035384593625</v>
      </c>
      <c r="BZ151" s="137">
        <v>1</v>
      </c>
      <c r="CA151" s="137">
        <v>6.2344035295437202E-2</v>
      </c>
      <c r="CB151" s="137">
        <v>0.51413475188201319</v>
      </c>
      <c r="CC151" s="258">
        <v>1.0999999999999999E-2</v>
      </c>
      <c r="CD151" s="258">
        <v>0.01</v>
      </c>
      <c r="CE151" s="258">
        <v>0.45</v>
      </c>
      <c r="CF151" s="258">
        <v>0</v>
      </c>
      <c r="CG151" s="258">
        <v>3.6400000000000002E-2</v>
      </c>
      <c r="CH151" s="258">
        <v>5.8764059735858467</v>
      </c>
      <c r="CI151" s="258">
        <v>3.9695</v>
      </c>
      <c r="CJ151" s="258"/>
      <c r="CK151" s="258"/>
      <c r="CL151" s="258"/>
      <c r="CM151" s="258"/>
    </row>
    <row r="152" spans="1:91" x14ac:dyDescent="0.25">
      <c r="A152" s="723"/>
      <c r="B152" s="723"/>
      <c r="D152" s="31">
        <f t="shared" si="117"/>
        <v>41228</v>
      </c>
      <c r="F152" s="28">
        <f t="shared" si="118"/>
        <v>11107</v>
      </c>
      <c r="G152" s="28">
        <f t="shared" si="140"/>
        <v>5681.2442631087715</v>
      </c>
      <c r="H152" s="52">
        <f t="shared" si="119"/>
        <v>4.2363171355498723</v>
      </c>
      <c r="I152" s="52">
        <f t="shared" si="120"/>
        <v>4.5715000000000003</v>
      </c>
      <c r="K152" s="52">
        <f t="shared" si="121"/>
        <v>4.5848341619856727</v>
      </c>
      <c r="L152" s="135">
        <f t="shared" si="122"/>
        <v>1.6602548852162613E-5</v>
      </c>
      <c r="N152" s="131">
        <f t="shared" si="141"/>
        <v>0.17663266137796474</v>
      </c>
      <c r="O152" s="131">
        <f t="shared" si="142"/>
        <v>0.17663266137796474</v>
      </c>
      <c r="P152" s="55">
        <f t="shared" si="123"/>
        <v>1</v>
      </c>
      <c r="Q152" s="135">
        <f>_xll.xSPRDOPT(I152,H152,AQ152,0,O152,N152,P152,D152-$G$5,1,0)*AH152*AU152</f>
        <v>4.5848507645345249</v>
      </c>
      <c r="R152" s="135"/>
      <c r="S152" s="181">
        <f t="shared" si="124"/>
        <v>-172551.53694641884</v>
      </c>
      <c r="T152" s="181">
        <f>_xll.xSPRDOPT(I152,H152,AQ152,AT152,O152,N152,P152,D152-$G$5,1,1)*AF152*F152*AH152</f>
        <v>168669.12736512441</v>
      </c>
      <c r="U152" s="135"/>
      <c r="V152" s="146">
        <f t="shared" si="125"/>
        <v>5.6577152061084108</v>
      </c>
      <c r="W152" s="146"/>
      <c r="X152" s="338">
        <f t="shared" si="126"/>
        <v>0</v>
      </c>
      <c r="Y152" s="338">
        <f t="shared" si="143"/>
        <v>0</v>
      </c>
      <c r="Z152" s="338">
        <f t="shared" si="144"/>
        <v>25.680306924307995</v>
      </c>
      <c r="AA152" s="338">
        <f t="shared" si="145"/>
        <v>1.0467241397358626E-4</v>
      </c>
      <c r="AB152" s="338">
        <f t="shared" si="127"/>
        <v>0</v>
      </c>
      <c r="AC152" s="338">
        <f t="shared" si="128"/>
        <v>26.080213158557946</v>
      </c>
      <c r="AF152" s="138">
        <f t="shared" si="129"/>
        <v>1</v>
      </c>
      <c r="AG152" s="138">
        <f t="shared" si="130"/>
        <v>11</v>
      </c>
      <c r="AH152" s="138">
        <f t="shared" si="146"/>
        <v>30</v>
      </c>
      <c r="AI152" s="138">
        <f t="shared" si="131"/>
        <v>3972</v>
      </c>
      <c r="AJ152" s="138">
        <f t="shared" si="132"/>
        <v>3989</v>
      </c>
      <c r="AL152" s="136">
        <f t="shared" si="147"/>
        <v>4.1215000000000002</v>
      </c>
      <c r="AM152" s="258">
        <f t="shared" si="148"/>
        <v>1.2E-2</v>
      </c>
      <c r="AN152" s="258">
        <f t="shared" si="149"/>
        <v>7.4999999999999997E-3</v>
      </c>
      <c r="AO152" s="258">
        <f t="shared" si="150"/>
        <v>0.45</v>
      </c>
      <c r="AP152" s="258">
        <f t="shared" si="151"/>
        <v>0</v>
      </c>
      <c r="AQ152" s="136">
        <f t="shared" si="133"/>
        <v>3.6400000000000002E-2</v>
      </c>
      <c r="AR152" s="137">
        <f t="shared" si="152"/>
        <v>2.2499999999999999E-2</v>
      </c>
      <c r="AS152" s="136">
        <f t="shared" si="134"/>
        <v>4.141</v>
      </c>
      <c r="AT152" s="137">
        <f t="shared" si="135"/>
        <v>6.2384579384467301E-2</v>
      </c>
      <c r="AU152" s="137">
        <f t="shared" si="153"/>
        <v>0.51150123913827061</v>
      </c>
      <c r="AV152" s="394">
        <f t="shared" si="136"/>
        <v>3928.3295165819181</v>
      </c>
      <c r="AW152" s="137">
        <f t="shared" si="154"/>
        <v>0.17</v>
      </c>
      <c r="AX152" s="137">
        <f t="shared" si="155"/>
        <v>0.8</v>
      </c>
      <c r="AY152" s="137">
        <f t="shared" si="156"/>
        <v>0.8</v>
      </c>
      <c r="AZ152" s="137"/>
      <c r="BA152" s="264"/>
      <c r="BB152" s="258">
        <f t="shared" si="157"/>
        <v>0</v>
      </c>
      <c r="BC152" s="258">
        <f t="shared" si="137"/>
        <v>0</v>
      </c>
      <c r="BD152" s="137">
        <f t="shared" si="138"/>
        <v>4.8933995049071921E-6</v>
      </c>
      <c r="BE152" s="137">
        <f t="shared" si="139"/>
        <v>4.8933995049071921E-6</v>
      </c>
      <c r="BF152" s="137">
        <f>_xll.xSPRDOPT($BW152,$BV152,$CG152,0,$BY152,$BX152,$BZ152,$AJ152,1,4)*$CB152</f>
        <v>9.1417410865795853E-7</v>
      </c>
      <c r="BG152" s="137">
        <f>_xll.xSPRDOPT($BW152,$BV152,$CG152,0,$BY152,$BX152,$BZ152,$AJ152,1,3)*$CB152</f>
        <v>4.8755952461757789E-7</v>
      </c>
      <c r="BH152" s="137">
        <f>IF(OR(BF152&lt;&gt;0,BG152&lt;&gt;0),_xll.xSPRDOPT($BW152,$BV152,$CG152,0,$BY152,$BX152,$BZ152,$AJ152,1,12)*$CB152,0)</f>
        <v>-7.9228422750356403E-7</v>
      </c>
      <c r="BI152" s="137">
        <f>_xll.xSPRDOPT($BW152,$BV152,$CG152,2*LN(1+CA152/2),$BY152,$BX152,$BZ152,$AJ152,1,9)</f>
        <v>9.3832038895426267E-3</v>
      </c>
      <c r="BJ152" s="137">
        <f>_xll.xSPRDOPT($BW152,$BV152,$CG152,0,$BY152,$BX152,$BZ152,$AJ152,1,6)*$CB152</f>
        <v>-8.1135361339981576E-4</v>
      </c>
      <c r="BK152" s="137">
        <f>_xll.xSPRDOPT($BW152,$BV152,$CG152,0,$BY152,$BX152,$BZ152,$AJ152,1,5)*$CB152</f>
        <v>8.7554895878089948E-4</v>
      </c>
      <c r="BL152" s="137">
        <f>_xll.xSPRDOPT(BW152,BV152,CG152,0,BY152,BX152,BZ152,AJ152,1,2)*CB152</f>
        <v>-0.51122969620647341</v>
      </c>
      <c r="BM152" s="137">
        <f>_xll.xSPRDOPT(BW152,BV152,CG152,0,BY152,BX152,BZ152,AJ152,1,1)*CB152</f>
        <v>0.51122969621623782</v>
      </c>
      <c r="BN152" s="137">
        <f>IF(AH152&lt;&gt;0,_xll.xSPRDOPT($BW152,$BV152,$CG152,2*LN(1+CA152/2),$BY152,$BX152,$BZ152,$AJ152,1,8)+(AJ152/365.25)*CH152/AH152,0)</f>
        <v>0.39037161243332186</v>
      </c>
      <c r="BO152" s="137">
        <f>_xll.xSPRDOPT($BW152,$BV152,$CG152,0,$BY152,$BX152,$BZ152,$AJ152,1,0)</f>
        <v>0.29878395412967124</v>
      </c>
      <c r="BP152" s="137"/>
      <c r="BQ152" s="137"/>
      <c r="BR152" s="137"/>
      <c r="BS152" s="137"/>
      <c r="BV152" s="262">
        <v>4.2363171355498723</v>
      </c>
      <c r="BW152" s="136">
        <v>4.5715000000000003</v>
      </c>
      <c r="BX152" s="137">
        <v>0.17662776797845983</v>
      </c>
      <c r="BY152" s="137">
        <v>0.17662776797845983</v>
      </c>
      <c r="BZ152" s="137">
        <v>1</v>
      </c>
      <c r="CA152" s="137">
        <v>6.2384579384467301E-2</v>
      </c>
      <c r="CB152" s="137">
        <v>0.51124321608540135</v>
      </c>
      <c r="CC152" s="258">
        <v>1.2E-2</v>
      </c>
      <c r="CD152" s="258">
        <v>7.4999999999999997E-3</v>
      </c>
      <c r="CE152" s="258">
        <v>0.45</v>
      </c>
      <c r="CF152" s="258">
        <v>0</v>
      </c>
      <c r="CG152" s="258">
        <v>3.6400000000000002E-2</v>
      </c>
      <c r="CH152" s="258">
        <v>5.6548612131206246</v>
      </c>
      <c r="CI152" s="258">
        <v>4.1215000000000002</v>
      </c>
      <c r="CJ152" s="258"/>
      <c r="CK152" s="258"/>
      <c r="CL152" s="258"/>
      <c r="CM152" s="258"/>
    </row>
    <row r="153" spans="1:91" x14ac:dyDescent="0.25">
      <c r="A153" s="723"/>
      <c r="B153" s="723"/>
      <c r="D153" s="31">
        <f t="shared" si="117"/>
        <v>41258</v>
      </c>
      <c r="F153" s="28">
        <f t="shared" si="118"/>
        <v>11107</v>
      </c>
      <c r="G153" s="28">
        <f t="shared" si="140"/>
        <v>5650.286279964429</v>
      </c>
      <c r="H153" s="52">
        <f t="shared" si="119"/>
        <v>4.3826086956521735</v>
      </c>
      <c r="I153" s="52">
        <f t="shared" si="120"/>
        <v>4.6645000000000003</v>
      </c>
      <c r="K153" s="52">
        <f t="shared" si="121"/>
        <v>3.8714306845250781</v>
      </c>
      <c r="L153" s="135">
        <f t="shared" si="122"/>
        <v>7.2548065869870726E-5</v>
      </c>
      <c r="N153" s="131">
        <f t="shared" si="141"/>
        <v>0.1806837597377825</v>
      </c>
      <c r="O153" s="131">
        <f t="shared" si="142"/>
        <v>0.1806837597377825</v>
      </c>
      <c r="P153" s="55">
        <f t="shared" si="123"/>
        <v>1</v>
      </c>
      <c r="Q153" s="135">
        <f>_xll.xSPRDOPT(I153,H153,AQ153,0,O153,N153,P153,D153-$G$5,1,0)*AH153*AU153</f>
        <v>3.871503232590948</v>
      </c>
      <c r="R153" s="135"/>
      <c r="S153" s="181">
        <f t="shared" si="124"/>
        <v>-177308.21091546019</v>
      </c>
      <c r="T153" s="181">
        <f>_xll.xSPRDOPT(I153,H153,AQ153,AT153,O153,N153,P153,D153-$G$5,1,1)*AF153*F153*AH153</f>
        <v>173318.77616986234</v>
      </c>
      <c r="U153" s="135"/>
      <c r="V153" s="146">
        <f t="shared" si="125"/>
        <v>5.8144482843350538</v>
      </c>
      <c r="W153" s="146"/>
      <c r="X153" s="338">
        <f t="shared" si="126"/>
        <v>0</v>
      </c>
      <c r="Y153" s="338">
        <f t="shared" si="143"/>
        <v>0</v>
      </c>
      <c r="Z153" s="338">
        <f t="shared" si="144"/>
        <v>21.696367015099121</v>
      </c>
      <c r="AA153" s="338">
        <f t="shared" si="145"/>
        <v>3.4636111440504962E-4</v>
      </c>
      <c r="AB153" s="338">
        <f t="shared" si="127"/>
        <v>0</v>
      </c>
      <c r="AC153" s="338">
        <f t="shared" si="128"/>
        <v>22.036290987448957</v>
      </c>
      <c r="AF153" s="138">
        <f t="shared" si="129"/>
        <v>1</v>
      </c>
      <c r="AG153" s="138">
        <f t="shared" si="130"/>
        <v>12</v>
      </c>
      <c r="AH153" s="138">
        <f t="shared" si="146"/>
        <v>31</v>
      </c>
      <c r="AI153" s="138">
        <f t="shared" si="131"/>
        <v>4002</v>
      </c>
      <c r="AJ153" s="138">
        <f t="shared" si="132"/>
        <v>4019</v>
      </c>
      <c r="AL153" s="136">
        <f t="shared" si="147"/>
        <v>4.2645</v>
      </c>
      <c r="AM153" s="258">
        <f t="shared" si="148"/>
        <v>1.2E-2</v>
      </c>
      <c r="AN153" s="258">
        <f t="shared" si="149"/>
        <v>7.4999999999999997E-3</v>
      </c>
      <c r="AO153" s="258">
        <f t="shared" si="150"/>
        <v>0.4</v>
      </c>
      <c r="AP153" s="258">
        <f t="shared" si="151"/>
        <v>0</v>
      </c>
      <c r="AQ153" s="136">
        <f t="shared" si="133"/>
        <v>3.6400000000000002E-2</v>
      </c>
      <c r="AR153" s="137">
        <f t="shared" si="152"/>
        <v>2.2499999999999999E-2</v>
      </c>
      <c r="AS153" s="136">
        <f t="shared" si="134"/>
        <v>4.2839999999999998</v>
      </c>
      <c r="AT153" s="137">
        <f t="shared" si="135"/>
        <v>6.2423815600177103E-2</v>
      </c>
      <c r="AU153" s="137">
        <f t="shared" si="153"/>
        <v>0.5087139893728666</v>
      </c>
      <c r="AV153" s="394">
        <f t="shared" si="136"/>
        <v>4037.1542196630694</v>
      </c>
      <c r="AW153" s="137">
        <f t="shared" si="154"/>
        <v>0.17</v>
      </c>
      <c r="AX153" s="137">
        <f t="shared" si="155"/>
        <v>1</v>
      </c>
      <c r="AY153" s="137">
        <f t="shared" si="156"/>
        <v>1</v>
      </c>
      <c r="AZ153" s="137"/>
      <c r="BA153" s="264"/>
      <c r="BB153" s="258">
        <f t="shared" si="157"/>
        <v>0</v>
      </c>
      <c r="BC153" s="258">
        <f t="shared" si="137"/>
        <v>0</v>
      </c>
      <c r="BD153" s="137">
        <f t="shared" si="138"/>
        <v>7.7364395833778854E-6</v>
      </c>
      <c r="BE153" s="137">
        <f t="shared" si="139"/>
        <v>7.7364395833778854E-6</v>
      </c>
      <c r="BF153" s="137">
        <f>_xll.xSPRDOPT($BW153,$BV153,$CG153,0,$BY153,$BX153,$BZ153,$AJ153,1,4)*$CB153</f>
        <v>-1.5153205794868328E-7</v>
      </c>
      <c r="BG153" s="137">
        <f>_xll.xSPRDOPT($BW153,$BV153,$CG153,0,$BY153,$BX153,$BZ153,$AJ153,1,3)*$CB153</f>
        <v>-2.1214488112815663E-7</v>
      </c>
      <c r="BH153" s="137">
        <f>IF(OR(BF153&lt;&gt;0,BG153&lt;&gt;0),_xll.xSPRDOPT($BW153,$BV153,$CG153,0,$BY153,$BX153,$BZ153,$AJ153,1,12)*$CB153,0)</f>
        <v>3.0306411589736657E-7</v>
      </c>
      <c r="BI153" s="137">
        <f>_xll.xSPRDOPT($BW153,$BV153,$CG153,2*LN(1+CA153/2),$BY153,$BX153,$BZ153,$AJ153,1,9)</f>
        <v>7.6718044246677271E-3</v>
      </c>
      <c r="BJ153" s="137">
        <f>_xll.xSPRDOPT($BW153,$BV153,$CG153,0,$BY153,$BX153,$BZ153,$AJ153,1,6)*$CB153</f>
        <v>-2.0215315918820972E-3</v>
      </c>
      <c r="BK153" s="137">
        <f>_xll.xSPRDOPT($BW153,$BV153,$CG153,0,$BY153,$BX153,$BZ153,$AJ153,1,5)*$CB153</f>
        <v>2.1515573888185361E-3</v>
      </c>
      <c r="BL153" s="137">
        <f>_xll.xSPRDOPT(BW153,BV153,CG153,0,BY153,BX153,BZ153,AJ153,1,2)*CB153</f>
        <v>-0.50842301038650795</v>
      </c>
      <c r="BM153" s="137">
        <f>_xll.xSPRDOPT(BW153,BV153,CG153,0,BY153,BX153,BZ153,AJ153,1,1)*CB153</f>
        <v>0.50842301038558302</v>
      </c>
      <c r="BN153" s="137">
        <f>IF(AH153&lt;&gt;0,_xll.xSPRDOPT($BW153,$BV153,$CG153,2*LN(1+CA153/2),$BY153,$BX153,$BZ153,$AJ153,1,8)+(AJ153/365.25)*CH153/AH153,0)</f>
        <v>0.68929842278341336</v>
      </c>
      <c r="BO153" s="137">
        <f>_xll.xSPRDOPT($BW153,$BV153,$CG153,0,$BY153,$BX153,$BZ153,$AJ153,1,0)</f>
        <v>0.24549591996925033</v>
      </c>
      <c r="BP153" s="137"/>
      <c r="BQ153" s="137"/>
      <c r="BR153" s="137"/>
      <c r="BS153" s="137"/>
      <c r="BV153" s="262">
        <v>4.3826086956521735</v>
      </c>
      <c r="BW153" s="136">
        <v>4.6645000000000003</v>
      </c>
      <c r="BX153" s="137">
        <v>0.18067602329819912</v>
      </c>
      <c r="BY153" s="137">
        <v>0.18067602329819912</v>
      </c>
      <c r="BZ153" s="137">
        <v>1</v>
      </c>
      <c r="CA153" s="137">
        <v>6.2423815600177103E-2</v>
      </c>
      <c r="CB153" s="137">
        <v>0.50845721342591532</v>
      </c>
      <c r="CC153" s="258">
        <v>1.2E-2</v>
      </c>
      <c r="CD153" s="258">
        <v>7.4999999999999997E-3</v>
      </c>
      <c r="CE153" s="258">
        <v>0.4</v>
      </c>
      <c r="CF153" s="258">
        <v>0</v>
      </c>
      <c r="CG153" s="258">
        <v>3.6400000000000002E-2</v>
      </c>
      <c r="CH153" s="258">
        <v>5.8115134122941843</v>
      </c>
      <c r="CI153" s="258">
        <v>4.2645</v>
      </c>
      <c r="CJ153" s="258"/>
      <c r="CK153" s="258"/>
      <c r="CL153" s="258"/>
      <c r="CM153" s="258"/>
    </row>
    <row r="154" spans="1:91" x14ac:dyDescent="0.25">
      <c r="A154" s="723"/>
      <c r="B154" s="723"/>
      <c r="D154" s="31">
        <f t="shared" si="117"/>
        <v>41289</v>
      </c>
      <c r="F154" s="28">
        <f t="shared" si="118"/>
        <v>11107</v>
      </c>
      <c r="G154" s="28">
        <f t="shared" si="140"/>
        <v>5618.4367312493068</v>
      </c>
      <c r="H154" s="52">
        <f t="shared" si="119"/>
        <v>4.4439897698209707</v>
      </c>
      <c r="I154" s="52">
        <f t="shared" si="120"/>
        <v>4.6744999999999992</v>
      </c>
      <c r="K154" s="52">
        <f t="shared" si="121"/>
        <v>3.0438892105539264</v>
      </c>
      <c r="L154" s="135">
        <f t="shared" si="122"/>
        <v>2.534960643365558E-4</v>
      </c>
      <c r="N154" s="131">
        <f t="shared" si="141"/>
        <v>0.18060435367846933</v>
      </c>
      <c r="O154" s="131">
        <f t="shared" si="142"/>
        <v>0.18060435367846933</v>
      </c>
      <c r="P154" s="55">
        <f t="shared" si="123"/>
        <v>1.0000000000000002</v>
      </c>
      <c r="Q154" s="135">
        <f>_xll.xSPRDOPT(I154,H154,AQ154,0,O154,N154,P154,D154-$G$5,1,0)*AH154*AU154</f>
        <v>3.0441427066182629</v>
      </c>
      <c r="R154" s="135"/>
      <c r="S154" s="181">
        <f t="shared" si="124"/>
        <v>-176230.39357487275</v>
      </c>
      <c r="T154" s="181">
        <f>_xll.xSPRDOPT(I154,H154,AQ154,AT154,O154,N154,P154,D154-$G$5,1,1)*AF154*F154*AH154</f>
        <v>172265.20971943813</v>
      </c>
      <c r="U154" s="135"/>
      <c r="V154" s="146">
        <f t="shared" si="125"/>
        <v>5.7816733867975341</v>
      </c>
      <c r="W154" s="146"/>
      <c r="X154" s="338">
        <f t="shared" si="126"/>
        <v>0</v>
      </c>
      <c r="Y154" s="338">
        <f t="shared" si="143"/>
        <v>0</v>
      </c>
      <c r="Z154" s="338">
        <f t="shared" si="144"/>
        <v>17.059570590331418</v>
      </c>
      <c r="AA154" s="338">
        <f t="shared" si="145"/>
        <v>1.5332455354512687E-3</v>
      </c>
      <c r="AB154" s="338">
        <f t="shared" si="127"/>
        <v>0</v>
      </c>
      <c r="AC154" s="338">
        <f t="shared" si="128"/>
        <v>17.338273434471951</v>
      </c>
      <c r="AF154" s="138">
        <f t="shared" si="129"/>
        <v>1</v>
      </c>
      <c r="AG154" s="138">
        <f t="shared" si="130"/>
        <v>1</v>
      </c>
      <c r="AH154" s="138">
        <f t="shared" si="146"/>
        <v>31</v>
      </c>
      <c r="AI154" s="138">
        <f t="shared" si="131"/>
        <v>4033</v>
      </c>
      <c r="AJ154" s="138">
        <f t="shared" si="132"/>
        <v>4050</v>
      </c>
      <c r="AL154" s="136">
        <f t="shared" si="147"/>
        <v>4.3244999999999996</v>
      </c>
      <c r="AM154" s="258">
        <f t="shared" si="148"/>
        <v>1.2E-2</v>
      </c>
      <c r="AN154" s="258">
        <f t="shared" si="149"/>
        <v>7.4999999999999997E-3</v>
      </c>
      <c r="AO154" s="258">
        <f t="shared" si="150"/>
        <v>0.35</v>
      </c>
      <c r="AP154" s="258">
        <f t="shared" si="151"/>
        <v>0</v>
      </c>
      <c r="AQ154" s="136">
        <f t="shared" si="133"/>
        <v>3.6400000000000002E-2</v>
      </c>
      <c r="AR154" s="137">
        <f t="shared" si="152"/>
        <v>2.2499999999999999E-2</v>
      </c>
      <c r="AS154" s="136">
        <f t="shared" si="134"/>
        <v>4.3439999999999994</v>
      </c>
      <c r="AT154" s="137">
        <f t="shared" si="135"/>
        <v>6.2464359690280503E-2</v>
      </c>
      <c r="AU154" s="137">
        <f t="shared" si="153"/>
        <v>0.50584646900596986</v>
      </c>
      <c r="AV154" s="394">
        <f t="shared" si="136"/>
        <v>4014.3975780313767</v>
      </c>
      <c r="AW154" s="137">
        <f t="shared" si="154"/>
        <v>0.17</v>
      </c>
      <c r="AX154" s="137">
        <f t="shared" si="155"/>
        <v>1</v>
      </c>
      <c r="AY154" s="137">
        <f t="shared" si="156"/>
        <v>1</v>
      </c>
      <c r="AZ154" s="137"/>
      <c r="BA154" s="264"/>
      <c r="BB154" s="258">
        <f t="shared" si="157"/>
        <v>0</v>
      </c>
      <c r="BC154" s="258">
        <f t="shared" si="137"/>
        <v>0</v>
      </c>
      <c r="BD154" s="137">
        <f t="shared" si="138"/>
        <v>7.6218057004362461E-6</v>
      </c>
      <c r="BE154" s="137">
        <f t="shared" si="139"/>
        <v>7.6218057004362461E-6</v>
      </c>
      <c r="BF154" s="137">
        <f>_xll.xSPRDOPT($BW154,$BV154,$CG154,0,$BY154,$BX154,$BZ154,$AJ154,1,4)*$CB154</f>
        <v>-7.8352483551497812E-7</v>
      </c>
      <c r="BG154" s="137">
        <f>_xll.xSPRDOPT($BW154,$BV154,$CG154,0,$BY154,$BX154,$BZ154,$AJ154,1,3)*$CB154</f>
        <v>-4.8216912954767885E-7</v>
      </c>
      <c r="BH154" s="137">
        <f>IF(OR(BF154&lt;&gt;0,BG154&lt;&gt;0),_xll.xSPRDOPT($BW154,$BV154,$CG154,0,$BY154,$BX154,$BZ154,$AJ154,1,12)*$CB154,0)</f>
        <v>3.1642349126566424E-7</v>
      </c>
      <c r="BI154" s="137">
        <f>_xll.xSPRDOPT($BW154,$BV154,$CG154,2*LN(1+CA154/2),$BY154,$BX154,$BZ154,$AJ154,1,9)</f>
        <v>6.0322398236882001E-3</v>
      </c>
      <c r="BJ154" s="137">
        <f>_xll.xSPRDOPT($BW154,$BV154,$CG154,0,$BY154,$BX154,$BZ154,$AJ154,1,6)*$CB154</f>
        <v>-1.1263625947070848E-2</v>
      </c>
      <c r="BK154" s="137">
        <f>_xll.xSPRDOPT($BW154,$BV154,$CG154,0,$BY154,$BX154,$BZ154,$AJ154,1,5)*$CB154</f>
        <v>1.1847871438657271E-2</v>
      </c>
      <c r="BL154" s="137">
        <f>_xll.xSPRDOPT(BW154,BV154,CG154,0,BY154,BX154,BZ154,AJ154,1,2)*CB154</f>
        <v>-0.50538018711627497</v>
      </c>
      <c r="BM154" s="137">
        <f>_xll.xSPRDOPT(BW154,BV154,CG154,0,BY154,BX154,BZ154,AJ154,1,1)*CB154</f>
        <v>0.505380187121793</v>
      </c>
      <c r="BN154" s="137">
        <f>IF(AH154&lt;&gt;0,_xll.xSPRDOPT($BW154,$BV154,$CG154,2*LN(1+CA154/2),$BY154,$BX154,$BZ154,$AJ154,1,8)+(AJ154/365.25)*CH154/AH154,0)</f>
        <v>0.9786840747800214</v>
      </c>
      <c r="BO154" s="137">
        <f>_xll.xSPRDOPT($BW154,$BV154,$CG154,0,$BY154,$BX154,$BZ154,$AJ154,1,0)</f>
        <v>0.19412646426697686</v>
      </c>
      <c r="BP154" s="137"/>
      <c r="BQ154" s="137"/>
      <c r="BR154" s="137"/>
      <c r="BS154" s="137"/>
      <c r="BV154" s="262">
        <v>4.4439897698209707</v>
      </c>
      <c r="BW154" s="136">
        <v>4.6744999999999992</v>
      </c>
      <c r="BX154" s="137">
        <v>0.1805967318727689</v>
      </c>
      <c r="BY154" s="137">
        <v>0.1805967318727689</v>
      </c>
      <c r="BZ154" s="137">
        <v>1</v>
      </c>
      <c r="CA154" s="137">
        <v>6.2464359690280503E-2</v>
      </c>
      <c r="CB154" s="137">
        <v>0.5055909771845869</v>
      </c>
      <c r="CC154" s="258">
        <v>1.2E-2</v>
      </c>
      <c r="CD154" s="258">
        <v>7.4999999999999997E-3</v>
      </c>
      <c r="CE154" s="258">
        <v>0.35</v>
      </c>
      <c r="CF154" s="258">
        <v>0</v>
      </c>
      <c r="CG154" s="258">
        <v>3.6400000000000002E-2</v>
      </c>
      <c r="CH154" s="258">
        <v>5.7787531919266728</v>
      </c>
      <c r="CI154" s="258">
        <v>4.3244999999999996</v>
      </c>
      <c r="CJ154" s="258"/>
      <c r="CK154" s="258"/>
      <c r="CL154" s="258"/>
      <c r="CM154" s="258"/>
    </row>
    <row r="155" spans="1:91" x14ac:dyDescent="0.25">
      <c r="A155" s="723"/>
      <c r="B155" s="723"/>
      <c r="D155" s="31">
        <f t="shared" si="117"/>
        <v>41320</v>
      </c>
      <c r="F155" s="28">
        <f t="shared" si="118"/>
        <v>11107</v>
      </c>
      <c r="G155" s="28">
        <f t="shared" si="140"/>
        <v>5586.7294751784593</v>
      </c>
      <c r="H155" s="52">
        <f t="shared" si="119"/>
        <v>4.3570332480818408</v>
      </c>
      <c r="I155" s="52">
        <f t="shared" si="120"/>
        <v>4.5894999999999992</v>
      </c>
      <c r="K155" s="52">
        <f t="shared" si="121"/>
        <v>2.7613588959415689</v>
      </c>
      <c r="L155" s="135">
        <f t="shared" si="122"/>
        <v>2.0992059585989153E-4</v>
      </c>
      <c r="N155" s="131">
        <f t="shared" si="141"/>
        <v>0.1795378514901656</v>
      </c>
      <c r="O155" s="131">
        <f t="shared" si="142"/>
        <v>0.1795378514901656</v>
      </c>
      <c r="P155" s="55">
        <f t="shared" si="123"/>
        <v>1.0000000000000002</v>
      </c>
      <c r="Q155" s="135">
        <f>_xll.xSPRDOPT(I155,H155,AQ155,0,O155,N155,P155,D155-$G$5,1,0)*AH155*AU155</f>
        <v>2.7615688165374288</v>
      </c>
      <c r="R155" s="135"/>
      <c r="S155" s="181">
        <f t="shared" si="124"/>
        <v>-158262.23205494546</v>
      </c>
      <c r="T155" s="181">
        <f>_xll.xSPRDOPT(I155,H155,AQ155,AT155,O155,N155,P155,D155-$G$5,1,1)*AF155*F155*AH155</f>
        <v>154701.33183370921</v>
      </c>
      <c r="U155" s="135"/>
      <c r="V155" s="146">
        <f t="shared" si="125"/>
        <v>5.1926857306160397</v>
      </c>
      <c r="W155" s="146"/>
      <c r="X155" s="338">
        <f t="shared" si="126"/>
        <v>0</v>
      </c>
      <c r="Y155" s="338">
        <f t="shared" si="143"/>
        <v>0</v>
      </c>
      <c r="Z155" s="338">
        <f t="shared" si="144"/>
        <v>15.485989279761251</v>
      </c>
      <c r="AA155" s="338">
        <f t="shared" si="145"/>
        <v>1.2536613375288114E-3</v>
      </c>
      <c r="AB155" s="338">
        <f t="shared" si="127"/>
        <v>0</v>
      </c>
      <c r="AC155" s="338">
        <f t="shared" si="128"/>
        <v>15.73904470194816</v>
      </c>
      <c r="AF155" s="138">
        <f t="shared" si="129"/>
        <v>1</v>
      </c>
      <c r="AG155" s="138">
        <f t="shared" si="130"/>
        <v>2</v>
      </c>
      <c r="AH155" s="138">
        <f t="shared" si="146"/>
        <v>28</v>
      </c>
      <c r="AI155" s="138">
        <f t="shared" si="131"/>
        <v>4064</v>
      </c>
      <c r="AJ155" s="138">
        <f t="shared" si="132"/>
        <v>4081</v>
      </c>
      <c r="AL155" s="136">
        <f t="shared" si="147"/>
        <v>4.2394999999999996</v>
      </c>
      <c r="AM155" s="258">
        <f t="shared" si="148"/>
        <v>1.2E-2</v>
      </c>
      <c r="AN155" s="258">
        <f t="shared" si="149"/>
        <v>7.4999999999999997E-3</v>
      </c>
      <c r="AO155" s="258">
        <f t="shared" si="150"/>
        <v>0.35</v>
      </c>
      <c r="AP155" s="258">
        <f t="shared" si="151"/>
        <v>0</v>
      </c>
      <c r="AQ155" s="136">
        <f t="shared" si="133"/>
        <v>3.6400000000000002E-2</v>
      </c>
      <c r="AR155" s="137">
        <f t="shared" si="152"/>
        <v>2.2499999999999999E-2</v>
      </c>
      <c r="AS155" s="136">
        <f t="shared" si="134"/>
        <v>4.2589999999999995</v>
      </c>
      <c r="AT155" s="137">
        <f t="shared" si="135"/>
        <v>6.2504903780929294E-2</v>
      </c>
      <c r="AU155" s="137">
        <f t="shared" si="153"/>
        <v>0.50299175971715671</v>
      </c>
      <c r="AV155" s="394">
        <f t="shared" si="136"/>
        <v>3605.4449336525795</v>
      </c>
      <c r="AW155" s="137">
        <f t="shared" si="154"/>
        <v>0.17</v>
      </c>
      <c r="AX155" s="137">
        <f t="shared" si="155"/>
        <v>1</v>
      </c>
      <c r="AY155" s="137">
        <f t="shared" si="156"/>
        <v>1</v>
      </c>
      <c r="AZ155" s="137"/>
      <c r="BA155" s="264"/>
      <c r="BB155" s="258">
        <f t="shared" si="157"/>
        <v>0</v>
      </c>
      <c r="BC155" s="258">
        <f t="shared" si="137"/>
        <v>0</v>
      </c>
      <c r="BD155" s="137">
        <f t="shared" si="138"/>
        <v>6.8252987252548358E-6</v>
      </c>
      <c r="BE155" s="137">
        <f t="shared" si="139"/>
        <v>6.8252987252548358E-6</v>
      </c>
      <c r="BF155" s="137">
        <f>_xll.xSPRDOPT($BW155,$BV155,$CG155,0,$BY155,$BX155,$BZ155,$AJ155,1,4)*$CB155</f>
        <v>-3.2962042220891936E-7</v>
      </c>
      <c r="BG155" s="137">
        <f>_xll.xSPRDOPT($BW155,$BV155,$CG155,0,$BY155,$BX155,$BZ155,$AJ155,1,3)*$CB155</f>
        <v>-1.1986197171233432E-7</v>
      </c>
      <c r="BH155" s="137">
        <f>IF(OR(BF155&lt;&gt;0,BG155&lt;&gt;0),_xll.xSPRDOPT($BW155,$BV155,$CG155,0,$BY155,$BX155,$BZ155,$AJ155,1,12)*$CB155,0)</f>
        <v>2.0975845049658507E-7</v>
      </c>
      <c r="BI155" s="137">
        <f>_xll.xSPRDOPT($BW155,$BV155,$CG155,2*LN(1+CA155/2),$BY155,$BX155,$BZ155,$AJ155,1,9)</f>
        <v>6.0625191153935495E-3</v>
      </c>
      <c r="BJ155" s="137">
        <f>_xll.xSPRDOPT($BW155,$BV155,$CG155,0,$BY155,$BX155,$BZ155,$AJ155,1,6)*$CB155</f>
        <v>-1.1069647425750709E-2</v>
      </c>
      <c r="BK155" s="137">
        <f>_xll.xSPRDOPT($BW155,$BV155,$CG155,0,$BY155,$BX155,$BZ155,$AJ155,1,5)*$CB155</f>
        <v>1.1660261463819774E-2</v>
      </c>
      <c r="BL155" s="137">
        <f>_xll.xSPRDOPT(BW155,BV155,CG155,0,BY155,BX155,BZ155,AJ155,1,2)*CB155</f>
        <v>-0.50252698744848512</v>
      </c>
      <c r="BM155" s="137">
        <f>_xll.xSPRDOPT(BW155,BV155,CG155,0,BY155,BX155,BZ155,AJ155,1,1)*CB155</f>
        <v>0.50252698744482727</v>
      </c>
      <c r="BN155" s="137">
        <f>IF(AH155&lt;&gt;0,_xll.xSPRDOPT($BW155,$BV155,$CG155,2*LN(1+CA155/2),$BY155,$BX155,$BZ155,$AJ155,1,8)+(AJ155/365.25)*CH155/AH155,0)</f>
        <v>0.96962646486396675</v>
      </c>
      <c r="BO155" s="137">
        <f>_xll.xSPRDOPT($BW155,$BV155,$CG155,0,$BY155,$BX155,$BZ155,$AJ155,1,0)</f>
        <v>0.19608172660540826</v>
      </c>
      <c r="BP155" s="137"/>
      <c r="BQ155" s="137"/>
      <c r="BR155" s="137"/>
      <c r="BS155" s="137"/>
      <c r="BV155" s="262">
        <v>4.3570332480818408</v>
      </c>
      <c r="BW155" s="136">
        <v>4.5894999999999992</v>
      </c>
      <c r="BX155" s="137">
        <v>0.17953102619144035</v>
      </c>
      <c r="BY155" s="137">
        <v>0.17953102619144035</v>
      </c>
      <c r="BZ155" s="137">
        <v>1</v>
      </c>
      <c r="CA155" s="137">
        <v>6.2504903780929294E-2</v>
      </c>
      <c r="CB155" s="137">
        <v>0.50273754740093068</v>
      </c>
      <c r="CC155" s="258">
        <v>1.2E-2</v>
      </c>
      <c r="CD155" s="258">
        <v>7.4999999999999997E-3</v>
      </c>
      <c r="CE155" s="258">
        <v>0.35</v>
      </c>
      <c r="CF155" s="258">
        <v>0</v>
      </c>
      <c r="CG155" s="258">
        <v>3.6400000000000002E-2</v>
      </c>
      <c r="CH155" s="258">
        <v>5.1900613443482486</v>
      </c>
      <c r="CI155" s="258">
        <v>4.2394999999999996</v>
      </c>
      <c r="CJ155" s="258"/>
      <c r="CK155" s="258"/>
      <c r="CL155" s="258"/>
      <c r="CM155" s="258"/>
    </row>
    <row r="156" spans="1:91" x14ac:dyDescent="0.25">
      <c r="A156" s="723"/>
      <c r="B156" s="723"/>
      <c r="D156" s="31">
        <f t="shared" si="117"/>
        <v>41348</v>
      </c>
      <c r="F156" s="28">
        <f t="shared" si="118"/>
        <v>11107</v>
      </c>
      <c r="G156" s="28">
        <f t="shared" si="140"/>
        <v>5558.2126503647123</v>
      </c>
      <c r="H156" s="52">
        <f t="shared" si="119"/>
        <v>4.2291560102301791</v>
      </c>
      <c r="I156" s="52">
        <f t="shared" si="120"/>
        <v>4.5095000000000001</v>
      </c>
      <c r="K156" s="52">
        <f t="shared" si="121"/>
        <v>3.7843404760503132</v>
      </c>
      <c r="L156" s="135">
        <f t="shared" si="122"/>
        <v>6.1314810734458547E-5</v>
      </c>
      <c r="N156" s="131">
        <f t="shared" si="141"/>
        <v>0.17582259498045291</v>
      </c>
      <c r="O156" s="131">
        <f t="shared" si="142"/>
        <v>0.17582259498045291</v>
      </c>
      <c r="P156" s="55">
        <f t="shared" si="123"/>
        <v>0.99999999999999989</v>
      </c>
      <c r="Q156" s="135">
        <f>_xll.xSPRDOPT(I156,H156,AQ156,0,O156,N156,P156,D156-$G$5,1,0)*AH156*AU156</f>
        <v>3.7844017908610477</v>
      </c>
      <c r="R156" s="135"/>
      <c r="S156" s="181">
        <f t="shared" si="124"/>
        <v>-174370.4338301933</v>
      </c>
      <c r="T156" s="181">
        <f>_xll.xSPRDOPT(I156,H156,AQ156,AT156,O156,N156,P156,D156-$G$5,1,1)*AF156*F156*AH156</f>
        <v>170447.09906901396</v>
      </c>
      <c r="U156" s="135"/>
      <c r="V156" s="146">
        <f t="shared" si="125"/>
        <v>5.7196995705297153</v>
      </c>
      <c r="W156" s="146"/>
      <c r="X156" s="338">
        <f t="shared" si="126"/>
        <v>0</v>
      </c>
      <c r="Y156" s="338">
        <f t="shared" si="143"/>
        <v>0</v>
      </c>
      <c r="Z156" s="338">
        <f t="shared" si="144"/>
        <v>21.247609489699382</v>
      </c>
      <c r="AA156" s="338">
        <f t="shared" si="145"/>
        <v>1.9201873201181967E-4</v>
      </c>
      <c r="AB156" s="338">
        <f t="shared" si="127"/>
        <v>0</v>
      </c>
      <c r="AC156" s="338">
        <f t="shared" si="128"/>
        <v>21.581113886529739</v>
      </c>
      <c r="AF156" s="138">
        <f t="shared" si="129"/>
        <v>1</v>
      </c>
      <c r="AG156" s="138">
        <f t="shared" si="130"/>
        <v>3</v>
      </c>
      <c r="AH156" s="138">
        <f t="shared" si="146"/>
        <v>31</v>
      </c>
      <c r="AI156" s="138">
        <f t="shared" si="131"/>
        <v>4092</v>
      </c>
      <c r="AJ156" s="138">
        <f t="shared" si="132"/>
        <v>4109</v>
      </c>
      <c r="AL156" s="136">
        <f t="shared" si="147"/>
        <v>4.1094999999999997</v>
      </c>
      <c r="AM156" s="258">
        <f t="shared" si="148"/>
        <v>1.7000000000000001E-2</v>
      </c>
      <c r="AN156" s="258">
        <f t="shared" si="149"/>
        <v>7.4999999999999997E-3</v>
      </c>
      <c r="AO156" s="258">
        <f t="shared" si="150"/>
        <v>0.4</v>
      </c>
      <c r="AP156" s="258">
        <f t="shared" si="151"/>
        <v>0</v>
      </c>
      <c r="AQ156" s="136">
        <f t="shared" si="133"/>
        <v>3.6400000000000002E-2</v>
      </c>
      <c r="AR156" s="137">
        <f t="shared" si="152"/>
        <v>2.2499999999999999E-2</v>
      </c>
      <c r="AS156" s="136">
        <f t="shared" si="134"/>
        <v>4.1340000000000003</v>
      </c>
      <c r="AT156" s="137">
        <f t="shared" si="135"/>
        <v>6.2541524250371502E-2</v>
      </c>
      <c r="AU156" s="137">
        <f t="shared" si="153"/>
        <v>0.50042429552216727</v>
      </c>
      <c r="AV156" s="394">
        <f t="shared" si="136"/>
        <v>3971.3672092639194</v>
      </c>
      <c r="AW156" s="137">
        <f t="shared" si="154"/>
        <v>0.17</v>
      </c>
      <c r="AX156" s="137">
        <f t="shared" si="155"/>
        <v>0.75</v>
      </c>
      <c r="AY156" s="137">
        <f t="shared" si="156"/>
        <v>0.75</v>
      </c>
      <c r="AZ156" s="137"/>
      <c r="BA156" s="264"/>
      <c r="BB156" s="258">
        <f t="shared" si="157"/>
        <v>0</v>
      </c>
      <c r="BC156" s="258">
        <f t="shared" si="137"/>
        <v>0</v>
      </c>
      <c r="BD156" s="137">
        <f t="shared" si="138"/>
        <v>4.1792372815763201E-6</v>
      </c>
      <c r="BE156" s="137">
        <f t="shared" si="139"/>
        <v>4.1792372815763201E-6</v>
      </c>
      <c r="BF156" s="137">
        <f>_xll.xSPRDOPT($BW156,$BV156,$CG156,0,$BY156,$BX156,$BZ156,$AJ156,1,4)*$CB156</f>
        <v>-8.9437586352953855E-8</v>
      </c>
      <c r="BG156" s="137">
        <f>_xll.xSPRDOPT($BW156,$BV156,$CG156,0,$BY156,$BX156,$BZ156,$AJ156,1,3)*$CB156</f>
        <v>0</v>
      </c>
      <c r="BH156" s="137">
        <f>IF(OR(BF156&lt;&gt;0,BG156&lt;&gt;0),_xll.xSPRDOPT($BW156,$BV156,$CG156,0,$BY156,$BX156,$BZ156,$AJ156,1,12)*$CB156,0)</f>
        <v>-1.7887517270590771E-7</v>
      </c>
      <c r="BI156" s="137">
        <f>_xll.xSPRDOPT($BW156,$BV156,$CG156,2*LN(1+CA156/2),$BY156,$BX156,$BZ156,$AJ156,1,9)</f>
        <v>7.5131244038804338E-3</v>
      </c>
      <c r="BJ156" s="137">
        <f>_xll.xSPRDOPT($BW156,$BV156,$CG156,0,$BY156,$BX156,$BZ156,$AJ156,1,6)*$CB156</f>
        <v>-2.0130315059671638E-3</v>
      </c>
      <c r="BK156" s="137">
        <f>_xll.xSPRDOPT($BW156,$BV156,$CG156,0,$BY156,$BX156,$BZ156,$AJ156,1,5)*$CB156</f>
        <v>2.1464721416991424E-3</v>
      </c>
      <c r="BL156" s="137">
        <f>_xll.xSPRDOPT(BW156,BV156,CG156,0,BY156,BX156,BZ156,AJ156,1,2)*CB156</f>
        <v>-0.5001362489392398</v>
      </c>
      <c r="BM156" s="137">
        <f>_xll.xSPRDOPT(BW156,BV156,CG156,0,BY156,BX156,BZ156,AJ156,1,1)*CB156</f>
        <v>0.500136248945381</v>
      </c>
      <c r="BN156" s="137">
        <f>IF(AH156&lt;&gt;0,_xll.xSPRDOPT($BW156,$BV156,$CG156,2*LN(1+CA156/2),$BY156,$BX156,$BZ156,$AJ156,1,8)+(AJ156/365.25)*CH156/AH156,0)</f>
        <v>0.70195987923888326</v>
      </c>
      <c r="BO156" s="137">
        <f>_xll.xSPRDOPT($BW156,$BV156,$CG156,0,$BY156,$BX156,$BZ156,$AJ156,1,0)</f>
        <v>0.24394795822812387</v>
      </c>
      <c r="BP156" s="137"/>
      <c r="BQ156" s="137"/>
      <c r="BR156" s="137"/>
      <c r="BS156" s="137"/>
      <c r="BV156" s="262">
        <v>4.2291560102301791</v>
      </c>
      <c r="BW156" s="136">
        <v>4.5095000000000001</v>
      </c>
      <c r="BX156" s="137">
        <v>0.17581841574317134</v>
      </c>
      <c r="BY156" s="137">
        <v>0.17581841574317134</v>
      </c>
      <c r="BZ156" s="137">
        <v>1</v>
      </c>
      <c r="CA156" s="137">
        <v>6.2541524250371502E-2</v>
      </c>
      <c r="CB156" s="137">
        <v>0.50017123492071969</v>
      </c>
      <c r="CC156" s="258">
        <v>1.7000000000000001E-2</v>
      </c>
      <c r="CD156" s="258">
        <v>7.4999999999999997E-3</v>
      </c>
      <c r="CE156" s="258">
        <v>0.4</v>
      </c>
      <c r="CF156" s="258">
        <v>0</v>
      </c>
      <c r="CG156" s="258">
        <v>3.6400000000000002E-2</v>
      </c>
      <c r="CH156" s="258">
        <v>5.7168071637733497</v>
      </c>
      <c r="CI156" s="258">
        <v>4.1094999999999997</v>
      </c>
      <c r="CJ156" s="258"/>
      <c r="CK156" s="258"/>
      <c r="CL156" s="258"/>
      <c r="CM156" s="258"/>
    </row>
    <row r="157" spans="1:91" x14ac:dyDescent="0.25">
      <c r="A157" s="723"/>
      <c r="B157" s="723"/>
      <c r="D157" s="31">
        <f t="shared" si="117"/>
        <v>41379</v>
      </c>
      <c r="F157" s="28">
        <f t="shared" si="118"/>
        <v>5899</v>
      </c>
      <c r="G157" s="28">
        <f t="shared" si="140"/>
        <v>2935.3062622692028</v>
      </c>
      <c r="H157" s="52">
        <f t="shared" si="119"/>
        <v>4.042455242966752</v>
      </c>
      <c r="I157" s="52">
        <f t="shared" si="120"/>
        <v>4.5244999999999997</v>
      </c>
      <c r="K157" s="52">
        <f t="shared" si="121"/>
        <v>6.6525030313636018</v>
      </c>
      <c r="L157" s="135">
        <f t="shared" si="122"/>
        <v>1.5234880601511236E-6</v>
      </c>
      <c r="N157" s="131">
        <f t="shared" si="141"/>
        <v>0.17139203476097428</v>
      </c>
      <c r="O157" s="131">
        <f t="shared" si="142"/>
        <v>0.17139203476097428</v>
      </c>
      <c r="P157" s="55">
        <f t="shared" si="123"/>
        <v>0.99999999999999989</v>
      </c>
      <c r="Q157" s="135">
        <f>_xll.xSPRDOPT(I157,H157,AQ157,0,O157,N157,P157,D157-$G$5,1,0)*AH157*AU157</f>
        <v>6.6525045548516619</v>
      </c>
      <c r="R157" s="135"/>
      <c r="S157" s="181">
        <f t="shared" si="124"/>
        <v>-89112.643872993416</v>
      </c>
      <c r="T157" s="181">
        <f>_xll.xSPRDOPT(I157,H157,AQ157,AT157,O157,N157,P157,D157-$G$5,1,1)*AF157*F157*AH157</f>
        <v>87107.609385851072</v>
      </c>
      <c r="U157" s="135"/>
      <c r="V157" s="146">
        <f t="shared" si="125"/>
        <v>5.5038858394574763</v>
      </c>
      <c r="W157" s="146"/>
      <c r="X157" s="338">
        <f t="shared" si="126"/>
        <v>0</v>
      </c>
      <c r="Y157" s="338">
        <f t="shared" si="143"/>
        <v>0</v>
      </c>
      <c r="Z157" s="338">
        <f t="shared" si="144"/>
        <v>19.852535186464564</v>
      </c>
      <c r="AA157" s="338">
        <f t="shared" si="145"/>
        <v>6.878881562847993E-7</v>
      </c>
      <c r="AB157" s="338">
        <f t="shared" si="127"/>
        <v>0</v>
      </c>
      <c r="AC157" s="338">
        <f t="shared" si="128"/>
        <v>20.161586562581228</v>
      </c>
      <c r="AF157" s="138">
        <f t="shared" si="129"/>
        <v>1</v>
      </c>
      <c r="AG157" s="138">
        <f t="shared" si="130"/>
        <v>4</v>
      </c>
      <c r="AH157" s="138">
        <f t="shared" si="146"/>
        <v>30</v>
      </c>
      <c r="AI157" s="138">
        <f t="shared" si="131"/>
        <v>4123</v>
      </c>
      <c r="AJ157" s="138">
        <f t="shared" si="132"/>
        <v>4140</v>
      </c>
      <c r="AL157" s="136">
        <f t="shared" si="147"/>
        <v>3.9245000000000001</v>
      </c>
      <c r="AM157" s="258">
        <f t="shared" si="148"/>
        <v>1.7000000000000001E-2</v>
      </c>
      <c r="AN157" s="258">
        <f t="shared" si="149"/>
        <v>0.01</v>
      </c>
      <c r="AO157" s="258">
        <f t="shared" si="150"/>
        <v>0.6</v>
      </c>
      <c r="AP157" s="258">
        <f t="shared" si="151"/>
        <v>0</v>
      </c>
      <c r="AQ157" s="136">
        <f t="shared" si="133"/>
        <v>3.6400000000000002E-2</v>
      </c>
      <c r="AR157" s="137">
        <f t="shared" si="152"/>
        <v>2.2499999999999999E-2</v>
      </c>
      <c r="AS157" s="136">
        <f t="shared" si="134"/>
        <v>3.9514999999999998</v>
      </c>
      <c r="AT157" s="137">
        <f t="shared" si="135"/>
        <v>6.2582068342058594E-2</v>
      </c>
      <c r="AU157" s="137">
        <f t="shared" si="153"/>
        <v>0.4975938739225636</v>
      </c>
      <c r="AV157" s="394">
        <f t="shared" si="136"/>
        <v>2030.1830056040594</v>
      </c>
      <c r="AW157" s="137">
        <f t="shared" si="154"/>
        <v>0.17</v>
      </c>
      <c r="AX157" s="137">
        <f t="shared" si="155"/>
        <v>0.4</v>
      </c>
      <c r="AY157" s="137">
        <f t="shared" si="156"/>
        <v>0.4</v>
      </c>
      <c r="AZ157" s="137"/>
      <c r="BA157" s="264"/>
      <c r="BB157" s="258">
        <f t="shared" si="157"/>
        <v>0</v>
      </c>
      <c r="BC157" s="258">
        <f t="shared" si="137"/>
        <v>0</v>
      </c>
      <c r="BD157" s="137">
        <f t="shared" si="138"/>
        <v>1.0043847979424037E-6</v>
      </c>
      <c r="BE157" s="137">
        <f t="shared" si="139"/>
        <v>1.0043847979424037E-6</v>
      </c>
      <c r="BF157" s="137">
        <f>_xll.xSPRDOPT($BW157,$BV157,$CG157,0,$BY157,$BX157,$BZ157,$AJ157,1,4)*$CB157</f>
        <v>3.5572677901703223E-7</v>
      </c>
      <c r="BG157" s="137">
        <f>_xll.xSPRDOPT($BW157,$BV157,$CG157,0,$BY157,$BX157,$BZ157,$AJ157,1,3)*$CB157</f>
        <v>-5.9287796502838703E-8</v>
      </c>
      <c r="BH157" s="137">
        <f>IF(OR(BF157&lt;&gt;0,BG157&lt;&gt;0),_xll.xSPRDOPT($BW157,$BV157,$CG157,0,$BY157,$BX157,$BZ157,$AJ157,1,12)*$CB157,0)</f>
        <v>-2.9643898251419351E-8</v>
      </c>
      <c r="BI157" s="137">
        <f>_xll.xSPRDOPT($BW157,$BV157,$CG157,2*LN(1+CA157/2),$BY157,$BX157,$BZ157,$AJ157,1,9)</f>
        <v>1.3657942922258352E-2</v>
      </c>
      <c r="BJ157" s="137">
        <f>_xll.xSPRDOPT($BW157,$BV157,$CG157,0,$BY157,$BX157,$BZ157,$AJ157,1,6)*$CB157</f>
        <v>-3.2454526804714473E-5</v>
      </c>
      <c r="BK157" s="137">
        <f>_xll.xSPRDOPT($BW157,$BV157,$CG157,0,$BY157,$BX157,$BZ157,$AJ157,1,5)*$CB157</f>
        <v>3.6324589943230572E-5</v>
      </c>
      <c r="BL157" s="137">
        <f>_xll.xSPRDOPT(BW157,BV157,CG157,0,BY157,BX157,BZ157,AJ157,1,2)*CB157</f>
        <v>-0.49734164063332781</v>
      </c>
      <c r="BM157" s="137">
        <f>_xll.xSPRDOPT(BW157,BV157,CG157,0,BY157,BX157,BZ157,AJ157,1,1)*CB157</f>
        <v>0.49734164062925684</v>
      </c>
      <c r="BN157" s="137">
        <f>IF(AH157&lt;&gt;0,_xll.xSPRDOPT($BW157,$BV157,$CG157,2*LN(1+CA157/2),$BY157,$BX157,$BZ157,$AJ157,1,8)+(AJ157/365.25)*CH157/AH157,0)</f>
        <v>-0.43375544313906556</v>
      </c>
      <c r="BO157" s="137">
        <f>_xll.xSPRDOPT($BW157,$BV157,$CG157,0,$BY157,$BX157,$BZ157,$AJ157,1,0)</f>
        <v>0.44564485956597405</v>
      </c>
      <c r="BP157" s="137"/>
      <c r="BQ157" s="137"/>
      <c r="BR157" s="137"/>
      <c r="BS157" s="137"/>
      <c r="BV157" s="262">
        <v>4.042455242966752</v>
      </c>
      <c r="BW157" s="136">
        <v>4.5244999999999997</v>
      </c>
      <c r="BX157" s="137">
        <v>0.17139103037617634</v>
      </c>
      <c r="BY157" s="137">
        <v>0.17139103037617634</v>
      </c>
      <c r="BZ157" s="137">
        <v>1</v>
      </c>
      <c r="CA157" s="137">
        <v>6.2582068342058594E-2</v>
      </c>
      <c r="CB157" s="137">
        <v>0.49734208404608476</v>
      </c>
      <c r="CC157" s="258">
        <v>1.7000000000000001E-2</v>
      </c>
      <c r="CD157" s="258">
        <v>0.01</v>
      </c>
      <c r="CE157" s="258">
        <v>0.6</v>
      </c>
      <c r="CF157" s="258">
        <v>0</v>
      </c>
      <c r="CG157" s="258">
        <v>3.6400000000000002E-2</v>
      </c>
      <c r="CH157" s="258">
        <v>5.5011007916337435</v>
      </c>
      <c r="CI157" s="258">
        <v>3.9245000000000001</v>
      </c>
      <c r="CJ157" s="258"/>
      <c r="CK157" s="258"/>
      <c r="CL157" s="258"/>
      <c r="CM157" s="258"/>
    </row>
    <row r="158" spans="1:91" x14ac:dyDescent="0.25">
      <c r="A158" s="723"/>
      <c r="B158" s="723"/>
      <c r="D158" s="31">
        <f t="shared" si="117"/>
        <v>41409</v>
      </c>
      <c r="F158" s="28">
        <f t="shared" si="118"/>
        <v>5895</v>
      </c>
      <c r="G158" s="28">
        <f t="shared" si="140"/>
        <v>2917.2401373499574</v>
      </c>
      <c r="H158" s="52">
        <f t="shared" si="119"/>
        <v>4.0398976982097183</v>
      </c>
      <c r="I158" s="52">
        <f t="shared" si="120"/>
        <v>4.6695000000000002</v>
      </c>
      <c r="K158" s="52">
        <f t="shared" si="121"/>
        <v>9.1002409660527182</v>
      </c>
      <c r="L158" s="135">
        <f t="shared" si="122"/>
        <v>9.8263525849517919E-7</v>
      </c>
      <c r="N158" s="131">
        <f t="shared" si="141"/>
        <v>0.17188806816207561</v>
      </c>
      <c r="O158" s="131">
        <f t="shared" si="142"/>
        <v>0.17188806816207561</v>
      </c>
      <c r="P158" s="55">
        <f t="shared" si="123"/>
        <v>1.0000000000000002</v>
      </c>
      <c r="Q158" s="135">
        <f>_xll.xSPRDOPT(I158,H158,AQ158,0,O158,N158,P158,D158-$G$5,1,0)*AH158*AU158</f>
        <v>9.1002419486879766</v>
      </c>
      <c r="R158" s="135"/>
      <c r="S158" s="181">
        <f t="shared" si="124"/>
        <v>-91507.946062901639</v>
      </c>
      <c r="T158" s="181">
        <f>_xll.xSPRDOPT(I158,H158,AQ158,AT158,O158,N158,P158,D158-$G$5,1,1)*AF158*F158*AH158</f>
        <v>89449.017276486353</v>
      </c>
      <c r="U158" s="135"/>
      <c r="V158" s="146">
        <f t="shared" si="125"/>
        <v>5.6561797451855487</v>
      </c>
      <c r="W158" s="146"/>
      <c r="X158" s="338">
        <f t="shared" si="126"/>
        <v>0</v>
      </c>
      <c r="Y158" s="338">
        <f t="shared" si="143"/>
        <v>0</v>
      </c>
      <c r="Z158" s="338">
        <f t="shared" si="144"/>
        <v>27.155507683289347</v>
      </c>
      <c r="AA158" s="338">
        <f t="shared" si="145"/>
        <v>8.2468708296863232E-8</v>
      </c>
      <c r="AB158" s="338">
        <f t="shared" si="127"/>
        <v>0</v>
      </c>
      <c r="AC158" s="338">
        <f t="shared" si="128"/>
        <v>27.578455395978366</v>
      </c>
      <c r="AF158" s="138">
        <f t="shared" si="129"/>
        <v>1</v>
      </c>
      <c r="AG158" s="138">
        <f t="shared" si="130"/>
        <v>5</v>
      </c>
      <c r="AH158" s="138">
        <f t="shared" si="146"/>
        <v>31</v>
      </c>
      <c r="AI158" s="138">
        <f t="shared" si="131"/>
        <v>4153</v>
      </c>
      <c r="AJ158" s="138">
        <f t="shared" si="132"/>
        <v>4170</v>
      </c>
      <c r="AL158" s="136">
        <f t="shared" si="147"/>
        <v>3.9195000000000002</v>
      </c>
      <c r="AM158" s="258">
        <f t="shared" si="148"/>
        <v>1.95E-2</v>
      </c>
      <c r="AN158" s="258">
        <f t="shared" si="149"/>
        <v>0.01</v>
      </c>
      <c r="AO158" s="258">
        <f t="shared" si="150"/>
        <v>0.75</v>
      </c>
      <c r="AP158" s="258">
        <f t="shared" si="151"/>
        <v>0</v>
      </c>
      <c r="AQ158" s="136">
        <f t="shared" si="133"/>
        <v>3.6400000000000002E-2</v>
      </c>
      <c r="AR158" s="137">
        <f t="shared" si="152"/>
        <v>2.2499999999999999E-2</v>
      </c>
      <c r="AS158" s="136">
        <f t="shared" si="134"/>
        <v>3.9489999999999998</v>
      </c>
      <c r="AT158" s="137">
        <f t="shared" si="135"/>
        <v>6.2621304560339597E-2</v>
      </c>
      <c r="AU158" s="137">
        <f t="shared" si="153"/>
        <v>0.49486685960134985</v>
      </c>
      <c r="AV158" s="394">
        <f t="shared" si="136"/>
        <v>2086.3586800792909</v>
      </c>
      <c r="AW158" s="137">
        <f t="shared" si="154"/>
        <v>0.17</v>
      </c>
      <c r="AX158" s="137">
        <f t="shared" si="155"/>
        <v>0.45</v>
      </c>
      <c r="AY158" s="137">
        <f t="shared" si="156"/>
        <v>0.45</v>
      </c>
      <c r="AZ158" s="137"/>
      <c r="BA158" s="264"/>
      <c r="BB158" s="258">
        <f t="shared" si="157"/>
        <v>0</v>
      </c>
      <c r="BC158" s="258">
        <f t="shared" si="137"/>
        <v>0</v>
      </c>
      <c r="BD158" s="137">
        <f t="shared" si="138"/>
        <v>1.3503818734328377E-6</v>
      </c>
      <c r="BE158" s="137">
        <f t="shared" si="139"/>
        <v>1.3503818734328377E-6</v>
      </c>
      <c r="BF158" s="137">
        <f>_xll.xSPRDOPT($BW158,$BV158,$CG158,0,$BY158,$BX158,$BZ158,$AJ158,1,4)*$CB158</f>
        <v>1.1792571427179707E-7</v>
      </c>
      <c r="BG158" s="137">
        <f>_xll.xSPRDOPT($BW158,$BV158,$CG158,0,$BY158,$BX158,$BZ158,$AJ158,1,3)*$CB158</f>
        <v>-3.5377714281539123E-7</v>
      </c>
      <c r="BH158" s="137">
        <f>IF(OR(BF158&lt;&gt;0,BG158&lt;&gt;0),_xll.xSPRDOPT($BW158,$BV158,$CG158,0,$BY158,$BX158,$BZ158,$AJ158,1,12)*$CB158,0)</f>
        <v>2.948142856794927E-7</v>
      </c>
      <c r="BI158" s="137">
        <f>_xll.xSPRDOPT($BW158,$BV158,$CG158,2*LN(1+CA158/2),$BY158,$BX158,$BZ158,$AJ158,1,9)</f>
        <v>1.8091783963667833E-2</v>
      </c>
      <c r="BJ158" s="137">
        <f>_xll.xSPRDOPT($BW158,$BV158,$CG158,0,$BY158,$BX158,$BZ158,$AJ158,1,6)*$CB158</f>
        <v>-2.1442880987955073E-6</v>
      </c>
      <c r="BK158" s="137">
        <f>_xll.xSPRDOPT($BW158,$BV158,$CG158,0,$BY158,$BX158,$BZ158,$AJ158,1,5)*$CB158</f>
        <v>2.4784732040693198E-6</v>
      </c>
      <c r="BL158" s="137">
        <f>_xll.xSPRDOPT(BW158,BV158,CG158,0,BY158,BX158,BZ158,AJ158,1,2)*CB158</f>
        <v>-0.4946163038370508</v>
      </c>
      <c r="BM158" s="137">
        <f>_xll.xSPRDOPT(BW158,BV158,CG158,0,BY158,BX158,BZ158,AJ158,1,1)*CB158</f>
        <v>0.4946163038370508</v>
      </c>
      <c r="BN158" s="137">
        <f>IF(AH158&lt;&gt;0,_xll.xSPRDOPT($BW158,$BV158,$CG158,2*LN(1+CA158/2),$BY158,$BX158,$BZ158,$AJ158,1,8)+(AJ158/365.25)*CH158/AH158,0)</f>
        <v>-1.2677545342429211</v>
      </c>
      <c r="BO158" s="137">
        <f>_xll.xSPRDOPT($BW158,$BV158,$CG158,0,$BY158,$BX158,$BZ158,$AJ158,1,0)</f>
        <v>0.59320236588459785</v>
      </c>
      <c r="BP158" s="137"/>
      <c r="BQ158" s="137"/>
      <c r="BR158" s="137"/>
      <c r="BS158" s="137"/>
      <c r="BV158" s="262">
        <v>4.0398976982097183</v>
      </c>
      <c r="BW158" s="136">
        <v>4.6695000000000002</v>
      </c>
      <c r="BX158" s="137">
        <v>0.17188671778020218</v>
      </c>
      <c r="BY158" s="137">
        <v>0.17188671778020218</v>
      </c>
      <c r="BZ158" s="137">
        <v>1</v>
      </c>
      <c r="CA158" s="137">
        <v>6.2621304560339597E-2</v>
      </c>
      <c r="CB158" s="137">
        <v>0.49461629507305555</v>
      </c>
      <c r="CC158" s="258">
        <v>1.95E-2</v>
      </c>
      <c r="CD158" s="258">
        <v>0.01</v>
      </c>
      <c r="CE158" s="258">
        <v>0.75</v>
      </c>
      <c r="CF158" s="258">
        <v>0</v>
      </c>
      <c r="CG158" s="258">
        <v>3.6400000000000002E-2</v>
      </c>
      <c r="CH158" s="258">
        <v>5.6533158677965032</v>
      </c>
      <c r="CI158" s="258">
        <v>3.9195000000000002</v>
      </c>
      <c r="CJ158" s="258"/>
      <c r="CK158" s="258"/>
      <c r="CL158" s="258"/>
      <c r="CM158" s="258"/>
    </row>
    <row r="159" spans="1:91" x14ac:dyDescent="0.25">
      <c r="A159" s="723"/>
      <c r="B159" s="723"/>
      <c r="D159" s="31">
        <f t="shared" si="117"/>
        <v>41440</v>
      </c>
      <c r="F159" s="28">
        <f t="shared" si="118"/>
        <v>5895</v>
      </c>
      <c r="G159" s="28">
        <f t="shared" si="140"/>
        <v>2900.7020596512543</v>
      </c>
      <c r="H159" s="52">
        <f t="shared" si="119"/>
        <v>4.0757033248081838</v>
      </c>
      <c r="I159" s="52">
        <f t="shared" si="120"/>
        <v>4.8045</v>
      </c>
      <c r="K159" s="52">
        <f t="shared" si="121"/>
        <v>10.221050696308305</v>
      </c>
      <c r="L159" s="135">
        <f t="shared" si="122"/>
        <v>1.0080778860555029E-6</v>
      </c>
      <c r="N159" s="131">
        <f t="shared" si="141"/>
        <v>0.17181428245114952</v>
      </c>
      <c r="O159" s="131">
        <f t="shared" si="142"/>
        <v>0.17181428245114952</v>
      </c>
      <c r="P159" s="55">
        <f t="shared" si="123"/>
        <v>1</v>
      </c>
      <c r="Q159" s="135">
        <f>_xll.xSPRDOPT(I159,H159,AQ159,0,O159,N159,P159,D159-$G$5,1,0)*AH159*AU159</f>
        <v>10.221051704386191</v>
      </c>
      <c r="R159" s="135"/>
      <c r="S159" s="181">
        <f t="shared" si="124"/>
        <v>-88045.62727234971</v>
      </c>
      <c r="T159" s="181">
        <f>_xll.xSPRDOPT(I159,H159,AQ159,AT159,O159,N159,P159,D159-$G$5,1,1)*AF159*F159*AH159</f>
        <v>86064.600658721844</v>
      </c>
      <c r="U159" s="135"/>
      <c r="V159" s="146">
        <f t="shared" si="125"/>
        <v>5.442691345513575</v>
      </c>
      <c r="W159" s="146"/>
      <c r="X159" s="338">
        <f t="shared" si="126"/>
        <v>0</v>
      </c>
      <c r="Y159" s="338">
        <f t="shared" si="143"/>
        <v>0</v>
      </c>
      <c r="Z159" s="338">
        <f t="shared" si="144"/>
        <v>30.519491591424877</v>
      </c>
      <c r="AA159" s="338">
        <f t="shared" si="145"/>
        <v>4.9798939938128976E-10</v>
      </c>
      <c r="AB159" s="338">
        <f t="shared" si="127"/>
        <v>0</v>
      </c>
      <c r="AC159" s="338">
        <f t="shared" si="128"/>
        <v>30.995135342537523</v>
      </c>
      <c r="AF159" s="138">
        <f t="shared" si="129"/>
        <v>1</v>
      </c>
      <c r="AG159" s="138">
        <f t="shared" si="130"/>
        <v>6</v>
      </c>
      <c r="AH159" s="138">
        <f t="shared" si="146"/>
        <v>30</v>
      </c>
      <c r="AI159" s="138">
        <f t="shared" si="131"/>
        <v>4184</v>
      </c>
      <c r="AJ159" s="138">
        <f t="shared" si="132"/>
        <v>4201</v>
      </c>
      <c r="AL159" s="136">
        <f t="shared" si="147"/>
        <v>3.9544999999999999</v>
      </c>
      <c r="AM159" s="258">
        <f t="shared" si="148"/>
        <v>1.95E-2</v>
      </c>
      <c r="AN159" s="258">
        <f t="shared" si="149"/>
        <v>0.01</v>
      </c>
      <c r="AO159" s="258">
        <f t="shared" si="150"/>
        <v>0.85</v>
      </c>
      <c r="AP159" s="258">
        <f t="shared" si="151"/>
        <v>0</v>
      </c>
      <c r="AQ159" s="136">
        <f t="shared" si="133"/>
        <v>3.6400000000000002E-2</v>
      </c>
      <c r="AR159" s="137">
        <f t="shared" si="152"/>
        <v>2.2499999999999999E-2</v>
      </c>
      <c r="AS159" s="136">
        <f t="shared" si="134"/>
        <v>3.9839999999999995</v>
      </c>
      <c r="AT159" s="137">
        <f t="shared" si="135"/>
        <v>6.2661848653100094E-2</v>
      </c>
      <c r="AU159" s="137">
        <f t="shared" si="153"/>
        <v>0.49206141809181581</v>
      </c>
      <c r="AV159" s="394">
        <f t="shared" si="136"/>
        <v>2007.6105858146084</v>
      </c>
      <c r="AW159" s="137">
        <f t="shared" si="154"/>
        <v>0.17</v>
      </c>
      <c r="AX159" s="137">
        <f t="shared" si="155"/>
        <v>0.45</v>
      </c>
      <c r="AY159" s="137">
        <f t="shared" si="156"/>
        <v>0.45</v>
      </c>
      <c r="AZ159" s="137"/>
      <c r="BA159" s="264"/>
      <c r="BB159" s="258">
        <f t="shared" si="157"/>
        <v>0</v>
      </c>
      <c r="BC159" s="258">
        <f t="shared" si="137"/>
        <v>0</v>
      </c>
      <c r="BD159" s="137">
        <f t="shared" si="138"/>
        <v>1.2884651665323599E-6</v>
      </c>
      <c r="BE159" s="137">
        <f t="shared" si="139"/>
        <v>1.2884651665323599E-6</v>
      </c>
      <c r="BF159" s="137">
        <f>_xll.xSPRDOPT($BW159,$BV159,$CG159,0,$BY159,$BX159,$BZ159,$AJ159,1,4)*$CB159</f>
        <v>2.3451429139602057E-7</v>
      </c>
      <c r="BG159" s="137">
        <f>_xll.xSPRDOPT($BW159,$BV159,$CG159,0,$BY159,$BX159,$BZ159,$AJ159,1,3)*$CB159</f>
        <v>-2.3451429139602057E-7</v>
      </c>
      <c r="BH159" s="137">
        <f>IF(OR(BF159&lt;&gt;0,BG159&lt;&gt;0),_xll.xSPRDOPT($BW159,$BV159,$CG159,0,$BY159,$BX159,$BZ159,$AJ159,1,12)*$CB159,0)</f>
        <v>1.7588571854701541E-7</v>
      </c>
      <c r="BI159" s="137">
        <f>_xll.xSPRDOPT($BW159,$BV159,$CG159,2*LN(1+CA159/2),$BY159,$BX159,$BZ159,$AJ159,1,9)</f>
        <v>2.1010732831529426E-2</v>
      </c>
      <c r="BJ159" s="137">
        <f>_xll.xSPRDOPT($BW159,$BV159,$CG159,0,$BY159,$BX159,$BZ159,$AJ159,1,6)*$CB159</f>
        <v>-1.2207268701035787E-8</v>
      </c>
      <c r="BK159" s="137">
        <f>_xll.xSPRDOPT($BW159,$BV159,$CG159,0,$BY159,$BX159,$BZ159,$AJ159,1,5)*$CB159</f>
        <v>1.439272613407494E-8</v>
      </c>
      <c r="BL159" s="137">
        <f>_xll.xSPRDOPT(BW159,BV159,CG159,0,BY159,BX159,BZ159,AJ159,1,2)*CB159</f>
        <v>-0.49181215283161767</v>
      </c>
      <c r="BM159" s="137">
        <f>_xll.xSPRDOPT(BW159,BV159,CG159,0,BY159,BX159,BZ159,AJ159,1,1)*CB159</f>
        <v>0.49181215282446084</v>
      </c>
      <c r="BN159" s="137">
        <f>IF(AH159&lt;&gt;0,_xll.xSPRDOPT($BW159,$BV159,$CG159,2*LN(1+CA159/2),$BY159,$BX159,$BZ159,$AJ159,1,8)+(AJ159/365.25)*CH159/AH159,0)</f>
        <v>-1.8310491839002356</v>
      </c>
      <c r="BO159" s="137">
        <f>_xll.xSPRDOPT($BW159,$BV159,$CG159,0,$BY159,$BX159,$BZ159,$AJ159,1,0)</f>
        <v>0.69239674348153069</v>
      </c>
      <c r="BP159" s="137"/>
      <c r="BQ159" s="137"/>
      <c r="BR159" s="137"/>
      <c r="BS159" s="137"/>
      <c r="BV159" s="262">
        <v>4.0757033248081838</v>
      </c>
      <c r="BW159" s="136">
        <v>4.8045</v>
      </c>
      <c r="BX159" s="137">
        <v>0.17181299398598299</v>
      </c>
      <c r="BY159" s="137">
        <v>0.17181299398598299</v>
      </c>
      <c r="BZ159" s="137">
        <v>1</v>
      </c>
      <c r="CA159" s="137">
        <v>6.2661848653100094E-2</v>
      </c>
      <c r="CB159" s="137">
        <v>0.49181211522974733</v>
      </c>
      <c r="CC159" s="258">
        <v>1.95E-2</v>
      </c>
      <c r="CD159" s="258">
        <v>0.01</v>
      </c>
      <c r="CE159" s="258">
        <v>0.85</v>
      </c>
      <c r="CF159" s="258">
        <v>0</v>
      </c>
      <c r="CG159" s="258">
        <v>3.6400000000000002E-2</v>
      </c>
      <c r="CH159" s="258">
        <v>5.439933806556235</v>
      </c>
      <c r="CI159" s="258">
        <v>3.9544999999999999</v>
      </c>
      <c r="CJ159" s="258"/>
      <c r="CK159" s="258"/>
      <c r="CL159" s="258"/>
      <c r="CM159" s="258"/>
    </row>
    <row r="160" spans="1:91" x14ac:dyDescent="0.25">
      <c r="A160" s="723"/>
      <c r="B160" s="723"/>
      <c r="D160" s="31">
        <f t="shared" si="117"/>
        <v>41470</v>
      </c>
      <c r="F160" s="28">
        <f t="shared" si="118"/>
        <v>5895</v>
      </c>
      <c r="G160" s="28">
        <f t="shared" si="140"/>
        <v>2884.7684370092488</v>
      </c>
      <c r="H160" s="52">
        <f t="shared" si="119"/>
        <v>4.1166240409207155</v>
      </c>
      <c r="I160" s="52">
        <f t="shared" si="120"/>
        <v>5.0445000000000002</v>
      </c>
      <c r="K160" s="52">
        <f t="shared" si="121"/>
        <v>13.523791854493393</v>
      </c>
      <c r="L160" s="135">
        <f t="shared" si="122"/>
        <v>1.2926731312035145E-6</v>
      </c>
      <c r="N160" s="131">
        <f t="shared" si="141"/>
        <v>0.17236668205289729</v>
      </c>
      <c r="O160" s="131">
        <f t="shared" si="142"/>
        <v>0.17236668205289729</v>
      </c>
      <c r="P160" s="55">
        <f t="shared" si="123"/>
        <v>0.99999999999999989</v>
      </c>
      <c r="Q160" s="135">
        <f>_xll.xSPRDOPT(I160,H160,AQ160,0,O160,N160,P160,D160-$G$5,1,0)*AH160*AU160</f>
        <v>13.523793147166524</v>
      </c>
      <c r="R160" s="135"/>
      <c r="S160" s="181">
        <f t="shared" si="124"/>
        <v>-90472.330359034255</v>
      </c>
      <c r="T160" s="181">
        <f>_xll.xSPRDOPT(I160,H160,AQ160,AT160,O160,N160,P160,D160-$G$5,1,1)*AF160*F160*AH160</f>
        <v>88436.702925955993</v>
      </c>
      <c r="U160" s="135"/>
      <c r="V160" s="146">
        <f t="shared" si="125"/>
        <v>5.5932210016089252</v>
      </c>
      <c r="W160" s="146"/>
      <c r="X160" s="338">
        <f t="shared" si="126"/>
        <v>0</v>
      </c>
      <c r="Y160" s="338">
        <f t="shared" si="143"/>
        <v>0</v>
      </c>
      <c r="Z160" s="338">
        <f t="shared" si="144"/>
        <v>40.40618143537808</v>
      </c>
      <c r="AA160" s="338">
        <f t="shared" si="145"/>
        <v>-4.0732519388395848E-8</v>
      </c>
      <c r="AB160" s="338">
        <f t="shared" si="127"/>
        <v>0</v>
      </c>
      <c r="AC160" s="338">
        <f t="shared" si="128"/>
        <v>41.036299178041546</v>
      </c>
      <c r="AF160" s="138">
        <f t="shared" si="129"/>
        <v>1</v>
      </c>
      <c r="AG160" s="138">
        <f t="shared" si="130"/>
        <v>7</v>
      </c>
      <c r="AH160" s="138">
        <f t="shared" si="146"/>
        <v>31</v>
      </c>
      <c r="AI160" s="138">
        <f t="shared" si="131"/>
        <v>4214</v>
      </c>
      <c r="AJ160" s="138">
        <f t="shared" si="132"/>
        <v>4231</v>
      </c>
      <c r="AL160" s="136">
        <f t="shared" si="147"/>
        <v>3.9944999999999999</v>
      </c>
      <c r="AM160" s="258">
        <f t="shared" si="148"/>
        <v>1.95E-2</v>
      </c>
      <c r="AN160" s="258">
        <f t="shared" si="149"/>
        <v>0.01</v>
      </c>
      <c r="AO160" s="258">
        <f t="shared" si="150"/>
        <v>1.05</v>
      </c>
      <c r="AP160" s="258">
        <f t="shared" si="151"/>
        <v>0</v>
      </c>
      <c r="AQ160" s="136">
        <f t="shared" si="133"/>
        <v>3.6400000000000002E-2</v>
      </c>
      <c r="AR160" s="137">
        <f t="shared" si="152"/>
        <v>2.2499999999999999E-2</v>
      </c>
      <c r="AS160" s="136">
        <f t="shared" si="134"/>
        <v>4.024</v>
      </c>
      <c r="AT160" s="137">
        <f t="shared" si="135"/>
        <v>6.2701084872420307E-2</v>
      </c>
      <c r="AU160" s="137">
        <f t="shared" si="153"/>
        <v>0.48935851348757403</v>
      </c>
      <c r="AV160" s="394">
        <f t="shared" si="136"/>
        <v>2063.1354928636119</v>
      </c>
      <c r="AW160" s="137">
        <f t="shared" si="154"/>
        <v>0.17</v>
      </c>
      <c r="AX160" s="137">
        <f t="shared" si="155"/>
        <v>0.5</v>
      </c>
      <c r="AY160" s="137">
        <f t="shared" si="156"/>
        <v>0.5</v>
      </c>
      <c r="AZ160" s="137"/>
      <c r="BA160" s="264"/>
      <c r="BB160" s="258">
        <f t="shared" si="157"/>
        <v>0</v>
      </c>
      <c r="BC160" s="258">
        <f t="shared" si="137"/>
        <v>0</v>
      </c>
      <c r="BD160" s="137">
        <f t="shared" si="138"/>
        <v>1.6659980192901269E-6</v>
      </c>
      <c r="BE160" s="137">
        <f t="shared" si="139"/>
        <v>1.6659980192901269E-6</v>
      </c>
      <c r="BF160" s="137">
        <f>_xll.xSPRDOPT($BW160,$BV160,$CG160,0,$BY160,$BX160,$BZ160,$AJ160,1,4)*$CB160</f>
        <v>-6.9967807848466203E-7</v>
      </c>
      <c r="BG160" s="137">
        <f>_xll.xSPRDOPT($BW160,$BV160,$CG160,0,$BY160,$BX160,$BZ160,$AJ160,1,3)*$CB160</f>
        <v>-1.16613013080777E-7</v>
      </c>
      <c r="BH160" s="137">
        <f>IF(OR(BF160&lt;&gt;0,BG160&lt;&gt;0),_xll.xSPRDOPT($BW160,$BV160,$CG160,0,$BY160,$BX160,$BZ160,$AJ160,1,12)*$CB160,0)</f>
        <v>0</v>
      </c>
      <c r="BI160" s="137">
        <f>_xll.xSPRDOPT($BW160,$BV160,$CG160,2*LN(1+CA160/2),$BY160,$BX160,$BZ160,$AJ160,1,9)</f>
        <v>2.6919765737816525E-2</v>
      </c>
      <c r="BJ160" s="137">
        <f>_xll.xSPRDOPT($BW160,$BV160,$CG160,0,$BY160,$BX160,$BZ160,$AJ160,1,6)*$CB160</f>
        <v>5.9358128235655862E-7</v>
      </c>
      <c r="BK160" s="137">
        <f>_xll.xSPRDOPT($BW160,$BV160,$CG160,0,$BY160,$BX160,$BZ160,$AJ160,1,5)*$CB160</f>
        <v>-7.2737055384092576E-7</v>
      </c>
      <c r="BL160" s="137">
        <f>_xll.xSPRDOPT(BW160,BV160,CG160,0,BY160,BX160,BZ160,AJ160,1,2)*CB160</f>
        <v>-0.48911047204717761</v>
      </c>
      <c r="BM160" s="137">
        <f>_xll.xSPRDOPT(BW160,BV160,CG160,0,BY160,BX160,BZ160,AJ160,1,1)*CB160</f>
        <v>0.48911047204806729</v>
      </c>
      <c r="BN160" s="137">
        <f>IF(AH160&lt;&gt;0,_xll.xSPRDOPT($BW160,$BV160,$CG160,2*LN(1+CA160/2),$BY160,$BX160,$BZ160,$AJ160,1,8)+(AJ160/365.25)*CH160/AH160,0)</f>
        <v>-2.9619341599770177</v>
      </c>
      <c r="BO160" s="137">
        <f>_xll.xSPRDOPT($BW160,$BV160,$CG160,0,$BY160,$BX160,$BZ160,$AJ160,1,0)</f>
        <v>0.89147604427485638</v>
      </c>
      <c r="BP160" s="137"/>
      <c r="BQ160" s="137"/>
      <c r="BR160" s="137"/>
      <c r="BS160" s="137"/>
      <c r="BV160" s="262">
        <v>4.1166240409207155</v>
      </c>
      <c r="BW160" s="136">
        <v>5.0445000000000002</v>
      </c>
      <c r="BX160" s="137">
        <v>0.172365016054878</v>
      </c>
      <c r="BY160" s="137">
        <v>0.172365016054878</v>
      </c>
      <c r="BZ160" s="137">
        <v>1</v>
      </c>
      <c r="CA160" s="137">
        <v>6.2701084872420307E-2</v>
      </c>
      <c r="CB160" s="137">
        <v>0.48911042721675529</v>
      </c>
      <c r="CC160" s="258">
        <v>1.95E-2</v>
      </c>
      <c r="CD160" s="258">
        <v>0.01</v>
      </c>
      <c r="CE160" s="258">
        <v>1.05</v>
      </c>
      <c r="CF160" s="258">
        <v>0</v>
      </c>
      <c r="CG160" s="258">
        <v>3.6400000000000002E-2</v>
      </c>
      <c r="CH160" s="258">
        <v>5.5903854499593484</v>
      </c>
      <c r="CI160" s="258">
        <v>3.9944999999999999</v>
      </c>
      <c r="CJ160" s="258"/>
      <c r="CK160" s="258"/>
      <c r="CL160" s="258"/>
      <c r="CM160" s="258"/>
    </row>
    <row r="161" spans="1:91" x14ac:dyDescent="0.25">
      <c r="A161" s="723"/>
      <c r="B161" s="723"/>
      <c r="D161" s="31">
        <f t="shared" si="117"/>
        <v>41501</v>
      </c>
      <c r="F161" s="28">
        <f t="shared" si="118"/>
        <v>5895</v>
      </c>
      <c r="G161" s="28">
        <f t="shared" si="140"/>
        <v>2868.3768296986905</v>
      </c>
      <c r="H161" s="52">
        <f t="shared" si="119"/>
        <v>4.1524296675191819</v>
      </c>
      <c r="I161" s="52">
        <f t="shared" si="120"/>
        <v>5.0845000000000002</v>
      </c>
      <c r="K161" s="52">
        <f t="shared" si="121"/>
        <v>13.510215587927322</v>
      </c>
      <c r="L161" s="135">
        <f t="shared" si="122"/>
        <v>1.2862499279009398E-6</v>
      </c>
      <c r="N161" s="131">
        <f t="shared" si="141"/>
        <v>0.17290279387436822</v>
      </c>
      <c r="O161" s="131">
        <f t="shared" si="142"/>
        <v>0.17290279387436822</v>
      </c>
      <c r="P161" s="55">
        <f t="shared" si="123"/>
        <v>1.0000000000000002</v>
      </c>
      <c r="Q161" s="135">
        <f>_xll.xSPRDOPT(I161,H161,AQ161,0,O161,N161,P161,D161-$G$5,1,0)*AH161*AU161</f>
        <v>13.510216874177249</v>
      </c>
      <c r="R161" s="135"/>
      <c r="S161" s="181">
        <f t="shared" si="124"/>
        <v>-89949.61177729546</v>
      </c>
      <c r="T161" s="181">
        <f>_xll.xSPRDOPT(I161,H161,AQ161,AT161,O161,N161,P161,D161-$G$5,1,1)*AF161*F161*AH161</f>
        <v>87925.745512306312</v>
      </c>
      <c r="U161" s="135"/>
      <c r="V161" s="146">
        <f t="shared" si="125"/>
        <v>5.5614396353532012</v>
      </c>
      <c r="W161" s="146"/>
      <c r="X161" s="338">
        <f t="shared" si="126"/>
        <v>0</v>
      </c>
      <c r="Y161" s="338">
        <f t="shared" si="143"/>
        <v>0</v>
      </c>
      <c r="Z161" s="338">
        <f t="shared" si="144"/>
        <v>40.39130784898736</v>
      </c>
      <c r="AA161" s="338">
        <f t="shared" si="145"/>
        <v>-5.0461046829520037E-8</v>
      </c>
      <c r="AB161" s="338">
        <f t="shared" si="127"/>
        <v>0</v>
      </c>
      <c r="AC161" s="338">
        <f t="shared" si="128"/>
        <v>41.02159885196086</v>
      </c>
      <c r="AF161" s="138">
        <f t="shared" si="129"/>
        <v>1</v>
      </c>
      <c r="AG161" s="138">
        <f t="shared" si="130"/>
        <v>8</v>
      </c>
      <c r="AH161" s="138">
        <f t="shared" si="146"/>
        <v>31</v>
      </c>
      <c r="AI161" s="138">
        <f t="shared" si="131"/>
        <v>4245</v>
      </c>
      <c r="AJ161" s="138">
        <f t="shared" si="132"/>
        <v>4262</v>
      </c>
      <c r="AL161" s="136">
        <f t="shared" si="147"/>
        <v>4.0345000000000004</v>
      </c>
      <c r="AM161" s="258">
        <f t="shared" si="148"/>
        <v>1.4500000000000001E-2</v>
      </c>
      <c r="AN161" s="258">
        <f t="shared" si="149"/>
        <v>0.01</v>
      </c>
      <c r="AO161" s="258">
        <f t="shared" si="150"/>
        <v>1.05</v>
      </c>
      <c r="AP161" s="258">
        <f t="shared" si="151"/>
        <v>0</v>
      </c>
      <c r="AQ161" s="136">
        <f t="shared" si="133"/>
        <v>3.6400000000000002E-2</v>
      </c>
      <c r="AR161" s="137">
        <f t="shared" si="152"/>
        <v>2.2499999999999999E-2</v>
      </c>
      <c r="AS161" s="136">
        <f t="shared" si="134"/>
        <v>4.0590000000000002</v>
      </c>
      <c r="AT161" s="137">
        <f t="shared" si="135"/>
        <v>6.2741628966254098E-2</v>
      </c>
      <c r="AU161" s="137">
        <f t="shared" si="153"/>
        <v>0.48657791852395088</v>
      </c>
      <c r="AV161" s="394">
        <f t="shared" si="136"/>
        <v>2051.4125044969769</v>
      </c>
      <c r="AW161" s="137">
        <f t="shared" si="154"/>
        <v>0.17</v>
      </c>
      <c r="AX161" s="137">
        <f t="shared" si="155"/>
        <v>0.55000000000000004</v>
      </c>
      <c r="AY161" s="137">
        <f t="shared" si="156"/>
        <v>0.55000000000000004</v>
      </c>
      <c r="AZ161" s="137"/>
      <c r="BA161" s="264"/>
      <c r="BB161" s="258">
        <f t="shared" si="157"/>
        <v>0</v>
      </c>
      <c r="BC161" s="258">
        <f t="shared" si="137"/>
        <v>0</v>
      </c>
      <c r="BD161" s="137">
        <f t="shared" si="138"/>
        <v>2.0254090495330779E-6</v>
      </c>
      <c r="BE161" s="137">
        <f t="shared" si="139"/>
        <v>2.0254090495330779E-6</v>
      </c>
      <c r="BF161" s="137">
        <f>_xll.xSPRDOPT($BW161,$BV161,$CG161,0,$BY161,$BX161,$BZ161,$AJ161,1,4)*$CB161</f>
        <v>0</v>
      </c>
      <c r="BG161" s="137">
        <f>_xll.xSPRDOPT($BW161,$BV161,$CG161,0,$BY161,$BX161,$BZ161,$AJ161,1,3)*$CB161</f>
        <v>0</v>
      </c>
      <c r="BH161" s="137">
        <f>IF(OR(BF161&lt;&gt;0,BG161&lt;&gt;0),_xll.xSPRDOPT($BW161,$BV161,$CG161,0,$BY161,$BX161,$BZ161,$AJ161,1,12)*$CB161,0)</f>
        <v>0</v>
      </c>
      <c r="BI161" s="137">
        <f>_xll.xSPRDOPT($BW161,$BV161,$CG161,2*LN(1+CA161/2),$BY161,$BX161,$BZ161,$AJ161,1,9)</f>
        <v>2.6909856524743283E-2</v>
      </c>
      <c r="BJ161" s="137">
        <f>_xll.xSPRDOPT($BW161,$BV161,$CG161,0,$BY161,$BX161,$BZ161,$AJ161,1,6)*$CB161</f>
        <v>6.0734837034756368E-7</v>
      </c>
      <c r="BK161" s="137">
        <f>_xll.xSPRDOPT($BW161,$BV161,$CG161,0,$BY161,$BX161,$BZ161,$AJ161,1,5)*$CB161</f>
        <v>-7.4368043332349822E-7</v>
      </c>
      <c r="BL161" s="137">
        <f>_xll.xSPRDOPT(BW161,BV161,CG161,0,BY161,BX161,BZ161,AJ161,1,2)*CB161</f>
        <v>-0.48633112928994426</v>
      </c>
      <c r="BM161" s="137">
        <f>_xll.xSPRDOPT(BW161,BV161,CG161,0,BY161,BX161,BZ161,AJ161,1,1)*CB161</f>
        <v>0.48633112929348277</v>
      </c>
      <c r="BN161" s="137">
        <f>IF(AH161&lt;&gt;0,_xll.xSPRDOPT($BW161,$BV161,$CG161,2*LN(1+CA161/2),$BY161,$BX161,$BZ161,$AJ161,1,8)+(AJ161/365.25)*CH161/AH161,0)</f>
        <v>-2.9904840211132204</v>
      </c>
      <c r="BO161" s="137">
        <f>_xll.xSPRDOPT($BW161,$BV161,$CG161,0,$BY161,$BX161,$BZ161,$AJ161,1,0)</f>
        <v>0.89567041773727896</v>
      </c>
      <c r="BP161" s="137"/>
      <c r="BQ161" s="137"/>
      <c r="BR161" s="137"/>
      <c r="BS161" s="137"/>
      <c r="BV161" s="262">
        <v>4.1524296675191819</v>
      </c>
      <c r="BW161" s="136">
        <v>5.0845000000000002</v>
      </c>
      <c r="BX161" s="137">
        <v>0.17290076846531868</v>
      </c>
      <c r="BY161" s="137">
        <v>0.17290076846531868</v>
      </c>
      <c r="BZ161" s="137">
        <v>1</v>
      </c>
      <c r="CA161" s="137">
        <v>6.2741628966254098E-2</v>
      </c>
      <c r="CB161" s="137">
        <v>0.48633108488057891</v>
      </c>
      <c r="CC161" s="258">
        <v>1.4500000000000001E-2</v>
      </c>
      <c r="CD161" s="258">
        <v>0.01</v>
      </c>
      <c r="CE161" s="258">
        <v>1.05</v>
      </c>
      <c r="CF161" s="258">
        <v>0</v>
      </c>
      <c r="CG161" s="258">
        <v>3.6400000000000002E-2</v>
      </c>
      <c r="CH161" s="258">
        <v>5.5586184008595527</v>
      </c>
      <c r="CI161" s="258">
        <v>4.0345000000000004</v>
      </c>
      <c r="CJ161" s="258"/>
      <c r="CK161" s="258"/>
      <c r="CL161" s="258"/>
      <c r="CM161" s="258"/>
    </row>
    <row r="162" spans="1:91" x14ac:dyDescent="0.25">
      <c r="A162" s="723"/>
      <c r="B162" s="723"/>
      <c r="D162" s="31">
        <f t="shared" si="117"/>
        <v>41532</v>
      </c>
      <c r="F162" s="28">
        <f t="shared" si="118"/>
        <v>5895</v>
      </c>
      <c r="G162" s="28">
        <f t="shared" si="140"/>
        <v>2852.0593556325261</v>
      </c>
      <c r="H162" s="52">
        <f t="shared" si="119"/>
        <v>4.1473145780051146</v>
      </c>
      <c r="I162" s="52">
        <f t="shared" si="120"/>
        <v>4.7794999999999996</v>
      </c>
      <c r="K162" s="52">
        <f t="shared" si="121"/>
        <v>8.6474065483459768</v>
      </c>
      <c r="L162" s="135">
        <f t="shared" si="122"/>
        <v>9.66324773088445E-7</v>
      </c>
      <c r="N162" s="131">
        <f t="shared" si="141"/>
        <v>0.17279010508365844</v>
      </c>
      <c r="O162" s="131">
        <f t="shared" si="142"/>
        <v>0.17279010508365844</v>
      </c>
      <c r="P162" s="55">
        <f t="shared" si="123"/>
        <v>1</v>
      </c>
      <c r="Q162" s="135">
        <f>_xll.xSPRDOPT(I162,H162,AQ162,0,O162,N162,P162,D162-$G$5,1,0)*AH162*AU162</f>
        <v>8.6474075146707499</v>
      </c>
      <c r="R162" s="135"/>
      <c r="S162" s="181">
        <f t="shared" si="124"/>
        <v>-86544.458838708699</v>
      </c>
      <c r="T162" s="181">
        <f>_xll.xSPRDOPT(I162,H162,AQ162,AT162,O162,N162,P162,D162-$G$5,1,1)*AF162*F162*AH162</f>
        <v>84597.208514837752</v>
      </c>
      <c r="U162" s="135"/>
      <c r="V162" s="146">
        <f t="shared" si="125"/>
        <v>5.3514212947669844</v>
      </c>
      <c r="W162" s="146"/>
      <c r="X162" s="338">
        <f t="shared" si="126"/>
        <v>0</v>
      </c>
      <c r="Y162" s="338">
        <f t="shared" si="143"/>
        <v>0</v>
      </c>
      <c r="Z162" s="338">
        <f t="shared" si="144"/>
        <v>25.869461366186197</v>
      </c>
      <c r="AA162" s="338">
        <f t="shared" si="145"/>
        <v>2.8187785294368621E-7</v>
      </c>
      <c r="AB162" s="338">
        <f t="shared" si="127"/>
        <v>0</v>
      </c>
      <c r="AC162" s="338">
        <f t="shared" si="128"/>
        <v>26.273419618632285</v>
      </c>
      <c r="AF162" s="138">
        <f t="shared" si="129"/>
        <v>1</v>
      </c>
      <c r="AG162" s="138">
        <f t="shared" si="130"/>
        <v>9</v>
      </c>
      <c r="AH162" s="138">
        <f t="shared" si="146"/>
        <v>30</v>
      </c>
      <c r="AI162" s="138">
        <f t="shared" si="131"/>
        <v>4276</v>
      </c>
      <c r="AJ162" s="138">
        <f t="shared" si="132"/>
        <v>4293</v>
      </c>
      <c r="AL162" s="136">
        <f t="shared" si="147"/>
        <v>4.0294999999999996</v>
      </c>
      <c r="AM162" s="258">
        <f t="shared" si="148"/>
        <v>1.4500000000000001E-2</v>
      </c>
      <c r="AN162" s="258">
        <f t="shared" si="149"/>
        <v>0.01</v>
      </c>
      <c r="AO162" s="258">
        <f t="shared" si="150"/>
        <v>0.75</v>
      </c>
      <c r="AP162" s="258">
        <f t="shared" si="151"/>
        <v>0</v>
      </c>
      <c r="AQ162" s="136">
        <f t="shared" si="133"/>
        <v>3.6400000000000002E-2</v>
      </c>
      <c r="AR162" s="137">
        <f t="shared" si="152"/>
        <v>2.2499999999999999E-2</v>
      </c>
      <c r="AS162" s="136">
        <f t="shared" si="134"/>
        <v>4.0539999999999994</v>
      </c>
      <c r="AT162" s="137">
        <f t="shared" si="135"/>
        <v>6.2782173060633301E-2</v>
      </c>
      <c r="AU162" s="137">
        <f t="shared" si="153"/>
        <v>0.48380989917430467</v>
      </c>
      <c r="AV162" s="394">
        <f t="shared" si="136"/>
        <v>1973.9443886311631</v>
      </c>
      <c r="AW162" s="137">
        <f t="shared" si="154"/>
        <v>0.17</v>
      </c>
      <c r="AX162" s="137">
        <f t="shared" si="155"/>
        <v>0.55000000000000004</v>
      </c>
      <c r="AY162" s="137">
        <f t="shared" si="156"/>
        <v>0.55000000000000004</v>
      </c>
      <c r="AZ162" s="137"/>
      <c r="BA162" s="264"/>
      <c r="BB162" s="258">
        <f t="shared" si="157"/>
        <v>0</v>
      </c>
      <c r="BC162" s="258">
        <f t="shared" si="137"/>
        <v>0</v>
      </c>
      <c r="BD162" s="137">
        <f t="shared" si="138"/>
        <v>1.9335776511586467E-6</v>
      </c>
      <c r="BE162" s="137">
        <f t="shared" si="139"/>
        <v>1.9335776511586467E-6</v>
      </c>
      <c r="BF162" s="137">
        <f>_xll.xSPRDOPT($BW162,$BV162,$CG162,0,$BY162,$BX162,$BZ162,$AJ162,1,4)*$CB162</f>
        <v>0</v>
      </c>
      <c r="BG162" s="137">
        <f>_xll.xSPRDOPT($BW162,$BV162,$CG162,0,$BY162,$BX162,$BZ162,$AJ162,1,3)*$CB162</f>
        <v>1.152907165462336E-7</v>
      </c>
      <c r="BH162" s="137">
        <f>IF(OR(BF162&lt;&gt;0,BG162&lt;&gt;0),_xll.xSPRDOPT($BW162,$BV162,$CG162,0,$BY162,$BX162,$BZ162,$AJ162,1,12)*$CB162,0)</f>
        <v>-2.305814330924672E-7</v>
      </c>
      <c r="BI162" s="137">
        <f>_xll.xSPRDOPT($BW162,$BV162,$CG162,2*LN(1+CA162/2),$BY162,$BX162,$BZ162,$AJ162,1,9)</f>
        <v>1.7809482167561039E-2</v>
      </c>
      <c r="BJ162" s="137">
        <f>_xll.xSPRDOPT($BW162,$BV162,$CG162,0,$BY162,$BX162,$BZ162,$AJ162,1,6)*$CB162</f>
        <v>-8.3964085256849897E-6</v>
      </c>
      <c r="BK162" s="137">
        <f>_xll.xSPRDOPT($BW162,$BV162,$CG162,0,$BY162,$BX162,$BZ162,$AJ162,1,5)*$CB162</f>
        <v>9.2207255570003023E-6</v>
      </c>
      <c r="BL162" s="137">
        <f>_xll.xSPRDOPT(BW162,BV162,CG162,0,BY162,BX162,BZ162,AJ162,1,2)*CB162</f>
        <v>-0.48356422967136437</v>
      </c>
      <c r="BM162" s="137">
        <f>_xll.xSPRDOPT(BW162,BV162,CG162,0,BY162,BX162,BZ162,AJ162,1,1)*CB162</f>
        <v>0.48356422967048479</v>
      </c>
      <c r="BN162" s="137">
        <f>IF(AH162&lt;&gt;0,_xll.xSPRDOPT($BW162,$BV162,$CG162,2*LN(1+CA162/2),$BY162,$BX162,$BZ162,$AJ162,1,8)+(AJ162/365.25)*CH162/AH162,0)</f>
        <v>-1.2906672482030705</v>
      </c>
      <c r="BO162" s="137">
        <f>_xll.xSPRDOPT($BW162,$BV162,$CG162,0,$BY162,$BX162,$BZ162,$AJ162,1,0)</f>
        <v>0.59578548873544934</v>
      </c>
      <c r="BP162" s="137"/>
      <c r="BQ162" s="137"/>
      <c r="BR162" s="137"/>
      <c r="BS162" s="137"/>
      <c r="BV162" s="262">
        <v>4.1473145780051146</v>
      </c>
      <c r="BW162" s="136">
        <v>4.7794999999999996</v>
      </c>
      <c r="BX162" s="137">
        <v>0.17278817150600728</v>
      </c>
      <c r="BY162" s="137">
        <v>0.17278817150600728</v>
      </c>
      <c r="BZ162" s="137">
        <v>1</v>
      </c>
      <c r="CA162" s="137">
        <v>6.2782173060633301E-2</v>
      </c>
      <c r="CB162" s="137">
        <v>0.48356431357273377</v>
      </c>
      <c r="CC162" s="258">
        <v>1.4500000000000001E-2</v>
      </c>
      <c r="CD162" s="258">
        <v>0.01</v>
      </c>
      <c r="CE162" s="258">
        <v>0.75</v>
      </c>
      <c r="CF162" s="258">
        <v>0</v>
      </c>
      <c r="CG162" s="258">
        <v>3.6400000000000002E-2</v>
      </c>
      <c r="CH162" s="258">
        <v>5.3487048724280086</v>
      </c>
      <c r="CI162" s="258">
        <v>4.0294999999999996</v>
      </c>
      <c r="CJ162" s="258"/>
      <c r="CK162" s="258"/>
      <c r="CL162" s="258"/>
      <c r="CM162" s="258"/>
    </row>
    <row r="163" spans="1:91" x14ac:dyDescent="0.25">
      <c r="A163" s="723"/>
      <c r="B163" s="723"/>
      <c r="D163" s="31">
        <f t="shared" si="117"/>
        <v>41562</v>
      </c>
      <c r="F163" s="28">
        <f t="shared" si="118"/>
        <v>6669</v>
      </c>
      <c r="G163" s="28">
        <f t="shared" si="140"/>
        <v>3208.7434125046502</v>
      </c>
      <c r="H163" s="52">
        <f t="shared" si="119"/>
        <v>4.1810256410256406</v>
      </c>
      <c r="I163" s="52">
        <f t="shared" si="120"/>
        <v>4.5045000000000002</v>
      </c>
      <c r="K163" s="52">
        <f t="shared" si="121"/>
        <v>4.2818393621228248</v>
      </c>
      <c r="L163" s="135">
        <f t="shared" si="122"/>
        <v>2.7710160855676236E-5</v>
      </c>
      <c r="N163" s="131">
        <f t="shared" si="141"/>
        <v>0.17345766685002637</v>
      </c>
      <c r="O163" s="131">
        <f t="shared" si="142"/>
        <v>0.17345766685002637</v>
      </c>
      <c r="P163" s="55">
        <f t="shared" si="123"/>
        <v>1</v>
      </c>
      <c r="Q163" s="135">
        <f>_xll.xSPRDOPT(I163,H163,AQ163,0,O163,N163,P163,D163-$G$5,1,0)*AH163*AU163</f>
        <v>4.2818670722836805</v>
      </c>
      <c r="R163" s="135"/>
      <c r="S163" s="181">
        <f t="shared" si="124"/>
        <v>-100859.52653946412</v>
      </c>
      <c r="T163" s="181">
        <f>_xll.xSPRDOPT(I163,H163,AQ163,AT163,O163,N163,P163,D163-$G$5,1,1)*AF163*F163*AH163</f>
        <v>98338.038375977514</v>
      </c>
      <c r="U163" s="135"/>
      <c r="V163" s="146">
        <f t="shared" si="125"/>
        <v>5.4993214247869844</v>
      </c>
      <c r="W163" s="146"/>
      <c r="X163" s="338">
        <f t="shared" si="126"/>
        <v>0</v>
      </c>
      <c r="Y163" s="338">
        <f t="shared" si="143"/>
        <v>0</v>
      </c>
      <c r="Z163" s="338">
        <f t="shared" si="144"/>
        <v>14.49964609266271</v>
      </c>
      <c r="AA163" s="338">
        <f t="shared" si="145"/>
        <v>2.8248369912796945E-5</v>
      </c>
      <c r="AB163" s="338">
        <f t="shared" si="127"/>
        <v>0</v>
      </c>
      <c r="AC163" s="338">
        <f t="shared" si="128"/>
        <v>14.72692145956454</v>
      </c>
      <c r="AF163" s="138">
        <f t="shared" si="129"/>
        <v>1</v>
      </c>
      <c r="AG163" s="138">
        <f t="shared" si="130"/>
        <v>10</v>
      </c>
      <c r="AH163" s="138">
        <f t="shared" si="146"/>
        <v>31</v>
      </c>
      <c r="AI163" s="138">
        <f t="shared" si="131"/>
        <v>4306</v>
      </c>
      <c r="AJ163" s="138">
        <f t="shared" si="132"/>
        <v>4323</v>
      </c>
      <c r="AL163" s="136">
        <f t="shared" si="147"/>
        <v>4.0545</v>
      </c>
      <c r="AM163" s="258">
        <f t="shared" si="148"/>
        <v>1.2E-2</v>
      </c>
      <c r="AN163" s="258">
        <f t="shared" si="149"/>
        <v>0.01</v>
      </c>
      <c r="AO163" s="258">
        <f t="shared" si="150"/>
        <v>0.45</v>
      </c>
      <c r="AP163" s="258">
        <f t="shared" si="151"/>
        <v>0</v>
      </c>
      <c r="AQ163" s="136">
        <f t="shared" si="133"/>
        <v>3.6400000000000002E-2</v>
      </c>
      <c r="AR163" s="137">
        <f t="shared" si="152"/>
        <v>2.5000000000000001E-2</v>
      </c>
      <c r="AS163" s="136">
        <f t="shared" si="134"/>
        <v>4.0764999999999993</v>
      </c>
      <c r="AT163" s="137">
        <f t="shared" si="135"/>
        <v>6.2821409281520205E-2</v>
      </c>
      <c r="AU163" s="137">
        <f t="shared" si="153"/>
        <v>0.48114311178657221</v>
      </c>
      <c r="AV163" s="394">
        <f t="shared" si="136"/>
        <v>2550.5396355806192</v>
      </c>
      <c r="AW163" s="137">
        <f t="shared" si="154"/>
        <v>0.17</v>
      </c>
      <c r="AX163" s="137">
        <f t="shared" si="155"/>
        <v>0.6</v>
      </c>
      <c r="AY163" s="137">
        <f t="shared" si="156"/>
        <v>0.6</v>
      </c>
      <c r="AZ163" s="137"/>
      <c r="BA163" s="264"/>
      <c r="BB163" s="258">
        <f t="shared" si="157"/>
        <v>0</v>
      </c>
      <c r="BC163" s="258">
        <f t="shared" si="137"/>
        <v>0</v>
      </c>
      <c r="BD163" s="137">
        <f t="shared" si="138"/>
        <v>2.3747680190089326E-6</v>
      </c>
      <c r="BE163" s="137">
        <f t="shared" si="139"/>
        <v>2.3747680190089326E-6</v>
      </c>
      <c r="BF163" s="137">
        <f>_xll.xSPRDOPT($BW163,$BV163,$CG163,0,$BY163,$BX163,$BZ163,$AJ163,1,4)*$CB163</f>
        <v>-5.7327595902241055E-8</v>
      </c>
      <c r="BG163" s="137">
        <f>_xll.xSPRDOPT($BW163,$BV163,$CG163,0,$BY163,$BX163,$BZ163,$AJ163,1,3)*$CB163</f>
        <v>-5.1594836312016952E-7</v>
      </c>
      <c r="BH163" s="137">
        <f>IF(OR(BF163&lt;&gt;0,BG163&lt;&gt;0),_xll.xSPRDOPT($BW163,$BV163,$CG163,0,$BY163,$BX163,$BZ163,$AJ163,1,12)*$CB163,0)</f>
        <v>2.866379795112053E-7</v>
      </c>
      <c r="BI163" s="137">
        <f>_xll.xSPRDOPT($BW163,$BV163,$CG163,2*LN(1+CA163/2),$BY163,$BX163,$BZ163,$AJ163,1,9)</f>
        <v>8.5389399764035073E-3</v>
      </c>
      <c r="BJ163" s="137">
        <f>_xll.xSPRDOPT($BW163,$BV163,$CG163,0,$BY163,$BX163,$BZ163,$AJ163,1,6)*$CB163</f>
        <v>-7.4369136448508924E-4</v>
      </c>
      <c r="BK163" s="137">
        <f>_xll.xSPRDOPT($BW163,$BV163,$CG163,0,$BY163,$BX163,$BZ163,$AJ163,1,5)*$CB163</f>
        <v>8.0122870561966748E-4</v>
      </c>
      <c r="BL163" s="137">
        <f>_xll.xSPRDOPT(BW163,BV163,CG163,0,BY163,BX163,BZ163,AJ163,1,2)*CB163</f>
        <v>-0.48088670412704426</v>
      </c>
      <c r="BM163" s="137">
        <f>_xll.xSPRDOPT(BW163,BV163,CG163,0,BY163,BX163,BZ163,AJ163,1,1)*CB163</f>
        <v>0.48088670413010587</v>
      </c>
      <c r="BN163" s="137">
        <f>IF(AH163&lt;&gt;0,_xll.xSPRDOPT($BW163,$BV163,$CG163,2*LN(1+CA163/2),$BY163,$BX163,$BZ163,$AJ163,1,8)+(AJ163/365.25)*CH163/AH163,0)</f>
        <v>0.46458515017787505</v>
      </c>
      <c r="BO163" s="137">
        <f>_xll.xSPRDOPT($BW163,$BV163,$CG163,0,$BY163,$BX163,$BZ163,$AJ163,1,0)</f>
        <v>0.28707622371295999</v>
      </c>
      <c r="BP163" s="137"/>
      <c r="BQ163" s="137"/>
      <c r="BR163" s="137"/>
      <c r="BS163" s="137"/>
      <c r="BV163" s="262">
        <v>4.1810256410256406</v>
      </c>
      <c r="BW163" s="136">
        <v>4.5045000000000002</v>
      </c>
      <c r="BX163" s="137">
        <v>0.17345529208200736</v>
      </c>
      <c r="BY163" s="137">
        <v>0.17345529208200736</v>
      </c>
      <c r="BZ163" s="137">
        <v>1</v>
      </c>
      <c r="CA163" s="137">
        <v>6.2821409281520205E-2</v>
      </c>
      <c r="CB163" s="137">
        <v>0.48089872960630653</v>
      </c>
      <c r="CC163" s="258">
        <v>1.2E-2</v>
      </c>
      <c r="CD163" s="258">
        <v>0.01</v>
      </c>
      <c r="CE163" s="258">
        <v>0.45</v>
      </c>
      <c r="CF163" s="258">
        <v>0</v>
      </c>
      <c r="CG163" s="258">
        <v>3.6400000000000002E-2</v>
      </c>
      <c r="CH163" s="258">
        <v>5.4965282097812018</v>
      </c>
      <c r="CI163" s="258">
        <v>4.0545</v>
      </c>
      <c r="CJ163" s="258"/>
      <c r="CK163" s="258"/>
      <c r="CL163" s="258"/>
      <c r="CM163" s="258"/>
    </row>
    <row r="164" spans="1:91" x14ac:dyDescent="0.25">
      <c r="A164" s="723"/>
      <c r="B164" s="723"/>
      <c r="D164" s="31">
        <f t="shared" si="117"/>
        <v>41593</v>
      </c>
      <c r="F164" s="28">
        <f t="shared" si="118"/>
        <v>11107</v>
      </c>
      <c r="G164" s="28">
        <f t="shared" si="140"/>
        <v>5313.5858760815308</v>
      </c>
      <c r="H164" s="52">
        <f t="shared" si="119"/>
        <v>4.3242966751918157</v>
      </c>
      <c r="I164" s="52">
        <f t="shared" si="120"/>
        <v>4.6565000000000003</v>
      </c>
      <c r="K164" s="52">
        <f t="shared" si="121"/>
        <v>4.2453669815397328</v>
      </c>
      <c r="L164" s="135">
        <f t="shared" si="122"/>
        <v>2.9148490838792895E-5</v>
      </c>
      <c r="N164" s="131">
        <f t="shared" si="141"/>
        <v>0.17608598177578244</v>
      </c>
      <c r="O164" s="131">
        <f t="shared" si="142"/>
        <v>0.17608598177578244</v>
      </c>
      <c r="P164" s="55">
        <f t="shared" si="123"/>
        <v>1</v>
      </c>
      <c r="Q164" s="135">
        <f>_xll.xSPRDOPT(I164,H164,AQ164,0,O164,N164,P164,D164-$G$5,1,0)*AH164*AU164</f>
        <v>4.2453961300305716</v>
      </c>
      <c r="R164" s="135"/>
      <c r="S164" s="181">
        <f t="shared" si="124"/>
        <v>-161203.90141561927</v>
      </c>
      <c r="T164" s="181">
        <f>_xll.xSPRDOPT(I164,H164,AQ164,AT164,O164,N164,P164,D164-$G$5,1,1)*AF164*F164*AH164</f>
        <v>157576.81363376783</v>
      </c>
      <c r="U164" s="135"/>
      <c r="V164" s="146">
        <f t="shared" si="125"/>
        <v>5.2915794881910339</v>
      </c>
      <c r="W164" s="146"/>
      <c r="X164" s="338">
        <f t="shared" si="126"/>
        <v>0</v>
      </c>
      <c r="Y164" s="338">
        <f t="shared" si="143"/>
        <v>0</v>
      </c>
      <c r="Z164" s="338">
        <f t="shared" si="144"/>
        <v>23.95824850587238</v>
      </c>
      <c r="AA164" s="338">
        <f t="shared" si="145"/>
        <v>1.3795470485032088E-4</v>
      </c>
      <c r="AB164" s="338">
        <f t="shared" si="127"/>
        <v>0</v>
      </c>
      <c r="AC164" s="338">
        <f t="shared" si="128"/>
        <v>24.33397853096157</v>
      </c>
      <c r="AF164" s="138">
        <f t="shared" si="129"/>
        <v>1</v>
      </c>
      <c r="AG164" s="138">
        <f t="shared" si="130"/>
        <v>11</v>
      </c>
      <c r="AH164" s="138">
        <f t="shared" si="146"/>
        <v>30</v>
      </c>
      <c r="AI164" s="138">
        <f t="shared" si="131"/>
        <v>4337</v>
      </c>
      <c r="AJ164" s="138">
        <f t="shared" si="132"/>
        <v>4354</v>
      </c>
      <c r="AL164" s="136">
        <f t="shared" si="147"/>
        <v>4.2065000000000001</v>
      </c>
      <c r="AM164" s="258">
        <f t="shared" si="148"/>
        <v>1.2999999999999999E-2</v>
      </c>
      <c r="AN164" s="258">
        <f t="shared" si="149"/>
        <v>7.4999999999999997E-3</v>
      </c>
      <c r="AO164" s="258">
        <f t="shared" si="150"/>
        <v>0.45</v>
      </c>
      <c r="AP164" s="258">
        <f t="shared" si="151"/>
        <v>0</v>
      </c>
      <c r="AQ164" s="136">
        <f t="shared" si="133"/>
        <v>3.6400000000000002E-2</v>
      </c>
      <c r="AR164" s="137">
        <f t="shared" si="152"/>
        <v>2.2499999999999999E-2</v>
      </c>
      <c r="AS164" s="136">
        <f t="shared" si="134"/>
        <v>4.2270000000000003</v>
      </c>
      <c r="AT164" s="137">
        <f t="shared" si="135"/>
        <v>6.2861953376972798E-2</v>
      </c>
      <c r="AU164" s="137">
        <f t="shared" si="153"/>
        <v>0.47839973674993524</v>
      </c>
      <c r="AV164" s="394">
        <f t="shared" si="136"/>
        <v>3674.1099782395027</v>
      </c>
      <c r="AW164" s="137">
        <f t="shared" si="154"/>
        <v>0.17</v>
      </c>
      <c r="AX164" s="137">
        <f t="shared" si="155"/>
        <v>0.8</v>
      </c>
      <c r="AY164" s="137">
        <f t="shared" si="156"/>
        <v>0.8</v>
      </c>
      <c r="AZ164" s="137"/>
      <c r="BA164" s="264"/>
      <c r="BB164" s="258">
        <f t="shared" si="157"/>
        <v>0</v>
      </c>
      <c r="BC164" s="258">
        <f t="shared" si="137"/>
        <v>0</v>
      </c>
      <c r="BD164" s="137">
        <f t="shared" si="138"/>
        <v>4.1200079443914905E-6</v>
      </c>
      <c r="BE164" s="137">
        <f t="shared" si="139"/>
        <v>4.1200079443914905E-6</v>
      </c>
      <c r="BF164" s="137">
        <f>_xll.xSPRDOPT($BW164,$BV164,$CG164,0,$BY164,$BX164,$BZ164,$AJ164,1,4)*$CB164</f>
        <v>-5.7000707817538722E-8</v>
      </c>
      <c r="BG164" s="137">
        <f>_xll.xSPRDOPT($BW164,$BV164,$CG164,0,$BY164,$BX164,$BZ164,$AJ164,1,3)*$CB164</f>
        <v>1.1400141563507744E-7</v>
      </c>
      <c r="BH164" s="137">
        <f>IF(OR(BF164&lt;&gt;0,BG164&lt;&gt;0),_xll.xSPRDOPT($BW164,$BV164,$CG164,0,$BY164,$BX164,$BZ164,$AJ164,1,12)*$CB164,0)</f>
        <v>5.7000707817538722E-8</v>
      </c>
      <c r="BI164" s="137">
        <f>_xll.xSPRDOPT($BW164,$BV164,$CG164,2*LN(1+CA164/2),$BY164,$BX164,$BZ164,$AJ164,1,9)</f>
        <v>8.7539892427897191E-3</v>
      </c>
      <c r="BJ164" s="137">
        <f>_xll.xSPRDOPT($BW164,$BV164,$CG164,0,$BY164,$BX164,$BZ164,$AJ164,1,6)*$CB164</f>
        <v>-1.0261835760372662E-3</v>
      </c>
      <c r="BK164" s="137">
        <f>_xll.xSPRDOPT($BW164,$BV164,$CG164,0,$BY164,$BX164,$BZ164,$AJ164,1,5)*$CB164</f>
        <v>1.1266730184219371E-3</v>
      </c>
      <c r="BL164" s="137">
        <f>_xll.xSPRDOPT(BW164,BV164,CG164,0,BY164,BX164,BZ164,AJ164,1,2)*CB164</f>
        <v>-0.47814519973894021</v>
      </c>
      <c r="BM164" s="137">
        <f>_xll.xSPRDOPT(BW164,BV164,CG164,0,BY164,BX164,BZ164,AJ164,1,1)*CB164</f>
        <v>0.47814519973328679</v>
      </c>
      <c r="BN164" s="137">
        <f>IF(AH164&lt;&gt;0,_xll.xSPRDOPT($BW164,$BV164,$CG164,2*LN(1+CA164/2),$BY164,$BX164,$BZ164,$AJ164,1,8)+(AJ164/365.25)*CH164/AH164,0)</f>
        <v>0.41549320904043596</v>
      </c>
      <c r="BO164" s="137">
        <f>_xll.xSPRDOPT($BW164,$BV164,$CG164,0,$BY164,$BX164,$BZ164,$AJ164,1,0)</f>
        <v>0.2958053624451546</v>
      </c>
      <c r="BP164" s="137"/>
      <c r="BQ164" s="137"/>
      <c r="BR164" s="137"/>
      <c r="BS164" s="137"/>
      <c r="BV164" s="262">
        <v>4.3242966751918157</v>
      </c>
      <c r="BW164" s="136">
        <v>4.6565000000000003</v>
      </c>
      <c r="BX164" s="137">
        <v>0.17608186176783805</v>
      </c>
      <c r="BY164" s="137">
        <v>0.17608186176783805</v>
      </c>
      <c r="BZ164" s="137">
        <v>1</v>
      </c>
      <c r="CA164" s="137">
        <v>6.2861953376972798E-2</v>
      </c>
      <c r="CB164" s="137">
        <v>0.47815659360386786</v>
      </c>
      <c r="CC164" s="258">
        <v>1.2999999999999999E-2</v>
      </c>
      <c r="CD164" s="258">
        <v>7.4999999999999997E-3</v>
      </c>
      <c r="CE164" s="258">
        <v>0.45</v>
      </c>
      <c r="CF164" s="258">
        <v>0</v>
      </c>
      <c r="CG164" s="258">
        <v>3.6400000000000002E-2</v>
      </c>
      <c r="CH164" s="258">
        <v>5.2888900818523821</v>
      </c>
      <c r="CI164" s="258">
        <v>4.2065000000000001</v>
      </c>
      <c r="CJ164" s="258"/>
      <c r="CK164" s="258"/>
      <c r="CL164" s="258"/>
      <c r="CM164" s="258"/>
    </row>
    <row r="165" spans="1:91" x14ac:dyDescent="0.25">
      <c r="A165" s="723"/>
      <c r="B165" s="723"/>
      <c r="D165" s="31">
        <f t="shared" si="117"/>
        <v>41623</v>
      </c>
      <c r="F165" s="28">
        <f t="shared" si="118"/>
        <v>11107</v>
      </c>
      <c r="G165" s="28">
        <f t="shared" si="140"/>
        <v>5284.2300402483188</v>
      </c>
      <c r="H165" s="52">
        <f t="shared" si="119"/>
        <v>4.4705882352941178</v>
      </c>
      <c r="I165" s="52">
        <f t="shared" si="120"/>
        <v>4.7495000000000003</v>
      </c>
      <c r="K165" s="52">
        <f t="shared" si="121"/>
        <v>3.5766747562209553</v>
      </c>
      <c r="L165" s="135">
        <f t="shared" si="122"/>
        <v>1.3020896465976151E-4</v>
      </c>
      <c r="N165" s="131">
        <f t="shared" si="141"/>
        <v>0.17981818795318741</v>
      </c>
      <c r="O165" s="131">
        <f t="shared" si="142"/>
        <v>0.17981818795318741</v>
      </c>
      <c r="P165" s="55">
        <f t="shared" si="123"/>
        <v>1</v>
      </c>
      <c r="Q165" s="135">
        <f>_xll.xSPRDOPT(I165,H165,AQ165,0,O165,N165,P165,D165-$G$5,1,0)*AH165*AU165</f>
        <v>3.5768049651856151</v>
      </c>
      <c r="R165" s="135"/>
      <c r="S165" s="181">
        <f t="shared" si="124"/>
        <v>-165619.32832481837</v>
      </c>
      <c r="T165" s="181">
        <f>_xll.xSPRDOPT(I165,H165,AQ165,AT165,O165,N165,P165,D165-$G$5,1,1)*AF165*F165*AH165</f>
        <v>161892.89343750998</v>
      </c>
      <c r="U165" s="135"/>
      <c r="V165" s="146">
        <f t="shared" si="125"/>
        <v>5.4377567381854872</v>
      </c>
      <c r="W165" s="146"/>
      <c r="X165" s="338">
        <f t="shared" si="126"/>
        <v>0</v>
      </c>
      <c r="Y165" s="338">
        <f t="shared" si="143"/>
        <v>0</v>
      </c>
      <c r="Z165" s="338">
        <f t="shared" si="144"/>
        <v>20.192591303791868</v>
      </c>
      <c r="AA165" s="338">
        <f t="shared" si="145"/>
        <v>6.2928942033387903E-4</v>
      </c>
      <c r="AB165" s="338">
        <f t="shared" si="127"/>
        <v>0</v>
      </c>
      <c r="AC165" s="338">
        <f t="shared" si="128"/>
        <v>20.514505834178848</v>
      </c>
      <c r="AF165" s="138">
        <f t="shared" si="129"/>
        <v>1</v>
      </c>
      <c r="AG165" s="138">
        <f t="shared" si="130"/>
        <v>12</v>
      </c>
      <c r="AH165" s="138">
        <f t="shared" si="146"/>
        <v>31</v>
      </c>
      <c r="AI165" s="138">
        <f t="shared" si="131"/>
        <v>4367</v>
      </c>
      <c r="AJ165" s="138">
        <f t="shared" si="132"/>
        <v>4384</v>
      </c>
      <c r="AL165" s="136">
        <f t="shared" si="147"/>
        <v>4.3494999999999999</v>
      </c>
      <c r="AM165" s="258">
        <f t="shared" si="148"/>
        <v>1.2999999999999999E-2</v>
      </c>
      <c r="AN165" s="258">
        <f t="shared" si="149"/>
        <v>7.4999999999999997E-3</v>
      </c>
      <c r="AO165" s="258">
        <f t="shared" si="150"/>
        <v>0.4</v>
      </c>
      <c r="AP165" s="258">
        <f t="shared" si="151"/>
        <v>0</v>
      </c>
      <c r="AQ165" s="136">
        <f t="shared" si="133"/>
        <v>3.6400000000000002E-2</v>
      </c>
      <c r="AR165" s="137">
        <f t="shared" si="152"/>
        <v>2.2499999999999999E-2</v>
      </c>
      <c r="AS165" s="136">
        <f t="shared" si="134"/>
        <v>4.37</v>
      </c>
      <c r="AT165" s="137">
        <f t="shared" si="135"/>
        <v>6.2901189598897594E-2</v>
      </c>
      <c r="AU165" s="137">
        <f t="shared" si="153"/>
        <v>0.47575673361378579</v>
      </c>
      <c r="AV165" s="394">
        <f t="shared" si="136"/>
        <v>3775.6054379590041</v>
      </c>
      <c r="AW165" s="137">
        <f t="shared" si="154"/>
        <v>0.17</v>
      </c>
      <c r="AX165" s="137">
        <f t="shared" si="155"/>
        <v>1</v>
      </c>
      <c r="AY165" s="137">
        <f t="shared" si="156"/>
        <v>1</v>
      </c>
      <c r="AZ165" s="137"/>
      <c r="BA165" s="264"/>
      <c r="BB165" s="258">
        <f t="shared" si="157"/>
        <v>0</v>
      </c>
      <c r="BC165" s="258">
        <f t="shared" si="137"/>
        <v>0</v>
      </c>
      <c r="BD165" s="137">
        <f t="shared" si="138"/>
        <v>6.5331126044287924E-6</v>
      </c>
      <c r="BE165" s="137">
        <f t="shared" si="139"/>
        <v>6.5331126044287924E-6</v>
      </c>
      <c r="BF165" s="137">
        <f>_xll.xSPRDOPT($BW165,$BV165,$CG165,0,$BY165,$BX165,$BZ165,$AJ165,1,4)*$CB165</f>
        <v>-2.8342889856234821E-7</v>
      </c>
      <c r="BG165" s="137">
        <f>_xll.xSPRDOPT($BW165,$BV165,$CG165,0,$BY165,$BX165,$BZ165,$AJ165,1,3)*$CB165</f>
        <v>-2.8342889856234821E-8</v>
      </c>
      <c r="BH165" s="137">
        <f>IF(OR(BF165&lt;&gt;0,BG165&lt;&gt;0),_xll.xSPRDOPT($BW165,$BV165,$CG165,0,$BY165,$BX165,$BZ165,$AJ165,1,12)*$CB165,0)</f>
        <v>-4.2514334784352231E-8</v>
      </c>
      <c r="BI165" s="137">
        <f>_xll.xSPRDOPT($BW165,$BV165,$CG165,2*LN(1+CA165/2),$BY165,$BX165,$BZ165,$AJ165,1,9)</f>
        <v>7.1400714784244177E-3</v>
      </c>
      <c r="BJ165" s="137">
        <f>_xll.xSPRDOPT($BW165,$BV165,$CG165,0,$BY165,$BX165,$BZ165,$AJ165,1,6)*$CB165</f>
        <v>-4.484041850070038E-3</v>
      </c>
      <c r="BK165" s="137">
        <f>_xll.xSPRDOPT($BW165,$BV165,$CG165,0,$BY165,$BX165,$BZ165,$AJ165,1,5)*$CB165</f>
        <v>4.7637929617287281E-3</v>
      </c>
      <c r="BL165" s="137">
        <f>_xll.xSPRDOPT(BW165,BV165,CG165,0,BY165,BX165,BZ165,AJ165,1,2)*CB165</f>
        <v>-0.47543974698197256</v>
      </c>
      <c r="BM165" s="137">
        <f>_xll.xSPRDOPT(BW165,BV165,CG165,0,BY165,BX165,BZ165,AJ165,1,1)*CB165</f>
        <v>0.47543974698002639</v>
      </c>
      <c r="BN165" s="137">
        <f>IF(AH165&lt;&gt;0,_xll.xSPRDOPT($BW165,$BV165,$CG165,2*LN(1+CA165/2),$BY165,$BX165,$BZ165,$AJ165,1,8)+(AJ165/365.25)*CH165/AH165,0)</f>
        <v>0.72016616811494982</v>
      </c>
      <c r="BO165" s="137">
        <f>_xll.xSPRDOPT($BW165,$BV165,$CG165,0,$BY165,$BX165,$BZ165,$AJ165,1,0)</f>
        <v>0.24252062572477412</v>
      </c>
      <c r="BP165" s="137"/>
      <c r="BQ165" s="137"/>
      <c r="BR165" s="137"/>
      <c r="BS165" s="137"/>
      <c r="BV165" s="262">
        <v>4.4705882352941178</v>
      </c>
      <c r="BW165" s="136">
        <v>4.7495000000000003</v>
      </c>
      <c r="BX165" s="137">
        <v>0.17981165484058298</v>
      </c>
      <c r="BY165" s="137">
        <v>0.17981165484058298</v>
      </c>
      <c r="BZ165" s="137">
        <v>1</v>
      </c>
      <c r="CA165" s="137">
        <v>6.2901189598897594E-2</v>
      </c>
      <c r="CB165" s="137">
        <v>0.47551478518226054</v>
      </c>
      <c r="CC165" s="258">
        <v>1.2999999999999999E-2</v>
      </c>
      <c r="CD165" s="258">
        <v>7.4999999999999997E-3</v>
      </c>
      <c r="CE165" s="258">
        <v>0.4</v>
      </c>
      <c r="CF165" s="258">
        <v>0</v>
      </c>
      <c r="CG165" s="258">
        <v>3.6400000000000002E-2</v>
      </c>
      <c r="CH165" s="258">
        <v>5.4349913401976835</v>
      </c>
      <c r="CI165" s="258">
        <v>4.3494999999999999</v>
      </c>
      <c r="CJ165" s="258"/>
      <c r="CK165" s="258"/>
      <c r="CL165" s="258"/>
      <c r="CM165" s="258"/>
    </row>
    <row r="166" spans="1:91" x14ac:dyDescent="0.25">
      <c r="A166" s="723"/>
      <c r="B166" s="723"/>
      <c r="D166" s="31">
        <f t="shared" si="117"/>
        <v>41654</v>
      </c>
      <c r="F166" s="28">
        <f t="shared" si="118"/>
        <v>11107</v>
      </c>
      <c r="G166" s="28">
        <f t="shared" si="140"/>
        <v>5254.0316030248014</v>
      </c>
      <c r="H166" s="52">
        <f t="shared" si="119"/>
        <v>4.5319693094629159</v>
      </c>
      <c r="I166" s="52">
        <f t="shared" si="120"/>
        <v>4.7595000000000001</v>
      </c>
      <c r="K166" s="52">
        <f t="shared" si="121"/>
        <v>2.8027736868716673</v>
      </c>
      <c r="L166" s="135">
        <f t="shared" si="122"/>
        <v>3.6914062184267848E-4</v>
      </c>
      <c r="N166" s="131">
        <f t="shared" si="141"/>
        <v>0.17975109611280685</v>
      </c>
      <c r="O166" s="131">
        <f t="shared" si="142"/>
        <v>0.17975109611280685</v>
      </c>
      <c r="P166" s="55">
        <f t="shared" si="123"/>
        <v>1.0000000000000002</v>
      </c>
      <c r="Q166" s="135">
        <f>_xll.xSPRDOPT(I166,H166,AQ166,0,O166,N166,P166,D166-$G$5,1,0)*AH166*AU166</f>
        <v>2.80314282749351</v>
      </c>
      <c r="R166" s="135"/>
      <c r="S166" s="181">
        <f t="shared" si="124"/>
        <v>-164619.76097254624</v>
      </c>
      <c r="T166" s="181">
        <f>_xll.xSPRDOPT(I166,H166,AQ166,AT166,O166,N166,P166,D166-$G$5,1,1)*AF166*F166*AH166</f>
        <v>160915.81635066395</v>
      </c>
      <c r="U166" s="135"/>
      <c r="V166" s="146">
        <f t="shared" si="125"/>
        <v>5.406680923119886</v>
      </c>
      <c r="W166" s="146"/>
      <c r="X166" s="338">
        <f t="shared" si="126"/>
        <v>0</v>
      </c>
      <c r="Y166" s="338">
        <f t="shared" si="143"/>
        <v>0</v>
      </c>
      <c r="Z166" s="338">
        <f t="shared" si="144"/>
        <v>15.828688650593202</v>
      </c>
      <c r="AA166" s="338">
        <f t="shared" si="145"/>
        <v>1.8259089552863318E-3</v>
      </c>
      <c r="AB166" s="338">
        <f t="shared" si="127"/>
        <v>0</v>
      </c>
      <c r="AC166" s="338">
        <f t="shared" si="128"/>
        <v>16.087583258181493</v>
      </c>
      <c r="AF166" s="138">
        <f t="shared" si="129"/>
        <v>1</v>
      </c>
      <c r="AG166" s="138">
        <f t="shared" si="130"/>
        <v>1</v>
      </c>
      <c r="AH166" s="138">
        <f t="shared" si="146"/>
        <v>31</v>
      </c>
      <c r="AI166" s="138">
        <f t="shared" si="131"/>
        <v>4398</v>
      </c>
      <c r="AJ166" s="138">
        <f t="shared" si="132"/>
        <v>4415</v>
      </c>
      <c r="AL166" s="136">
        <f t="shared" si="147"/>
        <v>4.4095000000000004</v>
      </c>
      <c r="AM166" s="258">
        <f t="shared" si="148"/>
        <v>1.2999999999999999E-2</v>
      </c>
      <c r="AN166" s="258">
        <f t="shared" si="149"/>
        <v>7.4999999999999997E-3</v>
      </c>
      <c r="AO166" s="258">
        <f t="shared" si="150"/>
        <v>0.35</v>
      </c>
      <c r="AP166" s="258">
        <f t="shared" si="151"/>
        <v>0</v>
      </c>
      <c r="AQ166" s="136">
        <f t="shared" si="133"/>
        <v>3.6400000000000002E-2</v>
      </c>
      <c r="AR166" s="137">
        <f t="shared" si="152"/>
        <v>2.2499999999999999E-2</v>
      </c>
      <c r="AS166" s="136">
        <f t="shared" si="134"/>
        <v>4.4300000000000006</v>
      </c>
      <c r="AT166" s="137">
        <f t="shared" si="135"/>
        <v>6.2941733695423399E-2</v>
      </c>
      <c r="AU166" s="137">
        <f t="shared" si="153"/>
        <v>0.47303786828349703</v>
      </c>
      <c r="AV166" s="394">
        <f t="shared" si="136"/>
        <v>3754.0285226978326</v>
      </c>
      <c r="AW166" s="137">
        <f t="shared" si="154"/>
        <v>0.17</v>
      </c>
      <c r="AX166" s="137">
        <f t="shared" si="155"/>
        <v>1</v>
      </c>
      <c r="AY166" s="137">
        <f t="shared" si="156"/>
        <v>1</v>
      </c>
      <c r="AZ166" s="137"/>
      <c r="BA166" s="264"/>
      <c r="BB166" s="258">
        <f t="shared" si="157"/>
        <v>0</v>
      </c>
      <c r="BC166" s="258">
        <f t="shared" si="137"/>
        <v>0</v>
      </c>
      <c r="BD166" s="137">
        <f t="shared" si="138"/>
        <v>6.4440927573794493E-6</v>
      </c>
      <c r="BE166" s="137">
        <f t="shared" si="139"/>
        <v>6.4440927573794493E-6</v>
      </c>
      <c r="BF166" s="137">
        <f>_xll.xSPRDOPT($BW166,$BV166,$CG166,0,$BY166,$BX166,$BZ166,$AJ166,1,4)*$CB166</f>
        <v>-5.6361812341205337E-8</v>
      </c>
      <c r="BG166" s="137">
        <f>_xll.xSPRDOPT($BW166,$BV166,$CG166,0,$BY166,$BX166,$BZ166,$AJ166,1,3)*$CB166</f>
        <v>-8.4542718511808013E-8</v>
      </c>
      <c r="BH166" s="137">
        <f>IF(OR(BF166&lt;&gt;0,BG166&lt;&gt;0),_xll.xSPRDOPT($BW166,$BV166,$CG166,0,$BY166,$BX166,$BZ166,$AJ166,1,12)*$CB166,0)</f>
        <v>-4.2271359255904006E-8</v>
      </c>
      <c r="BI166" s="137">
        <f>_xll.xSPRDOPT($BW166,$BV166,$CG166,2*LN(1+CA166/2),$BY166,$BX166,$BZ166,$AJ166,1,9)</f>
        <v>5.5970017257635334E-3</v>
      </c>
      <c r="BJ166" s="137">
        <f>_xll.xSPRDOPT($BW166,$BV166,$CG166,0,$BY166,$BX166,$BZ166,$AJ166,1,6)*$CB166</f>
        <v>-1.2320451030054152E-2</v>
      </c>
      <c r="BK166" s="137">
        <f>_xll.xSPRDOPT($BW166,$BV166,$CG166,0,$BY166,$BX166,$BZ166,$AJ166,1,5)*$CB166</f>
        <v>1.3143373403222112E-2</v>
      </c>
      <c r="BL166" s="137">
        <f>_xll.xSPRDOPT(BW166,BV166,CG166,0,BY166,BX166,BZ166,AJ166,1,2)*CB166</f>
        <v>-0.47261615036475718</v>
      </c>
      <c r="BM166" s="137">
        <f>_xll.xSPRDOPT(BW166,BV166,CG166,0,BY166,BX166,BZ166,AJ166,1,1)*CB166</f>
        <v>0.47261615037400234</v>
      </c>
      <c r="BN166" s="137">
        <f>IF(AH166&lt;&gt;0,_xll.xSPRDOPT($BW166,$BV166,$CG166,2*LN(1+CA166/2),$BY166,$BX166,$BZ166,$AJ166,1,8)+(AJ166/365.25)*CH166/AH166,0)</f>
        <v>1.0146622901411346</v>
      </c>
      <c r="BO166" s="137">
        <f>_xll.xSPRDOPT($BW166,$BV166,$CG166,0,$BY166,$BX166,$BZ166,$AJ166,1,0)</f>
        <v>0.19115592362925357</v>
      </c>
      <c r="BP166" s="137"/>
      <c r="BQ166" s="137"/>
      <c r="BR166" s="137"/>
      <c r="BS166" s="137"/>
      <c r="BV166" s="262">
        <v>4.5319693094629159</v>
      </c>
      <c r="BW166" s="136">
        <v>4.7595000000000001</v>
      </c>
      <c r="BX166" s="137">
        <v>0.17974465202004947</v>
      </c>
      <c r="BY166" s="137">
        <v>0.17974465202004947</v>
      </c>
      <c r="BZ166" s="137">
        <v>1</v>
      </c>
      <c r="CA166" s="137">
        <v>6.2941733695423399E-2</v>
      </c>
      <c r="CB166" s="137">
        <v>0.47279714989993382</v>
      </c>
      <c r="CC166" s="258">
        <v>1.2999999999999999E-2</v>
      </c>
      <c r="CD166" s="258">
        <v>7.4999999999999997E-3</v>
      </c>
      <c r="CE166" s="258">
        <v>0.35</v>
      </c>
      <c r="CF166" s="258">
        <v>0</v>
      </c>
      <c r="CG166" s="258">
        <v>3.6400000000000002E-2</v>
      </c>
      <c r="CH166" s="258">
        <v>5.4039295842112738</v>
      </c>
      <c r="CI166" s="258">
        <v>4.4095000000000004</v>
      </c>
      <c r="CJ166" s="258"/>
      <c r="CK166" s="258"/>
      <c r="CL166" s="258"/>
      <c r="CM166" s="258"/>
    </row>
    <row r="167" spans="1:91" x14ac:dyDescent="0.25">
      <c r="A167" s="723"/>
      <c r="B167" s="723"/>
      <c r="D167" s="31">
        <f t="shared" si="117"/>
        <v>41685</v>
      </c>
      <c r="F167" s="28">
        <f t="shared" si="118"/>
        <v>11107</v>
      </c>
      <c r="G167" s="28">
        <f t="shared" si="140"/>
        <v>5223.9709374858403</v>
      </c>
      <c r="H167" s="52">
        <f t="shared" si="119"/>
        <v>4.4450127877237851</v>
      </c>
      <c r="I167" s="52">
        <f t="shared" si="120"/>
        <v>4.6744999999999992</v>
      </c>
      <c r="K167" s="52">
        <f t="shared" si="121"/>
        <v>2.542819446229482</v>
      </c>
      <c r="L167" s="135">
        <f t="shared" si="122"/>
        <v>3.1650230564972404E-4</v>
      </c>
      <c r="N167" s="131">
        <f t="shared" si="141"/>
        <v>0.17877348653207281</v>
      </c>
      <c r="O167" s="131">
        <f t="shared" si="142"/>
        <v>0.17877348653207281</v>
      </c>
      <c r="P167" s="55">
        <f t="shared" si="123"/>
        <v>1.0000000000000002</v>
      </c>
      <c r="Q167" s="135">
        <f>_xll.xSPRDOPT(I167,H167,AQ167,0,O167,N167,P167,D167-$G$5,1,0)*AH167*AU167</f>
        <v>2.5431359485351317</v>
      </c>
      <c r="R167" s="135"/>
      <c r="S167" s="181">
        <f t="shared" si="124"/>
        <v>-147823.45264856171</v>
      </c>
      <c r="T167" s="181">
        <f>_xll.xSPRDOPT(I167,H167,AQ167,AT167,O167,N167,P167,D167-$G$5,1,1)*AF167*F167*AH167</f>
        <v>144497.42496396907</v>
      </c>
      <c r="U167" s="135"/>
      <c r="V167" s="146">
        <f t="shared" si="125"/>
        <v>4.8555133132464956</v>
      </c>
      <c r="W167" s="146"/>
      <c r="X167" s="338">
        <f t="shared" si="126"/>
        <v>0</v>
      </c>
      <c r="Y167" s="338">
        <f t="shared" si="143"/>
        <v>0</v>
      </c>
      <c r="Z167" s="338">
        <f t="shared" si="144"/>
        <v>14.369664861300395</v>
      </c>
      <c r="AA167" s="338">
        <f t="shared" si="145"/>
        <v>9.4406899282220764E-4</v>
      </c>
      <c r="AB167" s="338">
        <f t="shared" si="127"/>
        <v>0</v>
      </c>
      <c r="AC167" s="338">
        <f t="shared" si="128"/>
        <v>14.604768588852453</v>
      </c>
      <c r="AF167" s="138">
        <f t="shared" si="129"/>
        <v>1</v>
      </c>
      <c r="AG167" s="138">
        <f t="shared" si="130"/>
        <v>2</v>
      </c>
      <c r="AH167" s="138">
        <f t="shared" si="146"/>
        <v>28</v>
      </c>
      <c r="AI167" s="138">
        <f t="shared" si="131"/>
        <v>4429</v>
      </c>
      <c r="AJ167" s="138">
        <f t="shared" si="132"/>
        <v>4446</v>
      </c>
      <c r="AL167" s="136">
        <f t="shared" si="147"/>
        <v>4.3244999999999996</v>
      </c>
      <c r="AM167" s="258">
        <f t="shared" si="148"/>
        <v>1.2999999999999999E-2</v>
      </c>
      <c r="AN167" s="258">
        <f t="shared" si="149"/>
        <v>7.4999999999999997E-3</v>
      </c>
      <c r="AO167" s="258">
        <f t="shared" si="150"/>
        <v>0.35</v>
      </c>
      <c r="AP167" s="258">
        <f t="shared" si="151"/>
        <v>0</v>
      </c>
      <c r="AQ167" s="136">
        <f t="shared" si="133"/>
        <v>3.6400000000000002E-2</v>
      </c>
      <c r="AR167" s="137">
        <f t="shared" si="152"/>
        <v>2.2499999999999999E-2</v>
      </c>
      <c r="AS167" s="136">
        <f t="shared" si="134"/>
        <v>4.3449999999999998</v>
      </c>
      <c r="AT167" s="137">
        <f t="shared" si="135"/>
        <v>6.2982277792494698E-2</v>
      </c>
      <c r="AU167" s="137">
        <f t="shared" si="153"/>
        <v>0.47033140699431353</v>
      </c>
      <c r="AV167" s="394">
        <f t="shared" si="136"/>
        <v>3371.3355253352393</v>
      </c>
      <c r="AW167" s="137">
        <f t="shared" si="154"/>
        <v>0.17</v>
      </c>
      <c r="AX167" s="137">
        <f t="shared" si="155"/>
        <v>1</v>
      </c>
      <c r="AY167" s="137">
        <f t="shared" si="156"/>
        <v>1</v>
      </c>
      <c r="AZ167" s="137"/>
      <c r="BA167" s="264"/>
      <c r="BB167" s="258">
        <f t="shared" si="157"/>
        <v>0</v>
      </c>
      <c r="BC167" s="258">
        <f t="shared" si="137"/>
        <v>0</v>
      </c>
      <c r="BD167" s="137">
        <f t="shared" si="138"/>
        <v>5.7748589574468934E-6</v>
      </c>
      <c r="BE167" s="137">
        <f t="shared" si="139"/>
        <v>5.7748589574468934E-6</v>
      </c>
      <c r="BF167" s="137">
        <f>_xll.xSPRDOPT($BW167,$BV167,$CG167,0,$BY167,$BX167,$BZ167,$AJ167,1,4)*$CB167</f>
        <v>4.4831458482770882E-7</v>
      </c>
      <c r="BG167" s="137">
        <f>_xll.xSPRDOPT($BW167,$BV167,$CG167,0,$BY167,$BX167,$BZ167,$AJ167,1,3)*$CB167</f>
        <v>-2.8019661551731801E-8</v>
      </c>
      <c r="BH167" s="137">
        <f>IF(OR(BF167&lt;&gt;0,BG167&lt;&gt;0),_xll.xSPRDOPT($BW167,$BV167,$CG167,0,$BY167,$BX167,$BZ167,$AJ167,1,12)*$CB167,0)</f>
        <v>-9.8068815431061307E-8</v>
      </c>
      <c r="BI167" s="137">
        <f>_xll.xSPRDOPT($BW167,$BV167,$CG167,2*LN(1+CA167/2),$BY167,$BX167,$BZ167,$AJ167,1,9)</f>
        <v>5.6254958162269718E-3</v>
      </c>
      <c r="BJ167" s="137">
        <f>_xll.xSPRDOPT($BW167,$BV167,$CG167,0,$BY167,$BX167,$BZ167,$AJ167,1,6)*$CB167</f>
        <v>-1.0181741486871114E-2</v>
      </c>
      <c r="BK167" s="137">
        <f>_xll.xSPRDOPT($BW167,$BV167,$CG167,0,$BY167,$BX167,$BZ167,$AJ167,1,5)*$CB167</f>
        <v>1.0707404655901117E-2</v>
      </c>
      <c r="BL167" s="137">
        <f>_xll.xSPRDOPT(BW167,BV167,CG167,0,BY167,BX167,BZ167,AJ167,1,2)*CB167</f>
        <v>-0.46991115196306588</v>
      </c>
      <c r="BM167" s="137">
        <f>_xll.xSPRDOPT(BW167,BV167,CG167,0,BY167,BX167,BZ167,AJ167,1,1)*CB167</f>
        <v>0.46991115195943173</v>
      </c>
      <c r="BN167" s="137">
        <f>IF(AH167&lt;&gt;0,_xll.xSPRDOPT($BW167,$BV167,$CG167,2*LN(1+CA167/2),$BY167,$BX167,$BZ167,$AJ167,1,8)+(AJ167/365.25)*CH167/AH167,0)</f>
        <v>1.0047512653808308</v>
      </c>
      <c r="BO167" s="137">
        <f>_xll.xSPRDOPT($BW167,$BV167,$CG167,0,$BY167,$BX167,$BZ167,$AJ167,1,0)</f>
        <v>0.19311130667536219</v>
      </c>
      <c r="BP167" s="137"/>
      <c r="BQ167" s="137"/>
      <c r="BR167" s="137"/>
      <c r="BS167" s="137"/>
      <c r="BV167" s="262">
        <v>4.4450127877237851</v>
      </c>
      <c r="BW167" s="136">
        <v>4.6744999999999992</v>
      </c>
      <c r="BX167" s="137">
        <v>0.17876771167311536</v>
      </c>
      <c r="BY167" s="137">
        <v>0.17876771167311536</v>
      </c>
      <c r="BZ167" s="137">
        <v>1</v>
      </c>
      <c r="CA167" s="137">
        <v>6.2982277792494698E-2</v>
      </c>
      <c r="CB167" s="137">
        <v>0.4700919141002996</v>
      </c>
      <c r="CC167" s="258">
        <v>1.2999999999999999E-2</v>
      </c>
      <c r="CD167" s="258">
        <v>7.4999999999999997E-3</v>
      </c>
      <c r="CE167" s="258">
        <v>0.35</v>
      </c>
      <c r="CF167" s="258">
        <v>0</v>
      </c>
      <c r="CG167" s="258">
        <v>3.6400000000000002E-2</v>
      </c>
      <c r="CH167" s="258">
        <v>4.8530408844058535</v>
      </c>
      <c r="CI167" s="258">
        <v>4.3244999999999996</v>
      </c>
      <c r="CJ167" s="258"/>
      <c r="CK167" s="258"/>
      <c r="CL167" s="258"/>
      <c r="CM167" s="258"/>
    </row>
    <row r="168" spans="1:91" x14ac:dyDescent="0.25">
      <c r="A168" s="723"/>
      <c r="B168" s="723"/>
      <c r="D168" s="31">
        <f t="shared" si="117"/>
        <v>41713</v>
      </c>
      <c r="F168" s="28">
        <f t="shared" si="118"/>
        <v>11107</v>
      </c>
      <c r="G168" s="28">
        <f t="shared" si="140"/>
        <v>5196.9374637562423</v>
      </c>
      <c r="H168" s="52">
        <f t="shared" si="119"/>
        <v>4.3171355498721224</v>
      </c>
      <c r="I168" s="52">
        <f t="shared" si="120"/>
        <v>4.5945</v>
      </c>
      <c r="K168" s="52">
        <f t="shared" si="121"/>
        <v>3.4951465316820638</v>
      </c>
      <c r="L168" s="135">
        <f t="shared" si="122"/>
        <v>1.0854116265823777E-4</v>
      </c>
      <c r="N168" s="131">
        <f t="shared" si="141"/>
        <v>0.17535465938467401</v>
      </c>
      <c r="O168" s="131">
        <f t="shared" si="142"/>
        <v>0.17535465938467401</v>
      </c>
      <c r="P168" s="55">
        <f t="shared" si="123"/>
        <v>1</v>
      </c>
      <c r="Q168" s="135">
        <f>_xll.xSPRDOPT(I168,H168,AQ168,0,O168,N168,P168,D168-$G$5,1,0)*AH168*AU168</f>
        <v>3.495255072844722</v>
      </c>
      <c r="R168" s="135"/>
      <c r="S168" s="181">
        <f t="shared" si="124"/>
        <v>-162836.41190377917</v>
      </c>
      <c r="T168" s="181">
        <f>_xll.xSPRDOPT(I168,H168,AQ168,AT168,O168,N168,P168,D168-$G$5,1,1)*AF168*F168*AH168</f>
        <v>159172.59263594414</v>
      </c>
      <c r="U168" s="135"/>
      <c r="V168" s="146">
        <f t="shared" si="125"/>
        <v>5.3479279850089787</v>
      </c>
      <c r="W168" s="146"/>
      <c r="X168" s="338">
        <f t="shared" si="126"/>
        <v>0</v>
      </c>
      <c r="Y168" s="338">
        <f t="shared" si="143"/>
        <v>0</v>
      </c>
      <c r="Z168" s="338">
        <f t="shared" si="144"/>
        <v>19.768564343122765</v>
      </c>
      <c r="AA168" s="338">
        <f t="shared" si="145"/>
        <v>3.4778810985111629E-4</v>
      </c>
      <c r="AB168" s="338">
        <f t="shared" si="127"/>
        <v>0</v>
      </c>
      <c r="AC168" s="338">
        <f t="shared" si="128"/>
        <v>20.084277719700317</v>
      </c>
      <c r="AF168" s="138">
        <f t="shared" si="129"/>
        <v>1</v>
      </c>
      <c r="AG168" s="138">
        <f t="shared" si="130"/>
        <v>3</v>
      </c>
      <c r="AH168" s="138">
        <f t="shared" si="146"/>
        <v>31</v>
      </c>
      <c r="AI168" s="138">
        <f t="shared" si="131"/>
        <v>4457</v>
      </c>
      <c r="AJ168" s="138">
        <f t="shared" si="132"/>
        <v>4474</v>
      </c>
      <c r="AL168" s="136">
        <f t="shared" si="147"/>
        <v>4.1944999999999997</v>
      </c>
      <c r="AM168" s="258">
        <f t="shared" si="148"/>
        <v>1.7999999999999999E-2</v>
      </c>
      <c r="AN168" s="258">
        <f t="shared" si="149"/>
        <v>7.4999999999999997E-3</v>
      </c>
      <c r="AO168" s="258">
        <f t="shared" si="150"/>
        <v>0.4</v>
      </c>
      <c r="AP168" s="258">
        <f t="shared" si="151"/>
        <v>0</v>
      </c>
      <c r="AQ168" s="136">
        <f t="shared" si="133"/>
        <v>3.6400000000000002E-2</v>
      </c>
      <c r="AR168" s="137">
        <f t="shared" si="152"/>
        <v>2.2499999999999999E-2</v>
      </c>
      <c r="AS168" s="136">
        <f t="shared" si="134"/>
        <v>4.22</v>
      </c>
      <c r="AT168" s="137">
        <f t="shared" si="135"/>
        <v>6.3018898267737503E-2</v>
      </c>
      <c r="AU168" s="137">
        <f t="shared" si="153"/>
        <v>0.46789749381077178</v>
      </c>
      <c r="AV168" s="394">
        <f t="shared" si="136"/>
        <v>3713.2345108822847</v>
      </c>
      <c r="AW168" s="137">
        <f t="shared" si="154"/>
        <v>0.17</v>
      </c>
      <c r="AX168" s="137">
        <f t="shared" si="155"/>
        <v>0.75</v>
      </c>
      <c r="AY168" s="137">
        <f t="shared" si="156"/>
        <v>0.75</v>
      </c>
      <c r="AZ168" s="137"/>
      <c r="BA168" s="264"/>
      <c r="BB168" s="258">
        <f t="shared" si="157"/>
        <v>0</v>
      </c>
      <c r="BC168" s="258">
        <f t="shared" si="137"/>
        <v>0</v>
      </c>
      <c r="BD168" s="137">
        <f t="shared" si="138"/>
        <v>3.5345484104831737E-6</v>
      </c>
      <c r="BE168" s="137">
        <f t="shared" si="139"/>
        <v>3.5345484104831737E-6</v>
      </c>
      <c r="BF168" s="137">
        <f>_xll.xSPRDOPT($BW168,$BV168,$CG168,0,$BY168,$BX168,$BZ168,$AJ168,1,4)*$CB168</f>
        <v>3.3449585716528142E-7</v>
      </c>
      <c r="BG168" s="137">
        <f>_xll.xSPRDOPT($BW168,$BV168,$CG168,0,$BY168,$BX168,$BZ168,$AJ168,1,3)*$CB168</f>
        <v>-8.3623964291320356E-8</v>
      </c>
      <c r="BH168" s="137">
        <f>IF(OR(BF168&lt;&gt;0,BG168&lt;&gt;0),_xll.xSPRDOPT($BW168,$BV168,$CG168,0,$BY168,$BX168,$BZ168,$AJ168,1,12)*$CB168,0)</f>
        <v>4.1811982145660178E-8</v>
      </c>
      <c r="BI168" s="137">
        <f>_xll.xSPRDOPT($BW168,$BV168,$CG168,2*LN(1+CA168/2),$BY168,$BX168,$BZ168,$AJ168,1,9)</f>
        <v>6.9901361500454423E-3</v>
      </c>
      <c r="BJ168" s="137">
        <f>_xll.xSPRDOPT($BW168,$BV168,$CG168,0,$BY168,$BX168,$BZ168,$AJ168,1,6)*$CB168</f>
        <v>-4.4480249468855535E-3</v>
      </c>
      <c r="BK168" s="137">
        <f>_xll.xSPRDOPT($BW168,$BV168,$CG168,0,$BY168,$BX168,$BZ168,$AJ168,1,5)*$CB168</f>
        <v>4.7337986945939995E-3</v>
      </c>
      <c r="BL168" s="137">
        <f>_xll.xSPRDOPT(BW168,BV168,CG168,0,BY168,BX168,BZ168,AJ168,1,2)*CB168</f>
        <v>-0.46758262735028028</v>
      </c>
      <c r="BM168" s="137">
        <f>_xll.xSPRDOPT(BW168,BV168,CG168,0,BY168,BX168,BZ168,AJ168,1,1)*CB168</f>
        <v>0.46758262735155626</v>
      </c>
      <c r="BN168" s="137">
        <f>IF(AH168&lt;&gt;0,_xll.xSPRDOPT($BW168,$BV168,$CG168,2*LN(1+CA168/2),$BY168,$BX168,$BZ168,$AJ168,1,8)+(AJ168/365.25)*CH168/AH168,0)</f>
        <v>0.73168031729712291</v>
      </c>
      <c r="BO168" s="137">
        <f>_xll.xSPRDOPT($BW168,$BV168,$CG168,0,$BY168,$BX168,$BZ168,$AJ168,1,0)</f>
        <v>0.24097196702027113</v>
      </c>
      <c r="BP168" s="137"/>
      <c r="BQ168" s="137"/>
      <c r="BR168" s="137"/>
      <c r="BS168" s="137"/>
      <c r="BV168" s="262">
        <v>4.3171355498721224</v>
      </c>
      <c r="BW168" s="136">
        <v>4.5945</v>
      </c>
      <c r="BX168" s="137">
        <v>0.17535112483626353</v>
      </c>
      <c r="BY168" s="137">
        <v>0.17535112483626353</v>
      </c>
      <c r="BZ168" s="137">
        <v>1</v>
      </c>
      <c r="CA168" s="137">
        <v>6.3018898267737503E-2</v>
      </c>
      <c r="CB168" s="137">
        <v>0.46765910389725618</v>
      </c>
      <c r="CC168" s="258">
        <v>1.7999999999999999E-2</v>
      </c>
      <c r="CD168" s="258">
        <v>7.4999999999999997E-3</v>
      </c>
      <c r="CE168" s="258">
        <v>0.4</v>
      </c>
      <c r="CF168" s="258">
        <v>0</v>
      </c>
      <c r="CG168" s="258">
        <v>3.6400000000000002E-2</v>
      </c>
      <c r="CH168" s="258">
        <v>5.3452032598144692</v>
      </c>
      <c r="CI168" s="258">
        <v>4.1944999999999997</v>
      </c>
      <c r="CJ168" s="258"/>
      <c r="CK168" s="258"/>
      <c r="CL168" s="258"/>
      <c r="CM168" s="258"/>
    </row>
    <row r="169" spans="1:91" x14ac:dyDescent="0.25">
      <c r="A169" s="723"/>
      <c r="B169" s="723"/>
      <c r="D169" s="31">
        <f t="shared" si="117"/>
        <v>41744</v>
      </c>
      <c r="F169" s="28">
        <f t="shared" si="118"/>
        <v>5899</v>
      </c>
      <c r="G169" s="28">
        <f t="shared" si="140"/>
        <v>2744.3005933570207</v>
      </c>
      <c r="H169" s="52">
        <f t="shared" si="119"/>
        <v>4.1304347826086953</v>
      </c>
      <c r="I169" s="52">
        <f t="shared" si="120"/>
        <v>4.6094999999999997</v>
      </c>
      <c r="K169" s="52">
        <f t="shared" si="121"/>
        <v>6.1780289137759175</v>
      </c>
      <c r="L169" s="135">
        <f t="shared" si="122"/>
        <v>2.6957101990632282E-6</v>
      </c>
      <c r="N169" s="131">
        <f t="shared" si="141"/>
        <v>0.17127962184906734</v>
      </c>
      <c r="O169" s="131">
        <f t="shared" si="142"/>
        <v>0.17127962184906734</v>
      </c>
      <c r="P169" s="55">
        <f t="shared" si="123"/>
        <v>1</v>
      </c>
      <c r="Q169" s="135">
        <f>_xll.xSPRDOPT(I169,H169,AQ169,0,O169,N169,P169,D169-$G$5,1,0)*AH169*AU169</f>
        <v>6.1780316094861165</v>
      </c>
      <c r="R169" s="135"/>
      <c r="S169" s="181">
        <f t="shared" si="124"/>
        <v>-83219.038165887003</v>
      </c>
      <c r="T169" s="181">
        <f>_xll.xSPRDOPT(I169,H169,AQ169,AT169,O169,N169,P169,D169-$G$5,1,1)*AF169*F169*AH169</f>
        <v>81346.609807154542</v>
      </c>
      <c r="U169" s="135"/>
      <c r="V169" s="146">
        <f t="shared" si="125"/>
        <v>5.1457380679983062</v>
      </c>
      <c r="W169" s="146"/>
      <c r="X169" s="338">
        <f t="shared" si="126"/>
        <v>0</v>
      </c>
      <c r="Y169" s="338">
        <f t="shared" si="143"/>
        <v>0</v>
      </c>
      <c r="Z169" s="338">
        <f t="shared" si="144"/>
        <v>18.574941379168106</v>
      </c>
      <c r="AA169" s="338">
        <f t="shared" si="145"/>
        <v>1.5600832486298358E-6</v>
      </c>
      <c r="AB169" s="338">
        <f t="shared" si="127"/>
        <v>0</v>
      </c>
      <c r="AC169" s="338">
        <f t="shared" si="128"/>
        <v>18.866364180556921</v>
      </c>
      <c r="AF169" s="138">
        <f t="shared" si="129"/>
        <v>1</v>
      </c>
      <c r="AG169" s="138">
        <f t="shared" si="130"/>
        <v>4</v>
      </c>
      <c r="AH169" s="138">
        <f t="shared" si="146"/>
        <v>30</v>
      </c>
      <c r="AI169" s="138">
        <f t="shared" si="131"/>
        <v>4488</v>
      </c>
      <c r="AJ169" s="138">
        <f t="shared" si="132"/>
        <v>4505</v>
      </c>
      <c r="AL169" s="136">
        <f t="shared" si="147"/>
        <v>4.0095000000000001</v>
      </c>
      <c r="AM169" s="258">
        <f t="shared" si="148"/>
        <v>1.7999999999999999E-2</v>
      </c>
      <c r="AN169" s="258">
        <f t="shared" si="149"/>
        <v>0.01</v>
      </c>
      <c r="AO169" s="258">
        <f t="shared" si="150"/>
        <v>0.6</v>
      </c>
      <c r="AP169" s="258">
        <f t="shared" si="151"/>
        <v>0</v>
      </c>
      <c r="AQ169" s="136">
        <f t="shared" si="133"/>
        <v>3.6400000000000002E-2</v>
      </c>
      <c r="AR169" s="137">
        <f t="shared" si="152"/>
        <v>2.2499999999999999E-2</v>
      </c>
      <c r="AS169" s="136">
        <f t="shared" si="134"/>
        <v>4.0374999999999996</v>
      </c>
      <c r="AT169" s="137">
        <f t="shared" si="135"/>
        <v>6.3059442365846999E-2</v>
      </c>
      <c r="AU169" s="137">
        <f t="shared" si="153"/>
        <v>0.46521454371198862</v>
      </c>
      <c r="AV169" s="394">
        <f t="shared" si="136"/>
        <v>1898.0753383449135</v>
      </c>
      <c r="AW169" s="137">
        <f t="shared" si="154"/>
        <v>0.17</v>
      </c>
      <c r="AX169" s="137">
        <f t="shared" si="155"/>
        <v>0.4</v>
      </c>
      <c r="AY169" s="137">
        <f t="shared" si="156"/>
        <v>0.4</v>
      </c>
      <c r="AZ169" s="137"/>
      <c r="BA169" s="264"/>
      <c r="BB169" s="258">
        <f t="shared" si="157"/>
        <v>0</v>
      </c>
      <c r="BC169" s="258">
        <f t="shared" si="137"/>
        <v>0</v>
      </c>
      <c r="BD169" s="137">
        <f t="shared" si="138"/>
        <v>8.4876498737673778E-7</v>
      </c>
      <c r="BE169" s="137">
        <f t="shared" si="139"/>
        <v>8.4876498737673778E-7</v>
      </c>
      <c r="BF169" s="137">
        <f>_xll.xSPRDOPT($BW169,$BV169,$CG169,0,$BY169,$BX169,$BZ169,$AJ169,1,4)*$CB169</f>
        <v>-2.7714811004890312E-7</v>
      </c>
      <c r="BG169" s="137">
        <f>_xll.xSPRDOPT($BW169,$BV169,$CG169,0,$BY169,$BX169,$BZ169,$AJ169,1,3)*$CB169</f>
        <v>2.7714811004890312E-7</v>
      </c>
      <c r="BH169" s="137">
        <f>IF(OR(BF169&lt;&gt;0,BG169&lt;&gt;0),_xll.xSPRDOPT($BW169,$BV169,$CG169,0,$BY169,$BX169,$BZ169,$AJ169,1,12)*$CB169,0)</f>
        <v>3.0486292105379342E-7</v>
      </c>
      <c r="BI169" s="137">
        <f>_xll.xSPRDOPT($BW169,$BV169,$CG169,2*LN(1+CA169/2),$BY169,$BX169,$BZ169,$AJ169,1,9)</f>
        <v>1.2778997078113332E-2</v>
      </c>
      <c r="BJ169" s="137">
        <f>_xll.xSPRDOPT($BW169,$BV169,$CG169,0,$BY169,$BX169,$BZ169,$AJ169,1,6)*$CB169</f>
        <v>-8.9549202869725351E-5</v>
      </c>
      <c r="BK169" s="137">
        <f>_xll.xSPRDOPT($BW169,$BV169,$CG169,0,$BY169,$BX169,$BZ169,$AJ169,1,5)*$CB169</f>
        <v>9.9935498182282751E-5</v>
      </c>
      <c r="BL169" s="137">
        <f>_xll.xSPRDOPT(BW169,BV169,CG169,0,BY169,BX169,BZ169,AJ169,1,2)*CB169</f>
        <v>-0.46497610444670029</v>
      </c>
      <c r="BM169" s="137">
        <f>_xll.xSPRDOPT(BW169,BV169,CG169,0,BY169,BX169,BZ169,AJ169,1,1)*CB169</f>
        <v>0.46497610444416293</v>
      </c>
      <c r="BN169" s="137">
        <f>IF(AH169&lt;&gt;0,_xll.xSPRDOPT($BW169,$BV169,$CG169,2*LN(1+CA169/2),$BY169,$BX169,$BZ169,$AJ169,1,8)+(AJ169/365.25)*CH169/AH169,0)</f>
        <v>-0.42419453345324731</v>
      </c>
      <c r="BO169" s="137">
        <f>_xll.xSPRDOPT($BW169,$BV169,$CG169,0,$BY169,$BX169,$BZ169,$AJ169,1,0)</f>
        <v>0.44266541179877245</v>
      </c>
      <c r="BP169" s="137"/>
      <c r="BQ169" s="137"/>
      <c r="BR169" s="137"/>
      <c r="BS169" s="137"/>
      <c r="BV169" s="262">
        <v>4.1304347826086953</v>
      </c>
      <c r="BW169" s="136">
        <v>4.6094999999999997</v>
      </c>
      <c r="BX169" s="137">
        <v>0.17127877308407996</v>
      </c>
      <c r="BY169" s="137">
        <v>0.17127877308407996</v>
      </c>
      <c r="BZ169" s="137">
        <v>1</v>
      </c>
      <c r="CA169" s="137">
        <v>6.3059442365846999E-2</v>
      </c>
      <c r="CB169" s="137">
        <v>0.46497737062822181</v>
      </c>
      <c r="CC169" s="258">
        <v>1.7999999999999999E-2</v>
      </c>
      <c r="CD169" s="258">
        <v>0.01</v>
      </c>
      <c r="CE169" s="258">
        <v>0.6</v>
      </c>
      <c r="CF169" s="258">
        <v>0</v>
      </c>
      <c r="CG169" s="258">
        <v>3.6400000000000002E-2</v>
      </c>
      <c r="CH169" s="258">
        <v>5.1431146965187615</v>
      </c>
      <c r="CI169" s="258">
        <v>4.0095000000000001</v>
      </c>
      <c r="CJ169" s="258"/>
      <c r="CK169" s="258"/>
      <c r="CL169" s="258"/>
      <c r="CM169" s="258"/>
    </row>
    <row r="170" spans="1:91" x14ac:dyDescent="0.25">
      <c r="A170" s="723"/>
      <c r="B170" s="723"/>
      <c r="D170" s="31">
        <f t="shared" si="117"/>
        <v>41774</v>
      </c>
      <c r="F170" s="28">
        <f t="shared" si="118"/>
        <v>5895</v>
      </c>
      <c r="G170" s="28">
        <f t="shared" si="140"/>
        <v>2727.2029917431632</v>
      </c>
      <c r="H170" s="52">
        <f t="shared" si="119"/>
        <v>4.1278772378516626</v>
      </c>
      <c r="I170" s="52">
        <f t="shared" si="120"/>
        <v>4.7545000000000002</v>
      </c>
      <c r="K170" s="52">
        <f t="shared" si="121"/>
        <v>8.4646947861750039</v>
      </c>
      <c r="L170" s="135">
        <f t="shared" si="122"/>
        <v>1.1112542104285694E-6</v>
      </c>
      <c r="N170" s="131">
        <f t="shared" si="141"/>
        <v>0.17173682482891109</v>
      </c>
      <c r="O170" s="131">
        <f t="shared" si="142"/>
        <v>0.17173682482891109</v>
      </c>
      <c r="P170" s="55">
        <f t="shared" si="123"/>
        <v>1.0000000000000002</v>
      </c>
      <c r="Q170" s="135">
        <f>_xll.xSPRDOPT(I170,H170,AQ170,0,O170,N170,P170,D170-$G$5,1,0)*AH170*AU170</f>
        <v>8.4646958974292144</v>
      </c>
      <c r="R170" s="135"/>
      <c r="S170" s="181">
        <f t="shared" si="124"/>
        <v>-85449.36380861135</v>
      </c>
      <c r="T170" s="181">
        <f>_xll.xSPRDOPT(I170,H170,AQ170,AT170,O170,N170,P170,D170-$G$5,1,1)*AF170*F170*AH170</f>
        <v>83526.753122917595</v>
      </c>
      <c r="U170" s="135"/>
      <c r="V170" s="146">
        <f t="shared" si="125"/>
        <v>5.2877204469426351</v>
      </c>
      <c r="W170" s="146"/>
      <c r="X170" s="338">
        <f t="shared" si="126"/>
        <v>0</v>
      </c>
      <c r="Y170" s="338">
        <f t="shared" si="143"/>
        <v>0</v>
      </c>
      <c r="Z170" s="338">
        <f t="shared" si="144"/>
        <v>25.448499718697015</v>
      </c>
      <c r="AA170" s="338">
        <f t="shared" si="145"/>
        <v>2.5525366242355222E-7</v>
      </c>
      <c r="AB170" s="338">
        <f t="shared" si="127"/>
        <v>0</v>
      </c>
      <c r="AC170" s="338">
        <f t="shared" si="128"/>
        <v>25.8478760583703</v>
      </c>
      <c r="AF170" s="138">
        <f t="shared" si="129"/>
        <v>1</v>
      </c>
      <c r="AG170" s="138">
        <f t="shared" si="130"/>
        <v>5</v>
      </c>
      <c r="AH170" s="138">
        <f t="shared" si="146"/>
        <v>31</v>
      </c>
      <c r="AI170" s="138">
        <f t="shared" si="131"/>
        <v>4518</v>
      </c>
      <c r="AJ170" s="138">
        <f t="shared" si="132"/>
        <v>4535</v>
      </c>
      <c r="AL170" s="136">
        <f t="shared" si="147"/>
        <v>4.0045000000000002</v>
      </c>
      <c r="AM170" s="258">
        <f t="shared" si="148"/>
        <v>2.0500000000000001E-2</v>
      </c>
      <c r="AN170" s="258">
        <f t="shared" si="149"/>
        <v>0.01</v>
      </c>
      <c r="AO170" s="258">
        <f t="shared" si="150"/>
        <v>0.75</v>
      </c>
      <c r="AP170" s="258">
        <f t="shared" si="151"/>
        <v>0</v>
      </c>
      <c r="AQ170" s="136">
        <f t="shared" si="133"/>
        <v>3.6400000000000002E-2</v>
      </c>
      <c r="AR170" s="137">
        <f t="shared" si="152"/>
        <v>2.2499999999999999E-2</v>
      </c>
      <c r="AS170" s="136">
        <f t="shared" si="134"/>
        <v>4.0350000000000001</v>
      </c>
      <c r="AT170" s="137">
        <f t="shared" si="135"/>
        <v>6.3098678590343099E-2</v>
      </c>
      <c r="AU170" s="137">
        <f t="shared" si="153"/>
        <v>0.46262985440935761</v>
      </c>
      <c r="AV170" s="394">
        <f t="shared" si="136"/>
        <v>1950.4474661898516</v>
      </c>
      <c r="AW170" s="137">
        <f t="shared" si="154"/>
        <v>0.17</v>
      </c>
      <c r="AX170" s="137">
        <f t="shared" si="155"/>
        <v>0.45</v>
      </c>
      <c r="AY170" s="137">
        <f t="shared" si="156"/>
        <v>0.45</v>
      </c>
      <c r="AZ170" s="137"/>
      <c r="BA170" s="264"/>
      <c r="BB170" s="258">
        <f t="shared" si="157"/>
        <v>0</v>
      </c>
      <c r="BC170" s="258">
        <f t="shared" si="137"/>
        <v>0</v>
      </c>
      <c r="BD170" s="137">
        <f t="shared" si="138"/>
        <v>1.1427629686144858E-6</v>
      </c>
      <c r="BE170" s="137">
        <f t="shared" si="139"/>
        <v>1.1427629686144858E-6</v>
      </c>
      <c r="BF170" s="137">
        <f>_xll.xSPRDOPT($BW170,$BV170,$CG170,0,$BY170,$BX170,$BZ170,$AJ170,1,4)*$CB170</f>
        <v>1.1024328579390358E-7</v>
      </c>
      <c r="BG170" s="137">
        <f>_xll.xSPRDOPT($BW170,$BV170,$CG170,0,$BY170,$BX170,$BZ170,$AJ170,1,3)*$CB170</f>
        <v>4.4097314317561431E-7</v>
      </c>
      <c r="BH170" s="137">
        <f>IF(OR(BF170&lt;&gt;0,BG170&lt;&gt;0),_xll.xSPRDOPT($BW170,$BV170,$CG170,0,$BY170,$BX170,$BZ170,$AJ170,1,12)*$CB170,0)</f>
        <v>-1.6536492869085537E-7</v>
      </c>
      <c r="BI170" s="137">
        <f>_xll.xSPRDOPT($BW170,$BV170,$CG170,2*LN(1+CA170/2),$BY170,$BX170,$BZ170,$AJ170,1,9)</f>
        <v>1.6954525928213421E-2</v>
      </c>
      <c r="BJ170" s="137">
        <f>_xll.xSPRDOPT($BW170,$BV170,$CG170,0,$BY170,$BX170,$BZ170,$AJ170,1,6)*$CB170</f>
        <v>-8.0517942586812803E-6</v>
      </c>
      <c r="BK170" s="137">
        <f>_xll.xSPRDOPT($BW170,$BV170,$CG170,0,$BY170,$BX170,$BZ170,$AJ170,1,5)*$CB170</f>
        <v>9.2740731745274569E-6</v>
      </c>
      <c r="BL170" s="137">
        <f>_xll.xSPRDOPT(BW170,BV170,CG170,0,BY170,BX170,BZ170,AJ170,1,2)*CB170</f>
        <v>-0.46239378167034995</v>
      </c>
      <c r="BM170" s="137">
        <f>_xll.xSPRDOPT(BW170,BV170,CG170,0,BY170,BX170,BZ170,AJ170,1,1)*CB170</f>
        <v>0.46239378167287321</v>
      </c>
      <c r="BN170" s="137">
        <f>IF(AH170&lt;&gt;0,_xll.xSPRDOPT($BW170,$BV170,$CG170,2*LN(1+CA170/2),$BY170,$BX170,$BZ170,$AJ170,1,8)+(AJ170/365.25)*CH170/AH170,0)</f>
        <v>-1.2717965145155863</v>
      </c>
      <c r="BO170" s="137">
        <f>_xll.xSPRDOPT($BW170,$BV170,$CG170,0,$BY170,$BX170,$BZ170,$AJ170,1,0)</f>
        <v>0.59022283978065537</v>
      </c>
      <c r="BP170" s="137"/>
      <c r="BQ170" s="137"/>
      <c r="BR170" s="137"/>
      <c r="BS170" s="137"/>
      <c r="BV170" s="262">
        <v>4.1278772378516626</v>
      </c>
      <c r="BW170" s="136">
        <v>4.7545000000000002</v>
      </c>
      <c r="BX170" s="137">
        <v>0.17173568206594247</v>
      </c>
      <c r="BY170" s="137">
        <v>0.17173568206594247</v>
      </c>
      <c r="BZ170" s="137">
        <v>1</v>
      </c>
      <c r="CA170" s="137">
        <v>6.3098678590343099E-2</v>
      </c>
      <c r="CB170" s="137">
        <v>0.46239385457851295</v>
      </c>
      <c r="CC170" s="258">
        <v>2.0500000000000001E-2</v>
      </c>
      <c r="CD170" s="258">
        <v>0.01</v>
      </c>
      <c r="CE170" s="258">
        <v>0.75</v>
      </c>
      <c r="CF170" s="258">
        <v>0</v>
      </c>
      <c r="CG170" s="258">
        <v>3.6400000000000002E-2</v>
      </c>
      <c r="CH170" s="258">
        <v>5.2850230396760294</v>
      </c>
      <c r="CI170" s="258">
        <v>4.0045000000000002</v>
      </c>
      <c r="CJ170" s="258"/>
      <c r="CK170" s="258"/>
      <c r="CL170" s="258"/>
      <c r="CM170" s="258"/>
    </row>
    <row r="171" spans="1:91" x14ac:dyDescent="0.25">
      <c r="A171" s="723"/>
      <c r="B171" s="723"/>
      <c r="D171" s="31">
        <f t="shared" si="117"/>
        <v>41805</v>
      </c>
      <c r="F171" s="28">
        <f t="shared" si="118"/>
        <v>5895</v>
      </c>
      <c r="G171" s="28">
        <f t="shared" si="140"/>
        <v>2711.5295116962939</v>
      </c>
      <c r="H171" s="52">
        <f t="shared" si="119"/>
        <v>4.163682864450128</v>
      </c>
      <c r="I171" s="52">
        <f t="shared" si="120"/>
        <v>4.8895</v>
      </c>
      <c r="K171" s="52">
        <f t="shared" si="121"/>
        <v>9.5133583150768537</v>
      </c>
      <c r="L171" s="135">
        <f t="shared" si="122"/>
        <v>9.8261564041024485E-7</v>
      </c>
      <c r="N171" s="131">
        <f t="shared" si="141"/>
        <v>0.17166989295516924</v>
      </c>
      <c r="O171" s="131">
        <f t="shared" si="142"/>
        <v>0.17166989295516924</v>
      </c>
      <c r="P171" s="55">
        <f t="shared" si="123"/>
        <v>1</v>
      </c>
      <c r="Q171" s="135">
        <f>_xll.xSPRDOPT(I171,H171,AQ171,0,O171,N171,P171,D171-$G$5,1,0)*AH171*AU171</f>
        <v>9.5133592976924941</v>
      </c>
      <c r="R171" s="135"/>
      <c r="S171" s="181">
        <f t="shared" si="124"/>
        <v>-82209.627408822445</v>
      </c>
      <c r="T171" s="181">
        <f>_xll.xSPRDOPT(I171,H171,AQ171,AT171,O171,N171,P171,D171-$G$5,1,1)*AF171*F171*AH171</f>
        <v>80359.910792123948</v>
      </c>
      <c r="U171" s="135"/>
      <c r="V171" s="146">
        <f t="shared" si="125"/>
        <v>5.087740106679</v>
      </c>
      <c r="W171" s="146"/>
      <c r="X171" s="338">
        <f t="shared" si="126"/>
        <v>0</v>
      </c>
      <c r="Y171" s="338">
        <f t="shared" si="143"/>
        <v>0</v>
      </c>
      <c r="Z171" s="338">
        <f t="shared" si="144"/>
        <v>28.619327919194713</v>
      </c>
      <c r="AA171" s="338">
        <f t="shared" si="145"/>
        <v>5.8505343332944439E-8</v>
      </c>
      <c r="AB171" s="338">
        <f t="shared" si="127"/>
        <v>0</v>
      </c>
      <c r="AC171" s="338">
        <f t="shared" si="128"/>
        <v>29.068741372866892</v>
      </c>
      <c r="AF171" s="138">
        <f t="shared" si="129"/>
        <v>1</v>
      </c>
      <c r="AG171" s="138">
        <f t="shared" si="130"/>
        <v>6</v>
      </c>
      <c r="AH171" s="138">
        <f t="shared" si="146"/>
        <v>30</v>
      </c>
      <c r="AI171" s="138">
        <f t="shared" si="131"/>
        <v>4549</v>
      </c>
      <c r="AJ171" s="138">
        <f t="shared" si="132"/>
        <v>4566</v>
      </c>
      <c r="AL171" s="136">
        <f t="shared" si="147"/>
        <v>4.0395000000000003</v>
      </c>
      <c r="AM171" s="258">
        <f t="shared" si="148"/>
        <v>2.0500000000000001E-2</v>
      </c>
      <c r="AN171" s="258">
        <f t="shared" si="149"/>
        <v>0.01</v>
      </c>
      <c r="AO171" s="258">
        <f t="shared" si="150"/>
        <v>0.85</v>
      </c>
      <c r="AP171" s="258">
        <f t="shared" si="151"/>
        <v>0</v>
      </c>
      <c r="AQ171" s="136">
        <f t="shared" si="133"/>
        <v>3.6400000000000002E-2</v>
      </c>
      <c r="AR171" s="137">
        <f t="shared" si="152"/>
        <v>2.2499999999999999E-2</v>
      </c>
      <c r="AS171" s="136">
        <f t="shared" si="134"/>
        <v>4.07</v>
      </c>
      <c r="AT171" s="137">
        <f t="shared" si="135"/>
        <v>6.3139222689525501E-2</v>
      </c>
      <c r="AU171" s="137">
        <f t="shared" si="153"/>
        <v>0.45997107916815844</v>
      </c>
      <c r="AV171" s="394">
        <f t="shared" si="136"/>
        <v>1876.6820030060865</v>
      </c>
      <c r="AW171" s="137">
        <f t="shared" si="154"/>
        <v>0.17</v>
      </c>
      <c r="AX171" s="137">
        <f t="shared" si="155"/>
        <v>0.45</v>
      </c>
      <c r="AY171" s="137">
        <f t="shared" si="156"/>
        <v>0.45</v>
      </c>
      <c r="AZ171" s="137"/>
      <c r="BA171" s="264"/>
      <c r="BB171" s="258">
        <f t="shared" si="157"/>
        <v>0</v>
      </c>
      <c r="BC171" s="258">
        <f t="shared" si="137"/>
        <v>0</v>
      </c>
      <c r="BD171" s="137">
        <f t="shared" si="138"/>
        <v>1.0915982632808685E-6</v>
      </c>
      <c r="BE171" s="137">
        <f t="shared" si="139"/>
        <v>1.0915982632808685E-6</v>
      </c>
      <c r="BF171" s="137">
        <f>_xll.xSPRDOPT($BW171,$BV171,$CG171,0,$BY171,$BX171,$BZ171,$AJ171,1,4)*$CB171</f>
        <v>-6.5765803418547162E-7</v>
      </c>
      <c r="BG171" s="137">
        <f>_xll.xSPRDOPT($BW171,$BV171,$CG171,0,$BY171,$BX171,$BZ171,$AJ171,1,3)*$CB171</f>
        <v>-3.2882901709273581E-7</v>
      </c>
      <c r="BH171" s="137">
        <f>IF(OR(BF171&lt;&gt;0,BG171&lt;&gt;0),_xll.xSPRDOPT($BW171,$BV171,$CG171,0,$BY171,$BX171,$BZ171,$AJ171,1,12)*$CB171,0)</f>
        <v>2.1921934472849053E-7</v>
      </c>
      <c r="BI171" s="137">
        <f>_xll.xSPRDOPT($BW171,$BV171,$CG171,2*LN(1+CA171/2),$BY171,$BX171,$BZ171,$AJ171,1,9)</f>
        <v>1.9702590750138291E-2</v>
      </c>
      <c r="BJ171" s="137">
        <f>_xll.xSPRDOPT($BW171,$BV171,$CG171,0,$BY171,$BX171,$BZ171,$AJ171,1,6)*$CB171</f>
        <v>-1.7385044876499157E-6</v>
      </c>
      <c r="BK171" s="137">
        <f>_xll.xSPRDOPT($BW171,$BV171,$CG171,0,$BY171,$BX171,$BZ171,$AJ171,1,5)*$CB171</f>
        <v>2.0415637990523464E-6</v>
      </c>
      <c r="BL171" s="137">
        <f>_xll.xSPRDOPT(BW171,BV171,CG171,0,BY171,BX171,BZ171,AJ171,1,2)*CB171</f>
        <v>-0.45973629883574252</v>
      </c>
      <c r="BM171" s="137">
        <f>_xll.xSPRDOPT(BW171,BV171,CG171,0,BY171,BX171,BZ171,AJ171,1,1)*CB171</f>
        <v>0.4597362988298887</v>
      </c>
      <c r="BN171" s="137">
        <f>IF(AH171&lt;&gt;0,_xll.xSPRDOPT($BW171,$BV171,$CG171,2*LN(1+CA171/2),$BY171,$BX171,$BZ171,$AJ171,1,8)+(AJ171/365.25)*CH171/AH171,0)</f>
        <v>-1.8432181050577823</v>
      </c>
      <c r="BO171" s="137">
        <f>_xll.xSPRDOPT($BW171,$BV171,$CG171,0,$BY171,$BX171,$BZ171,$AJ171,1,0)</f>
        <v>0.68941720679487384</v>
      </c>
      <c r="BP171" s="137"/>
      <c r="BQ171" s="137"/>
      <c r="BR171" s="137"/>
      <c r="BS171" s="137"/>
      <c r="BV171" s="262">
        <v>4.163682864450128</v>
      </c>
      <c r="BW171" s="136">
        <v>4.8895</v>
      </c>
      <c r="BX171" s="137">
        <v>0.17166880135690596</v>
      </c>
      <c r="BY171" s="137">
        <v>0.17166880135690596</v>
      </c>
      <c r="BZ171" s="137">
        <v>1</v>
      </c>
      <c r="CA171" s="137">
        <v>6.3139222689525501E-2</v>
      </c>
      <c r="CB171" s="137">
        <v>0.45973628723604337</v>
      </c>
      <c r="CC171" s="258">
        <v>2.0500000000000001E-2</v>
      </c>
      <c r="CD171" s="258">
        <v>0.01</v>
      </c>
      <c r="CE171" s="258">
        <v>0.85</v>
      </c>
      <c r="CF171" s="258">
        <v>0</v>
      </c>
      <c r="CG171" s="258">
        <v>3.6400000000000002E-2</v>
      </c>
      <c r="CH171" s="258">
        <v>5.0851430731178757</v>
      </c>
      <c r="CI171" s="258">
        <v>4.0395000000000003</v>
      </c>
      <c r="CJ171" s="258"/>
      <c r="CK171" s="258"/>
      <c r="CL171" s="258"/>
      <c r="CM171" s="258"/>
    </row>
    <row r="172" spans="1:91" x14ac:dyDescent="0.25">
      <c r="A172" s="723"/>
      <c r="B172" s="723"/>
      <c r="D172" s="31">
        <f t="shared" si="117"/>
        <v>41835</v>
      </c>
      <c r="F172" s="28">
        <f t="shared" si="118"/>
        <v>5895</v>
      </c>
      <c r="G172" s="28">
        <f t="shared" si="140"/>
        <v>2696.4302945583254</v>
      </c>
      <c r="H172" s="52">
        <f t="shared" si="119"/>
        <v>4.2046035805626598</v>
      </c>
      <c r="I172" s="52">
        <f t="shared" si="120"/>
        <v>5.1295000000000002</v>
      </c>
      <c r="K172" s="52">
        <f t="shared" si="121"/>
        <v>12.598613828889022</v>
      </c>
      <c r="L172" s="135">
        <f t="shared" si="122"/>
        <v>1.1774697536992562E-6</v>
      </c>
      <c r="N172" s="131">
        <f t="shared" si="141"/>
        <v>0.17217985570258118</v>
      </c>
      <c r="O172" s="131">
        <f t="shared" si="142"/>
        <v>0.17217985570258118</v>
      </c>
      <c r="P172" s="55">
        <f t="shared" si="123"/>
        <v>1</v>
      </c>
      <c r="Q172" s="135">
        <f>_xll.xSPRDOPT(I172,H172,AQ172,0,O172,N172,P172,D172-$G$5,1,0)*AH172*AU172</f>
        <v>12.598615006358775</v>
      </c>
      <c r="R172" s="135"/>
      <c r="S172" s="181">
        <f t="shared" si="124"/>
        <v>-84468.85817945734</v>
      </c>
      <c r="T172" s="181">
        <f>_xll.xSPRDOPT(I172,H172,AQ172,AT172,O172,N172,P172,D172-$G$5,1,1)*AF172*F172*AH172</f>
        <v>82568.308870419554</v>
      </c>
      <c r="U172" s="135"/>
      <c r="V172" s="146">
        <f t="shared" si="125"/>
        <v>5.2280558672965718</v>
      </c>
      <c r="W172" s="146"/>
      <c r="X172" s="338">
        <f t="shared" si="126"/>
        <v>0</v>
      </c>
      <c r="Y172" s="338">
        <f t="shared" si="143"/>
        <v>0</v>
      </c>
      <c r="Z172" s="338">
        <f t="shared" si="144"/>
        <v>37.923978887508099</v>
      </c>
      <c r="AA172" s="338">
        <f t="shared" si="145"/>
        <v>-7.8897468446526986E-9</v>
      </c>
      <c r="AB172" s="338">
        <f t="shared" si="127"/>
        <v>0</v>
      </c>
      <c r="AC172" s="338">
        <f t="shared" si="128"/>
        <v>38.51986841270525</v>
      </c>
      <c r="AF172" s="138">
        <f t="shared" si="129"/>
        <v>1</v>
      </c>
      <c r="AG172" s="138">
        <f t="shared" si="130"/>
        <v>7</v>
      </c>
      <c r="AH172" s="138">
        <f t="shared" si="146"/>
        <v>31</v>
      </c>
      <c r="AI172" s="138">
        <f t="shared" si="131"/>
        <v>4579</v>
      </c>
      <c r="AJ172" s="138">
        <f t="shared" si="132"/>
        <v>4596</v>
      </c>
      <c r="AL172" s="136">
        <f t="shared" si="147"/>
        <v>4.0795000000000003</v>
      </c>
      <c r="AM172" s="258">
        <f t="shared" si="148"/>
        <v>2.0500000000000001E-2</v>
      </c>
      <c r="AN172" s="258">
        <f t="shared" si="149"/>
        <v>0.01</v>
      </c>
      <c r="AO172" s="258">
        <f t="shared" si="150"/>
        <v>1.05</v>
      </c>
      <c r="AP172" s="258">
        <f t="shared" si="151"/>
        <v>0</v>
      </c>
      <c r="AQ172" s="136">
        <f t="shared" si="133"/>
        <v>3.6400000000000002E-2</v>
      </c>
      <c r="AR172" s="137">
        <f t="shared" si="152"/>
        <v>2.2499999999999999E-2</v>
      </c>
      <c r="AS172" s="136">
        <f t="shared" si="134"/>
        <v>4.1100000000000003</v>
      </c>
      <c r="AT172" s="137">
        <f t="shared" si="135"/>
        <v>6.3178458915059896E-2</v>
      </c>
      <c r="AU172" s="137">
        <f t="shared" si="153"/>
        <v>0.45740971917868112</v>
      </c>
      <c r="AV172" s="394">
        <f t="shared" si="136"/>
        <v>1928.4393760573196</v>
      </c>
      <c r="AW172" s="137">
        <f t="shared" si="154"/>
        <v>0.17</v>
      </c>
      <c r="AX172" s="137">
        <f t="shared" si="155"/>
        <v>0.5</v>
      </c>
      <c r="AY172" s="137">
        <f t="shared" si="156"/>
        <v>0.5</v>
      </c>
      <c r="AZ172" s="137"/>
      <c r="BA172" s="264"/>
      <c r="BB172" s="258">
        <f t="shared" si="157"/>
        <v>0</v>
      </c>
      <c r="BC172" s="258">
        <f t="shared" si="137"/>
        <v>0</v>
      </c>
      <c r="BD172" s="137">
        <f t="shared" si="138"/>
        <v>1.4134197290627259E-6</v>
      </c>
      <c r="BE172" s="137">
        <f t="shared" si="139"/>
        <v>1.4134197290627259E-6</v>
      </c>
      <c r="BF172" s="137">
        <f>_xll.xSPRDOPT($BW172,$BV172,$CG172,0,$BY172,$BX172,$BZ172,$AJ172,1,4)*$CB172</f>
        <v>-1.0899927422231213E-7</v>
      </c>
      <c r="BG172" s="137">
        <f>_xll.xSPRDOPT($BW172,$BV172,$CG172,0,$BY172,$BX172,$BZ172,$AJ172,1,3)*$CB172</f>
        <v>3.2699782266693642E-7</v>
      </c>
      <c r="BH172" s="137">
        <f>IF(OR(BF172&lt;&gt;0,BG172&lt;&gt;0),_xll.xSPRDOPT($BW172,$BV172,$CG172,0,$BY172,$BX172,$BZ172,$AJ172,1,12)*$CB172,0)</f>
        <v>-5.9949600822271669E-7</v>
      </c>
      <c r="BI172" s="137">
        <f>_xll.xSPRDOPT($BW172,$BV172,$CG172,2*LN(1+CA172/2),$BY172,$BX172,$BZ172,$AJ172,1,9)</f>
        <v>2.5266050669261055E-2</v>
      </c>
      <c r="BJ172" s="137">
        <f>_xll.xSPRDOPT($BW172,$BV172,$CG172,0,$BY172,$BX172,$BZ172,$AJ172,1,6)*$CB172</f>
        <v>1.3885076697039951E-7</v>
      </c>
      <c r="BK172" s="137">
        <f>_xll.xSPRDOPT($BW172,$BV172,$CG172,0,$BY172,$BX172,$BZ172,$AJ172,1,5)*$CB172</f>
        <v>-1.6939620912445869E-7</v>
      </c>
      <c r="BL172" s="137">
        <f>_xll.xSPRDOPT(BW172,BV172,CG172,0,BY172,BX172,BZ172,AJ172,1,2)*CB172</f>
        <v>-0.45717612669342123</v>
      </c>
      <c r="BM172" s="137">
        <f>_xll.xSPRDOPT(BW172,BV172,CG172,0,BY172,BX172,BZ172,AJ172,1,1)*CB172</f>
        <v>0.45717612670090563</v>
      </c>
      <c r="BN172" s="137">
        <f>IF(AH172&lt;&gt;0,_xll.xSPRDOPT($BW172,$BV172,$CG172,2*LN(1+CA172/2),$BY172,$BX172,$BZ172,$AJ172,1,8)+(AJ172/365.25)*CH172/AH172,0)</f>
        <v>-2.9902442170406403</v>
      </c>
      <c r="BO172" s="137">
        <f>_xll.xSPRDOPT($BW172,$BV172,$CG172,0,$BY172,$BX172,$BZ172,$AJ172,1,0)</f>
        <v>0.88849650247280076</v>
      </c>
      <c r="BP172" s="137"/>
      <c r="BQ172" s="137"/>
      <c r="BR172" s="137"/>
      <c r="BS172" s="137"/>
      <c r="BV172" s="262">
        <v>4.2046035805626598</v>
      </c>
      <c r="BW172" s="136">
        <v>5.1295000000000002</v>
      </c>
      <c r="BX172" s="137">
        <v>0.17217844228285212</v>
      </c>
      <c r="BY172" s="137">
        <v>0.17217844228285212</v>
      </c>
      <c r="BZ172" s="137">
        <v>1</v>
      </c>
      <c r="CA172" s="137">
        <v>6.3178458915059896E-2</v>
      </c>
      <c r="CB172" s="137">
        <v>0.45717609186774066</v>
      </c>
      <c r="CC172" s="258">
        <v>2.0500000000000001E-2</v>
      </c>
      <c r="CD172" s="258">
        <v>0.01</v>
      </c>
      <c r="CE172" s="258">
        <v>1.05</v>
      </c>
      <c r="CF172" s="258">
        <v>0</v>
      </c>
      <c r="CG172" s="258">
        <v>3.6400000000000002E-2</v>
      </c>
      <c r="CH172" s="258">
        <v>5.2253855772207158</v>
      </c>
      <c r="CI172" s="258">
        <v>4.0795000000000003</v>
      </c>
      <c r="CJ172" s="258"/>
      <c r="CK172" s="258"/>
      <c r="CL172" s="258"/>
      <c r="CM172" s="258"/>
    </row>
    <row r="173" spans="1:91" x14ac:dyDescent="0.25">
      <c r="A173" s="723"/>
      <c r="B173" s="723"/>
      <c r="D173" s="31">
        <f t="shared" si="117"/>
        <v>41866</v>
      </c>
      <c r="F173" s="28">
        <f t="shared" si="118"/>
        <v>5895</v>
      </c>
      <c r="G173" s="28">
        <f t="shared" si="140"/>
        <v>2680.8985242497133</v>
      </c>
      <c r="H173" s="52">
        <f t="shared" si="119"/>
        <v>4.2404092071611252</v>
      </c>
      <c r="I173" s="52">
        <f t="shared" si="120"/>
        <v>5.1695000000000002</v>
      </c>
      <c r="K173" s="52">
        <f t="shared" si="121"/>
        <v>12.58517664175139</v>
      </c>
      <c r="L173" s="135">
        <f t="shared" si="122"/>
        <v>1.1741098564499453E-6</v>
      </c>
      <c r="N173" s="131">
        <f t="shared" si="141"/>
        <v>0.17267550669653967</v>
      </c>
      <c r="O173" s="131">
        <f t="shared" si="142"/>
        <v>0.17267550669653967</v>
      </c>
      <c r="P173" s="55">
        <f t="shared" si="123"/>
        <v>1</v>
      </c>
      <c r="Q173" s="135">
        <f>_xll.xSPRDOPT(I173,H173,AQ173,0,O173,N173,P173,D173-$G$5,1,0)*AH173*AU173</f>
        <v>12.585177815861247</v>
      </c>
      <c r="R173" s="135"/>
      <c r="S173" s="181">
        <f t="shared" si="124"/>
        <v>-83974.020731330776</v>
      </c>
      <c r="T173" s="181">
        <f>_xll.xSPRDOPT(I173,H173,AQ173,AT173,O173,N173,P173,D173-$G$5,1,1)*AF173*F173*AH173</f>
        <v>82084.605264875834</v>
      </c>
      <c r="U173" s="135"/>
      <c r="V173" s="146">
        <f t="shared" si="125"/>
        <v>5.1979416221572432</v>
      </c>
      <c r="W173" s="146"/>
      <c r="X173" s="338">
        <f t="shared" si="126"/>
        <v>0</v>
      </c>
      <c r="Y173" s="338">
        <f t="shared" si="143"/>
        <v>0</v>
      </c>
      <c r="Z173" s="338">
        <f t="shared" si="144"/>
        <v>37.907455412892162</v>
      </c>
      <c r="AA173" s="338">
        <f t="shared" si="145"/>
        <v>-1.0962971322499638E-8</v>
      </c>
      <c r="AB173" s="338">
        <f t="shared" si="127"/>
        <v>0</v>
      </c>
      <c r="AC173" s="338">
        <f t="shared" si="128"/>
        <v>38.503465545272491</v>
      </c>
      <c r="AF173" s="138">
        <f t="shared" si="129"/>
        <v>1</v>
      </c>
      <c r="AG173" s="138">
        <f t="shared" si="130"/>
        <v>8</v>
      </c>
      <c r="AH173" s="138">
        <f t="shared" si="146"/>
        <v>31</v>
      </c>
      <c r="AI173" s="138">
        <f t="shared" si="131"/>
        <v>4610</v>
      </c>
      <c r="AJ173" s="138">
        <f t="shared" si="132"/>
        <v>4627</v>
      </c>
      <c r="AL173" s="136">
        <f t="shared" si="147"/>
        <v>4.1195000000000004</v>
      </c>
      <c r="AM173" s="258">
        <f t="shared" si="148"/>
        <v>1.55E-2</v>
      </c>
      <c r="AN173" s="258">
        <f t="shared" si="149"/>
        <v>0.01</v>
      </c>
      <c r="AO173" s="258">
        <f t="shared" si="150"/>
        <v>1.05</v>
      </c>
      <c r="AP173" s="258">
        <f t="shared" si="151"/>
        <v>0</v>
      </c>
      <c r="AQ173" s="136">
        <f t="shared" si="133"/>
        <v>3.6400000000000002E-2</v>
      </c>
      <c r="AR173" s="137">
        <f t="shared" si="152"/>
        <v>2.2499999999999999E-2</v>
      </c>
      <c r="AS173" s="136">
        <f t="shared" si="134"/>
        <v>4.1450000000000005</v>
      </c>
      <c r="AT173" s="137">
        <f t="shared" si="135"/>
        <v>6.3219003015315203E-2</v>
      </c>
      <c r="AU173" s="137">
        <f t="shared" si="153"/>
        <v>0.45477498290919649</v>
      </c>
      <c r="AV173" s="394">
        <f t="shared" si="136"/>
        <v>1917.3313279451725</v>
      </c>
      <c r="AW173" s="137">
        <f t="shared" si="154"/>
        <v>0.17</v>
      </c>
      <c r="AX173" s="137">
        <f t="shared" si="155"/>
        <v>0.55000000000000004</v>
      </c>
      <c r="AY173" s="137">
        <f t="shared" si="156"/>
        <v>0.55000000000000004</v>
      </c>
      <c r="AZ173" s="137"/>
      <c r="BA173" s="264"/>
      <c r="BB173" s="258">
        <f t="shared" si="157"/>
        <v>0</v>
      </c>
      <c r="BC173" s="258">
        <f t="shared" si="137"/>
        <v>0</v>
      </c>
      <c r="BD173" s="137">
        <f t="shared" si="138"/>
        <v>1.7207252109019411E-6</v>
      </c>
      <c r="BE173" s="137">
        <f t="shared" si="139"/>
        <v>1.7207252109019411E-6</v>
      </c>
      <c r="BF173" s="137">
        <f>_xll.xSPRDOPT($BW173,$BV173,$CG173,0,$BY173,$BX173,$BZ173,$AJ173,1,4)*$CB173</f>
        <v>1.0837139000634921E-7</v>
      </c>
      <c r="BG173" s="137">
        <f>_xll.xSPRDOPT($BW173,$BV173,$CG173,0,$BY173,$BX173,$BZ173,$AJ173,1,3)*$CB173</f>
        <v>6.5022834003809523E-7</v>
      </c>
      <c r="BH173" s="137">
        <f>IF(OR(BF173&lt;&gt;0,BG173&lt;&gt;0),_xll.xSPRDOPT($BW173,$BV173,$CG173,0,$BY173,$BX173,$BZ173,$AJ173,1,12)*$CB173,0)</f>
        <v>-4.3348556002539684E-7</v>
      </c>
      <c r="BI173" s="137">
        <f>_xll.xSPRDOPT($BW173,$BV173,$CG173,2*LN(1+CA173/2),$BY173,$BX173,$BZ173,$AJ173,1,9)</f>
        <v>2.5255042252973384E-2</v>
      </c>
      <c r="BJ173" s="137">
        <f>_xll.xSPRDOPT($BW173,$BV173,$CG173,0,$BY173,$BX173,$BZ173,$AJ173,1,6)*$CB173</f>
        <v>1.5908808264538514E-7</v>
      </c>
      <c r="BK173" s="137">
        <f>_xll.xSPRDOPT($BW173,$BV173,$CG173,0,$BY173,$BX173,$BZ173,$AJ173,1,5)*$CB173</f>
        <v>-1.9395160420798093E-7</v>
      </c>
      <c r="BL173" s="137">
        <f>_xll.xSPRDOPT(BW173,BV173,CG173,0,BY173,BX173,BZ173,AJ173,1,2)*CB173</f>
        <v>-0.45454258918036061</v>
      </c>
      <c r="BM173" s="137">
        <f>_xll.xSPRDOPT(BW173,BV173,CG173,0,BY173,BX173,BZ173,AJ173,1,1)*CB173</f>
        <v>0.45454258918284102</v>
      </c>
      <c r="BN173" s="137">
        <f>IF(AH173&lt;&gt;0,_xll.xSPRDOPT($BW173,$BV173,$CG173,2*LN(1+CA173/2),$BY173,$BX173,$BZ173,$AJ173,1,8)+(AJ173/365.25)*CH173/AH173,0)</f>
        <v>-3.0172239632603794</v>
      </c>
      <c r="BO173" s="137">
        <f>_xll.xSPRDOPT($BW173,$BV173,$CG173,0,$BY173,$BX173,$BZ173,$AJ173,1,0)</f>
        <v>0.89269087611659692</v>
      </c>
      <c r="BP173" s="137"/>
      <c r="BQ173" s="137"/>
      <c r="BR173" s="137"/>
      <c r="BS173" s="137"/>
      <c r="BV173" s="262">
        <v>4.2404092071611252</v>
      </c>
      <c r="BW173" s="136">
        <v>5.1695000000000002</v>
      </c>
      <c r="BX173" s="137">
        <v>0.17267378597132876</v>
      </c>
      <c r="BY173" s="137">
        <v>0.17267378597132876</v>
      </c>
      <c r="BZ173" s="137">
        <v>1</v>
      </c>
      <c r="CA173" s="137">
        <v>6.3219003015315203E-2</v>
      </c>
      <c r="CB173" s="137">
        <v>0.45454255458919052</v>
      </c>
      <c r="CC173" s="258">
        <v>1.55E-2</v>
      </c>
      <c r="CD173" s="258">
        <v>0.01</v>
      </c>
      <c r="CE173" s="258">
        <v>1.05</v>
      </c>
      <c r="CF173" s="258">
        <v>0</v>
      </c>
      <c r="CG173" s="258">
        <v>3.6400000000000002E-2</v>
      </c>
      <c r="CH173" s="258">
        <v>5.1952850361880714</v>
      </c>
      <c r="CI173" s="258">
        <v>4.1195000000000004</v>
      </c>
      <c r="CJ173" s="258"/>
      <c r="CK173" s="258"/>
      <c r="CL173" s="258"/>
      <c r="CM173" s="258"/>
    </row>
    <row r="174" spans="1:91" x14ac:dyDescent="0.25">
      <c r="A174" s="723"/>
      <c r="B174" s="723"/>
      <c r="D174" s="31">
        <f t="shared" si="117"/>
        <v>41897</v>
      </c>
      <c r="F174" s="28">
        <f t="shared" si="118"/>
        <v>5895</v>
      </c>
      <c r="G174" s="28">
        <f t="shared" si="140"/>
        <v>2665.4384627573622</v>
      </c>
      <c r="H174" s="52">
        <f t="shared" si="119"/>
        <v>4.235294117647058</v>
      </c>
      <c r="I174" s="52">
        <f t="shared" si="120"/>
        <v>4.8644999999999996</v>
      </c>
      <c r="K174" s="52">
        <f t="shared" si="121"/>
        <v>8.0411582685615599</v>
      </c>
      <c r="L174" s="135">
        <f t="shared" si="122"/>
        <v>1.155912482175836E-6</v>
      </c>
      <c r="N174" s="131">
        <f t="shared" si="141"/>
        <v>0.17257300860496427</v>
      </c>
      <c r="O174" s="131">
        <f t="shared" si="142"/>
        <v>0.17257300860496427</v>
      </c>
      <c r="P174" s="55">
        <f t="shared" si="123"/>
        <v>1</v>
      </c>
      <c r="Q174" s="135">
        <f>_xll.xSPRDOPT(I174,H174,AQ174,0,O174,N174,P174,D174-$G$5,1,0)*AH174*AU174</f>
        <v>8.0411594244740421</v>
      </c>
      <c r="R174" s="135"/>
      <c r="S174" s="181">
        <f t="shared" si="124"/>
        <v>-80788.537898561233</v>
      </c>
      <c r="T174" s="181">
        <f>_xll.xSPRDOPT(I174,H174,AQ174,AT174,O174,N174,P174,D174-$G$5,1,1)*AF174*F174*AH174</f>
        <v>78970.795795843602</v>
      </c>
      <c r="U174" s="135"/>
      <c r="V174" s="146">
        <f t="shared" si="125"/>
        <v>5.0012578179065619</v>
      </c>
      <c r="W174" s="146"/>
      <c r="X174" s="338">
        <f t="shared" si="126"/>
        <v>0</v>
      </c>
      <c r="Y174" s="338">
        <f t="shared" si="143"/>
        <v>0</v>
      </c>
      <c r="Z174" s="338">
        <f t="shared" si="144"/>
        <v>24.23582181394497</v>
      </c>
      <c r="AA174" s="338">
        <f t="shared" si="145"/>
        <v>3.3168289351075343E-7</v>
      </c>
      <c r="AB174" s="338">
        <f t="shared" si="127"/>
        <v>0</v>
      </c>
      <c r="AC174" s="338">
        <f t="shared" si="128"/>
        <v>24.617130765405658</v>
      </c>
      <c r="AF174" s="138">
        <f t="shared" si="129"/>
        <v>1</v>
      </c>
      <c r="AG174" s="138">
        <f t="shared" si="130"/>
        <v>9</v>
      </c>
      <c r="AH174" s="138">
        <f t="shared" si="146"/>
        <v>30</v>
      </c>
      <c r="AI174" s="138">
        <f t="shared" si="131"/>
        <v>4641</v>
      </c>
      <c r="AJ174" s="138">
        <f t="shared" si="132"/>
        <v>4658</v>
      </c>
      <c r="AL174" s="136">
        <f t="shared" si="147"/>
        <v>4.1144999999999996</v>
      </c>
      <c r="AM174" s="258">
        <f t="shared" si="148"/>
        <v>1.55E-2</v>
      </c>
      <c r="AN174" s="258">
        <f t="shared" si="149"/>
        <v>0.01</v>
      </c>
      <c r="AO174" s="258">
        <f t="shared" si="150"/>
        <v>0.75</v>
      </c>
      <c r="AP174" s="258">
        <f t="shared" si="151"/>
        <v>0</v>
      </c>
      <c r="AQ174" s="136">
        <f t="shared" si="133"/>
        <v>3.6400000000000002E-2</v>
      </c>
      <c r="AR174" s="137">
        <f t="shared" si="152"/>
        <v>2.2499999999999999E-2</v>
      </c>
      <c r="AS174" s="136">
        <f t="shared" si="134"/>
        <v>4.1399999999999997</v>
      </c>
      <c r="AT174" s="137">
        <f t="shared" si="135"/>
        <v>6.3259547116116394E-2</v>
      </c>
      <c r="AU174" s="137">
        <f t="shared" si="153"/>
        <v>0.45215241098513353</v>
      </c>
      <c r="AV174" s="394">
        <f t="shared" si="136"/>
        <v>1844.7818368193448</v>
      </c>
      <c r="AW174" s="137">
        <f t="shared" si="154"/>
        <v>0.17</v>
      </c>
      <c r="AX174" s="137">
        <f t="shared" si="155"/>
        <v>0.55000000000000004</v>
      </c>
      <c r="AY174" s="137">
        <f t="shared" si="156"/>
        <v>0.55000000000000004</v>
      </c>
      <c r="AZ174" s="137"/>
      <c r="BA174" s="264"/>
      <c r="BB174" s="258">
        <f t="shared" si="157"/>
        <v>0</v>
      </c>
      <c r="BC174" s="258">
        <f t="shared" si="137"/>
        <v>0</v>
      </c>
      <c r="BD174" s="137">
        <f t="shared" si="138"/>
        <v>1.6444555075711964E-6</v>
      </c>
      <c r="BE174" s="137">
        <f t="shared" si="139"/>
        <v>1.6444555075711964E-6</v>
      </c>
      <c r="BF174" s="137">
        <f>_xll.xSPRDOPT($BW174,$BV174,$CG174,0,$BY174,$BX174,$BZ174,$AJ174,1,4)*$CB174</f>
        <v>3.2323921475759705E-7</v>
      </c>
      <c r="BG174" s="137">
        <f>_xll.xSPRDOPT($BW174,$BV174,$CG174,0,$BY174,$BX174,$BZ174,$AJ174,1,3)*$CB174</f>
        <v>-1.0774640491919902E-7</v>
      </c>
      <c r="BH174" s="137">
        <f>IF(OR(BF174&lt;&gt;0,BG174&lt;&gt;0),_xll.xSPRDOPT($BW174,$BV174,$CG174,0,$BY174,$BX174,$BZ174,$AJ174,1,12)*$CB174,0)</f>
        <v>1.6161960737879853E-7</v>
      </c>
      <c r="BI174" s="137">
        <f>_xll.xSPRDOPT($BW174,$BV174,$CG174,2*LN(1+CA174/2),$BY174,$BX174,$BZ174,$AJ174,1,9)</f>
        <v>1.6684825025998305E-2</v>
      </c>
      <c r="BJ174" s="137">
        <f>_xll.xSPRDOPT($BW174,$BV174,$CG174,0,$BY174,$BX174,$BZ174,$AJ174,1,6)*$CB174</f>
        <v>-7.6769741027140545E-6</v>
      </c>
      <c r="BK174" s="137">
        <f>_xll.xSPRDOPT($BW174,$BV174,$CG174,0,$BY174,$BX174,$BZ174,$AJ174,1,5)*$CB174</f>
        <v>8.8174756572960422E-6</v>
      </c>
      <c r="BL174" s="137">
        <f>_xll.xSPRDOPT(BW174,BV174,CG174,0,BY174,BX174,BZ174,AJ174,1,2)*CB174</f>
        <v>-0.4519211117194642</v>
      </c>
      <c r="BM174" s="137">
        <f>_xll.xSPRDOPT(BW174,BV174,CG174,0,BY174,BX174,BZ174,AJ174,1,1)*CB174</f>
        <v>0.45192111172193034</v>
      </c>
      <c r="BN174" s="137">
        <f>IF(AH174&lt;&gt;0,_xll.xSPRDOPT($BW174,$BV174,$CG174,2*LN(1+CA174/2),$BY174,$BX174,$BZ174,$AJ174,1,8)+(AJ174/365.25)*CH174/AH174,0)</f>
        <v>-1.2915920822744917</v>
      </c>
      <c r="BO174" s="137">
        <f>_xll.xSPRDOPT($BW174,$BV174,$CG174,0,$BY174,$BX174,$BZ174,$AJ174,1,0)</f>
        <v>0.5928059677046883</v>
      </c>
      <c r="BP174" s="137"/>
      <c r="BQ174" s="137"/>
      <c r="BR174" s="137"/>
      <c r="BS174" s="137"/>
      <c r="BV174" s="262">
        <v>4.235294117647058</v>
      </c>
      <c r="BW174" s="136">
        <v>4.8644999999999996</v>
      </c>
      <c r="BX174" s="137">
        <v>0.1725713641494567</v>
      </c>
      <c r="BY174" s="137">
        <v>0.1725713641494567</v>
      </c>
      <c r="BZ174" s="137">
        <v>1</v>
      </c>
      <c r="CA174" s="137">
        <v>6.3259547116116394E-2</v>
      </c>
      <c r="CB174" s="137">
        <v>0.45192117713821611</v>
      </c>
      <c r="CC174" s="258">
        <v>1.55E-2</v>
      </c>
      <c r="CD174" s="258">
        <v>0.01</v>
      </c>
      <c r="CE174" s="258">
        <v>0.75</v>
      </c>
      <c r="CF174" s="258">
        <v>0</v>
      </c>
      <c r="CG174" s="258">
        <v>3.6400000000000002E-2</v>
      </c>
      <c r="CH174" s="258">
        <v>4.9987001403258082</v>
      </c>
      <c r="CI174" s="258">
        <v>4.1144999999999996</v>
      </c>
      <c r="CJ174" s="258"/>
      <c r="CK174" s="258"/>
      <c r="CL174" s="258"/>
      <c r="CM174" s="258"/>
    </row>
    <row r="175" spans="1:91" x14ac:dyDescent="0.25">
      <c r="A175" s="723"/>
      <c r="B175" s="723"/>
      <c r="D175" s="31">
        <f t="shared" si="117"/>
        <v>41927</v>
      </c>
      <c r="F175" s="28">
        <f t="shared" si="118"/>
        <v>6669</v>
      </c>
      <c r="G175" s="28">
        <f t="shared" si="140"/>
        <v>2998.5557076951686</v>
      </c>
      <c r="H175" s="52">
        <f t="shared" si="119"/>
        <v>4.2692307692307692</v>
      </c>
      <c r="I175" s="52">
        <f t="shared" si="120"/>
        <v>4.5895000000000001</v>
      </c>
      <c r="K175" s="52">
        <f t="shared" si="121"/>
        <v>3.9566844754874122</v>
      </c>
      <c r="L175" s="135">
        <f t="shared" si="122"/>
        <v>5.2924017174937887E-5</v>
      </c>
      <c r="N175" s="131">
        <f t="shared" si="141"/>
        <v>0.17319085122623831</v>
      </c>
      <c r="O175" s="131">
        <f t="shared" si="142"/>
        <v>0.17319085122623831</v>
      </c>
      <c r="P175" s="55">
        <f t="shared" si="123"/>
        <v>1</v>
      </c>
      <c r="Q175" s="135">
        <f>_xll.xSPRDOPT(I175,H175,AQ175,0,O175,N175,P175,D175-$G$5,1,0)*AH175*AU175</f>
        <v>3.9567373995045871</v>
      </c>
      <c r="R175" s="135"/>
      <c r="S175" s="181">
        <f t="shared" si="124"/>
        <v>-94140.691194294472</v>
      </c>
      <c r="T175" s="181">
        <f>_xll.xSPRDOPT(I175,H175,AQ175,AT175,O175,N175,P175,D175-$G$5,1,1)*AF175*F175*AH175</f>
        <v>91787.173914437109</v>
      </c>
      <c r="U175" s="135"/>
      <c r="V175" s="146">
        <f t="shared" si="125"/>
        <v>5.1390901442860208</v>
      </c>
      <c r="W175" s="146"/>
      <c r="X175" s="338">
        <f t="shared" si="126"/>
        <v>0</v>
      </c>
      <c r="Y175" s="338">
        <f t="shared" si="143"/>
        <v>0</v>
      </c>
      <c r="Z175" s="338">
        <f t="shared" si="144"/>
        <v>13.498033820997062</v>
      </c>
      <c r="AA175" s="338">
        <f t="shared" si="145"/>
        <v>5.4366160346651586E-5</v>
      </c>
      <c r="AB175" s="338">
        <f t="shared" si="127"/>
        <v>0</v>
      </c>
      <c r="AC175" s="338">
        <f t="shared" si="128"/>
        <v>13.712039893278229</v>
      </c>
      <c r="AF175" s="138">
        <f t="shared" si="129"/>
        <v>1</v>
      </c>
      <c r="AG175" s="138">
        <f t="shared" si="130"/>
        <v>10</v>
      </c>
      <c r="AH175" s="138">
        <f t="shared" si="146"/>
        <v>31</v>
      </c>
      <c r="AI175" s="138">
        <f t="shared" si="131"/>
        <v>4671</v>
      </c>
      <c r="AJ175" s="138">
        <f t="shared" si="132"/>
        <v>4688</v>
      </c>
      <c r="AL175" s="136">
        <f t="shared" si="147"/>
        <v>4.1395</v>
      </c>
      <c r="AM175" s="258">
        <f t="shared" si="148"/>
        <v>1.2999999999999999E-2</v>
      </c>
      <c r="AN175" s="258">
        <f t="shared" si="149"/>
        <v>0.01</v>
      </c>
      <c r="AO175" s="258">
        <f t="shared" si="150"/>
        <v>0.45</v>
      </c>
      <c r="AP175" s="258">
        <f t="shared" si="151"/>
        <v>0</v>
      </c>
      <c r="AQ175" s="136">
        <f t="shared" si="133"/>
        <v>3.6400000000000002E-2</v>
      </c>
      <c r="AR175" s="137">
        <f t="shared" si="152"/>
        <v>2.5000000000000001E-2</v>
      </c>
      <c r="AS175" s="136">
        <f t="shared" si="134"/>
        <v>4.1624999999999996</v>
      </c>
      <c r="AT175" s="137">
        <f t="shared" si="135"/>
        <v>6.3298783343216994E-2</v>
      </c>
      <c r="AU175" s="137">
        <f t="shared" si="153"/>
        <v>0.44962598705880474</v>
      </c>
      <c r="AV175" s="394">
        <f t="shared" si="136"/>
        <v>2383.4673573987238</v>
      </c>
      <c r="AW175" s="137">
        <f t="shared" si="154"/>
        <v>0.17</v>
      </c>
      <c r="AX175" s="137">
        <f t="shared" si="155"/>
        <v>0.6</v>
      </c>
      <c r="AY175" s="137">
        <f t="shared" si="156"/>
        <v>0.6</v>
      </c>
      <c r="AZ175" s="137"/>
      <c r="BA175" s="264"/>
      <c r="BB175" s="258">
        <f t="shared" si="157"/>
        <v>0</v>
      </c>
      <c r="BC175" s="258">
        <f t="shared" si="137"/>
        <v>0</v>
      </c>
      <c r="BD175" s="137">
        <f t="shared" si="138"/>
        <v>2.0224815359681791E-6</v>
      </c>
      <c r="BE175" s="137">
        <f t="shared" si="139"/>
        <v>2.0224815359681791E-6</v>
      </c>
      <c r="BF175" s="137">
        <f>_xll.xSPRDOPT($BW175,$BV175,$CG175,0,$BY175,$BX175,$BZ175,$AJ175,1,4)*$CB175</f>
        <v>3.2143299927079608E-7</v>
      </c>
      <c r="BG175" s="137">
        <f>_xll.xSPRDOPT($BW175,$BV175,$CG175,0,$BY175,$BX175,$BZ175,$AJ175,1,3)*$CB175</f>
        <v>4.2857733236106145E-7</v>
      </c>
      <c r="BH175" s="137">
        <f>IF(OR(BF175&lt;&gt;0,BG175&lt;&gt;0),_xll.xSPRDOPT($BW175,$BV175,$CG175,0,$BY175,$BX175,$BZ175,$AJ175,1,12)*$CB175,0)</f>
        <v>-1.875025829079644E-7</v>
      </c>
      <c r="BI175" s="137">
        <f>_xll.xSPRDOPT($BW175,$BV175,$CG175,2*LN(1+CA175/2),$BY175,$BX175,$BZ175,$AJ175,1,9)</f>
        <v>7.949083712828214E-3</v>
      </c>
      <c r="BJ175" s="137">
        <f>_xll.xSPRDOPT($BW175,$BV175,$CG175,0,$BY175,$BX175,$BZ175,$AJ175,1,6)*$CB175</f>
        <v>-1.7332296123480375E-3</v>
      </c>
      <c r="BK175" s="137">
        <f>_xll.xSPRDOPT($BW175,$BV175,$CG175,0,$BY175,$BX175,$BZ175,$AJ175,1,5)*$CB175</f>
        <v>1.863253062257186E-3</v>
      </c>
      <c r="BL175" s="137">
        <f>_xll.xSPRDOPT(BW175,BV175,CG175,0,BY175,BX175,BZ175,AJ175,1,2)*CB175</f>
        <v>-0.44936817025023368</v>
      </c>
      <c r="BM175" s="137">
        <f>_xll.xSPRDOPT(BW175,BV175,CG175,0,BY175,BX175,BZ175,AJ175,1,1)*CB175</f>
        <v>0.44936817025391218</v>
      </c>
      <c r="BN175" s="137">
        <f>IF(AH175&lt;&gt;0,_xll.xSPRDOPT($BW175,$BV175,$CG175,2*LN(1+CA175/2),$BY175,$BX175,$BZ175,$AJ175,1,8)+(AJ175/365.25)*CH175/AH175,0)</f>
        <v>0.48928328063966164</v>
      </c>
      <c r="BO175" s="137">
        <f>_xll.xSPRDOPT($BW175,$BV175,$CG175,0,$BY175,$BX175,$BZ175,$AJ175,1,0)</f>
        <v>0.2838730432177492</v>
      </c>
      <c r="BP175" s="137"/>
      <c r="BQ175" s="137"/>
      <c r="BR175" s="137"/>
      <c r="BS175" s="137"/>
      <c r="BV175" s="262">
        <v>4.2692307692307692</v>
      </c>
      <c r="BW175" s="136">
        <v>4.5895000000000001</v>
      </c>
      <c r="BX175" s="137">
        <v>0.17318882874470234</v>
      </c>
      <c r="BY175" s="137">
        <v>0.17318882874470234</v>
      </c>
      <c r="BZ175" s="137">
        <v>1</v>
      </c>
      <c r="CA175" s="137">
        <v>6.3298783343216994E-2</v>
      </c>
      <c r="CB175" s="137">
        <v>0.44939590485783237</v>
      </c>
      <c r="CC175" s="258">
        <v>1.2999999999999999E-2</v>
      </c>
      <c r="CD175" s="258">
        <v>0.01</v>
      </c>
      <c r="CE175" s="258">
        <v>0.45</v>
      </c>
      <c r="CF175" s="258">
        <v>0</v>
      </c>
      <c r="CG175" s="258">
        <v>3.6400000000000002E-2</v>
      </c>
      <c r="CH175" s="258">
        <v>5.1364603737535672</v>
      </c>
      <c r="CI175" s="258">
        <v>4.1395</v>
      </c>
      <c r="CJ175" s="258"/>
      <c r="CK175" s="258"/>
      <c r="CL175" s="258"/>
      <c r="CM175" s="258"/>
    </row>
    <row r="176" spans="1:91" x14ac:dyDescent="0.25">
      <c r="A176" s="723"/>
      <c r="B176" s="723"/>
      <c r="D176" s="31">
        <f t="shared" si="117"/>
        <v>41958</v>
      </c>
      <c r="F176" s="28">
        <f t="shared" si="118"/>
        <v>11107</v>
      </c>
      <c r="G176" s="28">
        <f t="shared" si="140"/>
        <v>4965.1316496489035</v>
      </c>
      <c r="H176" s="52">
        <f t="shared" si="119"/>
        <v>4.41227621483376</v>
      </c>
      <c r="I176" s="52">
        <f t="shared" si="120"/>
        <v>4.7415000000000003</v>
      </c>
      <c r="K176" s="52">
        <f t="shared" si="121"/>
        <v>3.9270063297890276</v>
      </c>
      <c r="L176" s="135">
        <f t="shared" si="122"/>
        <v>5.5275320395509198E-5</v>
      </c>
      <c r="N176" s="131">
        <f t="shared" si="141"/>
        <v>0.1756225789209323</v>
      </c>
      <c r="O176" s="131">
        <f t="shared" si="142"/>
        <v>0.1756225789209323</v>
      </c>
      <c r="P176" s="55">
        <f t="shared" si="123"/>
        <v>1</v>
      </c>
      <c r="Q176" s="135">
        <f>_xll.xSPRDOPT(I176,H176,AQ176,0,O176,N176,P176,D176-$G$5,1,0)*AH176*AU176</f>
        <v>3.9270616051094231</v>
      </c>
      <c r="R176" s="135"/>
      <c r="S176" s="181">
        <f t="shared" si="124"/>
        <v>-150453.21055662553</v>
      </c>
      <c r="T176" s="181">
        <f>_xll.xSPRDOPT(I176,H176,AQ176,AT176,O176,N176,P176,D176-$G$5,1,1)*AF176*F176*AH176</f>
        <v>147068.01331910148</v>
      </c>
      <c r="U176" s="135"/>
      <c r="V176" s="146">
        <f t="shared" si="125"/>
        <v>4.9445683962155869</v>
      </c>
      <c r="W176" s="146"/>
      <c r="X176" s="338">
        <f t="shared" si="126"/>
        <v>0</v>
      </c>
      <c r="Y176" s="338">
        <f t="shared" si="143"/>
        <v>0</v>
      </c>
      <c r="Z176" s="338">
        <f t="shared" si="144"/>
        <v>22.326073896732343</v>
      </c>
      <c r="AA176" s="338">
        <f t="shared" si="145"/>
        <v>1.4985876035263806E-4</v>
      </c>
      <c r="AB176" s="338">
        <f t="shared" si="127"/>
        <v>0</v>
      </c>
      <c r="AC176" s="338">
        <f t="shared" si="128"/>
        <v>22.680182883177974</v>
      </c>
      <c r="AF176" s="138">
        <f t="shared" si="129"/>
        <v>1</v>
      </c>
      <c r="AG176" s="138">
        <f t="shared" si="130"/>
        <v>11</v>
      </c>
      <c r="AH176" s="138">
        <f t="shared" si="146"/>
        <v>30</v>
      </c>
      <c r="AI176" s="138">
        <f t="shared" si="131"/>
        <v>4702</v>
      </c>
      <c r="AJ176" s="138">
        <f t="shared" si="132"/>
        <v>4719</v>
      </c>
      <c r="AL176" s="136">
        <f t="shared" si="147"/>
        <v>4.2915000000000001</v>
      </c>
      <c r="AM176" s="258">
        <f t="shared" si="148"/>
        <v>1.4E-2</v>
      </c>
      <c r="AN176" s="258">
        <f t="shared" si="149"/>
        <v>7.4999999999999997E-3</v>
      </c>
      <c r="AO176" s="258">
        <f t="shared" si="150"/>
        <v>0.45</v>
      </c>
      <c r="AP176" s="258">
        <f t="shared" si="151"/>
        <v>0</v>
      </c>
      <c r="AQ176" s="136">
        <f t="shared" si="133"/>
        <v>3.6400000000000002E-2</v>
      </c>
      <c r="AR176" s="137">
        <f t="shared" si="152"/>
        <v>2.2499999999999999E-2</v>
      </c>
      <c r="AS176" s="136">
        <f t="shared" si="134"/>
        <v>4.3130000000000006</v>
      </c>
      <c r="AT176" s="137">
        <f t="shared" si="135"/>
        <v>6.3339327445091104E-2</v>
      </c>
      <c r="AU176" s="137">
        <f t="shared" si="153"/>
        <v>0.44702724855036496</v>
      </c>
      <c r="AV176" s="394">
        <f t="shared" si="136"/>
        <v>3433.1692688668031</v>
      </c>
      <c r="AW176" s="137">
        <f t="shared" si="154"/>
        <v>0.17</v>
      </c>
      <c r="AX176" s="137">
        <f t="shared" si="155"/>
        <v>0.8</v>
      </c>
      <c r="AY176" s="137">
        <f t="shared" si="156"/>
        <v>0.8</v>
      </c>
      <c r="AZ176" s="137"/>
      <c r="BA176" s="264"/>
      <c r="BB176" s="258">
        <f t="shared" si="157"/>
        <v>0</v>
      </c>
      <c r="BC176" s="258">
        <f t="shared" si="137"/>
        <v>0</v>
      </c>
      <c r="BD176" s="137">
        <f t="shared" si="138"/>
        <v>3.5165024528938105E-6</v>
      </c>
      <c r="BE176" s="137">
        <f t="shared" si="139"/>
        <v>3.5165024528938105E-6</v>
      </c>
      <c r="BF176" s="137">
        <f>_xll.xSPRDOPT($BW176,$BV176,$CG176,0,$BY176,$BX176,$BZ176,$AJ176,1,4)*$CB176</f>
        <v>-3.195750846510081E-7</v>
      </c>
      <c r="BG176" s="137">
        <f>_xll.xSPRDOPT($BW176,$BV176,$CG176,0,$BY176,$BX176,$BZ176,$AJ176,1,3)*$CB176</f>
        <v>1.065250282170027E-7</v>
      </c>
      <c r="BH176" s="137">
        <f>IF(OR(BF176&lt;&gt;0,BG176&lt;&gt;0),_xll.xSPRDOPT($BW176,$BV176,$CG176,0,$BY176,$BX176,$BZ176,$AJ176,1,12)*$CB176,0)</f>
        <v>2.3968131348825609E-7</v>
      </c>
      <c r="BI176" s="137">
        <f>_xll.xSPRDOPT($BW176,$BV176,$CG176,2*LN(1+CA176/2),$BY176,$BX176,$BZ176,$AJ176,1,9)</f>
        <v>8.1576168090008189E-3</v>
      </c>
      <c r="BJ176" s="137">
        <f>_xll.xSPRDOPT($BW176,$BV176,$CG176,0,$BY176,$BX176,$BZ176,$AJ176,1,6)*$CB176</f>
        <v>-1.7140545576587311E-3</v>
      </c>
      <c r="BK176" s="137">
        <f>_xll.xSPRDOPT($BW176,$BV176,$CG176,0,$BY176,$BX176,$BZ176,$AJ176,1,5)*$CB176</f>
        <v>1.8419494452285026E-3</v>
      </c>
      <c r="BL176" s="137">
        <f>_xll.xSPRDOPT(BW176,BV176,CG176,0,BY176,BX176,BZ176,AJ176,1,2)*CB176</f>
        <v>-0.44677196766912169</v>
      </c>
      <c r="BM176" s="137">
        <f>_xll.xSPRDOPT(BW176,BV176,CG176,0,BY176,BX176,BZ176,AJ176,1,1)*CB176</f>
        <v>0.44677196766546445</v>
      </c>
      <c r="BN176" s="137">
        <f>IF(AH176&lt;&gt;0,_xll.xSPRDOPT($BW176,$BV176,$CG176,2*LN(1+CA176/2),$BY176,$BX176,$BZ176,$AJ176,1,8)+(AJ176/365.25)*CH176/AH176,0)</f>
        <v>0.437979007317848</v>
      </c>
      <c r="BO176" s="137">
        <f>_xll.xSPRDOPT($BW176,$BV176,$CG176,0,$BY176,$BX176,$BZ176,$AJ176,1,0)</f>
        <v>0.29282792184370665</v>
      </c>
      <c r="BP176" s="137"/>
      <c r="BQ176" s="137"/>
      <c r="BR176" s="137"/>
      <c r="BS176" s="137"/>
      <c r="BV176" s="262">
        <v>4.41227621483376</v>
      </c>
      <c r="BW176" s="136">
        <v>4.7415000000000003</v>
      </c>
      <c r="BX176" s="137">
        <v>0.17561906241847941</v>
      </c>
      <c r="BY176" s="137">
        <v>0.17561906241847941</v>
      </c>
      <c r="BZ176" s="137">
        <v>1</v>
      </c>
      <c r="CA176" s="137">
        <v>6.3339327445091104E-2</v>
      </c>
      <c r="CB176" s="137">
        <v>0.44679835195068729</v>
      </c>
      <c r="CC176" s="258">
        <v>1.4E-2</v>
      </c>
      <c r="CD176" s="258">
        <v>7.4999999999999997E-3</v>
      </c>
      <c r="CE176" s="258">
        <v>0.45</v>
      </c>
      <c r="CF176" s="258">
        <v>0</v>
      </c>
      <c r="CG176" s="258">
        <v>3.6400000000000002E-2</v>
      </c>
      <c r="CH176" s="258">
        <v>4.9420365709265521</v>
      </c>
      <c r="CI176" s="258">
        <v>4.2915000000000001</v>
      </c>
      <c r="CJ176" s="258"/>
      <c r="CK176" s="258"/>
      <c r="CL176" s="258"/>
      <c r="CM176" s="258"/>
    </row>
    <row r="177" spans="1:91" x14ac:dyDescent="0.25">
      <c r="A177" s="723"/>
      <c r="B177" s="723"/>
      <c r="D177" s="31">
        <f t="shared" si="117"/>
        <v>41988</v>
      </c>
      <c r="F177" s="28">
        <f t="shared" si="118"/>
        <v>11107</v>
      </c>
      <c r="G177" s="28">
        <f t="shared" si="140"/>
        <v>4937.3261034279258</v>
      </c>
      <c r="H177" s="52">
        <f t="shared" si="119"/>
        <v>4.558567774936062</v>
      </c>
      <c r="I177" s="52">
        <f t="shared" si="120"/>
        <v>4.8345000000000002</v>
      </c>
      <c r="K177" s="52">
        <f t="shared" si="121"/>
        <v>3.3008111938445128</v>
      </c>
      <c r="L177" s="135">
        <f t="shared" si="122"/>
        <v>1.9769530196223073E-4</v>
      </c>
      <c r="N177" s="131">
        <f t="shared" si="141"/>
        <v>0.17908244282177474</v>
      </c>
      <c r="O177" s="131">
        <f t="shared" si="142"/>
        <v>0.17908244282177474</v>
      </c>
      <c r="P177" s="55">
        <f t="shared" si="123"/>
        <v>1.0000000000000002</v>
      </c>
      <c r="Q177" s="135">
        <f>_xll.xSPRDOPT(I177,H177,AQ177,0,O177,N177,P177,D177-$G$5,1,0)*AH177*AU177</f>
        <v>3.3010088891464751</v>
      </c>
      <c r="R177" s="135"/>
      <c r="S177" s="181">
        <f t="shared" si="124"/>
        <v>-154537.0129602495</v>
      </c>
      <c r="T177" s="181">
        <f>_xll.xSPRDOPT(I177,H177,AQ177,AT177,O177,N177,P177,D177-$G$5,1,1)*AF177*F177*AH177</f>
        <v>151059.93016864388</v>
      </c>
      <c r="U177" s="135"/>
      <c r="V177" s="146">
        <f t="shared" si="125"/>
        <v>5.0807739411497401</v>
      </c>
      <c r="W177" s="146"/>
      <c r="X177" s="338">
        <f t="shared" si="126"/>
        <v>0</v>
      </c>
      <c r="Y177" s="338">
        <f t="shared" si="143"/>
        <v>0</v>
      </c>
      <c r="Z177" s="338">
        <f t="shared" si="144"/>
        <v>18.769132338186072</v>
      </c>
      <c r="AA177" s="338">
        <f t="shared" si="145"/>
        <v>1.1030705937544497E-3</v>
      </c>
      <c r="AB177" s="338">
        <f t="shared" si="127"/>
        <v>0</v>
      </c>
      <c r="AC177" s="338">
        <f t="shared" si="128"/>
        <v>19.076312939670125</v>
      </c>
      <c r="AF177" s="138">
        <f t="shared" si="129"/>
        <v>1</v>
      </c>
      <c r="AG177" s="138">
        <f t="shared" si="130"/>
        <v>12</v>
      </c>
      <c r="AH177" s="138">
        <f t="shared" si="146"/>
        <v>31</v>
      </c>
      <c r="AI177" s="138">
        <f t="shared" si="131"/>
        <v>4732</v>
      </c>
      <c r="AJ177" s="138">
        <f t="shared" si="132"/>
        <v>4749</v>
      </c>
      <c r="AL177" s="136">
        <f t="shared" si="147"/>
        <v>4.4344999999999999</v>
      </c>
      <c r="AM177" s="258">
        <f t="shared" si="148"/>
        <v>1.4E-2</v>
      </c>
      <c r="AN177" s="258">
        <f t="shared" si="149"/>
        <v>7.4999999999999997E-3</v>
      </c>
      <c r="AO177" s="258">
        <f t="shared" si="150"/>
        <v>0.4</v>
      </c>
      <c r="AP177" s="258">
        <f t="shared" si="151"/>
        <v>0</v>
      </c>
      <c r="AQ177" s="136">
        <f t="shared" si="133"/>
        <v>3.6400000000000002E-2</v>
      </c>
      <c r="AR177" s="137">
        <f t="shared" si="152"/>
        <v>2.2499999999999999E-2</v>
      </c>
      <c r="AS177" s="136">
        <f t="shared" si="134"/>
        <v>4.4560000000000004</v>
      </c>
      <c r="AT177" s="137">
        <f t="shared" si="135"/>
        <v>6.3378563673230498E-2</v>
      </c>
      <c r="AU177" s="137">
        <f t="shared" si="153"/>
        <v>0.44452382312306882</v>
      </c>
      <c r="AV177" s="394">
        <f t="shared" si="136"/>
        <v>3527.7410603046742</v>
      </c>
      <c r="AW177" s="137">
        <f t="shared" si="154"/>
        <v>0.17</v>
      </c>
      <c r="AX177" s="137">
        <f t="shared" si="155"/>
        <v>1</v>
      </c>
      <c r="AY177" s="137">
        <f t="shared" si="156"/>
        <v>1</v>
      </c>
      <c r="AZ177" s="137"/>
      <c r="BA177" s="264"/>
      <c r="BB177" s="258">
        <f t="shared" si="157"/>
        <v>0</v>
      </c>
      <c r="BC177" s="258">
        <f t="shared" si="137"/>
        <v>0</v>
      </c>
      <c r="BD177" s="137">
        <f t="shared" si="138"/>
        <v>5.5903163426185287E-6</v>
      </c>
      <c r="BE177" s="137">
        <f t="shared" si="139"/>
        <v>5.5903163426185287E-6</v>
      </c>
      <c r="BF177" s="137">
        <f>_xll.xSPRDOPT($BW177,$BV177,$CG177,0,$BY177,$BX177,$BZ177,$AJ177,1,4)*$CB177</f>
        <v>-5.2964218806687031E-7</v>
      </c>
      <c r="BG177" s="137">
        <f>_xll.xSPRDOPT($BW177,$BV177,$CG177,0,$BY177,$BX177,$BZ177,$AJ177,1,3)*$CB177</f>
        <v>-5.2964218806687035E-8</v>
      </c>
      <c r="BH177" s="137">
        <f>IF(OR(BF177&lt;&gt;0,BG177&lt;&gt;0),_xll.xSPRDOPT($BW177,$BV177,$CG177,0,$BY177,$BX177,$BZ177,$AJ177,1,12)*$CB177,0)</f>
        <v>3.1778531284012219E-7</v>
      </c>
      <c r="BI177" s="137">
        <f>_xll.xSPRDOPT($BW177,$BV177,$CG177,2*LN(1+CA177/2),$BY177,$BX177,$BZ177,$AJ177,1,9)</f>
        <v>6.6367384188818846E-3</v>
      </c>
      <c r="BJ177" s="137">
        <f>_xll.xSPRDOPT($BW177,$BV177,$CG177,0,$BY177,$BX177,$BZ177,$AJ177,1,6)*$CB177</f>
        <v>-9.4674813035421652E-3</v>
      </c>
      <c r="BK177" s="137">
        <f>_xll.xSPRDOPT($BW177,$BV177,$CG177,0,$BY177,$BX177,$BZ177,$AJ177,1,5)*$CB177</f>
        <v>1.0040552337035756E-2</v>
      </c>
      <c r="BL177" s="137">
        <f>_xll.xSPRDOPT(BW177,BV177,CG177,0,BY177,BX177,BZ177,AJ177,1,2)*CB177</f>
        <v>-0.44413839282760287</v>
      </c>
      <c r="BM177" s="137">
        <f>_xll.xSPRDOPT(BW177,BV177,CG177,0,BY177,BX177,BZ177,AJ177,1,1)*CB177</f>
        <v>0.44413839282659262</v>
      </c>
      <c r="BN177" s="137">
        <f>IF(AH177&lt;&gt;0,_xll.xSPRDOPT($BW177,$BV177,$CG177,2*LN(1+CA177/2),$BY177,$BX177,$BZ177,$AJ177,1,8)+(AJ177/365.25)*CH177/AH177,0)</f>
        <v>0.74608813764639526</v>
      </c>
      <c r="BO177" s="137">
        <f>_xll.xSPRDOPT($BW177,$BV177,$CG177,0,$BY177,$BX177,$BZ177,$AJ177,1,0)</f>
        <v>0.23954663713452096</v>
      </c>
      <c r="BP177" s="137"/>
      <c r="BQ177" s="137"/>
      <c r="BR177" s="137"/>
      <c r="BS177" s="137"/>
      <c r="BV177" s="262">
        <v>4.558567774936062</v>
      </c>
      <c r="BW177" s="136">
        <v>4.8345000000000002</v>
      </c>
      <c r="BX177" s="137">
        <v>0.17907685250543212</v>
      </c>
      <c r="BY177" s="137">
        <v>0.17907685250543212</v>
      </c>
      <c r="BZ177" s="137">
        <v>1</v>
      </c>
      <c r="CA177" s="137">
        <v>6.3378563673230498E-2</v>
      </c>
      <c r="CB177" s="137">
        <v>0.44429606959552531</v>
      </c>
      <c r="CC177" s="258">
        <v>1.4E-2</v>
      </c>
      <c r="CD177" s="258">
        <v>7.4999999999999997E-3</v>
      </c>
      <c r="CE177" s="258">
        <v>0.4</v>
      </c>
      <c r="CF177" s="258">
        <v>0</v>
      </c>
      <c r="CG177" s="258">
        <v>3.6400000000000002E-2</v>
      </c>
      <c r="CH177" s="258">
        <v>5.078170786655976</v>
      </c>
      <c r="CI177" s="258">
        <v>4.4344999999999999</v>
      </c>
      <c r="CJ177" s="258"/>
      <c r="CK177" s="258"/>
      <c r="CL177" s="258"/>
      <c r="CM177" s="258"/>
    </row>
    <row r="178" spans="1:91" x14ac:dyDescent="0.25">
      <c r="A178" s="723"/>
      <c r="B178" s="723"/>
      <c r="D178" s="31">
        <f t="shared" si="117"/>
        <v>42019</v>
      </c>
      <c r="F178" s="28">
        <f t="shared" si="118"/>
        <v>11107</v>
      </c>
      <c r="G178" s="28">
        <f t="shared" si="140"/>
        <v>4908.7251145327</v>
      </c>
      <c r="H178" s="52">
        <f t="shared" si="119"/>
        <v>4.6199488491048601</v>
      </c>
      <c r="I178" s="52">
        <f t="shared" si="120"/>
        <v>4.8445</v>
      </c>
      <c r="K178" s="52">
        <f t="shared" si="121"/>
        <v>2.5777483273200104</v>
      </c>
      <c r="L178" s="135">
        <f t="shared" si="122"/>
        <v>5.7653528011769595E-4</v>
      </c>
      <c r="N178" s="131">
        <f t="shared" si="141"/>
        <v>0.17902500639322538</v>
      </c>
      <c r="O178" s="131">
        <f t="shared" si="142"/>
        <v>0.17902500639322538</v>
      </c>
      <c r="P178" s="55">
        <f t="shared" si="123"/>
        <v>1</v>
      </c>
      <c r="Q178" s="135">
        <f>_xll.xSPRDOPT(I178,H178,AQ178,0,O178,N178,P178,D178-$G$5,1,0)*AH178*AU178</f>
        <v>2.5783248626001281</v>
      </c>
      <c r="R178" s="135"/>
      <c r="S178" s="181">
        <f t="shared" si="124"/>
        <v>-153554.98799855507</v>
      </c>
      <c r="T178" s="181">
        <f>_xll.xSPRDOPT(I178,H178,AQ178,AT178,O178,N178,P178,D178-$G$5,1,1)*AF178*F178*AH178</f>
        <v>150100.00076858758</v>
      </c>
      <c r="U178" s="135"/>
      <c r="V178" s="146">
        <f t="shared" si="125"/>
        <v>5.0513419862766185</v>
      </c>
      <c r="W178" s="146"/>
      <c r="X178" s="338">
        <f t="shared" si="126"/>
        <v>0</v>
      </c>
      <c r="Y178" s="338">
        <f t="shared" si="143"/>
        <v>0</v>
      </c>
      <c r="Z178" s="338">
        <f t="shared" si="144"/>
        <v>14.658479120072343</v>
      </c>
      <c r="AA178" s="338">
        <f t="shared" si="145"/>
        <v>1.9176514331990951E-3</v>
      </c>
      <c r="AB178" s="338">
        <f t="shared" si="127"/>
        <v>0</v>
      </c>
      <c r="AC178" s="338">
        <f t="shared" si="128"/>
        <v>14.909501524215754</v>
      </c>
      <c r="AF178" s="138">
        <f t="shared" si="129"/>
        <v>1</v>
      </c>
      <c r="AG178" s="138">
        <f t="shared" si="130"/>
        <v>1</v>
      </c>
      <c r="AH178" s="138">
        <f t="shared" si="146"/>
        <v>31</v>
      </c>
      <c r="AI178" s="138">
        <f t="shared" si="131"/>
        <v>4763</v>
      </c>
      <c r="AJ178" s="138">
        <f t="shared" si="132"/>
        <v>4780</v>
      </c>
      <c r="AL178" s="136">
        <f t="shared" si="147"/>
        <v>4.4945000000000004</v>
      </c>
      <c r="AM178" s="258">
        <f t="shared" si="148"/>
        <v>1.4E-2</v>
      </c>
      <c r="AN178" s="258">
        <f t="shared" si="149"/>
        <v>7.4999999999999997E-3</v>
      </c>
      <c r="AO178" s="258">
        <f t="shared" si="150"/>
        <v>0.35</v>
      </c>
      <c r="AP178" s="258">
        <f t="shared" si="151"/>
        <v>0</v>
      </c>
      <c r="AQ178" s="136">
        <f t="shared" si="133"/>
        <v>3.6400000000000002E-2</v>
      </c>
      <c r="AR178" s="137">
        <f t="shared" si="152"/>
        <v>2.2499999999999999E-2</v>
      </c>
      <c r="AS178" s="136">
        <f t="shared" si="134"/>
        <v>4.5160000000000009</v>
      </c>
      <c r="AT178" s="137">
        <f t="shared" si="135"/>
        <v>6.3419107776177402E-2</v>
      </c>
      <c r="AU178" s="137">
        <f t="shared" si="153"/>
        <v>0.44194878135704513</v>
      </c>
      <c r="AV178" s="394">
        <f t="shared" si="136"/>
        <v>3507.3055288495102</v>
      </c>
      <c r="AW178" s="137">
        <f t="shared" si="154"/>
        <v>0.17</v>
      </c>
      <c r="AX178" s="137">
        <f t="shared" si="155"/>
        <v>1</v>
      </c>
      <c r="AY178" s="137">
        <f t="shared" si="156"/>
        <v>1</v>
      </c>
      <c r="AZ178" s="137"/>
      <c r="BA178" s="264"/>
      <c r="BB178" s="258">
        <f t="shared" si="157"/>
        <v>0</v>
      </c>
      <c r="BC178" s="258">
        <f t="shared" si="137"/>
        <v>0</v>
      </c>
      <c r="BD178" s="137">
        <f t="shared" si="138"/>
        <v>5.5198103726949999E-6</v>
      </c>
      <c r="BE178" s="137">
        <f t="shared" si="139"/>
        <v>5.5198103726949999E-6</v>
      </c>
      <c r="BF178" s="137">
        <f>_xll.xSPRDOPT($BW178,$BV178,$CG178,0,$BY178,$BX178,$BZ178,$AJ178,1,4)*$CB178</f>
        <v>-3.6860173131043248E-7</v>
      </c>
      <c r="BG178" s="137">
        <f>_xll.xSPRDOPT($BW178,$BV178,$CG178,0,$BY178,$BX178,$BZ178,$AJ178,1,3)*$CB178</f>
        <v>-4.739165116848418E-7</v>
      </c>
      <c r="BH178" s="137">
        <f>IF(OR(BF178&lt;&gt;0,BG178&lt;&gt;0),_xll.xSPRDOPT($BW178,$BV178,$CG178,0,$BY178,$BX178,$BZ178,$AJ178,1,12)*$CB178,0)</f>
        <v>4.739165116848418E-7</v>
      </c>
      <c r="BI178" s="137">
        <f>_xll.xSPRDOPT($BW178,$BV178,$CG178,2*LN(1+CA178/2),$BY178,$BX178,$BZ178,$AJ178,1,9)</f>
        <v>5.1832173051833278E-3</v>
      </c>
      <c r="BJ178" s="137">
        <f>_xll.xSPRDOPT($BW178,$BV178,$CG178,0,$BY178,$BX178,$BZ178,$AJ178,1,6)*$CB178</f>
        <v>-2.07591194445692E-2</v>
      </c>
      <c r="BK178" s="137">
        <f>_xll.xSPRDOPT($BW178,$BV178,$CG178,0,$BY178,$BX178,$BZ178,$AJ178,1,5)*$CB178</f>
        <v>2.1768109870661804E-2</v>
      </c>
      <c r="BL178" s="137">
        <f>_xll.xSPRDOPT(BW178,BV178,CG178,0,BY178,BX178,BZ178,AJ178,1,2)*CB178</f>
        <v>-0.44136006922988874</v>
      </c>
      <c r="BM178" s="137">
        <f>_xll.xSPRDOPT(BW178,BV178,CG178,0,BY178,BX178,BZ178,AJ178,1,1)*CB178</f>
        <v>0.44136006922225562</v>
      </c>
      <c r="BN178" s="137">
        <f>IF(AH178&lt;&gt;0,_xll.xSPRDOPT($BW178,$BV178,$CG178,2*LN(1+CA178/2),$BY178,$BX178,$BZ178,$AJ178,1,8)+(AJ178/365.25)*CH178/AH178,0)</f>
        <v>1.0434703506495113</v>
      </c>
      <c r="BO178" s="137">
        <f>_xll.xSPRDOPT($BW178,$BV178,$CG178,0,$BY178,$BX178,$BZ178,$AJ178,1,0)</f>
        <v>0.18819334826733136</v>
      </c>
      <c r="BP178" s="137"/>
      <c r="BQ178" s="137"/>
      <c r="BR178" s="137"/>
      <c r="BS178" s="137"/>
      <c r="BV178" s="262">
        <v>4.6199488491048601</v>
      </c>
      <c r="BW178" s="136">
        <v>4.8445</v>
      </c>
      <c r="BX178" s="137">
        <v>0.17901948658285269</v>
      </c>
      <c r="BY178" s="137">
        <v>0.17901948658285269</v>
      </c>
      <c r="BZ178" s="137">
        <v>1</v>
      </c>
      <c r="CA178" s="137">
        <v>6.3419107776177402E-2</v>
      </c>
      <c r="CB178" s="137">
        <v>0.44172220458350636</v>
      </c>
      <c r="CC178" s="258">
        <v>1.4E-2</v>
      </c>
      <c r="CD178" s="258">
        <v>7.4999999999999997E-3</v>
      </c>
      <c r="CE178" s="258">
        <v>0.35</v>
      </c>
      <c r="CF178" s="258">
        <v>0</v>
      </c>
      <c r="CG178" s="258">
        <v>3.6400000000000002E-2</v>
      </c>
      <c r="CH178" s="258">
        <v>5.0487522817281025</v>
      </c>
      <c r="CI178" s="258">
        <v>4.4945000000000004</v>
      </c>
      <c r="CJ178" s="258"/>
      <c r="CK178" s="258"/>
      <c r="CL178" s="258"/>
      <c r="CM178" s="258"/>
    </row>
    <row r="179" spans="1:91" x14ac:dyDescent="0.25">
      <c r="A179" s="723"/>
      <c r="B179" s="723"/>
      <c r="D179" s="31">
        <f t="shared" si="117"/>
        <v>42050</v>
      </c>
      <c r="F179" s="28">
        <f t="shared" si="118"/>
        <v>11107</v>
      </c>
      <c r="G179" s="28">
        <f t="shared" si="140"/>
        <v>4880.2573001022529</v>
      </c>
      <c r="H179" s="52">
        <f t="shared" si="119"/>
        <v>4.5329923273657293</v>
      </c>
      <c r="I179" s="52">
        <f t="shared" si="120"/>
        <v>4.7595000000000001</v>
      </c>
      <c r="K179" s="52">
        <f t="shared" si="121"/>
        <v>2.3388567570908232</v>
      </c>
      <c r="L179" s="135">
        <f t="shared" si="122"/>
        <v>4.8873216854961044E-4</v>
      </c>
      <c r="N179" s="131">
        <f t="shared" si="141"/>
        <v>0.17812260448808095</v>
      </c>
      <c r="O179" s="131">
        <f t="shared" si="142"/>
        <v>0.17812260448808095</v>
      </c>
      <c r="P179" s="55">
        <f t="shared" si="123"/>
        <v>1</v>
      </c>
      <c r="Q179" s="135">
        <f>_xll.xSPRDOPT(I179,H179,AQ179,0,O179,N179,P179,D179-$G$5,1,0)*AH179*AU179</f>
        <v>2.3393454892593728</v>
      </c>
      <c r="R179" s="135"/>
      <c r="S179" s="181">
        <f t="shared" si="124"/>
        <v>-137876.23259003679</v>
      </c>
      <c r="T179" s="181">
        <f>_xll.xSPRDOPT(I179,H179,AQ179,AT179,O179,N179,P179,D179-$G$5,1,1)*AF179*F179*AH179</f>
        <v>134774.01735676097</v>
      </c>
      <c r="U179" s="135"/>
      <c r="V179" s="146">
        <f t="shared" si="125"/>
        <v>4.5360425194323959</v>
      </c>
      <c r="W179" s="146"/>
      <c r="X179" s="338">
        <f t="shared" si="126"/>
        <v>0</v>
      </c>
      <c r="Y179" s="338">
        <f t="shared" si="143"/>
        <v>0</v>
      </c>
      <c r="Z179" s="338">
        <f t="shared" si="144"/>
        <v>13.308304266820176</v>
      </c>
      <c r="AA179" s="338">
        <f t="shared" si="145"/>
        <v>1.5684467399969147E-3</v>
      </c>
      <c r="AB179" s="338">
        <f t="shared" si="127"/>
        <v>0</v>
      </c>
      <c r="AC179" s="338">
        <f t="shared" si="128"/>
        <v>13.536215865638566</v>
      </c>
      <c r="AF179" s="138">
        <f t="shared" si="129"/>
        <v>1</v>
      </c>
      <c r="AG179" s="138">
        <f t="shared" si="130"/>
        <v>2</v>
      </c>
      <c r="AH179" s="138">
        <f t="shared" si="146"/>
        <v>28</v>
      </c>
      <c r="AI179" s="138">
        <f t="shared" si="131"/>
        <v>4794</v>
      </c>
      <c r="AJ179" s="138">
        <f t="shared" si="132"/>
        <v>4811</v>
      </c>
      <c r="AL179" s="136">
        <f t="shared" si="147"/>
        <v>4.4095000000000004</v>
      </c>
      <c r="AM179" s="258">
        <f t="shared" si="148"/>
        <v>1.4E-2</v>
      </c>
      <c r="AN179" s="258">
        <f t="shared" si="149"/>
        <v>7.4999999999999997E-3</v>
      </c>
      <c r="AO179" s="258">
        <f t="shared" si="150"/>
        <v>0.35</v>
      </c>
      <c r="AP179" s="258">
        <f t="shared" si="151"/>
        <v>0</v>
      </c>
      <c r="AQ179" s="136">
        <f t="shared" si="133"/>
        <v>3.6400000000000002E-2</v>
      </c>
      <c r="AR179" s="137">
        <f t="shared" si="152"/>
        <v>2.2499999999999999E-2</v>
      </c>
      <c r="AS179" s="136">
        <f t="shared" si="134"/>
        <v>4.4310000000000009</v>
      </c>
      <c r="AT179" s="137">
        <f t="shared" si="135"/>
        <v>6.3459651879669302E-2</v>
      </c>
      <c r="AU179" s="137">
        <f t="shared" si="153"/>
        <v>0.43938572972920253</v>
      </c>
      <c r="AV179" s="394">
        <f t="shared" si="136"/>
        <v>3149.5169106989238</v>
      </c>
      <c r="AW179" s="137">
        <f t="shared" si="154"/>
        <v>0.17</v>
      </c>
      <c r="AX179" s="137">
        <f t="shared" si="155"/>
        <v>1</v>
      </c>
      <c r="AY179" s="137">
        <f t="shared" si="156"/>
        <v>1</v>
      </c>
      <c r="AZ179" s="137"/>
      <c r="BA179" s="264"/>
      <c r="BB179" s="258">
        <f t="shared" si="157"/>
        <v>0</v>
      </c>
      <c r="BC179" s="258">
        <f t="shared" si="137"/>
        <v>0</v>
      </c>
      <c r="BD179" s="137">
        <f t="shared" si="138"/>
        <v>4.9496037300700291E-6</v>
      </c>
      <c r="BE179" s="137">
        <f t="shared" si="139"/>
        <v>4.9496037300700291E-6</v>
      </c>
      <c r="BF179" s="137">
        <f>_xll.xSPRDOPT($BW179,$BV179,$CG179,0,$BY179,$BX179,$BZ179,$AJ179,1,4)*$CB179</f>
        <v>2.0940796147492156E-7</v>
      </c>
      <c r="BG179" s="137">
        <f>_xll.xSPRDOPT($BW179,$BV179,$CG179,0,$BY179,$BX179,$BZ179,$AJ179,1,3)*$CB179</f>
        <v>3.4028793739674755E-7</v>
      </c>
      <c r="BH179" s="137">
        <f>IF(OR(BF179&lt;&gt;0,BG179&lt;&gt;0),_xll.xSPRDOPT($BW179,$BV179,$CG179,0,$BY179,$BX179,$BZ179,$AJ179,1,12)*$CB179,0)</f>
        <v>-1.1779197832964339E-7</v>
      </c>
      <c r="BI179" s="137">
        <f>_xll.xSPRDOPT($BW179,$BV179,$CG179,2*LN(1+CA179/2),$BY179,$BX179,$BZ179,$AJ179,1,9)</f>
        <v>5.2099899821391807E-3</v>
      </c>
      <c r="BJ179" s="137">
        <f>_xll.xSPRDOPT($BW179,$BV179,$CG179,0,$BY179,$BX179,$BZ179,$AJ179,1,6)*$CB179</f>
        <v>-2.0391379806415449E-2</v>
      </c>
      <c r="BK179" s="137">
        <f>_xll.xSPRDOPT($BW179,$BV179,$CG179,0,$BY179,$BX179,$BZ179,$AJ179,1,5)*$CB179</f>
        <v>2.1410310259590993E-2</v>
      </c>
      <c r="BL179" s="137">
        <f>_xll.xSPRDOPT(BW179,BV179,CG179,0,BY179,BX179,BZ179,AJ179,1,2)*CB179</f>
        <v>-0.43879883474114162</v>
      </c>
      <c r="BM179" s="137">
        <f>_xll.xSPRDOPT(BW179,BV179,CG179,0,BY179,BX179,BZ179,AJ179,1,1)*CB179</f>
        <v>0.43879883475072756</v>
      </c>
      <c r="BN179" s="137">
        <f>IF(AH179&lt;&gt;0,_xll.xSPRDOPT($BW179,$BV179,$CG179,2*LN(1+CA179/2),$BY179,$BX179,$BZ179,$AJ179,1,8)+(AJ179/365.25)*CH179/AH179,0)</f>
        <v>1.0328425669122785</v>
      </c>
      <c r="BO179" s="137">
        <f>_xll.xSPRDOPT($BW179,$BV179,$CG179,0,$BY179,$BX179,$BZ179,$AJ179,1,0)</f>
        <v>0.19014751533605542</v>
      </c>
      <c r="BP179" s="137"/>
      <c r="BQ179" s="137"/>
      <c r="BR179" s="137"/>
      <c r="BS179" s="137"/>
      <c r="BV179" s="262">
        <v>4.5329923273657293</v>
      </c>
      <c r="BW179" s="136">
        <v>4.7595000000000001</v>
      </c>
      <c r="BX179" s="137">
        <v>0.17811765488435088</v>
      </c>
      <c r="BY179" s="137">
        <v>0.17811765488435088</v>
      </c>
      <c r="BZ179" s="137">
        <v>1</v>
      </c>
      <c r="CA179" s="137">
        <v>6.3459651879669302E-2</v>
      </c>
      <c r="CB179" s="137">
        <v>0.4391603252230547</v>
      </c>
      <c r="CC179" s="258">
        <v>1.4E-2</v>
      </c>
      <c r="CD179" s="258">
        <v>7.4999999999999997E-3</v>
      </c>
      <c r="CE179" s="258">
        <v>0.35</v>
      </c>
      <c r="CF179" s="258">
        <v>0</v>
      </c>
      <c r="CG179" s="258">
        <v>3.6400000000000002E-2</v>
      </c>
      <c r="CH179" s="258">
        <v>4.5337155334727282</v>
      </c>
      <c r="CI179" s="258">
        <v>4.4095000000000004</v>
      </c>
      <c r="CJ179" s="258"/>
      <c r="CK179" s="258"/>
      <c r="CL179" s="258"/>
      <c r="CM179" s="258"/>
    </row>
    <row r="180" spans="1:91" x14ac:dyDescent="0.25">
      <c r="A180" s="723"/>
      <c r="B180" s="723"/>
      <c r="D180" s="31">
        <f t="shared" si="117"/>
        <v>42078</v>
      </c>
      <c r="F180" s="28">
        <f t="shared" si="118"/>
        <v>11107</v>
      </c>
      <c r="G180" s="28">
        <f t="shared" si="140"/>
        <v>4854.6585746450974</v>
      </c>
      <c r="H180" s="52">
        <f t="shared" si="119"/>
        <v>4.4051150895140667</v>
      </c>
      <c r="I180" s="52">
        <f t="shared" si="120"/>
        <v>4.6795</v>
      </c>
      <c r="K180" s="52">
        <f t="shared" si="121"/>
        <v>3.2245791011188567</v>
      </c>
      <c r="L180" s="135">
        <f t="shared" si="122"/>
        <v>1.5990884438377151E-4</v>
      </c>
      <c r="N180" s="131">
        <f t="shared" si="141"/>
        <v>0.17495635483797442</v>
      </c>
      <c r="O180" s="131">
        <f t="shared" si="142"/>
        <v>0.17495635483797442</v>
      </c>
      <c r="P180" s="55">
        <f t="shared" si="123"/>
        <v>1</v>
      </c>
      <c r="Q180" s="135">
        <f>_xll.xSPRDOPT(I180,H180,AQ180,0,O180,N180,P180,D180-$G$5,1,0)*AH180*AU180</f>
        <v>3.2247390099632405</v>
      </c>
      <c r="R180" s="135"/>
      <c r="S180" s="181">
        <f t="shared" si="124"/>
        <v>-151936.6623272335</v>
      </c>
      <c r="T180" s="181">
        <f>_xll.xSPRDOPT(I180,H180,AQ180,AT180,O180,N180,P180,D180-$G$5,1,1)*AF180*F180*AH180</f>
        <v>148518.08742487076</v>
      </c>
      <c r="U180" s="135"/>
      <c r="V180" s="146">
        <f t="shared" si="125"/>
        <v>4.995704610661841</v>
      </c>
      <c r="W180" s="146"/>
      <c r="X180" s="338">
        <f t="shared" si="126"/>
        <v>0</v>
      </c>
      <c r="Y180" s="338">
        <f t="shared" si="143"/>
        <v>0</v>
      </c>
      <c r="Z180" s="338">
        <f t="shared" si="144"/>
        <v>18.375182777393775</v>
      </c>
      <c r="AA180" s="338">
        <f t="shared" si="145"/>
        <v>4.3463405054980407E-4</v>
      </c>
      <c r="AB180" s="338">
        <f t="shared" si="127"/>
        <v>0</v>
      </c>
      <c r="AC180" s="338">
        <f t="shared" si="128"/>
        <v>18.670144578700501</v>
      </c>
      <c r="AF180" s="138">
        <f t="shared" si="129"/>
        <v>1</v>
      </c>
      <c r="AG180" s="138">
        <f t="shared" si="130"/>
        <v>3</v>
      </c>
      <c r="AH180" s="138">
        <f t="shared" si="146"/>
        <v>31</v>
      </c>
      <c r="AI180" s="138">
        <f t="shared" si="131"/>
        <v>4822</v>
      </c>
      <c r="AJ180" s="138">
        <f t="shared" si="132"/>
        <v>4839</v>
      </c>
      <c r="AL180" s="136">
        <f t="shared" si="147"/>
        <v>4.2794999999999996</v>
      </c>
      <c r="AM180" s="258">
        <f t="shared" si="148"/>
        <v>1.9E-2</v>
      </c>
      <c r="AN180" s="258">
        <f t="shared" si="149"/>
        <v>7.4999999999999997E-3</v>
      </c>
      <c r="AO180" s="258">
        <f t="shared" si="150"/>
        <v>0.4</v>
      </c>
      <c r="AP180" s="258">
        <f t="shared" si="151"/>
        <v>0</v>
      </c>
      <c r="AQ180" s="136">
        <f t="shared" si="133"/>
        <v>3.6400000000000002E-2</v>
      </c>
      <c r="AR180" s="137">
        <f t="shared" si="152"/>
        <v>2.2499999999999999E-2</v>
      </c>
      <c r="AS180" s="136">
        <f t="shared" si="134"/>
        <v>4.306</v>
      </c>
      <c r="AT180" s="137">
        <f t="shared" si="135"/>
        <v>6.3496272360711994E-2</v>
      </c>
      <c r="AU180" s="137">
        <f t="shared" si="153"/>
        <v>0.43708099168498221</v>
      </c>
      <c r="AV180" s="394">
        <f t="shared" si="136"/>
        <v>3468.6747500120186</v>
      </c>
      <c r="AW180" s="137">
        <f t="shared" si="154"/>
        <v>0.17</v>
      </c>
      <c r="AX180" s="137">
        <f t="shared" si="155"/>
        <v>0.75</v>
      </c>
      <c r="AY180" s="137">
        <f t="shared" si="156"/>
        <v>0.75</v>
      </c>
      <c r="AZ180" s="137"/>
      <c r="BA180" s="264"/>
      <c r="BB180" s="258">
        <f t="shared" si="157"/>
        <v>0</v>
      </c>
      <c r="BC180" s="258">
        <f t="shared" si="137"/>
        <v>0</v>
      </c>
      <c r="BD180" s="137">
        <f t="shared" si="138"/>
        <v>3.0283189383639719E-6</v>
      </c>
      <c r="BE180" s="137">
        <f t="shared" si="139"/>
        <v>3.0283189383639719E-6</v>
      </c>
      <c r="BF180" s="137">
        <f>_xll.xSPRDOPT($BW180,$BV180,$CG180,0,$BY180,$BX180,$BZ180,$AJ180,1,4)*$CB180</f>
        <v>2.6038684973125251E-7</v>
      </c>
      <c r="BG180" s="137">
        <f>_xll.xSPRDOPT($BW180,$BV180,$CG180,0,$BY180,$BX180,$BZ180,$AJ180,1,3)*$CB180</f>
        <v>4.1661895957000401E-7</v>
      </c>
      <c r="BH180" s="137">
        <f>IF(OR(BF180&lt;&gt;0,BG180&lt;&gt;0),_xll.xSPRDOPT($BW180,$BV180,$CG180,0,$BY180,$BX180,$BZ180,$AJ180,1,12)*$CB180,0)</f>
        <v>-1.8227079481187676E-7</v>
      </c>
      <c r="BI180" s="137">
        <f>_xll.xSPRDOPT($BW180,$BV180,$CG180,2*LN(1+CA180/2),$BY180,$BX180,$BZ180,$AJ180,1,9)</f>
        <v>6.4974384161911617E-3</v>
      </c>
      <c r="BJ180" s="137">
        <f>_xll.xSPRDOPT($BW180,$BV180,$CG180,0,$BY180,$BX180,$BZ180,$AJ180,1,6)*$CB180</f>
        <v>-6.0550464596653055E-3</v>
      </c>
      <c r="BK180" s="137">
        <f>_xll.xSPRDOPT($BW180,$BV180,$CG180,0,$BY180,$BX180,$BZ180,$AJ180,1,5)*$CB180</f>
        <v>6.4718809713246667E-3</v>
      </c>
      <c r="BL180" s="137">
        <f>_xll.xSPRDOPT(BW180,BV180,CG180,0,BY180,BX180,BZ180,AJ180,1,2)*CB180</f>
        <v>-0.43679129631935115</v>
      </c>
      <c r="BM180" s="137">
        <f>_xll.xSPRDOPT(BW180,BV180,CG180,0,BY180,BX180,BZ180,AJ180,1,1)*CB180</f>
        <v>0.4367912963215364</v>
      </c>
      <c r="BN180" s="137">
        <f>IF(AH180&lt;&gt;0,_xll.xSPRDOPT($BW180,$BV180,$CG180,2*LN(1+CA180/2),$BY180,$BX180,$BZ180,$AJ180,1,8)+(AJ180/365.25)*CH180/AH180,0)</f>
        <v>0.75646833613303976</v>
      </c>
      <c r="BO180" s="137">
        <f>_xll.xSPRDOPT($BW180,$BV180,$CG180,0,$BY180,$BX180,$BZ180,$AJ180,1,0)</f>
        <v>0.23799674193164533</v>
      </c>
      <c r="BP180" s="137"/>
      <c r="BQ180" s="137"/>
      <c r="BR180" s="137"/>
      <c r="BS180" s="137"/>
      <c r="BV180" s="262">
        <v>4.4051150895140667</v>
      </c>
      <c r="BW180" s="136">
        <v>4.6795</v>
      </c>
      <c r="BX180" s="137">
        <v>0.17495332651903606</v>
      </c>
      <c r="BY180" s="137">
        <v>0.17495332651903606</v>
      </c>
      <c r="BZ180" s="137">
        <v>1</v>
      </c>
      <c r="CA180" s="137">
        <v>6.3496272360711994E-2</v>
      </c>
      <c r="CB180" s="137">
        <v>0.43685664215007652</v>
      </c>
      <c r="CC180" s="258">
        <v>1.9E-2</v>
      </c>
      <c r="CD180" s="258">
        <v>7.4999999999999997E-3</v>
      </c>
      <c r="CE180" s="258">
        <v>0.4</v>
      </c>
      <c r="CF180" s="258">
        <v>0</v>
      </c>
      <c r="CG180" s="258">
        <v>3.6400000000000002E-2</v>
      </c>
      <c r="CH180" s="258">
        <v>4.9931403627827295</v>
      </c>
      <c r="CI180" s="258">
        <v>4.2794999999999996</v>
      </c>
      <c r="CJ180" s="258"/>
      <c r="CK180" s="258"/>
      <c r="CL180" s="258"/>
      <c r="CM180" s="258"/>
    </row>
    <row r="181" spans="1:91" x14ac:dyDescent="0.25">
      <c r="A181" s="723"/>
      <c r="B181" s="723"/>
      <c r="D181" s="31">
        <f t="shared" si="117"/>
        <v>42109</v>
      </c>
      <c r="F181" s="28">
        <f t="shared" si="118"/>
        <v>5899</v>
      </c>
      <c r="G181" s="28">
        <f t="shared" si="140"/>
        <v>2563.355366022553</v>
      </c>
      <c r="H181" s="52">
        <f t="shared" si="119"/>
        <v>4.2184143222506396</v>
      </c>
      <c r="I181" s="52">
        <f t="shared" si="120"/>
        <v>4.6944999999999997</v>
      </c>
      <c r="K181" s="52">
        <f t="shared" si="121"/>
        <v>5.7318391664116897</v>
      </c>
      <c r="L181" s="135">
        <f t="shared" si="122"/>
        <v>4.574321792460978E-6</v>
      </c>
      <c r="N181" s="131">
        <f t="shared" si="141"/>
        <v>0.17118400821108984</v>
      </c>
      <c r="O181" s="131">
        <f t="shared" si="142"/>
        <v>0.17118400821108984</v>
      </c>
      <c r="P181" s="55">
        <f t="shared" si="123"/>
        <v>0.99999999999999978</v>
      </c>
      <c r="Q181" s="135">
        <f>_xll.xSPRDOPT(I181,H181,AQ181,0,O181,N181,P181,D181-$G$5,1,0)*AH181*AU181</f>
        <v>5.7318437407334821</v>
      </c>
      <c r="R181" s="135"/>
      <c r="S181" s="181">
        <f t="shared" si="124"/>
        <v>-77640.866031394995</v>
      </c>
      <c r="T181" s="181">
        <f>_xll.xSPRDOPT(I181,H181,AQ181,AT181,O181,N181,P181,D181-$G$5,1,1)*AF181*F181*AH181</f>
        <v>75893.94654568861</v>
      </c>
      <c r="U181" s="135"/>
      <c r="V181" s="146">
        <f t="shared" si="125"/>
        <v>4.8064542640405934</v>
      </c>
      <c r="W181" s="146"/>
      <c r="X181" s="338">
        <f t="shared" si="126"/>
        <v>0</v>
      </c>
      <c r="Y181" s="338">
        <f t="shared" si="143"/>
        <v>0</v>
      </c>
      <c r="Z181" s="338">
        <f t="shared" si="144"/>
        <v>17.361656157538615</v>
      </c>
      <c r="AA181" s="338">
        <f t="shared" si="145"/>
        <v>2.2655537805422938E-6</v>
      </c>
      <c r="AB181" s="338">
        <f t="shared" si="127"/>
        <v>0</v>
      </c>
      <c r="AC181" s="338">
        <f t="shared" si="128"/>
        <v>17.636244280292527</v>
      </c>
      <c r="AF181" s="138">
        <f t="shared" si="129"/>
        <v>1</v>
      </c>
      <c r="AG181" s="138">
        <f t="shared" si="130"/>
        <v>4</v>
      </c>
      <c r="AH181" s="138">
        <f t="shared" si="146"/>
        <v>30</v>
      </c>
      <c r="AI181" s="138">
        <f t="shared" si="131"/>
        <v>4853</v>
      </c>
      <c r="AJ181" s="138">
        <f t="shared" si="132"/>
        <v>4870</v>
      </c>
      <c r="AL181" s="136">
        <f t="shared" si="147"/>
        <v>4.0945</v>
      </c>
      <c r="AM181" s="258">
        <f t="shared" si="148"/>
        <v>1.9E-2</v>
      </c>
      <c r="AN181" s="258">
        <f t="shared" si="149"/>
        <v>0.01</v>
      </c>
      <c r="AO181" s="258">
        <f t="shared" si="150"/>
        <v>0.6</v>
      </c>
      <c r="AP181" s="258">
        <f t="shared" si="151"/>
        <v>0</v>
      </c>
      <c r="AQ181" s="136">
        <f t="shared" si="133"/>
        <v>3.6400000000000002E-2</v>
      </c>
      <c r="AR181" s="137">
        <f t="shared" si="152"/>
        <v>2.2499999999999999E-2</v>
      </c>
      <c r="AS181" s="136">
        <f t="shared" si="134"/>
        <v>4.1234999999999999</v>
      </c>
      <c r="AT181" s="137">
        <f t="shared" si="135"/>
        <v>6.3536816465241702E-2</v>
      </c>
      <c r="AU181" s="137">
        <f t="shared" si="153"/>
        <v>0.43454066214994969</v>
      </c>
      <c r="AV181" s="394">
        <f t="shared" si="136"/>
        <v>1772.9259015717946</v>
      </c>
      <c r="AW181" s="137">
        <f t="shared" si="154"/>
        <v>0.17</v>
      </c>
      <c r="AX181" s="137">
        <f t="shared" si="155"/>
        <v>0.4</v>
      </c>
      <c r="AY181" s="137">
        <f t="shared" si="156"/>
        <v>0.4</v>
      </c>
      <c r="AZ181" s="137"/>
      <c r="BA181" s="264"/>
      <c r="BB181" s="258">
        <f t="shared" si="157"/>
        <v>0</v>
      </c>
      <c r="BC181" s="258">
        <f t="shared" si="137"/>
        <v>0</v>
      </c>
      <c r="BD181" s="137">
        <f t="shared" si="138"/>
        <v>7.2669846273853977E-7</v>
      </c>
      <c r="BE181" s="137">
        <f t="shared" si="139"/>
        <v>7.2669846273853977E-7</v>
      </c>
      <c r="BF181" s="137">
        <f>_xll.xSPRDOPT($BW181,$BV181,$CG181,0,$BY181,$BX181,$BZ181,$AJ181,1,4)*$CB181</f>
        <v>3.1064806677923047E-7</v>
      </c>
      <c r="BG181" s="137">
        <f>_xll.xSPRDOPT($BW181,$BV181,$CG181,0,$BY181,$BX181,$BZ181,$AJ181,1,3)*$CB181</f>
        <v>0</v>
      </c>
      <c r="BH181" s="137">
        <f>IF(OR(BF181&lt;&gt;0,BG181&lt;&gt;0),_xll.xSPRDOPT($BW181,$BV181,$CG181,0,$BY181,$BX181,$BZ181,$AJ181,1,12)*$CB181,0)</f>
        <v>-4.1419742237230731E-7</v>
      </c>
      <c r="BI181" s="137">
        <f>_xll.xSPRDOPT($BW181,$BV181,$CG181,2*LN(1+CA181/2),$BY181,$BX181,$BZ181,$AJ181,1,9)</f>
        <v>1.1944293593153228E-2</v>
      </c>
      <c r="BJ181" s="137">
        <f>_xll.xSPRDOPT($BW181,$BV181,$CG181,0,$BY181,$BX181,$BZ181,$AJ181,1,6)*$CB181</f>
        <v>-2.312032993833901E-4</v>
      </c>
      <c r="BK181" s="137">
        <f>_xll.xSPRDOPT($BW181,$BV181,$CG181,0,$BY181,$BX181,$BZ181,$AJ181,1,5)*$CB181</f>
        <v>2.4881983408735604E-4</v>
      </c>
      <c r="BL181" s="137">
        <f>_xll.xSPRDOPT(BW181,BV181,CG181,0,BY181,BX181,BZ181,AJ181,1,2)*CB181</f>
        <v>-0.43431417356070823</v>
      </c>
      <c r="BM181" s="137">
        <f>_xll.xSPRDOPT(BW181,BV181,CG181,0,BY181,BX181,BZ181,AJ181,1,1)*CB181</f>
        <v>0.43431417356505331</v>
      </c>
      <c r="BN181" s="137">
        <f>IF(AH181&lt;&gt;0,_xll.xSPRDOPT($BW181,$BV181,$CG181,2*LN(1+CA181/2),$BY181,$BX181,$BZ181,$AJ181,1,8)+(AJ181/365.25)*CH181/AH181,0)</f>
        <v>-0.41107298915085</v>
      </c>
      <c r="BO181" s="137">
        <f>_xll.xSPRDOPT($BW181,$BV181,$CG181,0,$BY181,$BX181,$BZ181,$AJ181,1,0)</f>
        <v>0.43968603179544841</v>
      </c>
      <c r="BP181" s="137"/>
      <c r="BQ181" s="137"/>
      <c r="BR181" s="137"/>
      <c r="BS181" s="137"/>
      <c r="BV181" s="262">
        <v>4.2184143222506396</v>
      </c>
      <c r="BW181" s="136">
        <v>4.6944999999999997</v>
      </c>
      <c r="BX181" s="137">
        <v>0.1711832815126271</v>
      </c>
      <c r="BY181" s="137">
        <v>0.1711832815126271</v>
      </c>
      <c r="BZ181" s="137">
        <v>1</v>
      </c>
      <c r="CA181" s="137">
        <v>6.3536816465241702E-2</v>
      </c>
      <c r="CB181" s="137">
        <v>0.43431747636146451</v>
      </c>
      <c r="CC181" s="258">
        <v>1.9E-2</v>
      </c>
      <c r="CD181" s="258">
        <v>0.01</v>
      </c>
      <c r="CE181" s="258">
        <v>0.6</v>
      </c>
      <c r="CF181" s="258">
        <v>0</v>
      </c>
      <c r="CG181" s="258">
        <v>3.6400000000000002E-2</v>
      </c>
      <c r="CH181" s="258">
        <v>4.8039856060341588</v>
      </c>
      <c r="CI181" s="258">
        <v>4.0945</v>
      </c>
      <c r="CJ181" s="258"/>
      <c r="CK181" s="258"/>
      <c r="CL181" s="258"/>
      <c r="CM181" s="258"/>
    </row>
    <row r="182" spans="1:91" x14ac:dyDescent="0.25">
      <c r="A182" s="723"/>
      <c r="B182" s="723"/>
      <c r="D182" s="31">
        <f t="shared" si="117"/>
        <v>42139</v>
      </c>
      <c r="F182" s="28">
        <f t="shared" si="118"/>
        <v>5895</v>
      </c>
      <c r="G182" s="28">
        <f t="shared" si="140"/>
        <v>2547.1917563146339</v>
      </c>
      <c r="H182" s="52">
        <f t="shared" si="119"/>
        <v>4.2158567774936051</v>
      </c>
      <c r="I182" s="52">
        <f t="shared" si="120"/>
        <v>4.8395000000000001</v>
      </c>
      <c r="K182" s="52">
        <f t="shared" si="121"/>
        <v>7.8660651323015802</v>
      </c>
      <c r="L182" s="135">
        <f t="shared" si="122"/>
        <v>1.4979058606812146E-6</v>
      </c>
      <c r="N182" s="131">
        <f t="shared" si="141"/>
        <v>0.17160801558661409</v>
      </c>
      <c r="O182" s="131">
        <f t="shared" si="142"/>
        <v>0.17160801558661409</v>
      </c>
      <c r="P182" s="55">
        <f t="shared" si="123"/>
        <v>1</v>
      </c>
      <c r="Q182" s="135">
        <f>_xll.xSPRDOPT(I182,H182,AQ182,0,O182,N182,P182,D182-$G$5,1,0)*AH182*AU182</f>
        <v>7.8660666302074409</v>
      </c>
      <c r="R182" s="135"/>
      <c r="S182" s="181">
        <f t="shared" si="124"/>
        <v>-79715.789800242739</v>
      </c>
      <c r="T182" s="181">
        <f>_xll.xSPRDOPT(I182,H182,AQ182,AT182,O182,N182,P182,D182-$G$5,1,1)*AF182*F182*AH182</f>
        <v>77922.184529737278</v>
      </c>
      <c r="U182" s="135"/>
      <c r="V182" s="146">
        <f t="shared" si="125"/>
        <v>4.9387001895079505</v>
      </c>
      <c r="W182" s="146"/>
      <c r="X182" s="338">
        <f t="shared" si="126"/>
        <v>0</v>
      </c>
      <c r="Y182" s="338">
        <f t="shared" si="143"/>
        <v>0</v>
      </c>
      <c r="Z182" s="338">
        <f t="shared" si="144"/>
        <v>23.824794625072077</v>
      </c>
      <c r="AA182" s="338">
        <f t="shared" si="145"/>
        <v>6.553136283114522E-7</v>
      </c>
      <c r="AB182" s="338">
        <f t="shared" si="127"/>
        <v>0</v>
      </c>
      <c r="AC182" s="338">
        <f t="shared" si="128"/>
        <v>24.201526979355066</v>
      </c>
      <c r="AF182" s="138">
        <f t="shared" si="129"/>
        <v>1</v>
      </c>
      <c r="AG182" s="138">
        <f t="shared" si="130"/>
        <v>5</v>
      </c>
      <c r="AH182" s="138">
        <f t="shared" si="146"/>
        <v>31</v>
      </c>
      <c r="AI182" s="138">
        <f t="shared" si="131"/>
        <v>4883</v>
      </c>
      <c r="AJ182" s="138">
        <f t="shared" si="132"/>
        <v>4900</v>
      </c>
      <c r="AL182" s="136">
        <f t="shared" si="147"/>
        <v>4.0895000000000001</v>
      </c>
      <c r="AM182" s="258">
        <f t="shared" si="148"/>
        <v>2.1499999999999998E-2</v>
      </c>
      <c r="AN182" s="258">
        <f t="shared" si="149"/>
        <v>0.01</v>
      </c>
      <c r="AO182" s="258">
        <f t="shared" si="150"/>
        <v>0.75</v>
      </c>
      <c r="AP182" s="258">
        <f t="shared" si="151"/>
        <v>0</v>
      </c>
      <c r="AQ182" s="136">
        <f t="shared" si="133"/>
        <v>3.6400000000000002E-2</v>
      </c>
      <c r="AR182" s="137">
        <f t="shared" si="152"/>
        <v>2.2499999999999999E-2</v>
      </c>
      <c r="AS182" s="136">
        <f t="shared" si="134"/>
        <v>4.1209999999999996</v>
      </c>
      <c r="AT182" s="137">
        <f t="shared" si="135"/>
        <v>6.3576052695950999E-2</v>
      </c>
      <c r="AU182" s="137">
        <f t="shared" si="153"/>
        <v>0.43209359733920844</v>
      </c>
      <c r="AV182" s="394">
        <f t="shared" si="136"/>
        <v>1821.7066063821028</v>
      </c>
      <c r="AW182" s="137">
        <f t="shared" si="154"/>
        <v>0.17</v>
      </c>
      <c r="AX182" s="137">
        <f t="shared" si="155"/>
        <v>0.45</v>
      </c>
      <c r="AY182" s="137">
        <f t="shared" si="156"/>
        <v>0.45</v>
      </c>
      <c r="AZ182" s="137"/>
      <c r="BA182" s="264"/>
      <c r="BB182" s="258">
        <f t="shared" si="157"/>
        <v>0</v>
      </c>
      <c r="BC182" s="258">
        <f t="shared" si="137"/>
        <v>0</v>
      </c>
      <c r="BD182" s="137">
        <f t="shared" si="138"/>
        <v>9.7958974262790655E-7</v>
      </c>
      <c r="BE182" s="137">
        <f t="shared" si="139"/>
        <v>9.7958974262790655E-7</v>
      </c>
      <c r="BF182" s="137">
        <f>_xll.xSPRDOPT($BW182,$BV182,$CG182,0,$BY182,$BX182,$BZ182,$AJ182,1,4)*$CB182</f>
        <v>2.05932394744495E-7</v>
      </c>
      <c r="BG182" s="137">
        <f>_xll.xSPRDOPT($BW182,$BV182,$CG182,0,$BY182,$BX182,$BZ182,$AJ182,1,3)*$CB182</f>
        <v>8.2372957897797999E-7</v>
      </c>
      <c r="BH182" s="137">
        <f>IF(OR(BF182&lt;&gt;0,BG182&lt;&gt;0),_xll.xSPRDOPT($BW182,$BV182,$CG182,0,$BY182,$BX182,$BZ182,$AJ182,1,12)*$CB182,0)</f>
        <v>-5.663140855473612E-7</v>
      </c>
      <c r="BI182" s="137">
        <f>_xll.xSPRDOPT($BW182,$BV182,$CG182,2*LN(1+CA182/2),$BY182,$BX182,$BZ182,$AJ182,1,9)</f>
        <v>1.5872766672699802E-2</v>
      </c>
      <c r="BJ182" s="137">
        <f>_xll.xSPRDOPT($BW182,$BV182,$CG182,0,$BY182,$BX182,$BZ182,$AJ182,1,6)*$CB182</f>
        <v>-2.474626405397943E-5</v>
      </c>
      <c r="BK182" s="137">
        <f>_xll.xSPRDOPT($BW182,$BV182,$CG182,0,$BY182,$BX182,$BZ182,$AJ182,1,5)*$CB182</f>
        <v>2.8406924677484093E-5</v>
      </c>
      <c r="BL182" s="137">
        <f>_xll.xSPRDOPT(BW182,BV182,CG182,0,BY182,BX182,BZ182,AJ182,1,2)*CB182</f>
        <v>-0.43187124261851484</v>
      </c>
      <c r="BM182" s="137">
        <f>_xll.xSPRDOPT(BW182,BV182,CG182,0,BY182,BX182,BZ182,AJ182,1,1)*CB182</f>
        <v>0.43187124262322824</v>
      </c>
      <c r="BN182" s="137">
        <f>IF(AH182&lt;&gt;0,_xll.xSPRDOPT($BW182,$BV182,$CG182,2*LN(1+CA182/2),$BY182,$BX182,$BZ182,$AJ182,1,8)+(AJ182/365.25)*CH182/AH182,0)</f>
        <v>-1.266187436298936</v>
      </c>
      <c r="BO182" s="137">
        <f>_xll.xSPRDOPT($BW182,$BV182,$CG182,0,$BY182,$BX182,$BZ182,$AJ182,1,0)</f>
        <v>0.58724333477022039</v>
      </c>
      <c r="BP182" s="137"/>
      <c r="BQ182" s="137"/>
      <c r="BR182" s="137"/>
      <c r="BS182" s="137"/>
      <c r="BV182" s="262">
        <v>4.2158567774936051</v>
      </c>
      <c r="BW182" s="136">
        <v>4.8395000000000001</v>
      </c>
      <c r="BX182" s="137">
        <v>0.17160703599687147</v>
      </c>
      <c r="BY182" s="137">
        <v>0.17160703599687147</v>
      </c>
      <c r="BZ182" s="137">
        <v>1</v>
      </c>
      <c r="CA182" s="137">
        <v>6.3576052695950999E-2</v>
      </c>
      <c r="CB182" s="137">
        <v>0.43187153350320717</v>
      </c>
      <c r="CC182" s="258">
        <v>2.1499999999999998E-2</v>
      </c>
      <c r="CD182" s="258">
        <v>0.01</v>
      </c>
      <c r="CE182" s="258">
        <v>0.75</v>
      </c>
      <c r="CF182" s="258">
        <v>0</v>
      </c>
      <c r="CG182" s="258">
        <v>3.6400000000000002E-2</v>
      </c>
      <c r="CH182" s="258">
        <v>4.9361620664816073</v>
      </c>
      <c r="CI182" s="258">
        <v>4.0895000000000001</v>
      </c>
      <c r="CJ182" s="258"/>
      <c r="CK182" s="258"/>
      <c r="CL182" s="258"/>
      <c r="CM182" s="258"/>
    </row>
    <row r="183" spans="1:91" x14ac:dyDescent="0.25">
      <c r="A183" s="723"/>
      <c r="B183" s="723"/>
      <c r="D183" s="31">
        <f t="shared" si="117"/>
        <v>42170</v>
      </c>
      <c r="F183" s="28">
        <f t="shared" si="118"/>
        <v>5895</v>
      </c>
      <c r="G183" s="28">
        <f t="shared" si="140"/>
        <v>2532.3542046389362</v>
      </c>
      <c r="H183" s="52">
        <f t="shared" si="119"/>
        <v>4.2516624040920714</v>
      </c>
      <c r="I183" s="52">
        <f t="shared" si="120"/>
        <v>4.9744999999999999</v>
      </c>
      <c r="K183" s="52">
        <f t="shared" si="121"/>
        <v>8.8463263726192665</v>
      </c>
      <c r="L183" s="135">
        <f t="shared" si="122"/>
        <v>1.0644969474782329E-6</v>
      </c>
      <c r="N183" s="131">
        <f t="shared" si="141"/>
        <v>0.17154679212037879</v>
      </c>
      <c r="O183" s="131">
        <f t="shared" si="142"/>
        <v>0.17154679212037879</v>
      </c>
      <c r="P183" s="55">
        <f t="shared" si="123"/>
        <v>1</v>
      </c>
      <c r="Q183" s="135">
        <f>_xll.xSPRDOPT(I183,H183,AQ183,0,O183,N183,P183,D183-$G$5,1,0)*AH183*AU183</f>
        <v>8.8463274371162139</v>
      </c>
      <c r="R183" s="135"/>
      <c r="S183" s="181">
        <f t="shared" si="124"/>
        <v>-76687.250023554341</v>
      </c>
      <c r="T183" s="181">
        <f>_xll.xSPRDOPT(I183,H183,AQ183,AT183,O183,N183,P183,D183-$G$5,1,1)*AF183*F183*AH183</f>
        <v>74961.786898024366</v>
      </c>
      <c r="U183" s="135"/>
      <c r="V183" s="146">
        <f t="shared" si="125"/>
        <v>4.7515470496202328</v>
      </c>
      <c r="W183" s="146"/>
      <c r="X183" s="338">
        <f t="shared" si="126"/>
        <v>0</v>
      </c>
      <c r="Y183" s="338">
        <f t="shared" si="143"/>
        <v>0</v>
      </c>
      <c r="Z183" s="338">
        <f t="shared" si="144"/>
        <v>26.810657389344435</v>
      </c>
      <c r="AA183" s="338">
        <f t="shared" si="145"/>
        <v>1.9553888669936532E-7</v>
      </c>
      <c r="AB183" s="338">
        <f t="shared" si="127"/>
        <v>0</v>
      </c>
      <c r="AC183" s="338">
        <f t="shared" si="128"/>
        <v>27.234843877736061</v>
      </c>
      <c r="AF183" s="138">
        <f t="shared" si="129"/>
        <v>1</v>
      </c>
      <c r="AG183" s="138">
        <f t="shared" si="130"/>
        <v>6</v>
      </c>
      <c r="AH183" s="138">
        <f t="shared" si="146"/>
        <v>30</v>
      </c>
      <c r="AI183" s="138">
        <f t="shared" si="131"/>
        <v>4914</v>
      </c>
      <c r="AJ183" s="138">
        <f t="shared" si="132"/>
        <v>4931</v>
      </c>
      <c r="AL183" s="136">
        <f t="shared" si="147"/>
        <v>4.1245000000000003</v>
      </c>
      <c r="AM183" s="258">
        <f t="shared" si="148"/>
        <v>2.1499999999999998E-2</v>
      </c>
      <c r="AN183" s="258">
        <f t="shared" si="149"/>
        <v>0.01</v>
      </c>
      <c r="AO183" s="258">
        <f t="shared" si="150"/>
        <v>0.85</v>
      </c>
      <c r="AP183" s="258">
        <f t="shared" si="151"/>
        <v>0</v>
      </c>
      <c r="AQ183" s="136">
        <f t="shared" si="133"/>
        <v>3.6400000000000002E-2</v>
      </c>
      <c r="AR183" s="137">
        <f t="shared" si="152"/>
        <v>2.2499999999999999E-2</v>
      </c>
      <c r="AS183" s="136">
        <f t="shared" si="134"/>
        <v>4.1559999999999997</v>
      </c>
      <c r="AT183" s="137">
        <f t="shared" si="135"/>
        <v>6.3616596801553599E-2</v>
      </c>
      <c r="AU183" s="137">
        <f t="shared" si="153"/>
        <v>0.4295766250447729</v>
      </c>
      <c r="AV183" s="394">
        <f t="shared" si="136"/>
        <v>1752.6726301826734</v>
      </c>
      <c r="AW183" s="137">
        <f t="shared" si="154"/>
        <v>0.17</v>
      </c>
      <c r="AX183" s="137">
        <f t="shared" si="155"/>
        <v>0.45</v>
      </c>
      <c r="AY183" s="137">
        <f t="shared" si="156"/>
        <v>0.45</v>
      </c>
      <c r="AZ183" s="137"/>
      <c r="BA183" s="264"/>
      <c r="BB183" s="258">
        <f t="shared" si="157"/>
        <v>0</v>
      </c>
      <c r="BC183" s="258">
        <f t="shared" si="137"/>
        <v>0</v>
      </c>
      <c r="BD183" s="137">
        <f t="shared" si="138"/>
        <v>9.3663188319159651E-7</v>
      </c>
      <c r="BE183" s="137">
        <f t="shared" si="139"/>
        <v>9.3663188319159651E-7</v>
      </c>
      <c r="BF183" s="137">
        <f>_xll.xSPRDOPT($BW183,$BV183,$CG183,0,$BY183,$BX183,$BZ183,$AJ183,1,4)*$CB183</f>
        <v>-4.0946551911418504E-7</v>
      </c>
      <c r="BG183" s="137">
        <f>_xll.xSPRDOPT($BW183,$BV183,$CG183,0,$BY183,$BX183,$BZ183,$AJ183,1,3)*$CB183</f>
        <v>-8.1893103822837008E-7</v>
      </c>
      <c r="BH183" s="137">
        <f>IF(OR(BF183&lt;&gt;0,BG183&lt;&gt;0),_xll.xSPRDOPT($BW183,$BV183,$CG183,0,$BY183,$BX183,$BZ183,$AJ183,1,12)*$CB183,0)</f>
        <v>5.1183189889273133E-7</v>
      </c>
      <c r="BI183" s="137">
        <f>_xll.xSPRDOPT($BW183,$BV183,$CG183,2*LN(1+CA183/2),$BY183,$BX183,$BZ183,$AJ183,1,9)</f>
        <v>1.8457435890034971E-2</v>
      </c>
      <c r="BJ183" s="137">
        <f>_xll.xSPRDOPT($BW183,$BV183,$CG183,0,$BY183,$BX183,$BZ183,$AJ183,1,6)*$CB183</f>
        <v>-6.9434619274627487E-6</v>
      </c>
      <c r="BK183" s="137">
        <f>_xll.xSPRDOPT($BW183,$BV183,$CG183,0,$BY183,$BX183,$BZ183,$AJ183,1,5)*$CB183</f>
        <v>8.1239432955345433E-6</v>
      </c>
      <c r="BL183" s="137">
        <f>_xll.xSPRDOPT(BW183,BV183,CG183,0,BY183,BX183,BZ183,AJ183,1,2)*CB183</f>
        <v>-0.42935566052566992</v>
      </c>
      <c r="BM183" s="137">
        <f>_xll.xSPRDOPT(BW183,BV183,CG183,0,BY183,BX183,BZ183,AJ183,1,1)*CB183</f>
        <v>0.42935566051942198</v>
      </c>
      <c r="BN183" s="137">
        <f>IF(AH183&lt;&gt;0,_xll.xSPRDOPT($BW183,$BV183,$CG183,2*LN(1+CA183/2),$BY183,$BX183,$BZ183,$AJ183,1,8)+(AJ183/365.25)*CH183/AH183,0)</f>
        <v>-1.8417502837596471</v>
      </c>
      <c r="BO183" s="137">
        <f>_xll.xSPRDOPT($BW183,$BV183,$CG183,0,$BY183,$BX183,$BZ183,$AJ183,1,0)</f>
        <v>0.68643767864940042</v>
      </c>
      <c r="BP183" s="137"/>
      <c r="BQ183" s="137"/>
      <c r="BR183" s="137"/>
      <c r="BS183" s="137"/>
      <c r="BV183" s="262">
        <v>4.2516624040920714</v>
      </c>
      <c r="BW183" s="136">
        <v>4.9744999999999999</v>
      </c>
      <c r="BX183" s="137">
        <v>0.1715458554884956</v>
      </c>
      <c r="BY183" s="137">
        <v>0.1715458554884956</v>
      </c>
      <c r="BZ183" s="137">
        <v>1</v>
      </c>
      <c r="CA183" s="137">
        <v>6.3616596801553599E-2</v>
      </c>
      <c r="CB183" s="137">
        <v>0.42935571617067569</v>
      </c>
      <c r="CC183" s="258">
        <v>2.1499999999999998E-2</v>
      </c>
      <c r="CD183" s="258">
        <v>0.01</v>
      </c>
      <c r="CE183" s="258">
        <v>0.85</v>
      </c>
      <c r="CF183" s="258">
        <v>0</v>
      </c>
      <c r="CG183" s="258">
        <v>3.6400000000000002E-2</v>
      </c>
      <c r="CH183" s="258">
        <v>4.7491035765638436</v>
      </c>
      <c r="CI183" s="258">
        <v>4.1245000000000003</v>
      </c>
      <c r="CJ183" s="258"/>
      <c r="CK183" s="258"/>
      <c r="CL183" s="258"/>
      <c r="CM183" s="258"/>
    </row>
    <row r="184" spans="1:91" x14ac:dyDescent="0.25">
      <c r="A184" s="723"/>
      <c r="B184" s="723"/>
      <c r="D184" s="31">
        <f t="shared" si="117"/>
        <v>42200</v>
      </c>
      <c r="F184" s="28">
        <f t="shared" si="118"/>
        <v>5895</v>
      </c>
      <c r="G184" s="28">
        <f t="shared" si="140"/>
        <v>2518.0616145962085</v>
      </c>
      <c r="H184" s="52">
        <f t="shared" si="119"/>
        <v>4.2925831202046032</v>
      </c>
      <c r="I184" s="52">
        <f t="shared" si="120"/>
        <v>5.2145000000000001</v>
      </c>
      <c r="K184" s="52">
        <f t="shared" si="121"/>
        <v>11.725762169089672</v>
      </c>
      <c r="L184" s="135">
        <f t="shared" si="122"/>
        <v>1.0884639998209877E-6</v>
      </c>
      <c r="N184" s="131">
        <f t="shared" si="141"/>
        <v>0.17202036843926255</v>
      </c>
      <c r="O184" s="131">
        <f t="shared" si="142"/>
        <v>0.17202036843926255</v>
      </c>
      <c r="P184" s="55">
        <f t="shared" si="123"/>
        <v>1.0000000000000002</v>
      </c>
      <c r="Q184" s="135">
        <f>_xll.xSPRDOPT(I184,H184,AQ184,0,O184,N184,P184,D184-$G$5,1,0)*AH184*AU184</f>
        <v>11.725763257553671</v>
      </c>
      <c r="R184" s="135"/>
      <c r="S184" s="181">
        <f t="shared" si="124"/>
        <v>-78788.551871671036</v>
      </c>
      <c r="T184" s="181">
        <f>_xll.xSPRDOPT(I184,H184,AQ184,AT184,O184,N184,P184,D184-$G$5,1,1)*AF184*F184*AH184</f>
        <v>77015.809454558446</v>
      </c>
      <c r="U184" s="135"/>
      <c r="V184" s="146">
        <f t="shared" si="125"/>
        <v>4.8822203284733314</v>
      </c>
      <c r="W184" s="146"/>
      <c r="X184" s="338">
        <f t="shared" si="126"/>
        <v>0</v>
      </c>
      <c r="Y184" s="338">
        <f t="shared" si="143"/>
        <v>0</v>
      </c>
      <c r="Z184" s="338">
        <f t="shared" si="144"/>
        <v>35.558975850393608</v>
      </c>
      <c r="AA184" s="338">
        <f t="shared" si="145"/>
        <v>-1.1880647686987795E-8</v>
      </c>
      <c r="AB184" s="338">
        <f t="shared" si="127"/>
        <v>0</v>
      </c>
      <c r="AC184" s="338">
        <f t="shared" si="128"/>
        <v>36.121904401414824</v>
      </c>
      <c r="AF184" s="138">
        <f t="shared" si="129"/>
        <v>1</v>
      </c>
      <c r="AG184" s="138">
        <f t="shared" si="130"/>
        <v>7</v>
      </c>
      <c r="AH184" s="138">
        <f t="shared" si="146"/>
        <v>31</v>
      </c>
      <c r="AI184" s="138">
        <f t="shared" si="131"/>
        <v>4944</v>
      </c>
      <c r="AJ184" s="138">
        <f t="shared" si="132"/>
        <v>4961</v>
      </c>
      <c r="AL184" s="136">
        <f t="shared" si="147"/>
        <v>4.1645000000000003</v>
      </c>
      <c r="AM184" s="258">
        <f t="shared" si="148"/>
        <v>2.1499999999999998E-2</v>
      </c>
      <c r="AN184" s="258">
        <f t="shared" si="149"/>
        <v>0.01</v>
      </c>
      <c r="AO184" s="258">
        <f t="shared" si="150"/>
        <v>1.05</v>
      </c>
      <c r="AP184" s="258">
        <f t="shared" si="151"/>
        <v>0</v>
      </c>
      <c r="AQ184" s="136">
        <f t="shared" si="133"/>
        <v>3.6400000000000002E-2</v>
      </c>
      <c r="AR184" s="137">
        <f t="shared" si="152"/>
        <v>2.2499999999999999E-2</v>
      </c>
      <c r="AS184" s="136">
        <f t="shared" si="134"/>
        <v>4.1959999999999997</v>
      </c>
      <c r="AT184" s="137">
        <f t="shared" si="135"/>
        <v>6.3655833033301704E-2</v>
      </c>
      <c r="AU184" s="137">
        <f t="shared" si="153"/>
        <v>0.42715209747179111</v>
      </c>
      <c r="AV184" s="394">
        <f t="shared" si="136"/>
        <v>1800.8732429410713</v>
      </c>
      <c r="AW184" s="137">
        <f t="shared" si="154"/>
        <v>0.17</v>
      </c>
      <c r="AX184" s="137">
        <f t="shared" si="155"/>
        <v>0.5</v>
      </c>
      <c r="AY184" s="137">
        <f t="shared" si="156"/>
        <v>0.5</v>
      </c>
      <c r="AZ184" s="137"/>
      <c r="BA184" s="264"/>
      <c r="BB184" s="258">
        <f t="shared" si="157"/>
        <v>0</v>
      </c>
      <c r="BC184" s="258">
        <f t="shared" si="137"/>
        <v>0</v>
      </c>
      <c r="BD184" s="137">
        <f t="shared" si="138"/>
        <v>1.2142131853853932E-6</v>
      </c>
      <c r="BE184" s="137">
        <f t="shared" si="139"/>
        <v>1.2142131853853932E-6</v>
      </c>
      <c r="BF184" s="137">
        <f>_xll.xSPRDOPT($BW184,$BV184,$CG184,0,$BY184,$BX184,$BZ184,$AJ184,1,4)*$CB184</f>
        <v>-2.0357718566019488E-7</v>
      </c>
      <c r="BG184" s="137">
        <f>_xll.xSPRDOPT($BW184,$BV184,$CG184,0,$BY184,$BX184,$BZ184,$AJ184,1,3)*$CB184</f>
        <v>-1.0178859283009744E-7</v>
      </c>
      <c r="BH184" s="137">
        <f>IF(OR(BF184&lt;&gt;0,BG184&lt;&gt;0),_xll.xSPRDOPT($BW184,$BV184,$CG184,0,$BY184,$BX184,$BZ184,$AJ184,1,12)*$CB184,0)</f>
        <v>1.5268288924514617E-7</v>
      </c>
      <c r="BI184" s="137">
        <f>_xll.xSPRDOPT($BW184,$BV184,$CG184,2*LN(1+CA184/2),$BY184,$BX184,$BZ184,$AJ184,1,9)</f>
        <v>2.3690417301624786E-2</v>
      </c>
      <c r="BJ184" s="137">
        <f>_xll.xSPRDOPT($BW184,$BV184,$CG184,0,$BY184,$BX184,$BZ184,$AJ184,1,6)*$CB184</f>
        <v>2.4929542123766442E-7</v>
      </c>
      <c r="BK184" s="137">
        <f>_xll.xSPRDOPT($BW184,$BV184,$CG184,0,$BY184,$BX184,$BZ184,$AJ184,1,5)*$CB184</f>
        <v>-3.0283804749240539E-7</v>
      </c>
      <c r="BL184" s="137">
        <f>_xll.xSPRDOPT(BW184,BV184,CG184,0,BY184,BX184,BZ184,AJ184,1,2)*CB184</f>
        <v>-0.42693233429692962</v>
      </c>
      <c r="BM184" s="137">
        <f>_xll.xSPRDOPT(BW184,BV184,CG184,0,BY184,BX184,BZ184,AJ184,1,1)*CB184</f>
        <v>0.42693233429770622</v>
      </c>
      <c r="BN184" s="137">
        <f>IF(AH184&lt;&gt;0,_xll.xSPRDOPT($BW184,$BV184,$CG184,2*LN(1+CA184/2),$BY184,$BX184,$BZ184,$AJ184,1,8)+(AJ184/365.25)*CH184/AH184,0)</f>
        <v>-2.9969174216944712</v>
      </c>
      <c r="BO184" s="137">
        <f>_xll.xSPRDOPT($BW184,$BV184,$CG184,0,$BY184,$BX184,$BZ184,$AJ184,1,0)</f>
        <v>0.8855169619886607</v>
      </c>
      <c r="BP184" s="137"/>
      <c r="BQ184" s="137"/>
      <c r="BR184" s="137"/>
      <c r="BS184" s="137"/>
      <c r="BV184" s="262">
        <v>4.2925831202046032</v>
      </c>
      <c r="BW184" s="136">
        <v>5.2145000000000001</v>
      </c>
      <c r="BX184" s="137">
        <v>0.17201915422607716</v>
      </c>
      <c r="BY184" s="137">
        <v>0.17201915422607716</v>
      </c>
      <c r="BZ184" s="137">
        <v>1</v>
      </c>
      <c r="CA184" s="137">
        <v>6.3655833033301704E-2</v>
      </c>
      <c r="CB184" s="137">
        <v>0.426932302061649</v>
      </c>
      <c r="CC184" s="258">
        <v>2.1499999999999998E-2</v>
      </c>
      <c r="CD184" s="258">
        <v>0.01</v>
      </c>
      <c r="CE184" s="258">
        <v>1.05</v>
      </c>
      <c r="CF184" s="258">
        <v>0</v>
      </c>
      <c r="CG184" s="258">
        <v>3.6400000000000002E-2</v>
      </c>
      <c r="CH184" s="258">
        <v>4.8797081328740299</v>
      </c>
      <c r="CI184" s="258">
        <v>4.1645000000000003</v>
      </c>
      <c r="CJ184" s="258"/>
      <c r="CK184" s="258"/>
      <c r="CL184" s="258"/>
      <c r="CM184" s="258"/>
    </row>
    <row r="185" spans="1:91" x14ac:dyDescent="0.25">
      <c r="A185" s="723"/>
      <c r="B185" s="723"/>
      <c r="D185" s="31">
        <f t="shared" si="117"/>
        <v>42231</v>
      </c>
      <c r="F185" s="28">
        <f t="shared" si="118"/>
        <v>5895</v>
      </c>
      <c r="G185" s="28">
        <f t="shared" si="140"/>
        <v>2503.3609428120976</v>
      </c>
      <c r="H185" s="52">
        <f t="shared" si="119"/>
        <v>4.3283887468030686</v>
      </c>
      <c r="I185" s="52">
        <f t="shared" si="120"/>
        <v>5.2545000000000002</v>
      </c>
      <c r="K185" s="52">
        <f t="shared" si="121"/>
        <v>11.712522553119884</v>
      </c>
      <c r="L185" s="135">
        <f t="shared" si="122"/>
        <v>1.0880862575390893E-6</v>
      </c>
      <c r="N185" s="131">
        <f t="shared" si="141"/>
        <v>0.1724812296213307</v>
      </c>
      <c r="O185" s="131">
        <f t="shared" si="142"/>
        <v>0.1724812296213307</v>
      </c>
      <c r="P185" s="55">
        <f t="shared" si="123"/>
        <v>1.0000000000000002</v>
      </c>
      <c r="Q185" s="135">
        <f>_xll.xSPRDOPT(I185,H185,AQ185,0,O185,N185,P185,D185-$G$5,1,0)*AH185*AU185</f>
        <v>11.712523641206142</v>
      </c>
      <c r="R185" s="135"/>
      <c r="S185" s="181">
        <f t="shared" si="124"/>
        <v>-78320.640733561508</v>
      </c>
      <c r="T185" s="181">
        <f>_xll.xSPRDOPT(I185,H185,AQ185,AT185,O185,N185,P185,D185-$G$5,1,1)*AF185*F185*AH185</f>
        <v>76558.426317056379</v>
      </c>
      <c r="U185" s="135"/>
      <c r="V185" s="146">
        <f t="shared" si="125"/>
        <v>4.8537174839795485</v>
      </c>
      <c r="W185" s="146"/>
      <c r="X185" s="338">
        <f t="shared" si="126"/>
        <v>0</v>
      </c>
      <c r="Y185" s="338">
        <f t="shared" si="143"/>
        <v>0</v>
      </c>
      <c r="Z185" s="338">
        <f t="shared" si="144"/>
        <v>35.541083320758396</v>
      </c>
      <c r="AA185" s="338">
        <f t="shared" si="145"/>
        <v>7.6433819762302084E-8</v>
      </c>
      <c r="AB185" s="338">
        <f t="shared" si="127"/>
        <v>0</v>
      </c>
      <c r="AC185" s="338">
        <f t="shared" si="128"/>
        <v>36.104088364951352</v>
      </c>
      <c r="AF185" s="138">
        <f t="shared" si="129"/>
        <v>1</v>
      </c>
      <c r="AG185" s="138">
        <f t="shared" si="130"/>
        <v>8</v>
      </c>
      <c r="AH185" s="138">
        <f t="shared" si="146"/>
        <v>31</v>
      </c>
      <c r="AI185" s="138">
        <f t="shared" si="131"/>
        <v>4975</v>
      </c>
      <c r="AJ185" s="138">
        <f t="shared" si="132"/>
        <v>4992</v>
      </c>
      <c r="AL185" s="136">
        <f t="shared" si="147"/>
        <v>4.2045000000000003</v>
      </c>
      <c r="AM185" s="258">
        <f t="shared" si="148"/>
        <v>1.6500000000000001E-2</v>
      </c>
      <c r="AN185" s="258">
        <f t="shared" si="149"/>
        <v>0.01</v>
      </c>
      <c r="AO185" s="258">
        <f t="shared" si="150"/>
        <v>1.05</v>
      </c>
      <c r="AP185" s="258">
        <f t="shared" si="151"/>
        <v>0</v>
      </c>
      <c r="AQ185" s="136">
        <f t="shared" si="133"/>
        <v>3.6400000000000002E-2</v>
      </c>
      <c r="AR185" s="137">
        <f t="shared" si="152"/>
        <v>2.2499999999999999E-2</v>
      </c>
      <c r="AS185" s="136">
        <f t="shared" si="134"/>
        <v>4.2309999999999999</v>
      </c>
      <c r="AT185" s="137">
        <f t="shared" si="135"/>
        <v>6.3696377139977195E-2</v>
      </c>
      <c r="AU185" s="137">
        <f t="shared" si="153"/>
        <v>0.42465834483665782</v>
      </c>
      <c r="AV185" s="394">
        <f t="shared" si="136"/>
        <v>1790.3595818313493</v>
      </c>
      <c r="AW185" s="137">
        <f t="shared" si="154"/>
        <v>0.17</v>
      </c>
      <c r="AX185" s="137">
        <f t="shared" si="155"/>
        <v>0.55000000000000004</v>
      </c>
      <c r="AY185" s="137">
        <f t="shared" si="156"/>
        <v>0.55000000000000004</v>
      </c>
      <c r="AZ185" s="137"/>
      <c r="BA185" s="264"/>
      <c r="BB185" s="258">
        <f t="shared" si="157"/>
        <v>0</v>
      </c>
      <c r="BC185" s="258">
        <f t="shared" si="137"/>
        <v>0</v>
      </c>
      <c r="BD185" s="137">
        <f t="shared" si="138"/>
        <v>1.4799599393211516E-6</v>
      </c>
      <c r="BE185" s="137">
        <f t="shared" si="139"/>
        <v>1.4799599393211516E-6</v>
      </c>
      <c r="BF185" s="137">
        <f>_xll.xSPRDOPT($BW185,$BV185,$CG185,0,$BY185,$BX185,$BZ185,$AJ185,1,4)*$CB185</f>
        <v>0</v>
      </c>
      <c r="BG185" s="137">
        <f>_xll.xSPRDOPT($BW185,$BV185,$CG185,0,$BY185,$BX185,$BZ185,$AJ185,1,3)*$CB185</f>
        <v>0</v>
      </c>
      <c r="BH185" s="137">
        <f>IF(OR(BF185&lt;&gt;0,BG185&lt;&gt;0),_xll.xSPRDOPT($BW185,$BV185,$CG185,0,$BY185,$BX185,$BZ185,$AJ185,1,12)*$CB185,0)</f>
        <v>0</v>
      </c>
      <c r="BI185" s="137">
        <f>_xll.xSPRDOPT($BW185,$BV185,$CG185,2*LN(1+CA185/2),$BY185,$BX185,$BZ185,$AJ185,1,9)</f>
        <v>2.3678496781320064E-2</v>
      </c>
      <c r="BJ185" s="137">
        <f>_xll.xSPRDOPT($BW185,$BV185,$CG185,0,$BY185,$BX185,$BZ185,$AJ185,1,6)*$CB185</f>
        <v>-1.3208419102888928E-6</v>
      </c>
      <c r="BK185" s="137">
        <f>_xll.xSPRDOPT($BW185,$BV185,$CG185,0,$BY185,$BX185,$BZ185,$AJ185,1,5)*$CB185</f>
        <v>1.6034535864723824E-6</v>
      </c>
      <c r="BL185" s="137">
        <f>_xll.xSPRDOPT(BW185,BV185,CG185,0,BY185,BX185,BZ185,AJ185,1,2)*CB185</f>
        <v>-0.42443970926220542</v>
      </c>
      <c r="BM185" s="137">
        <f>_xll.xSPRDOPT(BW185,BV185,CG185,0,BY185,BX185,BZ185,AJ185,1,1)*CB185</f>
        <v>0.42443970926143337</v>
      </c>
      <c r="BN185" s="137">
        <f>IF(AH185&lt;&gt;0,_xll.xSPRDOPT($BW185,$BV185,$CG185,2*LN(1+CA185/2),$BY185,$BX185,$BZ185,$AJ185,1,8)+(AJ185/365.25)*CH185/AH185,0)</f>
        <v>-3.022369229212488</v>
      </c>
      <c r="BO185" s="137">
        <f>_xll.xSPRDOPT($BW185,$BV185,$CG185,0,$BY185,$BX185,$BZ185,$AJ185,1,0)</f>
        <v>0.88971133588412776</v>
      </c>
      <c r="BP185" s="137"/>
      <c r="BQ185" s="137"/>
      <c r="BR185" s="137"/>
      <c r="BS185" s="137"/>
      <c r="BV185" s="262">
        <v>4.3283887468030686</v>
      </c>
      <c r="BW185" s="136">
        <v>5.2545000000000002</v>
      </c>
      <c r="BX185" s="137">
        <v>0.17247974966139137</v>
      </c>
      <c r="BY185" s="137">
        <v>0.17247974966139137</v>
      </c>
      <c r="BZ185" s="137">
        <v>1</v>
      </c>
      <c r="CA185" s="137">
        <v>6.3696377139977195E-2</v>
      </c>
      <c r="CB185" s="137">
        <v>0.42443969563009548</v>
      </c>
      <c r="CC185" s="258">
        <v>1.6500000000000001E-2</v>
      </c>
      <c r="CD185" s="258">
        <v>0.01</v>
      </c>
      <c r="CE185" s="258">
        <v>1.05</v>
      </c>
      <c r="CF185" s="258">
        <v>0</v>
      </c>
      <c r="CG185" s="258">
        <v>3.6400000000000002E-2</v>
      </c>
      <c r="CH185" s="258">
        <v>4.8512183891433027</v>
      </c>
      <c r="CI185" s="258">
        <v>4.2045000000000003</v>
      </c>
      <c r="CJ185" s="258"/>
      <c r="CK185" s="258"/>
      <c r="CL185" s="258"/>
      <c r="CM185" s="258"/>
    </row>
    <row r="186" spans="1:91" x14ac:dyDescent="0.25">
      <c r="A186" s="723"/>
      <c r="B186" s="723"/>
      <c r="D186" s="31">
        <f t="shared" si="117"/>
        <v>42262</v>
      </c>
      <c r="F186" s="28">
        <f t="shared" si="118"/>
        <v>5895</v>
      </c>
      <c r="G186" s="28">
        <f t="shared" si="140"/>
        <v>2488.7295216995562</v>
      </c>
      <c r="H186" s="52">
        <f t="shared" si="119"/>
        <v>4.3232736572890014</v>
      </c>
      <c r="I186" s="52">
        <f t="shared" si="120"/>
        <v>4.9494999999999996</v>
      </c>
      <c r="K186" s="52">
        <f t="shared" si="121"/>
        <v>7.4703217902337977</v>
      </c>
      <c r="L186" s="135">
        <f t="shared" si="122"/>
        <v>1.7020004268175626E-6</v>
      </c>
      <c r="N186" s="131">
        <f t="shared" si="141"/>
        <v>0.17238725897918011</v>
      </c>
      <c r="O186" s="131">
        <f t="shared" si="142"/>
        <v>0.17238725897918011</v>
      </c>
      <c r="P186" s="55">
        <f t="shared" si="123"/>
        <v>0.99999999999999978</v>
      </c>
      <c r="Q186" s="135">
        <f>_xll.xSPRDOPT(I186,H186,AQ186,0,O186,N186,P186,D186-$G$5,1,0)*AH186*AU186</f>
        <v>7.4703234922342245</v>
      </c>
      <c r="R186" s="135"/>
      <c r="S186" s="181">
        <f t="shared" si="124"/>
        <v>-75343.474869431215</v>
      </c>
      <c r="T186" s="181">
        <f>_xll.xSPRDOPT(I186,H186,AQ186,AT186,O186,N186,P186,D186-$G$5,1,1)*AF186*F186*AH186</f>
        <v>73648.246684869009</v>
      </c>
      <c r="U186" s="135"/>
      <c r="V186" s="146">
        <f t="shared" si="125"/>
        <v>4.6696924918606948</v>
      </c>
      <c r="W186" s="146"/>
      <c r="X186" s="338">
        <f t="shared" si="126"/>
        <v>0</v>
      </c>
      <c r="Y186" s="338">
        <f t="shared" si="143"/>
        <v>0</v>
      </c>
      <c r="Z186" s="338">
        <f t="shared" si="144"/>
        <v>22.682501241474981</v>
      </c>
      <c r="AA186" s="338">
        <f t="shared" si="145"/>
        <v>8.6240747115923752E-7</v>
      </c>
      <c r="AB186" s="338">
        <f t="shared" si="127"/>
        <v>0</v>
      </c>
      <c r="AC186" s="338">
        <f t="shared" si="128"/>
        <v>23.042071590584538</v>
      </c>
      <c r="AF186" s="138">
        <f t="shared" si="129"/>
        <v>1</v>
      </c>
      <c r="AG186" s="138">
        <f t="shared" si="130"/>
        <v>9</v>
      </c>
      <c r="AH186" s="138">
        <f t="shared" si="146"/>
        <v>30</v>
      </c>
      <c r="AI186" s="138">
        <f t="shared" si="131"/>
        <v>5006</v>
      </c>
      <c r="AJ186" s="138">
        <f t="shared" si="132"/>
        <v>5023</v>
      </c>
      <c r="AL186" s="136">
        <f t="shared" si="147"/>
        <v>4.1994999999999996</v>
      </c>
      <c r="AM186" s="258">
        <f t="shared" si="148"/>
        <v>1.6500000000000001E-2</v>
      </c>
      <c r="AN186" s="258">
        <f t="shared" si="149"/>
        <v>0.01</v>
      </c>
      <c r="AO186" s="258">
        <f t="shared" si="150"/>
        <v>0.75</v>
      </c>
      <c r="AP186" s="258">
        <f t="shared" si="151"/>
        <v>0</v>
      </c>
      <c r="AQ186" s="136">
        <f t="shared" si="133"/>
        <v>3.6400000000000002E-2</v>
      </c>
      <c r="AR186" s="137">
        <f t="shared" si="152"/>
        <v>2.2499999999999999E-2</v>
      </c>
      <c r="AS186" s="136">
        <f t="shared" si="134"/>
        <v>4.2259999999999991</v>
      </c>
      <c r="AT186" s="137">
        <f t="shared" si="135"/>
        <v>6.3736921247198097E-2</v>
      </c>
      <c r="AU186" s="137">
        <f t="shared" si="153"/>
        <v>0.42217633955887302</v>
      </c>
      <c r="AV186" s="394">
        <f t="shared" si="136"/>
        <v>1722.4794654002019</v>
      </c>
      <c r="AW186" s="137">
        <f t="shared" si="154"/>
        <v>0.17</v>
      </c>
      <c r="AX186" s="137">
        <f t="shared" si="155"/>
        <v>0.55000000000000004</v>
      </c>
      <c r="AY186" s="137">
        <f t="shared" si="156"/>
        <v>0.55000000000000004</v>
      </c>
      <c r="AZ186" s="137"/>
      <c r="BA186" s="264"/>
      <c r="BB186" s="258">
        <f t="shared" si="157"/>
        <v>0</v>
      </c>
      <c r="BC186" s="258">
        <f t="shared" si="137"/>
        <v>0</v>
      </c>
      <c r="BD186" s="137">
        <f t="shared" si="138"/>
        <v>1.4156483203464632E-6</v>
      </c>
      <c r="BE186" s="137">
        <f t="shared" si="139"/>
        <v>1.4156483203464632E-6</v>
      </c>
      <c r="BF186" s="137">
        <f>_xll.xSPRDOPT($BW186,$BV186,$CG186,0,$BY186,$BX186,$BZ186,$AJ186,1,4)*$CB186</f>
        <v>2.012056503844865E-7</v>
      </c>
      <c r="BG186" s="137">
        <f>_xll.xSPRDOPT($BW186,$BV186,$CG186,0,$BY186,$BX186,$BZ186,$AJ186,1,3)*$CB186</f>
        <v>3.0180847557672975E-7</v>
      </c>
      <c r="BH186" s="137">
        <f>IF(OR(BF186&lt;&gt;0,BG186&lt;&gt;0),_xll.xSPRDOPT($BW186,$BV186,$CG186,0,$BY186,$BX186,$BZ186,$AJ186,1,12)*$CB186,0)</f>
        <v>-3.5210988817285138E-7</v>
      </c>
      <c r="BI186" s="137">
        <f>_xll.xSPRDOPT($BW186,$BV186,$CG186,2*LN(1+CA186/2),$BY186,$BX186,$BZ186,$AJ186,1,9)</f>
        <v>1.5615462404012322E-2</v>
      </c>
      <c r="BJ186" s="137">
        <f>_xll.xSPRDOPT($BW186,$BV186,$CG186,0,$BY186,$BX186,$BZ186,$AJ186,1,6)*$CB186</f>
        <v>-2.3781173939150164E-5</v>
      </c>
      <c r="BK186" s="137">
        <f>_xll.xSPRDOPT($BW186,$BV186,$CG186,0,$BY186,$BX186,$BZ186,$AJ186,1,5)*$CB186</f>
        <v>2.7225879198009387E-5</v>
      </c>
      <c r="BL186" s="137">
        <f>_xll.xSPRDOPT(BW186,BV186,CG186,0,BY186,BX186,BZ186,AJ186,1,2)*CB186</f>
        <v>-0.42195856426409578</v>
      </c>
      <c r="BM186" s="137">
        <f>_xll.xSPRDOPT(BW186,BV186,CG186,0,BY186,BX186,BZ186,AJ186,1,1)*CB186</f>
        <v>0.42195856426486328</v>
      </c>
      <c r="BN186" s="137">
        <f>IF(AH186&lt;&gt;0,_xll.xSPRDOPT($BW186,$BV186,$CG186,2*LN(1+CA186/2),$BY186,$BX186,$BZ186,$AJ186,1,8)+(AJ186/365.25)*CH186/AH186,0)</f>
        <v>-1.2831687753567196</v>
      </c>
      <c r="BO186" s="137">
        <f>_xll.xSPRDOPT($BW186,$BV186,$CG186,0,$BY186,$BX186,$BZ186,$AJ186,1,0)</f>
        <v>0.58982647750301165</v>
      </c>
      <c r="BP186" s="137"/>
      <c r="BQ186" s="137"/>
      <c r="BR186" s="137"/>
      <c r="BS186" s="137"/>
      <c r="BV186" s="262">
        <v>4.3232736572890014</v>
      </c>
      <c r="BW186" s="136">
        <v>4.9494999999999996</v>
      </c>
      <c r="BX186" s="137">
        <v>0.17238584333085977</v>
      </c>
      <c r="BY186" s="137">
        <v>0.17238584333085977</v>
      </c>
      <c r="BZ186" s="137">
        <v>1</v>
      </c>
      <c r="CA186" s="137">
        <v>6.3736921247198097E-2</v>
      </c>
      <c r="CB186" s="137">
        <v>0.42195883211512664</v>
      </c>
      <c r="CC186" s="258">
        <v>1.6500000000000001E-2</v>
      </c>
      <c r="CD186" s="258">
        <v>0.01</v>
      </c>
      <c r="CE186" s="258">
        <v>0.75</v>
      </c>
      <c r="CF186" s="258">
        <v>0</v>
      </c>
      <c r="CG186" s="258">
        <v>3.6400000000000002E-2</v>
      </c>
      <c r="CH186" s="258">
        <v>4.6672866420254158</v>
      </c>
      <c r="CI186" s="258">
        <v>4.1994999999999996</v>
      </c>
      <c r="CJ186" s="258"/>
      <c r="CK186" s="258"/>
      <c r="CL186" s="258"/>
      <c r="CM186" s="258"/>
    </row>
    <row r="187" spans="1:91" x14ac:dyDescent="0.25">
      <c r="A187" s="723"/>
      <c r="B187" s="723"/>
      <c r="D187" s="31">
        <f t="shared" si="117"/>
        <v>42292</v>
      </c>
      <c r="F187" s="28">
        <f t="shared" si="118"/>
        <v>6669</v>
      </c>
      <c r="G187" s="28">
        <f t="shared" si="140"/>
        <v>2799.5498360740776</v>
      </c>
      <c r="H187" s="52">
        <f t="shared" si="119"/>
        <v>4.3574358974358978</v>
      </c>
      <c r="I187" s="52">
        <f t="shared" si="120"/>
        <v>4.6745000000000001</v>
      </c>
      <c r="K187" s="52">
        <f t="shared" si="121"/>
        <v>3.6523807785397411</v>
      </c>
      <c r="L187" s="135">
        <f t="shared" si="122"/>
        <v>8.5845970379416769E-5</v>
      </c>
      <c r="N187" s="131">
        <f t="shared" si="141"/>
        <v>0.17296226686386124</v>
      </c>
      <c r="O187" s="131">
        <f t="shared" si="142"/>
        <v>0.17296226686386124</v>
      </c>
      <c r="P187" s="55">
        <f t="shared" si="123"/>
        <v>1</v>
      </c>
      <c r="Q187" s="135">
        <f>_xll.xSPRDOPT(I187,H187,AQ187,0,O187,N187,P187,D187-$G$5,1,0)*AH187*AU187</f>
        <v>3.6524666245101205</v>
      </c>
      <c r="R187" s="135"/>
      <c r="S187" s="181">
        <f t="shared" si="124"/>
        <v>-87781.473784119735</v>
      </c>
      <c r="T187" s="181">
        <f>_xll.xSPRDOPT(I187,H187,AQ187,AT187,O187,N187,P187,D187-$G$5,1,1)*AF187*F187*AH187</f>
        <v>85586.936939516745</v>
      </c>
      <c r="U187" s="135"/>
      <c r="V187" s="146">
        <f t="shared" si="125"/>
        <v>4.7980229061892166</v>
      </c>
      <c r="W187" s="146"/>
      <c r="X187" s="338">
        <f t="shared" si="126"/>
        <v>0</v>
      </c>
      <c r="Y187" s="338">
        <f t="shared" si="143"/>
        <v>0</v>
      </c>
      <c r="Z187" s="338">
        <f t="shared" si="144"/>
        <v>12.55091999413648</v>
      </c>
      <c r="AA187" s="338">
        <f t="shared" si="145"/>
        <v>1.0084620113314379E-4</v>
      </c>
      <c r="AB187" s="338">
        <f t="shared" si="127"/>
        <v>0</v>
      </c>
      <c r="AC187" s="338">
        <f t="shared" si="128"/>
        <v>12.753002952168087</v>
      </c>
      <c r="AF187" s="138">
        <f t="shared" si="129"/>
        <v>1</v>
      </c>
      <c r="AG187" s="138">
        <f t="shared" si="130"/>
        <v>10</v>
      </c>
      <c r="AH187" s="138">
        <f t="shared" si="146"/>
        <v>31</v>
      </c>
      <c r="AI187" s="138">
        <f t="shared" si="131"/>
        <v>5036</v>
      </c>
      <c r="AJ187" s="138">
        <f t="shared" si="132"/>
        <v>5053</v>
      </c>
      <c r="AL187" s="136">
        <f t="shared" si="147"/>
        <v>4.2244999999999999</v>
      </c>
      <c r="AM187" s="258">
        <f t="shared" si="148"/>
        <v>1.4E-2</v>
      </c>
      <c r="AN187" s="258">
        <f t="shared" si="149"/>
        <v>0.01</v>
      </c>
      <c r="AO187" s="258">
        <f t="shared" si="150"/>
        <v>0.45</v>
      </c>
      <c r="AP187" s="258">
        <f t="shared" si="151"/>
        <v>0</v>
      </c>
      <c r="AQ187" s="136">
        <f t="shared" si="133"/>
        <v>3.6400000000000002E-2</v>
      </c>
      <c r="AR187" s="137">
        <f t="shared" si="152"/>
        <v>2.5000000000000001E-2</v>
      </c>
      <c r="AS187" s="136">
        <f t="shared" si="134"/>
        <v>4.2484999999999999</v>
      </c>
      <c r="AT187" s="137">
        <f t="shared" si="135"/>
        <v>6.3776157480511603E-2</v>
      </c>
      <c r="AU187" s="137">
        <f t="shared" si="153"/>
        <v>0.41978555046844768</v>
      </c>
      <c r="AV187" s="394">
        <f t="shared" si="136"/>
        <v>2225.2832030332411</v>
      </c>
      <c r="AW187" s="137">
        <f t="shared" si="154"/>
        <v>0.17</v>
      </c>
      <c r="AX187" s="137">
        <f t="shared" si="155"/>
        <v>0.6</v>
      </c>
      <c r="AY187" s="137">
        <f t="shared" si="156"/>
        <v>0.6</v>
      </c>
      <c r="AZ187" s="137"/>
      <c r="BA187" s="264"/>
      <c r="BB187" s="258">
        <f t="shared" si="157"/>
        <v>0</v>
      </c>
      <c r="BC187" s="258">
        <f t="shared" si="137"/>
        <v>0</v>
      </c>
      <c r="BD187" s="137">
        <f t="shared" si="138"/>
        <v>1.7431485527519275E-6</v>
      </c>
      <c r="BE187" s="137">
        <f t="shared" si="139"/>
        <v>1.7431485527519275E-6</v>
      </c>
      <c r="BF187" s="137">
        <f>_xll.xSPRDOPT($BW187,$BV187,$CG187,0,$BY187,$BX187,$BZ187,$AJ187,1,4)*$CB187</f>
        <v>0</v>
      </c>
      <c r="BG187" s="137">
        <f>_xll.xSPRDOPT($BW187,$BV187,$CG187,0,$BY187,$BX187,$BZ187,$AJ187,1,3)*$CB187</f>
        <v>-3.5011577679438762E-7</v>
      </c>
      <c r="BH187" s="137">
        <f>IF(OR(BF187&lt;&gt;0,BG187&lt;&gt;0),_xll.xSPRDOPT($BW187,$BV187,$CG187,0,$BY187,$BX187,$BZ187,$AJ187,1,12)*$CB187,0)</f>
        <v>2.0006615816822149E-7</v>
      </c>
      <c r="BI187" s="137">
        <f>_xll.xSPRDOPT($BW187,$BV187,$CG187,2*LN(1+CA187/2),$BY187,$BX187,$BZ187,$AJ187,1,9)</f>
        <v>7.391321953216937E-3</v>
      </c>
      <c r="BJ187" s="137">
        <f>_xll.xSPRDOPT($BW187,$BV187,$CG187,0,$BY187,$BX187,$BZ187,$AJ187,1,6)*$CB187</f>
        <v>-3.8457996181599273E-3</v>
      </c>
      <c r="BK187" s="137">
        <f>_xll.xSPRDOPT($BW187,$BV187,$CG187,0,$BY187,$BX187,$BZ187,$AJ187,1,5)*$CB187</f>
        <v>4.1256350690269342E-3</v>
      </c>
      <c r="BL187" s="137">
        <f>_xll.xSPRDOPT(BW187,BV187,CG187,0,BY187,BX187,BZ187,AJ187,1,2)*CB187</f>
        <v>-0.41950794852691042</v>
      </c>
      <c r="BM187" s="137">
        <f>_xll.xSPRDOPT(BW187,BV187,CG187,0,BY187,BX187,BZ187,AJ187,1,1)*CB187</f>
        <v>0.41950794852691042</v>
      </c>
      <c r="BN187" s="137">
        <f>IF(AH187&lt;&gt;0,_xll.xSPRDOPT($BW187,$BV187,$CG187,2*LN(1+CA187/2),$BY187,$BX187,$BZ187,$AJ187,1,8)+(AJ187/365.25)*CH187/AH187,0)</f>
        <v>0.51096329478050762</v>
      </c>
      <c r="BO187" s="137">
        <f>_xll.xSPRDOPT($BW187,$BV187,$CG187,0,$BY187,$BX187,$BZ187,$AJ187,1,0)</f>
        <v>0.28067073242306823</v>
      </c>
      <c r="BP187" s="137"/>
      <c r="BQ187" s="137"/>
      <c r="BR187" s="137"/>
      <c r="BS187" s="137"/>
      <c r="BV187" s="262">
        <v>4.3574358974358978</v>
      </c>
      <c r="BW187" s="136">
        <v>4.6745000000000001</v>
      </c>
      <c r="BX187" s="137">
        <v>0.17296052371530848</v>
      </c>
      <c r="BY187" s="137">
        <v>0.17296052371530848</v>
      </c>
      <c r="BZ187" s="137">
        <v>1</v>
      </c>
      <c r="CA187" s="137">
        <v>6.3776157480511603E-2</v>
      </c>
      <c r="CB187" s="137">
        <v>0.41956914373480203</v>
      </c>
      <c r="CC187" s="258">
        <v>1.4E-2</v>
      </c>
      <c r="CD187" s="258">
        <v>0.01</v>
      </c>
      <c r="CE187" s="258">
        <v>0.45</v>
      </c>
      <c r="CF187" s="258">
        <v>0</v>
      </c>
      <c r="CG187" s="258">
        <v>3.6400000000000002E-2</v>
      </c>
      <c r="CH187" s="258">
        <v>4.795549442145667</v>
      </c>
      <c r="CI187" s="258">
        <v>4.2244999999999999</v>
      </c>
      <c r="CJ187" s="258"/>
      <c r="CK187" s="258"/>
      <c r="CL187" s="258"/>
      <c r="CM187" s="258"/>
    </row>
    <row r="188" spans="1:91" x14ac:dyDescent="0.25">
      <c r="A188" s="723"/>
      <c r="B188" s="723"/>
      <c r="D188" s="31">
        <f t="shared" si="117"/>
        <v>42323</v>
      </c>
      <c r="F188" s="28">
        <f t="shared" si="118"/>
        <v>11107</v>
      </c>
      <c r="G188" s="28">
        <f t="shared" si="140"/>
        <v>4635.2460678693842</v>
      </c>
      <c r="H188" s="52">
        <f t="shared" si="119"/>
        <v>4.5002557544757034</v>
      </c>
      <c r="I188" s="52">
        <f t="shared" si="120"/>
        <v>4.8265000000000002</v>
      </c>
      <c r="K188" s="52">
        <f t="shared" si="121"/>
        <v>3.6287910309563309</v>
      </c>
      <c r="L188" s="135">
        <f t="shared" si="122"/>
        <v>8.9427304392764029E-5</v>
      </c>
      <c r="N188" s="131">
        <f t="shared" si="141"/>
        <v>0.17522476710860388</v>
      </c>
      <c r="O188" s="131">
        <f t="shared" si="142"/>
        <v>0.17522476710860388</v>
      </c>
      <c r="P188" s="55">
        <f t="shared" si="123"/>
        <v>1</v>
      </c>
      <c r="Q188" s="135">
        <f>_xll.xSPRDOPT(I188,H188,AQ188,0,O188,N188,P188,D188-$G$5,1,0)*AH188*AU188</f>
        <v>3.6288804582607237</v>
      </c>
      <c r="R188" s="135"/>
      <c r="S188" s="181">
        <f t="shared" si="124"/>
        <v>-140279.14365571039</v>
      </c>
      <c r="T188" s="181">
        <f>_xll.xSPRDOPT(I188,H188,AQ188,AT188,O188,N188,P188,D188-$G$5,1,1)*AF188*F188*AH188</f>
        <v>137122.86292345691</v>
      </c>
      <c r="U188" s="135"/>
      <c r="V188" s="146">
        <f t="shared" si="125"/>
        <v>4.6160490462504065</v>
      </c>
      <c r="W188" s="146"/>
      <c r="X188" s="338">
        <f t="shared" si="126"/>
        <v>0</v>
      </c>
      <c r="Y188" s="338">
        <f t="shared" si="143"/>
        <v>0</v>
      </c>
      <c r="Z188" s="338">
        <f t="shared" si="144"/>
        <v>20.78130663142635</v>
      </c>
      <c r="AA188" s="338">
        <f t="shared" si="145"/>
        <v>2.7972519244195428E-4</v>
      </c>
      <c r="AB188" s="338">
        <f t="shared" si="127"/>
        <v>0</v>
      </c>
      <c r="AC188" s="338">
        <f t="shared" si="128"/>
        <v>21.115957622085158</v>
      </c>
      <c r="AF188" s="138">
        <f t="shared" si="129"/>
        <v>1</v>
      </c>
      <c r="AG188" s="138">
        <f t="shared" si="130"/>
        <v>11</v>
      </c>
      <c r="AH188" s="138">
        <f t="shared" si="146"/>
        <v>30</v>
      </c>
      <c r="AI188" s="138">
        <f t="shared" si="131"/>
        <v>5067</v>
      </c>
      <c r="AJ188" s="138">
        <f t="shared" si="132"/>
        <v>5084</v>
      </c>
      <c r="AL188" s="136">
        <f t="shared" si="147"/>
        <v>4.3765000000000001</v>
      </c>
      <c r="AM188" s="258">
        <f t="shared" si="148"/>
        <v>1.4999999999999999E-2</v>
      </c>
      <c r="AN188" s="258">
        <f t="shared" si="149"/>
        <v>7.4999999999999997E-3</v>
      </c>
      <c r="AO188" s="258">
        <f t="shared" si="150"/>
        <v>0.45</v>
      </c>
      <c r="AP188" s="258">
        <f t="shared" si="151"/>
        <v>0</v>
      </c>
      <c r="AQ188" s="136">
        <f t="shared" si="133"/>
        <v>3.6400000000000002E-2</v>
      </c>
      <c r="AR188" s="137">
        <f t="shared" si="152"/>
        <v>2.2499999999999999E-2</v>
      </c>
      <c r="AS188" s="136">
        <f t="shared" si="134"/>
        <v>4.399</v>
      </c>
      <c r="AT188" s="137">
        <f t="shared" si="135"/>
        <v>6.3816701588804897E-2</v>
      </c>
      <c r="AU188" s="137">
        <f t="shared" si="153"/>
        <v>0.41732655693431031</v>
      </c>
      <c r="AV188" s="394">
        <f t="shared" si="136"/>
        <v>3205.0679572555032</v>
      </c>
      <c r="AW188" s="137">
        <f t="shared" si="154"/>
        <v>0.17</v>
      </c>
      <c r="AX188" s="137">
        <f t="shared" si="155"/>
        <v>0.8</v>
      </c>
      <c r="AY188" s="137">
        <f t="shared" si="156"/>
        <v>0.8</v>
      </c>
      <c r="AZ188" s="137"/>
      <c r="BA188" s="264"/>
      <c r="BB188" s="258">
        <f t="shared" si="157"/>
        <v>0</v>
      </c>
      <c r="BC188" s="258">
        <f t="shared" si="137"/>
        <v>0</v>
      </c>
      <c r="BD188" s="137">
        <f t="shared" si="138"/>
        <v>3.0365291559530938E-6</v>
      </c>
      <c r="BE188" s="137">
        <f t="shared" si="139"/>
        <v>3.0365291559530938E-6</v>
      </c>
      <c r="BF188" s="137">
        <f>_xll.xSPRDOPT($BW188,$BV188,$CG188,0,$BY188,$BX188,$BZ188,$AJ188,1,4)*$CB188</f>
        <v>-8.9502371530768287E-7</v>
      </c>
      <c r="BG188" s="137">
        <f>_xll.xSPRDOPT($BW188,$BV188,$CG188,0,$BY188,$BX188,$BZ188,$AJ188,1,3)*$CB188</f>
        <v>-6.4640601661110428E-7</v>
      </c>
      <c r="BH188" s="137">
        <f>IF(OR(BF188&lt;&gt;0,BG188&lt;&gt;0),_xll.xSPRDOPT($BW188,$BV188,$CG188,0,$BY188,$BX188,$BZ188,$AJ188,1,12)*$CB188,0)</f>
        <v>5.9668247687178855E-7</v>
      </c>
      <c r="BI188" s="137">
        <f>_xll.xSPRDOPT($BW188,$BV188,$CG188,2*LN(1+CA188/2),$BY188,$BX188,$BZ188,$AJ188,1,9)</f>
        <v>7.5931817243664905E-3</v>
      </c>
      <c r="BJ188" s="137">
        <f>_xll.xSPRDOPT($BW188,$BV188,$CG188,0,$BY188,$BX188,$BZ188,$AJ188,1,6)*$CB188</f>
        <v>-3.8135587711274725E-3</v>
      </c>
      <c r="BK188" s="137">
        <f>_xll.xSPRDOPT($BW188,$BV188,$CG188,0,$BY188,$BX188,$BZ188,$AJ188,1,5)*$CB188</f>
        <v>4.0900211872940771E-3</v>
      </c>
      <c r="BL188" s="137">
        <f>_xll.xSPRDOPT(BW188,BV188,CG188,0,BY188,BX188,BZ188,AJ188,1,2)*CB188</f>
        <v>-0.41705285555904836</v>
      </c>
      <c r="BM188" s="137">
        <f>_xll.xSPRDOPT(BW188,BV188,CG188,0,BY188,BX188,BZ188,AJ188,1,1)*CB188</f>
        <v>0.41705285555487537</v>
      </c>
      <c r="BN188" s="137">
        <f>IF(AH188&lt;&gt;0,_xll.xSPRDOPT($BW188,$BV188,$CG188,2*LN(1+CA188/2),$BY188,$BX188,$BZ188,$AJ188,1,8)+(AJ188/365.25)*CH188/AH188,0)</f>
        <v>0.45778454658081547</v>
      </c>
      <c r="BO188" s="137">
        <f>_xll.xSPRDOPT($BW188,$BV188,$CG188,0,$BY188,$BX188,$BZ188,$AJ188,1,0)</f>
        <v>0.28985142066548247</v>
      </c>
      <c r="BP188" s="137"/>
      <c r="BQ188" s="137"/>
      <c r="BR188" s="137"/>
      <c r="BS188" s="137"/>
      <c r="BV188" s="262">
        <v>4.5002557544757034</v>
      </c>
      <c r="BW188" s="136">
        <v>4.8265000000000002</v>
      </c>
      <c r="BX188" s="137">
        <v>0.17522173057944793</v>
      </c>
      <c r="BY188" s="137">
        <v>0.17522173057944793</v>
      </c>
      <c r="BZ188" s="137">
        <v>1</v>
      </c>
      <c r="CA188" s="137">
        <v>6.3816701588804897E-2</v>
      </c>
      <c r="CB188" s="137">
        <v>0.4171112832455417</v>
      </c>
      <c r="CC188" s="258">
        <v>1.4999999999999999E-2</v>
      </c>
      <c r="CD188" s="258">
        <v>7.4999999999999997E-3</v>
      </c>
      <c r="CE188" s="258">
        <v>0.45</v>
      </c>
      <c r="CF188" s="258">
        <v>0</v>
      </c>
      <c r="CG188" s="258">
        <v>3.6400000000000002E-2</v>
      </c>
      <c r="CH188" s="258">
        <v>4.6136679039789366</v>
      </c>
      <c r="CI188" s="258">
        <v>4.3765000000000001</v>
      </c>
      <c r="CJ188" s="258"/>
      <c r="CK188" s="258"/>
      <c r="CL188" s="258"/>
      <c r="CM188" s="258"/>
    </row>
    <row r="189" spans="1:91" x14ac:dyDescent="0.25">
      <c r="A189" s="723"/>
      <c r="B189" s="723"/>
      <c r="D189" s="31">
        <f t="shared" si="117"/>
        <v>42353</v>
      </c>
      <c r="F189" s="28">
        <f t="shared" si="118"/>
        <v>11107</v>
      </c>
      <c r="G189" s="28">
        <f t="shared" si="140"/>
        <v>4608.9381780063277</v>
      </c>
      <c r="H189" s="52">
        <f t="shared" si="119"/>
        <v>4.6465473145780045</v>
      </c>
      <c r="I189" s="52">
        <f t="shared" si="120"/>
        <v>4.9195000000000002</v>
      </c>
      <c r="K189" s="52">
        <f t="shared" si="121"/>
        <v>3.0429420898075143</v>
      </c>
      <c r="L189" s="135">
        <f t="shared" si="122"/>
        <v>2.9468143566857563E-4</v>
      </c>
      <c r="N189" s="131">
        <f t="shared" si="141"/>
        <v>0.17844933807433613</v>
      </c>
      <c r="O189" s="131">
        <f t="shared" si="142"/>
        <v>0.17844933807433613</v>
      </c>
      <c r="P189" s="55">
        <f t="shared" si="123"/>
        <v>1</v>
      </c>
      <c r="Q189" s="135">
        <f>_xll.xSPRDOPT(I189,H189,AQ189,0,O189,N189,P189,D189-$G$5,1,0)*AH189*AU189</f>
        <v>3.0432367712431829</v>
      </c>
      <c r="R189" s="135"/>
      <c r="S189" s="181">
        <f t="shared" si="124"/>
        <v>-144091.13472757477</v>
      </c>
      <c r="T189" s="181">
        <f>_xll.xSPRDOPT(I189,H189,AQ189,AT189,O189,N189,P189,D189-$G$5,1,1)*AF189*F189*AH189</f>
        <v>140849.08419620435</v>
      </c>
      <c r="U189" s="135"/>
      <c r="V189" s="146">
        <f t="shared" si="125"/>
        <v>4.7428451150768813</v>
      </c>
      <c r="W189" s="146"/>
      <c r="X189" s="338">
        <f t="shared" si="126"/>
        <v>0</v>
      </c>
      <c r="Y189" s="338">
        <f t="shared" si="143"/>
        <v>0</v>
      </c>
      <c r="Z189" s="338">
        <f t="shared" si="144"/>
        <v>17.432892826481371</v>
      </c>
      <c r="AA189" s="338">
        <f t="shared" si="145"/>
        <v>8.4874299395236528E-4</v>
      </c>
      <c r="AB189" s="338">
        <f t="shared" si="127"/>
        <v>0</v>
      </c>
      <c r="AC189" s="338">
        <f t="shared" si="128"/>
        <v>17.719061671707511</v>
      </c>
      <c r="AF189" s="138">
        <f t="shared" si="129"/>
        <v>1</v>
      </c>
      <c r="AG189" s="138">
        <f t="shared" si="130"/>
        <v>12</v>
      </c>
      <c r="AH189" s="138">
        <f t="shared" si="146"/>
        <v>31</v>
      </c>
      <c r="AI189" s="138">
        <f t="shared" si="131"/>
        <v>5097</v>
      </c>
      <c r="AJ189" s="138">
        <f t="shared" si="132"/>
        <v>5114</v>
      </c>
      <c r="AL189" s="136">
        <f t="shared" si="147"/>
        <v>4.5194999999999999</v>
      </c>
      <c r="AM189" s="258">
        <f t="shared" si="148"/>
        <v>1.4999999999999999E-2</v>
      </c>
      <c r="AN189" s="258">
        <f t="shared" si="149"/>
        <v>7.4999999999999997E-3</v>
      </c>
      <c r="AO189" s="258">
        <f t="shared" si="150"/>
        <v>0.4</v>
      </c>
      <c r="AP189" s="258">
        <f t="shared" si="151"/>
        <v>0</v>
      </c>
      <c r="AQ189" s="136">
        <f t="shared" si="133"/>
        <v>3.6400000000000002E-2</v>
      </c>
      <c r="AR189" s="137">
        <f t="shared" si="152"/>
        <v>2.2499999999999999E-2</v>
      </c>
      <c r="AS189" s="136">
        <f t="shared" si="134"/>
        <v>4.5419999999999998</v>
      </c>
      <c r="AT189" s="137">
        <f t="shared" si="135"/>
        <v>6.38559378231571E-2</v>
      </c>
      <c r="AU189" s="137">
        <f t="shared" si="153"/>
        <v>0.41495797046964322</v>
      </c>
      <c r="AV189" s="394">
        <f t="shared" si="136"/>
        <v>3293.1064536470885</v>
      </c>
      <c r="AW189" s="137">
        <f t="shared" si="154"/>
        <v>0.17</v>
      </c>
      <c r="AX189" s="137">
        <f t="shared" si="155"/>
        <v>1</v>
      </c>
      <c r="AY189" s="137">
        <f t="shared" si="156"/>
        <v>1</v>
      </c>
      <c r="AZ189" s="137"/>
      <c r="BA189" s="264"/>
      <c r="BB189" s="258">
        <f t="shared" si="157"/>
        <v>0</v>
      </c>
      <c r="BC189" s="258">
        <f t="shared" si="137"/>
        <v>0</v>
      </c>
      <c r="BD189" s="137">
        <f t="shared" si="138"/>
        <v>4.8378950967820078E-6</v>
      </c>
      <c r="BE189" s="137">
        <f t="shared" si="139"/>
        <v>4.8378950967820078E-6</v>
      </c>
      <c r="BF189" s="137">
        <f>_xll.xSPRDOPT($BW189,$BV189,$CG189,0,$BY189,$BX189,$BZ189,$AJ189,1,4)*$CB189</f>
        <v>-2.9664787464197121E-7</v>
      </c>
      <c r="BG189" s="137">
        <f>_xll.xSPRDOPT($BW189,$BV189,$CG189,0,$BY189,$BX189,$BZ189,$AJ189,1,3)*$CB189</f>
        <v>-5.685750930637781E-7</v>
      </c>
      <c r="BH189" s="137">
        <f>IF(OR(BF189&lt;&gt;0,BG189&lt;&gt;0),_xll.xSPRDOPT($BW189,$BV189,$CG189,0,$BY189,$BX189,$BZ189,$AJ189,1,12)*$CB189,0)</f>
        <v>3.7080984330246401E-7</v>
      </c>
      <c r="BI189" s="137">
        <f>_xll.xSPRDOPT($BW189,$BV189,$CG189,2*LN(1+CA189/2),$BY189,$BX189,$BZ189,$AJ189,1,9)</f>
        <v>6.1642460338121752E-3</v>
      </c>
      <c r="BJ189" s="137">
        <f>_xll.xSPRDOPT($BW189,$BV189,$CG189,0,$BY189,$BX189,$BZ189,$AJ189,1,6)*$CB189</f>
        <v>-8.6736977797176144E-3</v>
      </c>
      <c r="BK189" s="137">
        <f>_xll.xSPRDOPT($BW189,$BV189,$CG189,0,$BY189,$BX189,$BZ189,$AJ189,1,5)*$CB189</f>
        <v>9.1832178427786373E-3</v>
      </c>
      <c r="BL189" s="137">
        <f>_xll.xSPRDOPT(BW189,BV189,CG189,0,BY189,BX189,BZ189,AJ189,1,2)*CB189</f>
        <v>-0.41460799145470412</v>
      </c>
      <c r="BM189" s="137">
        <f>_xll.xSPRDOPT(BW189,BV189,CG189,0,BY189,BX189,BZ189,AJ189,1,1)*CB189</f>
        <v>0.41460799145602434</v>
      </c>
      <c r="BN189" s="137">
        <f>IF(AH189&lt;&gt;0,_xll.xSPRDOPT($BW189,$BV189,$CG189,2*LN(1+CA189/2),$BY189,$BX189,$BZ189,$AJ189,1,8)+(AJ189/365.25)*CH189/AH189,0)</f>
        <v>0.76724355325783478</v>
      </c>
      <c r="BO189" s="137">
        <f>_xll.xSPRDOPT($BW189,$BV189,$CG189,0,$BY189,$BX189,$BZ189,$AJ189,1,0)</f>
        <v>0.23657565179740972</v>
      </c>
      <c r="BP189" s="137"/>
      <c r="BQ189" s="137"/>
      <c r="BR189" s="137"/>
      <c r="BS189" s="137"/>
      <c r="BV189" s="262">
        <v>4.6465473145780045</v>
      </c>
      <c r="BW189" s="136">
        <v>4.9195000000000002</v>
      </c>
      <c r="BX189" s="137">
        <v>0.17844450017923935</v>
      </c>
      <c r="BY189" s="137">
        <v>0.17844450017923935</v>
      </c>
      <c r="BZ189" s="137">
        <v>1</v>
      </c>
      <c r="CA189" s="137">
        <v>6.38559378231571E-2</v>
      </c>
      <c r="CB189" s="137">
        <v>0.41474378906743947</v>
      </c>
      <c r="CC189" s="258">
        <v>1.4999999999999999E-2</v>
      </c>
      <c r="CD189" s="258">
        <v>7.4999999999999997E-3</v>
      </c>
      <c r="CE189" s="258">
        <v>0.4</v>
      </c>
      <c r="CF189" s="258">
        <v>0</v>
      </c>
      <c r="CG189" s="258">
        <v>3.6400000000000002E-2</v>
      </c>
      <c r="CH189" s="258">
        <v>4.7403970859041129</v>
      </c>
      <c r="CI189" s="258">
        <v>4.5194999999999999</v>
      </c>
      <c r="CJ189" s="258"/>
      <c r="CK189" s="258"/>
      <c r="CL189" s="258"/>
      <c r="CM189" s="258"/>
    </row>
    <row r="190" spans="1:91" x14ac:dyDescent="0.25">
      <c r="A190" s="723"/>
      <c r="B190" s="723"/>
      <c r="D190" s="31">
        <f t="shared" si="117"/>
        <v>42384</v>
      </c>
      <c r="F190" s="28">
        <f t="shared" si="118"/>
        <v>11107</v>
      </c>
      <c r="G190" s="28">
        <f t="shared" si="140"/>
        <v>4581.8801942911396</v>
      </c>
      <c r="H190" s="52">
        <f t="shared" si="119"/>
        <v>4.7079283887468035</v>
      </c>
      <c r="I190" s="52">
        <f t="shared" si="120"/>
        <v>4.9295</v>
      </c>
      <c r="K190" s="52">
        <f t="shared" si="121"/>
        <v>2.3680074081683604</v>
      </c>
      <c r="L190" s="135">
        <f t="shared" si="122"/>
        <v>7.5761212015512669E-4</v>
      </c>
      <c r="N190" s="131">
        <f t="shared" si="141"/>
        <v>0.17839961237986995</v>
      </c>
      <c r="O190" s="131">
        <f t="shared" si="142"/>
        <v>0.17839961237986995</v>
      </c>
      <c r="P190" s="55">
        <f t="shared" si="123"/>
        <v>0.99999999999999978</v>
      </c>
      <c r="Q190" s="135">
        <f>_xll.xSPRDOPT(I190,H190,AQ190,0,O190,N190,P190,D190-$G$5,1,0)*AH190*AU190</f>
        <v>2.3687650202885155</v>
      </c>
      <c r="R190" s="135"/>
      <c r="S190" s="181">
        <f t="shared" si="124"/>
        <v>-143036.11903450117</v>
      </c>
      <c r="T190" s="181">
        <f>_xll.xSPRDOPT(I190,H190,AQ190,AT190,O190,N190,P190,D190-$G$5,1,1)*AF190*F190*AH190</f>
        <v>139817.8063562249</v>
      </c>
      <c r="U190" s="135"/>
      <c r="V190" s="146">
        <f t="shared" si="125"/>
        <v>4.7150009954703744</v>
      </c>
      <c r="W190" s="146"/>
      <c r="X190" s="338">
        <f t="shared" si="126"/>
        <v>0</v>
      </c>
      <c r="Y190" s="338">
        <f t="shared" si="143"/>
        <v>0</v>
      </c>
      <c r="Z190" s="338">
        <f t="shared" si="144"/>
        <v>13.551519395931097</v>
      </c>
      <c r="AA190" s="338">
        <f t="shared" si="145"/>
        <v>3.0673228443834312E-3</v>
      </c>
      <c r="AB190" s="338">
        <f t="shared" si="127"/>
        <v>0</v>
      </c>
      <c r="AC190" s="338">
        <f t="shared" si="128"/>
        <v>13.800755787598252</v>
      </c>
      <c r="AF190" s="138">
        <f t="shared" si="129"/>
        <v>1</v>
      </c>
      <c r="AG190" s="138">
        <f t="shared" si="130"/>
        <v>1</v>
      </c>
      <c r="AH190" s="138">
        <f t="shared" si="146"/>
        <v>31</v>
      </c>
      <c r="AI190" s="138">
        <f t="shared" si="131"/>
        <v>5128</v>
      </c>
      <c r="AJ190" s="138">
        <f t="shared" si="132"/>
        <v>5145</v>
      </c>
      <c r="AL190" s="136">
        <f t="shared" si="147"/>
        <v>4.5795000000000003</v>
      </c>
      <c r="AM190" s="258">
        <f t="shared" si="148"/>
        <v>1.4999999999999999E-2</v>
      </c>
      <c r="AN190" s="258">
        <f t="shared" si="149"/>
        <v>7.4999999999999997E-3</v>
      </c>
      <c r="AO190" s="258">
        <f t="shared" si="150"/>
        <v>0.35</v>
      </c>
      <c r="AP190" s="258">
        <f t="shared" si="151"/>
        <v>0</v>
      </c>
      <c r="AQ190" s="136">
        <f t="shared" si="133"/>
        <v>3.6400000000000002E-2</v>
      </c>
      <c r="AR190" s="137">
        <f t="shared" si="152"/>
        <v>2.2499999999999999E-2</v>
      </c>
      <c r="AS190" s="136">
        <f t="shared" si="134"/>
        <v>4.6020000000000003</v>
      </c>
      <c r="AT190" s="137">
        <f t="shared" si="135"/>
        <v>6.3896481932523397E-2</v>
      </c>
      <c r="AU190" s="137">
        <f t="shared" si="153"/>
        <v>0.41252185057091384</v>
      </c>
      <c r="AV190" s="394">
        <f t="shared" si="136"/>
        <v>3273.7734061307724</v>
      </c>
      <c r="AW190" s="137">
        <f t="shared" si="154"/>
        <v>0.17</v>
      </c>
      <c r="AX190" s="137">
        <f t="shared" si="155"/>
        <v>1</v>
      </c>
      <c r="AY190" s="137">
        <f t="shared" si="156"/>
        <v>1</v>
      </c>
      <c r="AZ190" s="137"/>
      <c r="BA190" s="264"/>
      <c r="BB190" s="258">
        <f t="shared" si="157"/>
        <v>0</v>
      </c>
      <c r="BC190" s="258">
        <f t="shared" si="137"/>
        <v>0</v>
      </c>
      <c r="BD190" s="137">
        <f t="shared" si="138"/>
        <v>4.7811030369493412E-6</v>
      </c>
      <c r="BE190" s="137">
        <f t="shared" si="139"/>
        <v>4.7811030369493412E-6</v>
      </c>
      <c r="BF190" s="137">
        <f>_xll.xSPRDOPT($BW190,$BV190,$CG190,0,$BY190,$BX190,$BZ190,$AJ190,1,4)*$CB190</f>
        <v>-3.194817492842067E-7</v>
      </c>
      <c r="BG190" s="137">
        <f>_xll.xSPRDOPT($BW190,$BV190,$CG190,0,$BY190,$BX190,$BZ190,$AJ190,1,3)*$CB190</f>
        <v>1.2287759587854105E-7</v>
      </c>
      <c r="BH190" s="137">
        <f>IF(OR(BF190&lt;&gt;0,BG190&lt;&gt;0),_xll.xSPRDOPT($BW190,$BV190,$CG190,0,$BY190,$BX190,$BZ190,$AJ190,1,12)*$CB190,0)</f>
        <v>6.1438797939270524E-8</v>
      </c>
      <c r="BI190" s="137">
        <f>_xll.xSPRDOPT($BW190,$BV190,$CG190,2*LN(1+CA190/2),$BY190,$BX190,$BZ190,$AJ190,1,9)</f>
        <v>4.7917979259072627E-3</v>
      </c>
      <c r="BJ190" s="137">
        <f>_xll.xSPRDOPT($BW190,$BV190,$CG190,0,$BY190,$BX190,$BZ190,$AJ190,1,6)*$CB190</f>
        <v>-3.9590287262581458E-2</v>
      </c>
      <c r="BK190" s="137">
        <f>_xll.xSPRDOPT($BW190,$BV190,$CG190,0,$BY190,$BX190,$BZ190,$AJ190,1,5)*$CB190</f>
        <v>4.1453544943426297E-2</v>
      </c>
      <c r="BL190" s="137">
        <f>_xll.xSPRDOPT(BW190,BV190,CG190,0,BY190,BX190,BZ190,AJ190,1,2)*CB190</f>
        <v>-0.41161460612445783</v>
      </c>
      <c r="BM190" s="137">
        <f>_xll.xSPRDOPT(BW190,BV190,CG190,0,BY190,BX190,BZ190,AJ190,1,1)*CB190</f>
        <v>0.41161460611658296</v>
      </c>
      <c r="BN190" s="137">
        <f>IF(AH190&lt;&gt;0,_xll.xSPRDOPT($BW190,$BV190,$CG190,2*LN(1+CA190/2),$BY190,$BX190,$BZ190,$AJ190,1,8)+(AJ190/365.25)*CH190/AH190,0)</f>
        <v>1.065565828748283</v>
      </c>
      <c r="BO190" s="137">
        <f>_xll.xSPRDOPT($BW190,$BV190,$CG190,0,$BY190,$BX190,$BZ190,$AJ190,1,0)</f>
        <v>0.18523106794782859</v>
      </c>
      <c r="BP190" s="137"/>
      <c r="BQ190" s="137"/>
      <c r="BR190" s="137"/>
      <c r="BS190" s="137"/>
      <c r="BV190" s="262">
        <v>4.7079283887468035</v>
      </c>
      <c r="BW190" s="136">
        <v>4.9295</v>
      </c>
      <c r="BX190" s="137">
        <v>0.178394831276833</v>
      </c>
      <c r="BY190" s="137">
        <v>0.178394831276833</v>
      </c>
      <c r="BZ190" s="137">
        <v>1</v>
      </c>
      <c r="CA190" s="137">
        <v>6.3896481932523397E-2</v>
      </c>
      <c r="CB190" s="137">
        <v>0.41230879352299854</v>
      </c>
      <c r="CC190" s="258">
        <v>1.4999999999999999E-2</v>
      </c>
      <c r="CD190" s="258">
        <v>7.4999999999999997E-3</v>
      </c>
      <c r="CE190" s="258">
        <v>0.35</v>
      </c>
      <c r="CF190" s="258">
        <v>0</v>
      </c>
      <c r="CG190" s="258">
        <v>3.6400000000000002E-2</v>
      </c>
      <c r="CH190" s="258">
        <v>4.7125658173298168</v>
      </c>
      <c r="CI190" s="258">
        <v>4.5795000000000003</v>
      </c>
      <c r="CJ190" s="258"/>
      <c r="CK190" s="258"/>
      <c r="CL190" s="258"/>
      <c r="CM190" s="258"/>
    </row>
    <row r="191" spans="1:91" x14ac:dyDescent="0.25">
      <c r="A191" s="723"/>
      <c r="B191" s="723"/>
      <c r="D191" s="31">
        <f t="shared" si="117"/>
        <v>42415</v>
      </c>
      <c r="F191" s="28">
        <f t="shared" si="118"/>
        <v>11107</v>
      </c>
      <c r="G191" s="28">
        <f t="shared" si="140"/>
        <v>4554.950733234843</v>
      </c>
      <c r="H191" s="52">
        <f t="shared" si="119"/>
        <v>4.6209718670076727</v>
      </c>
      <c r="I191" s="52">
        <f t="shared" si="120"/>
        <v>4.8445</v>
      </c>
      <c r="K191" s="52">
        <f t="shared" si="121"/>
        <v>2.2254815315463929</v>
      </c>
      <c r="L191" s="135">
        <f t="shared" si="122"/>
        <v>6.6790379259495936E-4</v>
      </c>
      <c r="N191" s="131">
        <f t="shared" si="141"/>
        <v>0.17782504163772597</v>
      </c>
      <c r="O191" s="131">
        <f t="shared" si="142"/>
        <v>0.17782504163772597</v>
      </c>
      <c r="P191" s="55">
        <f t="shared" si="123"/>
        <v>1.0000000000000002</v>
      </c>
      <c r="Q191" s="135">
        <f>_xll.xSPRDOPT(I191,H191,AQ191,0,O191,N191,P191,D191-$G$5,1,0)*AH191*AU191</f>
        <v>2.2261494353389879</v>
      </c>
      <c r="R191" s="135"/>
      <c r="S191" s="181">
        <f t="shared" si="124"/>
        <v>-133130.93444081236</v>
      </c>
      <c r="T191" s="181">
        <f>_xll.xSPRDOPT(I191,H191,AQ191,AT191,O191,N191,P191,D191-$G$5,1,1)*AF191*F191*AH191</f>
        <v>130135.48841589408</v>
      </c>
      <c r="U191" s="135"/>
      <c r="V191" s="146">
        <f t="shared" si="125"/>
        <v>4.3848833820983986</v>
      </c>
      <c r="W191" s="146"/>
      <c r="X191" s="338">
        <f t="shared" si="126"/>
        <v>0</v>
      </c>
      <c r="Y191" s="338">
        <f t="shared" si="143"/>
        <v>0</v>
      </c>
      <c r="Z191" s="338">
        <f t="shared" si="144"/>
        <v>12.75992310809977</v>
      </c>
      <c r="AA191" s="338">
        <f t="shared" si="145"/>
        <v>1.981382535292973E-3</v>
      </c>
      <c r="AB191" s="338">
        <f t="shared" si="127"/>
        <v>0</v>
      </c>
      <c r="AC191" s="338">
        <f t="shared" si="128"/>
        <v>12.978075278848952</v>
      </c>
      <c r="AF191" s="138">
        <f t="shared" si="129"/>
        <v>1</v>
      </c>
      <c r="AG191" s="138">
        <f t="shared" si="130"/>
        <v>2</v>
      </c>
      <c r="AH191" s="138">
        <f t="shared" si="146"/>
        <v>29</v>
      </c>
      <c r="AI191" s="138">
        <f t="shared" si="131"/>
        <v>5159</v>
      </c>
      <c r="AJ191" s="138">
        <f t="shared" si="132"/>
        <v>5176</v>
      </c>
      <c r="AL191" s="136">
        <f t="shared" si="147"/>
        <v>4.4945000000000004</v>
      </c>
      <c r="AM191" s="258">
        <f t="shared" si="148"/>
        <v>1.4999999999999999E-2</v>
      </c>
      <c r="AN191" s="258">
        <f t="shared" si="149"/>
        <v>7.4999999999999997E-3</v>
      </c>
      <c r="AO191" s="258">
        <f t="shared" si="150"/>
        <v>0.35</v>
      </c>
      <c r="AP191" s="258">
        <f t="shared" si="151"/>
        <v>0</v>
      </c>
      <c r="AQ191" s="136">
        <f t="shared" si="133"/>
        <v>3.6400000000000002E-2</v>
      </c>
      <c r="AR191" s="137">
        <f t="shared" si="152"/>
        <v>2.2499999999999999E-2</v>
      </c>
      <c r="AS191" s="136">
        <f t="shared" si="134"/>
        <v>4.5170000000000003</v>
      </c>
      <c r="AT191" s="137">
        <f t="shared" si="135"/>
        <v>6.3937026042434994E-2</v>
      </c>
      <c r="AU191" s="137">
        <f t="shared" si="153"/>
        <v>0.4100973019928732</v>
      </c>
      <c r="AV191" s="394">
        <f t="shared" si="136"/>
        <v>3044.5623699950906</v>
      </c>
      <c r="AW191" s="137">
        <f t="shared" si="154"/>
        <v>0.17</v>
      </c>
      <c r="AX191" s="137">
        <f t="shared" si="155"/>
        <v>1</v>
      </c>
      <c r="AY191" s="137">
        <f t="shared" si="156"/>
        <v>1</v>
      </c>
      <c r="AZ191" s="137"/>
      <c r="BA191" s="264"/>
      <c r="BB191" s="258">
        <f t="shared" si="157"/>
        <v>0</v>
      </c>
      <c r="BC191" s="258">
        <f t="shared" si="137"/>
        <v>0</v>
      </c>
      <c r="BD191" s="137">
        <f t="shared" si="138"/>
        <v>4.4352187091312167E-6</v>
      </c>
      <c r="BE191" s="137">
        <f t="shared" si="139"/>
        <v>4.4352187091312167E-6</v>
      </c>
      <c r="BF191" s="137">
        <f>_xll.xSPRDOPT($BW191,$BV191,$CG191,0,$BY191,$BX191,$BZ191,$AJ191,1,4)*$CB191</f>
        <v>-1.7101750101169347E-7</v>
      </c>
      <c r="BG191" s="137">
        <f>_xll.xSPRDOPT($BW191,$BV191,$CG191,0,$BY191,$BX191,$BZ191,$AJ191,1,3)*$CB191</f>
        <v>-3.1760393045028785E-7</v>
      </c>
      <c r="BH191" s="137">
        <f>IF(OR(BF191&lt;&gt;0,BG191&lt;&gt;0),_xll.xSPRDOPT($BW191,$BV191,$CG191,0,$BY191,$BX191,$BZ191,$AJ191,1,12)*$CB191,0)</f>
        <v>-2.4431071573099066E-8</v>
      </c>
      <c r="BI191" s="137">
        <f>_xll.xSPRDOPT($BW191,$BV191,$CG191,2*LN(1+CA191/2),$BY191,$BX191,$BZ191,$AJ191,1,9)</f>
        <v>4.8230554773198231E-3</v>
      </c>
      <c r="BJ191" s="137">
        <f>_xll.xSPRDOPT($BW191,$BV191,$CG191,0,$BY191,$BX191,$BZ191,$AJ191,1,6)*$CB191</f>
        <v>-2.6852632858646235E-2</v>
      </c>
      <c r="BK191" s="137">
        <f>_xll.xSPRDOPT($BW191,$BV191,$CG191,0,$BY191,$BX191,$BZ191,$AJ191,1,5)*$CB191</f>
        <v>2.8239575562549066E-2</v>
      </c>
      <c r="BL191" s="137">
        <f>_xll.xSPRDOPT(BW191,BV191,CG191,0,BY191,BX191,BZ191,AJ191,1,2)*CB191</f>
        <v>-0.40957358692108164</v>
      </c>
      <c r="BM191" s="137">
        <f>_xll.xSPRDOPT(BW191,BV191,CG191,0,BY191,BX191,BZ191,AJ191,1,1)*CB191</f>
        <v>0.40957358692350476</v>
      </c>
      <c r="BN191" s="137">
        <f>IF(AH191&lt;&gt;0,_xll.xSPRDOPT($BW191,$BV191,$CG191,2*LN(1+CA191/2),$BY191,$BX191,$BZ191,$AJ191,1,8)+(AJ191/365.25)*CH191/AH191,0)</f>
        <v>1.0543393536280103</v>
      </c>
      <c r="BO191" s="137">
        <f>_xll.xSPRDOPT($BW191,$BV191,$CG191,0,$BY191,$BX191,$BZ191,$AJ191,1,0)</f>
        <v>0.1871843972963145</v>
      </c>
      <c r="BP191" s="137"/>
      <c r="BQ191" s="137"/>
      <c r="BR191" s="137"/>
      <c r="BS191" s="137"/>
      <c r="BV191" s="262">
        <v>4.6209718670076727</v>
      </c>
      <c r="BW191" s="136">
        <v>4.8445</v>
      </c>
      <c r="BX191" s="137">
        <v>0.17782060641901684</v>
      </c>
      <c r="BY191" s="137">
        <v>0.17782060641901684</v>
      </c>
      <c r="BZ191" s="137">
        <v>1</v>
      </c>
      <c r="CA191" s="137">
        <v>6.3937026042434994E-2</v>
      </c>
      <c r="CB191" s="137">
        <v>0.40988536489334282</v>
      </c>
      <c r="CC191" s="258">
        <v>1.4999999999999999E-2</v>
      </c>
      <c r="CD191" s="258">
        <v>7.4999999999999997E-3</v>
      </c>
      <c r="CE191" s="258">
        <v>0.35</v>
      </c>
      <c r="CF191" s="258">
        <v>0</v>
      </c>
      <c r="CG191" s="258">
        <v>3.6400000000000002E-2</v>
      </c>
      <c r="CH191" s="258">
        <v>4.38261728704909</v>
      </c>
      <c r="CI191" s="258">
        <v>4.4945000000000004</v>
      </c>
      <c r="CJ191" s="258"/>
      <c r="CK191" s="258"/>
      <c r="CL191" s="258"/>
      <c r="CM191" s="258"/>
    </row>
    <row r="192" spans="1:91" x14ac:dyDescent="0.25">
      <c r="A192" s="723"/>
      <c r="B192" s="723"/>
      <c r="D192" s="31">
        <f t="shared" si="117"/>
        <v>42444</v>
      </c>
      <c r="F192" s="28">
        <f t="shared" si="118"/>
        <v>11107</v>
      </c>
      <c r="G192" s="28">
        <f t="shared" si="140"/>
        <v>4529.8746576048952</v>
      </c>
      <c r="H192" s="52">
        <f t="shared" si="119"/>
        <v>4.4930946291560092</v>
      </c>
      <c r="I192" s="52">
        <f t="shared" si="120"/>
        <v>4.7645</v>
      </c>
      <c r="K192" s="52">
        <f t="shared" si="121"/>
        <v>2.9711795342940719</v>
      </c>
      <c r="L192" s="135">
        <f t="shared" si="122"/>
        <v>2.6014504530591509E-4</v>
      </c>
      <c r="N192" s="131">
        <f t="shared" si="141"/>
        <v>0.17461233812902727</v>
      </c>
      <c r="O192" s="131">
        <f t="shared" si="142"/>
        <v>0.17461233812902727</v>
      </c>
      <c r="P192" s="55">
        <f t="shared" si="123"/>
        <v>1.0000000000000002</v>
      </c>
      <c r="Q192" s="135">
        <f>_xll.xSPRDOPT(I192,H192,AQ192,0,O192,N192,P192,D192-$G$5,1,0)*AH192*AU192</f>
        <v>2.9714396793393778</v>
      </c>
      <c r="R192" s="135"/>
      <c r="S192" s="181">
        <f t="shared" si="124"/>
        <v>-141575.21007867169</v>
      </c>
      <c r="T192" s="181">
        <f>_xll.xSPRDOPT(I192,H192,AQ192,AT192,O192,N192,P192,D192-$G$5,1,1)*AF192*F192*AH192</f>
        <v>138389.76785190159</v>
      </c>
      <c r="U192" s="135"/>
      <c r="V192" s="146">
        <f t="shared" si="125"/>
        <v>4.6614845029284844</v>
      </c>
      <c r="W192" s="146"/>
      <c r="X192" s="338">
        <f t="shared" si="126"/>
        <v>0</v>
      </c>
      <c r="Y192" s="338">
        <f t="shared" si="143"/>
        <v>0</v>
      </c>
      <c r="Z192" s="338">
        <f t="shared" si="144"/>
        <v>17.052845577257035</v>
      </c>
      <c r="AA192" s="338">
        <f t="shared" si="145"/>
        <v>4.6706590801528499E-4</v>
      </c>
      <c r="AB192" s="338">
        <f t="shared" si="127"/>
        <v>0</v>
      </c>
      <c r="AC192" s="338">
        <f t="shared" si="128"/>
        <v>17.333257389112486</v>
      </c>
      <c r="AF192" s="138">
        <f t="shared" si="129"/>
        <v>1</v>
      </c>
      <c r="AG192" s="138">
        <f t="shared" si="130"/>
        <v>3</v>
      </c>
      <c r="AH192" s="138">
        <f t="shared" si="146"/>
        <v>31</v>
      </c>
      <c r="AI192" s="138">
        <f t="shared" si="131"/>
        <v>5188</v>
      </c>
      <c r="AJ192" s="138">
        <f t="shared" si="132"/>
        <v>5205</v>
      </c>
      <c r="AL192" s="136">
        <f t="shared" si="147"/>
        <v>4.3644999999999996</v>
      </c>
      <c r="AM192" s="258">
        <f t="shared" si="148"/>
        <v>0.02</v>
      </c>
      <c r="AN192" s="258">
        <f t="shared" si="149"/>
        <v>7.4999999999999997E-3</v>
      </c>
      <c r="AO192" s="258">
        <f t="shared" si="150"/>
        <v>0.4</v>
      </c>
      <c r="AP192" s="258">
        <f t="shared" si="151"/>
        <v>0</v>
      </c>
      <c r="AQ192" s="136">
        <f t="shared" si="133"/>
        <v>3.6400000000000002E-2</v>
      </c>
      <c r="AR192" s="137">
        <f t="shared" si="152"/>
        <v>2.2499999999999999E-2</v>
      </c>
      <c r="AS192" s="136">
        <f t="shared" si="134"/>
        <v>4.3919999999999995</v>
      </c>
      <c r="AT192" s="137">
        <f t="shared" si="135"/>
        <v>6.3974954403813303E-2</v>
      </c>
      <c r="AU192" s="137">
        <f t="shared" si="153"/>
        <v>0.40783961984378281</v>
      </c>
      <c r="AV192" s="394">
        <f t="shared" si="136"/>
        <v>3236.6152230802604</v>
      </c>
      <c r="AW192" s="137">
        <f t="shared" si="154"/>
        <v>0.17</v>
      </c>
      <c r="AX192" s="137">
        <f t="shared" si="155"/>
        <v>0.75</v>
      </c>
      <c r="AY192" s="137">
        <f t="shared" si="156"/>
        <v>0.75</v>
      </c>
      <c r="AZ192" s="137"/>
      <c r="BA192" s="264"/>
      <c r="BB192" s="258">
        <f t="shared" si="157"/>
        <v>0</v>
      </c>
      <c r="BC192" s="258">
        <f t="shared" si="137"/>
        <v>0</v>
      </c>
      <c r="BD192" s="137">
        <f t="shared" si="138"/>
        <v>2.6225614929153984E-6</v>
      </c>
      <c r="BE192" s="137">
        <f t="shared" si="139"/>
        <v>2.6225614929153984E-6</v>
      </c>
      <c r="BF192" s="137">
        <f>_xll.xSPRDOPT($BW192,$BV192,$CG192,0,$BY192,$BX192,$BZ192,$AJ192,1,4)*$CB192</f>
        <v>3.1585535072821566E-7</v>
      </c>
      <c r="BG192" s="137">
        <f>_xll.xSPRDOPT($BW192,$BV192,$CG192,0,$BY192,$BX192,$BZ192,$AJ192,1,3)*$CB192</f>
        <v>4.1304161249074354E-7</v>
      </c>
      <c r="BH192" s="137">
        <f>IF(OR(BF192&lt;&gt;0,BG192&lt;&gt;0),_xll.xSPRDOPT($BW192,$BV192,$CG192,0,$BY192,$BX192,$BZ192,$AJ192,1,12)*$CB192,0)</f>
        <v>-1.3363110992347583E-7</v>
      </c>
      <c r="BI192" s="137">
        <f>_xll.xSPRDOPT($BW192,$BV192,$CG192,2*LN(1+CA192/2),$BY192,$BX192,$BZ192,$AJ192,1,9)</f>
        <v>6.0298618686589504E-3</v>
      </c>
      <c r="BJ192" s="137">
        <f>_xll.xSPRDOPT($BW192,$BV192,$CG192,0,$BY192,$BX192,$BZ192,$AJ192,1,6)*$CB192</f>
        <v>-8.5629055255080581E-3</v>
      </c>
      <c r="BK192" s="137">
        <f>_xll.xSPRDOPT($BW192,$BV192,$CG192,0,$BY192,$BX192,$BZ192,$AJ192,1,5)*$CB192</f>
        <v>9.0801478117301573E-3</v>
      </c>
      <c r="BL192" s="137">
        <f>_xll.xSPRDOPT(BW192,BV192,CG192,0,BY192,BX192,BZ192,AJ192,1,2)*CB192</f>
        <v>-0.40749099862244298</v>
      </c>
      <c r="BM192" s="137">
        <f>_xll.xSPRDOPT(BW192,BV192,CG192,0,BY192,BX192,BZ192,AJ192,1,1)*CB192</f>
        <v>0.40749099862114541</v>
      </c>
      <c r="BN192" s="137">
        <f>IF(AH192&lt;&gt;0,_xll.xSPRDOPT($BW192,$BV192,$CG192,2*LN(1+CA192/2),$BY192,$BX192,$BZ192,$AJ192,1,8)+(AJ192/365.25)*CH192/AH192,0)</f>
        <v>0.77650134194397213</v>
      </c>
      <c r="BO192" s="137">
        <f>_xll.xSPRDOPT($BW192,$BV192,$CG192,0,$BY192,$BX192,$BZ192,$AJ192,1,0)</f>
        <v>0.23502600756185851</v>
      </c>
      <c r="BP192" s="137"/>
      <c r="BQ192" s="137"/>
      <c r="BR192" s="137"/>
      <c r="BS192" s="137"/>
      <c r="BV192" s="262">
        <v>4.4930946291560092</v>
      </c>
      <c r="BW192" s="136">
        <v>4.7645</v>
      </c>
      <c r="BX192" s="137">
        <v>0.17460971556753435</v>
      </c>
      <c r="BY192" s="137">
        <v>0.17460971556753435</v>
      </c>
      <c r="BZ192" s="137">
        <v>1</v>
      </c>
      <c r="CA192" s="137">
        <v>6.3974954403813303E-2</v>
      </c>
      <c r="CB192" s="137">
        <v>0.40762872645561776</v>
      </c>
      <c r="CC192" s="258">
        <v>0.02</v>
      </c>
      <c r="CD192" s="258">
        <v>7.4999999999999997E-3</v>
      </c>
      <c r="CE192" s="258">
        <v>0.4</v>
      </c>
      <c r="CF192" s="258">
        <v>0</v>
      </c>
      <c r="CG192" s="258">
        <v>3.6400000000000002E-2</v>
      </c>
      <c r="CH192" s="258">
        <v>4.6590740547697749</v>
      </c>
      <c r="CI192" s="258">
        <v>4.3644999999999996</v>
      </c>
      <c r="CJ192" s="258"/>
      <c r="CK192" s="258"/>
      <c r="CL192" s="258"/>
      <c r="CM192" s="258"/>
    </row>
    <row r="193" spans="1:91" x14ac:dyDescent="0.25">
      <c r="A193" s="723"/>
      <c r="B193" s="723"/>
      <c r="D193" s="31">
        <f t="shared" si="117"/>
        <v>42475</v>
      </c>
      <c r="F193" s="28">
        <f t="shared" si="118"/>
        <v>5899</v>
      </c>
      <c r="G193" s="28">
        <f t="shared" si="140"/>
        <v>2391.6750210263403</v>
      </c>
      <c r="H193" s="52">
        <f t="shared" si="119"/>
        <v>4.3063938618925821</v>
      </c>
      <c r="I193" s="52">
        <f t="shared" si="120"/>
        <v>4.7794999999999996</v>
      </c>
      <c r="K193" s="52">
        <f t="shared" si="121"/>
        <v>5.3117095882711807</v>
      </c>
      <c r="L193" s="135">
        <f t="shared" si="122"/>
        <v>8.8929691575145853E-6</v>
      </c>
      <c r="N193" s="131">
        <f t="shared" si="141"/>
        <v>0.17110148003228842</v>
      </c>
      <c r="O193" s="131">
        <f t="shared" si="142"/>
        <v>0.17110148003228842</v>
      </c>
      <c r="P193" s="55">
        <f t="shared" si="123"/>
        <v>1</v>
      </c>
      <c r="Q193" s="135">
        <f>_xll.xSPRDOPT(I193,H193,AQ193,0,O193,N193,P193,D193-$G$5,1,0)*AH193*AU193</f>
        <v>5.3117184812403382</v>
      </c>
      <c r="R193" s="135"/>
      <c r="S193" s="181">
        <f t="shared" si="124"/>
        <v>-72353.890550765631</v>
      </c>
      <c r="T193" s="181">
        <f>_xll.xSPRDOPT(I193,H193,AQ193,AT193,O193,N193,P193,D193-$G$5,1,1)*AF193*F193*AH193</f>
        <v>70725.928013373414</v>
      </c>
      <c r="U193" s="135"/>
      <c r="V193" s="146">
        <f t="shared" si="125"/>
        <v>4.4845427034365741</v>
      </c>
      <c r="W193" s="146"/>
      <c r="X193" s="338">
        <f t="shared" si="126"/>
        <v>0</v>
      </c>
      <c r="Y193" s="338">
        <f t="shared" si="143"/>
        <v>0</v>
      </c>
      <c r="Z193" s="338">
        <f t="shared" si="144"/>
        <v>16.208397269916688</v>
      </c>
      <c r="AA193" s="338">
        <f t="shared" si="145"/>
        <v>2.549943003246386E-6</v>
      </c>
      <c r="AB193" s="338">
        <f t="shared" si="127"/>
        <v>0</v>
      </c>
      <c r="AC193" s="338">
        <f t="shared" si="128"/>
        <v>16.466634242166041</v>
      </c>
      <c r="AF193" s="138">
        <f t="shared" si="129"/>
        <v>1</v>
      </c>
      <c r="AG193" s="138">
        <f t="shared" si="130"/>
        <v>4</v>
      </c>
      <c r="AH193" s="138">
        <f t="shared" si="146"/>
        <v>30</v>
      </c>
      <c r="AI193" s="138">
        <f t="shared" si="131"/>
        <v>5219</v>
      </c>
      <c r="AJ193" s="138">
        <f t="shared" si="132"/>
        <v>5236</v>
      </c>
      <c r="AL193" s="136">
        <f t="shared" si="147"/>
        <v>4.1795</v>
      </c>
      <c r="AM193" s="258">
        <f t="shared" si="148"/>
        <v>0.02</v>
      </c>
      <c r="AN193" s="258">
        <f t="shared" si="149"/>
        <v>0.01</v>
      </c>
      <c r="AO193" s="258">
        <f t="shared" si="150"/>
        <v>0.6</v>
      </c>
      <c r="AP193" s="258">
        <f t="shared" si="151"/>
        <v>0</v>
      </c>
      <c r="AQ193" s="136">
        <f t="shared" si="133"/>
        <v>3.6400000000000002E-2</v>
      </c>
      <c r="AR193" s="137">
        <f t="shared" si="152"/>
        <v>2.2499999999999999E-2</v>
      </c>
      <c r="AS193" s="136">
        <f t="shared" si="134"/>
        <v>4.2094999999999994</v>
      </c>
      <c r="AT193" s="137">
        <f t="shared" si="135"/>
        <v>6.4015498514780098E-2</v>
      </c>
      <c r="AU193" s="137">
        <f t="shared" si="153"/>
        <v>0.40543736582918127</v>
      </c>
      <c r="AV193" s="394">
        <f t="shared" si="136"/>
        <v>1654.1844525830595</v>
      </c>
      <c r="AW193" s="137">
        <f t="shared" si="154"/>
        <v>0.17</v>
      </c>
      <c r="AX193" s="137">
        <f t="shared" si="155"/>
        <v>0.4</v>
      </c>
      <c r="AY193" s="137">
        <f t="shared" si="156"/>
        <v>0.4</v>
      </c>
      <c r="AZ193" s="137"/>
      <c r="BA193" s="264"/>
      <c r="BB193" s="258">
        <f t="shared" si="157"/>
        <v>0</v>
      </c>
      <c r="BC193" s="258">
        <f t="shared" si="137"/>
        <v>0</v>
      </c>
      <c r="BD193" s="137">
        <f t="shared" si="138"/>
        <v>6.2894975111360552E-7</v>
      </c>
      <c r="BE193" s="137">
        <f t="shared" si="139"/>
        <v>6.2894975111360552E-7</v>
      </c>
      <c r="BF193" s="137">
        <f>_xll.xSPRDOPT($BW193,$BV193,$CG193,0,$BY193,$BX193,$BZ193,$AJ193,1,4)*$CB193</f>
        <v>9.6613784762014482E-8</v>
      </c>
      <c r="BG193" s="137">
        <f>_xll.xSPRDOPT($BW193,$BV193,$CG193,0,$BY193,$BX193,$BZ193,$AJ193,1,3)*$CB193</f>
        <v>-4.3476203142906514E-7</v>
      </c>
      <c r="BH193" s="137">
        <f>IF(OR(BF193&lt;&gt;0,BG193&lt;&gt;0),_xll.xSPRDOPT($BW193,$BV193,$CG193,0,$BY193,$BX193,$BZ193,$AJ193,1,12)*$CB193,0)</f>
        <v>2.415344619050362E-8</v>
      </c>
      <c r="BI193" s="137">
        <f>_xll.xSPRDOPT($BW193,$BV193,$CG193,2*LN(1+CA193/2),$BY193,$BX193,$BZ193,$AJ193,1,9)</f>
        <v>1.1150886407935564E-2</v>
      </c>
      <c r="BJ193" s="137">
        <f>_xll.xSPRDOPT($BW193,$BV193,$CG193,0,$BY193,$BX193,$BZ193,$AJ193,1,6)*$CB193</f>
        <v>-2.0853073842092611E-4</v>
      </c>
      <c r="BK193" s="137">
        <f>_xll.xSPRDOPT($BW193,$BV193,$CG193,0,$BY193,$BX193,$BZ193,$AJ193,1,5)*$CB193</f>
        <v>2.3144019948098676E-4</v>
      </c>
      <c r="BL193" s="137">
        <f>_xll.xSPRDOPT(BW193,BV193,CG193,0,BY193,BX193,BZ193,AJ193,1,2)*CB193</f>
        <v>-0.40522480822411583</v>
      </c>
      <c r="BM193" s="137">
        <f>_xll.xSPRDOPT(BW193,BV193,CG193,0,BY193,BX193,BZ193,AJ193,1,1)*CB193</f>
        <v>0.40522480822927553</v>
      </c>
      <c r="BN193" s="137">
        <f>IF(AH193&lt;&gt;0,_xll.xSPRDOPT($BW193,$BV193,$CG193,2*LN(1+CA193/2),$BY193,$BX193,$BZ193,$AJ193,1,8)+(AJ193/365.25)*CH193/AH193,0)</f>
        <v>-0.3950583205264846</v>
      </c>
      <c r="BO193" s="137">
        <f>_xll.xSPRDOPT($BW193,$BV193,$CG193,0,$BY193,$BX193,$BZ193,$AJ193,1,0)</f>
        <v>0.4367068719865595</v>
      </c>
      <c r="BP193" s="137"/>
      <c r="BQ193" s="137"/>
      <c r="BR193" s="137"/>
      <c r="BS193" s="137"/>
      <c r="BV193" s="262">
        <v>4.3063938618925821</v>
      </c>
      <c r="BW193" s="136">
        <v>4.7794999999999996</v>
      </c>
      <c r="BX193" s="137">
        <v>0.17110085108253731</v>
      </c>
      <c r="BY193" s="137">
        <v>0.17110085108253731</v>
      </c>
      <c r="BZ193" s="137">
        <v>1</v>
      </c>
      <c r="CA193" s="137">
        <v>6.4015498514780098E-2</v>
      </c>
      <c r="CB193" s="137">
        <v>0.40522758388245639</v>
      </c>
      <c r="CC193" s="258">
        <v>0.02</v>
      </c>
      <c r="CD193" s="258">
        <v>0.01</v>
      </c>
      <c r="CE193" s="258">
        <v>0.6</v>
      </c>
      <c r="CF193" s="258">
        <v>0</v>
      </c>
      <c r="CG193" s="258">
        <v>3.6400000000000002E-2</v>
      </c>
      <c r="CH193" s="258">
        <v>4.4822223053238499</v>
      </c>
      <c r="CI193" s="258">
        <v>4.1795</v>
      </c>
      <c r="CJ193" s="258"/>
      <c r="CK193" s="258"/>
      <c r="CL193" s="258"/>
      <c r="CM193" s="258"/>
    </row>
    <row r="194" spans="1:91" x14ac:dyDescent="0.25">
      <c r="A194" s="723"/>
      <c r="B194" s="723"/>
      <c r="D194" s="31">
        <f t="shared" si="117"/>
        <v>42505</v>
      </c>
      <c r="F194" s="28">
        <f t="shared" si="118"/>
        <v>5895</v>
      </c>
      <c r="G194" s="28">
        <f t="shared" si="140"/>
        <v>2376.4131606785609</v>
      </c>
      <c r="H194" s="52">
        <f t="shared" si="119"/>
        <v>4.3038363171355494</v>
      </c>
      <c r="I194" s="52">
        <f t="shared" si="120"/>
        <v>4.9245000000000001</v>
      </c>
      <c r="K194" s="52">
        <f t="shared" si="121"/>
        <v>7.3014434373594197</v>
      </c>
      <c r="L194" s="135">
        <f t="shared" si="122"/>
        <v>2.1637925797790558E-6</v>
      </c>
      <c r="N194" s="131">
        <f t="shared" si="141"/>
        <v>0.17149671035904943</v>
      </c>
      <c r="O194" s="131">
        <f t="shared" si="142"/>
        <v>0.17149671035904943</v>
      </c>
      <c r="P194" s="55">
        <f t="shared" si="123"/>
        <v>1</v>
      </c>
      <c r="Q194" s="135">
        <f>_xll.xSPRDOPT(I194,H194,AQ194,0,O194,N194,P194,D194-$G$5,1,0)*AH194*AU194</f>
        <v>7.3014456011519995</v>
      </c>
      <c r="R194" s="135"/>
      <c r="S194" s="181">
        <f t="shared" si="124"/>
        <v>-74281.51582726519</v>
      </c>
      <c r="T194" s="181">
        <f>_xll.xSPRDOPT(I194,H194,AQ194,AT194,O194,N194,P194,D194-$G$5,1,1)*AF194*F194*AH194</f>
        <v>72610.181721151719</v>
      </c>
      <c r="U194" s="135"/>
      <c r="V194" s="146">
        <f t="shared" si="125"/>
        <v>4.6075809164729007</v>
      </c>
      <c r="W194" s="146"/>
      <c r="X194" s="338">
        <f t="shared" si="126"/>
        <v>0</v>
      </c>
      <c r="Y194" s="338">
        <f t="shared" si="143"/>
        <v>0</v>
      </c>
      <c r="Z194" s="338">
        <f t="shared" si="144"/>
        <v>22.278435582174737</v>
      </c>
      <c r="AA194" s="338">
        <f t="shared" si="145"/>
        <v>1.5529639069197464E-6</v>
      </c>
      <c r="AB194" s="338">
        <f t="shared" si="127"/>
        <v>0</v>
      </c>
      <c r="AC194" s="338">
        <f t="shared" si="128"/>
        <v>22.633411760418777</v>
      </c>
      <c r="AF194" s="138">
        <f t="shared" si="129"/>
        <v>1</v>
      </c>
      <c r="AG194" s="138">
        <f t="shared" si="130"/>
        <v>5</v>
      </c>
      <c r="AH194" s="138">
        <f t="shared" si="146"/>
        <v>31</v>
      </c>
      <c r="AI194" s="138">
        <f t="shared" si="131"/>
        <v>5249</v>
      </c>
      <c r="AJ194" s="138">
        <f t="shared" si="132"/>
        <v>5266</v>
      </c>
      <c r="AL194" s="136">
        <f t="shared" si="147"/>
        <v>4.1745000000000001</v>
      </c>
      <c r="AM194" s="258">
        <f t="shared" si="148"/>
        <v>2.2499999999999999E-2</v>
      </c>
      <c r="AN194" s="258">
        <f t="shared" si="149"/>
        <v>0.01</v>
      </c>
      <c r="AO194" s="258">
        <f t="shared" si="150"/>
        <v>0.75</v>
      </c>
      <c r="AP194" s="258">
        <f t="shared" si="151"/>
        <v>0</v>
      </c>
      <c r="AQ194" s="136">
        <f t="shared" si="133"/>
        <v>3.6400000000000002E-2</v>
      </c>
      <c r="AR194" s="137">
        <f t="shared" si="152"/>
        <v>2.2499999999999999E-2</v>
      </c>
      <c r="AS194" s="136">
        <f t="shared" si="134"/>
        <v>4.2069999999999999</v>
      </c>
      <c r="AT194" s="137">
        <f t="shared" si="135"/>
        <v>6.4054734751718606E-2</v>
      </c>
      <c r="AU194" s="137">
        <f t="shared" si="153"/>
        <v>0.40312352174360661</v>
      </c>
      <c r="AV194" s="394">
        <f t="shared" si="136"/>
        <v>1699.5687676710454</v>
      </c>
      <c r="AW194" s="137">
        <f t="shared" si="154"/>
        <v>0.17</v>
      </c>
      <c r="AX194" s="137">
        <f t="shared" si="155"/>
        <v>0.45</v>
      </c>
      <c r="AY194" s="137">
        <f t="shared" si="156"/>
        <v>0.45</v>
      </c>
      <c r="AZ194" s="137"/>
      <c r="BA194" s="264"/>
      <c r="BB194" s="258">
        <f t="shared" si="157"/>
        <v>0</v>
      </c>
      <c r="BC194" s="258">
        <f t="shared" si="137"/>
        <v>0</v>
      </c>
      <c r="BD194" s="137">
        <f t="shared" si="138"/>
        <v>8.4870406935610987E-7</v>
      </c>
      <c r="BE194" s="137">
        <f t="shared" si="139"/>
        <v>8.4870406935610987E-7</v>
      </c>
      <c r="BF194" s="137">
        <f>_xll.xSPRDOPT($BW194,$BV194,$CG194,0,$BY194,$BX194,$BZ194,$AJ194,1,4)*$CB194</f>
        <v>9.6062376787822821E-8</v>
      </c>
      <c r="BG194" s="137">
        <f>_xll.xSPRDOPT($BW194,$BV194,$CG194,0,$BY194,$BX194,$BZ194,$AJ194,1,3)*$CB194</f>
        <v>4.803118839391141E-7</v>
      </c>
      <c r="BH194" s="137">
        <f>IF(OR(BF194&lt;&gt;0,BG194&lt;&gt;0),_xll.xSPRDOPT($BW194,$BV194,$CG194,0,$BY194,$BX194,$BZ194,$AJ194,1,12)*$CB194,0)</f>
        <v>-4.803118839391141E-7</v>
      </c>
      <c r="BI194" s="137">
        <f>_xll.xSPRDOPT($BW194,$BV194,$CG194,2*LN(1+CA194/2),$BY194,$BX194,$BZ194,$AJ194,1,9)</f>
        <v>1.4842537591341892E-2</v>
      </c>
      <c r="BJ194" s="137">
        <f>_xll.xSPRDOPT($BW194,$BV194,$CG194,0,$BY194,$BX194,$BZ194,$AJ194,1,6)*$CB194</f>
        <v>-6.9431937303759299E-5</v>
      </c>
      <c r="BK194" s="137">
        <f>_xll.xSPRDOPT($BW194,$BV194,$CG194,0,$BY194,$BX194,$BZ194,$AJ194,1,5)*$CB194</f>
        <v>7.9444830285482966E-5</v>
      </c>
      <c r="BL194" s="137">
        <f>_xll.xSPRDOPT(BW194,BV194,CG194,0,BY194,BX194,BZ194,AJ194,1,2)*CB194</f>
        <v>-0.40291395130977825</v>
      </c>
      <c r="BM194" s="137">
        <f>_xll.xSPRDOPT(BW194,BV194,CG194,0,BY194,BX194,BZ194,AJ194,1,1)*CB194</f>
        <v>0.40291395131270985</v>
      </c>
      <c r="BN194" s="137">
        <f>IF(AH194&lt;&gt;0,_xll.xSPRDOPT($BW194,$BV194,$CG194,2*LN(1+CA194/2),$BY194,$BX194,$BZ194,$AJ194,1,8)+(AJ194/365.25)*CH194/AH194,0)</f>
        <v>-1.2522176147553874</v>
      </c>
      <c r="BO194" s="137">
        <f>_xll.xSPRDOPT($BW194,$BV194,$CG194,0,$BY194,$BX194,$BZ194,$AJ194,1,0)</f>
        <v>0.58426385720535257</v>
      </c>
      <c r="BP194" s="137"/>
      <c r="BQ194" s="137"/>
      <c r="BR194" s="137"/>
      <c r="BS194" s="137"/>
      <c r="BV194" s="262">
        <v>4.3038363171355494</v>
      </c>
      <c r="BW194" s="136">
        <v>4.9245000000000001</v>
      </c>
      <c r="BX194" s="137">
        <v>0.17149586165498007</v>
      </c>
      <c r="BY194" s="137">
        <v>0.17149586165498007</v>
      </c>
      <c r="BZ194" s="137">
        <v>1</v>
      </c>
      <c r="CA194" s="137">
        <v>6.4054734751718606E-2</v>
      </c>
      <c r="CB194" s="137">
        <v>0.40291481121067241</v>
      </c>
      <c r="CC194" s="258">
        <v>2.2499999999999999E-2</v>
      </c>
      <c r="CD194" s="258">
        <v>0.01</v>
      </c>
      <c r="CE194" s="258">
        <v>0.75</v>
      </c>
      <c r="CF194" s="258">
        <v>0</v>
      </c>
      <c r="CG194" s="258">
        <v>3.6400000000000002E-2</v>
      </c>
      <c r="CH194" s="258">
        <v>4.6051954176946222</v>
      </c>
      <c r="CI194" s="258">
        <v>4.1745000000000001</v>
      </c>
      <c r="CJ194" s="258"/>
      <c r="CK194" s="258"/>
      <c r="CL194" s="258"/>
      <c r="CM194" s="258"/>
    </row>
    <row r="195" spans="1:91" x14ac:dyDescent="0.25">
      <c r="A195" s="723"/>
      <c r="B195" s="723"/>
      <c r="D195" s="31">
        <f t="shared" si="117"/>
        <v>42536</v>
      </c>
      <c r="F195" s="28">
        <f t="shared" si="118"/>
        <v>5895</v>
      </c>
      <c r="G195" s="28">
        <f t="shared" si="140"/>
        <v>2362.3846802204594</v>
      </c>
      <c r="H195" s="52">
        <f t="shared" si="119"/>
        <v>4.3396419437340148</v>
      </c>
      <c r="I195" s="52">
        <f t="shared" si="120"/>
        <v>5.0594999999999999</v>
      </c>
      <c r="K195" s="52">
        <f t="shared" si="121"/>
        <v>8.2167472859848125</v>
      </c>
      <c r="L195" s="135">
        <f t="shared" si="122"/>
        <v>1.3006225696443607E-6</v>
      </c>
      <c r="N195" s="131">
        <f t="shared" si="141"/>
        <v>0.17144032402719489</v>
      </c>
      <c r="O195" s="131">
        <f t="shared" si="142"/>
        <v>0.17144032402719489</v>
      </c>
      <c r="P195" s="55">
        <f t="shared" si="123"/>
        <v>1.0000000000000002</v>
      </c>
      <c r="Q195" s="135">
        <f>_xll.xSPRDOPT(I195,H195,AQ195,0,O195,N195,P195,D195-$G$5,1,0)*AH195*AU195</f>
        <v>8.2167485866073822</v>
      </c>
      <c r="R195" s="135"/>
      <c r="S195" s="181">
        <f t="shared" si="124"/>
        <v>-71453.698899311639</v>
      </c>
      <c r="T195" s="181">
        <f>_xll.xSPRDOPT(I195,H195,AQ195,AT195,O195,N195,P195,D195-$G$5,1,1)*AF195*F195*AH195</f>
        <v>69845.990674077126</v>
      </c>
      <c r="U195" s="135"/>
      <c r="V195" s="146">
        <f t="shared" si="125"/>
        <v>4.4326271328106017</v>
      </c>
      <c r="W195" s="146"/>
      <c r="X195" s="338">
        <f t="shared" si="126"/>
        <v>0</v>
      </c>
      <c r="Y195" s="338">
        <f t="shared" si="143"/>
        <v>0</v>
      </c>
      <c r="Z195" s="338">
        <f t="shared" si="144"/>
        <v>25.086924259250399</v>
      </c>
      <c r="AA195" s="338">
        <f t="shared" si="145"/>
        <v>5.1742309110326541E-7</v>
      </c>
      <c r="AB195" s="338">
        <f t="shared" si="127"/>
        <v>0</v>
      </c>
      <c r="AC195" s="338">
        <f t="shared" si="128"/>
        <v>25.486830626596614</v>
      </c>
      <c r="AF195" s="138">
        <f t="shared" si="129"/>
        <v>1</v>
      </c>
      <c r="AG195" s="138">
        <f t="shared" si="130"/>
        <v>6</v>
      </c>
      <c r="AH195" s="138">
        <f t="shared" si="146"/>
        <v>30</v>
      </c>
      <c r="AI195" s="138">
        <f t="shared" si="131"/>
        <v>5280</v>
      </c>
      <c r="AJ195" s="138">
        <f t="shared" si="132"/>
        <v>5297</v>
      </c>
      <c r="AL195" s="136">
        <f t="shared" si="147"/>
        <v>4.2095000000000002</v>
      </c>
      <c r="AM195" s="258">
        <f t="shared" si="148"/>
        <v>2.2499999999999999E-2</v>
      </c>
      <c r="AN195" s="258">
        <f t="shared" si="149"/>
        <v>0.01</v>
      </c>
      <c r="AO195" s="258">
        <f t="shared" si="150"/>
        <v>0.85</v>
      </c>
      <c r="AP195" s="258">
        <f t="shared" si="151"/>
        <v>0</v>
      </c>
      <c r="AQ195" s="136">
        <f t="shared" si="133"/>
        <v>3.6400000000000002E-2</v>
      </c>
      <c r="AR195" s="137">
        <f t="shared" si="152"/>
        <v>2.2499999999999999E-2</v>
      </c>
      <c r="AS195" s="136">
        <f t="shared" si="134"/>
        <v>4.242</v>
      </c>
      <c r="AT195" s="137">
        <f t="shared" si="135"/>
        <v>6.4095278863757904E-2</v>
      </c>
      <c r="AU195" s="137">
        <f t="shared" si="153"/>
        <v>0.4007437964750567</v>
      </c>
      <c r="AV195" s="394">
        <f t="shared" si="136"/>
        <v>1635.0346896182314</v>
      </c>
      <c r="AW195" s="137">
        <f t="shared" si="154"/>
        <v>0.17</v>
      </c>
      <c r="AX195" s="137">
        <f t="shared" si="155"/>
        <v>0.45</v>
      </c>
      <c r="AY195" s="137">
        <f t="shared" si="156"/>
        <v>0.45</v>
      </c>
      <c r="AZ195" s="137"/>
      <c r="BA195" s="264"/>
      <c r="BB195" s="258">
        <f t="shared" si="157"/>
        <v>0</v>
      </c>
      <c r="BC195" s="258">
        <f t="shared" si="137"/>
        <v>0</v>
      </c>
      <c r="BD195" s="137">
        <f t="shared" si="138"/>
        <v>8.1216144798279544E-7</v>
      </c>
      <c r="BE195" s="137">
        <f t="shared" si="139"/>
        <v>8.1216144798279544E-7</v>
      </c>
      <c r="BF195" s="137">
        <f>_xll.xSPRDOPT($BW195,$BV195,$CG195,0,$BY195,$BX195,$BZ195,$AJ195,1,4)*$CB195</f>
        <v>-2.8648580701092858E-7</v>
      </c>
      <c r="BG195" s="137">
        <f>_xll.xSPRDOPT($BW195,$BV195,$CG195,0,$BY195,$BX195,$BZ195,$AJ195,1,3)*$CB195</f>
        <v>-2.8648580701092858E-7</v>
      </c>
      <c r="BH195" s="137">
        <f>IF(OR(BF195&lt;&gt;0,BG195&lt;&gt;0),_xll.xSPRDOPT($BW195,$BV195,$CG195,0,$BY195,$BX195,$BZ195,$AJ195,1,12)*$CB195,0)</f>
        <v>2.3873817250910716E-7</v>
      </c>
      <c r="BI195" s="137">
        <f>_xll.xSPRDOPT($BW195,$BV195,$CG195,2*LN(1+CA195/2),$BY195,$BX195,$BZ195,$AJ195,1,9)</f>
        <v>1.7270755038528336E-2</v>
      </c>
      <c r="BJ195" s="137">
        <f>_xll.xSPRDOPT($BW195,$BV195,$CG195,0,$BY195,$BX195,$BZ195,$AJ195,1,6)*$CB195</f>
        <v>-2.1717323141260544E-5</v>
      </c>
      <c r="BK195" s="137">
        <f>_xll.xSPRDOPT($BW195,$BV195,$CG195,0,$BY195,$BX195,$BZ195,$AJ195,1,5)*$CB195</f>
        <v>2.531977654086645E-5</v>
      </c>
      <c r="BL195" s="137">
        <f>_xll.xSPRDOPT(BW195,BV195,CG195,0,BY195,BX195,BZ195,AJ195,1,2)*CB195</f>
        <v>-0.40053595301420991</v>
      </c>
      <c r="BM195" s="137">
        <f>_xll.xSPRDOPT(BW195,BV195,CG195,0,BY195,BX195,BZ195,AJ195,1,1)*CB195</f>
        <v>0.40053595301420991</v>
      </c>
      <c r="BN195" s="137">
        <f>IF(AH195&lt;&gt;0,_xll.xSPRDOPT($BW195,$BV195,$CG195,2*LN(1+CA195/2),$BY195,$BX195,$BZ195,$AJ195,1,8)+(AJ195/365.25)*CH195/AH195,0)</f>
        <v>-1.8283465388921725</v>
      </c>
      <c r="BO195" s="137">
        <f>_xll.xSPRDOPT($BW195,$BV195,$CG195,0,$BY195,$BX195,$BZ195,$AJ195,1,0)</f>
        <v>0.68345816487963618</v>
      </c>
      <c r="BP195" s="137"/>
      <c r="BQ195" s="137"/>
      <c r="BR195" s="137"/>
      <c r="BS195" s="137"/>
      <c r="BV195" s="262">
        <v>4.3396419437340148</v>
      </c>
      <c r="BW195" s="136">
        <v>5.0594999999999999</v>
      </c>
      <c r="BX195" s="137">
        <v>0.17143951186574691</v>
      </c>
      <c r="BY195" s="137">
        <v>0.17143951186574691</v>
      </c>
      <c r="BZ195" s="137">
        <v>1</v>
      </c>
      <c r="CA195" s="137">
        <v>6.4095278863757904E-2</v>
      </c>
      <c r="CB195" s="137">
        <v>0.40053618876305525</v>
      </c>
      <c r="CC195" s="258">
        <v>2.2499999999999999E-2</v>
      </c>
      <c r="CD195" s="258">
        <v>0.01</v>
      </c>
      <c r="CE195" s="258">
        <v>0.85</v>
      </c>
      <c r="CF195" s="258">
        <v>0</v>
      </c>
      <c r="CG195" s="258">
        <v>3.6400000000000002E-2</v>
      </c>
      <c r="CH195" s="258">
        <v>4.430330783908154</v>
      </c>
      <c r="CI195" s="258">
        <v>4.2095000000000002</v>
      </c>
      <c r="CJ195" s="258"/>
      <c r="CK195" s="258"/>
      <c r="CL195" s="258"/>
      <c r="CM195" s="258"/>
    </row>
    <row r="196" spans="1:91" x14ac:dyDescent="0.25">
      <c r="A196" s="723"/>
      <c r="B196" s="723"/>
      <c r="D196" s="31">
        <f t="shared" si="117"/>
        <v>42566</v>
      </c>
      <c r="F196" s="28">
        <f t="shared" si="118"/>
        <v>5895</v>
      </c>
      <c r="G196" s="28">
        <f t="shared" si="140"/>
        <v>2348.8726967534776</v>
      </c>
      <c r="H196" s="52">
        <f t="shared" si="119"/>
        <v>4.3805626598465475</v>
      </c>
      <c r="I196" s="52">
        <f t="shared" si="120"/>
        <v>5.2995000000000001</v>
      </c>
      <c r="K196" s="52">
        <f t="shared" si="121"/>
        <v>10.90110326152813</v>
      </c>
      <c r="L196" s="135">
        <f t="shared" si="122"/>
        <v>1.0559159520084904E-6</v>
      </c>
      <c r="N196" s="131">
        <f t="shared" si="141"/>
        <v>0.1718822766915003</v>
      </c>
      <c r="O196" s="131">
        <f t="shared" si="142"/>
        <v>0.1718822766915003</v>
      </c>
      <c r="P196" s="55">
        <f t="shared" si="123"/>
        <v>1</v>
      </c>
      <c r="Q196" s="135">
        <f>_xll.xSPRDOPT(I196,H196,AQ196,0,O196,N196,P196,D196-$G$5,1,0)*AH196*AU196</f>
        <v>10.901104317444082</v>
      </c>
      <c r="R196" s="135"/>
      <c r="S196" s="181">
        <f t="shared" si="124"/>
        <v>-73405.854965254999</v>
      </c>
      <c r="T196" s="181">
        <f>_xll.xSPRDOPT(I196,H196,AQ196,AT196,O196,N196,P196,D196-$G$5,1,1)*AF196*F196*AH196</f>
        <v>71754.223228536765</v>
      </c>
      <c r="U196" s="135"/>
      <c r="V196" s="146">
        <f t="shared" si="125"/>
        <v>4.5541832505654325</v>
      </c>
      <c r="W196" s="146"/>
      <c r="X196" s="338">
        <f t="shared" si="126"/>
        <v>0</v>
      </c>
      <c r="Y196" s="338">
        <f t="shared" si="143"/>
        <v>0</v>
      </c>
      <c r="Z196" s="338">
        <f t="shared" si="144"/>
        <v>33.302735943735769</v>
      </c>
      <c r="AA196" s="338">
        <f t="shared" si="145"/>
        <v>4.3184230439361448E-8</v>
      </c>
      <c r="AB196" s="338">
        <f t="shared" si="127"/>
        <v>0</v>
      </c>
      <c r="AC196" s="338">
        <f t="shared" si="128"/>
        <v>33.833892723193109</v>
      </c>
      <c r="AF196" s="138">
        <f t="shared" si="129"/>
        <v>1</v>
      </c>
      <c r="AG196" s="138">
        <f t="shared" si="130"/>
        <v>7</v>
      </c>
      <c r="AH196" s="138">
        <f t="shared" si="146"/>
        <v>31</v>
      </c>
      <c r="AI196" s="138">
        <f t="shared" si="131"/>
        <v>5310</v>
      </c>
      <c r="AJ196" s="138">
        <f t="shared" si="132"/>
        <v>5327</v>
      </c>
      <c r="AL196" s="136">
        <f t="shared" si="147"/>
        <v>4.2495000000000003</v>
      </c>
      <c r="AM196" s="258">
        <f t="shared" si="148"/>
        <v>2.2499999999999999E-2</v>
      </c>
      <c r="AN196" s="258">
        <f t="shared" si="149"/>
        <v>0.01</v>
      </c>
      <c r="AO196" s="258">
        <f t="shared" si="150"/>
        <v>1.05</v>
      </c>
      <c r="AP196" s="258">
        <f t="shared" si="151"/>
        <v>0</v>
      </c>
      <c r="AQ196" s="136">
        <f t="shared" si="133"/>
        <v>3.6400000000000002E-2</v>
      </c>
      <c r="AR196" s="137">
        <f t="shared" si="152"/>
        <v>2.2499999999999999E-2</v>
      </c>
      <c r="AS196" s="136">
        <f t="shared" si="134"/>
        <v>4.282</v>
      </c>
      <c r="AT196" s="137">
        <f t="shared" si="135"/>
        <v>6.4134515101734693E-2</v>
      </c>
      <c r="AU196" s="137">
        <f t="shared" si="153"/>
        <v>0.39845168732035241</v>
      </c>
      <c r="AV196" s="394">
        <f t="shared" si="136"/>
        <v>1679.8723137426057</v>
      </c>
      <c r="AW196" s="137">
        <f t="shared" si="154"/>
        <v>0.17</v>
      </c>
      <c r="AX196" s="137">
        <f t="shared" si="155"/>
        <v>0.5</v>
      </c>
      <c r="AY196" s="137">
        <f t="shared" si="156"/>
        <v>0.5</v>
      </c>
      <c r="AZ196" s="137"/>
      <c r="BA196" s="264"/>
      <c r="BB196" s="258">
        <f t="shared" si="157"/>
        <v>0</v>
      </c>
      <c r="BC196" s="258">
        <f t="shared" si="137"/>
        <v>0</v>
      </c>
      <c r="BD196" s="137">
        <f t="shared" si="138"/>
        <v>1.0539416674115731E-6</v>
      </c>
      <c r="BE196" s="137">
        <f t="shared" si="139"/>
        <v>1.0539416674115731E-6</v>
      </c>
      <c r="BF196" s="137">
        <f>_xll.xSPRDOPT($BW196,$BV196,$CG196,0,$BY196,$BX196,$BZ196,$AJ196,1,4)*$CB196</f>
        <v>2.8484712316534777E-7</v>
      </c>
      <c r="BG196" s="137">
        <f>_xll.xSPRDOPT($BW196,$BV196,$CG196,0,$BY196,$BX196,$BZ196,$AJ196,1,3)*$CB196</f>
        <v>0</v>
      </c>
      <c r="BH196" s="137">
        <f>IF(OR(BF196&lt;&gt;0,BG196&lt;&gt;0),_xll.xSPRDOPT($BW196,$BV196,$CG196,0,$BY196,$BX196,$BZ196,$AJ196,1,12)*$CB196,0)</f>
        <v>2.3737260263778979E-7</v>
      </c>
      <c r="BI196" s="137">
        <f>_xll.xSPRDOPT($BW196,$BV196,$CG196,2*LN(1+CA196/2),$BY196,$BX196,$BZ196,$AJ196,1,9)</f>
        <v>2.2187245074556512E-2</v>
      </c>
      <c r="BJ196" s="137">
        <f>_xll.xSPRDOPT($BW196,$BV196,$CG196,0,$BY196,$BX196,$BZ196,$AJ196,1,6)*$CB196</f>
        <v>-1.0688062951948175E-6</v>
      </c>
      <c r="BK196" s="137">
        <f>_xll.xSPRDOPT($BW196,$BV196,$CG196,0,$BY196,$BX196,$BZ196,$AJ196,1,5)*$CB196</f>
        <v>1.2930204914896355E-6</v>
      </c>
      <c r="BL196" s="137">
        <f>_xll.xSPRDOPT(BW196,BV196,CG196,0,BY196,BX196,BZ196,AJ196,1,2)*CB196</f>
        <v>-0.39824515680719408</v>
      </c>
      <c r="BM196" s="137">
        <f>_xll.xSPRDOPT(BW196,BV196,CG196,0,BY196,BX196,BZ196,AJ196,1,1)*CB196</f>
        <v>0.39824515680502087</v>
      </c>
      <c r="BN196" s="137">
        <f>IF(AH196&lt;&gt;0,_xll.xSPRDOPT($BW196,$BV196,$CG196,2*LN(1+CA196/2),$BY196,$BX196,$BZ196,$AJ196,1,8)+(AJ196/365.25)*CH196/AH196,0)</f>
        <v>-2.984480137411722</v>
      </c>
      <c r="BO196" s="137">
        <f>_xll.xSPRDOPT($BW196,$BV196,$CG196,0,$BY196,$BX196,$BZ196,$AJ196,1,0)</f>
        <v>0.88253742566554549</v>
      </c>
      <c r="BP196" s="137"/>
      <c r="BQ196" s="137"/>
      <c r="BR196" s="137"/>
      <c r="BS196" s="137"/>
      <c r="BV196" s="262">
        <v>4.3805626598465475</v>
      </c>
      <c r="BW196" s="136">
        <v>5.2995000000000001</v>
      </c>
      <c r="BX196" s="137">
        <v>0.17188122274983289</v>
      </c>
      <c r="BY196" s="137">
        <v>0.17188122274983289</v>
      </c>
      <c r="BZ196" s="137">
        <v>1</v>
      </c>
      <c r="CA196" s="137">
        <v>6.4134515101734693E-2</v>
      </c>
      <c r="CB196" s="137">
        <v>0.39824514269363692</v>
      </c>
      <c r="CC196" s="258">
        <v>2.2499999999999999E-2</v>
      </c>
      <c r="CD196" s="258">
        <v>0.01</v>
      </c>
      <c r="CE196" s="258">
        <v>1.05</v>
      </c>
      <c r="CF196" s="258">
        <v>0</v>
      </c>
      <c r="CG196" s="258">
        <v>3.6400000000000002E-2</v>
      </c>
      <c r="CH196" s="258">
        <v>4.5518225074454621</v>
      </c>
      <c r="CI196" s="258">
        <v>4.2495000000000003</v>
      </c>
      <c r="CJ196" s="258"/>
      <c r="CK196" s="258"/>
      <c r="CL196" s="258"/>
      <c r="CM196" s="258"/>
    </row>
    <row r="197" spans="1:91" x14ac:dyDescent="0.25">
      <c r="A197" s="723"/>
      <c r="B197" s="723"/>
      <c r="D197" s="31">
        <f t="shared" si="117"/>
        <v>42597</v>
      </c>
      <c r="F197" s="28">
        <f t="shared" si="118"/>
        <v>5895</v>
      </c>
      <c r="G197" s="28">
        <f t="shared" si="140"/>
        <v>2334.9762058046458</v>
      </c>
      <c r="H197" s="52">
        <f t="shared" si="119"/>
        <v>4.4163682864450129</v>
      </c>
      <c r="I197" s="52">
        <f t="shared" si="120"/>
        <v>5.3395000000000001</v>
      </c>
      <c r="K197" s="52">
        <f t="shared" si="121"/>
        <v>10.888112131396365</v>
      </c>
      <c r="L197" s="135">
        <f t="shared" si="122"/>
        <v>1.0578483511380909E-6</v>
      </c>
      <c r="N197" s="131">
        <f t="shared" si="141"/>
        <v>0.17231282890522298</v>
      </c>
      <c r="O197" s="131">
        <f t="shared" si="142"/>
        <v>0.17231282890522298</v>
      </c>
      <c r="P197" s="55">
        <f t="shared" si="123"/>
        <v>0.99999999999999978</v>
      </c>
      <c r="Q197" s="135">
        <f>_xll.xSPRDOPT(I197,H197,AQ197,0,O197,N197,P197,D197-$G$5,1,0)*AH197*AU197</f>
        <v>10.888113189244716</v>
      </c>
      <c r="R197" s="135"/>
      <c r="S197" s="181">
        <f t="shared" si="124"/>
        <v>-72963.984999711043</v>
      </c>
      <c r="T197" s="181">
        <f>_xll.xSPRDOPT(I197,H197,AQ197,AT197,O197,N197,P197,D197-$G$5,1,1)*AF197*F197*AH197</f>
        <v>71322.295337217554</v>
      </c>
      <c r="U197" s="135"/>
      <c r="V197" s="146">
        <f t="shared" si="125"/>
        <v>4.5272396165369573</v>
      </c>
      <c r="W197" s="146"/>
      <c r="X197" s="338">
        <f t="shared" si="126"/>
        <v>0</v>
      </c>
      <c r="Y197" s="338">
        <f t="shared" si="143"/>
        <v>0</v>
      </c>
      <c r="Z197" s="338">
        <f t="shared" si="144"/>
        <v>33.2837369575469</v>
      </c>
      <c r="AA197" s="338">
        <f t="shared" si="145"/>
        <v>5.0752651437234128E-8</v>
      </c>
      <c r="AB197" s="338">
        <f t="shared" si="127"/>
        <v>0</v>
      </c>
      <c r="AC197" s="338">
        <f t="shared" si="128"/>
        <v>33.814924472663968</v>
      </c>
      <c r="AF197" s="138">
        <f t="shared" si="129"/>
        <v>1</v>
      </c>
      <c r="AG197" s="138">
        <f t="shared" si="130"/>
        <v>8</v>
      </c>
      <c r="AH197" s="138">
        <f t="shared" si="146"/>
        <v>31</v>
      </c>
      <c r="AI197" s="138">
        <f t="shared" si="131"/>
        <v>5341</v>
      </c>
      <c r="AJ197" s="138">
        <f t="shared" si="132"/>
        <v>5358</v>
      </c>
      <c r="AL197" s="136">
        <f t="shared" si="147"/>
        <v>4.2895000000000003</v>
      </c>
      <c r="AM197" s="258">
        <f t="shared" si="148"/>
        <v>1.7500000000000002E-2</v>
      </c>
      <c r="AN197" s="258">
        <f t="shared" si="149"/>
        <v>0.01</v>
      </c>
      <c r="AO197" s="258">
        <f t="shared" si="150"/>
        <v>1.05</v>
      </c>
      <c r="AP197" s="258">
        <f t="shared" si="151"/>
        <v>0</v>
      </c>
      <c r="AQ197" s="136">
        <f t="shared" si="133"/>
        <v>3.6400000000000002E-2</v>
      </c>
      <c r="AR197" s="137">
        <f t="shared" si="152"/>
        <v>2.2499999999999999E-2</v>
      </c>
      <c r="AS197" s="136">
        <f t="shared" si="134"/>
        <v>4.3170000000000002</v>
      </c>
      <c r="AT197" s="137">
        <f t="shared" si="135"/>
        <v>6.4175059214845995E-2</v>
      </c>
      <c r="AU197" s="137">
        <f t="shared" si="153"/>
        <v>0.39609435212971095</v>
      </c>
      <c r="AV197" s="394">
        <f t="shared" si="136"/>
        <v>1669.9337885788614</v>
      </c>
      <c r="AW197" s="137">
        <f t="shared" si="154"/>
        <v>0.17</v>
      </c>
      <c r="AX197" s="137">
        <f t="shared" si="155"/>
        <v>0.55000000000000004</v>
      </c>
      <c r="AY197" s="137">
        <f t="shared" si="156"/>
        <v>0.55000000000000004</v>
      </c>
      <c r="AZ197" s="137"/>
      <c r="BA197" s="264"/>
      <c r="BB197" s="258">
        <f t="shared" si="157"/>
        <v>0</v>
      </c>
      <c r="BC197" s="258">
        <f t="shared" si="137"/>
        <v>0</v>
      </c>
      <c r="BD197" s="137">
        <f t="shared" si="138"/>
        <v>1.2859310233037657E-6</v>
      </c>
      <c r="BE197" s="137">
        <f t="shared" si="139"/>
        <v>1.2859310233037657E-6</v>
      </c>
      <c r="BF197" s="137">
        <f>_xll.xSPRDOPT($BW197,$BV197,$CG197,0,$BY197,$BX197,$BZ197,$AJ197,1,4)*$CB197</f>
        <v>-3.7754907773237166E-7</v>
      </c>
      <c r="BG197" s="137">
        <f>_xll.xSPRDOPT($BW197,$BV197,$CG197,0,$BY197,$BX197,$BZ197,$AJ197,1,3)*$CB197</f>
        <v>0</v>
      </c>
      <c r="BH197" s="137">
        <f>IF(OR(BF197&lt;&gt;0,BG197&lt;&gt;0),_xll.xSPRDOPT($BW197,$BV197,$CG197,0,$BY197,$BX197,$BZ197,$AJ197,1,12)*$CB197,0)</f>
        <v>-2.8316180829927876E-7</v>
      </c>
      <c r="BI197" s="137">
        <f>_xll.xSPRDOPT($BW197,$BV197,$CG197,2*LN(1+CA197/2),$BY197,$BX197,$BZ197,$AJ197,1,9)</f>
        <v>2.2174587400921146E-2</v>
      </c>
      <c r="BJ197" s="137">
        <f>_xll.xSPRDOPT($BW197,$BV197,$CG197,0,$BY197,$BX197,$BZ197,$AJ197,1,6)*$CB197</f>
        <v>-1.033222143942407E-6</v>
      </c>
      <c r="BK197" s="137">
        <f>_xll.xSPRDOPT($BW197,$BV197,$CG197,0,$BY197,$BX197,$BZ197,$AJ197,1,5)*$CB197</f>
        <v>1.2491932033274187E-6</v>
      </c>
      <c r="BL197" s="137">
        <f>_xll.xSPRDOPT(BW197,BV197,CG197,0,BY197,BX197,BZ197,AJ197,1,2)*CB197</f>
        <v>-0.39588891598991005</v>
      </c>
      <c r="BM197" s="137">
        <f>_xll.xSPRDOPT(BW197,BV197,CG197,0,BY197,BX197,BZ197,AJ197,1,1)*CB197</f>
        <v>0.39588891599135029</v>
      </c>
      <c r="BN197" s="137">
        <f>IF(AH197&lt;&gt;0,_xll.xSPRDOPT($BW197,$BV197,$CG197,2*LN(1+CA197/2),$BY197,$BX197,$BZ197,$AJ197,1,8)+(AJ197/365.25)*CH197/AH197,0)</f>
        <v>-3.008446077219403</v>
      </c>
      <c r="BO197" s="137">
        <f>_xll.xSPRDOPT($BW197,$BV197,$CG197,0,$BY197,$BX197,$BZ197,$AJ197,1,0)</f>
        <v>0.88673179973217642</v>
      </c>
      <c r="BP197" s="137"/>
      <c r="BQ197" s="137"/>
      <c r="BR197" s="137"/>
      <c r="BS197" s="137"/>
      <c r="BV197" s="262">
        <v>4.4163682864450129</v>
      </c>
      <c r="BW197" s="136">
        <v>5.3395000000000001</v>
      </c>
      <c r="BX197" s="137">
        <v>0.17231154297419968</v>
      </c>
      <c r="BY197" s="137">
        <v>0.17231154297419968</v>
      </c>
      <c r="BZ197" s="137">
        <v>1</v>
      </c>
      <c r="CA197" s="137">
        <v>6.4175059214845995E-2</v>
      </c>
      <c r="CB197" s="137">
        <v>0.39588890173229935</v>
      </c>
      <c r="CC197" s="258">
        <v>1.7500000000000002E-2</v>
      </c>
      <c r="CD197" s="258">
        <v>0.01</v>
      </c>
      <c r="CE197" s="258">
        <v>1.05</v>
      </c>
      <c r="CF197" s="258">
        <v>0</v>
      </c>
      <c r="CG197" s="258">
        <v>3.6400000000000002E-2</v>
      </c>
      <c r="CH197" s="258">
        <v>4.5248913801296622</v>
      </c>
      <c r="CI197" s="258">
        <v>4.2895000000000003</v>
      </c>
      <c r="CJ197" s="258"/>
      <c r="CK197" s="258"/>
      <c r="CL197" s="258"/>
      <c r="CM197" s="258"/>
    </row>
    <row r="198" spans="1:91" x14ac:dyDescent="0.25">
      <c r="A198" s="723"/>
      <c r="B198" s="723"/>
      <c r="D198" s="31">
        <f t="shared" si="117"/>
        <v>42628</v>
      </c>
      <c r="F198" s="28">
        <f t="shared" si="118"/>
        <v>5895</v>
      </c>
      <c r="G198" s="28">
        <f t="shared" si="140"/>
        <v>2321.1464779825906</v>
      </c>
      <c r="H198" s="52">
        <f t="shared" si="119"/>
        <v>4.4112531969309465</v>
      </c>
      <c r="I198" s="52">
        <f t="shared" si="120"/>
        <v>5.0345000000000004</v>
      </c>
      <c r="K198" s="52">
        <f t="shared" si="121"/>
        <v>6.9320986771454312</v>
      </c>
      <c r="L198" s="135">
        <f t="shared" si="122"/>
        <v>2.7661812147528053E-6</v>
      </c>
      <c r="N198" s="131">
        <f t="shared" si="141"/>
        <v>0.17222611313306402</v>
      </c>
      <c r="O198" s="131">
        <f t="shared" si="142"/>
        <v>0.17222611313306402</v>
      </c>
      <c r="P198" s="55">
        <f t="shared" si="123"/>
        <v>1</v>
      </c>
      <c r="Q198" s="135">
        <f>_xll.xSPRDOPT(I198,H198,AQ198,0,O198,N198,P198,D198-$G$5,1,0)*AH198*AU198</f>
        <v>6.9321014433266459</v>
      </c>
      <c r="R198" s="135"/>
      <c r="S198" s="181">
        <f t="shared" si="124"/>
        <v>-70184.637998655802</v>
      </c>
      <c r="T198" s="181">
        <f>_xll.xSPRDOPT(I198,H198,AQ198,AT198,O198,N198,P198,D198-$G$5,1,1)*AF198*F198*AH198</f>
        <v>68605.48364368605</v>
      </c>
      <c r="U198" s="135"/>
      <c r="V198" s="146">
        <f t="shared" si="125"/>
        <v>4.3552504144131348</v>
      </c>
      <c r="W198" s="146"/>
      <c r="X198" s="338">
        <f t="shared" si="126"/>
        <v>0</v>
      </c>
      <c r="Y198" s="338">
        <f t="shared" si="143"/>
        <v>0</v>
      </c>
      <c r="Z198" s="338">
        <f t="shared" si="144"/>
        <v>21.203746688804895</v>
      </c>
      <c r="AA198" s="338">
        <f t="shared" si="145"/>
        <v>2.060436302549253E-6</v>
      </c>
      <c r="AB198" s="338">
        <f t="shared" si="127"/>
        <v>0</v>
      </c>
      <c r="AC198" s="338">
        <f t="shared" si="128"/>
        <v>21.542438119561719</v>
      </c>
      <c r="AF198" s="138">
        <f t="shared" si="129"/>
        <v>1</v>
      </c>
      <c r="AG198" s="138">
        <f t="shared" si="130"/>
        <v>9</v>
      </c>
      <c r="AH198" s="138">
        <f t="shared" si="146"/>
        <v>30</v>
      </c>
      <c r="AI198" s="138">
        <f t="shared" si="131"/>
        <v>5372</v>
      </c>
      <c r="AJ198" s="138">
        <f t="shared" si="132"/>
        <v>5389</v>
      </c>
      <c r="AL198" s="136">
        <f t="shared" si="147"/>
        <v>4.2845000000000004</v>
      </c>
      <c r="AM198" s="258">
        <f t="shared" si="148"/>
        <v>1.7500000000000002E-2</v>
      </c>
      <c r="AN198" s="258">
        <f t="shared" si="149"/>
        <v>0.01</v>
      </c>
      <c r="AO198" s="258">
        <f t="shared" si="150"/>
        <v>0.75</v>
      </c>
      <c r="AP198" s="258">
        <f t="shared" si="151"/>
        <v>0</v>
      </c>
      <c r="AQ198" s="136">
        <f t="shared" si="133"/>
        <v>3.6400000000000002E-2</v>
      </c>
      <c r="AR198" s="137">
        <f t="shared" si="152"/>
        <v>2.2499999999999999E-2</v>
      </c>
      <c r="AS198" s="136">
        <f t="shared" si="134"/>
        <v>4.3120000000000003</v>
      </c>
      <c r="AT198" s="137">
        <f t="shared" si="135"/>
        <v>6.4215603328503096E-2</v>
      </c>
      <c r="AU198" s="137">
        <f t="shared" si="153"/>
        <v>0.3937483423210501</v>
      </c>
      <c r="AV198" s="394">
        <f t="shared" si="136"/>
        <v>1606.4932366698845</v>
      </c>
      <c r="AW198" s="137">
        <f t="shared" si="154"/>
        <v>0.17</v>
      </c>
      <c r="AX198" s="137">
        <f t="shared" si="155"/>
        <v>0.55000000000000004</v>
      </c>
      <c r="AY198" s="137">
        <f t="shared" si="156"/>
        <v>0.55000000000000004</v>
      </c>
      <c r="AZ198" s="137"/>
      <c r="BA198" s="264"/>
      <c r="BB198" s="258">
        <f t="shared" si="157"/>
        <v>0</v>
      </c>
      <c r="BC198" s="258">
        <f t="shared" si="137"/>
        <v>0</v>
      </c>
      <c r="BD198" s="137">
        <f t="shared" si="138"/>
        <v>1.2310208881427531E-6</v>
      </c>
      <c r="BE198" s="137">
        <f t="shared" si="139"/>
        <v>1.2310208881427531E-6</v>
      </c>
      <c r="BF198" s="137">
        <f>_xll.xSPRDOPT($BW198,$BV198,$CG198,0,$BY198,$BX198,$BZ198,$AJ198,1,4)*$CB198</f>
        <v>-9.3828196954228045E-8</v>
      </c>
      <c r="BG198" s="137">
        <f>_xll.xSPRDOPT($BW198,$BV198,$CG198,0,$BY198,$BX198,$BZ198,$AJ198,1,3)*$CB198</f>
        <v>1.8765639390845609E-7</v>
      </c>
      <c r="BH198" s="137">
        <f>IF(OR(BF198&lt;&gt;0,BG198&lt;&gt;0),_xll.xSPRDOPT($BW198,$BV198,$CG198,0,$BY198,$BX198,$BZ198,$AJ198,1,12)*$CB198,0)</f>
        <v>1.8765639390845609E-7</v>
      </c>
      <c r="BI198" s="137">
        <f>_xll.xSPRDOPT($BW198,$BV198,$CG198,2*LN(1+CA198/2),$BY198,$BX198,$BZ198,$AJ198,1,9)</f>
        <v>1.4597433753813945E-2</v>
      </c>
      <c r="BJ198" s="137">
        <f>_xll.xSPRDOPT($BW198,$BV198,$CG198,0,$BY198,$BX198,$BZ198,$AJ198,1,6)*$CB198</f>
        <v>-6.698702617640886E-5</v>
      </c>
      <c r="BK198" s="137">
        <f>_xll.xSPRDOPT($BW198,$BV198,$CG198,0,$BY198,$BX198,$BZ198,$AJ198,1,5)*$CB198</f>
        <v>7.6451330722337066E-5</v>
      </c>
      <c r="BL198" s="137">
        <f>_xll.xSPRDOPT(BW198,BV198,CG198,0,BY198,BX198,BZ198,AJ198,1,2)*CB198</f>
        <v>-0.39354318387811482</v>
      </c>
      <c r="BM198" s="137">
        <f>_xll.xSPRDOPT(BW198,BV198,CG198,0,BY198,BX198,BZ198,AJ198,1,1)*CB198</f>
        <v>0.39354318387596726</v>
      </c>
      <c r="BN198" s="137">
        <f>IF(AH198&lt;&gt;0,_xll.xSPRDOPT($BW198,$BV198,$CG198,2*LN(1+CA198/2),$BY198,$BX198,$BZ198,$AJ198,1,8)+(AJ198/365.25)*CH198/AH198,0)</f>
        <v>-1.2666614568855854</v>
      </c>
      <c r="BO198" s="137">
        <f>_xll.xSPRDOPT($BW198,$BV198,$CG198,0,$BY198,$BX198,$BZ198,$AJ198,1,0)</f>
        <v>0.58684703836800167</v>
      </c>
      <c r="BP198" s="137"/>
      <c r="BQ198" s="137"/>
      <c r="BR198" s="137"/>
      <c r="BS198" s="137"/>
      <c r="BV198" s="262">
        <v>4.4112531969309465</v>
      </c>
      <c r="BW198" s="136">
        <v>5.0345000000000004</v>
      </c>
      <c r="BX198" s="137">
        <v>0.17222488211217588</v>
      </c>
      <c r="BY198" s="137">
        <v>0.17222488211217588</v>
      </c>
      <c r="BZ198" s="137">
        <v>1</v>
      </c>
      <c r="CA198" s="137">
        <v>6.4215603328503096E-2</v>
      </c>
      <c r="CB198" s="137">
        <v>0.39354398179790651</v>
      </c>
      <c r="CC198" s="258">
        <v>1.7500000000000002E-2</v>
      </c>
      <c r="CD198" s="258">
        <v>0.01</v>
      </c>
      <c r="CE198" s="258">
        <v>0.75</v>
      </c>
      <c r="CF198" s="258">
        <v>0</v>
      </c>
      <c r="CG198" s="258">
        <v>3.6400000000000002E-2</v>
      </c>
      <c r="CH198" s="258">
        <v>4.3529899826666441</v>
      </c>
      <c r="CI198" s="258">
        <v>4.2845000000000004</v>
      </c>
      <c r="CJ198" s="258"/>
      <c r="CK198" s="258"/>
      <c r="CL198" s="258"/>
      <c r="CM198" s="258"/>
    </row>
    <row r="199" spans="1:91" x14ac:dyDescent="0.25">
      <c r="A199" s="723"/>
      <c r="B199" s="723"/>
      <c r="D199" s="31">
        <f t="shared" si="117"/>
        <v>42658</v>
      </c>
      <c r="F199" s="28">
        <f t="shared" si="118"/>
        <v>6669</v>
      </c>
      <c r="G199" s="28">
        <f t="shared" si="140"/>
        <v>2610.8385387331473</v>
      </c>
      <c r="H199" s="52">
        <f t="shared" si="119"/>
        <v>4.4456410256410255</v>
      </c>
      <c r="I199" s="52">
        <f t="shared" si="120"/>
        <v>4.7595000000000001</v>
      </c>
      <c r="K199" s="52">
        <f t="shared" si="121"/>
        <v>3.3672841623012855</v>
      </c>
      <c r="L199" s="135">
        <f t="shared" si="122"/>
        <v>1.3157798515983643E-4</v>
      </c>
      <c r="N199" s="131">
        <f t="shared" si="141"/>
        <v>0.17276373938031689</v>
      </c>
      <c r="O199" s="131">
        <f t="shared" si="142"/>
        <v>0.17276373938031689</v>
      </c>
      <c r="P199" s="55">
        <f t="shared" si="123"/>
        <v>1</v>
      </c>
      <c r="Q199" s="135">
        <f>_xll.xSPRDOPT(I199,H199,AQ199,0,O199,N199,P199,D199-$G$5,1,0)*AH199*AU199</f>
        <v>3.3674157402864453</v>
      </c>
      <c r="R199" s="135"/>
      <c r="S199" s="181">
        <f t="shared" si="124"/>
        <v>-81765.664151002449</v>
      </c>
      <c r="T199" s="181">
        <f>_xll.xSPRDOPT(I199,H199,AQ199,AT199,O199,N199,P199,D199-$G$5,1,1)*AF199*F199*AH199</f>
        <v>79721.522547227389</v>
      </c>
      <c r="U199" s="135"/>
      <c r="V199" s="146">
        <f t="shared" si="125"/>
        <v>4.4745990772467019</v>
      </c>
      <c r="W199" s="146"/>
      <c r="X199" s="338">
        <f t="shared" si="126"/>
        <v>0</v>
      </c>
      <c r="Y199" s="338">
        <f t="shared" si="143"/>
        <v>0</v>
      </c>
      <c r="Z199" s="338">
        <f t="shared" si="144"/>
        <v>11.657169934181265</v>
      </c>
      <c r="AA199" s="338">
        <f t="shared" si="145"/>
        <v>7.7423000691420412E-5</v>
      </c>
      <c r="AB199" s="338">
        <f t="shared" si="127"/>
        <v>0</v>
      </c>
      <c r="AC199" s="338">
        <f t="shared" si="128"/>
        <v>11.845919466793035</v>
      </c>
      <c r="AF199" s="138">
        <f t="shared" si="129"/>
        <v>1</v>
      </c>
      <c r="AG199" s="138">
        <f t="shared" si="130"/>
        <v>10</v>
      </c>
      <c r="AH199" s="138">
        <f t="shared" si="146"/>
        <v>31</v>
      </c>
      <c r="AI199" s="138">
        <f t="shared" si="131"/>
        <v>5402</v>
      </c>
      <c r="AJ199" s="138">
        <f t="shared" si="132"/>
        <v>5419</v>
      </c>
      <c r="AL199" s="136">
        <f t="shared" si="147"/>
        <v>4.3094999999999999</v>
      </c>
      <c r="AM199" s="258">
        <f t="shared" si="148"/>
        <v>1.4999999999999999E-2</v>
      </c>
      <c r="AN199" s="258">
        <f t="shared" si="149"/>
        <v>0.01</v>
      </c>
      <c r="AO199" s="258">
        <f t="shared" si="150"/>
        <v>0.45</v>
      </c>
      <c r="AP199" s="258">
        <f t="shared" si="151"/>
        <v>0</v>
      </c>
      <c r="AQ199" s="136">
        <f t="shared" si="133"/>
        <v>3.6400000000000002E-2</v>
      </c>
      <c r="AR199" s="137">
        <f t="shared" si="152"/>
        <v>2.5000000000000001E-2</v>
      </c>
      <c r="AS199" s="136">
        <f t="shared" si="134"/>
        <v>4.3344999999999994</v>
      </c>
      <c r="AT199" s="137">
        <f t="shared" si="135"/>
        <v>6.4254839568045299E-2</v>
      </c>
      <c r="AU199" s="137">
        <f t="shared" si="153"/>
        <v>0.39148875974406167</v>
      </c>
      <c r="AV199" s="394">
        <f t="shared" si="136"/>
        <v>2075.2819154032709</v>
      </c>
      <c r="AW199" s="137">
        <f t="shared" si="154"/>
        <v>0.17</v>
      </c>
      <c r="AX199" s="137">
        <f t="shared" si="155"/>
        <v>0.6</v>
      </c>
      <c r="AY199" s="137">
        <f t="shared" si="156"/>
        <v>0.6</v>
      </c>
      <c r="AZ199" s="137"/>
      <c r="BA199" s="264"/>
      <c r="BB199" s="258">
        <f t="shared" si="157"/>
        <v>0</v>
      </c>
      <c r="BC199" s="258">
        <f t="shared" si="137"/>
        <v>0</v>
      </c>
      <c r="BD199" s="137">
        <f t="shared" si="138"/>
        <v>1.5173758959874384E-6</v>
      </c>
      <c r="BE199" s="137">
        <f t="shared" si="139"/>
        <v>1.5173758959874384E-6</v>
      </c>
      <c r="BF199" s="137">
        <f>_xll.xSPRDOPT($BW199,$BV199,$CG199,0,$BY199,$BX199,$BZ199,$AJ199,1,4)*$CB199</f>
        <v>2.7986916289226197E-7</v>
      </c>
      <c r="BG199" s="137">
        <f>_xll.xSPRDOPT($BW199,$BV199,$CG199,0,$BY199,$BX199,$BZ199,$AJ199,1,3)*$CB199</f>
        <v>-9.3289720964087329E-8</v>
      </c>
      <c r="BH199" s="137">
        <f>IF(OR(BF199&lt;&gt;0,BG199&lt;&gt;0),_xll.xSPRDOPT($BW199,$BV199,$CG199,0,$BY199,$BX199,$BZ199,$AJ199,1,12)*$CB199,0)</f>
        <v>2.3322430241021832E-8</v>
      </c>
      <c r="BI199" s="137">
        <f>_xll.xSPRDOPT($BW199,$BV199,$CG199,2*LN(1+CA199/2),$BY199,$BX199,$BZ199,$AJ199,1,9)</f>
        <v>6.8649864780547876E-3</v>
      </c>
      <c r="BJ199" s="137">
        <f>_xll.xSPRDOPT($BW199,$BV199,$CG199,0,$BY199,$BX199,$BZ199,$AJ199,1,6)*$CB199</f>
        <v>-3.4958617310376803E-3</v>
      </c>
      <c r="BK199" s="137">
        <f>_xll.xSPRDOPT($BW199,$BV199,$CG199,0,$BY199,$BX199,$BZ199,$AJ199,1,5)*$CB199</f>
        <v>3.7426669886990154E-3</v>
      </c>
      <c r="BL199" s="137">
        <f>_xll.xSPRDOPT(BW199,BV199,CG199,0,BY199,BX199,BZ199,AJ199,1,2)*CB199</f>
        <v>-0.39123308448429839</v>
      </c>
      <c r="BM199" s="137">
        <f>_xll.xSPRDOPT(BW199,BV199,CG199,0,BY199,BX199,BZ199,AJ199,1,1)*CB199</f>
        <v>0.39123308448501015</v>
      </c>
      <c r="BN199" s="137">
        <f>IF(AH199&lt;&gt;0,_xll.xSPRDOPT($BW199,$BV199,$CG199,2*LN(1+CA199/2),$BY199,$BX199,$BZ199,$AJ199,1,8)+(AJ199/365.25)*CH199/AH199,0)</f>
        <v>0.5296159256091808</v>
      </c>
      <c r="BO199" s="137">
        <f>_xll.xSPRDOPT($BW199,$BV199,$CG199,0,$BY199,$BX199,$BZ199,$AJ199,1,0)</f>
        <v>0.27746984540053365</v>
      </c>
      <c r="BP199" s="137"/>
      <c r="BQ199" s="137"/>
      <c r="BR199" s="137"/>
      <c r="BS199" s="137"/>
      <c r="BV199" s="262">
        <v>4.4456410256410255</v>
      </c>
      <c r="BW199" s="136">
        <v>4.7595000000000001</v>
      </c>
      <c r="BX199" s="137">
        <v>0.1727622220044209</v>
      </c>
      <c r="BY199" s="137">
        <v>0.1727622220044209</v>
      </c>
      <c r="BZ199" s="137">
        <v>1</v>
      </c>
      <c r="CA199" s="137">
        <v>6.4254839568045299E-2</v>
      </c>
      <c r="CB199" s="137">
        <v>0.39128544979855534</v>
      </c>
      <c r="CC199" s="258">
        <v>1.4999999999999999E-2</v>
      </c>
      <c r="CD199" s="258">
        <v>0.01</v>
      </c>
      <c r="CE199" s="258">
        <v>0.45</v>
      </c>
      <c r="CF199" s="258">
        <v>0</v>
      </c>
      <c r="CG199" s="258">
        <v>3.6400000000000002E-2</v>
      </c>
      <c r="CH199" s="258">
        <v>4.4722753055625484</v>
      </c>
      <c r="CI199" s="258">
        <v>4.3094999999999999</v>
      </c>
      <c r="CJ199" s="258"/>
      <c r="CK199" s="258"/>
      <c r="CL199" s="258"/>
      <c r="CM199" s="258"/>
    </row>
    <row r="200" spans="1:91" x14ac:dyDescent="0.25">
      <c r="A200" s="723"/>
      <c r="B200" s="723"/>
      <c r="D200" s="31">
        <f t="shared" si="117"/>
        <v>42689</v>
      </c>
      <c r="F200" s="28">
        <f t="shared" si="118"/>
        <v>11107</v>
      </c>
      <c r="G200" s="28">
        <f t="shared" si="140"/>
        <v>4322.4548846740408</v>
      </c>
      <c r="H200" s="52">
        <f t="shared" si="119"/>
        <v>4.5882352941176476</v>
      </c>
      <c r="I200" s="52">
        <f t="shared" si="120"/>
        <v>4.9115000000000002</v>
      </c>
      <c r="K200" s="52">
        <f t="shared" si="121"/>
        <v>3.3491305010761416</v>
      </c>
      <c r="L200" s="135">
        <f t="shared" si="122"/>
        <v>1.3134975486739364E-4</v>
      </c>
      <c r="N200" s="131">
        <f t="shared" si="141"/>
        <v>0.17487865522373919</v>
      </c>
      <c r="O200" s="131">
        <f t="shared" si="142"/>
        <v>0.17487865522373919</v>
      </c>
      <c r="P200" s="55">
        <f t="shared" si="123"/>
        <v>1</v>
      </c>
      <c r="Q200" s="135">
        <f>_xll.xSPRDOPT(I200,H200,AQ200,0,O200,N200,P200,D200-$G$5,1,0)*AH200*AU200</f>
        <v>3.349261850831009</v>
      </c>
      <c r="R200" s="135"/>
      <c r="S200" s="181">
        <f t="shared" si="124"/>
        <v>-130654.88405257193</v>
      </c>
      <c r="T200" s="181">
        <f>_xll.xSPRDOPT(I200,H200,AQ200,AT200,O200,N200,P200,D200-$G$5,1,1)*AF200*F200*AH200</f>
        <v>127715.14916138907</v>
      </c>
      <c r="U200" s="135"/>
      <c r="V200" s="146">
        <f t="shared" si="125"/>
        <v>4.3045532978643699</v>
      </c>
      <c r="W200" s="146"/>
      <c r="X200" s="338">
        <f t="shared" si="126"/>
        <v>0</v>
      </c>
      <c r="Y200" s="338">
        <f t="shared" si="143"/>
        <v>0</v>
      </c>
      <c r="Z200" s="338">
        <f t="shared" si="144"/>
        <v>19.32208218437334</v>
      </c>
      <c r="AA200" s="338">
        <f t="shared" si="145"/>
        <v>2.1547627450956491E-4</v>
      </c>
      <c r="AB200" s="338">
        <f t="shared" si="127"/>
        <v>0</v>
      </c>
      <c r="AC200" s="338">
        <f t="shared" si="128"/>
        <v>19.63500433756812</v>
      </c>
      <c r="AF200" s="138">
        <f t="shared" si="129"/>
        <v>1</v>
      </c>
      <c r="AG200" s="138">
        <f t="shared" si="130"/>
        <v>11</v>
      </c>
      <c r="AH200" s="138">
        <f t="shared" si="146"/>
        <v>30</v>
      </c>
      <c r="AI200" s="138">
        <f t="shared" si="131"/>
        <v>5433</v>
      </c>
      <c r="AJ200" s="138">
        <f t="shared" si="132"/>
        <v>5450</v>
      </c>
      <c r="AL200" s="136">
        <f t="shared" si="147"/>
        <v>4.4615</v>
      </c>
      <c r="AM200" s="258">
        <f t="shared" si="148"/>
        <v>1.6E-2</v>
      </c>
      <c r="AN200" s="258">
        <f t="shared" si="149"/>
        <v>7.4999999999999997E-3</v>
      </c>
      <c r="AO200" s="258">
        <f t="shared" si="150"/>
        <v>0.45</v>
      </c>
      <c r="AP200" s="258">
        <f t="shared" si="151"/>
        <v>0</v>
      </c>
      <c r="AQ200" s="136">
        <f t="shared" si="133"/>
        <v>3.6400000000000002E-2</v>
      </c>
      <c r="AR200" s="137">
        <f t="shared" si="152"/>
        <v>2.2499999999999999E-2</v>
      </c>
      <c r="AS200" s="136">
        <f t="shared" si="134"/>
        <v>4.4850000000000003</v>
      </c>
      <c r="AT200" s="137">
        <f t="shared" si="135"/>
        <v>6.4295383682774904E-2</v>
      </c>
      <c r="AU200" s="137">
        <f t="shared" si="153"/>
        <v>0.38916493064500229</v>
      </c>
      <c r="AV200" s="394">
        <f t="shared" si="136"/>
        <v>2988.7866673536178</v>
      </c>
      <c r="AW200" s="137">
        <f t="shared" si="154"/>
        <v>0.17</v>
      </c>
      <c r="AX200" s="137">
        <f t="shared" si="155"/>
        <v>0.8</v>
      </c>
      <c r="AY200" s="137">
        <f t="shared" si="156"/>
        <v>0.8</v>
      </c>
      <c r="AZ200" s="137"/>
      <c r="BA200" s="264"/>
      <c r="BB200" s="258">
        <f t="shared" si="157"/>
        <v>0</v>
      </c>
      <c r="BC200" s="258">
        <f t="shared" si="137"/>
        <v>0</v>
      </c>
      <c r="BD200" s="137">
        <f t="shared" si="138"/>
        <v>2.647573365294198E-6</v>
      </c>
      <c r="BE200" s="137">
        <f t="shared" si="139"/>
        <v>2.647573365294198E-6</v>
      </c>
      <c r="BF200" s="137">
        <f>_xll.xSPRDOPT($BW200,$BV200,$CG200,0,$BY200,$BX200,$BZ200,$AJ200,1,4)*$CB200</f>
        <v>-7.8825544529559257E-7</v>
      </c>
      <c r="BG200" s="137">
        <f>_xll.xSPRDOPT($BW200,$BV200,$CG200,0,$BY200,$BX200,$BZ200,$AJ200,1,3)*$CB200</f>
        <v>-3.7094373896263179E-7</v>
      </c>
      <c r="BH200" s="137">
        <f>IF(OR(BF200&lt;&gt;0,BG200&lt;&gt;0),_xll.xSPRDOPT($BW200,$BV200,$CG200,0,$BY200,$BX200,$BZ200,$AJ200,1,12)*$CB200,0)</f>
        <v>3.9412772264779628E-7</v>
      </c>
      <c r="BI200" s="137">
        <f>_xll.xSPRDOPT($BW200,$BV200,$CG200,2*LN(1+CA200/2),$BY200,$BX200,$BZ200,$AJ200,1,9)</f>
        <v>7.0600027188483351E-3</v>
      </c>
      <c r="BJ200" s="137">
        <f>_xll.xSPRDOPT($BW200,$BV200,$CG200,0,$BY200,$BX200,$BZ200,$AJ200,1,6)*$CB200</f>
        <v>-3.4667363395154459E-3</v>
      </c>
      <c r="BK200" s="137">
        <f>_xll.xSPRDOPT($BW200,$BV200,$CG200,0,$BY200,$BX200,$BZ200,$AJ200,1,5)*$CB200</f>
        <v>3.7109856960013256E-3</v>
      </c>
      <c r="BL200" s="137">
        <f>_xll.xSPRDOPT(BW200,BV200,CG200,0,BY200,BX200,BZ200,AJ200,1,2)*CB200</f>
        <v>-0.3889126531835565</v>
      </c>
      <c r="BM200" s="137">
        <f>_xll.xSPRDOPT(BW200,BV200,CG200,0,BY200,BX200,BZ200,AJ200,1,1)*CB200</f>
        <v>0.3889126531835565</v>
      </c>
      <c r="BN200" s="137">
        <f>IF(AH200&lt;&gt;0,_xll.xSPRDOPT($BW200,$BV200,$CG200,2*LN(1+CA200/2),$BY200,$BX200,$BZ200,$AJ200,1,8)+(AJ200/365.25)*CH200/AH200,0)</f>
        <v>0.4748921841555771</v>
      </c>
      <c r="BO200" s="137">
        <f>_xll.xSPRDOPT($BW200,$BV200,$CG200,0,$BY200,$BX200,$BZ200,$AJ200,1,0)</f>
        <v>0.28687598502204309</v>
      </c>
      <c r="BP200" s="137"/>
      <c r="BQ200" s="137"/>
      <c r="BR200" s="137"/>
      <c r="BS200" s="137"/>
      <c r="BV200" s="262">
        <v>4.5882352941176476</v>
      </c>
      <c r="BW200" s="136">
        <v>4.9115000000000002</v>
      </c>
      <c r="BX200" s="137">
        <v>0.17487600765037389</v>
      </c>
      <c r="BY200" s="137">
        <v>0.17487600765037389</v>
      </c>
      <c r="BZ200" s="137">
        <v>1</v>
      </c>
      <c r="CA200" s="137">
        <v>6.4295383682774904E-2</v>
      </c>
      <c r="CB200" s="137">
        <v>0.38896270202648059</v>
      </c>
      <c r="CC200" s="258">
        <v>1.6E-2</v>
      </c>
      <c r="CD200" s="258">
        <v>7.4999999999999997E-3</v>
      </c>
      <c r="CE200" s="258">
        <v>0.45</v>
      </c>
      <c r="CF200" s="258">
        <v>0</v>
      </c>
      <c r="CG200" s="258">
        <v>3.6400000000000002E-2</v>
      </c>
      <c r="CH200" s="258">
        <v>4.3023164471149018</v>
      </c>
      <c r="CI200" s="258">
        <v>4.4615</v>
      </c>
      <c r="CJ200" s="258"/>
      <c r="CK200" s="258"/>
      <c r="CL200" s="258"/>
      <c r="CM200" s="258"/>
    </row>
    <row r="201" spans="1:91" x14ac:dyDescent="0.25">
      <c r="A201" s="723"/>
      <c r="B201" s="723"/>
      <c r="D201" s="31">
        <f t="shared" si="117"/>
        <v>42719</v>
      </c>
      <c r="F201" s="28">
        <f t="shared" si="118"/>
        <v>11107</v>
      </c>
      <c r="G201" s="28">
        <f t="shared" si="140"/>
        <v>4297.5953683616235</v>
      </c>
      <c r="H201" s="52">
        <f t="shared" si="119"/>
        <v>4.7345268542199488</v>
      </c>
      <c r="I201" s="52">
        <f t="shared" si="120"/>
        <v>5.0045000000000002</v>
      </c>
      <c r="K201" s="52">
        <f t="shared" si="121"/>
        <v>2.8016466150912125</v>
      </c>
      <c r="L201" s="135">
        <f t="shared" si="122"/>
        <v>4.1169558785991711E-4</v>
      </c>
      <c r="N201" s="131">
        <f t="shared" si="141"/>
        <v>0.17789737631297914</v>
      </c>
      <c r="O201" s="131">
        <f t="shared" si="142"/>
        <v>0.17789737631297914</v>
      </c>
      <c r="P201" s="55">
        <f t="shared" si="123"/>
        <v>1</v>
      </c>
      <c r="Q201" s="135">
        <f>_xll.xSPRDOPT(I201,H201,AQ201,0,O201,N201,P201,D201-$G$5,1,0)*AH201*AU201</f>
        <v>2.8020583106790724</v>
      </c>
      <c r="R201" s="135"/>
      <c r="S201" s="181">
        <f t="shared" si="124"/>
        <v>-134141.78829983849</v>
      </c>
      <c r="T201" s="181">
        <f>_xll.xSPRDOPT(I201,H201,AQ201,AT201,O201,N201,P201,D201-$G$5,1,1)*AF201*F201*AH201</f>
        <v>131123.59806309213</v>
      </c>
      <c r="U201" s="135"/>
      <c r="V201" s="146">
        <f t="shared" si="125"/>
        <v>4.422456629311502</v>
      </c>
      <c r="W201" s="146"/>
      <c r="X201" s="338">
        <f t="shared" si="126"/>
        <v>0</v>
      </c>
      <c r="Y201" s="338">
        <f t="shared" si="143"/>
        <v>0</v>
      </c>
      <c r="Z201" s="338">
        <f t="shared" si="144"/>
        <v>16.16151082309236</v>
      </c>
      <c r="AA201" s="338">
        <f t="shared" si="145"/>
        <v>1.4506599463030075E-3</v>
      </c>
      <c r="AB201" s="338">
        <f t="shared" si="127"/>
        <v>0</v>
      </c>
      <c r="AC201" s="338">
        <f t="shared" si="128"/>
        <v>16.437056542295895</v>
      </c>
      <c r="AF201" s="138">
        <f t="shared" si="129"/>
        <v>1</v>
      </c>
      <c r="AG201" s="138">
        <f t="shared" si="130"/>
        <v>12</v>
      </c>
      <c r="AH201" s="138">
        <f t="shared" si="146"/>
        <v>31</v>
      </c>
      <c r="AI201" s="138">
        <f t="shared" si="131"/>
        <v>5463</v>
      </c>
      <c r="AJ201" s="138">
        <f t="shared" si="132"/>
        <v>5480</v>
      </c>
      <c r="AL201" s="136">
        <f t="shared" si="147"/>
        <v>4.6044999999999998</v>
      </c>
      <c r="AM201" s="258">
        <f t="shared" si="148"/>
        <v>1.6E-2</v>
      </c>
      <c r="AN201" s="258">
        <f t="shared" si="149"/>
        <v>7.4999999999999997E-3</v>
      </c>
      <c r="AO201" s="258">
        <f t="shared" si="150"/>
        <v>0.4</v>
      </c>
      <c r="AP201" s="258">
        <f t="shared" si="151"/>
        <v>0</v>
      </c>
      <c r="AQ201" s="136">
        <f t="shared" si="133"/>
        <v>3.6400000000000002E-2</v>
      </c>
      <c r="AR201" s="137">
        <f t="shared" si="152"/>
        <v>2.2499999999999999E-2</v>
      </c>
      <c r="AS201" s="136">
        <f t="shared" si="134"/>
        <v>4.6280000000000001</v>
      </c>
      <c r="AT201" s="137">
        <f t="shared" si="135"/>
        <v>6.4334619923354999E-2</v>
      </c>
      <c r="AU201" s="137">
        <f t="shared" si="153"/>
        <v>0.38692674604858412</v>
      </c>
      <c r="AV201" s="394">
        <f t="shared" si="136"/>
        <v>3070.6506566415637</v>
      </c>
      <c r="AW201" s="137">
        <f t="shared" si="154"/>
        <v>0.17</v>
      </c>
      <c r="AX201" s="137">
        <f t="shared" si="155"/>
        <v>1</v>
      </c>
      <c r="AY201" s="137">
        <f t="shared" si="156"/>
        <v>1</v>
      </c>
      <c r="AZ201" s="137"/>
      <c r="BA201" s="264"/>
      <c r="BB201" s="258">
        <f t="shared" si="157"/>
        <v>0</v>
      </c>
      <c r="BC201" s="258">
        <f t="shared" si="137"/>
        <v>0</v>
      </c>
      <c r="BD201" s="137">
        <f t="shared" si="138"/>
        <v>4.2263109079343497E-6</v>
      </c>
      <c r="BE201" s="137">
        <f t="shared" si="139"/>
        <v>4.2263109079343497E-6</v>
      </c>
      <c r="BF201" s="137">
        <f>_xll.xSPRDOPT($BW201,$BV201,$CG201,0,$BY201,$BX201,$BZ201,$AJ201,1,4)*$CB201</f>
        <v>-7.6067110727837917E-7</v>
      </c>
      <c r="BG201" s="137">
        <f>_xll.xSPRDOPT($BW201,$BV201,$CG201,0,$BY201,$BX201,$BZ201,$AJ201,1,3)*$CB201</f>
        <v>-2.3050639614496337E-8</v>
      </c>
      <c r="BH201" s="137">
        <f>IF(OR(BF201&lt;&gt;0,BG201&lt;&gt;0),_xll.xSPRDOPT($BW201,$BV201,$CG201,0,$BY201,$BX201,$BZ201,$AJ201,1,12)*$CB201,0)</f>
        <v>4.6101279228992674E-8</v>
      </c>
      <c r="BI201" s="137">
        <f>_xll.xSPRDOPT($BW201,$BV201,$CG201,2*LN(1+CA201/2),$BY201,$BX201,$BZ201,$AJ201,1,9)</f>
        <v>5.7146871711576683E-3</v>
      </c>
      <c r="BJ201" s="137">
        <f>_xll.xSPRDOPT($BW201,$BV201,$CG201,0,$BY201,$BX201,$BZ201,$AJ201,1,6)*$CB201</f>
        <v>-1.7482427172922217E-2</v>
      </c>
      <c r="BK201" s="137">
        <f>_xll.xSPRDOPT($BW201,$BV201,$CG201,0,$BY201,$BX201,$BZ201,$AJ201,1,5)*$CB201</f>
        <v>1.8479313665801557E-2</v>
      </c>
      <c r="BL201" s="137">
        <f>_xll.xSPRDOPT(BW201,BV201,CG201,0,BY201,BX201,BZ201,AJ201,1,2)*CB201</f>
        <v>-0.38645073879784475</v>
      </c>
      <c r="BM201" s="137">
        <f>_xll.xSPRDOPT(BW201,BV201,CG201,0,BY201,BX201,BZ201,AJ201,1,1)*CB201</f>
        <v>0.38645073879837233</v>
      </c>
      <c r="BN201" s="137">
        <f>IF(AH201&lt;&gt;0,_xll.xSPRDOPT($BW201,$BV201,$CG201,2*LN(1+CA201/2),$BY201,$BX201,$BZ201,$AJ201,1,8)+(AJ201/365.25)*CH201/AH201,0)</f>
        <v>0.78383415012707425</v>
      </c>
      <c r="BO201" s="137">
        <f>_xll.xSPRDOPT($BW201,$BV201,$CG201,0,$BY201,$BX201,$BZ201,$AJ201,1,0)</f>
        <v>0.23360758349901337</v>
      </c>
      <c r="BP201" s="137"/>
      <c r="BQ201" s="137"/>
      <c r="BR201" s="137"/>
      <c r="BS201" s="137"/>
      <c r="BV201" s="262">
        <v>4.7345268542199488</v>
      </c>
      <c r="BW201" s="136">
        <v>5.0045000000000002</v>
      </c>
      <c r="BX201" s="137">
        <v>0.1778931500020712</v>
      </c>
      <c r="BY201" s="137">
        <v>0.1778931500020712</v>
      </c>
      <c r="BZ201" s="137">
        <v>1</v>
      </c>
      <c r="CA201" s="137">
        <v>6.4334619923354999E-2</v>
      </c>
      <c r="CB201" s="137">
        <v>0.38672555975056178</v>
      </c>
      <c r="CC201" s="258">
        <v>1.6E-2</v>
      </c>
      <c r="CD201" s="258">
        <v>7.4999999999999997E-3</v>
      </c>
      <c r="CE201" s="258">
        <v>0.4</v>
      </c>
      <c r="CF201" s="258">
        <v>0</v>
      </c>
      <c r="CG201" s="258">
        <v>3.6400000000000002E-2</v>
      </c>
      <c r="CH201" s="258">
        <v>4.4201571302809963</v>
      </c>
      <c r="CI201" s="258">
        <v>4.6044999999999998</v>
      </c>
      <c r="CJ201" s="258"/>
      <c r="CK201" s="258"/>
      <c r="CL201" s="258"/>
      <c r="CM201" s="258"/>
    </row>
    <row r="202" spans="1:91" x14ac:dyDescent="0.25">
      <c r="A202" s="723"/>
      <c r="B202" s="723"/>
      <c r="D202" s="31">
        <f t="shared" si="117"/>
        <v>42750</v>
      </c>
      <c r="F202" s="28">
        <f t="shared" si="118"/>
        <v>11107</v>
      </c>
      <c r="G202" s="28">
        <f t="shared" si="140"/>
        <v>4272.0294163908347</v>
      </c>
      <c r="H202" s="52">
        <f t="shared" si="119"/>
        <v>4.7959079283887469</v>
      </c>
      <c r="I202" s="52">
        <f t="shared" si="120"/>
        <v>5.0145</v>
      </c>
      <c r="K202" s="52">
        <f t="shared" si="121"/>
        <v>2.1723441586432175</v>
      </c>
      <c r="L202" s="135">
        <f t="shared" si="122"/>
        <v>1.0587093968466021E-3</v>
      </c>
      <c r="N202" s="131">
        <f t="shared" si="141"/>
        <v>0.17785392158861352</v>
      </c>
      <c r="O202" s="131">
        <f t="shared" si="142"/>
        <v>0.17785392158861352</v>
      </c>
      <c r="P202" s="55">
        <f t="shared" si="123"/>
        <v>1</v>
      </c>
      <c r="Q202" s="135">
        <f>_xll.xSPRDOPT(I202,H202,AQ202,0,O202,N202,P202,D202-$G$5,1,0)*AH202*AU202</f>
        <v>2.1734028680400641</v>
      </c>
      <c r="R202" s="135"/>
      <c r="S202" s="181">
        <f t="shared" si="124"/>
        <v>-133214.86213750424</v>
      </c>
      <c r="T202" s="181">
        <f>_xll.xSPRDOPT(I202,H202,AQ202,AT202,O202,N202,P202,D202-$G$5,1,1)*AF202*F202*AH202</f>
        <v>130217.52773941039</v>
      </c>
      <c r="U202" s="135"/>
      <c r="V202" s="146">
        <f t="shared" si="125"/>
        <v>4.3961478905665183</v>
      </c>
      <c r="W202" s="146"/>
      <c r="X202" s="338">
        <f t="shared" si="126"/>
        <v>0</v>
      </c>
      <c r="Y202" s="338">
        <f t="shared" si="143"/>
        <v>0</v>
      </c>
      <c r="Z202" s="338">
        <f t="shared" si="144"/>
        <v>12.528582740730796</v>
      </c>
      <c r="AA202" s="338">
        <f t="shared" si="145"/>
        <v>2.3975043956355742E-3</v>
      </c>
      <c r="AB202" s="338">
        <f t="shared" si="127"/>
        <v>0</v>
      </c>
      <c r="AC202" s="338">
        <f t="shared" si="128"/>
        <v>12.757360523523909</v>
      </c>
      <c r="AF202" s="138">
        <f t="shared" si="129"/>
        <v>1</v>
      </c>
      <c r="AG202" s="138">
        <f t="shared" si="130"/>
        <v>1</v>
      </c>
      <c r="AH202" s="138">
        <f t="shared" si="146"/>
        <v>31</v>
      </c>
      <c r="AI202" s="138">
        <f t="shared" si="131"/>
        <v>5494</v>
      </c>
      <c r="AJ202" s="138">
        <f t="shared" si="132"/>
        <v>5511</v>
      </c>
      <c r="AL202" s="136">
        <f t="shared" si="147"/>
        <v>4.6645000000000003</v>
      </c>
      <c r="AM202" s="258">
        <f t="shared" si="148"/>
        <v>1.6E-2</v>
      </c>
      <c r="AN202" s="258">
        <f t="shared" si="149"/>
        <v>7.4999999999999997E-3</v>
      </c>
      <c r="AO202" s="258">
        <f t="shared" si="150"/>
        <v>0.35</v>
      </c>
      <c r="AP202" s="258">
        <f t="shared" si="151"/>
        <v>0</v>
      </c>
      <c r="AQ202" s="136">
        <f t="shared" si="133"/>
        <v>3.6400000000000002E-2</v>
      </c>
      <c r="AR202" s="137">
        <f t="shared" si="152"/>
        <v>2.2499999999999999E-2</v>
      </c>
      <c r="AS202" s="136">
        <f t="shared" si="134"/>
        <v>4.6880000000000006</v>
      </c>
      <c r="AT202" s="137">
        <f t="shared" si="135"/>
        <v>6.4375164039156996E-2</v>
      </c>
      <c r="AU202" s="137">
        <f t="shared" si="153"/>
        <v>0.38462495870989777</v>
      </c>
      <c r="AV202" s="394">
        <f t="shared" si="136"/>
        <v>3052.3836723217487</v>
      </c>
      <c r="AW202" s="137">
        <f t="shared" si="154"/>
        <v>0.17</v>
      </c>
      <c r="AX202" s="137">
        <f t="shared" si="155"/>
        <v>1</v>
      </c>
      <c r="AY202" s="137">
        <f t="shared" si="156"/>
        <v>1</v>
      </c>
      <c r="AZ202" s="137"/>
      <c r="BA202" s="264"/>
      <c r="BB202" s="258">
        <f t="shared" si="157"/>
        <v>0</v>
      </c>
      <c r="BC202" s="258">
        <f t="shared" si="137"/>
        <v>0</v>
      </c>
      <c r="BD202" s="137">
        <f t="shared" si="138"/>
        <v>4.179918166036245E-6</v>
      </c>
      <c r="BE202" s="137">
        <f t="shared" si="139"/>
        <v>4.179918166036245E-6</v>
      </c>
      <c r="BF202" s="137">
        <f>_xll.xSPRDOPT($BW202,$BV202,$CG202,0,$BY202,$BX202,$BZ202,$AJ202,1,4)*$CB202</f>
        <v>2.0622155708035453E-7</v>
      </c>
      <c r="BG202" s="137">
        <f>_xll.xSPRDOPT($BW202,$BV202,$CG202,0,$BY202,$BX202,$BZ202,$AJ202,1,3)*$CB202</f>
        <v>-4.5827012684523233E-7</v>
      </c>
      <c r="BH202" s="137">
        <f>IF(OR(BF202&lt;&gt;0,BG202&lt;&gt;0),_xll.xSPRDOPT($BW202,$BV202,$CG202,0,$BY202,$BX202,$BZ202,$AJ202,1,12)*$CB202,0)</f>
        <v>0</v>
      </c>
      <c r="BI202" s="137">
        <f>_xll.xSPRDOPT($BW202,$BV202,$CG202,2*LN(1+CA202/2),$BY202,$BX202,$BZ202,$AJ202,1,9)</f>
        <v>4.4300889839420489E-3</v>
      </c>
      <c r="BJ202" s="137">
        <f>_xll.xSPRDOPT($BW202,$BV202,$CG202,0,$BY202,$BX202,$BZ202,$AJ202,1,6)*$CB202</f>
        <v>-3.6548503463548793E-2</v>
      </c>
      <c r="BK202" s="137">
        <f>_xll.xSPRDOPT($BW202,$BV202,$CG202,0,$BY202,$BX202,$BZ202,$AJ202,1,5)*$CB202</f>
        <v>3.8214343007027717E-2</v>
      </c>
      <c r="BL202" s="137">
        <f>_xll.xSPRDOPT(BW202,BV202,CG202,0,BY202,BX202,BZ202,AJ202,1,2)*CB202</f>
        <v>-0.38382071140958629</v>
      </c>
      <c r="BM202" s="137">
        <f>_xll.xSPRDOPT(BW202,BV202,CG202,0,BY202,BX202,BZ202,AJ202,1,1)*CB202</f>
        <v>0.383820711412733</v>
      </c>
      <c r="BN202" s="137">
        <f>IF(AH202&lt;&gt;0,_xll.xSPRDOPT($BW202,$BV202,$CG202,2*LN(1+CA202/2),$BY202,$BX202,$BZ202,$AJ202,1,8)+(AJ202/365.25)*CH202/AH202,0)</f>
        <v>1.0812887334007808</v>
      </c>
      <c r="BO202" s="137">
        <f>_xll.xSPRDOPT($BW202,$BV202,$CG202,0,$BY202,$BX202,$BZ202,$AJ202,1,0)</f>
        <v>0.18228105611826029</v>
      </c>
      <c r="BP202" s="137"/>
      <c r="BQ202" s="137"/>
      <c r="BR202" s="137"/>
      <c r="BS202" s="137"/>
      <c r="BV202" s="262">
        <v>4.7959079283887469</v>
      </c>
      <c r="BW202" s="136">
        <v>5.0145</v>
      </c>
      <c r="BX202" s="137">
        <v>0.17784974167044748</v>
      </c>
      <c r="BY202" s="137">
        <v>0.17784974167044748</v>
      </c>
      <c r="BZ202" s="137">
        <v>1</v>
      </c>
      <c r="CA202" s="137">
        <v>6.4375164039156996E-2</v>
      </c>
      <c r="CB202" s="137">
        <v>0.38442484522149306</v>
      </c>
      <c r="CC202" s="258">
        <v>1.6E-2</v>
      </c>
      <c r="CD202" s="258">
        <v>7.4999999999999997E-3</v>
      </c>
      <c r="CE202" s="258">
        <v>0.35</v>
      </c>
      <c r="CF202" s="258">
        <v>0</v>
      </c>
      <c r="CG202" s="258">
        <v>3.6400000000000002E-2</v>
      </c>
      <c r="CH202" s="258">
        <v>4.3938606534280993</v>
      </c>
      <c r="CI202" s="258">
        <v>4.6645000000000003</v>
      </c>
      <c r="CJ202" s="258"/>
      <c r="CK202" s="258"/>
      <c r="CL202" s="258"/>
      <c r="CM202" s="258"/>
    </row>
    <row r="203" spans="1:91" x14ac:dyDescent="0.25">
      <c r="A203" s="723"/>
      <c r="B203" s="723"/>
      <c r="D203" s="31">
        <f t="shared" si="117"/>
        <v>42781</v>
      </c>
      <c r="F203" s="28">
        <f t="shared" si="118"/>
        <v>11107</v>
      </c>
      <c r="G203" s="28">
        <f t="shared" si="140"/>
        <v>4246.5872882893782</v>
      </c>
      <c r="H203" s="52">
        <f t="shared" si="119"/>
        <v>4.708951406649617</v>
      </c>
      <c r="I203" s="52">
        <f t="shared" si="120"/>
        <v>4.9295</v>
      </c>
      <c r="K203" s="52">
        <f t="shared" si="121"/>
        <v>1.9713771602581236</v>
      </c>
      <c r="L203" s="135">
        <f t="shared" si="122"/>
        <v>9.0429059418850599E-4</v>
      </c>
      <c r="N203" s="131">
        <f t="shared" si="141"/>
        <v>0.17707198075748959</v>
      </c>
      <c r="O203" s="131">
        <f t="shared" si="142"/>
        <v>0.17707198075748959</v>
      </c>
      <c r="P203" s="55">
        <f t="shared" si="123"/>
        <v>1</v>
      </c>
      <c r="Q203" s="135">
        <f>_xll.xSPRDOPT(I203,H203,AQ203,0,O203,N203,P203,D203-$G$5,1,0)*AH203*AU203</f>
        <v>1.9722814508523121</v>
      </c>
      <c r="R203" s="135"/>
      <c r="S203" s="181">
        <f t="shared" si="124"/>
        <v>-119593.24880546013</v>
      </c>
      <c r="T203" s="181">
        <f>_xll.xSPRDOPT(I203,H203,AQ203,AT203,O203,N203,P203,D203-$G$5,1,1)*AF203*F203*AH203</f>
        <v>116902.40070733728</v>
      </c>
      <c r="U203" s="135"/>
      <c r="V203" s="146">
        <f t="shared" si="125"/>
        <v>3.9470665822800242</v>
      </c>
      <c r="W203" s="146"/>
      <c r="X203" s="338">
        <f t="shared" si="126"/>
        <v>0</v>
      </c>
      <c r="Y203" s="338">
        <f t="shared" si="143"/>
        <v>0</v>
      </c>
      <c r="Z203" s="338">
        <f t="shared" si="144"/>
        <v>11.376421072462611</v>
      </c>
      <c r="AA203" s="338">
        <f t="shared" si="145"/>
        <v>1.9612852300011181E-3</v>
      </c>
      <c r="AB203" s="338">
        <f t="shared" si="127"/>
        <v>0</v>
      </c>
      <c r="AC203" s="338">
        <f t="shared" si="128"/>
        <v>11.584112897696514</v>
      </c>
      <c r="AF203" s="138">
        <f t="shared" si="129"/>
        <v>1</v>
      </c>
      <c r="AG203" s="138">
        <f t="shared" si="130"/>
        <v>2</v>
      </c>
      <c r="AH203" s="138">
        <f t="shared" si="146"/>
        <v>28</v>
      </c>
      <c r="AI203" s="138">
        <f t="shared" si="131"/>
        <v>5525</v>
      </c>
      <c r="AJ203" s="138">
        <f t="shared" si="132"/>
        <v>5542</v>
      </c>
      <c r="AL203" s="136">
        <f t="shared" si="147"/>
        <v>4.5795000000000003</v>
      </c>
      <c r="AM203" s="258">
        <f t="shared" si="148"/>
        <v>1.6E-2</v>
      </c>
      <c r="AN203" s="258">
        <f t="shared" si="149"/>
        <v>7.4999999999999997E-3</v>
      </c>
      <c r="AO203" s="258">
        <f t="shared" si="150"/>
        <v>0.35</v>
      </c>
      <c r="AP203" s="258">
        <f t="shared" si="151"/>
        <v>0</v>
      </c>
      <c r="AQ203" s="136">
        <f t="shared" si="133"/>
        <v>3.6400000000000002E-2</v>
      </c>
      <c r="AR203" s="137">
        <f t="shared" si="152"/>
        <v>2.2499999999999999E-2</v>
      </c>
      <c r="AS203" s="136">
        <f t="shared" si="134"/>
        <v>4.6030000000000006</v>
      </c>
      <c r="AT203" s="137">
        <f t="shared" si="135"/>
        <v>6.4415708155503903E-2</v>
      </c>
      <c r="AU203" s="137">
        <f t="shared" si="153"/>
        <v>0.38233431964431241</v>
      </c>
      <c r="AV203" s="394">
        <f t="shared" si="136"/>
        <v>2740.5724032104313</v>
      </c>
      <c r="AW203" s="137">
        <f t="shared" si="154"/>
        <v>0.17</v>
      </c>
      <c r="AX203" s="137">
        <f t="shared" si="155"/>
        <v>1</v>
      </c>
      <c r="AY203" s="137">
        <f t="shared" si="156"/>
        <v>1</v>
      </c>
      <c r="AZ203" s="137"/>
      <c r="BA203" s="264"/>
      <c r="BB203" s="258">
        <f t="shared" si="157"/>
        <v>0</v>
      </c>
      <c r="BC203" s="258">
        <f t="shared" si="137"/>
        <v>0</v>
      </c>
      <c r="BD203" s="137">
        <f t="shared" si="138"/>
        <v>3.7518037901695944E-6</v>
      </c>
      <c r="BE203" s="137">
        <f t="shared" si="139"/>
        <v>3.7518037901695944E-6</v>
      </c>
      <c r="BF203" s="137">
        <f>_xll.xSPRDOPT($BW203,$BV203,$CG203,0,$BY203,$BX203,$BZ203,$AJ203,1,4)*$CB203</f>
        <v>-4.5554074603154755E-7</v>
      </c>
      <c r="BG203" s="137">
        <f>_xll.xSPRDOPT($BW203,$BV203,$CG203,0,$BY203,$BX203,$BZ203,$AJ203,1,3)*$CB203</f>
        <v>-4.5554074603154755E-7</v>
      </c>
      <c r="BH203" s="137">
        <f>IF(OR(BF203&lt;&gt;0,BG203&lt;&gt;0),_xll.xSPRDOPT($BW203,$BV203,$CG203,0,$BY203,$BX203,$BZ203,$AJ203,1,12)*$CB203,0)</f>
        <v>5.352603765870684E-7</v>
      </c>
      <c r="BI203" s="137">
        <f>_xll.xSPRDOPT($BW203,$BV203,$CG203,2*LN(1+CA203/2),$BY203,$BX203,$BZ203,$AJ203,1,9)</f>
        <v>4.453688361176102E-3</v>
      </c>
      <c r="BJ203" s="137">
        <f>_xll.xSPRDOPT($BW203,$BV203,$CG203,0,$BY203,$BX203,$BZ203,$AJ203,1,6)*$CB203</f>
        <v>-3.5889363282513624E-2</v>
      </c>
      <c r="BK203" s="137">
        <f>_xll.xSPRDOPT($BW203,$BV203,$CG203,0,$BY203,$BX203,$BZ203,$AJ203,1,5)*$CB203</f>
        <v>3.7570278607781143E-2</v>
      </c>
      <c r="BL203" s="137">
        <f>_xll.xSPRDOPT(BW203,BV203,CG203,0,BY203,BX203,BZ203,AJ203,1,2)*CB203</f>
        <v>-0.3815325825394385</v>
      </c>
      <c r="BM203" s="137">
        <f>_xll.xSPRDOPT(BW203,BV203,CG203,0,BY203,BX203,BZ203,AJ203,1,1)*CB203</f>
        <v>0.38153258253822209</v>
      </c>
      <c r="BN203" s="137">
        <f>IF(AH203&lt;&gt;0,_xll.xSPRDOPT($BW203,$BV203,$CG203,2*LN(1+CA203/2),$BY203,$BX203,$BZ203,$AJ203,1,8)+(AJ203/365.25)*CH203/AH203,0)</f>
        <v>1.0695756370344043</v>
      </c>
      <c r="BO203" s="137">
        <f>_xll.xSPRDOPT($BW203,$BV203,$CG203,0,$BY203,$BX203,$BZ203,$AJ203,1,0)</f>
        <v>0.18423325855884271</v>
      </c>
      <c r="BP203" s="137"/>
      <c r="BQ203" s="137"/>
      <c r="BR203" s="137"/>
      <c r="BS203" s="137"/>
      <c r="BV203" s="262">
        <v>4.708951406649617</v>
      </c>
      <c r="BW203" s="136">
        <v>4.9295</v>
      </c>
      <c r="BX203" s="137">
        <v>0.17706822895369942</v>
      </c>
      <c r="BY203" s="137">
        <v>0.17706822895369942</v>
      </c>
      <c r="BZ203" s="137">
        <v>1</v>
      </c>
      <c r="CA203" s="137">
        <v>6.4415708155503903E-2</v>
      </c>
      <c r="CB203" s="137">
        <v>0.38213527464862079</v>
      </c>
      <c r="CC203" s="258">
        <v>1.6E-2</v>
      </c>
      <c r="CD203" s="258">
        <v>7.4999999999999997E-3</v>
      </c>
      <c r="CE203" s="258">
        <v>0.35</v>
      </c>
      <c r="CF203" s="258">
        <v>0</v>
      </c>
      <c r="CG203" s="258">
        <v>3.6400000000000002E-2</v>
      </c>
      <c r="CH203" s="258">
        <v>3.9450117213625018</v>
      </c>
      <c r="CI203" s="258">
        <v>4.5795000000000003</v>
      </c>
      <c r="CJ203" s="258"/>
      <c r="CK203" s="258"/>
      <c r="CL203" s="258"/>
      <c r="CM203" s="258"/>
    </row>
    <row r="204" spans="1:91" x14ac:dyDescent="0.25">
      <c r="A204" s="723"/>
      <c r="B204" s="723"/>
      <c r="D204" s="31">
        <f t="shared" si="117"/>
        <v>42809</v>
      </c>
      <c r="F204" s="28">
        <f t="shared" si="118"/>
        <v>11107</v>
      </c>
      <c r="G204" s="28">
        <f t="shared" si="140"/>
        <v>4223.7133990461334</v>
      </c>
      <c r="H204" s="52">
        <f t="shared" si="119"/>
        <v>4.5810741687979535</v>
      </c>
      <c r="I204" s="52">
        <f t="shared" si="120"/>
        <v>4.8494999999999999</v>
      </c>
      <c r="K204" s="52">
        <f t="shared" si="121"/>
        <v>2.735241647371919</v>
      </c>
      <c r="L204" s="135">
        <f t="shared" si="122"/>
        <v>3.5151273123901206E-4</v>
      </c>
      <c r="N204" s="131">
        <f t="shared" si="141"/>
        <v>0.17431374957224247</v>
      </c>
      <c r="O204" s="131">
        <f t="shared" si="142"/>
        <v>0.17431374957224247</v>
      </c>
      <c r="P204" s="55">
        <f t="shared" si="123"/>
        <v>0.99999999999999978</v>
      </c>
      <c r="Q204" s="135">
        <f>_xll.xSPRDOPT(I204,H204,AQ204,0,O204,N204,P204,D204-$G$5,1,0)*AH204*AU204</f>
        <v>2.735593160103158</v>
      </c>
      <c r="R204" s="135"/>
      <c r="S204" s="181">
        <f t="shared" si="124"/>
        <v>-131792.65889592614</v>
      </c>
      <c r="T204" s="181">
        <f>_xll.xSPRDOPT(I204,H204,AQ204,AT204,O204,N204,P204,D204-$G$5,1,1)*AF204*F204*AH204</f>
        <v>128827.32407076782</v>
      </c>
      <c r="U204" s="135"/>
      <c r="V204" s="146">
        <f t="shared" si="125"/>
        <v>4.3464281117383265</v>
      </c>
      <c r="W204" s="146"/>
      <c r="X204" s="338">
        <f t="shared" si="126"/>
        <v>0</v>
      </c>
      <c r="Y204" s="338">
        <f t="shared" si="143"/>
        <v>0</v>
      </c>
      <c r="Z204" s="338">
        <f t="shared" si="144"/>
        <v>15.806602590426243</v>
      </c>
      <c r="AA204" s="338">
        <f t="shared" si="145"/>
        <v>7.9670498853241616E-4</v>
      </c>
      <c r="AB204" s="338">
        <f t="shared" si="127"/>
        <v>0</v>
      </c>
      <c r="AC204" s="338">
        <f t="shared" si="128"/>
        <v>16.076513325247156</v>
      </c>
      <c r="AF204" s="138">
        <f t="shared" si="129"/>
        <v>1</v>
      </c>
      <c r="AG204" s="138">
        <f t="shared" si="130"/>
        <v>3</v>
      </c>
      <c r="AH204" s="138">
        <f t="shared" si="146"/>
        <v>31</v>
      </c>
      <c r="AI204" s="138">
        <f t="shared" si="131"/>
        <v>5553</v>
      </c>
      <c r="AJ204" s="138">
        <f t="shared" si="132"/>
        <v>5570</v>
      </c>
      <c r="AL204" s="136">
        <f t="shared" si="147"/>
        <v>4.4494999999999996</v>
      </c>
      <c r="AM204" s="258">
        <f t="shared" si="148"/>
        <v>2.1000000000000001E-2</v>
      </c>
      <c r="AN204" s="258">
        <f t="shared" si="149"/>
        <v>7.4999999999999997E-3</v>
      </c>
      <c r="AO204" s="258">
        <f t="shared" si="150"/>
        <v>0.4</v>
      </c>
      <c r="AP204" s="258">
        <f t="shared" si="151"/>
        <v>0</v>
      </c>
      <c r="AQ204" s="136">
        <f t="shared" si="133"/>
        <v>3.6400000000000002E-2</v>
      </c>
      <c r="AR204" s="137">
        <f t="shared" si="152"/>
        <v>2.2499999999999999E-2</v>
      </c>
      <c r="AS204" s="136">
        <f t="shared" si="134"/>
        <v>4.4779999999999998</v>
      </c>
      <c r="AT204" s="137">
        <f t="shared" si="135"/>
        <v>6.4452328648156906E-2</v>
      </c>
      <c r="AU204" s="137">
        <f t="shared" si="153"/>
        <v>0.38027490762997512</v>
      </c>
      <c r="AV204" s="394">
        <f t="shared" si="136"/>
        <v>3017.8616669514827</v>
      </c>
      <c r="AW204" s="137">
        <f t="shared" si="154"/>
        <v>0.17</v>
      </c>
      <c r="AX204" s="137">
        <f t="shared" si="155"/>
        <v>0.75</v>
      </c>
      <c r="AY204" s="137">
        <f t="shared" si="156"/>
        <v>0.75</v>
      </c>
      <c r="AZ204" s="137"/>
      <c r="BA204" s="264"/>
      <c r="BB204" s="258">
        <f t="shared" si="157"/>
        <v>0</v>
      </c>
      <c r="BC204" s="258">
        <f t="shared" si="137"/>
        <v>0</v>
      </c>
      <c r="BD204" s="137">
        <f t="shared" si="138"/>
        <v>2.2940328476550587E-6</v>
      </c>
      <c r="BE204" s="137">
        <f t="shared" si="139"/>
        <v>2.2940328476550587E-6</v>
      </c>
      <c r="BF204" s="137">
        <f>_xll.xSPRDOPT($BW204,$BV204,$CG204,0,$BY204,$BX204,$BZ204,$AJ204,1,4)*$CB204</f>
        <v>-3.3981516124656118E-7</v>
      </c>
      <c r="BG204" s="137">
        <f>_xll.xSPRDOPT($BW204,$BV204,$CG204,0,$BY204,$BX204,$BZ204,$AJ204,1,3)*$CB204</f>
        <v>-3.6246950532966527E-7</v>
      </c>
      <c r="BH204" s="137">
        <f>IF(OR(BF204&lt;&gt;0,BG204&lt;&gt;0),_xll.xSPRDOPT($BW204,$BV204,$CG204,0,$BY204,$BX204,$BZ204,$AJ204,1,12)*$CB204,0)</f>
        <v>2.0388909674793672E-7</v>
      </c>
      <c r="BI204" s="137">
        <f>_xll.xSPRDOPT($BW204,$BV204,$CG204,2*LN(1+CA204/2),$BY204,$BX204,$BZ204,$AJ204,1,9)</f>
        <v>5.5891921263963003E-3</v>
      </c>
      <c r="BJ204" s="137">
        <f>_xll.xSPRDOPT($BW204,$BV204,$CG204,0,$BY204,$BX204,$BZ204,$AJ204,1,6)*$CB204</f>
        <v>-1.7214025949936786E-2</v>
      </c>
      <c r="BK204" s="137">
        <f>_xll.xSPRDOPT($BW204,$BV204,$CG204,0,$BY204,$BX204,$BZ204,$AJ204,1,5)*$CB204</f>
        <v>1.8222673501487239E-2</v>
      </c>
      <c r="BL204" s="137">
        <f>_xll.xSPRDOPT(BW204,BV204,CG204,0,BY204,BX204,BZ204,AJ204,1,2)*CB204</f>
        <v>-0.37979879782714737</v>
      </c>
      <c r="BM204" s="137">
        <f>_xll.xSPRDOPT(BW204,BV204,CG204,0,BY204,BX204,BZ204,AJ204,1,1)*CB204</f>
        <v>0.37979879782991283</v>
      </c>
      <c r="BN204" s="137">
        <f>IF(AH204&lt;&gt;0,_xll.xSPRDOPT($BW204,$BV204,$CG204,2*LN(1+CA204/2),$BY204,$BX204,$BZ204,$AJ204,1,8)+(AJ204/365.25)*CH204/AH204,0)</f>
        <v>0.79200452551206579</v>
      </c>
      <c r="BO204" s="137">
        <f>_xll.xSPRDOPT($BW204,$BV204,$CG204,0,$BY204,$BX204,$BZ204,$AJ204,1,0)</f>
        <v>0.23205576795897828</v>
      </c>
      <c r="BP204" s="137"/>
      <c r="BQ204" s="137"/>
      <c r="BR204" s="137"/>
      <c r="BS204" s="137"/>
      <c r="BV204" s="262">
        <v>4.5810741687979535</v>
      </c>
      <c r="BW204" s="136">
        <v>4.8494999999999999</v>
      </c>
      <c r="BX204" s="137">
        <v>0.17431145553939481</v>
      </c>
      <c r="BY204" s="137">
        <v>0.17431145553939481</v>
      </c>
      <c r="BZ204" s="137">
        <v>1</v>
      </c>
      <c r="CA204" s="137">
        <v>6.4452328648156906E-2</v>
      </c>
      <c r="CB204" s="137">
        <v>0.38007682402055909</v>
      </c>
      <c r="CC204" s="258">
        <v>2.1000000000000001E-2</v>
      </c>
      <c r="CD204" s="258">
        <v>7.4999999999999997E-3</v>
      </c>
      <c r="CE204" s="258">
        <v>0.4</v>
      </c>
      <c r="CF204" s="258">
        <v>0</v>
      </c>
      <c r="CG204" s="258">
        <v>3.6400000000000002E-2</v>
      </c>
      <c r="CH204" s="258">
        <v>4.3441640755077842</v>
      </c>
      <c r="CI204" s="258">
        <v>4.4494999999999996</v>
      </c>
      <c r="CJ204" s="258"/>
      <c r="CK204" s="258"/>
      <c r="CL204" s="258"/>
      <c r="CM204" s="258"/>
    </row>
    <row r="205" spans="1:91" x14ac:dyDescent="0.25">
      <c r="A205" s="723"/>
      <c r="B205" s="723"/>
      <c r="D205" s="31">
        <f t="shared" ref="D205:D236" si="158">D204+AH204</f>
        <v>42840</v>
      </c>
      <c r="F205" s="28">
        <f t="shared" ref="F205:F236" si="159">VLOOKUP(AG205,$AL$4:$AS$15,2)</f>
        <v>5899</v>
      </c>
      <c r="G205" s="28">
        <f t="shared" si="140"/>
        <v>2229.8537779610474</v>
      </c>
      <c r="H205" s="52">
        <f t="shared" ref="H205:H236" si="160">(AL205+AM205+AN205)/(1-(AR205))</f>
        <v>4.3943734015345264</v>
      </c>
      <c r="I205" s="52">
        <f t="shared" ref="I205:I236" si="161">(AL205+AO205+AP205)</f>
        <v>4.8644999999999996</v>
      </c>
      <c r="K205" s="52">
        <f t="shared" ref="K205:K236" si="162">MAX(((I205-H205)-AQ205)*AU205*AH205,0)</f>
        <v>4.9185297212600263</v>
      </c>
      <c r="L205" s="135">
        <f t="shared" ref="L205:L236" si="163">MAX(Q205-K205,0)</f>
        <v>1.5652963841539247E-5</v>
      </c>
      <c r="N205" s="131">
        <f t="shared" si="141"/>
        <v>0.171029890465836</v>
      </c>
      <c r="O205" s="131">
        <f t="shared" si="142"/>
        <v>0.171029890465836</v>
      </c>
      <c r="P205" s="55">
        <f t="shared" ref="P205:P236" si="164">(VLOOKUP(AI205,CorrelationTwo,2)*(AW205^2)*AI205+VLOOKUP(D205,CorrelationOne,$AK$9)*AX205*AY205*(AH205/2))/((AI205+(AH205/2))*O205*N205)*AF205</f>
        <v>1</v>
      </c>
      <c r="Q205" s="135">
        <f>_xll.xSPRDOPT(I205,H205,AQ205,0,O205,N205,P205,D205-$G$5,1,0)*AH205*AU205</f>
        <v>4.9185453742238678</v>
      </c>
      <c r="R205" s="135"/>
      <c r="S205" s="181">
        <f t="shared" ref="S205:S236" si="165">-T205/(1-AR205)</f>
        <v>-67374.707738358076</v>
      </c>
      <c r="T205" s="181">
        <f>_xll.xSPRDOPT(I205,H205,AQ205,AT205,O205,N205,P205,D205-$G$5,1,1)*AF205*F205*AH205</f>
        <v>65858.776814245022</v>
      </c>
      <c r="U205" s="135"/>
      <c r="V205" s="146">
        <f t="shared" ref="V205:V236" si="166">VLOOKUP($AG205,$AL$4:$AS$15,8)*AH205*AU205</f>
        <v>4.1811175856970921</v>
      </c>
      <c r="W205" s="146"/>
      <c r="X205" s="338">
        <f t="shared" ref="X205:X236" si="167">((BM205*BC205)+(BL205*BB205))*AH205*F205</f>
        <v>0</v>
      </c>
      <c r="Y205" s="338">
        <f t="shared" si="143"/>
        <v>0</v>
      </c>
      <c r="Z205" s="338">
        <f t="shared" si="144"/>
        <v>15.118496142196125</v>
      </c>
      <c r="AA205" s="338">
        <f t="shared" si="145"/>
        <v>5.3911608207396037E-6</v>
      </c>
      <c r="AB205" s="338">
        <f t="shared" ref="AB205:AB236" si="168">BN205*(AT205-CA205)*F205*AH205</f>
        <v>0</v>
      </c>
      <c r="AC205" s="338">
        <f t="shared" ref="AC205:AC236" si="169">BO205*CB205*F205*AH205*CA205*($G$5-$BV$5)/365.25</f>
        <v>15.361421873170805</v>
      </c>
      <c r="AF205" s="138">
        <f t="shared" ref="AF205:AF236" si="170">IF(AND(D205&gt;=$G$7,D205&lt;=$G$8),1,0)</f>
        <v>1</v>
      </c>
      <c r="AG205" s="138">
        <f t="shared" ref="AG205:AG236" si="171">MONTH(D205)</f>
        <v>4</v>
      </c>
      <c r="AH205" s="138">
        <f t="shared" si="146"/>
        <v>30</v>
      </c>
      <c r="AI205" s="138">
        <f t="shared" ref="AI205:AI236" si="172">AI204+AH204</f>
        <v>5584</v>
      </c>
      <c r="AJ205" s="138">
        <f t="shared" ref="AJ205:AJ236" si="173">D205-$BV$5</f>
        <v>5601</v>
      </c>
      <c r="AL205" s="136">
        <f t="shared" si="147"/>
        <v>4.2645</v>
      </c>
      <c r="AM205" s="258">
        <f t="shared" si="148"/>
        <v>2.1000000000000001E-2</v>
      </c>
      <c r="AN205" s="258">
        <f t="shared" si="149"/>
        <v>0.01</v>
      </c>
      <c r="AO205" s="258">
        <f t="shared" si="150"/>
        <v>0.6</v>
      </c>
      <c r="AP205" s="258">
        <f t="shared" si="151"/>
        <v>0</v>
      </c>
      <c r="AQ205" s="136">
        <f t="shared" ref="AQ205:AQ236" si="174">VLOOKUP($AG205,$AL$4:$AS$15,3)+VLOOKUP($AG205,$AL$4:$AS$15,5)+($AH$10*VLOOKUP(D205,GRITable,2))</f>
        <v>3.6400000000000002E-2</v>
      </c>
      <c r="AR205" s="137">
        <f t="shared" si="152"/>
        <v>2.2499999999999999E-2</v>
      </c>
      <c r="AS205" s="136">
        <f t="shared" ref="AS205:AS236" si="175">(AL205+AM205+AN205)</f>
        <v>4.2954999999999997</v>
      </c>
      <c r="AT205" s="137">
        <f t="shared" ref="AT205:AT236" si="176">VLOOKUP(D205,CurveTbl,$AK$6)</f>
        <v>6.4492872765541207E-2</v>
      </c>
      <c r="AU205" s="137">
        <f t="shared" si="153"/>
        <v>0.37800538700814501</v>
      </c>
      <c r="AV205" s="394">
        <f t="shared" ref="AV205:AV236" si="177">ROUND((F205/(1-AR205))-F205,0)*AF205*AH205*AU205</f>
        <v>1542.2619789932317</v>
      </c>
      <c r="AW205" s="137">
        <f t="shared" si="154"/>
        <v>0.17</v>
      </c>
      <c r="AX205" s="137">
        <f t="shared" si="155"/>
        <v>0.4</v>
      </c>
      <c r="AY205" s="137">
        <f t="shared" si="156"/>
        <v>0.4</v>
      </c>
      <c r="AZ205" s="137"/>
      <c r="BA205" s="264"/>
      <c r="BB205" s="258">
        <f t="shared" si="157"/>
        <v>0</v>
      </c>
      <c r="BC205" s="258">
        <f t="shared" ref="BC205:BC236" si="178">I205-BW205</f>
        <v>0</v>
      </c>
      <c r="BD205" s="137">
        <f t="shared" ref="BD205:BD236" si="179">N205-BX205</f>
        <v>5.4987037026443808E-7</v>
      </c>
      <c r="BE205" s="137">
        <f t="shared" ref="BE205:BE236" si="180">O205-BY205</f>
        <v>5.4987037026443808E-7</v>
      </c>
      <c r="BF205" s="137">
        <f>_xll.xSPRDOPT($BW205,$BV205,$CG205,0,$BY205,$BX205,$BZ205,$AJ205,1,4)*$CB205</f>
        <v>-8.55727065831075E-7</v>
      </c>
      <c r="BG205" s="137">
        <f>_xll.xSPRDOPT($BW205,$BV205,$CG205,0,$BY205,$BX205,$BZ205,$AJ205,1,3)*$CB205</f>
        <v>-4.0534439960419344E-7</v>
      </c>
      <c r="BH205" s="137">
        <f>IF(OR(BF205&lt;&gt;0,BG205&lt;&gt;0),_xll.xSPRDOPT($BW205,$BV205,$CG205,0,$BY205,$BX205,$BZ205,$AJ205,1,12)*$CB205,0)</f>
        <v>2.251913331134408E-7</v>
      </c>
      <c r="BI205" s="137">
        <f>_xll.xSPRDOPT($BW205,$BV205,$CG205,2*LN(1+CA205/2),$BY205,$BX205,$BZ205,$AJ205,1,9)</f>
        <v>1.0401067442574326E-2</v>
      </c>
      <c r="BJ205" s="137">
        <f>_xll.xSPRDOPT($BW205,$BV205,$CG205,0,$BY205,$BX205,$BZ205,$AJ205,1,6)*$CB205</f>
        <v>-5.1785052778696543E-4</v>
      </c>
      <c r="BK205" s="137">
        <f>_xll.xSPRDOPT($BW205,$BV205,$CG205,0,$BY205,$BX205,$BZ205,$AJ205,1,5)*$CB205</f>
        <v>5.7325212913996219E-4</v>
      </c>
      <c r="BL205" s="137">
        <f>_xll.xSPRDOPT(BW205,BV205,CG205,0,BY205,BX205,BZ205,AJ205,1,2)*CB205</f>
        <v>-0.37780147925392837</v>
      </c>
      <c r="BM205" s="137">
        <f>_xll.xSPRDOPT(BW205,BV205,CG205,0,BY205,BX205,BZ205,AJ205,1,1)*CB205</f>
        <v>0.37780147925495922</v>
      </c>
      <c r="BN205" s="137">
        <f>IF(AH205&lt;&gt;0,_xll.xSPRDOPT($BW205,$BV205,$CG205,2*LN(1+CA205/2),$BY205,$BX205,$BZ205,$AJ205,1,8)+(AJ205/365.25)*CH205/AH205,0)</f>
        <v>-0.3767447556477288</v>
      </c>
      <c r="BO205" s="137">
        <f>_xll.xSPRDOPT($BW205,$BV205,$CG205,0,$BY205,$BX205,$BZ205,$AJ205,1,0)</f>
        <v>0.43372798541700014</v>
      </c>
      <c r="BP205" s="137"/>
      <c r="BQ205" s="137"/>
      <c r="BR205" s="137"/>
      <c r="BS205" s="137"/>
      <c r="BV205" s="262">
        <v>4.3943734015345264</v>
      </c>
      <c r="BW205" s="136">
        <v>4.8644999999999996</v>
      </c>
      <c r="BX205" s="137">
        <v>0.17102934059546573</v>
      </c>
      <c r="BY205" s="137">
        <v>0.17102934059546573</v>
      </c>
      <c r="BZ205" s="137">
        <v>1</v>
      </c>
      <c r="CA205" s="137">
        <v>6.4492872765541207E-2</v>
      </c>
      <c r="CB205" s="137">
        <v>0.37780836369721488</v>
      </c>
      <c r="CC205" s="258">
        <v>2.1000000000000001E-2</v>
      </c>
      <c r="CD205" s="258">
        <v>0.01</v>
      </c>
      <c r="CE205" s="258">
        <v>0.6</v>
      </c>
      <c r="CF205" s="258">
        <v>0</v>
      </c>
      <c r="CG205" s="258">
        <v>3.6400000000000002E-2</v>
      </c>
      <c r="CH205" s="258">
        <v>4.1789383108548934</v>
      </c>
      <c r="CI205" s="258">
        <v>4.2645</v>
      </c>
      <c r="CJ205" s="258"/>
      <c r="CK205" s="258"/>
      <c r="CL205" s="258"/>
      <c r="CM205" s="258"/>
    </row>
    <row r="206" spans="1:91" x14ac:dyDescent="0.25">
      <c r="A206" s="723"/>
      <c r="B206" s="723"/>
      <c r="D206" s="31">
        <f t="shared" si="158"/>
        <v>42870</v>
      </c>
      <c r="F206" s="28">
        <f t="shared" si="159"/>
        <v>5895</v>
      </c>
      <c r="G206" s="28">
        <f t="shared" si="140"/>
        <v>2215.4564973847005</v>
      </c>
      <c r="H206" s="52">
        <f t="shared" si="160"/>
        <v>4.3918158567774936</v>
      </c>
      <c r="I206" s="52">
        <f t="shared" si="161"/>
        <v>5.0095000000000001</v>
      </c>
      <c r="K206" s="52">
        <f t="shared" si="162"/>
        <v>6.7721970635791378</v>
      </c>
      <c r="L206" s="135">
        <f t="shared" si="163"/>
        <v>3.6664453961776644E-6</v>
      </c>
      <c r="N206" s="131">
        <f t="shared" si="141"/>
        <v>0.17140006434887184</v>
      </c>
      <c r="O206" s="131">
        <f t="shared" si="142"/>
        <v>0.17140006434887184</v>
      </c>
      <c r="P206" s="55">
        <f t="shared" si="164"/>
        <v>1</v>
      </c>
      <c r="Q206" s="135">
        <f>_xll.xSPRDOPT(I206,H206,AQ206,0,O206,N206,P206,D206-$G$5,1,0)*AH206*AU206</f>
        <v>6.7722007300245339</v>
      </c>
      <c r="R206" s="135"/>
      <c r="S206" s="181">
        <f t="shared" si="165"/>
        <v>-69165.057790851817</v>
      </c>
      <c r="T206" s="181">
        <f>_xll.xSPRDOPT(I206,H206,AQ206,AT206,O206,N206,P206,D206-$G$5,1,1)*AF206*F206*AH206</f>
        <v>67608.843990557652</v>
      </c>
      <c r="U206" s="135"/>
      <c r="V206" s="146">
        <f t="shared" si="166"/>
        <v>4.2955051956162693</v>
      </c>
      <c r="W206" s="146"/>
      <c r="X206" s="338">
        <f t="shared" si="167"/>
        <v>0</v>
      </c>
      <c r="Y206" s="338">
        <f t="shared" si="143"/>
        <v>0</v>
      </c>
      <c r="Z206" s="338">
        <f t="shared" si="144"/>
        <v>20.815094311195484</v>
      </c>
      <c r="AA206" s="338">
        <f t="shared" si="145"/>
        <v>1.176981471773117E-6</v>
      </c>
      <c r="AB206" s="338">
        <f t="shared" si="168"/>
        <v>0</v>
      </c>
      <c r="AC206" s="338">
        <f t="shared" si="169"/>
        <v>21.149200989314487</v>
      </c>
      <c r="AF206" s="138">
        <f t="shared" si="170"/>
        <v>1</v>
      </c>
      <c r="AG206" s="138">
        <f t="shared" si="171"/>
        <v>5</v>
      </c>
      <c r="AH206" s="138">
        <f t="shared" si="146"/>
        <v>31</v>
      </c>
      <c r="AI206" s="138">
        <f t="shared" si="172"/>
        <v>5614</v>
      </c>
      <c r="AJ206" s="138">
        <f t="shared" si="173"/>
        <v>5631</v>
      </c>
      <c r="AL206" s="136">
        <f t="shared" si="147"/>
        <v>4.2595000000000001</v>
      </c>
      <c r="AM206" s="258">
        <f t="shared" si="148"/>
        <v>2.35E-2</v>
      </c>
      <c r="AN206" s="258">
        <f t="shared" si="149"/>
        <v>0.01</v>
      </c>
      <c r="AO206" s="258">
        <f t="shared" si="150"/>
        <v>0.75</v>
      </c>
      <c r="AP206" s="258">
        <f t="shared" si="151"/>
        <v>0</v>
      </c>
      <c r="AQ206" s="136">
        <f t="shared" si="174"/>
        <v>3.6400000000000002E-2</v>
      </c>
      <c r="AR206" s="137">
        <f t="shared" si="152"/>
        <v>2.2499999999999999E-2</v>
      </c>
      <c r="AS206" s="136">
        <f t="shared" si="175"/>
        <v>4.2930000000000001</v>
      </c>
      <c r="AT206" s="137">
        <f t="shared" si="176"/>
        <v>6.45321090086899E-2</v>
      </c>
      <c r="AU206" s="137">
        <f t="shared" si="153"/>
        <v>0.37581959243167096</v>
      </c>
      <c r="AV206" s="394">
        <f t="shared" si="177"/>
        <v>1584.4554016919249</v>
      </c>
      <c r="AW206" s="137">
        <f t="shared" si="154"/>
        <v>0.17</v>
      </c>
      <c r="AX206" s="137">
        <f t="shared" si="155"/>
        <v>0.45</v>
      </c>
      <c r="AY206" s="137">
        <f t="shared" si="156"/>
        <v>0.45</v>
      </c>
      <c r="AZ206" s="137"/>
      <c r="BA206" s="264"/>
      <c r="BB206" s="258">
        <f t="shared" si="157"/>
        <v>0</v>
      </c>
      <c r="BC206" s="258">
        <f t="shared" si="178"/>
        <v>0</v>
      </c>
      <c r="BD206" s="137">
        <f t="shared" si="179"/>
        <v>7.4266270391754041E-7</v>
      </c>
      <c r="BE206" s="137">
        <f t="shared" si="180"/>
        <v>7.4266270391754041E-7</v>
      </c>
      <c r="BF206" s="137">
        <f>_xll.xSPRDOPT($BW206,$BV206,$CG206,0,$BY206,$BX206,$BZ206,$AJ206,1,4)*$CB206</f>
        <v>3.5822257149469392E-7</v>
      </c>
      <c r="BG206" s="137">
        <f>_xll.xSPRDOPT($BW206,$BV206,$CG206,0,$BY206,$BX206,$BZ206,$AJ206,1,3)*$CB206</f>
        <v>3.5822257149469392E-7</v>
      </c>
      <c r="BH206" s="137">
        <f>IF(OR(BF206&lt;&gt;0,BG206&lt;&gt;0),_xll.xSPRDOPT($BW206,$BV206,$CG206,0,$BY206,$BX206,$BZ206,$AJ206,1,12)*$CB206,0)</f>
        <v>-1.3433346431051021E-7</v>
      </c>
      <c r="BI206" s="137">
        <f>_xll.xSPRDOPT($BW206,$BV206,$CG206,2*LN(1+CA206/2),$BY206,$BX206,$BZ206,$AJ206,1,9)</f>
        <v>1.386761734869928E-2</v>
      </c>
      <c r="BJ206" s="137">
        <f>_xll.xSPRDOPT($BW206,$BV206,$CG206,0,$BY206,$BX206,$BZ206,$AJ206,1,6)*$CB206</f>
        <v>-6.1660945727256411E-5</v>
      </c>
      <c r="BK206" s="137">
        <f>_xll.xSPRDOPT($BW206,$BV206,$CG206,0,$BY206,$BX206,$BZ206,$AJ206,1,5)*$CB206</f>
        <v>7.0333210092965817E-5</v>
      </c>
      <c r="BL206" s="137">
        <f>_xll.xSPRDOPT(BW206,BV206,CG206,0,BY206,BX206,BZ206,AJ206,1,2)*CB206</f>
        <v>-0.37562287159894586</v>
      </c>
      <c r="BM206" s="137">
        <f>_xll.xSPRDOPT(BW206,BV206,CG206,0,BY206,BX206,BZ206,AJ206,1,1)*CB206</f>
        <v>0.37562287159621283</v>
      </c>
      <c r="BN206" s="137">
        <f>IF(AH206&lt;&gt;0,_xll.xSPRDOPT($BW206,$BV206,$CG206,2*LN(1+CA206/2),$BY206,$BX206,$BZ206,$AJ206,1,8)+(AJ206/365.25)*CH206/AH206,0)</f>
        <v>-1.231061289757625</v>
      </c>
      <c r="BO206" s="137">
        <f>_xll.xSPRDOPT($BW206,$BV206,$CG206,0,$BY206,$BX206,$BZ206,$AJ206,1,0)</f>
        <v>0.58128445896540493</v>
      </c>
      <c r="BP206" s="137"/>
      <c r="BQ206" s="137"/>
      <c r="BR206" s="137"/>
      <c r="BS206" s="137"/>
      <c r="BV206" s="262">
        <v>4.3918158567774936</v>
      </c>
      <c r="BW206" s="136">
        <v>5.0095000000000001</v>
      </c>
      <c r="BX206" s="137">
        <v>0.17139932168616792</v>
      </c>
      <c r="BY206" s="137">
        <v>0.17139932168616792</v>
      </c>
      <c r="BZ206" s="137">
        <v>1</v>
      </c>
      <c r="CA206" s="137">
        <v>6.45321090086899E-2</v>
      </c>
      <c r="CB206" s="137">
        <v>0.37562359112762017</v>
      </c>
      <c r="CC206" s="258">
        <v>2.35E-2</v>
      </c>
      <c r="CD206" s="258">
        <v>0.01</v>
      </c>
      <c r="CE206" s="258">
        <v>0.75</v>
      </c>
      <c r="CF206" s="258">
        <v>0</v>
      </c>
      <c r="CG206" s="258">
        <v>3.6400000000000002E-2</v>
      </c>
      <c r="CH206" s="258">
        <v>4.2932649595113608</v>
      </c>
      <c r="CI206" s="258">
        <v>4.2595000000000001</v>
      </c>
      <c r="CJ206" s="258"/>
      <c r="CK206" s="258"/>
      <c r="CL206" s="258"/>
      <c r="CM206" s="258"/>
    </row>
    <row r="207" spans="1:91" x14ac:dyDescent="0.25">
      <c r="A207" s="723"/>
      <c r="B207" s="723"/>
      <c r="D207" s="31">
        <f t="shared" si="158"/>
        <v>42901</v>
      </c>
      <c r="F207" s="28">
        <f t="shared" si="159"/>
        <v>5895</v>
      </c>
      <c r="G207" s="28">
        <f t="shared" si="140"/>
        <v>2202.2055799225973</v>
      </c>
      <c r="H207" s="52">
        <f t="shared" si="160"/>
        <v>4.4276214833759591</v>
      </c>
      <c r="I207" s="52">
        <f t="shared" si="161"/>
        <v>5.1444999999999999</v>
      </c>
      <c r="K207" s="52">
        <f t="shared" si="162"/>
        <v>7.626226902427045</v>
      </c>
      <c r="L207" s="135">
        <f t="shared" si="163"/>
        <v>1.7754711754136565E-6</v>
      </c>
      <c r="N207" s="131">
        <f t="shared" si="141"/>
        <v>0.1713478061469656</v>
      </c>
      <c r="O207" s="131">
        <f t="shared" si="142"/>
        <v>0.1713478061469656</v>
      </c>
      <c r="P207" s="55">
        <f t="shared" si="164"/>
        <v>0.99999999999999978</v>
      </c>
      <c r="Q207" s="135">
        <f>_xll.xSPRDOPT(I207,H207,AQ207,0,O207,N207,P207,D207-$G$5,1,0)*AH207*AU207</f>
        <v>7.6262286778982205</v>
      </c>
      <c r="R207" s="135"/>
      <c r="S207" s="181">
        <f t="shared" si="165"/>
        <v>-66526.617763963222</v>
      </c>
      <c r="T207" s="181">
        <f>_xll.xSPRDOPT(I207,H207,AQ207,AT207,O207,N207,P207,D207-$G$5,1,1)*AF207*F207*AH207</f>
        <v>65029.768864274047</v>
      </c>
      <c r="U207" s="135"/>
      <c r="V207" s="146">
        <f t="shared" si="166"/>
        <v>4.1320773400379727</v>
      </c>
      <c r="W207" s="146"/>
      <c r="X207" s="338">
        <f t="shared" si="167"/>
        <v>0</v>
      </c>
      <c r="Y207" s="338">
        <f t="shared" si="143"/>
        <v>0</v>
      </c>
      <c r="Z207" s="338">
        <f t="shared" si="144"/>
        <v>23.454586396131404</v>
      </c>
      <c r="AA207" s="338">
        <f t="shared" si="145"/>
        <v>3.8903221568138181E-7</v>
      </c>
      <c r="AB207" s="338">
        <f t="shared" si="168"/>
        <v>0</v>
      </c>
      <c r="AC207" s="338">
        <f t="shared" si="169"/>
        <v>23.831237644897481</v>
      </c>
      <c r="AF207" s="138">
        <f t="shared" si="170"/>
        <v>1</v>
      </c>
      <c r="AG207" s="138">
        <f t="shared" si="171"/>
        <v>6</v>
      </c>
      <c r="AH207" s="138">
        <f t="shared" si="146"/>
        <v>30</v>
      </c>
      <c r="AI207" s="138">
        <f t="shared" si="172"/>
        <v>5645</v>
      </c>
      <c r="AJ207" s="138">
        <f t="shared" si="173"/>
        <v>5662</v>
      </c>
      <c r="AL207" s="136">
        <f t="shared" si="147"/>
        <v>4.2945000000000002</v>
      </c>
      <c r="AM207" s="258">
        <f t="shared" si="148"/>
        <v>2.35E-2</v>
      </c>
      <c r="AN207" s="258">
        <f t="shared" si="149"/>
        <v>0.01</v>
      </c>
      <c r="AO207" s="258">
        <f t="shared" si="150"/>
        <v>0.85</v>
      </c>
      <c r="AP207" s="258">
        <f t="shared" si="151"/>
        <v>0</v>
      </c>
      <c r="AQ207" s="136">
        <f t="shared" si="174"/>
        <v>3.6400000000000002E-2</v>
      </c>
      <c r="AR207" s="137">
        <f t="shared" si="152"/>
        <v>2.2499999999999999E-2</v>
      </c>
      <c r="AS207" s="136">
        <f t="shared" si="175"/>
        <v>4.3280000000000003</v>
      </c>
      <c r="AT207" s="137">
        <f t="shared" si="176"/>
        <v>6.4572653127146704E-2</v>
      </c>
      <c r="AU207" s="137">
        <f t="shared" si="153"/>
        <v>0.37357176928288333</v>
      </c>
      <c r="AV207" s="394">
        <f t="shared" si="177"/>
        <v>1524.1728186741639</v>
      </c>
      <c r="AW207" s="137">
        <f t="shared" si="154"/>
        <v>0.17</v>
      </c>
      <c r="AX207" s="137">
        <f t="shared" si="155"/>
        <v>0.45</v>
      </c>
      <c r="AY207" s="137">
        <f t="shared" si="156"/>
        <v>0.45</v>
      </c>
      <c r="AZ207" s="137"/>
      <c r="BA207" s="264"/>
      <c r="BB207" s="258">
        <f t="shared" si="157"/>
        <v>0</v>
      </c>
      <c r="BC207" s="258">
        <f t="shared" si="178"/>
        <v>0</v>
      </c>
      <c r="BD207" s="137">
        <f t="shared" si="179"/>
        <v>7.1119975628142207E-7</v>
      </c>
      <c r="BE207" s="137">
        <f t="shared" si="180"/>
        <v>7.1119975628142207E-7</v>
      </c>
      <c r="BF207" s="137">
        <f>_xll.xSPRDOPT($BW207,$BV207,$CG207,0,$BY207,$BX207,$BZ207,$AJ207,1,4)*$CB207</f>
        <v>4.4509985427345133E-7</v>
      </c>
      <c r="BG207" s="137">
        <f>_xll.xSPRDOPT($BW207,$BV207,$CG207,0,$BY207,$BX207,$BZ207,$AJ207,1,3)*$CB207</f>
        <v>8.9019970854690267E-8</v>
      </c>
      <c r="BH207" s="137">
        <f>IF(OR(BF207&lt;&gt;0,BG207&lt;&gt;0),_xll.xSPRDOPT($BW207,$BV207,$CG207,0,$BY207,$BX207,$BZ207,$AJ207,1,12)*$CB207,0)</f>
        <v>-1.335299562820354E-7</v>
      </c>
      <c r="BI207" s="137">
        <f>_xll.xSPRDOPT($BW207,$BV207,$CG207,2*LN(1+CA207/2),$BY207,$BX207,$BZ207,$AJ207,1,9)</f>
        <v>1.6146994027305617E-2</v>
      </c>
      <c r="BJ207" s="137">
        <f>_xll.xSPRDOPT($BW207,$BV207,$CG207,0,$BY207,$BX207,$BZ207,$AJ207,1,6)*$CB207</f>
        <v>-1.9103418796365706E-5</v>
      </c>
      <c r="BK207" s="137">
        <f>_xll.xSPRDOPT($BW207,$BV207,$CG207,0,$BY207,$BX207,$BZ207,$AJ207,1,5)*$CB207</f>
        <v>2.2196482775625638E-5</v>
      </c>
      <c r="BL207" s="137">
        <f>_xll.xSPRDOPT(BW207,BV207,CG207,0,BY207,BX207,BZ207,AJ207,1,2)*CB207</f>
        <v>-0.37337662529672921</v>
      </c>
      <c r="BM207" s="137">
        <f>_xll.xSPRDOPT(BW207,BV207,CG207,0,BY207,BX207,BZ207,AJ207,1,1)*CB207</f>
        <v>0.37337662529944593</v>
      </c>
      <c r="BN207" s="137">
        <f>IF(AH207&lt;&gt;0,_xll.xSPRDOPT($BW207,$BV207,$CG207,2*LN(1+CA207/2),$BY207,$BX207,$BZ207,$AJ207,1,8)+(AJ207/365.25)*CH207/AH207,0)</f>
        <v>-1.8045686173075612</v>
      </c>
      <c r="BO207" s="137">
        <f>_xll.xSPRDOPT($BW207,$BV207,$CG207,0,$BY207,$BX207,$BZ207,$AJ207,1,0)</f>
        <v>0.68047867541744356</v>
      </c>
      <c r="BP207" s="137"/>
      <c r="BQ207" s="137"/>
      <c r="BR207" s="137"/>
      <c r="BS207" s="137"/>
      <c r="BV207" s="262">
        <v>4.4276214833759591</v>
      </c>
      <c r="BW207" s="136">
        <v>5.1444999999999999</v>
      </c>
      <c r="BX207" s="137">
        <v>0.17134709494720932</v>
      </c>
      <c r="BY207" s="137">
        <v>0.17134709494720932</v>
      </c>
      <c r="BZ207" s="137">
        <v>1</v>
      </c>
      <c r="CA207" s="137">
        <v>6.4572653127146704E-2</v>
      </c>
      <c r="CB207" s="137">
        <v>0.3733768198357108</v>
      </c>
      <c r="CC207" s="258">
        <v>2.35E-2</v>
      </c>
      <c r="CD207" s="258">
        <v>0.01</v>
      </c>
      <c r="CE207" s="258">
        <v>0.85</v>
      </c>
      <c r="CF207" s="258">
        <v>0</v>
      </c>
      <c r="CG207" s="258">
        <v>3.6400000000000002E-2</v>
      </c>
      <c r="CH207" s="258">
        <v>4.1299210042027976</v>
      </c>
      <c r="CI207" s="258">
        <v>4.2945000000000002</v>
      </c>
      <c r="CJ207" s="258"/>
      <c r="CK207" s="258"/>
      <c r="CL207" s="258"/>
      <c r="CM207" s="258"/>
    </row>
    <row r="208" spans="1:91" x14ac:dyDescent="0.25">
      <c r="A208" s="723"/>
      <c r="B208" s="723"/>
      <c r="D208" s="31">
        <f t="shared" si="158"/>
        <v>42931</v>
      </c>
      <c r="F208" s="28">
        <f t="shared" si="159"/>
        <v>5895</v>
      </c>
      <c r="G208" s="28">
        <f t="shared" si="140"/>
        <v>2189.4437045152076</v>
      </c>
      <c r="H208" s="52">
        <f t="shared" si="160"/>
        <v>4.4685421994884909</v>
      </c>
      <c r="I208" s="52">
        <f t="shared" si="161"/>
        <v>5.3845000000000001</v>
      </c>
      <c r="K208" s="52">
        <f t="shared" si="162"/>
        <v>10.126889052027508</v>
      </c>
      <c r="L208" s="135">
        <f t="shared" si="163"/>
        <v>1.1165562874282386E-6</v>
      </c>
      <c r="N208" s="131">
        <f t="shared" si="141"/>
        <v>0.17176216281940346</v>
      </c>
      <c r="O208" s="131">
        <f t="shared" si="142"/>
        <v>0.17176216281940346</v>
      </c>
      <c r="P208" s="55">
        <f t="shared" si="164"/>
        <v>1</v>
      </c>
      <c r="Q208" s="135">
        <f>_xll.xSPRDOPT(I208,H208,AQ208,0,O208,N208,P208,D208-$G$5,1,0)*AH208*AU208</f>
        <v>10.126890168583795</v>
      </c>
      <c r="R208" s="135"/>
      <c r="S208" s="181">
        <f t="shared" si="165"/>
        <v>-68338.790913290548</v>
      </c>
      <c r="T208" s="181">
        <f>_xll.xSPRDOPT(I208,H208,AQ208,AT208,O208,N208,P208,D208-$G$5,1,1)*AF208*F208*AH208</f>
        <v>66801.168117741516</v>
      </c>
      <c r="U208" s="135"/>
      <c r="V208" s="146">
        <f t="shared" si="166"/>
        <v>4.2450695011870172</v>
      </c>
      <c r="W208" s="146"/>
      <c r="X208" s="338">
        <f t="shared" si="167"/>
        <v>0</v>
      </c>
      <c r="Y208" s="338">
        <f t="shared" si="143"/>
        <v>0</v>
      </c>
      <c r="Z208" s="338">
        <f t="shared" si="144"/>
        <v>31.164052000552434</v>
      </c>
      <c r="AA208" s="338">
        <f t="shared" si="145"/>
        <v>1.7582728184983233E-7</v>
      </c>
      <c r="AB208" s="338">
        <f t="shared" si="168"/>
        <v>0</v>
      </c>
      <c r="AC208" s="338">
        <f t="shared" si="169"/>
        <v>31.664785305961448</v>
      </c>
      <c r="AF208" s="138">
        <f t="shared" si="170"/>
        <v>1</v>
      </c>
      <c r="AG208" s="138">
        <f t="shared" si="171"/>
        <v>7</v>
      </c>
      <c r="AH208" s="138">
        <f t="shared" si="146"/>
        <v>31</v>
      </c>
      <c r="AI208" s="138">
        <f t="shared" si="172"/>
        <v>5675</v>
      </c>
      <c r="AJ208" s="138">
        <f t="shared" si="173"/>
        <v>5692</v>
      </c>
      <c r="AL208" s="136">
        <f t="shared" si="147"/>
        <v>4.3345000000000002</v>
      </c>
      <c r="AM208" s="258">
        <f t="shared" si="148"/>
        <v>2.35E-2</v>
      </c>
      <c r="AN208" s="258">
        <f t="shared" si="149"/>
        <v>0.01</v>
      </c>
      <c r="AO208" s="258">
        <f t="shared" si="150"/>
        <v>1.05</v>
      </c>
      <c r="AP208" s="258">
        <f t="shared" si="151"/>
        <v>0</v>
      </c>
      <c r="AQ208" s="136">
        <f t="shared" si="174"/>
        <v>3.6400000000000002E-2</v>
      </c>
      <c r="AR208" s="137">
        <f t="shared" si="152"/>
        <v>2.2499999999999999E-2</v>
      </c>
      <c r="AS208" s="136">
        <f t="shared" si="175"/>
        <v>4.3680000000000003</v>
      </c>
      <c r="AT208" s="137">
        <f t="shared" si="176"/>
        <v>6.4611889371333706E-2</v>
      </c>
      <c r="AU208" s="137">
        <f t="shared" si="153"/>
        <v>0.37140690492200296</v>
      </c>
      <c r="AV208" s="394">
        <f t="shared" si="177"/>
        <v>1565.8515111511645</v>
      </c>
      <c r="AW208" s="137">
        <f t="shared" si="154"/>
        <v>0.17</v>
      </c>
      <c r="AX208" s="137">
        <f t="shared" si="155"/>
        <v>0.5</v>
      </c>
      <c r="AY208" s="137">
        <f t="shared" si="156"/>
        <v>0.5</v>
      </c>
      <c r="AZ208" s="137"/>
      <c r="BA208" s="264"/>
      <c r="BB208" s="258">
        <f t="shared" si="157"/>
        <v>0</v>
      </c>
      <c r="BC208" s="258">
        <f t="shared" si="178"/>
        <v>0</v>
      </c>
      <c r="BD208" s="137">
        <f t="shared" si="179"/>
        <v>9.2375247476295108E-7</v>
      </c>
      <c r="BE208" s="137">
        <f t="shared" si="180"/>
        <v>9.2375247476295108E-7</v>
      </c>
      <c r="BF208" s="137">
        <f>_xll.xSPRDOPT($BW208,$BV208,$CG208,0,$BY208,$BX208,$BZ208,$AJ208,1,4)*$CB208</f>
        <v>5.3102441214680459E-7</v>
      </c>
      <c r="BG208" s="137">
        <f>_xll.xSPRDOPT($BW208,$BV208,$CG208,0,$BY208,$BX208,$BZ208,$AJ208,1,3)*$CB208</f>
        <v>7.0803254952907282E-7</v>
      </c>
      <c r="BH208" s="137">
        <f>IF(OR(BF208&lt;&gt;0,BG208&lt;&gt;0),_xll.xSPRDOPT($BW208,$BV208,$CG208,0,$BY208,$BX208,$BZ208,$AJ208,1,12)*$CB208,0)</f>
        <v>-4.4252034345567053E-7</v>
      </c>
      <c r="BI208" s="137">
        <f>_xll.xSPRDOPT($BW208,$BV208,$CG208,2*LN(1+CA208/2),$BY208,$BX208,$BZ208,$AJ208,1,9)</f>
        <v>2.076239202750969E-2</v>
      </c>
      <c r="BJ208" s="137">
        <f>_xll.xSPRDOPT($BW208,$BV208,$CG208,0,$BY208,$BX208,$BZ208,$AJ208,1,6)*$CB208</f>
        <v>-5.0813203509977306E-6</v>
      </c>
      <c r="BK208" s="137">
        <f>_xll.xSPRDOPT($BW208,$BV208,$CG208,0,$BY208,$BX208,$BZ208,$AJ208,1,5)*$CB208</f>
        <v>6.1228823924594577E-6</v>
      </c>
      <c r="BL208" s="137">
        <f>_xll.xSPRDOPT(BW208,BV208,CG208,0,BY208,BX208,BZ208,AJ208,1,2)*CB208</f>
        <v>-0.37121293717427939</v>
      </c>
      <c r="BM208" s="137">
        <f>_xll.xSPRDOPT(BW208,BV208,CG208,0,BY208,BX208,BZ208,AJ208,1,1)*CB208</f>
        <v>0.37121293717968123</v>
      </c>
      <c r="BN208" s="137">
        <f>IF(AH208&lt;&gt;0,_xll.xSPRDOPT($BW208,$BV208,$CG208,2*LN(1+CA208/2),$BY208,$BX208,$BZ208,$AJ208,1,8)+(AJ208/365.25)*CH208/AH208,0)</f>
        <v>-2.9552751340841739</v>
      </c>
      <c r="BO208" s="137">
        <f>_xll.xSPRDOPT($BW208,$BV208,$CG208,0,$BY208,$BX208,$BZ208,$AJ208,1,0)</f>
        <v>0.87955789761305203</v>
      </c>
      <c r="BP208" s="137"/>
      <c r="BQ208" s="137"/>
      <c r="BR208" s="137"/>
      <c r="BS208" s="137"/>
      <c r="BV208" s="262">
        <v>4.4685421994884909</v>
      </c>
      <c r="BW208" s="136">
        <v>5.3845000000000001</v>
      </c>
      <c r="BX208" s="137">
        <v>0.17176123906692869</v>
      </c>
      <c r="BY208" s="137">
        <v>0.17176123906692869</v>
      </c>
      <c r="BZ208" s="137">
        <v>1</v>
      </c>
      <c r="CA208" s="137">
        <v>6.4611889371333706E-2</v>
      </c>
      <c r="CB208" s="137">
        <v>0.37121296932749853</v>
      </c>
      <c r="CC208" s="258">
        <v>2.35E-2</v>
      </c>
      <c r="CD208" s="258">
        <v>0.01</v>
      </c>
      <c r="CE208" s="258">
        <v>1.05</v>
      </c>
      <c r="CF208" s="258">
        <v>0</v>
      </c>
      <c r="CG208" s="258">
        <v>3.6400000000000002E-2</v>
      </c>
      <c r="CH208" s="258">
        <v>4.2428528755225106</v>
      </c>
      <c r="CI208" s="258">
        <v>4.3345000000000002</v>
      </c>
      <c r="CJ208" s="258"/>
      <c r="CK208" s="258"/>
      <c r="CL208" s="258"/>
      <c r="CM208" s="258"/>
    </row>
    <row r="209" spans="1:91" x14ac:dyDescent="0.25">
      <c r="A209" s="723"/>
      <c r="B209" s="723"/>
      <c r="D209" s="31">
        <f t="shared" si="158"/>
        <v>42962</v>
      </c>
      <c r="F209" s="28">
        <f t="shared" si="159"/>
        <v>5895</v>
      </c>
      <c r="G209" s="28">
        <f t="shared" si="140"/>
        <v>2176.3198732081555</v>
      </c>
      <c r="H209" s="52">
        <f t="shared" si="160"/>
        <v>4.5043478260869572</v>
      </c>
      <c r="I209" s="52">
        <f t="shared" si="161"/>
        <v>5.4245000000000001</v>
      </c>
      <c r="K209" s="52">
        <f t="shared" si="162"/>
        <v>10.114189990061719</v>
      </c>
      <c r="L209" s="135">
        <f t="shared" si="163"/>
        <v>1.1335673093526566E-6</v>
      </c>
      <c r="N209" s="131">
        <f t="shared" si="141"/>
        <v>0.17216621105681584</v>
      </c>
      <c r="O209" s="131">
        <f t="shared" si="142"/>
        <v>0.17216621105681584</v>
      </c>
      <c r="P209" s="55">
        <f t="shared" si="164"/>
        <v>1</v>
      </c>
      <c r="Q209" s="135">
        <f>_xll.xSPRDOPT(I209,H209,AQ209,0,O209,N209,P209,D209-$G$5,1,0)*AH209*AU209</f>
        <v>10.114191123629029</v>
      </c>
      <c r="R209" s="135"/>
      <c r="S209" s="181">
        <f t="shared" si="165"/>
        <v>-67921.918388193153</v>
      </c>
      <c r="T209" s="181">
        <f>_xll.xSPRDOPT(I209,H209,AQ209,AT209,O209,N209,P209,D209-$G$5,1,1)*AF209*F209*AH209</f>
        <v>66393.675224458813</v>
      </c>
      <c r="U209" s="135"/>
      <c r="V209" s="146">
        <f t="shared" si="166"/>
        <v>4.2196239617993649</v>
      </c>
      <c r="W209" s="146"/>
      <c r="X209" s="338">
        <f t="shared" si="167"/>
        <v>0</v>
      </c>
      <c r="Y209" s="338">
        <f t="shared" si="143"/>
        <v>0</v>
      </c>
      <c r="Z209" s="338">
        <f t="shared" si="144"/>
        <v>31.1441862362474</v>
      </c>
      <c r="AA209" s="338">
        <f t="shared" si="145"/>
        <v>2.104108375161151E-7</v>
      </c>
      <c r="AB209" s="338">
        <f t="shared" si="168"/>
        <v>0</v>
      </c>
      <c r="AC209" s="338">
        <f t="shared" si="169"/>
        <v>31.644912506527923</v>
      </c>
      <c r="AF209" s="138">
        <f t="shared" si="170"/>
        <v>1</v>
      </c>
      <c r="AG209" s="138">
        <f t="shared" si="171"/>
        <v>8</v>
      </c>
      <c r="AH209" s="138">
        <f t="shared" si="146"/>
        <v>31</v>
      </c>
      <c r="AI209" s="138">
        <f t="shared" si="172"/>
        <v>5706</v>
      </c>
      <c r="AJ209" s="138">
        <f t="shared" si="173"/>
        <v>5723</v>
      </c>
      <c r="AL209" s="136">
        <f t="shared" si="147"/>
        <v>4.3745000000000003</v>
      </c>
      <c r="AM209" s="258">
        <f t="shared" si="148"/>
        <v>1.8499999999999999E-2</v>
      </c>
      <c r="AN209" s="258">
        <f t="shared" si="149"/>
        <v>0.01</v>
      </c>
      <c r="AO209" s="258">
        <f t="shared" si="150"/>
        <v>1.05</v>
      </c>
      <c r="AP209" s="258">
        <f t="shared" si="151"/>
        <v>0</v>
      </c>
      <c r="AQ209" s="136">
        <f t="shared" si="174"/>
        <v>3.6400000000000002E-2</v>
      </c>
      <c r="AR209" s="137">
        <f t="shared" si="152"/>
        <v>2.2499999999999999E-2</v>
      </c>
      <c r="AS209" s="136">
        <f t="shared" si="175"/>
        <v>4.4030000000000005</v>
      </c>
      <c r="AT209" s="137">
        <f t="shared" si="176"/>
        <v>6.4652433490862901E-2</v>
      </c>
      <c r="AU209" s="137">
        <f t="shared" si="153"/>
        <v>0.36918064006923756</v>
      </c>
      <c r="AV209" s="394">
        <f t="shared" si="177"/>
        <v>1556.4655785319055</v>
      </c>
      <c r="AW209" s="137">
        <f t="shared" si="154"/>
        <v>0.17</v>
      </c>
      <c r="AX209" s="137">
        <f t="shared" si="155"/>
        <v>0.55000000000000004</v>
      </c>
      <c r="AY209" s="137">
        <f t="shared" si="156"/>
        <v>0.55000000000000004</v>
      </c>
      <c r="AZ209" s="137"/>
      <c r="BA209" s="264"/>
      <c r="BB209" s="258">
        <f t="shared" si="157"/>
        <v>0</v>
      </c>
      <c r="BC209" s="258">
        <f t="shared" si="178"/>
        <v>0</v>
      </c>
      <c r="BD209" s="137">
        <f t="shared" si="179"/>
        <v>1.1280934802959663E-6</v>
      </c>
      <c r="BE209" s="137">
        <f t="shared" si="180"/>
        <v>1.1280934802959663E-6</v>
      </c>
      <c r="BF209" s="137">
        <f>_xll.xSPRDOPT($BW209,$BV209,$CG209,0,$BY209,$BX209,$BZ209,$AJ209,1,4)*$CB209</f>
        <v>-1.7594706913055278E-7</v>
      </c>
      <c r="BG209" s="137">
        <f>_xll.xSPRDOPT($BW209,$BV209,$CG209,0,$BY209,$BX209,$BZ209,$AJ209,1,3)*$CB209</f>
        <v>-3.5189413826110557E-7</v>
      </c>
      <c r="BH209" s="137">
        <f>IF(OR(BF209&lt;&gt;0,BG209&lt;&gt;0),_xll.xSPRDOPT($BW209,$BV209,$CG209,0,$BY209,$BX209,$BZ209,$AJ209,1,12)*$CB209,0)</f>
        <v>-1.3196030184791458E-7</v>
      </c>
      <c r="BI209" s="137">
        <f>_xll.xSPRDOPT($BW209,$BV209,$CG209,2*LN(1+CA209/2),$BY209,$BX209,$BZ209,$AJ209,1,9)</f>
        <v>2.0749156881245016E-2</v>
      </c>
      <c r="BJ209" s="137">
        <f>_xll.xSPRDOPT($BW209,$BV209,$CG209,0,$BY209,$BX209,$BZ209,$AJ209,1,6)*$CB209</f>
        <v>-4.9963714491321247E-6</v>
      </c>
      <c r="BK209" s="137">
        <f>_xll.xSPRDOPT($BW209,$BV209,$CG209,0,$BY209,$BX209,$BZ209,$AJ209,1,5)*$CB209</f>
        <v>6.0170230298008897E-6</v>
      </c>
      <c r="BL209" s="137">
        <f>_xll.xSPRDOPT(BW209,BV209,CG209,0,BY209,BX209,BZ209,AJ209,1,2)*CB209</f>
        <v>-0.36898771693670174</v>
      </c>
      <c r="BM209" s="137">
        <f>_xll.xSPRDOPT(BW209,BV209,CG209,0,BY209,BX209,BZ209,AJ209,1,1)*CB209</f>
        <v>0.36898771694005766</v>
      </c>
      <c r="BN209" s="137">
        <f>IF(AH209&lt;&gt;0,_xll.xSPRDOPT($BW209,$BV209,$CG209,2*LN(1+CA209/2),$BY209,$BX209,$BZ209,$AJ209,1,8)+(AJ209/365.25)*CH209/AH209,0)</f>
        <v>-2.977808569059428</v>
      </c>
      <c r="BO209" s="137">
        <f>_xll.xSPRDOPT($BW209,$BV209,$CG209,0,$BY209,$BX209,$BZ209,$AJ209,1,0)</f>
        <v>0.88375227308305182</v>
      </c>
      <c r="BP209" s="137"/>
      <c r="BQ209" s="137"/>
      <c r="BR209" s="137"/>
      <c r="BS209" s="137"/>
      <c r="BV209" s="262">
        <v>4.5043478260869572</v>
      </c>
      <c r="BW209" s="136">
        <v>5.4245000000000001</v>
      </c>
      <c r="BX209" s="137">
        <v>0.17216508296333555</v>
      </c>
      <c r="BY209" s="137">
        <v>0.17216508296333555</v>
      </c>
      <c r="BZ209" s="137">
        <v>1</v>
      </c>
      <c r="CA209" s="137">
        <v>6.4652433490862901E-2</v>
      </c>
      <c r="CB209" s="137">
        <v>0.36898774792127703</v>
      </c>
      <c r="CC209" s="258">
        <v>1.8499999999999999E-2</v>
      </c>
      <c r="CD209" s="258">
        <v>0.01</v>
      </c>
      <c r="CE209" s="258">
        <v>1.05</v>
      </c>
      <c r="CF209" s="258">
        <v>0</v>
      </c>
      <c r="CG209" s="258">
        <v>3.6400000000000002E-2</v>
      </c>
      <c r="CH209" s="258">
        <v>4.2174192624158202</v>
      </c>
      <c r="CI209" s="258">
        <v>4.3745000000000003</v>
      </c>
      <c r="CJ209" s="258"/>
      <c r="CK209" s="258"/>
      <c r="CL209" s="258"/>
      <c r="CM209" s="258"/>
    </row>
    <row r="210" spans="1:91" x14ac:dyDescent="0.25">
      <c r="A210" s="723"/>
      <c r="B210" s="723"/>
      <c r="D210" s="31">
        <f t="shared" si="158"/>
        <v>42993</v>
      </c>
      <c r="F210" s="28">
        <f t="shared" si="159"/>
        <v>5895</v>
      </c>
      <c r="G210" s="28">
        <f t="shared" si="140"/>
        <v>2163.2603121844559</v>
      </c>
      <c r="H210" s="52">
        <f t="shared" si="160"/>
        <v>4.4992327365728908</v>
      </c>
      <c r="I210" s="52">
        <f t="shared" si="161"/>
        <v>5.1195000000000004</v>
      </c>
      <c r="K210" s="52">
        <f t="shared" si="162"/>
        <v>6.4277703743288201</v>
      </c>
      <c r="L210" s="135">
        <f t="shared" si="163"/>
        <v>4.0476006564205136E-6</v>
      </c>
      <c r="N210" s="131">
        <f t="shared" si="141"/>
        <v>0.17208570817957605</v>
      </c>
      <c r="O210" s="131">
        <f t="shared" si="142"/>
        <v>0.17208570817957605</v>
      </c>
      <c r="P210" s="55">
        <f t="shared" si="164"/>
        <v>1</v>
      </c>
      <c r="Q210" s="135">
        <f>_xll.xSPRDOPT(I210,H210,AQ210,0,O210,N210,P210,D210-$G$5,1,0)*AH210*AU210</f>
        <v>6.4277744219294766</v>
      </c>
      <c r="R210" s="135"/>
      <c r="S210" s="181">
        <f t="shared" si="165"/>
        <v>-65329.361219573148</v>
      </c>
      <c r="T210" s="181">
        <f>_xll.xSPRDOPT(I210,H210,AQ210,AT210,O210,N210,P210,D210-$G$5,1,1)*AF210*F210*AH210</f>
        <v>63859.450592132751</v>
      </c>
      <c r="U210" s="135"/>
      <c r="V210" s="146">
        <f t="shared" si="166"/>
        <v>4.059002936907933</v>
      </c>
      <c r="W210" s="146"/>
      <c r="X210" s="338">
        <f t="shared" si="167"/>
        <v>0</v>
      </c>
      <c r="Y210" s="338">
        <f t="shared" si="143"/>
        <v>0</v>
      </c>
      <c r="Z210" s="338">
        <f t="shared" si="144"/>
        <v>19.804915246207607</v>
      </c>
      <c r="AA210" s="338">
        <f t="shared" si="145"/>
        <v>3.1098039642561917E-6</v>
      </c>
      <c r="AB210" s="338">
        <f t="shared" si="168"/>
        <v>0</v>
      </c>
      <c r="AC210" s="338">
        <f t="shared" si="169"/>
        <v>20.123591626127819</v>
      </c>
      <c r="AF210" s="138">
        <f t="shared" si="170"/>
        <v>1</v>
      </c>
      <c r="AG210" s="138">
        <f t="shared" si="171"/>
        <v>9</v>
      </c>
      <c r="AH210" s="138">
        <f t="shared" si="146"/>
        <v>30</v>
      </c>
      <c r="AI210" s="138">
        <f t="shared" si="172"/>
        <v>5737</v>
      </c>
      <c r="AJ210" s="138">
        <f t="shared" si="173"/>
        <v>5754</v>
      </c>
      <c r="AL210" s="136">
        <f t="shared" si="147"/>
        <v>4.3695000000000004</v>
      </c>
      <c r="AM210" s="258">
        <f t="shared" si="148"/>
        <v>1.8499999999999999E-2</v>
      </c>
      <c r="AN210" s="258">
        <f t="shared" si="149"/>
        <v>0.01</v>
      </c>
      <c r="AO210" s="258">
        <f t="shared" si="150"/>
        <v>0.75</v>
      </c>
      <c r="AP210" s="258">
        <f t="shared" si="151"/>
        <v>0</v>
      </c>
      <c r="AQ210" s="136">
        <f t="shared" si="174"/>
        <v>3.6400000000000002E-2</v>
      </c>
      <c r="AR210" s="137">
        <f t="shared" si="152"/>
        <v>2.2499999999999999E-2</v>
      </c>
      <c r="AS210" s="136">
        <f t="shared" si="175"/>
        <v>4.3980000000000006</v>
      </c>
      <c r="AT210" s="137">
        <f t="shared" si="176"/>
        <v>6.4692977610936606E-2</v>
      </c>
      <c r="AU210" s="137">
        <f t="shared" si="153"/>
        <v>0.36696527772425036</v>
      </c>
      <c r="AV210" s="394">
        <f t="shared" si="177"/>
        <v>1497.2183331149415</v>
      </c>
      <c r="AW210" s="137">
        <f t="shared" si="154"/>
        <v>0.17</v>
      </c>
      <c r="AX210" s="137">
        <f t="shared" si="155"/>
        <v>0.55000000000000004</v>
      </c>
      <c r="AY210" s="137">
        <f t="shared" si="156"/>
        <v>0.55000000000000004</v>
      </c>
      <c r="AZ210" s="137"/>
      <c r="BA210" s="264"/>
      <c r="BB210" s="258">
        <f t="shared" si="157"/>
        <v>0</v>
      </c>
      <c r="BC210" s="258">
        <f t="shared" si="178"/>
        <v>0</v>
      </c>
      <c r="BD210" s="137">
        <f t="shared" si="179"/>
        <v>1.0806647015304538E-6</v>
      </c>
      <c r="BE210" s="137">
        <f t="shared" si="180"/>
        <v>1.0806647015304538E-6</v>
      </c>
      <c r="BF210" s="137">
        <f>_xll.xSPRDOPT($BW210,$BV210,$CG210,0,$BY210,$BX210,$BZ210,$AJ210,1,4)*$CB210</f>
        <v>-8.7445598783691809E-8</v>
      </c>
      <c r="BG210" s="137">
        <f>_xll.xSPRDOPT($BW210,$BV210,$CG210,0,$BY210,$BX210,$BZ210,$AJ210,1,3)*$CB210</f>
        <v>8.7445598783691809E-8</v>
      </c>
      <c r="BH210" s="137">
        <f>IF(OR(BF210&lt;&gt;0,BG210&lt;&gt;0),_xll.xSPRDOPT($BW210,$BV210,$CG210,0,$BY210,$BX210,$BZ210,$AJ210,1,12)*$CB210,0)</f>
        <v>-2.1861399695922952E-7</v>
      </c>
      <c r="BI210" s="137">
        <f>_xll.xSPRDOPT($BW210,$BV210,$CG210,2*LN(1+CA210/2),$BY210,$BX210,$BZ210,$AJ210,1,9)</f>
        <v>1.3634427092031531E-2</v>
      </c>
      <c r="BJ210" s="137">
        <f>_xll.xSPRDOPT($BW210,$BV210,$CG210,0,$BY210,$BX210,$BZ210,$AJ210,1,6)*$CB210</f>
        <v>-9.1762412462762695E-5</v>
      </c>
      <c r="BK210" s="137">
        <f>_xll.xSPRDOPT($BW210,$BV210,$CG210,0,$BY210,$BX210,$BZ210,$AJ210,1,5)*$CB210</f>
        <v>1.0803426435621314E-4</v>
      </c>
      <c r="BL210" s="137">
        <f>_xll.xSPRDOPT(BW210,BV210,CG210,0,BY210,BX210,BZ210,AJ210,1,2)*CB210</f>
        <v>-0.36677275638963486</v>
      </c>
      <c r="BM210" s="137">
        <f>_xll.xSPRDOPT(BW210,BV210,CG210,0,BY210,BX210,BZ210,AJ210,1,1)*CB210</f>
        <v>0.36677275639297063</v>
      </c>
      <c r="BN210" s="137">
        <f>IF(AH210&lt;&gt;0,_xll.xSPRDOPT($BW210,$BV210,$CG210,2*LN(1+CA210/2),$BY210,$BX210,$BZ210,$AJ210,1,8)+(AJ210/365.25)*CH210/AH210,0)</f>
        <v>-1.2432384520804307</v>
      </c>
      <c r="BO210" s="137">
        <f>_xll.xSPRDOPT($BW210,$BV210,$CG210,0,$BY210,$BX210,$BZ210,$AJ210,1,0)</f>
        <v>0.58386763207055437</v>
      </c>
      <c r="BP210" s="137"/>
      <c r="BQ210" s="137"/>
      <c r="BR210" s="137"/>
      <c r="BS210" s="137"/>
      <c r="BV210" s="262">
        <v>4.4992327365728908</v>
      </c>
      <c r="BW210" s="136">
        <v>5.1195000000000004</v>
      </c>
      <c r="BX210" s="137">
        <v>0.17208462751487452</v>
      </c>
      <c r="BY210" s="137">
        <v>0.17208462751487452</v>
      </c>
      <c r="BZ210" s="137">
        <v>1</v>
      </c>
      <c r="CA210" s="137">
        <v>6.4692977610936606E-2</v>
      </c>
      <c r="CB210" s="137">
        <v>0.36677342476083369</v>
      </c>
      <c r="CC210" s="258">
        <v>1.8499999999999999E-2</v>
      </c>
      <c r="CD210" s="258">
        <v>0.01</v>
      </c>
      <c r="CE210" s="258">
        <v>0.75</v>
      </c>
      <c r="CF210" s="258">
        <v>0</v>
      </c>
      <c r="CG210" s="258">
        <v>3.6400000000000002E-2</v>
      </c>
      <c r="CH210" s="258">
        <v>4.0568808512795815</v>
      </c>
      <c r="CI210" s="258">
        <v>4.3695000000000004</v>
      </c>
      <c r="CJ210" s="258"/>
      <c r="CK210" s="258"/>
      <c r="CL210" s="258"/>
      <c r="CM210" s="258"/>
    </row>
    <row r="211" spans="1:91" x14ac:dyDescent="0.25">
      <c r="A211" s="723"/>
      <c r="B211" s="723"/>
      <c r="D211" s="31">
        <f t="shared" si="158"/>
        <v>43023</v>
      </c>
      <c r="F211" s="28">
        <f t="shared" si="159"/>
        <v>6669</v>
      </c>
      <c r="G211" s="28">
        <f t="shared" si="140"/>
        <v>2433.0627770525743</v>
      </c>
      <c r="H211" s="52">
        <f t="shared" si="160"/>
        <v>4.5338461538461532</v>
      </c>
      <c r="I211" s="52">
        <f t="shared" si="161"/>
        <v>4.8445</v>
      </c>
      <c r="K211" s="52">
        <f t="shared" si="162"/>
        <v>3.1017516210456249</v>
      </c>
      <c r="L211" s="135">
        <f t="shared" si="163"/>
        <v>1.975584556679344E-4</v>
      </c>
      <c r="N211" s="131">
        <f t="shared" si="141"/>
        <v>0.17259059664714066</v>
      </c>
      <c r="O211" s="131">
        <f t="shared" si="142"/>
        <v>0.17259059664714066</v>
      </c>
      <c r="P211" s="55">
        <f t="shared" si="164"/>
        <v>1.0000000000000002</v>
      </c>
      <c r="Q211" s="135">
        <f>_xll.xSPRDOPT(I211,H211,AQ211,0,O211,N211,P211,D211-$G$5,1,0)*AH211*AU211</f>
        <v>3.1019491795012928</v>
      </c>
      <c r="R211" s="135"/>
      <c r="S211" s="181">
        <f t="shared" si="165"/>
        <v>-76090.193209190067</v>
      </c>
      <c r="T211" s="181">
        <f>_xll.xSPRDOPT(I211,H211,AQ211,AT211,O211,N211,P211,D211-$G$5,1,1)*AF211*F211*AH211</f>
        <v>74187.938378960316</v>
      </c>
      <c r="U211" s="135"/>
      <c r="V211" s="146">
        <f t="shared" si="166"/>
        <v>4.1699171724213242</v>
      </c>
      <c r="W211" s="146"/>
      <c r="X211" s="338">
        <f t="shared" si="167"/>
        <v>0</v>
      </c>
      <c r="Y211" s="338">
        <f t="shared" si="143"/>
        <v>0</v>
      </c>
      <c r="Z211" s="338">
        <f t="shared" si="144"/>
        <v>10.814235214778135</v>
      </c>
      <c r="AA211" s="338">
        <f t="shared" si="145"/>
        <v>1.3998926476937611E-4</v>
      </c>
      <c r="AB211" s="338">
        <f t="shared" si="168"/>
        <v>0</v>
      </c>
      <c r="AC211" s="338">
        <f t="shared" si="169"/>
        <v>10.993088737008375</v>
      </c>
      <c r="AF211" s="138">
        <f t="shared" si="170"/>
        <v>1</v>
      </c>
      <c r="AG211" s="138">
        <f t="shared" si="171"/>
        <v>10</v>
      </c>
      <c r="AH211" s="138">
        <f t="shared" si="146"/>
        <v>31</v>
      </c>
      <c r="AI211" s="138">
        <f t="shared" si="172"/>
        <v>5767</v>
      </c>
      <c r="AJ211" s="138">
        <f t="shared" si="173"/>
        <v>5784</v>
      </c>
      <c r="AL211" s="136">
        <f t="shared" si="147"/>
        <v>4.3944999999999999</v>
      </c>
      <c r="AM211" s="258">
        <f t="shared" si="148"/>
        <v>1.6E-2</v>
      </c>
      <c r="AN211" s="258">
        <f t="shared" si="149"/>
        <v>0.01</v>
      </c>
      <c r="AO211" s="258">
        <f t="shared" si="150"/>
        <v>0.45</v>
      </c>
      <c r="AP211" s="258">
        <f t="shared" si="151"/>
        <v>0</v>
      </c>
      <c r="AQ211" s="136">
        <f t="shared" si="174"/>
        <v>3.6400000000000002E-2</v>
      </c>
      <c r="AR211" s="137">
        <f t="shared" si="152"/>
        <v>2.5000000000000001E-2</v>
      </c>
      <c r="AS211" s="136">
        <f t="shared" si="175"/>
        <v>4.4204999999999997</v>
      </c>
      <c r="AT211" s="137">
        <f t="shared" si="176"/>
        <v>6.4732213856688203E-2</v>
      </c>
      <c r="AU211" s="137">
        <f t="shared" si="153"/>
        <v>0.36483172545397724</v>
      </c>
      <c r="AV211" s="394">
        <f t="shared" si="177"/>
        <v>1933.9729766315334</v>
      </c>
      <c r="AW211" s="137">
        <f t="shared" si="154"/>
        <v>0.17</v>
      </c>
      <c r="AX211" s="137">
        <f t="shared" si="155"/>
        <v>0.6</v>
      </c>
      <c r="AY211" s="137">
        <f t="shared" si="156"/>
        <v>0.6</v>
      </c>
      <c r="AZ211" s="137"/>
      <c r="BA211" s="264"/>
      <c r="BB211" s="258">
        <f t="shared" si="157"/>
        <v>0</v>
      </c>
      <c r="BC211" s="258">
        <f t="shared" si="178"/>
        <v>0</v>
      </c>
      <c r="BD211" s="137">
        <f t="shared" si="179"/>
        <v>1.3332455596481996E-6</v>
      </c>
      <c r="BE211" s="137">
        <f t="shared" si="180"/>
        <v>1.3332455596481996E-6</v>
      </c>
      <c r="BF211" s="137">
        <f>_xll.xSPRDOPT($BW211,$BV211,$CG211,0,$BY211,$BX211,$BZ211,$AJ211,1,4)*$CB211</f>
        <v>7.3896585223044934E-7</v>
      </c>
      <c r="BG211" s="137">
        <f>_xll.xSPRDOPT($BW211,$BV211,$CG211,0,$BY211,$BX211,$BZ211,$AJ211,1,3)*$CB211</f>
        <v>4.3468579542967606E-8</v>
      </c>
      <c r="BH211" s="137">
        <f>IF(OR(BF211&lt;&gt;0,BG211&lt;&gt;0),_xll.xSPRDOPT($BW211,$BV211,$CG211,0,$BY211,$BX211,$BZ211,$AJ211,1,12)*$CB211,0)</f>
        <v>-8.6937159085935212E-8</v>
      </c>
      <c r="BI211" s="137">
        <f>_xll.xSPRDOPT($BW211,$BV211,$CG211,2*LN(1+CA211/2),$BY211,$BX211,$BZ211,$AJ211,1,9)</f>
        <v>6.3685765017690802E-3</v>
      </c>
      <c r="BJ211" s="137">
        <f>_xll.xSPRDOPT($BW211,$BV211,$CG211,0,$BY211,$BX211,$BZ211,$AJ211,1,6)*$CB211</f>
        <v>-7.4122868741909259E-3</v>
      </c>
      <c r="BK211" s="137">
        <f>_xll.xSPRDOPT($BW211,$BV211,$CG211,0,$BY211,$BX211,$BZ211,$AJ211,1,5)*$CB211</f>
        <v>7.9201681190442658E-3</v>
      </c>
      <c r="BL211" s="137">
        <f>_xll.xSPRDOPT(BW211,BV211,CG211,0,BY211,BX211,BZ211,AJ211,1,2)*CB211</f>
        <v>-0.36452958805129176</v>
      </c>
      <c r="BM211" s="137">
        <f>_xll.xSPRDOPT(BW211,BV211,CG211,0,BY211,BX211,BZ211,AJ211,1,1)*CB211</f>
        <v>0.36452958805328162</v>
      </c>
      <c r="BN211" s="137">
        <f>IF(AH211&lt;&gt;0,_xll.xSPRDOPT($BW211,$BV211,$CG211,2*LN(1+CA211/2),$BY211,$BX211,$BZ211,$AJ211,1,8)+(AJ211/365.25)*CH211/AH211,0)</f>
        <v>0.54526431532664921</v>
      </c>
      <c r="BO211" s="137">
        <f>_xll.xSPRDOPT($BW211,$BV211,$CG211,0,$BY211,$BX211,$BZ211,$AJ211,1,0)</f>
        <v>0.27427137458989254</v>
      </c>
      <c r="BP211" s="137"/>
      <c r="BQ211" s="137"/>
      <c r="BR211" s="137"/>
      <c r="BS211" s="137"/>
      <c r="BV211" s="262">
        <v>4.5338461538461532</v>
      </c>
      <c r="BW211" s="136">
        <v>4.8445</v>
      </c>
      <c r="BX211" s="137">
        <v>0.17258926340158101</v>
      </c>
      <c r="BY211" s="137">
        <v>0.17258926340158101</v>
      </c>
      <c r="BZ211" s="137">
        <v>1</v>
      </c>
      <c r="CA211" s="137">
        <v>6.4732213856688203E-2</v>
      </c>
      <c r="CB211" s="137">
        <v>0.3646408741027744</v>
      </c>
      <c r="CC211" s="258">
        <v>1.6E-2</v>
      </c>
      <c r="CD211" s="258">
        <v>0.01</v>
      </c>
      <c r="CE211" s="258">
        <v>0.45</v>
      </c>
      <c r="CF211" s="258">
        <v>0</v>
      </c>
      <c r="CG211" s="258">
        <v>3.6400000000000002E-2</v>
      </c>
      <c r="CH211" s="258">
        <v>4.1677357987324806</v>
      </c>
      <c r="CI211" s="258">
        <v>4.3944999999999999</v>
      </c>
      <c r="CJ211" s="258"/>
      <c r="CK211" s="258"/>
      <c r="CL211" s="258"/>
      <c r="CM211" s="258"/>
    </row>
    <row r="212" spans="1:91" x14ac:dyDescent="0.25">
      <c r="A212" s="723"/>
      <c r="B212" s="723"/>
      <c r="D212" s="31">
        <f t="shared" si="158"/>
        <v>43054</v>
      </c>
      <c r="F212" s="28">
        <f t="shared" si="159"/>
        <v>11107</v>
      </c>
      <c r="G212" s="28">
        <f t="shared" si="140"/>
        <v>4027.8170610037855</v>
      </c>
      <c r="H212" s="52">
        <f t="shared" si="160"/>
        <v>4.676214833759591</v>
      </c>
      <c r="I212" s="52">
        <f t="shared" si="161"/>
        <v>4.9965000000000002</v>
      </c>
      <c r="K212" s="52">
        <f t="shared" si="162"/>
        <v>3.088424009946023</v>
      </c>
      <c r="L212" s="135">
        <f t="shared" si="163"/>
        <v>1.957387378834774E-4</v>
      </c>
      <c r="N212" s="131">
        <f t="shared" si="141"/>
        <v>0.17457633462484029</v>
      </c>
      <c r="O212" s="131">
        <f t="shared" si="142"/>
        <v>0.17457633462484029</v>
      </c>
      <c r="P212" s="55">
        <f t="shared" si="164"/>
        <v>1</v>
      </c>
      <c r="Q212" s="135">
        <f>_xll.xSPRDOPT(I212,H212,AQ212,0,O212,N212,P212,D212-$G$5,1,0)*AH212*AU212</f>
        <v>3.0886197486839064</v>
      </c>
      <c r="R212" s="135"/>
      <c r="S212" s="181">
        <f t="shared" si="165"/>
        <v>-121576.77914427407</v>
      </c>
      <c r="T212" s="181">
        <f>_xll.xSPRDOPT(I212,H212,AQ212,AT212,O212,N212,P212,D212-$G$5,1,1)*AF212*F212*AH212</f>
        <v>118841.3016135279</v>
      </c>
      <c r="U212" s="135"/>
      <c r="V212" s="146">
        <f t="shared" si="166"/>
        <v>4.0111357262773808</v>
      </c>
      <c r="W212" s="146"/>
      <c r="X212" s="338">
        <f t="shared" si="167"/>
        <v>0</v>
      </c>
      <c r="Y212" s="338">
        <f t="shared" si="143"/>
        <v>0</v>
      </c>
      <c r="Z212" s="338">
        <f t="shared" si="144"/>
        <v>17.944633736958444</v>
      </c>
      <c r="AA212" s="338">
        <f t="shared" si="145"/>
        <v>3.9173277063447837E-4</v>
      </c>
      <c r="AB212" s="338">
        <f t="shared" si="168"/>
        <v>0</v>
      </c>
      <c r="AC212" s="338">
        <f t="shared" si="169"/>
        <v>18.2413651927098</v>
      </c>
      <c r="AF212" s="138">
        <f t="shared" si="170"/>
        <v>1</v>
      </c>
      <c r="AG212" s="138">
        <f t="shared" si="171"/>
        <v>11</v>
      </c>
      <c r="AH212" s="138">
        <f t="shared" si="146"/>
        <v>30</v>
      </c>
      <c r="AI212" s="138">
        <f t="shared" si="172"/>
        <v>5798</v>
      </c>
      <c r="AJ212" s="138">
        <f t="shared" si="173"/>
        <v>5815</v>
      </c>
      <c r="AL212" s="136">
        <f t="shared" si="147"/>
        <v>4.5465</v>
      </c>
      <c r="AM212" s="258">
        <f t="shared" si="148"/>
        <v>1.7000000000000001E-2</v>
      </c>
      <c r="AN212" s="258">
        <f t="shared" si="149"/>
        <v>7.4999999999999997E-3</v>
      </c>
      <c r="AO212" s="258">
        <f t="shared" si="150"/>
        <v>0.45</v>
      </c>
      <c r="AP212" s="258">
        <f t="shared" si="151"/>
        <v>0</v>
      </c>
      <c r="AQ212" s="136">
        <f t="shared" si="174"/>
        <v>3.6400000000000002E-2</v>
      </c>
      <c r="AR212" s="137">
        <f t="shared" si="152"/>
        <v>2.2499999999999999E-2</v>
      </c>
      <c r="AS212" s="136">
        <f t="shared" si="175"/>
        <v>4.5710000000000006</v>
      </c>
      <c r="AT212" s="137">
        <f t="shared" si="176"/>
        <v>6.4772757977834799E-2</v>
      </c>
      <c r="AU212" s="137">
        <f t="shared" si="153"/>
        <v>0.36263771144357482</v>
      </c>
      <c r="AV212" s="394">
        <f t="shared" si="177"/>
        <v>2785.0576238866547</v>
      </c>
      <c r="AW212" s="137">
        <f t="shared" si="154"/>
        <v>0.17</v>
      </c>
      <c r="AX212" s="137">
        <f t="shared" si="155"/>
        <v>0.8</v>
      </c>
      <c r="AY212" s="137">
        <f t="shared" si="156"/>
        <v>0.8</v>
      </c>
      <c r="AZ212" s="137"/>
      <c r="BA212" s="264"/>
      <c r="BB212" s="258">
        <f t="shared" si="157"/>
        <v>0</v>
      </c>
      <c r="BC212" s="258">
        <f t="shared" si="178"/>
        <v>0</v>
      </c>
      <c r="BD212" s="137">
        <f t="shared" si="179"/>
        <v>2.3296335271705271E-6</v>
      </c>
      <c r="BE212" s="137">
        <f t="shared" si="180"/>
        <v>2.3296335271705271E-6</v>
      </c>
      <c r="BF212" s="137">
        <f>_xll.xSPRDOPT($BW212,$BV212,$CG212,0,$BY212,$BX212,$BZ212,$AJ212,1,4)*$CB212</f>
        <v>-8.6414311150181375E-8</v>
      </c>
      <c r="BG212" s="137">
        <f>_xll.xSPRDOPT($BW212,$BV212,$CG212,0,$BY212,$BX212,$BZ212,$AJ212,1,3)*$CB212</f>
        <v>0</v>
      </c>
      <c r="BH212" s="137">
        <f>IF(OR(BF212&lt;&gt;0,BG212&lt;&gt;0),_xll.xSPRDOPT($BW212,$BV212,$CG212,0,$BY212,$BX212,$BZ212,$AJ212,1,12)*$CB212,0)</f>
        <v>-1.9443220008790808E-7</v>
      </c>
      <c r="BI212" s="137">
        <f>_xll.xSPRDOPT($BW212,$BV212,$CG212,2*LN(1+CA212/2),$BY212,$BX212,$BZ212,$AJ212,1,9)</f>
        <v>6.5567034527015712E-3</v>
      </c>
      <c r="BJ212" s="137">
        <f>_xll.xSPRDOPT($BW212,$BV212,$CG212,0,$BY212,$BX212,$BZ212,$AJ212,1,6)*$CB212</f>
        <v>-7.3678690931683159E-3</v>
      </c>
      <c r="BK212" s="137">
        <f>_xll.xSPRDOPT($BW212,$BV212,$CG212,0,$BY212,$BX212,$BZ212,$AJ212,1,5)*$CB212</f>
        <v>7.8725121121288617E-3</v>
      </c>
      <c r="BL212" s="137">
        <f>_xll.xSPRDOPT(BW212,BV212,CG212,0,BY212,BX212,BZ212,AJ212,1,2)*CB212</f>
        <v>-0.36234119255626052</v>
      </c>
      <c r="BM212" s="137">
        <f>_xll.xSPRDOPT(BW212,BV212,CG212,0,BY212,BX212,BZ212,AJ212,1,1)*CB212</f>
        <v>0.36234119256647951</v>
      </c>
      <c r="BN212" s="137">
        <f>IF(AH212&lt;&gt;0,_xll.xSPRDOPT($BW212,$BV212,$CG212,2*LN(1+CA212/2),$BY212,$BX212,$BZ212,$AJ212,1,8)+(AJ212/365.25)*CH212/AH212,0)</f>
        <v>0.48931039652305031</v>
      </c>
      <c r="BO212" s="137">
        <f>_xll.xSPRDOPT($BW212,$BV212,$CG212,0,$BY212,$BX212,$BZ212,$AJ212,1,0)</f>
        <v>0.28390321785139172</v>
      </c>
      <c r="BP212" s="137"/>
      <c r="BQ212" s="137"/>
      <c r="BR212" s="137"/>
      <c r="BS212" s="137"/>
      <c r="BV212" s="262">
        <v>4.676214833759591</v>
      </c>
      <c r="BW212" s="136">
        <v>4.9965000000000002</v>
      </c>
      <c r="BX212" s="137">
        <v>0.17457400499131312</v>
      </c>
      <c r="BY212" s="137">
        <v>0.17457400499131312</v>
      </c>
      <c r="BZ212" s="137">
        <v>1</v>
      </c>
      <c r="CA212" s="137">
        <v>6.4772757977834799E-2</v>
      </c>
      <c r="CB212" s="137">
        <v>0.36244789091445034</v>
      </c>
      <c r="CC212" s="258">
        <v>1.7000000000000001E-2</v>
      </c>
      <c r="CD212" s="258">
        <v>7.4999999999999997E-3</v>
      </c>
      <c r="CE212" s="258">
        <v>0.45</v>
      </c>
      <c r="CF212" s="258">
        <v>0</v>
      </c>
      <c r="CG212" s="258">
        <v>3.6400000000000002E-2</v>
      </c>
      <c r="CH212" s="258">
        <v>4.0090361214047352</v>
      </c>
      <c r="CI212" s="258">
        <v>4.5465</v>
      </c>
      <c r="CJ212" s="258"/>
      <c r="CK212" s="258"/>
      <c r="CL212" s="258"/>
      <c r="CM212" s="258"/>
    </row>
    <row r="213" spans="1:91" x14ac:dyDescent="0.25">
      <c r="A213" s="723"/>
      <c r="B213" s="723"/>
      <c r="D213" s="31">
        <f t="shared" si="158"/>
        <v>43084</v>
      </c>
      <c r="F213" s="28">
        <f t="shared" si="159"/>
        <v>11107</v>
      </c>
      <c r="G213" s="28">
        <f t="shared" si="140"/>
        <v>4004.348414728242</v>
      </c>
      <c r="H213" s="52">
        <f t="shared" si="160"/>
        <v>4.8225063938618931</v>
      </c>
      <c r="I213" s="52">
        <f t="shared" si="161"/>
        <v>5.0895000000000001</v>
      </c>
      <c r="K213" s="52">
        <f t="shared" si="162"/>
        <v>2.5771757789460277</v>
      </c>
      <c r="L213" s="135">
        <f t="shared" si="163"/>
        <v>5.5435890170008051E-4</v>
      </c>
      <c r="N213" s="131">
        <f t="shared" si="141"/>
        <v>0.1774143795439522</v>
      </c>
      <c r="O213" s="131">
        <f t="shared" si="142"/>
        <v>0.1774143795439522</v>
      </c>
      <c r="P213" s="55">
        <f t="shared" si="164"/>
        <v>1</v>
      </c>
      <c r="Q213" s="135">
        <f>_xll.xSPRDOPT(I213,H213,AQ213,0,O213,N213,P213,D213-$G$5,1,0)*AH213*AU213</f>
        <v>2.5777301378477278</v>
      </c>
      <c r="R213" s="135"/>
      <c r="S213" s="181">
        <f t="shared" si="165"/>
        <v>-124838.47785474632</v>
      </c>
      <c r="T213" s="181">
        <f>_xll.xSPRDOPT(I213,H213,AQ213,AT213,O213,N213,P213,D213-$G$5,1,1)*AF213*F213*AH213</f>
        <v>122029.61210301453</v>
      </c>
      <c r="U213" s="135"/>
      <c r="V213" s="146">
        <f t="shared" si="166"/>
        <v>4.1206897520319972</v>
      </c>
      <c r="W213" s="146"/>
      <c r="X213" s="338">
        <f t="shared" si="167"/>
        <v>0</v>
      </c>
      <c r="Y213" s="338">
        <f t="shared" si="143"/>
        <v>0</v>
      </c>
      <c r="Z213" s="338">
        <f t="shared" si="144"/>
        <v>14.977738167633103</v>
      </c>
      <c r="AA213" s="338">
        <f t="shared" si="145"/>
        <v>1.1388191432684697E-3</v>
      </c>
      <c r="AB213" s="338">
        <f t="shared" si="168"/>
        <v>0</v>
      </c>
      <c r="AC213" s="338">
        <f t="shared" si="169"/>
        <v>15.233275828439691</v>
      </c>
      <c r="AF213" s="138">
        <f t="shared" si="170"/>
        <v>1</v>
      </c>
      <c r="AG213" s="138">
        <f t="shared" si="171"/>
        <v>12</v>
      </c>
      <c r="AH213" s="138">
        <f t="shared" si="146"/>
        <v>31</v>
      </c>
      <c r="AI213" s="138">
        <f t="shared" si="172"/>
        <v>5828</v>
      </c>
      <c r="AJ213" s="138">
        <f t="shared" si="173"/>
        <v>5845</v>
      </c>
      <c r="AL213" s="136">
        <f t="shared" si="147"/>
        <v>4.6894999999999998</v>
      </c>
      <c r="AM213" s="258">
        <f t="shared" si="148"/>
        <v>1.7000000000000001E-2</v>
      </c>
      <c r="AN213" s="258">
        <f t="shared" si="149"/>
        <v>7.4999999999999997E-3</v>
      </c>
      <c r="AO213" s="258">
        <f t="shared" si="150"/>
        <v>0.4</v>
      </c>
      <c r="AP213" s="258">
        <f t="shared" si="151"/>
        <v>0</v>
      </c>
      <c r="AQ213" s="136">
        <f t="shared" si="174"/>
        <v>3.6400000000000002E-2</v>
      </c>
      <c r="AR213" s="137">
        <f t="shared" si="152"/>
        <v>2.2499999999999999E-2</v>
      </c>
      <c r="AS213" s="136">
        <f t="shared" si="175"/>
        <v>4.7140000000000004</v>
      </c>
      <c r="AT213" s="137">
        <f t="shared" si="176"/>
        <v>6.4811994224624594E-2</v>
      </c>
      <c r="AU213" s="137">
        <f t="shared" si="153"/>
        <v>0.3605247514835907</v>
      </c>
      <c r="AV213" s="394">
        <f t="shared" si="177"/>
        <v>2861.124427773776</v>
      </c>
      <c r="AW213" s="137">
        <f t="shared" si="154"/>
        <v>0.17</v>
      </c>
      <c r="AX213" s="137">
        <f t="shared" si="155"/>
        <v>1</v>
      </c>
      <c r="AY213" s="137">
        <f t="shared" si="156"/>
        <v>1</v>
      </c>
      <c r="AZ213" s="137"/>
      <c r="BA213" s="264"/>
      <c r="BB213" s="258">
        <f t="shared" si="157"/>
        <v>0</v>
      </c>
      <c r="BC213" s="258">
        <f t="shared" si="178"/>
        <v>0</v>
      </c>
      <c r="BD213" s="137">
        <f t="shared" si="179"/>
        <v>3.7250632521357296E-6</v>
      </c>
      <c r="BE213" s="137">
        <f t="shared" si="180"/>
        <v>3.7250632521357296E-6</v>
      </c>
      <c r="BF213" s="137">
        <f>_xll.xSPRDOPT($BW213,$BV213,$CG213,0,$BY213,$BX213,$BZ213,$AJ213,1,4)*$CB213</f>
        <v>1.9329925301108068E-7</v>
      </c>
      <c r="BG213" s="137">
        <f>_xll.xSPRDOPT($BW213,$BV213,$CG213,0,$BY213,$BX213,$BZ213,$AJ213,1,3)*$CB213</f>
        <v>-6.4433084337026898E-8</v>
      </c>
      <c r="BH213" s="137">
        <f>IF(OR(BF213&lt;&gt;0,BG213&lt;&gt;0),_xll.xSPRDOPT($BW213,$BV213,$CG213,0,$BY213,$BX213,$BZ213,$AJ213,1,12)*$CB213,0)</f>
        <v>4.2955389558017932E-8</v>
      </c>
      <c r="BI213" s="137">
        <f>_xll.xSPRDOPT($BW213,$BV213,$CG213,2*LN(1+CA213/2),$BY213,$BX213,$BZ213,$AJ213,1,9)</f>
        <v>5.2961068489482963E-3</v>
      </c>
      <c r="BJ213" s="137">
        <f>_xll.xSPRDOPT($BW213,$BV213,$CG213,0,$BY213,$BX213,$BZ213,$AJ213,1,6)*$CB213</f>
        <v>-1.6037423402247283E-2</v>
      </c>
      <c r="BK213" s="137">
        <f>_xll.xSPRDOPT($BW213,$BV213,$CG213,0,$BY213,$BX213,$BZ213,$AJ213,1,5)*$CB213</f>
        <v>1.6925320510757146E-2</v>
      </c>
      <c r="BL213" s="137">
        <f>_xll.xSPRDOPT(BW213,BV213,CG213,0,BY213,BX213,BZ213,AJ213,1,2)*CB213</f>
        <v>-0.3600976034486103</v>
      </c>
      <c r="BM213" s="137">
        <f>_xll.xSPRDOPT(BW213,BV213,CG213,0,BY213,BX213,BZ213,AJ213,1,1)*CB213</f>
        <v>0.36009760344893804</v>
      </c>
      <c r="BN213" s="137">
        <f>IF(AH213&lt;&gt;0,_xll.xSPRDOPT($BW213,$BV213,$CG213,2*LN(1+CA213/2),$BY213,$BX213,$BZ213,$AJ213,1,8)+(AJ213/365.25)*CH213/AH213,0)</f>
        <v>0.79608475603456474</v>
      </c>
      <c r="BO213" s="137">
        <f>_xll.xSPRDOPT($BW213,$BV213,$CG213,0,$BY213,$BX213,$BZ213,$AJ213,1,0)</f>
        <v>0.23064331062600107</v>
      </c>
      <c r="BP213" s="137"/>
      <c r="BQ213" s="137"/>
      <c r="BR213" s="137"/>
      <c r="BS213" s="137"/>
      <c r="BV213" s="262">
        <v>4.8225063938618931</v>
      </c>
      <c r="BW213" s="136">
        <v>5.0895000000000001</v>
      </c>
      <c r="BX213" s="137">
        <v>0.17741065448070006</v>
      </c>
      <c r="BY213" s="137">
        <v>0.17741065448070006</v>
      </c>
      <c r="BZ213" s="137">
        <v>1</v>
      </c>
      <c r="CA213" s="137">
        <v>6.4811994224624594E-2</v>
      </c>
      <c r="CB213" s="137">
        <v>0.36033592448950569</v>
      </c>
      <c r="CC213" s="258">
        <v>1.7000000000000001E-2</v>
      </c>
      <c r="CD213" s="258">
        <v>7.4999999999999997E-3</v>
      </c>
      <c r="CE213" s="258">
        <v>0.4</v>
      </c>
      <c r="CF213" s="258">
        <v>0</v>
      </c>
      <c r="CG213" s="258">
        <v>3.6400000000000002E-2</v>
      </c>
      <c r="CH213" s="258">
        <v>4.1185315161377032</v>
      </c>
      <c r="CI213" s="258">
        <v>4.6894999999999998</v>
      </c>
      <c r="CJ213" s="258"/>
      <c r="CK213" s="258"/>
      <c r="CL213" s="258"/>
      <c r="CM213" s="258"/>
    </row>
    <row r="214" spans="1:91" x14ac:dyDescent="0.25">
      <c r="A214" s="723"/>
      <c r="B214" s="723"/>
      <c r="D214" s="31">
        <f t="shared" si="158"/>
        <v>43115</v>
      </c>
      <c r="F214" s="28">
        <f t="shared" si="159"/>
        <v>11107</v>
      </c>
      <c r="G214" s="28">
        <f t="shared" ref="G214:G248" si="181">F214*$AU214</f>
        <v>3980.21507065694</v>
      </c>
      <c r="H214" s="52">
        <f t="shared" si="160"/>
        <v>4.8838874680306912</v>
      </c>
      <c r="I214" s="52">
        <f t="shared" si="161"/>
        <v>5.0994999999999999</v>
      </c>
      <c r="K214" s="52">
        <f t="shared" si="162"/>
        <v>1.9908559501611391</v>
      </c>
      <c r="L214" s="135">
        <f t="shared" si="163"/>
        <v>1.2828440621210913E-3</v>
      </c>
      <c r="N214" s="131">
        <f t="shared" ref="N214:N248" si="182">SQRT(($AX214^2*($AH214/2)+$AW214^2*$AI214)/(($AH214/2)+$AI214))</f>
        <v>0.17737606695743258</v>
      </c>
      <c r="O214" s="131">
        <f t="shared" ref="O214:O248" si="183">SQRT(($AY214^2*($AH214/2)+$AW214^2*$AI214)/(($AH214/2)+$AI214))</f>
        <v>0.17737606695743258</v>
      </c>
      <c r="P214" s="55">
        <f t="shared" si="164"/>
        <v>0.99999999999999989</v>
      </c>
      <c r="Q214" s="135">
        <f>_xll.xSPRDOPT(I214,H214,AQ214,0,O214,N214,P214,D214-$G$5,1,0)*AH214*AU214</f>
        <v>1.9921387942232602</v>
      </c>
      <c r="R214" s="135"/>
      <c r="S214" s="181">
        <f t="shared" si="165"/>
        <v>-123972.34687184494</v>
      </c>
      <c r="T214" s="181">
        <f>_xll.xSPRDOPT(I214,H214,AQ214,AT214,O214,N214,P214,D214-$G$5,1,1)*AF214*F214*AH214</f>
        <v>121182.96906722843</v>
      </c>
      <c r="U214" s="135"/>
      <c r="V214" s="146">
        <f t="shared" si="166"/>
        <v>4.0958552438180993</v>
      </c>
      <c r="W214" s="146"/>
      <c r="X214" s="338">
        <f t="shared" si="167"/>
        <v>0</v>
      </c>
      <c r="Y214" s="338">
        <f t="shared" ref="Y214:Y248" si="184">($F214*$AH214)*((($BG214/2)*($BC214)^2)+(($BF214/2)*($BB214)^2)+($BH214*$BC214*$BB214))</f>
        <v>0</v>
      </c>
      <c r="Z214" s="338">
        <f t="shared" ref="Z214:Z248" si="185">($BI214*$F214*$AH214*($G$5-$BV$5))/365.25</f>
        <v>11.569907233974352</v>
      </c>
      <c r="AA214" s="338">
        <f t="shared" ref="AA214:AA248" si="186">(($BK214*$BE214)+($BJ214*$BD214))*$F214*$AH214*$AF214</f>
        <v>2.8016478786181266E-3</v>
      </c>
      <c r="AB214" s="338">
        <f t="shared" si="168"/>
        <v>0</v>
      </c>
      <c r="AC214" s="338">
        <f t="shared" si="169"/>
        <v>11.780049851981918</v>
      </c>
      <c r="AF214" s="138">
        <f t="shared" si="170"/>
        <v>1</v>
      </c>
      <c r="AG214" s="138">
        <f t="shared" si="171"/>
        <v>1</v>
      </c>
      <c r="AH214" s="138">
        <f t="shared" ref="AH214:AH248" si="187">(EOMONTH(D214,0)-EOMONTH(D214-DAY(D214),0))*AF214</f>
        <v>31</v>
      </c>
      <c r="AI214" s="138">
        <f t="shared" si="172"/>
        <v>5859</v>
      </c>
      <c r="AJ214" s="138">
        <f t="shared" si="173"/>
        <v>5876</v>
      </c>
      <c r="AL214" s="136">
        <f t="shared" ref="AL214:AL248" si="188">VLOOKUP($D214,CurveTbl,$AK$4)</f>
        <v>4.7495000000000003</v>
      </c>
      <c r="AM214" s="258">
        <f t="shared" ref="AM214:AM248" si="189">VLOOKUP($D214,CurveTbl,$AH$3)</f>
        <v>1.7000000000000001E-2</v>
      </c>
      <c r="AN214" s="258">
        <f t="shared" ref="AN214:AN248" si="190">VLOOKUP($D214,CurveTbl,$AH$4)+VLOOKUP($AG214,$AL$3:$AS$15,6)</f>
        <v>7.4999999999999997E-3</v>
      </c>
      <c r="AO214" s="258">
        <f t="shared" ref="AO214:AO248" si="191">VLOOKUP($D214,CurveTbl,$AH$5)</f>
        <v>0.35</v>
      </c>
      <c r="AP214" s="258">
        <f t="shared" ref="AP214:AP248" si="192">VLOOKUP($D214,CurveTbl,$AH$6)+VLOOKUP($AG214,$AL$3:$AS$15,7)</f>
        <v>0</v>
      </c>
      <c r="AQ214" s="136">
        <f t="shared" si="174"/>
        <v>3.6400000000000002E-2</v>
      </c>
      <c r="AR214" s="137">
        <f t="shared" ref="AR214:AR248" si="193">VLOOKUP($AG214,$AL$4:$AS$15,4)</f>
        <v>2.2499999999999999E-2</v>
      </c>
      <c r="AS214" s="136">
        <f t="shared" si="175"/>
        <v>4.7740000000000009</v>
      </c>
      <c r="AT214" s="137">
        <f t="shared" si="176"/>
        <v>6.4852538346843194E-2</v>
      </c>
      <c r="AU214" s="137">
        <f t="shared" ref="AU214:AU248" si="194">(1+$AT214/2)^(-2*($D214-$G$5)/365.25)*$AF214</f>
        <v>0.35835194657935898</v>
      </c>
      <c r="AV214" s="394">
        <f t="shared" si="177"/>
        <v>2843.8810480537927</v>
      </c>
      <c r="AW214" s="137">
        <f t="shared" ref="AW214:AW248" si="195">VLOOKUP($D214,CurveTbl,$AK$8)</f>
        <v>0.17</v>
      </c>
      <c r="AX214" s="137">
        <f t="shared" ref="AX214:AX248" si="196">VLOOKUP($D214,CurveTbl,$AH$7)</f>
        <v>1</v>
      </c>
      <c r="AY214" s="137">
        <f t="shared" ref="AY214:AY248" si="197">VLOOKUP($D214,CurveTbl,$AH$8)</f>
        <v>1</v>
      </c>
      <c r="AZ214" s="137"/>
      <c r="BA214" s="264"/>
      <c r="BB214" s="258">
        <f t="shared" ref="BB214:BB248" si="198">$H214-$BV214</f>
        <v>0</v>
      </c>
      <c r="BC214" s="258">
        <f t="shared" si="178"/>
        <v>0</v>
      </c>
      <c r="BD214" s="137">
        <f t="shared" si="179"/>
        <v>3.6866580556960127E-6</v>
      </c>
      <c r="BE214" s="137">
        <f t="shared" si="180"/>
        <v>3.6866580556960127E-6</v>
      </c>
      <c r="BF214" s="137">
        <f>_xll.xSPRDOPT($BW214,$BV214,$CG214,0,$BY214,$BX214,$BZ214,$AJ214,1,4)*$CB214</f>
        <v>3.629201898163781E-7</v>
      </c>
      <c r="BG214" s="137">
        <f>_xll.xSPRDOPT($BW214,$BV214,$CG214,0,$BY214,$BX214,$BZ214,$AJ214,1,3)*$CB214</f>
        <v>-6.404473937936084E-8</v>
      </c>
      <c r="BH214" s="137">
        <f>IF(OR(BF214&lt;&gt;0,BG214&lt;&gt;0),_xll.xSPRDOPT($BW214,$BV214,$CG214,0,$BY214,$BX214,$BZ214,$AJ214,1,12)*$CB214,0)</f>
        <v>1.7078597167829557E-7</v>
      </c>
      <c r="BI214" s="137">
        <f>_xll.xSPRDOPT($BW214,$BV214,$CG214,2*LN(1+CA214/2),$BY214,$BX214,$BZ214,$AJ214,1,9)</f>
        <v>4.0911026923921194E-3</v>
      </c>
      <c r="BJ214" s="137">
        <f>_xll.xSPRDOPT($BW214,$BV214,$CG214,0,$BY214,$BX214,$BZ214,$AJ214,1,6)*$CB214</f>
        <v>-3.8070596966114624E-2</v>
      </c>
      <c r="BK214" s="137">
        <f>_xll.xSPRDOPT($BW214,$BV214,$CG214,0,$BY214,$BX214,$BZ214,$AJ214,1,5)*$CB214</f>
        <v>4.0277698065504776E-2</v>
      </c>
      <c r="BL214" s="137">
        <f>_xll.xSPRDOPT(BW214,BV214,CG214,0,BY214,BX214,BZ214,AJ214,1,2)*CB214</f>
        <v>-0.35763779739692275</v>
      </c>
      <c r="BM214" s="137">
        <f>_xll.xSPRDOPT(BW214,BV214,CG214,0,BY214,BX214,BZ214,AJ214,1,1)*CB214</f>
        <v>0.35763779739317664</v>
      </c>
      <c r="BN214" s="137">
        <f>IF(AH214&lt;&gt;0,_xll.xSPRDOPT($BW214,$BV214,$CG214,2*LN(1+CA214/2),$BY214,$BX214,$BZ214,$AJ214,1,8)+(AJ214/365.25)*CH214/AH214,0)</f>
        <v>1.0911614427167691</v>
      </c>
      <c r="BO214" s="137">
        <f>_xll.xSPRDOPT($BW214,$BV214,$CG214,0,$BY214,$BX214,$BZ214,$AJ214,1,0)</f>
        <v>0.17932818355222377</v>
      </c>
      <c r="BP214" s="137"/>
      <c r="BQ214" s="137"/>
      <c r="BR214" s="137"/>
      <c r="BS214" s="137"/>
      <c r="BV214" s="262">
        <v>4.8838874680306912</v>
      </c>
      <c r="BW214" s="136">
        <v>5.0994999999999999</v>
      </c>
      <c r="BX214" s="137">
        <v>0.17737238029937688</v>
      </c>
      <c r="BY214" s="137">
        <v>0.17737238029937688</v>
      </c>
      <c r="BZ214" s="137">
        <v>1</v>
      </c>
      <c r="CA214" s="137">
        <v>6.4852538346843194E-2</v>
      </c>
      <c r="CB214" s="137">
        <v>0.35816414207708092</v>
      </c>
      <c r="CC214" s="258">
        <v>1.7000000000000001E-2</v>
      </c>
      <c r="CD214" s="258">
        <v>7.4999999999999997E-3</v>
      </c>
      <c r="CE214" s="258">
        <v>0.35</v>
      </c>
      <c r="CF214" s="258">
        <v>0</v>
      </c>
      <c r="CG214" s="258">
        <v>3.6400000000000002E-2</v>
      </c>
      <c r="CH214" s="258">
        <v>4.093708694698412</v>
      </c>
      <c r="CI214" s="258">
        <v>4.7495000000000003</v>
      </c>
      <c r="CJ214" s="258"/>
      <c r="CK214" s="258"/>
      <c r="CL214" s="258"/>
      <c r="CM214" s="258"/>
    </row>
    <row r="215" spans="1:91" x14ac:dyDescent="0.25">
      <c r="A215" s="723"/>
      <c r="B215" s="723"/>
      <c r="D215" s="31">
        <f t="shared" si="158"/>
        <v>43146</v>
      </c>
      <c r="F215" s="28">
        <f t="shared" si="159"/>
        <v>11107</v>
      </c>
      <c r="G215" s="28">
        <f t="shared" si="181"/>
        <v>3956.2008496356511</v>
      </c>
      <c r="H215" s="52">
        <f t="shared" si="160"/>
        <v>4.7969309462915612</v>
      </c>
      <c r="I215" s="52">
        <f t="shared" si="161"/>
        <v>5.0145</v>
      </c>
      <c r="K215" s="52">
        <f t="shared" si="162"/>
        <v>1.8068562706268425</v>
      </c>
      <c r="L215" s="135">
        <f t="shared" si="163"/>
        <v>1.1118187565986037E-3</v>
      </c>
      <c r="N215" s="131">
        <f t="shared" si="182"/>
        <v>0.17664298430008205</v>
      </c>
      <c r="O215" s="131">
        <f t="shared" si="183"/>
        <v>0.17664298430008205</v>
      </c>
      <c r="P215" s="55">
        <f t="shared" si="164"/>
        <v>1</v>
      </c>
      <c r="Q215" s="135">
        <f>_xll.xSPRDOPT(I215,H215,AQ215,0,O215,N215,P215,D215-$G$5,1,0)*AH215*AU215</f>
        <v>1.8079680893834411</v>
      </c>
      <c r="R215" s="135"/>
      <c r="S215" s="181">
        <f t="shared" si="165"/>
        <v>-111286.84415096272</v>
      </c>
      <c r="T215" s="181">
        <f>_xll.xSPRDOPT(I215,H215,AQ215,AT215,O215,N215,P215,D215-$G$5,1,1)*AF215*F215*AH215</f>
        <v>108782.89015756606</v>
      </c>
      <c r="U215" s="135"/>
      <c r="V215" s="146">
        <f t="shared" si="166"/>
        <v>3.6771617080488528</v>
      </c>
      <c r="W215" s="146"/>
      <c r="X215" s="338">
        <f t="shared" si="167"/>
        <v>0</v>
      </c>
      <c r="Y215" s="338">
        <f t="shared" si="184"/>
        <v>0</v>
      </c>
      <c r="Z215" s="338">
        <f t="shared" si="185"/>
        <v>10.506867047392504</v>
      </c>
      <c r="AA215" s="338">
        <f t="shared" si="186"/>
        <v>1.5443805230778811E-3</v>
      </c>
      <c r="AB215" s="338">
        <f t="shared" si="168"/>
        <v>0</v>
      </c>
      <c r="AC215" s="338">
        <f t="shared" si="169"/>
        <v>10.697679498452603</v>
      </c>
      <c r="AF215" s="138">
        <f t="shared" si="170"/>
        <v>1</v>
      </c>
      <c r="AG215" s="138">
        <f t="shared" si="171"/>
        <v>2</v>
      </c>
      <c r="AH215" s="138">
        <f t="shared" si="187"/>
        <v>28</v>
      </c>
      <c r="AI215" s="138">
        <f t="shared" si="172"/>
        <v>5890</v>
      </c>
      <c r="AJ215" s="138">
        <f t="shared" si="173"/>
        <v>5907</v>
      </c>
      <c r="AL215" s="136">
        <f t="shared" si="188"/>
        <v>4.6645000000000003</v>
      </c>
      <c r="AM215" s="258">
        <f t="shared" si="189"/>
        <v>1.7000000000000001E-2</v>
      </c>
      <c r="AN215" s="258">
        <f t="shared" si="190"/>
        <v>7.4999999999999997E-3</v>
      </c>
      <c r="AO215" s="258">
        <f t="shared" si="191"/>
        <v>0.35</v>
      </c>
      <c r="AP215" s="258">
        <f t="shared" si="192"/>
        <v>0</v>
      </c>
      <c r="AQ215" s="136">
        <f t="shared" si="174"/>
        <v>3.6400000000000002E-2</v>
      </c>
      <c r="AR215" s="137">
        <f t="shared" si="193"/>
        <v>2.2499999999999999E-2</v>
      </c>
      <c r="AS215" s="136">
        <f t="shared" si="175"/>
        <v>4.6890000000000009</v>
      </c>
      <c r="AT215" s="137">
        <f t="shared" si="176"/>
        <v>6.4893082469606803E-2</v>
      </c>
      <c r="AU215" s="137">
        <f t="shared" si="194"/>
        <v>0.35618986671789421</v>
      </c>
      <c r="AV215" s="394">
        <f t="shared" si="177"/>
        <v>2553.1689646338655</v>
      </c>
      <c r="AW215" s="137">
        <f t="shared" si="195"/>
        <v>0.17</v>
      </c>
      <c r="AX215" s="137">
        <f t="shared" si="196"/>
        <v>1</v>
      </c>
      <c r="AY215" s="137">
        <f t="shared" si="197"/>
        <v>1</v>
      </c>
      <c r="AZ215" s="137"/>
      <c r="BA215" s="264"/>
      <c r="BB215" s="258">
        <f t="shared" si="198"/>
        <v>0</v>
      </c>
      <c r="BC215" s="258">
        <f t="shared" si="178"/>
        <v>0</v>
      </c>
      <c r="BD215" s="137">
        <f t="shared" si="179"/>
        <v>3.310378138943193E-6</v>
      </c>
      <c r="BE215" s="137">
        <f t="shared" si="180"/>
        <v>3.310378138943193E-6</v>
      </c>
      <c r="BF215" s="137">
        <f>_xll.xSPRDOPT($BW215,$BV215,$CG215,0,$BY215,$BX215,$BZ215,$AJ215,1,4)*$CB215</f>
        <v>1.060971857567006E-7</v>
      </c>
      <c r="BG215" s="137">
        <f>_xll.xSPRDOPT($BW215,$BV215,$CG215,0,$BY215,$BX215,$BZ215,$AJ215,1,3)*$CB215</f>
        <v>-4.8804705448082274E-7</v>
      </c>
      <c r="BH215" s="137">
        <f>IF(OR(BF215&lt;&gt;0,BG215&lt;&gt;0),_xll.xSPRDOPT($BW215,$BV215,$CG215,0,$BY215,$BX215,$BZ215,$AJ215,1,12)*$CB215,0)</f>
        <v>2.0158465293773114E-7</v>
      </c>
      <c r="BI215" s="137">
        <f>_xll.xSPRDOPT($BW215,$BV215,$CG215,2*LN(1+CA215/2),$BY215,$BX215,$BZ215,$AJ215,1,9)</f>
        <v>4.1132717559712586E-3</v>
      </c>
      <c r="BJ215" s="137">
        <f>_xll.xSPRDOPT($BW215,$BV215,$CG215,0,$BY215,$BX215,$BZ215,$AJ215,1,6)*$CB215</f>
        <v>-3.3074116390803508E-2</v>
      </c>
      <c r="BK215" s="137">
        <f>_xll.xSPRDOPT($BW215,$BV215,$CG215,0,$BY215,$BX215,$BZ215,$AJ215,1,5)*$CB215</f>
        <v>3.457422224996777E-2</v>
      </c>
      <c r="BL215" s="137">
        <f>_xll.xSPRDOPT(BW215,BV215,CG215,0,BY215,BX215,BZ215,AJ215,1,2)*CB215</f>
        <v>-0.35547807591944786</v>
      </c>
      <c r="BM215" s="137">
        <f>_xll.xSPRDOPT(BW215,BV215,CG215,0,BY215,BX215,BZ215,AJ215,1,1)*CB215</f>
        <v>0.35547807592236186</v>
      </c>
      <c r="BN215" s="137">
        <f>IF(AH215&lt;&gt;0,_xll.xSPRDOPT($BW215,$BV215,$CG215,2*LN(1+CA215/2),$BY215,$BX215,$BZ215,$AJ215,1,8)+(AJ215/365.25)*CH215/AH215,0)</f>
        <v>1.0790580144300939</v>
      </c>
      <c r="BO215" s="137">
        <f>_xll.xSPRDOPT($BW215,$BV215,$CG215,0,$BY215,$BX215,$BZ215,$AJ215,1,0)</f>
        <v>0.18128070818286929</v>
      </c>
      <c r="BP215" s="137"/>
      <c r="BQ215" s="137"/>
      <c r="BR215" s="137"/>
      <c r="BS215" s="137"/>
      <c r="BV215" s="262">
        <v>4.7969309462915612</v>
      </c>
      <c r="BW215" s="136">
        <v>5.0145</v>
      </c>
      <c r="BX215" s="137">
        <v>0.1766396739219431</v>
      </c>
      <c r="BY215" s="137">
        <v>0.1766396739219431</v>
      </c>
      <c r="BZ215" s="137">
        <v>1</v>
      </c>
      <c r="CA215" s="137">
        <v>6.4893082469606803E-2</v>
      </c>
      <c r="CB215" s="137">
        <v>0.3560030804864579</v>
      </c>
      <c r="CC215" s="258">
        <v>1.7000000000000001E-2</v>
      </c>
      <c r="CD215" s="258">
        <v>7.4999999999999997E-3</v>
      </c>
      <c r="CE215" s="258">
        <v>0.35</v>
      </c>
      <c r="CF215" s="258">
        <v>0</v>
      </c>
      <c r="CG215" s="258">
        <v>3.6400000000000002E-2</v>
      </c>
      <c r="CH215" s="258">
        <v>3.6752334017099972</v>
      </c>
      <c r="CI215" s="258">
        <v>4.6645000000000003</v>
      </c>
      <c r="CJ215" s="258"/>
      <c r="CK215" s="258"/>
      <c r="CL215" s="258"/>
      <c r="CM215" s="258"/>
    </row>
    <row r="216" spans="1:91" x14ac:dyDescent="0.25">
      <c r="A216" s="723"/>
      <c r="B216" s="723"/>
      <c r="D216" s="31">
        <f t="shared" si="158"/>
        <v>43174</v>
      </c>
      <c r="F216" s="28">
        <f t="shared" si="159"/>
        <v>11107</v>
      </c>
      <c r="G216" s="28">
        <f t="shared" si="181"/>
        <v>3934.6126421154104</v>
      </c>
      <c r="H216" s="52">
        <f t="shared" si="160"/>
        <v>4.6690537084398986</v>
      </c>
      <c r="I216" s="52">
        <f t="shared" si="161"/>
        <v>4.9345000000000008</v>
      </c>
      <c r="K216" s="52">
        <f t="shared" si="162"/>
        <v>2.5153021937933677</v>
      </c>
      <c r="L216" s="135">
        <f t="shared" si="163"/>
        <v>5.0067563580169505E-4</v>
      </c>
      <c r="N216" s="131">
        <f t="shared" si="182"/>
        <v>0.1740514748608547</v>
      </c>
      <c r="O216" s="131">
        <f t="shared" si="183"/>
        <v>0.1740514748608547</v>
      </c>
      <c r="P216" s="55">
        <f t="shared" si="164"/>
        <v>1</v>
      </c>
      <c r="Q216" s="135">
        <f>_xll.xSPRDOPT(I216,H216,AQ216,0,O216,N216,P216,D216-$G$5,1,0)*AH216*AU216</f>
        <v>2.5158028694291694</v>
      </c>
      <c r="R216" s="135"/>
      <c r="S216" s="181">
        <f t="shared" si="165"/>
        <v>-122623.65498803057</v>
      </c>
      <c r="T216" s="181">
        <f>_xll.xSPRDOPT(I216,H216,AQ216,AT216,O216,N216,P216,D216-$G$5,1,1)*AF216*F216*AH216</f>
        <v>119864.62275079988</v>
      </c>
      <c r="U216" s="135"/>
      <c r="V216" s="146">
        <f t="shared" si="166"/>
        <v>4.0489278937234632</v>
      </c>
      <c r="W216" s="146"/>
      <c r="X216" s="338">
        <f t="shared" si="167"/>
        <v>0</v>
      </c>
      <c r="Y216" s="338">
        <f t="shared" si="184"/>
        <v>0</v>
      </c>
      <c r="Z216" s="338">
        <f t="shared" si="185"/>
        <v>14.644050230453027</v>
      </c>
      <c r="AA216" s="338">
        <f t="shared" si="186"/>
        <v>6.2506324665849249E-4</v>
      </c>
      <c r="AB216" s="338">
        <f t="shared" si="168"/>
        <v>0</v>
      </c>
      <c r="AC216" s="338">
        <f t="shared" si="169"/>
        <v>14.894300005282208</v>
      </c>
      <c r="AF216" s="138">
        <f t="shared" si="170"/>
        <v>1</v>
      </c>
      <c r="AG216" s="138">
        <f t="shared" si="171"/>
        <v>3</v>
      </c>
      <c r="AH216" s="138">
        <f t="shared" si="187"/>
        <v>31</v>
      </c>
      <c r="AI216" s="138">
        <f t="shared" si="172"/>
        <v>5918</v>
      </c>
      <c r="AJ216" s="138">
        <f t="shared" si="173"/>
        <v>5935</v>
      </c>
      <c r="AL216" s="136">
        <f t="shared" si="188"/>
        <v>4.5345000000000004</v>
      </c>
      <c r="AM216" s="258">
        <f t="shared" si="189"/>
        <v>2.1999999999999999E-2</v>
      </c>
      <c r="AN216" s="258">
        <f t="shared" si="190"/>
        <v>7.4999999999999997E-3</v>
      </c>
      <c r="AO216" s="258">
        <f t="shared" si="191"/>
        <v>0.4</v>
      </c>
      <c r="AP216" s="258">
        <f t="shared" si="192"/>
        <v>0</v>
      </c>
      <c r="AQ216" s="136">
        <f t="shared" si="174"/>
        <v>3.6400000000000002E-2</v>
      </c>
      <c r="AR216" s="137">
        <f t="shared" si="193"/>
        <v>2.2499999999999999E-2</v>
      </c>
      <c r="AS216" s="136">
        <f t="shared" si="175"/>
        <v>4.5640000000000009</v>
      </c>
      <c r="AT216" s="137">
        <f t="shared" si="176"/>
        <v>6.4929702968054698E-2</v>
      </c>
      <c r="AU216" s="137">
        <f t="shared" si="194"/>
        <v>0.35424620888767538</v>
      </c>
      <c r="AV216" s="394">
        <f t="shared" si="177"/>
        <v>2811.297913732592</v>
      </c>
      <c r="AW216" s="137">
        <f t="shared" si="195"/>
        <v>0.17</v>
      </c>
      <c r="AX216" s="137">
        <f t="shared" si="196"/>
        <v>0.75</v>
      </c>
      <c r="AY216" s="137">
        <f t="shared" si="197"/>
        <v>0.75</v>
      </c>
      <c r="AZ216" s="137"/>
      <c r="BA216" s="264"/>
      <c r="BB216" s="258">
        <f t="shared" si="198"/>
        <v>0</v>
      </c>
      <c r="BC216" s="258">
        <f t="shared" si="178"/>
        <v>0</v>
      </c>
      <c r="BD216" s="137">
        <f t="shared" si="179"/>
        <v>2.0235883768093821E-6</v>
      </c>
      <c r="BE216" s="137">
        <f t="shared" si="180"/>
        <v>2.0235883768093821E-6</v>
      </c>
      <c r="BF216" s="137">
        <f>_xll.xSPRDOPT($BW216,$BV216,$CG216,0,$BY216,$BX216,$BZ216,$AJ216,1,4)*$CB216</f>
        <v>-2.1103640721068417E-8</v>
      </c>
      <c r="BG216" s="137">
        <f>_xll.xSPRDOPT($BW216,$BV216,$CG216,0,$BY216,$BX216,$BZ216,$AJ216,1,3)*$CB216</f>
        <v>4.4317645514243678E-7</v>
      </c>
      <c r="BH216" s="137">
        <f>IF(OR(BF216&lt;&gt;0,BG216&lt;&gt;0),_xll.xSPRDOPT($BW216,$BV216,$CG216,0,$BY216,$BX216,$BZ216,$AJ216,1,12)*$CB216,0)</f>
        <v>-2.2158822757121839E-7</v>
      </c>
      <c r="BI216" s="137">
        <f>_xll.xSPRDOPT($BW216,$BV216,$CG216,2*LN(1+CA216/2),$BY216,$BX216,$BZ216,$AJ216,1,9)</f>
        <v>5.1781152703980812E-3</v>
      </c>
      <c r="BJ216" s="137">
        <f>_xll.xSPRDOPT($BW216,$BV216,$CG216,0,$BY216,$BX216,$BZ216,$AJ216,1,6)*$CB216</f>
        <v>-1.5779583293899481E-2</v>
      </c>
      <c r="BK216" s="137">
        <f>_xll.xSPRDOPT($BW216,$BV216,$CG216,0,$BY216,$BX216,$BZ216,$AJ216,1,5)*$CB216</f>
        <v>1.6676688385329649E-2</v>
      </c>
      <c r="BL216" s="137">
        <f>_xll.xSPRDOPT(BW216,BV216,CG216,0,BY216,BX216,BZ216,AJ216,1,2)*CB216</f>
        <v>-0.35381945995601227</v>
      </c>
      <c r="BM216" s="137">
        <f>_xll.xSPRDOPT(BW216,BV216,CG216,0,BY216,BX216,BZ216,AJ216,1,1)*CB216</f>
        <v>0.35381945995391917</v>
      </c>
      <c r="BN216" s="137">
        <f>IF(AH216&lt;&gt;0,_xll.xSPRDOPT($BW216,$BV216,$CG216,2*LN(1+CA216/2),$BY216,$BX216,$BZ216,$AJ216,1,8)+(AJ216/365.25)*CH216/AH216,0)</f>
        <v>0.80318967274448982</v>
      </c>
      <c r="BO216" s="137">
        <f>_xll.xSPRDOPT($BW216,$BV216,$CG216,0,$BY216,$BX216,$BZ216,$AJ216,1,0)</f>
        <v>0.22909199002999239</v>
      </c>
      <c r="BP216" s="137"/>
      <c r="BQ216" s="137"/>
      <c r="BR216" s="137"/>
      <c r="BS216" s="137"/>
      <c r="BV216" s="262">
        <v>4.6690537084398986</v>
      </c>
      <c r="BW216" s="136">
        <v>4.9345000000000008</v>
      </c>
      <c r="BX216" s="137">
        <v>0.1740494512724779</v>
      </c>
      <c r="BY216" s="137">
        <v>0.1740494512724779</v>
      </c>
      <c r="BZ216" s="137">
        <v>1</v>
      </c>
      <c r="CA216" s="137">
        <v>6.4929702968054698E-2</v>
      </c>
      <c r="CB216" s="137">
        <v>0.35406033876376058</v>
      </c>
      <c r="CC216" s="258">
        <v>2.1999999999999999E-2</v>
      </c>
      <c r="CD216" s="258">
        <v>7.4999999999999997E-3</v>
      </c>
      <c r="CE216" s="258">
        <v>0.4</v>
      </c>
      <c r="CF216" s="258">
        <v>0</v>
      </c>
      <c r="CG216" s="258">
        <v>3.6400000000000002E-2</v>
      </c>
      <c r="CH216" s="258">
        <v>4.0468034539681543</v>
      </c>
      <c r="CI216" s="258">
        <v>4.5345000000000004</v>
      </c>
      <c r="CJ216" s="258"/>
      <c r="CK216" s="258"/>
      <c r="CL216" s="258"/>
      <c r="CM216" s="258"/>
    </row>
    <row r="217" spans="1:91" x14ac:dyDescent="0.25">
      <c r="A217" s="723"/>
      <c r="B217" s="723"/>
      <c r="D217" s="31">
        <f t="shared" si="158"/>
        <v>43205</v>
      </c>
      <c r="F217" s="28">
        <f t="shared" si="159"/>
        <v>5899</v>
      </c>
      <c r="G217" s="28">
        <f t="shared" si="181"/>
        <v>2077.0641026139147</v>
      </c>
      <c r="H217" s="52">
        <f t="shared" si="160"/>
        <v>4.4823529411764707</v>
      </c>
      <c r="I217" s="52">
        <f t="shared" si="161"/>
        <v>4.9494999999999996</v>
      </c>
      <c r="K217" s="52">
        <f t="shared" si="162"/>
        <v>4.5500385820759943</v>
      </c>
      <c r="L217" s="135">
        <f t="shared" si="163"/>
        <v>2.3147215093111129E-5</v>
      </c>
      <c r="N217" s="131">
        <f t="shared" si="182"/>
        <v>0.17096703884147182</v>
      </c>
      <c r="O217" s="131">
        <f t="shared" si="183"/>
        <v>0.17096703884147182</v>
      </c>
      <c r="P217" s="55">
        <f t="shared" si="164"/>
        <v>1</v>
      </c>
      <c r="Q217" s="135">
        <f>_xll.xSPRDOPT(I217,H217,AQ217,0,O217,N217,P217,D217-$G$5,1,0)*AH217*AU217</f>
        <v>4.5500617292910874</v>
      </c>
      <c r="R217" s="135"/>
      <c r="S217" s="181">
        <f t="shared" si="165"/>
        <v>-62679.162857422925</v>
      </c>
      <c r="T217" s="181">
        <f>_xll.xSPRDOPT(I217,H217,AQ217,AT217,O217,N217,P217,D217-$G$5,1,1)*AF217*F217*AH217</f>
        <v>61268.881693130912</v>
      </c>
      <c r="U217" s="135"/>
      <c r="V217" s="146">
        <f t="shared" si="166"/>
        <v>3.8946272315667927</v>
      </c>
      <c r="W217" s="146"/>
      <c r="X217" s="338">
        <f t="shared" si="167"/>
        <v>0</v>
      </c>
      <c r="Y217" s="338">
        <f t="shared" si="184"/>
        <v>0</v>
      </c>
      <c r="Z217" s="338">
        <f t="shared" si="185"/>
        <v>14.087742710409197</v>
      </c>
      <c r="AA217" s="338">
        <f t="shared" si="186"/>
        <v>4.1571299128950966E-6</v>
      </c>
      <c r="AB217" s="338">
        <f t="shared" si="168"/>
        <v>0</v>
      </c>
      <c r="AC217" s="338">
        <f t="shared" si="169"/>
        <v>14.315719114103748</v>
      </c>
      <c r="AF217" s="138">
        <f t="shared" si="170"/>
        <v>1</v>
      </c>
      <c r="AG217" s="138">
        <f t="shared" si="171"/>
        <v>4</v>
      </c>
      <c r="AH217" s="138">
        <f t="shared" si="187"/>
        <v>30</v>
      </c>
      <c r="AI217" s="138">
        <f t="shared" si="172"/>
        <v>5949</v>
      </c>
      <c r="AJ217" s="138">
        <f t="shared" si="173"/>
        <v>5966</v>
      </c>
      <c r="AL217" s="136">
        <f t="shared" si="188"/>
        <v>4.3494999999999999</v>
      </c>
      <c r="AM217" s="258">
        <f t="shared" si="189"/>
        <v>2.1999999999999999E-2</v>
      </c>
      <c r="AN217" s="258">
        <f t="shared" si="190"/>
        <v>0.01</v>
      </c>
      <c r="AO217" s="258">
        <f t="shared" si="191"/>
        <v>0.6</v>
      </c>
      <c r="AP217" s="258">
        <f t="shared" si="192"/>
        <v>0</v>
      </c>
      <c r="AQ217" s="136">
        <f t="shared" si="174"/>
        <v>3.6400000000000002E-2</v>
      </c>
      <c r="AR217" s="137">
        <f t="shared" si="193"/>
        <v>2.2499999999999999E-2</v>
      </c>
      <c r="AS217" s="136">
        <f t="shared" si="175"/>
        <v>4.3815</v>
      </c>
      <c r="AT217" s="137">
        <f t="shared" si="176"/>
        <v>6.4970247091855601E-2</v>
      </c>
      <c r="AU217" s="137">
        <f t="shared" si="194"/>
        <v>0.35210444187386247</v>
      </c>
      <c r="AV217" s="394">
        <f t="shared" si="177"/>
        <v>1436.5861228453589</v>
      </c>
      <c r="AW217" s="137">
        <f t="shared" si="195"/>
        <v>0.17</v>
      </c>
      <c r="AX217" s="137">
        <f t="shared" si="196"/>
        <v>0.4</v>
      </c>
      <c r="AY217" s="137">
        <f t="shared" si="197"/>
        <v>0.4</v>
      </c>
      <c r="AZ217" s="137"/>
      <c r="BA217" s="264"/>
      <c r="BB217" s="258">
        <f t="shared" si="198"/>
        <v>0</v>
      </c>
      <c r="BC217" s="258">
        <f t="shared" si="178"/>
        <v>0</v>
      </c>
      <c r="BD217" s="137">
        <f t="shared" si="179"/>
        <v>4.8481914707854123E-7</v>
      </c>
      <c r="BE217" s="137">
        <f t="shared" si="180"/>
        <v>4.8481914707854123E-7</v>
      </c>
      <c r="BF217" s="137">
        <f>_xll.xSPRDOPT($BW217,$BV217,$CG217,0,$BY217,$BX217,$BZ217,$AJ217,1,4)*$CB217</f>
        <v>3.3561666680405324E-7</v>
      </c>
      <c r="BG217" s="137">
        <f>_xll.xSPRDOPT($BW217,$BV217,$CG217,0,$BY217,$BX217,$BZ217,$AJ217,1,3)*$CB217</f>
        <v>0</v>
      </c>
      <c r="BH217" s="137">
        <f>IF(OR(BF217&lt;&gt;0,BG217&lt;&gt;0),_xll.xSPRDOPT($BW217,$BV217,$CG217,0,$BY217,$BX217,$BZ217,$AJ217,1,12)*$CB217,0)</f>
        <v>-4.1952083350506655E-8</v>
      </c>
      <c r="BI217" s="137">
        <f>_xll.xSPRDOPT($BW217,$BV217,$CG217,2*LN(1+CA217/2),$BY217,$BX217,$BZ217,$AJ217,1,9)</f>
        <v>9.6919403005725248E-3</v>
      </c>
      <c r="BJ217" s="137">
        <f>_xll.xSPRDOPT($BW217,$BV217,$CG217,0,$BY217,$BX217,$BZ217,$AJ217,1,6)*$CB217</f>
        <v>-4.6490766845872855E-4</v>
      </c>
      <c r="BK217" s="137">
        <f>_xll.xSPRDOPT($BW217,$BV217,$CG217,0,$BY217,$BX217,$BZ217,$AJ217,1,5)*$CB217</f>
        <v>5.133599444776298E-4</v>
      </c>
      <c r="BL217" s="137">
        <f>_xll.xSPRDOPT(BW217,BV217,CG217,0,BY217,BX217,BZ217,AJ217,1,2)*CB217</f>
        <v>-0.35191373878633925</v>
      </c>
      <c r="BM217" s="137">
        <f>_xll.xSPRDOPT(BW217,BV217,CG217,0,BY217,BX217,BZ217,AJ217,1,1)*CB217</f>
        <v>0.35191373878249843</v>
      </c>
      <c r="BN217" s="137">
        <f>IF(AH217&lt;&gt;0,_xll.xSPRDOPT($BW217,$BV217,$CG217,2*LN(1+CA217/2),$BY217,$BX217,$BZ217,$AJ217,1,8)+(AJ217/365.25)*CH217/AH217,0)</f>
        <v>-0.35667530067353859</v>
      </c>
      <c r="BO217" s="137">
        <f>_xll.xSPRDOPT($BW217,$BV217,$CG217,0,$BY217,$BX217,$BZ217,$AJ217,1,0)</f>
        <v>0.43074925599878083</v>
      </c>
      <c r="BP217" s="137"/>
      <c r="BQ217" s="137"/>
      <c r="BR217" s="137"/>
      <c r="BS217" s="137"/>
      <c r="BV217" s="262">
        <v>4.4823529411764707</v>
      </c>
      <c r="BW217" s="136">
        <v>4.9494999999999996</v>
      </c>
      <c r="BX217" s="137">
        <v>0.17096655402232475</v>
      </c>
      <c r="BY217" s="137">
        <v>0.17096655402232475</v>
      </c>
      <c r="BZ217" s="137">
        <v>1</v>
      </c>
      <c r="CA217" s="137">
        <v>6.4970247091855601E-2</v>
      </c>
      <c r="CB217" s="137">
        <v>0.35191958201072693</v>
      </c>
      <c r="CC217" s="258">
        <v>2.1999999999999999E-2</v>
      </c>
      <c r="CD217" s="258">
        <v>0.01</v>
      </c>
      <c r="CE217" s="258">
        <v>0.6</v>
      </c>
      <c r="CF217" s="258">
        <v>0</v>
      </c>
      <c r="CG217" s="258">
        <v>3.6400000000000002E-2</v>
      </c>
      <c r="CH217" s="258">
        <v>3.8925824966206504</v>
      </c>
      <c r="CI217" s="258">
        <v>4.3494999999999999</v>
      </c>
      <c r="CJ217" s="258"/>
      <c r="CK217" s="258"/>
      <c r="CL217" s="258"/>
      <c r="CM217" s="258"/>
    </row>
    <row r="218" spans="1:91" x14ac:dyDescent="0.25">
      <c r="A218" s="723"/>
      <c r="B218" s="723"/>
      <c r="D218" s="31">
        <f t="shared" si="158"/>
        <v>43235</v>
      </c>
      <c r="F218" s="28">
        <f t="shared" si="159"/>
        <v>5895</v>
      </c>
      <c r="G218" s="28">
        <f t="shared" si="181"/>
        <v>2063.4968636018962</v>
      </c>
      <c r="H218" s="52">
        <f t="shared" si="160"/>
        <v>4.479795396419437</v>
      </c>
      <c r="I218" s="52">
        <f t="shared" si="161"/>
        <v>5.0945</v>
      </c>
      <c r="K218" s="52">
        <f t="shared" si="162"/>
        <v>6.2753556923742018</v>
      </c>
      <c r="L218" s="135">
        <f t="shared" si="163"/>
        <v>6.2266590443726955E-6</v>
      </c>
      <c r="N218" s="131">
        <f t="shared" si="182"/>
        <v>0.17131514275829046</v>
      </c>
      <c r="O218" s="131">
        <f t="shared" si="183"/>
        <v>0.17131514275829046</v>
      </c>
      <c r="P218" s="55">
        <f t="shared" si="164"/>
        <v>0.99999999999999989</v>
      </c>
      <c r="Q218" s="135">
        <f>_xll.xSPRDOPT(I218,H218,AQ218,0,O218,N218,P218,D218-$G$5,1,0)*AH218*AU218</f>
        <v>6.2753619190332461</v>
      </c>
      <c r="R218" s="135"/>
      <c r="S218" s="181">
        <f t="shared" si="165"/>
        <v>-64339.355614035361</v>
      </c>
      <c r="T218" s="181">
        <f>_xll.xSPRDOPT(I218,H218,AQ218,AT218,O218,N218,P218,D218-$G$5,1,1)*AF218*F218*AH218</f>
        <v>62891.720112719566</v>
      </c>
      <c r="U218" s="135"/>
      <c r="V218" s="146">
        <f t="shared" si="166"/>
        <v>4.0008736390009485</v>
      </c>
      <c r="W218" s="146"/>
      <c r="X218" s="338">
        <f t="shared" si="167"/>
        <v>0</v>
      </c>
      <c r="Y218" s="338">
        <f t="shared" si="184"/>
        <v>0</v>
      </c>
      <c r="Z218" s="338">
        <f t="shared" si="185"/>
        <v>19.428248902369969</v>
      </c>
      <c r="AA218" s="338">
        <f t="shared" si="186"/>
        <v>2.6857401859402633E-6</v>
      </c>
      <c r="AB218" s="338">
        <f t="shared" si="168"/>
        <v>0</v>
      </c>
      <c r="AC218" s="338">
        <f t="shared" si="169"/>
        <v>19.74249914197323</v>
      </c>
      <c r="AF218" s="138">
        <f t="shared" si="170"/>
        <v>1</v>
      </c>
      <c r="AG218" s="138">
        <f t="shared" si="171"/>
        <v>5</v>
      </c>
      <c r="AH218" s="138">
        <f t="shared" si="187"/>
        <v>31</v>
      </c>
      <c r="AI218" s="138">
        <f t="shared" si="172"/>
        <v>5979</v>
      </c>
      <c r="AJ218" s="138">
        <f t="shared" si="173"/>
        <v>5996</v>
      </c>
      <c r="AL218" s="136">
        <f t="shared" si="188"/>
        <v>4.3445</v>
      </c>
      <c r="AM218" s="258">
        <f t="shared" si="189"/>
        <v>2.4500000000000001E-2</v>
      </c>
      <c r="AN218" s="258">
        <f t="shared" si="190"/>
        <v>0.01</v>
      </c>
      <c r="AO218" s="258">
        <f t="shared" si="191"/>
        <v>0.75</v>
      </c>
      <c r="AP218" s="258">
        <f t="shared" si="192"/>
        <v>0</v>
      </c>
      <c r="AQ218" s="136">
        <f t="shared" si="174"/>
        <v>3.6400000000000002E-2</v>
      </c>
      <c r="AR218" s="137">
        <f t="shared" si="193"/>
        <v>2.2499999999999999E-2</v>
      </c>
      <c r="AS218" s="136">
        <f t="shared" si="175"/>
        <v>4.3789999999999996</v>
      </c>
      <c r="AT218" s="137">
        <f t="shared" si="176"/>
        <v>6.5009483341213606E-2</v>
      </c>
      <c r="AU218" s="137">
        <f t="shared" si="194"/>
        <v>0.35004187677725124</v>
      </c>
      <c r="AV218" s="394">
        <f t="shared" si="177"/>
        <v>1475.7765524928911</v>
      </c>
      <c r="AW218" s="137">
        <f t="shared" si="195"/>
        <v>0.17</v>
      </c>
      <c r="AX218" s="137">
        <f t="shared" si="196"/>
        <v>0.45</v>
      </c>
      <c r="AY218" s="137">
        <f t="shared" si="197"/>
        <v>0.45</v>
      </c>
      <c r="AZ218" s="137"/>
      <c r="BA218" s="264"/>
      <c r="BB218" s="258">
        <f t="shared" si="198"/>
        <v>0</v>
      </c>
      <c r="BC218" s="258">
        <f t="shared" si="178"/>
        <v>0</v>
      </c>
      <c r="BD218" s="137">
        <f t="shared" si="179"/>
        <v>6.5532167861648283E-7</v>
      </c>
      <c r="BE218" s="137">
        <f t="shared" si="180"/>
        <v>6.5532167861648283E-7</v>
      </c>
      <c r="BF218" s="137">
        <f>_xll.xSPRDOPT($BW218,$BV218,$CG218,0,$BY218,$BX218,$BZ218,$AJ218,1,4)*$CB218</f>
        <v>8.3412645003869475E-8</v>
      </c>
      <c r="BG218" s="137">
        <f>_xll.xSPRDOPT($BW218,$BV218,$CG218,0,$BY218,$BX218,$BZ218,$AJ218,1,3)*$CB218</f>
        <v>8.3412645003869475E-8</v>
      </c>
      <c r="BH218" s="137">
        <f>IF(OR(BF218&lt;&gt;0,BG218&lt;&gt;0),_xll.xSPRDOPT($BW218,$BV218,$CG218,0,$BY218,$BX218,$BZ218,$AJ218,1,12)*$CB218,0)</f>
        <v>-2.502379350116084E-7</v>
      </c>
      <c r="BI218" s="137">
        <f>_xll.xSPRDOPT($BW218,$BV218,$CG218,2*LN(1+CA218/2),$BY218,$BX218,$BZ218,$AJ218,1,9)</f>
        <v>1.2943660860015563E-2</v>
      </c>
      <c r="BJ218" s="137">
        <f>_xll.xSPRDOPT($BW218,$BV218,$CG218,0,$BY218,$BX218,$BZ218,$AJ218,1,6)*$CB218</f>
        <v>-1.6343904324258335E-4</v>
      </c>
      <c r="BK218" s="137">
        <f>_xll.xSPRDOPT($BW218,$BV218,$CG218,0,$BY218,$BX218,$BZ218,$AJ218,1,5)*$CB218</f>
        <v>1.8586567020192665E-4</v>
      </c>
      <c r="BL218" s="137">
        <f>_xll.xSPRDOPT(BW218,BV218,CG218,0,BY218,BX218,BZ218,AJ218,1,2)*CB218</f>
        <v>-0.34985605665179287</v>
      </c>
      <c r="BM218" s="137">
        <f>_xll.xSPRDOPT(BW218,BV218,CG218,0,BY218,BX218,BZ218,AJ218,1,1)*CB218</f>
        <v>0.34985605665370206</v>
      </c>
      <c r="BN218" s="137">
        <f>IF(AH218&lt;&gt;0,_xll.xSPRDOPT($BW218,$BV218,$CG218,2*LN(1+CA218/2),$BY218,$BX218,$BZ218,$AJ218,1,8)+(AJ218/365.25)*CH218/AH218,0)</f>
        <v>-1.2038301289057247</v>
      </c>
      <c r="BO218" s="137">
        <f>_xll.xSPRDOPT($BW218,$BV218,$CG218,0,$BY218,$BX218,$BZ218,$AJ218,1,0)</f>
        <v>0.578305180104142</v>
      </c>
      <c r="BP218" s="137"/>
      <c r="BQ218" s="137"/>
      <c r="BR218" s="137"/>
      <c r="BS218" s="137"/>
      <c r="BV218" s="262">
        <v>4.479795396419437</v>
      </c>
      <c r="BW218" s="136">
        <v>5.0945</v>
      </c>
      <c r="BX218" s="137">
        <v>0.17131448743661185</v>
      </c>
      <c r="BY218" s="137">
        <v>0.17131448743661185</v>
      </c>
      <c r="BZ218" s="137">
        <v>1</v>
      </c>
      <c r="CA218" s="137">
        <v>6.5009483341213606E-2</v>
      </c>
      <c r="CB218" s="137">
        <v>0.34985799059030975</v>
      </c>
      <c r="CC218" s="258">
        <v>2.4500000000000001E-2</v>
      </c>
      <c r="CD218" s="258">
        <v>0.01</v>
      </c>
      <c r="CE218" s="258">
        <v>0.75</v>
      </c>
      <c r="CF218" s="258">
        <v>0</v>
      </c>
      <c r="CG218" s="258">
        <v>3.6400000000000002E-2</v>
      </c>
      <c r="CH218" s="258">
        <v>3.9987718750500636</v>
      </c>
      <c r="CI218" s="258">
        <v>4.3445</v>
      </c>
      <c r="CJ218" s="258"/>
      <c r="CK218" s="258"/>
      <c r="CL218" s="258"/>
      <c r="CM218" s="258"/>
    </row>
    <row r="219" spans="1:91" x14ac:dyDescent="0.25">
      <c r="A219" s="723"/>
      <c r="B219" s="723"/>
      <c r="D219" s="31">
        <f t="shared" si="158"/>
        <v>43266</v>
      </c>
      <c r="F219" s="28">
        <f t="shared" si="159"/>
        <v>5895</v>
      </c>
      <c r="G219" s="28">
        <f t="shared" si="181"/>
        <v>2050.9941433512386</v>
      </c>
      <c r="H219" s="52">
        <f t="shared" si="160"/>
        <v>4.5156010230179024</v>
      </c>
      <c r="I219" s="52">
        <f t="shared" si="161"/>
        <v>5.2294999999999998</v>
      </c>
      <c r="K219" s="52">
        <f t="shared" si="162"/>
        <v>7.0714831242582061</v>
      </c>
      <c r="L219" s="135">
        <f t="shared" si="163"/>
        <v>2.8892365540045262E-6</v>
      </c>
      <c r="N219" s="131">
        <f t="shared" si="182"/>
        <v>0.1712664566403021</v>
      </c>
      <c r="O219" s="131">
        <f t="shared" si="183"/>
        <v>0.1712664566403021</v>
      </c>
      <c r="P219" s="55">
        <f t="shared" si="164"/>
        <v>1</v>
      </c>
      <c r="Q219" s="135">
        <f>_xll.xSPRDOPT(I219,H219,AQ219,0,O219,N219,P219,D219-$G$5,1,0)*AH219*AU219</f>
        <v>7.0714860134947601</v>
      </c>
      <c r="R219" s="135"/>
      <c r="S219" s="181">
        <f t="shared" si="165"/>
        <v>-61880.137205569044</v>
      </c>
      <c r="T219" s="181">
        <f>_xll.xSPRDOPT(I219,H219,AQ219,AT219,O219,N219,P219,D219-$G$5,1,1)*AF219*F219*AH219</f>
        <v>60487.834118443745</v>
      </c>
      <c r="U219" s="135"/>
      <c r="V219" s="146">
        <f t="shared" si="166"/>
        <v>3.848353896455988</v>
      </c>
      <c r="W219" s="146"/>
      <c r="X219" s="338">
        <f t="shared" si="167"/>
        <v>0</v>
      </c>
      <c r="Y219" s="338">
        <f t="shared" si="184"/>
        <v>0</v>
      </c>
      <c r="Z219" s="338">
        <f t="shared" si="185"/>
        <v>21.906578255889123</v>
      </c>
      <c r="AA219" s="338">
        <f t="shared" si="186"/>
        <v>9.5758858538290796E-7</v>
      </c>
      <c r="AB219" s="338">
        <f t="shared" si="168"/>
        <v>0</v>
      </c>
      <c r="AC219" s="338">
        <f t="shared" si="169"/>
        <v>22.260999756998849</v>
      </c>
      <c r="AF219" s="138">
        <f t="shared" si="170"/>
        <v>1</v>
      </c>
      <c r="AG219" s="138">
        <f t="shared" si="171"/>
        <v>6</v>
      </c>
      <c r="AH219" s="138">
        <f t="shared" si="187"/>
        <v>30</v>
      </c>
      <c r="AI219" s="138">
        <f t="shared" si="172"/>
        <v>6010</v>
      </c>
      <c r="AJ219" s="138">
        <f t="shared" si="173"/>
        <v>6027</v>
      </c>
      <c r="AL219" s="136">
        <f t="shared" si="188"/>
        <v>4.3795000000000002</v>
      </c>
      <c r="AM219" s="258">
        <f t="shared" si="189"/>
        <v>2.4500000000000001E-2</v>
      </c>
      <c r="AN219" s="258">
        <f t="shared" si="190"/>
        <v>0.01</v>
      </c>
      <c r="AO219" s="258">
        <f t="shared" si="191"/>
        <v>0.85</v>
      </c>
      <c r="AP219" s="258">
        <f t="shared" si="192"/>
        <v>0</v>
      </c>
      <c r="AQ219" s="136">
        <f t="shared" si="174"/>
        <v>3.6400000000000002E-2</v>
      </c>
      <c r="AR219" s="137">
        <f t="shared" si="193"/>
        <v>2.2499999999999999E-2</v>
      </c>
      <c r="AS219" s="136">
        <f t="shared" si="175"/>
        <v>4.4139999999999997</v>
      </c>
      <c r="AT219" s="137">
        <f t="shared" si="176"/>
        <v>6.5050027466086596E-2</v>
      </c>
      <c r="AU219" s="137">
        <f t="shared" si="194"/>
        <v>0.34792097427501928</v>
      </c>
      <c r="AV219" s="394">
        <f t="shared" si="177"/>
        <v>1419.5175750420788</v>
      </c>
      <c r="AW219" s="137">
        <f t="shared" si="195"/>
        <v>0.17</v>
      </c>
      <c r="AX219" s="137">
        <f t="shared" si="196"/>
        <v>0.45</v>
      </c>
      <c r="AY219" s="137">
        <f t="shared" si="197"/>
        <v>0.45</v>
      </c>
      <c r="AZ219" s="137"/>
      <c r="BA219" s="264"/>
      <c r="BB219" s="258">
        <f t="shared" si="198"/>
        <v>0</v>
      </c>
      <c r="BC219" s="258">
        <f t="shared" si="178"/>
        <v>0</v>
      </c>
      <c r="BD219" s="137">
        <f t="shared" si="179"/>
        <v>6.2795775421231603E-7</v>
      </c>
      <c r="BE219" s="137">
        <f t="shared" si="180"/>
        <v>6.2795775421231603E-7</v>
      </c>
      <c r="BF219" s="137">
        <f>_xll.xSPRDOPT($BW219,$BV219,$CG219,0,$BY219,$BX219,$BZ219,$AJ219,1,4)*$CB219</f>
        <v>-1.6581444268216356E-7</v>
      </c>
      <c r="BG219" s="137">
        <f>_xll.xSPRDOPT($BW219,$BV219,$CG219,0,$BY219,$BX219,$BZ219,$AJ219,1,3)*$CB219</f>
        <v>3.3162888536432713E-7</v>
      </c>
      <c r="BH219" s="137">
        <f>IF(OR(BF219&lt;&gt;0,BG219&lt;&gt;0),_xll.xSPRDOPT($BW219,$BV219,$CG219,0,$BY219,$BX219,$BZ219,$AJ219,1,12)*$CB219,0)</f>
        <v>-3.3162888536432713E-7</v>
      </c>
      <c r="BI219" s="137">
        <f>_xll.xSPRDOPT($BW219,$BV219,$CG219,2*LN(1+CA219/2),$BY219,$BX219,$BZ219,$AJ219,1,9)</f>
        <v>1.5081288677718409E-2</v>
      </c>
      <c r="BJ219" s="137">
        <f>_xll.xSPRDOPT($BW219,$BV219,$CG219,0,$BY219,$BX219,$BZ219,$AJ219,1,6)*$CB219</f>
        <v>-5.4540908487473058E-5</v>
      </c>
      <c r="BK219" s="137">
        <f>_xll.xSPRDOPT($BW219,$BV219,$CG219,0,$BY219,$BX219,$BZ219,$AJ219,1,5)*$CB219</f>
        <v>6.3163612306859138E-5</v>
      </c>
      <c r="BL219" s="137">
        <f>_xll.xSPRDOPT(BW219,BV219,CG219,0,BY219,BX219,BZ219,AJ219,1,2)*CB219</f>
        <v>-0.34773749530979703</v>
      </c>
      <c r="BM219" s="137">
        <f>_xll.xSPRDOPT(BW219,BV219,CG219,0,BY219,BX219,BZ219,AJ219,1,1)*CB219</f>
        <v>0.34773749530663439</v>
      </c>
      <c r="BN219" s="137">
        <f>IF(AH219&lt;&gt;0,_xll.xSPRDOPT($BW219,$BV219,$CG219,2*LN(1+CA219/2),$BY219,$BX219,$BZ219,$AJ219,1,8)+(AJ219/365.25)*CH219/AH219,0)</f>
        <v>-1.7719010888550653</v>
      </c>
      <c r="BO219" s="137">
        <f>_xll.xSPRDOPT($BW219,$BV219,$CG219,0,$BY219,$BX219,$BZ219,$AJ219,1,0)</f>
        <v>0.67749925483368356</v>
      </c>
      <c r="BP219" s="137"/>
      <c r="BQ219" s="137"/>
      <c r="BR219" s="137"/>
      <c r="BS219" s="137"/>
      <c r="BV219" s="262">
        <v>4.5156010230179024</v>
      </c>
      <c r="BW219" s="136">
        <v>5.2294999999999998</v>
      </c>
      <c r="BX219" s="137">
        <v>0.17126582868254789</v>
      </c>
      <c r="BY219" s="137">
        <v>0.17126582868254789</v>
      </c>
      <c r="BZ219" s="137">
        <v>1</v>
      </c>
      <c r="CA219" s="137">
        <v>6.5050027466086596E-2</v>
      </c>
      <c r="CB219" s="137">
        <v>0.34773809009978468</v>
      </c>
      <c r="CC219" s="258">
        <v>2.4500000000000001E-2</v>
      </c>
      <c r="CD219" s="258">
        <v>0.01</v>
      </c>
      <c r="CE219" s="258">
        <v>0.85</v>
      </c>
      <c r="CF219" s="258">
        <v>0</v>
      </c>
      <c r="CG219" s="258">
        <v>3.6400000000000002E-2</v>
      </c>
      <c r="CH219" s="258">
        <v>3.8463310145937184</v>
      </c>
      <c r="CI219" s="258">
        <v>4.3795000000000002</v>
      </c>
      <c r="CJ219" s="258"/>
      <c r="CK219" s="258"/>
      <c r="CL219" s="258"/>
      <c r="CM219" s="258"/>
    </row>
    <row r="220" spans="1:91" x14ac:dyDescent="0.25">
      <c r="A220" s="723"/>
      <c r="B220" s="723"/>
      <c r="D220" s="31">
        <f t="shared" si="158"/>
        <v>43296</v>
      </c>
      <c r="F220" s="28">
        <f t="shared" si="159"/>
        <v>5895</v>
      </c>
      <c r="G220" s="28">
        <f t="shared" si="181"/>
        <v>2038.9539538352997</v>
      </c>
      <c r="H220" s="52">
        <f t="shared" si="160"/>
        <v>4.5565217391304342</v>
      </c>
      <c r="I220" s="52">
        <f t="shared" si="161"/>
        <v>5.4695</v>
      </c>
      <c r="K220" s="52">
        <f t="shared" si="162"/>
        <v>9.3988776991057232</v>
      </c>
      <c r="L220" s="135">
        <f t="shared" si="163"/>
        <v>1.2611631525771827E-6</v>
      </c>
      <c r="N220" s="131">
        <f t="shared" si="182"/>
        <v>0.17165645940219063</v>
      </c>
      <c r="O220" s="131">
        <f t="shared" si="183"/>
        <v>0.17165645940219063</v>
      </c>
      <c r="P220" s="55">
        <f t="shared" si="164"/>
        <v>1.0000000000000002</v>
      </c>
      <c r="Q220" s="135">
        <f>_xll.xSPRDOPT(I220,H220,AQ220,0,O220,N220,P220,D220-$G$5,1,0)*AH220*AU220</f>
        <v>9.3988789602688758</v>
      </c>
      <c r="R220" s="135"/>
      <c r="S220" s="181">
        <f t="shared" si="165"/>
        <v>-63560.80880191554</v>
      </c>
      <c r="T220" s="181">
        <f>_xll.xSPRDOPT(I220,H220,AQ220,AT220,O220,N220,P220,D220-$G$5,1,1)*AF220*F220*AH220</f>
        <v>62130.690603872441</v>
      </c>
      <c r="U220" s="135"/>
      <c r="V220" s="146">
        <f t="shared" si="166"/>
        <v>3.9532878721206659</v>
      </c>
      <c r="W220" s="146"/>
      <c r="X220" s="338">
        <f t="shared" si="167"/>
        <v>0</v>
      </c>
      <c r="Y220" s="338">
        <f t="shared" si="184"/>
        <v>0</v>
      </c>
      <c r="Z220" s="338">
        <f t="shared" si="185"/>
        <v>29.133885684893734</v>
      </c>
      <c r="AA220" s="338">
        <f t="shared" si="186"/>
        <v>4.9581165989953811E-7</v>
      </c>
      <c r="AB220" s="338">
        <f t="shared" si="168"/>
        <v>0</v>
      </c>
      <c r="AC220" s="338">
        <f t="shared" si="169"/>
        <v>29.60545728059213</v>
      </c>
      <c r="AF220" s="138">
        <f t="shared" si="170"/>
        <v>1</v>
      </c>
      <c r="AG220" s="138">
        <f t="shared" si="171"/>
        <v>7</v>
      </c>
      <c r="AH220" s="138">
        <f t="shared" si="187"/>
        <v>31</v>
      </c>
      <c r="AI220" s="138">
        <f t="shared" si="172"/>
        <v>6040</v>
      </c>
      <c r="AJ220" s="138">
        <f t="shared" si="173"/>
        <v>6057</v>
      </c>
      <c r="AL220" s="136">
        <f t="shared" si="188"/>
        <v>4.4195000000000002</v>
      </c>
      <c r="AM220" s="258">
        <f t="shared" si="189"/>
        <v>2.4500000000000001E-2</v>
      </c>
      <c r="AN220" s="258">
        <f t="shared" si="190"/>
        <v>0.01</v>
      </c>
      <c r="AO220" s="258">
        <f t="shared" si="191"/>
        <v>1.05</v>
      </c>
      <c r="AP220" s="258">
        <f t="shared" si="192"/>
        <v>0</v>
      </c>
      <c r="AQ220" s="136">
        <f t="shared" si="174"/>
        <v>3.6400000000000002E-2</v>
      </c>
      <c r="AR220" s="137">
        <f t="shared" si="193"/>
        <v>2.2499999999999999E-2</v>
      </c>
      <c r="AS220" s="136">
        <f t="shared" si="175"/>
        <v>4.4539999999999997</v>
      </c>
      <c r="AT220" s="137">
        <f t="shared" si="176"/>
        <v>6.5089263716481494E-2</v>
      </c>
      <c r="AU220" s="137">
        <f t="shared" si="194"/>
        <v>0.34587853330539436</v>
      </c>
      <c r="AV220" s="394">
        <f t="shared" si="177"/>
        <v>1458.2238964155426</v>
      </c>
      <c r="AW220" s="137">
        <f t="shared" si="195"/>
        <v>0.17</v>
      </c>
      <c r="AX220" s="137">
        <f t="shared" si="196"/>
        <v>0.5</v>
      </c>
      <c r="AY220" s="137">
        <f t="shared" si="197"/>
        <v>0.5</v>
      </c>
      <c r="AZ220" s="137"/>
      <c r="BA220" s="264"/>
      <c r="BB220" s="258">
        <f t="shared" si="198"/>
        <v>0</v>
      </c>
      <c r="BC220" s="258">
        <f t="shared" si="178"/>
        <v>0</v>
      </c>
      <c r="BD220" s="137">
        <f t="shared" si="179"/>
        <v>8.1627681491891479E-7</v>
      </c>
      <c r="BE220" s="137">
        <f t="shared" si="180"/>
        <v>8.1627681491891479E-7</v>
      </c>
      <c r="BF220" s="137">
        <f>_xll.xSPRDOPT($BW220,$BV220,$CG220,0,$BY220,$BX220,$BZ220,$AJ220,1,4)*$CB220</f>
        <v>1.6484099142050597E-7</v>
      </c>
      <c r="BG220" s="137">
        <f>_xll.xSPRDOPT($BW220,$BV220,$CG220,0,$BY220,$BX220,$BZ220,$AJ220,1,3)*$CB220</f>
        <v>1.6484099142050597E-7</v>
      </c>
      <c r="BH220" s="137">
        <f>IF(OR(BF220&lt;&gt;0,BG220&lt;&gt;0),_xll.xSPRDOPT($BW220,$BV220,$CG220,0,$BY220,$BX220,$BZ220,$AJ220,1,12)*$CB220,0)</f>
        <v>-2.0605123927563245E-7</v>
      </c>
      <c r="BI220" s="137">
        <f>_xll.xSPRDOPT($BW220,$BV220,$CG220,2*LN(1+CA220/2),$BY220,$BX220,$BZ220,$AJ220,1,9)</f>
        <v>1.9409836559882966E-2</v>
      </c>
      <c r="BJ220" s="137">
        <f>_xll.xSPRDOPT($BW220,$BV220,$CG220,0,$BY220,$BX220,$BZ220,$AJ220,1,6)*$CB220</f>
        <v>-1.658846542407666E-5</v>
      </c>
      <c r="BK220" s="137">
        <f>_xll.xSPRDOPT($BW220,$BV220,$CG220,0,$BY220,$BX220,$BZ220,$AJ220,1,5)*$CB220</f>
        <v>1.9912256912032438E-5</v>
      </c>
      <c r="BL220" s="137">
        <f>_xll.xSPRDOPT(BW220,BV220,CG220,0,BY220,BX220,BZ220,AJ220,1,2)*CB220</f>
        <v>-0.34569645796815091</v>
      </c>
      <c r="BM220" s="137">
        <f>_xll.xSPRDOPT(BW220,BV220,CG220,0,BY220,BX220,BZ220,AJ220,1,1)*CB220</f>
        <v>0.3456964579668933</v>
      </c>
      <c r="BN220" s="137">
        <f>IF(AH220&lt;&gt;0,_xll.xSPRDOPT($BW220,$BV220,$CG220,2*LN(1+CA220/2),$BY220,$BX220,$BZ220,$AJ220,1,8)+(AJ220/365.25)*CH220/AH220,0)</f>
        <v>-2.9115362427645204</v>
      </c>
      <c r="BO220" s="137">
        <f>_xll.xSPRDOPT($BW220,$BV220,$CG220,0,$BY220,$BX220,$BZ220,$AJ220,1,0)</f>
        <v>0.87657837889197077</v>
      </c>
      <c r="BP220" s="137"/>
      <c r="BQ220" s="137"/>
      <c r="BR220" s="137"/>
      <c r="BS220" s="137"/>
      <c r="BV220" s="262">
        <v>4.5565217391304342</v>
      </c>
      <c r="BW220" s="136">
        <v>5.4695</v>
      </c>
      <c r="BX220" s="137">
        <v>0.17165564312537571</v>
      </c>
      <c r="BY220" s="137">
        <v>0.17165564312537571</v>
      </c>
      <c r="BZ220" s="137">
        <v>1</v>
      </c>
      <c r="CA220" s="137">
        <v>6.5089263716481494E-2</v>
      </c>
      <c r="CB220" s="137">
        <v>0.34569661483949693</v>
      </c>
      <c r="CC220" s="258">
        <v>2.4500000000000001E-2</v>
      </c>
      <c r="CD220" s="258">
        <v>0.01</v>
      </c>
      <c r="CE220" s="258">
        <v>1.05</v>
      </c>
      <c r="CF220" s="258">
        <v>0</v>
      </c>
      <c r="CG220" s="258">
        <v>3.6400000000000002E-2</v>
      </c>
      <c r="CH220" s="258">
        <v>3.9512085986309984</v>
      </c>
      <c r="CI220" s="258">
        <v>4.4195000000000002</v>
      </c>
      <c r="CJ220" s="258"/>
      <c r="CK220" s="258"/>
      <c r="CL220" s="258"/>
      <c r="CM220" s="258"/>
    </row>
    <row r="221" spans="1:91" x14ac:dyDescent="0.25">
      <c r="A221" s="723"/>
      <c r="B221" s="723"/>
      <c r="D221" s="31">
        <f t="shared" si="158"/>
        <v>43327</v>
      </c>
      <c r="F221" s="28">
        <f t="shared" si="159"/>
        <v>5895</v>
      </c>
      <c r="G221" s="28">
        <f t="shared" si="181"/>
        <v>2026.5734095983298</v>
      </c>
      <c r="H221" s="52">
        <f t="shared" si="160"/>
        <v>4.5923273657288997</v>
      </c>
      <c r="I221" s="52">
        <f t="shared" si="161"/>
        <v>5.5095000000000001</v>
      </c>
      <c r="K221" s="52">
        <f t="shared" si="162"/>
        <v>9.386507619336097</v>
      </c>
      <c r="L221" s="135">
        <f t="shared" si="163"/>
        <v>1.3169833490422889E-6</v>
      </c>
      <c r="N221" s="131">
        <f t="shared" si="182"/>
        <v>0.17203707482335426</v>
      </c>
      <c r="O221" s="131">
        <f t="shared" si="183"/>
        <v>0.17203707482335426</v>
      </c>
      <c r="P221" s="55">
        <f t="shared" si="164"/>
        <v>1.0000000000000002</v>
      </c>
      <c r="Q221" s="135">
        <f>_xll.xSPRDOPT(I221,H221,AQ221,0,O221,N221,P221,D221-$G$5,1,0)*AH221*AU221</f>
        <v>9.3865089363194461</v>
      </c>
      <c r="R221" s="135"/>
      <c r="S221" s="181">
        <f t="shared" si="165"/>
        <v>-63167.963868342355</v>
      </c>
      <c r="T221" s="181">
        <f>_xll.xSPRDOPT(I221,H221,AQ221,AT221,O221,N221,P221,D221-$G$5,1,1)*AF221*F221*AH221</f>
        <v>61746.68468130465</v>
      </c>
      <c r="U221" s="135"/>
      <c r="V221" s="146">
        <f t="shared" si="166"/>
        <v>3.9292834774700647</v>
      </c>
      <c r="W221" s="146"/>
      <c r="X221" s="338">
        <f t="shared" si="167"/>
        <v>0</v>
      </c>
      <c r="Y221" s="338">
        <f t="shared" si="184"/>
        <v>0</v>
      </c>
      <c r="Z221" s="338">
        <f t="shared" si="185"/>
        <v>29.113369472451108</v>
      </c>
      <c r="AA221" s="338">
        <f t="shared" si="186"/>
        <v>5.9609380997280176E-7</v>
      </c>
      <c r="AB221" s="338">
        <f t="shared" si="168"/>
        <v>0</v>
      </c>
      <c r="AC221" s="338">
        <f t="shared" si="169"/>
        <v>29.584900473764833</v>
      </c>
      <c r="AF221" s="138">
        <f t="shared" si="170"/>
        <v>1</v>
      </c>
      <c r="AG221" s="138">
        <f t="shared" si="171"/>
        <v>8</v>
      </c>
      <c r="AH221" s="138">
        <f t="shared" si="187"/>
        <v>31</v>
      </c>
      <c r="AI221" s="138">
        <f t="shared" si="172"/>
        <v>6071</v>
      </c>
      <c r="AJ221" s="138">
        <f t="shared" si="173"/>
        <v>6088</v>
      </c>
      <c r="AL221" s="136">
        <f t="shared" si="188"/>
        <v>4.4595000000000002</v>
      </c>
      <c r="AM221" s="258">
        <f t="shared" si="189"/>
        <v>1.95E-2</v>
      </c>
      <c r="AN221" s="258">
        <f t="shared" si="190"/>
        <v>0.01</v>
      </c>
      <c r="AO221" s="258">
        <f t="shared" si="191"/>
        <v>1.05</v>
      </c>
      <c r="AP221" s="258">
        <f t="shared" si="192"/>
        <v>0</v>
      </c>
      <c r="AQ221" s="136">
        <f t="shared" si="174"/>
        <v>3.6400000000000002E-2</v>
      </c>
      <c r="AR221" s="137">
        <f t="shared" si="193"/>
        <v>2.2499999999999999E-2</v>
      </c>
      <c r="AS221" s="136">
        <f t="shared" si="175"/>
        <v>4.4889999999999999</v>
      </c>
      <c r="AT221" s="137">
        <f t="shared" si="176"/>
        <v>6.5129807842426501E-2</v>
      </c>
      <c r="AU221" s="137">
        <f t="shared" si="194"/>
        <v>0.34377835616595925</v>
      </c>
      <c r="AV221" s="394">
        <f t="shared" si="177"/>
        <v>1449.3695495956842</v>
      </c>
      <c r="AW221" s="137">
        <f t="shared" si="195"/>
        <v>0.17</v>
      </c>
      <c r="AX221" s="137">
        <f t="shared" si="196"/>
        <v>0.55000000000000004</v>
      </c>
      <c r="AY221" s="137">
        <f t="shared" si="197"/>
        <v>0.55000000000000004</v>
      </c>
      <c r="AZ221" s="137"/>
      <c r="BA221" s="264"/>
      <c r="BB221" s="258">
        <f t="shared" si="198"/>
        <v>0</v>
      </c>
      <c r="BC221" s="258">
        <f t="shared" si="178"/>
        <v>0</v>
      </c>
      <c r="BD221" s="137">
        <f t="shared" si="179"/>
        <v>9.9762884758769488E-7</v>
      </c>
      <c r="BE221" s="137">
        <f t="shared" si="180"/>
        <v>9.9762884758769488E-7</v>
      </c>
      <c r="BF221" s="137">
        <f>_xll.xSPRDOPT($BW221,$BV221,$CG221,0,$BY221,$BX221,$BZ221,$AJ221,1,4)*$CB221</f>
        <v>2.4576003420073062E-7</v>
      </c>
      <c r="BG221" s="137">
        <f>_xll.xSPRDOPT($BW221,$BV221,$CG221,0,$BY221,$BX221,$BZ221,$AJ221,1,3)*$CB221</f>
        <v>4.0960005700121767E-7</v>
      </c>
      <c r="BH221" s="137">
        <f>IF(OR(BF221&lt;&gt;0,BG221&lt;&gt;0),_xll.xSPRDOPT($BW221,$BV221,$CG221,0,$BY221,$BX221,$BZ221,$AJ221,1,12)*$CB221,0)</f>
        <v>-3.6864005130109652E-7</v>
      </c>
      <c r="BI221" s="137">
        <f>_xll.xSPRDOPT($BW221,$BV221,$CG221,2*LN(1+CA221/2),$BY221,$BX221,$BZ221,$AJ221,1,9)</f>
        <v>1.939616806627225E-2</v>
      </c>
      <c r="BJ221" s="137">
        <f>_xll.xSPRDOPT($BW221,$BV221,$CG221,0,$BY221,$BX221,$BZ221,$AJ221,1,6)*$CB221</f>
        <v>-1.6371216251024733E-5</v>
      </c>
      <c r="BK221" s="137">
        <f>_xll.xSPRDOPT($BW221,$BV221,$CG221,0,$BY221,$BX221,$BZ221,$AJ221,1,5)*$CB221</f>
        <v>1.9640857547203653E-5</v>
      </c>
      <c r="BL221" s="137">
        <f>_xll.xSPRDOPT(BW221,BV221,CG221,0,BY221,BX221,BZ221,AJ221,1,2)*CB221</f>
        <v>-0.34359727852169081</v>
      </c>
      <c r="BM221" s="137">
        <f>_xll.xSPRDOPT(BW221,BV221,CG221,0,BY221,BX221,BZ221,AJ221,1,1)*CB221</f>
        <v>0.34359727852356581</v>
      </c>
      <c r="BN221" s="137">
        <f>IF(AH221&lt;&gt;0,_xll.xSPRDOPT($BW221,$BV221,$CG221,2*LN(1+CA221/2),$BY221,$BX221,$BZ221,$AJ221,1,8)+(AJ221/365.25)*CH221/AH221,0)</f>
        <v>-2.9326889326808709</v>
      </c>
      <c r="BO221" s="137">
        <f>_xll.xSPRDOPT($BW221,$BV221,$CG221,0,$BY221,$BX221,$BZ221,$AJ221,1,0)</f>
        <v>0.88077275824287315</v>
      </c>
      <c r="BP221" s="137"/>
      <c r="BQ221" s="137"/>
      <c r="BR221" s="137"/>
      <c r="BS221" s="137"/>
      <c r="BV221" s="262">
        <v>4.5923273657288997</v>
      </c>
      <c r="BW221" s="136">
        <v>5.5095000000000001</v>
      </c>
      <c r="BX221" s="137">
        <v>0.17203607719450667</v>
      </c>
      <c r="BY221" s="137">
        <v>0.17203607719450667</v>
      </c>
      <c r="BZ221" s="137">
        <v>1</v>
      </c>
      <c r="CA221" s="137">
        <v>6.5129807842426501E-2</v>
      </c>
      <c r="CB221" s="137">
        <v>0.34359743149608707</v>
      </c>
      <c r="CC221" s="258">
        <v>1.95E-2</v>
      </c>
      <c r="CD221" s="258">
        <v>0.01</v>
      </c>
      <c r="CE221" s="258">
        <v>1.05</v>
      </c>
      <c r="CF221" s="258">
        <v>0</v>
      </c>
      <c r="CG221" s="258">
        <v>3.6400000000000002E-2</v>
      </c>
      <c r="CH221" s="258">
        <v>3.9272155627708267</v>
      </c>
      <c r="CI221" s="258">
        <v>4.4595000000000002</v>
      </c>
      <c r="CJ221" s="258"/>
      <c r="CK221" s="258"/>
      <c r="CL221" s="258"/>
      <c r="CM221" s="258"/>
    </row>
    <row r="222" spans="1:91" x14ac:dyDescent="0.25">
      <c r="A222" s="723"/>
      <c r="B222" s="723"/>
      <c r="D222" s="31">
        <f t="shared" si="158"/>
        <v>43358</v>
      </c>
      <c r="F222" s="28">
        <f t="shared" si="159"/>
        <v>5895</v>
      </c>
      <c r="G222" s="28">
        <f t="shared" si="181"/>
        <v>2014.2546405536573</v>
      </c>
      <c r="H222" s="52">
        <f t="shared" si="160"/>
        <v>4.5872122762148333</v>
      </c>
      <c r="I222" s="52">
        <f t="shared" si="161"/>
        <v>5.2045000000000003</v>
      </c>
      <c r="K222" s="52">
        <f t="shared" si="162"/>
        <v>5.9544824085237851</v>
      </c>
      <c r="L222" s="135">
        <f t="shared" si="163"/>
        <v>7.2878730552616844E-6</v>
      </c>
      <c r="N222" s="131">
        <f t="shared" si="182"/>
        <v>0.17196196415554649</v>
      </c>
      <c r="O222" s="131">
        <f t="shared" si="183"/>
        <v>0.17196196415554649</v>
      </c>
      <c r="P222" s="55">
        <f t="shared" si="164"/>
        <v>1</v>
      </c>
      <c r="Q222" s="135">
        <f>_xll.xSPRDOPT(I222,H222,AQ222,0,O222,N222,P222,D222-$G$5,1,0)*AH222*AU222</f>
        <v>5.9544896963968403</v>
      </c>
      <c r="R222" s="135"/>
      <c r="S222" s="181">
        <f t="shared" si="165"/>
        <v>-60751.752050915558</v>
      </c>
      <c r="T222" s="181">
        <f>_xll.xSPRDOPT(I222,H222,AQ222,AT222,O222,N222,P222,D222-$G$5,1,1)*AF222*F222*AH222</f>
        <v>59384.837629769958</v>
      </c>
      <c r="U222" s="135"/>
      <c r="V222" s="146">
        <f t="shared" si="166"/>
        <v>3.7794182492220534</v>
      </c>
      <c r="W222" s="146"/>
      <c r="X222" s="338">
        <f t="shared" si="167"/>
        <v>0</v>
      </c>
      <c r="Y222" s="338">
        <f t="shared" si="184"/>
        <v>0</v>
      </c>
      <c r="Z222" s="338">
        <f t="shared" si="185"/>
        <v>18.479721381063413</v>
      </c>
      <c r="AA222" s="338">
        <f t="shared" si="186"/>
        <v>3.5969064810192373E-6</v>
      </c>
      <c r="AB222" s="338">
        <f t="shared" si="168"/>
        <v>0</v>
      </c>
      <c r="AC222" s="338">
        <f t="shared" si="169"/>
        <v>18.779355963559659</v>
      </c>
      <c r="AF222" s="138">
        <f t="shared" si="170"/>
        <v>1</v>
      </c>
      <c r="AG222" s="138">
        <f t="shared" si="171"/>
        <v>9</v>
      </c>
      <c r="AH222" s="138">
        <f t="shared" si="187"/>
        <v>30</v>
      </c>
      <c r="AI222" s="138">
        <f t="shared" si="172"/>
        <v>6102</v>
      </c>
      <c r="AJ222" s="138">
        <f t="shared" si="173"/>
        <v>6119</v>
      </c>
      <c r="AL222" s="136">
        <f t="shared" si="188"/>
        <v>4.4545000000000003</v>
      </c>
      <c r="AM222" s="258">
        <f t="shared" si="189"/>
        <v>1.95E-2</v>
      </c>
      <c r="AN222" s="258">
        <f t="shared" si="190"/>
        <v>0.01</v>
      </c>
      <c r="AO222" s="258">
        <f t="shared" si="191"/>
        <v>0.75</v>
      </c>
      <c r="AP222" s="258">
        <f t="shared" si="192"/>
        <v>0</v>
      </c>
      <c r="AQ222" s="136">
        <f t="shared" si="174"/>
        <v>3.6400000000000002E-2</v>
      </c>
      <c r="AR222" s="137">
        <f t="shared" si="193"/>
        <v>2.2499999999999999E-2</v>
      </c>
      <c r="AS222" s="136">
        <f t="shared" si="175"/>
        <v>4.484</v>
      </c>
      <c r="AT222" s="137">
        <f t="shared" si="176"/>
        <v>6.5170351968916004E-2</v>
      </c>
      <c r="AU222" s="137">
        <f t="shared" si="194"/>
        <v>0.34168865827882228</v>
      </c>
      <c r="AV222" s="394">
        <f t="shared" si="177"/>
        <v>1394.0897257775948</v>
      </c>
      <c r="AW222" s="137">
        <f t="shared" si="195"/>
        <v>0.17</v>
      </c>
      <c r="AX222" s="137">
        <f t="shared" si="196"/>
        <v>0.55000000000000004</v>
      </c>
      <c r="AY222" s="137">
        <f t="shared" si="197"/>
        <v>0.55000000000000004</v>
      </c>
      <c r="AZ222" s="137"/>
      <c r="BA222" s="264"/>
      <c r="BB222" s="258">
        <f t="shared" si="198"/>
        <v>0</v>
      </c>
      <c r="BC222" s="258">
        <f t="shared" si="178"/>
        <v>0</v>
      </c>
      <c r="BD222" s="137">
        <f t="shared" si="179"/>
        <v>9.562633672688392E-7</v>
      </c>
      <c r="BE222" s="137">
        <f t="shared" si="180"/>
        <v>9.562633672688392E-7</v>
      </c>
      <c r="BF222" s="137">
        <f>_xll.xSPRDOPT($BW222,$BV222,$CG222,0,$BY222,$BX222,$BZ222,$AJ222,1,4)*$CB222</f>
        <v>-2.4426607363893585E-7</v>
      </c>
      <c r="BG222" s="137">
        <f>_xll.xSPRDOPT($BW222,$BV222,$CG222,0,$BY222,$BX222,$BZ222,$AJ222,1,3)*$CB222</f>
        <v>8.1422024546311946E-8</v>
      </c>
      <c r="BH222" s="137">
        <f>IF(OR(BF222&lt;&gt;0,BG222&lt;&gt;0),_xll.xSPRDOPT($BW222,$BV222,$CG222,0,$BY222,$BX222,$BZ222,$AJ222,1,12)*$CB222,0)</f>
        <v>3.6639911045840375E-7</v>
      </c>
      <c r="BI222" s="137">
        <f>_xll.xSPRDOPT($BW222,$BV222,$CG222,2*LN(1+CA222/2),$BY222,$BX222,$BZ222,$AJ222,1,9)</f>
        <v>1.272211522841092E-2</v>
      </c>
      <c r="BJ222" s="137">
        <f>_xll.xSPRDOPT($BW222,$BV222,$CG222,0,$BY222,$BX222,$BZ222,$AJ222,1,6)*$CB222</f>
        <v>-1.5805482014411411E-4</v>
      </c>
      <c r="BK222" s="137">
        <f>_xll.xSPRDOPT($BW222,$BV222,$CG222,0,$BY222,$BX222,$BZ222,$AJ222,1,5)*$CB222</f>
        <v>1.7932379526171662E-4</v>
      </c>
      <c r="BL222" s="137">
        <f>_xll.xSPRDOPT(BW222,BV222,CG222,0,BY222,BX222,BZ222,AJ222,1,2)*CB222</f>
        <v>-0.34150691916266135</v>
      </c>
      <c r="BM222" s="137">
        <f>_xll.xSPRDOPT(BW222,BV222,CG222,0,BY222,BX222,BZ222,AJ222,1,1)*CB222</f>
        <v>0.34150691915458575</v>
      </c>
      <c r="BN222" s="137">
        <f>IF(AH222&lt;&gt;0,_xll.xSPRDOPT($BW222,$BV222,$CG222,2*LN(1+CA222/2),$BY222,$BX222,$BZ222,$AJ222,1,8)+(AJ222/365.25)*CH222/AH222,0)</f>
        <v>-1.2139861847188254</v>
      </c>
      <c r="BO222" s="137">
        <f>_xll.xSPRDOPT($BW222,$BV222,$CG222,0,$BY222,$BX222,$BZ222,$AJ222,1,0)</f>
        <v>0.58088843731849316</v>
      </c>
      <c r="BP222" s="137"/>
      <c r="BQ222" s="137"/>
      <c r="BR222" s="137"/>
      <c r="BS222" s="137"/>
      <c r="BV222" s="262">
        <v>4.5872122762148333</v>
      </c>
      <c r="BW222" s="136">
        <v>5.2045000000000003</v>
      </c>
      <c r="BX222" s="137">
        <v>0.17196100789217922</v>
      </c>
      <c r="BY222" s="137">
        <v>0.17196100789217922</v>
      </c>
      <c r="BZ222" s="137">
        <v>1</v>
      </c>
      <c r="CA222" s="137">
        <v>6.5170351968916004E-2</v>
      </c>
      <c r="CB222" s="137">
        <v>0.34150872324269438</v>
      </c>
      <c r="CC222" s="258">
        <v>1.95E-2</v>
      </c>
      <c r="CD222" s="258">
        <v>0.01</v>
      </c>
      <c r="CE222" s="258">
        <v>0.75</v>
      </c>
      <c r="CF222" s="258">
        <v>0</v>
      </c>
      <c r="CG222" s="258">
        <v>3.6400000000000002E-2</v>
      </c>
      <c r="CH222" s="258">
        <v>3.7774279877874424</v>
      </c>
      <c r="CI222" s="258">
        <v>4.4545000000000003</v>
      </c>
      <c r="CJ222" s="258"/>
      <c r="CK222" s="258"/>
      <c r="CL222" s="258"/>
      <c r="CM222" s="258"/>
    </row>
    <row r="223" spans="1:91" x14ac:dyDescent="0.25">
      <c r="A223" s="723"/>
      <c r="B223" s="723"/>
      <c r="D223" s="31">
        <f t="shared" si="158"/>
        <v>43388</v>
      </c>
      <c r="F223" s="28">
        <f t="shared" si="159"/>
        <v>6669</v>
      </c>
      <c r="G223" s="28">
        <f t="shared" si="181"/>
        <v>2265.3013368450006</v>
      </c>
      <c r="H223" s="52">
        <f t="shared" si="160"/>
        <v>4.6220512820512818</v>
      </c>
      <c r="I223" s="52">
        <f t="shared" si="161"/>
        <v>4.9295</v>
      </c>
      <c r="K223" s="52">
        <f t="shared" si="162"/>
        <v>2.854133710706253</v>
      </c>
      <c r="L223" s="135">
        <f t="shared" si="163"/>
        <v>2.672247659103455E-4</v>
      </c>
      <c r="N223" s="131">
        <f t="shared" si="182"/>
        <v>0.17243787006376207</v>
      </c>
      <c r="O223" s="131">
        <f t="shared" si="183"/>
        <v>0.17243787006376207</v>
      </c>
      <c r="P223" s="55">
        <f t="shared" si="164"/>
        <v>0.99999999999999989</v>
      </c>
      <c r="Q223" s="135">
        <f>_xll.xSPRDOPT(I223,H223,AQ223,0,O223,N223,P223,D223-$G$5,1,0)*AH223*AU223</f>
        <v>2.8544009354721633</v>
      </c>
      <c r="R223" s="135"/>
      <c r="S223" s="181">
        <f t="shared" si="165"/>
        <v>-70754.867606955435</v>
      </c>
      <c r="T223" s="181">
        <f>_xll.xSPRDOPT(I223,H223,AQ223,AT223,O223,N223,P223,D223-$G$5,1,1)*AF223*F223*AH223</f>
        <v>68985.995916781554</v>
      </c>
      <c r="U223" s="135"/>
      <c r="V223" s="146">
        <f t="shared" si="166"/>
        <v>3.8823983640331838</v>
      </c>
      <c r="W223" s="146"/>
      <c r="X223" s="338">
        <f t="shared" si="167"/>
        <v>0</v>
      </c>
      <c r="Y223" s="338">
        <f t="shared" si="184"/>
        <v>0</v>
      </c>
      <c r="Z223" s="338">
        <f t="shared" si="185"/>
        <v>10.023846910900948</v>
      </c>
      <c r="AA223" s="338">
        <f t="shared" si="186"/>
        <v>1.0966893922295571E-4</v>
      </c>
      <c r="AB223" s="338">
        <f t="shared" si="168"/>
        <v>0</v>
      </c>
      <c r="AC223" s="338">
        <f t="shared" si="169"/>
        <v>10.190356309268626</v>
      </c>
      <c r="AF223" s="138">
        <f t="shared" si="170"/>
        <v>1</v>
      </c>
      <c r="AG223" s="138">
        <f t="shared" si="171"/>
        <v>10</v>
      </c>
      <c r="AH223" s="138">
        <f t="shared" si="187"/>
        <v>31</v>
      </c>
      <c r="AI223" s="138">
        <f t="shared" si="172"/>
        <v>6132</v>
      </c>
      <c r="AJ223" s="138">
        <f t="shared" si="173"/>
        <v>6149</v>
      </c>
      <c r="AL223" s="136">
        <f t="shared" si="188"/>
        <v>4.4794999999999998</v>
      </c>
      <c r="AM223" s="258">
        <f t="shared" si="189"/>
        <v>1.7000000000000001E-2</v>
      </c>
      <c r="AN223" s="258">
        <f t="shared" si="190"/>
        <v>0.01</v>
      </c>
      <c r="AO223" s="258">
        <f t="shared" si="191"/>
        <v>0.45</v>
      </c>
      <c r="AP223" s="258">
        <f t="shared" si="192"/>
        <v>0</v>
      </c>
      <c r="AQ223" s="136">
        <f t="shared" si="174"/>
        <v>3.6400000000000002E-2</v>
      </c>
      <c r="AR223" s="137">
        <f t="shared" si="193"/>
        <v>2.5000000000000001E-2</v>
      </c>
      <c r="AS223" s="136">
        <f t="shared" si="175"/>
        <v>4.5065</v>
      </c>
      <c r="AT223" s="137">
        <f t="shared" si="176"/>
        <v>6.5209588220876802E-2</v>
      </c>
      <c r="AU223" s="137">
        <f t="shared" si="194"/>
        <v>0.33967631381691415</v>
      </c>
      <c r="AV223" s="394">
        <f t="shared" si="177"/>
        <v>1800.624139543462</v>
      </c>
      <c r="AW223" s="137">
        <f t="shared" si="195"/>
        <v>0.17</v>
      </c>
      <c r="AX223" s="137">
        <f t="shared" si="196"/>
        <v>0.6</v>
      </c>
      <c r="AY223" s="137">
        <f t="shared" si="197"/>
        <v>0.6</v>
      </c>
      <c r="AZ223" s="137"/>
      <c r="BA223" s="264"/>
      <c r="BB223" s="258">
        <f t="shared" si="198"/>
        <v>0</v>
      </c>
      <c r="BC223" s="258">
        <f t="shared" si="178"/>
        <v>0</v>
      </c>
      <c r="BD223" s="137">
        <f t="shared" si="179"/>
        <v>1.1807066647995246E-6</v>
      </c>
      <c r="BE223" s="137">
        <f t="shared" si="180"/>
        <v>1.1807066647995246E-6</v>
      </c>
      <c r="BF223" s="137">
        <f>_xll.xSPRDOPT($BW223,$BV223,$CG223,0,$BY223,$BX223,$BZ223,$AJ223,1,4)*$CB223</f>
        <v>2.0235617908004364E-7</v>
      </c>
      <c r="BG223" s="137">
        <f>_xll.xSPRDOPT($BW223,$BV223,$CG223,0,$BY223,$BX223,$BZ223,$AJ223,1,3)*$CB223</f>
        <v>4.0471235816008727E-7</v>
      </c>
      <c r="BH223" s="137">
        <f>IF(OR(BF223&lt;&gt;0,BG223&lt;&gt;0),_xll.xSPRDOPT($BW223,$BV223,$CG223,0,$BY223,$BX223,$BZ223,$AJ223,1,12)*$CB223,0)</f>
        <v>-2.0235617908004364E-7</v>
      </c>
      <c r="BI223" s="137">
        <f>_xll.xSPRDOPT($BW223,$BV223,$CG223,2*LN(1+CA223/2),$BY223,$BX223,$BZ223,$AJ223,1,9)</f>
        <v>5.903111466158734E-3</v>
      </c>
      <c r="BJ223" s="137">
        <f>_xll.xSPRDOPT($BW223,$BV223,$CG223,0,$BY223,$BX223,$BZ223,$AJ223,1,6)*$CB223</f>
        <v>-6.7543147228406736E-3</v>
      </c>
      <c r="BK223" s="137">
        <f>_xll.xSPRDOPT($BW223,$BV223,$CG223,0,$BY223,$BX223,$BZ223,$AJ223,1,5)*$CB223</f>
        <v>7.2035969270264196E-3</v>
      </c>
      <c r="BL223" s="137">
        <f>_xll.xSPRDOPT(BW223,BV223,CG223,0,BY223,BX223,BZ223,AJ223,1,2)*CB223</f>
        <v>-0.33940136706369489</v>
      </c>
      <c r="BM223" s="137">
        <f>_xll.xSPRDOPT(BW223,BV223,CG223,0,BY223,BX223,BZ223,AJ223,1,1)*CB223</f>
        <v>0.33940136706523871</v>
      </c>
      <c r="BN223" s="137">
        <f>IF(AH223&lt;&gt;0,_xll.xSPRDOPT($BW223,$BV223,$CG223,2*LN(1+CA223/2),$BY223,$BX223,$BZ223,$AJ223,1,8)+(AJ223/365.25)*CH223/AH223,0)</f>
        <v>0.55797592984645772</v>
      </c>
      <c r="BO223" s="137">
        <f>_xll.xSPRDOPT($BW223,$BV223,$CG223,0,$BY223,$BX223,$BZ223,$AJ223,1,0)</f>
        <v>0.27107414962949544</v>
      </c>
      <c r="BP223" s="137"/>
      <c r="BQ223" s="137"/>
      <c r="BR223" s="137"/>
      <c r="BS223" s="137"/>
      <c r="BV223" s="262">
        <v>4.6220512820512818</v>
      </c>
      <c r="BW223" s="136">
        <v>4.9295</v>
      </c>
      <c r="BX223" s="137">
        <v>0.17243668935709727</v>
      </c>
      <c r="BY223" s="137">
        <v>0.17243668935709727</v>
      </c>
      <c r="BZ223" s="137">
        <v>1</v>
      </c>
      <c r="CA223" s="137">
        <v>6.5209588220876802E-2</v>
      </c>
      <c r="CB223" s="137">
        <v>0.33949733253605735</v>
      </c>
      <c r="CC223" s="258">
        <v>1.7000000000000001E-2</v>
      </c>
      <c r="CD223" s="258">
        <v>0.01</v>
      </c>
      <c r="CE223" s="258">
        <v>0.45</v>
      </c>
      <c r="CF223" s="258">
        <v>0</v>
      </c>
      <c r="CG223" s="258">
        <v>3.6400000000000002E-2</v>
      </c>
      <c r="CH223" s="258">
        <v>3.8803526616873749</v>
      </c>
      <c r="CI223" s="258">
        <v>4.4794999999999998</v>
      </c>
      <c r="CJ223" s="258"/>
      <c r="CK223" s="258"/>
      <c r="CL223" s="258"/>
      <c r="CM223" s="258"/>
    </row>
    <row r="224" spans="1:91" x14ac:dyDescent="0.25">
      <c r="A224" s="723"/>
      <c r="B224" s="723"/>
      <c r="D224" s="31">
        <f t="shared" si="158"/>
        <v>43419</v>
      </c>
      <c r="F224" s="28">
        <f t="shared" si="159"/>
        <v>11107</v>
      </c>
      <c r="G224" s="28">
        <f t="shared" si="181"/>
        <v>3749.8024099734553</v>
      </c>
      <c r="H224" s="52">
        <f t="shared" si="160"/>
        <v>4.7641943734015344</v>
      </c>
      <c r="I224" s="52">
        <f t="shared" si="161"/>
        <v>5.0815000000000001</v>
      </c>
      <c r="K224" s="52">
        <f t="shared" si="162"/>
        <v>2.8450722848492762</v>
      </c>
      <c r="L224" s="135">
        <f t="shared" si="163"/>
        <v>2.6024551080539027E-4</v>
      </c>
      <c r="N224" s="131">
        <f t="shared" si="182"/>
        <v>0.17430930152905433</v>
      </c>
      <c r="O224" s="131">
        <f t="shared" si="183"/>
        <v>0.17430930152905433</v>
      </c>
      <c r="P224" s="55">
        <f t="shared" si="164"/>
        <v>1.0000000000000002</v>
      </c>
      <c r="Q224" s="135">
        <f>_xll.xSPRDOPT(I224,H224,AQ224,0,O224,N224,P224,D224-$G$5,1,0)*AH224*AU224</f>
        <v>2.8453325303600816</v>
      </c>
      <c r="R224" s="135"/>
      <c r="S224" s="181">
        <f t="shared" si="165"/>
        <v>-113042.72774951786</v>
      </c>
      <c r="T224" s="181">
        <f>_xll.xSPRDOPT(I224,H224,AQ224,AT224,O224,N224,P224,D224-$G$5,1,1)*AF224*F224*AH224</f>
        <v>110499.2663751537</v>
      </c>
      <c r="U224" s="135"/>
      <c r="V224" s="146">
        <f t="shared" si="166"/>
        <v>3.7342724819227864</v>
      </c>
      <c r="W224" s="146"/>
      <c r="X224" s="338">
        <f t="shared" si="167"/>
        <v>0</v>
      </c>
      <c r="Y224" s="338">
        <f t="shared" si="184"/>
        <v>0</v>
      </c>
      <c r="Z224" s="338">
        <f t="shared" si="185"/>
        <v>16.651713494880621</v>
      </c>
      <c r="AA224" s="338">
        <f t="shared" si="186"/>
        <v>3.0775668597268286E-4</v>
      </c>
      <c r="AB224" s="338">
        <f t="shared" si="168"/>
        <v>0</v>
      </c>
      <c r="AC224" s="338">
        <f t="shared" si="169"/>
        <v>16.928297115406817</v>
      </c>
      <c r="AF224" s="138">
        <f t="shared" si="170"/>
        <v>1</v>
      </c>
      <c r="AG224" s="138">
        <f t="shared" si="171"/>
        <v>11</v>
      </c>
      <c r="AH224" s="138">
        <f t="shared" si="187"/>
        <v>30</v>
      </c>
      <c r="AI224" s="138">
        <f t="shared" si="172"/>
        <v>6163</v>
      </c>
      <c r="AJ224" s="138">
        <f t="shared" si="173"/>
        <v>6180</v>
      </c>
      <c r="AL224" s="136">
        <f t="shared" si="188"/>
        <v>4.6315</v>
      </c>
      <c r="AM224" s="258">
        <f t="shared" si="189"/>
        <v>1.7999999999999999E-2</v>
      </c>
      <c r="AN224" s="258">
        <f t="shared" si="190"/>
        <v>7.4999999999999997E-3</v>
      </c>
      <c r="AO224" s="258">
        <f t="shared" si="191"/>
        <v>0.45</v>
      </c>
      <c r="AP224" s="258">
        <f t="shared" si="192"/>
        <v>0</v>
      </c>
      <c r="AQ224" s="136">
        <f t="shared" si="174"/>
        <v>3.6400000000000002E-2</v>
      </c>
      <c r="AR224" s="137">
        <f t="shared" si="193"/>
        <v>2.2499999999999999E-2</v>
      </c>
      <c r="AS224" s="136">
        <f t="shared" si="175"/>
        <v>4.657</v>
      </c>
      <c r="AT224" s="137">
        <f t="shared" si="176"/>
        <v>6.5250132348438197E-2</v>
      </c>
      <c r="AU224" s="137">
        <f t="shared" si="194"/>
        <v>0.33760713153627941</v>
      </c>
      <c r="AV224" s="394">
        <f t="shared" si="177"/>
        <v>2592.8227701986261</v>
      </c>
      <c r="AW224" s="137">
        <f t="shared" si="195"/>
        <v>0.17</v>
      </c>
      <c r="AX224" s="137">
        <f t="shared" si="196"/>
        <v>0.8</v>
      </c>
      <c r="AY224" s="137">
        <f t="shared" si="197"/>
        <v>0.8</v>
      </c>
      <c r="AZ224" s="137"/>
      <c r="BA224" s="264"/>
      <c r="BB224" s="258">
        <f t="shared" si="198"/>
        <v>0</v>
      </c>
      <c r="BC224" s="258">
        <f t="shared" si="178"/>
        <v>0</v>
      </c>
      <c r="BD224" s="137">
        <f t="shared" si="179"/>
        <v>2.065713867488439E-6</v>
      </c>
      <c r="BE224" s="137">
        <f t="shared" si="180"/>
        <v>2.065713867488439E-6</v>
      </c>
      <c r="BF224" s="137">
        <f>_xll.xSPRDOPT($BW224,$BV224,$CG224,0,$BY224,$BX224,$BZ224,$AJ224,1,4)*$CB224</f>
        <v>2.8157280946627091E-7</v>
      </c>
      <c r="BG224" s="137">
        <f>_xll.xSPRDOPT($BW224,$BV224,$CG224,0,$BY224,$BX224,$BZ224,$AJ224,1,3)*$CB224</f>
        <v>3.6202218359949115E-7</v>
      </c>
      <c r="BH224" s="137">
        <f>IF(OR(BF224&lt;&gt;0,BG224&lt;&gt;0),_xll.xSPRDOPT($BW224,$BV224,$CG224,0,$BY224,$BX224,$BZ224,$AJ224,1,12)*$CB224,0)</f>
        <v>2.0112343533305065E-8</v>
      </c>
      <c r="BI224" s="137">
        <f>_xll.xSPRDOPT($BW224,$BV224,$CG224,2*LN(1+CA224/2),$BY224,$BX224,$BZ224,$AJ224,1,9)</f>
        <v>6.0842895411353662E-3</v>
      </c>
      <c r="BJ224" s="137">
        <f>_xll.xSPRDOPT($BW224,$BV224,$CG224,0,$BY224,$BX224,$BZ224,$AJ224,1,6)*$CB224</f>
        <v>-6.7132218531660787E-3</v>
      </c>
      <c r="BK224" s="137">
        <f>_xll.xSPRDOPT($BW224,$BV224,$CG224,0,$BY224,$BX224,$BZ224,$AJ224,1,5)*$CB224</f>
        <v>7.1603369201743133E-3</v>
      </c>
      <c r="BL224" s="137">
        <f>_xll.xSPRDOPT(BW224,BV224,CG224,0,BY224,BX224,BZ224,AJ224,1,2)*CB224</f>
        <v>-0.33733705067953113</v>
      </c>
      <c r="BM224" s="137">
        <f>_xll.xSPRDOPT(BW224,BV224,CG224,0,BY224,BX224,BZ224,AJ224,1,1)*CB224</f>
        <v>0.33733705067492775</v>
      </c>
      <c r="BN224" s="137">
        <f>IF(AH224&lt;&gt;0,_xll.xSPRDOPT($BW224,$BV224,$CG224,2*LN(1+CA224/2),$BY224,$BX224,$BZ224,$AJ224,1,8)+(AJ224/365.25)*CH224/AH224,0)</f>
        <v>0.50109505769873297</v>
      </c>
      <c r="BO224" s="137">
        <f>_xll.xSPRDOPT($BW224,$BV224,$CG224,0,$BY224,$BX224,$BZ224,$AJ224,1,0)</f>
        <v>0.28093137504828442</v>
      </c>
      <c r="BP224" s="137"/>
      <c r="BQ224" s="137"/>
      <c r="BR224" s="137"/>
      <c r="BS224" s="137"/>
      <c r="BV224" s="262">
        <v>4.7641943734015344</v>
      </c>
      <c r="BW224" s="136">
        <v>5.0815000000000001</v>
      </c>
      <c r="BX224" s="137">
        <v>0.17430723581518684</v>
      </c>
      <c r="BY224" s="137">
        <v>0.17430723581518684</v>
      </c>
      <c r="BZ224" s="137">
        <v>1</v>
      </c>
      <c r="CA224" s="137">
        <v>6.5250132348438197E-2</v>
      </c>
      <c r="CB224" s="137">
        <v>0.33742913172446226</v>
      </c>
      <c r="CC224" s="258">
        <v>1.7999999999999999E-2</v>
      </c>
      <c r="CD224" s="258">
        <v>7.4999999999999997E-3</v>
      </c>
      <c r="CE224" s="258">
        <v>0.45</v>
      </c>
      <c r="CF224" s="258">
        <v>0</v>
      </c>
      <c r="CG224" s="258">
        <v>3.6400000000000002E-2</v>
      </c>
      <c r="CH224" s="258">
        <v>3.7323036260042772</v>
      </c>
      <c r="CI224" s="258">
        <v>4.6315</v>
      </c>
      <c r="CJ224" s="258"/>
      <c r="CK224" s="258"/>
      <c r="CL224" s="258"/>
      <c r="CM224" s="258"/>
    </row>
    <row r="225" spans="1:91" x14ac:dyDescent="0.25">
      <c r="A225" s="723"/>
      <c r="B225" s="723"/>
      <c r="D225" s="31">
        <f t="shared" si="158"/>
        <v>43449</v>
      </c>
      <c r="F225" s="28">
        <f t="shared" si="159"/>
        <v>11107</v>
      </c>
      <c r="G225" s="28">
        <f t="shared" si="181"/>
        <v>3727.6710692615534</v>
      </c>
      <c r="H225" s="52">
        <f t="shared" si="160"/>
        <v>4.9104859335038356</v>
      </c>
      <c r="I225" s="52">
        <f t="shared" si="161"/>
        <v>5.1745000000000001</v>
      </c>
      <c r="K225" s="52">
        <f t="shared" si="162"/>
        <v>2.3681085342285559</v>
      </c>
      <c r="L225" s="135">
        <f t="shared" si="163"/>
        <v>6.9648429261182088E-4</v>
      </c>
      <c r="N225" s="131">
        <f t="shared" si="182"/>
        <v>0.1769870791608838</v>
      </c>
      <c r="O225" s="131">
        <f t="shared" si="183"/>
        <v>0.1769870791608838</v>
      </c>
      <c r="P225" s="55">
        <f t="shared" si="164"/>
        <v>1</v>
      </c>
      <c r="Q225" s="135">
        <f>_xll.xSPRDOPT(I225,H225,AQ225,0,O225,N225,P225,D225-$G$5,1,0)*AH225*AU225</f>
        <v>2.3688050185211678</v>
      </c>
      <c r="R225" s="135"/>
      <c r="S225" s="181">
        <f t="shared" si="165"/>
        <v>-115979.91856966457</v>
      </c>
      <c r="T225" s="181">
        <f>_xll.xSPRDOPT(I225,H225,AQ225,AT225,O225,N225,P225,D225-$G$5,1,1)*AF225*F225*AH225</f>
        <v>113370.37040184712</v>
      </c>
      <c r="U225" s="135"/>
      <c r="V225" s="146">
        <f t="shared" si="166"/>
        <v>3.835973892170593</v>
      </c>
      <c r="W225" s="146"/>
      <c r="X225" s="338">
        <f t="shared" si="167"/>
        <v>0</v>
      </c>
      <c r="Y225" s="338">
        <f t="shared" si="184"/>
        <v>0</v>
      </c>
      <c r="Z225" s="338">
        <f t="shared" si="185"/>
        <v>13.851968564255392</v>
      </c>
      <c r="AA225" s="338">
        <f t="shared" si="186"/>
        <v>1.8901392108222411E-3</v>
      </c>
      <c r="AB225" s="338">
        <f t="shared" si="168"/>
        <v>0</v>
      </c>
      <c r="AC225" s="338">
        <f t="shared" si="169"/>
        <v>14.101677695841913</v>
      </c>
      <c r="AF225" s="138">
        <f t="shared" si="170"/>
        <v>1</v>
      </c>
      <c r="AG225" s="138">
        <f t="shared" si="171"/>
        <v>12</v>
      </c>
      <c r="AH225" s="138">
        <f t="shared" si="187"/>
        <v>31</v>
      </c>
      <c r="AI225" s="138">
        <f t="shared" si="172"/>
        <v>6193</v>
      </c>
      <c r="AJ225" s="138">
        <f t="shared" si="173"/>
        <v>6210</v>
      </c>
      <c r="AL225" s="136">
        <f t="shared" si="188"/>
        <v>4.7744999999999997</v>
      </c>
      <c r="AM225" s="258">
        <f t="shared" si="189"/>
        <v>1.7999999999999999E-2</v>
      </c>
      <c r="AN225" s="258">
        <f t="shared" si="190"/>
        <v>7.4999999999999997E-3</v>
      </c>
      <c r="AO225" s="258">
        <f t="shared" si="191"/>
        <v>0.4</v>
      </c>
      <c r="AP225" s="258">
        <f t="shared" si="192"/>
        <v>0</v>
      </c>
      <c r="AQ225" s="136">
        <f t="shared" si="174"/>
        <v>3.6400000000000002E-2</v>
      </c>
      <c r="AR225" s="137">
        <f t="shared" si="193"/>
        <v>2.2499999999999999E-2</v>
      </c>
      <c r="AS225" s="136">
        <f t="shared" si="175"/>
        <v>4.8</v>
      </c>
      <c r="AT225" s="137">
        <f t="shared" si="176"/>
        <v>6.5289368601435999E-2</v>
      </c>
      <c r="AU225" s="137">
        <f t="shared" si="194"/>
        <v>0.33561457362578134</v>
      </c>
      <c r="AV225" s="394">
        <f t="shared" si="177"/>
        <v>2663.4372562942008</v>
      </c>
      <c r="AW225" s="137">
        <f t="shared" si="195"/>
        <v>0.17</v>
      </c>
      <c r="AX225" s="137">
        <f t="shared" si="196"/>
        <v>1</v>
      </c>
      <c r="AY225" s="137">
        <f t="shared" si="197"/>
        <v>1</v>
      </c>
      <c r="AZ225" s="137"/>
      <c r="BA225" s="264"/>
      <c r="BB225" s="258">
        <f t="shared" si="198"/>
        <v>0</v>
      </c>
      <c r="BC225" s="258">
        <f t="shared" si="178"/>
        <v>0</v>
      </c>
      <c r="BD225" s="137">
        <f t="shared" si="179"/>
        <v>3.3080055755752014E-6</v>
      </c>
      <c r="BE225" s="137">
        <f t="shared" si="180"/>
        <v>3.3080055755752014E-6</v>
      </c>
      <c r="BF225" s="137">
        <f>_xll.xSPRDOPT($BW225,$BV225,$CG225,0,$BY225,$BX225,$BZ225,$AJ225,1,4)*$CB225</f>
        <v>-2.7991087887178932E-7</v>
      </c>
      <c r="BG225" s="137">
        <f>_xll.xSPRDOPT($BW225,$BV225,$CG225,0,$BY225,$BX225,$BZ225,$AJ225,1,3)*$CB225</f>
        <v>-3.9987268410255614E-7</v>
      </c>
      <c r="BH225" s="137">
        <f>IF(OR(BF225&lt;&gt;0,BG225&lt;&gt;0),_xll.xSPRDOPT($BW225,$BV225,$CG225,0,$BY225,$BX225,$BZ225,$AJ225,1,12)*$CB225,0)</f>
        <v>2.3992361046153371E-7</v>
      </c>
      <c r="BI225" s="137">
        <f>_xll.xSPRDOPT($BW225,$BV225,$CG225,2*LN(1+CA225/2),$BY225,$BX225,$BZ225,$AJ225,1,9)</f>
        <v>4.8980363232082472E-3</v>
      </c>
      <c r="BJ225" s="137">
        <f>_xll.xSPRDOPT($BW225,$BV225,$CG225,0,$BY225,$BX225,$BZ225,$AJ225,1,6)*$CB225</f>
        <v>-3.0865015453553139E-2</v>
      </c>
      <c r="BK225" s="137">
        <f>_xll.xSPRDOPT($BW225,$BV225,$CG225,0,$BY225,$BX225,$BZ225,$AJ225,1,5)*$CB225</f>
        <v>3.2524484259180364E-2</v>
      </c>
      <c r="BL225" s="137">
        <f>_xll.xSPRDOPT(BW225,BV225,CG225,0,BY225,BX225,BZ225,AJ225,1,2)*CB225</f>
        <v>-0.33497330783094448</v>
      </c>
      <c r="BM225" s="137">
        <f>_xll.xSPRDOPT(BW225,BV225,CG225,0,BY225,BX225,BZ225,AJ225,1,1)*CB225</f>
        <v>0.33497330783521556</v>
      </c>
      <c r="BN225" s="137">
        <f>IF(AH225&lt;&gt;0,_xll.xSPRDOPT($BW225,$BV225,$CG225,2*LN(1+CA225/2),$BY225,$BX225,$BZ225,$AJ225,1,8)+(AJ225/365.25)*CH225/AH225,0)</f>
        <v>0.80424804192024069</v>
      </c>
      <c r="BO225" s="137">
        <f>_xll.xSPRDOPT($BW225,$BV225,$CG225,0,$BY225,$BX225,$BZ225,$AJ225,1,0)</f>
        <v>0.22768120526101859</v>
      </c>
      <c r="BP225" s="137"/>
      <c r="BQ225" s="137"/>
      <c r="BR225" s="137"/>
      <c r="BS225" s="137"/>
      <c r="BV225" s="262">
        <v>4.9104859335038356</v>
      </c>
      <c r="BW225" s="136">
        <v>5.1745000000000001</v>
      </c>
      <c r="BX225" s="137">
        <v>0.17698377115530822</v>
      </c>
      <c r="BY225" s="137">
        <v>0.17698377115530822</v>
      </c>
      <c r="BZ225" s="137">
        <v>1</v>
      </c>
      <c r="CA225" s="137">
        <v>6.5289368601435999E-2</v>
      </c>
      <c r="CB225" s="137">
        <v>0.33543751968441754</v>
      </c>
      <c r="CC225" s="258">
        <v>1.7999999999999999E-2</v>
      </c>
      <c r="CD225" s="258">
        <v>7.4999999999999997E-3</v>
      </c>
      <c r="CE225" s="258">
        <v>0.4</v>
      </c>
      <c r="CF225" s="258">
        <v>0</v>
      </c>
      <c r="CG225" s="258">
        <v>3.6400000000000002E-2</v>
      </c>
      <c r="CH225" s="258">
        <v>3.8339502187369874</v>
      </c>
      <c r="CI225" s="258">
        <v>4.7744999999999997</v>
      </c>
      <c r="CJ225" s="258"/>
      <c r="CK225" s="258"/>
      <c r="CL225" s="258"/>
      <c r="CM225" s="258"/>
    </row>
    <row r="226" spans="1:91" x14ac:dyDescent="0.25">
      <c r="A226" s="723"/>
      <c r="B226" s="723"/>
      <c r="D226" s="31">
        <f t="shared" si="158"/>
        <v>43480</v>
      </c>
      <c r="F226" s="28">
        <f t="shared" si="159"/>
        <v>11107</v>
      </c>
      <c r="G226" s="28">
        <f t="shared" si="181"/>
        <v>3704.914984792726</v>
      </c>
      <c r="H226" s="52">
        <f t="shared" si="160"/>
        <v>4.9718670076726346</v>
      </c>
      <c r="I226" s="52">
        <f t="shared" si="161"/>
        <v>5.1844999999999999</v>
      </c>
      <c r="K226" s="52">
        <f t="shared" si="162"/>
        <v>1.8223440962225657</v>
      </c>
      <c r="L226" s="135">
        <f t="shared" si="163"/>
        <v>1.6735239408633973E-3</v>
      </c>
      <c r="N226" s="131">
        <f t="shared" si="182"/>
        <v>0.17695304687894917</v>
      </c>
      <c r="O226" s="131">
        <f t="shared" si="183"/>
        <v>0.17695304687894917</v>
      </c>
      <c r="P226" s="55">
        <f t="shared" si="164"/>
        <v>0.99999999999999989</v>
      </c>
      <c r="Q226" s="135">
        <f>_xll.xSPRDOPT(I226,H226,AQ226,0,O226,N226,P226,D226-$G$5,1,0)*AH226*AU226</f>
        <v>1.8240176201634291</v>
      </c>
      <c r="R226" s="135"/>
      <c r="S226" s="181">
        <f t="shared" si="165"/>
        <v>-115080.7355790756</v>
      </c>
      <c r="T226" s="181">
        <f>_xll.xSPRDOPT(I226,H226,AQ226,AT226,O226,N226,P226,D226-$G$5,1,1)*AF226*F226*AH226</f>
        <v>112491.4190285464</v>
      </c>
      <c r="U226" s="135"/>
      <c r="V226" s="146">
        <f t="shared" si="166"/>
        <v>3.8125566581151906</v>
      </c>
      <c r="W226" s="146"/>
      <c r="X226" s="338">
        <f t="shared" si="167"/>
        <v>0</v>
      </c>
      <c r="Y226" s="338">
        <f t="shared" si="184"/>
        <v>0</v>
      </c>
      <c r="Z226" s="338">
        <f t="shared" si="185"/>
        <v>10.653067636218841</v>
      </c>
      <c r="AA226" s="338">
        <f t="shared" si="186"/>
        <v>2.9665562263508755E-3</v>
      </c>
      <c r="AB226" s="338">
        <f t="shared" si="168"/>
        <v>0</v>
      </c>
      <c r="AC226" s="338">
        <f t="shared" si="169"/>
        <v>10.865265895952756</v>
      </c>
      <c r="AF226" s="138">
        <f t="shared" si="170"/>
        <v>1</v>
      </c>
      <c r="AG226" s="138">
        <f t="shared" si="171"/>
        <v>1</v>
      </c>
      <c r="AH226" s="138">
        <f t="shared" si="187"/>
        <v>31</v>
      </c>
      <c r="AI226" s="138">
        <f t="shared" si="172"/>
        <v>6224</v>
      </c>
      <c r="AJ226" s="138">
        <f t="shared" si="173"/>
        <v>6241</v>
      </c>
      <c r="AL226" s="136">
        <f t="shared" si="188"/>
        <v>4.8345000000000002</v>
      </c>
      <c r="AM226" s="258">
        <f t="shared" si="189"/>
        <v>1.7999999999999999E-2</v>
      </c>
      <c r="AN226" s="258">
        <f t="shared" si="190"/>
        <v>7.4999999999999997E-3</v>
      </c>
      <c r="AO226" s="258">
        <f t="shared" si="191"/>
        <v>0.35</v>
      </c>
      <c r="AP226" s="258">
        <f t="shared" si="192"/>
        <v>0</v>
      </c>
      <c r="AQ226" s="136">
        <f t="shared" si="174"/>
        <v>3.6400000000000002E-2</v>
      </c>
      <c r="AR226" s="137">
        <f t="shared" si="193"/>
        <v>2.2499999999999999E-2</v>
      </c>
      <c r="AS226" s="136">
        <f t="shared" si="175"/>
        <v>4.8600000000000003</v>
      </c>
      <c r="AT226" s="137">
        <f t="shared" si="176"/>
        <v>6.5329912730069495E-2</v>
      </c>
      <c r="AU226" s="137">
        <f t="shared" si="194"/>
        <v>0.33356576796549259</v>
      </c>
      <c r="AV226" s="394">
        <f t="shared" si="177"/>
        <v>2647.1779345741493</v>
      </c>
      <c r="AW226" s="137">
        <f t="shared" si="195"/>
        <v>0.17</v>
      </c>
      <c r="AX226" s="137">
        <f t="shared" si="196"/>
        <v>1</v>
      </c>
      <c r="AY226" s="137">
        <f t="shared" si="197"/>
        <v>1</v>
      </c>
      <c r="AZ226" s="137"/>
      <c r="BA226" s="264"/>
      <c r="BB226" s="258">
        <f t="shared" si="198"/>
        <v>0</v>
      </c>
      <c r="BC226" s="258">
        <f t="shared" si="178"/>
        <v>0</v>
      </c>
      <c r="BD226" s="137">
        <f t="shared" si="179"/>
        <v>3.275854065037942E-6</v>
      </c>
      <c r="BE226" s="137">
        <f t="shared" si="180"/>
        <v>3.275854065037942E-6</v>
      </c>
      <c r="BF226" s="137">
        <f>_xll.xSPRDOPT($BW226,$BV226,$CG226,0,$BY226,$BX226,$BZ226,$AJ226,1,4)*$CB226</f>
        <v>1.3910101720920989E-7</v>
      </c>
      <c r="BG226" s="137">
        <f>_xll.xSPRDOPT($BW226,$BV226,$CG226,0,$BY226,$BX226,$BZ226,$AJ226,1,3)*$CB226</f>
        <v>3.3781675607950974E-7</v>
      </c>
      <c r="BH226" s="137">
        <f>IF(OR(BF226&lt;&gt;0,BG226&lt;&gt;0),_xll.xSPRDOPT($BW226,$BV226,$CG226,0,$BY226,$BX226,$BZ226,$AJ226,1,12)*$CB226,0)</f>
        <v>1.1922944332217992E-7</v>
      </c>
      <c r="BI226" s="137">
        <f>_xll.xSPRDOPT($BW226,$BV226,$CG226,2*LN(1+CA226/2),$BY226,$BX226,$BZ226,$AJ226,1,9)</f>
        <v>3.7669095185821318E-3</v>
      </c>
      <c r="BJ226" s="137">
        <f>_xll.xSPRDOPT($BW226,$BV226,$CG226,0,$BY226,$BX226,$BZ226,$AJ226,1,6)*$CB226</f>
        <v>-6.1497636247572235E-2</v>
      </c>
      <c r="BK226" s="137">
        <f>_xll.xSPRDOPT($BW226,$BV226,$CG226,0,$BY226,$BX226,$BZ226,$AJ226,1,5)*$CB226</f>
        <v>6.4127719962119523E-2</v>
      </c>
      <c r="BL226" s="137">
        <f>_xll.xSPRDOPT(BW226,BV226,CG226,0,BY226,BX226,BZ226,AJ226,1,2)*CB226</f>
        <v>-0.33241312295981335</v>
      </c>
      <c r="BM226" s="137">
        <f>_xll.xSPRDOPT(BW226,BV226,CG226,0,BY226,BX226,BZ226,AJ226,1,1)*CB226</f>
        <v>0.33241312295223291</v>
      </c>
      <c r="BN226" s="137">
        <f>IF(AH226&lt;&gt;0,_xll.xSPRDOPT($BW226,$BV226,$CG226,2*LN(1+CA226/2),$BY226,$BX226,$BZ226,$AJ226,1,8)+(AJ226/365.25)*CH226/AH226,0)</f>
        <v>1.095484841794071</v>
      </c>
      <c r="BO226" s="137">
        <f>_xll.xSPRDOPT($BW226,$BV226,$CG226,0,$BY226,$BX226,$BZ226,$AJ226,1,0)</f>
        <v>0.17639514318697183</v>
      </c>
      <c r="BP226" s="137"/>
      <c r="BQ226" s="137"/>
      <c r="BR226" s="137"/>
      <c r="BS226" s="137"/>
      <c r="BV226" s="262">
        <v>4.9718670076726346</v>
      </c>
      <c r="BW226" s="136">
        <v>5.1844999999999999</v>
      </c>
      <c r="BX226" s="137">
        <v>0.17694977102488413</v>
      </c>
      <c r="BY226" s="137">
        <v>0.17694977102488413</v>
      </c>
      <c r="BZ226" s="137">
        <v>1</v>
      </c>
      <c r="CA226" s="137">
        <v>6.5329912730069495E-2</v>
      </c>
      <c r="CB226" s="137">
        <v>0.33338968736266167</v>
      </c>
      <c r="CC226" s="258">
        <v>1.7999999999999999E-2</v>
      </c>
      <c r="CD226" s="258">
        <v>7.4999999999999997E-3</v>
      </c>
      <c r="CE226" s="258">
        <v>0.35</v>
      </c>
      <c r="CF226" s="258">
        <v>0</v>
      </c>
      <c r="CG226" s="258">
        <v>3.6400000000000002E-2</v>
      </c>
      <c r="CH226" s="258">
        <v>3.810544109649014</v>
      </c>
      <c r="CI226" s="258">
        <v>4.8345000000000002</v>
      </c>
      <c r="CJ226" s="258"/>
      <c r="CK226" s="258"/>
      <c r="CL226" s="258"/>
      <c r="CM226" s="258"/>
    </row>
    <row r="227" spans="1:91" x14ac:dyDescent="0.25">
      <c r="A227" s="723"/>
      <c r="B227" s="723"/>
      <c r="D227" s="31">
        <f t="shared" si="158"/>
        <v>43511</v>
      </c>
      <c r="F227" s="28">
        <f t="shared" si="159"/>
        <v>11107</v>
      </c>
      <c r="G227" s="28">
        <f t="shared" si="181"/>
        <v>3682.2733257023465</v>
      </c>
      <c r="H227" s="52">
        <f t="shared" si="160"/>
        <v>4.8849104859335037</v>
      </c>
      <c r="I227" s="52">
        <f t="shared" si="161"/>
        <v>5.0994999999999999</v>
      </c>
      <c r="K227" s="52">
        <f t="shared" si="162"/>
        <v>1.6540911000156493</v>
      </c>
      <c r="L227" s="135">
        <f t="shared" si="163"/>
        <v>1.4304111889775761E-3</v>
      </c>
      <c r="N227" s="131">
        <f t="shared" si="182"/>
        <v>0.17626307395320248</v>
      </c>
      <c r="O227" s="131">
        <f t="shared" si="183"/>
        <v>0.17626307395320248</v>
      </c>
      <c r="P227" s="55">
        <f t="shared" si="164"/>
        <v>1</v>
      </c>
      <c r="Q227" s="135">
        <f>_xll.xSPRDOPT(I227,H227,AQ227,0,O227,N227,P227,D227-$G$5,1,0)*AH227*AU227</f>
        <v>1.6555215112046269</v>
      </c>
      <c r="R227" s="135"/>
      <c r="S227" s="181">
        <f t="shared" si="165"/>
        <v>-103296.2600510567</v>
      </c>
      <c r="T227" s="181">
        <f>_xll.xSPRDOPT(I227,H227,AQ227,AT227,O227,N227,P227,D227-$G$5,1,1)*AF227*F227*AH227</f>
        <v>100972.09419990792</v>
      </c>
      <c r="U227" s="135"/>
      <c r="V227" s="146">
        <f t="shared" si="166"/>
        <v>3.4225548667705725</v>
      </c>
      <c r="W227" s="146"/>
      <c r="X227" s="338">
        <f t="shared" si="167"/>
        <v>0</v>
      </c>
      <c r="Y227" s="338">
        <f t="shared" si="184"/>
        <v>0</v>
      </c>
      <c r="Z227" s="338">
        <f t="shared" si="185"/>
        <v>9.6750852225956123</v>
      </c>
      <c r="AA227" s="338">
        <f t="shared" si="186"/>
        <v>2.4271043818662225E-3</v>
      </c>
      <c r="AB227" s="338">
        <f t="shared" si="168"/>
        <v>0</v>
      </c>
      <c r="AC227" s="338">
        <f t="shared" si="169"/>
        <v>9.86768918878224</v>
      </c>
      <c r="AF227" s="138">
        <f t="shared" si="170"/>
        <v>1</v>
      </c>
      <c r="AG227" s="138">
        <f t="shared" si="171"/>
        <v>2</v>
      </c>
      <c r="AH227" s="138">
        <f t="shared" si="187"/>
        <v>28</v>
      </c>
      <c r="AI227" s="138">
        <f t="shared" si="172"/>
        <v>6255</v>
      </c>
      <c r="AJ227" s="138">
        <f t="shared" si="173"/>
        <v>6272</v>
      </c>
      <c r="AL227" s="136">
        <f t="shared" si="188"/>
        <v>4.7495000000000003</v>
      </c>
      <c r="AM227" s="258">
        <f t="shared" si="189"/>
        <v>1.7999999999999999E-2</v>
      </c>
      <c r="AN227" s="258">
        <f t="shared" si="190"/>
        <v>7.4999999999999997E-3</v>
      </c>
      <c r="AO227" s="258">
        <f t="shared" si="191"/>
        <v>0.35</v>
      </c>
      <c r="AP227" s="258">
        <f t="shared" si="192"/>
        <v>0</v>
      </c>
      <c r="AQ227" s="136">
        <f t="shared" si="174"/>
        <v>3.6400000000000002E-2</v>
      </c>
      <c r="AR227" s="137">
        <f t="shared" si="193"/>
        <v>2.2499999999999999E-2</v>
      </c>
      <c r="AS227" s="136">
        <f t="shared" si="175"/>
        <v>4.7750000000000004</v>
      </c>
      <c r="AT227" s="137">
        <f t="shared" si="176"/>
        <v>6.5370456859247902E-2</v>
      </c>
      <c r="AU227" s="137">
        <f t="shared" si="194"/>
        <v>0.33152726440103958</v>
      </c>
      <c r="AV227" s="394">
        <f t="shared" si="177"/>
        <v>2376.3874312266516</v>
      </c>
      <c r="AW227" s="137">
        <f t="shared" si="195"/>
        <v>0.17</v>
      </c>
      <c r="AX227" s="137">
        <f t="shared" si="196"/>
        <v>1</v>
      </c>
      <c r="AY227" s="137">
        <f t="shared" si="197"/>
        <v>1</v>
      </c>
      <c r="AZ227" s="137"/>
      <c r="BA227" s="264"/>
      <c r="BB227" s="258">
        <f t="shared" si="198"/>
        <v>0</v>
      </c>
      <c r="BC227" s="258">
        <f t="shared" si="178"/>
        <v>0</v>
      </c>
      <c r="BD227" s="137">
        <f t="shared" si="179"/>
        <v>2.9425321365628143E-6</v>
      </c>
      <c r="BE227" s="137">
        <f t="shared" si="180"/>
        <v>2.9425321365628143E-6</v>
      </c>
      <c r="BF227" s="137">
        <f>_xll.xSPRDOPT($BW227,$BV227,$CG227,0,$BY227,$BX227,$BZ227,$AJ227,1,4)*$CB227</f>
        <v>-6.9125445816706012E-7</v>
      </c>
      <c r="BG227" s="137">
        <f>_xll.xSPRDOPT($BW227,$BV227,$CG227,0,$BY227,$BX227,$BZ227,$AJ227,1,3)*$CB227</f>
        <v>-4.3450280227643781E-7</v>
      </c>
      <c r="BH227" s="137">
        <f>IF(OR(BF227&lt;&gt;0,BG227&lt;&gt;0),_xll.xSPRDOPT($BW227,$BV227,$CG227,0,$BY227,$BX227,$BZ227,$AJ227,1,12)*$CB227,0)</f>
        <v>2.8637684695492493E-7</v>
      </c>
      <c r="BI227" s="137">
        <f>_xll.xSPRDOPT($BW227,$BV227,$CG227,2*LN(1+CA227/2),$BY227,$BX227,$BZ227,$AJ227,1,9)</f>
        <v>3.7876423679115349E-3</v>
      </c>
      <c r="BJ227" s="137">
        <f>_xll.xSPRDOPT($BW227,$BV227,$CG227,0,$BY227,$BX227,$BZ227,$AJ227,1,6)*$CB227</f>
        <v>-6.0375473453375482E-2</v>
      </c>
      <c r="BK227" s="137">
        <f>_xll.xSPRDOPT($BW227,$BV227,$CG227,0,$BY227,$BX227,$BZ227,$AJ227,1,5)*$CB227</f>
        <v>6.3027711107372847E-2</v>
      </c>
      <c r="BL227" s="137">
        <f>_xll.xSPRDOPT(BW227,BV227,CG227,0,BY227,BX227,BZ227,AJ227,1,2)*CB227</f>
        <v>-0.3303784492671179</v>
      </c>
      <c r="BM227" s="137">
        <f>_xll.xSPRDOPT(BW227,BV227,CG227,0,BY227,BX227,BZ227,AJ227,1,1)*CB227</f>
        <v>0.33037844926304949</v>
      </c>
      <c r="BN227" s="137">
        <f>IF(AH227&lt;&gt;0,_xll.xSPRDOPT($BW227,$BV227,$CG227,2*LN(1+CA227/2),$BY227,$BX227,$BZ227,$AJ227,1,8)+(AJ227/365.25)*CH227/AH227,0)</f>
        <v>1.0831095166851716</v>
      </c>
      <c r="BO227" s="137">
        <f>_xll.xSPRDOPT($BW227,$BV227,$CG227,0,$BY227,$BX227,$BZ227,$AJ227,1,0)</f>
        <v>0.17834392129391932</v>
      </c>
      <c r="BP227" s="137"/>
      <c r="BQ227" s="137"/>
      <c r="BR227" s="137"/>
      <c r="BS227" s="137"/>
      <c r="BV227" s="262">
        <v>4.8849104859335037</v>
      </c>
      <c r="BW227" s="136">
        <v>5.0994999999999999</v>
      </c>
      <c r="BX227" s="137">
        <v>0.17626013142106592</v>
      </c>
      <c r="BY227" s="137">
        <v>0.17626013142106592</v>
      </c>
      <c r="BZ227" s="137">
        <v>1</v>
      </c>
      <c r="CA227" s="137">
        <v>6.5370456859247902E-2</v>
      </c>
      <c r="CB227" s="137">
        <v>0.33135215301804949</v>
      </c>
      <c r="CC227" s="258">
        <v>1.7999999999999999E-2</v>
      </c>
      <c r="CD227" s="258">
        <v>7.4999999999999997E-3</v>
      </c>
      <c r="CE227" s="258">
        <v>0.35</v>
      </c>
      <c r="CF227" s="258">
        <v>0</v>
      </c>
      <c r="CG227" s="258">
        <v>3.6400000000000002E-2</v>
      </c>
      <c r="CH227" s="258">
        <v>3.4207470868971361</v>
      </c>
      <c r="CI227" s="258">
        <v>4.7495000000000003</v>
      </c>
      <c r="CJ227" s="258"/>
      <c r="CK227" s="258"/>
      <c r="CL227" s="258"/>
      <c r="CM227" s="258"/>
    </row>
    <row r="228" spans="1:91" x14ac:dyDescent="0.25">
      <c r="A228" s="723"/>
      <c r="B228" s="723"/>
      <c r="D228" s="31">
        <f t="shared" si="158"/>
        <v>43539</v>
      </c>
      <c r="F228" s="28">
        <f t="shared" si="159"/>
        <v>11107</v>
      </c>
      <c r="G228" s="28">
        <f t="shared" si="181"/>
        <v>3661.9208146654046</v>
      </c>
      <c r="H228" s="52">
        <f t="shared" si="160"/>
        <v>4.757033248081842</v>
      </c>
      <c r="I228" s="52">
        <f t="shared" si="161"/>
        <v>5.0195000000000007</v>
      </c>
      <c r="K228" s="52">
        <f t="shared" si="162"/>
        <v>2.310524432784737</v>
      </c>
      <c r="L228" s="135">
        <f t="shared" si="163"/>
        <v>6.1156294328279515E-4</v>
      </c>
      <c r="N228" s="131">
        <f t="shared" si="182"/>
        <v>0.17381926834715927</v>
      </c>
      <c r="O228" s="131">
        <f t="shared" si="183"/>
        <v>0.17381926834715927</v>
      </c>
      <c r="P228" s="55">
        <f t="shared" si="164"/>
        <v>1.0000000000000002</v>
      </c>
      <c r="Q228" s="135">
        <f>_xll.xSPRDOPT(I228,H228,AQ228,0,O228,N228,P228,D228-$G$5,1,0)*AH228*AU228</f>
        <v>2.3111359957280198</v>
      </c>
      <c r="R228" s="135"/>
      <c r="S228" s="181">
        <f t="shared" si="165"/>
        <v>-113983.2161579641</v>
      </c>
      <c r="T228" s="181">
        <f>_xll.xSPRDOPT(I228,H228,AQ228,AT228,O228,N228,P228,D228-$G$5,1,1)*AF228*F228*AH228</f>
        <v>111418.59379440991</v>
      </c>
      <c r="U228" s="135"/>
      <c r="V228" s="146">
        <f t="shared" si="166"/>
        <v>3.7683133461223708</v>
      </c>
      <c r="W228" s="146"/>
      <c r="X228" s="338">
        <f t="shared" si="167"/>
        <v>0</v>
      </c>
      <c r="Y228" s="338">
        <f t="shared" si="184"/>
        <v>0</v>
      </c>
      <c r="Z228" s="338">
        <f t="shared" si="185"/>
        <v>13.551219238538684</v>
      </c>
      <c r="AA228" s="338">
        <f t="shared" si="186"/>
        <v>7.6233196497930565E-4</v>
      </c>
      <c r="AB228" s="338">
        <f t="shared" si="168"/>
        <v>0</v>
      </c>
      <c r="AC228" s="338">
        <f t="shared" si="169"/>
        <v>13.783155363050609</v>
      </c>
      <c r="AF228" s="138">
        <f t="shared" si="170"/>
        <v>1</v>
      </c>
      <c r="AG228" s="138">
        <f t="shared" si="171"/>
        <v>3</v>
      </c>
      <c r="AH228" s="138">
        <f t="shared" si="187"/>
        <v>31</v>
      </c>
      <c r="AI228" s="138">
        <f t="shared" si="172"/>
        <v>6283</v>
      </c>
      <c r="AJ228" s="138">
        <f t="shared" si="173"/>
        <v>6300</v>
      </c>
      <c r="AL228" s="136">
        <f t="shared" si="188"/>
        <v>4.6195000000000004</v>
      </c>
      <c r="AM228" s="258">
        <f t="shared" si="189"/>
        <v>2.3E-2</v>
      </c>
      <c r="AN228" s="258">
        <f t="shared" si="190"/>
        <v>7.4999999999999997E-3</v>
      </c>
      <c r="AO228" s="258">
        <f t="shared" si="191"/>
        <v>0.4</v>
      </c>
      <c r="AP228" s="258">
        <f t="shared" si="192"/>
        <v>0</v>
      </c>
      <c r="AQ228" s="136">
        <f t="shared" si="174"/>
        <v>3.6400000000000002E-2</v>
      </c>
      <c r="AR228" s="137">
        <f t="shared" si="193"/>
        <v>2.2499999999999999E-2</v>
      </c>
      <c r="AS228" s="136">
        <f t="shared" si="175"/>
        <v>4.6500000000000004</v>
      </c>
      <c r="AT228" s="137">
        <f t="shared" si="176"/>
        <v>6.5407077363490301E-2</v>
      </c>
      <c r="AU228" s="137">
        <f t="shared" si="194"/>
        <v>0.32969486041824114</v>
      </c>
      <c r="AV228" s="394">
        <f t="shared" si="177"/>
        <v>2616.4584122791616</v>
      </c>
      <c r="AW228" s="137">
        <f t="shared" si="195"/>
        <v>0.17</v>
      </c>
      <c r="AX228" s="137">
        <f t="shared" si="196"/>
        <v>0.75</v>
      </c>
      <c r="AY228" s="137">
        <f t="shared" si="197"/>
        <v>0.75</v>
      </c>
      <c r="AZ228" s="137"/>
      <c r="BA228" s="264"/>
      <c r="BB228" s="258">
        <f t="shared" si="198"/>
        <v>0</v>
      </c>
      <c r="BC228" s="258">
        <f t="shared" si="178"/>
        <v>0</v>
      </c>
      <c r="BD228" s="137">
        <f t="shared" si="179"/>
        <v>1.7982995387522127E-6</v>
      </c>
      <c r="BE228" s="137">
        <f t="shared" si="180"/>
        <v>1.7982995387522127E-6</v>
      </c>
      <c r="BF228" s="137">
        <f>_xll.xSPRDOPT($BW228,$BV228,$CG228,0,$BY228,$BX228,$BZ228,$AJ228,1,4)*$CB228</f>
        <v>5.4994686758250148E-7</v>
      </c>
      <c r="BG228" s="137">
        <f>_xll.xSPRDOPT($BW228,$BV228,$CG228,0,$BY228,$BX228,$BZ228,$AJ228,1,3)*$CB228</f>
        <v>-3.5353727201732233E-7</v>
      </c>
      <c r="BH228" s="137">
        <f>IF(OR(BF228&lt;&gt;0,BG228&lt;&gt;0),_xll.xSPRDOPT($BW228,$BV228,$CG228,0,$BY228,$BX228,$BZ228,$AJ228,1,12)*$CB228,0)</f>
        <v>-1.0802527756084849E-7</v>
      </c>
      <c r="BI228" s="137">
        <f>_xll.xSPRDOPT($BW228,$BV228,$CG228,2*LN(1+CA228/2),$BY228,$BX228,$BZ228,$AJ228,1,9)</f>
        <v>4.7916917906815079E-3</v>
      </c>
      <c r="BJ228" s="137">
        <f>_xll.xSPRDOPT($BW228,$BV228,$CG228,0,$BY228,$BX228,$BZ228,$AJ228,1,6)*$CB228</f>
        <v>-2.1480922092310402E-2</v>
      </c>
      <c r="BK228" s="137">
        <f>_xll.xSPRDOPT($BW228,$BV228,$CG228,0,$BY228,$BX228,$BZ228,$AJ228,1,5)*$CB228</f>
        <v>2.2712107988364112E-2</v>
      </c>
      <c r="BL228" s="137">
        <f>_xll.xSPRDOPT(BW228,BV228,CG228,0,BY228,BX228,BZ228,AJ228,1,2)*CB228</f>
        <v>-0.32931176270760854</v>
      </c>
      <c r="BM228" s="137">
        <f>_xll.xSPRDOPT(BW228,BV228,CG228,0,BY228,BX228,BZ228,AJ228,1,1)*CB228</f>
        <v>0.32931176270805812</v>
      </c>
      <c r="BN228" s="137">
        <f>IF(AH228&lt;&gt;0,_xll.xSPRDOPT($BW228,$BV228,$CG228,2*LN(1+CA228/2),$BY228,$BX228,$BZ228,$AJ228,1,8)+(AJ228/365.25)*CH228/AH228,0)</f>
        <v>0.81034726707864646</v>
      </c>
      <c r="BO228" s="137">
        <f>_xll.xSPRDOPT($BW228,$BV228,$CG228,0,$BY228,$BX228,$BZ228,$AJ228,1,0)</f>
        <v>0.22612668432751953</v>
      </c>
      <c r="BP228" s="137"/>
      <c r="BQ228" s="137"/>
      <c r="BR228" s="137"/>
      <c r="BS228" s="137"/>
      <c r="BV228" s="262">
        <v>4.757033248081842</v>
      </c>
      <c r="BW228" s="136">
        <v>5.0195000000000007</v>
      </c>
      <c r="BX228" s="137">
        <v>0.17381747004762052</v>
      </c>
      <c r="BY228" s="137">
        <v>0.17381747004762052</v>
      </c>
      <c r="BZ228" s="137">
        <v>1</v>
      </c>
      <c r="CA228" s="137">
        <v>6.5407077363490301E-2</v>
      </c>
      <c r="CB228" s="137">
        <v>0.32952062092696516</v>
      </c>
      <c r="CC228" s="258">
        <v>2.3E-2</v>
      </c>
      <c r="CD228" s="258">
        <v>7.4999999999999997E-3</v>
      </c>
      <c r="CE228" s="258">
        <v>0.4</v>
      </c>
      <c r="CF228" s="258">
        <v>0</v>
      </c>
      <c r="CG228" s="258">
        <v>3.6400000000000002E-2</v>
      </c>
      <c r="CH228" s="258">
        <v>3.7663218410089336</v>
      </c>
      <c r="CI228" s="258">
        <v>4.6195000000000004</v>
      </c>
      <c r="CJ228" s="258"/>
      <c r="CK228" s="258"/>
      <c r="CL228" s="258"/>
      <c r="CM228" s="258"/>
    </row>
    <row r="229" spans="1:91" x14ac:dyDescent="0.25">
      <c r="A229" s="723"/>
      <c r="B229" s="723"/>
      <c r="D229" s="31">
        <f t="shared" si="158"/>
        <v>43570</v>
      </c>
      <c r="F229" s="28">
        <f t="shared" si="159"/>
        <v>5899</v>
      </c>
      <c r="G229" s="28">
        <f t="shared" si="181"/>
        <v>1932.9599276902691</v>
      </c>
      <c r="H229" s="52">
        <f t="shared" si="160"/>
        <v>4.5703324808184131</v>
      </c>
      <c r="I229" s="52">
        <f t="shared" si="161"/>
        <v>5.0344999999999995</v>
      </c>
      <c r="K229" s="52">
        <f t="shared" si="162"/>
        <v>4.2050727561221484</v>
      </c>
      <c r="L229" s="135">
        <f t="shared" si="163"/>
        <v>3.833072050962727E-5</v>
      </c>
      <c r="N229" s="131">
        <f t="shared" si="182"/>
        <v>0.17091141738581034</v>
      </c>
      <c r="O229" s="131">
        <f t="shared" si="183"/>
        <v>0.17091141738581034</v>
      </c>
      <c r="P229" s="55">
        <f t="shared" si="164"/>
        <v>1.0000000000000002</v>
      </c>
      <c r="Q229" s="135">
        <f>_xll.xSPRDOPT(I229,H229,AQ229,0,O229,N229,P229,D229-$G$5,1,0)*AH229*AU229</f>
        <v>4.205111086842658</v>
      </c>
      <c r="R229" s="135"/>
      <c r="S229" s="181">
        <f t="shared" si="165"/>
        <v>-58253.660719430038</v>
      </c>
      <c r="T229" s="181">
        <f>_xll.xSPRDOPT(I229,H229,AQ229,AT229,O229,N229,P229,D229-$G$5,1,1)*AF229*F229*AH229</f>
        <v>56942.953353242861</v>
      </c>
      <c r="U229" s="135"/>
      <c r="V229" s="146">
        <f t="shared" si="166"/>
        <v>3.6244227428686333</v>
      </c>
      <c r="W229" s="146"/>
      <c r="X229" s="338">
        <f t="shared" si="167"/>
        <v>0</v>
      </c>
      <c r="Y229" s="338">
        <f t="shared" si="184"/>
        <v>0</v>
      </c>
      <c r="Z229" s="338">
        <f t="shared" si="185"/>
        <v>13.11334982325871</v>
      </c>
      <c r="AA229" s="338">
        <f t="shared" si="186"/>
        <v>8.528633464839049E-6</v>
      </c>
      <c r="AB229" s="338">
        <f t="shared" si="168"/>
        <v>0</v>
      </c>
      <c r="AC229" s="338">
        <f t="shared" si="169"/>
        <v>13.327572739311281</v>
      </c>
      <c r="AF229" s="138">
        <f t="shared" si="170"/>
        <v>1</v>
      </c>
      <c r="AG229" s="138">
        <f t="shared" si="171"/>
        <v>4</v>
      </c>
      <c r="AH229" s="138">
        <f t="shared" si="187"/>
        <v>30</v>
      </c>
      <c r="AI229" s="138">
        <f t="shared" si="172"/>
        <v>6314</v>
      </c>
      <c r="AJ229" s="138">
        <f t="shared" si="173"/>
        <v>6331</v>
      </c>
      <c r="AL229" s="136">
        <f t="shared" si="188"/>
        <v>4.4344999999999999</v>
      </c>
      <c r="AM229" s="258">
        <f t="shared" si="189"/>
        <v>2.3E-2</v>
      </c>
      <c r="AN229" s="258">
        <f t="shared" si="190"/>
        <v>0.01</v>
      </c>
      <c r="AO229" s="258">
        <f t="shared" si="191"/>
        <v>0.6</v>
      </c>
      <c r="AP229" s="258">
        <f t="shared" si="192"/>
        <v>0</v>
      </c>
      <c r="AQ229" s="136">
        <f t="shared" si="174"/>
        <v>3.6400000000000002E-2</v>
      </c>
      <c r="AR229" s="137">
        <f t="shared" si="193"/>
        <v>2.2499999999999999E-2</v>
      </c>
      <c r="AS229" s="136">
        <f t="shared" si="175"/>
        <v>4.4674999999999994</v>
      </c>
      <c r="AT229" s="137">
        <f t="shared" si="176"/>
        <v>6.5447621493705602E-2</v>
      </c>
      <c r="AU229" s="137">
        <f t="shared" si="194"/>
        <v>0.32767586500936924</v>
      </c>
      <c r="AV229" s="394">
        <f t="shared" si="177"/>
        <v>1336.9175292382265</v>
      </c>
      <c r="AW229" s="137">
        <f t="shared" si="195"/>
        <v>0.17</v>
      </c>
      <c r="AX229" s="137">
        <f t="shared" si="196"/>
        <v>0.4</v>
      </c>
      <c r="AY229" s="137">
        <f t="shared" si="197"/>
        <v>0.4</v>
      </c>
      <c r="AZ229" s="137"/>
      <c r="BA229" s="264"/>
      <c r="BB229" s="258">
        <f t="shared" si="198"/>
        <v>0</v>
      </c>
      <c r="BC229" s="258">
        <f t="shared" si="178"/>
        <v>0</v>
      </c>
      <c r="BD229" s="137">
        <f t="shared" si="179"/>
        <v>4.3066410854164516E-7</v>
      </c>
      <c r="BE229" s="137">
        <f t="shared" si="180"/>
        <v>4.3066410854164516E-7</v>
      </c>
      <c r="BF229" s="137">
        <f>_xll.xSPRDOPT($BW229,$BV229,$CG229,0,$BY229,$BX229,$BZ229,$AJ229,1,4)*$CB229</f>
        <v>1.1712405213972243E-7</v>
      </c>
      <c r="BG229" s="137">
        <f>_xll.xSPRDOPT($BW229,$BV229,$CG229,0,$BY229,$BX229,$BZ229,$AJ229,1,3)*$CB229</f>
        <v>3.1233080570592647E-7</v>
      </c>
      <c r="BH229" s="137">
        <f>IF(OR(BF229&lt;&gt;0,BG229&lt;&gt;0),_xll.xSPRDOPT($BW229,$BV229,$CG229,0,$BY229,$BX229,$BZ229,$AJ229,1,12)*$CB229,0)</f>
        <v>-4.0993418248902848E-7</v>
      </c>
      <c r="BI229" s="137">
        <f>_xll.xSPRDOPT($BW229,$BV229,$CG229,2*LN(1+CA229/2),$BY229,$BX229,$BZ229,$AJ229,1,9)</f>
        <v>9.0215875062538749E-3</v>
      </c>
      <c r="BJ229" s="137">
        <f>_xll.xSPRDOPT($BW229,$BV229,$CG229,0,$BY229,$BX229,$BZ229,$AJ229,1,6)*$CB229</f>
        <v>-1.1018289117307024E-3</v>
      </c>
      <c r="BK229" s="137">
        <f>_xll.xSPRDOPT($BW229,$BV229,$CG229,0,$BY229,$BX229,$BZ229,$AJ229,1,5)*$CB229</f>
        <v>1.213731754639613E-3</v>
      </c>
      <c r="BL229" s="137">
        <f>_xll.xSPRDOPT(BW229,BV229,CG229,0,BY229,BX229,BZ229,AJ229,1,2)*CB229</f>
        <v>-0.32748871188484929</v>
      </c>
      <c r="BM229" s="137">
        <f>_xll.xSPRDOPT(BW229,BV229,CG229,0,BY229,BX229,BZ229,AJ229,1,1)*CB229</f>
        <v>0.32748871188246637</v>
      </c>
      <c r="BN229" s="137">
        <f>IF(AH229&lt;&gt;0,_xll.xSPRDOPT($BW229,$BV229,$CG229,2*LN(1+CA229/2),$BY229,$BX229,$BZ229,$AJ229,1,8)+(AJ229/365.25)*CH229/AH229,0)</f>
        <v>-0.33533147847994282</v>
      </c>
      <c r="BO229" s="137">
        <f>_xll.xSPRDOPT($BW229,$BV229,$CG229,0,$BY229,$BX229,$BZ229,$AJ229,1,0)</f>
        <v>0.42777143212849444</v>
      </c>
      <c r="BP229" s="137"/>
      <c r="BQ229" s="137"/>
      <c r="BR229" s="137"/>
      <c r="BS229" s="137"/>
      <c r="BV229" s="262">
        <v>4.5703324808184131</v>
      </c>
      <c r="BW229" s="136">
        <v>5.0344999999999995</v>
      </c>
      <c r="BX229" s="137">
        <v>0.1709109867217018</v>
      </c>
      <c r="BY229" s="137">
        <v>0.1709109867217018</v>
      </c>
      <c r="BZ229" s="137">
        <v>1</v>
      </c>
      <c r="CA229" s="137">
        <v>6.5447621493705602E-2</v>
      </c>
      <c r="CB229" s="137">
        <v>0.32750258692389755</v>
      </c>
      <c r="CC229" s="258">
        <v>2.3E-2</v>
      </c>
      <c r="CD229" s="258">
        <v>0.01</v>
      </c>
      <c r="CE229" s="258">
        <v>0.6</v>
      </c>
      <c r="CF229" s="258">
        <v>0</v>
      </c>
      <c r="CG229" s="258">
        <v>3.6400000000000002E-2</v>
      </c>
      <c r="CH229" s="258">
        <v>3.622506113965231</v>
      </c>
      <c r="CI229" s="258">
        <v>4.4344999999999999</v>
      </c>
      <c r="CJ229" s="258"/>
      <c r="CK229" s="258"/>
      <c r="CL229" s="258"/>
      <c r="CM229" s="258"/>
    </row>
    <row r="230" spans="1:91" x14ac:dyDescent="0.25">
      <c r="A230" s="723"/>
      <c r="B230" s="723"/>
      <c r="D230" s="31">
        <f t="shared" si="158"/>
        <v>43600</v>
      </c>
      <c r="F230" s="28">
        <f t="shared" si="159"/>
        <v>5895</v>
      </c>
      <c r="G230" s="28">
        <f t="shared" si="181"/>
        <v>1920.1884229703912</v>
      </c>
      <c r="H230" s="52">
        <f t="shared" si="160"/>
        <v>4.5677749360613804</v>
      </c>
      <c r="I230" s="52">
        <f t="shared" si="161"/>
        <v>5.1795</v>
      </c>
      <c r="K230" s="52">
        <f t="shared" si="162"/>
        <v>5.8094501007309178</v>
      </c>
      <c r="L230" s="135">
        <f t="shared" si="163"/>
        <v>9.0790547631058871E-6</v>
      </c>
      <c r="N230" s="131">
        <f t="shared" si="182"/>
        <v>0.17123993408304647</v>
      </c>
      <c r="O230" s="131">
        <f t="shared" si="183"/>
        <v>0.17123993408304647</v>
      </c>
      <c r="P230" s="55">
        <f t="shared" si="164"/>
        <v>1</v>
      </c>
      <c r="Q230" s="135">
        <f>_xll.xSPRDOPT(I230,H230,AQ230,0,O230,N230,P230,D230-$G$5,1,0)*AH230*AU230</f>
        <v>5.8094591797856809</v>
      </c>
      <c r="R230" s="135"/>
      <c r="S230" s="181">
        <f t="shared" si="165"/>
        <v>-59793.517154953253</v>
      </c>
      <c r="T230" s="181">
        <f>_xll.xSPRDOPT(I230,H230,AQ230,AT230,O230,N230,P230,D230-$G$5,1,1)*AF230*F230*AH230</f>
        <v>58448.163018966807</v>
      </c>
      <c r="U230" s="135"/>
      <c r="V230" s="146">
        <f t="shared" si="166"/>
        <v>3.7230157112849334</v>
      </c>
      <c r="W230" s="146"/>
      <c r="X230" s="338">
        <f t="shared" si="167"/>
        <v>0</v>
      </c>
      <c r="Y230" s="338">
        <f t="shared" si="184"/>
        <v>0</v>
      </c>
      <c r="Z230" s="338">
        <f t="shared" si="185"/>
        <v>18.11575272759567</v>
      </c>
      <c r="AA230" s="338">
        <f t="shared" si="186"/>
        <v>2.0787613449800449E-6</v>
      </c>
      <c r="AB230" s="338">
        <f t="shared" si="168"/>
        <v>0</v>
      </c>
      <c r="AC230" s="338">
        <f t="shared" si="169"/>
        <v>18.410892523748306</v>
      </c>
      <c r="AF230" s="138">
        <f t="shared" si="170"/>
        <v>1</v>
      </c>
      <c r="AG230" s="138">
        <f t="shared" si="171"/>
        <v>5</v>
      </c>
      <c r="AH230" s="138">
        <f t="shared" si="187"/>
        <v>31</v>
      </c>
      <c r="AI230" s="138">
        <f t="shared" si="172"/>
        <v>6344</v>
      </c>
      <c r="AJ230" s="138">
        <f t="shared" si="173"/>
        <v>6361</v>
      </c>
      <c r="AL230" s="136">
        <f t="shared" si="188"/>
        <v>4.4295</v>
      </c>
      <c r="AM230" s="258">
        <f t="shared" si="189"/>
        <v>2.5499999999999998E-2</v>
      </c>
      <c r="AN230" s="258">
        <f t="shared" si="190"/>
        <v>0.01</v>
      </c>
      <c r="AO230" s="258">
        <f t="shared" si="191"/>
        <v>0.75</v>
      </c>
      <c r="AP230" s="258">
        <f t="shared" si="192"/>
        <v>0</v>
      </c>
      <c r="AQ230" s="136">
        <f t="shared" si="174"/>
        <v>3.6400000000000002E-2</v>
      </c>
      <c r="AR230" s="137">
        <f t="shared" si="193"/>
        <v>2.2499999999999999E-2</v>
      </c>
      <c r="AS230" s="136">
        <f t="shared" si="175"/>
        <v>4.4649999999999999</v>
      </c>
      <c r="AT230" s="137">
        <f t="shared" si="176"/>
        <v>6.5486857749271501E-2</v>
      </c>
      <c r="AU230" s="137">
        <f t="shared" si="194"/>
        <v>0.32573170873119445</v>
      </c>
      <c r="AV230" s="394">
        <f t="shared" si="177"/>
        <v>1373.2848840107158</v>
      </c>
      <c r="AW230" s="137">
        <f t="shared" si="195"/>
        <v>0.17</v>
      </c>
      <c r="AX230" s="137">
        <f t="shared" si="196"/>
        <v>0.45</v>
      </c>
      <c r="AY230" s="137">
        <f t="shared" si="197"/>
        <v>0.45</v>
      </c>
      <c r="AZ230" s="137"/>
      <c r="BA230" s="264"/>
      <c r="BB230" s="258">
        <f t="shared" si="198"/>
        <v>0</v>
      </c>
      <c r="BC230" s="258">
        <f t="shared" si="178"/>
        <v>0</v>
      </c>
      <c r="BD230" s="137">
        <f t="shared" si="179"/>
        <v>5.8252906315336972E-7</v>
      </c>
      <c r="BE230" s="137">
        <f t="shared" si="180"/>
        <v>5.8252906315336972E-7</v>
      </c>
      <c r="BF230" s="137">
        <f>_xll.xSPRDOPT($BW230,$BV230,$CG230,0,$BY230,$BX230,$BZ230,$AJ230,1,4)*$CB230</f>
        <v>6.2095519474343971E-7</v>
      </c>
      <c r="BG230" s="137">
        <f>_xll.xSPRDOPT($BW230,$BV230,$CG230,0,$BY230,$BX230,$BZ230,$AJ230,1,3)*$CB230</f>
        <v>3.1047759737171986E-7</v>
      </c>
      <c r="BH230" s="137">
        <f>IF(OR(BF230&lt;&gt;0,BG230&lt;&gt;0),_xll.xSPRDOPT($BW230,$BV230,$CG230,0,$BY230,$BX230,$BZ230,$AJ230,1,12)*$CB230,0)</f>
        <v>-3.4928729704318482E-7</v>
      </c>
      <c r="BI230" s="137">
        <f>_xll.xSPRDOPT($BW230,$BV230,$CG230,2*LN(1+CA230/2),$BY230,$BX230,$BZ230,$AJ230,1,9)</f>
        <v>1.2069237979615163E-2</v>
      </c>
      <c r="BJ230" s="137">
        <f>_xll.xSPRDOPT($BW230,$BV230,$CG230,0,$BY230,$BX230,$BZ230,$AJ230,1,6)*$CB230</f>
        <v>-1.4581085446223685E-4</v>
      </c>
      <c r="BK230" s="137">
        <f>_xll.xSPRDOPT($BW230,$BV230,$CG230,0,$BY230,$BX230,$BZ230,$AJ230,1,5)*$CB230</f>
        <v>1.6533812447014118E-4</v>
      </c>
      <c r="BL230" s="137">
        <f>_xll.xSPRDOPT(BW230,BV230,CG230,0,BY230,BX230,BZ230,AJ230,1,2)*CB230</f>
        <v>-0.32555772171040309</v>
      </c>
      <c r="BM230" s="137">
        <f>_xll.xSPRDOPT(BW230,BV230,CG230,0,BY230,BX230,BZ230,AJ230,1,1)*CB230</f>
        <v>0.32555772171040309</v>
      </c>
      <c r="BN230" s="137">
        <f>IF(AH230&lt;&gt;0,_xll.xSPRDOPT($BW230,$BV230,$CG230,2*LN(1+CA230/2),$BY230,$BX230,$BZ230,$AJ230,1,8)+(AJ230/365.25)*CH230/AH230,0)</f>
        <v>-1.1715214615536773</v>
      </c>
      <c r="BO230" s="137">
        <f>_xll.xSPRDOPT($BW230,$BV230,$CG230,0,$BY230,$BX230,$BZ230,$AJ230,1,0)</f>
        <v>0.57532596544947356</v>
      </c>
      <c r="BP230" s="137"/>
      <c r="BQ230" s="137"/>
      <c r="BR230" s="137"/>
      <c r="BS230" s="137"/>
      <c r="BV230" s="262">
        <v>4.5677749360613804</v>
      </c>
      <c r="BW230" s="136">
        <v>5.1795</v>
      </c>
      <c r="BX230" s="137">
        <v>0.17123935155398332</v>
      </c>
      <c r="BY230" s="137">
        <v>0.17123935155398332</v>
      </c>
      <c r="BZ230" s="137">
        <v>1</v>
      </c>
      <c r="CA230" s="137">
        <v>6.5486857749271501E-2</v>
      </c>
      <c r="CB230" s="137">
        <v>0.32555935714164852</v>
      </c>
      <c r="CC230" s="258">
        <v>2.5499999999999998E-2</v>
      </c>
      <c r="CD230" s="258">
        <v>0.01</v>
      </c>
      <c r="CE230" s="258">
        <v>0.75</v>
      </c>
      <c r="CF230" s="258">
        <v>0</v>
      </c>
      <c r="CG230" s="258">
        <v>3.6400000000000002E-2</v>
      </c>
      <c r="CH230" s="258">
        <v>3.7210457843219</v>
      </c>
      <c r="CI230" s="258">
        <v>4.4295</v>
      </c>
      <c r="CJ230" s="258"/>
      <c r="CK230" s="258"/>
      <c r="CL230" s="258"/>
      <c r="CM230" s="258"/>
    </row>
    <row r="231" spans="1:91" x14ac:dyDescent="0.25">
      <c r="A231" s="723"/>
      <c r="B231" s="723"/>
      <c r="D231" s="31">
        <f t="shared" si="158"/>
        <v>43631</v>
      </c>
      <c r="F231" s="28">
        <f t="shared" si="159"/>
        <v>5895</v>
      </c>
      <c r="G231" s="28">
        <f t="shared" si="181"/>
        <v>1908.4045394663028</v>
      </c>
      <c r="H231" s="52">
        <f t="shared" si="160"/>
        <v>4.6035805626598467</v>
      </c>
      <c r="I231" s="52">
        <f t="shared" si="161"/>
        <v>5.3144999999999998</v>
      </c>
      <c r="K231" s="52">
        <f t="shared" si="162"/>
        <v>6.5509208965811938</v>
      </c>
      <c r="L231" s="135">
        <f t="shared" si="163"/>
        <v>4.1396615486632982E-6</v>
      </c>
      <c r="N231" s="131">
        <f t="shared" si="182"/>
        <v>0.17119436829840287</v>
      </c>
      <c r="O231" s="131">
        <f t="shared" si="183"/>
        <v>0.17119436829840287</v>
      </c>
      <c r="P231" s="55">
        <f t="shared" si="164"/>
        <v>1</v>
      </c>
      <c r="Q231" s="135">
        <f>_xll.xSPRDOPT(I231,H231,AQ231,0,O231,N231,P231,D231-$G$5,1,0)*AH231*AU231</f>
        <v>6.5509250362427425</v>
      </c>
      <c r="R231" s="135"/>
      <c r="S231" s="181">
        <f t="shared" si="165"/>
        <v>-57503.175135009384</v>
      </c>
      <c r="T231" s="181">
        <f>_xll.xSPRDOPT(I231,H231,AQ231,AT231,O231,N231,P231,D231-$G$5,1,1)*AF231*F231*AH231</f>
        <v>56209.353694471676</v>
      </c>
      <c r="U231" s="135"/>
      <c r="V231" s="146">
        <f t="shared" si="166"/>
        <v>3.5808079068764673</v>
      </c>
      <c r="W231" s="146"/>
      <c r="X231" s="338">
        <f t="shared" si="167"/>
        <v>0</v>
      </c>
      <c r="Y231" s="338">
        <f t="shared" si="184"/>
        <v>0</v>
      </c>
      <c r="Z231" s="338">
        <f t="shared" si="185"/>
        <v>20.440322591086371</v>
      </c>
      <c r="AA231" s="338">
        <f t="shared" si="186"/>
        <v>2.217846908629152E-6</v>
      </c>
      <c r="AB231" s="338">
        <f t="shared" si="168"/>
        <v>0</v>
      </c>
      <c r="AC231" s="338">
        <f t="shared" si="169"/>
        <v>20.773535884175129</v>
      </c>
      <c r="AF231" s="138">
        <f t="shared" si="170"/>
        <v>1</v>
      </c>
      <c r="AG231" s="138">
        <f t="shared" si="171"/>
        <v>6</v>
      </c>
      <c r="AH231" s="138">
        <f t="shared" si="187"/>
        <v>30</v>
      </c>
      <c r="AI231" s="138">
        <f t="shared" si="172"/>
        <v>6375</v>
      </c>
      <c r="AJ231" s="138">
        <f t="shared" si="173"/>
        <v>6392</v>
      </c>
      <c r="AL231" s="136">
        <f t="shared" si="188"/>
        <v>4.4645000000000001</v>
      </c>
      <c r="AM231" s="258">
        <f t="shared" si="189"/>
        <v>2.5499999999999998E-2</v>
      </c>
      <c r="AN231" s="258">
        <f t="shared" si="190"/>
        <v>0.01</v>
      </c>
      <c r="AO231" s="258">
        <f t="shared" si="191"/>
        <v>0.85</v>
      </c>
      <c r="AP231" s="258">
        <f t="shared" si="192"/>
        <v>0</v>
      </c>
      <c r="AQ231" s="136">
        <f t="shared" si="174"/>
        <v>3.6400000000000002E-2</v>
      </c>
      <c r="AR231" s="137">
        <f t="shared" si="193"/>
        <v>2.2499999999999999E-2</v>
      </c>
      <c r="AS231" s="136">
        <f t="shared" si="175"/>
        <v>4.5</v>
      </c>
      <c r="AT231" s="137">
        <f t="shared" si="176"/>
        <v>6.55274018805585E-2</v>
      </c>
      <c r="AU231" s="137">
        <f t="shared" si="194"/>
        <v>0.32373274630471632</v>
      </c>
      <c r="AV231" s="394">
        <f t="shared" si="177"/>
        <v>1320.8296049232426</v>
      </c>
      <c r="AW231" s="137">
        <f t="shared" si="195"/>
        <v>0.17</v>
      </c>
      <c r="AX231" s="137">
        <f t="shared" si="196"/>
        <v>0.45</v>
      </c>
      <c r="AY231" s="137">
        <f t="shared" si="197"/>
        <v>0.45</v>
      </c>
      <c r="AZ231" s="137"/>
      <c r="BA231" s="264"/>
      <c r="BB231" s="258">
        <f t="shared" si="198"/>
        <v>0</v>
      </c>
      <c r="BC231" s="258">
        <f t="shared" si="178"/>
        <v>0</v>
      </c>
      <c r="BD231" s="137">
        <f t="shared" si="179"/>
        <v>5.5851894759095799E-7</v>
      </c>
      <c r="BE231" s="137">
        <f t="shared" si="180"/>
        <v>5.5851894759095799E-7</v>
      </c>
      <c r="BF231" s="137">
        <f>_xll.xSPRDOPT($BW231,$BV231,$CG231,0,$BY231,$BX231,$BZ231,$AJ231,1,4)*$CB231</f>
        <v>0</v>
      </c>
      <c r="BG231" s="137">
        <f>_xll.xSPRDOPT($BW231,$BV231,$CG231,0,$BY231,$BX231,$BZ231,$AJ231,1,3)*$CB231</f>
        <v>0</v>
      </c>
      <c r="BH231" s="137">
        <f>IF(OR(BF231&lt;&gt;0,BG231&lt;&gt;0),_xll.xSPRDOPT($BW231,$BV231,$CG231,0,$BY231,$BX231,$BZ231,$AJ231,1,12)*$CB231,0)</f>
        <v>0</v>
      </c>
      <c r="BI231" s="137">
        <f>_xll.xSPRDOPT($BW231,$BV231,$CG231,2*LN(1+CA231/2),$BY231,$BX231,$BZ231,$AJ231,1,9)</f>
        <v>1.4071864718488921E-2</v>
      </c>
      <c r="BJ231" s="137">
        <f>_xll.xSPRDOPT($BW231,$BV231,$CG231,0,$BY231,$BX231,$BZ231,$AJ231,1,6)*$CB231</f>
        <v>-1.4539986619852463E-4</v>
      </c>
      <c r="BK231" s="137">
        <f>_xll.xSPRDOPT($BW231,$BV231,$CG231,0,$BY231,$BX231,$BZ231,$AJ231,1,5)*$CB231</f>
        <v>1.6785360103569786E-4</v>
      </c>
      <c r="BL231" s="137">
        <f>_xll.xSPRDOPT(BW231,BV231,CG231,0,BY231,BX231,BZ231,AJ231,1,2)*CB231</f>
        <v>-0.32355973441963387</v>
      </c>
      <c r="BM231" s="137">
        <f>_xll.xSPRDOPT(BW231,BV231,CG231,0,BY231,BX231,BZ231,AJ231,1,1)*CB231</f>
        <v>0.32355973441786817</v>
      </c>
      <c r="BN231" s="137">
        <f>IF(AH231&lt;&gt;0,_xll.xSPRDOPT($BW231,$BV231,$CG231,2*LN(1+CA231/2),$BY231,$BX231,$BZ231,$AJ231,1,8)+(AJ231/365.25)*CH231/AH231,0)</f>
        <v>-1.7316849081401342</v>
      </c>
      <c r="BO231" s="137">
        <f>_xll.xSPRDOPT($BW231,$BV231,$CG231,0,$BY231,$BX231,$BZ231,$AJ231,1,0)</f>
        <v>0.67451986633332517</v>
      </c>
      <c r="BP231" s="137"/>
      <c r="BQ231" s="137"/>
      <c r="BR231" s="137"/>
      <c r="BS231" s="137"/>
      <c r="BV231" s="262">
        <v>4.6035805626598467</v>
      </c>
      <c r="BW231" s="136">
        <v>5.3144999999999998</v>
      </c>
      <c r="BX231" s="137">
        <v>0.17119380977945528</v>
      </c>
      <c r="BY231" s="137">
        <v>0.17119380977945528</v>
      </c>
      <c r="BZ231" s="137">
        <v>1</v>
      </c>
      <c r="CA231" s="137">
        <v>6.55274018805585E-2</v>
      </c>
      <c r="CB231" s="137">
        <v>0.32356134807643444</v>
      </c>
      <c r="CC231" s="258">
        <v>2.5499999999999998E-2</v>
      </c>
      <c r="CD231" s="258">
        <v>0.01</v>
      </c>
      <c r="CE231" s="258">
        <v>0.85</v>
      </c>
      <c r="CF231" s="258">
        <v>0</v>
      </c>
      <c r="CG231" s="258">
        <v>3.6400000000000002E-2</v>
      </c>
      <c r="CH231" s="258">
        <v>3.5789120710734412</v>
      </c>
      <c r="CI231" s="258">
        <v>4.4645000000000001</v>
      </c>
      <c r="CJ231" s="258"/>
      <c r="CK231" s="258"/>
      <c r="CL231" s="258"/>
      <c r="CM231" s="258"/>
    </row>
    <row r="232" spans="1:91" x14ac:dyDescent="0.25">
      <c r="A232" s="723"/>
      <c r="B232" s="723"/>
      <c r="D232" s="31">
        <f t="shared" si="158"/>
        <v>43661</v>
      </c>
      <c r="F232" s="28">
        <f t="shared" si="159"/>
        <v>5895</v>
      </c>
      <c r="G232" s="28">
        <f t="shared" si="181"/>
        <v>1897.0576276433728</v>
      </c>
      <c r="H232" s="52">
        <f t="shared" si="160"/>
        <v>4.6445012787723785</v>
      </c>
      <c r="I232" s="52">
        <f t="shared" si="161"/>
        <v>5.5545</v>
      </c>
      <c r="K232" s="52">
        <f t="shared" si="162"/>
        <v>8.7150603300653149</v>
      </c>
      <c r="L232" s="135">
        <f t="shared" si="163"/>
        <v>1.6407658325334751E-6</v>
      </c>
      <c r="N232" s="131">
        <f t="shared" si="182"/>
        <v>0.17156271984492652</v>
      </c>
      <c r="O232" s="131">
        <f t="shared" si="183"/>
        <v>0.17156271984492652</v>
      </c>
      <c r="P232" s="55">
        <f t="shared" si="164"/>
        <v>1</v>
      </c>
      <c r="Q232" s="135">
        <f>_xll.xSPRDOPT(I232,H232,AQ232,0,O232,N232,P232,D232-$G$5,1,0)*AH232*AU232</f>
        <v>8.7150619708311474</v>
      </c>
      <c r="R232" s="135"/>
      <c r="S232" s="181">
        <f t="shared" si="165"/>
        <v>-59060.532933473281</v>
      </c>
      <c r="T232" s="181">
        <f>_xll.xSPRDOPT(I232,H232,AQ232,AT232,O232,N232,P232,D232-$G$5,1,1)*AF232*F232*AH232</f>
        <v>57731.670942470133</v>
      </c>
      <c r="U232" s="135"/>
      <c r="V232" s="146">
        <f t="shared" si="166"/>
        <v>3.6781678654241663</v>
      </c>
      <c r="W232" s="146"/>
      <c r="X232" s="338">
        <f t="shared" si="167"/>
        <v>0</v>
      </c>
      <c r="Y232" s="338">
        <f t="shared" si="184"/>
        <v>0</v>
      </c>
      <c r="Z232" s="338">
        <f t="shared" si="185"/>
        <v>27.209109908118883</v>
      </c>
      <c r="AA232" s="338">
        <f t="shared" si="186"/>
        <v>3.7859150301697629E-7</v>
      </c>
      <c r="AB232" s="338">
        <f t="shared" si="168"/>
        <v>0</v>
      </c>
      <c r="AC232" s="338">
        <f t="shared" si="169"/>
        <v>27.652735826157912</v>
      </c>
      <c r="AF232" s="138">
        <f t="shared" si="170"/>
        <v>1</v>
      </c>
      <c r="AG232" s="138">
        <f t="shared" si="171"/>
        <v>7</v>
      </c>
      <c r="AH232" s="138">
        <f t="shared" si="187"/>
        <v>31</v>
      </c>
      <c r="AI232" s="138">
        <f t="shared" si="172"/>
        <v>6405</v>
      </c>
      <c r="AJ232" s="138">
        <f t="shared" si="173"/>
        <v>6422</v>
      </c>
      <c r="AL232" s="136">
        <f t="shared" si="188"/>
        <v>4.5045000000000002</v>
      </c>
      <c r="AM232" s="258">
        <f t="shared" si="189"/>
        <v>2.5499999999999998E-2</v>
      </c>
      <c r="AN232" s="258">
        <f t="shared" si="190"/>
        <v>0.01</v>
      </c>
      <c r="AO232" s="258">
        <f t="shared" si="191"/>
        <v>1.05</v>
      </c>
      <c r="AP232" s="258">
        <f t="shared" si="192"/>
        <v>0</v>
      </c>
      <c r="AQ232" s="136">
        <f t="shared" si="174"/>
        <v>3.6400000000000002E-2</v>
      </c>
      <c r="AR232" s="137">
        <f t="shared" si="193"/>
        <v>2.2499999999999999E-2</v>
      </c>
      <c r="AS232" s="136">
        <f t="shared" si="175"/>
        <v>4.54</v>
      </c>
      <c r="AT232" s="137">
        <f t="shared" si="176"/>
        <v>6.5566638137161806E-2</v>
      </c>
      <c r="AU232" s="137">
        <f t="shared" si="194"/>
        <v>0.32180790969353229</v>
      </c>
      <c r="AV232" s="394">
        <f t="shared" si="177"/>
        <v>1356.7421472679321</v>
      </c>
      <c r="AW232" s="137">
        <f t="shared" si="195"/>
        <v>0.17</v>
      </c>
      <c r="AX232" s="137">
        <f t="shared" si="196"/>
        <v>0.5</v>
      </c>
      <c r="AY232" s="137">
        <f t="shared" si="197"/>
        <v>0.5</v>
      </c>
      <c r="AZ232" s="137"/>
      <c r="BA232" s="264"/>
      <c r="BB232" s="258">
        <f t="shared" si="198"/>
        <v>0</v>
      </c>
      <c r="BC232" s="258">
        <f t="shared" si="178"/>
        <v>0</v>
      </c>
      <c r="BD232" s="137">
        <f t="shared" si="179"/>
        <v>7.2652258237271283E-7</v>
      </c>
      <c r="BE232" s="137">
        <f t="shared" si="180"/>
        <v>7.2652258237271283E-7</v>
      </c>
      <c r="BF232" s="137">
        <f>_xll.xSPRDOPT($BW232,$BV232,$CG232,0,$BY232,$BX232,$BZ232,$AJ232,1,4)*$CB232</f>
        <v>0</v>
      </c>
      <c r="BG232" s="137">
        <f>_xll.xSPRDOPT($BW232,$BV232,$CG232,0,$BY232,$BX232,$BZ232,$AJ232,1,3)*$CB232</f>
        <v>3.0673735637011898E-7</v>
      </c>
      <c r="BH232" s="137">
        <f>IF(OR(BF232&lt;&gt;0,BG232&lt;&gt;0),_xll.xSPRDOPT($BW232,$BV232,$CG232,0,$BY232,$BX232,$BZ232,$AJ232,1,12)*$CB232,0)</f>
        <v>-3.8342169546264873E-8</v>
      </c>
      <c r="BI232" s="137">
        <f>_xll.xSPRDOPT($BW232,$BV232,$CG232,2*LN(1+CA232/2),$BY232,$BX232,$BZ232,$AJ232,1,9)</f>
        <v>1.8127495314856624E-2</v>
      </c>
      <c r="BJ232" s="137">
        <f>_xll.xSPRDOPT($BW232,$BV232,$CG232,0,$BY232,$BX232,$BZ232,$AJ232,1,6)*$CB232</f>
        <v>-1.455375880694626E-5</v>
      </c>
      <c r="BK232" s="137">
        <f>_xll.xSPRDOPT($BW232,$BV232,$CG232,0,$BY232,$BX232,$BZ232,$AJ232,1,5)*$CB232</f>
        <v>1.7405277621015203E-5</v>
      </c>
      <c r="BL232" s="137">
        <f>_xll.xSPRDOPT(BW232,BV232,CG232,0,BY232,BX232,BZ232,AJ232,1,2)*CB232</f>
        <v>-0.32163730030624627</v>
      </c>
      <c r="BM232" s="137">
        <f>_xll.xSPRDOPT(BW232,BV232,CG232,0,BY232,BX232,BZ232,AJ232,1,1)*CB232</f>
        <v>0.32163730030449111</v>
      </c>
      <c r="BN232" s="137">
        <f>IF(AH232&lt;&gt;0,_xll.xSPRDOPT($BW232,$BV232,$CG232,2*LN(1+CA232/2),$BY232,$BX232,$BZ232,$AJ232,1,8)+(AJ232/365.25)*CH232/AH232,0)</f>
        <v>-2.855295577671872</v>
      </c>
      <c r="BO232" s="137">
        <f>_xll.xSPRDOPT($BW232,$BV232,$CG232,0,$BY232,$BX232,$BZ232,$AJ232,1,0)</f>
        <v>0.87359888604720992</v>
      </c>
      <c r="BP232" s="137"/>
      <c r="BQ232" s="137"/>
      <c r="BR232" s="137"/>
      <c r="BS232" s="137"/>
      <c r="BV232" s="262">
        <v>4.6445012787723785</v>
      </c>
      <c r="BW232" s="136">
        <v>5.5545</v>
      </c>
      <c r="BX232" s="137">
        <v>0.17156199332234415</v>
      </c>
      <c r="BY232" s="137">
        <v>0.17156199332234415</v>
      </c>
      <c r="BZ232" s="137">
        <v>1</v>
      </c>
      <c r="CA232" s="137">
        <v>6.5566638137161806E-2</v>
      </c>
      <c r="CB232" s="137">
        <v>0.32163743019315388</v>
      </c>
      <c r="CC232" s="258">
        <v>2.5499999999999998E-2</v>
      </c>
      <c r="CD232" s="258">
        <v>0.01</v>
      </c>
      <c r="CE232" s="258">
        <v>1.05</v>
      </c>
      <c r="CF232" s="258">
        <v>0</v>
      </c>
      <c r="CG232" s="258">
        <v>3.6400000000000002E-2</v>
      </c>
      <c r="CH232" s="258">
        <v>3.6762193358786912</v>
      </c>
      <c r="CI232" s="258">
        <v>4.5045000000000002</v>
      </c>
      <c r="CJ232" s="258"/>
      <c r="CK232" s="258"/>
      <c r="CL232" s="258"/>
      <c r="CM232" s="258"/>
    </row>
    <row r="233" spans="1:91" x14ac:dyDescent="0.25">
      <c r="A233" s="723"/>
      <c r="B233" s="723"/>
      <c r="D233" s="31">
        <f t="shared" si="158"/>
        <v>43692</v>
      </c>
      <c r="F233" s="28">
        <f t="shared" si="159"/>
        <v>5895</v>
      </c>
      <c r="G233" s="28">
        <f t="shared" si="181"/>
        <v>1885.391021400555</v>
      </c>
      <c r="H233" s="52">
        <f t="shared" si="160"/>
        <v>4.6803069053708439</v>
      </c>
      <c r="I233" s="52">
        <f t="shared" si="161"/>
        <v>5.5945</v>
      </c>
      <c r="K233" s="52">
        <f t="shared" si="162"/>
        <v>8.7030500079894448</v>
      </c>
      <c r="L233" s="135">
        <f t="shared" si="163"/>
        <v>1.6817071237795744E-6</v>
      </c>
      <c r="N233" s="131">
        <f t="shared" si="182"/>
        <v>0.17192246945461001</v>
      </c>
      <c r="O233" s="131">
        <f t="shared" si="183"/>
        <v>0.17192246945461001</v>
      </c>
      <c r="P233" s="55">
        <f t="shared" si="164"/>
        <v>1.0000000000000002</v>
      </c>
      <c r="Q233" s="135">
        <f>_xll.xSPRDOPT(I233,H233,AQ233,0,O233,N233,P233,D233-$G$5,1,0)*AH233*AU233</f>
        <v>8.7030516896965686</v>
      </c>
      <c r="R233" s="135"/>
      <c r="S233" s="181">
        <f t="shared" si="165"/>
        <v>-58690.746339311867</v>
      </c>
      <c r="T233" s="181">
        <f>_xll.xSPRDOPT(I233,H233,AQ233,AT233,O233,N233,P233,D233-$G$5,1,1)*AF233*F233*AH233</f>
        <v>57370.204546677349</v>
      </c>
      <c r="U233" s="135"/>
      <c r="V233" s="146">
        <f t="shared" si="166"/>
        <v>3.655547711162328</v>
      </c>
      <c r="W233" s="146"/>
      <c r="X233" s="338">
        <f t="shared" si="167"/>
        <v>0</v>
      </c>
      <c r="Y233" s="338">
        <f t="shared" si="184"/>
        <v>0</v>
      </c>
      <c r="Z233" s="338">
        <f t="shared" si="185"/>
        <v>27.188138196845923</v>
      </c>
      <c r="AA233" s="338">
        <f t="shared" si="186"/>
        <v>4.5550940461968982E-7</v>
      </c>
      <c r="AB233" s="338">
        <f t="shared" si="168"/>
        <v>0</v>
      </c>
      <c r="AC233" s="338">
        <f t="shared" si="169"/>
        <v>27.631694435836806</v>
      </c>
      <c r="AF233" s="138">
        <f t="shared" si="170"/>
        <v>1</v>
      </c>
      <c r="AG233" s="138">
        <f t="shared" si="171"/>
        <v>8</v>
      </c>
      <c r="AH233" s="138">
        <f t="shared" si="187"/>
        <v>31</v>
      </c>
      <c r="AI233" s="138">
        <f t="shared" si="172"/>
        <v>6436</v>
      </c>
      <c r="AJ233" s="138">
        <f t="shared" si="173"/>
        <v>6453</v>
      </c>
      <c r="AL233" s="136">
        <f t="shared" si="188"/>
        <v>4.5445000000000002</v>
      </c>
      <c r="AM233" s="258">
        <f t="shared" si="189"/>
        <v>2.0500000000000001E-2</v>
      </c>
      <c r="AN233" s="258">
        <f t="shared" si="190"/>
        <v>0.01</v>
      </c>
      <c r="AO233" s="258">
        <f t="shared" si="191"/>
        <v>1.05</v>
      </c>
      <c r="AP233" s="258">
        <f t="shared" si="192"/>
        <v>0</v>
      </c>
      <c r="AQ233" s="136">
        <f t="shared" si="174"/>
        <v>3.6400000000000002E-2</v>
      </c>
      <c r="AR233" s="137">
        <f t="shared" si="193"/>
        <v>2.2499999999999999E-2</v>
      </c>
      <c r="AS233" s="136">
        <f t="shared" si="175"/>
        <v>4.5750000000000002</v>
      </c>
      <c r="AT233" s="137">
        <f t="shared" si="176"/>
        <v>6.5607182269520795E-2</v>
      </c>
      <c r="AU233" s="137">
        <f t="shared" si="194"/>
        <v>0.31982884162859287</v>
      </c>
      <c r="AV233" s="394">
        <f t="shared" si="177"/>
        <v>1348.3983963061476</v>
      </c>
      <c r="AW233" s="137">
        <f t="shared" si="195"/>
        <v>0.17</v>
      </c>
      <c r="AX233" s="137">
        <f t="shared" si="196"/>
        <v>0.55000000000000004</v>
      </c>
      <c r="AY233" s="137">
        <f t="shared" si="197"/>
        <v>0.55000000000000004</v>
      </c>
      <c r="AZ233" s="137"/>
      <c r="BA233" s="264"/>
      <c r="BB233" s="258">
        <f t="shared" si="198"/>
        <v>0</v>
      </c>
      <c r="BC233" s="258">
        <f t="shared" si="178"/>
        <v>0</v>
      </c>
      <c r="BD233" s="137">
        <f t="shared" si="179"/>
        <v>8.8855481614191767E-7</v>
      </c>
      <c r="BE233" s="137">
        <f t="shared" si="180"/>
        <v>8.8855481614191767E-7</v>
      </c>
      <c r="BF233" s="137">
        <f>_xll.xSPRDOPT($BW233,$BV233,$CG233,0,$BY233,$BX233,$BZ233,$AJ233,1,4)*$CB233</f>
        <v>-2.286381536580404E-7</v>
      </c>
      <c r="BG233" s="137">
        <f>_xll.xSPRDOPT($BW233,$BV233,$CG233,0,$BY233,$BX233,$BZ233,$AJ233,1,3)*$CB233</f>
        <v>-2.286381536580404E-7</v>
      </c>
      <c r="BH233" s="137">
        <f>IF(OR(BF233&lt;&gt;0,BG233&lt;&gt;0),_xll.xSPRDOPT($BW233,$BV233,$CG233,0,$BY233,$BX233,$BZ233,$AJ233,1,12)*$CB233,0)</f>
        <v>2.6674451260104714E-7</v>
      </c>
      <c r="BI233" s="137">
        <f>_xll.xSPRDOPT($BW233,$BV233,$CG233,2*LN(1+CA233/2),$BY233,$BX233,$BZ233,$AJ233,1,9)</f>
        <v>1.8113523354762049E-2</v>
      </c>
      <c r="BJ233" s="137">
        <f>_xll.xSPRDOPT($BW233,$BV233,$CG233,0,$BY233,$BX233,$BZ233,$AJ233,1,6)*$CB233</f>
        <v>-1.436164929469936E-5</v>
      </c>
      <c r="BK233" s="137">
        <f>_xll.xSPRDOPT($BW233,$BV233,$CG233,0,$BY233,$BX233,$BZ233,$AJ233,1,5)*$CB233</f>
        <v>1.7166873770950408E-5</v>
      </c>
      <c r="BL233" s="137">
        <f>_xll.xSPRDOPT(BW233,BV233,CG233,0,BY233,BX233,BZ233,AJ233,1,2)*CB233</f>
        <v>-0.319659180778395</v>
      </c>
      <c r="BM233" s="137">
        <f>_xll.xSPRDOPT(BW233,BV233,CG233,0,BY233,BX233,BZ233,AJ233,1,1)*CB233</f>
        <v>0.31965918078130229</v>
      </c>
      <c r="BN233" s="137">
        <f>IF(AH233&lt;&gt;0,_xll.xSPRDOPT($BW233,$BV233,$CG233,2*LN(1+CA233/2),$BY233,$BX233,$BZ233,$AJ233,1,8)+(AJ233/365.25)*CH233/AH233,0)</f>
        <v>-2.8751211274243196</v>
      </c>
      <c r="BO233" s="137">
        <f>_xll.xSPRDOPT($BW233,$BV233,$CG233,0,$BY233,$BX233,$BZ233,$AJ233,1,0)</f>
        <v>0.8777932645899057</v>
      </c>
      <c r="BP233" s="137"/>
      <c r="BQ233" s="137"/>
      <c r="BR233" s="137"/>
      <c r="BS233" s="137"/>
      <c r="BV233" s="262">
        <v>4.6803069053708439</v>
      </c>
      <c r="BW233" s="136">
        <v>5.5945</v>
      </c>
      <c r="BX233" s="137">
        <v>0.17192158089979387</v>
      </c>
      <c r="BY233" s="137">
        <v>0.17192158089979387</v>
      </c>
      <c r="BZ233" s="137">
        <v>1</v>
      </c>
      <c r="CA233" s="137">
        <v>6.5607182269520795E-2</v>
      </c>
      <c r="CB233" s="137">
        <v>0.31965930748017785</v>
      </c>
      <c r="CC233" s="258">
        <v>2.0500000000000001E-2</v>
      </c>
      <c r="CD233" s="258">
        <v>0.01</v>
      </c>
      <c r="CE233" s="258">
        <v>1.05</v>
      </c>
      <c r="CF233" s="258">
        <v>0</v>
      </c>
      <c r="CG233" s="258">
        <v>3.6400000000000002E-2</v>
      </c>
      <c r="CH233" s="258">
        <v>3.6536099867061886</v>
      </c>
      <c r="CI233" s="258">
        <v>4.5445000000000002</v>
      </c>
      <c r="CJ233" s="258"/>
      <c r="CK233" s="258"/>
      <c r="CL233" s="258"/>
      <c r="CM233" s="258"/>
    </row>
    <row r="234" spans="1:91" x14ac:dyDescent="0.25">
      <c r="A234" s="723"/>
      <c r="B234" s="723"/>
      <c r="D234" s="31">
        <f t="shared" si="158"/>
        <v>43723</v>
      </c>
      <c r="F234" s="28">
        <f t="shared" si="159"/>
        <v>5895</v>
      </c>
      <c r="G234" s="28">
        <f t="shared" si="181"/>
        <v>1873.7837021638418</v>
      </c>
      <c r="H234" s="52">
        <f t="shared" si="160"/>
        <v>4.6751918158567776</v>
      </c>
      <c r="I234" s="52">
        <f t="shared" si="161"/>
        <v>5.2895000000000003</v>
      </c>
      <c r="K234" s="52">
        <f t="shared" si="162"/>
        <v>5.5108139277082495</v>
      </c>
      <c r="L234" s="135">
        <f t="shared" si="163"/>
        <v>1.0795582531919479E-5</v>
      </c>
      <c r="N234" s="131">
        <f t="shared" si="182"/>
        <v>0.17185208151312845</v>
      </c>
      <c r="O234" s="131">
        <f t="shared" si="183"/>
        <v>0.17185208151312845</v>
      </c>
      <c r="P234" s="55">
        <f t="shared" si="164"/>
        <v>1</v>
      </c>
      <c r="Q234" s="135">
        <f>_xll.xSPRDOPT(I234,H234,AQ234,0,O234,N234,P234,D234-$G$5,1,0)*AH234*AU234</f>
        <v>5.5108247232907814</v>
      </c>
      <c r="R234" s="135"/>
      <c r="S234" s="181">
        <f t="shared" si="165"/>
        <v>-56440.702083950047</v>
      </c>
      <c r="T234" s="181">
        <f>_xll.xSPRDOPT(I234,H234,AQ234,AT234,O234,N234,P234,D234-$G$5,1,1)*AF234*F234*AH234</f>
        <v>55170.786287061172</v>
      </c>
      <c r="U234" s="135"/>
      <c r="V234" s="146">
        <f t="shared" si="166"/>
        <v>3.5158475877242159</v>
      </c>
      <c r="W234" s="146"/>
      <c r="X234" s="338">
        <f t="shared" si="167"/>
        <v>0</v>
      </c>
      <c r="Y234" s="338">
        <f t="shared" si="184"/>
        <v>0</v>
      </c>
      <c r="Z234" s="338">
        <f t="shared" si="185"/>
        <v>17.225802394821809</v>
      </c>
      <c r="AA234" s="338">
        <f t="shared" si="186"/>
        <v>7.8674049391167242E-6</v>
      </c>
      <c r="AB234" s="338">
        <f t="shared" si="168"/>
        <v>0</v>
      </c>
      <c r="AC234" s="338">
        <f t="shared" si="169"/>
        <v>17.507362381016115</v>
      </c>
      <c r="AF234" s="138">
        <f t="shared" si="170"/>
        <v>1</v>
      </c>
      <c r="AG234" s="138">
        <f t="shared" si="171"/>
        <v>9</v>
      </c>
      <c r="AH234" s="138">
        <f t="shared" si="187"/>
        <v>30</v>
      </c>
      <c r="AI234" s="138">
        <f t="shared" si="172"/>
        <v>6467</v>
      </c>
      <c r="AJ234" s="138">
        <f t="shared" si="173"/>
        <v>6484</v>
      </c>
      <c r="AL234" s="136">
        <f t="shared" si="188"/>
        <v>4.5395000000000003</v>
      </c>
      <c r="AM234" s="258">
        <f t="shared" si="189"/>
        <v>2.0500000000000001E-2</v>
      </c>
      <c r="AN234" s="258">
        <f t="shared" si="190"/>
        <v>0.01</v>
      </c>
      <c r="AO234" s="258">
        <f t="shared" si="191"/>
        <v>0.75</v>
      </c>
      <c r="AP234" s="258">
        <f t="shared" si="192"/>
        <v>0</v>
      </c>
      <c r="AQ234" s="136">
        <f t="shared" si="174"/>
        <v>3.6400000000000002E-2</v>
      </c>
      <c r="AR234" s="137">
        <f t="shared" si="193"/>
        <v>2.2499999999999999E-2</v>
      </c>
      <c r="AS234" s="136">
        <f t="shared" si="175"/>
        <v>4.57</v>
      </c>
      <c r="AT234" s="137">
        <f t="shared" si="176"/>
        <v>6.5647726402424694E-2</v>
      </c>
      <c r="AU234" s="137">
        <f t="shared" si="194"/>
        <v>0.31785983073177976</v>
      </c>
      <c r="AV234" s="394">
        <f t="shared" si="177"/>
        <v>1296.8681093856615</v>
      </c>
      <c r="AW234" s="137">
        <f t="shared" si="195"/>
        <v>0.17</v>
      </c>
      <c r="AX234" s="137">
        <f t="shared" si="196"/>
        <v>0.55000000000000004</v>
      </c>
      <c r="AY234" s="137">
        <f t="shared" si="197"/>
        <v>0.55000000000000004</v>
      </c>
      <c r="AZ234" s="137"/>
      <c r="BA234" s="264"/>
      <c r="BB234" s="258">
        <f t="shared" si="198"/>
        <v>0</v>
      </c>
      <c r="BC234" s="258">
        <f t="shared" si="178"/>
        <v>0</v>
      </c>
      <c r="BD234" s="137">
        <f t="shared" si="179"/>
        <v>8.5216929932019347E-7</v>
      </c>
      <c r="BE234" s="137">
        <f t="shared" si="180"/>
        <v>8.5216929932019347E-7</v>
      </c>
      <c r="BF234" s="137">
        <f>_xll.xSPRDOPT($BW234,$BV234,$CG234,0,$BY234,$BX234,$BZ234,$AJ234,1,4)*$CB234</f>
        <v>-1.514869870560759E-7</v>
      </c>
      <c r="BG234" s="137">
        <f>_xll.xSPRDOPT($BW234,$BV234,$CG234,0,$BY234,$BX234,$BZ234,$AJ234,1,3)*$CB234</f>
        <v>0</v>
      </c>
      <c r="BH234" s="137">
        <f>IF(OR(BF234&lt;&gt;0,BG234&lt;&gt;0),_xll.xSPRDOPT($BW234,$BV234,$CG234,0,$BY234,$BX234,$BZ234,$AJ234,1,12)*$CB234,0)</f>
        <v>-1.1361524029205693E-7</v>
      </c>
      <c r="BI234" s="137">
        <f>_xll.xSPRDOPT($BW234,$BV234,$CG234,2*LN(1+CA234/2),$BY234,$BX234,$BZ234,$AJ234,1,9)</f>
        <v>1.1858871594964971E-2</v>
      </c>
      <c r="BJ234" s="137">
        <f>_xll.xSPRDOPT($BW234,$BV234,$CG234,0,$BY234,$BX234,$BZ234,$AJ234,1,6)*$CB234</f>
        <v>-3.9729554368339701E-4</v>
      </c>
      <c r="BK234" s="137">
        <f>_xll.xSPRDOPT($BW234,$BV234,$CG234,0,$BY234,$BX234,$BZ234,$AJ234,1,5)*$CB234</f>
        <v>4.494991560152456E-4</v>
      </c>
      <c r="BL234" s="137">
        <f>_xll.xSPRDOPT(BW234,BV234,CG234,0,BY234,BX234,BZ234,AJ234,1,2)*CB234</f>
        <v>-0.31768667911911591</v>
      </c>
      <c r="BM234" s="137">
        <f>_xll.xSPRDOPT(BW234,BV234,CG234,0,BY234,BX234,BZ234,AJ234,1,1)*CB234</f>
        <v>0.31768667911911591</v>
      </c>
      <c r="BN234" s="137">
        <f>IF(AH234&lt;&gt;0,_xll.xSPRDOPT($BW234,$BV234,$CG234,2*LN(1+CA234/2),$BY234,$BX234,$BZ234,$AJ234,1,8)+(AJ234/365.25)*CH234/AH234,0)</f>
        <v>-1.1798832935702648</v>
      </c>
      <c r="BO234" s="137">
        <f>_xll.xSPRDOPT($BW234,$BV234,$CG234,0,$BY234,$BX234,$BZ234,$AJ234,1,0)</f>
        <v>0.5779093226503782</v>
      </c>
      <c r="BP234" s="137"/>
      <c r="BQ234" s="137"/>
      <c r="BR234" s="137"/>
      <c r="BS234" s="137"/>
      <c r="BV234" s="262">
        <v>4.6751918158567776</v>
      </c>
      <c r="BW234" s="136">
        <v>5.2895000000000003</v>
      </c>
      <c r="BX234" s="137">
        <v>0.17185122934382913</v>
      </c>
      <c r="BY234" s="137">
        <v>0.17185122934382913</v>
      </c>
      <c r="BZ234" s="137">
        <v>1</v>
      </c>
      <c r="CA234" s="137">
        <v>6.5647726402424694E-2</v>
      </c>
      <c r="CB234" s="137">
        <v>0.31769123787862369</v>
      </c>
      <c r="CC234" s="258">
        <v>2.0500000000000001E-2</v>
      </c>
      <c r="CD234" s="258">
        <v>0.01</v>
      </c>
      <c r="CE234" s="258">
        <v>0.75</v>
      </c>
      <c r="CF234" s="258">
        <v>0</v>
      </c>
      <c r="CG234" s="258">
        <v>3.6400000000000002E-2</v>
      </c>
      <c r="CH234" s="258">
        <v>3.5139827821754568</v>
      </c>
      <c r="CI234" s="258">
        <v>4.5395000000000003</v>
      </c>
      <c r="CJ234" s="258"/>
      <c r="CK234" s="258"/>
      <c r="CL234" s="258"/>
      <c r="CM234" s="258"/>
    </row>
    <row r="235" spans="1:91" x14ac:dyDescent="0.25">
      <c r="A235" s="723"/>
      <c r="B235" s="723"/>
      <c r="D235" s="31">
        <f t="shared" si="158"/>
        <v>43753</v>
      </c>
      <c r="F235" s="28">
        <f t="shared" si="159"/>
        <v>6669</v>
      </c>
      <c r="G235" s="28">
        <f t="shared" si="181"/>
        <v>2107.1631051075778</v>
      </c>
      <c r="H235" s="52">
        <f t="shared" si="160"/>
        <v>4.7102564102564095</v>
      </c>
      <c r="I235" s="52">
        <f t="shared" si="161"/>
        <v>5.0145</v>
      </c>
      <c r="K235" s="52">
        <f t="shared" si="162"/>
        <v>2.6234958820910474</v>
      </c>
      <c r="L235" s="135">
        <f t="shared" si="163"/>
        <v>3.6429816894090195E-4</v>
      </c>
      <c r="N235" s="131">
        <f t="shared" si="182"/>
        <v>0.17230214946474914</v>
      </c>
      <c r="O235" s="131">
        <f t="shared" si="183"/>
        <v>0.17230214946474914</v>
      </c>
      <c r="P235" s="55">
        <f t="shared" si="164"/>
        <v>1</v>
      </c>
      <c r="Q235" s="135">
        <f>_xll.xSPRDOPT(I235,H235,AQ235,0,O235,N235,P235,D235-$G$5,1,0)*AH235*AU235</f>
        <v>2.6238601802599884</v>
      </c>
      <c r="R235" s="135"/>
      <c r="S235" s="181">
        <f t="shared" si="165"/>
        <v>-65707.152897057415</v>
      </c>
      <c r="T235" s="181">
        <f>_xll.xSPRDOPT(I235,H235,AQ235,AT235,O235,N235,P235,D235-$G$5,1,1)*AF235*F235*AH235</f>
        <v>64064.474074630984</v>
      </c>
      <c r="U235" s="135"/>
      <c r="V235" s="146">
        <f t="shared" si="166"/>
        <v>3.6113723410478462</v>
      </c>
      <c r="W235" s="146"/>
      <c r="X235" s="338">
        <f t="shared" si="167"/>
        <v>0</v>
      </c>
      <c r="Y235" s="338">
        <f t="shared" si="184"/>
        <v>0</v>
      </c>
      <c r="Z235" s="338">
        <f t="shared" si="185"/>
        <v>9.2769665070568248</v>
      </c>
      <c r="AA235" s="338">
        <f t="shared" si="186"/>
        <v>1.9230447215236464E-4</v>
      </c>
      <c r="AB235" s="338">
        <f t="shared" si="168"/>
        <v>0</v>
      </c>
      <c r="AC235" s="338">
        <f t="shared" si="169"/>
        <v>9.4358547241997606</v>
      </c>
      <c r="AF235" s="138">
        <f t="shared" si="170"/>
        <v>1</v>
      </c>
      <c r="AG235" s="138">
        <f t="shared" si="171"/>
        <v>10</v>
      </c>
      <c r="AH235" s="138">
        <f t="shared" si="187"/>
        <v>31</v>
      </c>
      <c r="AI235" s="138">
        <f t="shared" si="172"/>
        <v>6497</v>
      </c>
      <c r="AJ235" s="138">
        <f t="shared" si="173"/>
        <v>6514</v>
      </c>
      <c r="AL235" s="136">
        <f t="shared" si="188"/>
        <v>4.5644999999999998</v>
      </c>
      <c r="AM235" s="258">
        <f t="shared" si="189"/>
        <v>1.7999999999999999E-2</v>
      </c>
      <c r="AN235" s="258">
        <f t="shared" si="190"/>
        <v>0.01</v>
      </c>
      <c r="AO235" s="258">
        <f t="shared" si="191"/>
        <v>0.45</v>
      </c>
      <c r="AP235" s="258">
        <f t="shared" si="192"/>
        <v>0</v>
      </c>
      <c r="AQ235" s="136">
        <f t="shared" si="174"/>
        <v>3.6400000000000002E-2</v>
      </c>
      <c r="AR235" s="137">
        <f t="shared" si="193"/>
        <v>2.5000000000000001E-2</v>
      </c>
      <c r="AS235" s="136">
        <f t="shared" si="175"/>
        <v>4.5924999999999994</v>
      </c>
      <c r="AT235" s="137">
        <f t="shared" si="176"/>
        <v>6.5686962660591597E-2</v>
      </c>
      <c r="AU235" s="137">
        <f t="shared" si="194"/>
        <v>0.31596387840869367</v>
      </c>
      <c r="AV235" s="394">
        <f t="shared" si="177"/>
        <v>1674.9245194444852</v>
      </c>
      <c r="AW235" s="137">
        <f t="shared" si="195"/>
        <v>0.17</v>
      </c>
      <c r="AX235" s="137">
        <f t="shared" si="196"/>
        <v>0.6</v>
      </c>
      <c r="AY235" s="137">
        <f t="shared" si="197"/>
        <v>0.6</v>
      </c>
      <c r="AZ235" s="137"/>
      <c r="BA235" s="264"/>
      <c r="BB235" s="258">
        <f t="shared" si="198"/>
        <v>0</v>
      </c>
      <c r="BC235" s="258">
        <f t="shared" si="178"/>
        <v>0</v>
      </c>
      <c r="BD235" s="137">
        <f t="shared" si="179"/>
        <v>1.0529246285695404E-6</v>
      </c>
      <c r="BE235" s="137">
        <f t="shared" si="180"/>
        <v>1.0529246285695404E-6</v>
      </c>
      <c r="BF235" s="137">
        <f>_xll.xSPRDOPT($BW235,$BV235,$CG235,0,$BY235,$BX235,$BZ235,$AJ235,1,4)*$CB235</f>
        <v>7.5291679533144398E-8</v>
      </c>
      <c r="BG235" s="137">
        <f>_xll.xSPRDOPT($BW235,$BV235,$CG235,0,$BY235,$BX235,$BZ235,$AJ235,1,3)*$CB235</f>
        <v>0</v>
      </c>
      <c r="BH235" s="137">
        <f>IF(OR(BF235&lt;&gt;0,BG235&lt;&gt;0),_xll.xSPRDOPT($BW235,$BV235,$CG235,0,$BY235,$BX235,$BZ235,$AJ235,1,12)*$CB235,0)</f>
        <v>-2.8234379824929147E-7</v>
      </c>
      <c r="BI235" s="137">
        <f>_xll.xSPRDOPT($BW235,$BV235,$CG235,2*LN(1+CA235/2),$BY235,$BX235,$BZ235,$AJ235,1,9)</f>
        <v>5.463268528115974E-3</v>
      </c>
      <c r="BJ235" s="137">
        <f>_xll.xSPRDOPT($BW235,$BV235,$CG235,0,$BY235,$BX235,$BZ235,$AJ235,1,6)*$CB235</f>
        <v>-1.3677061468785804E-2</v>
      </c>
      <c r="BK235" s="137">
        <f>_xll.xSPRDOPT($BW235,$BV235,$CG235,0,$BY235,$BX235,$BZ235,$AJ235,1,5)*$CB235</f>
        <v>1.4560486475850907E-2</v>
      </c>
      <c r="BL235" s="137">
        <f>_xll.xSPRDOPT(BW235,BV235,CG235,0,BY235,BX235,BZ235,AJ235,1,2)*CB235</f>
        <v>-0.3156000269625252</v>
      </c>
      <c r="BM235" s="137">
        <f>_xll.xSPRDOPT(BW235,BV235,CG235,0,BY235,BX235,BZ235,AJ235,1,1)*CB235</f>
        <v>0.31560002696367406</v>
      </c>
      <c r="BN235" s="137">
        <f>IF(AH235&lt;&gt;0,_xll.xSPRDOPT($BW235,$BV235,$CG235,2*LN(1+CA235/2),$BY235,$BX235,$BZ235,$AJ235,1,8)+(AJ235/365.25)*CH235/AH235,0)</f>
        <v>0.56781554275015722</v>
      </c>
      <c r="BO235" s="137">
        <f>_xll.xSPRDOPT($BW235,$BV235,$CG235,0,$BY235,$BX235,$BZ235,$AJ235,1,0)</f>
        <v>0.26788089054572073</v>
      </c>
      <c r="BP235" s="137"/>
      <c r="BQ235" s="137"/>
      <c r="BR235" s="137"/>
      <c r="BS235" s="137"/>
      <c r="BV235" s="262">
        <v>4.7102564102564095</v>
      </c>
      <c r="BW235" s="136">
        <v>5.0145</v>
      </c>
      <c r="BX235" s="137">
        <v>0.17230109654012057</v>
      </c>
      <c r="BY235" s="137">
        <v>0.17230109654012057</v>
      </c>
      <c r="BZ235" s="137">
        <v>1</v>
      </c>
      <c r="CA235" s="137">
        <v>6.5686962660591597E-2</v>
      </c>
      <c r="CB235" s="137">
        <v>0.31579619263258568</v>
      </c>
      <c r="CC235" s="258">
        <v>1.7999999999999999E-2</v>
      </c>
      <c r="CD235" s="258">
        <v>0.01</v>
      </c>
      <c r="CE235" s="258">
        <v>0.45</v>
      </c>
      <c r="CF235" s="258">
        <v>0</v>
      </c>
      <c r="CG235" s="258">
        <v>3.6400000000000002E-2</v>
      </c>
      <c r="CH235" s="258">
        <v>3.6094557429326648</v>
      </c>
      <c r="CI235" s="258">
        <v>4.5644999999999998</v>
      </c>
      <c r="CJ235" s="258"/>
      <c r="CK235" s="258"/>
      <c r="CL235" s="258"/>
      <c r="CM235" s="258"/>
    </row>
    <row r="236" spans="1:91" x14ac:dyDescent="0.25">
      <c r="A236" s="723"/>
      <c r="B236" s="723"/>
      <c r="D236" s="31">
        <f t="shared" si="158"/>
        <v>43784</v>
      </c>
      <c r="F236" s="28">
        <f t="shared" si="159"/>
        <v>11107</v>
      </c>
      <c r="G236" s="28">
        <f t="shared" si="181"/>
        <v>3487.7596408823833</v>
      </c>
      <c r="H236" s="52">
        <f t="shared" si="160"/>
        <v>4.8521739130434787</v>
      </c>
      <c r="I236" s="52">
        <f t="shared" si="161"/>
        <v>5.1665000000000001</v>
      </c>
      <c r="K236" s="52">
        <f t="shared" si="162"/>
        <v>2.6181850794147561</v>
      </c>
      <c r="L236" s="135">
        <f t="shared" si="163"/>
        <v>3.4992420767565591E-4</v>
      </c>
      <c r="N236" s="131">
        <f t="shared" si="182"/>
        <v>0.17407171757948764</v>
      </c>
      <c r="O236" s="131">
        <f t="shared" si="183"/>
        <v>0.17407171757948764</v>
      </c>
      <c r="P236" s="55">
        <f t="shared" si="164"/>
        <v>1</v>
      </c>
      <c r="Q236" s="135">
        <f>_xll.xSPRDOPT(I236,H236,AQ236,0,O236,N236,P236,D236-$G$5,1,0)*AH236*AU236</f>
        <v>2.6185350036224317</v>
      </c>
      <c r="R236" s="135"/>
      <c r="S236" s="181">
        <f t="shared" si="165"/>
        <v>-104970.70394840519</v>
      </c>
      <c r="T236" s="181">
        <f>_xll.xSPRDOPT(I236,H236,AQ236,AT236,O236,N236,P236,D236-$G$5,1,1)*AF236*F236*AH236</f>
        <v>102608.86310956608</v>
      </c>
      <c r="U236" s="135"/>
      <c r="V236" s="146">
        <f t="shared" si="166"/>
        <v>3.4733149714414369</v>
      </c>
      <c r="W236" s="146"/>
      <c r="X236" s="338">
        <f t="shared" si="167"/>
        <v>0</v>
      </c>
      <c r="Y236" s="338">
        <f t="shared" si="184"/>
        <v>0</v>
      </c>
      <c r="Z236" s="338">
        <f t="shared" si="185"/>
        <v>15.428805917660087</v>
      </c>
      <c r="AA236" s="338">
        <f t="shared" si="186"/>
        <v>5.4228912837694086E-4</v>
      </c>
      <c r="AB236" s="338">
        <f t="shared" si="168"/>
        <v>0</v>
      </c>
      <c r="AC236" s="338">
        <f t="shared" si="169"/>
        <v>15.692886195794783</v>
      </c>
      <c r="AF236" s="138">
        <f t="shared" si="170"/>
        <v>1</v>
      </c>
      <c r="AG236" s="138">
        <f t="shared" si="171"/>
        <v>11</v>
      </c>
      <c r="AH236" s="138">
        <f t="shared" si="187"/>
        <v>30</v>
      </c>
      <c r="AI236" s="138">
        <f t="shared" si="172"/>
        <v>6528</v>
      </c>
      <c r="AJ236" s="138">
        <f t="shared" si="173"/>
        <v>6545</v>
      </c>
      <c r="AL236" s="136">
        <f t="shared" si="188"/>
        <v>4.7164999999999999</v>
      </c>
      <c r="AM236" s="258">
        <f t="shared" si="189"/>
        <v>1.9E-2</v>
      </c>
      <c r="AN236" s="258">
        <f t="shared" si="190"/>
        <v>7.4999999999999997E-3</v>
      </c>
      <c r="AO236" s="258">
        <f t="shared" si="191"/>
        <v>0.45</v>
      </c>
      <c r="AP236" s="258">
        <f t="shared" si="192"/>
        <v>0</v>
      </c>
      <c r="AQ236" s="136">
        <f t="shared" si="174"/>
        <v>3.6400000000000002E-2</v>
      </c>
      <c r="AR236" s="137">
        <f t="shared" si="193"/>
        <v>2.2499999999999999E-2</v>
      </c>
      <c r="AS236" s="136">
        <f t="shared" si="175"/>
        <v>4.7430000000000003</v>
      </c>
      <c r="AT236" s="137">
        <f t="shared" si="176"/>
        <v>6.57275067945675E-2</v>
      </c>
      <c r="AU236" s="137">
        <f t="shared" si="194"/>
        <v>0.31401455306404819</v>
      </c>
      <c r="AV236" s="394">
        <f t="shared" si="177"/>
        <v>2411.6317675318901</v>
      </c>
      <c r="AW236" s="137">
        <f t="shared" si="195"/>
        <v>0.17</v>
      </c>
      <c r="AX236" s="137">
        <f t="shared" si="196"/>
        <v>0.8</v>
      </c>
      <c r="AY236" s="137">
        <f t="shared" si="197"/>
        <v>0.8</v>
      </c>
      <c r="AZ236" s="137"/>
      <c r="BA236" s="264"/>
      <c r="BB236" s="258">
        <f t="shared" si="198"/>
        <v>0</v>
      </c>
      <c r="BC236" s="258">
        <f t="shared" si="178"/>
        <v>0</v>
      </c>
      <c r="BD236" s="137">
        <f t="shared" si="179"/>
        <v>1.8442337548496557E-6</v>
      </c>
      <c r="BE236" s="137">
        <f t="shared" si="180"/>
        <v>1.8442337548496557E-6</v>
      </c>
      <c r="BF236" s="137">
        <f>_xll.xSPRDOPT($BW236,$BV236,$CG236,0,$BY236,$BX236,$BZ236,$AJ236,1,4)*$CB236</f>
        <v>6.3603074677811365E-7</v>
      </c>
      <c r="BG236" s="137">
        <f>_xll.xSPRDOPT($BW236,$BV236,$CG236,0,$BY236,$BX236,$BZ236,$AJ236,1,3)*$CB236</f>
        <v>3.7413573339889033E-7</v>
      </c>
      <c r="BH236" s="137">
        <f>IF(OR(BF236&lt;&gt;0,BG236&lt;&gt;0),_xll.xSPRDOPT($BW236,$BV236,$CG236,0,$BY236,$BX236,$BZ236,$AJ236,1,12)*$CB236,0)</f>
        <v>-5.7991038676828009E-7</v>
      </c>
      <c r="BI236" s="137">
        <f>_xll.xSPRDOPT($BW236,$BV236,$CG236,2*LN(1+CA236/2),$BY236,$BX236,$BZ236,$AJ236,1,9)</f>
        <v>5.6374572205969671E-3</v>
      </c>
      <c r="BJ236" s="137">
        <f>_xll.xSPRDOPT($BW236,$BV236,$CG236,0,$BY236,$BX236,$BZ236,$AJ236,1,6)*$CB236</f>
        <v>-1.3622375247366101E-2</v>
      </c>
      <c r="BK236" s="137">
        <f>_xll.xSPRDOPT($BW236,$BV236,$CG236,0,$BY236,$BX236,$BZ236,$AJ236,1,5)*$CB236</f>
        <v>1.4504839059008338E-2</v>
      </c>
      <c r="BL236" s="137">
        <f>_xll.xSPRDOPT(BW236,BV236,CG236,0,BY236,BX236,BZ236,AJ236,1,2)*CB236</f>
        <v>-0.31365905027015811</v>
      </c>
      <c r="BM236" s="137">
        <f>_xll.xSPRDOPT(BW236,BV236,CG236,0,BY236,BX236,BZ236,AJ236,1,1)*CB236</f>
        <v>0.31365905027358343</v>
      </c>
      <c r="BN236" s="137">
        <f>IF(AH236&lt;&gt;0,_xll.xSPRDOPT($BW236,$BV236,$CG236,2*LN(1+CA236/2),$BY236,$BX236,$BZ236,$AJ236,1,8)+(AJ236/365.25)*CH236/AH236,0)</f>
        <v>0.51029499475766738</v>
      </c>
      <c r="BO236" s="137">
        <f>_xll.xSPRDOPT($BW236,$BV236,$CG236,0,$BY236,$BX236,$BZ236,$AJ236,1,0)</f>
        <v>0.27796333920654631</v>
      </c>
      <c r="BP236" s="137"/>
      <c r="BQ236" s="137"/>
      <c r="BR236" s="137"/>
      <c r="BS236" s="137"/>
      <c r="BV236" s="262">
        <v>4.8521739130434787</v>
      </c>
      <c r="BW236" s="136">
        <v>5.1665000000000001</v>
      </c>
      <c r="BX236" s="137">
        <v>0.17406987334573279</v>
      </c>
      <c r="BY236" s="137">
        <v>0.17406987334573279</v>
      </c>
      <c r="BZ236" s="137">
        <v>1</v>
      </c>
      <c r="CA236" s="137">
        <v>6.57275067945675E-2</v>
      </c>
      <c r="CB236" s="137">
        <v>0.31384780062757989</v>
      </c>
      <c r="CC236" s="258">
        <v>1.9E-2</v>
      </c>
      <c r="CD236" s="258">
        <v>7.4999999999999997E-3</v>
      </c>
      <c r="CE236" s="258">
        <v>0.45</v>
      </c>
      <c r="CF236" s="258">
        <v>0</v>
      </c>
      <c r="CG236" s="258">
        <v>3.6400000000000002E-2</v>
      </c>
      <c r="CH236" s="258">
        <v>3.4714705227416611</v>
      </c>
      <c r="CI236" s="258">
        <v>4.7164999999999999</v>
      </c>
      <c r="CJ236" s="258"/>
      <c r="CK236" s="258"/>
      <c r="CL236" s="258"/>
      <c r="CM236" s="258"/>
    </row>
    <row r="237" spans="1:91" x14ac:dyDescent="0.25">
      <c r="A237" s="723"/>
      <c r="B237" s="723"/>
      <c r="D237" s="31">
        <f t="shared" ref="D237:D248" si="199">D236+AH236</f>
        <v>43814</v>
      </c>
      <c r="F237" s="28">
        <f t="shared" ref="F237:F248" si="200">VLOOKUP(AG237,$AL$4:$AS$15,2)</f>
        <v>11107</v>
      </c>
      <c r="G237" s="28">
        <f t="shared" si="181"/>
        <v>3466.9121494412761</v>
      </c>
      <c r="H237" s="52">
        <f t="shared" ref="H237:H248" si="201">(AL237+AM237+AN237)/(1-(AR237))</f>
        <v>4.9984654731457798</v>
      </c>
      <c r="I237" s="52">
        <f t="shared" ref="I237:I248" si="202">(AL237+AO237+AP237)</f>
        <v>5.2595000000000001</v>
      </c>
      <c r="K237" s="52">
        <f t="shared" ref="K237:K248" si="203">MAX(((I237-H237)-AQ237)*AU237*AH237,0)</f>
        <v>2.1736232358315974</v>
      </c>
      <c r="L237" s="135">
        <f t="shared" ref="L237:L248" si="204">MAX(Q237-K237,0)</f>
        <v>9.0551946705019759E-4</v>
      </c>
      <c r="N237" s="131">
        <f t="shared" si="182"/>
        <v>0.17660636330738549</v>
      </c>
      <c r="O237" s="131">
        <f t="shared" si="183"/>
        <v>0.17660636330738549</v>
      </c>
      <c r="P237" s="55">
        <f t="shared" ref="P237:P248" si="205">(VLOOKUP(AI237,CorrelationTwo,2)*(AW237^2)*AI237+VLOOKUP(D237,CorrelationOne,$AK$9)*AX237*AY237*(AH237/2))/((AI237+(AH237/2))*O237*N237)*AF237</f>
        <v>1</v>
      </c>
      <c r="Q237" s="135">
        <f>_xll.xSPRDOPT(I237,H237,AQ237,0,O237,N237,P237,D237-$G$5,1,0)*AH237*AU237</f>
        <v>2.1745287552986476</v>
      </c>
      <c r="R237" s="135"/>
      <c r="S237" s="181">
        <f t="shared" ref="S237:S248" si="206">-T237/(1-AR237)</f>
        <v>-107734.4352214792</v>
      </c>
      <c r="T237" s="181">
        <f>_xll.xSPRDOPT(I237,H237,AQ237,AT237,O237,N237,P237,D237-$G$5,1,1)*AF237*F237*AH237</f>
        <v>105310.41042899592</v>
      </c>
      <c r="U237" s="135"/>
      <c r="V237" s="146">
        <f t="shared" ref="V237:V248" si="207">VLOOKUP($AG237,$AL$4:$AS$15,8)*AH237*AU237</f>
        <v>3.5676389479129336</v>
      </c>
      <c r="W237" s="146"/>
      <c r="X237" s="338">
        <f t="shared" ref="X237:X248" si="208">((BM237*BC237)+(BL237*BB237))*AH237*F237</f>
        <v>0</v>
      </c>
      <c r="Y237" s="338">
        <f t="shared" si="184"/>
        <v>0</v>
      </c>
      <c r="Z237" s="338">
        <f t="shared" si="185"/>
        <v>12.809389279086938</v>
      </c>
      <c r="AA237" s="338">
        <f t="shared" si="186"/>
        <v>1.5075670027854295E-3</v>
      </c>
      <c r="AB237" s="338">
        <f t="shared" ref="AB237:AB248" si="209">BN237*(AT237-CA237)*F237*AH237</f>
        <v>0</v>
      </c>
      <c r="AC237" s="338">
        <f t="shared" ref="AC237:AC248" si="210">BO237*CB237*F237*AH237*CA237*($G$5-$BV$5)/365.25</f>
        <v>13.039736411171294</v>
      </c>
      <c r="AF237" s="138">
        <f t="shared" ref="AF237:AF248" si="211">IF(AND(D237&gt;=$G$7,D237&lt;=$G$8),1,0)</f>
        <v>1</v>
      </c>
      <c r="AG237" s="138">
        <f t="shared" ref="AG237:AG248" si="212">MONTH(D237)</f>
        <v>12</v>
      </c>
      <c r="AH237" s="138">
        <f t="shared" si="187"/>
        <v>31</v>
      </c>
      <c r="AI237" s="138">
        <f t="shared" ref="AI237:AI248" si="213">AI236+AH236</f>
        <v>6558</v>
      </c>
      <c r="AJ237" s="138">
        <f t="shared" ref="AJ237:AJ248" si="214">D237-$BV$5</f>
        <v>6575</v>
      </c>
      <c r="AL237" s="136">
        <f t="shared" si="188"/>
        <v>4.8594999999999997</v>
      </c>
      <c r="AM237" s="258">
        <f t="shared" si="189"/>
        <v>1.9E-2</v>
      </c>
      <c r="AN237" s="258">
        <f t="shared" si="190"/>
        <v>7.4999999999999997E-3</v>
      </c>
      <c r="AO237" s="258">
        <f t="shared" si="191"/>
        <v>0.4</v>
      </c>
      <c r="AP237" s="258">
        <f t="shared" si="192"/>
        <v>0</v>
      </c>
      <c r="AQ237" s="136">
        <f t="shared" ref="AQ237:AQ248" si="215">VLOOKUP($AG237,$AL$4:$AS$15,3)+VLOOKUP($AG237,$AL$4:$AS$15,5)+($AH$10*VLOOKUP(D237,GRITable,2))</f>
        <v>3.6400000000000002E-2</v>
      </c>
      <c r="AR237" s="137">
        <f t="shared" si="193"/>
        <v>2.2499999999999999E-2</v>
      </c>
      <c r="AS237" s="136">
        <f t="shared" ref="AS237:AS248" si="216">(AL237+AM237+AN237)</f>
        <v>4.8860000000000001</v>
      </c>
      <c r="AT237" s="137">
        <f t="shared" ref="AT237:AT248" si="217">VLOOKUP(D237,CurveTbl,$AK$6)</f>
        <v>6.5766743053772295E-2</v>
      </c>
      <c r="AU237" s="137">
        <f t="shared" si="194"/>
        <v>0.31213758435592653</v>
      </c>
      <c r="AV237" s="394">
        <f t="shared" ref="AV237:AV248" si="218">ROUND((F237/(1-AR237))-F237,0)*AF237*AH237*AU237</f>
        <v>2477.1238694486328</v>
      </c>
      <c r="AW237" s="137">
        <f t="shared" si="195"/>
        <v>0.17</v>
      </c>
      <c r="AX237" s="137">
        <f t="shared" si="196"/>
        <v>1</v>
      </c>
      <c r="AY237" s="137">
        <f t="shared" si="197"/>
        <v>1</v>
      </c>
      <c r="AZ237" s="137"/>
      <c r="BA237" s="264"/>
      <c r="BB237" s="258">
        <f t="shared" si="198"/>
        <v>0</v>
      </c>
      <c r="BC237" s="258">
        <f t="shared" ref="BC237:BC248" si="219">I237-BW237</f>
        <v>0</v>
      </c>
      <c r="BD237" s="137">
        <f t="shared" ref="BD237:BD248" si="220">N237-BX237</f>
        <v>2.957281784204957E-6</v>
      </c>
      <c r="BE237" s="137">
        <f t="shared" ref="BE237:BE248" si="221">O237-BY237</f>
        <v>2.957281784204957E-6</v>
      </c>
      <c r="BF237" s="137">
        <f>_xll.xSPRDOPT($BW237,$BV237,$CG237,0,$BY237,$BX237,$BZ237,$AJ237,1,4)*$CB237</f>
        <v>-5.5784892674960393E-8</v>
      </c>
      <c r="BG237" s="137">
        <f>_xll.xSPRDOPT($BW237,$BV237,$CG237,0,$BY237,$BX237,$BZ237,$AJ237,1,3)*$CB237</f>
        <v>-3.3470935604976234E-7</v>
      </c>
      <c r="BH237" s="137">
        <f>IF(OR(BF237&lt;&gt;0,BG237&lt;&gt;0),_xll.xSPRDOPT($BW237,$BV237,$CG237,0,$BY237,$BX237,$BZ237,$AJ237,1,12)*$CB237,0)</f>
        <v>5.5784892674960393E-8</v>
      </c>
      <c r="BI237" s="137">
        <f>_xll.xSPRDOPT($BW237,$BV237,$CG237,2*LN(1+CA237/2),$BY237,$BX237,$BZ237,$AJ237,1,9)</f>
        <v>4.52938177530832E-3</v>
      </c>
      <c r="BJ237" s="137">
        <f>_xll.xSPRDOPT($BW237,$BV237,$CG237,0,$BY237,$BX237,$BZ237,$AJ237,1,6)*$CB237</f>
        <v>-2.8350726512971797E-2</v>
      </c>
      <c r="BK237" s="137">
        <f>_xll.xSPRDOPT($BW237,$BV237,$CG237,0,$BY237,$BX237,$BZ237,$AJ237,1,5)*$CB237</f>
        <v>2.9831284594714944E-2</v>
      </c>
      <c r="BL237" s="137">
        <f>_xll.xSPRDOPT(BW237,BV237,CG237,0,BY237,BX237,BZ237,AJ237,1,2)*CB237</f>
        <v>-0.31156688024939805</v>
      </c>
      <c r="BM237" s="137">
        <f>_xll.xSPRDOPT(BW237,BV237,CG237,0,BY237,BX237,BZ237,AJ237,1,1)*CB237</f>
        <v>0.31156688024528384</v>
      </c>
      <c r="BN237" s="137">
        <f>IF(AH237&lt;&gt;0,_xll.xSPRDOPT($BW237,$BV237,$CG237,2*LN(1+CA237/2),$BY237,$BX237,$BZ237,$AJ237,1,8)+(AJ237/365.25)*CH237/AH237,0)</f>
        <v>0.80853337545408555</v>
      </c>
      <c r="BO237" s="137">
        <f>_xll.xSPRDOPT($BW237,$BV237,$CG237,0,$BY237,$BX237,$BZ237,$AJ237,1,0)</f>
        <v>0.22472828560089231</v>
      </c>
      <c r="BP237" s="137"/>
      <c r="BQ237" s="137"/>
      <c r="BR237" s="137"/>
      <c r="BS237" s="137"/>
      <c r="BV237" s="262">
        <v>4.9984654731457798</v>
      </c>
      <c r="BW237" s="136">
        <v>5.2595000000000001</v>
      </c>
      <c r="BX237" s="137">
        <v>0.17660340602560129</v>
      </c>
      <c r="BY237" s="137">
        <v>0.17660340602560129</v>
      </c>
      <c r="BZ237" s="137">
        <v>1</v>
      </c>
      <c r="CA237" s="137">
        <v>6.5766743053772295E-2</v>
      </c>
      <c r="CB237" s="137">
        <v>0.3119717313148761</v>
      </c>
      <c r="CC237" s="258">
        <v>1.9E-2</v>
      </c>
      <c r="CD237" s="258">
        <v>7.4999999999999997E-3</v>
      </c>
      <c r="CE237" s="258">
        <v>0.4</v>
      </c>
      <c r="CF237" s="258">
        <v>0</v>
      </c>
      <c r="CG237" s="258">
        <v>3.6400000000000002E-2</v>
      </c>
      <c r="CH237" s="258">
        <v>3.5657432974096395</v>
      </c>
      <c r="CI237" s="258">
        <v>4.8594999999999997</v>
      </c>
      <c r="CJ237" s="258"/>
      <c r="CK237" s="258"/>
      <c r="CL237" s="258"/>
      <c r="CM237" s="258"/>
    </row>
    <row r="238" spans="1:91" x14ac:dyDescent="0.25">
      <c r="A238" s="723"/>
      <c r="B238" s="723"/>
      <c r="D238" s="31">
        <f t="shared" si="199"/>
        <v>43845</v>
      </c>
      <c r="F238" s="28">
        <f t="shared" si="200"/>
        <v>11107</v>
      </c>
      <c r="G238" s="28">
        <f t="shared" si="181"/>
        <v>3445.4781046133339</v>
      </c>
      <c r="H238" s="52">
        <f t="shared" si="201"/>
        <v>5.0598465473145788</v>
      </c>
      <c r="I238" s="52">
        <f t="shared" si="202"/>
        <v>5.2694999999999999</v>
      </c>
      <c r="K238" s="52">
        <f t="shared" si="203"/>
        <v>1.6660817782537762</v>
      </c>
      <c r="L238" s="135">
        <f t="shared" si="204"/>
        <v>1.983744220902306E-3</v>
      </c>
      <c r="N238" s="131">
        <f t="shared" si="182"/>
        <v>0.17657593191599164</v>
      </c>
      <c r="O238" s="131">
        <f t="shared" si="183"/>
        <v>0.17657593191599164</v>
      </c>
      <c r="P238" s="55">
        <f t="shared" si="205"/>
        <v>0.99999999999999989</v>
      </c>
      <c r="Q238" s="135">
        <f>_xll.xSPRDOPT(I238,H238,AQ238,0,O238,N238,P238,D238-$G$5,1,0)*AH238*AU238</f>
        <v>1.6680655224746785</v>
      </c>
      <c r="R238" s="135"/>
      <c r="S238" s="181">
        <f t="shared" si="206"/>
        <v>-106899.54659864528</v>
      </c>
      <c r="T238" s="181">
        <f>_xll.xSPRDOPT(I238,H238,AQ238,AT238,O238,N238,P238,D238-$G$5,1,1)*AF238*F238*AH238</f>
        <v>104494.30680017576</v>
      </c>
      <c r="U238" s="135"/>
      <c r="V238" s="146">
        <f t="shared" si="207"/>
        <v>3.5455821637074836</v>
      </c>
      <c r="W238" s="146"/>
      <c r="X238" s="338">
        <f t="shared" si="208"/>
        <v>0</v>
      </c>
      <c r="Y238" s="338">
        <f t="shared" si="184"/>
        <v>0</v>
      </c>
      <c r="Z238" s="338">
        <f t="shared" si="185"/>
        <v>9.8152703104717229</v>
      </c>
      <c r="AA238" s="338">
        <f t="shared" si="186"/>
        <v>2.371587131183323E-3</v>
      </c>
      <c r="AB238" s="338">
        <f t="shared" si="209"/>
        <v>0</v>
      </c>
      <c r="AC238" s="338">
        <f t="shared" si="210"/>
        <v>10.008860579489642</v>
      </c>
      <c r="AF238" s="138">
        <f t="shared" si="211"/>
        <v>1</v>
      </c>
      <c r="AG238" s="138">
        <f t="shared" si="212"/>
        <v>1</v>
      </c>
      <c r="AH238" s="138">
        <f t="shared" si="187"/>
        <v>31</v>
      </c>
      <c r="AI238" s="138">
        <f t="shared" si="213"/>
        <v>6589</v>
      </c>
      <c r="AJ238" s="138">
        <f t="shared" si="214"/>
        <v>6606</v>
      </c>
      <c r="AL238" s="136">
        <f t="shared" si="188"/>
        <v>4.9195000000000002</v>
      </c>
      <c r="AM238" s="258">
        <f t="shared" si="189"/>
        <v>1.9E-2</v>
      </c>
      <c r="AN238" s="258">
        <f t="shared" si="190"/>
        <v>7.4999999999999997E-3</v>
      </c>
      <c r="AO238" s="258">
        <f t="shared" si="191"/>
        <v>0.35</v>
      </c>
      <c r="AP238" s="258">
        <f t="shared" si="192"/>
        <v>0</v>
      </c>
      <c r="AQ238" s="136">
        <f t="shared" si="215"/>
        <v>3.6400000000000002E-2</v>
      </c>
      <c r="AR238" s="137">
        <f t="shared" si="193"/>
        <v>2.2499999999999999E-2</v>
      </c>
      <c r="AS238" s="136">
        <f t="shared" si="216"/>
        <v>4.9460000000000006</v>
      </c>
      <c r="AT238" s="137">
        <f t="shared" si="217"/>
        <v>6.58072871888193E-2</v>
      </c>
      <c r="AU238" s="137">
        <f t="shared" si="194"/>
        <v>0.31020780630353234</v>
      </c>
      <c r="AV238" s="394">
        <f t="shared" si="218"/>
        <v>2461.8091508248326</v>
      </c>
      <c r="AW238" s="137">
        <f t="shared" si="195"/>
        <v>0.17</v>
      </c>
      <c r="AX238" s="137">
        <f t="shared" si="196"/>
        <v>1</v>
      </c>
      <c r="AY238" s="137">
        <f t="shared" si="197"/>
        <v>1</v>
      </c>
      <c r="AZ238" s="137"/>
      <c r="BA238" s="264"/>
      <c r="BB238" s="258">
        <f t="shared" si="198"/>
        <v>0</v>
      </c>
      <c r="BC238" s="258">
        <f t="shared" si="219"/>
        <v>0</v>
      </c>
      <c r="BD238" s="137">
        <f t="shared" si="220"/>
        <v>2.9300962820499876E-6</v>
      </c>
      <c r="BE238" s="137">
        <f t="shared" si="221"/>
        <v>2.9300962820499876E-6</v>
      </c>
      <c r="BF238" s="137">
        <f>_xll.xSPRDOPT($BW238,$BV238,$CG238,0,$BY238,$BX238,$BZ238,$AJ238,1,4)*$CB238</f>
        <v>-9.2399978245031471E-8</v>
      </c>
      <c r="BG238" s="137">
        <f>_xll.xSPRDOPT($BW238,$BV238,$CG238,0,$BY238,$BX238,$BZ238,$AJ238,1,3)*$CB238</f>
        <v>-1.8479995649006295E-8</v>
      </c>
      <c r="BH238" s="137">
        <f>IF(OR(BF238&lt;&gt;0,BG238&lt;&gt;0),_xll.xSPRDOPT($BW238,$BV238,$CG238,0,$BY238,$BX238,$BZ238,$AJ238,1,12)*$CB238,0)</f>
        <v>-4.6199989122515735E-8</v>
      </c>
      <c r="BI238" s="137">
        <f>_xll.xSPRDOPT($BW238,$BV238,$CG238,2*LN(1+CA238/2),$BY238,$BX238,$BZ238,$AJ238,1,9)</f>
        <v>3.4706655793932104E-3</v>
      </c>
      <c r="BJ238" s="137">
        <f>_xll.xSPRDOPT($BW238,$BV238,$CG238,0,$BY238,$BX238,$BZ238,$AJ238,1,6)*$CB238</f>
        <v>-5.6732778652026403E-2</v>
      </c>
      <c r="BK238" s="137">
        <f>_xll.xSPRDOPT($BW238,$BV238,$CG238,0,$BY238,$BX238,$BZ238,$AJ238,1,5)*$CB238</f>
        <v>5.9083486883094095E-2</v>
      </c>
      <c r="BL238" s="137">
        <f>_xll.xSPRDOPT(BW238,BV238,CG238,0,BY238,BX238,BZ238,AJ238,1,2)*CB238</f>
        <v>-0.30918748142231056</v>
      </c>
      <c r="BM238" s="137">
        <f>_xll.xSPRDOPT(BW238,BV238,CG238,0,BY238,BX238,BZ238,AJ238,1,1)*CB238</f>
        <v>0.3091874814172349</v>
      </c>
      <c r="BN238" s="137">
        <f>IF(AH238&lt;&gt;0,_xll.xSPRDOPT($BW238,$BV238,$CG238,2*LN(1+CA238/2),$BY238,$BX238,$BZ238,$AJ238,1,8)+(AJ238/365.25)*CH238/AH238,0)</f>
        <v>1.0948102555686425</v>
      </c>
      <c r="BO238" s="137">
        <f>_xll.xSPRDOPT($BW238,$BV238,$CG238,0,$BY238,$BX238,$BZ238,$AJ238,1,0)</f>
        <v>0.17346002127170046</v>
      </c>
      <c r="BP238" s="137"/>
      <c r="BQ238" s="137"/>
      <c r="BR238" s="137"/>
      <c r="BS238" s="137"/>
      <c r="BV238" s="262">
        <v>5.0598465473145788</v>
      </c>
      <c r="BW238" s="136">
        <v>5.2694999999999999</v>
      </c>
      <c r="BX238" s="137">
        <v>0.17657300181970959</v>
      </c>
      <c r="BY238" s="137">
        <v>0.17657300181970959</v>
      </c>
      <c r="BZ238" s="137">
        <v>1</v>
      </c>
      <c r="CA238" s="137">
        <v>6.58072871888193E-2</v>
      </c>
      <c r="CB238" s="137">
        <v>0.31004287868243879</v>
      </c>
      <c r="CC238" s="258">
        <v>1.9E-2</v>
      </c>
      <c r="CD238" s="258">
        <v>7.4999999999999997E-3</v>
      </c>
      <c r="CE238" s="258">
        <v>0.35</v>
      </c>
      <c r="CF238" s="258">
        <v>0</v>
      </c>
      <c r="CG238" s="258">
        <v>3.6400000000000002E-2</v>
      </c>
      <c r="CH238" s="258">
        <v>3.5436970904766709</v>
      </c>
      <c r="CI238" s="258">
        <v>4.9195000000000002</v>
      </c>
      <c r="CJ238" s="258"/>
      <c r="CK238" s="258"/>
      <c r="CL238" s="258"/>
      <c r="CM238" s="258"/>
    </row>
    <row r="239" spans="1:91" x14ac:dyDescent="0.25">
      <c r="A239" s="723"/>
      <c r="B239" s="723"/>
      <c r="D239" s="31">
        <f t="shared" si="199"/>
        <v>43876</v>
      </c>
      <c r="F239" s="28">
        <f t="shared" si="200"/>
        <v>11107</v>
      </c>
      <c r="G239" s="28">
        <f t="shared" si="181"/>
        <v>3424.1538073539291</v>
      </c>
      <c r="H239" s="52">
        <f t="shared" si="201"/>
        <v>4.972890025575448</v>
      </c>
      <c r="I239" s="52">
        <f t="shared" si="202"/>
        <v>5.1844999999999999</v>
      </c>
      <c r="K239" s="52">
        <f t="shared" si="203"/>
        <v>1.5664383838439004</v>
      </c>
      <c r="L239" s="135">
        <f t="shared" si="204"/>
        <v>1.7938537513781938E-3</v>
      </c>
      <c r="N239" s="131">
        <f t="shared" si="182"/>
        <v>0.17613172058991869</v>
      </c>
      <c r="O239" s="131">
        <f t="shared" si="183"/>
        <v>0.17613172058991869</v>
      </c>
      <c r="P239" s="55">
        <f t="shared" si="205"/>
        <v>1.0000000000000002</v>
      </c>
      <c r="Q239" s="135">
        <f>_xll.xSPRDOPT(I239,H239,AQ239,0,O239,N239,P239,D239-$G$5,1,0)*AH239*AU239</f>
        <v>1.5682322375952786</v>
      </c>
      <c r="R239" s="135"/>
      <c r="S239" s="181">
        <f t="shared" si="206"/>
        <v>-99372.496790575387</v>
      </c>
      <c r="T239" s="181">
        <f>_xll.xSPRDOPT(I239,H239,AQ239,AT239,O239,N239,P239,D239-$G$5,1,1)*AF239*F239*AH239</f>
        <v>97136.615612787442</v>
      </c>
      <c r="U239" s="135"/>
      <c r="V239" s="146">
        <f t="shared" si="207"/>
        <v>3.2963068114135607</v>
      </c>
      <c r="W239" s="146"/>
      <c r="X239" s="338">
        <f t="shared" si="208"/>
        <v>0</v>
      </c>
      <c r="Y239" s="338">
        <f t="shared" si="184"/>
        <v>0</v>
      </c>
      <c r="Z239" s="338">
        <f t="shared" si="185"/>
        <v>9.233632815691406</v>
      </c>
      <c r="AA239" s="338">
        <f t="shared" si="186"/>
        <v>2.0738844961598587E-3</v>
      </c>
      <c r="AB239" s="338">
        <f t="shared" si="209"/>
        <v>0</v>
      </c>
      <c r="AC239" s="338">
        <f t="shared" si="210"/>
        <v>9.4156272734371562</v>
      </c>
      <c r="AF239" s="138">
        <f t="shared" si="211"/>
        <v>1</v>
      </c>
      <c r="AG239" s="138">
        <f t="shared" si="212"/>
        <v>2</v>
      </c>
      <c r="AH239" s="138">
        <f t="shared" si="187"/>
        <v>29</v>
      </c>
      <c r="AI239" s="138">
        <f t="shared" si="213"/>
        <v>6620</v>
      </c>
      <c r="AJ239" s="138">
        <f t="shared" si="214"/>
        <v>6637</v>
      </c>
      <c r="AL239" s="136">
        <f t="shared" si="188"/>
        <v>4.8345000000000002</v>
      </c>
      <c r="AM239" s="258">
        <f t="shared" si="189"/>
        <v>1.9E-2</v>
      </c>
      <c r="AN239" s="258">
        <f t="shared" si="190"/>
        <v>7.4999999999999997E-3</v>
      </c>
      <c r="AO239" s="258">
        <f t="shared" si="191"/>
        <v>0.35</v>
      </c>
      <c r="AP239" s="258">
        <f t="shared" si="192"/>
        <v>0</v>
      </c>
      <c r="AQ239" s="136">
        <f t="shared" si="215"/>
        <v>3.6400000000000002E-2</v>
      </c>
      <c r="AR239" s="137">
        <f t="shared" si="193"/>
        <v>2.2499999999999999E-2</v>
      </c>
      <c r="AS239" s="136">
        <f t="shared" si="216"/>
        <v>4.8610000000000007</v>
      </c>
      <c r="AT239" s="137">
        <f t="shared" si="217"/>
        <v>6.5847831324411299E-2</v>
      </c>
      <c r="AU239" s="137">
        <f t="shared" si="194"/>
        <v>0.30828790918825327</v>
      </c>
      <c r="AV239" s="394">
        <f t="shared" si="218"/>
        <v>2288.7294378135921</v>
      </c>
      <c r="AW239" s="137">
        <f t="shared" si="195"/>
        <v>0.17</v>
      </c>
      <c r="AX239" s="137">
        <f t="shared" si="196"/>
        <v>1</v>
      </c>
      <c r="AY239" s="137">
        <f t="shared" si="197"/>
        <v>1</v>
      </c>
      <c r="AZ239" s="137"/>
      <c r="BA239" s="264"/>
      <c r="BB239" s="258">
        <f t="shared" si="198"/>
        <v>0</v>
      </c>
      <c r="BC239" s="258">
        <f t="shared" si="219"/>
        <v>0</v>
      </c>
      <c r="BD239" s="137">
        <f t="shared" si="220"/>
        <v>2.72317945942957E-6</v>
      </c>
      <c r="BE239" s="137">
        <f t="shared" si="221"/>
        <v>2.72317945942957E-6</v>
      </c>
      <c r="BF239" s="137">
        <f>_xll.xSPRDOPT($BW239,$BV239,$CG239,0,$BY239,$BX239,$BZ239,$AJ239,1,4)*$CB239</f>
        <v>6.6116216821335648E-7</v>
      </c>
      <c r="BG239" s="137">
        <f>_xll.xSPRDOPT($BW239,$BV239,$CG239,0,$BY239,$BX239,$BZ239,$AJ239,1,3)*$CB239</f>
        <v>2.9384985253926955E-7</v>
      </c>
      <c r="BH239" s="137">
        <f>IF(OR(BF239&lt;&gt;0,BG239&lt;&gt;0),_xll.xSPRDOPT($BW239,$BV239,$CG239,0,$BY239,$BX239,$BZ239,$AJ239,1,12)*$CB239,0)</f>
        <v>-5.9688251297039127E-7</v>
      </c>
      <c r="BI239" s="137">
        <f>_xll.xSPRDOPT($BW239,$BV239,$CG239,2*LN(1+CA239/2),$BY239,$BX239,$BZ239,$AJ239,1,9)</f>
        <v>3.4901717627914947E-3</v>
      </c>
      <c r="BJ239" s="137">
        <f>_xll.xSPRDOPT($BW239,$BV239,$CG239,0,$BY239,$BX239,$BZ239,$AJ239,1,6)*$CB239</f>
        <v>-5.5563072440433028E-2</v>
      </c>
      <c r="BK239" s="137">
        <f>_xll.xSPRDOPT($BW239,$BV239,$CG239,0,$BY239,$BX239,$BZ239,$AJ239,1,5)*$CB239</f>
        <v>5.7927432054926349E-2</v>
      </c>
      <c r="BL239" s="137">
        <f>_xll.xSPRDOPT(BW239,BV239,CG239,0,BY239,BX239,BZ239,AJ239,1,2)*CB239</f>
        <v>-0.30727345206817075</v>
      </c>
      <c r="BM239" s="137">
        <f>_xll.xSPRDOPT(BW239,BV239,CG239,0,BY239,BX239,BZ239,AJ239,1,1)*CB239</f>
        <v>0.30727345207307488</v>
      </c>
      <c r="BN239" s="137">
        <f>IF(AH239&lt;&gt;0,_xll.xSPRDOPT($BW239,$BV239,$CG239,2*LN(1+CA239/2),$BY239,$BX239,$BZ239,$AJ239,1,8)+(AJ239/365.25)*CH239/AH239,0)</f>
        <v>1.082216955220644</v>
      </c>
      <c r="BO239" s="137">
        <f>_xll.xSPRDOPT($BW239,$BV239,$CG239,0,$BY239,$BX239,$BZ239,$AJ239,1,0)</f>
        <v>0.17541090602008474</v>
      </c>
      <c r="BP239" s="137"/>
      <c r="BQ239" s="137"/>
      <c r="BR239" s="137"/>
      <c r="BS239" s="137"/>
      <c r="BV239" s="262">
        <v>4.972890025575448</v>
      </c>
      <c r="BW239" s="136">
        <v>5.1844999999999999</v>
      </c>
      <c r="BX239" s="137">
        <v>0.17612899741045926</v>
      </c>
      <c r="BY239" s="137">
        <v>0.17612899741045926</v>
      </c>
      <c r="BZ239" s="137">
        <v>1</v>
      </c>
      <c r="CA239" s="137">
        <v>6.5847831324411299E-2</v>
      </c>
      <c r="CB239" s="137">
        <v>0.30812390297621711</v>
      </c>
      <c r="CC239" s="258">
        <v>1.9E-2</v>
      </c>
      <c r="CD239" s="258">
        <v>7.4999999999999997E-3</v>
      </c>
      <c r="CE239" s="258">
        <v>0.35</v>
      </c>
      <c r="CF239" s="258">
        <v>0</v>
      </c>
      <c r="CG239" s="258">
        <v>3.6400000000000002E-2</v>
      </c>
      <c r="CH239" s="258">
        <v>3.2945532077926067</v>
      </c>
      <c r="CI239" s="258">
        <v>4.8345000000000002</v>
      </c>
      <c r="CJ239" s="258"/>
      <c r="CK239" s="258"/>
      <c r="CL239" s="258"/>
      <c r="CM239" s="258"/>
    </row>
    <row r="240" spans="1:91" x14ac:dyDescent="0.25">
      <c r="A240" s="723"/>
      <c r="B240" s="723"/>
      <c r="D240" s="31">
        <f t="shared" si="199"/>
        <v>43905</v>
      </c>
      <c r="F240" s="28">
        <f t="shared" si="200"/>
        <v>11107</v>
      </c>
      <c r="G240" s="28">
        <f t="shared" si="181"/>
        <v>3404.3042757625799</v>
      </c>
      <c r="H240" s="52">
        <f t="shared" si="201"/>
        <v>4.8450127877237854</v>
      </c>
      <c r="I240" s="52">
        <f t="shared" si="202"/>
        <v>5.1045000000000007</v>
      </c>
      <c r="K240" s="52">
        <f t="shared" si="203"/>
        <v>2.1196686116157464</v>
      </c>
      <c r="L240" s="135">
        <f t="shared" si="204"/>
        <v>8.2675949671839888E-4</v>
      </c>
      <c r="N240" s="131">
        <f t="shared" si="182"/>
        <v>0.17361170275238677</v>
      </c>
      <c r="O240" s="131">
        <f t="shared" si="183"/>
        <v>0.17361170275238677</v>
      </c>
      <c r="P240" s="55">
        <f t="shared" si="205"/>
        <v>0.99999999999999967</v>
      </c>
      <c r="Q240" s="135">
        <f>_xll.xSPRDOPT(I240,H240,AQ240,0,O240,N240,P240,D240-$G$5,1,0)*AH240*AU240</f>
        <v>2.1204953711124648</v>
      </c>
      <c r="R240" s="135"/>
      <c r="S240" s="181">
        <f t="shared" si="206"/>
        <v>-105750.18986333313</v>
      </c>
      <c r="T240" s="181">
        <f>_xll.xSPRDOPT(I240,H240,AQ240,AT240,O240,N240,P240,D240-$G$5,1,1)*AF240*F240*AH240</f>
        <v>103370.81059140814</v>
      </c>
      <c r="U240" s="135"/>
      <c r="V240" s="146">
        <f t="shared" si="207"/>
        <v>3.5032120807313913</v>
      </c>
      <c r="W240" s="146"/>
      <c r="X240" s="338">
        <f t="shared" si="208"/>
        <v>0</v>
      </c>
      <c r="Y240" s="338">
        <f t="shared" si="184"/>
        <v>0</v>
      </c>
      <c r="Z240" s="338">
        <f t="shared" si="185"/>
        <v>12.513364039275503</v>
      </c>
      <c r="AA240" s="338">
        <f t="shared" si="186"/>
        <v>8.2448376073828355E-4</v>
      </c>
      <c r="AB240" s="338">
        <f t="shared" si="209"/>
        <v>0</v>
      </c>
      <c r="AC240" s="338">
        <f t="shared" si="210"/>
        <v>12.738720540387408</v>
      </c>
      <c r="AF240" s="138">
        <f t="shared" si="211"/>
        <v>1</v>
      </c>
      <c r="AG240" s="138">
        <f t="shared" si="212"/>
        <v>3</v>
      </c>
      <c r="AH240" s="138">
        <f t="shared" si="187"/>
        <v>31</v>
      </c>
      <c r="AI240" s="138">
        <f t="shared" si="213"/>
        <v>6649</v>
      </c>
      <c r="AJ240" s="138">
        <f t="shared" si="214"/>
        <v>6666</v>
      </c>
      <c r="AL240" s="136">
        <f t="shared" si="188"/>
        <v>4.7045000000000003</v>
      </c>
      <c r="AM240" s="258">
        <f t="shared" si="189"/>
        <v>2.4E-2</v>
      </c>
      <c r="AN240" s="258">
        <f t="shared" si="190"/>
        <v>7.4999999999999997E-3</v>
      </c>
      <c r="AO240" s="258">
        <f t="shared" si="191"/>
        <v>0.4</v>
      </c>
      <c r="AP240" s="258">
        <f t="shared" si="192"/>
        <v>0</v>
      </c>
      <c r="AQ240" s="136">
        <f t="shared" si="215"/>
        <v>3.6400000000000002E-2</v>
      </c>
      <c r="AR240" s="137">
        <f t="shared" si="193"/>
        <v>2.2499999999999999E-2</v>
      </c>
      <c r="AS240" s="136">
        <f t="shared" si="216"/>
        <v>4.7360000000000007</v>
      </c>
      <c r="AT240" s="137">
        <f t="shared" si="217"/>
        <v>6.5885759709813002E-2</v>
      </c>
      <c r="AU240" s="137">
        <f t="shared" si="194"/>
        <v>0.30650079011097325</v>
      </c>
      <c r="AV240" s="394">
        <f t="shared" si="218"/>
        <v>2432.3902703206836</v>
      </c>
      <c r="AW240" s="137">
        <f t="shared" si="195"/>
        <v>0.17</v>
      </c>
      <c r="AX240" s="137">
        <f t="shared" si="196"/>
        <v>0.75</v>
      </c>
      <c r="AY240" s="137">
        <f t="shared" si="197"/>
        <v>0.75</v>
      </c>
      <c r="AZ240" s="137"/>
      <c r="BA240" s="264"/>
      <c r="BB240" s="258">
        <f t="shared" si="198"/>
        <v>0</v>
      </c>
      <c r="BC240" s="258">
        <f t="shared" si="219"/>
        <v>0</v>
      </c>
      <c r="BD240" s="137">
        <f t="shared" si="220"/>
        <v>1.6081671862511193E-6</v>
      </c>
      <c r="BE240" s="137">
        <f t="shared" si="221"/>
        <v>1.6081671862511193E-6</v>
      </c>
      <c r="BF240" s="137">
        <f>_xll.xSPRDOPT($BW240,$BV240,$CG240,0,$BY240,$BX240,$BZ240,$AJ240,1,4)*$CB240</f>
        <v>-1.8259146347014028E-8</v>
      </c>
      <c r="BG240" s="137">
        <f>_xll.xSPRDOPT($BW240,$BV240,$CG240,0,$BY240,$BX240,$BZ240,$AJ240,1,3)*$CB240</f>
        <v>3.8344207328729457E-7</v>
      </c>
      <c r="BH240" s="137">
        <f>IF(OR(BF240&lt;&gt;0,BG240&lt;&gt;0),_xll.xSPRDOPT($BW240,$BV240,$CG240,0,$BY240,$BX240,$BZ240,$AJ240,1,12)*$CB240,0)</f>
        <v>-2.556280488581964E-7</v>
      </c>
      <c r="BI240" s="137">
        <f>_xll.xSPRDOPT($BW240,$BV240,$CG240,2*LN(1+CA240/2),$BY240,$BX240,$BZ240,$AJ240,1,9)</f>
        <v>4.42470767281834E-3</v>
      </c>
      <c r="BJ240" s="137">
        <f>_xll.xSPRDOPT($BW240,$BV240,$CG240,0,$BY240,$BX240,$BZ240,$AJ240,1,6)*$CB240</f>
        <v>-2.7801703793530936E-2</v>
      </c>
      <c r="BK240" s="137">
        <f>_xll.xSPRDOPT($BW240,$BV240,$CG240,0,$BY240,$BX240,$BZ240,$AJ240,1,5)*$CB240</f>
        <v>2.9290696066596737E-2</v>
      </c>
      <c r="BL240" s="137">
        <f>_xll.xSPRDOPT(BW240,BV240,CG240,0,BY240,BX240,BZ240,AJ240,1,2)*CB240</f>
        <v>-0.30592998385590014</v>
      </c>
      <c r="BM240" s="137">
        <f>_xll.xSPRDOPT(BW240,BV240,CG240,0,BY240,BX240,BZ240,AJ240,1,1)*CB240</f>
        <v>0.30592998386063652</v>
      </c>
      <c r="BN240" s="137">
        <f>IF(AH240&lt;&gt;0,_xll.xSPRDOPT($BW240,$BV240,$CG240,2*LN(1+CA240/2),$BY240,$BX240,$BZ240,$AJ240,1,8)+(AJ240/365.25)*CH240/AH240,0)</f>
        <v>0.81360727929146859</v>
      </c>
      <c r="BO240" s="137">
        <f>_xll.xSPRDOPT($BW240,$BV240,$CG240,0,$BY240,$BX240,$BZ240,$AJ240,1,0)</f>
        <v>0.22317440776470401</v>
      </c>
      <c r="BP240" s="137"/>
      <c r="BQ240" s="137"/>
      <c r="BR240" s="137"/>
      <c r="BS240" s="137"/>
      <c r="BV240" s="262">
        <v>4.8450127877237854</v>
      </c>
      <c r="BW240" s="136">
        <v>5.1045000000000007</v>
      </c>
      <c r="BX240" s="137">
        <v>0.17361009458520052</v>
      </c>
      <c r="BY240" s="137">
        <v>0.17361009458520052</v>
      </c>
      <c r="BZ240" s="137">
        <v>1</v>
      </c>
      <c r="CA240" s="137">
        <v>6.5885759709813002E-2</v>
      </c>
      <c r="CB240" s="137">
        <v>0.3063376422394653</v>
      </c>
      <c r="CC240" s="258">
        <v>2.4E-2</v>
      </c>
      <c r="CD240" s="258">
        <v>7.4999999999999997E-3</v>
      </c>
      <c r="CE240" s="258">
        <v>0.4</v>
      </c>
      <c r="CF240" s="258">
        <v>0</v>
      </c>
      <c r="CG240" s="258">
        <v>3.6400000000000002E-2</v>
      </c>
      <c r="CH240" s="258">
        <v>3.5013473495044165</v>
      </c>
      <c r="CI240" s="258">
        <v>4.7045000000000003</v>
      </c>
      <c r="CJ240" s="258"/>
      <c r="CK240" s="258"/>
      <c r="CL240" s="258"/>
      <c r="CM240" s="258"/>
    </row>
    <row r="241" spans="1:91" x14ac:dyDescent="0.25">
      <c r="A241" s="723"/>
      <c r="B241" s="723"/>
      <c r="D241" s="31">
        <f t="shared" si="199"/>
        <v>43936</v>
      </c>
      <c r="F241" s="28">
        <f t="shared" si="200"/>
        <v>5899</v>
      </c>
      <c r="G241" s="28">
        <f t="shared" si="181"/>
        <v>1796.8349054280845</v>
      </c>
      <c r="H241" s="52">
        <f t="shared" si="201"/>
        <v>4.6583120204603574</v>
      </c>
      <c r="I241" s="52">
        <f t="shared" si="202"/>
        <v>5.1194999999999995</v>
      </c>
      <c r="K241" s="52">
        <f t="shared" si="203"/>
        <v>3.8817114886070518</v>
      </c>
      <c r="L241" s="135">
        <f t="shared" si="204"/>
        <v>5.1173280548155731E-5</v>
      </c>
      <c r="N241" s="131">
        <f t="shared" si="182"/>
        <v>0.17086171795252392</v>
      </c>
      <c r="O241" s="131">
        <f t="shared" si="183"/>
        <v>0.17086171795252392</v>
      </c>
      <c r="P241" s="55">
        <f t="shared" si="205"/>
        <v>1</v>
      </c>
      <c r="Q241" s="135">
        <f>_xll.xSPRDOPT(I241,H241,AQ241,0,O241,N241,P241,D241-$G$5,1,0)*AH241*AU241</f>
        <v>3.8817626618876</v>
      </c>
      <c r="R241" s="135"/>
      <c r="S241" s="181">
        <f t="shared" si="206"/>
        <v>-54079.513962416735</v>
      </c>
      <c r="T241" s="181">
        <f>_xll.xSPRDOPT(I241,H241,AQ241,AT241,O241,N241,P241,D241-$G$5,1,1)*AF241*F241*AH241</f>
        <v>52862.724898262357</v>
      </c>
      <c r="U241" s="135"/>
      <c r="V241" s="146">
        <f t="shared" si="207"/>
        <v>3.3691796726462186</v>
      </c>
      <c r="W241" s="146"/>
      <c r="X241" s="338">
        <f t="shared" si="208"/>
        <v>0</v>
      </c>
      <c r="Y241" s="338">
        <f t="shared" si="184"/>
        <v>0</v>
      </c>
      <c r="Z241" s="338">
        <f t="shared" si="185"/>
        <v>12.192159528717273</v>
      </c>
      <c r="AA241" s="338">
        <f t="shared" si="186"/>
        <v>6.6898993680260576E-6</v>
      </c>
      <c r="AB241" s="338">
        <f t="shared" si="209"/>
        <v>0</v>
      </c>
      <c r="AC241" s="338">
        <f t="shared" si="210"/>
        <v>12.392695301326158</v>
      </c>
      <c r="AF241" s="138">
        <f t="shared" si="211"/>
        <v>1</v>
      </c>
      <c r="AG241" s="138">
        <f t="shared" si="212"/>
        <v>4</v>
      </c>
      <c r="AH241" s="138">
        <f t="shared" si="187"/>
        <v>30</v>
      </c>
      <c r="AI241" s="138">
        <f t="shared" si="213"/>
        <v>6680</v>
      </c>
      <c r="AJ241" s="138">
        <f t="shared" si="214"/>
        <v>6697</v>
      </c>
      <c r="AL241" s="136">
        <f t="shared" si="188"/>
        <v>4.5194999999999999</v>
      </c>
      <c r="AM241" s="258">
        <f t="shared" si="189"/>
        <v>2.4E-2</v>
      </c>
      <c r="AN241" s="258">
        <f t="shared" si="190"/>
        <v>0.01</v>
      </c>
      <c r="AO241" s="258">
        <f t="shared" si="191"/>
        <v>0.6</v>
      </c>
      <c r="AP241" s="258">
        <f t="shared" si="192"/>
        <v>0</v>
      </c>
      <c r="AQ241" s="136">
        <f t="shared" si="215"/>
        <v>3.6400000000000002E-2</v>
      </c>
      <c r="AR241" s="137">
        <f t="shared" si="193"/>
        <v>2.2499999999999999E-2</v>
      </c>
      <c r="AS241" s="136">
        <f t="shared" si="216"/>
        <v>4.5534999999999997</v>
      </c>
      <c r="AT241" s="137">
        <f t="shared" si="217"/>
        <v>6.5926303846458797E-2</v>
      </c>
      <c r="AU241" s="137">
        <f t="shared" si="194"/>
        <v>0.30459991616004145</v>
      </c>
      <c r="AV241" s="394">
        <f t="shared" si="218"/>
        <v>1242.7676579329691</v>
      </c>
      <c r="AW241" s="137">
        <f t="shared" si="195"/>
        <v>0.17</v>
      </c>
      <c r="AX241" s="137">
        <f t="shared" si="196"/>
        <v>0.4</v>
      </c>
      <c r="AY241" s="137">
        <f t="shared" si="197"/>
        <v>0.4</v>
      </c>
      <c r="AZ241" s="137"/>
      <c r="BA241" s="264"/>
      <c r="BB241" s="258">
        <f t="shared" si="198"/>
        <v>0</v>
      </c>
      <c r="BC241" s="258">
        <f t="shared" si="219"/>
        <v>0</v>
      </c>
      <c r="BD241" s="137">
        <f t="shared" si="220"/>
        <v>3.8498623855520719E-7</v>
      </c>
      <c r="BE241" s="137">
        <f t="shared" si="221"/>
        <v>3.8498623855520719E-7</v>
      </c>
      <c r="BF241" s="137">
        <f>_xll.xSPRDOPT($BW241,$BV241,$CG241,0,$BY241,$BX241,$BZ241,$AJ241,1,4)*$CB241</f>
        <v>-3.629179977908686E-8</v>
      </c>
      <c r="BG241" s="137">
        <f>_xll.xSPRDOPT($BW241,$BV241,$CG241,0,$BY241,$BX241,$BZ241,$AJ241,1,3)*$CB241</f>
        <v>-3.629179977908686E-8</v>
      </c>
      <c r="BH241" s="137">
        <f>IF(OR(BF241&lt;&gt;0,BG241&lt;&gt;0),_xll.xSPRDOPT($BW241,$BV241,$CG241,0,$BY241,$BX241,$BZ241,$AJ241,1,12)*$CB241,0)</f>
        <v>-9.0729499447717146E-8</v>
      </c>
      <c r="BI241" s="137">
        <f>_xll.xSPRDOPT($BW241,$BV241,$CG241,2*LN(1+CA241/2),$BY241,$BX241,$BZ241,$AJ241,1,9)</f>
        <v>8.387836484270373E-3</v>
      </c>
      <c r="BJ241" s="137">
        <f>_xll.xSPRDOPT($BW241,$BV241,$CG241,0,$BY241,$BX241,$BZ241,$AJ241,1,6)*$CB241</f>
        <v>-9.918028222662158E-4</v>
      </c>
      <c r="BK241" s="137">
        <f>_xll.xSPRDOPT($BW241,$BV241,$CG241,0,$BY241,$BX241,$BZ241,$AJ241,1,5)*$CB241</f>
        <v>1.0899945107895462E-3</v>
      </c>
      <c r="BL241" s="137">
        <f>_xll.xSPRDOPT(BW241,BV241,CG241,0,BY241,BX241,BZ241,AJ241,1,2)*CB241</f>
        <v>-0.30442582251920597</v>
      </c>
      <c r="BM241" s="137">
        <f>_xll.xSPRDOPT(BW241,BV241,CG241,0,BY241,BX241,BZ241,AJ241,1,1)*CB241</f>
        <v>0.30442582251975975</v>
      </c>
      <c r="BN241" s="137">
        <f>IF(AH241&lt;&gt;0,_xll.xSPRDOPT($BW241,$BV241,$CG241,2*LN(1+CA241/2),$BY241,$BX241,$BZ241,$AJ241,1,8)+(AJ241/365.25)*CH241/AH241,0)</f>
        <v>-0.31311345525848155</v>
      </c>
      <c r="BO241" s="137">
        <f>_xll.xSPRDOPT($BW241,$BV241,$CG241,0,$BY241,$BX241,$BZ241,$AJ241,1,0)</f>
        <v>0.42479359181823473</v>
      </c>
      <c r="BP241" s="137"/>
      <c r="BQ241" s="137"/>
      <c r="BR241" s="137"/>
      <c r="BS241" s="137"/>
      <c r="BV241" s="262">
        <v>4.6583120204603574</v>
      </c>
      <c r="BW241" s="136">
        <v>5.1194999999999995</v>
      </c>
      <c r="BX241" s="137">
        <v>0.17086133296628536</v>
      </c>
      <c r="BY241" s="137">
        <v>0.17086133296628536</v>
      </c>
      <c r="BZ241" s="137">
        <v>1</v>
      </c>
      <c r="CA241" s="137">
        <v>6.5926303846458797E-2</v>
      </c>
      <c r="CB241" s="137">
        <v>0.30443768196124626</v>
      </c>
      <c r="CC241" s="258">
        <v>2.4E-2</v>
      </c>
      <c r="CD241" s="258">
        <v>0.01</v>
      </c>
      <c r="CE241" s="258">
        <v>0.6</v>
      </c>
      <c r="CF241" s="258">
        <v>0</v>
      </c>
      <c r="CG241" s="258">
        <v>3.6400000000000002E-2</v>
      </c>
      <c r="CH241" s="258">
        <v>3.3673852001733451</v>
      </c>
      <c r="CI241" s="258">
        <v>4.5194999999999999</v>
      </c>
      <c r="CJ241" s="258"/>
      <c r="CK241" s="258"/>
      <c r="CL241" s="258"/>
      <c r="CM241" s="258"/>
    </row>
    <row r="242" spans="1:91" x14ac:dyDescent="0.25">
      <c r="A242" s="723"/>
      <c r="B242" s="723"/>
      <c r="D242" s="31">
        <f t="shared" si="199"/>
        <v>43966</v>
      </c>
      <c r="F242" s="28">
        <f t="shared" si="200"/>
        <v>5895</v>
      </c>
      <c r="G242" s="28">
        <f t="shared" si="181"/>
        <v>1784.8272017209167</v>
      </c>
      <c r="H242" s="52">
        <f t="shared" si="201"/>
        <v>4.6557544757033247</v>
      </c>
      <c r="I242" s="52">
        <f t="shared" si="202"/>
        <v>5.2645</v>
      </c>
      <c r="K242" s="52">
        <f t="shared" si="203"/>
        <v>5.3719548222197968</v>
      </c>
      <c r="L242" s="135">
        <f t="shared" si="204"/>
        <v>1.5114811691141483E-5</v>
      </c>
      <c r="N242" s="131">
        <f t="shared" si="182"/>
        <v>0.1711726882791117</v>
      </c>
      <c r="O242" s="131">
        <f t="shared" si="183"/>
        <v>0.1711726882791117</v>
      </c>
      <c r="P242" s="55">
        <f t="shared" si="205"/>
        <v>1.0000000000000002</v>
      </c>
      <c r="Q242" s="135">
        <f>_xll.xSPRDOPT(I242,H242,AQ242,0,O242,N242,P242,D242-$G$5,1,0)*AH242*AU242</f>
        <v>5.371969937031488</v>
      </c>
      <c r="R242" s="135"/>
      <c r="S242" s="181">
        <f t="shared" si="206"/>
        <v>-55503.996597647551</v>
      </c>
      <c r="T242" s="181">
        <f>_xll.xSPRDOPT(I242,H242,AQ242,AT242,O242,N242,P242,D242-$G$5,1,1)*AF242*F242*AH242</f>
        <v>54255.15667420048</v>
      </c>
      <c r="U242" s="135"/>
      <c r="V242" s="146">
        <f t="shared" si="207"/>
        <v>3.4605664915198577</v>
      </c>
      <c r="W242" s="146"/>
      <c r="X242" s="338">
        <f t="shared" si="208"/>
        <v>0</v>
      </c>
      <c r="Y242" s="338">
        <f t="shared" si="184"/>
        <v>0</v>
      </c>
      <c r="Z242" s="338">
        <f t="shared" si="185"/>
        <v>16.871737797409349</v>
      </c>
      <c r="AA242" s="338">
        <f t="shared" si="186"/>
        <v>4.5719762027845417E-6</v>
      </c>
      <c r="AB242" s="338">
        <f t="shared" si="209"/>
        <v>0</v>
      </c>
      <c r="AC242" s="338">
        <f t="shared" si="210"/>
        <v>17.148811707997062</v>
      </c>
      <c r="AF242" s="138">
        <f t="shared" si="211"/>
        <v>1</v>
      </c>
      <c r="AG242" s="138">
        <f t="shared" si="212"/>
        <v>5</v>
      </c>
      <c r="AH242" s="138">
        <f t="shared" si="187"/>
        <v>31</v>
      </c>
      <c r="AI242" s="138">
        <f t="shared" si="213"/>
        <v>6710</v>
      </c>
      <c r="AJ242" s="138">
        <f t="shared" si="214"/>
        <v>6727</v>
      </c>
      <c r="AL242" s="136">
        <f t="shared" si="188"/>
        <v>4.5145</v>
      </c>
      <c r="AM242" s="258">
        <f t="shared" si="189"/>
        <v>2.6499999999999999E-2</v>
      </c>
      <c r="AN242" s="258">
        <f t="shared" si="190"/>
        <v>0.01</v>
      </c>
      <c r="AO242" s="258">
        <f t="shared" si="191"/>
        <v>0.75</v>
      </c>
      <c r="AP242" s="258">
        <f t="shared" si="192"/>
        <v>0</v>
      </c>
      <c r="AQ242" s="136">
        <f t="shared" si="215"/>
        <v>3.6400000000000002E-2</v>
      </c>
      <c r="AR242" s="137">
        <f t="shared" si="193"/>
        <v>2.2499999999999999E-2</v>
      </c>
      <c r="AS242" s="136">
        <f t="shared" si="216"/>
        <v>4.5510000000000002</v>
      </c>
      <c r="AT242" s="137">
        <f t="shared" si="217"/>
        <v>6.5965540108248205E-2</v>
      </c>
      <c r="AU242" s="137">
        <f t="shared" si="194"/>
        <v>0.30276966950312412</v>
      </c>
      <c r="AV242" s="394">
        <f t="shared" si="218"/>
        <v>1276.4769266251712</v>
      </c>
      <c r="AW242" s="137">
        <f t="shared" si="195"/>
        <v>0.17</v>
      </c>
      <c r="AX242" s="137">
        <f t="shared" si="196"/>
        <v>0.45</v>
      </c>
      <c r="AY242" s="137">
        <f t="shared" si="197"/>
        <v>0.45</v>
      </c>
      <c r="AZ242" s="137"/>
      <c r="BA242" s="264"/>
      <c r="BB242" s="258">
        <f t="shared" si="198"/>
        <v>0</v>
      </c>
      <c r="BC242" s="258">
        <f t="shared" si="219"/>
        <v>0</v>
      </c>
      <c r="BD242" s="137">
        <f t="shared" si="220"/>
        <v>5.2106995690470725E-7</v>
      </c>
      <c r="BE242" s="137">
        <f t="shared" si="221"/>
        <v>5.2106995690470725E-7</v>
      </c>
      <c r="BF242" s="137">
        <f>_xll.xSPRDOPT($BW242,$BV242,$CG242,0,$BY242,$BX242,$BZ242,$AJ242,1,4)*$CB242</f>
        <v>0</v>
      </c>
      <c r="BG242" s="137">
        <f>_xll.xSPRDOPT($BW242,$BV242,$CG242,0,$BY242,$BX242,$BZ242,$AJ242,1,3)*$CB242</f>
        <v>-2.1644233396842869E-7</v>
      </c>
      <c r="BH242" s="137">
        <f>IF(OR(BF242&lt;&gt;0,BG242&lt;&gt;0),_xll.xSPRDOPT($BW242,$BV242,$CG242,0,$BY242,$BX242,$BZ242,$AJ242,1,12)*$CB242,0)</f>
        <v>3.6073722328071453E-7</v>
      </c>
      <c r="BI242" s="137">
        <f>_xll.xSPRDOPT($BW242,$BV242,$CG242,2*LN(1+CA242/2),$BY242,$BX242,$BZ242,$AJ242,1,9)</f>
        <v>1.1240439283343394E-2</v>
      </c>
      <c r="BJ242" s="137">
        <f>_xll.xSPRDOPT($BW242,$BV242,$CG242,0,$BY242,$BX242,$BZ242,$AJ242,1,6)*$CB242</f>
        <v>-3.6721190105619888E-4</v>
      </c>
      <c r="BK242" s="137">
        <f>_xll.xSPRDOPT($BW242,$BV242,$CG242,0,$BY242,$BX242,$BZ242,$AJ242,1,5)*$CB242</f>
        <v>4.1522529696426245E-4</v>
      </c>
      <c r="BL242" s="137">
        <f>_xll.xSPRDOPT(BW242,BV242,CG242,0,BY242,BX242,BZ242,AJ242,1,2)*CB242</f>
        <v>-0.30260417124733963</v>
      </c>
      <c r="BM242" s="137">
        <f>_xll.xSPRDOPT(BW242,BV242,CG242,0,BY242,BX242,BZ242,AJ242,1,1)*CB242</f>
        <v>0.30260417124238564</v>
      </c>
      <c r="BN242" s="137">
        <f>IF(AH242&lt;&gt;0,_xll.xSPRDOPT($BW242,$BV242,$CG242,2*LN(1+CA242/2),$BY242,$BX242,$BZ242,$AJ242,1,8)+(AJ242/365.25)*CH242/AH242,0)</f>
        <v>-1.1349856694070919</v>
      </c>
      <c r="BO242" s="137">
        <f>_xll.xSPRDOPT($BW242,$BV242,$CG242,0,$BY242,$BX242,$BZ242,$AJ242,1,0)</f>
        <v>0.5723471406538676</v>
      </c>
      <c r="BP242" s="137"/>
      <c r="BQ242" s="137"/>
      <c r="BR242" s="137"/>
      <c r="BS242" s="137"/>
      <c r="BV242" s="262">
        <v>4.6557544757033247</v>
      </c>
      <c r="BW242" s="136">
        <v>5.2645</v>
      </c>
      <c r="BX242" s="137">
        <v>0.17117216720915479</v>
      </c>
      <c r="BY242" s="137">
        <v>0.17117216720915479</v>
      </c>
      <c r="BZ242" s="137">
        <v>1</v>
      </c>
      <c r="CA242" s="137">
        <v>6.5965540108248205E-2</v>
      </c>
      <c r="CB242" s="137">
        <v>0.3026083157110388</v>
      </c>
      <c r="CC242" s="258">
        <v>2.6499999999999999E-2</v>
      </c>
      <c r="CD242" s="258">
        <v>0.01</v>
      </c>
      <c r="CE242" s="258">
        <v>0.75</v>
      </c>
      <c r="CF242" s="258">
        <v>0</v>
      </c>
      <c r="CG242" s="258">
        <v>3.6400000000000002E-2</v>
      </c>
      <c r="CH242" s="258">
        <v>3.4587222660824604</v>
      </c>
      <c r="CI242" s="258">
        <v>4.5145</v>
      </c>
      <c r="CJ242" s="258"/>
      <c r="CK242" s="258"/>
      <c r="CL242" s="258"/>
      <c r="CM242" s="258"/>
    </row>
    <row r="243" spans="1:91" x14ac:dyDescent="0.25">
      <c r="A243" s="723"/>
      <c r="B243" s="723"/>
      <c r="D243" s="31">
        <f t="shared" si="199"/>
        <v>43997</v>
      </c>
      <c r="F243" s="28">
        <f t="shared" si="200"/>
        <v>5895</v>
      </c>
      <c r="G243" s="28">
        <f t="shared" si="181"/>
        <v>1773.7347545550028</v>
      </c>
      <c r="H243" s="52">
        <f t="shared" si="201"/>
        <v>4.6915601023017901</v>
      </c>
      <c r="I243" s="52">
        <f t="shared" si="202"/>
        <v>5.3994999999999997</v>
      </c>
      <c r="K243" s="52">
        <f t="shared" si="203"/>
        <v>6.0617488835502575</v>
      </c>
      <c r="L243" s="135">
        <f t="shared" si="204"/>
        <v>6.8292943709025167E-6</v>
      </c>
      <c r="N243" s="131">
        <f t="shared" si="182"/>
        <v>0.17112987807141949</v>
      </c>
      <c r="O243" s="131">
        <f t="shared" si="183"/>
        <v>0.17112987807141949</v>
      </c>
      <c r="P243" s="55">
        <f t="shared" si="205"/>
        <v>1.0000000000000002</v>
      </c>
      <c r="Q243" s="135">
        <f>_xll.xSPRDOPT(I243,H243,AQ243,0,O243,N243,P243,D243-$G$5,1,0)*AH243*AU243</f>
        <v>6.0617557128446284</v>
      </c>
      <c r="R243" s="135"/>
      <c r="S243" s="181">
        <f t="shared" si="206"/>
        <v>-53374.111109998128</v>
      </c>
      <c r="T243" s="181">
        <f>_xll.xSPRDOPT(I243,H243,AQ243,AT243,O243,N243,P243,D243-$G$5,1,1)*AF243*F243*AH243</f>
        <v>52173.193610023169</v>
      </c>
      <c r="U243" s="135"/>
      <c r="V243" s="146">
        <f t="shared" si="207"/>
        <v>3.3281221577833562</v>
      </c>
      <c r="W243" s="146"/>
      <c r="X243" s="338">
        <f t="shared" si="208"/>
        <v>0</v>
      </c>
      <c r="Y243" s="338">
        <f t="shared" si="184"/>
        <v>0</v>
      </c>
      <c r="Z243" s="338">
        <f t="shared" si="185"/>
        <v>19.04990089936868</v>
      </c>
      <c r="AA243" s="338">
        <f t="shared" si="186"/>
        <v>1.7277556537847847E-6</v>
      </c>
      <c r="AB243" s="338">
        <f t="shared" si="209"/>
        <v>0</v>
      </c>
      <c r="AC243" s="338">
        <f t="shared" si="210"/>
        <v>19.362685544718129</v>
      </c>
      <c r="AF243" s="138">
        <f t="shared" si="211"/>
        <v>1</v>
      </c>
      <c r="AG243" s="138">
        <f t="shared" si="212"/>
        <v>6</v>
      </c>
      <c r="AH243" s="138">
        <f t="shared" si="187"/>
        <v>30</v>
      </c>
      <c r="AI243" s="138">
        <f t="shared" si="213"/>
        <v>6741</v>
      </c>
      <c r="AJ243" s="138">
        <f t="shared" si="214"/>
        <v>6758</v>
      </c>
      <c r="AL243" s="136">
        <f t="shared" si="188"/>
        <v>4.5495000000000001</v>
      </c>
      <c r="AM243" s="258">
        <f t="shared" si="189"/>
        <v>2.6499999999999999E-2</v>
      </c>
      <c r="AN243" s="258">
        <f t="shared" si="190"/>
        <v>0.01</v>
      </c>
      <c r="AO243" s="258">
        <f t="shared" si="191"/>
        <v>0.85</v>
      </c>
      <c r="AP243" s="258">
        <f t="shared" si="192"/>
        <v>0</v>
      </c>
      <c r="AQ243" s="136">
        <f t="shared" si="215"/>
        <v>3.6400000000000002E-2</v>
      </c>
      <c r="AR243" s="137">
        <f t="shared" si="193"/>
        <v>2.2499999999999999E-2</v>
      </c>
      <c r="AS243" s="136">
        <f t="shared" si="216"/>
        <v>4.5860000000000003</v>
      </c>
      <c r="AT243" s="137">
        <f t="shared" si="217"/>
        <v>6.6006084245966004E-2</v>
      </c>
      <c r="AU243" s="137">
        <f t="shared" si="194"/>
        <v>0.30088799907633634</v>
      </c>
      <c r="AV243" s="394">
        <f t="shared" si="218"/>
        <v>1227.6230362314523</v>
      </c>
      <c r="AW243" s="137">
        <f t="shared" si="195"/>
        <v>0.17</v>
      </c>
      <c r="AX243" s="137">
        <f t="shared" si="196"/>
        <v>0.45</v>
      </c>
      <c r="AY243" s="137">
        <f t="shared" si="197"/>
        <v>0.45</v>
      </c>
      <c r="AZ243" s="137"/>
      <c r="BA243" s="264"/>
      <c r="BB243" s="258">
        <f t="shared" si="198"/>
        <v>0</v>
      </c>
      <c r="BC243" s="258">
        <f t="shared" si="219"/>
        <v>0</v>
      </c>
      <c r="BD243" s="137">
        <f t="shared" si="220"/>
        <v>4.9984453129314765E-7</v>
      </c>
      <c r="BE243" s="137">
        <f t="shared" si="221"/>
        <v>4.9984453129314765E-7</v>
      </c>
      <c r="BF243" s="137">
        <f>_xll.xSPRDOPT($BW243,$BV243,$CG243,0,$BY243,$BX243,$BZ243,$AJ243,1,4)*$CB243</f>
        <v>-7.1699035436687353E-8</v>
      </c>
      <c r="BG243" s="137">
        <f>_xll.xSPRDOPT($BW243,$BV243,$CG243,0,$BY243,$BX243,$BZ243,$AJ243,1,3)*$CB243</f>
        <v>-7.1699035436622145E-8</v>
      </c>
      <c r="BH243" s="137">
        <f>IF(OR(BF243&lt;&gt;0,BG243&lt;&gt;0),_xll.xSPRDOPT($BW243,$BV243,$CG243,0,$BY243,$BX243,$BZ243,$AJ243,1,12)*$CB243,0)</f>
        <v>-3.5849517718311072E-8</v>
      </c>
      <c r="BI243" s="137">
        <f>_xll.xSPRDOPT($BW243,$BV243,$CG243,2*LN(1+CA243/2),$BY243,$BX243,$BZ243,$AJ243,1,9)</f>
        <v>1.3114647636404506E-2</v>
      </c>
      <c r="BJ243" s="137">
        <f>_xll.xSPRDOPT($BW243,$BV243,$CG243,0,$BY243,$BX243,$BZ243,$AJ243,1,6)*$CB243</f>
        <v>-1.2952789864713316E-4</v>
      </c>
      <c r="BK243" s="137">
        <f>_xll.xSPRDOPT($BW243,$BV243,$CG243,0,$BY243,$BX243,$BZ243,$AJ243,1,5)*$CB243</f>
        <v>1.4907319742863437E-4</v>
      </c>
      <c r="BL243" s="137">
        <f>_xll.xSPRDOPT(BW243,BV243,CG243,0,BY243,BX243,BZ243,AJ243,1,2)*CB243</f>
        <v>-0.30072618522337774</v>
      </c>
      <c r="BM243" s="137">
        <f>_xll.xSPRDOPT(BW243,BV243,CG243,0,BY243,BX243,BZ243,AJ243,1,1)*CB243</f>
        <v>0.30072618522228367</v>
      </c>
      <c r="BN243" s="137">
        <f>IF(AH243&lt;&gt;0,_xll.xSPRDOPT($BW243,$BV243,$CG243,2*LN(1+CA243/2),$BY243,$BX243,$BZ243,$AJ243,1,8)+(AJ243/365.25)*CH243/AH243,0)</f>
        <v>-1.6850599629782428</v>
      </c>
      <c r="BO243" s="137">
        <f>_xll.xSPRDOPT($BW243,$BV243,$CG243,0,$BY243,$BX243,$BZ243,$AJ243,1,0)</f>
        <v>0.67154065670661522</v>
      </c>
      <c r="BP243" s="137"/>
      <c r="BQ243" s="137"/>
      <c r="BR243" s="137"/>
      <c r="BS243" s="137"/>
      <c r="BV243" s="262">
        <v>4.6915601023017901</v>
      </c>
      <c r="BW243" s="136">
        <v>5.3994999999999997</v>
      </c>
      <c r="BX243" s="137">
        <v>0.1711293782268882</v>
      </c>
      <c r="BY243" s="137">
        <v>0.1711293782268882</v>
      </c>
      <c r="BZ243" s="137">
        <v>1</v>
      </c>
      <c r="CA243" s="137">
        <v>6.6006084245966004E-2</v>
      </c>
      <c r="CB243" s="137">
        <v>0.30072755112796601</v>
      </c>
      <c r="CC243" s="258">
        <v>2.6499999999999999E-2</v>
      </c>
      <c r="CD243" s="258">
        <v>0.01</v>
      </c>
      <c r="CE243" s="258">
        <v>0.85</v>
      </c>
      <c r="CF243" s="258">
        <v>0</v>
      </c>
      <c r="CG243" s="258">
        <v>3.6400000000000002E-2</v>
      </c>
      <c r="CH243" s="258">
        <v>3.3263474430264321</v>
      </c>
      <c r="CI243" s="258">
        <v>4.5495000000000001</v>
      </c>
      <c r="CJ243" s="258"/>
      <c r="CK243" s="258"/>
      <c r="CL243" s="258"/>
      <c r="CM243" s="258"/>
    </row>
    <row r="244" spans="1:91" x14ac:dyDescent="0.25">
      <c r="A244" s="723"/>
      <c r="B244" s="723"/>
      <c r="D244" s="31">
        <f t="shared" si="199"/>
        <v>44027</v>
      </c>
      <c r="F244" s="28">
        <f t="shared" si="200"/>
        <v>5895</v>
      </c>
      <c r="G244" s="28">
        <f t="shared" si="181"/>
        <v>1763.0546108043466</v>
      </c>
      <c r="H244" s="52">
        <f t="shared" si="201"/>
        <v>4.7324808184143228</v>
      </c>
      <c r="I244" s="52">
        <f t="shared" si="202"/>
        <v>5.6395</v>
      </c>
      <c r="K244" s="52">
        <f t="shared" si="203"/>
        <v>8.0718276561203357</v>
      </c>
      <c r="L244" s="135">
        <f t="shared" si="204"/>
        <v>2.3308980257041867E-6</v>
      </c>
      <c r="N244" s="131">
        <f t="shared" si="182"/>
        <v>0.17147880474258298</v>
      </c>
      <c r="O244" s="131">
        <f t="shared" si="183"/>
        <v>0.17147880474258298</v>
      </c>
      <c r="P244" s="55">
        <f t="shared" si="205"/>
        <v>1</v>
      </c>
      <c r="Q244" s="135">
        <f>_xll.xSPRDOPT(I244,H244,AQ244,0,O244,N244,P244,D244-$G$5,1,0)*AH244*AU244</f>
        <v>8.0718299870183614</v>
      </c>
      <c r="R244" s="135"/>
      <c r="S244" s="181">
        <f t="shared" si="206"/>
        <v>-54815.253349451596</v>
      </c>
      <c r="T244" s="181">
        <f>_xll.xSPRDOPT(I244,H244,AQ244,AT244,O244,N244,P244,D244-$G$5,1,1)*AF244*F244*AH244</f>
        <v>53581.910149088937</v>
      </c>
      <c r="U244" s="135"/>
      <c r="V244" s="146">
        <f t="shared" si="207"/>
        <v>3.4183520415793791</v>
      </c>
      <c r="W244" s="146"/>
      <c r="X244" s="338">
        <f t="shared" si="208"/>
        <v>0</v>
      </c>
      <c r="Y244" s="338">
        <f t="shared" si="184"/>
        <v>0</v>
      </c>
      <c r="Z244" s="338">
        <f t="shared" si="185"/>
        <v>25.38178305289134</v>
      </c>
      <c r="AA244" s="338">
        <f t="shared" si="186"/>
        <v>9.6507948452469497E-7</v>
      </c>
      <c r="AB244" s="338">
        <f t="shared" si="209"/>
        <v>0</v>
      </c>
      <c r="AC244" s="338">
        <f t="shared" si="210"/>
        <v>25.798657931714505</v>
      </c>
      <c r="AF244" s="138">
        <f t="shared" si="211"/>
        <v>1</v>
      </c>
      <c r="AG244" s="138">
        <f t="shared" si="212"/>
        <v>7</v>
      </c>
      <c r="AH244" s="138">
        <f t="shared" si="187"/>
        <v>31</v>
      </c>
      <c r="AI244" s="138">
        <f t="shared" si="213"/>
        <v>6771</v>
      </c>
      <c r="AJ244" s="138">
        <f t="shared" si="214"/>
        <v>6788</v>
      </c>
      <c r="AL244" s="136">
        <f t="shared" si="188"/>
        <v>4.5895000000000001</v>
      </c>
      <c r="AM244" s="258">
        <f t="shared" si="189"/>
        <v>2.6499999999999999E-2</v>
      </c>
      <c r="AN244" s="258">
        <f t="shared" si="190"/>
        <v>0.01</v>
      </c>
      <c r="AO244" s="258">
        <f t="shared" si="191"/>
        <v>1.05</v>
      </c>
      <c r="AP244" s="258">
        <f t="shared" si="192"/>
        <v>0</v>
      </c>
      <c r="AQ244" s="136">
        <f t="shared" si="215"/>
        <v>3.6400000000000002E-2</v>
      </c>
      <c r="AR244" s="137">
        <f t="shared" si="193"/>
        <v>2.2499999999999999E-2</v>
      </c>
      <c r="AS244" s="136">
        <f t="shared" si="216"/>
        <v>4.6260000000000003</v>
      </c>
      <c r="AT244" s="137">
        <f t="shared" si="217"/>
        <v>6.6045320508791402E-2</v>
      </c>
      <c r="AU244" s="137">
        <f t="shared" si="194"/>
        <v>0.29907626985654734</v>
      </c>
      <c r="AV244" s="394">
        <f t="shared" si="218"/>
        <v>1260.9055537152035</v>
      </c>
      <c r="AW244" s="137">
        <f t="shared" si="195"/>
        <v>0.17</v>
      </c>
      <c r="AX244" s="137">
        <f t="shared" si="196"/>
        <v>0.5</v>
      </c>
      <c r="AY244" s="137">
        <f t="shared" si="197"/>
        <v>0.5</v>
      </c>
      <c r="AZ244" s="137"/>
      <c r="BA244" s="264"/>
      <c r="BB244" s="258">
        <f t="shared" si="198"/>
        <v>0</v>
      </c>
      <c r="BC244" s="258">
        <f t="shared" si="219"/>
        <v>0</v>
      </c>
      <c r="BD244" s="137">
        <f t="shared" si="220"/>
        <v>6.5060654802495677E-7</v>
      </c>
      <c r="BE244" s="137">
        <f t="shared" si="221"/>
        <v>6.5060654802495677E-7</v>
      </c>
      <c r="BF244" s="137">
        <f>_xll.xSPRDOPT($BW244,$BV244,$CG244,0,$BY244,$BX244,$BZ244,$AJ244,1,4)*$CB244</f>
        <v>7.126729363351568E-7</v>
      </c>
      <c r="BG244" s="137">
        <f>_xll.xSPRDOPT($BW244,$BV244,$CG244,0,$BY244,$BX244,$BZ244,$AJ244,1,3)*$CB244</f>
        <v>5.7013834906812542E-7</v>
      </c>
      <c r="BH244" s="137">
        <f>IF(OR(BF244&lt;&gt;0,BG244&lt;&gt;0),_xll.xSPRDOPT($BW244,$BV244,$CG244,0,$BY244,$BX244,$BZ244,$AJ244,1,12)*$CB244,0)</f>
        <v>-5.7013834906812542E-7</v>
      </c>
      <c r="BI244" s="137">
        <f>_xll.xSPRDOPT($BW244,$BV244,$CG244,2*LN(1+CA244/2),$BY244,$BX244,$BZ244,$AJ244,1,9)</f>
        <v>1.6910077357462697E-2</v>
      </c>
      <c r="BJ244" s="137">
        <f>_xll.xSPRDOPT($BW244,$BV244,$CG244,0,$BY244,$BX244,$BZ244,$AJ244,1,6)*$CB244</f>
        <v>-4.2351723035389849E-5</v>
      </c>
      <c r="BK244" s="137">
        <f>_xll.xSPRDOPT($BW244,$BV244,$CG244,0,$BY244,$BX244,$BZ244,$AJ244,1,5)*$CB244</f>
        <v>5.0468790402515633E-5</v>
      </c>
      <c r="BL244" s="137">
        <f>_xll.xSPRDOPT(BW244,BV244,CG244,0,BY244,BX244,BZ244,AJ244,1,2)*CB244</f>
        <v>-0.29891628394980413</v>
      </c>
      <c r="BM244" s="137">
        <f>_xll.xSPRDOPT(BW244,BV244,CG244,0,BY244,BX244,BZ244,AJ244,1,1)*CB244</f>
        <v>0.29891628395197906</v>
      </c>
      <c r="BN244" s="137">
        <f>IF(AH244&lt;&gt;0,_xll.xSPRDOPT($BW244,$BV244,$CG244,2*LN(1+CA244/2),$BY244,$BX244,$BZ244,$AJ244,1,8)+(AJ244/365.25)*CH244/AH244,0)</f>
        <v>-2.7882762023276699</v>
      </c>
      <c r="BO244" s="137">
        <f>_xll.xSPRDOPT($BW244,$BV244,$CG244,0,$BY244,$BX244,$BZ244,$AJ244,1,0)</f>
        <v>0.87061943400580577</v>
      </c>
      <c r="BP244" s="137"/>
      <c r="BQ244" s="137"/>
      <c r="BR244" s="137"/>
      <c r="BS244" s="137"/>
      <c r="BV244" s="262">
        <v>4.7324808184143228</v>
      </c>
      <c r="BW244" s="136">
        <v>5.6395</v>
      </c>
      <c r="BX244" s="137">
        <v>0.17147815413603495</v>
      </c>
      <c r="BY244" s="137">
        <v>0.17147815413603495</v>
      </c>
      <c r="BZ244" s="137">
        <v>1</v>
      </c>
      <c r="CA244" s="137">
        <v>6.6045320508791402E-2</v>
      </c>
      <c r="CB244" s="137">
        <v>0.29891669475622934</v>
      </c>
      <c r="CC244" s="258">
        <v>2.6499999999999999E-2</v>
      </c>
      <c r="CD244" s="258">
        <v>0.01</v>
      </c>
      <c r="CE244" s="258">
        <v>1.05</v>
      </c>
      <c r="CF244" s="258">
        <v>0</v>
      </c>
      <c r="CG244" s="258">
        <v>3.6400000000000002E-2</v>
      </c>
      <c r="CH244" s="258">
        <v>3.4165281460552746</v>
      </c>
      <c r="CI244" s="258">
        <v>4.5895000000000001</v>
      </c>
      <c r="CJ244" s="258"/>
      <c r="CK244" s="258"/>
      <c r="CL244" s="258"/>
      <c r="CM244" s="258"/>
    </row>
    <row r="245" spans="1:91" x14ac:dyDescent="0.25">
      <c r="A245" s="723"/>
      <c r="B245" s="723"/>
      <c r="D245" s="31">
        <f t="shared" si="199"/>
        <v>44058</v>
      </c>
      <c r="F245" s="28">
        <f t="shared" si="200"/>
        <v>5895</v>
      </c>
      <c r="G245" s="28">
        <f t="shared" si="181"/>
        <v>0</v>
      </c>
      <c r="H245" s="52">
        <f t="shared" si="201"/>
        <v>4.7682864450127873</v>
      </c>
      <c r="I245" s="52">
        <f t="shared" si="202"/>
        <v>5.6795</v>
      </c>
      <c r="K245" s="52">
        <f t="shared" si="203"/>
        <v>0</v>
      </c>
      <c r="L245" s="135">
        <f t="shared" si="204"/>
        <v>0</v>
      </c>
      <c r="N245" s="131">
        <f t="shared" si="182"/>
        <v>0.17</v>
      </c>
      <c r="O245" s="131">
        <f t="shared" si="183"/>
        <v>0.17</v>
      </c>
      <c r="P245" s="55">
        <f t="shared" si="205"/>
        <v>0</v>
      </c>
      <c r="Q245" s="135">
        <f>_xll.xSPRDOPT(I245,H245,AQ245,0,O245,N245,P245,D245-$G$5,1,0)*AH245*AU245</f>
        <v>0</v>
      </c>
      <c r="R245" s="135"/>
      <c r="S245" s="181">
        <f t="shared" si="206"/>
        <v>0</v>
      </c>
      <c r="T245" s="181">
        <f>_xll.xSPRDOPT(I245,H245,AQ245,AT245,O245,N245,P245,D245-$G$5,1,1)*AF245*F245*AH245</f>
        <v>0</v>
      </c>
      <c r="U245" s="135"/>
      <c r="V245" s="146">
        <f t="shared" si="207"/>
        <v>0</v>
      </c>
      <c r="W245" s="146"/>
      <c r="X245" s="338">
        <f t="shared" si="208"/>
        <v>0</v>
      </c>
      <c r="Y245" s="338">
        <f t="shared" si="184"/>
        <v>0</v>
      </c>
      <c r="Z245" s="338">
        <f t="shared" si="185"/>
        <v>0</v>
      </c>
      <c r="AA245" s="338">
        <f t="shared" si="186"/>
        <v>0</v>
      </c>
      <c r="AB245" s="338">
        <f t="shared" si="209"/>
        <v>0</v>
      </c>
      <c r="AC245" s="338">
        <f t="shared" si="210"/>
        <v>0</v>
      </c>
      <c r="AF245" s="138">
        <f t="shared" si="211"/>
        <v>0</v>
      </c>
      <c r="AG245" s="138">
        <f t="shared" si="212"/>
        <v>8</v>
      </c>
      <c r="AH245" s="138">
        <f t="shared" si="187"/>
        <v>0</v>
      </c>
      <c r="AI245" s="138">
        <f t="shared" si="213"/>
        <v>6802</v>
      </c>
      <c r="AJ245" s="138">
        <f t="shared" si="214"/>
        <v>6819</v>
      </c>
      <c r="AL245" s="136">
        <f t="shared" si="188"/>
        <v>4.6295000000000002</v>
      </c>
      <c r="AM245" s="258">
        <f t="shared" si="189"/>
        <v>2.1499999999999998E-2</v>
      </c>
      <c r="AN245" s="258">
        <f t="shared" si="190"/>
        <v>0.01</v>
      </c>
      <c r="AO245" s="258">
        <f t="shared" si="191"/>
        <v>1.05</v>
      </c>
      <c r="AP245" s="258">
        <f t="shared" si="192"/>
        <v>0</v>
      </c>
      <c r="AQ245" s="136">
        <f t="shared" si="215"/>
        <v>3.6400000000000002E-2</v>
      </c>
      <c r="AR245" s="137">
        <f t="shared" si="193"/>
        <v>2.2499999999999999E-2</v>
      </c>
      <c r="AS245" s="136">
        <f t="shared" si="216"/>
        <v>4.6609999999999996</v>
      </c>
      <c r="AT245" s="137">
        <f t="shared" si="217"/>
        <v>6.6085864647580803E-2</v>
      </c>
      <c r="AU245" s="137">
        <f t="shared" si="194"/>
        <v>0</v>
      </c>
      <c r="AV245" s="394">
        <f t="shared" si="218"/>
        <v>0</v>
      </c>
      <c r="AW245" s="137">
        <f t="shared" si="195"/>
        <v>0.17</v>
      </c>
      <c r="AX245" s="137">
        <f t="shared" si="196"/>
        <v>0.55000000000000004</v>
      </c>
      <c r="AY245" s="137">
        <f t="shared" si="197"/>
        <v>0.55000000000000004</v>
      </c>
      <c r="AZ245" s="137"/>
      <c r="BA245" s="264"/>
      <c r="BB245" s="258">
        <f t="shared" si="198"/>
        <v>0</v>
      </c>
      <c r="BC245" s="258">
        <f t="shared" si="219"/>
        <v>0</v>
      </c>
      <c r="BD245" s="137">
        <f t="shared" si="220"/>
        <v>0</v>
      </c>
      <c r="BE245" s="137">
        <f t="shared" si="221"/>
        <v>0</v>
      </c>
      <c r="BF245" s="137">
        <f>_xll.xSPRDOPT($BW245,$BV245,$CG245,0,$BY245,$BX245,$BZ245,$AJ245,1,4)*$CB245</f>
        <v>0</v>
      </c>
      <c r="BG245" s="137">
        <f>_xll.xSPRDOPT($BW245,$BV245,$CG245,0,$BY245,$BX245,$BZ245,$AJ245,1,3)*$CB245</f>
        <v>0</v>
      </c>
      <c r="BH245" s="137">
        <f>IF(OR(BF245&lt;&gt;0,BG245&lt;&gt;0),_xll.xSPRDOPT($BW245,$BV245,$CG245,0,$BY245,$BX245,$BZ245,$AJ245,1,12)*$CB245,0)</f>
        <v>0</v>
      </c>
      <c r="BI245" s="137">
        <f>_xll.xSPRDOPT($BW245,$BV245,$CG245,2*LN(1+CA245/2),$BY245,$BX245,$BZ245,$AJ245,1,9)</f>
        <v>3.4122403383668704E-2</v>
      </c>
      <c r="BJ245" s="137">
        <f>_xll.xSPRDOPT($BW245,$BV245,$CG245,0,$BY245,$BX245,$BZ245,$AJ245,1,6)*$CB245</f>
        <v>0</v>
      </c>
      <c r="BK245" s="137">
        <f>_xll.xSPRDOPT($BW245,$BV245,$CG245,0,$BY245,$BX245,$BZ245,$AJ245,1,5)*$CB245</f>
        <v>0</v>
      </c>
      <c r="BL245" s="137">
        <f>_xll.xSPRDOPT(BW245,BV245,CG245,0,BY245,BX245,BZ245,AJ245,1,2)*CB245</f>
        <v>0</v>
      </c>
      <c r="BM245" s="137">
        <f>_xll.xSPRDOPT(BW245,BV245,CG245,0,BY245,BX245,BZ245,AJ245,1,1)*CB245</f>
        <v>0</v>
      </c>
      <c r="BN245" s="137">
        <f>IF(AH245&lt;&gt;0,_xll.xSPRDOPT($BW245,$BV245,$CG245,2*LN(1+CA245/2),$BY245,$BX245,$BZ245,$AJ245,1,8)+(AJ245/365.25)*CH245/AH245,0)</f>
        <v>0</v>
      </c>
      <c r="BO245" s="137">
        <f>_xll.xSPRDOPT($BW245,$BV245,$CG245,0,$BY245,$BX245,$BZ245,$AJ245,1,0)</f>
        <v>2.5330603413891568</v>
      </c>
      <c r="BP245" s="137"/>
      <c r="BQ245" s="137"/>
      <c r="BR245" s="137"/>
      <c r="BS245" s="137"/>
      <c r="BV245" s="262">
        <v>4.7682864450127873</v>
      </c>
      <c r="BW245" s="136">
        <v>5.6795</v>
      </c>
      <c r="BX245" s="137">
        <v>0.17</v>
      </c>
      <c r="BY245" s="137">
        <v>0.17</v>
      </c>
      <c r="BZ245" s="137">
        <v>0</v>
      </c>
      <c r="CA245" s="137">
        <v>6.6085864647580803E-2</v>
      </c>
      <c r="CB245" s="137">
        <v>0</v>
      </c>
      <c r="CC245" s="258">
        <v>2.1499999999999998E-2</v>
      </c>
      <c r="CD245" s="258">
        <v>0.01</v>
      </c>
      <c r="CE245" s="258">
        <v>1.05</v>
      </c>
      <c r="CF245" s="258">
        <v>0</v>
      </c>
      <c r="CG245" s="258">
        <v>3.6400000000000002E-2</v>
      </c>
      <c r="CH245" s="258">
        <v>0</v>
      </c>
      <c r="CI245" s="258">
        <v>4.6295000000000002</v>
      </c>
      <c r="CJ245" s="258"/>
      <c r="CK245" s="258"/>
      <c r="CL245" s="258"/>
      <c r="CM245" s="258"/>
    </row>
    <row r="246" spans="1:91" x14ac:dyDescent="0.25">
      <c r="A246" s="723"/>
      <c r="B246" s="723"/>
      <c r="D246" s="31">
        <f t="shared" si="199"/>
        <v>44058</v>
      </c>
      <c r="F246" s="28">
        <f t="shared" si="200"/>
        <v>5895</v>
      </c>
      <c r="G246" s="28">
        <f t="shared" si="181"/>
        <v>0</v>
      </c>
      <c r="H246" s="52">
        <f t="shared" si="201"/>
        <v>4.7682864450127873</v>
      </c>
      <c r="I246" s="52">
        <f t="shared" si="202"/>
        <v>5.6795</v>
      </c>
      <c r="K246" s="52">
        <f t="shared" si="203"/>
        <v>0</v>
      </c>
      <c r="L246" s="135">
        <f t="shared" si="204"/>
        <v>0</v>
      </c>
      <c r="N246" s="131">
        <f t="shared" si="182"/>
        <v>0.17</v>
      </c>
      <c r="O246" s="131">
        <f t="shared" si="183"/>
        <v>0.17</v>
      </c>
      <c r="P246" s="55">
        <f t="shared" si="205"/>
        <v>0</v>
      </c>
      <c r="Q246" s="135">
        <f>_xll.xSPRDOPT(I246,H246,AQ246,0,O246,N246,P246,D246-$G$5,1,0)*AH246*AU246</f>
        <v>0</v>
      </c>
      <c r="R246" s="135"/>
      <c r="S246" s="181">
        <f t="shared" si="206"/>
        <v>0</v>
      </c>
      <c r="T246" s="181">
        <f>_xll.xSPRDOPT(I246,H246,AQ246,AT246,O246,N246,P246,D246-$G$5,1,1)*AF246*F246*AH246</f>
        <v>0</v>
      </c>
      <c r="U246" s="135"/>
      <c r="V246" s="146">
        <f t="shared" si="207"/>
        <v>0</v>
      </c>
      <c r="W246" s="146"/>
      <c r="X246" s="338">
        <f t="shared" si="208"/>
        <v>0</v>
      </c>
      <c r="Y246" s="338">
        <f t="shared" si="184"/>
        <v>0</v>
      </c>
      <c r="Z246" s="338">
        <f t="shared" si="185"/>
        <v>0</v>
      </c>
      <c r="AA246" s="338">
        <f t="shared" si="186"/>
        <v>0</v>
      </c>
      <c r="AB246" s="338">
        <f t="shared" si="209"/>
        <v>0</v>
      </c>
      <c r="AC246" s="338">
        <f t="shared" si="210"/>
        <v>0</v>
      </c>
      <c r="AF246" s="138">
        <f t="shared" si="211"/>
        <v>0</v>
      </c>
      <c r="AG246" s="138">
        <f t="shared" si="212"/>
        <v>8</v>
      </c>
      <c r="AH246" s="138">
        <f t="shared" si="187"/>
        <v>0</v>
      </c>
      <c r="AI246" s="138">
        <f t="shared" si="213"/>
        <v>6802</v>
      </c>
      <c r="AJ246" s="138">
        <f t="shared" si="214"/>
        <v>6819</v>
      </c>
      <c r="AL246" s="136">
        <f t="shared" si="188"/>
        <v>4.6295000000000002</v>
      </c>
      <c r="AM246" s="258">
        <f t="shared" si="189"/>
        <v>2.1499999999999998E-2</v>
      </c>
      <c r="AN246" s="258">
        <f t="shared" si="190"/>
        <v>0.01</v>
      </c>
      <c r="AO246" s="258">
        <f t="shared" si="191"/>
        <v>1.05</v>
      </c>
      <c r="AP246" s="258">
        <f t="shared" si="192"/>
        <v>0</v>
      </c>
      <c r="AQ246" s="136">
        <f t="shared" si="215"/>
        <v>3.6400000000000002E-2</v>
      </c>
      <c r="AR246" s="137">
        <f t="shared" si="193"/>
        <v>2.2499999999999999E-2</v>
      </c>
      <c r="AS246" s="136">
        <f t="shared" si="216"/>
        <v>4.6609999999999996</v>
      </c>
      <c r="AT246" s="137">
        <f t="shared" si="217"/>
        <v>6.6085864647580803E-2</v>
      </c>
      <c r="AU246" s="137">
        <f t="shared" si="194"/>
        <v>0</v>
      </c>
      <c r="AV246" s="394">
        <f t="shared" si="218"/>
        <v>0</v>
      </c>
      <c r="AW246" s="137">
        <f t="shared" si="195"/>
        <v>0.17</v>
      </c>
      <c r="AX246" s="137">
        <f t="shared" si="196"/>
        <v>0.55000000000000004</v>
      </c>
      <c r="AY246" s="137">
        <f t="shared" si="197"/>
        <v>0.55000000000000004</v>
      </c>
      <c r="AZ246" s="137"/>
      <c r="BA246" s="264"/>
      <c r="BB246" s="258">
        <f t="shared" si="198"/>
        <v>0</v>
      </c>
      <c r="BC246" s="258">
        <f t="shared" si="219"/>
        <v>0</v>
      </c>
      <c r="BD246" s="137">
        <f t="shared" si="220"/>
        <v>0</v>
      </c>
      <c r="BE246" s="137">
        <f t="shared" si="221"/>
        <v>0</v>
      </c>
      <c r="BF246" s="137">
        <f>_xll.xSPRDOPT($BW246,$BV246,$CG246,0,$BY246,$BX246,$BZ246,$AJ246,1,4)*$CB246</f>
        <v>0</v>
      </c>
      <c r="BG246" s="137">
        <f>_xll.xSPRDOPT($BW246,$BV246,$CG246,0,$BY246,$BX246,$BZ246,$AJ246,1,3)*$CB246</f>
        <v>0</v>
      </c>
      <c r="BH246" s="137">
        <f>IF(OR(BF246&lt;&gt;0,BG246&lt;&gt;0),_xll.xSPRDOPT($BW246,$BV246,$CG246,0,$BY246,$BX246,$BZ246,$AJ246,1,12)*$CB246,0)</f>
        <v>0</v>
      </c>
      <c r="BI246" s="137">
        <f>_xll.xSPRDOPT($BW246,$BV246,$CG246,2*LN(1+CA246/2),$BY246,$BX246,$BZ246,$AJ246,1,9)</f>
        <v>3.4122403383668704E-2</v>
      </c>
      <c r="BJ246" s="137">
        <f>_xll.xSPRDOPT($BW246,$BV246,$CG246,0,$BY246,$BX246,$BZ246,$AJ246,1,6)*$CB246</f>
        <v>0</v>
      </c>
      <c r="BK246" s="137">
        <f>_xll.xSPRDOPT($BW246,$BV246,$CG246,0,$BY246,$BX246,$BZ246,$AJ246,1,5)*$CB246</f>
        <v>0</v>
      </c>
      <c r="BL246" s="137">
        <f>_xll.xSPRDOPT(BW246,BV246,CG246,0,BY246,BX246,BZ246,AJ246,1,2)*CB246</f>
        <v>0</v>
      </c>
      <c r="BM246" s="137">
        <f>_xll.xSPRDOPT(BW246,BV246,CG246,0,BY246,BX246,BZ246,AJ246,1,1)*CB246</f>
        <v>0</v>
      </c>
      <c r="BN246" s="137">
        <f>IF(AH246&lt;&gt;0,_xll.xSPRDOPT($BW246,$BV246,$CG246,2*LN(1+CA246/2),$BY246,$BX246,$BZ246,$AJ246,1,8)+(AJ246/365.25)*CH246/AH246,0)</f>
        <v>0</v>
      </c>
      <c r="BO246" s="137">
        <f>_xll.xSPRDOPT($BW246,$BV246,$CG246,0,$BY246,$BX246,$BZ246,$AJ246,1,0)</f>
        <v>2.5330603413891568</v>
      </c>
      <c r="BP246" s="137"/>
      <c r="BQ246" s="137"/>
      <c r="BR246" s="137"/>
      <c r="BS246" s="137"/>
      <c r="BV246" s="262">
        <v>4.7682864450127873</v>
      </c>
      <c r="BW246" s="136">
        <v>5.6795</v>
      </c>
      <c r="BX246" s="137">
        <v>0.17</v>
      </c>
      <c r="BY246" s="137">
        <v>0.17</v>
      </c>
      <c r="BZ246" s="137">
        <v>0</v>
      </c>
      <c r="CA246" s="137">
        <v>6.6085864647580803E-2</v>
      </c>
      <c r="CB246" s="137">
        <v>0</v>
      </c>
      <c r="CC246" s="258">
        <v>2.1499999999999998E-2</v>
      </c>
      <c r="CD246" s="258">
        <v>0.01</v>
      </c>
      <c r="CE246" s="258">
        <v>1.05</v>
      </c>
      <c r="CF246" s="258">
        <v>0</v>
      </c>
      <c r="CG246" s="258">
        <v>3.6400000000000002E-2</v>
      </c>
      <c r="CH246" s="258">
        <v>0</v>
      </c>
      <c r="CI246" s="258">
        <v>4.6295000000000002</v>
      </c>
      <c r="CJ246" s="258"/>
      <c r="CK246" s="258"/>
      <c r="CL246" s="258"/>
      <c r="CM246" s="258"/>
    </row>
    <row r="247" spans="1:91" x14ac:dyDescent="0.25">
      <c r="A247" s="723"/>
      <c r="B247" s="723"/>
      <c r="D247" s="31">
        <f t="shared" si="199"/>
        <v>44058</v>
      </c>
      <c r="F247" s="28">
        <f t="shared" si="200"/>
        <v>5895</v>
      </c>
      <c r="G247" s="28">
        <f t="shared" si="181"/>
        <v>0</v>
      </c>
      <c r="H247" s="52">
        <f t="shared" si="201"/>
        <v>4.7682864450127873</v>
      </c>
      <c r="I247" s="52">
        <f t="shared" si="202"/>
        <v>5.6795</v>
      </c>
      <c r="K247" s="52">
        <f t="shared" si="203"/>
        <v>0</v>
      </c>
      <c r="L247" s="135">
        <f t="shared" si="204"/>
        <v>0</v>
      </c>
      <c r="N247" s="131">
        <f t="shared" si="182"/>
        <v>0.17</v>
      </c>
      <c r="O247" s="131">
        <f t="shared" si="183"/>
        <v>0.17</v>
      </c>
      <c r="P247" s="55">
        <f t="shared" si="205"/>
        <v>0</v>
      </c>
      <c r="Q247" s="135">
        <f>_xll.xSPRDOPT(I247,H247,AQ247,0,O247,N247,P247,D247-$G$5,1,0)*AH247*AU247</f>
        <v>0</v>
      </c>
      <c r="R247" s="135"/>
      <c r="S247" s="181">
        <f t="shared" si="206"/>
        <v>0</v>
      </c>
      <c r="T247" s="181">
        <f>_xll.xSPRDOPT(I247,H247,AQ247,AT247,O247,N247,P247,D247-$G$5,1,1)*AF247*F247*AH247</f>
        <v>0</v>
      </c>
      <c r="U247" s="135"/>
      <c r="V247" s="146">
        <f t="shared" si="207"/>
        <v>0</v>
      </c>
      <c r="W247" s="146"/>
      <c r="X247" s="338">
        <f t="shared" si="208"/>
        <v>0</v>
      </c>
      <c r="Y247" s="338">
        <f t="shared" si="184"/>
        <v>0</v>
      </c>
      <c r="Z247" s="338">
        <f t="shared" si="185"/>
        <v>0</v>
      </c>
      <c r="AA247" s="338">
        <f t="shared" si="186"/>
        <v>0</v>
      </c>
      <c r="AB247" s="338">
        <f t="shared" si="209"/>
        <v>0</v>
      </c>
      <c r="AC247" s="338">
        <f t="shared" si="210"/>
        <v>0</v>
      </c>
      <c r="AF247" s="138">
        <f t="shared" si="211"/>
        <v>0</v>
      </c>
      <c r="AG247" s="138">
        <f t="shared" si="212"/>
        <v>8</v>
      </c>
      <c r="AH247" s="138">
        <f t="shared" si="187"/>
        <v>0</v>
      </c>
      <c r="AI247" s="138">
        <f t="shared" si="213"/>
        <v>6802</v>
      </c>
      <c r="AJ247" s="138">
        <f t="shared" si="214"/>
        <v>6819</v>
      </c>
      <c r="AL247" s="136">
        <f t="shared" si="188"/>
        <v>4.6295000000000002</v>
      </c>
      <c r="AM247" s="258">
        <f t="shared" si="189"/>
        <v>2.1499999999999998E-2</v>
      </c>
      <c r="AN247" s="258">
        <f t="shared" si="190"/>
        <v>0.01</v>
      </c>
      <c r="AO247" s="258">
        <f t="shared" si="191"/>
        <v>1.05</v>
      </c>
      <c r="AP247" s="258">
        <f t="shared" si="192"/>
        <v>0</v>
      </c>
      <c r="AQ247" s="136">
        <f t="shared" si="215"/>
        <v>3.6400000000000002E-2</v>
      </c>
      <c r="AR247" s="137">
        <f t="shared" si="193"/>
        <v>2.2499999999999999E-2</v>
      </c>
      <c r="AS247" s="136">
        <f t="shared" si="216"/>
        <v>4.6609999999999996</v>
      </c>
      <c r="AT247" s="137">
        <f t="shared" si="217"/>
        <v>6.6085864647580803E-2</v>
      </c>
      <c r="AU247" s="137">
        <f t="shared" si="194"/>
        <v>0</v>
      </c>
      <c r="AV247" s="394">
        <f t="shared" si="218"/>
        <v>0</v>
      </c>
      <c r="AW247" s="137">
        <f t="shared" si="195"/>
        <v>0.17</v>
      </c>
      <c r="AX247" s="137">
        <f t="shared" si="196"/>
        <v>0.55000000000000004</v>
      </c>
      <c r="AY247" s="137">
        <f t="shared" si="197"/>
        <v>0.55000000000000004</v>
      </c>
      <c r="AZ247" s="137"/>
      <c r="BA247" s="264"/>
      <c r="BB247" s="258">
        <f t="shared" si="198"/>
        <v>0</v>
      </c>
      <c r="BC247" s="258">
        <f t="shared" si="219"/>
        <v>0</v>
      </c>
      <c r="BD247" s="137">
        <f t="shared" si="220"/>
        <v>0</v>
      </c>
      <c r="BE247" s="137">
        <f t="shared" si="221"/>
        <v>0</v>
      </c>
      <c r="BF247" s="137">
        <f>_xll.xSPRDOPT($BW247,$BV247,$CG247,0,$BY247,$BX247,$BZ247,$AJ247,1,4)*$CB247</f>
        <v>0</v>
      </c>
      <c r="BG247" s="137">
        <f>_xll.xSPRDOPT($BW247,$BV247,$CG247,0,$BY247,$BX247,$BZ247,$AJ247,1,3)*$CB247</f>
        <v>0</v>
      </c>
      <c r="BH247" s="137">
        <f>IF(OR(BF247&lt;&gt;0,BG247&lt;&gt;0),_xll.xSPRDOPT($BW247,$BV247,$CG247,0,$BY247,$BX247,$BZ247,$AJ247,1,12)*$CB247,0)</f>
        <v>0</v>
      </c>
      <c r="BI247" s="137">
        <f>_xll.xSPRDOPT($BW247,$BV247,$CG247,2*LN(1+CA247/2),$BY247,$BX247,$BZ247,$AJ247,1,9)</f>
        <v>3.4122403383668704E-2</v>
      </c>
      <c r="BJ247" s="137">
        <f>_xll.xSPRDOPT($BW247,$BV247,$CG247,0,$BY247,$BX247,$BZ247,$AJ247,1,6)*$CB247</f>
        <v>0</v>
      </c>
      <c r="BK247" s="137">
        <f>_xll.xSPRDOPT($BW247,$BV247,$CG247,0,$BY247,$BX247,$BZ247,$AJ247,1,5)*$CB247</f>
        <v>0</v>
      </c>
      <c r="BL247" s="137">
        <f>_xll.xSPRDOPT(BW247,BV247,CG247,0,BY247,BX247,BZ247,AJ247,1,2)*CB247</f>
        <v>0</v>
      </c>
      <c r="BM247" s="137">
        <f>_xll.xSPRDOPT(BW247,BV247,CG247,0,BY247,BX247,BZ247,AJ247,1,1)*CB247</f>
        <v>0</v>
      </c>
      <c r="BN247" s="137">
        <f>IF(AH247&lt;&gt;0,_xll.xSPRDOPT($BW247,$BV247,$CG247,2*LN(1+CA247/2),$BY247,$BX247,$BZ247,$AJ247,1,8)+(AJ247/365.25)*CH247/AH247,0)</f>
        <v>0</v>
      </c>
      <c r="BO247" s="137">
        <f>_xll.xSPRDOPT($BW247,$BV247,$CG247,0,$BY247,$BX247,$BZ247,$AJ247,1,0)</f>
        <v>2.5330603413891568</v>
      </c>
      <c r="BP247" s="137"/>
      <c r="BQ247" s="137"/>
      <c r="BR247" s="137"/>
      <c r="BS247" s="137"/>
      <c r="BV247" s="262">
        <v>4.7682864450127873</v>
      </c>
      <c r="BW247" s="136">
        <v>5.6795</v>
      </c>
      <c r="BX247" s="137">
        <v>0.17</v>
      </c>
      <c r="BY247" s="137">
        <v>0.17</v>
      </c>
      <c r="BZ247" s="137">
        <v>0</v>
      </c>
      <c r="CA247" s="137">
        <v>6.6085864647580803E-2</v>
      </c>
      <c r="CB247" s="137">
        <v>0</v>
      </c>
      <c r="CC247" s="258">
        <v>2.1499999999999998E-2</v>
      </c>
      <c r="CD247" s="258">
        <v>0.01</v>
      </c>
      <c r="CE247" s="258">
        <v>1.05</v>
      </c>
      <c r="CF247" s="258">
        <v>0</v>
      </c>
      <c r="CG247" s="258">
        <v>3.6400000000000002E-2</v>
      </c>
      <c r="CH247" s="258">
        <v>0</v>
      </c>
      <c r="CI247" s="258">
        <v>4.6295000000000002</v>
      </c>
      <c r="CJ247" s="258"/>
      <c r="CK247" s="258"/>
      <c r="CL247" s="258"/>
      <c r="CM247" s="258"/>
    </row>
    <row r="248" spans="1:91" x14ac:dyDescent="0.25">
      <c r="A248" s="723"/>
      <c r="B248" s="723"/>
      <c r="D248" s="31">
        <f t="shared" si="199"/>
        <v>44058</v>
      </c>
      <c r="F248" s="28">
        <f t="shared" si="200"/>
        <v>5895</v>
      </c>
      <c r="G248" s="28">
        <f t="shared" si="181"/>
        <v>0</v>
      </c>
      <c r="H248" s="52">
        <f t="shared" si="201"/>
        <v>4.7682864450127873</v>
      </c>
      <c r="I248" s="52">
        <f t="shared" si="202"/>
        <v>5.6795</v>
      </c>
      <c r="K248" s="52">
        <f t="shared" si="203"/>
        <v>0</v>
      </c>
      <c r="L248" s="135">
        <f t="shared" si="204"/>
        <v>0</v>
      </c>
      <c r="N248" s="131">
        <f t="shared" si="182"/>
        <v>0.17</v>
      </c>
      <c r="O248" s="131">
        <f t="shared" si="183"/>
        <v>0.17</v>
      </c>
      <c r="P248" s="55">
        <f t="shared" si="205"/>
        <v>0</v>
      </c>
      <c r="Q248" s="135">
        <f>_xll.xSPRDOPT(I248,H248,AQ248,0,O248,N248,P248,D248-$G$5,1,0)*AH248*AU248</f>
        <v>0</v>
      </c>
      <c r="R248" s="135"/>
      <c r="S248" s="181">
        <f t="shared" si="206"/>
        <v>0</v>
      </c>
      <c r="T248" s="181">
        <f>_xll.xSPRDOPT(I248,H248,AQ248,AT248,O248,N248,P248,D248-$G$5,1,1)*AF248*F248*AH248</f>
        <v>0</v>
      </c>
      <c r="U248" s="135"/>
      <c r="V248" s="146">
        <f t="shared" si="207"/>
        <v>0</v>
      </c>
      <c r="W248" s="146"/>
      <c r="X248" s="338">
        <f t="shared" si="208"/>
        <v>0</v>
      </c>
      <c r="Y248" s="338">
        <f t="shared" si="184"/>
        <v>0</v>
      </c>
      <c r="Z248" s="338">
        <f t="shared" si="185"/>
        <v>0</v>
      </c>
      <c r="AA248" s="338">
        <f t="shared" si="186"/>
        <v>0</v>
      </c>
      <c r="AB248" s="338">
        <f t="shared" si="209"/>
        <v>0</v>
      </c>
      <c r="AC248" s="338">
        <f t="shared" si="210"/>
        <v>0</v>
      </c>
      <c r="AF248" s="138">
        <f t="shared" si="211"/>
        <v>0</v>
      </c>
      <c r="AG248" s="138">
        <f t="shared" si="212"/>
        <v>8</v>
      </c>
      <c r="AH248" s="138">
        <f t="shared" si="187"/>
        <v>0</v>
      </c>
      <c r="AI248" s="138">
        <f t="shared" si="213"/>
        <v>6802</v>
      </c>
      <c r="AJ248" s="138">
        <f t="shared" si="214"/>
        <v>6819</v>
      </c>
      <c r="AL248" s="136">
        <f t="shared" si="188"/>
        <v>4.6295000000000002</v>
      </c>
      <c r="AM248" s="258">
        <f t="shared" si="189"/>
        <v>2.1499999999999998E-2</v>
      </c>
      <c r="AN248" s="258">
        <f t="shared" si="190"/>
        <v>0.01</v>
      </c>
      <c r="AO248" s="258">
        <f t="shared" si="191"/>
        <v>1.05</v>
      </c>
      <c r="AP248" s="258">
        <f t="shared" si="192"/>
        <v>0</v>
      </c>
      <c r="AQ248" s="136">
        <f t="shared" si="215"/>
        <v>3.6400000000000002E-2</v>
      </c>
      <c r="AR248" s="137">
        <f t="shared" si="193"/>
        <v>2.2499999999999999E-2</v>
      </c>
      <c r="AS248" s="136">
        <f t="shared" si="216"/>
        <v>4.6609999999999996</v>
      </c>
      <c r="AT248" s="137">
        <f t="shared" si="217"/>
        <v>6.6085864647580803E-2</v>
      </c>
      <c r="AU248" s="137">
        <f t="shared" si="194"/>
        <v>0</v>
      </c>
      <c r="AV248" s="394">
        <f t="shared" si="218"/>
        <v>0</v>
      </c>
      <c r="AW248" s="137">
        <f t="shared" si="195"/>
        <v>0.17</v>
      </c>
      <c r="AX248" s="137">
        <f t="shared" si="196"/>
        <v>0.55000000000000004</v>
      </c>
      <c r="AY248" s="137">
        <f t="shared" si="197"/>
        <v>0.55000000000000004</v>
      </c>
      <c r="AZ248" s="137"/>
      <c r="BA248" s="264"/>
      <c r="BB248" s="258">
        <f t="shared" si="198"/>
        <v>0</v>
      </c>
      <c r="BC248" s="258">
        <f t="shared" si="219"/>
        <v>0</v>
      </c>
      <c r="BD248" s="137">
        <f t="shared" si="220"/>
        <v>0</v>
      </c>
      <c r="BE248" s="137">
        <f t="shared" si="221"/>
        <v>0</v>
      </c>
      <c r="BF248" s="137">
        <f>_xll.xSPRDOPT($BW248,$BV248,$CG248,0,$BY248,$BX248,$BZ248,$AJ248,1,4)*$CB248</f>
        <v>0</v>
      </c>
      <c r="BG248" s="137">
        <f>_xll.xSPRDOPT($BW248,$BV248,$CG248,0,$BY248,$BX248,$BZ248,$AJ248,1,3)*$CB248</f>
        <v>0</v>
      </c>
      <c r="BH248" s="137">
        <f>IF(OR(BF248&lt;&gt;0,BG248&lt;&gt;0),_xll.xSPRDOPT($BW248,$BV248,$CG248,0,$BY248,$BX248,$BZ248,$AJ248,1,12)*$CB248,0)</f>
        <v>0</v>
      </c>
      <c r="BI248" s="137">
        <f>_xll.xSPRDOPT($BW248,$BV248,$CG248,2*LN(1+CA248/2),$BY248,$BX248,$BZ248,$AJ248,1,9)</f>
        <v>3.4122403383668704E-2</v>
      </c>
      <c r="BJ248" s="137">
        <f>_xll.xSPRDOPT($BW248,$BV248,$CG248,0,$BY248,$BX248,$BZ248,$AJ248,1,6)*$CB248</f>
        <v>0</v>
      </c>
      <c r="BK248" s="137">
        <f>_xll.xSPRDOPT($BW248,$BV248,$CG248,0,$BY248,$BX248,$BZ248,$AJ248,1,5)*$CB248</f>
        <v>0</v>
      </c>
      <c r="BL248" s="137">
        <f>_xll.xSPRDOPT(BW248,BV248,CG248,0,BY248,BX248,BZ248,AJ248,1,2)*CB248</f>
        <v>0</v>
      </c>
      <c r="BM248" s="137">
        <f>_xll.xSPRDOPT(BW248,BV248,CG248,0,BY248,BX248,BZ248,AJ248,1,1)*CB248</f>
        <v>0</v>
      </c>
      <c r="BN248" s="137">
        <f>IF(AH248&lt;&gt;0,_xll.xSPRDOPT($BW248,$BV248,$CG248,2*LN(1+CA248/2),$BY248,$BX248,$BZ248,$AJ248,1,8)+(AJ248/365.25)*CH248/AH248,0)</f>
        <v>0</v>
      </c>
      <c r="BO248" s="137">
        <f>_xll.xSPRDOPT($BW248,$BV248,$CG248,0,$BY248,$BX248,$BZ248,$AJ248,1,0)</f>
        <v>2.5330603413891568</v>
      </c>
      <c r="BP248" s="137"/>
      <c r="BQ248" s="137"/>
      <c r="BR248" s="137"/>
      <c r="BS248" s="137"/>
      <c r="BV248" s="262">
        <v>4.7682864450127873</v>
      </c>
      <c r="BW248" s="136">
        <v>5.6795</v>
      </c>
      <c r="BX248" s="137">
        <v>0.17</v>
      </c>
      <c r="BY248" s="137">
        <v>0.17</v>
      </c>
      <c r="BZ248" s="137">
        <v>0</v>
      </c>
      <c r="CA248" s="137">
        <v>6.6085864647580803E-2</v>
      </c>
      <c r="CB248" s="137">
        <v>0</v>
      </c>
      <c r="CC248" s="258">
        <v>2.1499999999999998E-2</v>
      </c>
      <c r="CD248" s="258">
        <v>0.01</v>
      </c>
      <c r="CE248" s="258">
        <v>1.05</v>
      </c>
      <c r="CF248" s="258">
        <v>0</v>
      </c>
      <c r="CG248" s="258">
        <v>3.6400000000000002E-2</v>
      </c>
      <c r="CH248" s="258">
        <v>0</v>
      </c>
      <c r="CI248" s="258">
        <v>4.6295000000000002</v>
      </c>
      <c r="CJ248" s="258"/>
      <c r="CK248" s="258"/>
      <c r="CL248" s="258"/>
      <c r="CM248" s="258"/>
    </row>
    <row r="249" spans="1:91" x14ac:dyDescent="0.25">
      <c r="A249" s="723"/>
      <c r="B249" s="723"/>
      <c r="D249" s="29"/>
      <c r="E249" s="29"/>
      <c r="F249" s="29"/>
      <c r="G249" s="29"/>
      <c r="H249" s="29"/>
      <c r="I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U249" s="29"/>
      <c r="BV249" s="29"/>
    </row>
    <row r="250" spans="1:91" x14ac:dyDescent="0.25">
      <c r="A250" s="723"/>
      <c r="B250" s="723"/>
      <c r="D250" s="29"/>
      <c r="E250" s="29"/>
      <c r="F250" s="29"/>
      <c r="G250" s="29"/>
      <c r="H250" s="29"/>
      <c r="I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U250" s="29"/>
      <c r="BV250" s="29"/>
    </row>
    <row r="251" spans="1:91" x14ac:dyDescent="0.25">
      <c r="A251" s="723"/>
      <c r="B251" s="723"/>
      <c r="D251" s="29"/>
      <c r="E251" s="29"/>
      <c r="F251" s="29"/>
      <c r="G251" s="29"/>
      <c r="H251" s="29"/>
      <c r="I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U251" s="29"/>
      <c r="BV251" s="29"/>
    </row>
    <row r="252" spans="1:91" x14ac:dyDescent="0.25">
      <c r="A252" s="723"/>
      <c r="B252" s="723"/>
      <c r="D252" s="29"/>
      <c r="E252" s="29"/>
      <c r="F252" s="29"/>
      <c r="G252" s="29"/>
      <c r="H252" s="29"/>
      <c r="I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U252" s="29"/>
      <c r="BV252" s="29"/>
    </row>
    <row r="253" spans="1:91" x14ac:dyDescent="0.25">
      <c r="A253" s="723"/>
      <c r="B253" s="723"/>
      <c r="D253" s="29"/>
      <c r="E253" s="29"/>
      <c r="F253" s="29"/>
      <c r="G253" s="29"/>
      <c r="H253" s="29"/>
      <c r="I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U253" s="29"/>
      <c r="BV253" s="29"/>
    </row>
    <row r="254" spans="1:91" x14ac:dyDescent="0.25">
      <c r="A254" s="723"/>
      <c r="B254" s="723"/>
      <c r="D254" s="29"/>
      <c r="E254" s="29"/>
      <c r="F254" s="29"/>
      <c r="G254" s="29"/>
      <c r="H254" s="29"/>
      <c r="I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U254" s="29"/>
      <c r="BV254" s="29"/>
    </row>
    <row r="255" spans="1:91" x14ac:dyDescent="0.25">
      <c r="A255" s="723"/>
      <c r="B255" s="723"/>
      <c r="D255" s="29"/>
      <c r="E255" s="29"/>
      <c r="F255" s="29"/>
      <c r="G255" s="29"/>
      <c r="H255" s="29"/>
      <c r="I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U255" s="29"/>
      <c r="BV255" s="29"/>
    </row>
    <row r="256" spans="1:91" x14ac:dyDescent="0.25">
      <c r="A256" s="723"/>
      <c r="B256" s="723"/>
      <c r="D256" s="29"/>
      <c r="E256" s="29"/>
      <c r="F256" s="29"/>
      <c r="G256" s="29"/>
      <c r="H256" s="29"/>
      <c r="I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U256" s="29"/>
      <c r="BV256" s="29"/>
    </row>
    <row r="257" spans="1:74" x14ac:dyDescent="0.25">
      <c r="A257" s="723"/>
      <c r="B257" s="723"/>
      <c r="D257" s="29"/>
      <c r="E257" s="29"/>
      <c r="F257" s="29"/>
      <c r="G257" s="29"/>
      <c r="H257" s="29"/>
      <c r="I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U257" s="29"/>
      <c r="BV257" s="29"/>
    </row>
    <row r="258" spans="1:74" x14ac:dyDescent="0.25">
      <c r="A258" s="723"/>
      <c r="B258" s="723"/>
      <c r="D258" s="29"/>
      <c r="E258" s="29"/>
      <c r="F258" s="29"/>
      <c r="G258" s="29"/>
      <c r="H258" s="29"/>
      <c r="I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U258" s="29"/>
      <c r="BV258" s="29"/>
    </row>
    <row r="259" spans="1:74" x14ac:dyDescent="0.25">
      <c r="A259" s="723"/>
      <c r="B259" s="723"/>
      <c r="D259" s="29"/>
      <c r="E259" s="29"/>
      <c r="F259" s="29"/>
      <c r="G259" s="29"/>
      <c r="H259" s="29"/>
      <c r="I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U259" s="29"/>
      <c r="BV259" s="29"/>
    </row>
    <row r="260" spans="1:74" x14ac:dyDescent="0.25">
      <c r="A260" s="723"/>
      <c r="B260" s="723"/>
      <c r="D260" s="29"/>
      <c r="E260" s="29"/>
      <c r="F260" s="29"/>
      <c r="G260" s="29"/>
      <c r="H260" s="29"/>
      <c r="I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U260" s="29"/>
      <c r="BV260" s="29"/>
    </row>
    <row r="261" spans="1:74" x14ac:dyDescent="0.25">
      <c r="A261" s="723"/>
      <c r="B261" s="723"/>
      <c r="D261" s="29"/>
      <c r="E261" s="29"/>
      <c r="F261" s="29"/>
      <c r="G261" s="29"/>
      <c r="H261" s="29"/>
      <c r="I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U261" s="29"/>
      <c r="BV261" s="29"/>
    </row>
    <row r="262" spans="1:74" x14ac:dyDescent="0.25">
      <c r="A262" s="723"/>
      <c r="B262" s="723"/>
      <c r="D262" s="29"/>
      <c r="E262" s="29"/>
      <c r="F262" s="29"/>
      <c r="G262" s="29"/>
      <c r="H262" s="29"/>
      <c r="I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U262" s="29"/>
      <c r="BV262" s="29"/>
    </row>
    <row r="263" spans="1:74" x14ac:dyDescent="0.25">
      <c r="A263" s="723"/>
      <c r="B263" s="723"/>
      <c r="D263" s="29"/>
      <c r="E263" s="29"/>
      <c r="F263" s="29"/>
      <c r="G263" s="29"/>
      <c r="H263" s="29"/>
      <c r="I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U263" s="29"/>
      <c r="BV263" s="29"/>
    </row>
    <row r="264" spans="1:74" x14ac:dyDescent="0.25">
      <c r="A264" s="723"/>
      <c r="B264" s="723"/>
      <c r="D264" s="29"/>
      <c r="E264" s="29"/>
      <c r="F264" s="29"/>
      <c r="G264" s="29"/>
      <c r="H264" s="29"/>
      <c r="I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U264" s="29"/>
      <c r="BV264" s="29"/>
    </row>
    <row r="265" spans="1:74" x14ac:dyDescent="0.25">
      <c r="D265" s="29"/>
      <c r="E265" s="29"/>
      <c r="F265" s="29"/>
      <c r="G265" s="29"/>
      <c r="H265" s="29"/>
      <c r="I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U265" s="29"/>
      <c r="BV265" s="29"/>
    </row>
    <row r="266" spans="1:74" x14ac:dyDescent="0.25">
      <c r="D266" s="29"/>
      <c r="E266" s="29"/>
      <c r="F266" s="29"/>
      <c r="G266" s="29"/>
      <c r="H266" s="29"/>
      <c r="I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U266" s="29"/>
      <c r="BV266" s="29"/>
    </row>
    <row r="267" spans="1:74" x14ac:dyDescent="0.25">
      <c r="D267" s="29"/>
      <c r="E267" s="29"/>
      <c r="F267" s="29"/>
      <c r="G267" s="29"/>
      <c r="H267" s="29"/>
      <c r="I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U267" s="29"/>
      <c r="BV267" s="29"/>
    </row>
    <row r="268" spans="1:74" x14ac:dyDescent="0.25">
      <c r="D268" s="29"/>
      <c r="E268" s="29"/>
      <c r="F268" s="29"/>
      <c r="G268" s="29"/>
      <c r="H268" s="29"/>
      <c r="I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U268" s="29"/>
      <c r="BV268" s="29"/>
    </row>
    <row r="269" spans="1:74" x14ac:dyDescent="0.25">
      <c r="D269" s="29"/>
      <c r="E269" s="29"/>
      <c r="F269" s="29"/>
      <c r="G269" s="29"/>
      <c r="H269" s="29"/>
      <c r="I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U269" s="29"/>
      <c r="BV269" s="29"/>
    </row>
    <row r="270" spans="1:74" x14ac:dyDescent="0.25">
      <c r="D270" s="29"/>
      <c r="E270" s="29"/>
      <c r="F270" s="29"/>
      <c r="G270" s="29"/>
      <c r="H270" s="29"/>
      <c r="I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U270" s="29"/>
      <c r="BV270" s="29"/>
    </row>
    <row r="271" spans="1:74" x14ac:dyDescent="0.25">
      <c r="D271" s="29"/>
      <c r="E271" s="29"/>
      <c r="F271" s="29"/>
      <c r="G271" s="29"/>
      <c r="H271" s="29"/>
      <c r="I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U271" s="29"/>
      <c r="BV271" s="29"/>
    </row>
    <row r="272" spans="1:74" x14ac:dyDescent="0.25">
      <c r="D272" s="29"/>
      <c r="E272" s="29"/>
      <c r="F272" s="29"/>
      <c r="G272" s="29"/>
      <c r="H272" s="29"/>
      <c r="I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U272" s="29"/>
      <c r="BV272" s="29"/>
    </row>
    <row r="273" spans="4:74" x14ac:dyDescent="0.25">
      <c r="D273" s="29"/>
      <c r="E273" s="29"/>
      <c r="F273" s="29"/>
      <c r="G273" s="29"/>
      <c r="H273" s="29"/>
      <c r="I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U273" s="29"/>
      <c r="BV273" s="29"/>
    </row>
    <row r="274" spans="4:74" x14ac:dyDescent="0.25">
      <c r="D274" s="29"/>
      <c r="E274" s="29"/>
      <c r="F274" s="29"/>
      <c r="G274" s="29"/>
      <c r="H274" s="29"/>
      <c r="I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U274" s="29"/>
      <c r="BV274" s="29"/>
    </row>
    <row r="275" spans="4:74" x14ac:dyDescent="0.25">
      <c r="D275" s="29"/>
      <c r="E275" s="29"/>
      <c r="F275" s="29"/>
      <c r="G275" s="29"/>
      <c r="H275" s="29"/>
      <c r="I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U275" s="29"/>
      <c r="BV275" s="29"/>
    </row>
    <row r="276" spans="4:74" x14ac:dyDescent="0.25">
      <c r="D276" s="29"/>
      <c r="E276" s="29"/>
      <c r="F276" s="29"/>
      <c r="G276" s="29"/>
      <c r="H276" s="29"/>
      <c r="I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U276" s="29"/>
      <c r="BV276" s="29"/>
    </row>
    <row r="277" spans="4:74" x14ac:dyDescent="0.25">
      <c r="D277" s="29"/>
      <c r="E277" s="29"/>
      <c r="F277" s="29"/>
      <c r="G277" s="29"/>
      <c r="H277" s="29"/>
      <c r="I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U277" s="29"/>
      <c r="BV277" s="29"/>
    </row>
    <row r="278" spans="4:74" x14ac:dyDescent="0.25">
      <c r="D278" s="29"/>
      <c r="E278" s="29"/>
      <c r="F278" s="29"/>
      <c r="G278" s="29"/>
      <c r="H278" s="29"/>
      <c r="I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U278" s="29"/>
      <c r="BV278" s="29"/>
    </row>
    <row r="279" spans="4:74" x14ac:dyDescent="0.25">
      <c r="D279" s="29"/>
      <c r="E279" s="29"/>
      <c r="F279" s="29"/>
      <c r="G279" s="29"/>
      <c r="H279" s="29"/>
      <c r="I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U279" s="29"/>
      <c r="BV279" s="29"/>
    </row>
    <row r="280" spans="4:74" x14ac:dyDescent="0.25">
      <c r="D280" s="29"/>
      <c r="E280" s="29"/>
      <c r="F280" s="29"/>
      <c r="G280" s="29"/>
      <c r="H280" s="29"/>
      <c r="I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U280" s="29"/>
      <c r="BV280" s="29"/>
    </row>
    <row r="281" spans="4:74" x14ac:dyDescent="0.25">
      <c r="D281" s="29"/>
      <c r="E281" s="29"/>
      <c r="F281" s="29"/>
      <c r="G281" s="29"/>
      <c r="H281" s="29"/>
      <c r="I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U281" s="29"/>
      <c r="BV281" s="29"/>
    </row>
    <row r="282" spans="4:74" x14ac:dyDescent="0.25">
      <c r="D282" s="29"/>
      <c r="E282" s="29"/>
      <c r="F282" s="29"/>
      <c r="G282" s="29"/>
      <c r="H282" s="29"/>
      <c r="I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U282" s="29"/>
      <c r="BV282" s="29"/>
    </row>
    <row r="283" spans="4:74" x14ac:dyDescent="0.25">
      <c r="D283" s="29"/>
      <c r="E283" s="29"/>
      <c r="F283" s="29"/>
      <c r="G283" s="29"/>
      <c r="H283" s="29"/>
      <c r="I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U283" s="29"/>
      <c r="BV283" s="29"/>
    </row>
    <row r="284" spans="4:74" x14ac:dyDescent="0.25">
      <c r="D284" s="29"/>
      <c r="E284" s="29"/>
      <c r="F284" s="29"/>
      <c r="G284" s="29"/>
      <c r="H284" s="29"/>
      <c r="I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U284" s="29"/>
      <c r="BV284" s="29"/>
    </row>
    <row r="285" spans="4:74" x14ac:dyDescent="0.25">
      <c r="D285" s="29"/>
      <c r="E285" s="29"/>
      <c r="F285" s="29"/>
      <c r="G285" s="29"/>
      <c r="H285" s="29"/>
      <c r="I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U285" s="29"/>
      <c r="BV285" s="29"/>
    </row>
    <row r="286" spans="4:74" x14ac:dyDescent="0.25">
      <c r="D286" s="29"/>
      <c r="E286" s="29"/>
      <c r="F286" s="29"/>
      <c r="G286" s="29"/>
      <c r="H286" s="29"/>
      <c r="I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U286" s="29"/>
      <c r="BV286" s="29"/>
    </row>
    <row r="287" spans="4:74" x14ac:dyDescent="0.25">
      <c r="D287" s="29"/>
      <c r="E287" s="29"/>
      <c r="F287" s="29"/>
      <c r="G287" s="29"/>
      <c r="H287" s="29"/>
      <c r="I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U287" s="29"/>
      <c r="BV287" s="29"/>
    </row>
    <row r="288" spans="4:74" x14ac:dyDescent="0.25">
      <c r="D288" s="29"/>
      <c r="E288" s="29"/>
      <c r="F288" s="29"/>
      <c r="G288" s="29"/>
      <c r="H288" s="29"/>
      <c r="I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U288" s="29"/>
      <c r="BV288" s="29"/>
    </row>
    <row r="289" spans="4:74" x14ac:dyDescent="0.25">
      <c r="D289" s="29"/>
      <c r="E289" s="29"/>
      <c r="F289" s="29"/>
      <c r="G289" s="29"/>
      <c r="H289" s="29"/>
      <c r="I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U289" s="29"/>
      <c r="BV289" s="29"/>
    </row>
    <row r="290" spans="4:74" x14ac:dyDescent="0.25">
      <c r="D290" s="29"/>
      <c r="E290" s="29"/>
      <c r="F290" s="29"/>
      <c r="G290" s="29"/>
      <c r="H290" s="29"/>
      <c r="I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U290" s="29"/>
      <c r="BV290" s="29"/>
    </row>
    <row r="291" spans="4:74" x14ac:dyDescent="0.25">
      <c r="D291" s="29"/>
      <c r="E291" s="29"/>
      <c r="F291" s="29"/>
      <c r="G291" s="29"/>
      <c r="H291" s="29"/>
      <c r="I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U291" s="29"/>
      <c r="BV291" s="29"/>
    </row>
    <row r="292" spans="4:74" x14ac:dyDescent="0.25">
      <c r="D292" s="29"/>
      <c r="E292" s="29"/>
      <c r="F292" s="29"/>
      <c r="G292" s="29"/>
      <c r="H292" s="29"/>
      <c r="I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U292" s="29"/>
      <c r="BV292" s="29"/>
    </row>
    <row r="293" spans="4:74" x14ac:dyDescent="0.25">
      <c r="D293" s="29"/>
      <c r="E293" s="29"/>
      <c r="F293" s="29"/>
      <c r="G293" s="29"/>
      <c r="H293" s="29"/>
      <c r="I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U293" s="29"/>
      <c r="BV293" s="29"/>
    </row>
    <row r="294" spans="4:74" x14ac:dyDescent="0.25">
      <c r="D294" s="29"/>
      <c r="E294" s="29"/>
      <c r="F294" s="29"/>
      <c r="G294" s="29"/>
      <c r="H294" s="29"/>
      <c r="I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U294" s="29"/>
      <c r="BV294" s="29"/>
    </row>
    <row r="295" spans="4:74" x14ac:dyDescent="0.25">
      <c r="D295" s="29"/>
      <c r="E295" s="29"/>
      <c r="F295" s="29"/>
      <c r="G295" s="29"/>
      <c r="H295" s="29"/>
      <c r="I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U295" s="29"/>
      <c r="BV295" s="29"/>
    </row>
    <row r="296" spans="4:74" x14ac:dyDescent="0.25">
      <c r="D296" s="29"/>
      <c r="E296" s="29"/>
      <c r="F296" s="29"/>
      <c r="G296" s="29"/>
      <c r="H296" s="29"/>
      <c r="I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U296" s="29"/>
      <c r="BV296" s="29"/>
    </row>
    <row r="297" spans="4:74" x14ac:dyDescent="0.25">
      <c r="D297" s="29"/>
      <c r="E297" s="29"/>
      <c r="F297" s="29"/>
      <c r="G297" s="29"/>
      <c r="H297" s="29"/>
      <c r="I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U297" s="29"/>
      <c r="BV297" s="29"/>
    </row>
    <row r="298" spans="4:74" x14ac:dyDescent="0.25">
      <c r="D298" s="29"/>
      <c r="E298" s="29"/>
      <c r="F298" s="29"/>
      <c r="G298" s="29"/>
      <c r="H298" s="29"/>
      <c r="I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U298" s="29"/>
      <c r="BV298" s="29"/>
    </row>
    <row r="299" spans="4:74" x14ac:dyDescent="0.25">
      <c r="D299" s="29"/>
      <c r="E299" s="29"/>
      <c r="F299" s="29"/>
      <c r="G299" s="29"/>
      <c r="H299" s="29"/>
      <c r="I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U299" s="29"/>
      <c r="BV299" s="29"/>
    </row>
    <row r="300" spans="4:74" x14ac:dyDescent="0.25">
      <c r="D300" s="29"/>
      <c r="E300" s="29"/>
      <c r="F300" s="29"/>
      <c r="G300" s="29"/>
      <c r="H300" s="29"/>
      <c r="I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U300" s="29"/>
      <c r="BV300" s="29"/>
    </row>
    <row r="301" spans="4:74" x14ac:dyDescent="0.25">
      <c r="D301" s="29"/>
      <c r="E301" s="29"/>
      <c r="F301" s="29"/>
      <c r="G301" s="29"/>
      <c r="H301" s="29"/>
      <c r="I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U301" s="29"/>
      <c r="BV301" s="29"/>
    </row>
    <row r="302" spans="4:74" x14ac:dyDescent="0.25">
      <c r="D302" s="29"/>
      <c r="E302" s="29"/>
      <c r="F302" s="29"/>
      <c r="G302" s="29"/>
      <c r="H302" s="29"/>
      <c r="I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U302" s="29"/>
      <c r="BV302" s="29"/>
    </row>
    <row r="303" spans="4:74" x14ac:dyDescent="0.25">
      <c r="D303" s="29"/>
      <c r="E303" s="29"/>
      <c r="F303" s="29"/>
      <c r="G303" s="29"/>
      <c r="H303" s="29"/>
      <c r="I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U303" s="29"/>
      <c r="BV303" s="29"/>
    </row>
    <row r="304" spans="4:74" x14ac:dyDescent="0.25">
      <c r="D304" s="29"/>
      <c r="E304" s="29"/>
      <c r="F304" s="29"/>
      <c r="G304" s="29"/>
      <c r="H304" s="29"/>
      <c r="I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U304" s="29"/>
      <c r="BV304" s="29"/>
    </row>
    <row r="305" spans="4:74" x14ac:dyDescent="0.25">
      <c r="D305" s="29"/>
      <c r="E305" s="29"/>
      <c r="F305" s="29"/>
      <c r="G305" s="29"/>
      <c r="H305" s="29"/>
      <c r="I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U305" s="29"/>
      <c r="BV305" s="29"/>
    </row>
    <row r="306" spans="4:74" x14ac:dyDescent="0.25">
      <c r="D306" s="29"/>
      <c r="E306" s="29"/>
      <c r="F306" s="29"/>
      <c r="G306" s="29"/>
      <c r="H306" s="29"/>
      <c r="I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U306" s="29"/>
      <c r="BV306" s="29"/>
    </row>
    <row r="307" spans="4:74" x14ac:dyDescent="0.25">
      <c r="D307" s="29"/>
      <c r="E307" s="29"/>
      <c r="F307" s="29"/>
      <c r="G307" s="29"/>
      <c r="H307" s="29"/>
      <c r="I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U307" s="29"/>
      <c r="BV307" s="29"/>
    </row>
    <row r="308" spans="4:74" x14ac:dyDescent="0.25">
      <c r="D308" s="29"/>
      <c r="E308" s="29"/>
      <c r="F308" s="29"/>
      <c r="G308" s="29"/>
      <c r="H308" s="29"/>
      <c r="I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U308" s="29"/>
      <c r="BV308" s="29"/>
    </row>
    <row r="309" spans="4:74" x14ac:dyDescent="0.25">
      <c r="D309" s="29"/>
      <c r="E309" s="29"/>
      <c r="F309" s="29"/>
      <c r="G309" s="29"/>
      <c r="H309" s="29"/>
      <c r="I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U309" s="29"/>
      <c r="BV309" s="29"/>
    </row>
    <row r="310" spans="4:74" x14ac:dyDescent="0.25">
      <c r="D310" s="29"/>
      <c r="E310" s="29"/>
      <c r="F310" s="29"/>
      <c r="G310" s="29"/>
      <c r="H310" s="29"/>
      <c r="I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U310" s="29"/>
      <c r="BV310" s="29"/>
    </row>
    <row r="311" spans="4:74" x14ac:dyDescent="0.25">
      <c r="D311" s="29"/>
      <c r="E311" s="29"/>
      <c r="F311" s="29"/>
      <c r="G311" s="29"/>
      <c r="H311" s="29"/>
      <c r="I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U311" s="29"/>
      <c r="BV311" s="29"/>
    </row>
    <row r="312" spans="4:74" x14ac:dyDescent="0.25">
      <c r="D312" s="29"/>
      <c r="E312" s="29"/>
      <c r="F312" s="29"/>
      <c r="G312" s="29"/>
      <c r="H312" s="29"/>
      <c r="I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U312" s="29"/>
      <c r="BV312" s="29"/>
    </row>
    <row r="313" spans="4:74" x14ac:dyDescent="0.25">
      <c r="D313" s="29"/>
      <c r="E313" s="29"/>
      <c r="F313" s="29"/>
      <c r="G313" s="29"/>
      <c r="H313" s="29"/>
      <c r="I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U313" s="29"/>
      <c r="BV313" s="29"/>
    </row>
    <row r="314" spans="4:74" x14ac:dyDescent="0.25">
      <c r="D314" s="29"/>
      <c r="E314" s="29"/>
      <c r="F314" s="29"/>
      <c r="G314" s="29"/>
      <c r="H314" s="29"/>
      <c r="I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U314" s="29"/>
      <c r="BV314" s="29"/>
    </row>
    <row r="315" spans="4:74" x14ac:dyDescent="0.25">
      <c r="D315" s="29"/>
      <c r="E315" s="29"/>
      <c r="F315" s="29"/>
      <c r="G315" s="29"/>
      <c r="H315" s="29"/>
      <c r="I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U315" s="29"/>
      <c r="BV315" s="29"/>
    </row>
    <row r="316" spans="4:74" x14ac:dyDescent="0.25">
      <c r="D316" s="29"/>
      <c r="E316" s="29"/>
      <c r="F316" s="29"/>
      <c r="G316" s="29"/>
      <c r="H316" s="29"/>
      <c r="I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U316" s="29"/>
      <c r="BV316" s="29"/>
    </row>
    <row r="317" spans="4:74" x14ac:dyDescent="0.25">
      <c r="D317" s="29"/>
      <c r="E317" s="29"/>
      <c r="F317" s="29"/>
      <c r="G317" s="29"/>
      <c r="H317" s="29"/>
      <c r="I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U317" s="29"/>
      <c r="BV317" s="29"/>
    </row>
    <row r="318" spans="4:74" x14ac:dyDescent="0.25">
      <c r="D318" s="29"/>
      <c r="E318" s="29"/>
      <c r="F318" s="29"/>
      <c r="G318" s="29"/>
      <c r="H318" s="29"/>
      <c r="I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U318" s="29"/>
      <c r="BV318" s="29"/>
    </row>
    <row r="319" spans="4:74" x14ac:dyDescent="0.25">
      <c r="D319" s="29"/>
      <c r="E319" s="29"/>
      <c r="F319" s="29"/>
      <c r="G319" s="29"/>
      <c r="H319" s="29"/>
      <c r="I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U319" s="29"/>
      <c r="BV319" s="29"/>
    </row>
    <row r="320" spans="4:74" x14ac:dyDescent="0.25">
      <c r="D320" s="29"/>
      <c r="E320" s="29"/>
      <c r="F320" s="29"/>
      <c r="G320" s="29"/>
      <c r="H320" s="29"/>
      <c r="I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U320" s="29"/>
      <c r="BV320" s="29"/>
    </row>
    <row r="321" spans="4:74" x14ac:dyDescent="0.25">
      <c r="D321" s="29"/>
      <c r="E321" s="29"/>
      <c r="F321" s="29"/>
      <c r="G321" s="29"/>
      <c r="H321" s="29"/>
      <c r="I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U321" s="29"/>
      <c r="BV321" s="29"/>
    </row>
    <row r="322" spans="4:74" x14ac:dyDescent="0.25">
      <c r="D322" s="29"/>
      <c r="E322" s="29"/>
      <c r="F322" s="29"/>
      <c r="G322" s="29"/>
      <c r="H322" s="29"/>
      <c r="I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U322" s="29"/>
      <c r="BV322" s="29"/>
    </row>
    <row r="323" spans="4:74" x14ac:dyDescent="0.25">
      <c r="D323" s="29"/>
      <c r="E323" s="29"/>
      <c r="F323" s="29"/>
      <c r="G323" s="29"/>
      <c r="H323" s="29"/>
      <c r="I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U323" s="29"/>
      <c r="BV323" s="29"/>
    </row>
    <row r="324" spans="4:74" x14ac:dyDescent="0.25">
      <c r="D324" s="29"/>
      <c r="E324" s="29"/>
      <c r="F324" s="29"/>
      <c r="G324" s="29"/>
      <c r="H324" s="29"/>
      <c r="I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U324" s="29"/>
      <c r="BV324" s="29"/>
    </row>
    <row r="325" spans="4:74" x14ac:dyDescent="0.25">
      <c r="D325" s="29"/>
      <c r="E325" s="29"/>
      <c r="F325" s="29"/>
      <c r="G325" s="29"/>
      <c r="H325" s="29"/>
      <c r="I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U325" s="29"/>
      <c r="BV325" s="29"/>
    </row>
    <row r="326" spans="4:74" x14ac:dyDescent="0.25">
      <c r="D326" s="29"/>
      <c r="E326" s="29"/>
      <c r="F326" s="29"/>
      <c r="G326" s="29"/>
      <c r="H326" s="29"/>
      <c r="I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U326" s="29"/>
      <c r="BV326" s="29"/>
    </row>
    <row r="327" spans="4:74" x14ac:dyDescent="0.25">
      <c r="D327" s="29"/>
      <c r="E327" s="29"/>
      <c r="F327" s="29"/>
      <c r="G327" s="29"/>
      <c r="H327" s="29"/>
      <c r="I327" s="29"/>
      <c r="P327" s="29"/>
      <c r="Q327" s="29"/>
      <c r="R327" s="29"/>
      <c r="S327" s="29"/>
      <c r="T327" s="29"/>
      <c r="U327" s="29"/>
      <c r="V327" s="29"/>
      <c r="W327" s="29"/>
      <c r="X327" s="29"/>
      <c r="Y327" s="29"/>
      <c r="Z327" s="29"/>
      <c r="AA327" s="29"/>
      <c r="AB327" s="29"/>
      <c r="AC327" s="29"/>
      <c r="AD327" s="29"/>
      <c r="AE327" s="29"/>
      <c r="AF327" s="29"/>
      <c r="AG327" s="29"/>
      <c r="AH327" s="29"/>
      <c r="AI327" s="29"/>
      <c r="AJ327" s="29"/>
      <c r="AK327" s="29"/>
      <c r="AL327" s="29"/>
      <c r="AM327" s="29"/>
      <c r="AN327" s="29"/>
      <c r="AO327" s="29"/>
      <c r="AP327" s="29"/>
      <c r="AQ327" s="29"/>
      <c r="AR327" s="29"/>
      <c r="AS327" s="29"/>
      <c r="AT327" s="29"/>
      <c r="AU327" s="29"/>
      <c r="AV327" s="29"/>
      <c r="AW327" s="29"/>
      <c r="AX327" s="29"/>
      <c r="AY327" s="29"/>
      <c r="AZ327" s="29"/>
      <c r="BA327" s="29"/>
      <c r="BB327" s="29"/>
      <c r="BC327" s="29"/>
      <c r="BD327" s="29"/>
      <c r="BE327" s="29"/>
      <c r="BF327" s="29"/>
      <c r="BG327" s="29"/>
      <c r="BH327" s="29"/>
      <c r="BI327" s="29"/>
      <c r="BJ327" s="29"/>
      <c r="BK327" s="29"/>
      <c r="BL327" s="29"/>
      <c r="BM327" s="29"/>
      <c r="BN327" s="29"/>
      <c r="BO327" s="29"/>
      <c r="BP327" s="29"/>
      <c r="BQ327" s="29"/>
      <c r="BR327" s="29"/>
      <c r="BS327" s="29"/>
      <c r="BU327" s="29"/>
      <c r="BV327" s="29"/>
    </row>
    <row r="328" spans="4:74" x14ac:dyDescent="0.25">
      <c r="D328" s="29"/>
      <c r="E328" s="29"/>
      <c r="F328" s="29"/>
      <c r="G328" s="29"/>
      <c r="H328" s="29"/>
      <c r="I328" s="29"/>
      <c r="P328" s="29"/>
      <c r="Q328" s="29"/>
      <c r="R328" s="29"/>
      <c r="S328" s="29"/>
      <c r="T328" s="29"/>
      <c r="U328" s="29"/>
      <c r="V328" s="29"/>
      <c r="W328" s="29"/>
      <c r="X328" s="29"/>
      <c r="Y328" s="29"/>
      <c r="Z328" s="29"/>
      <c r="AA328" s="29"/>
      <c r="AB328" s="29"/>
      <c r="AC328" s="29"/>
      <c r="AD328" s="29"/>
      <c r="AE328" s="29"/>
      <c r="AF328" s="29"/>
      <c r="AG328" s="29"/>
      <c r="AH328" s="29"/>
      <c r="AI328" s="29"/>
      <c r="AJ328" s="29"/>
      <c r="AK328" s="29"/>
      <c r="AL328" s="29"/>
      <c r="AM328" s="29"/>
      <c r="AN328" s="29"/>
      <c r="AO328" s="29"/>
      <c r="AP328" s="29"/>
      <c r="AQ328" s="29"/>
      <c r="AR328" s="29"/>
      <c r="AS328" s="29"/>
      <c r="AT328" s="29"/>
      <c r="AU328" s="29"/>
      <c r="AV328" s="29"/>
      <c r="AW328" s="29"/>
      <c r="AX328" s="29"/>
      <c r="AY328" s="29"/>
      <c r="AZ328" s="29"/>
      <c r="BA328" s="29"/>
      <c r="BB328" s="29"/>
      <c r="BC328" s="29"/>
      <c r="BD328" s="29"/>
      <c r="BE328" s="29"/>
      <c r="BF328" s="29"/>
      <c r="BG328" s="29"/>
      <c r="BH328" s="29"/>
      <c r="BI328" s="29"/>
      <c r="BJ328" s="29"/>
      <c r="BK328" s="29"/>
      <c r="BL328" s="29"/>
      <c r="BM328" s="29"/>
      <c r="BN328" s="29"/>
      <c r="BO328" s="29"/>
      <c r="BP328" s="29"/>
      <c r="BQ328" s="29"/>
      <c r="BR328" s="29"/>
      <c r="BS328" s="29"/>
      <c r="BU328" s="29"/>
      <c r="BV328" s="29"/>
    </row>
    <row r="329" spans="4:74" x14ac:dyDescent="0.25">
      <c r="D329" s="29"/>
      <c r="E329" s="29"/>
      <c r="F329" s="29"/>
      <c r="G329" s="29"/>
      <c r="H329" s="29"/>
      <c r="I329" s="29"/>
      <c r="P329" s="29"/>
      <c r="Q329" s="29"/>
      <c r="R329" s="29"/>
      <c r="S329" s="29"/>
      <c r="T329" s="29"/>
      <c r="U329" s="29"/>
      <c r="V329" s="29"/>
      <c r="W329" s="29"/>
      <c r="X329" s="29"/>
      <c r="Y329" s="29"/>
      <c r="Z329" s="29"/>
      <c r="AA329" s="29"/>
      <c r="AB329" s="29"/>
      <c r="AC329" s="29"/>
      <c r="AD329" s="29"/>
      <c r="AE329" s="29"/>
      <c r="AF329" s="29"/>
      <c r="AG329" s="29"/>
      <c r="AH329" s="29"/>
      <c r="AI329" s="29"/>
      <c r="AJ329" s="29"/>
      <c r="AK329" s="29"/>
      <c r="AL329" s="29"/>
      <c r="AM329" s="29"/>
      <c r="AN329" s="29"/>
      <c r="AO329" s="29"/>
      <c r="AP329" s="29"/>
      <c r="AQ329" s="29"/>
      <c r="AR329" s="29"/>
      <c r="AS329" s="29"/>
      <c r="AT329" s="29"/>
      <c r="AU329" s="29"/>
      <c r="AV329" s="29"/>
      <c r="AW329" s="29"/>
      <c r="AX329" s="29"/>
      <c r="AY329" s="29"/>
      <c r="AZ329" s="29"/>
      <c r="BA329" s="29"/>
      <c r="BB329" s="29"/>
      <c r="BC329" s="29"/>
      <c r="BD329" s="29"/>
      <c r="BE329" s="29"/>
      <c r="BF329" s="29"/>
      <c r="BG329" s="29"/>
      <c r="BH329" s="29"/>
      <c r="BI329" s="29"/>
      <c r="BJ329" s="29"/>
      <c r="BK329" s="29"/>
      <c r="BL329" s="29"/>
      <c r="BM329" s="29"/>
      <c r="BN329" s="29"/>
      <c r="BO329" s="29"/>
      <c r="BP329" s="29"/>
      <c r="BQ329" s="29"/>
      <c r="BR329" s="29"/>
      <c r="BS329" s="29"/>
      <c r="BU329" s="29"/>
      <c r="BV329" s="29"/>
    </row>
    <row r="330" spans="4:74" x14ac:dyDescent="0.25">
      <c r="D330" s="29"/>
      <c r="E330" s="29"/>
      <c r="F330" s="29"/>
      <c r="G330" s="29"/>
      <c r="H330" s="29"/>
      <c r="I330" s="29"/>
      <c r="P330" s="29"/>
      <c r="Q330" s="29"/>
      <c r="R330" s="29"/>
      <c r="S330" s="29"/>
      <c r="T330" s="29"/>
      <c r="U330" s="29"/>
      <c r="V330" s="29"/>
      <c r="W330" s="29"/>
      <c r="X330" s="29"/>
      <c r="Y330" s="29"/>
      <c r="Z330" s="29"/>
      <c r="AA330" s="29"/>
      <c r="AB330" s="29"/>
      <c r="AC330" s="29"/>
      <c r="AD330" s="29"/>
      <c r="AE330" s="29"/>
      <c r="AF330" s="29"/>
      <c r="AG330" s="29"/>
      <c r="AH330" s="29"/>
      <c r="AI330" s="29"/>
      <c r="AJ330" s="29"/>
      <c r="AK330" s="29"/>
      <c r="AL330" s="29"/>
      <c r="AM330" s="29"/>
      <c r="AN330" s="29"/>
      <c r="AO330" s="29"/>
      <c r="AP330" s="29"/>
      <c r="AQ330" s="29"/>
      <c r="AR330" s="29"/>
      <c r="AS330" s="29"/>
      <c r="AT330" s="29"/>
      <c r="AU330" s="29"/>
      <c r="AV330" s="29"/>
      <c r="AW330" s="29"/>
      <c r="AX330" s="29"/>
      <c r="AY330" s="29"/>
      <c r="AZ330" s="29"/>
      <c r="BA330" s="29"/>
      <c r="BB330" s="29"/>
      <c r="BC330" s="29"/>
      <c r="BD330" s="29"/>
      <c r="BE330" s="29"/>
      <c r="BF330" s="29"/>
      <c r="BG330" s="29"/>
      <c r="BH330" s="29"/>
      <c r="BI330" s="29"/>
      <c r="BJ330" s="29"/>
      <c r="BK330" s="29"/>
      <c r="BL330" s="29"/>
      <c r="BM330" s="29"/>
      <c r="BN330" s="29"/>
      <c r="BO330" s="29"/>
      <c r="BP330" s="29"/>
      <c r="BQ330" s="29"/>
      <c r="BR330" s="29"/>
      <c r="BS330" s="29"/>
      <c r="BU330" s="29"/>
      <c r="BV330" s="29"/>
    </row>
    <row r="331" spans="4:74" x14ac:dyDescent="0.25">
      <c r="D331" s="29"/>
      <c r="E331" s="29"/>
      <c r="F331" s="29"/>
      <c r="G331" s="29"/>
      <c r="H331" s="29"/>
      <c r="I331" s="29"/>
      <c r="P331" s="29"/>
      <c r="Q331" s="29"/>
      <c r="R331" s="29"/>
      <c r="S331" s="29"/>
      <c r="T331" s="29"/>
      <c r="U331" s="29"/>
      <c r="V331" s="29"/>
      <c r="W331" s="29"/>
      <c r="X331" s="29"/>
      <c r="Y331" s="29"/>
      <c r="Z331" s="29"/>
      <c r="AA331" s="29"/>
      <c r="AB331" s="29"/>
      <c r="AC331" s="29"/>
      <c r="AD331" s="29"/>
      <c r="AE331" s="29"/>
      <c r="AF331" s="29"/>
      <c r="AG331" s="29"/>
      <c r="AH331" s="29"/>
      <c r="AI331" s="29"/>
      <c r="AJ331" s="29"/>
      <c r="AK331" s="29"/>
      <c r="AL331" s="29"/>
      <c r="AM331" s="29"/>
      <c r="AN331" s="29"/>
      <c r="AO331" s="29"/>
      <c r="AP331" s="29"/>
      <c r="AQ331" s="29"/>
      <c r="AR331" s="29"/>
      <c r="AS331" s="29"/>
      <c r="AT331" s="29"/>
      <c r="AU331" s="29"/>
      <c r="AV331" s="29"/>
      <c r="AW331" s="29"/>
      <c r="AX331" s="29"/>
      <c r="AY331" s="29"/>
      <c r="AZ331" s="29"/>
      <c r="BA331" s="29"/>
      <c r="BB331" s="29"/>
      <c r="BC331" s="29"/>
      <c r="BD331" s="29"/>
      <c r="BE331" s="29"/>
      <c r="BF331" s="29"/>
      <c r="BG331" s="29"/>
      <c r="BH331" s="29"/>
      <c r="BI331" s="29"/>
      <c r="BJ331" s="29"/>
      <c r="BK331" s="29"/>
      <c r="BL331" s="29"/>
      <c r="BM331" s="29"/>
      <c r="BN331" s="29"/>
      <c r="BO331" s="29"/>
      <c r="BP331" s="29"/>
      <c r="BQ331" s="29"/>
      <c r="BR331" s="29"/>
      <c r="BS331" s="29"/>
      <c r="BU331" s="29"/>
      <c r="BV331" s="29"/>
    </row>
    <row r="332" spans="4:74" x14ac:dyDescent="0.25">
      <c r="D332" s="29"/>
      <c r="E332" s="29"/>
      <c r="F332" s="29"/>
      <c r="G332" s="29"/>
      <c r="H332" s="29"/>
      <c r="I332" s="29"/>
      <c r="P332" s="29"/>
      <c r="Q332" s="29"/>
      <c r="R332" s="29"/>
      <c r="S332" s="29"/>
      <c r="T332" s="29"/>
      <c r="U332" s="29"/>
      <c r="V332" s="29"/>
      <c r="W332" s="29"/>
      <c r="X332" s="29"/>
      <c r="Y332" s="29"/>
      <c r="Z332" s="29"/>
      <c r="AA332" s="29"/>
      <c r="AB332" s="29"/>
      <c r="AC332" s="29"/>
      <c r="AD332" s="29"/>
      <c r="AE332" s="29"/>
      <c r="AF332" s="29"/>
      <c r="AG332" s="29"/>
      <c r="AH332" s="29"/>
      <c r="AI332" s="29"/>
      <c r="AJ332" s="29"/>
      <c r="AK332" s="29"/>
      <c r="AL332" s="29"/>
      <c r="AM332" s="29"/>
      <c r="AN332" s="29"/>
      <c r="AO332" s="29"/>
      <c r="AP332" s="29"/>
      <c r="AQ332" s="29"/>
      <c r="AR332" s="29"/>
      <c r="AS332" s="29"/>
      <c r="AT332" s="29"/>
      <c r="AU332" s="29"/>
      <c r="AV332" s="29"/>
      <c r="AW332" s="29"/>
      <c r="AX332" s="29"/>
      <c r="AY332" s="29"/>
      <c r="AZ332" s="29"/>
      <c r="BA332" s="29"/>
      <c r="BB332" s="29"/>
      <c r="BC332" s="29"/>
      <c r="BD332" s="29"/>
      <c r="BE332" s="29"/>
      <c r="BF332" s="29"/>
      <c r="BG332" s="29"/>
      <c r="BH332" s="29"/>
      <c r="BI332" s="29"/>
      <c r="BJ332" s="29"/>
      <c r="BK332" s="29"/>
      <c r="BL332" s="29"/>
      <c r="BM332" s="29"/>
      <c r="BN332" s="29"/>
      <c r="BO332" s="29"/>
      <c r="BP332" s="29"/>
      <c r="BQ332" s="29"/>
      <c r="BR332" s="29"/>
      <c r="BS332" s="29"/>
      <c r="BU332" s="29"/>
      <c r="BV332" s="29"/>
    </row>
    <row r="333" spans="4:74" x14ac:dyDescent="0.25">
      <c r="D333" s="29"/>
      <c r="E333" s="29"/>
      <c r="F333" s="29"/>
      <c r="G333" s="29"/>
      <c r="H333" s="29"/>
      <c r="I333" s="29"/>
      <c r="P333" s="29"/>
      <c r="Q333" s="29"/>
      <c r="R333" s="29"/>
      <c r="S333" s="29"/>
      <c r="T333" s="29"/>
      <c r="U333" s="29"/>
      <c r="V333" s="29"/>
      <c r="W333" s="29"/>
      <c r="X333" s="29"/>
      <c r="Y333" s="29"/>
      <c r="Z333" s="29"/>
      <c r="AA333" s="29"/>
      <c r="AB333" s="29"/>
      <c r="AC333" s="29"/>
      <c r="AD333" s="29"/>
      <c r="AE333" s="29"/>
      <c r="AF333" s="29"/>
      <c r="AG333" s="29"/>
      <c r="AH333" s="29"/>
      <c r="AI333" s="29"/>
      <c r="AJ333" s="29"/>
      <c r="AK333" s="29"/>
      <c r="AL333" s="29"/>
      <c r="AM333" s="29"/>
      <c r="AN333" s="29"/>
      <c r="AO333" s="29"/>
      <c r="AP333" s="29"/>
      <c r="AQ333" s="29"/>
      <c r="AR333" s="29"/>
      <c r="AS333" s="29"/>
      <c r="AT333" s="29"/>
      <c r="AU333" s="29"/>
      <c r="AV333" s="29"/>
      <c r="AW333" s="29"/>
      <c r="AX333" s="29"/>
      <c r="AY333" s="29"/>
      <c r="AZ333" s="29"/>
      <c r="BA333" s="29"/>
      <c r="BB333" s="29"/>
      <c r="BC333" s="29"/>
      <c r="BD333" s="29"/>
      <c r="BE333" s="29"/>
      <c r="BF333" s="29"/>
      <c r="BG333" s="29"/>
      <c r="BH333" s="29"/>
      <c r="BI333" s="29"/>
      <c r="BJ333" s="29"/>
      <c r="BK333" s="29"/>
      <c r="BL333" s="29"/>
      <c r="BM333" s="29"/>
      <c r="BN333" s="29"/>
      <c r="BO333" s="29"/>
      <c r="BP333" s="29"/>
      <c r="BQ333" s="29"/>
      <c r="BR333" s="29"/>
      <c r="BS333" s="29"/>
      <c r="BU333" s="29"/>
      <c r="BV333" s="29"/>
    </row>
    <row r="334" spans="4:74" x14ac:dyDescent="0.25">
      <c r="D334" s="29"/>
      <c r="E334" s="29"/>
      <c r="F334" s="29"/>
      <c r="G334" s="29"/>
      <c r="H334" s="29"/>
      <c r="I334" s="29"/>
      <c r="P334" s="29"/>
      <c r="Q334" s="29"/>
      <c r="R334" s="29"/>
      <c r="S334" s="29"/>
      <c r="T334" s="29"/>
      <c r="U334" s="29"/>
      <c r="V334" s="29"/>
      <c r="W334" s="29"/>
      <c r="X334" s="29"/>
      <c r="Y334" s="29"/>
      <c r="Z334" s="29"/>
      <c r="AA334" s="29"/>
      <c r="AB334" s="29"/>
      <c r="AC334" s="29"/>
      <c r="AD334" s="29"/>
      <c r="AE334" s="29"/>
      <c r="AF334" s="29"/>
      <c r="AG334" s="29"/>
      <c r="AH334" s="29"/>
      <c r="AI334" s="29"/>
      <c r="AJ334" s="29"/>
      <c r="AK334" s="29"/>
      <c r="AL334" s="29"/>
      <c r="AM334" s="29"/>
      <c r="AN334" s="29"/>
      <c r="AO334" s="29"/>
      <c r="AP334" s="29"/>
      <c r="AQ334" s="29"/>
      <c r="AR334" s="29"/>
      <c r="AS334" s="29"/>
      <c r="AT334" s="29"/>
      <c r="AU334" s="29"/>
      <c r="AV334" s="29"/>
      <c r="AW334" s="29"/>
      <c r="AX334" s="29"/>
      <c r="AY334" s="29"/>
      <c r="AZ334" s="29"/>
      <c r="BA334" s="29"/>
      <c r="BB334" s="29"/>
      <c r="BC334" s="29"/>
      <c r="BD334" s="29"/>
      <c r="BE334" s="29"/>
      <c r="BF334" s="29"/>
      <c r="BG334" s="29"/>
      <c r="BH334" s="29"/>
      <c r="BI334" s="29"/>
      <c r="BJ334" s="29"/>
      <c r="BK334" s="29"/>
      <c r="BL334" s="29"/>
      <c r="BM334" s="29"/>
      <c r="BN334" s="29"/>
      <c r="BO334" s="29"/>
      <c r="BP334" s="29"/>
      <c r="BQ334" s="29"/>
      <c r="BR334" s="29"/>
      <c r="BS334" s="29"/>
      <c r="BU334" s="29"/>
      <c r="BV334" s="29"/>
    </row>
    <row r="335" spans="4:74" x14ac:dyDescent="0.25">
      <c r="D335" s="29"/>
      <c r="E335" s="29"/>
      <c r="F335" s="29"/>
      <c r="G335" s="29"/>
      <c r="H335" s="29"/>
      <c r="I335" s="29"/>
      <c r="P335" s="29"/>
      <c r="Q335" s="29"/>
      <c r="R335" s="29"/>
      <c r="S335" s="29"/>
      <c r="T335" s="29"/>
      <c r="U335" s="29"/>
      <c r="V335" s="29"/>
      <c r="W335" s="29"/>
      <c r="X335" s="29"/>
      <c r="Y335" s="29"/>
      <c r="Z335" s="29"/>
      <c r="AA335" s="29"/>
      <c r="AB335" s="29"/>
      <c r="AC335" s="29"/>
      <c r="AD335" s="29"/>
      <c r="AE335" s="29"/>
      <c r="AF335" s="29"/>
      <c r="AG335" s="29"/>
      <c r="AH335" s="29"/>
      <c r="AI335" s="29"/>
      <c r="AJ335" s="29"/>
      <c r="AK335" s="29"/>
      <c r="AL335" s="29"/>
      <c r="AM335" s="29"/>
      <c r="AN335" s="29"/>
      <c r="AO335" s="29"/>
      <c r="AP335" s="29"/>
      <c r="AQ335" s="29"/>
      <c r="AR335" s="29"/>
      <c r="AS335" s="29"/>
      <c r="AT335" s="29"/>
      <c r="AU335" s="29"/>
      <c r="AV335" s="29"/>
      <c r="AW335" s="29"/>
      <c r="AX335" s="29"/>
      <c r="AY335" s="29"/>
      <c r="AZ335" s="29"/>
      <c r="BA335" s="29"/>
      <c r="BB335" s="29"/>
      <c r="BC335" s="29"/>
      <c r="BD335" s="29"/>
      <c r="BE335" s="29"/>
      <c r="BF335" s="29"/>
      <c r="BG335" s="29"/>
      <c r="BH335" s="29"/>
      <c r="BI335" s="29"/>
      <c r="BJ335" s="29"/>
      <c r="BK335" s="29"/>
      <c r="BL335" s="29"/>
      <c r="BM335" s="29"/>
      <c r="BN335" s="29"/>
      <c r="BO335" s="29"/>
      <c r="BP335" s="29"/>
      <c r="BQ335" s="29"/>
      <c r="BR335" s="29"/>
      <c r="BS335" s="29"/>
      <c r="BU335" s="29"/>
      <c r="BV335" s="29"/>
    </row>
    <row r="336" spans="4:74" x14ac:dyDescent="0.25">
      <c r="D336" s="29"/>
      <c r="E336" s="29"/>
      <c r="F336" s="29"/>
      <c r="G336" s="29"/>
      <c r="H336" s="29"/>
      <c r="I336" s="29"/>
      <c r="P336" s="29"/>
      <c r="Q336" s="29"/>
      <c r="R336" s="29"/>
      <c r="S336" s="29"/>
      <c r="T336" s="29"/>
      <c r="U336" s="29"/>
      <c r="V336" s="29"/>
      <c r="W336" s="29"/>
      <c r="X336" s="29"/>
      <c r="Y336" s="29"/>
      <c r="Z336" s="29"/>
      <c r="AA336" s="29"/>
      <c r="AB336" s="29"/>
      <c r="AC336" s="29"/>
      <c r="AD336" s="29"/>
      <c r="AE336" s="29"/>
      <c r="AF336" s="29"/>
      <c r="AG336" s="29"/>
      <c r="AH336" s="29"/>
      <c r="AI336" s="29"/>
      <c r="AJ336" s="29"/>
      <c r="AK336" s="29"/>
      <c r="AL336" s="29"/>
      <c r="AM336" s="29"/>
      <c r="AN336" s="29"/>
      <c r="AO336" s="29"/>
      <c r="AP336" s="29"/>
      <c r="AQ336" s="29"/>
      <c r="AR336" s="29"/>
      <c r="AS336" s="29"/>
      <c r="AT336" s="29"/>
      <c r="AU336" s="29"/>
      <c r="AV336" s="29"/>
      <c r="AW336" s="29"/>
      <c r="AX336" s="29"/>
      <c r="AY336" s="29"/>
      <c r="AZ336" s="29"/>
      <c r="BA336" s="29"/>
      <c r="BB336" s="29"/>
      <c r="BC336" s="29"/>
      <c r="BD336" s="29"/>
      <c r="BE336" s="29"/>
      <c r="BF336" s="29"/>
      <c r="BG336" s="29"/>
      <c r="BH336" s="29"/>
      <c r="BI336" s="29"/>
      <c r="BJ336" s="29"/>
      <c r="BK336" s="29"/>
      <c r="BL336" s="29"/>
      <c r="BM336" s="29"/>
      <c r="BN336" s="29"/>
      <c r="BO336" s="29"/>
      <c r="BP336" s="29"/>
      <c r="BQ336" s="29"/>
      <c r="BR336" s="29"/>
      <c r="BS336" s="29"/>
      <c r="BU336" s="29"/>
      <c r="BV336" s="29"/>
    </row>
    <row r="337" spans="4:74" x14ac:dyDescent="0.25">
      <c r="D337" s="29"/>
      <c r="E337" s="29"/>
      <c r="F337" s="29"/>
      <c r="G337" s="29"/>
      <c r="H337" s="29"/>
      <c r="I337" s="29"/>
      <c r="P337" s="29"/>
      <c r="Q337" s="29"/>
      <c r="R337" s="29"/>
      <c r="S337" s="29"/>
      <c r="T337" s="29"/>
      <c r="U337" s="29"/>
      <c r="V337" s="29"/>
      <c r="W337" s="29"/>
      <c r="X337" s="29"/>
      <c r="Y337" s="29"/>
      <c r="Z337" s="29"/>
      <c r="AA337" s="29"/>
      <c r="AB337" s="29"/>
      <c r="AC337" s="29"/>
      <c r="AD337" s="29"/>
      <c r="AE337" s="29"/>
      <c r="AF337" s="29"/>
      <c r="AG337" s="29"/>
      <c r="AH337" s="29"/>
      <c r="AI337" s="29"/>
      <c r="AJ337" s="29"/>
      <c r="AK337" s="29"/>
      <c r="AL337" s="29"/>
      <c r="AM337" s="29"/>
      <c r="AN337" s="29"/>
      <c r="AO337" s="29"/>
      <c r="AP337" s="29"/>
      <c r="AQ337" s="29"/>
      <c r="AR337" s="29"/>
      <c r="AS337" s="29"/>
      <c r="AT337" s="29"/>
      <c r="AU337" s="29"/>
      <c r="AV337" s="29"/>
      <c r="AW337" s="29"/>
      <c r="AX337" s="29"/>
      <c r="AY337" s="29"/>
      <c r="AZ337" s="29"/>
      <c r="BA337" s="29"/>
      <c r="BB337" s="29"/>
      <c r="BC337" s="29"/>
      <c r="BD337" s="29"/>
      <c r="BE337" s="29"/>
      <c r="BF337" s="29"/>
      <c r="BG337" s="29"/>
      <c r="BH337" s="29"/>
      <c r="BI337" s="29"/>
      <c r="BJ337" s="29"/>
      <c r="BK337" s="29"/>
      <c r="BL337" s="29"/>
      <c r="BM337" s="29"/>
      <c r="BN337" s="29"/>
      <c r="BO337" s="29"/>
      <c r="BP337" s="29"/>
      <c r="BQ337" s="29"/>
      <c r="BR337" s="29"/>
      <c r="BS337" s="29"/>
      <c r="BU337" s="29"/>
      <c r="BV337" s="29"/>
    </row>
    <row r="338" spans="4:74" x14ac:dyDescent="0.25">
      <c r="D338" s="29"/>
      <c r="E338" s="29"/>
      <c r="F338" s="29"/>
      <c r="G338" s="29"/>
      <c r="H338" s="29"/>
      <c r="I338" s="29"/>
      <c r="P338" s="29"/>
      <c r="Q338" s="29"/>
      <c r="R338" s="29"/>
      <c r="S338" s="29"/>
      <c r="T338" s="29"/>
      <c r="U338" s="29"/>
      <c r="V338" s="29"/>
      <c r="W338" s="29"/>
      <c r="X338" s="29"/>
      <c r="Y338" s="29"/>
      <c r="Z338" s="29"/>
      <c r="AA338" s="29"/>
      <c r="AB338" s="29"/>
      <c r="AC338" s="29"/>
      <c r="AD338" s="29"/>
      <c r="AE338" s="29"/>
      <c r="AF338" s="29"/>
      <c r="AG338" s="29"/>
      <c r="AH338" s="29"/>
      <c r="AI338" s="29"/>
      <c r="AJ338" s="29"/>
      <c r="AK338" s="29"/>
      <c r="AL338" s="29"/>
      <c r="AM338" s="29"/>
      <c r="AN338" s="29"/>
      <c r="AO338" s="29"/>
      <c r="AP338" s="29"/>
      <c r="AQ338" s="29"/>
      <c r="AR338" s="29"/>
      <c r="AS338" s="29"/>
      <c r="AT338" s="29"/>
      <c r="AU338" s="29"/>
      <c r="AV338" s="29"/>
      <c r="AW338" s="29"/>
      <c r="AX338" s="29"/>
      <c r="AY338" s="29"/>
      <c r="AZ338" s="29"/>
      <c r="BA338" s="29"/>
      <c r="BB338" s="29"/>
      <c r="BC338" s="29"/>
      <c r="BD338" s="29"/>
      <c r="BE338" s="29"/>
      <c r="BF338" s="29"/>
      <c r="BG338" s="29"/>
      <c r="BH338" s="29"/>
      <c r="BI338" s="29"/>
      <c r="BJ338" s="29"/>
      <c r="BK338" s="29"/>
      <c r="BL338" s="29"/>
      <c r="BM338" s="29"/>
      <c r="BN338" s="29"/>
      <c r="BO338" s="29"/>
      <c r="BP338" s="29"/>
      <c r="BQ338" s="29"/>
      <c r="BR338" s="29"/>
      <c r="BS338" s="29"/>
      <c r="BU338" s="29"/>
      <c r="BV338" s="29"/>
    </row>
    <row r="339" spans="4:74" x14ac:dyDescent="0.25">
      <c r="D339" s="29"/>
      <c r="E339" s="29"/>
      <c r="F339" s="29"/>
      <c r="G339" s="29"/>
      <c r="H339" s="29"/>
      <c r="I339" s="29"/>
      <c r="P339" s="29"/>
      <c r="Q339" s="29"/>
      <c r="R339" s="29"/>
      <c r="S339" s="29"/>
      <c r="T339" s="29"/>
      <c r="U339" s="29"/>
      <c r="V339" s="29"/>
      <c r="W339" s="29"/>
      <c r="X339" s="29"/>
      <c r="Y339" s="29"/>
      <c r="Z339" s="29"/>
      <c r="AA339" s="29"/>
      <c r="AB339" s="29"/>
      <c r="AC339" s="29"/>
      <c r="AD339" s="29"/>
      <c r="AE339" s="29"/>
      <c r="AF339" s="29"/>
      <c r="AG339" s="29"/>
      <c r="AH339" s="29"/>
      <c r="AI339" s="29"/>
      <c r="AJ339" s="29"/>
      <c r="AK339" s="29"/>
      <c r="AL339" s="29"/>
      <c r="AM339" s="29"/>
      <c r="AN339" s="29"/>
      <c r="AO339" s="29"/>
      <c r="AP339" s="29"/>
      <c r="AQ339" s="29"/>
      <c r="AR339" s="29"/>
      <c r="AS339" s="29"/>
      <c r="AT339" s="29"/>
      <c r="AU339" s="29"/>
      <c r="AV339" s="29"/>
      <c r="AW339" s="29"/>
      <c r="AX339" s="29"/>
      <c r="AY339" s="29"/>
      <c r="AZ339" s="29"/>
      <c r="BA339" s="29"/>
      <c r="BB339" s="29"/>
      <c r="BC339" s="29"/>
      <c r="BD339" s="29"/>
      <c r="BE339" s="29"/>
      <c r="BF339" s="29"/>
      <c r="BG339" s="29"/>
      <c r="BH339" s="29"/>
      <c r="BI339" s="29"/>
      <c r="BJ339" s="29"/>
      <c r="BK339" s="29"/>
      <c r="BL339" s="29"/>
      <c r="BM339" s="29"/>
      <c r="BN339" s="29"/>
      <c r="BO339" s="29"/>
      <c r="BP339" s="29"/>
      <c r="BQ339" s="29"/>
      <c r="BR339" s="29"/>
      <c r="BS339" s="29"/>
      <c r="BU339" s="29"/>
      <c r="BV339" s="29"/>
    </row>
    <row r="340" spans="4:74" x14ac:dyDescent="0.25">
      <c r="D340" s="29"/>
      <c r="E340" s="29"/>
      <c r="F340" s="29"/>
      <c r="G340" s="29"/>
      <c r="H340" s="29"/>
      <c r="I340" s="29"/>
      <c r="P340" s="29"/>
      <c r="Q340" s="29"/>
      <c r="R340" s="29"/>
      <c r="S340" s="29"/>
      <c r="T340" s="29"/>
      <c r="U340" s="29"/>
      <c r="V340" s="29"/>
      <c r="W340" s="29"/>
      <c r="X340" s="29"/>
      <c r="Y340" s="29"/>
      <c r="Z340" s="29"/>
      <c r="AA340" s="29"/>
      <c r="AB340" s="29"/>
      <c r="AC340" s="29"/>
      <c r="AD340" s="29"/>
      <c r="AE340" s="29"/>
      <c r="AF340" s="29"/>
      <c r="AG340" s="29"/>
      <c r="AH340" s="29"/>
      <c r="AI340" s="29"/>
      <c r="AJ340" s="29"/>
      <c r="AK340" s="29"/>
      <c r="AL340" s="29"/>
      <c r="AM340" s="29"/>
      <c r="AN340" s="29"/>
      <c r="AO340" s="29"/>
      <c r="AP340" s="29"/>
      <c r="AQ340" s="29"/>
      <c r="AR340" s="29"/>
      <c r="AS340" s="29"/>
      <c r="AT340" s="29"/>
      <c r="AU340" s="29"/>
      <c r="AV340" s="29"/>
      <c r="AW340" s="29"/>
      <c r="AX340" s="29"/>
      <c r="AY340" s="29"/>
      <c r="AZ340" s="29"/>
      <c r="BA340" s="29"/>
      <c r="BB340" s="29"/>
      <c r="BC340" s="29"/>
      <c r="BD340" s="29"/>
      <c r="BE340" s="29"/>
      <c r="BF340" s="29"/>
      <c r="BG340" s="29"/>
      <c r="BH340" s="29"/>
      <c r="BI340" s="29"/>
      <c r="BJ340" s="29"/>
      <c r="BK340" s="29"/>
      <c r="BL340" s="29"/>
      <c r="BM340" s="29"/>
      <c r="BN340" s="29"/>
      <c r="BO340" s="29"/>
      <c r="BP340" s="29"/>
      <c r="BQ340" s="29"/>
      <c r="BR340" s="29"/>
      <c r="BS340" s="29"/>
      <c r="BU340" s="29"/>
      <c r="BV340" s="29"/>
    </row>
    <row r="341" spans="4:74" x14ac:dyDescent="0.25">
      <c r="D341" s="29"/>
      <c r="E341" s="29"/>
      <c r="F341" s="29"/>
      <c r="G341" s="29"/>
      <c r="H341" s="29"/>
      <c r="I341" s="29"/>
      <c r="P341" s="29"/>
      <c r="Q341" s="29"/>
      <c r="R341" s="29"/>
      <c r="S341" s="29"/>
      <c r="T341" s="29"/>
      <c r="U341" s="29"/>
      <c r="V341" s="29"/>
      <c r="W341" s="29"/>
      <c r="X341" s="29"/>
      <c r="Y341" s="29"/>
      <c r="Z341" s="29"/>
      <c r="AA341" s="29"/>
      <c r="AB341" s="29"/>
      <c r="AC341" s="29"/>
      <c r="AD341" s="29"/>
      <c r="AE341" s="29"/>
      <c r="AF341" s="29"/>
      <c r="AG341" s="29"/>
      <c r="AH341" s="29"/>
      <c r="AI341" s="29"/>
      <c r="AJ341" s="29"/>
      <c r="AK341" s="29"/>
      <c r="AL341" s="29"/>
      <c r="AM341" s="29"/>
      <c r="AN341" s="29"/>
      <c r="AO341" s="29"/>
      <c r="AP341" s="29"/>
      <c r="AQ341" s="29"/>
      <c r="AR341" s="29"/>
      <c r="AS341" s="29"/>
      <c r="AT341" s="29"/>
      <c r="AU341" s="29"/>
      <c r="AV341" s="29"/>
      <c r="AW341" s="29"/>
      <c r="AX341" s="29"/>
      <c r="AY341" s="29"/>
      <c r="AZ341" s="29"/>
      <c r="BA341" s="29"/>
      <c r="BB341" s="29"/>
      <c r="BC341" s="29"/>
      <c r="BD341" s="29"/>
      <c r="BE341" s="29"/>
      <c r="BF341" s="29"/>
      <c r="BG341" s="29"/>
      <c r="BH341" s="29"/>
      <c r="BI341" s="29"/>
      <c r="BJ341" s="29"/>
      <c r="BK341" s="29"/>
      <c r="BL341" s="29"/>
      <c r="BM341" s="29"/>
      <c r="BN341" s="29"/>
      <c r="BO341" s="29"/>
      <c r="BP341" s="29"/>
      <c r="BQ341" s="29"/>
      <c r="BR341" s="29"/>
      <c r="BS341" s="29"/>
      <c r="BU341" s="29"/>
      <c r="BV341" s="29"/>
    </row>
    <row r="342" spans="4:74" x14ac:dyDescent="0.25">
      <c r="D342" s="29"/>
      <c r="E342" s="29"/>
      <c r="F342" s="29"/>
      <c r="G342" s="29"/>
      <c r="H342" s="29"/>
      <c r="I342" s="29"/>
      <c r="P342" s="29"/>
      <c r="Q342" s="29"/>
      <c r="R342" s="29"/>
      <c r="S342" s="29"/>
      <c r="T342" s="29"/>
      <c r="U342" s="29"/>
      <c r="V342" s="29"/>
      <c r="W342" s="29"/>
      <c r="X342" s="29"/>
      <c r="Y342" s="29"/>
      <c r="Z342" s="29"/>
      <c r="AA342" s="29"/>
      <c r="AB342" s="29"/>
      <c r="AC342" s="29"/>
      <c r="AD342" s="29"/>
      <c r="AE342" s="29"/>
      <c r="AF342" s="29"/>
      <c r="AG342" s="29"/>
      <c r="AH342" s="29"/>
      <c r="AI342" s="29"/>
      <c r="AJ342" s="29"/>
      <c r="AK342" s="29"/>
      <c r="AL342" s="29"/>
      <c r="AM342" s="29"/>
      <c r="AN342" s="29"/>
      <c r="AO342" s="29"/>
      <c r="AP342" s="29"/>
      <c r="AQ342" s="29"/>
      <c r="AR342" s="29"/>
      <c r="AS342" s="29"/>
      <c r="AT342" s="29"/>
      <c r="AU342" s="29"/>
      <c r="AV342" s="29"/>
      <c r="AW342" s="29"/>
      <c r="AX342" s="29"/>
      <c r="AY342" s="29"/>
      <c r="AZ342" s="29"/>
      <c r="BA342" s="29"/>
      <c r="BB342" s="29"/>
      <c r="BC342" s="29"/>
      <c r="BD342" s="29"/>
      <c r="BE342" s="29"/>
      <c r="BF342" s="29"/>
      <c r="BG342" s="29"/>
      <c r="BH342" s="29"/>
      <c r="BI342" s="29"/>
      <c r="BJ342" s="29"/>
      <c r="BK342" s="29"/>
      <c r="BL342" s="29"/>
      <c r="BM342" s="29"/>
      <c r="BN342" s="29"/>
      <c r="BO342" s="29"/>
      <c r="BP342" s="29"/>
      <c r="BQ342" s="29"/>
      <c r="BR342" s="29"/>
      <c r="BS342" s="29"/>
      <c r="BU342" s="29"/>
      <c r="BV342" s="29"/>
    </row>
    <row r="343" spans="4:74" x14ac:dyDescent="0.25">
      <c r="D343" s="29"/>
      <c r="E343" s="29"/>
      <c r="F343" s="29"/>
      <c r="G343" s="29"/>
      <c r="H343" s="29"/>
      <c r="I343" s="29"/>
      <c r="P343" s="29"/>
      <c r="Q343" s="29"/>
      <c r="R343" s="29"/>
      <c r="S343" s="29"/>
      <c r="T343" s="29"/>
      <c r="U343" s="29"/>
      <c r="V343" s="29"/>
      <c r="W343" s="29"/>
      <c r="X343" s="29"/>
      <c r="Y343" s="29"/>
      <c r="Z343" s="29"/>
      <c r="AA343" s="29"/>
      <c r="AB343" s="29"/>
      <c r="AC343" s="29"/>
      <c r="AD343" s="29"/>
      <c r="AE343" s="29"/>
      <c r="AF343" s="29"/>
      <c r="AG343" s="29"/>
      <c r="AH343" s="29"/>
      <c r="AI343" s="29"/>
      <c r="AJ343" s="29"/>
      <c r="AK343" s="29"/>
      <c r="AL343" s="29"/>
      <c r="AM343" s="29"/>
      <c r="AN343" s="29"/>
      <c r="AO343" s="29"/>
      <c r="AP343" s="29"/>
      <c r="AQ343" s="29"/>
      <c r="AR343" s="29"/>
      <c r="AS343" s="29"/>
      <c r="AT343" s="29"/>
      <c r="AU343" s="29"/>
      <c r="AV343" s="29"/>
      <c r="AW343" s="29"/>
      <c r="AX343" s="29"/>
      <c r="AY343" s="29"/>
      <c r="AZ343" s="29"/>
      <c r="BA343" s="29"/>
      <c r="BB343" s="29"/>
      <c r="BC343" s="29"/>
      <c r="BD343" s="29"/>
      <c r="BE343" s="29"/>
      <c r="BF343" s="29"/>
      <c r="BG343" s="29"/>
      <c r="BH343" s="29"/>
      <c r="BI343" s="29"/>
      <c r="BJ343" s="29"/>
      <c r="BK343" s="29"/>
      <c r="BL343" s="29"/>
      <c r="BM343" s="29"/>
      <c r="BN343" s="29"/>
      <c r="BO343" s="29"/>
      <c r="BP343" s="29"/>
      <c r="BQ343" s="29"/>
      <c r="BR343" s="29"/>
      <c r="BS343" s="29"/>
      <c r="BU343" s="29"/>
      <c r="BV343" s="29"/>
    </row>
    <row r="344" spans="4:74" x14ac:dyDescent="0.25">
      <c r="D344" s="29"/>
      <c r="E344" s="29"/>
      <c r="F344" s="29"/>
      <c r="G344" s="29"/>
      <c r="H344" s="29"/>
      <c r="I344" s="29"/>
      <c r="P344" s="29"/>
      <c r="Q344" s="29"/>
      <c r="R344" s="29"/>
      <c r="S344" s="29"/>
      <c r="T344" s="29"/>
      <c r="U344" s="29"/>
      <c r="V344" s="29"/>
      <c r="W344" s="29"/>
      <c r="X344" s="29"/>
      <c r="Y344" s="29"/>
      <c r="Z344" s="29"/>
      <c r="AA344" s="29"/>
      <c r="AB344" s="29"/>
      <c r="AC344" s="29"/>
      <c r="AD344" s="29"/>
      <c r="AE344" s="29"/>
      <c r="AF344" s="29"/>
      <c r="AG344" s="29"/>
      <c r="AH344" s="29"/>
      <c r="AI344" s="29"/>
      <c r="AJ344" s="29"/>
      <c r="AK344" s="29"/>
      <c r="AL344" s="29"/>
      <c r="AM344" s="29"/>
      <c r="AN344" s="29"/>
      <c r="AO344" s="29"/>
      <c r="AP344" s="29"/>
      <c r="AQ344" s="29"/>
      <c r="AR344" s="29"/>
      <c r="AS344" s="29"/>
      <c r="AT344" s="29"/>
      <c r="AU344" s="29"/>
      <c r="AV344" s="29"/>
      <c r="AW344" s="29"/>
      <c r="AX344" s="29"/>
      <c r="AY344" s="29"/>
      <c r="AZ344" s="29"/>
      <c r="BA344" s="29"/>
      <c r="BB344" s="29"/>
      <c r="BC344" s="29"/>
      <c r="BD344" s="29"/>
      <c r="BE344" s="29"/>
      <c r="BF344" s="29"/>
      <c r="BG344" s="29"/>
      <c r="BH344" s="29"/>
      <c r="BI344" s="29"/>
      <c r="BJ344" s="29"/>
      <c r="BK344" s="29"/>
      <c r="BL344" s="29"/>
      <c r="BM344" s="29"/>
      <c r="BN344" s="29"/>
      <c r="BO344" s="29"/>
      <c r="BP344" s="29"/>
      <c r="BQ344" s="29"/>
      <c r="BR344" s="29"/>
      <c r="BS344" s="29"/>
      <c r="BU344" s="29"/>
      <c r="BV344" s="29"/>
    </row>
    <row r="345" spans="4:74" x14ac:dyDescent="0.25">
      <c r="D345" s="29"/>
      <c r="E345" s="29"/>
      <c r="F345" s="29"/>
      <c r="G345" s="29"/>
      <c r="H345" s="29"/>
      <c r="I345" s="29"/>
      <c r="P345" s="29"/>
      <c r="Q345" s="29"/>
      <c r="R345" s="29"/>
      <c r="S345" s="29"/>
      <c r="T345" s="29"/>
      <c r="U345" s="29"/>
      <c r="V345" s="29"/>
      <c r="W345" s="29"/>
      <c r="X345" s="29"/>
      <c r="Y345" s="29"/>
      <c r="Z345" s="29"/>
      <c r="AA345" s="29"/>
      <c r="AB345" s="29"/>
      <c r="AC345" s="29"/>
      <c r="AD345" s="29"/>
      <c r="AE345" s="29"/>
      <c r="AF345" s="29"/>
      <c r="AG345" s="29"/>
      <c r="AH345" s="29"/>
      <c r="AI345" s="29"/>
      <c r="AJ345" s="29"/>
      <c r="AK345" s="29"/>
      <c r="AL345" s="29"/>
      <c r="AM345" s="29"/>
      <c r="AN345" s="29"/>
      <c r="AO345" s="29"/>
      <c r="AP345" s="29"/>
      <c r="AQ345" s="29"/>
      <c r="AR345" s="29"/>
      <c r="AS345" s="29"/>
      <c r="AT345" s="29"/>
      <c r="AU345" s="29"/>
      <c r="AV345" s="29"/>
      <c r="AW345" s="29"/>
      <c r="AX345" s="29"/>
      <c r="AY345" s="29"/>
      <c r="AZ345" s="29"/>
      <c r="BA345" s="29"/>
      <c r="BB345" s="29"/>
      <c r="BC345" s="29"/>
      <c r="BD345" s="29"/>
      <c r="BE345" s="29"/>
      <c r="BF345" s="29"/>
      <c r="BG345" s="29"/>
      <c r="BH345" s="29"/>
      <c r="BI345" s="29"/>
      <c r="BJ345" s="29"/>
      <c r="BK345" s="29"/>
      <c r="BL345" s="29"/>
      <c r="BM345" s="29"/>
      <c r="BN345" s="29"/>
      <c r="BO345" s="29"/>
      <c r="BP345" s="29"/>
      <c r="BQ345" s="29"/>
      <c r="BR345" s="29"/>
      <c r="BS345" s="29"/>
      <c r="BU345" s="29"/>
      <c r="BV345" s="29"/>
    </row>
    <row r="346" spans="4:74" x14ac:dyDescent="0.25">
      <c r="D346" s="29"/>
      <c r="E346" s="29"/>
      <c r="F346" s="29"/>
      <c r="G346" s="29"/>
      <c r="H346" s="29"/>
      <c r="I346" s="29"/>
      <c r="P346" s="29"/>
      <c r="Q346" s="29"/>
      <c r="R346" s="29"/>
      <c r="S346" s="29"/>
      <c r="T346" s="29"/>
      <c r="U346" s="29"/>
      <c r="V346" s="29"/>
      <c r="W346" s="29"/>
      <c r="X346" s="29"/>
      <c r="Y346" s="29"/>
      <c r="Z346" s="29"/>
      <c r="AA346" s="29"/>
      <c r="AB346" s="29"/>
      <c r="AC346" s="29"/>
      <c r="AD346" s="29"/>
      <c r="AE346" s="29"/>
      <c r="AF346" s="29"/>
      <c r="AG346" s="29"/>
      <c r="AH346" s="29"/>
      <c r="AI346" s="29"/>
      <c r="AJ346" s="29"/>
      <c r="AK346" s="29"/>
      <c r="AL346" s="29"/>
      <c r="AM346" s="29"/>
      <c r="AN346" s="29"/>
      <c r="AO346" s="29"/>
      <c r="AP346" s="29"/>
      <c r="AQ346" s="29"/>
      <c r="AR346" s="29"/>
      <c r="AS346" s="29"/>
      <c r="AT346" s="29"/>
      <c r="AU346" s="29"/>
      <c r="AV346" s="29"/>
      <c r="AW346" s="29"/>
      <c r="AX346" s="29"/>
      <c r="AY346" s="29"/>
      <c r="AZ346" s="29"/>
      <c r="BA346" s="29"/>
      <c r="BB346" s="29"/>
      <c r="BC346" s="29"/>
      <c r="BD346" s="29"/>
      <c r="BE346" s="29"/>
      <c r="BF346" s="29"/>
      <c r="BG346" s="29"/>
      <c r="BH346" s="29"/>
      <c r="BI346" s="29"/>
      <c r="BJ346" s="29"/>
      <c r="BK346" s="29"/>
      <c r="BL346" s="29"/>
      <c r="BM346" s="29"/>
      <c r="BN346" s="29"/>
      <c r="BO346" s="29"/>
      <c r="BP346" s="29"/>
      <c r="BQ346" s="29"/>
      <c r="BR346" s="29"/>
      <c r="BS346" s="29"/>
      <c r="BU346" s="29"/>
      <c r="BV346" s="29"/>
    </row>
    <row r="347" spans="4:74" x14ac:dyDescent="0.25">
      <c r="D347" s="29"/>
      <c r="E347" s="29"/>
      <c r="F347" s="29"/>
      <c r="G347" s="29"/>
      <c r="H347" s="29"/>
      <c r="I347" s="29"/>
      <c r="P347" s="29"/>
      <c r="Q347" s="29"/>
      <c r="R347" s="29"/>
      <c r="S347" s="29"/>
      <c r="T347" s="29"/>
      <c r="U347" s="29"/>
      <c r="V347" s="29"/>
      <c r="W347" s="29"/>
      <c r="X347" s="29"/>
      <c r="Y347" s="29"/>
      <c r="Z347" s="29"/>
      <c r="AA347" s="29"/>
      <c r="AB347" s="29"/>
      <c r="AC347" s="29"/>
      <c r="AD347" s="29"/>
      <c r="AE347" s="29"/>
      <c r="AF347" s="29"/>
      <c r="AG347" s="29"/>
      <c r="AH347" s="29"/>
      <c r="AI347" s="29"/>
      <c r="AJ347" s="29"/>
      <c r="AK347" s="29"/>
      <c r="AL347" s="29"/>
      <c r="AM347" s="29"/>
      <c r="AN347" s="29"/>
      <c r="AO347" s="29"/>
      <c r="AP347" s="29"/>
      <c r="AQ347" s="29"/>
      <c r="AR347" s="29"/>
      <c r="AS347" s="29"/>
      <c r="AT347" s="29"/>
      <c r="AU347" s="29"/>
      <c r="AV347" s="29"/>
      <c r="AW347" s="29"/>
      <c r="AX347" s="29"/>
      <c r="AY347" s="29"/>
      <c r="AZ347" s="29"/>
      <c r="BA347" s="29"/>
      <c r="BB347" s="29"/>
      <c r="BC347" s="29"/>
      <c r="BD347" s="29"/>
      <c r="BE347" s="29"/>
      <c r="BF347" s="29"/>
      <c r="BG347" s="29"/>
      <c r="BH347" s="29"/>
      <c r="BI347" s="29"/>
      <c r="BJ347" s="29"/>
      <c r="BK347" s="29"/>
      <c r="BL347" s="29"/>
      <c r="BM347" s="29"/>
      <c r="BN347" s="29"/>
      <c r="BO347" s="29"/>
      <c r="BP347" s="29"/>
      <c r="BQ347" s="29"/>
      <c r="BR347" s="29"/>
      <c r="BS347" s="29"/>
      <c r="BU347" s="29"/>
      <c r="BV347" s="29"/>
    </row>
    <row r="348" spans="4:74" x14ac:dyDescent="0.25">
      <c r="D348" s="29"/>
      <c r="E348" s="29"/>
      <c r="F348" s="29"/>
      <c r="G348" s="29"/>
      <c r="H348" s="29"/>
      <c r="I348" s="29"/>
      <c r="P348" s="29"/>
      <c r="Q348" s="29"/>
      <c r="R348" s="29"/>
      <c r="S348" s="29"/>
      <c r="T348" s="29"/>
      <c r="U348" s="29"/>
      <c r="V348" s="29"/>
      <c r="W348" s="29"/>
      <c r="X348" s="29"/>
      <c r="Y348" s="29"/>
      <c r="Z348" s="29"/>
      <c r="AA348" s="29"/>
      <c r="AB348" s="29"/>
      <c r="AC348" s="29"/>
      <c r="AD348" s="29"/>
      <c r="AE348" s="29"/>
      <c r="AF348" s="29"/>
      <c r="AG348" s="29"/>
      <c r="AH348" s="29"/>
      <c r="AI348" s="29"/>
      <c r="AJ348" s="29"/>
      <c r="AK348" s="29"/>
      <c r="AL348" s="29"/>
      <c r="AM348" s="29"/>
      <c r="AN348" s="29"/>
      <c r="AO348" s="29"/>
      <c r="AP348" s="29"/>
      <c r="AQ348" s="29"/>
      <c r="AR348" s="29"/>
      <c r="AS348" s="29"/>
      <c r="AT348" s="29"/>
      <c r="AU348" s="29"/>
      <c r="AV348" s="29"/>
      <c r="AW348" s="29"/>
      <c r="AX348" s="29"/>
      <c r="AY348" s="29"/>
      <c r="AZ348" s="29"/>
      <c r="BA348" s="29"/>
      <c r="BB348" s="29"/>
      <c r="BC348" s="29"/>
      <c r="BD348" s="29"/>
      <c r="BE348" s="29"/>
      <c r="BF348" s="29"/>
      <c r="BG348" s="29"/>
      <c r="BH348" s="29"/>
      <c r="BI348" s="29"/>
      <c r="BJ348" s="29"/>
      <c r="BK348" s="29"/>
      <c r="BL348" s="29"/>
      <c r="BM348" s="29"/>
      <c r="BN348" s="29"/>
      <c r="BO348" s="29"/>
      <c r="BP348" s="29"/>
      <c r="BQ348" s="29"/>
      <c r="BR348" s="29"/>
      <c r="BS348" s="29"/>
      <c r="BU348" s="29"/>
      <c r="BV348" s="29"/>
    </row>
    <row r="349" spans="4:74" x14ac:dyDescent="0.25">
      <c r="D349" s="29"/>
      <c r="E349" s="29"/>
      <c r="F349" s="29"/>
      <c r="G349" s="29"/>
      <c r="H349" s="29"/>
      <c r="I349" s="29"/>
      <c r="P349" s="29"/>
      <c r="Q349" s="29"/>
      <c r="R349" s="29"/>
      <c r="S349" s="29"/>
      <c r="T349" s="29"/>
      <c r="U349" s="29"/>
      <c r="V349" s="29"/>
      <c r="W349" s="29"/>
      <c r="X349" s="29"/>
      <c r="Y349" s="29"/>
      <c r="Z349" s="29"/>
      <c r="AA349" s="29"/>
      <c r="AB349" s="29"/>
      <c r="AC349" s="29"/>
      <c r="AD349" s="29"/>
      <c r="AE349" s="29"/>
      <c r="AF349" s="29"/>
      <c r="AG349" s="29"/>
      <c r="AH349" s="29"/>
      <c r="AI349" s="29"/>
      <c r="AJ349" s="29"/>
      <c r="AK349" s="29"/>
      <c r="AL349" s="29"/>
      <c r="AM349" s="29"/>
      <c r="AN349" s="29"/>
      <c r="AO349" s="29"/>
      <c r="AP349" s="29"/>
      <c r="AQ349" s="29"/>
      <c r="AR349" s="29"/>
      <c r="AS349" s="29"/>
      <c r="AT349" s="29"/>
      <c r="AU349" s="29"/>
      <c r="AV349" s="29"/>
      <c r="AW349" s="29"/>
      <c r="AX349" s="29"/>
      <c r="AY349" s="29"/>
      <c r="AZ349" s="29"/>
      <c r="BA349" s="29"/>
      <c r="BB349" s="29"/>
      <c r="BC349" s="29"/>
      <c r="BD349" s="29"/>
      <c r="BE349" s="29"/>
      <c r="BF349" s="29"/>
      <c r="BG349" s="29"/>
      <c r="BH349" s="29"/>
      <c r="BI349" s="29"/>
      <c r="BJ349" s="29"/>
      <c r="BK349" s="29"/>
      <c r="BL349" s="29"/>
      <c r="BM349" s="29"/>
      <c r="BN349" s="29"/>
      <c r="BO349" s="29"/>
      <c r="BP349" s="29"/>
      <c r="BQ349" s="29"/>
      <c r="BR349" s="29"/>
      <c r="BS349" s="29"/>
      <c r="BU349" s="29"/>
      <c r="BV349" s="29"/>
    </row>
    <row r="350" spans="4:74" x14ac:dyDescent="0.25">
      <c r="D350" s="29"/>
      <c r="E350" s="29"/>
      <c r="F350" s="29"/>
      <c r="G350" s="29"/>
      <c r="H350" s="29"/>
      <c r="I350" s="29"/>
      <c r="P350" s="29"/>
      <c r="Q350" s="29"/>
      <c r="R350" s="29"/>
      <c r="S350" s="29"/>
      <c r="T350" s="29"/>
      <c r="U350" s="29"/>
      <c r="V350" s="29"/>
      <c r="W350" s="29"/>
      <c r="X350" s="29"/>
      <c r="Y350" s="29"/>
      <c r="Z350" s="29"/>
      <c r="AA350" s="29"/>
      <c r="AB350" s="29"/>
      <c r="AC350" s="29"/>
      <c r="AD350" s="29"/>
      <c r="AE350" s="29"/>
      <c r="AF350" s="29"/>
      <c r="AG350" s="29"/>
      <c r="AH350" s="29"/>
      <c r="AI350" s="29"/>
      <c r="AJ350" s="29"/>
      <c r="AK350" s="29"/>
      <c r="AL350" s="29"/>
      <c r="AM350" s="29"/>
      <c r="AN350" s="29"/>
      <c r="AO350" s="29"/>
      <c r="AP350" s="29"/>
      <c r="AQ350" s="29"/>
      <c r="AR350" s="29"/>
      <c r="AS350" s="29"/>
      <c r="AT350" s="29"/>
      <c r="AU350" s="29"/>
      <c r="AV350" s="29"/>
      <c r="AW350" s="29"/>
      <c r="AX350" s="29"/>
      <c r="AY350" s="29"/>
      <c r="AZ350" s="29"/>
      <c r="BA350" s="29"/>
      <c r="BB350" s="29"/>
      <c r="BC350" s="29"/>
      <c r="BD350" s="29"/>
      <c r="BE350" s="29"/>
      <c r="BF350" s="29"/>
      <c r="BG350" s="29"/>
      <c r="BH350" s="29"/>
      <c r="BI350" s="29"/>
      <c r="BJ350" s="29"/>
      <c r="BK350" s="29"/>
      <c r="BL350" s="29"/>
      <c r="BM350" s="29"/>
      <c r="BN350" s="29"/>
      <c r="BO350" s="29"/>
      <c r="BP350" s="29"/>
      <c r="BQ350" s="29"/>
      <c r="BR350" s="29"/>
      <c r="BS350" s="29"/>
      <c r="BU350" s="29"/>
      <c r="BV350" s="29"/>
    </row>
    <row r="351" spans="4:74" x14ac:dyDescent="0.25">
      <c r="D351" s="29"/>
      <c r="E351" s="29"/>
      <c r="F351" s="29"/>
      <c r="G351" s="29"/>
      <c r="H351" s="29"/>
      <c r="I351" s="29"/>
      <c r="P351" s="29"/>
      <c r="Q351" s="29"/>
      <c r="R351" s="29"/>
      <c r="S351" s="29"/>
      <c r="T351" s="29"/>
      <c r="U351" s="29"/>
      <c r="V351" s="29"/>
      <c r="W351" s="29"/>
      <c r="X351" s="29"/>
      <c r="Y351" s="29"/>
      <c r="Z351" s="29"/>
      <c r="AA351" s="29"/>
      <c r="AB351" s="29"/>
      <c r="AC351" s="29"/>
      <c r="AD351" s="29"/>
      <c r="AE351" s="29"/>
      <c r="AF351" s="29"/>
      <c r="AG351" s="29"/>
      <c r="AH351" s="29"/>
      <c r="AI351" s="29"/>
      <c r="AJ351" s="29"/>
      <c r="AK351" s="29"/>
      <c r="AL351" s="29"/>
      <c r="AM351" s="29"/>
      <c r="AN351" s="29"/>
      <c r="AO351" s="29"/>
      <c r="AP351" s="29"/>
      <c r="AQ351" s="29"/>
      <c r="AR351" s="29"/>
      <c r="AS351" s="29"/>
      <c r="AT351" s="29"/>
      <c r="AU351" s="29"/>
      <c r="AV351" s="29"/>
      <c r="AW351" s="29"/>
      <c r="AX351" s="29"/>
      <c r="AY351" s="29"/>
      <c r="AZ351" s="29"/>
      <c r="BA351" s="29"/>
      <c r="BB351" s="29"/>
      <c r="BC351" s="29"/>
      <c r="BD351" s="29"/>
      <c r="BE351" s="29"/>
      <c r="BF351" s="29"/>
      <c r="BG351" s="29"/>
      <c r="BH351" s="29"/>
      <c r="BI351" s="29"/>
      <c r="BJ351" s="29"/>
      <c r="BK351" s="29"/>
      <c r="BL351" s="29"/>
      <c r="BM351" s="29"/>
      <c r="BN351" s="29"/>
      <c r="BO351" s="29"/>
      <c r="BP351" s="29"/>
      <c r="BQ351" s="29"/>
      <c r="BR351" s="29"/>
      <c r="BS351" s="29"/>
      <c r="BU351" s="29"/>
      <c r="BV351" s="29"/>
    </row>
    <row r="352" spans="4:74" x14ac:dyDescent="0.25">
      <c r="D352" s="29"/>
      <c r="E352" s="29"/>
      <c r="F352" s="29"/>
      <c r="G352" s="29"/>
      <c r="H352" s="29"/>
      <c r="I352" s="29"/>
      <c r="P352" s="29"/>
      <c r="Q352" s="29"/>
      <c r="R352" s="29"/>
      <c r="S352" s="29"/>
      <c r="T352" s="29"/>
      <c r="U352" s="29"/>
      <c r="V352" s="29"/>
      <c r="W352" s="29"/>
      <c r="X352" s="29"/>
      <c r="Y352" s="29"/>
      <c r="Z352" s="29"/>
      <c r="AA352" s="29"/>
      <c r="AB352" s="29"/>
      <c r="AC352" s="29"/>
      <c r="AD352" s="29"/>
      <c r="AE352" s="29"/>
      <c r="AF352" s="29"/>
      <c r="AG352" s="29"/>
      <c r="AH352" s="29"/>
      <c r="AI352" s="29"/>
      <c r="AJ352" s="29"/>
      <c r="AK352" s="29"/>
      <c r="AL352" s="29"/>
      <c r="AM352" s="29"/>
      <c r="AN352" s="29"/>
      <c r="AO352" s="29"/>
      <c r="AP352" s="29"/>
      <c r="AQ352" s="29"/>
      <c r="AR352" s="29"/>
      <c r="AS352" s="29"/>
      <c r="AT352" s="29"/>
      <c r="AU352" s="29"/>
      <c r="AV352" s="29"/>
      <c r="AW352" s="29"/>
      <c r="AX352" s="29"/>
      <c r="AY352" s="29"/>
      <c r="AZ352" s="29"/>
      <c r="BA352" s="29"/>
      <c r="BB352" s="29"/>
      <c r="BC352" s="29"/>
      <c r="BD352" s="29"/>
      <c r="BE352" s="29"/>
      <c r="BF352" s="29"/>
      <c r="BG352" s="29"/>
      <c r="BH352" s="29"/>
      <c r="BI352" s="29"/>
      <c r="BJ352" s="29"/>
      <c r="BK352" s="29"/>
      <c r="BL352" s="29"/>
      <c r="BM352" s="29"/>
      <c r="BN352" s="29"/>
      <c r="BO352" s="29"/>
      <c r="BP352" s="29"/>
      <c r="BQ352" s="29"/>
      <c r="BR352" s="29"/>
      <c r="BS352" s="29"/>
      <c r="BU352" s="29"/>
      <c r="BV352" s="29"/>
    </row>
    <row r="353" spans="4:74" x14ac:dyDescent="0.25">
      <c r="D353" s="29"/>
      <c r="E353" s="29"/>
      <c r="F353" s="29"/>
      <c r="G353" s="29"/>
      <c r="H353" s="29"/>
      <c r="I353" s="29"/>
      <c r="P353" s="29"/>
      <c r="Q353" s="29"/>
      <c r="R353" s="29"/>
      <c r="S353" s="29"/>
      <c r="T353" s="29"/>
      <c r="U353" s="29"/>
      <c r="V353" s="29"/>
      <c r="W353" s="29"/>
      <c r="X353" s="29"/>
      <c r="Y353" s="29"/>
      <c r="Z353" s="29"/>
      <c r="AA353" s="29"/>
      <c r="AB353" s="29"/>
      <c r="AC353" s="29"/>
      <c r="AD353" s="29"/>
      <c r="AE353" s="29"/>
      <c r="AF353" s="29"/>
      <c r="AG353" s="29"/>
      <c r="AH353" s="29"/>
      <c r="AI353" s="29"/>
      <c r="AJ353" s="29"/>
      <c r="AK353" s="29"/>
      <c r="AL353" s="29"/>
      <c r="AM353" s="29"/>
      <c r="AN353" s="29"/>
      <c r="AO353" s="29"/>
      <c r="AP353" s="29"/>
      <c r="AQ353" s="29"/>
      <c r="AR353" s="29"/>
      <c r="AS353" s="29"/>
      <c r="AT353" s="29"/>
      <c r="AU353" s="29"/>
      <c r="AV353" s="29"/>
      <c r="AW353" s="29"/>
      <c r="AX353" s="29"/>
      <c r="AY353" s="29"/>
      <c r="AZ353" s="29"/>
      <c r="BA353" s="29"/>
      <c r="BB353" s="29"/>
      <c r="BC353" s="29"/>
      <c r="BD353" s="29"/>
      <c r="BE353" s="29"/>
      <c r="BF353" s="29"/>
      <c r="BG353" s="29"/>
      <c r="BH353" s="29"/>
      <c r="BI353" s="29"/>
      <c r="BJ353" s="29"/>
      <c r="BK353" s="29"/>
      <c r="BL353" s="29"/>
      <c r="BM353" s="29"/>
      <c r="BN353" s="29"/>
      <c r="BO353" s="29"/>
      <c r="BP353" s="29"/>
      <c r="BQ353" s="29"/>
      <c r="BR353" s="29"/>
      <c r="BS353" s="29"/>
      <c r="BU353" s="29"/>
      <c r="BV353" s="29"/>
    </row>
    <row r="354" spans="4:74" x14ac:dyDescent="0.25">
      <c r="D354" s="29"/>
      <c r="E354" s="29"/>
      <c r="F354" s="29"/>
      <c r="G354" s="29"/>
      <c r="H354" s="29"/>
      <c r="I354" s="29"/>
      <c r="P354" s="29"/>
      <c r="Q354" s="29"/>
      <c r="R354" s="29"/>
      <c r="S354" s="29"/>
      <c r="T354" s="29"/>
      <c r="U354" s="29"/>
      <c r="V354" s="29"/>
      <c r="W354" s="29"/>
      <c r="X354" s="29"/>
      <c r="Y354" s="29"/>
      <c r="Z354" s="29"/>
      <c r="AA354" s="29"/>
      <c r="AB354" s="29"/>
      <c r="AC354" s="29"/>
      <c r="AD354" s="29"/>
      <c r="AE354" s="29"/>
      <c r="AF354" s="29"/>
      <c r="AG354" s="29"/>
      <c r="AH354" s="29"/>
      <c r="AI354" s="29"/>
      <c r="AJ354" s="29"/>
      <c r="AK354" s="29"/>
      <c r="AL354" s="29"/>
      <c r="AM354" s="29"/>
      <c r="AN354" s="29"/>
      <c r="AO354" s="29"/>
      <c r="AP354" s="29"/>
      <c r="AQ354" s="29"/>
      <c r="AR354" s="29"/>
      <c r="AS354" s="29"/>
      <c r="AT354" s="29"/>
      <c r="AU354" s="29"/>
      <c r="AV354" s="29"/>
      <c r="AW354" s="29"/>
      <c r="AX354" s="29"/>
      <c r="AY354" s="29"/>
      <c r="AZ354" s="29"/>
      <c r="BA354" s="29"/>
      <c r="BB354" s="29"/>
      <c r="BC354" s="29"/>
      <c r="BD354" s="29"/>
      <c r="BE354" s="29"/>
      <c r="BF354" s="29"/>
      <c r="BG354" s="29"/>
      <c r="BH354" s="29"/>
      <c r="BI354" s="29"/>
      <c r="BJ354" s="29"/>
      <c r="BK354" s="29"/>
      <c r="BL354" s="29"/>
      <c r="BM354" s="29"/>
      <c r="BN354" s="29"/>
      <c r="BO354" s="29"/>
      <c r="BP354" s="29"/>
      <c r="BQ354" s="29"/>
      <c r="BR354" s="29"/>
      <c r="BS354" s="29"/>
      <c r="BU354" s="29"/>
      <c r="BV354" s="29"/>
    </row>
    <row r="355" spans="4:74" x14ac:dyDescent="0.25">
      <c r="D355" s="29"/>
      <c r="E355" s="29"/>
      <c r="F355" s="29"/>
      <c r="G355" s="29"/>
      <c r="H355" s="29"/>
      <c r="I355" s="29"/>
      <c r="P355" s="29"/>
      <c r="Q355" s="29"/>
      <c r="R355" s="29"/>
      <c r="S355" s="29"/>
      <c r="T355" s="29"/>
      <c r="U355" s="29"/>
      <c r="V355" s="29"/>
      <c r="W355" s="29"/>
      <c r="X355" s="29"/>
      <c r="Y355" s="29"/>
      <c r="Z355" s="29"/>
      <c r="AA355" s="29"/>
      <c r="AB355" s="29"/>
      <c r="AC355" s="29"/>
      <c r="AD355" s="29"/>
      <c r="AE355" s="29"/>
      <c r="AF355" s="29"/>
      <c r="AG355" s="29"/>
      <c r="AH355" s="29"/>
      <c r="AI355" s="29"/>
      <c r="AJ355" s="29"/>
      <c r="AK355" s="29"/>
      <c r="AL355" s="29"/>
      <c r="AM355" s="29"/>
      <c r="AN355" s="29"/>
      <c r="AO355" s="29"/>
      <c r="AP355" s="29"/>
      <c r="AQ355" s="29"/>
      <c r="AR355" s="29"/>
      <c r="AS355" s="29"/>
      <c r="AT355" s="29"/>
      <c r="AU355" s="29"/>
      <c r="AV355" s="29"/>
      <c r="AW355" s="29"/>
      <c r="AX355" s="29"/>
      <c r="AY355" s="29"/>
      <c r="AZ355" s="29"/>
      <c r="BA355" s="29"/>
      <c r="BB355" s="29"/>
      <c r="BC355" s="29"/>
      <c r="BD355" s="29"/>
      <c r="BE355" s="29"/>
      <c r="BF355" s="29"/>
      <c r="BG355" s="29"/>
      <c r="BH355" s="29"/>
      <c r="BI355" s="29"/>
      <c r="BJ355" s="29"/>
      <c r="BK355" s="29"/>
      <c r="BL355" s="29"/>
      <c r="BM355" s="29"/>
      <c r="BN355" s="29"/>
      <c r="BO355" s="29"/>
      <c r="BP355" s="29"/>
      <c r="BQ355" s="29"/>
      <c r="BR355" s="29"/>
      <c r="BS355" s="29"/>
      <c r="BU355" s="29"/>
      <c r="BV355" s="29"/>
    </row>
    <row r="356" spans="4:74" x14ac:dyDescent="0.25">
      <c r="D356" s="29"/>
      <c r="E356" s="29"/>
      <c r="F356" s="29"/>
      <c r="G356" s="29"/>
      <c r="H356" s="29"/>
      <c r="I356" s="29"/>
      <c r="P356" s="29"/>
      <c r="Q356" s="29"/>
      <c r="R356" s="29"/>
      <c r="S356" s="29"/>
      <c r="T356" s="29"/>
      <c r="U356" s="29"/>
      <c r="V356" s="29"/>
      <c r="W356" s="29"/>
      <c r="X356" s="29"/>
      <c r="Y356" s="29"/>
      <c r="Z356" s="29"/>
      <c r="AA356" s="29"/>
      <c r="AB356" s="29"/>
      <c r="AC356" s="29"/>
      <c r="AD356" s="29"/>
      <c r="AE356" s="29"/>
      <c r="AF356" s="29"/>
      <c r="AG356" s="29"/>
      <c r="AH356" s="29"/>
      <c r="AI356" s="29"/>
      <c r="AJ356" s="29"/>
      <c r="AK356" s="29"/>
      <c r="AL356" s="29"/>
      <c r="AM356" s="29"/>
      <c r="AN356" s="29"/>
      <c r="AO356" s="29"/>
      <c r="AP356" s="29"/>
      <c r="AQ356" s="29"/>
      <c r="AR356" s="29"/>
      <c r="AS356" s="29"/>
      <c r="AT356" s="29"/>
      <c r="AU356" s="29"/>
      <c r="AV356" s="29"/>
      <c r="AW356" s="29"/>
      <c r="AX356" s="29"/>
      <c r="AY356" s="29"/>
      <c r="AZ356" s="29"/>
      <c r="BA356" s="29"/>
      <c r="BB356" s="29"/>
      <c r="BC356" s="29"/>
      <c r="BD356" s="29"/>
      <c r="BE356" s="29"/>
      <c r="BF356" s="29"/>
      <c r="BG356" s="29"/>
      <c r="BH356" s="29"/>
      <c r="BI356" s="29"/>
      <c r="BJ356" s="29"/>
      <c r="BK356" s="29"/>
      <c r="BL356" s="29"/>
      <c r="BM356" s="29"/>
      <c r="BN356" s="29"/>
      <c r="BO356" s="29"/>
      <c r="BP356" s="29"/>
      <c r="BQ356" s="29"/>
      <c r="BR356" s="29"/>
      <c r="BS356" s="29"/>
      <c r="BU356" s="29"/>
      <c r="BV356" s="29"/>
    </row>
    <row r="357" spans="4:74" x14ac:dyDescent="0.25">
      <c r="D357" s="29"/>
      <c r="E357" s="29"/>
      <c r="F357" s="29"/>
      <c r="G357" s="29"/>
      <c r="H357" s="29"/>
      <c r="I357" s="29"/>
      <c r="P357" s="29"/>
      <c r="Q357" s="29"/>
      <c r="R357" s="29"/>
      <c r="S357" s="29"/>
      <c r="T357" s="29"/>
      <c r="U357" s="29"/>
      <c r="V357" s="29"/>
      <c r="W357" s="29"/>
      <c r="X357" s="29"/>
      <c r="Y357" s="29"/>
      <c r="Z357" s="29"/>
      <c r="AA357" s="29"/>
      <c r="AB357" s="29"/>
      <c r="AC357" s="29"/>
      <c r="AD357" s="29"/>
      <c r="AE357" s="29"/>
      <c r="AF357" s="29"/>
      <c r="AG357" s="29"/>
      <c r="AH357" s="29"/>
      <c r="AI357" s="29"/>
      <c r="AJ357" s="29"/>
      <c r="AK357" s="29"/>
      <c r="AL357" s="29"/>
      <c r="AM357" s="29"/>
      <c r="AN357" s="29"/>
      <c r="AO357" s="29"/>
      <c r="AP357" s="29"/>
      <c r="AQ357" s="29"/>
      <c r="AR357" s="29"/>
      <c r="AS357" s="29"/>
      <c r="AT357" s="29"/>
      <c r="AU357" s="29"/>
      <c r="AV357" s="29"/>
      <c r="AW357" s="29"/>
      <c r="AX357" s="29"/>
      <c r="AY357" s="29"/>
      <c r="AZ357" s="29"/>
      <c r="BA357" s="29"/>
      <c r="BB357" s="29"/>
      <c r="BC357" s="29"/>
      <c r="BD357" s="29"/>
      <c r="BE357" s="29"/>
      <c r="BF357" s="29"/>
      <c r="BG357" s="29"/>
      <c r="BH357" s="29"/>
      <c r="BI357" s="29"/>
      <c r="BJ357" s="29"/>
      <c r="BK357" s="29"/>
      <c r="BL357" s="29"/>
      <c r="BM357" s="29"/>
      <c r="BN357" s="29"/>
      <c r="BO357" s="29"/>
      <c r="BP357" s="29"/>
      <c r="BQ357" s="29"/>
      <c r="BR357" s="29"/>
      <c r="BS357" s="29"/>
      <c r="BU357" s="29"/>
      <c r="BV357" s="29"/>
    </row>
    <row r="358" spans="4:74" x14ac:dyDescent="0.25">
      <c r="D358" s="29"/>
      <c r="E358" s="29"/>
      <c r="F358" s="29"/>
      <c r="G358" s="29"/>
      <c r="H358" s="29"/>
      <c r="I358" s="29"/>
      <c r="P358" s="29"/>
      <c r="Q358" s="29"/>
      <c r="R358" s="29"/>
      <c r="S358" s="29"/>
      <c r="T358" s="29"/>
      <c r="U358" s="29"/>
      <c r="V358" s="29"/>
      <c r="W358" s="29"/>
      <c r="X358" s="29"/>
      <c r="Y358" s="29"/>
      <c r="Z358" s="29"/>
      <c r="AA358" s="29"/>
      <c r="AB358" s="29"/>
      <c r="AC358" s="29"/>
      <c r="AD358" s="29"/>
      <c r="AE358" s="29"/>
      <c r="AF358" s="29"/>
      <c r="AG358" s="29"/>
      <c r="AH358" s="29"/>
      <c r="AI358" s="29"/>
      <c r="AJ358" s="29"/>
      <c r="AK358" s="29"/>
      <c r="AL358" s="29"/>
      <c r="AM358" s="29"/>
      <c r="AN358" s="29"/>
      <c r="AO358" s="29"/>
      <c r="AP358" s="29"/>
      <c r="AQ358" s="29"/>
      <c r="AR358" s="29"/>
      <c r="AS358" s="29"/>
      <c r="AT358" s="29"/>
      <c r="AU358" s="29"/>
      <c r="AV358" s="29"/>
      <c r="AW358" s="29"/>
      <c r="AX358" s="29"/>
      <c r="AY358" s="29"/>
      <c r="AZ358" s="29"/>
      <c r="BA358" s="29"/>
      <c r="BB358" s="29"/>
      <c r="BC358" s="29"/>
      <c r="BD358" s="29"/>
      <c r="BE358" s="29"/>
      <c r="BF358" s="29"/>
      <c r="BG358" s="29"/>
      <c r="BH358" s="29"/>
      <c r="BI358" s="29"/>
      <c r="BJ358" s="29"/>
      <c r="BK358" s="29"/>
      <c r="BL358" s="29"/>
      <c r="BM358" s="29"/>
      <c r="BN358" s="29"/>
      <c r="BO358" s="29"/>
      <c r="BP358" s="29"/>
      <c r="BQ358" s="29"/>
      <c r="BR358" s="29"/>
      <c r="BS358" s="29"/>
      <c r="BU358" s="29"/>
      <c r="BV358" s="29"/>
    </row>
    <row r="359" spans="4:74" x14ac:dyDescent="0.25">
      <c r="D359" s="29"/>
      <c r="E359" s="29"/>
      <c r="F359" s="29"/>
      <c r="G359" s="29"/>
      <c r="H359" s="29"/>
      <c r="I359" s="29"/>
      <c r="P359" s="29"/>
      <c r="Q359" s="29"/>
      <c r="R359" s="29"/>
      <c r="S359" s="29"/>
      <c r="T359" s="29"/>
      <c r="U359" s="29"/>
      <c r="V359" s="29"/>
      <c r="W359" s="29"/>
      <c r="X359" s="29"/>
      <c r="Y359" s="29"/>
      <c r="Z359" s="29"/>
      <c r="AA359" s="29"/>
      <c r="AB359" s="29"/>
      <c r="AC359" s="29"/>
      <c r="AD359" s="29"/>
      <c r="AE359" s="29"/>
      <c r="AF359" s="29"/>
      <c r="AG359" s="29"/>
      <c r="AH359" s="29"/>
      <c r="AI359" s="29"/>
      <c r="AJ359" s="29"/>
      <c r="AK359" s="29"/>
      <c r="AL359" s="29"/>
      <c r="AM359" s="29"/>
      <c r="AN359" s="29"/>
      <c r="AO359" s="29"/>
      <c r="AP359" s="29"/>
      <c r="AQ359" s="29"/>
      <c r="AR359" s="29"/>
      <c r="AS359" s="29"/>
      <c r="AT359" s="29"/>
      <c r="AU359" s="29"/>
      <c r="AV359" s="29"/>
      <c r="AW359" s="29"/>
      <c r="AX359" s="29"/>
      <c r="AY359" s="29"/>
      <c r="AZ359" s="29"/>
      <c r="BA359" s="29"/>
      <c r="BB359" s="29"/>
      <c r="BC359" s="29"/>
      <c r="BD359" s="29"/>
      <c r="BE359" s="29"/>
      <c r="BF359" s="29"/>
      <c r="BG359" s="29"/>
      <c r="BH359" s="29"/>
      <c r="BI359" s="29"/>
      <c r="BJ359" s="29"/>
      <c r="BK359" s="29"/>
      <c r="BL359" s="29"/>
      <c r="BM359" s="29"/>
      <c r="BN359" s="29"/>
      <c r="BO359" s="29"/>
      <c r="BP359" s="29"/>
      <c r="BQ359" s="29"/>
      <c r="BR359" s="29"/>
      <c r="BS359" s="29"/>
      <c r="BU359" s="29"/>
      <c r="BV359" s="29"/>
    </row>
    <row r="360" spans="4:74" x14ac:dyDescent="0.25">
      <c r="D360" s="29"/>
      <c r="E360" s="29"/>
      <c r="F360" s="29"/>
      <c r="G360" s="29"/>
      <c r="H360" s="29"/>
      <c r="I360" s="29"/>
      <c r="P360" s="29"/>
      <c r="Q360" s="29"/>
      <c r="R360" s="29"/>
      <c r="S360" s="29"/>
      <c r="T360" s="29"/>
      <c r="U360" s="29"/>
      <c r="V360" s="29"/>
      <c r="W360" s="29"/>
      <c r="X360" s="29"/>
      <c r="Y360" s="29"/>
      <c r="Z360" s="29"/>
      <c r="AA360" s="29"/>
      <c r="AB360" s="29"/>
      <c r="AC360" s="29"/>
      <c r="AD360" s="29"/>
      <c r="AE360" s="29"/>
      <c r="AF360" s="29"/>
      <c r="AG360" s="29"/>
      <c r="AH360" s="29"/>
      <c r="AI360" s="29"/>
      <c r="AJ360" s="29"/>
      <c r="AK360" s="29"/>
      <c r="AL360" s="29"/>
      <c r="AM360" s="29"/>
      <c r="AN360" s="29"/>
      <c r="AO360" s="29"/>
      <c r="AP360" s="29"/>
      <c r="AQ360" s="29"/>
      <c r="AR360" s="29"/>
      <c r="AS360" s="29"/>
      <c r="AT360" s="29"/>
      <c r="AU360" s="29"/>
      <c r="AV360" s="29"/>
      <c r="AW360" s="29"/>
      <c r="AX360" s="29"/>
      <c r="AY360" s="29"/>
      <c r="AZ360" s="29"/>
      <c r="BA360" s="29"/>
      <c r="BB360" s="29"/>
      <c r="BC360" s="29"/>
      <c r="BD360" s="29"/>
      <c r="BE360" s="29"/>
      <c r="BF360" s="29"/>
      <c r="BG360" s="29"/>
      <c r="BH360" s="29"/>
      <c r="BI360" s="29"/>
      <c r="BJ360" s="29"/>
      <c r="BK360" s="29"/>
      <c r="BL360" s="29"/>
      <c r="BM360" s="29"/>
      <c r="BN360" s="29"/>
      <c r="BO360" s="29"/>
      <c r="BP360" s="29"/>
      <c r="BQ360" s="29"/>
      <c r="BR360" s="29"/>
      <c r="BS360" s="29"/>
      <c r="BU360" s="29"/>
      <c r="BV360" s="29"/>
    </row>
    <row r="361" spans="4:74" x14ac:dyDescent="0.25">
      <c r="D361" s="29"/>
      <c r="E361" s="29"/>
      <c r="F361" s="29"/>
      <c r="G361" s="29"/>
      <c r="H361" s="29"/>
      <c r="I361" s="29"/>
      <c r="P361" s="29"/>
      <c r="Q361" s="29"/>
      <c r="R361" s="29"/>
      <c r="S361" s="29"/>
      <c r="T361" s="29"/>
      <c r="U361" s="29"/>
      <c r="V361" s="29"/>
      <c r="W361" s="29"/>
      <c r="X361" s="29"/>
      <c r="Y361" s="29"/>
      <c r="Z361" s="29"/>
      <c r="AA361" s="29"/>
      <c r="AB361" s="29"/>
      <c r="AC361" s="29"/>
      <c r="AD361" s="29"/>
      <c r="AE361" s="29"/>
      <c r="AF361" s="29"/>
      <c r="AG361" s="29"/>
      <c r="AH361" s="29"/>
      <c r="AI361" s="29"/>
      <c r="AJ361" s="29"/>
      <c r="AK361" s="29"/>
      <c r="AL361" s="29"/>
      <c r="AM361" s="29"/>
      <c r="AN361" s="29"/>
      <c r="AO361" s="29"/>
      <c r="AP361" s="29"/>
      <c r="AQ361" s="29"/>
      <c r="AR361" s="29"/>
      <c r="AS361" s="29"/>
      <c r="AT361" s="29"/>
      <c r="AU361" s="29"/>
      <c r="AV361" s="29"/>
      <c r="AW361" s="29"/>
      <c r="AX361" s="29"/>
      <c r="AY361" s="29"/>
      <c r="AZ361" s="29"/>
      <c r="BA361" s="29"/>
      <c r="BB361" s="29"/>
      <c r="BC361" s="29"/>
      <c r="BD361" s="29"/>
      <c r="BE361" s="29"/>
      <c r="BF361" s="29"/>
      <c r="BG361" s="29"/>
      <c r="BH361" s="29"/>
      <c r="BI361" s="29"/>
      <c r="BJ361" s="29"/>
      <c r="BK361" s="29"/>
      <c r="BL361" s="29"/>
      <c r="BM361" s="29"/>
      <c r="BN361" s="29"/>
      <c r="BO361" s="29"/>
      <c r="BP361" s="29"/>
      <c r="BQ361" s="29"/>
      <c r="BR361" s="29"/>
      <c r="BS361" s="29"/>
      <c r="BU361" s="29"/>
      <c r="BV361" s="29"/>
    </row>
    <row r="362" spans="4:74" x14ac:dyDescent="0.25">
      <c r="D362" s="29"/>
      <c r="E362" s="29"/>
      <c r="F362" s="29"/>
      <c r="G362" s="29"/>
      <c r="H362" s="29"/>
      <c r="I362" s="29"/>
      <c r="P362" s="29"/>
      <c r="Q362" s="29"/>
      <c r="R362" s="29"/>
      <c r="S362" s="29"/>
      <c r="T362" s="29"/>
      <c r="U362" s="29"/>
      <c r="V362" s="29"/>
      <c r="W362" s="29"/>
      <c r="X362" s="29"/>
      <c r="Y362" s="29"/>
      <c r="Z362" s="29"/>
      <c r="AA362" s="29"/>
      <c r="AB362" s="29"/>
      <c r="AC362" s="29"/>
      <c r="AD362" s="29"/>
      <c r="AE362" s="29"/>
      <c r="AF362" s="29"/>
      <c r="AG362" s="29"/>
      <c r="AH362" s="29"/>
      <c r="AI362" s="29"/>
      <c r="AJ362" s="29"/>
      <c r="AK362" s="29"/>
      <c r="AL362" s="29"/>
      <c r="AM362" s="29"/>
      <c r="AN362" s="29"/>
      <c r="AO362" s="29"/>
      <c r="AP362" s="29"/>
      <c r="AQ362" s="29"/>
      <c r="AR362" s="29"/>
      <c r="AS362" s="29"/>
      <c r="AT362" s="29"/>
      <c r="AU362" s="29"/>
      <c r="AV362" s="29"/>
      <c r="AW362" s="29"/>
      <c r="AX362" s="29"/>
      <c r="AY362" s="29"/>
      <c r="AZ362" s="29"/>
      <c r="BA362" s="29"/>
      <c r="BB362" s="29"/>
      <c r="BC362" s="29"/>
      <c r="BD362" s="29"/>
      <c r="BE362" s="29"/>
      <c r="BF362" s="29"/>
      <c r="BG362" s="29"/>
      <c r="BH362" s="29"/>
      <c r="BI362" s="29"/>
      <c r="BJ362" s="29"/>
      <c r="BK362" s="29"/>
      <c r="BL362" s="29"/>
      <c r="BM362" s="29"/>
      <c r="BN362" s="29"/>
      <c r="BO362" s="29"/>
      <c r="BP362" s="29"/>
      <c r="BQ362" s="29"/>
      <c r="BR362" s="29"/>
      <c r="BS362" s="29"/>
      <c r="BU362" s="29"/>
      <c r="BV362" s="29"/>
    </row>
    <row r="363" spans="4:74" x14ac:dyDescent="0.25">
      <c r="D363" s="29"/>
      <c r="E363" s="29"/>
      <c r="F363" s="29"/>
      <c r="G363" s="29"/>
      <c r="H363" s="29"/>
      <c r="I363" s="29"/>
      <c r="P363" s="29"/>
      <c r="Q363" s="29"/>
      <c r="R363" s="29"/>
      <c r="S363" s="29"/>
      <c r="T363" s="29"/>
      <c r="U363" s="29"/>
      <c r="V363" s="29"/>
      <c r="W363" s="29"/>
      <c r="X363" s="29"/>
      <c r="Y363" s="29"/>
      <c r="Z363" s="29"/>
      <c r="AA363" s="29"/>
      <c r="AB363" s="29"/>
      <c r="AC363" s="29"/>
      <c r="AD363" s="29"/>
      <c r="AE363" s="29"/>
      <c r="AF363" s="29"/>
      <c r="AG363" s="29"/>
      <c r="AH363" s="29"/>
      <c r="AI363" s="29"/>
      <c r="AJ363" s="29"/>
      <c r="AK363" s="29"/>
      <c r="AL363" s="29"/>
      <c r="AM363" s="29"/>
      <c r="AN363" s="29"/>
      <c r="AO363" s="29"/>
      <c r="AP363" s="29"/>
      <c r="AQ363" s="29"/>
      <c r="AR363" s="29"/>
      <c r="AS363" s="29"/>
      <c r="AT363" s="29"/>
      <c r="AU363" s="29"/>
      <c r="AV363" s="29"/>
      <c r="AW363" s="29"/>
      <c r="AX363" s="29"/>
      <c r="AY363" s="29"/>
      <c r="AZ363" s="29"/>
      <c r="BA363" s="29"/>
      <c r="BB363" s="29"/>
      <c r="BC363" s="29"/>
      <c r="BD363" s="29"/>
      <c r="BE363" s="29"/>
      <c r="BF363" s="29"/>
      <c r="BG363" s="29"/>
      <c r="BH363" s="29"/>
      <c r="BI363" s="29"/>
      <c r="BJ363" s="29"/>
      <c r="BK363" s="29"/>
      <c r="BL363" s="29"/>
      <c r="BM363" s="29"/>
      <c r="BN363" s="29"/>
      <c r="BO363" s="29"/>
      <c r="BP363" s="29"/>
      <c r="BQ363" s="29"/>
      <c r="BR363" s="29"/>
      <c r="BS363" s="29"/>
      <c r="BU363" s="29"/>
      <c r="BV363" s="29"/>
    </row>
    <row r="364" spans="4:74" x14ac:dyDescent="0.25">
      <c r="D364" s="29"/>
      <c r="E364" s="29"/>
      <c r="F364" s="29"/>
      <c r="G364" s="29"/>
      <c r="H364" s="29"/>
      <c r="I364" s="29"/>
      <c r="P364" s="29"/>
      <c r="Q364" s="29"/>
      <c r="R364" s="29"/>
      <c r="S364" s="29"/>
      <c r="T364" s="29"/>
      <c r="U364" s="29"/>
      <c r="V364" s="29"/>
      <c r="W364" s="29"/>
      <c r="X364" s="29"/>
      <c r="Y364" s="29"/>
      <c r="Z364" s="29"/>
      <c r="AA364" s="29"/>
      <c r="AB364" s="29"/>
      <c r="AC364" s="29"/>
      <c r="AD364" s="29"/>
      <c r="AE364" s="29"/>
      <c r="AF364" s="29"/>
      <c r="AG364" s="29"/>
      <c r="AH364" s="29"/>
      <c r="AI364" s="29"/>
      <c r="AJ364" s="29"/>
      <c r="AK364" s="29"/>
      <c r="AL364" s="29"/>
      <c r="AM364" s="29"/>
      <c r="AN364" s="29"/>
      <c r="AO364" s="29"/>
      <c r="AP364" s="29"/>
      <c r="AQ364" s="29"/>
      <c r="AR364" s="29"/>
      <c r="AS364" s="29"/>
      <c r="AT364" s="29"/>
      <c r="AU364" s="29"/>
      <c r="AV364" s="29"/>
      <c r="AW364" s="29"/>
      <c r="AX364" s="29"/>
      <c r="AY364" s="29"/>
      <c r="AZ364" s="29"/>
      <c r="BA364" s="29"/>
      <c r="BB364" s="29"/>
      <c r="BC364" s="29"/>
      <c r="BD364" s="29"/>
      <c r="BE364" s="29"/>
      <c r="BF364" s="29"/>
      <c r="BG364" s="29"/>
      <c r="BH364" s="29"/>
      <c r="BI364" s="29"/>
      <c r="BJ364" s="29"/>
      <c r="BK364" s="29"/>
      <c r="BL364" s="29"/>
      <c r="BM364" s="29"/>
      <c r="BN364" s="29"/>
      <c r="BO364" s="29"/>
      <c r="BP364" s="29"/>
      <c r="BQ364" s="29"/>
      <c r="BR364" s="29"/>
      <c r="BS364" s="29"/>
      <c r="BU364" s="29"/>
      <c r="BV364" s="29"/>
    </row>
    <row r="365" spans="4:74" x14ac:dyDescent="0.25">
      <c r="D365" s="29"/>
      <c r="E365" s="29"/>
      <c r="F365" s="29"/>
      <c r="G365" s="29"/>
      <c r="H365" s="29"/>
      <c r="I365" s="29"/>
      <c r="P365" s="29"/>
      <c r="Q365" s="29"/>
      <c r="R365" s="29"/>
      <c r="S365" s="29"/>
      <c r="T365" s="29"/>
      <c r="U365" s="29"/>
      <c r="V365" s="29"/>
      <c r="W365" s="29"/>
      <c r="X365" s="29"/>
      <c r="Y365" s="29"/>
      <c r="Z365" s="29"/>
      <c r="AA365" s="29"/>
      <c r="AB365" s="29"/>
      <c r="AC365" s="29"/>
      <c r="AD365" s="29"/>
      <c r="AE365" s="29"/>
      <c r="AF365" s="29"/>
      <c r="AG365" s="29"/>
      <c r="AH365" s="29"/>
      <c r="AI365" s="29"/>
      <c r="AJ365" s="29"/>
      <c r="AK365" s="29"/>
      <c r="AL365" s="29"/>
      <c r="AM365" s="29"/>
      <c r="AN365" s="29"/>
      <c r="AO365" s="29"/>
      <c r="AP365" s="29"/>
      <c r="AQ365" s="29"/>
      <c r="AR365" s="29"/>
      <c r="AS365" s="29"/>
      <c r="AT365" s="29"/>
      <c r="AU365" s="29"/>
      <c r="AV365" s="29"/>
      <c r="AW365" s="29"/>
      <c r="AX365" s="29"/>
      <c r="AY365" s="29"/>
      <c r="AZ365" s="29"/>
      <c r="BA365" s="29"/>
      <c r="BB365" s="29"/>
      <c r="BC365" s="29"/>
      <c r="BD365" s="29"/>
      <c r="BE365" s="29"/>
      <c r="BF365" s="29"/>
      <c r="BG365" s="29"/>
      <c r="BH365" s="29"/>
      <c r="BI365" s="29"/>
      <c r="BJ365" s="29"/>
      <c r="BK365" s="29"/>
      <c r="BL365" s="29"/>
      <c r="BM365" s="29"/>
      <c r="BN365" s="29"/>
      <c r="BO365" s="29"/>
      <c r="BP365" s="29"/>
      <c r="BQ365" s="29"/>
      <c r="BR365" s="29"/>
      <c r="BS365" s="29"/>
      <c r="BU365" s="29"/>
      <c r="BV365" s="29"/>
    </row>
    <row r="366" spans="4:74" x14ac:dyDescent="0.25">
      <c r="D366" s="29"/>
      <c r="E366" s="29"/>
      <c r="F366" s="29"/>
      <c r="G366" s="29"/>
      <c r="H366" s="29"/>
      <c r="I366" s="29"/>
      <c r="P366" s="29"/>
      <c r="Q366" s="29"/>
      <c r="R366" s="29"/>
      <c r="S366" s="29"/>
      <c r="T366" s="29"/>
      <c r="U366" s="29"/>
      <c r="V366" s="29"/>
      <c r="W366" s="29"/>
      <c r="X366" s="29"/>
      <c r="Y366" s="29"/>
      <c r="Z366" s="29"/>
      <c r="AA366" s="29"/>
      <c r="AB366" s="29"/>
      <c r="AC366" s="29"/>
      <c r="AD366" s="29"/>
      <c r="AE366" s="29"/>
      <c r="AF366" s="29"/>
      <c r="AG366" s="29"/>
      <c r="AH366" s="29"/>
      <c r="AI366" s="29"/>
      <c r="AJ366" s="29"/>
      <c r="AK366" s="29"/>
      <c r="AL366" s="29"/>
      <c r="AM366" s="29"/>
      <c r="AN366" s="29"/>
      <c r="AO366" s="29"/>
      <c r="AP366" s="29"/>
      <c r="AQ366" s="29"/>
      <c r="AR366" s="29"/>
      <c r="AS366" s="29"/>
      <c r="AT366" s="29"/>
      <c r="AU366" s="29"/>
      <c r="AV366" s="29"/>
      <c r="AW366" s="29"/>
      <c r="AX366" s="29"/>
      <c r="AY366" s="29"/>
      <c r="AZ366" s="29"/>
      <c r="BA366" s="29"/>
      <c r="BB366" s="29"/>
      <c r="BC366" s="29"/>
      <c r="BD366" s="29"/>
      <c r="BE366" s="29"/>
      <c r="BF366" s="29"/>
      <c r="BG366" s="29"/>
      <c r="BH366" s="29"/>
      <c r="BI366" s="29"/>
      <c r="BJ366" s="29"/>
      <c r="BK366" s="29"/>
      <c r="BL366" s="29"/>
      <c r="BM366" s="29"/>
      <c r="BN366" s="29"/>
      <c r="BO366" s="29"/>
      <c r="BP366" s="29"/>
      <c r="BQ366" s="29"/>
      <c r="BR366" s="29"/>
      <c r="BS366" s="29"/>
      <c r="BU366" s="29"/>
      <c r="BV366" s="29"/>
    </row>
    <row r="367" spans="4:74" x14ac:dyDescent="0.25">
      <c r="D367" s="29"/>
      <c r="E367" s="29"/>
      <c r="F367" s="29"/>
      <c r="G367" s="29"/>
      <c r="H367" s="29"/>
      <c r="I367" s="29"/>
      <c r="P367" s="29"/>
      <c r="Q367" s="29"/>
      <c r="R367" s="29"/>
      <c r="S367" s="29"/>
      <c r="T367" s="29"/>
      <c r="U367" s="29"/>
      <c r="V367" s="29"/>
      <c r="W367" s="29"/>
      <c r="X367" s="29"/>
      <c r="Y367" s="29"/>
      <c r="Z367" s="29"/>
      <c r="AA367" s="29"/>
      <c r="AB367" s="29"/>
      <c r="AC367" s="29"/>
      <c r="AD367" s="29"/>
      <c r="AE367" s="29"/>
      <c r="AF367" s="29"/>
      <c r="AG367" s="29"/>
      <c r="AH367" s="29"/>
      <c r="AI367" s="29"/>
      <c r="AJ367" s="29"/>
      <c r="AK367" s="29"/>
      <c r="AL367" s="29"/>
      <c r="AM367" s="29"/>
      <c r="AN367" s="29"/>
      <c r="AO367" s="29"/>
      <c r="AP367" s="29"/>
      <c r="AQ367" s="29"/>
      <c r="AR367" s="29"/>
      <c r="AS367" s="29"/>
      <c r="AT367" s="29"/>
      <c r="AU367" s="29"/>
      <c r="AV367" s="29"/>
      <c r="AW367" s="29"/>
      <c r="AX367" s="29"/>
      <c r="AY367" s="29"/>
      <c r="AZ367" s="29"/>
      <c r="BA367" s="29"/>
      <c r="BB367" s="29"/>
      <c r="BC367" s="29"/>
      <c r="BD367" s="29"/>
      <c r="BE367" s="29"/>
      <c r="BF367" s="29"/>
      <c r="BG367" s="29"/>
      <c r="BH367" s="29"/>
      <c r="BI367" s="29"/>
      <c r="BJ367" s="29"/>
      <c r="BK367" s="29"/>
      <c r="BL367" s="29"/>
      <c r="BM367" s="29"/>
      <c r="BN367" s="29"/>
      <c r="BO367" s="29"/>
      <c r="BP367" s="29"/>
      <c r="BQ367" s="29"/>
      <c r="BR367" s="29"/>
      <c r="BS367" s="29"/>
      <c r="BU367" s="29"/>
      <c r="BV367" s="29"/>
    </row>
    <row r="368" spans="4:74" x14ac:dyDescent="0.25">
      <c r="D368" s="29"/>
      <c r="E368" s="29"/>
      <c r="F368" s="29"/>
      <c r="G368" s="29"/>
      <c r="H368" s="29"/>
      <c r="I368" s="29"/>
      <c r="P368" s="29"/>
      <c r="Q368" s="29"/>
      <c r="R368" s="29"/>
      <c r="S368" s="29"/>
      <c r="T368" s="29"/>
      <c r="U368" s="29"/>
      <c r="V368" s="29"/>
      <c r="W368" s="29"/>
      <c r="X368" s="29"/>
      <c r="Y368" s="29"/>
      <c r="Z368" s="29"/>
      <c r="AA368" s="29"/>
      <c r="AB368" s="29"/>
      <c r="AC368" s="29"/>
      <c r="AD368" s="29"/>
      <c r="AE368" s="29"/>
      <c r="AF368" s="29"/>
      <c r="AG368" s="29"/>
      <c r="AH368" s="29"/>
      <c r="AI368" s="29"/>
      <c r="AJ368" s="29"/>
      <c r="AK368" s="29"/>
      <c r="AL368" s="29"/>
      <c r="AM368" s="29"/>
      <c r="AN368" s="29"/>
      <c r="AO368" s="29"/>
      <c r="AP368" s="29"/>
      <c r="AQ368" s="29"/>
      <c r="AR368" s="29"/>
      <c r="AS368" s="29"/>
      <c r="AT368" s="29"/>
      <c r="AU368" s="29"/>
      <c r="AV368" s="29"/>
      <c r="AW368" s="29"/>
      <c r="AX368" s="29"/>
      <c r="AY368" s="29"/>
      <c r="AZ368" s="29"/>
      <c r="BA368" s="29"/>
      <c r="BB368" s="29"/>
      <c r="BC368" s="29"/>
      <c r="BD368" s="29"/>
      <c r="BE368" s="29"/>
      <c r="BF368" s="29"/>
      <c r="BG368" s="29"/>
      <c r="BH368" s="29"/>
      <c r="BI368" s="29"/>
      <c r="BJ368" s="29"/>
      <c r="BK368" s="29"/>
      <c r="BL368" s="29"/>
      <c r="BM368" s="29"/>
      <c r="BN368" s="29"/>
      <c r="BO368" s="29"/>
      <c r="BP368" s="29"/>
      <c r="BQ368" s="29"/>
      <c r="BR368" s="29"/>
      <c r="BS368" s="29"/>
      <c r="BU368" s="29"/>
      <c r="BV368" s="29"/>
    </row>
    <row r="369" spans="4:74" x14ac:dyDescent="0.25">
      <c r="D369" s="29"/>
      <c r="E369" s="29"/>
      <c r="F369" s="29"/>
      <c r="G369" s="29"/>
      <c r="H369" s="29"/>
      <c r="I369" s="29"/>
      <c r="P369" s="29"/>
      <c r="Q369" s="29"/>
      <c r="R369" s="29"/>
      <c r="S369" s="29"/>
      <c r="T369" s="29"/>
      <c r="U369" s="29"/>
      <c r="V369" s="29"/>
      <c r="W369" s="29"/>
      <c r="X369" s="29"/>
      <c r="Y369" s="29"/>
      <c r="Z369" s="29"/>
      <c r="AA369" s="29"/>
      <c r="AB369" s="29"/>
      <c r="AC369" s="29"/>
      <c r="AD369" s="29"/>
      <c r="AE369" s="29"/>
      <c r="AF369" s="29"/>
      <c r="AG369" s="29"/>
      <c r="AH369" s="29"/>
      <c r="AI369" s="29"/>
      <c r="AJ369" s="29"/>
      <c r="AK369" s="29"/>
      <c r="AL369" s="29"/>
      <c r="AM369" s="29"/>
      <c r="AN369" s="29"/>
      <c r="AO369" s="29"/>
      <c r="AP369" s="29"/>
      <c r="AQ369" s="29"/>
      <c r="AR369" s="29"/>
      <c r="AS369" s="29"/>
      <c r="AT369" s="29"/>
      <c r="AU369" s="29"/>
      <c r="AV369" s="29"/>
      <c r="AW369" s="29"/>
      <c r="AX369" s="29"/>
      <c r="AY369" s="29"/>
      <c r="AZ369" s="29"/>
      <c r="BA369" s="29"/>
      <c r="BB369" s="29"/>
      <c r="BC369" s="29"/>
      <c r="BD369" s="29"/>
      <c r="BE369" s="29"/>
      <c r="BF369" s="29"/>
      <c r="BG369" s="29"/>
      <c r="BH369" s="29"/>
      <c r="BI369" s="29"/>
      <c r="BJ369" s="29"/>
      <c r="BK369" s="29"/>
      <c r="BL369" s="29"/>
      <c r="BM369" s="29"/>
      <c r="BN369" s="29"/>
      <c r="BO369" s="29"/>
      <c r="BP369" s="29"/>
      <c r="BQ369" s="29"/>
      <c r="BR369" s="29"/>
      <c r="BS369" s="29"/>
      <c r="BU369" s="29"/>
      <c r="BV369" s="29"/>
    </row>
    <row r="370" spans="4:74" x14ac:dyDescent="0.25">
      <c r="D370" s="29"/>
      <c r="E370" s="29"/>
      <c r="F370" s="29"/>
      <c r="G370" s="29"/>
      <c r="H370" s="29"/>
      <c r="I370" s="29"/>
      <c r="P370" s="29"/>
      <c r="Q370" s="29"/>
      <c r="R370" s="29"/>
      <c r="S370" s="29"/>
      <c r="T370" s="29"/>
      <c r="U370" s="29"/>
      <c r="V370" s="29"/>
      <c r="W370" s="29"/>
      <c r="X370" s="29"/>
      <c r="Y370" s="29"/>
      <c r="Z370" s="29"/>
      <c r="AA370" s="29"/>
      <c r="AB370" s="29"/>
      <c r="AC370" s="29"/>
      <c r="AD370" s="29"/>
      <c r="AE370" s="29"/>
      <c r="AF370" s="29"/>
      <c r="AG370" s="29"/>
      <c r="AH370" s="29"/>
      <c r="AI370" s="29"/>
      <c r="AJ370" s="29"/>
      <c r="AK370" s="29"/>
      <c r="AL370" s="29"/>
      <c r="AM370" s="29"/>
      <c r="AN370" s="29"/>
      <c r="AO370" s="29"/>
      <c r="AP370" s="29"/>
      <c r="AQ370" s="29"/>
      <c r="AR370" s="29"/>
      <c r="AS370" s="29"/>
      <c r="AT370" s="29"/>
      <c r="AU370" s="29"/>
      <c r="AV370" s="29"/>
      <c r="AW370" s="29"/>
      <c r="AX370" s="29"/>
      <c r="AY370" s="29"/>
      <c r="AZ370" s="29"/>
      <c r="BA370" s="29"/>
      <c r="BB370" s="29"/>
      <c r="BC370" s="29"/>
      <c r="BD370" s="29"/>
      <c r="BE370" s="29"/>
      <c r="BF370" s="29"/>
      <c r="BG370" s="29"/>
      <c r="BH370" s="29"/>
      <c r="BI370" s="29"/>
      <c r="BJ370" s="29"/>
      <c r="BK370" s="29"/>
      <c r="BL370" s="29"/>
      <c r="BM370" s="29"/>
      <c r="BN370" s="29"/>
      <c r="BO370" s="29"/>
      <c r="BP370" s="29"/>
      <c r="BQ370" s="29"/>
      <c r="BR370" s="29"/>
      <c r="BS370" s="29"/>
      <c r="BU370" s="29"/>
      <c r="BV370" s="29"/>
    </row>
    <row r="371" spans="4:74" x14ac:dyDescent="0.25">
      <c r="D371" s="29"/>
      <c r="E371" s="29"/>
      <c r="F371" s="29"/>
      <c r="G371" s="29"/>
      <c r="H371" s="29"/>
      <c r="I371" s="29"/>
      <c r="P371" s="29"/>
      <c r="Q371" s="29"/>
      <c r="R371" s="29"/>
      <c r="S371" s="29"/>
      <c r="T371" s="29"/>
      <c r="U371" s="29"/>
      <c r="V371" s="29"/>
      <c r="W371" s="29"/>
      <c r="X371" s="29"/>
      <c r="Y371" s="29"/>
      <c r="Z371" s="29"/>
      <c r="AA371" s="29"/>
      <c r="AB371" s="29"/>
      <c r="AC371" s="29"/>
      <c r="AD371" s="29"/>
      <c r="AE371" s="29"/>
      <c r="AF371" s="29"/>
      <c r="AG371" s="29"/>
      <c r="AH371" s="29"/>
      <c r="AI371" s="29"/>
      <c r="AJ371" s="29"/>
      <c r="AK371" s="29"/>
      <c r="AL371" s="29"/>
      <c r="AM371" s="29"/>
      <c r="AN371" s="29"/>
      <c r="AO371" s="29"/>
      <c r="AP371" s="29"/>
      <c r="AQ371" s="29"/>
      <c r="AR371" s="29"/>
      <c r="AS371" s="29"/>
      <c r="AT371" s="29"/>
      <c r="AU371" s="29"/>
      <c r="AV371" s="29"/>
      <c r="AW371" s="29"/>
      <c r="AX371" s="29"/>
      <c r="AY371" s="29"/>
      <c r="AZ371" s="29"/>
      <c r="BA371" s="29"/>
      <c r="BB371" s="29"/>
      <c r="BC371" s="29"/>
      <c r="BD371" s="29"/>
      <c r="BE371" s="29"/>
      <c r="BF371" s="29"/>
      <c r="BG371" s="29"/>
      <c r="BH371" s="29"/>
      <c r="BI371" s="29"/>
      <c r="BJ371" s="29"/>
      <c r="BK371" s="29"/>
      <c r="BL371" s="29"/>
      <c r="BM371" s="29"/>
      <c r="BN371" s="29"/>
      <c r="BO371" s="29"/>
      <c r="BP371" s="29"/>
      <c r="BQ371" s="29"/>
      <c r="BR371" s="29"/>
      <c r="BS371" s="29"/>
      <c r="BU371" s="29"/>
      <c r="BV371" s="29"/>
    </row>
    <row r="372" spans="4:74" x14ac:dyDescent="0.25">
      <c r="D372" s="29"/>
      <c r="E372" s="29"/>
      <c r="F372" s="29"/>
      <c r="G372" s="29"/>
      <c r="H372" s="29"/>
      <c r="I372" s="29"/>
      <c r="P372" s="29"/>
      <c r="Q372" s="29"/>
      <c r="R372" s="29"/>
      <c r="S372" s="29"/>
      <c r="T372" s="29"/>
      <c r="U372" s="29"/>
      <c r="V372" s="29"/>
      <c r="W372" s="29"/>
      <c r="X372" s="29"/>
      <c r="Y372" s="29"/>
      <c r="Z372" s="29"/>
      <c r="AA372" s="29"/>
      <c r="AB372" s="29"/>
      <c r="AC372" s="29"/>
      <c r="AD372" s="29"/>
      <c r="AE372" s="29"/>
      <c r="AF372" s="29"/>
      <c r="AG372" s="29"/>
      <c r="AH372" s="29"/>
      <c r="AI372" s="29"/>
      <c r="AJ372" s="29"/>
      <c r="AK372" s="29"/>
      <c r="AL372" s="29"/>
      <c r="AM372" s="29"/>
      <c r="AN372" s="29"/>
      <c r="AO372" s="29"/>
      <c r="AP372" s="29"/>
      <c r="AQ372" s="29"/>
      <c r="AR372" s="29"/>
      <c r="AS372" s="29"/>
      <c r="AT372" s="29"/>
      <c r="AU372" s="29"/>
      <c r="AV372" s="29"/>
      <c r="AW372" s="29"/>
      <c r="AX372" s="29"/>
      <c r="AY372" s="29"/>
      <c r="AZ372" s="29"/>
      <c r="BA372" s="29"/>
      <c r="BB372" s="29"/>
      <c r="BC372" s="29"/>
      <c r="BD372" s="29"/>
      <c r="BE372" s="29"/>
      <c r="BF372" s="29"/>
      <c r="BG372" s="29"/>
      <c r="BH372" s="29"/>
      <c r="BI372" s="29"/>
      <c r="BJ372" s="29"/>
      <c r="BK372" s="29"/>
      <c r="BL372" s="29"/>
      <c r="BM372" s="29"/>
      <c r="BN372" s="29"/>
      <c r="BO372" s="29"/>
      <c r="BP372" s="29"/>
      <c r="BQ372" s="29"/>
      <c r="BR372" s="29"/>
      <c r="BS372" s="29"/>
      <c r="BU372" s="29"/>
      <c r="BV372" s="29"/>
    </row>
    <row r="373" spans="4:74" x14ac:dyDescent="0.25">
      <c r="D373" s="29"/>
      <c r="E373" s="29"/>
      <c r="F373" s="29"/>
      <c r="G373" s="29"/>
      <c r="H373" s="29"/>
      <c r="I373" s="29"/>
      <c r="P373" s="29"/>
      <c r="Q373" s="29"/>
      <c r="R373" s="29"/>
      <c r="S373" s="29"/>
      <c r="T373" s="29"/>
      <c r="U373" s="29"/>
      <c r="V373" s="29"/>
      <c r="W373" s="29"/>
      <c r="X373" s="29"/>
      <c r="Y373" s="29"/>
      <c r="Z373" s="29"/>
      <c r="AA373" s="29"/>
      <c r="AB373" s="29"/>
      <c r="AC373" s="29"/>
      <c r="AD373" s="29"/>
      <c r="AE373" s="29"/>
      <c r="AF373" s="29"/>
      <c r="AG373" s="29"/>
      <c r="AH373" s="29"/>
      <c r="AI373" s="29"/>
      <c r="AJ373" s="29"/>
      <c r="AK373" s="29"/>
      <c r="AL373" s="29"/>
      <c r="AM373" s="29"/>
      <c r="AN373" s="29"/>
      <c r="AO373" s="29"/>
      <c r="AP373" s="29"/>
      <c r="AQ373" s="29"/>
      <c r="AR373" s="29"/>
      <c r="AS373" s="29"/>
      <c r="AT373" s="29"/>
      <c r="AU373" s="29"/>
      <c r="AV373" s="29"/>
      <c r="AW373" s="29"/>
      <c r="AX373" s="29"/>
      <c r="AY373" s="29"/>
      <c r="AZ373" s="29"/>
      <c r="BA373" s="29"/>
      <c r="BB373" s="29"/>
      <c r="BC373" s="29"/>
      <c r="BD373" s="29"/>
      <c r="BE373" s="29"/>
      <c r="BF373" s="29"/>
      <c r="BG373" s="29"/>
      <c r="BH373" s="29"/>
      <c r="BI373" s="29"/>
      <c r="BJ373" s="29"/>
      <c r="BK373" s="29"/>
      <c r="BL373" s="29"/>
      <c r="BM373" s="29"/>
      <c r="BN373" s="29"/>
      <c r="BO373" s="29"/>
      <c r="BP373" s="29"/>
      <c r="BQ373" s="29"/>
      <c r="BR373" s="29"/>
      <c r="BS373" s="29"/>
      <c r="BU373" s="29"/>
      <c r="BV373" s="29"/>
    </row>
    <row r="374" spans="4:74" x14ac:dyDescent="0.25">
      <c r="D374" s="29"/>
      <c r="E374" s="29"/>
      <c r="F374" s="29"/>
      <c r="G374" s="29"/>
      <c r="H374" s="29"/>
      <c r="I374" s="29"/>
      <c r="P374" s="29"/>
      <c r="Q374" s="29"/>
      <c r="R374" s="29"/>
      <c r="S374" s="29"/>
      <c r="T374" s="29"/>
      <c r="U374" s="29"/>
      <c r="V374" s="29"/>
      <c r="W374" s="29"/>
      <c r="X374" s="29"/>
      <c r="Y374" s="29"/>
      <c r="Z374" s="29"/>
      <c r="AA374" s="29"/>
      <c r="AB374" s="29"/>
      <c r="AC374" s="29"/>
      <c r="AD374" s="29"/>
      <c r="AE374" s="29"/>
      <c r="AF374" s="29"/>
      <c r="AG374" s="29"/>
      <c r="AH374" s="29"/>
      <c r="AI374" s="29"/>
      <c r="AJ374" s="29"/>
      <c r="AK374" s="29"/>
      <c r="AL374" s="29"/>
      <c r="AM374" s="29"/>
      <c r="AN374" s="29"/>
      <c r="AO374" s="29"/>
      <c r="AP374" s="29"/>
      <c r="AQ374" s="29"/>
      <c r="AR374" s="29"/>
      <c r="AS374" s="29"/>
      <c r="AT374" s="29"/>
      <c r="AU374" s="29"/>
      <c r="AV374" s="29"/>
      <c r="AW374" s="29"/>
      <c r="AX374" s="29"/>
      <c r="AY374" s="29"/>
      <c r="AZ374" s="29"/>
      <c r="BA374" s="29"/>
      <c r="BB374" s="29"/>
      <c r="BC374" s="29"/>
      <c r="BD374" s="29"/>
      <c r="BE374" s="29"/>
      <c r="BF374" s="29"/>
      <c r="BG374" s="29"/>
      <c r="BH374" s="29"/>
      <c r="BI374" s="29"/>
      <c r="BJ374" s="29"/>
      <c r="BK374" s="29"/>
      <c r="BL374" s="29"/>
      <c r="BM374" s="29"/>
      <c r="BN374" s="29"/>
      <c r="BO374" s="29"/>
      <c r="BP374" s="29"/>
      <c r="BQ374" s="29"/>
      <c r="BR374" s="29"/>
      <c r="BS374" s="29"/>
      <c r="BU374" s="29"/>
      <c r="BV374" s="29"/>
    </row>
    <row r="375" spans="4:74" x14ac:dyDescent="0.25">
      <c r="D375" s="29"/>
      <c r="E375" s="29"/>
      <c r="F375" s="29"/>
      <c r="G375" s="29"/>
      <c r="H375" s="29"/>
      <c r="I375" s="29"/>
      <c r="P375" s="29"/>
      <c r="Q375" s="29"/>
      <c r="R375" s="29"/>
      <c r="S375" s="29"/>
      <c r="T375" s="29"/>
      <c r="U375" s="29"/>
      <c r="V375" s="29"/>
      <c r="W375" s="29"/>
      <c r="X375" s="29"/>
      <c r="Y375" s="29"/>
      <c r="Z375" s="29"/>
      <c r="AA375" s="29"/>
      <c r="AB375" s="29"/>
      <c r="AC375" s="29"/>
      <c r="AD375" s="29"/>
      <c r="AE375" s="29"/>
      <c r="AF375" s="29"/>
      <c r="AG375" s="29"/>
      <c r="AH375" s="29"/>
      <c r="AI375" s="29"/>
      <c r="AJ375" s="29"/>
      <c r="AK375" s="29"/>
      <c r="AL375" s="29"/>
      <c r="AM375" s="29"/>
      <c r="AN375" s="29"/>
      <c r="AO375" s="29"/>
      <c r="AP375" s="29"/>
      <c r="AQ375" s="29"/>
      <c r="AR375" s="29"/>
      <c r="AS375" s="29"/>
      <c r="AT375" s="29"/>
      <c r="AU375" s="29"/>
      <c r="AV375" s="29"/>
      <c r="AW375" s="29"/>
      <c r="AX375" s="29"/>
      <c r="AY375" s="29"/>
      <c r="AZ375" s="29"/>
      <c r="BA375" s="29"/>
      <c r="BB375" s="29"/>
      <c r="BC375" s="29"/>
      <c r="BD375" s="29"/>
      <c r="BE375" s="29"/>
      <c r="BF375" s="29"/>
      <c r="BG375" s="29"/>
      <c r="BH375" s="29"/>
      <c r="BI375" s="29"/>
      <c r="BJ375" s="29"/>
      <c r="BK375" s="29"/>
      <c r="BL375" s="29"/>
      <c r="BM375" s="29"/>
      <c r="BN375" s="29"/>
      <c r="BO375" s="29"/>
      <c r="BP375" s="29"/>
      <c r="BQ375" s="29"/>
      <c r="BR375" s="29"/>
      <c r="BS375" s="29"/>
      <c r="BU375" s="29"/>
      <c r="BV375" s="29"/>
    </row>
    <row r="376" spans="4:74" x14ac:dyDescent="0.25">
      <c r="D376" s="29"/>
      <c r="E376" s="29"/>
      <c r="F376" s="29"/>
      <c r="G376" s="29"/>
      <c r="H376" s="29"/>
      <c r="I376" s="29"/>
      <c r="P376" s="29"/>
      <c r="Q376" s="29"/>
      <c r="R376" s="29"/>
      <c r="S376" s="29"/>
      <c r="T376" s="29"/>
      <c r="U376" s="29"/>
      <c r="V376" s="29"/>
      <c r="W376" s="29"/>
      <c r="X376" s="29"/>
      <c r="Y376" s="29"/>
      <c r="Z376" s="29"/>
      <c r="AA376" s="29"/>
      <c r="AB376" s="29"/>
      <c r="AC376" s="29"/>
      <c r="AD376" s="29"/>
      <c r="AE376" s="29"/>
      <c r="AF376" s="29"/>
      <c r="AG376" s="29"/>
      <c r="AH376" s="29"/>
      <c r="AI376" s="29"/>
      <c r="AJ376" s="29"/>
      <c r="AK376" s="29"/>
      <c r="AL376" s="29"/>
      <c r="AM376" s="29"/>
      <c r="AN376" s="29"/>
      <c r="AO376" s="29"/>
      <c r="AP376" s="29"/>
      <c r="AQ376" s="29"/>
      <c r="AR376" s="29"/>
      <c r="AS376" s="29"/>
      <c r="AT376" s="29"/>
      <c r="AU376" s="29"/>
      <c r="AV376" s="29"/>
      <c r="AW376" s="29"/>
      <c r="AX376" s="29"/>
      <c r="AY376" s="29"/>
      <c r="AZ376" s="29"/>
      <c r="BA376" s="29"/>
      <c r="BB376" s="29"/>
      <c r="BC376" s="29"/>
      <c r="BD376" s="29"/>
      <c r="BE376" s="29"/>
      <c r="BF376" s="29"/>
      <c r="BG376" s="29"/>
      <c r="BH376" s="29"/>
      <c r="BI376" s="29"/>
      <c r="BJ376" s="29"/>
      <c r="BK376" s="29"/>
      <c r="BL376" s="29"/>
      <c r="BM376" s="29"/>
      <c r="BN376" s="29"/>
      <c r="BO376" s="29"/>
      <c r="BP376" s="29"/>
      <c r="BQ376" s="29"/>
      <c r="BR376" s="29"/>
      <c r="BS376" s="29"/>
      <c r="BU376" s="29"/>
      <c r="BV376" s="29"/>
    </row>
    <row r="377" spans="4:74" x14ac:dyDescent="0.25">
      <c r="D377" s="29"/>
      <c r="E377" s="29"/>
      <c r="F377" s="29"/>
      <c r="G377" s="29"/>
      <c r="H377" s="29"/>
      <c r="I377" s="29"/>
      <c r="P377" s="29"/>
      <c r="Q377" s="29"/>
      <c r="R377" s="29"/>
      <c r="S377" s="29"/>
      <c r="T377" s="29"/>
      <c r="U377" s="29"/>
      <c r="V377" s="29"/>
      <c r="W377" s="29"/>
      <c r="X377" s="29"/>
      <c r="Y377" s="29"/>
      <c r="Z377" s="29"/>
      <c r="AA377" s="29"/>
      <c r="AB377" s="29"/>
      <c r="AC377" s="29"/>
      <c r="AD377" s="29"/>
      <c r="AE377" s="29"/>
      <c r="AF377" s="29"/>
      <c r="AG377" s="29"/>
      <c r="AH377" s="29"/>
      <c r="AI377" s="29"/>
      <c r="AJ377" s="29"/>
      <c r="AK377" s="29"/>
      <c r="AL377" s="29"/>
      <c r="AM377" s="29"/>
      <c r="AN377" s="29"/>
      <c r="AO377" s="29"/>
      <c r="AP377" s="29"/>
      <c r="AQ377" s="29"/>
      <c r="AR377" s="29"/>
      <c r="AS377" s="29"/>
      <c r="AT377" s="29"/>
      <c r="AU377" s="29"/>
      <c r="AV377" s="29"/>
      <c r="AW377" s="29"/>
      <c r="AX377" s="29"/>
      <c r="AY377" s="29"/>
      <c r="AZ377" s="29"/>
      <c r="BA377" s="29"/>
      <c r="BB377" s="29"/>
      <c r="BC377" s="29"/>
      <c r="BD377" s="29"/>
      <c r="BE377" s="29"/>
      <c r="BF377" s="29"/>
      <c r="BG377" s="29"/>
      <c r="BH377" s="29"/>
      <c r="BI377" s="29"/>
      <c r="BJ377" s="29"/>
      <c r="BK377" s="29"/>
      <c r="BL377" s="29"/>
      <c r="BM377" s="29"/>
      <c r="BN377" s="29"/>
      <c r="BO377" s="29"/>
      <c r="BP377" s="29"/>
      <c r="BQ377" s="29"/>
      <c r="BR377" s="29"/>
      <c r="BS377" s="29"/>
      <c r="BU377" s="29"/>
      <c r="BV377" s="29"/>
    </row>
    <row r="378" spans="4:74" x14ac:dyDescent="0.25">
      <c r="D378" s="29"/>
      <c r="E378" s="29"/>
      <c r="F378" s="29"/>
      <c r="G378" s="29"/>
      <c r="H378" s="29"/>
      <c r="I378" s="29"/>
      <c r="P378" s="29"/>
      <c r="Q378" s="29"/>
      <c r="R378" s="29"/>
      <c r="S378" s="29"/>
      <c r="T378" s="29"/>
      <c r="U378" s="29"/>
      <c r="V378" s="29"/>
      <c r="W378" s="29"/>
      <c r="X378" s="29"/>
      <c r="Y378" s="29"/>
      <c r="Z378" s="29"/>
      <c r="AA378" s="29"/>
      <c r="AB378" s="29"/>
      <c r="AC378" s="29"/>
      <c r="AD378" s="29"/>
      <c r="AE378" s="29"/>
      <c r="AF378" s="29"/>
      <c r="AG378" s="29"/>
      <c r="AH378" s="29"/>
      <c r="AI378" s="29"/>
      <c r="AJ378" s="29"/>
      <c r="AK378" s="29"/>
      <c r="AL378" s="29"/>
      <c r="AM378" s="29"/>
      <c r="AN378" s="29"/>
      <c r="AO378" s="29"/>
      <c r="AP378" s="29"/>
      <c r="AQ378" s="29"/>
      <c r="AR378" s="29"/>
      <c r="AS378" s="29"/>
      <c r="AT378" s="29"/>
      <c r="AU378" s="29"/>
      <c r="AV378" s="29"/>
      <c r="AW378" s="29"/>
      <c r="AX378" s="29"/>
      <c r="AY378" s="29"/>
      <c r="AZ378" s="29"/>
      <c r="BA378" s="29"/>
      <c r="BB378" s="29"/>
      <c r="BC378" s="29"/>
      <c r="BD378" s="29"/>
      <c r="BE378" s="29"/>
      <c r="BF378" s="29"/>
      <c r="BG378" s="29"/>
      <c r="BH378" s="29"/>
      <c r="BI378" s="29"/>
      <c r="BJ378" s="29"/>
      <c r="BK378" s="29"/>
      <c r="BL378" s="29"/>
      <c r="BM378" s="29"/>
      <c r="BN378" s="29"/>
      <c r="BO378" s="29"/>
      <c r="BP378" s="29"/>
      <c r="BQ378" s="29"/>
      <c r="BR378" s="29"/>
      <c r="BS378" s="29"/>
      <c r="BU378" s="29"/>
      <c r="BV378" s="29"/>
    </row>
    <row r="379" spans="4:74" x14ac:dyDescent="0.25">
      <c r="D379" s="29"/>
      <c r="E379" s="29"/>
      <c r="F379" s="29"/>
      <c r="G379" s="29"/>
      <c r="H379" s="29"/>
      <c r="I379" s="29"/>
      <c r="P379" s="29"/>
      <c r="Q379" s="29"/>
      <c r="R379" s="29"/>
      <c r="S379" s="29"/>
      <c r="T379" s="29"/>
      <c r="U379" s="29"/>
      <c r="V379" s="29"/>
      <c r="W379" s="29"/>
      <c r="X379" s="29"/>
      <c r="Y379" s="29"/>
      <c r="Z379" s="29"/>
      <c r="AA379" s="29"/>
      <c r="AB379" s="29"/>
      <c r="AC379" s="29"/>
      <c r="AD379" s="29"/>
      <c r="AE379" s="29"/>
      <c r="AF379" s="29"/>
      <c r="AG379" s="29"/>
      <c r="AH379" s="29"/>
      <c r="AI379" s="29"/>
      <c r="AJ379" s="29"/>
      <c r="AK379" s="29"/>
      <c r="AL379" s="29"/>
      <c r="AM379" s="29"/>
      <c r="AN379" s="29"/>
      <c r="AO379" s="29"/>
      <c r="AP379" s="29"/>
      <c r="AQ379" s="29"/>
      <c r="AR379" s="29"/>
      <c r="AS379" s="29"/>
      <c r="AT379" s="29"/>
      <c r="AU379" s="29"/>
      <c r="AV379" s="29"/>
      <c r="AW379" s="29"/>
      <c r="AX379" s="29"/>
      <c r="AY379" s="29"/>
      <c r="AZ379" s="29"/>
      <c r="BA379" s="29"/>
      <c r="BB379" s="29"/>
      <c r="BC379" s="29"/>
      <c r="BD379" s="29"/>
      <c r="BE379" s="29"/>
      <c r="BF379" s="29"/>
      <c r="BG379" s="29"/>
      <c r="BH379" s="29"/>
      <c r="BI379" s="29"/>
      <c r="BJ379" s="29"/>
      <c r="BK379" s="29"/>
      <c r="BL379" s="29"/>
      <c r="BM379" s="29"/>
      <c r="BN379" s="29"/>
      <c r="BO379" s="29"/>
      <c r="BP379" s="29"/>
      <c r="BQ379" s="29"/>
      <c r="BR379" s="29"/>
      <c r="BS379" s="29"/>
      <c r="BU379" s="29"/>
      <c r="BV379" s="29"/>
    </row>
    <row r="380" spans="4:74" x14ac:dyDescent="0.25">
      <c r="D380" s="29"/>
      <c r="E380" s="29"/>
      <c r="F380" s="29"/>
      <c r="G380" s="29"/>
      <c r="H380" s="29"/>
      <c r="I380" s="29"/>
      <c r="P380" s="29"/>
      <c r="Q380" s="29"/>
      <c r="R380" s="29"/>
      <c r="S380" s="29"/>
      <c r="T380" s="29"/>
      <c r="U380" s="29"/>
      <c r="V380" s="29"/>
      <c r="W380" s="29"/>
      <c r="X380" s="29"/>
      <c r="Y380" s="29"/>
      <c r="Z380" s="29"/>
      <c r="AA380" s="29"/>
      <c r="AB380" s="29"/>
      <c r="AC380" s="29"/>
      <c r="AD380" s="29"/>
      <c r="AE380" s="29"/>
      <c r="AF380" s="29"/>
      <c r="AG380" s="29"/>
      <c r="AH380" s="29"/>
      <c r="AI380" s="29"/>
      <c r="AJ380" s="29"/>
      <c r="AK380" s="29"/>
      <c r="AL380" s="29"/>
      <c r="AM380" s="29"/>
      <c r="AN380" s="29"/>
      <c r="AO380" s="29"/>
      <c r="AP380" s="29"/>
      <c r="AQ380" s="29"/>
      <c r="AR380" s="29"/>
      <c r="AS380" s="29"/>
      <c r="AT380" s="29"/>
      <c r="AU380" s="29"/>
      <c r="AV380" s="29"/>
      <c r="AW380" s="29"/>
      <c r="AX380" s="29"/>
      <c r="AY380" s="29"/>
      <c r="AZ380" s="29"/>
      <c r="BA380" s="29"/>
      <c r="BB380" s="29"/>
      <c r="BC380" s="29"/>
      <c r="BD380" s="29"/>
      <c r="BE380" s="29"/>
      <c r="BF380" s="29"/>
      <c r="BG380" s="29"/>
      <c r="BH380" s="29"/>
      <c r="BI380" s="29"/>
      <c r="BJ380" s="29"/>
      <c r="BK380" s="29"/>
      <c r="BL380" s="29"/>
      <c r="BM380" s="29"/>
      <c r="BN380" s="29"/>
      <c r="BO380" s="29"/>
      <c r="BP380" s="29"/>
      <c r="BQ380" s="29"/>
      <c r="BR380" s="29"/>
      <c r="BS380" s="29"/>
      <c r="BU380" s="29"/>
      <c r="BV380" s="29"/>
    </row>
    <row r="381" spans="4:74" x14ac:dyDescent="0.25">
      <c r="D381" s="29"/>
      <c r="E381" s="29"/>
      <c r="F381" s="29"/>
      <c r="G381" s="29"/>
      <c r="H381" s="29"/>
      <c r="I381" s="29"/>
      <c r="P381" s="29"/>
      <c r="Q381" s="29"/>
      <c r="R381" s="29"/>
      <c r="S381" s="29"/>
      <c r="T381" s="29"/>
      <c r="U381" s="29"/>
      <c r="V381" s="29"/>
      <c r="W381" s="29"/>
      <c r="X381" s="29"/>
      <c r="Y381" s="29"/>
      <c r="Z381" s="29"/>
      <c r="AA381" s="29"/>
      <c r="AB381" s="29"/>
      <c r="AC381" s="29"/>
      <c r="AD381" s="29"/>
      <c r="AE381" s="29"/>
      <c r="AF381" s="29"/>
      <c r="AG381" s="29"/>
      <c r="AH381" s="29"/>
      <c r="AI381" s="29"/>
      <c r="AJ381" s="29"/>
      <c r="AK381" s="29"/>
      <c r="AL381" s="29"/>
      <c r="AM381" s="29"/>
      <c r="AN381" s="29"/>
      <c r="AO381" s="29"/>
      <c r="AP381" s="29"/>
      <c r="AQ381" s="29"/>
      <c r="AR381" s="29"/>
      <c r="AS381" s="29"/>
      <c r="AT381" s="29"/>
      <c r="AU381" s="29"/>
      <c r="AV381" s="29"/>
      <c r="AW381" s="29"/>
      <c r="AX381" s="29"/>
      <c r="AY381" s="29"/>
      <c r="AZ381" s="29"/>
      <c r="BA381" s="29"/>
      <c r="BB381" s="29"/>
      <c r="BC381" s="29"/>
      <c r="BD381" s="29"/>
      <c r="BE381" s="29"/>
      <c r="BF381" s="29"/>
      <c r="BG381" s="29"/>
      <c r="BH381" s="29"/>
      <c r="BI381" s="29"/>
      <c r="BJ381" s="29"/>
      <c r="BK381" s="29"/>
      <c r="BL381" s="29"/>
      <c r="BM381" s="29"/>
      <c r="BN381" s="29"/>
      <c r="BO381" s="29"/>
      <c r="BP381" s="29"/>
      <c r="BQ381" s="29"/>
      <c r="BR381" s="29"/>
      <c r="BS381" s="29"/>
      <c r="BU381" s="29"/>
      <c r="BV381" s="29"/>
    </row>
    <row r="382" spans="4:74" x14ac:dyDescent="0.25">
      <c r="D382" s="29"/>
      <c r="E382" s="29"/>
      <c r="F382" s="29"/>
      <c r="G382" s="29"/>
      <c r="H382" s="29"/>
      <c r="I382" s="29"/>
      <c r="P382" s="29"/>
      <c r="Q382" s="29"/>
      <c r="R382" s="29"/>
      <c r="S382" s="29"/>
      <c r="T382" s="29"/>
      <c r="U382" s="29"/>
      <c r="V382" s="29"/>
      <c r="W382" s="29"/>
      <c r="X382" s="29"/>
      <c r="Y382" s="29"/>
      <c r="Z382" s="29"/>
      <c r="AA382" s="29"/>
      <c r="AB382" s="29"/>
      <c r="AC382" s="29"/>
      <c r="AD382" s="29"/>
      <c r="AE382" s="29"/>
      <c r="AF382" s="29"/>
      <c r="AG382" s="29"/>
      <c r="AH382" s="29"/>
      <c r="AI382" s="29"/>
      <c r="AJ382" s="29"/>
      <c r="AK382" s="29"/>
      <c r="AL382" s="29"/>
      <c r="AM382" s="29"/>
      <c r="AN382" s="29"/>
      <c r="AO382" s="29"/>
      <c r="AP382" s="29"/>
      <c r="AQ382" s="29"/>
      <c r="AR382" s="29"/>
      <c r="AS382" s="29"/>
      <c r="AT382" s="29"/>
      <c r="AU382" s="29"/>
      <c r="AV382" s="29"/>
      <c r="AW382" s="29"/>
      <c r="AX382" s="29"/>
      <c r="AY382" s="29"/>
      <c r="AZ382" s="29"/>
      <c r="BA382" s="29"/>
      <c r="BB382" s="29"/>
      <c r="BC382" s="29"/>
      <c r="BD382" s="29"/>
      <c r="BE382" s="29"/>
      <c r="BF382" s="29"/>
      <c r="BG382" s="29"/>
      <c r="BH382" s="29"/>
      <c r="BI382" s="29"/>
      <c r="BJ382" s="29"/>
      <c r="BK382" s="29"/>
      <c r="BL382" s="29"/>
      <c r="BM382" s="29"/>
      <c r="BN382" s="29"/>
      <c r="BO382" s="29"/>
      <c r="BP382" s="29"/>
      <c r="BQ382" s="29"/>
      <c r="BR382" s="29"/>
      <c r="BS382" s="29"/>
      <c r="BU382" s="29"/>
      <c r="BV382" s="29"/>
    </row>
    <row r="383" spans="4:74" x14ac:dyDescent="0.25">
      <c r="D383" s="29"/>
      <c r="E383" s="29"/>
      <c r="F383" s="29"/>
      <c r="G383" s="29"/>
      <c r="H383" s="29"/>
      <c r="I383" s="29"/>
      <c r="P383" s="29"/>
      <c r="Q383" s="29"/>
      <c r="R383" s="29"/>
      <c r="S383" s="29"/>
      <c r="T383" s="29"/>
      <c r="U383" s="29"/>
      <c r="V383" s="29"/>
      <c r="W383" s="29"/>
      <c r="X383" s="29"/>
      <c r="Y383" s="29"/>
      <c r="Z383" s="29"/>
      <c r="AA383" s="29"/>
      <c r="AB383" s="29"/>
      <c r="AC383" s="29"/>
      <c r="AD383" s="29"/>
      <c r="AE383" s="29"/>
      <c r="AF383" s="29"/>
      <c r="AG383" s="29"/>
      <c r="AH383" s="29"/>
      <c r="AI383" s="29"/>
      <c r="AJ383" s="29"/>
      <c r="AK383" s="29"/>
      <c r="AL383" s="29"/>
      <c r="AM383" s="29"/>
      <c r="AN383" s="29"/>
      <c r="AO383" s="29"/>
      <c r="AP383" s="29"/>
      <c r="AQ383" s="29"/>
      <c r="AR383" s="29"/>
      <c r="AS383" s="29"/>
      <c r="AT383" s="29"/>
      <c r="AU383" s="29"/>
      <c r="AV383" s="29"/>
      <c r="AW383" s="29"/>
      <c r="AX383" s="29"/>
      <c r="AY383" s="29"/>
      <c r="AZ383" s="29"/>
      <c r="BA383" s="29"/>
      <c r="BB383" s="29"/>
      <c r="BC383" s="29"/>
      <c r="BD383" s="29"/>
      <c r="BE383" s="29"/>
      <c r="BF383" s="29"/>
      <c r="BG383" s="29"/>
      <c r="BH383" s="29"/>
      <c r="BI383" s="29"/>
      <c r="BJ383" s="29"/>
      <c r="BK383" s="29"/>
      <c r="BL383" s="29"/>
      <c r="BM383" s="29"/>
      <c r="BN383" s="29"/>
      <c r="BO383" s="29"/>
      <c r="BP383" s="29"/>
      <c r="BQ383" s="29"/>
      <c r="BR383" s="29"/>
      <c r="BS383" s="29"/>
      <c r="BU383" s="29"/>
      <c r="BV383" s="29"/>
    </row>
    <row r="384" spans="4:74" x14ac:dyDescent="0.25">
      <c r="D384" s="29"/>
      <c r="E384" s="29"/>
      <c r="F384" s="29"/>
      <c r="G384" s="29"/>
      <c r="H384" s="29"/>
      <c r="I384" s="29"/>
      <c r="P384" s="29"/>
      <c r="Q384" s="29"/>
      <c r="R384" s="29"/>
      <c r="S384" s="29"/>
      <c r="T384" s="29"/>
      <c r="U384" s="29"/>
      <c r="V384" s="29"/>
      <c r="W384" s="29"/>
      <c r="X384" s="29"/>
      <c r="Y384" s="29"/>
      <c r="Z384" s="29"/>
      <c r="AA384" s="29"/>
      <c r="AB384" s="29"/>
      <c r="AC384" s="29"/>
      <c r="AD384" s="29"/>
      <c r="AE384" s="29"/>
      <c r="AF384" s="29"/>
      <c r="AG384" s="29"/>
      <c r="AH384" s="29"/>
      <c r="AI384" s="29"/>
      <c r="AJ384" s="29"/>
      <c r="AK384" s="29"/>
      <c r="AL384" s="29"/>
      <c r="AM384" s="29"/>
      <c r="AN384" s="29"/>
      <c r="AO384" s="29"/>
      <c r="AP384" s="29"/>
      <c r="AQ384" s="29"/>
      <c r="AR384" s="29"/>
      <c r="AS384" s="29"/>
      <c r="AT384" s="29"/>
      <c r="AU384" s="29"/>
      <c r="AV384" s="29"/>
      <c r="AW384" s="29"/>
      <c r="AX384" s="29"/>
      <c r="AY384" s="29"/>
      <c r="AZ384" s="29"/>
      <c r="BA384" s="29"/>
      <c r="BB384" s="29"/>
      <c r="BC384" s="29"/>
      <c r="BD384" s="29"/>
      <c r="BE384" s="29"/>
      <c r="BF384" s="29"/>
      <c r="BG384" s="29"/>
      <c r="BH384" s="29"/>
      <c r="BI384" s="29"/>
      <c r="BJ384" s="29"/>
      <c r="BK384" s="29"/>
      <c r="BL384" s="29"/>
      <c r="BM384" s="29"/>
      <c r="BN384" s="29"/>
      <c r="BO384" s="29"/>
      <c r="BP384" s="29"/>
      <c r="BQ384" s="29"/>
      <c r="BR384" s="29"/>
      <c r="BS384" s="29"/>
      <c r="BU384" s="29"/>
      <c r="BV384" s="29"/>
    </row>
    <row r="385" spans="4:74" x14ac:dyDescent="0.25">
      <c r="D385" s="29"/>
      <c r="E385" s="29"/>
      <c r="F385" s="29"/>
      <c r="G385" s="29"/>
      <c r="H385" s="29"/>
      <c r="I385" s="29"/>
      <c r="P385" s="29"/>
      <c r="Q385" s="29"/>
      <c r="R385" s="29"/>
      <c r="S385" s="29"/>
      <c r="T385" s="29"/>
      <c r="U385" s="29"/>
      <c r="V385" s="29"/>
      <c r="W385" s="29"/>
      <c r="X385" s="29"/>
      <c r="Y385" s="29"/>
      <c r="Z385" s="29"/>
      <c r="AA385" s="29"/>
      <c r="AB385" s="29"/>
      <c r="AC385" s="29"/>
      <c r="AD385" s="29"/>
      <c r="AE385" s="29"/>
      <c r="AF385" s="29"/>
      <c r="AG385" s="29"/>
      <c r="AH385" s="29"/>
      <c r="AI385" s="29"/>
      <c r="AJ385" s="29"/>
      <c r="AK385" s="29"/>
      <c r="AL385" s="29"/>
      <c r="AM385" s="29"/>
      <c r="AN385" s="29"/>
      <c r="AO385" s="29"/>
      <c r="AP385" s="29"/>
      <c r="AQ385" s="29"/>
      <c r="AR385" s="29"/>
      <c r="AS385" s="29"/>
      <c r="AT385" s="29"/>
      <c r="AU385" s="29"/>
      <c r="AV385" s="29"/>
      <c r="AW385" s="29"/>
      <c r="AX385" s="29"/>
      <c r="AY385" s="29"/>
      <c r="AZ385" s="29"/>
      <c r="BA385" s="29"/>
      <c r="BB385" s="29"/>
      <c r="BC385" s="29"/>
      <c r="BD385" s="29"/>
      <c r="BE385" s="29"/>
      <c r="BF385" s="29"/>
      <c r="BG385" s="29"/>
      <c r="BH385" s="29"/>
      <c r="BI385" s="29"/>
      <c r="BJ385" s="29"/>
      <c r="BK385" s="29"/>
      <c r="BL385" s="29"/>
      <c r="BM385" s="29"/>
      <c r="BN385" s="29"/>
      <c r="BO385" s="29"/>
      <c r="BP385" s="29"/>
      <c r="BQ385" s="29"/>
      <c r="BR385" s="29"/>
      <c r="BS385" s="29"/>
      <c r="BU385" s="29"/>
      <c r="BV385" s="29"/>
    </row>
    <row r="386" spans="4:74" x14ac:dyDescent="0.25">
      <c r="D386" s="29"/>
      <c r="E386" s="29"/>
      <c r="F386" s="29"/>
      <c r="G386" s="29"/>
      <c r="H386" s="29"/>
      <c r="I386" s="29"/>
      <c r="P386" s="29"/>
      <c r="Q386" s="29"/>
      <c r="R386" s="29"/>
      <c r="S386" s="29"/>
      <c r="T386" s="29"/>
      <c r="U386" s="29"/>
      <c r="V386" s="29"/>
      <c r="W386" s="29"/>
      <c r="X386" s="29"/>
      <c r="Y386" s="29"/>
      <c r="Z386" s="29"/>
      <c r="AA386" s="29"/>
      <c r="AB386" s="29"/>
      <c r="AC386" s="29"/>
      <c r="AD386" s="29"/>
      <c r="AE386" s="29"/>
      <c r="AF386" s="29"/>
      <c r="AG386" s="29"/>
      <c r="AH386" s="29"/>
      <c r="AI386" s="29"/>
      <c r="AJ386" s="29"/>
      <c r="AK386" s="29"/>
      <c r="AL386" s="29"/>
      <c r="AM386" s="29"/>
      <c r="AN386" s="29"/>
      <c r="AO386" s="29"/>
      <c r="AP386" s="29"/>
      <c r="AQ386" s="29"/>
      <c r="AR386" s="29"/>
      <c r="AS386" s="29"/>
      <c r="AT386" s="29"/>
      <c r="AU386" s="29"/>
      <c r="AV386" s="29"/>
      <c r="AW386" s="29"/>
      <c r="AX386" s="29"/>
      <c r="AY386" s="29"/>
      <c r="AZ386" s="29"/>
      <c r="BA386" s="29"/>
      <c r="BB386" s="29"/>
      <c r="BC386" s="29"/>
      <c r="BD386" s="29"/>
      <c r="BE386" s="29"/>
      <c r="BF386" s="29"/>
      <c r="BG386" s="29"/>
      <c r="BH386" s="29"/>
      <c r="BI386" s="29"/>
      <c r="BJ386" s="29"/>
      <c r="BK386" s="29"/>
      <c r="BL386" s="29"/>
      <c r="BM386" s="29"/>
      <c r="BN386" s="29"/>
      <c r="BO386" s="29"/>
      <c r="BP386" s="29"/>
      <c r="BQ386" s="29"/>
      <c r="BR386" s="29"/>
      <c r="BS386" s="29"/>
      <c r="BU386" s="29"/>
      <c r="BV386" s="29"/>
    </row>
    <row r="387" spans="4:74" x14ac:dyDescent="0.25">
      <c r="D387" s="29"/>
      <c r="E387" s="29"/>
      <c r="F387" s="29"/>
      <c r="G387" s="29"/>
      <c r="H387" s="29"/>
      <c r="I387" s="29"/>
      <c r="P387" s="29"/>
      <c r="Q387" s="29"/>
      <c r="R387" s="29"/>
      <c r="S387" s="29"/>
      <c r="T387" s="29"/>
      <c r="U387" s="29"/>
      <c r="V387" s="29"/>
      <c r="W387" s="29"/>
      <c r="X387" s="29"/>
      <c r="Y387" s="29"/>
      <c r="Z387" s="29"/>
      <c r="AA387" s="29"/>
      <c r="AB387" s="29"/>
      <c r="AC387" s="29"/>
      <c r="AD387" s="29"/>
      <c r="AE387" s="29"/>
      <c r="AF387" s="29"/>
      <c r="AG387" s="29"/>
      <c r="AH387" s="29"/>
      <c r="AI387" s="29"/>
      <c r="AJ387" s="29"/>
      <c r="AK387" s="29"/>
      <c r="AL387" s="29"/>
      <c r="AM387" s="29"/>
      <c r="AN387" s="29"/>
      <c r="AO387" s="29"/>
      <c r="AP387" s="29"/>
      <c r="AQ387" s="29"/>
      <c r="AR387" s="29"/>
      <c r="AS387" s="29"/>
      <c r="AT387" s="29"/>
      <c r="AU387" s="29"/>
      <c r="AV387" s="29"/>
      <c r="AW387" s="29"/>
      <c r="AX387" s="29"/>
      <c r="AY387" s="29"/>
      <c r="AZ387" s="29"/>
      <c r="BA387" s="29"/>
      <c r="BB387" s="29"/>
      <c r="BC387" s="29"/>
      <c r="BD387" s="29"/>
      <c r="BE387" s="29"/>
      <c r="BF387" s="29"/>
      <c r="BG387" s="29"/>
      <c r="BH387" s="29"/>
      <c r="BI387" s="29"/>
      <c r="BJ387" s="29"/>
      <c r="BK387" s="29"/>
      <c r="BL387" s="29"/>
      <c r="BM387" s="29"/>
      <c r="BN387" s="29"/>
      <c r="BO387" s="29"/>
      <c r="BP387" s="29"/>
      <c r="BQ387" s="29"/>
      <c r="BR387" s="29"/>
      <c r="BS387" s="29"/>
      <c r="BU387" s="29"/>
      <c r="BV387" s="29"/>
    </row>
    <row r="388" spans="4:74" x14ac:dyDescent="0.25">
      <c r="D388" s="29"/>
      <c r="E388" s="29"/>
      <c r="F388" s="29"/>
      <c r="G388" s="29"/>
      <c r="H388" s="29"/>
      <c r="I388" s="29"/>
      <c r="P388" s="29"/>
      <c r="Q388" s="29"/>
      <c r="R388" s="29"/>
      <c r="S388" s="29"/>
      <c r="T388" s="29"/>
      <c r="U388" s="29"/>
      <c r="V388" s="29"/>
      <c r="W388" s="29"/>
      <c r="X388" s="29"/>
      <c r="Y388" s="29"/>
      <c r="Z388" s="29"/>
      <c r="AA388" s="29"/>
      <c r="AB388" s="29"/>
      <c r="AC388" s="29"/>
      <c r="AD388" s="29"/>
      <c r="AE388" s="29"/>
      <c r="AF388" s="29"/>
      <c r="AG388" s="29"/>
      <c r="AH388" s="29"/>
      <c r="AI388" s="29"/>
      <c r="AJ388" s="29"/>
      <c r="AK388" s="29"/>
      <c r="AL388" s="29"/>
      <c r="AM388" s="29"/>
      <c r="AN388" s="29"/>
      <c r="AO388" s="29"/>
      <c r="AP388" s="29"/>
      <c r="AQ388" s="29"/>
      <c r="AR388" s="29"/>
      <c r="AS388" s="29"/>
      <c r="AT388" s="29"/>
      <c r="AU388" s="29"/>
      <c r="AV388" s="29"/>
      <c r="AW388" s="29"/>
      <c r="AX388" s="29"/>
      <c r="AY388" s="29"/>
      <c r="AZ388" s="29"/>
      <c r="BA388" s="29"/>
      <c r="BB388" s="29"/>
      <c r="BC388" s="29"/>
      <c r="BD388" s="29"/>
      <c r="BE388" s="29"/>
      <c r="BF388" s="29"/>
      <c r="BG388" s="29"/>
      <c r="BH388" s="29"/>
      <c r="BI388" s="29"/>
      <c r="BJ388" s="29"/>
      <c r="BK388" s="29"/>
      <c r="BL388" s="29"/>
      <c r="BM388" s="29"/>
      <c r="BN388" s="29"/>
      <c r="BO388" s="29"/>
      <c r="BP388" s="29"/>
      <c r="BQ388" s="29"/>
      <c r="BR388" s="29"/>
      <c r="BS388" s="29"/>
      <c r="BU388" s="29"/>
      <c r="BV388" s="29"/>
    </row>
    <row r="389" spans="4:74" x14ac:dyDescent="0.25">
      <c r="D389" s="29"/>
      <c r="E389" s="29"/>
      <c r="F389" s="29"/>
      <c r="G389" s="29"/>
      <c r="H389" s="29"/>
      <c r="I389" s="29"/>
      <c r="P389" s="29"/>
      <c r="Q389" s="29"/>
      <c r="R389" s="29"/>
      <c r="S389" s="29"/>
      <c r="T389" s="29"/>
      <c r="U389" s="29"/>
      <c r="V389" s="29"/>
      <c r="W389" s="29"/>
      <c r="X389" s="29"/>
      <c r="Y389" s="29"/>
      <c r="Z389" s="29"/>
      <c r="AA389" s="29"/>
      <c r="AB389" s="29"/>
      <c r="AC389" s="29"/>
      <c r="AD389" s="29"/>
      <c r="AE389" s="29"/>
      <c r="AF389" s="29"/>
      <c r="AG389" s="29"/>
      <c r="AH389" s="29"/>
      <c r="AI389" s="29"/>
      <c r="AJ389" s="29"/>
      <c r="AK389" s="29"/>
      <c r="AL389" s="29"/>
      <c r="AM389" s="29"/>
      <c r="AN389" s="29"/>
      <c r="AO389" s="29"/>
      <c r="AP389" s="29"/>
      <c r="AQ389" s="29"/>
      <c r="AR389" s="29"/>
      <c r="AS389" s="29"/>
      <c r="AT389" s="29"/>
      <c r="AU389" s="29"/>
      <c r="AV389" s="29"/>
      <c r="AW389" s="29"/>
      <c r="AX389" s="29"/>
      <c r="AY389" s="29"/>
      <c r="AZ389" s="29"/>
      <c r="BA389" s="29"/>
      <c r="BB389" s="29"/>
      <c r="BC389" s="29"/>
      <c r="BD389" s="29"/>
      <c r="BE389" s="29"/>
      <c r="BF389" s="29"/>
      <c r="BG389" s="29"/>
      <c r="BH389" s="29"/>
      <c r="BI389" s="29"/>
      <c r="BJ389" s="29"/>
      <c r="BK389" s="29"/>
      <c r="BL389" s="29"/>
      <c r="BM389" s="29"/>
      <c r="BN389" s="29"/>
      <c r="BO389" s="29"/>
      <c r="BP389" s="29"/>
      <c r="BQ389" s="29"/>
      <c r="BR389" s="29"/>
      <c r="BS389" s="29"/>
      <c r="BU389" s="29"/>
      <c r="BV389" s="29"/>
    </row>
    <row r="390" spans="4:74" x14ac:dyDescent="0.25">
      <c r="D390" s="29"/>
      <c r="E390" s="29"/>
      <c r="F390" s="29"/>
      <c r="G390" s="29"/>
      <c r="H390" s="29"/>
      <c r="I390" s="29"/>
      <c r="P390" s="29"/>
      <c r="Q390" s="29"/>
      <c r="R390" s="29"/>
      <c r="S390" s="29"/>
      <c r="T390" s="29"/>
      <c r="U390" s="29"/>
      <c r="V390" s="29"/>
      <c r="W390" s="29"/>
      <c r="X390" s="29"/>
      <c r="Y390" s="29"/>
      <c r="Z390" s="29"/>
      <c r="AA390" s="29"/>
      <c r="AB390" s="29"/>
      <c r="AC390" s="29"/>
      <c r="AD390" s="29"/>
      <c r="AE390" s="29"/>
      <c r="AF390" s="29"/>
      <c r="AG390" s="29"/>
      <c r="AH390" s="29"/>
      <c r="AI390" s="29"/>
      <c r="AJ390" s="29"/>
      <c r="AK390" s="29"/>
      <c r="AL390" s="29"/>
      <c r="AM390" s="29"/>
      <c r="AN390" s="29"/>
      <c r="AO390" s="29"/>
      <c r="AP390" s="29"/>
      <c r="AQ390" s="29"/>
      <c r="AR390" s="29"/>
      <c r="AS390" s="29"/>
      <c r="AT390" s="29"/>
      <c r="AU390" s="29"/>
      <c r="AV390" s="29"/>
      <c r="AW390" s="29"/>
      <c r="AX390" s="29"/>
      <c r="AY390" s="29"/>
      <c r="AZ390" s="29"/>
      <c r="BA390" s="29"/>
      <c r="BB390" s="29"/>
      <c r="BC390" s="29"/>
      <c r="BD390" s="29"/>
      <c r="BE390" s="29"/>
      <c r="BF390" s="29"/>
      <c r="BG390" s="29"/>
      <c r="BH390" s="29"/>
      <c r="BI390" s="29"/>
      <c r="BJ390" s="29"/>
      <c r="BK390" s="29"/>
      <c r="BL390" s="29"/>
      <c r="BM390" s="29"/>
      <c r="BN390" s="29"/>
      <c r="BO390" s="29"/>
      <c r="BP390" s="29"/>
      <c r="BQ390" s="29"/>
      <c r="BR390" s="29"/>
      <c r="BS390" s="29"/>
      <c r="BU390" s="29"/>
      <c r="BV390" s="29"/>
    </row>
    <row r="391" spans="4:74" x14ac:dyDescent="0.25">
      <c r="D391" s="29"/>
      <c r="E391" s="29"/>
      <c r="F391" s="29"/>
      <c r="G391" s="29"/>
      <c r="H391" s="29"/>
      <c r="I391" s="29"/>
      <c r="P391" s="29"/>
      <c r="Q391" s="29"/>
      <c r="R391" s="29"/>
      <c r="S391" s="29"/>
      <c r="T391" s="29"/>
      <c r="U391" s="29"/>
      <c r="V391" s="29"/>
      <c r="W391" s="29"/>
      <c r="X391" s="29"/>
      <c r="Y391" s="29"/>
      <c r="Z391" s="29"/>
      <c r="AA391" s="29"/>
      <c r="AB391" s="29"/>
      <c r="AC391" s="29"/>
      <c r="AD391" s="29"/>
      <c r="AE391" s="29"/>
      <c r="AF391" s="29"/>
      <c r="AG391" s="29"/>
      <c r="AH391" s="29"/>
      <c r="AI391" s="29"/>
      <c r="AJ391" s="29"/>
      <c r="AK391" s="29"/>
      <c r="AL391" s="29"/>
      <c r="AM391" s="29"/>
      <c r="AN391" s="29"/>
      <c r="AO391" s="29"/>
      <c r="AP391" s="29"/>
      <c r="AQ391" s="29"/>
      <c r="AR391" s="29"/>
      <c r="AS391" s="29"/>
      <c r="AT391" s="29"/>
      <c r="AU391" s="29"/>
      <c r="AV391" s="29"/>
      <c r="AW391" s="29"/>
      <c r="AX391" s="29"/>
      <c r="AY391" s="29"/>
      <c r="AZ391" s="29"/>
      <c r="BA391" s="29"/>
      <c r="BB391" s="29"/>
      <c r="BC391" s="29"/>
      <c r="BD391" s="29"/>
      <c r="BE391" s="29"/>
      <c r="BF391" s="29"/>
      <c r="BG391" s="29"/>
      <c r="BH391" s="29"/>
      <c r="BI391" s="29"/>
      <c r="BJ391" s="29"/>
      <c r="BK391" s="29"/>
      <c r="BL391" s="29"/>
      <c r="BM391" s="29"/>
      <c r="BN391" s="29"/>
      <c r="BO391" s="29"/>
      <c r="BP391" s="29"/>
      <c r="BQ391" s="29"/>
      <c r="BR391" s="29"/>
      <c r="BS391" s="29"/>
      <c r="BU391" s="29"/>
      <c r="BV391" s="29"/>
    </row>
    <row r="392" spans="4:74" x14ac:dyDescent="0.25">
      <c r="D392" s="29"/>
      <c r="E392" s="29"/>
      <c r="F392" s="29"/>
      <c r="G392" s="29"/>
      <c r="H392" s="29"/>
      <c r="I392" s="29"/>
      <c r="P392" s="29"/>
      <c r="Q392" s="29"/>
      <c r="R392" s="29"/>
      <c r="S392" s="29"/>
      <c r="T392" s="29"/>
      <c r="U392" s="29"/>
      <c r="V392" s="29"/>
      <c r="W392" s="29"/>
      <c r="X392" s="29"/>
      <c r="Y392" s="29"/>
      <c r="Z392" s="29"/>
      <c r="AA392" s="29"/>
      <c r="AB392" s="29"/>
      <c r="AC392" s="29"/>
      <c r="AD392" s="29"/>
      <c r="AE392" s="29"/>
      <c r="AF392" s="29"/>
      <c r="AG392" s="29"/>
      <c r="AH392" s="29"/>
      <c r="AI392" s="29"/>
      <c r="AJ392" s="29"/>
      <c r="AK392" s="29"/>
      <c r="AL392" s="29"/>
      <c r="AM392" s="29"/>
      <c r="AN392" s="29"/>
      <c r="AO392" s="29"/>
      <c r="AP392" s="29"/>
      <c r="AQ392" s="29"/>
      <c r="AR392" s="29"/>
      <c r="AS392" s="29"/>
      <c r="AT392" s="29"/>
      <c r="AU392" s="29"/>
      <c r="AV392" s="29"/>
      <c r="AW392" s="29"/>
      <c r="AX392" s="29"/>
      <c r="AY392" s="29"/>
      <c r="AZ392" s="29"/>
      <c r="BA392" s="29"/>
      <c r="BB392" s="29"/>
      <c r="BC392" s="29"/>
      <c r="BD392" s="29"/>
      <c r="BE392" s="29"/>
      <c r="BF392" s="29"/>
      <c r="BG392" s="29"/>
      <c r="BH392" s="29"/>
      <c r="BI392" s="29"/>
      <c r="BJ392" s="29"/>
      <c r="BK392" s="29"/>
      <c r="BL392" s="29"/>
      <c r="BM392" s="29"/>
      <c r="BN392" s="29"/>
      <c r="BO392" s="29"/>
      <c r="BP392" s="29"/>
      <c r="BQ392" s="29"/>
      <c r="BR392" s="29"/>
      <c r="BS392" s="29"/>
      <c r="BU392" s="29"/>
      <c r="BV392" s="29"/>
    </row>
    <row r="393" spans="4:74" x14ac:dyDescent="0.25">
      <c r="D393" s="29"/>
      <c r="E393" s="29"/>
      <c r="F393" s="29"/>
      <c r="G393" s="29"/>
      <c r="H393" s="29"/>
      <c r="I393" s="29"/>
      <c r="P393" s="29"/>
      <c r="Q393" s="29"/>
      <c r="R393" s="29"/>
      <c r="S393" s="29"/>
      <c r="T393" s="29"/>
      <c r="U393" s="29"/>
      <c r="V393" s="29"/>
      <c r="W393" s="29"/>
      <c r="X393" s="29"/>
      <c r="Y393" s="29"/>
      <c r="Z393" s="29"/>
      <c r="AA393" s="29"/>
      <c r="AB393" s="29"/>
      <c r="AC393" s="29"/>
      <c r="AD393" s="29"/>
      <c r="AE393" s="29"/>
      <c r="AF393" s="29"/>
      <c r="AG393" s="29"/>
      <c r="AH393" s="29"/>
      <c r="AI393" s="29"/>
      <c r="AJ393" s="29"/>
      <c r="AK393" s="29"/>
      <c r="AL393" s="29"/>
      <c r="AM393" s="29"/>
      <c r="AN393" s="29"/>
      <c r="AO393" s="29"/>
      <c r="AP393" s="29"/>
      <c r="AQ393" s="29"/>
      <c r="AR393" s="29"/>
      <c r="AS393" s="29"/>
      <c r="AT393" s="29"/>
      <c r="AU393" s="29"/>
      <c r="AV393" s="29"/>
      <c r="AW393" s="29"/>
      <c r="AX393" s="29"/>
      <c r="AY393" s="29"/>
      <c r="AZ393" s="29"/>
      <c r="BA393" s="29"/>
      <c r="BB393" s="29"/>
      <c r="BC393" s="29"/>
      <c r="BD393" s="29"/>
      <c r="BE393" s="29"/>
      <c r="BF393" s="29"/>
      <c r="BG393" s="29"/>
      <c r="BH393" s="29"/>
      <c r="BI393" s="29"/>
      <c r="BJ393" s="29"/>
      <c r="BK393" s="29"/>
      <c r="BL393" s="29"/>
      <c r="BM393" s="29"/>
      <c r="BN393" s="29"/>
      <c r="BO393" s="29"/>
      <c r="BP393" s="29"/>
      <c r="BQ393" s="29"/>
      <c r="BR393" s="29"/>
      <c r="BS393" s="29"/>
      <c r="BU393" s="29"/>
      <c r="BV393" s="29"/>
    </row>
    <row r="394" spans="4:74" x14ac:dyDescent="0.25">
      <c r="D394" s="29"/>
      <c r="E394" s="29"/>
      <c r="F394" s="29"/>
      <c r="G394" s="29"/>
      <c r="H394" s="29"/>
      <c r="I394" s="29"/>
      <c r="P394" s="29"/>
      <c r="Q394" s="29"/>
      <c r="R394" s="29"/>
      <c r="S394" s="29"/>
      <c r="T394" s="29"/>
      <c r="U394" s="29"/>
      <c r="V394" s="29"/>
      <c r="W394" s="29"/>
      <c r="X394" s="29"/>
      <c r="Y394" s="29"/>
      <c r="Z394" s="29"/>
      <c r="AA394" s="29"/>
      <c r="AB394" s="29"/>
      <c r="AC394" s="29"/>
      <c r="AD394" s="29"/>
      <c r="AE394" s="29"/>
      <c r="AF394" s="29"/>
      <c r="AG394" s="29"/>
      <c r="AH394" s="29"/>
      <c r="AI394" s="29"/>
      <c r="AJ394" s="29"/>
      <c r="AK394" s="29"/>
      <c r="AL394" s="29"/>
      <c r="AM394" s="29"/>
      <c r="AN394" s="29"/>
      <c r="AO394" s="29"/>
      <c r="AP394" s="29"/>
      <c r="AQ394" s="29"/>
      <c r="AR394" s="29"/>
      <c r="AS394" s="29"/>
      <c r="AT394" s="29"/>
      <c r="AU394" s="29"/>
      <c r="AV394" s="29"/>
      <c r="AW394" s="29"/>
      <c r="AX394" s="29"/>
      <c r="AY394" s="29"/>
      <c r="AZ394" s="29"/>
      <c r="BA394" s="29"/>
      <c r="BB394" s="29"/>
      <c r="BC394" s="29"/>
      <c r="BD394" s="29"/>
      <c r="BE394" s="29"/>
      <c r="BF394" s="29"/>
      <c r="BG394" s="29"/>
      <c r="BH394" s="29"/>
      <c r="BI394" s="29"/>
      <c r="BJ394" s="29"/>
      <c r="BK394" s="29"/>
      <c r="BL394" s="29"/>
      <c r="BM394" s="29"/>
      <c r="BN394" s="29"/>
      <c r="BO394" s="29"/>
      <c r="BP394" s="29"/>
      <c r="BQ394" s="29"/>
      <c r="BR394" s="29"/>
      <c r="BS394" s="29"/>
      <c r="BU394" s="29"/>
      <c r="BV394" s="29"/>
    </row>
    <row r="395" spans="4:74" x14ac:dyDescent="0.25">
      <c r="D395" s="29"/>
      <c r="E395" s="29"/>
      <c r="F395" s="29"/>
      <c r="G395" s="29"/>
      <c r="H395" s="29"/>
      <c r="I395" s="29"/>
      <c r="P395" s="29"/>
      <c r="Q395" s="29"/>
      <c r="R395" s="29"/>
      <c r="S395" s="29"/>
      <c r="T395" s="29"/>
      <c r="U395" s="29"/>
      <c r="V395" s="29"/>
      <c r="W395" s="29"/>
      <c r="X395" s="29"/>
      <c r="Y395" s="29"/>
      <c r="Z395" s="29"/>
      <c r="AA395" s="29"/>
      <c r="AB395" s="29"/>
      <c r="AC395" s="29"/>
      <c r="AD395" s="29"/>
      <c r="AE395" s="29"/>
      <c r="AF395" s="29"/>
      <c r="AG395" s="29"/>
      <c r="AH395" s="29"/>
      <c r="AI395" s="29"/>
      <c r="AJ395" s="29"/>
      <c r="AK395" s="29"/>
      <c r="AL395" s="29"/>
      <c r="AM395" s="29"/>
      <c r="AN395" s="29"/>
      <c r="AO395" s="29"/>
      <c r="AP395" s="29"/>
      <c r="AQ395" s="29"/>
      <c r="AR395" s="29"/>
      <c r="AS395" s="29"/>
      <c r="AT395" s="29"/>
      <c r="AU395" s="29"/>
      <c r="AV395" s="29"/>
      <c r="AW395" s="29"/>
      <c r="AX395" s="29"/>
      <c r="AY395" s="29"/>
      <c r="AZ395" s="29"/>
      <c r="BA395" s="29"/>
      <c r="BB395" s="29"/>
      <c r="BC395" s="29"/>
      <c r="BD395" s="29"/>
      <c r="BE395" s="29"/>
      <c r="BF395" s="29"/>
      <c r="BG395" s="29"/>
      <c r="BH395" s="29"/>
      <c r="BI395" s="29"/>
      <c r="BJ395" s="29"/>
      <c r="BK395" s="29"/>
      <c r="BL395" s="29"/>
      <c r="BM395" s="29"/>
      <c r="BN395" s="29"/>
      <c r="BO395" s="29"/>
      <c r="BP395" s="29"/>
      <c r="BQ395" s="29"/>
      <c r="BR395" s="29"/>
      <c r="BS395" s="29"/>
      <c r="BU395" s="29"/>
      <c r="BV395" s="29"/>
    </row>
    <row r="396" spans="4:74" x14ac:dyDescent="0.25">
      <c r="D396" s="29"/>
      <c r="E396" s="29"/>
      <c r="F396" s="29"/>
      <c r="G396" s="29"/>
      <c r="H396" s="29"/>
      <c r="I396" s="29"/>
      <c r="P396" s="29"/>
      <c r="Q396" s="29"/>
      <c r="R396" s="29"/>
      <c r="S396" s="29"/>
      <c r="T396" s="29"/>
      <c r="U396" s="29"/>
      <c r="V396" s="29"/>
      <c r="W396" s="29"/>
      <c r="X396" s="29"/>
      <c r="Y396" s="29"/>
      <c r="Z396" s="29"/>
      <c r="AA396" s="29"/>
      <c r="AB396" s="29"/>
      <c r="AC396" s="29"/>
      <c r="AD396" s="29"/>
      <c r="AE396" s="29"/>
      <c r="AF396" s="29"/>
      <c r="AG396" s="29"/>
      <c r="AH396" s="29"/>
      <c r="AI396" s="29"/>
      <c r="AJ396" s="29"/>
      <c r="AK396" s="29"/>
      <c r="AL396" s="29"/>
      <c r="AM396" s="29"/>
      <c r="AN396" s="29"/>
      <c r="AO396" s="29"/>
      <c r="AP396" s="29"/>
      <c r="AQ396" s="29"/>
      <c r="AR396" s="29"/>
      <c r="AS396" s="29"/>
      <c r="AT396" s="29"/>
      <c r="AU396" s="29"/>
      <c r="AV396" s="29"/>
      <c r="AW396" s="29"/>
      <c r="AX396" s="29"/>
      <c r="AY396" s="29"/>
      <c r="AZ396" s="29"/>
      <c r="BA396" s="29"/>
      <c r="BB396" s="29"/>
      <c r="BC396" s="29"/>
      <c r="BD396" s="29"/>
      <c r="BE396" s="29"/>
      <c r="BF396" s="29"/>
      <c r="BG396" s="29"/>
      <c r="BH396" s="29"/>
      <c r="BI396" s="29"/>
      <c r="BJ396" s="29"/>
      <c r="BK396" s="29"/>
      <c r="BL396" s="29"/>
      <c r="BM396" s="29"/>
      <c r="BN396" s="29"/>
      <c r="BO396" s="29"/>
      <c r="BP396" s="29"/>
      <c r="BQ396" s="29"/>
      <c r="BR396" s="29"/>
      <c r="BS396" s="29"/>
      <c r="BU396" s="29"/>
      <c r="BV396" s="29"/>
    </row>
    <row r="397" spans="4:74" x14ac:dyDescent="0.25">
      <c r="D397" s="29"/>
      <c r="E397" s="29"/>
      <c r="F397" s="29"/>
      <c r="G397" s="29"/>
      <c r="H397" s="29"/>
      <c r="I397" s="29"/>
      <c r="P397" s="29"/>
      <c r="Q397" s="29"/>
      <c r="R397" s="29"/>
      <c r="S397" s="29"/>
      <c r="T397" s="29"/>
      <c r="U397" s="29"/>
      <c r="V397" s="29"/>
      <c r="W397" s="29"/>
      <c r="X397" s="29"/>
      <c r="Y397" s="29"/>
      <c r="Z397" s="29"/>
      <c r="AA397" s="29"/>
      <c r="AB397" s="29"/>
      <c r="AC397" s="29"/>
      <c r="AD397" s="29"/>
      <c r="AE397" s="29"/>
      <c r="AF397" s="29"/>
      <c r="AG397" s="29"/>
      <c r="AH397" s="29"/>
      <c r="AI397" s="29"/>
      <c r="AJ397" s="29"/>
      <c r="AK397" s="29"/>
      <c r="AL397" s="29"/>
      <c r="AM397" s="29"/>
      <c r="AN397" s="29"/>
      <c r="AO397" s="29"/>
      <c r="AP397" s="29"/>
      <c r="AQ397" s="29"/>
      <c r="AR397" s="29"/>
      <c r="AS397" s="29"/>
      <c r="AT397" s="29"/>
      <c r="AU397" s="29"/>
      <c r="AV397" s="29"/>
      <c r="AW397" s="29"/>
      <c r="AX397" s="29"/>
      <c r="AY397" s="29"/>
      <c r="AZ397" s="29"/>
      <c r="BA397" s="29"/>
      <c r="BB397" s="29"/>
      <c r="BC397" s="29"/>
      <c r="BD397" s="29"/>
      <c r="BE397" s="29"/>
      <c r="BF397" s="29"/>
      <c r="BG397" s="29"/>
      <c r="BH397" s="29"/>
      <c r="BI397" s="29"/>
      <c r="BJ397" s="29"/>
      <c r="BK397" s="29"/>
      <c r="BL397" s="29"/>
      <c r="BM397" s="29"/>
      <c r="BN397" s="29"/>
      <c r="BO397" s="29"/>
      <c r="BP397" s="29"/>
      <c r="BQ397" s="29"/>
      <c r="BR397" s="29"/>
      <c r="BS397" s="29"/>
      <c r="BU397" s="29"/>
      <c r="BV397" s="29"/>
    </row>
    <row r="398" spans="4:74" x14ac:dyDescent="0.25">
      <c r="D398" s="29"/>
      <c r="E398" s="29"/>
      <c r="F398" s="29"/>
      <c r="G398" s="29"/>
      <c r="H398" s="29"/>
      <c r="I398" s="29"/>
      <c r="P398" s="29"/>
      <c r="Q398" s="29"/>
      <c r="R398" s="29"/>
      <c r="S398" s="29"/>
      <c r="T398" s="29"/>
      <c r="U398" s="29"/>
      <c r="V398" s="29"/>
      <c r="W398" s="29"/>
      <c r="X398" s="29"/>
      <c r="Y398" s="29"/>
      <c r="Z398" s="29"/>
      <c r="AA398" s="29"/>
      <c r="AB398" s="29"/>
      <c r="AC398" s="29"/>
      <c r="AD398" s="29"/>
      <c r="AE398" s="29"/>
      <c r="AF398" s="29"/>
      <c r="AG398" s="29"/>
      <c r="AH398" s="29"/>
      <c r="AI398" s="29"/>
      <c r="AJ398" s="29"/>
      <c r="AK398" s="29"/>
      <c r="AL398" s="29"/>
      <c r="AM398" s="29"/>
      <c r="AN398" s="29"/>
      <c r="AO398" s="29"/>
      <c r="AP398" s="29"/>
      <c r="AQ398" s="29"/>
      <c r="AR398" s="29"/>
      <c r="AS398" s="29"/>
      <c r="AT398" s="29"/>
      <c r="AU398" s="29"/>
      <c r="AV398" s="29"/>
      <c r="AW398" s="29"/>
      <c r="AX398" s="29"/>
      <c r="AY398" s="29"/>
      <c r="AZ398" s="29"/>
      <c r="BA398" s="29"/>
      <c r="BB398" s="29"/>
      <c r="BC398" s="29"/>
      <c r="BD398" s="29"/>
      <c r="BE398" s="29"/>
      <c r="BF398" s="29"/>
      <c r="BG398" s="29"/>
      <c r="BH398" s="29"/>
      <c r="BI398" s="29"/>
      <c r="BJ398" s="29"/>
      <c r="BK398" s="29"/>
      <c r="BL398" s="29"/>
      <c r="BM398" s="29"/>
      <c r="BN398" s="29"/>
      <c r="BO398" s="29"/>
      <c r="BP398" s="29"/>
      <c r="BQ398" s="29"/>
      <c r="BR398" s="29"/>
      <c r="BS398" s="29"/>
      <c r="BU398" s="29"/>
      <c r="BV398" s="29"/>
    </row>
    <row r="399" spans="4:74" x14ac:dyDescent="0.25">
      <c r="D399" s="29"/>
      <c r="E399" s="29"/>
      <c r="F399" s="29"/>
      <c r="G399" s="29"/>
      <c r="H399" s="29"/>
      <c r="I399" s="29"/>
      <c r="P399" s="29"/>
      <c r="Q399" s="29"/>
      <c r="R399" s="29"/>
      <c r="S399" s="29"/>
      <c r="T399" s="29"/>
      <c r="U399" s="29"/>
      <c r="V399" s="29"/>
      <c r="W399" s="29"/>
      <c r="X399" s="29"/>
      <c r="Y399" s="29"/>
      <c r="Z399" s="29"/>
      <c r="AA399" s="29"/>
      <c r="AB399" s="29"/>
      <c r="AC399" s="29"/>
      <c r="AD399" s="29"/>
      <c r="AE399" s="29"/>
      <c r="AF399" s="29"/>
      <c r="AG399" s="29"/>
      <c r="AH399" s="29"/>
      <c r="AI399" s="29"/>
      <c r="AJ399" s="29"/>
      <c r="AK399" s="29"/>
      <c r="AL399" s="29"/>
      <c r="AM399" s="29"/>
      <c r="AN399" s="29"/>
      <c r="AO399" s="29"/>
      <c r="AP399" s="29"/>
      <c r="AQ399" s="29"/>
      <c r="AR399" s="29"/>
      <c r="AS399" s="29"/>
      <c r="AT399" s="29"/>
      <c r="AU399" s="29"/>
      <c r="AV399" s="29"/>
      <c r="AW399" s="29"/>
      <c r="AX399" s="29"/>
      <c r="AY399" s="29"/>
      <c r="AZ399" s="29"/>
      <c r="BA399" s="29"/>
      <c r="BB399" s="29"/>
      <c r="BC399" s="29"/>
      <c r="BD399" s="29"/>
      <c r="BE399" s="29"/>
      <c r="BF399" s="29"/>
      <c r="BG399" s="29"/>
      <c r="BH399" s="29"/>
      <c r="BI399" s="29"/>
      <c r="BJ399" s="29"/>
      <c r="BK399" s="29"/>
      <c r="BL399" s="29"/>
      <c r="BM399" s="29"/>
      <c r="BN399" s="29"/>
      <c r="BO399" s="29"/>
      <c r="BP399" s="29"/>
      <c r="BQ399" s="29"/>
      <c r="BR399" s="29"/>
      <c r="BS399" s="29"/>
      <c r="BU399" s="29"/>
      <c r="BV399" s="29"/>
    </row>
    <row r="400" spans="4:74" x14ac:dyDescent="0.25">
      <c r="D400" s="29"/>
      <c r="E400" s="29"/>
      <c r="F400" s="29"/>
      <c r="G400" s="29"/>
      <c r="H400" s="29"/>
      <c r="I400" s="29"/>
      <c r="P400" s="29"/>
      <c r="Q400" s="29"/>
      <c r="R400" s="29"/>
      <c r="S400" s="29"/>
      <c r="T400" s="29"/>
      <c r="U400" s="29"/>
      <c r="V400" s="29"/>
      <c r="W400" s="29"/>
      <c r="X400" s="29"/>
      <c r="Y400" s="29"/>
      <c r="Z400" s="29"/>
      <c r="AA400" s="29"/>
      <c r="AB400" s="29"/>
      <c r="AC400" s="29"/>
      <c r="AD400" s="29"/>
      <c r="AE400" s="29"/>
      <c r="AF400" s="29"/>
      <c r="AG400" s="29"/>
      <c r="AH400" s="29"/>
      <c r="AI400" s="29"/>
      <c r="AJ400" s="29"/>
      <c r="AK400" s="29"/>
      <c r="AL400" s="29"/>
      <c r="AM400" s="29"/>
      <c r="AN400" s="29"/>
      <c r="AO400" s="29"/>
      <c r="AP400" s="29"/>
      <c r="AQ400" s="29"/>
      <c r="AR400" s="29"/>
      <c r="AS400" s="29"/>
      <c r="AT400" s="29"/>
      <c r="AU400" s="29"/>
      <c r="AV400" s="29"/>
      <c r="AW400" s="29"/>
      <c r="AX400" s="29"/>
      <c r="AY400" s="29"/>
      <c r="AZ400" s="29"/>
      <c r="BA400" s="29"/>
      <c r="BB400" s="29"/>
      <c r="BC400" s="29"/>
      <c r="BD400" s="29"/>
      <c r="BE400" s="29"/>
      <c r="BF400" s="29"/>
      <c r="BG400" s="29"/>
      <c r="BH400" s="29"/>
      <c r="BI400" s="29"/>
      <c r="BJ400" s="29"/>
      <c r="BK400" s="29"/>
      <c r="BL400" s="29"/>
      <c r="BM400" s="29"/>
      <c r="BN400" s="29"/>
      <c r="BO400" s="29"/>
      <c r="BP400" s="29"/>
      <c r="BQ400" s="29"/>
      <c r="BR400" s="29"/>
      <c r="BS400" s="29"/>
      <c r="BU400" s="29"/>
      <c r="BV400" s="29"/>
    </row>
    <row r="401" spans="4:74" x14ac:dyDescent="0.25">
      <c r="D401" s="29"/>
      <c r="E401" s="29"/>
      <c r="F401" s="29"/>
      <c r="G401" s="29"/>
      <c r="H401" s="29"/>
      <c r="I401" s="29"/>
      <c r="P401" s="29"/>
      <c r="Q401" s="29"/>
      <c r="R401" s="29"/>
      <c r="S401" s="29"/>
      <c r="T401" s="29"/>
      <c r="U401" s="29"/>
      <c r="V401" s="29"/>
      <c r="W401" s="29"/>
      <c r="X401" s="29"/>
      <c r="Y401" s="29"/>
      <c r="Z401" s="29"/>
      <c r="AA401" s="29"/>
      <c r="AB401" s="29"/>
      <c r="AC401" s="29"/>
      <c r="AD401" s="29"/>
      <c r="AE401" s="29"/>
      <c r="AF401" s="29"/>
      <c r="AG401" s="29"/>
      <c r="AH401" s="29"/>
      <c r="AI401" s="29"/>
      <c r="AJ401" s="29"/>
      <c r="AK401" s="29"/>
      <c r="AL401" s="29"/>
      <c r="AM401" s="29"/>
      <c r="AN401" s="29"/>
      <c r="AO401" s="29"/>
      <c r="AP401" s="29"/>
      <c r="AQ401" s="29"/>
      <c r="AR401" s="29"/>
      <c r="AS401" s="29"/>
      <c r="AT401" s="29"/>
      <c r="AU401" s="29"/>
      <c r="AV401" s="29"/>
      <c r="AW401" s="29"/>
      <c r="AX401" s="29"/>
      <c r="AY401" s="29"/>
      <c r="AZ401" s="29"/>
      <c r="BA401" s="29"/>
      <c r="BB401" s="29"/>
      <c r="BC401" s="29"/>
      <c r="BD401" s="29"/>
      <c r="BE401" s="29"/>
      <c r="BF401" s="29"/>
      <c r="BG401" s="29"/>
      <c r="BH401" s="29"/>
      <c r="BI401" s="29"/>
      <c r="BJ401" s="29"/>
      <c r="BK401" s="29"/>
      <c r="BL401" s="29"/>
      <c r="BM401" s="29"/>
      <c r="BN401" s="29"/>
      <c r="BO401" s="29"/>
      <c r="BP401" s="29"/>
      <c r="BQ401" s="29"/>
      <c r="BR401" s="29"/>
      <c r="BS401" s="29"/>
      <c r="BU401" s="29"/>
      <c r="BV401" s="29"/>
    </row>
    <row r="402" spans="4:74" x14ac:dyDescent="0.25">
      <c r="D402" s="29"/>
      <c r="E402" s="29"/>
      <c r="F402" s="29"/>
      <c r="G402" s="29"/>
      <c r="H402" s="29"/>
      <c r="I402" s="29"/>
      <c r="P402" s="29"/>
      <c r="Q402" s="29"/>
      <c r="R402" s="29"/>
      <c r="S402" s="29"/>
      <c r="T402" s="29"/>
      <c r="U402" s="29"/>
      <c r="V402" s="29"/>
      <c r="W402" s="29"/>
      <c r="X402" s="29"/>
      <c r="Y402" s="29"/>
      <c r="Z402" s="29"/>
      <c r="AA402" s="29"/>
      <c r="AB402" s="29"/>
      <c r="AC402" s="29"/>
      <c r="AD402" s="29"/>
      <c r="AE402" s="29"/>
      <c r="AF402" s="29"/>
      <c r="AG402" s="29"/>
      <c r="AH402" s="29"/>
      <c r="AI402" s="29"/>
      <c r="AJ402" s="29"/>
      <c r="AK402" s="29"/>
      <c r="AL402" s="29"/>
      <c r="AM402" s="29"/>
      <c r="AN402" s="29"/>
      <c r="AO402" s="29"/>
      <c r="AP402" s="29"/>
      <c r="AQ402" s="29"/>
      <c r="AR402" s="29"/>
      <c r="AS402" s="29"/>
      <c r="AT402" s="29"/>
      <c r="AU402" s="29"/>
      <c r="AV402" s="29"/>
      <c r="AW402" s="29"/>
      <c r="AX402" s="29"/>
      <c r="AY402" s="29"/>
      <c r="AZ402" s="29"/>
      <c r="BA402" s="29"/>
      <c r="BB402" s="29"/>
      <c r="BC402" s="29"/>
      <c r="BD402" s="29"/>
      <c r="BE402" s="29"/>
      <c r="BF402" s="29"/>
      <c r="BG402" s="29"/>
      <c r="BH402" s="29"/>
      <c r="BI402" s="29"/>
      <c r="BJ402" s="29"/>
      <c r="BK402" s="29"/>
      <c r="BL402" s="29"/>
      <c r="BM402" s="29"/>
      <c r="BN402" s="29"/>
      <c r="BO402" s="29"/>
      <c r="BP402" s="29"/>
      <c r="BQ402" s="29"/>
      <c r="BR402" s="29"/>
      <c r="BS402" s="29"/>
      <c r="BU402" s="29"/>
      <c r="BV402" s="29"/>
    </row>
    <row r="403" spans="4:74" x14ac:dyDescent="0.25">
      <c r="D403" s="29"/>
      <c r="E403" s="29"/>
      <c r="F403" s="29"/>
      <c r="G403" s="29"/>
      <c r="H403" s="29"/>
      <c r="I403" s="29"/>
      <c r="P403" s="29"/>
      <c r="Q403" s="29"/>
      <c r="R403" s="29"/>
      <c r="S403" s="29"/>
      <c r="T403" s="29"/>
      <c r="U403" s="29"/>
      <c r="V403" s="29"/>
      <c r="W403" s="29"/>
      <c r="X403" s="29"/>
      <c r="Y403" s="29"/>
      <c r="Z403" s="29"/>
      <c r="AA403" s="29"/>
      <c r="AB403" s="29"/>
      <c r="AC403" s="29"/>
      <c r="AD403" s="29"/>
      <c r="AE403" s="29"/>
      <c r="AF403" s="29"/>
      <c r="AG403" s="29"/>
      <c r="AH403" s="29"/>
      <c r="AI403" s="29"/>
      <c r="AJ403" s="29"/>
      <c r="AK403" s="29"/>
      <c r="AL403" s="29"/>
      <c r="AM403" s="29"/>
      <c r="AN403" s="29"/>
      <c r="AO403" s="29"/>
      <c r="AP403" s="29"/>
      <c r="AQ403" s="29"/>
      <c r="AR403" s="29"/>
      <c r="AS403" s="29"/>
      <c r="AT403" s="29"/>
      <c r="AU403" s="29"/>
      <c r="AV403" s="29"/>
      <c r="AW403" s="29"/>
      <c r="AX403" s="29"/>
      <c r="AY403" s="29"/>
      <c r="AZ403" s="29"/>
      <c r="BA403" s="29"/>
      <c r="BB403" s="29"/>
      <c r="BC403" s="29"/>
      <c r="BD403" s="29"/>
      <c r="BE403" s="29"/>
      <c r="BF403" s="29"/>
      <c r="BG403" s="29"/>
      <c r="BH403" s="29"/>
      <c r="BI403" s="29"/>
      <c r="BJ403" s="29"/>
      <c r="BK403" s="29"/>
      <c r="BL403" s="29"/>
      <c r="BM403" s="29"/>
      <c r="BN403" s="29"/>
      <c r="BO403" s="29"/>
      <c r="BP403" s="29"/>
      <c r="BQ403" s="29"/>
      <c r="BR403" s="29"/>
      <c r="BS403" s="29"/>
      <c r="BU403" s="29"/>
      <c r="BV403" s="29"/>
    </row>
    <row r="404" spans="4:74" x14ac:dyDescent="0.25">
      <c r="D404" s="29"/>
      <c r="E404" s="29"/>
      <c r="F404" s="29"/>
      <c r="G404" s="29"/>
      <c r="H404" s="29"/>
      <c r="I404" s="29"/>
      <c r="P404" s="29"/>
      <c r="Q404" s="29"/>
      <c r="R404" s="29"/>
      <c r="S404" s="29"/>
      <c r="T404" s="29"/>
      <c r="U404" s="29"/>
      <c r="V404" s="29"/>
      <c r="W404" s="29"/>
      <c r="X404" s="29"/>
      <c r="Y404" s="29"/>
      <c r="Z404" s="29"/>
      <c r="AA404" s="29"/>
      <c r="AB404" s="29"/>
      <c r="AC404" s="29"/>
      <c r="AD404" s="29"/>
      <c r="AE404" s="29"/>
      <c r="AF404" s="29"/>
      <c r="AG404" s="29"/>
      <c r="AH404" s="29"/>
      <c r="AI404" s="29"/>
      <c r="AJ404" s="29"/>
      <c r="AK404" s="29"/>
      <c r="AL404" s="29"/>
      <c r="AM404" s="29"/>
      <c r="AN404" s="29"/>
      <c r="AO404" s="29"/>
      <c r="AP404" s="29"/>
      <c r="AQ404" s="29"/>
      <c r="AR404" s="29"/>
      <c r="AS404" s="29"/>
      <c r="AT404" s="29"/>
      <c r="AU404" s="29"/>
      <c r="AV404" s="29"/>
      <c r="AW404" s="29"/>
      <c r="AX404" s="29"/>
      <c r="AY404" s="29"/>
      <c r="AZ404" s="29"/>
      <c r="BA404" s="29"/>
      <c r="BB404" s="29"/>
      <c r="BC404" s="29"/>
      <c r="BD404" s="29"/>
      <c r="BE404" s="29"/>
      <c r="BF404" s="29"/>
      <c r="BG404" s="29"/>
      <c r="BH404" s="29"/>
      <c r="BI404" s="29"/>
      <c r="BJ404" s="29"/>
      <c r="BK404" s="29"/>
      <c r="BL404" s="29"/>
      <c r="BM404" s="29"/>
      <c r="BN404" s="29"/>
      <c r="BO404" s="29"/>
      <c r="BP404" s="29"/>
      <c r="BQ404" s="29"/>
      <c r="BR404" s="29"/>
      <c r="BS404" s="29"/>
      <c r="BU404" s="29"/>
      <c r="BV404" s="29"/>
    </row>
    <row r="405" spans="4:74" x14ac:dyDescent="0.25">
      <c r="D405" s="29"/>
      <c r="E405" s="29"/>
      <c r="F405" s="29"/>
      <c r="G405" s="29"/>
      <c r="H405" s="29"/>
      <c r="I405" s="29"/>
      <c r="P405" s="29"/>
      <c r="Q405" s="29"/>
      <c r="R405" s="29"/>
      <c r="S405" s="29"/>
      <c r="T405" s="29"/>
      <c r="U405" s="29"/>
      <c r="V405" s="29"/>
      <c r="W405" s="29"/>
      <c r="X405" s="29"/>
      <c r="Y405" s="29"/>
      <c r="Z405" s="29"/>
      <c r="AA405" s="29"/>
      <c r="AB405" s="29"/>
      <c r="AC405" s="29"/>
      <c r="AD405" s="29"/>
      <c r="AE405" s="29"/>
      <c r="AF405" s="29"/>
      <c r="AG405" s="29"/>
      <c r="AH405" s="29"/>
      <c r="AI405" s="29"/>
      <c r="AJ405" s="29"/>
      <c r="AK405" s="29"/>
      <c r="AL405" s="29"/>
      <c r="AM405" s="29"/>
      <c r="AN405" s="29"/>
      <c r="AO405" s="29"/>
      <c r="AP405" s="29"/>
      <c r="AQ405" s="29"/>
      <c r="AR405" s="29"/>
      <c r="AS405" s="29"/>
      <c r="AT405" s="29"/>
      <c r="AU405" s="29"/>
      <c r="AV405" s="29"/>
      <c r="AW405" s="29"/>
      <c r="AX405" s="29"/>
      <c r="AY405" s="29"/>
      <c r="AZ405" s="29"/>
      <c r="BA405" s="29"/>
      <c r="BB405" s="29"/>
      <c r="BC405" s="29"/>
      <c r="BD405" s="29"/>
      <c r="BE405" s="29"/>
      <c r="BF405" s="29"/>
      <c r="BG405" s="29"/>
      <c r="BH405" s="29"/>
      <c r="BI405" s="29"/>
      <c r="BJ405" s="29"/>
      <c r="BK405" s="29"/>
      <c r="BL405" s="29"/>
      <c r="BM405" s="29"/>
      <c r="BN405" s="29"/>
      <c r="BO405" s="29"/>
      <c r="BP405" s="29"/>
      <c r="BQ405" s="29"/>
      <c r="BR405" s="29"/>
      <c r="BS405" s="29"/>
      <c r="BU405" s="29"/>
      <c r="BV405" s="29"/>
    </row>
    <row r="406" spans="4:74" x14ac:dyDescent="0.25">
      <c r="D406" s="29"/>
      <c r="E406" s="29"/>
      <c r="F406" s="29"/>
      <c r="G406" s="29"/>
      <c r="H406" s="29"/>
      <c r="I406" s="29"/>
      <c r="P406" s="29"/>
      <c r="Q406" s="29"/>
      <c r="R406" s="29"/>
      <c r="S406" s="29"/>
      <c r="T406" s="29"/>
      <c r="U406" s="29"/>
      <c r="V406" s="29"/>
      <c r="W406" s="29"/>
      <c r="X406" s="29"/>
      <c r="Y406" s="29"/>
      <c r="Z406" s="29"/>
      <c r="AA406" s="29"/>
      <c r="AB406" s="29"/>
      <c r="AC406" s="29"/>
      <c r="AD406" s="29"/>
      <c r="AE406" s="29"/>
      <c r="AF406" s="29"/>
      <c r="AG406" s="29"/>
      <c r="AH406" s="29"/>
      <c r="AI406" s="29"/>
      <c r="AJ406" s="29"/>
      <c r="AK406" s="29"/>
      <c r="AL406" s="29"/>
      <c r="AM406" s="29"/>
      <c r="AN406" s="29"/>
      <c r="AO406" s="29"/>
      <c r="AP406" s="29"/>
      <c r="AQ406" s="29"/>
      <c r="AR406" s="29"/>
      <c r="AS406" s="29"/>
      <c r="AT406" s="29"/>
      <c r="AU406" s="29"/>
      <c r="AV406" s="29"/>
      <c r="AW406" s="29"/>
      <c r="AX406" s="29"/>
      <c r="AY406" s="29"/>
      <c r="AZ406" s="29"/>
      <c r="BA406" s="29"/>
      <c r="BB406" s="29"/>
      <c r="BC406" s="29"/>
      <c r="BD406" s="29"/>
      <c r="BE406" s="29"/>
      <c r="BF406" s="29"/>
      <c r="BG406" s="29"/>
      <c r="BH406" s="29"/>
      <c r="BI406" s="29"/>
      <c r="BJ406" s="29"/>
      <c r="BK406" s="29"/>
      <c r="BL406" s="29"/>
      <c r="BM406" s="29"/>
      <c r="BN406" s="29"/>
      <c r="BO406" s="29"/>
      <c r="BP406" s="29"/>
      <c r="BQ406" s="29"/>
      <c r="BR406" s="29"/>
      <c r="BS406" s="29"/>
      <c r="BU406" s="29"/>
      <c r="BV406" s="29"/>
    </row>
    <row r="407" spans="4:74" x14ac:dyDescent="0.25">
      <c r="D407" s="29"/>
      <c r="E407" s="29"/>
      <c r="F407" s="29"/>
      <c r="G407" s="29"/>
      <c r="H407" s="29"/>
      <c r="I407" s="29"/>
      <c r="P407" s="29"/>
      <c r="Q407" s="29"/>
      <c r="R407" s="29"/>
      <c r="S407" s="29"/>
      <c r="T407" s="29"/>
      <c r="U407" s="29"/>
      <c r="V407" s="29"/>
      <c r="W407" s="29"/>
      <c r="X407" s="29"/>
      <c r="Y407" s="29"/>
      <c r="Z407" s="29"/>
      <c r="AA407" s="29"/>
      <c r="AB407" s="29"/>
      <c r="AC407" s="29"/>
      <c r="AD407" s="29"/>
      <c r="AE407" s="29"/>
      <c r="AF407" s="29"/>
      <c r="AG407" s="29"/>
      <c r="AH407" s="29"/>
      <c r="AI407" s="29"/>
      <c r="AJ407" s="29"/>
      <c r="AK407" s="29"/>
      <c r="AL407" s="29"/>
      <c r="AM407" s="29"/>
      <c r="AN407" s="29"/>
      <c r="AO407" s="29"/>
      <c r="AP407" s="29"/>
      <c r="AQ407" s="29"/>
      <c r="AR407" s="29"/>
      <c r="AS407" s="29"/>
      <c r="AT407" s="29"/>
      <c r="AU407" s="29"/>
      <c r="AV407" s="29"/>
      <c r="AW407" s="29"/>
      <c r="AX407" s="29"/>
      <c r="AY407" s="29"/>
      <c r="AZ407" s="29"/>
      <c r="BA407" s="29"/>
      <c r="BB407" s="29"/>
      <c r="BC407" s="29"/>
      <c r="BD407" s="29"/>
      <c r="BE407" s="29"/>
      <c r="BF407" s="29"/>
      <c r="BG407" s="29"/>
      <c r="BH407" s="29"/>
      <c r="BI407" s="29"/>
      <c r="BJ407" s="29"/>
      <c r="BK407" s="29"/>
      <c r="BL407" s="29"/>
      <c r="BM407" s="29"/>
      <c r="BN407" s="29"/>
      <c r="BO407" s="29"/>
      <c r="BP407" s="29"/>
      <c r="BQ407" s="29"/>
      <c r="BR407" s="29"/>
      <c r="BS407" s="29"/>
      <c r="BU407" s="29"/>
      <c r="BV407" s="29"/>
    </row>
    <row r="408" spans="4:74" x14ac:dyDescent="0.25">
      <c r="D408" s="29"/>
      <c r="E408" s="29"/>
      <c r="F408" s="29"/>
      <c r="G408" s="29"/>
      <c r="H408" s="29"/>
      <c r="I408" s="29"/>
      <c r="P408" s="29"/>
      <c r="Q408" s="29"/>
      <c r="R408" s="29"/>
      <c r="S408" s="29"/>
      <c r="T408" s="29"/>
      <c r="U408" s="29"/>
      <c r="V408" s="29"/>
      <c r="W408" s="29"/>
      <c r="X408" s="29"/>
      <c r="Y408" s="29"/>
      <c r="Z408" s="29"/>
      <c r="AA408" s="29"/>
      <c r="AB408" s="29"/>
      <c r="AC408" s="29"/>
      <c r="AD408" s="29"/>
      <c r="AE408" s="29"/>
      <c r="AF408" s="29"/>
      <c r="AG408" s="29"/>
      <c r="AH408" s="29"/>
      <c r="AI408" s="29"/>
      <c r="AJ408" s="29"/>
      <c r="AK408" s="29"/>
      <c r="AL408" s="29"/>
      <c r="AM408" s="29"/>
      <c r="AN408" s="29"/>
      <c r="AO408" s="29"/>
      <c r="AP408" s="29"/>
      <c r="AQ408" s="29"/>
      <c r="AR408" s="29"/>
      <c r="AS408" s="29"/>
      <c r="AT408" s="29"/>
      <c r="AU408" s="29"/>
      <c r="AV408" s="29"/>
      <c r="AW408" s="29"/>
      <c r="AX408" s="29"/>
      <c r="AY408" s="29"/>
      <c r="AZ408" s="29"/>
      <c r="BA408" s="29"/>
      <c r="BB408" s="29"/>
      <c r="BC408" s="29"/>
      <c r="BD408" s="29"/>
      <c r="BE408" s="29"/>
      <c r="BF408" s="29"/>
      <c r="BG408" s="29"/>
      <c r="BH408" s="29"/>
      <c r="BI408" s="29"/>
      <c r="BJ408" s="29"/>
      <c r="BK408" s="29"/>
      <c r="BL408" s="29"/>
      <c r="BM408" s="29"/>
      <c r="BN408" s="29"/>
      <c r="BO408" s="29"/>
      <c r="BP408" s="29"/>
      <c r="BQ408" s="29"/>
      <c r="BR408" s="29"/>
      <c r="BS408" s="29"/>
      <c r="BU408" s="29"/>
      <c r="BV408" s="29"/>
    </row>
    <row r="409" spans="4:74" x14ac:dyDescent="0.25">
      <c r="D409" s="29"/>
      <c r="E409" s="29"/>
      <c r="F409" s="29"/>
      <c r="G409" s="29"/>
      <c r="H409" s="29"/>
      <c r="I409" s="29"/>
      <c r="P409" s="29"/>
      <c r="Q409" s="29"/>
      <c r="R409" s="29"/>
      <c r="S409" s="29"/>
      <c r="T409" s="29"/>
      <c r="U409" s="29"/>
      <c r="V409" s="29"/>
      <c r="W409" s="29"/>
      <c r="X409" s="29"/>
      <c r="Y409" s="29"/>
      <c r="Z409" s="29"/>
      <c r="AA409" s="29"/>
      <c r="AB409" s="29"/>
      <c r="AC409" s="29"/>
      <c r="AD409" s="29"/>
      <c r="AE409" s="29"/>
      <c r="AF409" s="29"/>
      <c r="AG409" s="29"/>
      <c r="AH409" s="29"/>
      <c r="AI409" s="29"/>
      <c r="AJ409" s="29"/>
      <c r="AK409" s="29"/>
      <c r="AL409" s="29"/>
      <c r="AM409" s="29"/>
      <c r="AN409" s="29"/>
      <c r="AO409" s="29"/>
      <c r="AP409" s="29"/>
      <c r="AQ409" s="29"/>
      <c r="AR409" s="29"/>
      <c r="AS409" s="29"/>
      <c r="AT409" s="29"/>
      <c r="AU409" s="29"/>
      <c r="AV409" s="29"/>
      <c r="AW409" s="29"/>
      <c r="AX409" s="29"/>
      <c r="AY409" s="29"/>
      <c r="AZ409" s="29"/>
      <c r="BA409" s="29"/>
      <c r="BB409" s="29"/>
      <c r="BC409" s="29"/>
      <c r="BD409" s="29"/>
      <c r="BE409" s="29"/>
      <c r="BF409" s="29"/>
      <c r="BG409" s="29"/>
      <c r="BH409" s="29"/>
      <c r="BI409" s="29"/>
      <c r="BJ409" s="29"/>
      <c r="BK409" s="29"/>
      <c r="BL409" s="29"/>
      <c r="BM409" s="29"/>
      <c r="BN409" s="29"/>
      <c r="BO409" s="29"/>
      <c r="BP409" s="29"/>
      <c r="BQ409" s="29"/>
      <c r="BR409" s="29"/>
      <c r="BS409" s="29"/>
      <c r="BU409" s="29"/>
      <c r="BV409" s="29"/>
    </row>
    <row r="410" spans="4:74" x14ac:dyDescent="0.25">
      <c r="D410" s="29"/>
      <c r="E410" s="29"/>
      <c r="F410" s="29"/>
      <c r="G410" s="29"/>
      <c r="H410" s="29"/>
      <c r="I410" s="29"/>
      <c r="P410" s="29"/>
      <c r="Q410" s="29"/>
      <c r="R410" s="29"/>
      <c r="S410" s="29"/>
      <c r="T410" s="29"/>
      <c r="U410" s="29"/>
      <c r="V410" s="29"/>
      <c r="W410" s="29"/>
      <c r="X410" s="29"/>
      <c r="Y410" s="29"/>
      <c r="Z410" s="29"/>
      <c r="AA410" s="29"/>
      <c r="AB410" s="29"/>
      <c r="AC410" s="29"/>
      <c r="AD410" s="29"/>
      <c r="AE410" s="29"/>
      <c r="AF410" s="29"/>
      <c r="AG410" s="29"/>
      <c r="AH410" s="29"/>
      <c r="AI410" s="29"/>
      <c r="AJ410" s="29"/>
      <c r="AK410" s="29"/>
      <c r="AL410" s="29"/>
      <c r="AM410" s="29"/>
      <c r="AN410" s="29"/>
      <c r="AO410" s="29"/>
      <c r="AP410" s="29"/>
      <c r="AQ410" s="29"/>
      <c r="AR410" s="29"/>
      <c r="AS410" s="29"/>
      <c r="AT410" s="29"/>
      <c r="AU410" s="29"/>
      <c r="AV410" s="29"/>
      <c r="AW410" s="29"/>
      <c r="AX410" s="29"/>
      <c r="AY410" s="29"/>
      <c r="AZ410" s="29"/>
      <c r="BA410" s="29"/>
      <c r="BB410" s="29"/>
      <c r="BC410" s="29"/>
      <c r="BD410" s="29"/>
      <c r="BE410" s="29"/>
      <c r="BF410" s="29"/>
      <c r="BG410" s="29"/>
      <c r="BH410" s="29"/>
      <c r="BI410" s="29"/>
      <c r="BJ410" s="29"/>
      <c r="BK410" s="29"/>
      <c r="BL410" s="29"/>
      <c r="BM410" s="29"/>
      <c r="BN410" s="29"/>
      <c r="BO410" s="29"/>
      <c r="BP410" s="29"/>
      <c r="BQ410" s="29"/>
      <c r="BR410" s="29"/>
      <c r="BS410" s="29"/>
      <c r="BU410" s="29"/>
      <c r="BV410" s="29"/>
    </row>
    <row r="411" spans="4:74" x14ac:dyDescent="0.25">
      <c r="D411" s="29"/>
      <c r="E411" s="29"/>
      <c r="F411" s="29"/>
      <c r="G411" s="29"/>
      <c r="H411" s="29"/>
      <c r="I411" s="29"/>
      <c r="P411" s="29"/>
      <c r="Q411" s="29"/>
      <c r="R411" s="29"/>
      <c r="S411" s="29"/>
      <c r="T411" s="29"/>
      <c r="U411" s="29"/>
      <c r="V411" s="29"/>
      <c r="W411" s="29"/>
      <c r="X411" s="29"/>
      <c r="Y411" s="29"/>
      <c r="Z411" s="29"/>
      <c r="AA411" s="29"/>
      <c r="AB411" s="29"/>
      <c r="AC411" s="29"/>
      <c r="AD411" s="29"/>
      <c r="AE411" s="29"/>
      <c r="AF411" s="29"/>
      <c r="AG411" s="29"/>
      <c r="AH411" s="29"/>
      <c r="AI411" s="29"/>
      <c r="AJ411" s="29"/>
      <c r="AK411" s="29"/>
      <c r="AL411" s="29"/>
      <c r="AM411" s="29"/>
      <c r="AN411" s="29"/>
      <c r="AO411" s="29"/>
      <c r="AP411" s="29"/>
      <c r="AQ411" s="29"/>
      <c r="AR411" s="29"/>
      <c r="AS411" s="29"/>
      <c r="AT411" s="29"/>
      <c r="AU411" s="29"/>
      <c r="AV411" s="29"/>
      <c r="AW411" s="29"/>
      <c r="AX411" s="29"/>
      <c r="AY411" s="29"/>
      <c r="AZ411" s="29"/>
      <c r="BA411" s="29"/>
      <c r="BB411" s="29"/>
      <c r="BC411" s="29"/>
      <c r="BD411" s="29"/>
      <c r="BE411" s="29"/>
      <c r="BF411" s="29"/>
      <c r="BG411" s="29"/>
      <c r="BH411" s="29"/>
      <c r="BI411" s="29"/>
      <c r="BJ411" s="29"/>
      <c r="BK411" s="29"/>
      <c r="BL411" s="29"/>
      <c r="BM411" s="29"/>
      <c r="BN411" s="29"/>
      <c r="BO411" s="29"/>
      <c r="BP411" s="29"/>
      <c r="BQ411" s="29"/>
      <c r="BR411" s="29"/>
      <c r="BS411" s="29"/>
      <c r="BU411" s="29"/>
      <c r="BV411" s="29"/>
    </row>
    <row r="412" spans="4:74" x14ac:dyDescent="0.25">
      <c r="D412" s="29"/>
      <c r="E412" s="29"/>
      <c r="F412" s="29"/>
      <c r="G412" s="29"/>
      <c r="H412" s="29"/>
      <c r="I412" s="29"/>
      <c r="P412" s="29"/>
      <c r="Q412" s="29"/>
      <c r="R412" s="29"/>
      <c r="S412" s="29"/>
      <c r="T412" s="29"/>
      <c r="U412" s="29"/>
      <c r="V412" s="29"/>
      <c r="W412" s="29"/>
      <c r="X412" s="29"/>
      <c r="Y412" s="29"/>
      <c r="Z412" s="29"/>
      <c r="AA412" s="29"/>
      <c r="AB412" s="29"/>
      <c r="AC412" s="29"/>
      <c r="AD412" s="29"/>
      <c r="AE412" s="29"/>
      <c r="AF412" s="29"/>
      <c r="AG412" s="29"/>
      <c r="AH412" s="29"/>
      <c r="AI412" s="29"/>
      <c r="AJ412" s="29"/>
      <c r="AK412" s="29"/>
      <c r="AL412" s="29"/>
      <c r="AM412" s="29"/>
      <c r="AN412" s="29"/>
      <c r="AO412" s="29"/>
      <c r="AP412" s="29"/>
      <c r="AQ412" s="29"/>
      <c r="AR412" s="29"/>
      <c r="AS412" s="29"/>
      <c r="AT412" s="29"/>
      <c r="AU412" s="29"/>
      <c r="AV412" s="29"/>
      <c r="AW412" s="29"/>
      <c r="AX412" s="29"/>
      <c r="AY412" s="29"/>
      <c r="AZ412" s="29"/>
      <c r="BA412" s="29"/>
      <c r="BB412" s="29"/>
      <c r="BC412" s="29"/>
      <c r="BD412" s="29"/>
      <c r="BE412" s="29"/>
      <c r="BF412" s="29"/>
      <c r="BG412" s="29"/>
      <c r="BH412" s="29"/>
      <c r="BI412" s="29"/>
      <c r="BJ412" s="29"/>
      <c r="BK412" s="29"/>
      <c r="BL412" s="29"/>
      <c r="BM412" s="29"/>
      <c r="BN412" s="29"/>
      <c r="BO412" s="29"/>
      <c r="BP412" s="29"/>
      <c r="BQ412" s="29"/>
      <c r="BR412" s="29"/>
      <c r="BS412" s="29"/>
      <c r="BU412" s="29"/>
      <c r="BV412" s="29"/>
    </row>
    <row r="413" spans="4:74" x14ac:dyDescent="0.25">
      <c r="D413" s="29"/>
      <c r="E413" s="29"/>
      <c r="F413" s="29"/>
      <c r="G413" s="29"/>
      <c r="H413" s="29"/>
      <c r="I413" s="29"/>
      <c r="P413" s="29"/>
      <c r="Q413" s="29"/>
      <c r="R413" s="29"/>
      <c r="S413" s="29"/>
      <c r="T413" s="29"/>
      <c r="U413" s="29"/>
      <c r="V413" s="29"/>
      <c r="W413" s="29"/>
      <c r="X413" s="29"/>
      <c r="Y413" s="29"/>
      <c r="Z413" s="29"/>
      <c r="AA413" s="29"/>
      <c r="AB413" s="29"/>
      <c r="AC413" s="29"/>
      <c r="AD413" s="29"/>
      <c r="AE413" s="29"/>
      <c r="AF413" s="29"/>
      <c r="AG413" s="29"/>
      <c r="AH413" s="29"/>
      <c r="AI413" s="29"/>
      <c r="AJ413" s="29"/>
      <c r="AK413" s="29"/>
      <c r="AL413" s="29"/>
      <c r="AM413" s="29"/>
      <c r="AN413" s="29"/>
      <c r="AO413" s="29"/>
      <c r="AP413" s="29"/>
      <c r="AQ413" s="29"/>
      <c r="AR413" s="29"/>
      <c r="AS413" s="29"/>
      <c r="AT413" s="29"/>
      <c r="AU413" s="29"/>
      <c r="AV413" s="29"/>
      <c r="AW413" s="29"/>
      <c r="AX413" s="29"/>
      <c r="AY413" s="29"/>
      <c r="AZ413" s="29"/>
      <c r="BA413" s="29"/>
      <c r="BB413" s="29"/>
      <c r="BC413" s="29"/>
      <c r="BD413" s="29"/>
      <c r="BE413" s="29"/>
      <c r="BF413" s="29"/>
      <c r="BG413" s="29"/>
      <c r="BH413" s="29"/>
      <c r="BI413" s="29"/>
      <c r="BJ413" s="29"/>
      <c r="BK413" s="29"/>
      <c r="BL413" s="29"/>
      <c r="BM413" s="29"/>
      <c r="BN413" s="29"/>
      <c r="BO413" s="29"/>
      <c r="BP413" s="29"/>
      <c r="BQ413" s="29"/>
      <c r="BR413" s="29"/>
      <c r="BS413" s="29"/>
      <c r="BU413" s="29"/>
      <c r="BV413" s="29"/>
    </row>
    <row r="414" spans="4:74" x14ac:dyDescent="0.25">
      <c r="D414" s="29"/>
      <c r="E414" s="29"/>
      <c r="F414" s="29"/>
      <c r="G414" s="29"/>
      <c r="H414" s="29"/>
      <c r="I414" s="29"/>
      <c r="P414" s="29"/>
      <c r="Q414" s="29"/>
      <c r="R414" s="29"/>
      <c r="S414" s="29"/>
      <c r="T414" s="29"/>
      <c r="U414" s="29"/>
      <c r="V414" s="29"/>
      <c r="W414" s="29"/>
      <c r="X414" s="29"/>
      <c r="Y414" s="29"/>
      <c r="Z414" s="29"/>
      <c r="AA414" s="29"/>
      <c r="AB414" s="29"/>
      <c r="AC414" s="29"/>
      <c r="AD414" s="29"/>
      <c r="AE414" s="29"/>
      <c r="AF414" s="29"/>
      <c r="AG414" s="29"/>
      <c r="AH414" s="29"/>
      <c r="AI414" s="29"/>
      <c r="AJ414" s="29"/>
      <c r="AK414" s="29"/>
      <c r="AL414" s="29"/>
      <c r="AM414" s="29"/>
      <c r="AN414" s="29"/>
      <c r="AO414" s="29"/>
      <c r="AP414" s="29"/>
      <c r="AQ414" s="29"/>
      <c r="AR414" s="29"/>
      <c r="AS414" s="29"/>
      <c r="AT414" s="29"/>
      <c r="AU414" s="29"/>
      <c r="AV414" s="29"/>
      <c r="AW414" s="29"/>
      <c r="AX414" s="29"/>
      <c r="AY414" s="29"/>
      <c r="AZ414" s="29"/>
      <c r="BA414" s="29"/>
      <c r="BB414" s="29"/>
      <c r="BC414" s="29"/>
      <c r="BD414" s="29"/>
      <c r="BE414" s="29"/>
      <c r="BF414" s="29"/>
      <c r="BG414" s="29"/>
      <c r="BH414" s="29"/>
      <c r="BI414" s="29"/>
      <c r="BJ414" s="29"/>
      <c r="BK414" s="29"/>
      <c r="BL414" s="29"/>
      <c r="BM414" s="29"/>
      <c r="BN414" s="29"/>
      <c r="BO414" s="29"/>
      <c r="BP414" s="29"/>
      <c r="BQ414" s="29"/>
      <c r="BR414" s="29"/>
      <c r="BS414" s="29"/>
      <c r="BU414" s="29"/>
      <c r="BV414" s="29"/>
    </row>
  </sheetData>
  <sheetCalcPr fullCalcOnLoad="1"/>
  <mergeCells count="26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D10:H10"/>
    <mergeCell ref="L5:M5"/>
    <mergeCell ref="L4:M4"/>
    <mergeCell ref="L16:M16"/>
    <mergeCell ref="L11:M11"/>
    <mergeCell ref="L10:M10"/>
    <mergeCell ref="L9:M9"/>
    <mergeCell ref="A24:B24"/>
    <mergeCell ref="A25:B25"/>
    <mergeCell ref="A26:B26"/>
    <mergeCell ref="L18:M18"/>
    <mergeCell ref="L19:M19"/>
    <mergeCell ref="A22:B22"/>
    <mergeCell ref="A23:B23"/>
    <mergeCell ref="A31:B31"/>
    <mergeCell ref="A32:B32"/>
    <mergeCell ref="A33:B33"/>
    <mergeCell ref="A27:C27"/>
    <mergeCell ref="A28:B28"/>
    <mergeCell ref="A29:B29"/>
    <mergeCell ref="A30:B30"/>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6:B96"/>
    <mergeCell ref="A97:B97"/>
    <mergeCell ref="A90:B90"/>
    <mergeCell ref="A91:B91"/>
    <mergeCell ref="A92:B92"/>
    <mergeCell ref="A93:B93"/>
    <mergeCell ref="A102:B102"/>
    <mergeCell ref="A103:B103"/>
    <mergeCell ref="A104:B104"/>
    <mergeCell ref="A105:B105"/>
    <mergeCell ref="A98:B98"/>
    <mergeCell ref="A99:B99"/>
    <mergeCell ref="A100:B100"/>
    <mergeCell ref="A101:B101"/>
    <mergeCell ref="A110:B110"/>
    <mergeCell ref="A111:B111"/>
    <mergeCell ref="A112:B112"/>
    <mergeCell ref="A113:B113"/>
    <mergeCell ref="A106:B106"/>
    <mergeCell ref="A107:B107"/>
    <mergeCell ref="A108:B108"/>
    <mergeCell ref="A109:B109"/>
    <mergeCell ref="A118:B118"/>
    <mergeCell ref="A119:B119"/>
    <mergeCell ref="A120:B120"/>
    <mergeCell ref="A121:B121"/>
    <mergeCell ref="A114:B114"/>
    <mergeCell ref="A115:B115"/>
    <mergeCell ref="A116:B116"/>
    <mergeCell ref="A117:B117"/>
    <mergeCell ref="A126:B126"/>
    <mergeCell ref="A127:B127"/>
    <mergeCell ref="A128:B128"/>
    <mergeCell ref="A129:B129"/>
    <mergeCell ref="A122:B122"/>
    <mergeCell ref="A123:B123"/>
    <mergeCell ref="A124:B124"/>
    <mergeCell ref="A125:B125"/>
    <mergeCell ref="A134:B134"/>
    <mergeCell ref="A135:B135"/>
    <mergeCell ref="A136:B136"/>
    <mergeCell ref="A137:B137"/>
    <mergeCell ref="A130:B130"/>
    <mergeCell ref="A131:B131"/>
    <mergeCell ref="A132:B132"/>
    <mergeCell ref="A133:B133"/>
    <mergeCell ref="A142:B142"/>
    <mergeCell ref="A143:B143"/>
    <mergeCell ref="A144:B144"/>
    <mergeCell ref="A145:B145"/>
    <mergeCell ref="A138:B138"/>
    <mergeCell ref="A139:B139"/>
    <mergeCell ref="A140:B140"/>
    <mergeCell ref="A141:B141"/>
    <mergeCell ref="A150:B150"/>
    <mergeCell ref="A151:B151"/>
    <mergeCell ref="A152:B152"/>
    <mergeCell ref="A153:B153"/>
    <mergeCell ref="A146:B146"/>
    <mergeCell ref="A147:B147"/>
    <mergeCell ref="A148:B148"/>
    <mergeCell ref="A149:B149"/>
    <mergeCell ref="A158:B158"/>
    <mergeCell ref="A159:B159"/>
    <mergeCell ref="A160:B160"/>
    <mergeCell ref="A161:B161"/>
    <mergeCell ref="A154:B154"/>
    <mergeCell ref="A155:B155"/>
    <mergeCell ref="A156:B156"/>
    <mergeCell ref="A157:B157"/>
    <mergeCell ref="A166:B166"/>
    <mergeCell ref="A167:B167"/>
    <mergeCell ref="A168:B168"/>
    <mergeCell ref="A169:B169"/>
    <mergeCell ref="A162:B162"/>
    <mergeCell ref="A163:B163"/>
    <mergeCell ref="A164:B164"/>
    <mergeCell ref="A165:B165"/>
    <mergeCell ref="A174:B174"/>
    <mergeCell ref="A175:B175"/>
    <mergeCell ref="A176:B176"/>
    <mergeCell ref="A177:B177"/>
    <mergeCell ref="A170:B170"/>
    <mergeCell ref="A171:B171"/>
    <mergeCell ref="A172:B172"/>
    <mergeCell ref="A173:B173"/>
    <mergeCell ref="A182:B182"/>
    <mergeCell ref="A183:B183"/>
    <mergeCell ref="A184:B184"/>
    <mergeCell ref="A185:B185"/>
    <mergeCell ref="A178:B178"/>
    <mergeCell ref="A179:B179"/>
    <mergeCell ref="A180:B180"/>
    <mergeCell ref="A181:B181"/>
    <mergeCell ref="A190:B190"/>
    <mergeCell ref="A191:B191"/>
    <mergeCell ref="A192:B192"/>
    <mergeCell ref="A193:B193"/>
    <mergeCell ref="A186:B186"/>
    <mergeCell ref="A187:B187"/>
    <mergeCell ref="A188:B188"/>
    <mergeCell ref="A189:B189"/>
    <mergeCell ref="A198:B198"/>
    <mergeCell ref="A199:B199"/>
    <mergeCell ref="A200:B200"/>
    <mergeCell ref="A201:B201"/>
    <mergeCell ref="A194:B194"/>
    <mergeCell ref="A195:B195"/>
    <mergeCell ref="A196:B196"/>
    <mergeCell ref="A197:B197"/>
    <mergeCell ref="A206:B206"/>
    <mergeCell ref="A207:B207"/>
    <mergeCell ref="A208:B208"/>
    <mergeCell ref="A209:B209"/>
    <mergeCell ref="A202:B202"/>
    <mergeCell ref="A203:B203"/>
    <mergeCell ref="A204:B204"/>
    <mergeCell ref="A205:B205"/>
    <mergeCell ref="A214:B214"/>
    <mergeCell ref="A215:B215"/>
    <mergeCell ref="A216:B216"/>
    <mergeCell ref="A217:B217"/>
    <mergeCell ref="A210:B210"/>
    <mergeCell ref="A211:B211"/>
    <mergeCell ref="A212:B212"/>
    <mergeCell ref="A213:B213"/>
    <mergeCell ref="A222:B222"/>
    <mergeCell ref="A223:B223"/>
    <mergeCell ref="A224:B224"/>
    <mergeCell ref="A225:B225"/>
    <mergeCell ref="A218:B218"/>
    <mergeCell ref="A219:B219"/>
    <mergeCell ref="A220:B220"/>
    <mergeCell ref="A221:B221"/>
    <mergeCell ref="A230:B230"/>
    <mergeCell ref="A231:B231"/>
    <mergeCell ref="A232:B232"/>
    <mergeCell ref="A233:B233"/>
    <mergeCell ref="A226:B226"/>
    <mergeCell ref="A227:B227"/>
    <mergeCell ref="A228:B228"/>
    <mergeCell ref="A229:B229"/>
    <mergeCell ref="A238:B238"/>
    <mergeCell ref="A239:B239"/>
    <mergeCell ref="A240:B240"/>
    <mergeCell ref="A241:B241"/>
    <mergeCell ref="A234:B234"/>
    <mergeCell ref="A235:B235"/>
    <mergeCell ref="A236:B236"/>
    <mergeCell ref="A237:B237"/>
    <mergeCell ref="A246:B246"/>
    <mergeCell ref="A247:B247"/>
    <mergeCell ref="A248:B248"/>
    <mergeCell ref="A249:B249"/>
    <mergeCell ref="A242:B242"/>
    <mergeCell ref="A243:B243"/>
    <mergeCell ref="A244:B244"/>
    <mergeCell ref="A245:B245"/>
    <mergeCell ref="A254:B254"/>
    <mergeCell ref="A255:B255"/>
    <mergeCell ref="A256:B256"/>
    <mergeCell ref="A257:B257"/>
    <mergeCell ref="A250:B250"/>
    <mergeCell ref="A251:B251"/>
    <mergeCell ref="A252:B252"/>
    <mergeCell ref="A253:B253"/>
    <mergeCell ref="A262:B262"/>
    <mergeCell ref="A263:B263"/>
    <mergeCell ref="A264:B264"/>
    <mergeCell ref="A258:B258"/>
    <mergeCell ref="A259:B259"/>
    <mergeCell ref="A260:B260"/>
    <mergeCell ref="A261:B261"/>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848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4848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pageSetUpPr autoPageBreaks="0"/>
  </sheetPr>
  <dimension ref="A1:CX91"/>
  <sheetViews>
    <sheetView zoomScale="80" workbookViewId="0">
      <pane xSplit="5" ySplit="21" topLeftCell="N22" activePane="bottomRight" state="frozen"/>
      <selection activeCell="T23" sqref="T23"/>
      <selection pane="topRight" activeCell="T23" sqref="T23"/>
      <selection pane="bottomLeft" activeCell="T23" sqref="T23"/>
      <selection pane="bottomRight" activeCell="CI21" sqref="CI21:CI28"/>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PGT</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LongTerm74</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74</v>
      </c>
      <c r="F2" s="178" t="str">
        <f>GetRcptPoint($AH$12,$AH$13)</f>
        <v>Kingsgate</v>
      </c>
      <c r="G2" s="179" t="str">
        <f>GetDelPoint($AH$12,$AH$13)</f>
        <v>Malin</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$F$28</v>
      </c>
      <c r="AX2" s="339" t="str">
        <f>ADDRESS(ROW($G$22),COLUMN($G$22))</f>
        <v>$G$22</v>
      </c>
      <c r="AY2" s="138" t="str">
        <f ca="1">GetEnd($AV$1,AX2)</f>
        <v>$G$28</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62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$AF$28</v>
      </c>
      <c r="AX3" s="339" t="str">
        <f>ADDRESS(ROW($AH$22),COLUMN($AH$22))</f>
        <v>$AH$22</v>
      </c>
      <c r="AY3" s="138" t="str">
        <f ca="1">GetEnd($AV$1,AX3)</f>
        <v>$AH$28</v>
      </c>
    </row>
    <row r="4" spans="1:102" x14ac:dyDescent="0.25">
      <c r="A4" s="269" t="str">
        <f>ADDRESS(ROW($S$22),COLUMN($S$22))</f>
        <v>$S$22</v>
      </c>
      <c r="L4" s="721" t="s">
        <v>201</v>
      </c>
      <c r="M4" s="722"/>
      <c r="N4" s="352">
        <f ca="1">SUMPRODUCT(INDIRECT(CONCATENATE(AV4,":",AW4)),INDIRECT(CONCATENATE($AV$2,":",$AW$2)),INDIRECT(CONCATENATE($AV$3,":",$AW$3)))</f>
        <v>0</v>
      </c>
      <c r="O4" s="352">
        <v>0</v>
      </c>
      <c r="P4" s="354">
        <f ca="1">N4-O4</f>
        <v>0</v>
      </c>
      <c r="S4" s="427" t="s">
        <v>635</v>
      </c>
      <c r="T4" s="422">
        <f ca="1">SUMPRODUCT(INDIRECT(CONCATENATE(V4,":",W4)),INDIRECT(CONCATENATE(AV2,":",AW2)),INDIRECT(CONCATENATE(AV3,":",AW3)))</f>
        <v>0</v>
      </c>
      <c r="V4" s="30" t="str">
        <f>ADDRESS(ROW(K22),COLUMN(K22))</f>
        <v>$K$22</v>
      </c>
      <c r="W4" s="30" t="str">
        <f ca="1">GetEnd($AV$1,V4)</f>
        <v>$K$28</v>
      </c>
      <c r="AF4" s="28"/>
      <c r="AG4" s="103" t="s">
        <v>32</v>
      </c>
      <c r="AH4" s="104">
        <f>GetRcptIndexCol($AH$12,$AH$13)</f>
        <v>63</v>
      </c>
      <c r="AI4" s="29"/>
      <c r="AJ4" s="103" t="s">
        <v>72</v>
      </c>
      <c r="AK4" s="104">
        <f>GetNymexCol(AK3)</f>
        <v>3</v>
      </c>
      <c r="AL4" s="34">
        <v>1</v>
      </c>
      <c r="AM4" s="45">
        <f t="shared" ref="AM4:AM15" si="0">GetVolume($AH$12,$AH$13,AT4)</f>
        <v>628</v>
      </c>
      <c r="AN4" s="46">
        <f t="shared" ref="AN4:AN15" si="1">GetCommodity($AH$12,$AH$13,AT4)</f>
        <v>1.72E-2</v>
      </c>
      <c r="AO4" s="47">
        <f t="shared" ref="AO4:AO15" si="2">GetFuelRate($AH$12,$AH$13,AT4)</f>
        <v>3.4000000000000002E-2</v>
      </c>
      <c r="AP4" s="46">
        <f t="shared" ref="AP4:AP15" si="3">GetSurcharge($AH$12,$AH$13,$AT4)</f>
        <v>0</v>
      </c>
      <c r="AQ4" s="46">
        <f t="shared" ref="AQ4:AQ15" si="4">GetRcptIndexAdj($AH$12,$AH$13,$AT4)</f>
        <v>0</v>
      </c>
      <c r="AR4" s="132">
        <f t="shared" ref="AR4:AR15" si="5">GetDelIndexAdj($AH$12,$AH$13,$AT4)</f>
        <v>0</v>
      </c>
      <c r="AS4" s="48">
        <f t="shared" ref="AS4:AS15" si="6">GetDemandRate($AH$12,$AH$13,$AT4)</f>
        <v>0.25779999999999997</v>
      </c>
      <c r="AT4" s="35">
        <f t="shared" ref="AT4:AT15" si="7">gettier($AH$12,$AH$13,AL4)</f>
        <v>1</v>
      </c>
      <c r="AV4" s="339" t="str">
        <f>ADDRESS(ROW($Q$22),COLUMN($Q$22))</f>
        <v>$Q$22</v>
      </c>
      <c r="AW4" s="138" t="str">
        <f ca="1">GetEnd($AV$1,AV4)</f>
        <v>$Q$28</v>
      </c>
      <c r="AX4" s="339" t="str">
        <f>ADDRESS(ROW($K$22),COLUMN($K$22))</f>
        <v>$K$22</v>
      </c>
      <c r="AY4" s="138" t="str">
        <f ca="1">GetEnd($AV$1,AX4)</f>
        <v>$K$28</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0</v>
      </c>
      <c r="V5" s="30" t="str">
        <f>ADDRESS(ROW(L22),COLUMN(L22))</f>
        <v>$L$22</v>
      </c>
      <c r="W5" s="30" t="str">
        <f ca="1">GetEnd($AV$1,V5)</f>
        <v>$L$28</v>
      </c>
      <c r="AF5" s="28"/>
      <c r="AG5" s="103" t="s">
        <v>33</v>
      </c>
      <c r="AH5" s="104">
        <f>GetDelBasisCol($AH$12,$AH$13)</f>
        <v>58</v>
      </c>
      <c r="AI5" s="29"/>
      <c r="AJ5" s="103" t="s">
        <v>77</v>
      </c>
      <c r="AK5" s="104" t="str">
        <f>LiborCurve</f>
        <v>Libor AA</v>
      </c>
      <c r="AL5" s="34">
        <v>2</v>
      </c>
      <c r="AM5" s="37">
        <f t="shared" si="0"/>
        <v>628</v>
      </c>
      <c r="AN5" s="38">
        <f t="shared" si="1"/>
        <v>1.72E-2</v>
      </c>
      <c r="AO5" s="39">
        <f t="shared" si="2"/>
        <v>3.4000000000000002E-2</v>
      </c>
      <c r="AP5" s="38">
        <f t="shared" si="3"/>
        <v>0</v>
      </c>
      <c r="AQ5" s="38">
        <f t="shared" si="4"/>
        <v>0</v>
      </c>
      <c r="AR5" s="133">
        <f t="shared" si="5"/>
        <v>0</v>
      </c>
      <c r="AS5" s="40">
        <f t="shared" si="6"/>
        <v>0.25779999999999997</v>
      </c>
      <c r="AT5" s="35">
        <f t="shared" si="7"/>
        <v>1</v>
      </c>
      <c r="AV5" s="339" t="str">
        <f>ADDRESS(ROW($V$22),COLUMN($V$22))</f>
        <v>$V$22</v>
      </c>
      <c r="AW5" s="138" t="str">
        <f ca="1">GetEnd($AV$1,AV5)</f>
        <v>$V$28</v>
      </c>
      <c r="AX5" s="339" t="str">
        <f>ADDRESS(ROW($L$22),COLUMN($L$22))</f>
        <v>$L$22</v>
      </c>
      <c r="AY5" s="138" t="str">
        <f ca="1">GetEnd($AV$1,AX5)</f>
        <v>$L$28</v>
      </c>
      <c r="BV5" s="266">
        <f>O2</f>
        <v>37239</v>
      </c>
    </row>
    <row r="6" spans="1:102" x14ac:dyDescent="0.25">
      <c r="A6" s="269" t="str">
        <f>ADDRESS(ROW($BW$2),COLUMN($BW$2))</f>
        <v>$BW$2</v>
      </c>
      <c r="F6" s="187"/>
      <c r="G6" s="187"/>
      <c r="L6" s="704" t="s">
        <v>149</v>
      </c>
      <c r="M6" s="705"/>
      <c r="N6" s="356">
        <f ca="1">N4-N5</f>
        <v>0</v>
      </c>
      <c r="O6" s="357">
        <v>0</v>
      </c>
      <c r="P6" s="358">
        <f ca="1">N6-O6</f>
        <v>0</v>
      </c>
      <c r="S6" s="428" t="s">
        <v>637</v>
      </c>
      <c r="T6" s="424">
        <f ca="1">SUMPRODUCT(INDIRECT(CONCATENATE(V6,":",W6)),INDIRECT(CONCATENATE(AV3,":",AW3)),INDIRECT(CONCATENATE(AX3,":",AY3)))</f>
        <v>0</v>
      </c>
      <c r="V6" s="30" t="str">
        <f>ADDRESS(ROW(G22),COLUMN(G22))</f>
        <v>$G$22</v>
      </c>
      <c r="W6" s="30" t="str">
        <f ca="1">GetEnd($AV$1,V6)</f>
        <v>$G$28</v>
      </c>
      <c r="AF6" s="28"/>
      <c r="AG6" s="103" t="s">
        <v>34</v>
      </c>
      <c r="AH6" s="104">
        <f>GetDelIndexCol($AH$12,$AH$13)</f>
        <v>59</v>
      </c>
      <c r="AI6" s="29"/>
      <c r="AJ6" s="103" t="s">
        <v>79</v>
      </c>
      <c r="AK6" s="104">
        <f>GetLiborCol(AK5)</f>
        <v>4</v>
      </c>
      <c r="AL6" s="34">
        <v>3</v>
      </c>
      <c r="AM6" s="37">
        <f t="shared" si="0"/>
        <v>628</v>
      </c>
      <c r="AN6" s="38">
        <f t="shared" si="1"/>
        <v>1.72E-2</v>
      </c>
      <c r="AO6" s="39">
        <f t="shared" si="2"/>
        <v>3.4000000000000002E-2</v>
      </c>
      <c r="AP6" s="38">
        <f t="shared" si="3"/>
        <v>0</v>
      </c>
      <c r="AQ6" s="38">
        <f t="shared" si="4"/>
        <v>0</v>
      </c>
      <c r="AR6" s="133">
        <f t="shared" si="5"/>
        <v>0</v>
      </c>
      <c r="AS6" s="40">
        <f t="shared" si="6"/>
        <v>0.25779999999999997</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0</v>
      </c>
      <c r="P7" s="355">
        <f ca="1">N7</f>
        <v>0</v>
      </c>
      <c r="S7" s="428" t="s">
        <v>638</v>
      </c>
      <c r="T7" s="425" t="e">
        <f ca="1">T5/T6</f>
        <v>#DIV/0!</v>
      </c>
      <c r="AF7" s="28"/>
      <c r="AG7" s="103" t="s">
        <v>76</v>
      </c>
      <c r="AH7" s="104">
        <f>GetRcptOmicronCol($AH$12,$AH$13)</f>
        <v>14</v>
      </c>
      <c r="AI7" s="29"/>
      <c r="AJ7" s="103" t="s">
        <v>80</v>
      </c>
      <c r="AK7" s="104" t="str">
        <f>Configuration!$D$8</f>
        <v>Nymex Vol</v>
      </c>
      <c r="AL7" s="34">
        <v>4</v>
      </c>
      <c r="AM7" s="37">
        <f t="shared" si="0"/>
        <v>628</v>
      </c>
      <c r="AN7" s="38">
        <f t="shared" si="1"/>
        <v>1.72E-2</v>
      </c>
      <c r="AO7" s="39">
        <f t="shared" si="2"/>
        <v>3.4000000000000002E-2</v>
      </c>
      <c r="AP7" s="38">
        <f t="shared" si="3"/>
        <v>0</v>
      </c>
      <c r="AQ7" s="38">
        <f t="shared" si="4"/>
        <v>0</v>
      </c>
      <c r="AR7" s="133">
        <f t="shared" si="5"/>
        <v>0</v>
      </c>
      <c r="AS7" s="40">
        <f t="shared" si="6"/>
        <v>0.25779999999999997</v>
      </c>
      <c r="AT7" s="35">
        <f t="shared" si="7"/>
        <v>1</v>
      </c>
      <c r="AU7" s="361" t="s">
        <v>574</v>
      </c>
      <c r="AV7" s="339" t="str">
        <f>ADDRESS(ROW($AL$22),COLUMN($AL$22))</f>
        <v>$AL$22</v>
      </c>
      <c r="AW7" s="138" t="str">
        <f t="shared" ref="AW7:AW17" ca="1" si="8">GetEnd($AV$1,AV7)</f>
        <v>$AL$28</v>
      </c>
      <c r="AX7" s="339" t="str">
        <f>ADDRESS(ROW($AV$22),COLUMN($AV$22))</f>
        <v>$AV$22</v>
      </c>
      <c r="AY7" s="138" t="str">
        <f t="shared" ref="AY7:AY13" ca="1" si="9">GetEnd($AV$1,AX7)</f>
        <v>$AV$28</v>
      </c>
    </row>
    <row r="8" spans="1:102" x14ac:dyDescent="0.25">
      <c r="A8" s="270" t="s">
        <v>224</v>
      </c>
      <c r="F8" s="186" t="s">
        <v>26</v>
      </c>
      <c r="G8" s="190">
        <f>GetMonthEnd($AH$12,$AH$13)</f>
        <v>37256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t="e">
        <f ca="1">Y8/Z8</f>
        <v>#DIV/0!</v>
      </c>
      <c r="V8" s="30" t="str">
        <f>ADDRESS(ROW(P22),COLUMN(P22))</f>
        <v>$P$22</v>
      </c>
      <c r="W8" s="30" t="str">
        <f ca="1">GetEnd($AV$1,V8)</f>
        <v>$P$28</v>
      </c>
      <c r="Y8" s="334">
        <f ca="1">SUMIF(INDIRECT(CONCATENATE(V8,":",W8)),"&gt;0",INDIRECT(CONCATENATE(V8,":",W8)))</f>
        <v>0</v>
      </c>
      <c r="Z8" s="334">
        <f ca="1">COUNTIF(INDIRECT(CONCATENATE(V8,":",W8)),"&gt;0")</f>
        <v>0</v>
      </c>
      <c r="AF8" s="28"/>
      <c r="AG8" s="103" t="s">
        <v>75</v>
      </c>
      <c r="AH8" s="105">
        <f>GetDelOmicronCol($AH$12,$AH$13)</f>
        <v>19</v>
      </c>
      <c r="AI8" s="29"/>
      <c r="AJ8" s="103" t="s">
        <v>81</v>
      </c>
      <c r="AK8" s="104">
        <f>GetNGOmicronCol(AK7)</f>
        <v>5</v>
      </c>
      <c r="AL8" s="34">
        <v>5</v>
      </c>
      <c r="AM8" s="37">
        <f t="shared" si="0"/>
        <v>628</v>
      </c>
      <c r="AN8" s="38">
        <f t="shared" si="1"/>
        <v>1.72E-2</v>
      </c>
      <c r="AO8" s="39">
        <f t="shared" si="2"/>
        <v>3.4000000000000002E-2</v>
      </c>
      <c r="AP8" s="38">
        <f t="shared" si="3"/>
        <v>0</v>
      </c>
      <c r="AQ8" s="38">
        <f t="shared" si="4"/>
        <v>0</v>
      </c>
      <c r="AR8" s="133">
        <f t="shared" si="5"/>
        <v>0</v>
      </c>
      <c r="AS8" s="40">
        <f t="shared" si="6"/>
        <v>0.25779999999999997</v>
      </c>
      <c r="AT8" s="35">
        <f t="shared" si="7"/>
        <v>1</v>
      </c>
      <c r="AU8" s="362" t="s">
        <v>575</v>
      </c>
      <c r="AV8" s="339" t="str">
        <f>ADDRESS(ROW($AM$22),COLUMN($AM$22))</f>
        <v>$AM$22</v>
      </c>
      <c r="AW8" s="138" t="str">
        <f t="shared" ca="1" si="8"/>
        <v>$AM$28</v>
      </c>
      <c r="AX8" s="339" t="str">
        <f>ADDRESS(ROW($AO$22),COLUMN($AO$22))</f>
        <v>$AO$22</v>
      </c>
      <c r="AY8" s="138" t="str">
        <f t="shared" ca="1" si="9"/>
        <v>$AO$28</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10</v>
      </c>
      <c r="AL9" s="34">
        <v>6</v>
      </c>
      <c r="AM9" s="37">
        <f t="shared" si="0"/>
        <v>628</v>
      </c>
      <c r="AN9" s="38">
        <f t="shared" si="1"/>
        <v>1.72E-2</v>
      </c>
      <c r="AO9" s="39">
        <f t="shared" si="2"/>
        <v>3.4000000000000002E-2</v>
      </c>
      <c r="AP9" s="38">
        <f t="shared" si="3"/>
        <v>0</v>
      </c>
      <c r="AQ9" s="38">
        <f t="shared" si="4"/>
        <v>0</v>
      </c>
      <c r="AR9" s="133">
        <f t="shared" si="5"/>
        <v>0</v>
      </c>
      <c r="AS9" s="40">
        <f t="shared" si="6"/>
        <v>0.25779999999999997</v>
      </c>
      <c r="AT9" s="35">
        <f t="shared" si="7"/>
        <v>1</v>
      </c>
      <c r="AU9" s="361" t="s">
        <v>578</v>
      </c>
      <c r="AV9" s="339" t="str">
        <f>ADDRESS(ROW($AN$22),COLUMN($AN$22))</f>
        <v>$AN$22</v>
      </c>
      <c r="AW9" s="138" t="str">
        <f t="shared" ca="1" si="8"/>
        <v>$AN$28</v>
      </c>
      <c r="AX9" s="339" t="str">
        <f>ADDRESS(ROW($AP$22),COLUMN($AP$22))</f>
        <v>$AP$22</v>
      </c>
      <c r="AY9" s="138" t="str">
        <f t="shared" ca="1" si="9"/>
        <v>$AP$28</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0</v>
      </c>
      <c r="O10" s="352">
        <v>0</v>
      </c>
      <c r="P10" s="355">
        <f t="shared" ref="P10:P19" ca="1" si="10">N10-O10</f>
        <v>0</v>
      </c>
      <c r="AF10" s="28"/>
      <c r="AG10" s="103" t="s">
        <v>142</v>
      </c>
      <c r="AH10" s="119" t="b">
        <f>GetGRIFactor($AH$12,$AH$13)</f>
        <v>0</v>
      </c>
      <c r="AI10" s="29"/>
      <c r="AJ10" s="29"/>
      <c r="AK10" s="29"/>
      <c r="AL10" s="34">
        <v>7</v>
      </c>
      <c r="AM10" s="37">
        <f t="shared" si="0"/>
        <v>628</v>
      </c>
      <c r="AN10" s="38">
        <f t="shared" si="1"/>
        <v>1.72E-2</v>
      </c>
      <c r="AO10" s="39">
        <f t="shared" si="2"/>
        <v>3.4000000000000002E-2</v>
      </c>
      <c r="AP10" s="38">
        <f t="shared" si="3"/>
        <v>0</v>
      </c>
      <c r="AQ10" s="38">
        <f t="shared" si="4"/>
        <v>0</v>
      </c>
      <c r="AR10" s="133">
        <f t="shared" si="5"/>
        <v>0</v>
      </c>
      <c r="AS10" s="40">
        <f t="shared" si="6"/>
        <v>0.25779999999999997</v>
      </c>
      <c r="AT10" s="35">
        <f t="shared" si="7"/>
        <v>1</v>
      </c>
      <c r="AU10" s="361" t="s">
        <v>577</v>
      </c>
      <c r="AV10" s="339" t="str">
        <f>ADDRESS(ROW($AS$22),COLUMN($AS$22))</f>
        <v>$AS$22</v>
      </c>
      <c r="AW10" s="138" t="str">
        <f t="shared" ca="1" si="8"/>
        <v>$AS$28</v>
      </c>
      <c r="AX10" s="339" t="str">
        <f>ADDRESS(ROW($CC$22),COLUMN($CC$22))</f>
        <v>$CC$22</v>
      </c>
      <c r="AY10" s="138" t="str">
        <f t="shared" ca="1" si="9"/>
        <v>$CC$28</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0</v>
      </c>
      <c r="O11" s="357">
        <v>0</v>
      </c>
      <c r="P11" s="358">
        <f t="shared" ca="1" si="10"/>
        <v>0</v>
      </c>
      <c r="AL11" s="34">
        <v>8</v>
      </c>
      <c r="AM11" s="37">
        <f t="shared" si="0"/>
        <v>628</v>
      </c>
      <c r="AN11" s="38">
        <f t="shared" si="1"/>
        <v>1.72E-2</v>
      </c>
      <c r="AO11" s="39">
        <f t="shared" si="2"/>
        <v>3.4000000000000002E-2</v>
      </c>
      <c r="AP11" s="38">
        <f t="shared" si="3"/>
        <v>0</v>
      </c>
      <c r="AQ11" s="38">
        <f t="shared" si="4"/>
        <v>0</v>
      </c>
      <c r="AR11" s="133">
        <f t="shared" si="5"/>
        <v>0</v>
      </c>
      <c r="AS11" s="40">
        <f t="shared" si="6"/>
        <v>0.25779999999999997</v>
      </c>
      <c r="AT11" s="35">
        <f t="shared" si="7"/>
        <v>1</v>
      </c>
      <c r="AU11" s="361" t="s">
        <v>579</v>
      </c>
      <c r="AV11" s="339" t="str">
        <f>ADDRESS(ROW($AQ$22),COLUMN($AQ$22))</f>
        <v>$AQ$22</v>
      </c>
      <c r="AW11" s="138" t="str">
        <f t="shared" ca="1" si="8"/>
        <v>$AQ$28</v>
      </c>
      <c r="AX11" s="339" t="str">
        <f>ADDRESS(ROW($CD$22),COLUMN($CD$22))</f>
        <v>$CD$22</v>
      </c>
      <c r="AY11" s="138" t="str">
        <f t="shared" ca="1" si="9"/>
        <v>$CD$28</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0</v>
      </c>
      <c r="P12" s="355">
        <f t="shared" ca="1" si="10"/>
        <v>0</v>
      </c>
      <c r="AG12" s="248" t="s">
        <v>185</v>
      </c>
      <c r="AH12" s="119" t="str">
        <f>GetDBPage($D$2)</f>
        <v>Contract DB (West)</v>
      </c>
      <c r="AL12" s="34">
        <v>9</v>
      </c>
      <c r="AM12" s="37">
        <f t="shared" si="0"/>
        <v>628</v>
      </c>
      <c r="AN12" s="38">
        <f t="shared" si="1"/>
        <v>1.72E-2</v>
      </c>
      <c r="AO12" s="39">
        <f t="shared" si="2"/>
        <v>3.4000000000000002E-2</v>
      </c>
      <c r="AP12" s="38">
        <f t="shared" si="3"/>
        <v>0</v>
      </c>
      <c r="AQ12" s="38">
        <f t="shared" si="4"/>
        <v>0</v>
      </c>
      <c r="AR12" s="133">
        <f t="shared" si="5"/>
        <v>0</v>
      </c>
      <c r="AS12" s="40">
        <f t="shared" si="6"/>
        <v>0.25779999999999997</v>
      </c>
      <c r="AT12" s="35">
        <f t="shared" si="7"/>
        <v>1</v>
      </c>
      <c r="AU12" s="361" t="s">
        <v>271</v>
      </c>
      <c r="AV12" s="339" t="str">
        <f>ADDRESS(ROW($X$22),COLUMN($X$22))</f>
        <v>$X$22</v>
      </c>
      <c r="AW12" s="138" t="str">
        <f t="shared" ca="1" si="8"/>
        <v>$X$28</v>
      </c>
      <c r="AX12" s="339" t="str">
        <f>ADDRESS(ROW($CE$22),COLUMN($CE$22))</f>
        <v>$CE$22</v>
      </c>
      <c r="AY12" s="138" t="str">
        <f t="shared" ca="1" si="9"/>
        <v>$CE$28</v>
      </c>
    </row>
    <row r="13" spans="1:102" x14ac:dyDescent="0.25">
      <c r="A13" s="270" t="s">
        <v>224</v>
      </c>
      <c r="D13" s="170"/>
      <c r="E13" s="171"/>
      <c r="F13" s="172"/>
      <c r="G13" s="172"/>
      <c r="H13" s="173"/>
      <c r="L13" s="706" t="s">
        <v>155</v>
      </c>
      <c r="M13" s="707"/>
      <c r="N13" s="352">
        <f t="shared" ca="1" si="11"/>
        <v>0</v>
      </c>
      <c r="O13" s="352">
        <v>0</v>
      </c>
      <c r="P13" s="355">
        <f t="shared" ca="1" si="10"/>
        <v>0</v>
      </c>
      <c r="AG13" s="248" t="s">
        <v>186</v>
      </c>
      <c r="AH13" s="119">
        <f>GetRecNdx($AH$12,$D$2)</f>
        <v>5</v>
      </c>
      <c r="AL13" s="34">
        <v>10</v>
      </c>
      <c r="AM13" s="37">
        <f t="shared" si="0"/>
        <v>628</v>
      </c>
      <c r="AN13" s="38">
        <f t="shared" si="1"/>
        <v>1.72E-2</v>
      </c>
      <c r="AO13" s="39">
        <f t="shared" si="2"/>
        <v>3.4000000000000002E-2</v>
      </c>
      <c r="AP13" s="38">
        <f t="shared" si="3"/>
        <v>0</v>
      </c>
      <c r="AQ13" s="38">
        <f t="shared" si="4"/>
        <v>0</v>
      </c>
      <c r="AR13" s="133">
        <f t="shared" si="5"/>
        <v>0</v>
      </c>
      <c r="AS13" s="40">
        <f t="shared" si="6"/>
        <v>0.25779999999999997</v>
      </c>
      <c r="AT13" s="35">
        <f t="shared" si="7"/>
        <v>1</v>
      </c>
      <c r="AU13" s="361" t="s">
        <v>155</v>
      </c>
      <c r="AV13" s="339" t="str">
        <f>ADDRESS(ROW($Y$22),COLUMN($Y$22))</f>
        <v>$Y$22</v>
      </c>
      <c r="AW13" s="138" t="str">
        <f t="shared" ca="1" si="8"/>
        <v>$Y$28</v>
      </c>
      <c r="AX13" s="339" t="str">
        <f>ADDRESS(ROW($CF$22),COLUMN($CF$22))</f>
        <v>$CF$22</v>
      </c>
      <c r="AY13" s="138" t="str">
        <f t="shared" ca="1" si="9"/>
        <v>$CF$28</v>
      </c>
    </row>
    <row r="14" spans="1:102" x14ac:dyDescent="0.25">
      <c r="A14" s="270" t="s">
        <v>224</v>
      </c>
      <c r="D14" s="170"/>
      <c r="E14" s="171"/>
      <c r="F14" s="172"/>
      <c r="G14" s="172"/>
      <c r="H14" s="173"/>
      <c r="K14" s="185"/>
      <c r="L14" s="706" t="s">
        <v>156</v>
      </c>
      <c r="M14" s="707"/>
      <c r="N14" s="352">
        <f t="shared" ca="1" si="11"/>
        <v>0</v>
      </c>
      <c r="O14" s="352">
        <v>0</v>
      </c>
      <c r="P14" s="355">
        <f t="shared" ca="1" si="10"/>
        <v>0</v>
      </c>
      <c r="S14" s="181">
        <f>F22/(1-AR22)*AH22*AU22</f>
        <v>0</v>
      </c>
      <c r="T14" s="181">
        <f>F22*AH22*AU22</f>
        <v>0</v>
      </c>
      <c r="AL14" s="34">
        <v>11</v>
      </c>
      <c r="AM14" s="37">
        <f t="shared" si="0"/>
        <v>628</v>
      </c>
      <c r="AN14" s="38">
        <f t="shared" si="1"/>
        <v>1.72E-2</v>
      </c>
      <c r="AO14" s="39">
        <f t="shared" si="2"/>
        <v>3.4000000000000002E-2</v>
      </c>
      <c r="AP14" s="38">
        <f t="shared" si="3"/>
        <v>0</v>
      </c>
      <c r="AQ14" s="38">
        <f t="shared" si="4"/>
        <v>0</v>
      </c>
      <c r="AR14" s="133">
        <f t="shared" si="5"/>
        <v>0</v>
      </c>
      <c r="AS14" s="40">
        <f t="shared" si="6"/>
        <v>0.25779999999999997</v>
      </c>
      <c r="AT14" s="35">
        <f t="shared" si="7"/>
        <v>1</v>
      </c>
      <c r="AU14" s="361" t="s">
        <v>156</v>
      </c>
      <c r="AV14" s="339" t="str">
        <f>ADDRESS(ROW($Z$22),COLUMN($Z$22))</f>
        <v>$Z$22</v>
      </c>
      <c r="AW14" s="138" t="str">
        <f t="shared" ca="1" si="8"/>
        <v>$Z$28</v>
      </c>
      <c r="AX14" s="353" t="str">
        <f ca="1">CONCATENATE(AX8,":",AY8)</f>
        <v>$AO$22:$AO$28</v>
      </c>
      <c r="AY14" s="353" t="str">
        <f ca="1">CONCATENATE(AX10,":",AY10)</f>
        <v>$CC$22:$CC$28</v>
      </c>
    </row>
    <row r="15" spans="1:102" ht="13.8" thickBot="1" x14ac:dyDescent="0.3">
      <c r="A15" s="270" t="s">
        <v>224</v>
      </c>
      <c r="D15" s="170"/>
      <c r="E15" s="171"/>
      <c r="F15" s="172"/>
      <c r="G15" s="172"/>
      <c r="H15" s="173"/>
      <c r="L15" s="706" t="s">
        <v>157</v>
      </c>
      <c r="M15" s="707"/>
      <c r="N15" s="352">
        <f t="shared" ca="1" si="11"/>
        <v>0</v>
      </c>
      <c r="O15" s="352">
        <v>0</v>
      </c>
      <c r="P15" s="355">
        <f t="shared" ca="1" si="10"/>
        <v>0</v>
      </c>
      <c r="AL15" s="34">
        <v>12</v>
      </c>
      <c r="AM15" s="41">
        <f t="shared" si="0"/>
        <v>628</v>
      </c>
      <c r="AN15" s="42">
        <f t="shared" si="1"/>
        <v>1.72E-2</v>
      </c>
      <c r="AO15" s="43">
        <f t="shared" si="2"/>
        <v>3.4000000000000002E-2</v>
      </c>
      <c r="AP15" s="42">
        <f t="shared" si="3"/>
        <v>0</v>
      </c>
      <c r="AQ15" s="42">
        <f t="shared" si="4"/>
        <v>0</v>
      </c>
      <c r="AR15" s="134">
        <f t="shared" si="5"/>
        <v>0</v>
      </c>
      <c r="AS15" s="44">
        <f t="shared" si="6"/>
        <v>0.25779999999999997</v>
      </c>
      <c r="AT15" s="35">
        <f t="shared" si="7"/>
        <v>1</v>
      </c>
      <c r="AU15" s="363" t="s">
        <v>157</v>
      </c>
      <c r="AV15" s="339" t="str">
        <f>ADDRESS(ROW($AA$22),COLUMN($AA$22))</f>
        <v>$AA$22</v>
      </c>
      <c r="AW15" s="138" t="str">
        <f t="shared" ca="1" si="8"/>
        <v>$AA$28</v>
      </c>
      <c r="AX15" s="353" t="str">
        <f ca="1">CONCATENATE(AV8,":",AW8)</f>
        <v>$AM$22:$AM$28</v>
      </c>
      <c r="AY15" s="353" t="str">
        <f ca="1">CONCATENATE(AX11,":",AY11)</f>
        <v>$CD$22:$CD$28</v>
      </c>
    </row>
    <row r="16" spans="1:102" x14ac:dyDescent="0.25">
      <c r="D16" s="174"/>
      <c r="E16" s="175"/>
      <c r="F16" s="176"/>
      <c r="G16" s="176"/>
      <c r="H16" s="177"/>
      <c r="L16" s="706" t="s">
        <v>158</v>
      </c>
      <c r="M16" s="707"/>
      <c r="N16" s="352">
        <f t="shared" ca="1" si="11"/>
        <v>0</v>
      </c>
      <c r="O16" s="352">
        <v>0</v>
      </c>
      <c r="P16" s="355">
        <f t="shared" ca="1" si="10"/>
        <v>0</v>
      </c>
      <c r="AU16" s="361" t="s">
        <v>158</v>
      </c>
      <c r="AV16" s="339" t="str">
        <f>ADDRESS(ROW($AB$22),COLUMN($AB$22))</f>
        <v>$AB$22</v>
      </c>
      <c r="AW16" s="138" t="str">
        <f t="shared" ca="1" si="8"/>
        <v>$AB$28</v>
      </c>
      <c r="AX16" s="353" t="str">
        <f ca="1">CONCATENATE(AX9,":",AY9)</f>
        <v>$AP$22:$AP$28</v>
      </c>
      <c r="AY16" s="353" t="str">
        <f ca="1">CONCATENATE(AX12,":",AY12)</f>
        <v>$CE$22:$CE$28</v>
      </c>
    </row>
    <row r="17" spans="1:91" x14ac:dyDescent="0.25">
      <c r="D17" s="171"/>
      <c r="E17" s="171"/>
      <c r="F17" s="172"/>
      <c r="G17" s="172"/>
      <c r="H17" s="172"/>
      <c r="L17" s="704" t="s">
        <v>211</v>
      </c>
      <c r="M17" s="705"/>
      <c r="N17" s="356">
        <f t="shared" ca="1" si="11"/>
        <v>0</v>
      </c>
      <c r="O17" s="357">
        <v>0</v>
      </c>
      <c r="P17" s="358">
        <f t="shared" ca="1" si="10"/>
        <v>0</v>
      </c>
      <c r="AU17" s="361" t="s">
        <v>211</v>
      </c>
      <c r="AV17" s="339" t="str">
        <f>ADDRESS(ROW($AC$22),COLUMN($AC$22))</f>
        <v>$AC$22</v>
      </c>
      <c r="AW17" s="138" t="str">
        <f t="shared" ca="1" si="8"/>
        <v>$AC$28</v>
      </c>
      <c r="AX17" s="353" t="str">
        <f ca="1">CONCATENATE(AV9,":",AW9)</f>
        <v>$AN$22:$AN$28</v>
      </c>
      <c r="AY17" s="353" t="str">
        <f ca="1">CONCATENATE(AX13,":",AY13)</f>
        <v>$CF$22:$CF$28</v>
      </c>
    </row>
    <row r="18" spans="1:91" x14ac:dyDescent="0.25">
      <c r="D18" s="171"/>
      <c r="E18" s="171"/>
      <c r="F18" s="172"/>
      <c r="G18" s="172"/>
      <c r="H18" s="172"/>
      <c r="L18" s="706" t="s">
        <v>623</v>
      </c>
      <c r="M18" s="707"/>
      <c r="N18" s="352">
        <f ca="1">SUMPRODUCT(INDIRECT(CONCATENATE(AX4,":",AY4)),INDIRECT(CONCATENATE($AV$2,":",$AW$2)),INDIRECT(CONCATENATE($AV$3,":",$AW$3)))</f>
        <v>0</v>
      </c>
      <c r="O18" s="352">
        <v>0</v>
      </c>
      <c r="P18" s="355">
        <f t="shared" ca="1" si="10"/>
        <v>0</v>
      </c>
      <c r="AU18" s="361"/>
      <c r="AV18" s="339"/>
      <c r="AW18" s="138"/>
      <c r="AX18" s="339" t="str">
        <f>ADDRESS(ROW($CI$22),COLUMN($CI$22))</f>
        <v>$CI$22</v>
      </c>
      <c r="AY18" s="138" t="str">
        <f ca="1">GetEnd($AV$1,AX18)</f>
        <v>$CI$28</v>
      </c>
    </row>
    <row r="19" spans="1:91" x14ac:dyDescent="0.25">
      <c r="D19" s="171"/>
      <c r="E19" s="171"/>
      <c r="F19" s="172"/>
      <c r="G19" s="172"/>
      <c r="H19" s="172"/>
      <c r="L19" s="724" t="s">
        <v>624</v>
      </c>
      <c r="M19" s="725"/>
      <c r="N19" s="359">
        <f ca="1">SUMPRODUCT(INDIRECT(CONCATENATE(AX5,":",AY5)),INDIRECT(CONCATENATE($AV$2,":",$AW$2)),INDIRECT(CONCATENATE($AV$3,":",$AW$3)))</f>
        <v>0</v>
      </c>
      <c r="O19" s="359">
        <v>0</v>
      </c>
      <c r="P19" s="360">
        <f t="shared" ca="1" si="10"/>
        <v>0</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CGPR-KINGSGATE Basis Mid</v>
      </c>
      <c r="T20" s="182" t="str">
        <f>GetDelBasis($AH$12,$AH$13)</f>
        <v>NGI-MALIN Basis Mid</v>
      </c>
      <c r="U20" s="158"/>
      <c r="V20" s="158"/>
      <c r="W20" s="158"/>
      <c r="X20" s="158"/>
      <c r="Y20" s="335"/>
      <c r="Z20" s="335"/>
      <c r="AA20" s="335"/>
      <c r="AB20" s="335"/>
      <c r="AC20" s="335"/>
      <c r="AI20" s="138"/>
      <c r="AM20" s="702" t="str">
        <f>GetRcptPoint($AH$12,$AH$13)</f>
        <v>Kingsgate</v>
      </c>
      <c r="AN20" s="703"/>
      <c r="AO20" s="702" t="str">
        <f>GetDelPoint($AH$12,$AH$13)</f>
        <v>Malin</v>
      </c>
      <c r="AP20" s="703"/>
      <c r="AQ20" s="137"/>
      <c r="AS20" s="137"/>
      <c r="AU20" s="136" t="s">
        <v>576</v>
      </c>
      <c r="AV20" s="353">
        <f ca="1">SUMPRODUCT(INDIRECT(CONCATENATE(AV8,":",AW8)),INDIRECT(CONCATENATE($AV$2,":",$AW$2)),INDIRECT(CONCATENATE($AV$3,":",$AW$3)),INDIRECT(CONCATENATE(AX3,":",AY3)))</f>
        <v>0</v>
      </c>
      <c r="AW20" s="353">
        <f ca="1">SUMPRODUCT(INDIRECT(CONCATENATE(AX8,":",AY8)),INDIRECT(CONCATENATE($AV$2,":",$AW$2)),INDIRECT(CONCATENATE($AV$3,":",$AW$3)),INDIRECT(CONCATENATE(AX3,":",AY3)))</f>
        <v>0</v>
      </c>
      <c r="AX20" s="353">
        <f ca="1">SUMPRODUCT(INDIRECT(CONCATENATE(AV9,":",AW9)),INDIRECT(CONCATENATE($AV$2,":",$AW$2)),INDIRECT(CONCATENATE($AV$3,":",$AW$3)),INDIRECT(CONCATENATE(AX3,":",AY3)))</f>
        <v>0</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28" si="12">VLOOKUP(AG22,$AL$4:$AS$15,2)</f>
        <v>628</v>
      </c>
      <c r="G22" s="28">
        <f t="shared" ref="G22:G28" si="13">F22*$AU22</f>
        <v>0</v>
      </c>
      <c r="H22" s="52">
        <f t="shared" ref="H22:H28" si="14">(AL22+AM22+AN22)/(1-(AR22))</f>
        <v>3.008281573498965</v>
      </c>
      <c r="I22" s="52">
        <f t="shared" ref="I22:I28" si="15">(AL22+AO22+AP22)</f>
        <v>2.851</v>
      </c>
      <c r="K22" s="52">
        <f t="shared" ref="K22:K28" si="16">MAX(((I22-H22)-AQ22)*AU22*AH22,0)</f>
        <v>0</v>
      </c>
      <c r="L22" s="135">
        <f t="shared" ref="L22:L28" si="17">MAX(Q22-K22,0)</f>
        <v>0</v>
      </c>
      <c r="N22" s="131">
        <f t="shared" ref="N22:N28" si="18">SQRT(($AX22^2*($AH22/2)+$AW22^2*$AI22)/(($AH22/2)+$AI22))</f>
        <v>0.87</v>
      </c>
      <c r="O22" s="131">
        <f t="shared" ref="O22:O28" si="19">SQRT(($AY22^2*($AH22/2)+$AW22^2*$AI22)/(($AH22/2)+$AI22))</f>
        <v>0.87</v>
      </c>
      <c r="P22" s="55">
        <f t="shared" ref="P22:P28" si="20">(VLOOKUP(AI22,CorrelationTwo,2)*(AW22^2)*AI22+VLOOKUP(D22,CorrelationOne,$AK$9)*AX22*AY22*(AH22/2))/((AI22+(AH22/2))*O22*N22)*AF22</f>
        <v>0</v>
      </c>
      <c r="Q22" s="135">
        <f>_xll.xSPRDOPT(I22,H22,AQ22,0,O22,N22,P22,D22-$G$5,1,0)*AH22*AU22</f>
        <v>0</v>
      </c>
      <c r="R22" s="135"/>
      <c r="S22" s="181">
        <f>_xll.xSPRDOPT(I22,H22,AQ22,AT22,O22,N22,P22,D22-$G$5,1,2)*AF22*(F22/(1-AR22))*AH22</f>
        <v>0</v>
      </c>
      <c r="T22" s="181">
        <f>_xll.xSPRDOPT(I22,H22,AQ22,AT22,O22,N22,P22,D22-$G$5,1,1)*AF22*F22*AH22</f>
        <v>0</v>
      </c>
      <c r="U22" s="135"/>
      <c r="V22" s="146">
        <f t="shared" ref="V22:V28" si="21">VLOOKUP($AG22,$AL$4:$AS$15,8)*AH22*AU22</f>
        <v>0</v>
      </c>
      <c r="W22" s="146"/>
      <c r="X22" s="338">
        <f t="shared" ref="X22:X28" si="22">((BM22*BC22)+(BL22*BB22))*AH22*F22</f>
        <v>0</v>
      </c>
      <c r="Y22" s="338">
        <f t="shared" ref="Y22:Y28" si="23">($F22*$AH22)*((($BG22/2)*($BC22)^2)+(($BF22/2)*($BB22)^2)+($BH22*$BC22*$BB22))</f>
        <v>0</v>
      </c>
      <c r="Z22" s="338">
        <f t="shared" ref="Z22:Z28" si="24">($BI22*$F22*$AH22*($G$5-$BV$5))/365.25</f>
        <v>0</v>
      </c>
      <c r="AA22" s="338">
        <f t="shared" ref="AA22:AA28" si="25">(($BK22*$BE22)+($BJ22*$BD22))*$F22*$AH22*$AF22</f>
        <v>0</v>
      </c>
      <c r="AB22" s="338">
        <f t="shared" ref="AB22:AB28" si="26">BN22*(AT22-CA22)*F22*AH22</f>
        <v>0</v>
      </c>
      <c r="AC22" s="338">
        <f t="shared" ref="AC22:AC28" si="27">BO22*CB22*F22*AH22*CA22*($G$5-$BV$5)/365.25</f>
        <v>0</v>
      </c>
      <c r="AF22" s="138">
        <f t="shared" ref="AF22:AF28" si="28">IF(AND(D22&gt;=$G$7,D22&lt;=$G$8),1,0)</f>
        <v>0</v>
      </c>
      <c r="AG22" s="138">
        <f t="shared" ref="AG22:AG28" si="29">MONTH(D22)</f>
        <v>1</v>
      </c>
      <c r="AH22" s="138">
        <f t="shared" ref="AH22:AH28" si="30">(EOMONTH(D22,0)-EOMONTH(D22-DAY(D22),0))*AF22</f>
        <v>0</v>
      </c>
      <c r="AI22" s="138">
        <f>MAX(0,(D22-DAY(D22))-$G$5+1)</f>
        <v>15</v>
      </c>
      <c r="AJ22" s="138">
        <f t="shared" ref="AJ22:AJ28" si="31">D22-$BV$5</f>
        <v>32</v>
      </c>
      <c r="AL22" s="136">
        <f t="shared" ref="AL22:AL28" si="32">VLOOKUP($D22,CurveTbl,$AK$4)</f>
        <v>2.8460000000000001</v>
      </c>
      <c r="AM22" s="258">
        <f t="shared" ref="AM22:AM28" si="33">VLOOKUP($D22,CurveTbl,$AH$3)</f>
        <v>0.06</v>
      </c>
      <c r="AN22" s="258">
        <f t="shared" ref="AN22:AN28" si="34">VLOOKUP($D22,CurveTbl,$AH$4)+VLOOKUP($AG22,$AL$3:$AS$15,6)</f>
        <v>0</v>
      </c>
      <c r="AO22" s="258">
        <f t="shared" ref="AO22:AO28" si="35">VLOOKUP($D22,CurveTbl,$AH$5)</f>
        <v>-1.4999999999999999E-2</v>
      </c>
      <c r="AP22" s="258">
        <f t="shared" ref="AP22:AP28" si="36">VLOOKUP($D22,CurveTbl,$AH$6)+VLOOKUP($AG22,$AL$3:$AS$15,7)</f>
        <v>0.02</v>
      </c>
      <c r="AQ22" s="136">
        <f t="shared" ref="AQ22:AQ28" si="37">VLOOKUP($AG22,$AL$4:$AS$15,3)+VLOOKUP($AG22,$AL$4:$AS$15,5)+($AH$10*VLOOKUP(D22,GRITable,2))</f>
        <v>1.72E-2</v>
      </c>
      <c r="AR22" s="137">
        <f t="shared" ref="AR22:AR28" si="38">VLOOKUP($AG22,$AL$4:$AS$15,4)</f>
        <v>3.4000000000000002E-2</v>
      </c>
      <c r="AS22" s="136">
        <f t="shared" ref="AS22:AS28" si="39">(AL22+AM22+AN22)</f>
        <v>2.9060000000000001</v>
      </c>
      <c r="AT22" s="137">
        <f t="shared" ref="AT22:AT28" si="40">VLOOKUP(D22,CurveTbl,$AK$6)</f>
        <v>1.8765908157160699E-2</v>
      </c>
      <c r="AU22" s="137">
        <f t="shared" ref="AU22:AU28" si="41">(1+$AT22/2)^(-2*($D22-$G$5)/365.25)*$AF22</f>
        <v>0</v>
      </c>
      <c r="AV22" s="394">
        <f t="shared" ref="AV22:AV28" si="42">ROUND((F22/(1-AR22))-F22,0)*AF22*AH22*AU22</f>
        <v>0</v>
      </c>
      <c r="AW22" s="137">
        <f t="shared" ref="AW22:AW28" si="43">VLOOKUP($D22,CurveTbl,$AK$8)</f>
        <v>0.87</v>
      </c>
      <c r="AX22" s="137">
        <f t="shared" ref="AX22:AX28" si="44">VLOOKUP($D22,CurveTbl,$AH$7)</f>
        <v>1.39</v>
      </c>
      <c r="AY22" s="137">
        <f t="shared" ref="AY22:AY28" si="45">VLOOKUP($D22,CurveTbl,$AH$8)</f>
        <v>1.17</v>
      </c>
      <c r="AZ22" s="137"/>
      <c r="BA22" s="264"/>
      <c r="BB22" s="258">
        <f t="shared" ref="BB22:BB28" si="46">$H22-$BV22</f>
        <v>0</v>
      </c>
      <c r="BC22" s="258">
        <f t="shared" ref="BC22:BC28" si="47">I22-BW22</f>
        <v>0</v>
      </c>
      <c r="BD22" s="137">
        <f t="shared" ref="BD22:BD28" si="48">N22-BX22</f>
        <v>0</v>
      </c>
      <c r="BE22" s="137">
        <f t="shared" ref="BE22:BE28" si="49">O22-BY22</f>
        <v>0</v>
      </c>
      <c r="BF22" s="137">
        <f>_xll.xSPRDOPT($BW22,$BV22,$CG22,0,$BY22,$BX22,$BZ22,$AJ22,1,4)*$CB22</f>
        <v>0</v>
      </c>
      <c r="BG22" s="137">
        <f>_xll.xSPRDOPT($BW22,$BV22,$CG22,0,$BY22,$BX22,$BZ22,$AJ22,1,3)*$CB22</f>
        <v>0</v>
      </c>
      <c r="BH22" s="137">
        <f>IF(OR(BF22&lt;&gt;0,BG22&lt;&gt;0),_xll.xSPRDOPT($BW22,$BV22,$CG22,0,$BY22,$BX22,$BZ22,$AJ22,1,12)*$CB22,0)</f>
        <v>0</v>
      </c>
      <c r="BI22" s="137">
        <f>_xll.xSPRDOPT($BW22,$BV22,$CG22,2*LN(1+CA22/2),$BY22,$BX22,$BZ22,$AJ22,1,9)</f>
        <v>-2.3462727348457544</v>
      </c>
      <c r="BJ22" s="137">
        <f>_xll.xSPRDOPT($BW22,$BV22,$CG22,0,$BY22,$BX22,$BZ22,$AJ22,1,6)*$CB22</f>
        <v>0</v>
      </c>
      <c r="BK22" s="137">
        <f>_xll.xSPRDOPT($BW22,$BV22,$CG22,0,$BY22,$BX22,$BZ22,$AJ22,1,5)*$CB22</f>
        <v>0</v>
      </c>
      <c r="BL22" s="137">
        <f>_xll.xSPRDOPT(BW22,BV22,CG22,0,BY22,BX22,BZ22,AJ22,1,2)*CB22</f>
        <v>0</v>
      </c>
      <c r="BM22" s="137">
        <f>_xll.xSPRDOPT(BW22,BV22,CG22,0,BY22,BX22,BZ22,AJ22,1,1)*CB22</f>
        <v>0</v>
      </c>
      <c r="BN22" s="137">
        <f>IF(AH22&lt;&gt;0,_xll.xSPRDOPT($BW22,$BV22,$CG22,2*LN(1+CA22/2),$BY22,$BX22,$BZ22,$AJ22,1,8)+(AJ22/365.25)*CH22/AH22,0)</f>
        <v>0</v>
      </c>
      <c r="BO22" s="137">
        <f>_xll.xSPRDOPT($BW22,$BV22,$CG22,0,$BY22,$BX22,$BZ22,$AJ22,1,0)</f>
        <v>0.34166213560916386</v>
      </c>
      <c r="BP22" s="137"/>
      <c r="BQ22" s="137"/>
      <c r="BR22" s="137"/>
      <c r="BS22" s="137"/>
      <c r="BV22" s="262">
        <v>3.008281573498965</v>
      </c>
      <c r="BW22" s="136">
        <v>2.851</v>
      </c>
      <c r="BX22" s="137">
        <v>0.87</v>
      </c>
      <c r="BY22" s="137">
        <v>0.87</v>
      </c>
      <c r="BZ22" s="137">
        <v>0</v>
      </c>
      <c r="CA22" s="137">
        <v>1.8765908157160699E-2</v>
      </c>
      <c r="CB22" s="137">
        <v>0</v>
      </c>
      <c r="CC22" s="258">
        <v>0.06</v>
      </c>
      <c r="CD22" s="258">
        <v>0</v>
      </c>
      <c r="CE22" s="258">
        <v>-1.4999999999999999E-2</v>
      </c>
      <c r="CF22" s="258">
        <v>0.02</v>
      </c>
      <c r="CG22" s="258">
        <v>1.72E-2</v>
      </c>
      <c r="CH22" s="258">
        <v>0</v>
      </c>
      <c r="CI22" s="258">
        <v>2.8460000000000001</v>
      </c>
      <c r="CJ22" s="258"/>
      <c r="CK22" s="258"/>
      <c r="CL22" s="258"/>
      <c r="CM22" s="258"/>
    </row>
    <row r="23" spans="1:91" x14ac:dyDescent="0.25">
      <c r="A23" s="723"/>
      <c r="B23" s="723"/>
      <c r="D23" s="31">
        <f t="shared" ref="D23:D28" si="50">D22+AH22</f>
        <v>37271</v>
      </c>
      <c r="F23" s="28">
        <f t="shared" si="12"/>
        <v>628</v>
      </c>
      <c r="G23" s="28">
        <f t="shared" si="13"/>
        <v>0</v>
      </c>
      <c r="H23" s="52">
        <f t="shared" si="14"/>
        <v>3.008281573498965</v>
      </c>
      <c r="I23" s="52">
        <f t="shared" si="15"/>
        <v>2.851</v>
      </c>
      <c r="K23" s="52">
        <f t="shared" si="16"/>
        <v>0</v>
      </c>
      <c r="L23" s="135">
        <f t="shared" si="17"/>
        <v>0</v>
      </c>
      <c r="N23" s="131">
        <f t="shared" si="18"/>
        <v>0.87</v>
      </c>
      <c r="O23" s="131">
        <f t="shared" si="19"/>
        <v>0.87</v>
      </c>
      <c r="P23" s="55">
        <f t="shared" si="20"/>
        <v>0</v>
      </c>
      <c r="Q23" s="135">
        <f>_xll.xSPRDOPT(I23,H23,AQ23,0,O23,N23,P23,D23-$G$5,1,0)*AH23*AU23</f>
        <v>0</v>
      </c>
      <c r="R23" s="135"/>
      <c r="S23" s="181">
        <f>_xll.xSPRDOPT(I23,H23,AQ23,AT23,O23,N23,P23,D23-$G$5,1,2)*AF23*(F23/(1-AR23))*AH23</f>
        <v>0</v>
      </c>
      <c r="T23" s="181">
        <f>_xll.xSPRDOPT(I23,H23,AQ23,AT23,O23,N23,P23,D23-$G$5,1,1)*AF23*F23*AH23</f>
        <v>0</v>
      </c>
      <c r="U23" s="135"/>
      <c r="V23" s="146">
        <f t="shared" si="21"/>
        <v>0</v>
      </c>
      <c r="W23" s="146"/>
      <c r="X23" s="338">
        <f t="shared" si="22"/>
        <v>0</v>
      </c>
      <c r="Y23" s="338">
        <f t="shared" si="23"/>
        <v>0</v>
      </c>
      <c r="Z23" s="338">
        <f t="shared" si="24"/>
        <v>0</v>
      </c>
      <c r="AA23" s="338">
        <f t="shared" si="25"/>
        <v>0</v>
      </c>
      <c r="AB23" s="338">
        <f t="shared" si="26"/>
        <v>0</v>
      </c>
      <c r="AC23" s="338">
        <f t="shared" si="27"/>
        <v>0</v>
      </c>
      <c r="AF23" s="138">
        <f t="shared" si="28"/>
        <v>0</v>
      </c>
      <c r="AG23" s="138">
        <f t="shared" si="29"/>
        <v>1</v>
      </c>
      <c r="AH23" s="138">
        <f t="shared" si="30"/>
        <v>0</v>
      </c>
      <c r="AI23" s="138">
        <f t="shared" ref="AI23:AI28" si="51">AI22+AH22</f>
        <v>15</v>
      </c>
      <c r="AJ23" s="138">
        <f t="shared" si="31"/>
        <v>32</v>
      </c>
      <c r="AL23" s="136">
        <f t="shared" si="32"/>
        <v>2.8460000000000001</v>
      </c>
      <c r="AM23" s="258">
        <f t="shared" si="33"/>
        <v>0.06</v>
      </c>
      <c r="AN23" s="258">
        <f t="shared" si="34"/>
        <v>0</v>
      </c>
      <c r="AO23" s="258">
        <f t="shared" si="35"/>
        <v>-1.4999999999999999E-2</v>
      </c>
      <c r="AP23" s="258">
        <f t="shared" si="36"/>
        <v>0.02</v>
      </c>
      <c r="AQ23" s="136">
        <f t="shared" si="37"/>
        <v>1.72E-2</v>
      </c>
      <c r="AR23" s="137">
        <f t="shared" si="38"/>
        <v>3.4000000000000002E-2</v>
      </c>
      <c r="AS23" s="136">
        <f t="shared" si="39"/>
        <v>2.9060000000000001</v>
      </c>
      <c r="AT23" s="137">
        <f t="shared" si="40"/>
        <v>1.8765908157160699E-2</v>
      </c>
      <c r="AU23" s="137">
        <f t="shared" si="41"/>
        <v>0</v>
      </c>
      <c r="AV23" s="394">
        <f t="shared" si="42"/>
        <v>0</v>
      </c>
      <c r="AW23" s="137">
        <f t="shared" si="43"/>
        <v>0.87</v>
      </c>
      <c r="AX23" s="137">
        <f t="shared" si="44"/>
        <v>1.39</v>
      </c>
      <c r="AY23" s="137">
        <f t="shared" si="45"/>
        <v>1.17</v>
      </c>
      <c r="AZ23" s="137"/>
      <c r="BA23" s="264"/>
      <c r="BB23" s="258">
        <f t="shared" si="46"/>
        <v>0</v>
      </c>
      <c r="BC23" s="258">
        <f t="shared" si="47"/>
        <v>0</v>
      </c>
      <c r="BD23" s="137">
        <f t="shared" si="48"/>
        <v>0</v>
      </c>
      <c r="BE23" s="137">
        <f t="shared" si="49"/>
        <v>0</v>
      </c>
      <c r="BF23" s="137">
        <f>_xll.xSPRDOPT($BW23,$BV23,$CG23,0,$BY23,$BX23,$BZ23,$AJ23,1,4)*$CB23</f>
        <v>0</v>
      </c>
      <c r="BG23" s="137">
        <f>_xll.xSPRDOPT($BW23,$BV23,$CG23,0,$BY23,$BX23,$BZ23,$AJ23,1,3)*$CB23</f>
        <v>0</v>
      </c>
      <c r="BH23" s="137">
        <f>IF(OR(BF23&lt;&gt;0,BG23&lt;&gt;0),_xll.xSPRDOPT($BW23,$BV23,$CG23,0,$BY23,$BX23,$BZ23,$AJ23,1,12)*$CB23,0)</f>
        <v>0</v>
      </c>
      <c r="BI23" s="137">
        <f>_xll.xSPRDOPT($BW23,$BV23,$CG23,2*LN(1+CA23/2),$BY23,$BX23,$BZ23,$AJ23,1,9)</f>
        <v>-2.3462727348457544</v>
      </c>
      <c r="BJ23" s="137">
        <f>_xll.xSPRDOPT($BW23,$BV23,$CG23,0,$BY23,$BX23,$BZ23,$AJ23,1,6)*$CB23</f>
        <v>0</v>
      </c>
      <c r="BK23" s="137">
        <f>_xll.xSPRDOPT($BW23,$BV23,$CG23,0,$BY23,$BX23,$BZ23,$AJ23,1,5)*$CB23</f>
        <v>0</v>
      </c>
      <c r="BL23" s="137">
        <f>_xll.xSPRDOPT(BW23,BV23,CG23,0,BY23,BX23,BZ23,AJ23,1,2)*CB23</f>
        <v>0</v>
      </c>
      <c r="BM23" s="137">
        <f>_xll.xSPRDOPT(BW23,BV23,CG23,0,BY23,BX23,BZ23,AJ23,1,1)*CB23</f>
        <v>0</v>
      </c>
      <c r="BN23" s="137">
        <f>IF(AH23&lt;&gt;0,_xll.xSPRDOPT($BW23,$BV23,$CG23,2*LN(1+CA23/2),$BY23,$BX23,$BZ23,$AJ23,1,8)+(AJ23/365.25)*CH23/AH23,0)</f>
        <v>0</v>
      </c>
      <c r="BO23" s="137">
        <f>_xll.xSPRDOPT($BW23,$BV23,$CG23,0,$BY23,$BX23,$BZ23,$AJ23,1,0)</f>
        <v>0.34166213560916386</v>
      </c>
      <c r="BP23" s="137"/>
      <c r="BQ23" s="137"/>
      <c r="BR23" s="137"/>
      <c r="BS23" s="137"/>
      <c r="BV23" s="262">
        <v>3.008281573498965</v>
      </c>
      <c r="BW23" s="136">
        <v>2.851</v>
      </c>
      <c r="BX23" s="137">
        <v>0.87</v>
      </c>
      <c r="BY23" s="137">
        <v>0.87</v>
      </c>
      <c r="BZ23" s="137">
        <v>0</v>
      </c>
      <c r="CA23" s="137">
        <v>1.8765908157160699E-2</v>
      </c>
      <c r="CB23" s="137">
        <v>0</v>
      </c>
      <c r="CC23" s="258">
        <v>0.06</v>
      </c>
      <c r="CD23" s="258">
        <v>0</v>
      </c>
      <c r="CE23" s="258">
        <v>-1.4999999999999999E-2</v>
      </c>
      <c r="CF23" s="258">
        <v>0.02</v>
      </c>
      <c r="CG23" s="258">
        <v>1.72E-2</v>
      </c>
      <c r="CH23" s="258">
        <v>0</v>
      </c>
      <c r="CI23" s="258">
        <v>2.8460000000000001</v>
      </c>
      <c r="CJ23" s="258"/>
      <c r="CK23" s="258"/>
      <c r="CL23" s="258"/>
      <c r="CM23" s="258"/>
    </row>
    <row r="24" spans="1:91" x14ac:dyDescent="0.25">
      <c r="A24" s="723"/>
      <c r="B24" s="723"/>
      <c r="D24" s="31">
        <f t="shared" si="50"/>
        <v>37271</v>
      </c>
      <c r="F24" s="28">
        <f t="shared" si="12"/>
        <v>628</v>
      </c>
      <c r="G24" s="28">
        <f t="shared" si="13"/>
        <v>0</v>
      </c>
      <c r="H24" s="52">
        <f t="shared" si="14"/>
        <v>3.008281573498965</v>
      </c>
      <c r="I24" s="52">
        <f t="shared" si="15"/>
        <v>2.851</v>
      </c>
      <c r="K24" s="52">
        <f t="shared" si="16"/>
        <v>0</v>
      </c>
      <c r="L24" s="135">
        <f t="shared" si="17"/>
        <v>0</v>
      </c>
      <c r="N24" s="131">
        <f t="shared" si="18"/>
        <v>0.87</v>
      </c>
      <c r="O24" s="131">
        <f t="shared" si="19"/>
        <v>0.87</v>
      </c>
      <c r="P24" s="55">
        <f t="shared" si="20"/>
        <v>0</v>
      </c>
      <c r="Q24" s="135">
        <f>_xll.xSPRDOPT(I24,H24,AQ24,0,O24,N24,P24,D24-$G$5,1,0)*AH24*AU24</f>
        <v>0</v>
      </c>
      <c r="R24" s="135"/>
      <c r="S24" s="181">
        <f>_xll.xSPRDOPT(I24,H24,AQ24,AT24,O24,N24,P24,D24-$G$5,1,2)*AF24*(F24/(1-AR24))*AH24</f>
        <v>0</v>
      </c>
      <c r="T24" s="181">
        <f>_xll.xSPRDOPT(I24,H24,AQ24,AT24,O24,N24,P24,D24-$G$5,1,1)*AF24*F24*AH24</f>
        <v>0</v>
      </c>
      <c r="U24" s="135"/>
      <c r="V24" s="146">
        <f t="shared" si="21"/>
        <v>0</v>
      </c>
      <c r="W24" s="146"/>
      <c r="X24" s="338">
        <f t="shared" si="22"/>
        <v>0</v>
      </c>
      <c r="Y24" s="338">
        <f t="shared" si="23"/>
        <v>0</v>
      </c>
      <c r="Z24" s="338">
        <f t="shared" si="24"/>
        <v>0</v>
      </c>
      <c r="AA24" s="338">
        <f t="shared" si="25"/>
        <v>0</v>
      </c>
      <c r="AB24" s="338">
        <f t="shared" si="26"/>
        <v>0</v>
      </c>
      <c r="AC24" s="338">
        <f t="shared" si="27"/>
        <v>0</v>
      </c>
      <c r="AF24" s="138">
        <f t="shared" si="28"/>
        <v>0</v>
      </c>
      <c r="AG24" s="138">
        <f t="shared" si="29"/>
        <v>1</v>
      </c>
      <c r="AH24" s="138">
        <f t="shared" si="30"/>
        <v>0</v>
      </c>
      <c r="AI24" s="138">
        <f t="shared" si="51"/>
        <v>15</v>
      </c>
      <c r="AJ24" s="138">
        <f t="shared" si="31"/>
        <v>32</v>
      </c>
      <c r="AL24" s="136">
        <f t="shared" si="32"/>
        <v>2.8460000000000001</v>
      </c>
      <c r="AM24" s="258">
        <f t="shared" si="33"/>
        <v>0.06</v>
      </c>
      <c r="AN24" s="258">
        <f t="shared" si="34"/>
        <v>0</v>
      </c>
      <c r="AO24" s="258">
        <f t="shared" si="35"/>
        <v>-1.4999999999999999E-2</v>
      </c>
      <c r="AP24" s="258">
        <f t="shared" si="36"/>
        <v>0.02</v>
      </c>
      <c r="AQ24" s="136">
        <f t="shared" si="37"/>
        <v>1.72E-2</v>
      </c>
      <c r="AR24" s="137">
        <f t="shared" si="38"/>
        <v>3.4000000000000002E-2</v>
      </c>
      <c r="AS24" s="136">
        <f t="shared" si="39"/>
        <v>2.9060000000000001</v>
      </c>
      <c r="AT24" s="137">
        <f t="shared" si="40"/>
        <v>1.8765908157160699E-2</v>
      </c>
      <c r="AU24" s="137">
        <f t="shared" si="41"/>
        <v>0</v>
      </c>
      <c r="AV24" s="394">
        <f t="shared" si="42"/>
        <v>0</v>
      </c>
      <c r="AW24" s="137">
        <f t="shared" si="43"/>
        <v>0.87</v>
      </c>
      <c r="AX24" s="137">
        <f t="shared" si="44"/>
        <v>1.39</v>
      </c>
      <c r="AY24" s="137">
        <f t="shared" si="45"/>
        <v>1.17</v>
      </c>
      <c r="AZ24" s="137"/>
      <c r="BA24" s="264"/>
      <c r="BB24" s="258">
        <f t="shared" si="46"/>
        <v>0</v>
      </c>
      <c r="BC24" s="258">
        <f t="shared" si="47"/>
        <v>0</v>
      </c>
      <c r="BD24" s="137">
        <f t="shared" si="48"/>
        <v>0</v>
      </c>
      <c r="BE24" s="137">
        <f t="shared" si="49"/>
        <v>0</v>
      </c>
      <c r="BF24" s="137">
        <f>_xll.xSPRDOPT($BW24,$BV24,$CG24,0,$BY24,$BX24,$BZ24,$AJ24,1,4)*$CB24</f>
        <v>0</v>
      </c>
      <c r="BG24" s="137">
        <f>_xll.xSPRDOPT($BW24,$BV24,$CG24,0,$BY24,$BX24,$BZ24,$AJ24,1,3)*$CB24</f>
        <v>0</v>
      </c>
      <c r="BH24" s="137">
        <f>IF(OR(BF24&lt;&gt;0,BG24&lt;&gt;0),_xll.xSPRDOPT($BW24,$BV24,$CG24,0,$BY24,$BX24,$BZ24,$AJ24,1,12)*$CB24,0)</f>
        <v>0</v>
      </c>
      <c r="BI24" s="137">
        <f>_xll.xSPRDOPT($BW24,$BV24,$CG24,2*LN(1+CA24/2),$BY24,$BX24,$BZ24,$AJ24,1,9)</f>
        <v>-2.3462727348457544</v>
      </c>
      <c r="BJ24" s="137">
        <f>_xll.xSPRDOPT($BW24,$BV24,$CG24,0,$BY24,$BX24,$BZ24,$AJ24,1,6)*$CB24</f>
        <v>0</v>
      </c>
      <c r="BK24" s="137">
        <f>_xll.xSPRDOPT($BW24,$BV24,$CG24,0,$BY24,$BX24,$BZ24,$AJ24,1,5)*$CB24</f>
        <v>0</v>
      </c>
      <c r="BL24" s="137">
        <f>_xll.xSPRDOPT(BW24,BV24,CG24,0,BY24,BX24,BZ24,AJ24,1,2)*CB24</f>
        <v>0</v>
      </c>
      <c r="BM24" s="137">
        <f>_xll.xSPRDOPT(BW24,BV24,CG24,0,BY24,BX24,BZ24,AJ24,1,1)*CB24</f>
        <v>0</v>
      </c>
      <c r="BN24" s="137">
        <f>IF(AH24&lt;&gt;0,_xll.xSPRDOPT($BW24,$BV24,$CG24,2*LN(1+CA24/2),$BY24,$BX24,$BZ24,$AJ24,1,8)+(AJ24/365.25)*CH24/AH24,0)</f>
        <v>0</v>
      </c>
      <c r="BO24" s="137">
        <f>_xll.xSPRDOPT($BW24,$BV24,$CG24,0,$BY24,$BX24,$BZ24,$AJ24,1,0)</f>
        <v>0.34166213560916386</v>
      </c>
      <c r="BP24" s="137"/>
      <c r="BQ24" s="137"/>
      <c r="BR24" s="137"/>
      <c r="BS24" s="137"/>
      <c r="BV24" s="262">
        <v>3.008281573498965</v>
      </c>
      <c r="BW24" s="136">
        <v>2.851</v>
      </c>
      <c r="BX24" s="137">
        <v>0.87</v>
      </c>
      <c r="BY24" s="137">
        <v>0.87</v>
      </c>
      <c r="BZ24" s="137">
        <v>0</v>
      </c>
      <c r="CA24" s="137">
        <v>1.8765908157160699E-2</v>
      </c>
      <c r="CB24" s="137">
        <v>0</v>
      </c>
      <c r="CC24" s="258">
        <v>0.06</v>
      </c>
      <c r="CD24" s="258">
        <v>0</v>
      </c>
      <c r="CE24" s="258">
        <v>-1.4999999999999999E-2</v>
      </c>
      <c r="CF24" s="258">
        <v>0.02</v>
      </c>
      <c r="CG24" s="258">
        <v>1.72E-2</v>
      </c>
      <c r="CH24" s="258">
        <v>0</v>
      </c>
      <c r="CI24" s="258">
        <v>2.8460000000000001</v>
      </c>
      <c r="CJ24" s="258"/>
      <c r="CK24" s="258"/>
      <c r="CL24" s="258"/>
      <c r="CM24" s="258"/>
    </row>
    <row r="25" spans="1:91" x14ac:dyDescent="0.25">
      <c r="A25" s="723"/>
      <c r="B25" s="723"/>
      <c r="D25" s="31">
        <f t="shared" si="50"/>
        <v>37271</v>
      </c>
      <c r="F25" s="28">
        <f t="shared" si="12"/>
        <v>628</v>
      </c>
      <c r="G25" s="28">
        <f t="shared" si="13"/>
        <v>0</v>
      </c>
      <c r="H25" s="52">
        <f t="shared" si="14"/>
        <v>3.008281573498965</v>
      </c>
      <c r="I25" s="52">
        <f t="shared" si="15"/>
        <v>2.851</v>
      </c>
      <c r="K25" s="52">
        <f t="shared" si="16"/>
        <v>0</v>
      </c>
      <c r="L25" s="135">
        <f t="shared" si="17"/>
        <v>0</v>
      </c>
      <c r="N25" s="131">
        <f t="shared" si="18"/>
        <v>0.87</v>
      </c>
      <c r="O25" s="131">
        <f t="shared" si="19"/>
        <v>0.87</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1</v>
      </c>
      <c r="AH25" s="138">
        <f t="shared" si="30"/>
        <v>0</v>
      </c>
      <c r="AI25" s="138">
        <f t="shared" si="51"/>
        <v>15</v>
      </c>
      <c r="AJ25" s="138">
        <f t="shared" si="31"/>
        <v>32</v>
      </c>
      <c r="AL25" s="136">
        <f t="shared" si="32"/>
        <v>2.8460000000000001</v>
      </c>
      <c r="AM25" s="258">
        <f t="shared" si="33"/>
        <v>0.06</v>
      </c>
      <c r="AN25" s="258">
        <f t="shared" si="34"/>
        <v>0</v>
      </c>
      <c r="AO25" s="258">
        <f t="shared" si="35"/>
        <v>-1.4999999999999999E-2</v>
      </c>
      <c r="AP25" s="258">
        <f t="shared" si="36"/>
        <v>0.02</v>
      </c>
      <c r="AQ25" s="136">
        <f t="shared" si="37"/>
        <v>1.72E-2</v>
      </c>
      <c r="AR25" s="137">
        <f t="shared" si="38"/>
        <v>3.4000000000000002E-2</v>
      </c>
      <c r="AS25" s="136">
        <f t="shared" si="39"/>
        <v>2.9060000000000001</v>
      </c>
      <c r="AT25" s="137">
        <f t="shared" si="40"/>
        <v>1.8765908157160699E-2</v>
      </c>
      <c r="AU25" s="137">
        <f t="shared" si="41"/>
        <v>0</v>
      </c>
      <c r="AV25" s="394">
        <f t="shared" si="42"/>
        <v>0</v>
      </c>
      <c r="AW25" s="137">
        <f t="shared" si="43"/>
        <v>0.87</v>
      </c>
      <c r="AX25" s="137">
        <f t="shared" si="44"/>
        <v>1.39</v>
      </c>
      <c r="AY25" s="137">
        <f t="shared" si="45"/>
        <v>1.17</v>
      </c>
      <c r="AZ25" s="137"/>
      <c r="BA25" s="264"/>
      <c r="BB25" s="258">
        <f t="shared" si="46"/>
        <v>0</v>
      </c>
      <c r="BC25" s="258">
        <f t="shared" si="47"/>
        <v>0</v>
      </c>
      <c r="BD25" s="137">
        <f t="shared" si="48"/>
        <v>0</v>
      </c>
      <c r="BE25" s="137">
        <f t="shared" si="49"/>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-2.3462727348457544</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0.34166213560916386</v>
      </c>
      <c r="BP25" s="137"/>
      <c r="BQ25" s="137"/>
      <c r="BR25" s="137"/>
      <c r="BS25" s="137"/>
      <c r="BV25" s="262">
        <v>3.008281573498965</v>
      </c>
      <c r="BW25" s="136">
        <v>2.851</v>
      </c>
      <c r="BX25" s="137">
        <v>0.87</v>
      </c>
      <c r="BY25" s="137">
        <v>0.87</v>
      </c>
      <c r="BZ25" s="137">
        <v>0</v>
      </c>
      <c r="CA25" s="137">
        <v>1.8765908157160699E-2</v>
      </c>
      <c r="CB25" s="137">
        <v>0</v>
      </c>
      <c r="CC25" s="258">
        <v>0.06</v>
      </c>
      <c r="CD25" s="258">
        <v>0</v>
      </c>
      <c r="CE25" s="258">
        <v>-1.4999999999999999E-2</v>
      </c>
      <c r="CF25" s="258">
        <v>0.02</v>
      </c>
      <c r="CG25" s="258">
        <v>1.72E-2</v>
      </c>
      <c r="CH25" s="258">
        <v>0</v>
      </c>
      <c r="CI25" s="258">
        <v>2.8460000000000001</v>
      </c>
      <c r="CJ25" s="258"/>
      <c r="CK25" s="258"/>
      <c r="CL25" s="258"/>
      <c r="CM25" s="258"/>
    </row>
    <row r="26" spans="1:91" x14ac:dyDescent="0.25">
      <c r="A26" s="723"/>
      <c r="B26" s="723"/>
      <c r="D26" s="31">
        <f t="shared" si="50"/>
        <v>37271</v>
      </c>
      <c r="F26" s="28">
        <f t="shared" si="12"/>
        <v>628</v>
      </c>
      <c r="G26" s="28">
        <f t="shared" si="13"/>
        <v>0</v>
      </c>
      <c r="H26" s="52">
        <f t="shared" si="14"/>
        <v>3.008281573498965</v>
      </c>
      <c r="I26" s="52">
        <f t="shared" si="15"/>
        <v>2.851</v>
      </c>
      <c r="K26" s="52">
        <f t="shared" si="16"/>
        <v>0</v>
      </c>
      <c r="L26" s="135">
        <f t="shared" si="17"/>
        <v>0</v>
      </c>
      <c r="N26" s="131">
        <f t="shared" si="18"/>
        <v>0.87</v>
      </c>
      <c r="O26" s="131">
        <f t="shared" si="19"/>
        <v>0.87</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1</v>
      </c>
      <c r="AH26" s="138">
        <f t="shared" si="30"/>
        <v>0</v>
      </c>
      <c r="AI26" s="138">
        <f t="shared" si="51"/>
        <v>15</v>
      </c>
      <c r="AJ26" s="138">
        <f t="shared" si="31"/>
        <v>32</v>
      </c>
      <c r="AL26" s="136">
        <f t="shared" si="32"/>
        <v>2.8460000000000001</v>
      </c>
      <c r="AM26" s="258">
        <f t="shared" si="33"/>
        <v>0.06</v>
      </c>
      <c r="AN26" s="258">
        <f t="shared" si="34"/>
        <v>0</v>
      </c>
      <c r="AO26" s="258">
        <f t="shared" si="35"/>
        <v>-1.4999999999999999E-2</v>
      </c>
      <c r="AP26" s="258">
        <f t="shared" si="36"/>
        <v>0.02</v>
      </c>
      <c r="AQ26" s="136">
        <f t="shared" si="37"/>
        <v>1.72E-2</v>
      </c>
      <c r="AR26" s="137">
        <f t="shared" si="38"/>
        <v>3.4000000000000002E-2</v>
      </c>
      <c r="AS26" s="136">
        <f t="shared" si="39"/>
        <v>2.9060000000000001</v>
      </c>
      <c r="AT26" s="137">
        <f t="shared" si="40"/>
        <v>1.8765908157160699E-2</v>
      </c>
      <c r="AU26" s="137">
        <f t="shared" si="41"/>
        <v>0</v>
      </c>
      <c r="AV26" s="394">
        <f t="shared" si="42"/>
        <v>0</v>
      </c>
      <c r="AW26" s="137">
        <f t="shared" si="43"/>
        <v>0.87</v>
      </c>
      <c r="AX26" s="137">
        <f t="shared" si="44"/>
        <v>1.39</v>
      </c>
      <c r="AY26" s="137">
        <f t="shared" si="45"/>
        <v>1.17</v>
      </c>
      <c r="AZ26" s="137"/>
      <c r="BA26" s="264"/>
      <c r="BB26" s="258">
        <f t="shared" si="46"/>
        <v>0</v>
      </c>
      <c r="BC26" s="258">
        <f t="shared" si="47"/>
        <v>0</v>
      </c>
      <c r="BD26" s="137">
        <f t="shared" si="48"/>
        <v>0</v>
      </c>
      <c r="BE26" s="137">
        <f t="shared" si="49"/>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-2.3462727348457544</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0.34166213560916386</v>
      </c>
      <c r="BP26" s="137"/>
      <c r="BQ26" s="137"/>
      <c r="BR26" s="137"/>
      <c r="BS26" s="137"/>
      <c r="BV26" s="262">
        <v>3.008281573498965</v>
      </c>
      <c r="BW26" s="136">
        <v>2.851</v>
      </c>
      <c r="BX26" s="137">
        <v>0.87</v>
      </c>
      <c r="BY26" s="137">
        <v>0.87</v>
      </c>
      <c r="BZ26" s="137">
        <v>0</v>
      </c>
      <c r="CA26" s="137">
        <v>1.8765908157160699E-2</v>
      </c>
      <c r="CB26" s="137">
        <v>0</v>
      </c>
      <c r="CC26" s="258">
        <v>0.06</v>
      </c>
      <c r="CD26" s="258">
        <v>0</v>
      </c>
      <c r="CE26" s="258">
        <v>-1.4999999999999999E-2</v>
      </c>
      <c r="CF26" s="258">
        <v>0.02</v>
      </c>
      <c r="CG26" s="258">
        <v>1.72E-2</v>
      </c>
      <c r="CH26" s="258">
        <v>0</v>
      </c>
      <c r="CI26" s="258">
        <v>2.8460000000000001</v>
      </c>
      <c r="CJ26" s="258"/>
      <c r="CK26" s="258"/>
      <c r="CL26" s="258"/>
      <c r="CM26" s="258"/>
    </row>
    <row r="27" spans="1:91" x14ac:dyDescent="0.25">
      <c r="A27" s="726"/>
      <c r="B27" s="726"/>
      <c r="C27" s="726"/>
      <c r="D27" s="31">
        <f t="shared" si="50"/>
        <v>37271</v>
      </c>
      <c r="F27" s="28">
        <f t="shared" si="12"/>
        <v>628</v>
      </c>
      <c r="G27" s="28">
        <f t="shared" si="13"/>
        <v>0</v>
      </c>
      <c r="H27" s="52">
        <f t="shared" si="14"/>
        <v>3.008281573498965</v>
      </c>
      <c r="I27" s="52">
        <f t="shared" si="15"/>
        <v>2.851</v>
      </c>
      <c r="K27" s="52">
        <f t="shared" si="16"/>
        <v>0</v>
      </c>
      <c r="L27" s="135">
        <f t="shared" si="17"/>
        <v>0</v>
      </c>
      <c r="N27" s="131">
        <f t="shared" si="18"/>
        <v>0.87</v>
      </c>
      <c r="O27" s="131">
        <f t="shared" si="19"/>
        <v>0.87</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1</v>
      </c>
      <c r="AH27" s="138">
        <f t="shared" si="30"/>
        <v>0</v>
      </c>
      <c r="AI27" s="138">
        <f t="shared" si="51"/>
        <v>15</v>
      </c>
      <c r="AJ27" s="138">
        <f t="shared" si="31"/>
        <v>32</v>
      </c>
      <c r="AL27" s="136">
        <f t="shared" si="32"/>
        <v>2.8460000000000001</v>
      </c>
      <c r="AM27" s="258">
        <f t="shared" si="33"/>
        <v>0.06</v>
      </c>
      <c r="AN27" s="258">
        <f t="shared" si="34"/>
        <v>0</v>
      </c>
      <c r="AO27" s="258">
        <f t="shared" si="35"/>
        <v>-1.4999999999999999E-2</v>
      </c>
      <c r="AP27" s="258">
        <f t="shared" si="36"/>
        <v>0.02</v>
      </c>
      <c r="AQ27" s="136">
        <f t="shared" si="37"/>
        <v>1.72E-2</v>
      </c>
      <c r="AR27" s="137">
        <f t="shared" si="38"/>
        <v>3.4000000000000002E-2</v>
      </c>
      <c r="AS27" s="136">
        <f t="shared" si="39"/>
        <v>2.9060000000000001</v>
      </c>
      <c r="AT27" s="137">
        <f t="shared" si="40"/>
        <v>1.8765908157160699E-2</v>
      </c>
      <c r="AU27" s="137">
        <f t="shared" si="41"/>
        <v>0</v>
      </c>
      <c r="AV27" s="394">
        <f t="shared" si="42"/>
        <v>0</v>
      </c>
      <c r="AW27" s="137">
        <f t="shared" si="43"/>
        <v>0.87</v>
      </c>
      <c r="AX27" s="137">
        <f t="shared" si="44"/>
        <v>1.39</v>
      </c>
      <c r="AY27" s="137">
        <f t="shared" si="45"/>
        <v>1.17</v>
      </c>
      <c r="AZ27" s="137"/>
      <c r="BA27" s="264"/>
      <c r="BB27" s="258">
        <f t="shared" si="46"/>
        <v>0</v>
      </c>
      <c r="BC27" s="258">
        <f t="shared" si="47"/>
        <v>0</v>
      </c>
      <c r="BD27" s="137">
        <f t="shared" si="48"/>
        <v>0</v>
      </c>
      <c r="BE27" s="137">
        <f t="shared" si="49"/>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-2.3462727348457544</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0.34166213560916386</v>
      </c>
      <c r="BP27" s="137"/>
      <c r="BQ27" s="137"/>
      <c r="BR27" s="137"/>
      <c r="BS27" s="137"/>
      <c r="BV27" s="262">
        <v>3.008281573498965</v>
      </c>
      <c r="BW27" s="136">
        <v>2.851</v>
      </c>
      <c r="BX27" s="137">
        <v>0.87</v>
      </c>
      <c r="BY27" s="137">
        <v>0.87</v>
      </c>
      <c r="BZ27" s="137">
        <v>0</v>
      </c>
      <c r="CA27" s="137">
        <v>1.8765908157160699E-2</v>
      </c>
      <c r="CB27" s="137">
        <v>0</v>
      </c>
      <c r="CC27" s="258">
        <v>0.06</v>
      </c>
      <c r="CD27" s="258">
        <v>0</v>
      </c>
      <c r="CE27" s="258">
        <v>-1.4999999999999999E-2</v>
      </c>
      <c r="CF27" s="258">
        <v>0.02</v>
      </c>
      <c r="CG27" s="258">
        <v>1.72E-2</v>
      </c>
      <c r="CH27" s="258">
        <v>0</v>
      </c>
      <c r="CI27" s="258">
        <v>2.8460000000000001</v>
      </c>
      <c r="CJ27" s="258"/>
      <c r="CK27" s="258"/>
      <c r="CL27" s="258"/>
      <c r="CM27" s="258"/>
    </row>
    <row r="28" spans="1:91" x14ac:dyDescent="0.25">
      <c r="A28" s="723"/>
      <c r="B28" s="723"/>
      <c r="D28" s="31">
        <f t="shared" si="50"/>
        <v>37271</v>
      </c>
      <c r="F28" s="28">
        <f t="shared" si="12"/>
        <v>628</v>
      </c>
      <c r="G28" s="28">
        <f t="shared" si="13"/>
        <v>0</v>
      </c>
      <c r="H28" s="52">
        <f t="shared" si="14"/>
        <v>3.008281573498965</v>
      </c>
      <c r="I28" s="52">
        <f t="shared" si="15"/>
        <v>2.851</v>
      </c>
      <c r="K28" s="52">
        <f t="shared" si="16"/>
        <v>0</v>
      </c>
      <c r="L28" s="135">
        <f t="shared" si="17"/>
        <v>0</v>
      </c>
      <c r="N28" s="131">
        <f t="shared" si="18"/>
        <v>0.87</v>
      </c>
      <c r="O28" s="131">
        <f t="shared" si="19"/>
        <v>0.87</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21"/>
        <v>0</v>
      </c>
      <c r="W28" s="146"/>
      <c r="X28" s="338">
        <f t="shared" si="22"/>
        <v>0</v>
      </c>
      <c r="Y28" s="338">
        <f t="shared" si="23"/>
        <v>0</v>
      </c>
      <c r="Z28" s="338">
        <f t="shared" si="24"/>
        <v>0</v>
      </c>
      <c r="AA28" s="338">
        <f t="shared" si="25"/>
        <v>0</v>
      </c>
      <c r="AB28" s="338">
        <f t="shared" si="26"/>
        <v>0</v>
      </c>
      <c r="AC28" s="338">
        <f t="shared" si="27"/>
        <v>0</v>
      </c>
      <c r="AF28" s="138">
        <f t="shared" si="28"/>
        <v>0</v>
      </c>
      <c r="AG28" s="138">
        <f t="shared" si="29"/>
        <v>1</v>
      </c>
      <c r="AH28" s="138">
        <f t="shared" si="30"/>
        <v>0</v>
      </c>
      <c r="AI28" s="138">
        <f t="shared" si="51"/>
        <v>15</v>
      </c>
      <c r="AJ28" s="138">
        <f t="shared" si="31"/>
        <v>32</v>
      </c>
      <c r="AL28" s="136">
        <f t="shared" si="32"/>
        <v>2.8460000000000001</v>
      </c>
      <c r="AM28" s="258">
        <f t="shared" si="33"/>
        <v>0.06</v>
      </c>
      <c r="AN28" s="258">
        <f t="shared" si="34"/>
        <v>0</v>
      </c>
      <c r="AO28" s="258">
        <f t="shared" si="35"/>
        <v>-1.4999999999999999E-2</v>
      </c>
      <c r="AP28" s="258">
        <f t="shared" si="36"/>
        <v>0.02</v>
      </c>
      <c r="AQ28" s="136">
        <f t="shared" si="37"/>
        <v>1.72E-2</v>
      </c>
      <c r="AR28" s="137">
        <f t="shared" si="38"/>
        <v>3.4000000000000002E-2</v>
      </c>
      <c r="AS28" s="136">
        <f t="shared" si="39"/>
        <v>2.9060000000000001</v>
      </c>
      <c r="AT28" s="137">
        <f t="shared" si="40"/>
        <v>1.8765908157160699E-2</v>
      </c>
      <c r="AU28" s="137">
        <f t="shared" si="41"/>
        <v>0</v>
      </c>
      <c r="AV28" s="394">
        <f t="shared" si="42"/>
        <v>0</v>
      </c>
      <c r="AW28" s="137">
        <f t="shared" si="43"/>
        <v>0.87</v>
      </c>
      <c r="AX28" s="137">
        <f t="shared" si="44"/>
        <v>1.39</v>
      </c>
      <c r="AY28" s="137">
        <f t="shared" si="45"/>
        <v>1.17</v>
      </c>
      <c r="AZ28" s="137"/>
      <c r="BA28" s="264"/>
      <c r="BB28" s="258">
        <f t="shared" si="46"/>
        <v>0</v>
      </c>
      <c r="BC28" s="258">
        <f t="shared" si="47"/>
        <v>0</v>
      </c>
      <c r="BD28" s="137">
        <f t="shared" si="48"/>
        <v>0</v>
      </c>
      <c r="BE28" s="137">
        <f t="shared" si="49"/>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-2.3462727348457544</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0.34166213560916386</v>
      </c>
      <c r="BP28" s="137"/>
      <c r="BQ28" s="137"/>
      <c r="BR28" s="137"/>
      <c r="BS28" s="137"/>
      <c r="BV28" s="262">
        <v>3.008281573498965</v>
      </c>
      <c r="BW28" s="136">
        <v>2.851</v>
      </c>
      <c r="BX28" s="137">
        <v>0.87</v>
      </c>
      <c r="BY28" s="137">
        <v>0.87</v>
      </c>
      <c r="BZ28" s="137">
        <v>0</v>
      </c>
      <c r="CA28" s="137">
        <v>1.8765908157160699E-2</v>
      </c>
      <c r="CB28" s="137">
        <v>0</v>
      </c>
      <c r="CC28" s="258">
        <v>0.06</v>
      </c>
      <c r="CD28" s="258">
        <v>0</v>
      </c>
      <c r="CE28" s="258">
        <v>-1.4999999999999999E-2</v>
      </c>
      <c r="CF28" s="258">
        <v>0.02</v>
      </c>
      <c r="CG28" s="258">
        <v>1.72E-2</v>
      </c>
      <c r="CH28" s="258">
        <v>0</v>
      </c>
      <c r="CI28" s="258">
        <v>2.8460000000000001</v>
      </c>
      <c r="CJ28" s="258"/>
      <c r="CK28" s="258"/>
      <c r="CL28" s="258"/>
      <c r="CM28" s="258"/>
    </row>
    <row r="29" spans="1:91" x14ac:dyDescent="0.25">
      <c r="A29" s="723"/>
      <c r="B29" s="723"/>
      <c r="D29" s="29"/>
      <c r="E29" s="29"/>
      <c r="F29" s="29"/>
      <c r="G29" s="29"/>
      <c r="H29" s="29"/>
      <c r="I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U29" s="29"/>
      <c r="BV29" s="29"/>
    </row>
    <row r="30" spans="1:91" x14ac:dyDescent="0.25">
      <c r="A30" s="723"/>
      <c r="B30" s="723"/>
      <c r="D30" s="29"/>
      <c r="E30" s="29"/>
      <c r="F30" s="29"/>
      <c r="G30" s="29"/>
      <c r="H30" s="29"/>
      <c r="I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U30" s="29"/>
      <c r="BV30" s="29"/>
    </row>
    <row r="31" spans="1:91" x14ac:dyDescent="0.25">
      <c r="A31" s="723"/>
      <c r="B31" s="723"/>
      <c r="D31" s="29"/>
      <c r="E31" s="29"/>
      <c r="F31" s="29"/>
      <c r="G31" s="29"/>
      <c r="H31" s="29"/>
      <c r="I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U31" s="29"/>
      <c r="BV31" s="29"/>
    </row>
    <row r="32" spans="1:91" x14ac:dyDescent="0.25">
      <c r="A32" s="723"/>
      <c r="B32" s="723"/>
      <c r="D32" s="29"/>
      <c r="E32" s="29"/>
      <c r="F32" s="29"/>
      <c r="G32" s="29"/>
      <c r="H32" s="29"/>
      <c r="I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U32" s="29"/>
      <c r="BV32" s="29"/>
    </row>
    <row r="33" spans="1:74" x14ac:dyDescent="0.25">
      <c r="A33" s="723"/>
      <c r="B33" s="723"/>
      <c r="D33" s="29"/>
      <c r="E33" s="29"/>
      <c r="F33" s="29"/>
      <c r="G33" s="29"/>
      <c r="H33" s="29"/>
      <c r="I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U33" s="29"/>
      <c r="BV33" s="29"/>
    </row>
    <row r="34" spans="1:74" x14ac:dyDescent="0.25">
      <c r="A34" s="723"/>
      <c r="B34" s="723"/>
      <c r="D34" s="29"/>
      <c r="E34" s="29"/>
      <c r="F34" s="29"/>
      <c r="G34" s="29"/>
      <c r="H34" s="29"/>
      <c r="I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U34" s="29"/>
      <c r="BV34" s="29"/>
    </row>
    <row r="35" spans="1:74" x14ac:dyDescent="0.25">
      <c r="A35" s="723"/>
      <c r="B35" s="723"/>
      <c r="D35" s="29"/>
      <c r="E35" s="29"/>
      <c r="F35" s="29"/>
      <c r="G35" s="29"/>
      <c r="H35" s="29"/>
      <c r="I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U35" s="29"/>
      <c r="BV35" s="29"/>
    </row>
    <row r="36" spans="1:74" x14ac:dyDescent="0.25">
      <c r="A36" s="723"/>
      <c r="B36" s="723"/>
      <c r="D36" s="29"/>
      <c r="E36" s="29"/>
      <c r="F36" s="29"/>
      <c r="G36" s="29"/>
      <c r="H36" s="29"/>
      <c r="I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U36" s="29"/>
      <c r="BV36" s="29"/>
    </row>
    <row r="37" spans="1:74" x14ac:dyDescent="0.25">
      <c r="A37" s="723"/>
      <c r="B37" s="723"/>
      <c r="D37" s="29"/>
      <c r="E37" s="29"/>
      <c r="F37" s="29"/>
      <c r="G37" s="29"/>
      <c r="H37" s="29"/>
      <c r="I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U37" s="29"/>
      <c r="BV37" s="29"/>
    </row>
    <row r="38" spans="1:74" x14ac:dyDescent="0.25">
      <c r="A38" s="723"/>
      <c r="B38" s="723"/>
      <c r="D38" s="29"/>
      <c r="E38" s="29"/>
      <c r="F38" s="29"/>
      <c r="G38" s="29"/>
      <c r="H38" s="29"/>
      <c r="I38" s="29"/>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U38" s="29"/>
      <c r="BV38" s="29"/>
    </row>
    <row r="39" spans="1:74" x14ac:dyDescent="0.25">
      <c r="A39" s="723"/>
      <c r="B39" s="723"/>
      <c r="D39" s="29"/>
      <c r="E39" s="29"/>
      <c r="F39" s="29"/>
      <c r="G39" s="29"/>
      <c r="H39" s="29"/>
      <c r="I39" s="29"/>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U39" s="29"/>
      <c r="BV39" s="29"/>
    </row>
    <row r="40" spans="1:74" x14ac:dyDescent="0.25">
      <c r="D40" s="29"/>
      <c r="E40" s="29"/>
      <c r="F40" s="29"/>
      <c r="G40" s="29"/>
      <c r="H40" s="29"/>
      <c r="I40" s="29"/>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U40" s="29"/>
      <c r="BV40" s="29"/>
    </row>
    <row r="41" spans="1:74" x14ac:dyDescent="0.25">
      <c r="D41" s="29"/>
      <c r="E41" s="29"/>
      <c r="F41" s="29"/>
      <c r="G41" s="29"/>
      <c r="H41" s="29"/>
      <c r="I41" s="29"/>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U41" s="29"/>
      <c r="BV41" s="29"/>
    </row>
    <row r="42" spans="1:74" x14ac:dyDescent="0.25">
      <c r="D42" s="29"/>
      <c r="E42" s="29"/>
      <c r="F42" s="29"/>
      <c r="G42" s="29"/>
      <c r="H42" s="29"/>
      <c r="I42" s="29"/>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U42" s="29"/>
      <c r="BV42" s="29"/>
    </row>
    <row r="43" spans="1:74" x14ac:dyDescent="0.25">
      <c r="D43" s="29"/>
      <c r="E43" s="29"/>
      <c r="F43" s="29"/>
      <c r="G43" s="29"/>
      <c r="H43" s="29"/>
      <c r="I43" s="29"/>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U43" s="29"/>
      <c r="BV43" s="29"/>
    </row>
    <row r="44" spans="1:74" x14ac:dyDescent="0.25">
      <c r="D44" s="29"/>
      <c r="E44" s="29"/>
      <c r="F44" s="29"/>
      <c r="G44" s="29"/>
      <c r="H44" s="29"/>
      <c r="I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U44" s="29"/>
      <c r="BV44" s="29"/>
    </row>
    <row r="45" spans="1:74" x14ac:dyDescent="0.25">
      <c r="D45" s="29"/>
      <c r="E45" s="29"/>
      <c r="F45" s="29"/>
      <c r="G45" s="29"/>
      <c r="H45" s="29"/>
      <c r="I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U45" s="29"/>
      <c r="BV45" s="29"/>
    </row>
    <row r="46" spans="1:74" x14ac:dyDescent="0.25">
      <c r="D46" s="29"/>
      <c r="E46" s="29"/>
      <c r="F46" s="29"/>
      <c r="G46" s="29"/>
      <c r="H46" s="29"/>
      <c r="I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U46" s="29"/>
      <c r="BV46" s="29"/>
    </row>
    <row r="47" spans="1:74" x14ac:dyDescent="0.25">
      <c r="D47" s="29"/>
      <c r="E47" s="29"/>
      <c r="F47" s="29"/>
      <c r="G47" s="29"/>
      <c r="H47" s="29"/>
      <c r="I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U47" s="29"/>
      <c r="BV47" s="29"/>
    </row>
    <row r="48" spans="1:74" x14ac:dyDescent="0.25">
      <c r="D48" s="29"/>
      <c r="E48" s="29"/>
      <c r="F48" s="29"/>
      <c r="G48" s="29"/>
      <c r="H48" s="29"/>
      <c r="I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U48" s="29"/>
      <c r="BV48" s="29"/>
    </row>
    <row r="49" spans="4:74" x14ac:dyDescent="0.25">
      <c r="D49" s="29"/>
      <c r="E49" s="29"/>
      <c r="F49" s="29"/>
      <c r="G49" s="29"/>
      <c r="H49" s="29"/>
      <c r="I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U49" s="29"/>
      <c r="BV49" s="29"/>
    </row>
    <row r="50" spans="4:74" x14ac:dyDescent="0.25">
      <c r="D50" s="29"/>
      <c r="E50" s="29"/>
      <c r="F50" s="29"/>
      <c r="G50" s="29"/>
      <c r="H50" s="29"/>
      <c r="I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U50" s="29"/>
      <c r="BV50" s="29"/>
    </row>
    <row r="51" spans="4:74" x14ac:dyDescent="0.25">
      <c r="D51" s="29"/>
      <c r="E51" s="29"/>
      <c r="F51" s="29"/>
      <c r="G51" s="29"/>
      <c r="H51" s="29"/>
      <c r="I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U51" s="29"/>
      <c r="BV51" s="29"/>
    </row>
    <row r="52" spans="4:74" x14ac:dyDescent="0.25">
      <c r="D52" s="29"/>
      <c r="E52" s="29"/>
      <c r="F52" s="29"/>
      <c r="G52" s="29"/>
      <c r="H52" s="29"/>
      <c r="I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U52" s="29"/>
      <c r="BV52" s="29"/>
    </row>
    <row r="53" spans="4:74" x14ac:dyDescent="0.25">
      <c r="D53" s="29"/>
      <c r="E53" s="29"/>
      <c r="F53" s="29"/>
      <c r="G53" s="29"/>
      <c r="H53" s="29"/>
      <c r="I53" s="29"/>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U53" s="29"/>
      <c r="BV53" s="29"/>
    </row>
    <row r="54" spans="4:74" x14ac:dyDescent="0.25">
      <c r="D54" s="29"/>
      <c r="E54" s="29"/>
      <c r="F54" s="29"/>
      <c r="G54" s="29"/>
      <c r="H54" s="29"/>
      <c r="I54" s="29"/>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U54" s="29"/>
      <c r="BV54" s="29"/>
    </row>
    <row r="55" spans="4:74" x14ac:dyDescent="0.25">
      <c r="D55" s="29"/>
      <c r="E55" s="29"/>
      <c r="F55" s="29"/>
      <c r="G55" s="29"/>
      <c r="H55" s="29"/>
      <c r="I55" s="29"/>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U55" s="29"/>
      <c r="BV55" s="29"/>
    </row>
    <row r="56" spans="4:74" x14ac:dyDescent="0.25">
      <c r="D56" s="29"/>
      <c r="E56" s="29"/>
      <c r="F56" s="29"/>
      <c r="G56" s="29"/>
      <c r="H56" s="29"/>
      <c r="I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U56" s="29"/>
      <c r="BV56" s="29"/>
    </row>
    <row r="57" spans="4:74" x14ac:dyDescent="0.25">
      <c r="D57" s="29"/>
      <c r="E57" s="29"/>
      <c r="F57" s="29"/>
      <c r="G57" s="29"/>
      <c r="H57" s="29"/>
      <c r="I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U57" s="29"/>
      <c r="BV57" s="29"/>
    </row>
    <row r="58" spans="4:74" x14ac:dyDescent="0.25">
      <c r="D58" s="29"/>
      <c r="E58" s="29"/>
      <c r="F58" s="29"/>
      <c r="G58" s="29"/>
      <c r="H58" s="29"/>
      <c r="I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U58" s="29"/>
      <c r="BV58" s="29"/>
    </row>
    <row r="59" spans="4:74" x14ac:dyDescent="0.25">
      <c r="D59" s="29"/>
      <c r="E59" s="29"/>
      <c r="F59" s="29"/>
      <c r="G59" s="29"/>
      <c r="H59" s="29"/>
      <c r="I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U59" s="29"/>
      <c r="BV59" s="29"/>
    </row>
    <row r="60" spans="4:74" x14ac:dyDescent="0.25">
      <c r="D60" s="29"/>
      <c r="E60" s="29"/>
      <c r="F60" s="29"/>
      <c r="G60" s="29"/>
      <c r="H60" s="29"/>
      <c r="I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U60" s="29"/>
      <c r="BV60" s="29"/>
    </row>
    <row r="61" spans="4:74" x14ac:dyDescent="0.25">
      <c r="D61" s="29"/>
      <c r="E61" s="29"/>
      <c r="F61" s="29"/>
      <c r="G61" s="29"/>
      <c r="H61" s="29"/>
      <c r="I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29"/>
      <c r="AN61" s="29"/>
      <c r="AO61" s="29"/>
      <c r="AP61" s="29"/>
      <c r="AQ61" s="29"/>
      <c r="AR61" s="29"/>
      <c r="AS61" s="29"/>
      <c r="AT61" s="29"/>
      <c r="AU61" s="29"/>
      <c r="AV61" s="29"/>
      <c r="AW61" s="29"/>
      <c r="AX61" s="29"/>
      <c r="AY61" s="29"/>
      <c r="AZ61" s="29"/>
      <c r="BA61" s="29"/>
      <c r="BB61" s="29"/>
      <c r="BC61" s="29"/>
      <c r="BD61" s="29"/>
      <c r="BE61" s="29"/>
      <c r="BF61" s="29"/>
      <c r="BG61" s="29"/>
      <c r="BH61" s="29"/>
      <c r="BI61" s="29"/>
      <c r="BJ61" s="29"/>
      <c r="BK61" s="29"/>
      <c r="BL61" s="29"/>
      <c r="BM61" s="29"/>
      <c r="BN61" s="29"/>
      <c r="BO61" s="29"/>
      <c r="BP61" s="29"/>
      <c r="BQ61" s="29"/>
      <c r="BR61" s="29"/>
      <c r="BS61" s="29"/>
      <c r="BU61" s="29"/>
      <c r="BV61" s="29"/>
    </row>
    <row r="62" spans="4:74" x14ac:dyDescent="0.25">
      <c r="D62" s="29"/>
      <c r="E62" s="29"/>
      <c r="F62" s="29"/>
      <c r="G62" s="29"/>
      <c r="H62" s="29"/>
      <c r="I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U62" s="29"/>
      <c r="BV62" s="29"/>
    </row>
    <row r="63" spans="4:74" x14ac:dyDescent="0.25">
      <c r="D63" s="29"/>
      <c r="E63" s="29"/>
      <c r="F63" s="29"/>
      <c r="G63" s="29"/>
      <c r="H63" s="29"/>
      <c r="I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29"/>
      <c r="AN63" s="29"/>
      <c r="AO63" s="29"/>
      <c r="AP63" s="29"/>
      <c r="AQ63" s="29"/>
      <c r="AR63" s="29"/>
      <c r="AS63" s="29"/>
      <c r="AT63" s="29"/>
      <c r="AU63" s="29"/>
      <c r="AV63" s="29"/>
      <c r="AW63" s="29"/>
      <c r="AX63" s="29"/>
      <c r="AY63" s="29"/>
      <c r="AZ63" s="29"/>
      <c r="BA63" s="29"/>
      <c r="BB63" s="29"/>
      <c r="BC63" s="29"/>
      <c r="BD63" s="29"/>
      <c r="BE63" s="29"/>
      <c r="BF63" s="29"/>
      <c r="BG63" s="29"/>
      <c r="BH63" s="29"/>
      <c r="BI63" s="29"/>
      <c r="BJ63" s="29"/>
      <c r="BK63" s="29"/>
      <c r="BL63" s="29"/>
      <c r="BM63" s="29"/>
      <c r="BN63" s="29"/>
      <c r="BO63" s="29"/>
      <c r="BP63" s="29"/>
      <c r="BQ63" s="29"/>
      <c r="BR63" s="29"/>
      <c r="BS63" s="29"/>
      <c r="BU63" s="29"/>
      <c r="BV63" s="29"/>
    </row>
    <row r="64" spans="4:74" x14ac:dyDescent="0.25">
      <c r="D64" s="29"/>
      <c r="E64" s="29"/>
      <c r="F64" s="29"/>
      <c r="G64" s="29"/>
      <c r="H64" s="29"/>
      <c r="I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29"/>
      <c r="AN64" s="29"/>
      <c r="AO64" s="29"/>
      <c r="AP64" s="29"/>
      <c r="AQ64" s="29"/>
      <c r="AR64" s="29"/>
      <c r="AS64" s="29"/>
      <c r="AT64" s="29"/>
      <c r="AU64" s="29"/>
      <c r="AV64" s="29"/>
      <c r="AW64" s="29"/>
      <c r="AX64" s="29"/>
      <c r="AY64" s="29"/>
      <c r="AZ64" s="29"/>
      <c r="BA64" s="29"/>
      <c r="BB64" s="29"/>
      <c r="BC64" s="29"/>
      <c r="BD64" s="29"/>
      <c r="BE64" s="29"/>
      <c r="BF64" s="29"/>
      <c r="BG64" s="29"/>
      <c r="BH64" s="29"/>
      <c r="BI64" s="29"/>
      <c r="BJ64" s="29"/>
      <c r="BK64" s="29"/>
      <c r="BL64" s="29"/>
      <c r="BM64" s="29"/>
      <c r="BN64" s="29"/>
      <c r="BO64" s="29"/>
      <c r="BP64" s="29"/>
      <c r="BQ64" s="29"/>
      <c r="BR64" s="29"/>
      <c r="BS64" s="29"/>
      <c r="BU64" s="29"/>
      <c r="BV64" s="29"/>
    </row>
    <row r="65" spans="4:74" x14ac:dyDescent="0.25">
      <c r="D65" s="29"/>
      <c r="E65" s="29"/>
      <c r="F65" s="29"/>
      <c r="G65" s="29"/>
      <c r="H65" s="29"/>
      <c r="I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29"/>
      <c r="AN65" s="29"/>
      <c r="AO65" s="29"/>
      <c r="AP65" s="29"/>
      <c r="AQ65" s="29"/>
      <c r="AR65" s="29"/>
      <c r="AS65" s="29"/>
      <c r="AT65" s="29"/>
      <c r="AU65" s="29"/>
      <c r="AV65" s="29"/>
      <c r="AW65" s="29"/>
      <c r="AX65" s="29"/>
      <c r="AY65" s="29"/>
      <c r="AZ65" s="29"/>
      <c r="BA65" s="29"/>
      <c r="BB65" s="29"/>
      <c r="BC65" s="29"/>
      <c r="BD65" s="29"/>
      <c r="BE65" s="29"/>
      <c r="BF65" s="29"/>
      <c r="BG65" s="29"/>
      <c r="BH65" s="29"/>
      <c r="BI65" s="29"/>
      <c r="BJ65" s="29"/>
      <c r="BK65" s="29"/>
      <c r="BL65" s="29"/>
      <c r="BM65" s="29"/>
      <c r="BN65" s="29"/>
      <c r="BO65" s="29"/>
      <c r="BP65" s="29"/>
      <c r="BQ65" s="29"/>
      <c r="BR65" s="29"/>
      <c r="BS65" s="29"/>
      <c r="BU65" s="29"/>
      <c r="BV65" s="29"/>
    </row>
    <row r="66" spans="4:74" x14ac:dyDescent="0.25">
      <c r="D66" s="29"/>
      <c r="E66" s="29"/>
      <c r="F66" s="29"/>
      <c r="G66" s="29"/>
      <c r="H66" s="29"/>
      <c r="I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29"/>
      <c r="AN66" s="29"/>
      <c r="AO66" s="29"/>
      <c r="AP66" s="29"/>
      <c r="AQ66" s="29"/>
      <c r="AR66" s="29"/>
      <c r="AS66" s="29"/>
      <c r="AT66" s="29"/>
      <c r="AU66" s="29"/>
      <c r="AV66" s="29"/>
      <c r="AW66" s="29"/>
      <c r="AX66" s="29"/>
      <c r="AY66" s="29"/>
      <c r="AZ66" s="29"/>
      <c r="BA66" s="29"/>
      <c r="BB66" s="29"/>
      <c r="BC66" s="29"/>
      <c r="BD66" s="29"/>
      <c r="BE66" s="29"/>
      <c r="BF66" s="29"/>
      <c r="BG66" s="29"/>
      <c r="BH66" s="29"/>
      <c r="BI66" s="29"/>
      <c r="BJ66" s="29"/>
      <c r="BK66" s="29"/>
      <c r="BL66" s="29"/>
      <c r="BM66" s="29"/>
      <c r="BN66" s="29"/>
      <c r="BO66" s="29"/>
      <c r="BP66" s="29"/>
      <c r="BQ66" s="29"/>
      <c r="BR66" s="29"/>
      <c r="BS66" s="29"/>
      <c r="BU66" s="29"/>
      <c r="BV66" s="29"/>
    </row>
    <row r="67" spans="4:74" x14ac:dyDescent="0.25">
      <c r="D67" s="29"/>
      <c r="E67" s="29"/>
      <c r="F67" s="29"/>
      <c r="G67" s="29"/>
      <c r="H67" s="29"/>
      <c r="I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U67" s="29"/>
      <c r="BV67" s="29"/>
    </row>
    <row r="68" spans="4:74" x14ac:dyDescent="0.25">
      <c r="D68" s="29"/>
      <c r="E68" s="29"/>
      <c r="F68" s="29"/>
      <c r="G68" s="29"/>
      <c r="H68" s="29"/>
      <c r="I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U68" s="29"/>
      <c r="BV68" s="29"/>
    </row>
    <row r="69" spans="4:74" x14ac:dyDescent="0.25">
      <c r="D69" s="29"/>
      <c r="E69" s="29"/>
      <c r="F69" s="29"/>
      <c r="G69" s="29"/>
      <c r="H69" s="29"/>
      <c r="I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U69" s="29"/>
      <c r="BV69" s="29"/>
    </row>
    <row r="70" spans="4:74" x14ac:dyDescent="0.25">
      <c r="D70" s="29"/>
      <c r="E70" s="29"/>
      <c r="F70" s="29"/>
      <c r="G70" s="29"/>
      <c r="H70" s="29"/>
      <c r="I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U70" s="29"/>
      <c r="BV70" s="29"/>
    </row>
    <row r="71" spans="4:74" x14ac:dyDescent="0.25">
      <c r="D71" s="29"/>
      <c r="E71" s="29"/>
      <c r="F71" s="29"/>
      <c r="G71" s="29"/>
      <c r="H71" s="29"/>
      <c r="I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U71" s="29"/>
      <c r="BV71" s="29"/>
    </row>
    <row r="72" spans="4:74" x14ac:dyDescent="0.25">
      <c r="D72" s="29"/>
      <c r="E72" s="29"/>
      <c r="F72" s="29"/>
      <c r="G72" s="29"/>
      <c r="H72" s="29"/>
      <c r="I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U72" s="29"/>
      <c r="BV72" s="29"/>
    </row>
    <row r="73" spans="4:74" x14ac:dyDescent="0.25">
      <c r="D73" s="29"/>
      <c r="E73" s="29"/>
      <c r="F73" s="29"/>
      <c r="G73" s="29"/>
      <c r="H73" s="29"/>
      <c r="I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U73" s="29"/>
      <c r="BV73" s="29"/>
    </row>
    <row r="74" spans="4:74" x14ac:dyDescent="0.25">
      <c r="D74" s="29"/>
      <c r="E74" s="29"/>
      <c r="F74" s="29"/>
      <c r="G74" s="29"/>
      <c r="H74" s="29"/>
      <c r="I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U74" s="29"/>
      <c r="BV74" s="29"/>
    </row>
    <row r="75" spans="4:74" x14ac:dyDescent="0.25">
      <c r="D75" s="29"/>
      <c r="E75" s="29"/>
      <c r="F75" s="29"/>
      <c r="G75" s="29"/>
      <c r="H75" s="29"/>
      <c r="I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U75" s="29"/>
      <c r="BV75" s="29"/>
    </row>
    <row r="76" spans="4:74" x14ac:dyDescent="0.25">
      <c r="D76" s="29"/>
      <c r="E76" s="29"/>
      <c r="F76" s="29"/>
      <c r="G76" s="29"/>
      <c r="H76" s="29"/>
      <c r="I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U76" s="29"/>
      <c r="BV76" s="29"/>
    </row>
    <row r="77" spans="4:74" x14ac:dyDescent="0.25">
      <c r="D77" s="29"/>
      <c r="E77" s="29"/>
      <c r="F77" s="29"/>
      <c r="G77" s="29"/>
      <c r="H77" s="29"/>
      <c r="I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U77" s="29"/>
      <c r="BV77" s="29"/>
    </row>
    <row r="78" spans="4:74" x14ac:dyDescent="0.25">
      <c r="D78" s="29"/>
      <c r="E78" s="29"/>
      <c r="F78" s="29"/>
      <c r="G78" s="29"/>
      <c r="H78" s="29"/>
      <c r="I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U78" s="29"/>
      <c r="BV78" s="29"/>
    </row>
    <row r="79" spans="4:74" x14ac:dyDescent="0.25">
      <c r="D79" s="29"/>
      <c r="E79" s="29"/>
      <c r="F79" s="29"/>
      <c r="G79" s="29"/>
      <c r="H79" s="29"/>
      <c r="I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U79" s="29"/>
      <c r="BV79" s="29"/>
    </row>
    <row r="80" spans="4:74" x14ac:dyDescent="0.25">
      <c r="D80" s="29"/>
      <c r="E80" s="29"/>
      <c r="F80" s="29"/>
      <c r="G80" s="29"/>
      <c r="H80" s="29"/>
      <c r="I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U80" s="29"/>
      <c r="BV80" s="29"/>
    </row>
    <row r="81" spans="4:74" x14ac:dyDescent="0.25">
      <c r="D81" s="29"/>
      <c r="E81" s="29"/>
      <c r="F81" s="29"/>
      <c r="G81" s="29"/>
      <c r="H81" s="29"/>
      <c r="I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U81" s="29"/>
      <c r="BV81" s="29"/>
    </row>
    <row r="82" spans="4:74" x14ac:dyDescent="0.25">
      <c r="D82" s="29"/>
      <c r="E82" s="29"/>
      <c r="F82" s="29"/>
      <c r="G82" s="29"/>
      <c r="H82" s="29"/>
      <c r="I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U82" s="29"/>
      <c r="BV82" s="29"/>
    </row>
    <row r="83" spans="4:74" x14ac:dyDescent="0.25">
      <c r="D83" s="29"/>
      <c r="E83" s="29"/>
      <c r="F83" s="29"/>
      <c r="G83" s="29"/>
      <c r="H83" s="29"/>
      <c r="I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U83" s="29"/>
      <c r="BV83" s="29"/>
    </row>
    <row r="84" spans="4:74" x14ac:dyDescent="0.25">
      <c r="D84" s="29"/>
      <c r="E84" s="29"/>
      <c r="F84" s="29"/>
      <c r="G84" s="29"/>
      <c r="H84" s="29"/>
      <c r="I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U84" s="29"/>
      <c r="BV84" s="29"/>
    </row>
    <row r="85" spans="4:74" x14ac:dyDescent="0.25">
      <c r="D85" s="29"/>
      <c r="E85" s="29"/>
      <c r="F85" s="29"/>
      <c r="G85" s="29"/>
      <c r="H85" s="29"/>
      <c r="I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U85" s="29"/>
      <c r="BV85" s="29"/>
    </row>
    <row r="86" spans="4:74" x14ac:dyDescent="0.25">
      <c r="D86" s="29"/>
      <c r="E86" s="29"/>
      <c r="F86" s="29"/>
      <c r="G86" s="29"/>
      <c r="H86" s="29"/>
      <c r="I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U86" s="29"/>
      <c r="BV86" s="29"/>
    </row>
    <row r="87" spans="4:74" x14ac:dyDescent="0.25">
      <c r="D87" s="29"/>
      <c r="E87" s="29"/>
      <c r="F87" s="29"/>
      <c r="G87" s="29"/>
      <c r="H87" s="29"/>
      <c r="I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U87" s="29"/>
      <c r="BV87" s="29"/>
    </row>
    <row r="88" spans="4:74" x14ac:dyDescent="0.25">
      <c r="D88" s="29"/>
      <c r="E88" s="29"/>
      <c r="F88" s="29"/>
      <c r="G88" s="29"/>
      <c r="H88" s="29"/>
      <c r="I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U88" s="29"/>
      <c r="BV88" s="29"/>
    </row>
    <row r="89" spans="4:74" x14ac:dyDescent="0.25">
      <c r="D89" s="29"/>
      <c r="E89" s="29"/>
      <c r="F89" s="29"/>
      <c r="G89" s="29"/>
      <c r="H89" s="29"/>
      <c r="I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U89" s="29"/>
      <c r="BV89" s="29"/>
    </row>
    <row r="90" spans="4:74" x14ac:dyDescent="0.25">
      <c r="D90" s="29"/>
      <c r="E90" s="29"/>
      <c r="F90" s="29"/>
      <c r="G90" s="29"/>
      <c r="H90" s="29"/>
      <c r="I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U90" s="29"/>
      <c r="BV90" s="29"/>
    </row>
    <row r="91" spans="4:74" x14ac:dyDescent="0.25">
      <c r="D91" s="29"/>
      <c r="E91" s="29"/>
      <c r="F91" s="29"/>
      <c r="G91" s="29"/>
      <c r="H91" s="29"/>
      <c r="I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U91" s="29"/>
      <c r="BV91" s="29"/>
    </row>
  </sheetData>
  <sheetCalcPr fullCalcOnLoad="1"/>
  <mergeCells count="43">
    <mergeCell ref="A38:B38"/>
    <mergeCell ref="A39:B39"/>
    <mergeCell ref="A34:B34"/>
    <mergeCell ref="A35:B35"/>
    <mergeCell ref="A36:B36"/>
    <mergeCell ref="A37:B37"/>
    <mergeCell ref="A31:B31"/>
    <mergeCell ref="A32:B32"/>
    <mergeCell ref="A33:B33"/>
    <mergeCell ref="A27:C27"/>
    <mergeCell ref="A28:B28"/>
    <mergeCell ref="A29:B29"/>
    <mergeCell ref="A30:B30"/>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49508"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49509"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5">
    <pageSetUpPr autoPageBreaks="0"/>
  </sheetPr>
  <dimension ref="A1:CX95"/>
  <sheetViews>
    <sheetView topLeftCell="I1" zoomScale="80" workbookViewId="0">
      <selection activeCell="CI21" sqref="CI21:CI31"/>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PGE</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LongTerm83</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83</v>
      </c>
      <c r="F2" s="178" t="str">
        <f>GetRcptPoint($AH$12,$AH$13)</f>
        <v>PGE/Topock</v>
      </c>
      <c r="G2" s="179" t="str">
        <f>GetDelPoint($AH$12,$AH$13)</f>
        <v>PGE City Gate</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$F$31</v>
      </c>
      <c r="AX2" s="339" t="str">
        <f>ADDRESS(ROW($G$22),COLUMN($G$22))</f>
        <v>$G$22</v>
      </c>
      <c r="AY2" s="138" t="str">
        <f ca="1">GetEnd($AV$1,AX2)</f>
        <v>$G$31</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70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$AF$31</v>
      </c>
      <c r="AX3" s="339" t="str">
        <f>ADDRESS(ROW($AH$22),COLUMN($AH$22))</f>
        <v>$AH$22</v>
      </c>
      <c r="AY3" s="138" t="str">
        <f ca="1">GetEnd($AV$1,AX3)</f>
        <v>$AH$31</v>
      </c>
    </row>
    <row r="4" spans="1:102" x14ac:dyDescent="0.25">
      <c r="A4" s="269" t="str">
        <f>ADDRESS(ROW($S$22),COLUMN($S$22))</f>
        <v>$S$22</v>
      </c>
      <c r="L4" s="721" t="s">
        <v>201</v>
      </c>
      <c r="M4" s="722"/>
      <c r="N4" s="352">
        <f ca="1">SUMPRODUCT(INDIRECT(CONCATENATE(AV4,":",AW4)),INDIRECT(CONCATENATE($AV$2,":",$AW$2)),INDIRECT(CONCATENATE($AV$3,":",$AW$3)))</f>
        <v>8121484.2442338783</v>
      </c>
      <c r="O4" s="352">
        <v>8120356.9299999997</v>
      </c>
      <c r="P4" s="354">
        <f ca="1">N4-O4</f>
        <v>1127.3142338786274</v>
      </c>
      <c r="S4" s="427" t="s">
        <v>635</v>
      </c>
      <c r="T4" s="422">
        <f ca="1">SUMPRODUCT(INDIRECT(CONCATENATE(V4,":",W4)),INDIRECT(CONCATENATE(AV2,":",AW2)),INDIRECT(CONCATENATE(AV3,":",AW3)))</f>
        <v>8113130.501208256</v>
      </c>
      <c r="V4" s="30" t="str">
        <f>ADDRESS(ROW(K22),COLUMN(K22))</f>
        <v>$K$22</v>
      </c>
      <c r="W4" s="30" t="str">
        <f ca="1">GetEnd($AV$1,V4)</f>
        <v>$K$31</v>
      </c>
      <c r="AF4" s="28"/>
      <c r="AG4" s="103" t="s">
        <v>32</v>
      </c>
      <c r="AH4" s="104">
        <f>GetRcptIndexCol($AH$12,$AH$13)</f>
        <v>71</v>
      </c>
      <c r="AI4" s="29"/>
      <c r="AJ4" s="103" t="s">
        <v>72</v>
      </c>
      <c r="AK4" s="104">
        <f>GetNymexCol(AK3)</f>
        <v>3</v>
      </c>
      <c r="AL4" s="34">
        <v>1</v>
      </c>
      <c r="AM4" s="45">
        <f t="shared" ref="AM4:AM15" si="0">GetVolume($AH$12,$AH$13,AT4)</f>
        <v>0</v>
      </c>
      <c r="AN4" s="46">
        <f t="shared" ref="AN4:AN15" si="1">GetCommodity($AH$12,$AH$13,AT4)</f>
        <v>0</v>
      </c>
      <c r="AO4" s="47">
        <f t="shared" ref="AO4:AO15" si="2">GetFuelRate($AH$12,$AH$13,AT4)</f>
        <v>0</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$Q$31</v>
      </c>
      <c r="AX4" s="339" t="str">
        <f>ADDRESS(ROW($K$22),COLUMN($K$22))</f>
        <v>$K$22</v>
      </c>
      <c r="AY4" s="138" t="str">
        <f ca="1">GetEnd($AV$1,AX4)</f>
        <v>$K$31</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9584211.7563557047</v>
      </c>
      <c r="O5" s="352">
        <v>9582537.5099999998</v>
      </c>
      <c r="P5" s="355">
        <f ca="1">N5-O5</f>
        <v>1674.2463557049632</v>
      </c>
      <c r="S5" s="428" t="s">
        <v>636</v>
      </c>
      <c r="T5" s="423">
        <f ca="1">SUMPRODUCT(INDIRECT(CONCATENATE(V5,":",W5)),INDIRECT(CONCATENATE(AV2,":",AW2)),INDIRECT(CONCATENATE(AV3,":",AW3)))</f>
        <v>8353.7430256228545</v>
      </c>
      <c r="V5" s="30" t="str">
        <f>ADDRESS(ROW(L22),COLUMN(L22))</f>
        <v>$L$22</v>
      </c>
      <c r="W5" s="30" t="str">
        <f ca="1">GetEnd($AV$1,V5)</f>
        <v>$L$31</v>
      </c>
      <c r="AF5" s="28"/>
      <c r="AG5" s="103" t="s">
        <v>33</v>
      </c>
      <c r="AH5" s="104">
        <f>GetDelBasisCol($AH$12,$AH$13)</f>
        <v>66</v>
      </c>
      <c r="AI5" s="29"/>
      <c r="AJ5" s="103" t="s">
        <v>77</v>
      </c>
      <c r="AK5" s="104" t="str">
        <f>LiborCurve</f>
        <v>Libor AA</v>
      </c>
      <c r="AL5" s="34">
        <v>2</v>
      </c>
      <c r="AM5" s="37">
        <f t="shared" si="0"/>
        <v>0</v>
      </c>
      <c r="AN5" s="38">
        <f t="shared" si="1"/>
        <v>0</v>
      </c>
      <c r="AO5" s="39">
        <f t="shared" si="2"/>
        <v>0</v>
      </c>
      <c r="AP5" s="38">
        <f t="shared" si="3"/>
        <v>0</v>
      </c>
      <c r="AQ5" s="38">
        <f t="shared" si="4"/>
        <v>0</v>
      </c>
      <c r="AR5" s="133">
        <f t="shared" si="5"/>
        <v>0</v>
      </c>
      <c r="AS5" s="40">
        <f t="shared" si="6"/>
        <v>0</v>
      </c>
      <c r="AT5" s="35">
        <f t="shared" si="7"/>
        <v>-1</v>
      </c>
      <c r="AV5" s="339" t="str">
        <f>ADDRESS(ROW($V$22),COLUMN($V$22))</f>
        <v>$V$22</v>
      </c>
      <c r="AW5" s="138" t="str">
        <f ca="1">GetEnd($AV$1,AV5)</f>
        <v>$V$31</v>
      </c>
      <c r="AX5" s="339" t="str">
        <f>ADDRESS(ROW($L$22),COLUMN($L$22))</f>
        <v>$L$22</v>
      </c>
      <c r="AY5" s="138" t="str">
        <f ca="1">GetEnd($AV$1,AX5)</f>
        <v>$L$31</v>
      </c>
      <c r="BV5" s="266">
        <f>O2</f>
        <v>37239</v>
      </c>
    </row>
    <row r="6" spans="1:102" x14ac:dyDescent="0.25">
      <c r="A6" s="269" t="str">
        <f>ADDRESS(ROW($BW$2),COLUMN($BW$2))</f>
        <v>$BW$2</v>
      </c>
      <c r="F6" s="187"/>
      <c r="G6" s="187"/>
      <c r="L6" s="704" t="s">
        <v>149</v>
      </c>
      <c r="M6" s="705"/>
      <c r="N6" s="356">
        <f ca="1">N4-N5</f>
        <v>-1462727.5121218264</v>
      </c>
      <c r="O6" s="357">
        <v>-1462180.59</v>
      </c>
      <c r="P6" s="358">
        <f ca="1">N6-O6</f>
        <v>-546.92212182632647</v>
      </c>
      <c r="S6" s="428" t="s">
        <v>637</v>
      </c>
      <c r="T6" s="424">
        <f ca="1">SUMPRODUCT(INDIRECT(CONCATENATE(V6,":",W6)),INDIRECT(CONCATENATE(AV3,":",AW3)),INDIRECT(CONCATENATE(AX3,":",AY3)))</f>
        <v>62316071.237683386</v>
      </c>
      <c r="V6" s="30" t="str">
        <f>ADDRESS(ROW(G22),COLUMN(G22))</f>
        <v>$G$22</v>
      </c>
      <c r="W6" s="30" t="str">
        <f ca="1">GetEnd($AV$1,V6)</f>
        <v>$G$31</v>
      </c>
      <c r="AF6" s="28"/>
      <c r="AG6" s="103" t="s">
        <v>34</v>
      </c>
      <c r="AH6" s="104">
        <f>GetDelIndexCol($AH$12,$AH$13)</f>
        <v>67</v>
      </c>
      <c r="AI6" s="29"/>
      <c r="AJ6" s="103" t="s">
        <v>79</v>
      </c>
      <c r="AK6" s="104">
        <f>GetLiborCol(AK5)</f>
        <v>4</v>
      </c>
      <c r="AL6" s="34">
        <v>3</v>
      </c>
      <c r="AM6" s="37">
        <f t="shared" si="0"/>
        <v>0</v>
      </c>
      <c r="AN6" s="38">
        <f t="shared" si="1"/>
        <v>0</v>
      </c>
      <c r="AO6" s="39">
        <f t="shared" si="2"/>
        <v>0</v>
      </c>
      <c r="AP6" s="38">
        <f t="shared" si="3"/>
        <v>0</v>
      </c>
      <c r="AQ6" s="38">
        <f t="shared" si="4"/>
        <v>0</v>
      </c>
      <c r="AR6" s="133">
        <f t="shared" si="5"/>
        <v>0</v>
      </c>
      <c r="AS6" s="40">
        <f t="shared" si="6"/>
        <v>0</v>
      </c>
      <c r="AT6" s="35">
        <f t="shared" si="7"/>
        <v>-1</v>
      </c>
      <c r="AX6" s="339"/>
      <c r="AY6" s="138"/>
    </row>
    <row r="7" spans="1:102" x14ac:dyDescent="0.25">
      <c r="A7" s="269" t="str">
        <f>ADDRESS(ROW($AH$12),COLUMN($AH$12))</f>
        <v>$AH$12</v>
      </c>
      <c r="F7" s="186" t="s">
        <v>25</v>
      </c>
      <c r="G7" s="189">
        <f>GetMonthStart($AH$12,$AH$13,G5)</f>
        <v>37347</v>
      </c>
      <c r="L7" s="706" t="s">
        <v>625</v>
      </c>
      <c r="M7" s="707"/>
      <c r="N7" s="352">
        <f t="array" aca="1" ref="N7" ca="1">SUM((INDIRECT(CONCATENATE(AV7,":",AW7))-INDIRECT(CONCATENATE(AX18,":",AY18)))*INDIRECT(CONCATENATE(AX7,":",AY7))*INDIRECT(CONCATENATE(AV3,":",AW3)))</f>
        <v>0</v>
      </c>
      <c r="O7" s="421">
        <v>44992.92</v>
      </c>
      <c r="P7" s="355">
        <f ca="1">N7</f>
        <v>0</v>
      </c>
      <c r="S7" s="428" t="s">
        <v>638</v>
      </c>
      <c r="T7" s="425">
        <f ca="1">T5/T6</f>
        <v>1.3405439174366999E-4</v>
      </c>
      <c r="AF7" s="28"/>
      <c r="AG7" s="103" t="s">
        <v>76</v>
      </c>
      <c r="AH7" s="104">
        <f>GetRcptOmicronCol($AH$12,$AH$13)</f>
        <v>19</v>
      </c>
      <c r="AI7" s="29"/>
      <c r="AJ7" s="103" t="s">
        <v>80</v>
      </c>
      <c r="AK7" s="104" t="str">
        <f>Configuration!$D$8</f>
        <v>Nymex Vol</v>
      </c>
      <c r="AL7" s="34">
        <v>4</v>
      </c>
      <c r="AM7" s="37">
        <f t="shared" si="0"/>
        <v>225000</v>
      </c>
      <c r="AN7" s="38">
        <f t="shared" si="1"/>
        <v>5.5199999999999999E-2</v>
      </c>
      <c r="AO7" s="39">
        <f t="shared" si="2"/>
        <v>1.37E-2</v>
      </c>
      <c r="AP7" s="38">
        <f t="shared" si="3"/>
        <v>0</v>
      </c>
      <c r="AQ7" s="38">
        <f t="shared" si="4"/>
        <v>0</v>
      </c>
      <c r="AR7" s="133">
        <f t="shared" si="5"/>
        <v>0</v>
      </c>
      <c r="AS7" s="40">
        <f t="shared" si="6"/>
        <v>0.15379999999999999</v>
      </c>
      <c r="AT7" s="35">
        <f t="shared" si="7"/>
        <v>1</v>
      </c>
      <c r="AU7" s="361" t="s">
        <v>574</v>
      </c>
      <c r="AV7" s="339" t="str">
        <f>ADDRESS(ROW($AL$22),COLUMN($AL$22))</f>
        <v>$AL$22</v>
      </c>
      <c r="AW7" s="138" t="str">
        <f t="shared" ref="AW7:AW17" ca="1" si="8">GetEnd($AV$1,AV7)</f>
        <v>$AL$31</v>
      </c>
      <c r="AX7" s="339" t="str">
        <f>ADDRESS(ROW($AV$22),COLUMN($AV$22))</f>
        <v>$AV$22</v>
      </c>
      <c r="AY7" s="138" t="str">
        <f t="shared" ref="AY7:AY13" ca="1" si="9">GetEnd($AV$1,AX7)</f>
        <v>$AV$31</v>
      </c>
    </row>
    <row r="8" spans="1:102" x14ac:dyDescent="0.25">
      <c r="A8" s="270" t="s">
        <v>224</v>
      </c>
      <c r="F8" s="186" t="s">
        <v>26</v>
      </c>
      <c r="G8" s="190">
        <f>GetMonthEnd($AH$12,$AH$13)</f>
        <v>37621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$P$31</v>
      </c>
      <c r="Y8" s="334">
        <f ca="1">SUMIF(INDIRECT(CONCATENATE(V8,":",W8)),"&gt;0",INDIRECT(CONCATENATE(V8,":",W8)))</f>
        <v>9</v>
      </c>
      <c r="Z8" s="334">
        <f ca="1">COUNTIF(INDIRECT(CONCATENATE(V8,":",W8)),"&gt;0")</f>
        <v>9</v>
      </c>
      <c r="AF8" s="28"/>
      <c r="AG8" s="103" t="s">
        <v>75</v>
      </c>
      <c r="AH8" s="105">
        <f>GetDelOmicronCol($AH$12,$AH$13)</f>
        <v>19</v>
      </c>
      <c r="AI8" s="29"/>
      <c r="AJ8" s="103" t="s">
        <v>81</v>
      </c>
      <c r="AK8" s="104">
        <f>GetNGOmicronCol(AK7)</f>
        <v>5</v>
      </c>
      <c r="AL8" s="34">
        <v>5</v>
      </c>
      <c r="AM8" s="37">
        <f t="shared" si="0"/>
        <v>225000</v>
      </c>
      <c r="AN8" s="38">
        <f t="shared" si="1"/>
        <v>5.5199999999999999E-2</v>
      </c>
      <c r="AO8" s="39">
        <f t="shared" si="2"/>
        <v>1.37E-2</v>
      </c>
      <c r="AP8" s="38">
        <f t="shared" si="3"/>
        <v>0</v>
      </c>
      <c r="AQ8" s="38">
        <f t="shared" si="4"/>
        <v>0</v>
      </c>
      <c r="AR8" s="133">
        <f t="shared" si="5"/>
        <v>0</v>
      </c>
      <c r="AS8" s="40">
        <f t="shared" si="6"/>
        <v>0.15379999999999999</v>
      </c>
      <c r="AT8" s="35">
        <f t="shared" si="7"/>
        <v>1</v>
      </c>
      <c r="AU8" s="362" t="s">
        <v>575</v>
      </c>
      <c r="AV8" s="339" t="str">
        <f>ADDRESS(ROW($AM$22),COLUMN($AM$22))</f>
        <v>$AM$22</v>
      </c>
      <c r="AW8" s="138" t="str">
        <f t="shared" ca="1" si="8"/>
        <v>$AM$31</v>
      </c>
      <c r="AX8" s="339" t="str">
        <f>ADDRESS(ROW($AO$22),COLUMN($AO$22))</f>
        <v>$AO$22</v>
      </c>
      <c r="AY8" s="138" t="str">
        <f t="shared" ca="1" si="9"/>
        <v>$AO$31</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56</v>
      </c>
      <c r="AL9" s="34">
        <v>6</v>
      </c>
      <c r="AM9" s="37">
        <f t="shared" si="0"/>
        <v>225000</v>
      </c>
      <c r="AN9" s="38">
        <f t="shared" si="1"/>
        <v>5.5199999999999999E-2</v>
      </c>
      <c r="AO9" s="39">
        <f t="shared" si="2"/>
        <v>1.37E-2</v>
      </c>
      <c r="AP9" s="38">
        <f t="shared" si="3"/>
        <v>0</v>
      </c>
      <c r="AQ9" s="38">
        <f t="shared" si="4"/>
        <v>0</v>
      </c>
      <c r="AR9" s="133">
        <f t="shared" si="5"/>
        <v>0</v>
      </c>
      <c r="AS9" s="40">
        <f t="shared" si="6"/>
        <v>0.15379999999999999</v>
      </c>
      <c r="AT9" s="35">
        <f t="shared" si="7"/>
        <v>1</v>
      </c>
      <c r="AU9" s="361" t="s">
        <v>578</v>
      </c>
      <c r="AV9" s="339" t="str">
        <f>ADDRESS(ROW($AN$22),COLUMN($AN$22))</f>
        <v>$AN$22</v>
      </c>
      <c r="AW9" s="138" t="str">
        <f t="shared" ca="1" si="8"/>
        <v>$AN$31</v>
      </c>
      <c r="AX9" s="339" t="str">
        <f>ADDRESS(ROW($AP$22),COLUMN($AP$22))</f>
        <v>$AP$22</v>
      </c>
      <c r="AY9" s="138" t="str">
        <f t="shared" ca="1" si="9"/>
        <v>$AP$31</v>
      </c>
    </row>
    <row r="10" spans="1:102" x14ac:dyDescent="0.25">
      <c r="A10" s="270" t="s">
        <v>224</v>
      </c>
      <c r="D10" s="718" t="s">
        <v>154</v>
      </c>
      <c r="E10" s="719"/>
      <c r="F10" s="719"/>
      <c r="G10" s="719"/>
      <c r="H10" s="720"/>
      <c r="K10" s="29">
        <f>SUMPRODUCT(L22:L31,F22:F31)</f>
        <v>8353.7430256228545</v>
      </c>
      <c r="L10" s="706" t="s">
        <v>628</v>
      </c>
      <c r="M10" s="707"/>
      <c r="N10" s="352">
        <f ca="1">-SUMPRODUCT(INDIRECT(CONCATENATE(AV10,":",AW10)),INDIRECT(CONCATENATE($AX$7,":",$AY$7)),INDIRECT(CONCATENATE($AV$3,":",$AW$3)))</f>
        <v>-2632034.5107833683</v>
      </c>
      <c r="O10" s="352">
        <v>-2631572.35</v>
      </c>
      <c r="P10" s="355">
        <f t="shared" ref="P10:P19" ca="1" si="10">N10-O10</f>
        <v>-462.16078336816281</v>
      </c>
      <c r="AF10" s="28"/>
      <c r="AG10" s="103" t="s">
        <v>142</v>
      </c>
      <c r="AH10" s="119" t="b">
        <f>GetGRIFactor($AH$12,$AH$13)</f>
        <v>0</v>
      </c>
      <c r="AI10" s="29"/>
      <c r="AJ10" s="29"/>
      <c r="AK10" s="29"/>
      <c r="AL10" s="34">
        <v>7</v>
      </c>
      <c r="AM10" s="37">
        <f t="shared" si="0"/>
        <v>225000</v>
      </c>
      <c r="AN10" s="38">
        <f t="shared" si="1"/>
        <v>5.5199999999999999E-2</v>
      </c>
      <c r="AO10" s="39">
        <f t="shared" si="2"/>
        <v>1.37E-2</v>
      </c>
      <c r="AP10" s="38">
        <f t="shared" si="3"/>
        <v>0</v>
      </c>
      <c r="AQ10" s="38">
        <f t="shared" si="4"/>
        <v>0</v>
      </c>
      <c r="AR10" s="133">
        <f t="shared" si="5"/>
        <v>0</v>
      </c>
      <c r="AS10" s="40">
        <f t="shared" si="6"/>
        <v>0.15379999999999999</v>
      </c>
      <c r="AT10" s="35">
        <f t="shared" si="7"/>
        <v>1</v>
      </c>
      <c r="AU10" s="361" t="s">
        <v>577</v>
      </c>
      <c r="AV10" s="339" t="str">
        <f>ADDRESS(ROW($AS$22),COLUMN($AS$22))</f>
        <v>$AS$22</v>
      </c>
      <c r="AW10" s="138" t="str">
        <f t="shared" ca="1" si="8"/>
        <v>$AS$31</v>
      </c>
      <c r="AX10" s="339" t="str">
        <f>ADDRESS(ROW($CC$22),COLUMN($CC$22))</f>
        <v>$CC$22</v>
      </c>
      <c r="AY10" s="138" t="str">
        <f t="shared" ca="1" si="9"/>
        <v>$CC$31</v>
      </c>
    </row>
    <row r="11" spans="1:102" x14ac:dyDescent="0.25">
      <c r="A11" s="270" t="s">
        <v>224</v>
      </c>
      <c r="D11" s="166" t="str">
        <f>IF(ISERROR($AH$13),"Check Contract Index to make sure it is valid","")</f>
        <v/>
      </c>
      <c r="E11" s="167"/>
      <c r="F11" s="168"/>
      <c r="G11" s="168"/>
      <c r="H11" s="169"/>
      <c r="K11" s="29">
        <f>SUMPRODUCT(K22:K31,F22:F31)</f>
        <v>8113130.501208256</v>
      </c>
      <c r="L11" s="704" t="s">
        <v>629</v>
      </c>
      <c r="M11" s="705"/>
      <c r="N11" s="356">
        <f ca="1">-SUMPRODUCT(INDIRECT(CONCATENATE(AV11,":",AW11)),INDIRECT(CONCATENATE($AV$2,":",$AW$2)),INDIRECT(CONCATENATE($AV$3,":",$AW$3)),INDIRECT(CONCATENATE(AX3,":",AY3)))</f>
        <v>-3490020</v>
      </c>
      <c r="O11" s="357">
        <v>-3490020</v>
      </c>
      <c r="P11" s="358">
        <f t="shared" ca="1" si="10"/>
        <v>0</v>
      </c>
      <c r="AL11" s="34">
        <v>8</v>
      </c>
      <c r="AM11" s="37">
        <f t="shared" si="0"/>
        <v>225000</v>
      </c>
      <c r="AN11" s="38">
        <f t="shared" si="1"/>
        <v>5.5199999999999999E-2</v>
      </c>
      <c r="AO11" s="39">
        <f t="shared" si="2"/>
        <v>1.37E-2</v>
      </c>
      <c r="AP11" s="38">
        <f t="shared" si="3"/>
        <v>0</v>
      </c>
      <c r="AQ11" s="38">
        <f t="shared" si="4"/>
        <v>0</v>
      </c>
      <c r="AR11" s="133">
        <f t="shared" si="5"/>
        <v>0</v>
      </c>
      <c r="AS11" s="40">
        <f t="shared" si="6"/>
        <v>0.15379999999999999</v>
      </c>
      <c r="AT11" s="35">
        <f t="shared" si="7"/>
        <v>1</v>
      </c>
      <c r="AU11" s="361" t="s">
        <v>579</v>
      </c>
      <c r="AV11" s="339" t="str">
        <f>ADDRESS(ROW($AQ$22),COLUMN($AQ$22))</f>
        <v>$AQ$22</v>
      </c>
      <c r="AW11" s="138" t="str">
        <f t="shared" ca="1" si="8"/>
        <v>$AQ$31</v>
      </c>
      <c r="AX11" s="339" t="str">
        <f>ADDRESS(ROW($CD$22),COLUMN($CD$22))</f>
        <v>$CD$22</v>
      </c>
      <c r="AY11" s="138" t="str">
        <f t="shared" ca="1" si="9"/>
        <v>$CD$31</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-44852.33</v>
      </c>
      <c r="P12" s="355">
        <f t="shared" ca="1" si="10"/>
        <v>44852.33</v>
      </c>
      <c r="AG12" s="248" t="s">
        <v>185</v>
      </c>
      <c r="AH12" s="119" t="str">
        <f>GetDBPage($D$2)</f>
        <v>Contract DB (West)</v>
      </c>
      <c r="AL12" s="34">
        <v>9</v>
      </c>
      <c r="AM12" s="37">
        <f t="shared" si="0"/>
        <v>225000</v>
      </c>
      <c r="AN12" s="38">
        <f t="shared" si="1"/>
        <v>5.5199999999999999E-2</v>
      </c>
      <c r="AO12" s="39">
        <f t="shared" si="2"/>
        <v>1.37E-2</v>
      </c>
      <c r="AP12" s="38">
        <f t="shared" si="3"/>
        <v>0</v>
      </c>
      <c r="AQ12" s="38">
        <f t="shared" si="4"/>
        <v>0</v>
      </c>
      <c r="AR12" s="133">
        <f t="shared" si="5"/>
        <v>0</v>
      </c>
      <c r="AS12" s="40">
        <f t="shared" si="6"/>
        <v>0.15379999999999999</v>
      </c>
      <c r="AT12" s="35">
        <f t="shared" si="7"/>
        <v>1</v>
      </c>
      <c r="AU12" s="361" t="s">
        <v>271</v>
      </c>
      <c r="AV12" s="339" t="str">
        <f>ADDRESS(ROW($X$22),COLUMN($X$22))</f>
        <v>$X$22</v>
      </c>
      <c r="AW12" s="138" t="str">
        <f t="shared" ca="1" si="8"/>
        <v>$X$31</v>
      </c>
      <c r="AX12" s="339" t="str">
        <f>ADDRESS(ROW($CE$22),COLUMN($CE$22))</f>
        <v>$CE$22</v>
      </c>
      <c r="AY12" s="138" t="str">
        <f t="shared" ca="1" si="9"/>
        <v>$CE$31</v>
      </c>
    </row>
    <row r="13" spans="1:102" x14ac:dyDescent="0.25">
      <c r="A13" s="270" t="s">
        <v>224</v>
      </c>
      <c r="D13" s="170"/>
      <c r="E13" s="171"/>
      <c r="F13" s="172"/>
      <c r="G13" s="172"/>
      <c r="H13" s="173"/>
      <c r="L13" s="706" t="s">
        <v>155</v>
      </c>
      <c r="M13" s="707"/>
      <c r="N13" s="352">
        <f t="shared" ca="1" si="11"/>
        <v>0</v>
      </c>
      <c r="O13" s="352">
        <v>-0.02</v>
      </c>
      <c r="P13" s="355">
        <f t="shared" ca="1" si="10"/>
        <v>0.02</v>
      </c>
      <c r="AG13" s="248" t="s">
        <v>186</v>
      </c>
      <c r="AH13" s="119">
        <f>GetRecNdx($AH$12,$D$2)</f>
        <v>6</v>
      </c>
      <c r="AL13" s="34">
        <v>10</v>
      </c>
      <c r="AM13" s="37">
        <f t="shared" si="0"/>
        <v>225000</v>
      </c>
      <c r="AN13" s="38">
        <f t="shared" si="1"/>
        <v>5.5199999999999999E-2</v>
      </c>
      <c r="AO13" s="39">
        <f t="shared" si="2"/>
        <v>1.37E-2</v>
      </c>
      <c r="AP13" s="38">
        <f t="shared" si="3"/>
        <v>0</v>
      </c>
      <c r="AQ13" s="38">
        <f t="shared" si="4"/>
        <v>0</v>
      </c>
      <c r="AR13" s="133">
        <f t="shared" si="5"/>
        <v>0</v>
      </c>
      <c r="AS13" s="40">
        <f t="shared" si="6"/>
        <v>0.15379999999999999</v>
      </c>
      <c r="AT13" s="35">
        <f t="shared" si="7"/>
        <v>1</v>
      </c>
      <c r="AU13" s="361" t="s">
        <v>155</v>
      </c>
      <c r="AV13" s="339" t="str">
        <f>ADDRESS(ROW($Y$22),COLUMN($Y$22))</f>
        <v>$Y$22</v>
      </c>
      <c r="AW13" s="138" t="str">
        <f t="shared" ca="1" si="8"/>
        <v>$Y$31</v>
      </c>
      <c r="AX13" s="339" t="str">
        <f>ADDRESS(ROW($CF$22),COLUMN($CF$22))</f>
        <v>$CF$22</v>
      </c>
      <c r="AY13" s="138" t="str">
        <f t="shared" ca="1" si="9"/>
        <v>$CF$31</v>
      </c>
    </row>
    <row r="14" spans="1:102" x14ac:dyDescent="0.25">
      <c r="A14" s="270" t="s">
        <v>224</v>
      </c>
      <c r="D14" s="170"/>
      <c r="E14" s="171"/>
      <c r="F14" s="172"/>
      <c r="G14" s="172"/>
      <c r="H14" s="173"/>
      <c r="K14" s="185"/>
      <c r="L14" s="706" t="s">
        <v>156</v>
      </c>
      <c r="M14" s="707"/>
      <c r="N14" s="352">
        <f t="shared" ca="1" si="11"/>
        <v>1095.2905084416761</v>
      </c>
      <c r="O14" s="352">
        <v>365.03</v>
      </c>
      <c r="P14" s="355">
        <f t="shared" ca="1" si="10"/>
        <v>730.26050844167617</v>
      </c>
      <c r="S14" s="181">
        <f>F22/(1-AR22)*AH22*AU22</f>
        <v>6800796.6950280257</v>
      </c>
      <c r="T14" s="181">
        <f>F22*AH22*AU22</f>
        <v>6707625.7803061418</v>
      </c>
      <c r="AL14" s="34">
        <v>11</v>
      </c>
      <c r="AM14" s="37">
        <f t="shared" si="0"/>
        <v>270000</v>
      </c>
      <c r="AN14" s="38">
        <f t="shared" si="1"/>
        <v>5.5199999999999999E-2</v>
      </c>
      <c r="AO14" s="39">
        <f t="shared" si="2"/>
        <v>1.37E-2</v>
      </c>
      <c r="AP14" s="38">
        <f t="shared" si="3"/>
        <v>0</v>
      </c>
      <c r="AQ14" s="38">
        <f t="shared" si="4"/>
        <v>0</v>
      </c>
      <c r="AR14" s="133">
        <f t="shared" si="5"/>
        <v>0</v>
      </c>
      <c r="AS14" s="40">
        <f t="shared" si="6"/>
        <v>0.15379999999999999</v>
      </c>
      <c r="AT14" s="35">
        <f t="shared" si="7"/>
        <v>2</v>
      </c>
      <c r="AU14" s="361" t="s">
        <v>156</v>
      </c>
      <c r="AV14" s="339" t="str">
        <f>ADDRESS(ROW($Z$22),COLUMN($Z$22))</f>
        <v>$Z$22</v>
      </c>
      <c r="AW14" s="138" t="str">
        <f t="shared" ca="1" si="8"/>
        <v>$Z$31</v>
      </c>
      <c r="AX14" s="353" t="str">
        <f ca="1">CONCATENATE(AX8,":",AY8)</f>
        <v>$AO$22:$AO$31</v>
      </c>
      <c r="AY14" s="353" t="str">
        <f ca="1">CONCATENATE(AX10,":",AY10)</f>
        <v>$CC$22:$CC$31</v>
      </c>
    </row>
    <row r="15" spans="1:102" ht="13.8" thickBot="1" x14ac:dyDescent="0.3">
      <c r="A15" s="270" t="s">
        <v>224</v>
      </c>
      <c r="D15" s="170"/>
      <c r="E15" s="171"/>
      <c r="F15" s="172"/>
      <c r="G15" s="172"/>
      <c r="H15" s="173"/>
      <c r="L15" s="706" t="s">
        <v>157</v>
      </c>
      <c r="M15" s="707"/>
      <c r="N15" s="352">
        <f t="shared" ca="1" si="11"/>
        <v>36.972662347470653</v>
      </c>
      <c r="O15" s="352">
        <v>595.33000000000004</v>
      </c>
      <c r="P15" s="355">
        <f t="shared" ca="1" si="10"/>
        <v>-558.3573376525294</v>
      </c>
      <c r="AL15" s="34">
        <v>12</v>
      </c>
      <c r="AM15" s="41">
        <f t="shared" si="0"/>
        <v>225000</v>
      </c>
      <c r="AN15" s="42">
        <f t="shared" si="1"/>
        <v>5.5199999999999999E-2</v>
      </c>
      <c r="AO15" s="43">
        <f t="shared" si="2"/>
        <v>1.37E-2</v>
      </c>
      <c r="AP15" s="42">
        <f t="shared" si="3"/>
        <v>0</v>
      </c>
      <c r="AQ15" s="42">
        <f t="shared" si="4"/>
        <v>0</v>
      </c>
      <c r="AR15" s="134">
        <f t="shared" si="5"/>
        <v>0</v>
      </c>
      <c r="AS15" s="44">
        <f t="shared" si="6"/>
        <v>0.15379999999999999</v>
      </c>
      <c r="AT15" s="35">
        <f t="shared" si="7"/>
        <v>1</v>
      </c>
      <c r="AU15" s="363" t="s">
        <v>157</v>
      </c>
      <c r="AV15" s="339" t="str">
        <f>ADDRESS(ROW($AA$22),COLUMN($AA$22))</f>
        <v>$AA$22</v>
      </c>
      <c r="AW15" s="138" t="str">
        <f t="shared" ca="1" si="8"/>
        <v>$AA$31</v>
      </c>
      <c r="AX15" s="353" t="str">
        <f ca="1">CONCATENATE(AV8,":",AW8)</f>
        <v>$AM$22:$AM$31</v>
      </c>
      <c r="AY15" s="353" t="str">
        <f ca="1">CONCATENATE(AX11,":",AY11)</f>
        <v>$CD$22:$CD$31</v>
      </c>
    </row>
    <row r="16" spans="1:102" x14ac:dyDescent="0.25">
      <c r="D16" s="174"/>
      <c r="E16" s="175"/>
      <c r="F16" s="176"/>
      <c r="G16" s="176"/>
      <c r="H16" s="177"/>
      <c r="L16" s="706" t="s">
        <v>158</v>
      </c>
      <c r="M16" s="707"/>
      <c r="N16" s="352">
        <f t="shared" ca="1" si="11"/>
        <v>0</v>
      </c>
      <c r="O16" s="352">
        <v>322.98</v>
      </c>
      <c r="P16" s="355">
        <f t="shared" ca="1" si="10"/>
        <v>-322.98</v>
      </c>
      <c r="AU16" s="361" t="s">
        <v>158</v>
      </c>
      <c r="AV16" s="339" t="str">
        <f>ADDRESS(ROW($AB$22),COLUMN($AB$22))</f>
        <v>$AB$22</v>
      </c>
      <c r="AW16" s="138" t="str">
        <f t="shared" ca="1" si="8"/>
        <v>$AB$31</v>
      </c>
      <c r="AX16" s="353" t="str">
        <f ca="1">CONCATENATE(AX9,":",AY9)</f>
        <v>$AP$22:$AP$31</v>
      </c>
      <c r="AY16" s="353" t="str">
        <f ca="1">CONCATENATE(AX12,":",AY12)</f>
        <v>$CE$22:$CE$31</v>
      </c>
    </row>
    <row r="17" spans="1:91" x14ac:dyDescent="0.25">
      <c r="D17" s="171"/>
      <c r="E17" s="171"/>
      <c r="F17" s="172"/>
      <c r="G17" s="172"/>
      <c r="H17" s="172"/>
      <c r="L17" s="704" t="s">
        <v>211</v>
      </c>
      <c r="M17" s="705"/>
      <c r="N17" s="356">
        <f t="shared" ca="1" si="11"/>
        <v>1421.2268684105836</v>
      </c>
      <c r="O17" s="357">
        <v>470.42</v>
      </c>
      <c r="P17" s="358">
        <f t="shared" ca="1" si="10"/>
        <v>950.80686841058355</v>
      </c>
      <c r="AU17" s="361" t="s">
        <v>211</v>
      </c>
      <c r="AV17" s="339" t="str">
        <f>ADDRESS(ROW($AC$22),COLUMN($AC$22))</f>
        <v>$AC$22</v>
      </c>
      <c r="AW17" s="138" t="str">
        <f t="shared" ca="1" si="8"/>
        <v>$AC$31</v>
      </c>
      <c r="AX17" s="353" t="str">
        <f ca="1">CONCATENATE(AV9,":",AW9)</f>
        <v>$AN$22:$AN$31</v>
      </c>
      <c r="AY17" s="353" t="str">
        <f ca="1">CONCATENATE(AX13,":",AY13)</f>
        <v>$CF$22:$CF$31</v>
      </c>
    </row>
    <row r="18" spans="1:91" x14ac:dyDescent="0.25">
      <c r="D18" s="171"/>
      <c r="E18" s="171"/>
      <c r="F18" s="172"/>
      <c r="G18" s="172"/>
      <c r="H18" s="172"/>
      <c r="L18" s="706" t="s">
        <v>623</v>
      </c>
      <c r="M18" s="707"/>
      <c r="N18" s="352">
        <f ca="1">SUMPRODUCT(INDIRECT(CONCATENATE(AX4,":",AY4)),INDIRECT(CONCATENATE($AV$2,":",$AW$2)),INDIRECT(CONCATENATE($AV$3,":",$AW$3)))</f>
        <v>8113130.501208256</v>
      </c>
      <c r="O18" s="352">
        <v>8111718.3399999999</v>
      </c>
      <c r="P18" s="355">
        <f t="shared" ca="1" si="10"/>
        <v>1412.1612082561478</v>
      </c>
      <c r="AU18" s="361"/>
      <c r="AV18" s="339"/>
      <c r="AW18" s="138"/>
      <c r="AX18" s="339" t="str">
        <f>ADDRESS(ROW($CI$22),COLUMN($CI$22))</f>
        <v>$CI$22</v>
      </c>
      <c r="AY18" s="138" t="str">
        <f ca="1">GetEnd($AV$1,AX18)</f>
        <v>$CI$31</v>
      </c>
    </row>
    <row r="19" spans="1:91" x14ac:dyDescent="0.25">
      <c r="D19" s="171"/>
      <c r="E19" s="171"/>
      <c r="F19" s="172"/>
      <c r="G19" s="172"/>
      <c r="H19" s="172"/>
      <c r="L19" s="724" t="s">
        <v>624</v>
      </c>
      <c r="M19" s="725"/>
      <c r="N19" s="359">
        <f ca="1">SUMPRODUCT(INDIRECT(CONCATENATE(AX5,":",AY5)),INDIRECT(CONCATENATE($AV$2,":",$AW$2)),INDIRECT(CONCATENATE($AV$3,":",$AW$3)))</f>
        <v>8353.7430256228545</v>
      </c>
      <c r="O19" s="359">
        <v>8638.59</v>
      </c>
      <c r="P19" s="360">
        <f t="shared" ca="1" si="10"/>
        <v>-284.84697437714567</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NGI-SOBDR-PG&amp;E Basis Mid</v>
      </c>
      <c r="T20" s="182" t="str">
        <f>GetDelBasis($AH$12,$AH$13)</f>
        <v>NGI-PGE/CG Basis Mid</v>
      </c>
      <c r="U20" s="158"/>
      <c r="V20" s="158"/>
      <c r="W20" s="158"/>
      <c r="X20" s="158"/>
      <c r="Y20" s="335"/>
      <c r="Z20" s="335"/>
      <c r="AA20" s="335"/>
      <c r="AB20" s="335"/>
      <c r="AC20" s="335"/>
      <c r="AI20" s="138"/>
      <c r="AM20" s="702" t="str">
        <f>GetRcptPoint($AH$12,$AH$13)</f>
        <v>PGE/Topock</v>
      </c>
      <c r="AN20" s="703"/>
      <c r="AO20" s="702" t="str">
        <f>GetDelPoint($AH$12,$AH$13)</f>
        <v>PGE City Gate</v>
      </c>
      <c r="AP20" s="703"/>
      <c r="AQ20" s="137"/>
      <c r="AS20" s="137"/>
      <c r="AU20" s="136" t="s">
        <v>576</v>
      </c>
      <c r="AV20" s="353">
        <f ca="1">SUMPRODUCT(INDIRECT(CONCATENATE(AV8,":",AW8)),INDIRECT(CONCATENATE($AV$2,":",$AW$2)),INDIRECT(CONCATENATE($AV$3,":",$AW$3)),INDIRECT(CONCATENATE(AX3,":",AY3)))</f>
        <v>-216000</v>
      </c>
      <c r="AW20" s="353">
        <f ca="1">SUMPRODUCT(INDIRECT(CONCATENATE(AX8,":",AY8)),INDIRECT(CONCATENATE($AV$2,":",$AW$2)),INDIRECT(CONCATENATE($AV$3,":",$AW$3)),INDIRECT(CONCATENATE(AX3,":",AY3)))</f>
        <v>12429000</v>
      </c>
      <c r="AX20" s="353">
        <f ca="1">SUMPRODUCT(INDIRECT(CONCATENATE(AV9,":",AW9)),INDIRECT(CONCATENATE($AV$2,":",$AW$2)),INDIRECT(CONCATENATE($AV$3,":",$AW$3)),INDIRECT(CONCATENATE(AX3,":",AY3)))</f>
        <v>301500</v>
      </c>
      <c r="AY20" s="353">
        <f ca="1">SUMPRODUCT(INDIRECT(CONCATENATE(AX9,":",AY9)),INDIRECT(CONCATENATE($AV$2,":",$AW$2)),INDIRECT(CONCATENATE($AV$3,":",$AW$3)),INDIRECT(CONCATENATE(AX3,":",AY3)))</f>
        <v>2047500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37361</v>
      </c>
      <c r="F22" s="28">
        <f t="shared" ref="F22:F31" si="12">VLOOKUP(AG22,$AL$4:$AS$15,2)</f>
        <v>225000</v>
      </c>
      <c r="G22" s="28">
        <f t="shared" ref="G22:G31" si="13">F22*$AU22</f>
        <v>223587.52601020472</v>
      </c>
      <c r="H22" s="52">
        <f t="shared" ref="H22:H31" si="14">(AL22+AM22+AN22)/(1-(AR22))</f>
        <v>2.7557538274358717</v>
      </c>
      <c r="I22" s="52">
        <f t="shared" ref="I22:I31" si="15">(AL22+AO22+AP22)</f>
        <v>2.9479999999999995</v>
      </c>
      <c r="K22" s="52">
        <f t="shared" ref="K22:K31" si="16">MAX(((I22-H22)-AQ22)*AU22*AH22,0)</f>
        <v>4.0855752897041242</v>
      </c>
      <c r="L22" s="135">
        <f t="shared" ref="L22:L31" si="17">MAX(Q22-K22,0)</f>
        <v>9.7053989053463852E-5</v>
      </c>
      <c r="N22" s="131">
        <f t="shared" ref="N22:N31" si="18">SQRT(($AX22^2*($AH22/2)+$AW22^2*$AI22)/(($AH22/2)+$AI22))</f>
        <v>0.64163852752153216</v>
      </c>
      <c r="O22" s="131">
        <f t="shared" ref="O22:O31" si="19">SQRT(($AY22^2*($AH22/2)+$AW22^2*$AI22)/(($AH22/2)+$AI22))</f>
        <v>0.64163852752153216</v>
      </c>
      <c r="P22" s="55">
        <f t="shared" ref="P22:P31" si="20">(VLOOKUP(AI22,CorrelationTwo,2)*(AW22^2)*AI22+VLOOKUP(D22,CorrelationOne,$AK$9)*AX22*AY22*(AH22/2))/((AI22+(AH22/2))*O22*N22)*AF22</f>
        <v>1</v>
      </c>
      <c r="Q22" s="135">
        <f>_xll.xSPRDOPT(I22,H22,AQ22,0,O22,N22,P22,D22-$G$5,1,0)*AH22*AU22</f>
        <v>4.0856723436931777</v>
      </c>
      <c r="R22" s="135"/>
      <c r="S22" s="181">
        <f>_xll.xSPRDOPT(I22,H22,AQ22,AT22,O22,N22,P22,D22-$G$5,1,2)*AF22*(F22/(1-AR22))*AH22</f>
        <v>-6799439.4085360449</v>
      </c>
      <c r="T22" s="181">
        <f>_xll.xSPRDOPT(I22,H22,AQ22,AT22,O22,N22,P22,D22-$G$5,1,1)*AF22*F22*AH22</f>
        <v>6706287.0885531539</v>
      </c>
      <c r="U22" s="135"/>
      <c r="V22" s="146">
        <f t="shared" ref="V22:V31" si="21">VLOOKUP($AG22,$AL$4:$AS$15,8)*AH22*AU22</f>
        <v>4.5850348667159313</v>
      </c>
      <c r="W22" s="146"/>
      <c r="X22" s="338">
        <f t="shared" ref="X22:X31" si="22">((BM22*BC22)+(BL22*BB22))*AH22*F22</f>
        <v>0</v>
      </c>
      <c r="Y22" s="338">
        <f t="shared" ref="Y22:Y31" si="23">($F22*$AH22)*((($BG22/2)*($BC22)^2)+(($BF22/2)*($BB22)^2)+($BH22*$BC22*$BB22))</f>
        <v>0</v>
      </c>
      <c r="Z22" s="338">
        <f t="shared" ref="Z22:Z31" si="24">($BI22*$F22*$AH22*($G$5-$BV$5))/365.25</f>
        <v>142.16392863100066</v>
      </c>
      <c r="AA22" s="338">
        <f t="shared" ref="AA22:AA31" si="25">(($BK22*$BE22)+($BJ22*$BD22))*$F22*$AH22*$AF22</f>
        <v>0.35907128015918038</v>
      </c>
      <c r="AB22" s="338">
        <f t="shared" ref="AB22:AB31" si="26">BN22*(AT22-CA22)*F22*AH22</f>
        <v>0</v>
      </c>
      <c r="AC22" s="338">
        <f t="shared" ref="AC22:AC31" si="27">BO22*CB22*F22*AH22*CA22*($G$5-$BV$5)/365.25</f>
        <v>146.62837747490823</v>
      </c>
      <c r="AF22" s="138">
        <f t="shared" ref="AF22:AF31" si="28">IF(AND(D22&gt;=$G$7,D22&lt;=$G$8),1,0)</f>
        <v>1</v>
      </c>
      <c r="AG22" s="138">
        <f t="shared" ref="AG22:AG31" si="29">MONTH(D22)</f>
        <v>4</v>
      </c>
      <c r="AH22" s="138">
        <f t="shared" ref="AH22:AH31" si="30">(EOMONTH(D22,0)-EOMONTH(D22-DAY(D22),0))*AF22</f>
        <v>30</v>
      </c>
      <c r="AI22" s="138">
        <f>MAX(0,(D22-DAY(D22))-$G$5+1)</f>
        <v>105</v>
      </c>
      <c r="AJ22" s="138">
        <f t="shared" ref="AJ22:AJ31" si="31">D22-$BV$5</f>
        <v>122</v>
      </c>
      <c r="AL22" s="136">
        <f t="shared" ref="AL22:AL31" si="32">VLOOKUP($D22,CurveTbl,$AK$4)</f>
        <v>2.8479999999999999</v>
      </c>
      <c r="AM22" s="258">
        <f t="shared" ref="AM22:AM31" si="33">VLOOKUP($D22,CurveTbl,$AH$3)</f>
        <v>-0.13</v>
      </c>
      <c r="AN22" s="258">
        <f t="shared" ref="AN22:AN31" si="34">VLOOKUP($D22,CurveTbl,$AH$4)+VLOOKUP($AG22,$AL$3:$AS$15,6)</f>
        <v>0</v>
      </c>
      <c r="AO22" s="258">
        <f t="shared" ref="AO22:AO31" si="35">VLOOKUP($D22,CurveTbl,$AH$5)</f>
        <v>7.0000000000000007E-2</v>
      </c>
      <c r="AP22" s="258">
        <f t="shared" ref="AP22:AP31" si="36">VLOOKUP($D22,CurveTbl,$AH$6)+VLOOKUP($AG22,$AL$3:$AS$15,7)</f>
        <v>0.03</v>
      </c>
      <c r="AQ22" s="136">
        <f t="shared" ref="AQ22:AQ31" si="37">VLOOKUP($AG22,$AL$4:$AS$15,3)+VLOOKUP($AG22,$AL$4:$AS$15,5)+($AH$10*VLOOKUP(D22,GRITable,2))</f>
        <v>5.5199999999999999E-2</v>
      </c>
      <c r="AR22" s="137">
        <f t="shared" ref="AR22:AR31" si="38">VLOOKUP($AG22,$AL$4:$AS$15,4)</f>
        <v>1.37E-2</v>
      </c>
      <c r="AS22" s="136">
        <f t="shared" ref="AS22:AS31" si="39">(AL22+AM22+AN22)</f>
        <v>2.718</v>
      </c>
      <c r="AT22" s="137">
        <f t="shared" ref="AT22:AT31" si="40">VLOOKUP(D22,CurveTbl,$AK$6)</f>
        <v>1.9422640119623601E-2</v>
      </c>
      <c r="AU22" s="137">
        <f t="shared" ref="AU22:AU31" si="41">(1+$AT22/2)^(-2*($D22-$G$5)/365.25)*$AF22</f>
        <v>0.99372233782313213</v>
      </c>
      <c r="AV22" s="394">
        <f t="shared" ref="AV22:AV31" si="42">ROUND((F22/(1-AR22))-F22,0)*AF22*AH22*AU22</f>
        <v>93161.46917091863</v>
      </c>
      <c r="AW22" s="137">
        <f t="shared" ref="AW22:AW31" si="43">VLOOKUP($D22,CurveTbl,$AK$8)</f>
        <v>0.61</v>
      </c>
      <c r="AX22" s="137">
        <f t="shared" ref="AX22:AX31" si="44">VLOOKUP($D22,CurveTbl,$AH$7)</f>
        <v>0.83</v>
      </c>
      <c r="AY22" s="137">
        <f t="shared" ref="AY22:AY31" si="45">VLOOKUP($D22,CurveTbl,$AH$8)</f>
        <v>0.83</v>
      </c>
      <c r="AZ22" s="137"/>
      <c r="BA22" s="264"/>
      <c r="BB22" s="258">
        <f t="shared" ref="BB22:BB31" si="46">$H22-$BV22</f>
        <v>0</v>
      </c>
      <c r="BC22" s="258">
        <f t="shared" ref="BC22:BC31" si="47">I22-BW22</f>
        <v>0</v>
      </c>
      <c r="BD22" s="137">
        <f t="shared" ref="BD22:BD31" si="48">N22-BX22</f>
        <v>7.530881944529666E-4</v>
      </c>
      <c r="BE22" s="137">
        <f t="shared" ref="BE22:BE31" si="49">O22-BY22</f>
        <v>7.530881944529666E-4</v>
      </c>
      <c r="BF22" s="137">
        <f>_xll.xSPRDOPT($BW22,$BV22,$CG22,0,$BY22,$BX22,$BZ22,$AJ22,1,4)*$CB22</f>
        <v>-1.0067580933421674E-6</v>
      </c>
      <c r="BG22" s="137">
        <f>_xll.xSPRDOPT($BW22,$BV22,$CG22,0,$BY22,$BX22,$BZ22,$AJ22,1,3)*$CB22</f>
        <v>-6.514317074566965E-7</v>
      </c>
      <c r="BH22" s="137">
        <f>IF(OR(BF22&lt;&gt;0,BG22&lt;&gt;0),_xll.xSPRDOPT($BW22,$BV22,$CG22,0,$BY22,$BX22,$BZ22,$AJ22,1,12)*$CB22,0)</f>
        <v>6.514317074566965E-7</v>
      </c>
      <c r="BI22" s="137">
        <f>_xll.xSPRDOPT($BW22,$BV22,$CG22,2*LN(1+CA22/2),$BY22,$BX22,$BZ22,$AJ22,1,9)</f>
        <v>2.5642160460480489E-3</v>
      </c>
      <c r="BJ22" s="137">
        <f>_xll.xSPRDOPT($BW22,$BV22,$CG22,0,$BY22,$BX22,$BZ22,$AJ22,1,6)*$CB22</f>
        <v>-1.0125437079316845E-3</v>
      </c>
      <c r="BK22" s="137">
        <f>_xll.xSPRDOPT($BW22,$BV22,$CG22,0,$BY22,$BX22,$BZ22,$AJ22,1,5)*$CB22</f>
        <v>1.0831805146172655E-3</v>
      </c>
      <c r="BL22" s="137">
        <f>_xll.xSPRDOPT(BW22,BV22,CG22,0,BY22,BX22,BZ22,AJ22,1,2)*CB22</f>
        <v>-0.99339928129515909</v>
      </c>
      <c r="BM22" s="137">
        <f>_xll.xSPRDOPT(BW22,BV22,CG22,0,BY22,BX22,BZ22,AJ22,1,1)*CB22</f>
        <v>0.9933992812825081</v>
      </c>
      <c r="BN22" s="137">
        <f>IF(AH22&lt;&gt;0,_xll.xSPRDOPT($BW22,$BV22,$CG22,2*LN(1+CA22/2),$BY22,$BX22,$BZ22,$AJ22,1,8)+(AJ22/365.25)*CH22/AH22,0)</f>
        <v>5.5588122405326942E-3</v>
      </c>
      <c r="BO22" s="137">
        <f>_xll.xSPRDOPT($BW22,$BV22,$CG22,0,$BY22,$BX22,$BZ22,$AJ22,1,0)</f>
        <v>0.13704994278105589</v>
      </c>
      <c r="BP22" s="137"/>
      <c r="BQ22" s="137"/>
      <c r="BR22" s="137"/>
      <c r="BS22" s="137"/>
      <c r="BV22" s="262">
        <v>2.7557538274358717</v>
      </c>
      <c r="BW22" s="136">
        <v>2.9479999999999995</v>
      </c>
      <c r="BX22" s="137">
        <v>0.6408854393270792</v>
      </c>
      <c r="BY22" s="137">
        <v>0.6408854393270792</v>
      </c>
      <c r="BZ22" s="137">
        <v>1</v>
      </c>
      <c r="CA22" s="137">
        <v>1.9422640119623601E-2</v>
      </c>
      <c r="CB22" s="137">
        <v>0.99356458774998258</v>
      </c>
      <c r="CC22" s="258">
        <v>-0.13</v>
      </c>
      <c r="CD22" s="258">
        <v>0</v>
      </c>
      <c r="CE22" s="258">
        <v>7.0000000000000007E-2</v>
      </c>
      <c r="CF22" s="258">
        <v>0.03</v>
      </c>
      <c r="CG22" s="258">
        <v>5.5199999999999999E-2</v>
      </c>
      <c r="CH22" s="258">
        <v>4.5843070078784196</v>
      </c>
      <c r="CI22" s="258">
        <v>2.8479999999999999</v>
      </c>
      <c r="CJ22" s="258"/>
      <c r="CK22" s="258"/>
      <c r="CL22" s="258"/>
      <c r="CM22" s="258"/>
    </row>
    <row r="23" spans="1:91" x14ac:dyDescent="0.25">
      <c r="A23" s="723"/>
      <c r="B23" s="723"/>
      <c r="D23" s="31">
        <f t="shared" ref="D23:D31" si="50">D22+AH22</f>
        <v>37391</v>
      </c>
      <c r="F23" s="28">
        <f t="shared" si="12"/>
        <v>225000</v>
      </c>
      <c r="G23" s="28">
        <f t="shared" si="13"/>
        <v>223206.73351903405</v>
      </c>
      <c r="H23" s="52">
        <f t="shared" si="14"/>
        <v>2.8044205616952249</v>
      </c>
      <c r="I23" s="52">
        <f t="shared" si="15"/>
        <v>2.9959999999999996</v>
      </c>
      <c r="K23" s="52">
        <f t="shared" si="16"/>
        <v>4.1940670099477808</v>
      </c>
      <c r="L23" s="135">
        <f t="shared" si="17"/>
        <v>1.9250918074043E-4</v>
      </c>
      <c r="N23" s="131">
        <f t="shared" si="18"/>
        <v>0.60151273173988828</v>
      </c>
      <c r="O23" s="131">
        <f t="shared" si="19"/>
        <v>0.60151273173988828</v>
      </c>
      <c r="P23" s="55">
        <f t="shared" si="20"/>
        <v>0.99999999999999978</v>
      </c>
      <c r="Q23" s="135">
        <f>_xll.xSPRDOPT(I23,H23,AQ23,0,O23,N23,P23,D23-$G$5,1,0)*AH23*AU23</f>
        <v>4.1942595191285212</v>
      </c>
      <c r="R23" s="135"/>
      <c r="S23" s="181">
        <f>_xll.xSPRDOPT(I23,H23,AQ23,AT23,O23,N23,P23,D23-$G$5,1,2)*AF23*(F23/(1-AR23))*AH23</f>
        <v>-7012538.2664124398</v>
      </c>
      <c r="T23" s="181">
        <f>_xll.xSPRDOPT(I23,H23,AQ23,AT23,O23,N23,P23,D23-$G$5,1,1)*AF23*F23*AH23</f>
        <v>6916466.492197481</v>
      </c>
      <c r="U23" s="135"/>
      <c r="V23" s="146">
        <f t="shared" si="21"/>
        <v>4.7298002847646687</v>
      </c>
      <c r="W23" s="146"/>
      <c r="X23" s="338">
        <f t="shared" si="22"/>
        <v>0</v>
      </c>
      <c r="Y23" s="338">
        <f t="shared" si="23"/>
        <v>0</v>
      </c>
      <c r="Z23" s="338">
        <f t="shared" si="24"/>
        <v>144.99952679910731</v>
      </c>
      <c r="AA23" s="338">
        <f t="shared" si="25"/>
        <v>0.5446966342257239</v>
      </c>
      <c r="AB23" s="338">
        <f t="shared" si="26"/>
        <v>0</v>
      </c>
      <c r="AC23" s="338">
        <f t="shared" si="27"/>
        <v>152.76930408202284</v>
      </c>
      <c r="AF23" s="138">
        <f t="shared" si="28"/>
        <v>1</v>
      </c>
      <c r="AG23" s="138">
        <f t="shared" si="29"/>
        <v>5</v>
      </c>
      <c r="AH23" s="138">
        <f t="shared" si="30"/>
        <v>31</v>
      </c>
      <c r="AI23" s="138">
        <f t="shared" ref="AI23:AI31" si="51">AI22+AH22</f>
        <v>135</v>
      </c>
      <c r="AJ23" s="138">
        <f t="shared" si="31"/>
        <v>152</v>
      </c>
      <c r="AL23" s="136">
        <f t="shared" si="32"/>
        <v>2.8959999999999999</v>
      </c>
      <c r="AM23" s="258">
        <f t="shared" si="33"/>
        <v>-0.13</v>
      </c>
      <c r="AN23" s="258">
        <f t="shared" si="34"/>
        <v>0</v>
      </c>
      <c r="AO23" s="258">
        <f t="shared" si="35"/>
        <v>7.0000000000000007E-2</v>
      </c>
      <c r="AP23" s="258">
        <f t="shared" si="36"/>
        <v>0.03</v>
      </c>
      <c r="AQ23" s="136">
        <f t="shared" si="37"/>
        <v>5.5199999999999999E-2</v>
      </c>
      <c r="AR23" s="137">
        <f t="shared" si="38"/>
        <v>1.37E-2</v>
      </c>
      <c r="AS23" s="136">
        <f t="shared" si="39"/>
        <v>2.766</v>
      </c>
      <c r="AT23" s="137">
        <f t="shared" si="40"/>
        <v>1.9712159578257001E-2</v>
      </c>
      <c r="AU23" s="137">
        <f t="shared" si="41"/>
        <v>0.99202992675126245</v>
      </c>
      <c r="AV23" s="394">
        <f t="shared" si="42"/>
        <v>96102.89915402855</v>
      </c>
      <c r="AW23" s="137">
        <f t="shared" si="43"/>
        <v>0.57750000000000001</v>
      </c>
      <c r="AX23" s="137">
        <f t="shared" si="44"/>
        <v>0.78</v>
      </c>
      <c r="AY23" s="137">
        <f t="shared" si="45"/>
        <v>0.78</v>
      </c>
      <c r="AZ23" s="137"/>
      <c r="BA23" s="264"/>
      <c r="BB23" s="258">
        <f t="shared" si="46"/>
        <v>0</v>
      </c>
      <c r="BC23" s="258">
        <f t="shared" si="47"/>
        <v>0</v>
      </c>
      <c r="BD23" s="137">
        <f t="shared" si="48"/>
        <v>4.6011273358848026E-4</v>
      </c>
      <c r="BE23" s="137">
        <f t="shared" si="49"/>
        <v>4.6011273358848026E-4</v>
      </c>
      <c r="BF23" s="137">
        <f>_xll.xSPRDOPT($BW23,$BV23,$CG23,0,$BY23,$BX23,$BZ23,$AJ23,1,4)*$CB23</f>
        <v>-1.1824013108517749E-7</v>
      </c>
      <c r="BG23" s="137">
        <f>_xll.xSPRDOPT($BW23,$BV23,$CG23,0,$BY23,$BX23,$BZ23,$AJ23,1,3)*$CB23</f>
        <v>5.9120065542588746E-8</v>
      </c>
      <c r="BH23" s="137">
        <f>IF(OR(BF23&lt;&gt;0,BG23&lt;&gt;0),_xll.xSPRDOPT($BW23,$BV23,$CG23,0,$BY23,$BX23,$BZ23,$AJ23,1,12)*$CB23,0)</f>
        <v>-2.0692022939906061E-7</v>
      </c>
      <c r="BI23" s="137">
        <f>_xll.xSPRDOPT($BW23,$BV23,$CG23,2*LN(1+CA23/2),$BY23,$BX23,$BZ23,$AJ23,1,9)</f>
        <v>2.5309953244145255E-3</v>
      </c>
      <c r="BJ23" s="137">
        <f>_xll.xSPRDOPT($BW23,$BV23,$CG23,0,$BY23,$BX23,$BZ23,$AJ23,1,6)*$CB23</f>
        <v>-2.4845083766476951E-3</v>
      </c>
      <c r="BK23" s="137">
        <f>_xll.xSPRDOPT($BW23,$BV23,$CG23,0,$BY23,$BX23,$BZ23,$AJ23,1,5)*$CB23</f>
        <v>2.6542335368422826E-3</v>
      </c>
      <c r="BL23" s="137">
        <f>_xll.xSPRDOPT(BW23,BV23,CG23,0,BY23,BX23,BZ23,AJ23,1,2)*CB23</f>
        <v>-0.99149229056331001</v>
      </c>
      <c r="BM23" s="137">
        <f>_xll.xSPRDOPT(BW23,BV23,CG23,0,BY23,BX23,BZ23,AJ23,1,1)*CB23</f>
        <v>0.99149229056917365</v>
      </c>
      <c r="BN23" s="137">
        <f>IF(AH23&lt;&gt;0,_xll.xSPRDOPT($BW23,$BV23,$CG23,2*LN(1+CA23/2),$BY23,$BX23,$BZ23,$AJ23,1,8)+(AJ23/365.25)*CH23/AH23,0)</f>
        <v>7.1877108431410014E-3</v>
      </c>
      <c r="BO23" s="137">
        <f>_xll.xSPRDOPT($BW23,$BV23,$CG23,0,$BY23,$BX23,$BZ23,$AJ23,1,0)</f>
        <v>0.1363866459080896</v>
      </c>
      <c r="BP23" s="137"/>
      <c r="BQ23" s="137"/>
      <c r="BR23" s="137"/>
      <c r="BS23" s="137"/>
      <c r="BV23" s="262">
        <v>2.8044205616952249</v>
      </c>
      <c r="BW23" s="136">
        <v>2.9959999999999996</v>
      </c>
      <c r="BX23" s="137">
        <v>0.6010526190062998</v>
      </c>
      <c r="BY23" s="137">
        <v>0.6010526190062998</v>
      </c>
      <c r="BZ23" s="137">
        <v>1</v>
      </c>
      <c r="CA23" s="137">
        <v>1.9712159578257001E-2</v>
      </c>
      <c r="CB23" s="137">
        <v>0.99187010954216859</v>
      </c>
      <c r="CC23" s="258">
        <v>-0.13</v>
      </c>
      <c r="CD23" s="258">
        <v>0</v>
      </c>
      <c r="CE23" s="258">
        <v>7.0000000000000007E-2</v>
      </c>
      <c r="CF23" s="258">
        <v>0.03</v>
      </c>
      <c r="CG23" s="258">
        <v>5.5199999999999999E-2</v>
      </c>
      <c r="CH23" s="258">
        <v>4.7290383082751504</v>
      </c>
      <c r="CI23" s="258">
        <v>2.8959999999999999</v>
      </c>
      <c r="CJ23" s="258"/>
      <c r="CK23" s="258"/>
      <c r="CL23" s="258"/>
      <c r="CM23" s="258"/>
    </row>
    <row r="24" spans="1:91" x14ac:dyDescent="0.25">
      <c r="A24" s="723"/>
      <c r="B24" s="723"/>
      <c r="D24" s="31">
        <f t="shared" si="50"/>
        <v>37422</v>
      </c>
      <c r="F24" s="28">
        <f t="shared" si="12"/>
        <v>225000</v>
      </c>
      <c r="G24" s="28">
        <f t="shared" si="13"/>
        <v>222802.9094302046</v>
      </c>
      <c r="H24" s="52">
        <f t="shared" si="14"/>
        <v>2.8551150765487177</v>
      </c>
      <c r="I24" s="52">
        <f t="shared" si="15"/>
        <v>3.0459999999999998</v>
      </c>
      <c r="K24" s="52">
        <f t="shared" si="16"/>
        <v>4.0307994281013686</v>
      </c>
      <c r="L24" s="135">
        <f t="shared" si="17"/>
        <v>4.0391170629128226E-4</v>
      </c>
      <c r="N24" s="131">
        <f t="shared" si="18"/>
        <v>0.58231552220708915</v>
      </c>
      <c r="O24" s="131">
        <f t="shared" si="19"/>
        <v>0.58231552220708915</v>
      </c>
      <c r="P24" s="55">
        <f t="shared" si="20"/>
        <v>1</v>
      </c>
      <c r="Q24" s="135">
        <f>_xll.xSPRDOPT(I24,H24,AQ24,0,O24,N24,P24,D24-$G$5,1,0)*AH24*AU24</f>
        <v>4.0312033398076599</v>
      </c>
      <c r="R24" s="135"/>
      <c r="S24" s="181">
        <f>_xll.xSPRDOPT(I24,H24,AQ24,AT24,O24,N24,P24,D24-$G$5,1,2)*AF24*(F24/(1-AR24))*AH24</f>
        <v>-6771033.8978840439</v>
      </c>
      <c r="T24" s="181">
        <f>_xll.xSPRDOPT(I24,H24,AQ24,AT24,O24,N24,P24,D24-$G$5,1,1)*AF24*F24*AH24</f>
        <v>6678270.7335567009</v>
      </c>
      <c r="U24" s="135"/>
      <c r="V24" s="146">
        <f t="shared" si="21"/>
        <v>4.5689449960487289</v>
      </c>
      <c r="W24" s="146"/>
      <c r="X24" s="338">
        <f t="shared" si="22"/>
        <v>0</v>
      </c>
      <c r="Y24" s="338">
        <f t="shared" si="23"/>
        <v>0</v>
      </c>
      <c r="Z24" s="338">
        <f t="shared" si="24"/>
        <v>136.30511359992286</v>
      </c>
      <c r="AA24" s="338">
        <f t="shared" si="25"/>
        <v>1.3879386351699479</v>
      </c>
      <c r="AB24" s="338">
        <f t="shared" si="26"/>
        <v>0</v>
      </c>
      <c r="AC24" s="338">
        <f t="shared" si="27"/>
        <v>149.05903840997675</v>
      </c>
      <c r="AF24" s="138">
        <f t="shared" si="28"/>
        <v>1</v>
      </c>
      <c r="AG24" s="138">
        <f t="shared" si="29"/>
        <v>6</v>
      </c>
      <c r="AH24" s="138">
        <f t="shared" si="30"/>
        <v>30</v>
      </c>
      <c r="AI24" s="138">
        <f t="shared" si="51"/>
        <v>166</v>
      </c>
      <c r="AJ24" s="138">
        <f t="shared" si="31"/>
        <v>183</v>
      </c>
      <c r="AL24" s="136">
        <f t="shared" si="32"/>
        <v>2.9460000000000002</v>
      </c>
      <c r="AM24" s="258">
        <f t="shared" si="33"/>
        <v>-0.13</v>
      </c>
      <c r="AN24" s="258">
        <f t="shared" si="34"/>
        <v>0</v>
      </c>
      <c r="AO24" s="258">
        <f t="shared" si="35"/>
        <v>7.0000000000000007E-2</v>
      </c>
      <c r="AP24" s="258">
        <f t="shared" si="36"/>
        <v>0.03</v>
      </c>
      <c r="AQ24" s="136">
        <f t="shared" si="37"/>
        <v>5.5199999999999999E-2</v>
      </c>
      <c r="AR24" s="137">
        <f t="shared" si="38"/>
        <v>1.37E-2</v>
      </c>
      <c r="AS24" s="136">
        <f t="shared" si="39"/>
        <v>2.8160000000000003</v>
      </c>
      <c r="AT24" s="137">
        <f t="shared" si="40"/>
        <v>2.0011329715354399E-2</v>
      </c>
      <c r="AU24" s="137">
        <f t="shared" si="41"/>
        <v>0.99023515302313159</v>
      </c>
      <c r="AV24" s="394">
        <f t="shared" si="42"/>
        <v>92834.545595918593</v>
      </c>
      <c r="AW24" s="137">
        <f t="shared" si="43"/>
        <v>0.54749999999999999</v>
      </c>
      <c r="AX24" s="137">
        <f t="shared" si="44"/>
        <v>0.88</v>
      </c>
      <c r="AY24" s="137">
        <f t="shared" si="45"/>
        <v>0.88</v>
      </c>
      <c r="AZ24" s="137"/>
      <c r="BA24" s="264"/>
      <c r="BB24" s="258">
        <f t="shared" si="46"/>
        <v>0</v>
      </c>
      <c r="BC24" s="258">
        <f t="shared" si="47"/>
        <v>0</v>
      </c>
      <c r="BD24" s="137">
        <f t="shared" si="48"/>
        <v>5.509358258010133E-4</v>
      </c>
      <c r="BE24" s="137">
        <f t="shared" si="49"/>
        <v>5.509358258010133E-4</v>
      </c>
      <c r="BF24" s="137">
        <f>_xll.xSPRDOPT($BW24,$BV24,$CG24,0,$BY24,$BX24,$BZ24,$AJ24,1,4)*$CB24</f>
        <v>0</v>
      </c>
      <c r="BG24" s="137">
        <f>_xll.xSPRDOPT($BW24,$BV24,$CG24,0,$BY24,$BX24,$BZ24,$AJ24,1,3)*$CB24</f>
        <v>-5.9012962342328844E-8</v>
      </c>
      <c r="BH24" s="137">
        <f>IF(OR(BF24&lt;&gt;0,BG24&lt;&gt;0),_xll.xSPRDOPT($BW24,$BV24,$CG24,0,$BY24,$BX24,$BZ24,$AJ24,1,12)*$CB24,0)</f>
        <v>-2.0654536819815096E-7</v>
      </c>
      <c r="BI24" s="137">
        <f>_xll.xSPRDOPT($BW24,$BV24,$CG24,2*LN(1+CA24/2),$BY24,$BX24,$BZ24,$AJ24,1,9)</f>
        <v>2.4585403823393498E-3</v>
      </c>
      <c r="BJ24" s="137">
        <f>_xll.xSPRDOPT($BW24,$BV24,$CG24,0,$BY24,$BX24,$BZ24,$AJ24,1,6)*$CB24</f>
        <v>-5.5823552220635227E-3</v>
      </c>
      <c r="BK24" s="137">
        <f>_xll.xSPRDOPT($BW24,$BV24,$CG24,0,$BY24,$BX24,$BZ24,$AJ24,1,5)*$CB24</f>
        <v>5.9555757114821252E-3</v>
      </c>
      <c r="BL24" s="137">
        <f>_xll.xSPRDOPT(BW24,BV24,CG24,0,BY24,BX24,BZ24,AJ24,1,2)*CB24</f>
        <v>-0.9892684620599137</v>
      </c>
      <c r="BM24" s="137">
        <f>_xll.xSPRDOPT(BW24,BV24,CG24,0,BY24,BX24,BZ24,AJ24,1,1)*CB24</f>
        <v>0.98926846207116959</v>
      </c>
      <c r="BN24" s="137">
        <f>IF(AH24&lt;&gt;0,_xll.xSPRDOPT($BW24,$BV24,$CG24,2*LN(1+CA24/2),$BY24,$BX24,$BZ24,$AJ24,1,8)+(AJ24/365.25)*CH24/AH24,0)</f>
        <v>8.9784985099660153E-3</v>
      </c>
      <c r="BO24" s="137">
        <f>_xll.xSPRDOPT($BW24,$BV24,$CG24,0,$BY24,$BX24,$BZ24,$AJ24,1,0)</f>
        <v>0.13570012657146635</v>
      </c>
      <c r="BP24" s="137"/>
      <c r="BQ24" s="137"/>
      <c r="BR24" s="137"/>
      <c r="BS24" s="137"/>
      <c r="BV24" s="262">
        <v>2.8551150765487177</v>
      </c>
      <c r="BW24" s="136">
        <v>3.0459999999999998</v>
      </c>
      <c r="BX24" s="137">
        <v>0.58176458638128814</v>
      </c>
      <c r="BY24" s="137">
        <v>0.58176458638128814</v>
      </c>
      <c r="BZ24" s="137">
        <v>1</v>
      </c>
      <c r="CA24" s="137">
        <v>2.0011329715354399E-2</v>
      </c>
      <c r="CB24" s="137">
        <v>0.99007321601711695</v>
      </c>
      <c r="CC24" s="258">
        <v>-0.13</v>
      </c>
      <c r="CD24" s="258">
        <v>0</v>
      </c>
      <c r="CE24" s="258">
        <v>7.0000000000000007E-2</v>
      </c>
      <c r="CF24" s="258">
        <v>0.03</v>
      </c>
      <c r="CG24" s="258">
        <v>5.5199999999999999E-2</v>
      </c>
      <c r="CH24" s="258">
        <v>4.5681978187029779</v>
      </c>
      <c r="CI24" s="258">
        <v>2.9460000000000002</v>
      </c>
      <c r="CJ24" s="258"/>
      <c r="CK24" s="258"/>
      <c r="CL24" s="258"/>
      <c r="CM24" s="258"/>
    </row>
    <row r="25" spans="1:91" x14ac:dyDescent="0.25">
      <c r="A25" s="723"/>
      <c r="B25" s="723"/>
      <c r="D25" s="31">
        <f t="shared" si="50"/>
        <v>37452</v>
      </c>
      <c r="F25" s="28">
        <f t="shared" si="12"/>
        <v>225000</v>
      </c>
      <c r="G25" s="28">
        <f t="shared" si="13"/>
        <v>222385.99072905572</v>
      </c>
      <c r="H25" s="52">
        <f t="shared" si="14"/>
        <v>3.1065598702220423</v>
      </c>
      <c r="I25" s="52">
        <f t="shared" si="15"/>
        <v>3.294</v>
      </c>
      <c r="K25" s="52">
        <f t="shared" si="16"/>
        <v>4.051817424529383</v>
      </c>
      <c r="L25" s="135">
        <f t="shared" si="17"/>
        <v>9.6358789610295759E-4</v>
      </c>
      <c r="N25" s="131">
        <f t="shared" si="18"/>
        <v>0.57401256565681114</v>
      </c>
      <c r="O25" s="131">
        <f t="shared" si="19"/>
        <v>0.57401256565681114</v>
      </c>
      <c r="P25" s="55">
        <f t="shared" si="20"/>
        <v>0.99999999999999978</v>
      </c>
      <c r="Q25" s="135">
        <f>_xll.xSPRDOPT(I25,H25,AQ25,0,O25,N25,P25,D25-$G$5,1,0)*AH25*AU25</f>
        <v>4.0527810124254859</v>
      </c>
      <c r="R25" s="135"/>
      <c r="S25" s="181">
        <f>_xll.xSPRDOPT(I25,H25,AQ25,AT25,O25,N25,P25,D25-$G$5,1,2)*AF25*(F25/(1-AR25))*AH25</f>
        <v>-6977685.1506760884</v>
      </c>
      <c r="T25" s="181">
        <f>_xll.xSPRDOPT(I25,H25,AQ25,AT25,O25,N25,P25,D25-$G$5,1,1)*AF25*F25*AH25</f>
        <v>6882090.8640927961</v>
      </c>
      <c r="U25" s="135"/>
      <c r="V25" s="146">
        <f t="shared" si="21"/>
        <v>4.7124085626577408</v>
      </c>
      <c r="W25" s="146"/>
      <c r="X25" s="338">
        <f t="shared" si="22"/>
        <v>0</v>
      </c>
      <c r="Y25" s="338">
        <f t="shared" si="23"/>
        <v>0</v>
      </c>
      <c r="Z25" s="338">
        <f t="shared" si="24"/>
        <v>130.96492600233967</v>
      </c>
      <c r="AA25" s="338">
        <f t="shared" si="25"/>
        <v>2.2549428291469855</v>
      </c>
      <c r="AB25" s="338">
        <f t="shared" si="26"/>
        <v>0</v>
      </c>
      <c r="AC25" s="338">
        <f t="shared" si="27"/>
        <v>152.98277979686404</v>
      </c>
      <c r="AF25" s="138">
        <f t="shared" si="28"/>
        <v>1</v>
      </c>
      <c r="AG25" s="138">
        <f t="shared" si="29"/>
        <v>7</v>
      </c>
      <c r="AH25" s="138">
        <f t="shared" si="30"/>
        <v>31</v>
      </c>
      <c r="AI25" s="138">
        <f t="shared" si="51"/>
        <v>196</v>
      </c>
      <c r="AJ25" s="138">
        <f t="shared" si="31"/>
        <v>213</v>
      </c>
      <c r="AL25" s="136">
        <f t="shared" si="32"/>
        <v>2.984</v>
      </c>
      <c r="AM25" s="258">
        <f t="shared" si="33"/>
        <v>0.08</v>
      </c>
      <c r="AN25" s="258">
        <f t="shared" si="34"/>
        <v>0</v>
      </c>
      <c r="AO25" s="258">
        <f t="shared" si="35"/>
        <v>0.28000000000000003</v>
      </c>
      <c r="AP25" s="258">
        <f t="shared" si="36"/>
        <v>0.03</v>
      </c>
      <c r="AQ25" s="136">
        <f t="shared" si="37"/>
        <v>5.5199999999999999E-2</v>
      </c>
      <c r="AR25" s="137">
        <f t="shared" si="38"/>
        <v>1.37E-2</v>
      </c>
      <c r="AS25" s="136">
        <f t="shared" si="39"/>
        <v>3.0640000000000001</v>
      </c>
      <c r="AT25" s="137">
        <f t="shared" si="40"/>
        <v>2.0428629809483099E-2</v>
      </c>
      <c r="AU25" s="137">
        <f t="shared" si="41"/>
        <v>0.98838218101802544</v>
      </c>
      <c r="AV25" s="394">
        <f t="shared" si="42"/>
        <v>95749.523786121208</v>
      </c>
      <c r="AW25" s="137">
        <f t="shared" si="43"/>
        <v>0.54249999999999998</v>
      </c>
      <c r="AX25" s="137">
        <f t="shared" si="44"/>
        <v>0.88</v>
      </c>
      <c r="AY25" s="137">
        <f t="shared" si="45"/>
        <v>0.88</v>
      </c>
      <c r="AZ25" s="137"/>
      <c r="BA25" s="264"/>
      <c r="BB25" s="258">
        <f t="shared" si="46"/>
        <v>0</v>
      </c>
      <c r="BC25" s="258">
        <f t="shared" si="47"/>
        <v>0</v>
      </c>
      <c r="BD25" s="137">
        <f t="shared" si="48"/>
        <v>4.2879744083457183E-4</v>
      </c>
      <c r="BE25" s="137">
        <f t="shared" si="49"/>
        <v>4.2879744083457183E-4</v>
      </c>
      <c r="BF25" s="137">
        <f>_xll.xSPRDOPT($BW25,$BV25,$CG25,0,$BY25,$BX25,$BZ25,$AJ25,1,4)*$CB25</f>
        <v>4.7121867837940615E-7</v>
      </c>
      <c r="BG25" s="137">
        <f>_xll.xSPRDOPT($BW25,$BV25,$CG25,0,$BY25,$BX25,$BZ25,$AJ25,1,3)*$CB25</f>
        <v>5.8902334797425769E-8</v>
      </c>
      <c r="BH25" s="137">
        <f>IF(OR(BF25&lt;&gt;0,BG25&lt;&gt;0),_xll.xSPRDOPT($BW25,$BV25,$CG25,0,$BY25,$BX25,$BZ25,$AJ25,1,12)*$CB25,0)</f>
        <v>3.828651761832675E-7</v>
      </c>
      <c r="BI25" s="137">
        <f>_xll.xSPRDOPT($BW25,$BV25,$CG25,2*LN(1+CA25/2),$BY25,$BX25,$BZ25,$AJ25,1,9)</f>
        <v>2.2860186008293701E-3</v>
      </c>
      <c r="BJ25" s="137">
        <f>_xll.xSPRDOPT($BW25,$BV25,$CG25,0,$BY25,$BX25,$BZ25,$AJ25,1,6)*$CB25</f>
        <v>-1.2495576309305017E-2</v>
      </c>
      <c r="BK25" s="137">
        <f>_xll.xSPRDOPT($BW25,$BV25,$CG25,0,$BY25,$BX25,$BZ25,$AJ25,1,5)*$CB25</f>
        <v>1.3249520395053614E-2</v>
      </c>
      <c r="BL25" s="137">
        <f>_xll.xSPRDOPT(BW25,BV25,CG25,0,BY25,BX25,BZ25,AJ25,1,2)*CB25</f>
        <v>-0.98658842154416326</v>
      </c>
      <c r="BM25" s="137">
        <f>_xll.xSPRDOPT(BW25,BV25,CG25,0,BY25,BX25,BZ25,AJ25,1,1)*CB25</f>
        <v>0.98658842153832127</v>
      </c>
      <c r="BN25" s="137">
        <f>IF(AH25&lt;&gt;0,_xll.xSPRDOPT($BW25,$BV25,$CG25,2*LN(1+CA25/2),$BY25,$BX25,$BZ25,$AJ25,1,8)+(AJ25/365.25)*CH25/AH25,0)</f>
        <v>1.2405032381052575E-2</v>
      </c>
      <c r="BO25" s="137">
        <f>_xll.xSPRDOPT($BW25,$BV25,$CG25,0,$BY25,$BX25,$BZ25,$AJ25,1,0)</f>
        <v>0.13227435777735949</v>
      </c>
      <c r="BP25" s="137"/>
      <c r="BQ25" s="137"/>
      <c r="BR25" s="137"/>
      <c r="BS25" s="137"/>
      <c r="BV25" s="262">
        <v>3.1065598702220423</v>
      </c>
      <c r="BW25" s="136">
        <v>3.294</v>
      </c>
      <c r="BX25" s="137">
        <v>0.57358376821597656</v>
      </c>
      <c r="BY25" s="137">
        <v>0.57358376821597656</v>
      </c>
      <c r="BZ25" s="137">
        <v>1</v>
      </c>
      <c r="CA25" s="137">
        <v>2.0428629809483099E-2</v>
      </c>
      <c r="CB25" s="137">
        <v>0.98821719380072837</v>
      </c>
      <c r="CC25" s="258">
        <v>0.08</v>
      </c>
      <c r="CD25" s="258">
        <v>0</v>
      </c>
      <c r="CE25" s="258">
        <v>0.28000000000000003</v>
      </c>
      <c r="CF25" s="258">
        <v>0.03</v>
      </c>
      <c r="CG25" s="258">
        <v>5.5199999999999999E-2</v>
      </c>
      <c r="CH25" s="258">
        <v>4.7116219366031125</v>
      </c>
      <c r="CI25" s="258">
        <v>2.984</v>
      </c>
      <c r="CJ25" s="258"/>
      <c r="CK25" s="258"/>
      <c r="CL25" s="258"/>
      <c r="CM25" s="258"/>
    </row>
    <row r="26" spans="1:91" x14ac:dyDescent="0.25">
      <c r="A26" s="723"/>
      <c r="B26" s="723"/>
      <c r="D26" s="31">
        <f t="shared" si="50"/>
        <v>37483</v>
      </c>
      <c r="F26" s="28">
        <f t="shared" si="12"/>
        <v>225000</v>
      </c>
      <c r="G26" s="28">
        <f t="shared" si="13"/>
        <v>221910.45220075536</v>
      </c>
      <c r="H26" s="52">
        <f t="shared" si="14"/>
        <v>3.1491432626989759</v>
      </c>
      <c r="I26" s="52">
        <f t="shared" si="15"/>
        <v>3.3359999999999999</v>
      </c>
      <c r="K26" s="52">
        <f t="shared" si="16"/>
        <v>4.0253163973428201</v>
      </c>
      <c r="L26" s="135">
        <f t="shared" si="17"/>
        <v>2.0562938667465502E-3</v>
      </c>
      <c r="N26" s="131">
        <f t="shared" si="18"/>
        <v>0.57822836426200452</v>
      </c>
      <c r="O26" s="131">
        <f t="shared" si="19"/>
        <v>0.57822836426200452</v>
      </c>
      <c r="P26" s="55">
        <f t="shared" si="20"/>
        <v>1</v>
      </c>
      <c r="Q26" s="135">
        <f>_xll.xSPRDOPT(I26,H26,AQ26,0,O26,N26,P26,D26-$G$5,1,0)*AH26*AU26</f>
        <v>4.0273726912095666</v>
      </c>
      <c r="R26" s="135"/>
      <c r="S26" s="181">
        <f>_xll.xSPRDOPT(I26,H26,AQ26,AT26,O26,N26,P26,D26-$G$5,1,2)*AF26*(F26/(1-AR26))*AH26</f>
        <v>-6952301.2100159368</v>
      </c>
      <c r="T26" s="181">
        <f>_xll.xSPRDOPT(I26,H26,AQ26,AT26,O26,N26,P26,D26-$G$5,1,1)*AF26*F26*AH26</f>
        <v>6857054.6834101724</v>
      </c>
      <c r="U26" s="135"/>
      <c r="V26" s="146">
        <f t="shared" si="21"/>
        <v>4.7023317955678277</v>
      </c>
      <c r="W26" s="146"/>
      <c r="X26" s="338">
        <f t="shared" si="22"/>
        <v>0</v>
      </c>
      <c r="Y26" s="338">
        <f t="shared" si="23"/>
        <v>0</v>
      </c>
      <c r="Z26" s="338">
        <f t="shared" si="24"/>
        <v>120.43318981073575</v>
      </c>
      <c r="AA26" s="338">
        <f t="shared" si="25"/>
        <v>4.5173939602528241</v>
      </c>
      <c r="AB26" s="338">
        <f t="shared" si="26"/>
        <v>0</v>
      </c>
      <c r="AC26" s="338">
        <f t="shared" si="27"/>
        <v>156.76071203498165</v>
      </c>
      <c r="AF26" s="138">
        <f t="shared" si="28"/>
        <v>1</v>
      </c>
      <c r="AG26" s="138">
        <f t="shared" si="29"/>
        <v>8</v>
      </c>
      <c r="AH26" s="138">
        <f t="shared" si="30"/>
        <v>31</v>
      </c>
      <c r="AI26" s="138">
        <f t="shared" si="51"/>
        <v>227</v>
      </c>
      <c r="AJ26" s="138">
        <f t="shared" si="31"/>
        <v>244</v>
      </c>
      <c r="AL26" s="136">
        <f t="shared" si="32"/>
        <v>3.0259999999999998</v>
      </c>
      <c r="AM26" s="258">
        <f t="shared" si="33"/>
        <v>0.08</v>
      </c>
      <c r="AN26" s="258">
        <f t="shared" si="34"/>
        <v>0</v>
      </c>
      <c r="AO26" s="258">
        <f t="shared" si="35"/>
        <v>0.28000000000000003</v>
      </c>
      <c r="AP26" s="258">
        <f t="shared" si="36"/>
        <v>0.03</v>
      </c>
      <c r="AQ26" s="136">
        <f t="shared" si="37"/>
        <v>5.5199999999999999E-2</v>
      </c>
      <c r="AR26" s="137">
        <f t="shared" si="38"/>
        <v>1.37E-2</v>
      </c>
      <c r="AS26" s="136">
        <f t="shared" si="39"/>
        <v>3.1059999999999999</v>
      </c>
      <c r="AT26" s="137">
        <f t="shared" si="40"/>
        <v>2.1065008234303999E-2</v>
      </c>
      <c r="AU26" s="137">
        <f t="shared" si="41"/>
        <v>0.98626867644780158</v>
      </c>
      <c r="AV26" s="394">
        <f t="shared" si="42"/>
        <v>95544.778030880785</v>
      </c>
      <c r="AW26" s="137">
        <f t="shared" si="43"/>
        <v>0.54</v>
      </c>
      <c r="AX26" s="137">
        <f t="shared" si="44"/>
        <v>0.98</v>
      </c>
      <c r="AY26" s="137">
        <f t="shared" si="45"/>
        <v>0.98</v>
      </c>
      <c r="AZ26" s="137"/>
      <c r="BA26" s="264"/>
      <c r="BB26" s="258">
        <f t="shared" si="46"/>
        <v>0</v>
      </c>
      <c r="BC26" s="258">
        <f t="shared" si="47"/>
        <v>0</v>
      </c>
      <c r="BD26" s="137">
        <f t="shared" si="48"/>
        <v>4.5188333321111163E-4</v>
      </c>
      <c r="BE26" s="137">
        <f t="shared" si="49"/>
        <v>4.5188333321111163E-4</v>
      </c>
      <c r="BF26" s="137">
        <f>_xll.xSPRDOPT($BW26,$BV26,$CG26,0,$BY26,$BX26,$BZ26,$AJ26,1,4)*$CB26</f>
        <v>4.7020861657522789E-7</v>
      </c>
      <c r="BG26" s="137">
        <f>_xll.xSPRDOPT($BW26,$BV26,$CG26,0,$BY26,$BX26,$BZ26,$AJ26,1,3)*$CB26</f>
        <v>7.0531292486284189E-7</v>
      </c>
      <c r="BH26" s="137">
        <f>IF(OR(BF26&lt;&gt;0,BG26&lt;&gt;0),_xll.xSPRDOPT($BW26,$BV26,$CG26,0,$BY26,$BX26,$BZ26,$AJ26,1,12)*$CB26,0)</f>
        <v>-4.9959665511117963E-7</v>
      </c>
      <c r="BI26" s="137">
        <f>_xll.xSPRDOPT($BW26,$BV26,$CG26,2*LN(1+CA26/2),$BY26,$BX26,$BZ26,$AJ26,1,9)</f>
        <v>2.102185069456212E-3</v>
      </c>
      <c r="BJ26" s="137">
        <f>_xll.xSPRDOPT($BW26,$BV26,$CG26,0,$BY26,$BX26,$BZ26,$AJ26,1,6)*$CB26</f>
        <v>-2.4154668758210027E-2</v>
      </c>
      <c r="BK26" s="137">
        <f>_xll.xSPRDOPT($BW26,$BV26,$CG26,0,$BY26,$BX26,$BZ26,$AJ26,1,5)*$CB26</f>
        <v>2.5587903844493564E-2</v>
      </c>
      <c r="BL26" s="137">
        <f>_xll.xSPRDOPT(BW26,BV26,CG26,0,BY26,BX26,BZ26,AJ26,1,2)*CB26</f>
        <v>-0.98301650312445954</v>
      </c>
      <c r="BM26" s="137">
        <f>_xll.xSPRDOPT(BW26,BV26,CG26,0,BY26,BX26,BZ26,AJ26,1,1)*CB26</f>
        <v>0.9830165031168363</v>
      </c>
      <c r="BN26" s="137">
        <f>IF(AH26&lt;&gt;0,_xll.xSPRDOPT($BW26,$BV26,$CG26,2*LN(1+CA26/2),$BY26,$BX26,$BZ26,$AJ26,1,8)+(AJ26/365.25)*CH26/AH26,0)</f>
        <v>1.4539560082031333E-2</v>
      </c>
      <c r="BO26" s="137">
        <f>_xll.xSPRDOPT($BW26,$BV26,$CG26,0,$BY26,$BX26,$BZ26,$AJ26,1,0)</f>
        <v>0.13172853439477394</v>
      </c>
      <c r="BP26" s="137"/>
      <c r="BQ26" s="137"/>
      <c r="BR26" s="137"/>
      <c r="BS26" s="137"/>
      <c r="BV26" s="262">
        <v>3.1491432626989759</v>
      </c>
      <c r="BW26" s="136">
        <v>3.3359999999999999</v>
      </c>
      <c r="BX26" s="137">
        <v>0.57777648092879341</v>
      </c>
      <c r="BY26" s="137">
        <v>0.57777648092879341</v>
      </c>
      <c r="BZ26" s="137">
        <v>1</v>
      </c>
      <c r="CA26" s="137">
        <v>2.1065008234303999E-2</v>
      </c>
      <c r="CB26" s="137">
        <v>0.98609894066797232</v>
      </c>
      <c r="CC26" s="258">
        <v>0.08</v>
      </c>
      <c r="CD26" s="258">
        <v>0</v>
      </c>
      <c r="CE26" s="258">
        <v>0.28000000000000003</v>
      </c>
      <c r="CF26" s="258">
        <v>0.03</v>
      </c>
      <c r="CG26" s="258">
        <v>5.5199999999999999E-2</v>
      </c>
      <c r="CH26" s="258">
        <v>4.7015225293167582</v>
      </c>
      <c r="CI26" s="258">
        <v>3.0259999999999998</v>
      </c>
      <c r="CJ26" s="258"/>
      <c r="CK26" s="258"/>
      <c r="CL26" s="258"/>
      <c r="CM26" s="258"/>
    </row>
    <row r="27" spans="1:91" x14ac:dyDescent="0.25">
      <c r="A27" s="726"/>
      <c r="B27" s="726"/>
      <c r="C27" s="726"/>
      <c r="D27" s="31">
        <f t="shared" si="50"/>
        <v>37514</v>
      </c>
      <c r="F27" s="28">
        <f t="shared" si="12"/>
        <v>225000</v>
      </c>
      <c r="G27" s="28">
        <f t="shared" si="13"/>
        <v>221412.28985270602</v>
      </c>
      <c r="H27" s="52">
        <f t="shared" si="14"/>
        <v>3.1410321403224173</v>
      </c>
      <c r="I27" s="52">
        <f t="shared" si="15"/>
        <v>3.3279999999999998</v>
      </c>
      <c r="K27" s="52">
        <f t="shared" si="16"/>
        <v>3.8900031386938134</v>
      </c>
      <c r="L27" s="135">
        <f t="shared" si="17"/>
        <v>3.0460579797431109E-3</v>
      </c>
      <c r="N27" s="131">
        <f t="shared" si="18"/>
        <v>0.56841885964489258</v>
      </c>
      <c r="O27" s="131">
        <f t="shared" si="19"/>
        <v>0.56841885964489258</v>
      </c>
      <c r="P27" s="55">
        <f t="shared" si="20"/>
        <v>0.99999999999999989</v>
      </c>
      <c r="Q27" s="135">
        <f>_xll.xSPRDOPT(I27,H27,AQ27,0,O27,N27,P27,D27-$G$5,1,0)*AH27*AU27</f>
        <v>3.8930491966735565</v>
      </c>
      <c r="R27" s="135"/>
      <c r="S27" s="181">
        <f>_xll.xSPRDOPT(I27,H27,AQ27,AT27,O27,N27,P27,D27-$G$5,1,2)*AF27*(F27/(1-AR27))*AH27</f>
        <v>-6714139.9061042909</v>
      </c>
      <c r="T27" s="181">
        <f>_xll.xSPRDOPT(I27,H27,AQ27,AT27,O27,N27,P27,D27-$G$5,1,1)*AF27*F27*AH27</f>
        <v>6622156.1892832294</v>
      </c>
      <c r="U27" s="135"/>
      <c r="V27" s="146">
        <f t="shared" si="21"/>
        <v>4.5404280239128241</v>
      </c>
      <c r="W27" s="146"/>
      <c r="X27" s="338">
        <f t="shared" si="22"/>
        <v>0</v>
      </c>
      <c r="Y27" s="338">
        <f t="shared" si="23"/>
        <v>0</v>
      </c>
      <c r="Z27" s="338">
        <f t="shared" si="24"/>
        <v>125.2547964432209</v>
      </c>
      <c r="AA27" s="338">
        <f t="shared" si="25"/>
        <v>2.9177920464491782</v>
      </c>
      <c r="AB27" s="338">
        <f t="shared" si="26"/>
        <v>0</v>
      </c>
      <c r="AC27" s="338">
        <f t="shared" si="27"/>
        <v>156.10882835732878</v>
      </c>
      <c r="AF27" s="138">
        <f t="shared" si="28"/>
        <v>1</v>
      </c>
      <c r="AG27" s="138">
        <f t="shared" si="29"/>
        <v>9</v>
      </c>
      <c r="AH27" s="138">
        <f t="shared" si="30"/>
        <v>30</v>
      </c>
      <c r="AI27" s="138">
        <f t="shared" si="51"/>
        <v>258</v>
      </c>
      <c r="AJ27" s="138">
        <f t="shared" si="31"/>
        <v>275</v>
      </c>
      <c r="AL27" s="136">
        <f t="shared" si="32"/>
        <v>3.0179999999999998</v>
      </c>
      <c r="AM27" s="258">
        <f t="shared" si="33"/>
        <v>0.08</v>
      </c>
      <c r="AN27" s="258">
        <f t="shared" si="34"/>
        <v>0</v>
      </c>
      <c r="AO27" s="258">
        <f t="shared" si="35"/>
        <v>0.28000000000000003</v>
      </c>
      <c r="AP27" s="258">
        <f t="shared" si="36"/>
        <v>0.03</v>
      </c>
      <c r="AQ27" s="136">
        <f t="shared" si="37"/>
        <v>5.5199999999999999E-2</v>
      </c>
      <c r="AR27" s="137">
        <f t="shared" si="38"/>
        <v>1.37E-2</v>
      </c>
      <c r="AS27" s="136">
        <f t="shared" si="39"/>
        <v>3.0979999999999999</v>
      </c>
      <c r="AT27" s="137">
        <f t="shared" si="40"/>
        <v>2.1701386796276499E-2</v>
      </c>
      <c r="AU27" s="137">
        <f t="shared" si="41"/>
        <v>0.98405462156758228</v>
      </c>
      <c r="AV27" s="394">
        <f t="shared" si="42"/>
        <v>92255.120771960836</v>
      </c>
      <c r="AW27" s="137">
        <f t="shared" si="43"/>
        <v>0.54</v>
      </c>
      <c r="AX27" s="137">
        <f t="shared" si="44"/>
        <v>0.93</v>
      </c>
      <c r="AY27" s="137">
        <f t="shared" si="45"/>
        <v>0.93</v>
      </c>
      <c r="AZ27" s="137"/>
      <c r="BA27" s="264"/>
      <c r="BB27" s="258">
        <f t="shared" si="46"/>
        <v>0</v>
      </c>
      <c r="BC27" s="258">
        <f t="shared" si="47"/>
        <v>0</v>
      </c>
      <c r="BD27" s="137">
        <f t="shared" si="48"/>
        <v>3.0125853078155629E-4</v>
      </c>
      <c r="BE27" s="137">
        <f t="shared" si="49"/>
        <v>3.0125853078155629E-4</v>
      </c>
      <c r="BF27" s="137">
        <f>_xll.xSPRDOPT($BW27,$BV27,$CG27,0,$BY27,$BX27,$BZ27,$AJ27,1,4)*$CB27</f>
        <v>-4.1050679980450408E-7</v>
      </c>
      <c r="BG27" s="137">
        <f>_xll.xSPRDOPT($BW27,$BV27,$CG27,0,$BY27,$BX27,$BZ27,$AJ27,1,3)*$CB27</f>
        <v>-8.7965742815250867E-7</v>
      </c>
      <c r="BH27" s="137">
        <f>IF(OR(BF27&lt;&gt;0,BG27&lt;&gt;0),_xll.xSPRDOPT($BW27,$BV27,$CG27,0,$BY27,$BX27,$BZ27,$AJ27,1,12)*$CB27,0)</f>
        <v>2.638972284457526E-7</v>
      </c>
      <c r="BI27" s="137">
        <f>_xll.xSPRDOPT($BW27,$BV27,$CG27,2*LN(1+CA27/2),$BY27,$BX27,$BZ27,$AJ27,1,9)</f>
        <v>2.2592254025129103E-3</v>
      </c>
      <c r="BJ27" s="137">
        <f>_xll.xSPRDOPT($BW27,$BV27,$CG27,0,$BY27,$BX27,$BZ27,$AJ27,1,6)*$CB27</f>
        <v>-2.410552709728556E-2</v>
      </c>
      <c r="BK27" s="137">
        <f>_xll.xSPRDOPT($BW27,$BV27,$CG27,0,$BY27,$BX27,$BZ27,$AJ27,1,5)*$CB27</f>
        <v>2.5540392650275589E-2</v>
      </c>
      <c r="BL27" s="137">
        <f>_xll.xSPRDOPT(BW27,BV27,CG27,0,BY27,BX27,BZ27,AJ27,1,2)*CB27</f>
        <v>-0.98099327346620457</v>
      </c>
      <c r="BM27" s="137">
        <f>_xll.xSPRDOPT(BW27,BV27,CG27,0,BY27,BX27,BZ27,AJ27,1,1)*CB27</f>
        <v>0.98099327345278198</v>
      </c>
      <c r="BN27" s="137">
        <f>IF(AH27&lt;&gt;0,_xll.xSPRDOPT($BW27,$BV27,$CG27,2*LN(1+CA27/2),$BY27,$BX27,$BZ27,$AJ27,1,8)+(AJ27/365.25)*CH27/AH27,0)</f>
        <v>1.6241320522916172E-2</v>
      </c>
      <c r="BO27" s="137">
        <f>_xll.xSPRDOPT($BW27,$BV27,$CG27,0,$BY27,$BX27,$BZ27,$AJ27,1,0)</f>
        <v>0.13187514868956648</v>
      </c>
      <c r="BP27" s="137"/>
      <c r="BQ27" s="137"/>
      <c r="BR27" s="137"/>
      <c r="BS27" s="137"/>
      <c r="BV27" s="262">
        <v>3.1410321403224173</v>
      </c>
      <c r="BW27" s="136">
        <v>3.3279999999999998</v>
      </c>
      <c r="BX27" s="137">
        <v>0.56811760111411103</v>
      </c>
      <c r="BY27" s="137">
        <v>0.56811760111411103</v>
      </c>
      <c r="BZ27" s="137">
        <v>1</v>
      </c>
      <c r="CA27" s="137">
        <v>2.1701386796276499E-2</v>
      </c>
      <c r="CB27" s="137">
        <v>0.98388017854127463</v>
      </c>
      <c r="CC27" s="258">
        <v>0.08</v>
      </c>
      <c r="CD27" s="258">
        <v>0</v>
      </c>
      <c r="CE27" s="258">
        <v>0.28000000000000003</v>
      </c>
      <c r="CF27" s="258">
        <v>0.03</v>
      </c>
      <c r="CG27" s="258">
        <v>5.5199999999999999E-2</v>
      </c>
      <c r="CH27" s="258">
        <v>4.5396231437894414</v>
      </c>
      <c r="CI27" s="258">
        <v>3.0179999999999998</v>
      </c>
      <c r="CJ27" s="258"/>
      <c r="CK27" s="258"/>
      <c r="CL27" s="258"/>
      <c r="CM27" s="258"/>
    </row>
    <row r="28" spans="1:91" x14ac:dyDescent="0.25">
      <c r="A28" s="723"/>
      <c r="B28" s="723"/>
      <c r="D28" s="31">
        <f t="shared" si="50"/>
        <v>37544</v>
      </c>
      <c r="F28" s="28">
        <f t="shared" si="12"/>
        <v>225000</v>
      </c>
      <c r="G28" s="28">
        <f t="shared" si="13"/>
        <v>220892.02954692312</v>
      </c>
      <c r="H28" s="52">
        <f t="shared" si="14"/>
        <v>3.0325458785359425</v>
      </c>
      <c r="I28" s="52">
        <f t="shared" si="15"/>
        <v>3.2210000000000001</v>
      </c>
      <c r="K28" s="52">
        <f t="shared" si="16"/>
        <v>4.0554576595836656</v>
      </c>
      <c r="L28" s="135">
        <f t="shared" si="17"/>
        <v>4.6797584357394229E-3</v>
      </c>
      <c r="N28" s="131">
        <f t="shared" si="18"/>
        <v>0.57075053913616014</v>
      </c>
      <c r="O28" s="131">
        <f t="shared" si="19"/>
        <v>0.57075053913616014</v>
      </c>
      <c r="P28" s="55">
        <f t="shared" si="20"/>
        <v>1</v>
      </c>
      <c r="Q28" s="135">
        <f>_xll.xSPRDOPT(I28,H28,AQ28,0,O28,N28,P28,D28-$G$5,1,0)*AH28*AU28</f>
        <v>4.060137418019405</v>
      </c>
      <c r="R28" s="135"/>
      <c r="S28" s="181">
        <f>_xll.xSPRDOPT(I28,H28,AQ28,AT28,O28,N28,P28,D28-$G$5,1,2)*AF28*(F28/(1-AR28))*AH28</f>
        <v>-6903866.0405167779</v>
      </c>
      <c r="T28" s="181">
        <f>_xll.xSPRDOPT(I28,H28,AQ28,AT28,O28,N28,P28,D28-$G$5,1,1)*AF28*F28*AH28</f>
        <v>6809283.0757839009</v>
      </c>
      <c r="U28" s="135"/>
      <c r="V28" s="146">
        <f t="shared" si="21"/>
        <v>4.6807511932169774</v>
      </c>
      <c r="W28" s="146"/>
      <c r="X28" s="338">
        <f t="shared" si="22"/>
        <v>0</v>
      </c>
      <c r="Y28" s="338">
        <f t="shared" si="23"/>
        <v>0</v>
      </c>
      <c r="Z28" s="338">
        <f t="shared" si="24"/>
        <v>115.30718324612806</v>
      </c>
      <c r="AA28" s="338">
        <f t="shared" si="25"/>
        <v>5.4179602727508804</v>
      </c>
      <c r="AB28" s="338">
        <f t="shared" si="26"/>
        <v>0</v>
      </c>
      <c r="AC28" s="338">
        <f t="shared" si="27"/>
        <v>168.12877767851438</v>
      </c>
      <c r="AF28" s="138">
        <f t="shared" si="28"/>
        <v>1</v>
      </c>
      <c r="AG28" s="138">
        <f t="shared" si="29"/>
        <v>10</v>
      </c>
      <c r="AH28" s="138">
        <f t="shared" si="30"/>
        <v>31</v>
      </c>
      <c r="AI28" s="138">
        <f t="shared" si="51"/>
        <v>288</v>
      </c>
      <c r="AJ28" s="138">
        <f t="shared" si="31"/>
        <v>305</v>
      </c>
      <c r="AL28" s="136">
        <f t="shared" si="32"/>
        <v>3.0310000000000001</v>
      </c>
      <c r="AM28" s="258">
        <f t="shared" si="33"/>
        <v>-0.04</v>
      </c>
      <c r="AN28" s="258">
        <f t="shared" si="34"/>
        <v>0</v>
      </c>
      <c r="AO28" s="258">
        <f t="shared" si="35"/>
        <v>0.16</v>
      </c>
      <c r="AP28" s="258">
        <f t="shared" si="36"/>
        <v>0.03</v>
      </c>
      <c r="AQ28" s="136">
        <f t="shared" si="37"/>
        <v>5.5199999999999999E-2</v>
      </c>
      <c r="AR28" s="137">
        <f t="shared" si="38"/>
        <v>1.37E-2</v>
      </c>
      <c r="AS28" s="136">
        <f t="shared" si="39"/>
        <v>2.9910000000000001</v>
      </c>
      <c r="AT28" s="137">
        <f t="shared" si="40"/>
        <v>2.2410164045373999E-2</v>
      </c>
      <c r="AU28" s="137">
        <f t="shared" si="41"/>
        <v>0.98174235354188055</v>
      </c>
      <c r="AV28" s="394">
        <f t="shared" si="42"/>
        <v>95106.290499369672</v>
      </c>
      <c r="AW28" s="137">
        <f t="shared" si="43"/>
        <v>0.54</v>
      </c>
      <c r="AX28" s="137">
        <f t="shared" si="44"/>
        <v>0.98</v>
      </c>
      <c r="AY28" s="137">
        <f t="shared" si="45"/>
        <v>0.98</v>
      </c>
      <c r="AZ28" s="137"/>
      <c r="BA28" s="264"/>
      <c r="BB28" s="258">
        <f t="shared" si="46"/>
        <v>0</v>
      </c>
      <c r="BC28" s="258">
        <f t="shared" si="47"/>
        <v>0</v>
      </c>
      <c r="BD28" s="137">
        <f t="shared" si="48"/>
        <v>2.9295113652438864E-4</v>
      </c>
      <c r="BE28" s="137">
        <f t="shared" si="49"/>
        <v>2.9295113652438864E-4</v>
      </c>
      <c r="BF28" s="137">
        <f>_xll.xSPRDOPT($BW28,$BV28,$CG28,0,$BY28,$BX28,$BZ28,$AJ28,1,4)*$CB28</f>
        <v>5.2655124761486729E-7</v>
      </c>
      <c r="BG28" s="137">
        <f>_xll.xSPRDOPT($BW28,$BV28,$CG28,0,$BY28,$BX28,$BZ28,$AJ28,1,3)*$CB28</f>
        <v>8.1907971851201578E-7</v>
      </c>
      <c r="BH28" s="137">
        <f>IF(OR(BF28&lt;&gt;0,BG28&lt;&gt;0),_xll.xSPRDOPT($BW28,$BV28,$CG28,0,$BY28,$BX28,$BZ28,$AJ28,1,12)*$CB28,0)</f>
        <v>-2.6327562380743364E-7</v>
      </c>
      <c r="BI28" s="137">
        <f>_xll.xSPRDOPT($BW28,$BV28,$CG28,2*LN(1+CA28/2),$BY28,$BX28,$BZ28,$AJ28,1,9)</f>
        <v>2.0127096143678982E-3</v>
      </c>
      <c r="BJ28" s="137">
        <f>_xll.xSPRDOPT($BW28,$BV28,$CG28,0,$BY28,$BX28,$BZ28,$AJ28,1,6)*$CB28</f>
        <v>-4.2667594502695062E-2</v>
      </c>
      <c r="BK28" s="137">
        <f>_xll.xSPRDOPT($BW28,$BV28,$CG28,0,$BY28,$BX28,$BZ28,$AJ28,1,5)*$CB28</f>
        <v>4.5319123720506317E-2</v>
      </c>
      <c r="BL28" s="137">
        <f>_xll.xSPRDOPT(BW28,BV28,CG28,0,BY28,BX28,BZ28,AJ28,1,2)*CB28</f>
        <v>-0.97619877832692847</v>
      </c>
      <c r="BM28" s="137">
        <f>_xll.xSPRDOPT(BW28,BV28,CG28,0,BY28,BX28,BZ28,AJ28,1,1)*CB28</f>
        <v>0.97619877833005297</v>
      </c>
      <c r="BN28" s="137">
        <f>IF(AH28&lt;&gt;0,_xll.xSPRDOPT($BW28,$BV28,$CG28,2*LN(1+CA28/2),$BY28,$BX28,$BZ28,$AJ28,1,8)+(AJ28/365.25)*CH28/AH28,0)</f>
        <v>1.6708765091347083E-2</v>
      </c>
      <c r="BO28" s="137">
        <f>_xll.xSPRDOPT($BW28,$BV28,$CG28,0,$BY28,$BX28,$BZ28,$AJ28,1,0)</f>
        <v>0.13341471883057202</v>
      </c>
      <c r="BP28" s="137"/>
      <c r="BQ28" s="137"/>
      <c r="BR28" s="137"/>
      <c r="BS28" s="137"/>
      <c r="BV28" s="262">
        <v>3.0325458785359425</v>
      </c>
      <c r="BW28" s="136">
        <v>3.2210000000000001</v>
      </c>
      <c r="BX28" s="137">
        <v>0.57045758799963575</v>
      </c>
      <c r="BY28" s="137">
        <v>0.57045758799963575</v>
      </c>
      <c r="BZ28" s="137">
        <v>1</v>
      </c>
      <c r="CA28" s="137">
        <v>2.2410164045373999E-2</v>
      </c>
      <c r="CB28" s="137">
        <v>0.98156266847823481</v>
      </c>
      <c r="CC28" s="258">
        <v>-0.04</v>
      </c>
      <c r="CD28" s="258">
        <v>0</v>
      </c>
      <c r="CE28" s="258">
        <v>0.16</v>
      </c>
      <c r="CF28" s="258">
        <v>0.03</v>
      </c>
      <c r="CG28" s="258">
        <v>5.5199999999999999E-2</v>
      </c>
      <c r="CH28" s="258">
        <v>4.6798944907705273</v>
      </c>
      <c r="CI28" s="258">
        <v>3.0310000000000001</v>
      </c>
      <c r="CJ28" s="258"/>
      <c r="CK28" s="258"/>
      <c r="CL28" s="258"/>
      <c r="CM28" s="258"/>
    </row>
    <row r="29" spans="1:91" x14ac:dyDescent="0.25">
      <c r="A29" s="723"/>
      <c r="B29" s="723"/>
      <c r="D29" s="31">
        <f t="shared" si="50"/>
        <v>37575</v>
      </c>
      <c r="F29" s="28">
        <f t="shared" si="12"/>
        <v>270000</v>
      </c>
      <c r="G29" s="28">
        <f t="shared" si="13"/>
        <v>264363.5945092584</v>
      </c>
      <c r="H29" s="52">
        <f t="shared" si="14"/>
        <v>3.2961573557741053</v>
      </c>
      <c r="I29" s="52">
        <f t="shared" si="15"/>
        <v>3.4710000000000001</v>
      </c>
      <c r="K29" s="52">
        <f t="shared" si="16"/>
        <v>3.5143510537944356</v>
      </c>
      <c r="L29" s="135">
        <f t="shared" si="17"/>
        <v>8.7381623581874734E-3</v>
      </c>
      <c r="N29" s="131">
        <f t="shared" si="18"/>
        <v>0.56483238995521046</v>
      </c>
      <c r="O29" s="131">
        <f t="shared" si="19"/>
        <v>0.56483238995521046</v>
      </c>
      <c r="P29" s="55">
        <f t="shared" si="20"/>
        <v>1.0000000000000002</v>
      </c>
      <c r="Q29" s="135">
        <f>_xll.xSPRDOPT(I29,H29,AQ29,0,O29,N29,P29,D29-$G$5,1,0)*AH29*AU29</f>
        <v>3.523089216152623</v>
      </c>
      <c r="R29" s="135"/>
      <c r="S29" s="181">
        <f>_xll.xSPRDOPT(I29,H29,AQ29,AT29,O29,N29,P29,D29-$G$5,1,2)*AF29*(F29/(1-AR29))*AH29</f>
        <v>-7959331.3825255642</v>
      </c>
      <c r="T29" s="181">
        <f>_xll.xSPRDOPT(I29,H29,AQ29,AT29,O29,N29,P29,D29-$G$5,1,1)*AF29*F29*AH29</f>
        <v>7850288.5425720662</v>
      </c>
      <c r="U29" s="135"/>
      <c r="V29" s="146">
        <f t="shared" si="21"/>
        <v>4.5176800928359935</v>
      </c>
      <c r="W29" s="146"/>
      <c r="X29" s="338">
        <f t="shared" si="22"/>
        <v>0</v>
      </c>
      <c r="Y29" s="338">
        <f t="shared" si="23"/>
        <v>0</v>
      </c>
      <c r="Z29" s="338">
        <f t="shared" si="24"/>
        <v>91.351333505997786</v>
      </c>
      <c r="AA29" s="338">
        <f t="shared" si="25"/>
        <v>7.6713516829051738</v>
      </c>
      <c r="AB29" s="338">
        <f t="shared" si="26"/>
        <v>0</v>
      </c>
      <c r="AC29" s="338">
        <f t="shared" si="27"/>
        <v>181.82168114878698</v>
      </c>
      <c r="AF29" s="138">
        <f t="shared" si="28"/>
        <v>1</v>
      </c>
      <c r="AG29" s="138">
        <f t="shared" si="29"/>
        <v>11</v>
      </c>
      <c r="AH29" s="138">
        <f t="shared" si="30"/>
        <v>30</v>
      </c>
      <c r="AI29" s="138">
        <f t="shared" si="51"/>
        <v>319</v>
      </c>
      <c r="AJ29" s="138">
        <f t="shared" si="31"/>
        <v>336</v>
      </c>
      <c r="AL29" s="136">
        <f t="shared" si="32"/>
        <v>3.2109999999999999</v>
      </c>
      <c r="AM29" s="258">
        <f t="shared" si="33"/>
        <v>0.02</v>
      </c>
      <c r="AN29" s="258">
        <f t="shared" si="34"/>
        <v>0.02</v>
      </c>
      <c r="AO29" s="258">
        <f t="shared" si="35"/>
        <v>0.22</v>
      </c>
      <c r="AP29" s="258">
        <f t="shared" si="36"/>
        <v>0.04</v>
      </c>
      <c r="AQ29" s="136">
        <f t="shared" si="37"/>
        <v>5.5199999999999999E-2</v>
      </c>
      <c r="AR29" s="137">
        <f t="shared" si="38"/>
        <v>1.37E-2</v>
      </c>
      <c r="AS29" s="136">
        <f t="shared" si="39"/>
        <v>3.2509999999999999</v>
      </c>
      <c r="AT29" s="137">
        <f t="shared" si="40"/>
        <v>2.3274064967752799E-2</v>
      </c>
      <c r="AU29" s="137">
        <f t="shared" si="41"/>
        <v>0.97912442410836453</v>
      </c>
      <c r="AV29" s="394">
        <f t="shared" si="42"/>
        <v>110151.49771219101</v>
      </c>
      <c r="AW29" s="137">
        <f t="shared" si="43"/>
        <v>0.54</v>
      </c>
      <c r="AX29" s="137">
        <f t="shared" si="44"/>
        <v>0.95</v>
      </c>
      <c r="AY29" s="137">
        <f t="shared" si="45"/>
        <v>0.95</v>
      </c>
      <c r="AZ29" s="137"/>
      <c r="BA29" s="264"/>
      <c r="BB29" s="258">
        <f t="shared" si="46"/>
        <v>0</v>
      </c>
      <c r="BC29" s="258">
        <f t="shared" si="47"/>
        <v>0</v>
      </c>
      <c r="BD29" s="137">
        <f t="shared" si="48"/>
        <v>2.1624188755753337E-4</v>
      </c>
      <c r="BE29" s="137">
        <f t="shared" si="49"/>
        <v>2.1624188755753337E-4</v>
      </c>
      <c r="BF29" s="137">
        <f>_xll.xSPRDOPT($BW29,$BV29,$CG29,0,$BY29,$BX29,$BZ29,$AJ29,1,4)*$CB29</f>
        <v>2.9174636315130009E-7</v>
      </c>
      <c r="BG29" s="137">
        <f>_xll.xSPRDOPT($BW29,$BV29,$CG29,0,$BY29,$BX29,$BZ29,$AJ29,1,3)*$CB29</f>
        <v>7.5854054419338019E-7</v>
      </c>
      <c r="BH29" s="137">
        <f>IF(OR(BF29&lt;&gt;0,BG29&lt;&gt;0),_xll.xSPRDOPT($BW29,$BV29,$CG29,0,$BY29,$BX29,$BZ29,$AJ29,1,12)*$CB29,0)</f>
        <v>-1.0211122710295502E-7</v>
      </c>
      <c r="BI29" s="137">
        <f>_xll.xSPRDOPT($BW29,$BV29,$CG29,2*LN(1+CA29/2),$BY29,$BX29,$BZ29,$AJ29,1,9)</f>
        <v>1.3730894881920036E-3</v>
      </c>
      <c r="BJ29" s="137">
        <f>_xll.xSPRDOPT($BW29,$BV29,$CG29,0,$BY29,$BX29,$BZ29,$AJ29,1,6)*$CB29</f>
        <v>-8.2567212007214799E-2</v>
      </c>
      <c r="BK29" s="137">
        <f>_xll.xSPRDOPT($BW29,$BV29,$CG29,0,$BY29,$BX29,$BZ29,$AJ29,1,5)*$CB29</f>
        <v>8.6946939105313079E-2</v>
      </c>
      <c r="BL29" s="137">
        <f>_xll.xSPRDOPT(BW29,BV29,CG29,0,BY29,BX29,BZ29,AJ29,1,2)*CB29</f>
        <v>-0.96916400339442621</v>
      </c>
      <c r="BM29" s="137">
        <f>_xll.xSPRDOPT(BW29,BV29,CG29,0,BY29,BX29,BZ29,AJ29,1,1)*CB29</f>
        <v>0.96916400339731978</v>
      </c>
      <c r="BN29" s="137">
        <f>IF(AH29&lt;&gt;0,_xll.xSPRDOPT($BW29,$BV29,$CG29,2*LN(1+CA29/2),$BY29,$BX29,$BZ29,$AJ29,1,8)+(AJ29/365.25)*CH29/AH29,0)</f>
        <v>3.0482932926426828E-2</v>
      </c>
      <c r="BO29" s="137">
        <f>_xll.xSPRDOPT($BW29,$BV29,$CG29,0,$BY29,$BX29,$BZ29,$AJ29,1,0)</f>
        <v>0.11995049242571976</v>
      </c>
      <c r="BP29" s="137"/>
      <c r="BQ29" s="137"/>
      <c r="BR29" s="137"/>
      <c r="BS29" s="137"/>
      <c r="BV29" s="262">
        <v>3.2961573557741053</v>
      </c>
      <c r="BW29" s="136">
        <v>3.4710000000000001</v>
      </c>
      <c r="BX29" s="137">
        <v>0.56461614806765292</v>
      </c>
      <c r="BY29" s="137">
        <v>0.56461614806765292</v>
      </c>
      <c r="BZ29" s="137">
        <v>1</v>
      </c>
      <c r="CA29" s="137">
        <v>2.3274064967752799E-2</v>
      </c>
      <c r="CB29" s="137">
        <v>0.97893835036076038</v>
      </c>
      <c r="CC29" s="258">
        <v>0.02</v>
      </c>
      <c r="CD29" s="258">
        <v>0.02</v>
      </c>
      <c r="CE29" s="258">
        <v>0.22</v>
      </c>
      <c r="CF29" s="258">
        <v>0.04</v>
      </c>
      <c r="CG29" s="258">
        <v>5.5199999999999999E-2</v>
      </c>
      <c r="CH29" s="258">
        <v>4.5168215485645486</v>
      </c>
      <c r="CI29" s="258">
        <v>3.2109999999999999</v>
      </c>
      <c r="CJ29" s="258"/>
      <c r="CK29" s="258"/>
      <c r="CL29" s="258"/>
      <c r="CM29" s="258"/>
    </row>
    <row r="30" spans="1:91" x14ac:dyDescent="0.25">
      <c r="A30" s="723"/>
      <c r="B30" s="723"/>
      <c r="D30" s="31">
        <f t="shared" si="50"/>
        <v>37605</v>
      </c>
      <c r="F30" s="28">
        <f t="shared" si="12"/>
        <v>225000</v>
      </c>
      <c r="G30" s="28">
        <f t="shared" si="13"/>
        <v>219704.20186268905</v>
      </c>
      <c r="H30" s="52">
        <f t="shared" si="14"/>
        <v>3.5699077359829667</v>
      </c>
      <c r="I30" s="52">
        <f t="shared" si="15"/>
        <v>3.7410000000000001</v>
      </c>
      <c r="K30" s="52">
        <f t="shared" si="16"/>
        <v>3.5081001706915242</v>
      </c>
      <c r="L30" s="135">
        <f t="shared" si="17"/>
        <v>1.5202778896303837E-2</v>
      </c>
      <c r="N30" s="131">
        <f t="shared" si="18"/>
        <v>0.57917009354464755</v>
      </c>
      <c r="O30" s="131">
        <f t="shared" si="19"/>
        <v>0.57917009354464755</v>
      </c>
      <c r="P30" s="55">
        <f t="shared" si="20"/>
        <v>1.0000000000000002</v>
      </c>
      <c r="Q30" s="135">
        <f>_xll.xSPRDOPT(I30,H30,AQ30,0,O30,N30,P30,D30-$G$5,1,0)*AH30*AU30</f>
        <v>3.5233029495878281</v>
      </c>
      <c r="R30" s="135"/>
      <c r="S30" s="181">
        <f>_xll.xSPRDOPT(I30,H30,AQ30,AT30,O30,N30,P30,D30-$G$5,1,2)*AF30*(F30/(1-AR30))*AH30</f>
        <v>-6841840.2636772199</v>
      </c>
      <c r="T30" s="181">
        <f>_xll.xSPRDOPT(I30,H30,AQ30,AT30,O30,N30,P30,D30-$G$5,1,1)*AF30*F30*AH30</f>
        <v>6748107.0520727644</v>
      </c>
      <c r="U30" s="135"/>
      <c r="V30" s="146">
        <f t="shared" si="21"/>
        <v>4.6555808606263493</v>
      </c>
      <c r="W30" s="146"/>
      <c r="X30" s="338">
        <f t="shared" si="22"/>
        <v>0</v>
      </c>
      <c r="Y30" s="338">
        <f t="shared" si="23"/>
        <v>0</v>
      </c>
      <c r="Z30" s="338">
        <f t="shared" si="24"/>
        <v>88.510510403223179</v>
      </c>
      <c r="AA30" s="338">
        <f t="shared" si="25"/>
        <v>11.901515006410756</v>
      </c>
      <c r="AB30" s="338">
        <f t="shared" si="26"/>
        <v>0</v>
      </c>
      <c r="AC30" s="338">
        <f t="shared" si="27"/>
        <v>156.96736942719983</v>
      </c>
      <c r="AF30" s="138">
        <f t="shared" si="28"/>
        <v>1</v>
      </c>
      <c r="AG30" s="138">
        <f t="shared" si="29"/>
        <v>12</v>
      </c>
      <c r="AH30" s="138">
        <f t="shared" si="30"/>
        <v>31</v>
      </c>
      <c r="AI30" s="138">
        <f t="shared" si="51"/>
        <v>349</v>
      </c>
      <c r="AJ30" s="138">
        <f t="shared" si="31"/>
        <v>366</v>
      </c>
      <c r="AL30" s="136">
        <f t="shared" si="32"/>
        <v>3.371</v>
      </c>
      <c r="AM30" s="258">
        <f t="shared" si="33"/>
        <v>0.13</v>
      </c>
      <c r="AN30" s="258">
        <f t="shared" si="34"/>
        <v>0.02</v>
      </c>
      <c r="AO30" s="258">
        <f t="shared" si="35"/>
        <v>0.33</v>
      </c>
      <c r="AP30" s="258">
        <f t="shared" si="36"/>
        <v>0.04</v>
      </c>
      <c r="AQ30" s="136">
        <f t="shared" si="37"/>
        <v>5.5199999999999999E-2</v>
      </c>
      <c r="AR30" s="137">
        <f t="shared" si="38"/>
        <v>1.37E-2</v>
      </c>
      <c r="AS30" s="136">
        <f t="shared" si="39"/>
        <v>3.5209999999999999</v>
      </c>
      <c r="AT30" s="137">
        <f t="shared" si="40"/>
        <v>2.4110098358835999E-2</v>
      </c>
      <c r="AU30" s="137">
        <f t="shared" si="41"/>
        <v>0.97646311938972907</v>
      </c>
      <c r="AV30" s="394">
        <f t="shared" si="42"/>
        <v>94594.86469088</v>
      </c>
      <c r="AW30" s="137">
        <f t="shared" si="43"/>
        <v>0.54</v>
      </c>
      <c r="AX30" s="137">
        <f t="shared" si="44"/>
        <v>1.1499999999999999</v>
      </c>
      <c r="AY30" s="137">
        <f t="shared" si="45"/>
        <v>1.1499999999999999</v>
      </c>
      <c r="AZ30" s="137"/>
      <c r="BA30" s="264"/>
      <c r="BB30" s="258">
        <f t="shared" si="46"/>
        <v>0</v>
      </c>
      <c r="BC30" s="258">
        <f t="shared" si="47"/>
        <v>0</v>
      </c>
      <c r="BD30" s="137">
        <f t="shared" si="48"/>
        <v>3.0902553746003925E-4</v>
      </c>
      <c r="BE30" s="137">
        <f t="shared" si="49"/>
        <v>3.0902553746003925E-4</v>
      </c>
      <c r="BF30" s="137">
        <f>_xll.xSPRDOPT($BW30,$BV30,$CG30,0,$BY30,$BX30,$BZ30,$AJ30,1,4)*$CB30</f>
        <v>-6.1099795836198256E-7</v>
      </c>
      <c r="BG30" s="137">
        <f>_xll.xSPRDOPT($BW30,$BV30,$CG30,0,$BY30,$BX30,$BZ30,$AJ30,1,3)*$CB30</f>
        <v>-1.0765202123520646E-6</v>
      </c>
      <c r="BH30" s="137">
        <f>IF(OR(BF30&lt;&gt;0,BG30&lt;&gt;0),_xll.xSPRDOPT($BW30,$BV30,$CG30,0,$BY30,$BX30,$BZ30,$AJ30,1,12)*$CB30,0)</f>
        <v>7.5647366273388316E-7</v>
      </c>
      <c r="BI30" s="137">
        <f>_xll.xSPRDOPT($BW30,$BV30,$CG30,2*LN(1+CA30/2),$BY30,$BX30,$BZ30,$AJ30,1,9)</f>
        <v>1.5449684073967629E-3</v>
      </c>
      <c r="BJ30" s="137">
        <f>_xll.xSPRDOPT($BW30,$BV30,$CG30,0,$BY30,$BX30,$BZ30,$AJ30,1,6)*$CB30</f>
        <v>-9.7778848925111558E-2</v>
      </c>
      <c r="BK30" s="137">
        <f>_xll.xSPRDOPT($BW30,$BV30,$CG30,0,$BY30,$BX30,$BZ30,$AJ30,1,5)*$CB30</f>
        <v>0.10330043270491482</v>
      </c>
      <c r="BL30" s="137">
        <f>_xll.xSPRDOPT(BW30,BV30,CG30,0,BY30,BX30,BZ30,AJ30,1,2)*CB30</f>
        <v>-0.9674681983063772</v>
      </c>
      <c r="BM30" s="137">
        <f>_xll.xSPRDOPT(BW30,BV30,CG30,0,BY30,BX30,BZ30,AJ30,1,1)*CB30</f>
        <v>0.96746819830526731</v>
      </c>
      <c r="BN30" s="137">
        <f>IF(AH30&lt;&gt;0,_xll.xSPRDOPT($BW30,$BV30,$CG30,2*LN(1+CA30/2),$BY30,$BX30,$BZ30,$AJ30,1,8)+(AJ30/365.25)*CH30/AH30,0)</f>
        <v>3.6584407884524564E-2</v>
      </c>
      <c r="BO30" s="137">
        <f>_xll.xSPRDOPT($BW30,$BV30,$CG30,0,$BY30,$BX30,$BZ30,$AJ30,1,0)</f>
        <v>0.11640316796980248</v>
      </c>
      <c r="BP30" s="137"/>
      <c r="BQ30" s="137"/>
      <c r="BR30" s="137"/>
      <c r="BS30" s="137"/>
      <c r="BV30" s="262">
        <v>3.5699077359829667</v>
      </c>
      <c r="BW30" s="136">
        <v>3.7410000000000001</v>
      </c>
      <c r="BX30" s="137">
        <v>0.57886106800718751</v>
      </c>
      <c r="BY30" s="137">
        <v>0.57886106800718751</v>
      </c>
      <c r="BZ30" s="137">
        <v>1</v>
      </c>
      <c r="CA30" s="137">
        <v>2.4110098358835999E-2</v>
      </c>
      <c r="CB30" s="137">
        <v>0.97627092599980836</v>
      </c>
      <c r="CC30" s="258">
        <v>0.13</v>
      </c>
      <c r="CD30" s="258">
        <v>0.02</v>
      </c>
      <c r="CE30" s="258">
        <v>0.33</v>
      </c>
      <c r="CF30" s="258">
        <v>0.04</v>
      </c>
      <c r="CG30" s="258">
        <v>5.5199999999999999E-2</v>
      </c>
      <c r="CH30" s="258">
        <v>4.6546645209818855</v>
      </c>
      <c r="CI30" s="258">
        <v>3.371</v>
      </c>
      <c r="CJ30" s="258"/>
      <c r="CK30" s="258"/>
      <c r="CL30" s="258"/>
      <c r="CM30" s="258"/>
    </row>
    <row r="31" spans="1:91" x14ac:dyDescent="0.25">
      <c r="A31" s="723"/>
      <c r="B31" s="723"/>
      <c r="D31" s="31">
        <f t="shared" si="50"/>
        <v>37636</v>
      </c>
      <c r="F31" s="28">
        <f t="shared" si="12"/>
        <v>0</v>
      </c>
      <c r="G31" s="28">
        <f t="shared" si="13"/>
        <v>0</v>
      </c>
      <c r="H31" s="52">
        <f t="shared" si="14"/>
        <v>3.6460000000000004</v>
      </c>
      <c r="I31" s="52">
        <f t="shared" si="15"/>
        <v>3.8660000000000001</v>
      </c>
      <c r="K31" s="52">
        <f t="shared" si="16"/>
        <v>0</v>
      </c>
      <c r="L31" s="135">
        <f t="shared" si="17"/>
        <v>0</v>
      </c>
      <c r="N31" s="131">
        <f t="shared" si="18"/>
        <v>0.53749999999999998</v>
      </c>
      <c r="O31" s="131">
        <f t="shared" si="19"/>
        <v>0.53749999999999998</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21"/>
        <v>0</v>
      </c>
      <c r="W31" s="146"/>
      <c r="X31" s="338">
        <f t="shared" si="22"/>
        <v>0</v>
      </c>
      <c r="Y31" s="338">
        <f t="shared" si="23"/>
        <v>0</v>
      </c>
      <c r="Z31" s="338">
        <f t="shared" si="24"/>
        <v>0</v>
      </c>
      <c r="AA31" s="338">
        <f t="shared" si="25"/>
        <v>0</v>
      </c>
      <c r="AB31" s="338">
        <f t="shared" si="26"/>
        <v>0</v>
      </c>
      <c r="AC31" s="338">
        <f t="shared" si="27"/>
        <v>0</v>
      </c>
      <c r="AF31" s="138">
        <f t="shared" si="28"/>
        <v>0</v>
      </c>
      <c r="AG31" s="138">
        <f t="shared" si="29"/>
        <v>1</v>
      </c>
      <c r="AH31" s="138">
        <f t="shared" si="30"/>
        <v>0</v>
      </c>
      <c r="AI31" s="138">
        <f t="shared" si="51"/>
        <v>380</v>
      </c>
      <c r="AJ31" s="138">
        <f t="shared" si="31"/>
        <v>397</v>
      </c>
      <c r="AL31" s="136">
        <f t="shared" si="32"/>
        <v>3.4460000000000002</v>
      </c>
      <c r="AM31" s="258">
        <f t="shared" si="33"/>
        <v>0.18</v>
      </c>
      <c r="AN31" s="258">
        <f t="shared" si="34"/>
        <v>0.02</v>
      </c>
      <c r="AO31" s="258">
        <f t="shared" si="35"/>
        <v>0.38</v>
      </c>
      <c r="AP31" s="258">
        <f t="shared" si="36"/>
        <v>0.04</v>
      </c>
      <c r="AQ31" s="136">
        <f t="shared" si="37"/>
        <v>0</v>
      </c>
      <c r="AR31" s="137">
        <f t="shared" si="38"/>
        <v>0</v>
      </c>
      <c r="AS31" s="136">
        <f t="shared" si="39"/>
        <v>3.6460000000000004</v>
      </c>
      <c r="AT31" s="137">
        <f t="shared" si="40"/>
        <v>2.50384261928196E-2</v>
      </c>
      <c r="AU31" s="137">
        <f t="shared" si="41"/>
        <v>0</v>
      </c>
      <c r="AV31" s="394">
        <f t="shared" si="42"/>
        <v>0</v>
      </c>
      <c r="AW31" s="137">
        <f t="shared" si="43"/>
        <v>0.53749999999999998</v>
      </c>
      <c r="AX31" s="137">
        <f t="shared" si="44"/>
        <v>1.18</v>
      </c>
      <c r="AY31" s="137">
        <f t="shared" si="45"/>
        <v>1.18</v>
      </c>
      <c r="AZ31" s="137"/>
      <c r="BA31" s="264"/>
      <c r="BB31" s="258">
        <f t="shared" si="46"/>
        <v>0</v>
      </c>
      <c r="BC31" s="258">
        <f t="shared" si="47"/>
        <v>0</v>
      </c>
      <c r="BD31" s="137">
        <f t="shared" si="48"/>
        <v>0</v>
      </c>
      <c r="BE31" s="137">
        <f t="shared" si="49"/>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-0.45922688597429784</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1.2701298564786176</v>
      </c>
      <c r="BP31" s="137"/>
      <c r="BQ31" s="137"/>
      <c r="BR31" s="137"/>
      <c r="BS31" s="137"/>
      <c r="BV31" s="262">
        <v>3.6460000000000004</v>
      </c>
      <c r="BW31" s="136">
        <v>3.8660000000000001</v>
      </c>
      <c r="BX31" s="137">
        <v>0.53749999999999998</v>
      </c>
      <c r="BY31" s="137">
        <v>0.53749999999999998</v>
      </c>
      <c r="BZ31" s="137">
        <v>0</v>
      </c>
      <c r="CA31" s="137">
        <v>2.50384261928196E-2</v>
      </c>
      <c r="CB31" s="137">
        <v>0</v>
      </c>
      <c r="CC31" s="258">
        <v>0.18</v>
      </c>
      <c r="CD31" s="258">
        <v>0.02</v>
      </c>
      <c r="CE31" s="258">
        <v>0.38</v>
      </c>
      <c r="CF31" s="258">
        <v>0.04</v>
      </c>
      <c r="CG31" s="258">
        <v>0</v>
      </c>
      <c r="CH31" s="258">
        <v>0</v>
      </c>
      <c r="CI31" s="258">
        <v>3.4460000000000002</v>
      </c>
      <c r="CJ31" s="258"/>
      <c r="CK31" s="258"/>
      <c r="CL31" s="258"/>
      <c r="CM31" s="258"/>
    </row>
    <row r="32" spans="1:91" x14ac:dyDescent="0.25">
      <c r="A32" s="723"/>
      <c r="B32" s="723"/>
      <c r="K32" s="52"/>
      <c r="L32" s="135"/>
      <c r="N32" s="131"/>
      <c r="O32" s="131"/>
      <c r="P32" s="55"/>
      <c r="Q32" s="135"/>
      <c r="R32" s="135"/>
      <c r="U32" s="135"/>
      <c r="V32" s="146"/>
      <c r="W32" s="146"/>
      <c r="X32" s="338"/>
      <c r="Y32" s="338"/>
      <c r="Z32" s="338"/>
      <c r="AA32" s="338"/>
      <c r="AB32" s="338"/>
      <c r="AC32" s="338"/>
      <c r="AF32" s="138"/>
      <c r="AG32" s="138"/>
      <c r="AH32" s="138"/>
      <c r="AI32" s="138"/>
      <c r="AJ32" s="138"/>
      <c r="AM32" s="258"/>
      <c r="AN32" s="258"/>
      <c r="AO32" s="258"/>
      <c r="AP32" s="258"/>
      <c r="AR32" s="137"/>
      <c r="AT32" s="137"/>
      <c r="AV32" s="394"/>
      <c r="AW32" s="137"/>
      <c r="AX32" s="137"/>
      <c r="AY32" s="137"/>
      <c r="AZ32" s="137"/>
      <c r="BA32" s="264"/>
      <c r="BB32" s="258"/>
      <c r="BC32" s="258"/>
      <c r="BD32" s="137"/>
      <c r="BE32" s="137"/>
      <c r="BF32" s="137"/>
      <c r="BG32" s="137"/>
      <c r="BH32" s="137"/>
      <c r="BI32" s="137"/>
      <c r="BJ32" s="137"/>
      <c r="BK32" s="137"/>
      <c r="BL32" s="137"/>
      <c r="BM32" s="137"/>
      <c r="BN32" s="137"/>
      <c r="BO32" s="137"/>
      <c r="BP32" s="137"/>
      <c r="BQ32" s="137"/>
      <c r="BR32" s="137"/>
      <c r="BS32" s="137"/>
      <c r="BV32" s="262"/>
      <c r="BW32" s="136"/>
      <c r="BX32" s="137"/>
      <c r="BY32" s="137"/>
      <c r="BZ32" s="137"/>
      <c r="CA32" s="137"/>
      <c r="CB32" s="137"/>
      <c r="CC32" s="258"/>
      <c r="CD32" s="258"/>
      <c r="CE32" s="258"/>
      <c r="CF32" s="258"/>
      <c r="CG32" s="258"/>
      <c r="CH32" s="258"/>
      <c r="CI32" s="258"/>
      <c r="CJ32" s="258"/>
      <c r="CK32" s="258"/>
      <c r="CL32" s="258"/>
      <c r="CM32" s="258"/>
    </row>
    <row r="33" spans="1:91" x14ac:dyDescent="0.25">
      <c r="A33" s="723"/>
      <c r="B33" s="723"/>
      <c r="K33" s="52"/>
      <c r="L33" s="135"/>
      <c r="N33" s="131"/>
      <c r="O33" s="131"/>
      <c r="P33" s="55"/>
      <c r="Q33" s="135"/>
      <c r="R33" s="135"/>
      <c r="U33" s="135"/>
      <c r="V33" s="146"/>
      <c r="W33" s="146"/>
      <c r="X33" s="338"/>
      <c r="Y33" s="338"/>
      <c r="Z33" s="338"/>
      <c r="AA33" s="338"/>
      <c r="AB33" s="338"/>
      <c r="AC33" s="338"/>
      <c r="AF33" s="138"/>
      <c r="AG33" s="138"/>
      <c r="AH33" s="138"/>
      <c r="AI33" s="138"/>
      <c r="AJ33" s="138"/>
      <c r="AM33" s="258"/>
      <c r="AN33" s="258"/>
      <c r="AO33" s="258"/>
      <c r="AP33" s="258"/>
      <c r="AR33" s="137"/>
      <c r="AT33" s="137"/>
      <c r="AV33" s="394"/>
      <c r="AW33" s="137"/>
      <c r="AX33" s="137"/>
      <c r="AY33" s="137"/>
      <c r="AZ33" s="137"/>
      <c r="BA33" s="264"/>
      <c r="BB33" s="258"/>
      <c r="BC33" s="258"/>
      <c r="BD33" s="137"/>
      <c r="BE33" s="137"/>
      <c r="BF33" s="137"/>
      <c r="BG33" s="137"/>
      <c r="BH33" s="137"/>
      <c r="BI33" s="137"/>
      <c r="BJ33" s="137"/>
      <c r="BK33" s="137"/>
      <c r="BL33" s="137"/>
      <c r="BM33" s="137"/>
      <c r="BN33" s="137"/>
      <c r="BO33" s="137"/>
      <c r="BP33" s="137"/>
      <c r="BQ33" s="137"/>
      <c r="BR33" s="137"/>
      <c r="BS33" s="137"/>
      <c r="BV33" s="262"/>
      <c r="BW33" s="136"/>
      <c r="BX33" s="137"/>
      <c r="BY33" s="137"/>
      <c r="BZ33" s="137"/>
      <c r="CA33" s="137"/>
      <c r="CB33" s="137"/>
      <c r="CC33" s="258"/>
      <c r="CD33" s="258"/>
      <c r="CE33" s="258"/>
      <c r="CF33" s="258"/>
      <c r="CG33" s="258"/>
      <c r="CH33" s="258"/>
      <c r="CI33" s="258"/>
      <c r="CJ33" s="258"/>
      <c r="CK33" s="258"/>
      <c r="CL33" s="258"/>
      <c r="CM33" s="258"/>
    </row>
    <row r="34" spans="1:91" x14ac:dyDescent="0.25">
      <c r="A34" s="723"/>
      <c r="B34" s="723"/>
      <c r="K34" s="52"/>
      <c r="L34" s="135"/>
      <c r="N34" s="131"/>
      <c r="O34" s="131"/>
      <c r="P34" s="55"/>
      <c r="Q34" s="135"/>
      <c r="R34" s="135"/>
      <c r="U34" s="135"/>
      <c r="V34" s="146"/>
      <c r="W34" s="146"/>
      <c r="X34" s="338"/>
      <c r="Y34" s="338"/>
      <c r="Z34" s="338"/>
      <c r="AA34" s="338"/>
      <c r="AB34" s="338"/>
      <c r="AC34" s="338"/>
      <c r="AF34" s="138"/>
      <c r="AG34" s="138"/>
      <c r="AH34" s="138"/>
      <c r="AI34" s="138"/>
      <c r="AJ34" s="138"/>
      <c r="AM34" s="258"/>
      <c r="AN34" s="258"/>
      <c r="AO34" s="258"/>
      <c r="AP34" s="258"/>
      <c r="AR34" s="137"/>
      <c r="AT34" s="137"/>
      <c r="AV34" s="394"/>
      <c r="AW34" s="137"/>
      <c r="AX34" s="137"/>
      <c r="AY34" s="137"/>
      <c r="AZ34" s="137"/>
      <c r="BA34" s="264"/>
      <c r="BB34" s="258"/>
      <c r="BC34" s="258"/>
      <c r="BD34" s="137"/>
      <c r="BE34" s="137"/>
      <c r="BF34" s="137"/>
      <c r="BG34" s="137"/>
      <c r="BH34" s="137"/>
      <c r="BI34" s="137"/>
      <c r="BJ34" s="137"/>
      <c r="BK34" s="137"/>
      <c r="BL34" s="137"/>
      <c r="BM34" s="137"/>
      <c r="BN34" s="137"/>
      <c r="BO34" s="137"/>
      <c r="BP34" s="137"/>
      <c r="BQ34" s="137"/>
      <c r="BR34" s="137"/>
      <c r="BS34" s="137"/>
      <c r="BV34" s="262"/>
      <c r="BW34" s="136"/>
      <c r="BX34" s="137"/>
      <c r="BY34" s="137"/>
      <c r="BZ34" s="137"/>
      <c r="CA34" s="137"/>
      <c r="CB34" s="137"/>
      <c r="CC34" s="258"/>
      <c r="CD34" s="258"/>
      <c r="CE34" s="258"/>
      <c r="CF34" s="258"/>
      <c r="CG34" s="258"/>
      <c r="CH34" s="258"/>
      <c r="CI34" s="258"/>
      <c r="CJ34" s="258"/>
      <c r="CK34" s="258"/>
      <c r="CL34" s="258"/>
      <c r="CM34" s="258"/>
    </row>
    <row r="35" spans="1:91" x14ac:dyDescent="0.25">
      <c r="A35" s="723"/>
      <c r="B35" s="723"/>
      <c r="K35" s="52"/>
      <c r="L35" s="135"/>
      <c r="N35" s="131"/>
      <c r="O35" s="131"/>
      <c r="P35" s="55"/>
      <c r="Q35" s="135"/>
      <c r="R35" s="135"/>
      <c r="U35" s="135"/>
      <c r="V35" s="146"/>
      <c r="W35" s="146"/>
      <c r="X35" s="338"/>
      <c r="Y35" s="338"/>
      <c r="Z35" s="338"/>
      <c r="AA35" s="338"/>
      <c r="AB35" s="338"/>
      <c r="AC35" s="338"/>
      <c r="AF35" s="138"/>
      <c r="AG35" s="138"/>
      <c r="AH35" s="138"/>
      <c r="AI35" s="138"/>
      <c r="AJ35" s="138"/>
      <c r="AM35" s="258"/>
      <c r="AN35" s="258"/>
      <c r="AO35" s="258"/>
      <c r="AP35" s="258"/>
      <c r="AR35" s="137"/>
      <c r="AT35" s="137"/>
      <c r="AV35" s="394"/>
      <c r="AW35" s="137"/>
      <c r="AX35" s="137"/>
      <c r="AY35" s="137"/>
      <c r="AZ35" s="137"/>
      <c r="BA35" s="264"/>
      <c r="BB35" s="258"/>
      <c r="BC35" s="258"/>
      <c r="BD35" s="137"/>
      <c r="BE35" s="137"/>
      <c r="BF35" s="137"/>
      <c r="BG35" s="137"/>
      <c r="BH35" s="137"/>
      <c r="BI35" s="137"/>
      <c r="BJ35" s="137"/>
      <c r="BK35" s="137"/>
      <c r="BL35" s="137"/>
      <c r="BM35" s="137"/>
      <c r="BN35" s="137"/>
      <c r="BO35" s="137"/>
      <c r="BP35" s="137"/>
      <c r="BQ35" s="137"/>
      <c r="BR35" s="137"/>
      <c r="BS35" s="137"/>
      <c r="BV35" s="262"/>
      <c r="BW35" s="136"/>
      <c r="BX35" s="137"/>
      <c r="BY35" s="137"/>
      <c r="BZ35" s="137"/>
      <c r="CA35" s="137"/>
      <c r="CB35" s="137"/>
      <c r="CC35" s="258"/>
      <c r="CD35" s="258"/>
      <c r="CE35" s="258"/>
      <c r="CF35" s="258"/>
      <c r="CG35" s="258"/>
      <c r="CH35" s="258"/>
      <c r="CI35" s="258"/>
      <c r="CJ35" s="258"/>
      <c r="CK35" s="258"/>
      <c r="CL35" s="258"/>
      <c r="CM35" s="258"/>
    </row>
    <row r="36" spans="1:91" x14ac:dyDescent="0.25">
      <c r="A36" s="723"/>
      <c r="B36" s="723"/>
      <c r="K36" s="52"/>
      <c r="L36" s="135"/>
      <c r="N36" s="131"/>
      <c r="O36" s="131"/>
      <c r="P36" s="55"/>
      <c r="Q36" s="135"/>
      <c r="R36" s="135"/>
      <c r="U36" s="135"/>
      <c r="V36" s="146"/>
      <c r="W36" s="146"/>
      <c r="X36" s="338"/>
      <c r="Y36" s="338"/>
      <c r="Z36" s="338"/>
      <c r="AA36" s="338"/>
      <c r="AB36" s="338"/>
      <c r="AC36" s="338"/>
      <c r="AF36" s="138"/>
      <c r="AG36" s="138"/>
      <c r="AH36" s="138"/>
      <c r="AI36" s="138"/>
      <c r="AJ36" s="138"/>
      <c r="AM36" s="258"/>
      <c r="AN36" s="258"/>
      <c r="AO36" s="258"/>
      <c r="AP36" s="258"/>
      <c r="AR36" s="137"/>
      <c r="AT36" s="137"/>
      <c r="AV36" s="394"/>
      <c r="AW36" s="137"/>
      <c r="AX36" s="137"/>
      <c r="AY36" s="137"/>
      <c r="AZ36" s="137"/>
      <c r="BA36" s="264"/>
      <c r="BB36" s="258"/>
      <c r="BC36" s="258"/>
      <c r="BD36" s="137"/>
      <c r="BE36" s="137"/>
      <c r="BF36" s="137"/>
      <c r="BG36" s="137"/>
      <c r="BH36" s="137"/>
      <c r="BI36" s="137"/>
      <c r="BJ36" s="137"/>
      <c r="BK36" s="137"/>
      <c r="BL36" s="137"/>
      <c r="BM36" s="137"/>
      <c r="BN36" s="137"/>
      <c r="BO36" s="137"/>
      <c r="BP36" s="137"/>
      <c r="BQ36" s="137"/>
      <c r="BR36" s="137"/>
      <c r="BS36" s="137"/>
      <c r="BV36" s="262"/>
      <c r="BW36" s="136"/>
      <c r="BX36" s="137"/>
      <c r="BY36" s="137"/>
      <c r="BZ36" s="137"/>
      <c r="CA36" s="137"/>
      <c r="CB36" s="137"/>
      <c r="CC36" s="258"/>
      <c r="CD36" s="258"/>
      <c r="CE36" s="258"/>
      <c r="CF36" s="258"/>
      <c r="CG36" s="258"/>
      <c r="CH36" s="258"/>
      <c r="CI36" s="258"/>
      <c r="CJ36" s="258"/>
      <c r="CK36" s="258"/>
      <c r="CL36" s="258"/>
      <c r="CM36" s="258"/>
    </row>
    <row r="37" spans="1:91" x14ac:dyDescent="0.25">
      <c r="A37" s="723"/>
      <c r="B37" s="723"/>
      <c r="K37" s="52"/>
      <c r="L37" s="135"/>
      <c r="N37" s="131"/>
      <c r="O37" s="131"/>
      <c r="P37" s="55"/>
      <c r="Q37" s="135"/>
      <c r="R37" s="135"/>
      <c r="U37" s="135"/>
      <c r="V37" s="146"/>
      <c r="W37" s="146"/>
      <c r="X37" s="338"/>
      <c r="Y37" s="338"/>
      <c r="Z37" s="338"/>
      <c r="AA37" s="338"/>
      <c r="AB37" s="338"/>
      <c r="AC37" s="338"/>
      <c r="AF37" s="138"/>
      <c r="AG37" s="138"/>
      <c r="AH37" s="138"/>
      <c r="AI37" s="138"/>
      <c r="AJ37" s="138"/>
      <c r="AM37" s="258"/>
      <c r="AN37" s="258"/>
      <c r="AO37" s="258"/>
      <c r="AP37" s="258"/>
      <c r="AR37" s="137"/>
      <c r="AT37" s="137"/>
      <c r="AV37" s="394"/>
      <c r="AW37" s="137"/>
      <c r="AX37" s="137"/>
      <c r="AY37" s="137"/>
      <c r="AZ37" s="137"/>
      <c r="BA37" s="264"/>
      <c r="BB37" s="258"/>
      <c r="BC37" s="258"/>
      <c r="BD37" s="137"/>
      <c r="BE37" s="137"/>
      <c r="BF37" s="137"/>
      <c r="BG37" s="137"/>
      <c r="BH37" s="137"/>
      <c r="BI37" s="137"/>
      <c r="BJ37" s="137"/>
      <c r="BK37" s="137"/>
      <c r="BL37" s="137"/>
      <c r="BM37" s="137"/>
      <c r="BN37" s="137"/>
      <c r="BO37" s="137"/>
      <c r="BP37" s="137"/>
      <c r="BQ37" s="137"/>
      <c r="BR37" s="137"/>
      <c r="BS37" s="137"/>
      <c r="BV37" s="262"/>
      <c r="BW37" s="136"/>
      <c r="BX37" s="137"/>
      <c r="BY37" s="137"/>
      <c r="BZ37" s="137"/>
      <c r="CA37" s="137"/>
      <c r="CB37" s="137"/>
      <c r="CC37" s="258"/>
      <c r="CD37" s="258"/>
      <c r="CE37" s="258"/>
      <c r="CF37" s="258"/>
      <c r="CG37" s="258"/>
      <c r="CH37" s="258"/>
      <c r="CI37" s="258"/>
      <c r="CJ37" s="258"/>
      <c r="CK37" s="258"/>
      <c r="CL37" s="258"/>
      <c r="CM37" s="258"/>
    </row>
    <row r="38" spans="1:91" x14ac:dyDescent="0.25">
      <c r="A38" s="723"/>
      <c r="B38" s="723"/>
      <c r="K38" s="52"/>
      <c r="L38" s="135"/>
      <c r="N38" s="131"/>
      <c r="O38" s="131"/>
      <c r="P38" s="55"/>
      <c r="Q38" s="135"/>
      <c r="R38" s="135"/>
      <c r="U38" s="135"/>
      <c r="V38" s="146"/>
      <c r="W38" s="146"/>
      <c r="X38" s="338"/>
      <c r="Y38" s="338"/>
      <c r="Z38" s="338"/>
      <c r="AA38" s="338"/>
      <c r="AB38" s="338"/>
      <c r="AC38" s="338"/>
      <c r="AF38" s="138"/>
      <c r="AG38" s="138"/>
      <c r="AH38" s="138"/>
      <c r="AI38" s="138"/>
      <c r="AJ38" s="138"/>
      <c r="AM38" s="258"/>
      <c r="AN38" s="258"/>
      <c r="AO38" s="258"/>
      <c r="AP38" s="258"/>
      <c r="AR38" s="137"/>
      <c r="AT38" s="137"/>
      <c r="AV38" s="394"/>
      <c r="AW38" s="137"/>
      <c r="AX38" s="137"/>
      <c r="AY38" s="137"/>
      <c r="AZ38" s="137"/>
      <c r="BA38" s="264"/>
      <c r="BB38" s="258"/>
      <c r="BC38" s="258"/>
      <c r="BD38" s="137"/>
      <c r="BE38" s="137"/>
      <c r="BF38" s="137"/>
      <c r="BG38" s="137"/>
      <c r="BH38" s="137"/>
      <c r="BI38" s="137"/>
      <c r="BJ38" s="137"/>
      <c r="BK38" s="137"/>
      <c r="BL38" s="137"/>
      <c r="BM38" s="137"/>
      <c r="BN38" s="137"/>
      <c r="BO38" s="137"/>
      <c r="BP38" s="137"/>
      <c r="BQ38" s="137"/>
      <c r="BR38" s="137"/>
      <c r="BS38" s="137"/>
      <c r="BV38" s="262"/>
      <c r="BW38" s="136"/>
      <c r="BX38" s="137"/>
      <c r="BY38" s="137"/>
      <c r="BZ38" s="137"/>
      <c r="CA38" s="137"/>
      <c r="CB38" s="137"/>
      <c r="CC38" s="258"/>
      <c r="CD38" s="258"/>
      <c r="CE38" s="258"/>
      <c r="CF38" s="258"/>
      <c r="CG38" s="258"/>
      <c r="CH38" s="258"/>
      <c r="CI38" s="258"/>
      <c r="CJ38" s="258"/>
      <c r="CK38" s="258"/>
      <c r="CL38" s="258"/>
      <c r="CM38" s="258"/>
    </row>
    <row r="39" spans="1:91" x14ac:dyDescent="0.25">
      <c r="A39" s="723"/>
      <c r="B39" s="723"/>
      <c r="K39" s="52"/>
      <c r="L39" s="135"/>
      <c r="N39" s="131"/>
      <c r="O39" s="131"/>
      <c r="P39" s="55"/>
      <c r="Q39" s="135"/>
      <c r="R39" s="135"/>
      <c r="U39" s="135"/>
      <c r="V39" s="146"/>
      <c r="W39" s="146"/>
      <c r="X39" s="338"/>
      <c r="Y39" s="338"/>
      <c r="Z39" s="338"/>
      <c r="AA39" s="338"/>
      <c r="AB39" s="338"/>
      <c r="AC39" s="338"/>
      <c r="AF39" s="138"/>
      <c r="AG39" s="138"/>
      <c r="AH39" s="138"/>
      <c r="AI39" s="138"/>
      <c r="AJ39" s="138"/>
      <c r="AM39" s="258"/>
      <c r="AN39" s="258"/>
      <c r="AO39" s="258"/>
      <c r="AP39" s="258"/>
      <c r="AR39" s="137"/>
      <c r="AT39" s="137"/>
      <c r="AV39" s="394"/>
      <c r="AW39" s="137"/>
      <c r="AX39" s="137"/>
      <c r="AY39" s="137"/>
      <c r="AZ39" s="137"/>
      <c r="BA39" s="264"/>
      <c r="BB39" s="258"/>
      <c r="BC39" s="258"/>
      <c r="BD39" s="137"/>
      <c r="BE39" s="137"/>
      <c r="BF39" s="137"/>
      <c r="BG39" s="137"/>
      <c r="BH39" s="137"/>
      <c r="BI39" s="137"/>
      <c r="BJ39" s="137"/>
      <c r="BK39" s="137"/>
      <c r="BL39" s="137"/>
      <c r="BM39" s="137"/>
      <c r="BN39" s="137"/>
      <c r="BO39" s="137"/>
      <c r="BP39" s="137"/>
      <c r="BQ39" s="137"/>
      <c r="BR39" s="137"/>
      <c r="BS39" s="137"/>
      <c r="BV39" s="262"/>
      <c r="BW39" s="136"/>
      <c r="BX39" s="137"/>
      <c r="BY39" s="137"/>
      <c r="BZ39" s="137"/>
      <c r="CA39" s="137"/>
      <c r="CB39" s="137"/>
      <c r="CC39" s="258"/>
      <c r="CD39" s="258"/>
      <c r="CE39" s="258"/>
      <c r="CF39" s="258"/>
      <c r="CG39" s="258"/>
      <c r="CH39" s="258"/>
      <c r="CI39" s="258"/>
      <c r="CJ39" s="258"/>
      <c r="CK39" s="258"/>
      <c r="CL39" s="258"/>
      <c r="CM39" s="258"/>
    </row>
    <row r="40" spans="1:91" x14ac:dyDescent="0.25">
      <c r="A40" s="723"/>
      <c r="B40" s="723"/>
      <c r="K40" s="52"/>
      <c r="L40" s="135"/>
      <c r="N40" s="131"/>
      <c r="O40" s="131"/>
      <c r="P40" s="55"/>
      <c r="Q40" s="135"/>
      <c r="R40" s="135"/>
      <c r="U40" s="135"/>
      <c r="V40" s="146"/>
      <c r="W40" s="146"/>
      <c r="X40" s="338"/>
      <c r="Y40" s="338"/>
      <c r="Z40" s="338"/>
      <c r="AA40" s="338"/>
      <c r="AB40" s="338"/>
      <c r="AC40" s="338"/>
      <c r="AF40" s="138"/>
      <c r="AG40" s="138"/>
      <c r="AH40" s="138"/>
      <c r="AI40" s="138"/>
      <c r="AJ40" s="138"/>
      <c r="AM40" s="258"/>
      <c r="AN40" s="258"/>
      <c r="AO40" s="258"/>
      <c r="AP40" s="258"/>
      <c r="AR40" s="137"/>
      <c r="AT40" s="137"/>
      <c r="AV40" s="394"/>
      <c r="AW40" s="137"/>
      <c r="AX40" s="137"/>
      <c r="AY40" s="137"/>
      <c r="AZ40" s="137"/>
      <c r="BA40" s="264"/>
      <c r="BB40" s="258"/>
      <c r="BC40" s="258"/>
      <c r="BD40" s="137"/>
      <c r="BE40" s="137"/>
      <c r="BF40" s="137"/>
      <c r="BG40" s="137"/>
      <c r="BH40" s="137"/>
      <c r="BI40" s="137"/>
      <c r="BJ40" s="137"/>
      <c r="BK40" s="137"/>
      <c r="BL40" s="137"/>
      <c r="BM40" s="137"/>
      <c r="BN40" s="137"/>
      <c r="BO40" s="137"/>
      <c r="BP40" s="137"/>
      <c r="BQ40" s="137"/>
      <c r="BR40" s="137"/>
      <c r="BS40" s="137"/>
      <c r="BV40" s="262"/>
      <c r="BW40" s="136"/>
      <c r="BX40" s="137"/>
      <c r="BY40" s="137"/>
      <c r="BZ40" s="137"/>
      <c r="CA40" s="137"/>
      <c r="CB40" s="137"/>
      <c r="CC40" s="258"/>
      <c r="CD40" s="258"/>
      <c r="CE40" s="258"/>
      <c r="CF40" s="258"/>
      <c r="CG40" s="258"/>
      <c r="CH40" s="258"/>
      <c r="CI40" s="258"/>
      <c r="CJ40" s="258"/>
      <c r="CK40" s="258"/>
      <c r="CL40" s="258"/>
      <c r="CM40" s="258"/>
    </row>
    <row r="41" spans="1:91" x14ac:dyDescent="0.25">
      <c r="A41" s="723"/>
      <c r="B41" s="723"/>
      <c r="K41" s="52"/>
      <c r="L41" s="135"/>
      <c r="N41" s="131"/>
      <c r="O41" s="131"/>
      <c r="P41" s="55"/>
      <c r="Q41" s="135"/>
      <c r="R41" s="135"/>
      <c r="U41" s="135"/>
      <c r="V41" s="146"/>
      <c r="W41" s="146"/>
      <c r="X41" s="338"/>
      <c r="Y41" s="338"/>
      <c r="Z41" s="338"/>
      <c r="AA41" s="338"/>
      <c r="AB41" s="338"/>
      <c r="AC41" s="338"/>
      <c r="AF41" s="138"/>
      <c r="AG41" s="138"/>
      <c r="AH41" s="138"/>
      <c r="AI41" s="138"/>
      <c r="AJ41" s="138"/>
      <c r="AM41" s="258"/>
      <c r="AN41" s="258"/>
      <c r="AO41" s="258"/>
      <c r="AP41" s="258"/>
      <c r="AR41" s="137"/>
      <c r="AT41" s="137"/>
      <c r="AV41" s="394"/>
      <c r="AW41" s="137"/>
      <c r="AX41" s="137"/>
      <c r="AY41" s="137"/>
      <c r="AZ41" s="137"/>
      <c r="BA41" s="264"/>
      <c r="BB41" s="258"/>
      <c r="BC41" s="258"/>
      <c r="BD41" s="137"/>
      <c r="BE41" s="137"/>
      <c r="BF41" s="137"/>
      <c r="BG41" s="137"/>
      <c r="BH41" s="137"/>
      <c r="BI41" s="137"/>
      <c r="BJ41" s="137"/>
      <c r="BK41" s="137"/>
      <c r="BL41" s="137"/>
      <c r="BM41" s="137"/>
      <c r="BN41" s="137"/>
      <c r="BO41" s="137"/>
      <c r="BP41" s="137"/>
      <c r="BQ41" s="137"/>
      <c r="BR41" s="137"/>
      <c r="BS41" s="137"/>
      <c r="BV41" s="262"/>
      <c r="BW41" s="136"/>
      <c r="BX41" s="137"/>
      <c r="BY41" s="137"/>
      <c r="BZ41" s="137"/>
      <c r="CA41" s="137"/>
      <c r="CB41" s="137"/>
      <c r="CC41" s="258"/>
      <c r="CD41" s="258"/>
      <c r="CE41" s="258"/>
      <c r="CF41" s="258"/>
      <c r="CG41" s="258"/>
      <c r="CH41" s="258"/>
      <c r="CI41" s="258"/>
      <c r="CJ41" s="258"/>
      <c r="CK41" s="258"/>
      <c r="CL41" s="258"/>
      <c r="CM41" s="258"/>
    </row>
    <row r="42" spans="1:91" x14ac:dyDescent="0.25">
      <c r="A42" s="723"/>
      <c r="B42" s="723"/>
      <c r="K42" s="52"/>
      <c r="L42" s="135"/>
      <c r="N42" s="131"/>
      <c r="O42" s="131"/>
      <c r="P42" s="55"/>
      <c r="Q42" s="135"/>
      <c r="R42" s="135"/>
      <c r="U42" s="135"/>
      <c r="V42" s="146"/>
      <c r="W42" s="146"/>
      <c r="X42" s="338"/>
      <c r="Y42" s="338"/>
      <c r="Z42" s="338"/>
      <c r="AA42" s="338"/>
      <c r="AB42" s="338"/>
      <c r="AC42" s="338"/>
      <c r="AF42" s="138"/>
      <c r="AG42" s="138"/>
      <c r="AH42" s="138"/>
      <c r="AI42" s="138"/>
      <c r="AJ42" s="138"/>
      <c r="AM42" s="258"/>
      <c r="AN42" s="258"/>
      <c r="AO42" s="258"/>
      <c r="AP42" s="258"/>
      <c r="AR42" s="137"/>
      <c r="AT42" s="137"/>
      <c r="AV42" s="394"/>
      <c r="AW42" s="137"/>
      <c r="AX42" s="137"/>
      <c r="AY42" s="137"/>
      <c r="AZ42" s="137"/>
      <c r="BA42" s="264"/>
      <c r="BB42" s="258"/>
      <c r="BC42" s="258"/>
      <c r="BD42" s="137"/>
      <c r="BE42" s="137"/>
      <c r="BF42" s="137"/>
      <c r="BG42" s="137"/>
      <c r="BH42" s="137"/>
      <c r="BI42" s="137"/>
      <c r="BJ42" s="137"/>
      <c r="BK42" s="137"/>
      <c r="BL42" s="137"/>
      <c r="BM42" s="137"/>
      <c r="BN42" s="137"/>
      <c r="BO42" s="137"/>
      <c r="BP42" s="137"/>
      <c r="BQ42" s="137"/>
      <c r="BR42" s="137"/>
      <c r="BS42" s="137"/>
      <c r="BV42" s="262"/>
      <c r="BW42" s="136"/>
      <c r="BX42" s="137"/>
      <c r="BY42" s="137"/>
      <c r="BZ42" s="137"/>
      <c r="CA42" s="137"/>
      <c r="CB42" s="137"/>
      <c r="CC42" s="258"/>
      <c r="CD42" s="258"/>
      <c r="CE42" s="258"/>
      <c r="CF42" s="258"/>
      <c r="CG42" s="258"/>
      <c r="CH42" s="258"/>
      <c r="CI42" s="258"/>
      <c r="CJ42" s="258"/>
      <c r="CK42" s="258"/>
      <c r="CL42" s="258"/>
      <c r="CM42" s="258"/>
    </row>
    <row r="43" spans="1:91" x14ac:dyDescent="0.25">
      <c r="A43" s="723"/>
      <c r="B43" s="723"/>
      <c r="K43" s="52"/>
      <c r="L43" s="135"/>
      <c r="N43" s="131"/>
      <c r="O43" s="131"/>
      <c r="P43" s="55"/>
      <c r="Q43" s="135"/>
      <c r="R43" s="135"/>
      <c r="U43" s="135"/>
      <c r="V43" s="146"/>
      <c r="W43" s="146"/>
      <c r="X43" s="338"/>
      <c r="Y43" s="338"/>
      <c r="Z43" s="338"/>
      <c r="AA43" s="338"/>
      <c r="AB43" s="338"/>
      <c r="AC43" s="338"/>
      <c r="AF43" s="138"/>
      <c r="AG43" s="138"/>
      <c r="AH43" s="138"/>
      <c r="AI43" s="138"/>
      <c r="AJ43" s="138"/>
      <c r="AM43" s="258"/>
      <c r="AN43" s="258"/>
      <c r="AO43" s="258"/>
      <c r="AP43" s="258"/>
      <c r="AR43" s="137"/>
      <c r="AT43" s="137"/>
      <c r="AV43" s="394"/>
      <c r="AW43" s="137"/>
      <c r="AX43" s="137"/>
      <c r="AY43" s="137"/>
      <c r="AZ43" s="137"/>
      <c r="BA43" s="264"/>
      <c r="BB43" s="258"/>
      <c r="BC43" s="258"/>
      <c r="BD43" s="137"/>
      <c r="BE43" s="137"/>
      <c r="BF43" s="137"/>
      <c r="BG43" s="137"/>
      <c r="BH43" s="137"/>
      <c r="BI43" s="137"/>
      <c r="BJ43" s="137"/>
      <c r="BK43" s="137"/>
      <c r="BL43" s="137"/>
      <c r="BM43" s="137"/>
      <c r="BN43" s="137"/>
      <c r="BO43" s="137"/>
      <c r="BP43" s="137"/>
      <c r="BQ43" s="137"/>
      <c r="BR43" s="137"/>
      <c r="BS43" s="137"/>
      <c r="BV43" s="262"/>
      <c r="BW43" s="136"/>
      <c r="BX43" s="137"/>
      <c r="BY43" s="137"/>
      <c r="BZ43" s="137"/>
      <c r="CA43" s="137"/>
      <c r="CB43" s="137"/>
      <c r="CC43" s="258"/>
      <c r="CD43" s="258"/>
      <c r="CE43" s="258"/>
      <c r="CF43" s="258"/>
      <c r="CG43" s="258"/>
      <c r="CH43" s="258"/>
      <c r="CI43" s="258"/>
      <c r="CJ43" s="258"/>
      <c r="CK43" s="258"/>
      <c r="CL43" s="258"/>
      <c r="CM43" s="258"/>
    </row>
    <row r="44" spans="1:91" x14ac:dyDescent="0.25">
      <c r="A44" s="723"/>
      <c r="B44" s="723"/>
      <c r="K44" s="52"/>
      <c r="L44" s="135"/>
      <c r="N44" s="131"/>
      <c r="O44" s="131"/>
      <c r="P44" s="55"/>
      <c r="Q44" s="135"/>
      <c r="R44" s="135"/>
      <c r="U44" s="135"/>
      <c r="V44" s="146"/>
      <c r="W44" s="146"/>
      <c r="X44" s="338"/>
      <c r="Y44" s="338"/>
      <c r="Z44" s="338"/>
      <c r="AA44" s="338"/>
      <c r="AB44" s="338"/>
      <c r="AC44" s="338"/>
      <c r="AF44" s="138"/>
      <c r="AG44" s="138"/>
      <c r="AH44" s="138"/>
      <c r="AI44" s="138"/>
      <c r="AJ44" s="138"/>
      <c r="AM44" s="258"/>
      <c r="AN44" s="258"/>
      <c r="AO44" s="258"/>
      <c r="AP44" s="258"/>
      <c r="AR44" s="137"/>
      <c r="AT44" s="137"/>
      <c r="AV44" s="394"/>
      <c r="AW44" s="137"/>
      <c r="AX44" s="137"/>
      <c r="AY44" s="137"/>
      <c r="AZ44" s="137"/>
      <c r="BA44" s="264"/>
      <c r="BB44" s="258"/>
      <c r="BC44" s="258"/>
      <c r="BD44" s="137"/>
      <c r="BE44" s="137"/>
      <c r="BF44" s="137"/>
      <c r="BG44" s="137"/>
      <c r="BH44" s="137"/>
      <c r="BI44" s="137"/>
      <c r="BJ44" s="137"/>
      <c r="BK44" s="137"/>
      <c r="BL44" s="137"/>
      <c r="BM44" s="137"/>
      <c r="BN44" s="137"/>
      <c r="BO44" s="137"/>
      <c r="BP44" s="137"/>
      <c r="BQ44" s="137"/>
      <c r="BR44" s="137"/>
      <c r="BS44" s="137"/>
      <c r="BV44" s="262"/>
      <c r="BW44" s="136"/>
      <c r="BX44" s="137"/>
      <c r="BY44" s="137"/>
      <c r="BZ44" s="137"/>
      <c r="CA44" s="137"/>
      <c r="CB44" s="137"/>
      <c r="CC44" s="258"/>
      <c r="CD44" s="258"/>
      <c r="CE44" s="258"/>
      <c r="CF44" s="258"/>
      <c r="CG44" s="258"/>
      <c r="CH44" s="258"/>
      <c r="CI44" s="258"/>
      <c r="CJ44" s="258"/>
      <c r="CK44" s="258"/>
      <c r="CL44" s="258"/>
      <c r="CM44" s="258"/>
    </row>
    <row r="45" spans="1:91" x14ac:dyDescent="0.25">
      <c r="A45" s="723"/>
      <c r="B45" s="723"/>
      <c r="K45" s="52"/>
      <c r="L45" s="135"/>
      <c r="N45" s="131"/>
      <c r="O45" s="131"/>
      <c r="P45" s="55"/>
      <c r="Q45" s="135"/>
      <c r="R45" s="135"/>
      <c r="U45" s="135"/>
      <c r="V45" s="146"/>
      <c r="W45" s="146"/>
      <c r="X45" s="338"/>
      <c r="Y45" s="338"/>
      <c r="Z45" s="338"/>
      <c r="AA45" s="338"/>
      <c r="AB45" s="338"/>
      <c r="AC45" s="338"/>
      <c r="AF45" s="138"/>
      <c r="AG45" s="138"/>
      <c r="AH45" s="138"/>
      <c r="AI45" s="138"/>
      <c r="AJ45" s="138"/>
      <c r="AM45" s="258"/>
      <c r="AN45" s="258"/>
      <c r="AO45" s="258"/>
      <c r="AP45" s="258"/>
      <c r="AR45" s="137"/>
      <c r="AT45" s="137"/>
      <c r="AV45" s="394"/>
      <c r="AW45" s="137"/>
      <c r="AX45" s="137"/>
      <c r="AY45" s="137"/>
      <c r="AZ45" s="137"/>
      <c r="BA45" s="264"/>
      <c r="BB45" s="258"/>
      <c r="BC45" s="258"/>
      <c r="BD45" s="137"/>
      <c r="BE45" s="137"/>
      <c r="BF45" s="137"/>
      <c r="BG45" s="137"/>
      <c r="BH45" s="137"/>
      <c r="BI45" s="137"/>
      <c r="BJ45" s="137"/>
      <c r="BK45" s="137"/>
      <c r="BL45" s="137"/>
      <c r="BM45" s="137"/>
      <c r="BN45" s="137"/>
      <c r="BO45" s="137"/>
      <c r="BP45" s="137"/>
      <c r="BQ45" s="137"/>
      <c r="BR45" s="137"/>
      <c r="BS45" s="137"/>
      <c r="BV45" s="262"/>
      <c r="BW45" s="136"/>
      <c r="BX45" s="137"/>
      <c r="BY45" s="137"/>
      <c r="BZ45" s="137"/>
      <c r="CA45" s="137"/>
      <c r="CB45" s="137"/>
      <c r="CC45" s="258"/>
      <c r="CD45" s="258"/>
      <c r="CE45" s="258"/>
      <c r="CF45" s="258"/>
      <c r="CG45" s="258"/>
      <c r="CH45" s="258"/>
      <c r="CI45" s="258"/>
      <c r="CJ45" s="258"/>
      <c r="CK45" s="258"/>
      <c r="CL45" s="258"/>
      <c r="CM45" s="258"/>
    </row>
    <row r="46" spans="1:91" x14ac:dyDescent="0.25">
      <c r="A46" s="723"/>
      <c r="B46" s="723"/>
      <c r="K46" s="52"/>
      <c r="L46" s="135"/>
      <c r="N46" s="131"/>
      <c r="O46" s="131"/>
      <c r="P46" s="55"/>
      <c r="Q46" s="135"/>
      <c r="R46" s="135"/>
      <c r="U46" s="135"/>
      <c r="V46" s="146"/>
      <c r="W46" s="146"/>
      <c r="X46" s="338"/>
      <c r="Y46" s="338"/>
      <c r="Z46" s="338"/>
      <c r="AA46" s="338"/>
      <c r="AB46" s="338"/>
      <c r="AC46" s="338"/>
      <c r="AF46" s="138"/>
      <c r="AG46" s="138"/>
      <c r="AH46" s="138"/>
      <c r="AI46" s="138"/>
      <c r="AJ46" s="138"/>
      <c r="AM46" s="258"/>
      <c r="AN46" s="258"/>
      <c r="AO46" s="258"/>
      <c r="AP46" s="258"/>
      <c r="AR46" s="137"/>
      <c r="AT46" s="137"/>
      <c r="AV46" s="394"/>
      <c r="AW46" s="137"/>
      <c r="AX46" s="137"/>
      <c r="AY46" s="137"/>
      <c r="AZ46" s="137"/>
      <c r="BA46" s="264"/>
      <c r="BB46" s="258"/>
      <c r="BC46" s="258"/>
      <c r="BD46" s="137"/>
      <c r="BE46" s="137"/>
      <c r="BF46" s="137"/>
      <c r="BG46" s="137"/>
      <c r="BH46" s="137"/>
      <c r="BI46" s="137"/>
      <c r="BJ46" s="137"/>
      <c r="BK46" s="137"/>
      <c r="BL46" s="137"/>
      <c r="BM46" s="137"/>
      <c r="BN46" s="137"/>
      <c r="BO46" s="137"/>
      <c r="BP46" s="137"/>
      <c r="BQ46" s="137"/>
      <c r="BR46" s="137"/>
      <c r="BS46" s="137"/>
      <c r="BV46" s="262"/>
      <c r="BW46" s="136"/>
      <c r="BX46" s="137"/>
      <c r="BY46" s="137"/>
      <c r="BZ46" s="137"/>
      <c r="CA46" s="137"/>
      <c r="CB46" s="137"/>
      <c r="CC46" s="258"/>
      <c r="CD46" s="258"/>
      <c r="CE46" s="258"/>
      <c r="CF46" s="258"/>
      <c r="CG46" s="258"/>
      <c r="CH46" s="258"/>
      <c r="CI46" s="258"/>
      <c r="CJ46" s="258"/>
      <c r="CK46" s="258"/>
      <c r="CL46" s="258"/>
      <c r="CM46" s="258"/>
    </row>
    <row r="47" spans="1:91" x14ac:dyDescent="0.25">
      <c r="A47" s="723"/>
      <c r="B47" s="723"/>
      <c r="K47" s="52"/>
      <c r="L47" s="135"/>
      <c r="N47" s="131"/>
      <c r="O47" s="131"/>
      <c r="P47" s="55"/>
      <c r="Q47" s="135"/>
      <c r="R47" s="135"/>
      <c r="U47" s="135"/>
      <c r="V47" s="146"/>
      <c r="W47" s="146"/>
      <c r="X47" s="338"/>
      <c r="Y47" s="338"/>
      <c r="Z47" s="338"/>
      <c r="AA47" s="338"/>
      <c r="AB47" s="338"/>
      <c r="AC47" s="338"/>
      <c r="AF47" s="138"/>
      <c r="AG47" s="138"/>
      <c r="AH47" s="138"/>
      <c r="AI47" s="138"/>
      <c r="AJ47" s="138"/>
      <c r="AM47" s="258"/>
      <c r="AN47" s="258"/>
      <c r="AO47" s="258"/>
      <c r="AP47" s="258"/>
      <c r="AR47" s="137"/>
      <c r="AT47" s="137"/>
      <c r="AV47" s="394"/>
      <c r="AW47" s="137"/>
      <c r="AX47" s="137"/>
      <c r="AY47" s="137"/>
      <c r="AZ47" s="137"/>
      <c r="BA47" s="264"/>
      <c r="BB47" s="258"/>
      <c r="BC47" s="258"/>
      <c r="BD47" s="137"/>
      <c r="BE47" s="137"/>
      <c r="BF47" s="137"/>
      <c r="BG47" s="137"/>
      <c r="BH47" s="137"/>
      <c r="BI47" s="137"/>
      <c r="BJ47" s="137"/>
      <c r="BK47" s="137"/>
      <c r="BL47" s="137"/>
      <c r="BM47" s="137"/>
      <c r="BN47" s="137"/>
      <c r="BO47" s="137"/>
      <c r="BP47" s="137"/>
      <c r="BQ47" s="137"/>
      <c r="BR47" s="137"/>
      <c r="BS47" s="137"/>
      <c r="BV47" s="262"/>
      <c r="BW47" s="136"/>
      <c r="BX47" s="137"/>
      <c r="BY47" s="137"/>
      <c r="BZ47" s="137"/>
      <c r="CA47" s="137"/>
      <c r="CB47" s="137"/>
      <c r="CC47" s="258"/>
      <c r="CD47" s="258"/>
      <c r="CE47" s="258"/>
      <c r="CF47" s="258"/>
      <c r="CG47" s="258"/>
      <c r="CH47" s="258"/>
      <c r="CI47" s="258"/>
      <c r="CJ47" s="258"/>
      <c r="CK47" s="258"/>
      <c r="CL47" s="258"/>
      <c r="CM47" s="258"/>
    </row>
    <row r="48" spans="1:91" x14ac:dyDescent="0.25">
      <c r="A48" s="723"/>
      <c r="B48" s="723"/>
      <c r="K48" s="52"/>
      <c r="L48" s="135"/>
      <c r="N48" s="131"/>
      <c r="O48" s="131"/>
      <c r="P48" s="55"/>
      <c r="Q48" s="135"/>
      <c r="R48" s="135"/>
      <c r="U48" s="135"/>
      <c r="V48" s="146"/>
      <c r="W48" s="146"/>
      <c r="X48" s="338"/>
      <c r="Y48" s="338"/>
      <c r="Z48" s="338"/>
      <c r="AA48" s="338"/>
      <c r="AB48" s="338"/>
      <c r="AC48" s="338"/>
      <c r="AF48" s="138"/>
      <c r="AG48" s="138"/>
      <c r="AH48" s="138"/>
      <c r="AI48" s="138"/>
      <c r="AJ48" s="138"/>
      <c r="AM48" s="258"/>
      <c r="AN48" s="258"/>
      <c r="AO48" s="258"/>
      <c r="AP48" s="258"/>
      <c r="AR48" s="137"/>
      <c r="AT48" s="137"/>
      <c r="AV48" s="394"/>
      <c r="AW48" s="137"/>
      <c r="AX48" s="137"/>
      <c r="AY48" s="137"/>
      <c r="AZ48" s="137"/>
      <c r="BA48" s="264"/>
      <c r="BB48" s="258"/>
      <c r="BC48" s="258"/>
      <c r="BD48" s="137"/>
      <c r="BE48" s="137"/>
      <c r="BF48" s="137"/>
      <c r="BG48" s="137"/>
      <c r="BH48" s="137"/>
      <c r="BI48" s="137"/>
      <c r="BJ48" s="137"/>
      <c r="BK48" s="137"/>
      <c r="BL48" s="137"/>
      <c r="BM48" s="137"/>
      <c r="BN48" s="137"/>
      <c r="BO48" s="137"/>
      <c r="BP48" s="137"/>
      <c r="BQ48" s="137"/>
      <c r="BR48" s="137"/>
      <c r="BS48" s="137"/>
      <c r="BV48" s="262"/>
      <c r="BW48" s="136"/>
      <c r="BX48" s="137"/>
      <c r="BY48" s="137"/>
      <c r="BZ48" s="137"/>
      <c r="CA48" s="137"/>
      <c r="CB48" s="137"/>
      <c r="CC48" s="258"/>
      <c r="CD48" s="258"/>
      <c r="CE48" s="258"/>
      <c r="CF48" s="258"/>
      <c r="CG48" s="258"/>
      <c r="CH48" s="258"/>
      <c r="CI48" s="258"/>
      <c r="CJ48" s="258"/>
      <c r="CK48" s="258"/>
      <c r="CL48" s="258"/>
      <c r="CM48" s="258"/>
    </row>
    <row r="49" spans="1:91" x14ac:dyDescent="0.25">
      <c r="A49" s="723"/>
      <c r="B49" s="723"/>
      <c r="K49" s="52"/>
      <c r="L49" s="135"/>
      <c r="N49" s="131"/>
      <c r="O49" s="131"/>
      <c r="P49" s="55"/>
      <c r="Q49" s="135"/>
      <c r="R49" s="135"/>
      <c r="U49" s="135"/>
      <c r="V49" s="146"/>
      <c r="W49" s="146"/>
      <c r="X49" s="338"/>
      <c r="Y49" s="338"/>
      <c r="Z49" s="338"/>
      <c r="AA49" s="338"/>
      <c r="AB49" s="338"/>
      <c r="AC49" s="338"/>
      <c r="AF49" s="138"/>
      <c r="AG49" s="138"/>
      <c r="AH49" s="138"/>
      <c r="AI49" s="138"/>
      <c r="AJ49" s="138"/>
      <c r="AM49" s="258"/>
      <c r="AN49" s="258"/>
      <c r="AO49" s="258"/>
      <c r="AP49" s="258"/>
      <c r="AR49" s="137"/>
      <c r="AT49" s="137"/>
      <c r="AV49" s="394"/>
      <c r="AW49" s="137"/>
      <c r="AX49" s="137"/>
      <c r="AY49" s="137"/>
      <c r="AZ49" s="137"/>
      <c r="BA49" s="264"/>
      <c r="BB49" s="258"/>
      <c r="BC49" s="258"/>
      <c r="BD49" s="137"/>
      <c r="BE49" s="137"/>
      <c r="BF49" s="137"/>
      <c r="BG49" s="137"/>
      <c r="BH49" s="137"/>
      <c r="BI49" s="137"/>
      <c r="BJ49" s="137"/>
      <c r="BK49" s="137"/>
      <c r="BL49" s="137"/>
      <c r="BM49" s="137"/>
      <c r="BN49" s="137"/>
      <c r="BO49" s="137"/>
      <c r="BP49" s="137"/>
      <c r="BQ49" s="137"/>
      <c r="BR49" s="137"/>
      <c r="BS49" s="137"/>
      <c r="BV49" s="262"/>
      <c r="BW49" s="136"/>
      <c r="BX49" s="137"/>
      <c r="BY49" s="137"/>
      <c r="BZ49" s="137"/>
      <c r="CA49" s="137"/>
      <c r="CB49" s="137"/>
      <c r="CC49" s="258"/>
      <c r="CD49" s="258"/>
      <c r="CE49" s="258"/>
      <c r="CF49" s="258"/>
      <c r="CG49" s="258"/>
      <c r="CH49" s="258"/>
      <c r="CI49" s="258"/>
      <c r="CJ49" s="258"/>
      <c r="CK49" s="258"/>
      <c r="CL49" s="258"/>
      <c r="CM49" s="258"/>
    </row>
    <row r="50" spans="1:91" x14ac:dyDescent="0.25">
      <c r="A50" s="723"/>
      <c r="B50" s="723"/>
      <c r="K50" s="52"/>
      <c r="L50" s="135"/>
      <c r="N50" s="131"/>
      <c r="O50" s="131"/>
      <c r="P50" s="55"/>
      <c r="Q50" s="135"/>
      <c r="R50" s="135"/>
      <c r="U50" s="135"/>
      <c r="V50" s="146"/>
      <c r="W50" s="146"/>
      <c r="X50" s="338"/>
      <c r="Y50" s="338"/>
      <c r="Z50" s="338"/>
      <c r="AA50" s="338"/>
      <c r="AB50" s="338"/>
      <c r="AC50" s="338"/>
      <c r="AF50" s="138"/>
      <c r="AG50" s="138"/>
      <c r="AH50" s="138"/>
      <c r="AI50" s="138"/>
      <c r="AJ50" s="138"/>
      <c r="AM50" s="258"/>
      <c r="AN50" s="258"/>
      <c r="AO50" s="258"/>
      <c r="AP50" s="258"/>
      <c r="AR50" s="137"/>
      <c r="AT50" s="137"/>
      <c r="AV50" s="394"/>
      <c r="AW50" s="137"/>
      <c r="AX50" s="137"/>
      <c r="AY50" s="137"/>
      <c r="AZ50" s="137"/>
      <c r="BA50" s="264"/>
      <c r="BB50" s="258"/>
      <c r="BC50" s="258"/>
      <c r="BD50" s="137"/>
      <c r="BE50" s="137"/>
      <c r="BF50" s="137"/>
      <c r="BG50" s="137"/>
      <c r="BH50" s="137"/>
      <c r="BI50" s="137"/>
      <c r="BJ50" s="137"/>
      <c r="BK50" s="137"/>
      <c r="BL50" s="137"/>
      <c r="BM50" s="137"/>
      <c r="BN50" s="137"/>
      <c r="BO50" s="137"/>
      <c r="BP50" s="137"/>
      <c r="BQ50" s="137"/>
      <c r="BR50" s="137"/>
      <c r="BS50" s="137"/>
      <c r="BV50" s="262"/>
      <c r="BW50" s="136"/>
      <c r="BX50" s="137"/>
      <c r="BY50" s="137"/>
      <c r="BZ50" s="137"/>
      <c r="CA50" s="137"/>
      <c r="CB50" s="137"/>
      <c r="CC50" s="258"/>
      <c r="CD50" s="258"/>
      <c r="CE50" s="258"/>
      <c r="CF50" s="258"/>
      <c r="CG50" s="258"/>
      <c r="CH50" s="258"/>
      <c r="CI50" s="258"/>
      <c r="CJ50" s="258"/>
      <c r="CK50" s="258"/>
      <c r="CL50" s="258"/>
      <c r="CM50" s="258"/>
    </row>
    <row r="51" spans="1:91" x14ac:dyDescent="0.25">
      <c r="A51" s="723"/>
      <c r="B51" s="723"/>
      <c r="K51" s="52"/>
      <c r="L51" s="135"/>
      <c r="N51" s="131"/>
      <c r="O51" s="131"/>
      <c r="P51" s="55"/>
      <c r="Q51" s="135"/>
      <c r="R51" s="135"/>
      <c r="U51" s="135"/>
      <c r="V51" s="146"/>
      <c r="W51" s="146"/>
      <c r="X51" s="338"/>
      <c r="Y51" s="338"/>
      <c r="Z51" s="338"/>
      <c r="AA51" s="338"/>
      <c r="AB51" s="338"/>
      <c r="AC51" s="338"/>
      <c r="AF51" s="138"/>
      <c r="AG51" s="138"/>
      <c r="AH51" s="138"/>
      <c r="AI51" s="138"/>
      <c r="AJ51" s="138"/>
      <c r="AM51" s="258"/>
      <c r="AN51" s="258"/>
      <c r="AO51" s="258"/>
      <c r="AP51" s="258"/>
      <c r="AR51" s="137"/>
      <c r="AT51" s="137"/>
      <c r="AV51" s="394"/>
      <c r="AW51" s="137"/>
      <c r="AX51" s="137"/>
      <c r="AY51" s="137"/>
      <c r="AZ51" s="137"/>
      <c r="BA51" s="264"/>
      <c r="BB51" s="258"/>
      <c r="BC51" s="258"/>
      <c r="BD51" s="137"/>
      <c r="BE51" s="137"/>
      <c r="BF51" s="137"/>
      <c r="BG51" s="137"/>
      <c r="BH51" s="137"/>
      <c r="BI51" s="137"/>
      <c r="BJ51" s="137"/>
      <c r="BK51" s="137"/>
      <c r="BL51" s="137"/>
      <c r="BM51" s="137"/>
      <c r="BN51" s="137"/>
      <c r="BO51" s="137"/>
      <c r="BP51" s="137"/>
      <c r="BQ51" s="137"/>
      <c r="BR51" s="137"/>
      <c r="BS51" s="137"/>
      <c r="BV51" s="262"/>
      <c r="BW51" s="136"/>
      <c r="BX51" s="137"/>
      <c r="BY51" s="137"/>
      <c r="BZ51" s="137"/>
      <c r="CA51" s="137"/>
      <c r="CB51" s="137"/>
      <c r="CC51" s="258"/>
      <c r="CD51" s="258"/>
      <c r="CE51" s="258"/>
      <c r="CF51" s="258"/>
      <c r="CG51" s="258"/>
      <c r="CH51" s="258"/>
      <c r="CI51" s="258"/>
      <c r="CJ51" s="258"/>
      <c r="CK51" s="258"/>
      <c r="CL51" s="258"/>
      <c r="CM51" s="258"/>
    </row>
    <row r="52" spans="1:91" x14ac:dyDescent="0.25">
      <c r="A52" s="723"/>
      <c r="B52" s="723"/>
      <c r="K52" s="52"/>
      <c r="L52" s="135"/>
      <c r="N52" s="131"/>
      <c r="O52" s="131"/>
      <c r="P52" s="55"/>
      <c r="Q52" s="135"/>
      <c r="R52" s="135"/>
      <c r="U52" s="135"/>
      <c r="V52" s="146"/>
      <c r="W52" s="146"/>
      <c r="X52" s="338"/>
      <c r="Y52" s="338"/>
      <c r="Z52" s="338"/>
      <c r="AA52" s="338"/>
      <c r="AB52" s="338"/>
      <c r="AC52" s="338"/>
      <c r="AF52" s="138"/>
      <c r="AG52" s="138"/>
      <c r="AH52" s="138"/>
      <c r="AI52" s="138"/>
      <c r="AJ52" s="138"/>
      <c r="AM52" s="258"/>
      <c r="AN52" s="258"/>
      <c r="AO52" s="258"/>
      <c r="AP52" s="258"/>
      <c r="AR52" s="137"/>
      <c r="AT52" s="137"/>
      <c r="AV52" s="394"/>
      <c r="AW52" s="137"/>
      <c r="AX52" s="137"/>
      <c r="AY52" s="137"/>
      <c r="AZ52" s="137"/>
      <c r="BA52" s="264"/>
      <c r="BB52" s="258"/>
      <c r="BC52" s="258"/>
      <c r="BD52" s="137"/>
      <c r="BE52" s="137"/>
      <c r="BF52" s="137"/>
      <c r="BG52" s="137"/>
      <c r="BH52" s="137"/>
      <c r="BI52" s="137"/>
      <c r="BJ52" s="137"/>
      <c r="BK52" s="137"/>
      <c r="BL52" s="137"/>
      <c r="BM52" s="137"/>
      <c r="BN52" s="137"/>
      <c r="BO52" s="137"/>
      <c r="BP52" s="137"/>
      <c r="BQ52" s="137"/>
      <c r="BR52" s="137"/>
      <c r="BS52" s="137"/>
      <c r="BV52" s="262"/>
      <c r="BW52" s="136"/>
      <c r="BX52" s="137"/>
      <c r="BY52" s="137"/>
      <c r="BZ52" s="137"/>
      <c r="CA52" s="137"/>
      <c r="CB52" s="137"/>
      <c r="CC52" s="258"/>
      <c r="CD52" s="258"/>
      <c r="CE52" s="258"/>
      <c r="CF52" s="258"/>
      <c r="CG52" s="258"/>
      <c r="CH52" s="258"/>
      <c r="CI52" s="258"/>
      <c r="CJ52" s="258"/>
      <c r="CK52" s="258"/>
      <c r="CL52" s="258"/>
      <c r="CM52" s="258"/>
    </row>
    <row r="53" spans="1:91" x14ac:dyDescent="0.25">
      <c r="A53" s="723"/>
      <c r="B53" s="723"/>
      <c r="K53" s="52"/>
      <c r="L53" s="135"/>
      <c r="N53" s="131"/>
      <c r="O53" s="131"/>
      <c r="P53" s="55"/>
      <c r="Q53" s="135"/>
      <c r="R53" s="135"/>
      <c r="U53" s="135"/>
      <c r="V53" s="146"/>
      <c r="W53" s="146"/>
      <c r="X53" s="338"/>
      <c r="Y53" s="338"/>
      <c r="Z53" s="338"/>
      <c r="AA53" s="338"/>
      <c r="AB53" s="338"/>
      <c r="AC53" s="338"/>
      <c r="AF53" s="138"/>
      <c r="AG53" s="138"/>
      <c r="AH53" s="138"/>
      <c r="AI53" s="138"/>
      <c r="AJ53" s="138"/>
      <c r="AM53" s="258"/>
      <c r="AN53" s="258"/>
      <c r="AO53" s="258"/>
      <c r="AP53" s="258"/>
      <c r="AR53" s="137"/>
      <c r="AT53" s="137"/>
      <c r="AV53" s="394"/>
      <c r="AW53" s="137"/>
      <c r="AX53" s="137"/>
      <c r="AY53" s="137"/>
      <c r="AZ53" s="137"/>
      <c r="BA53" s="264"/>
      <c r="BB53" s="258"/>
      <c r="BC53" s="258"/>
      <c r="BD53" s="137"/>
      <c r="BE53" s="137"/>
      <c r="BF53" s="137"/>
      <c r="BG53" s="137"/>
      <c r="BH53" s="137"/>
      <c r="BI53" s="137"/>
      <c r="BJ53" s="137"/>
      <c r="BK53" s="137"/>
      <c r="BL53" s="137"/>
      <c r="BM53" s="137"/>
      <c r="BN53" s="137"/>
      <c r="BO53" s="137"/>
      <c r="BP53" s="137"/>
      <c r="BQ53" s="137"/>
      <c r="BR53" s="137"/>
      <c r="BS53" s="137"/>
      <c r="BV53" s="262"/>
      <c r="BW53" s="136"/>
      <c r="BX53" s="137"/>
      <c r="BY53" s="137"/>
      <c r="BZ53" s="137"/>
      <c r="CA53" s="137"/>
      <c r="CB53" s="137"/>
      <c r="CC53" s="258"/>
      <c r="CD53" s="258"/>
      <c r="CE53" s="258"/>
      <c r="CF53" s="258"/>
      <c r="CG53" s="258"/>
      <c r="CH53" s="258"/>
      <c r="CI53" s="258"/>
      <c r="CJ53" s="258"/>
      <c r="CK53" s="258"/>
      <c r="CL53" s="258"/>
      <c r="CM53" s="258"/>
    </row>
    <row r="54" spans="1:91" x14ac:dyDescent="0.25">
      <c r="A54" s="723"/>
      <c r="B54" s="723"/>
      <c r="K54" s="52"/>
      <c r="L54" s="135"/>
      <c r="N54" s="131"/>
      <c r="O54" s="131"/>
      <c r="P54" s="55"/>
      <c r="Q54" s="135"/>
      <c r="R54" s="135"/>
      <c r="U54" s="135"/>
      <c r="V54" s="146"/>
      <c r="W54" s="146"/>
      <c r="X54" s="338"/>
      <c r="Y54" s="338"/>
      <c r="Z54" s="338"/>
      <c r="AA54" s="338"/>
      <c r="AB54" s="338"/>
      <c r="AC54" s="338"/>
      <c r="AF54" s="138"/>
      <c r="AG54" s="138"/>
      <c r="AH54" s="138"/>
      <c r="AI54" s="138"/>
      <c r="AJ54" s="138"/>
      <c r="AM54" s="258"/>
      <c r="AN54" s="258"/>
      <c r="AO54" s="258"/>
      <c r="AP54" s="258"/>
      <c r="AR54" s="137"/>
      <c r="AT54" s="137"/>
      <c r="AV54" s="394"/>
      <c r="AW54" s="137"/>
      <c r="AX54" s="137"/>
      <c r="AY54" s="137"/>
      <c r="AZ54" s="137"/>
      <c r="BA54" s="264"/>
      <c r="BB54" s="258"/>
      <c r="BC54" s="258"/>
      <c r="BD54" s="137"/>
      <c r="BE54" s="137"/>
      <c r="BF54" s="137"/>
      <c r="BG54" s="137"/>
      <c r="BH54" s="137"/>
      <c r="BI54" s="137"/>
      <c r="BJ54" s="137"/>
      <c r="BK54" s="137"/>
      <c r="BL54" s="137"/>
      <c r="BM54" s="137"/>
      <c r="BN54" s="137"/>
      <c r="BO54" s="137"/>
      <c r="BP54" s="137"/>
      <c r="BQ54" s="137"/>
      <c r="BR54" s="137"/>
      <c r="BS54" s="137"/>
      <c r="BV54" s="262"/>
      <c r="BW54" s="136"/>
      <c r="BX54" s="137"/>
      <c r="BY54" s="137"/>
      <c r="BZ54" s="137"/>
      <c r="CA54" s="137"/>
      <c r="CB54" s="137"/>
      <c r="CC54" s="258"/>
      <c r="CD54" s="258"/>
      <c r="CE54" s="258"/>
      <c r="CF54" s="258"/>
      <c r="CG54" s="258"/>
      <c r="CH54" s="258"/>
      <c r="CI54" s="258"/>
      <c r="CJ54" s="258"/>
      <c r="CK54" s="258"/>
      <c r="CL54" s="258"/>
      <c r="CM54" s="258"/>
    </row>
    <row r="55" spans="1:91" x14ac:dyDescent="0.25">
      <c r="A55" s="723"/>
      <c r="B55" s="723"/>
      <c r="K55" s="52"/>
      <c r="L55" s="135"/>
      <c r="N55" s="131"/>
      <c r="O55" s="131"/>
      <c r="P55" s="55"/>
      <c r="Q55" s="135"/>
      <c r="R55" s="135"/>
      <c r="U55" s="135"/>
      <c r="V55" s="146"/>
      <c r="W55" s="146"/>
      <c r="X55" s="338"/>
      <c r="Y55" s="338"/>
      <c r="Z55" s="338"/>
      <c r="AA55" s="338"/>
      <c r="AB55" s="338"/>
      <c r="AC55" s="338"/>
      <c r="AF55" s="138"/>
      <c r="AG55" s="138"/>
      <c r="AH55" s="138"/>
      <c r="AI55" s="138"/>
      <c r="AJ55" s="138"/>
      <c r="AM55" s="258"/>
      <c r="AN55" s="258"/>
      <c r="AO55" s="258"/>
      <c r="AP55" s="258"/>
      <c r="AR55" s="137"/>
      <c r="AT55" s="137"/>
      <c r="AV55" s="394"/>
      <c r="AW55" s="137"/>
      <c r="AX55" s="137"/>
      <c r="AY55" s="137"/>
      <c r="AZ55" s="137"/>
      <c r="BA55" s="264"/>
      <c r="BB55" s="258"/>
      <c r="BC55" s="258"/>
      <c r="BD55" s="137"/>
      <c r="BE55" s="137"/>
      <c r="BF55" s="137"/>
      <c r="BG55" s="137"/>
      <c r="BH55" s="137"/>
      <c r="BI55" s="137"/>
      <c r="BJ55" s="137"/>
      <c r="BK55" s="137"/>
      <c r="BL55" s="137"/>
      <c r="BM55" s="137"/>
      <c r="BN55" s="137"/>
      <c r="BO55" s="137"/>
      <c r="BP55" s="137"/>
      <c r="BQ55" s="137"/>
      <c r="BR55" s="137"/>
      <c r="BS55" s="137"/>
      <c r="BV55" s="262"/>
      <c r="BW55" s="136"/>
      <c r="BX55" s="137"/>
      <c r="BY55" s="137"/>
      <c r="BZ55" s="137"/>
      <c r="CA55" s="137"/>
      <c r="CB55" s="137"/>
      <c r="CC55" s="258"/>
      <c r="CD55" s="258"/>
      <c r="CE55" s="258"/>
      <c r="CF55" s="258"/>
      <c r="CG55" s="258"/>
      <c r="CH55" s="258"/>
      <c r="CI55" s="258"/>
      <c r="CJ55" s="258"/>
      <c r="CK55" s="258"/>
      <c r="CL55" s="258"/>
      <c r="CM55" s="258"/>
    </row>
    <row r="56" spans="1:91" x14ac:dyDescent="0.25">
      <c r="A56" s="723"/>
      <c r="B56" s="723"/>
      <c r="K56" s="52"/>
      <c r="L56" s="135"/>
      <c r="N56" s="131"/>
      <c r="O56" s="131"/>
      <c r="P56" s="55"/>
      <c r="Q56" s="135"/>
      <c r="R56" s="135"/>
      <c r="U56" s="135"/>
      <c r="V56" s="146"/>
      <c r="W56" s="146"/>
      <c r="X56" s="338"/>
      <c r="Y56" s="338"/>
      <c r="Z56" s="338"/>
      <c r="AA56" s="338"/>
      <c r="AB56" s="338"/>
      <c r="AC56" s="338"/>
      <c r="AF56" s="138"/>
      <c r="AG56" s="138"/>
      <c r="AH56" s="138"/>
      <c r="AI56" s="138"/>
      <c r="AJ56" s="138"/>
      <c r="AM56" s="258"/>
      <c r="AN56" s="258"/>
      <c r="AO56" s="258"/>
      <c r="AP56" s="258"/>
      <c r="AR56" s="137"/>
      <c r="AT56" s="137"/>
      <c r="AV56" s="394"/>
      <c r="AW56" s="137"/>
      <c r="AX56" s="137"/>
      <c r="AY56" s="137"/>
      <c r="AZ56" s="137"/>
      <c r="BA56" s="264"/>
      <c r="BB56" s="258"/>
      <c r="BC56" s="258"/>
      <c r="BD56" s="137"/>
      <c r="BE56" s="137"/>
      <c r="BF56" s="137"/>
      <c r="BG56" s="137"/>
      <c r="BH56" s="137"/>
      <c r="BI56" s="137"/>
      <c r="BJ56" s="137"/>
      <c r="BK56" s="137"/>
      <c r="BL56" s="137"/>
      <c r="BM56" s="137"/>
      <c r="BN56" s="137"/>
      <c r="BO56" s="137"/>
      <c r="BP56" s="137"/>
      <c r="BQ56" s="137"/>
      <c r="BR56" s="137"/>
      <c r="BS56" s="137"/>
      <c r="BV56" s="262"/>
      <c r="BW56" s="136"/>
      <c r="BX56" s="137"/>
      <c r="BY56" s="137"/>
      <c r="BZ56" s="137"/>
      <c r="CA56" s="137"/>
      <c r="CB56" s="137"/>
      <c r="CC56" s="258"/>
      <c r="CD56" s="258"/>
      <c r="CE56" s="258"/>
      <c r="CF56" s="258"/>
      <c r="CG56" s="258"/>
      <c r="CH56" s="258"/>
      <c r="CI56" s="258"/>
      <c r="CJ56" s="258"/>
      <c r="CK56" s="258"/>
      <c r="CL56" s="258"/>
      <c r="CM56" s="258"/>
    </row>
    <row r="57" spans="1:91" x14ac:dyDescent="0.25">
      <c r="A57" s="723"/>
      <c r="B57" s="723"/>
      <c r="K57" s="52"/>
      <c r="L57" s="135"/>
      <c r="N57" s="131"/>
      <c r="O57" s="131"/>
      <c r="P57" s="55"/>
      <c r="Q57" s="135"/>
      <c r="R57" s="135"/>
      <c r="U57" s="135"/>
      <c r="V57" s="146"/>
      <c r="W57" s="146"/>
      <c r="X57" s="338"/>
      <c r="Y57" s="338"/>
      <c r="Z57" s="338"/>
      <c r="AA57" s="338"/>
      <c r="AB57" s="338"/>
      <c r="AC57" s="338"/>
      <c r="AF57" s="138"/>
      <c r="AG57" s="138"/>
      <c r="AH57" s="138"/>
      <c r="AI57" s="138"/>
      <c r="AJ57" s="138"/>
      <c r="AM57" s="258"/>
      <c r="AN57" s="258"/>
      <c r="AO57" s="258"/>
      <c r="AP57" s="258"/>
      <c r="AR57" s="137"/>
      <c r="AT57" s="137"/>
      <c r="AV57" s="394"/>
      <c r="AW57" s="137"/>
      <c r="AX57" s="137"/>
      <c r="AY57" s="137"/>
      <c r="AZ57" s="137"/>
      <c r="BA57" s="264"/>
      <c r="BB57" s="258"/>
      <c r="BC57" s="258"/>
      <c r="BD57" s="137"/>
      <c r="BE57" s="137"/>
      <c r="BF57" s="137"/>
      <c r="BG57" s="137"/>
      <c r="BH57" s="137"/>
      <c r="BI57" s="137"/>
      <c r="BJ57" s="137"/>
      <c r="BK57" s="137"/>
      <c r="BL57" s="137"/>
      <c r="BM57" s="137"/>
      <c r="BN57" s="137"/>
      <c r="BO57" s="137"/>
      <c r="BP57" s="137"/>
      <c r="BQ57" s="137"/>
      <c r="BR57" s="137"/>
      <c r="BS57" s="137"/>
      <c r="BV57" s="262"/>
      <c r="BW57" s="136"/>
      <c r="BX57" s="137"/>
      <c r="BY57" s="137"/>
      <c r="BZ57" s="137"/>
      <c r="CA57" s="137"/>
      <c r="CB57" s="137"/>
      <c r="CC57" s="258"/>
      <c r="CD57" s="258"/>
      <c r="CE57" s="258"/>
      <c r="CF57" s="258"/>
      <c r="CG57" s="258"/>
      <c r="CH57" s="258"/>
      <c r="CI57" s="258"/>
      <c r="CJ57" s="258"/>
      <c r="CK57" s="258"/>
      <c r="CL57" s="258"/>
      <c r="CM57" s="258"/>
    </row>
    <row r="58" spans="1:91" x14ac:dyDescent="0.25">
      <c r="A58" s="723"/>
      <c r="B58" s="723"/>
      <c r="K58" s="52"/>
      <c r="L58" s="135"/>
      <c r="N58" s="131"/>
      <c r="O58" s="131"/>
      <c r="P58" s="55"/>
      <c r="Q58" s="135"/>
      <c r="R58" s="135"/>
      <c r="U58" s="135"/>
      <c r="V58" s="146"/>
      <c r="W58" s="146"/>
      <c r="X58" s="338"/>
      <c r="Y58" s="338"/>
      <c r="Z58" s="338"/>
      <c r="AA58" s="338"/>
      <c r="AB58" s="338"/>
      <c r="AC58" s="338"/>
      <c r="AF58" s="138"/>
      <c r="AG58" s="138"/>
      <c r="AH58" s="138"/>
      <c r="AI58" s="138"/>
      <c r="AJ58" s="138"/>
      <c r="AM58" s="258"/>
      <c r="AN58" s="258"/>
      <c r="AO58" s="258"/>
      <c r="AP58" s="258"/>
      <c r="AR58" s="137"/>
      <c r="AT58" s="137"/>
      <c r="AV58" s="394"/>
      <c r="AW58" s="137"/>
      <c r="AX58" s="137"/>
      <c r="AY58" s="137"/>
      <c r="AZ58" s="137"/>
      <c r="BA58" s="264"/>
      <c r="BB58" s="258"/>
      <c r="BC58" s="258"/>
      <c r="BD58" s="137"/>
      <c r="BE58" s="137"/>
      <c r="BF58" s="137"/>
      <c r="BG58" s="137"/>
      <c r="BH58" s="137"/>
      <c r="BI58" s="137"/>
      <c r="BJ58" s="137"/>
      <c r="BK58" s="137"/>
      <c r="BL58" s="137"/>
      <c r="BM58" s="137"/>
      <c r="BN58" s="137"/>
      <c r="BO58" s="137"/>
      <c r="BP58" s="137"/>
      <c r="BQ58" s="137"/>
      <c r="BR58" s="137"/>
      <c r="BS58" s="137"/>
      <c r="BV58" s="262"/>
      <c r="BW58" s="136"/>
      <c r="BX58" s="137"/>
      <c r="BY58" s="137"/>
      <c r="BZ58" s="137"/>
      <c r="CA58" s="137"/>
      <c r="CB58" s="137"/>
      <c r="CC58" s="258"/>
      <c r="CD58" s="258"/>
      <c r="CE58" s="258"/>
      <c r="CF58" s="258"/>
      <c r="CG58" s="258"/>
      <c r="CH58" s="258"/>
      <c r="CI58" s="258"/>
      <c r="CJ58" s="258"/>
      <c r="CK58" s="258"/>
      <c r="CL58" s="258"/>
      <c r="CM58" s="258"/>
    </row>
    <row r="59" spans="1:91" x14ac:dyDescent="0.25">
      <c r="A59" s="723"/>
      <c r="B59" s="723"/>
      <c r="K59" s="52"/>
      <c r="L59" s="135"/>
      <c r="N59" s="131"/>
      <c r="O59" s="131"/>
      <c r="P59" s="55"/>
      <c r="Q59" s="135"/>
      <c r="R59" s="135"/>
      <c r="U59" s="135"/>
      <c r="V59" s="146"/>
      <c r="W59" s="146"/>
      <c r="X59" s="338"/>
      <c r="Y59" s="338"/>
      <c r="Z59" s="338"/>
      <c r="AA59" s="338"/>
      <c r="AB59" s="338"/>
      <c r="AC59" s="338"/>
      <c r="AF59" s="138"/>
      <c r="AG59" s="138"/>
      <c r="AH59" s="138"/>
      <c r="AI59" s="138"/>
      <c r="AJ59" s="138"/>
      <c r="AM59" s="258"/>
      <c r="AN59" s="258"/>
      <c r="AO59" s="258"/>
      <c r="AP59" s="258"/>
      <c r="AR59" s="137"/>
      <c r="AT59" s="137"/>
      <c r="AV59" s="394"/>
      <c r="AW59" s="137"/>
      <c r="AX59" s="137"/>
      <c r="AY59" s="137"/>
      <c r="AZ59" s="137"/>
      <c r="BA59" s="264"/>
      <c r="BB59" s="258"/>
      <c r="BC59" s="258"/>
      <c r="BD59" s="137"/>
      <c r="BE59" s="137"/>
      <c r="BF59" s="137"/>
      <c r="BG59" s="137"/>
      <c r="BH59" s="137"/>
      <c r="BI59" s="137"/>
      <c r="BJ59" s="137"/>
      <c r="BK59" s="137"/>
      <c r="BL59" s="137"/>
      <c r="BM59" s="137"/>
      <c r="BN59" s="137"/>
      <c r="BO59" s="137"/>
      <c r="BP59" s="137"/>
      <c r="BQ59" s="137"/>
      <c r="BR59" s="137"/>
      <c r="BS59" s="137"/>
      <c r="BV59" s="262"/>
      <c r="BW59" s="136"/>
      <c r="BX59" s="137"/>
      <c r="BY59" s="137"/>
      <c r="BZ59" s="137"/>
      <c r="CA59" s="137"/>
      <c r="CB59" s="137"/>
      <c r="CC59" s="258"/>
      <c r="CD59" s="258"/>
      <c r="CE59" s="258"/>
      <c r="CF59" s="258"/>
      <c r="CG59" s="258"/>
      <c r="CH59" s="258"/>
      <c r="CI59" s="258"/>
      <c r="CJ59" s="258"/>
      <c r="CK59" s="258"/>
      <c r="CL59" s="258"/>
      <c r="CM59" s="258"/>
    </row>
    <row r="60" spans="1:91" x14ac:dyDescent="0.25">
      <c r="A60" s="723"/>
      <c r="B60" s="723"/>
      <c r="K60" s="52"/>
      <c r="L60" s="135"/>
      <c r="N60" s="131"/>
      <c r="O60" s="131"/>
      <c r="P60" s="55"/>
      <c r="Q60" s="135"/>
      <c r="R60" s="135"/>
      <c r="U60" s="135"/>
      <c r="V60" s="146"/>
      <c r="W60" s="146"/>
      <c r="X60" s="338"/>
      <c r="Y60" s="338"/>
      <c r="Z60" s="338"/>
      <c r="AA60" s="338"/>
      <c r="AB60" s="338"/>
      <c r="AC60" s="338"/>
      <c r="AF60" s="138"/>
      <c r="AG60" s="138"/>
      <c r="AH60" s="138"/>
      <c r="AI60" s="138"/>
      <c r="AJ60" s="138"/>
      <c r="AM60" s="258"/>
      <c r="AN60" s="258"/>
      <c r="AO60" s="258"/>
      <c r="AP60" s="258"/>
      <c r="AR60" s="137"/>
      <c r="AT60" s="137"/>
      <c r="AV60" s="394"/>
      <c r="AW60" s="137"/>
      <c r="AX60" s="137"/>
      <c r="AY60" s="137"/>
      <c r="AZ60" s="137"/>
      <c r="BA60" s="264"/>
      <c r="BB60" s="258"/>
      <c r="BC60" s="258"/>
      <c r="BD60" s="137"/>
      <c r="BE60" s="137"/>
      <c r="BF60" s="137"/>
      <c r="BG60" s="137"/>
      <c r="BH60" s="137"/>
      <c r="BI60" s="137"/>
      <c r="BJ60" s="137"/>
      <c r="BK60" s="137"/>
      <c r="BL60" s="137"/>
      <c r="BM60" s="137"/>
      <c r="BN60" s="137"/>
      <c r="BO60" s="137"/>
      <c r="BP60" s="137"/>
      <c r="BQ60" s="137"/>
      <c r="BR60" s="137"/>
      <c r="BS60" s="137"/>
      <c r="BV60" s="262"/>
      <c r="BW60" s="136"/>
      <c r="BX60" s="137"/>
      <c r="BY60" s="137"/>
      <c r="BZ60" s="137"/>
      <c r="CA60" s="137"/>
      <c r="CB60" s="137"/>
      <c r="CC60" s="258"/>
      <c r="CD60" s="258"/>
      <c r="CE60" s="258"/>
      <c r="CF60" s="258"/>
      <c r="CG60" s="258"/>
      <c r="CH60" s="258"/>
      <c r="CI60" s="258"/>
      <c r="CJ60" s="258"/>
      <c r="CK60" s="258"/>
      <c r="CL60" s="258"/>
      <c r="CM60" s="258"/>
    </row>
    <row r="61" spans="1:91" x14ac:dyDescent="0.25">
      <c r="A61" s="723"/>
      <c r="B61" s="723"/>
      <c r="K61" s="52"/>
      <c r="L61" s="135"/>
      <c r="N61" s="131"/>
      <c r="O61" s="131"/>
      <c r="P61" s="55"/>
      <c r="Q61" s="135"/>
      <c r="R61" s="135"/>
      <c r="U61" s="135"/>
      <c r="V61" s="146"/>
      <c r="W61" s="146"/>
      <c r="X61" s="338"/>
      <c r="Y61" s="338"/>
      <c r="Z61" s="338"/>
      <c r="AA61" s="338"/>
      <c r="AB61" s="338"/>
      <c r="AC61" s="338"/>
      <c r="AF61" s="138"/>
      <c r="AG61" s="138"/>
      <c r="AH61" s="138"/>
      <c r="AI61" s="138"/>
      <c r="AJ61" s="138"/>
      <c r="AM61" s="258"/>
      <c r="AN61" s="258"/>
      <c r="AO61" s="258"/>
      <c r="AP61" s="258"/>
      <c r="AR61" s="137"/>
      <c r="AT61" s="137"/>
      <c r="AV61" s="394"/>
      <c r="AW61" s="137"/>
      <c r="AX61" s="137"/>
      <c r="AY61" s="137"/>
      <c r="AZ61" s="137"/>
      <c r="BA61" s="264"/>
      <c r="BB61" s="258"/>
      <c r="BC61" s="258"/>
      <c r="BD61" s="137"/>
      <c r="BE61" s="137"/>
      <c r="BF61" s="137"/>
      <c r="BG61" s="137"/>
      <c r="BH61" s="137"/>
      <c r="BI61" s="137"/>
      <c r="BJ61" s="137"/>
      <c r="BK61" s="137"/>
      <c r="BL61" s="137"/>
      <c r="BM61" s="137"/>
      <c r="BN61" s="137"/>
      <c r="BO61" s="137"/>
      <c r="BP61" s="137"/>
      <c r="BQ61" s="137"/>
      <c r="BR61" s="137"/>
      <c r="BS61" s="137"/>
      <c r="BV61" s="262"/>
      <c r="BW61" s="136"/>
      <c r="BX61" s="137"/>
      <c r="BY61" s="137"/>
      <c r="BZ61" s="137"/>
      <c r="CA61" s="137"/>
      <c r="CB61" s="137"/>
      <c r="CC61" s="258"/>
      <c r="CD61" s="258"/>
      <c r="CE61" s="258"/>
      <c r="CF61" s="258"/>
      <c r="CG61" s="258"/>
      <c r="CH61" s="258"/>
      <c r="CI61" s="258"/>
      <c r="CJ61" s="258"/>
      <c r="CK61" s="258"/>
      <c r="CL61" s="258"/>
      <c r="CM61" s="258"/>
    </row>
    <row r="62" spans="1:91" x14ac:dyDescent="0.25">
      <c r="A62" s="723"/>
      <c r="B62" s="723"/>
      <c r="K62" s="52"/>
      <c r="L62" s="135"/>
      <c r="N62" s="131"/>
      <c r="O62" s="131"/>
      <c r="P62" s="55"/>
      <c r="Q62" s="135"/>
      <c r="R62" s="135"/>
      <c r="U62" s="135"/>
      <c r="V62" s="146"/>
      <c r="W62" s="146"/>
      <c r="X62" s="338"/>
      <c r="Y62" s="338"/>
      <c r="Z62" s="338"/>
      <c r="AA62" s="338"/>
      <c r="AB62" s="338"/>
      <c r="AC62" s="338"/>
      <c r="AF62" s="138"/>
      <c r="AG62" s="138"/>
      <c r="AH62" s="138"/>
      <c r="AI62" s="138"/>
      <c r="AJ62" s="138"/>
      <c r="AM62" s="258"/>
      <c r="AN62" s="258"/>
      <c r="AO62" s="258"/>
      <c r="AP62" s="258"/>
      <c r="AR62" s="137"/>
      <c r="AT62" s="137"/>
      <c r="AV62" s="394"/>
      <c r="AW62" s="137"/>
      <c r="AX62" s="137"/>
      <c r="AY62" s="137"/>
      <c r="AZ62" s="137"/>
      <c r="BA62" s="264"/>
      <c r="BB62" s="258"/>
      <c r="BC62" s="258"/>
      <c r="BD62" s="137"/>
      <c r="BE62" s="137"/>
      <c r="BF62" s="137"/>
      <c r="BG62" s="137"/>
      <c r="BH62" s="137"/>
      <c r="BI62" s="137"/>
      <c r="BJ62" s="137"/>
      <c r="BK62" s="137"/>
      <c r="BL62" s="137"/>
      <c r="BM62" s="137"/>
      <c r="BN62" s="137"/>
      <c r="BO62" s="137"/>
      <c r="BP62" s="137"/>
      <c r="BQ62" s="137"/>
      <c r="BR62" s="137"/>
      <c r="BS62" s="137"/>
      <c r="BV62" s="262"/>
      <c r="BW62" s="136"/>
      <c r="BX62" s="137"/>
      <c r="BY62" s="137"/>
      <c r="BZ62" s="137"/>
      <c r="CA62" s="137"/>
      <c r="CB62" s="137"/>
      <c r="CC62" s="258"/>
      <c r="CD62" s="258"/>
      <c r="CE62" s="258"/>
      <c r="CF62" s="258"/>
      <c r="CG62" s="258"/>
      <c r="CH62" s="258"/>
      <c r="CI62" s="258"/>
      <c r="CJ62" s="258"/>
      <c r="CK62" s="258"/>
      <c r="CL62" s="258"/>
      <c r="CM62" s="258"/>
    </row>
    <row r="63" spans="1:91" x14ac:dyDescent="0.25">
      <c r="A63" s="723"/>
      <c r="B63" s="723"/>
      <c r="K63" s="52"/>
      <c r="L63" s="135"/>
      <c r="N63" s="131"/>
      <c r="O63" s="131"/>
      <c r="P63" s="55"/>
      <c r="Q63" s="135"/>
      <c r="R63" s="135"/>
      <c r="U63" s="135"/>
      <c r="V63" s="146"/>
      <c r="W63" s="146"/>
      <c r="X63" s="338"/>
      <c r="Y63" s="338"/>
      <c r="Z63" s="338"/>
      <c r="AA63" s="338"/>
      <c r="AB63" s="338"/>
      <c r="AC63" s="338"/>
      <c r="AF63" s="138"/>
      <c r="AG63" s="138"/>
      <c r="AH63" s="138"/>
      <c r="AI63" s="138"/>
      <c r="AJ63" s="138"/>
      <c r="AM63" s="258"/>
      <c r="AN63" s="258"/>
      <c r="AO63" s="258"/>
      <c r="AP63" s="258"/>
      <c r="AR63" s="137"/>
      <c r="AT63" s="137"/>
      <c r="AV63" s="394"/>
      <c r="AW63" s="137"/>
      <c r="AX63" s="137"/>
      <c r="AY63" s="137"/>
      <c r="AZ63" s="137"/>
      <c r="BA63" s="264"/>
      <c r="BB63" s="258"/>
      <c r="BC63" s="258"/>
      <c r="BD63" s="137"/>
      <c r="BE63" s="137"/>
      <c r="BF63" s="137"/>
      <c r="BG63" s="137"/>
      <c r="BH63" s="137"/>
      <c r="BI63" s="137"/>
      <c r="BJ63" s="137"/>
      <c r="BK63" s="137"/>
      <c r="BL63" s="137"/>
      <c r="BM63" s="137"/>
      <c r="BN63" s="137"/>
      <c r="BO63" s="137"/>
      <c r="BP63" s="137"/>
      <c r="BQ63" s="137"/>
      <c r="BR63" s="137"/>
      <c r="BS63" s="137"/>
      <c r="BV63" s="262"/>
      <c r="BW63" s="136"/>
      <c r="BX63" s="137"/>
      <c r="BY63" s="137"/>
      <c r="BZ63" s="137"/>
      <c r="CA63" s="137"/>
      <c r="CB63" s="137"/>
      <c r="CC63" s="258"/>
      <c r="CD63" s="258"/>
      <c r="CE63" s="258"/>
      <c r="CF63" s="258"/>
      <c r="CG63" s="258"/>
      <c r="CH63" s="258"/>
      <c r="CI63" s="258"/>
      <c r="CJ63" s="258"/>
      <c r="CK63" s="258"/>
      <c r="CL63" s="258"/>
      <c r="CM63" s="258"/>
    </row>
    <row r="64" spans="1:91" x14ac:dyDescent="0.25">
      <c r="A64" s="723"/>
      <c r="B64" s="723"/>
      <c r="K64" s="52"/>
      <c r="L64" s="135"/>
      <c r="N64" s="131"/>
      <c r="O64" s="131"/>
      <c r="P64" s="55"/>
      <c r="Q64" s="135"/>
      <c r="R64" s="135"/>
      <c r="U64" s="135"/>
      <c r="V64" s="146"/>
      <c r="W64" s="146"/>
      <c r="X64" s="338"/>
      <c r="Y64" s="338"/>
      <c r="Z64" s="338"/>
      <c r="AA64" s="338"/>
      <c r="AB64" s="338"/>
      <c r="AC64" s="338"/>
      <c r="AF64" s="138"/>
      <c r="AG64" s="138"/>
      <c r="AH64" s="138"/>
      <c r="AI64" s="138"/>
      <c r="AJ64" s="138"/>
      <c r="AM64" s="258"/>
      <c r="AN64" s="258"/>
      <c r="AO64" s="258"/>
      <c r="AP64" s="258"/>
      <c r="AR64" s="137"/>
      <c r="AT64" s="137"/>
      <c r="AV64" s="394"/>
      <c r="AW64" s="137"/>
      <c r="AX64" s="137"/>
      <c r="AY64" s="137"/>
      <c r="AZ64" s="137"/>
      <c r="BA64" s="264"/>
      <c r="BB64" s="258"/>
      <c r="BC64" s="258"/>
      <c r="BD64" s="137"/>
      <c r="BE64" s="137"/>
      <c r="BF64" s="137"/>
      <c r="BG64" s="137"/>
      <c r="BH64" s="137"/>
      <c r="BI64" s="137"/>
      <c r="BJ64" s="137"/>
      <c r="BK64" s="137"/>
      <c r="BL64" s="137"/>
      <c r="BM64" s="137"/>
      <c r="BN64" s="137"/>
      <c r="BO64" s="137"/>
      <c r="BP64" s="137"/>
      <c r="BQ64" s="137"/>
      <c r="BR64" s="137"/>
      <c r="BS64" s="137"/>
      <c r="BV64" s="262"/>
      <c r="BW64" s="136"/>
      <c r="BX64" s="137"/>
      <c r="BY64" s="137"/>
      <c r="BZ64" s="137"/>
      <c r="CA64" s="137"/>
      <c r="CB64" s="137"/>
      <c r="CC64" s="258"/>
      <c r="CD64" s="258"/>
      <c r="CE64" s="258"/>
      <c r="CF64" s="258"/>
      <c r="CG64" s="258"/>
      <c r="CH64" s="258"/>
      <c r="CI64" s="258"/>
      <c r="CJ64" s="258"/>
      <c r="CK64" s="258"/>
      <c r="CL64" s="258"/>
      <c r="CM64" s="258"/>
    </row>
    <row r="65" spans="1:91" x14ac:dyDescent="0.25">
      <c r="A65" s="723"/>
      <c r="B65" s="723"/>
      <c r="K65" s="52"/>
      <c r="L65" s="135"/>
      <c r="N65" s="131"/>
      <c r="O65" s="131"/>
      <c r="P65" s="55"/>
      <c r="Q65" s="135"/>
      <c r="R65" s="135"/>
      <c r="U65" s="135"/>
      <c r="V65" s="146"/>
      <c r="W65" s="146"/>
      <c r="X65" s="338"/>
      <c r="Y65" s="338"/>
      <c r="Z65" s="338"/>
      <c r="AA65" s="338"/>
      <c r="AB65" s="338"/>
      <c r="AC65" s="338"/>
      <c r="AF65" s="138"/>
      <c r="AG65" s="138"/>
      <c r="AH65" s="138"/>
      <c r="AI65" s="138"/>
      <c r="AJ65" s="138"/>
      <c r="AM65" s="258"/>
      <c r="AN65" s="258"/>
      <c r="AO65" s="258"/>
      <c r="AP65" s="258"/>
      <c r="AR65" s="137"/>
      <c r="AT65" s="137"/>
      <c r="AV65" s="394"/>
      <c r="AW65" s="137"/>
      <c r="AX65" s="137"/>
      <c r="AY65" s="137"/>
      <c r="AZ65" s="137"/>
      <c r="BA65" s="264"/>
      <c r="BB65" s="258"/>
      <c r="BC65" s="258"/>
      <c r="BD65" s="137"/>
      <c r="BE65" s="137"/>
      <c r="BF65" s="137"/>
      <c r="BG65" s="137"/>
      <c r="BH65" s="137"/>
      <c r="BI65" s="137"/>
      <c r="BJ65" s="137"/>
      <c r="BK65" s="137"/>
      <c r="BL65" s="137"/>
      <c r="BM65" s="137"/>
      <c r="BN65" s="137"/>
      <c r="BO65" s="137"/>
      <c r="BP65" s="137"/>
      <c r="BQ65" s="137"/>
      <c r="BR65" s="137"/>
      <c r="BS65" s="137"/>
      <c r="BV65" s="262"/>
      <c r="BW65" s="136"/>
      <c r="BX65" s="137"/>
      <c r="BY65" s="137"/>
      <c r="BZ65" s="137"/>
      <c r="CA65" s="137"/>
      <c r="CB65" s="137"/>
      <c r="CC65" s="258"/>
      <c r="CD65" s="258"/>
      <c r="CE65" s="258"/>
      <c r="CF65" s="258"/>
      <c r="CG65" s="258"/>
      <c r="CH65" s="258"/>
      <c r="CI65" s="258"/>
      <c r="CJ65" s="258"/>
      <c r="CK65" s="258"/>
      <c r="CL65" s="258"/>
      <c r="CM65" s="258"/>
    </row>
    <row r="66" spans="1:91" x14ac:dyDescent="0.25">
      <c r="A66" s="723"/>
      <c r="B66" s="723"/>
      <c r="K66" s="52"/>
      <c r="L66" s="135"/>
      <c r="N66" s="131"/>
      <c r="O66" s="131"/>
      <c r="P66" s="55"/>
      <c r="Q66" s="135"/>
      <c r="R66" s="135"/>
      <c r="U66" s="135"/>
      <c r="V66" s="146"/>
      <c r="W66" s="146"/>
      <c r="X66" s="338"/>
      <c r="Y66" s="338"/>
      <c r="Z66" s="338"/>
      <c r="AA66" s="338"/>
      <c r="AB66" s="338"/>
      <c r="AC66" s="338"/>
      <c r="AF66" s="138"/>
      <c r="AG66" s="138"/>
      <c r="AH66" s="138"/>
      <c r="AI66" s="138"/>
      <c r="AJ66" s="138"/>
      <c r="AM66" s="258"/>
      <c r="AN66" s="258"/>
      <c r="AO66" s="258"/>
      <c r="AP66" s="258"/>
      <c r="AR66" s="137"/>
      <c r="AT66" s="137"/>
      <c r="AV66" s="394"/>
      <c r="AW66" s="137"/>
      <c r="AX66" s="137"/>
      <c r="AY66" s="137"/>
      <c r="AZ66" s="137"/>
      <c r="BA66" s="264"/>
      <c r="BB66" s="258"/>
      <c r="BC66" s="258"/>
      <c r="BD66" s="137"/>
      <c r="BE66" s="137"/>
      <c r="BF66" s="137"/>
      <c r="BG66" s="137"/>
      <c r="BH66" s="137"/>
      <c r="BI66" s="137"/>
      <c r="BJ66" s="137"/>
      <c r="BK66" s="137"/>
      <c r="BL66" s="137"/>
      <c r="BM66" s="137"/>
      <c r="BN66" s="137"/>
      <c r="BO66" s="137"/>
      <c r="BP66" s="137"/>
      <c r="BQ66" s="137"/>
      <c r="BR66" s="137"/>
      <c r="BS66" s="137"/>
      <c r="BV66" s="262"/>
      <c r="BW66" s="136"/>
      <c r="BX66" s="137"/>
      <c r="BY66" s="137"/>
      <c r="BZ66" s="137"/>
      <c r="CA66" s="137"/>
      <c r="CB66" s="137"/>
      <c r="CC66" s="258"/>
      <c r="CD66" s="258"/>
      <c r="CE66" s="258"/>
      <c r="CF66" s="258"/>
      <c r="CG66" s="258"/>
      <c r="CH66" s="258"/>
      <c r="CI66" s="258"/>
      <c r="CJ66" s="258"/>
      <c r="CK66" s="258"/>
      <c r="CL66" s="258"/>
      <c r="CM66" s="258"/>
    </row>
    <row r="67" spans="1:91" x14ac:dyDescent="0.25">
      <c r="A67" s="723"/>
      <c r="B67" s="723"/>
      <c r="K67" s="52"/>
      <c r="L67" s="135"/>
      <c r="N67" s="131"/>
      <c r="O67" s="131"/>
      <c r="P67" s="55"/>
      <c r="Q67" s="135"/>
      <c r="R67" s="135"/>
      <c r="U67" s="135"/>
      <c r="V67" s="146"/>
      <c r="W67" s="146"/>
      <c r="X67" s="338"/>
      <c r="Y67" s="338"/>
      <c r="Z67" s="338"/>
      <c r="AA67" s="338"/>
      <c r="AB67" s="338"/>
      <c r="AC67" s="338"/>
      <c r="AF67" s="138"/>
      <c r="AG67" s="138"/>
      <c r="AH67" s="138"/>
      <c r="AI67" s="138"/>
      <c r="AJ67" s="138"/>
      <c r="AM67" s="258"/>
      <c r="AN67" s="258"/>
      <c r="AO67" s="258"/>
      <c r="AP67" s="258"/>
      <c r="AR67" s="137"/>
      <c r="AT67" s="137"/>
      <c r="AV67" s="394"/>
      <c r="AW67" s="137"/>
      <c r="AX67" s="137"/>
      <c r="AY67" s="137"/>
      <c r="AZ67" s="137"/>
      <c r="BA67" s="264"/>
      <c r="BB67" s="258"/>
      <c r="BC67" s="258"/>
      <c r="BD67" s="137"/>
      <c r="BE67" s="137"/>
      <c r="BF67" s="137"/>
      <c r="BG67" s="137"/>
      <c r="BH67" s="137"/>
      <c r="BI67" s="137"/>
      <c r="BJ67" s="137"/>
      <c r="BK67" s="137"/>
      <c r="BL67" s="137"/>
      <c r="BM67" s="137"/>
      <c r="BN67" s="137"/>
      <c r="BO67" s="137"/>
      <c r="BP67" s="137"/>
      <c r="BQ67" s="137"/>
      <c r="BR67" s="137"/>
      <c r="BS67" s="137"/>
      <c r="BV67" s="262"/>
      <c r="BW67" s="136"/>
      <c r="BX67" s="137"/>
      <c r="BY67" s="137"/>
      <c r="BZ67" s="137"/>
      <c r="CA67" s="137"/>
      <c r="CB67" s="137"/>
      <c r="CC67" s="258"/>
      <c r="CD67" s="258"/>
      <c r="CE67" s="258"/>
      <c r="CF67" s="258"/>
      <c r="CG67" s="258"/>
      <c r="CH67" s="258"/>
      <c r="CI67" s="258"/>
      <c r="CJ67" s="258"/>
      <c r="CK67" s="258"/>
      <c r="CL67" s="258"/>
      <c r="CM67" s="258"/>
    </row>
    <row r="68" spans="1:91" x14ac:dyDescent="0.25">
      <c r="A68" s="723"/>
      <c r="B68" s="723"/>
      <c r="K68" s="52"/>
      <c r="L68" s="135"/>
      <c r="N68" s="131"/>
      <c r="O68" s="131"/>
      <c r="P68" s="55"/>
      <c r="Q68" s="135"/>
      <c r="R68" s="135"/>
      <c r="U68" s="135"/>
      <c r="V68" s="146"/>
      <c r="W68" s="146"/>
      <c r="X68" s="338"/>
      <c r="Y68" s="338"/>
      <c r="Z68" s="338"/>
      <c r="AA68" s="338"/>
      <c r="AB68" s="338"/>
      <c r="AC68" s="338"/>
      <c r="AF68" s="138"/>
      <c r="AG68" s="138"/>
      <c r="AH68" s="138"/>
      <c r="AI68" s="138"/>
      <c r="AJ68" s="138"/>
      <c r="AM68" s="258"/>
      <c r="AN68" s="258"/>
      <c r="AO68" s="258"/>
      <c r="AP68" s="258"/>
      <c r="AR68" s="137"/>
      <c r="AT68" s="137"/>
      <c r="AV68" s="394"/>
      <c r="AW68" s="137"/>
      <c r="AX68" s="137"/>
      <c r="AY68" s="137"/>
      <c r="AZ68" s="137"/>
      <c r="BA68" s="264"/>
      <c r="BB68" s="258"/>
      <c r="BC68" s="258"/>
      <c r="BD68" s="137"/>
      <c r="BE68" s="137"/>
      <c r="BF68" s="137"/>
      <c r="BG68" s="137"/>
      <c r="BH68" s="137"/>
      <c r="BI68" s="137"/>
      <c r="BJ68" s="137"/>
      <c r="BK68" s="137"/>
      <c r="BL68" s="137"/>
      <c r="BM68" s="137"/>
      <c r="BN68" s="137"/>
      <c r="BO68" s="137"/>
      <c r="BP68" s="137"/>
      <c r="BQ68" s="137"/>
      <c r="BR68" s="137"/>
      <c r="BS68" s="137"/>
      <c r="BV68" s="262"/>
      <c r="BW68" s="136"/>
      <c r="BX68" s="137"/>
      <c r="BY68" s="137"/>
      <c r="BZ68" s="137"/>
      <c r="CA68" s="137"/>
      <c r="CB68" s="137"/>
      <c r="CC68" s="258"/>
      <c r="CD68" s="258"/>
      <c r="CE68" s="258"/>
      <c r="CF68" s="258"/>
      <c r="CG68" s="258"/>
      <c r="CH68" s="258"/>
      <c r="CI68" s="258"/>
      <c r="CJ68" s="258"/>
      <c r="CK68" s="258"/>
      <c r="CL68" s="258"/>
      <c r="CM68" s="258"/>
    </row>
    <row r="69" spans="1:91" x14ac:dyDescent="0.25">
      <c r="A69" s="723"/>
      <c r="B69" s="723"/>
      <c r="K69" s="52"/>
      <c r="L69" s="135"/>
      <c r="N69" s="131"/>
      <c r="O69" s="131"/>
      <c r="P69" s="55"/>
      <c r="Q69" s="135"/>
      <c r="R69" s="135"/>
      <c r="U69" s="135"/>
      <c r="V69" s="146"/>
      <c r="W69" s="146"/>
      <c r="X69" s="338"/>
      <c r="Y69" s="338"/>
      <c r="Z69" s="338"/>
      <c r="AA69" s="338"/>
      <c r="AB69" s="338"/>
      <c r="AC69" s="338"/>
      <c r="AF69" s="138"/>
      <c r="AG69" s="138"/>
      <c r="AH69" s="138"/>
      <c r="AI69" s="138"/>
      <c r="AJ69" s="138"/>
      <c r="AM69" s="258"/>
      <c r="AN69" s="258"/>
      <c r="AO69" s="258"/>
      <c r="AP69" s="258"/>
      <c r="AR69" s="137"/>
      <c r="AT69" s="137"/>
      <c r="AV69" s="394"/>
      <c r="AW69" s="137"/>
      <c r="AX69" s="137"/>
      <c r="AY69" s="137"/>
      <c r="AZ69" s="137"/>
      <c r="BA69" s="264"/>
      <c r="BB69" s="258"/>
      <c r="BC69" s="258"/>
      <c r="BD69" s="137"/>
      <c r="BE69" s="137"/>
      <c r="BF69" s="137"/>
      <c r="BG69" s="137"/>
      <c r="BH69" s="137"/>
      <c r="BI69" s="137"/>
      <c r="BJ69" s="137"/>
      <c r="BK69" s="137"/>
      <c r="BL69" s="137"/>
      <c r="BM69" s="137"/>
      <c r="BN69" s="137"/>
      <c r="BO69" s="137"/>
      <c r="BP69" s="137"/>
      <c r="BQ69" s="137"/>
      <c r="BR69" s="137"/>
      <c r="BS69" s="137"/>
      <c r="BV69" s="262"/>
      <c r="BW69" s="136"/>
      <c r="BX69" s="137"/>
      <c r="BY69" s="137"/>
      <c r="BZ69" s="137"/>
      <c r="CA69" s="137"/>
      <c r="CB69" s="137"/>
      <c r="CC69" s="258"/>
      <c r="CD69" s="258"/>
      <c r="CE69" s="258"/>
      <c r="CF69" s="258"/>
      <c r="CG69" s="258"/>
      <c r="CH69" s="258"/>
      <c r="CI69" s="258"/>
      <c r="CJ69" s="258"/>
      <c r="CK69" s="258"/>
      <c r="CL69" s="258"/>
      <c r="CM69" s="258"/>
    </row>
    <row r="70" spans="1:91" x14ac:dyDescent="0.25">
      <c r="A70" s="723"/>
      <c r="B70" s="723"/>
      <c r="K70" s="52"/>
      <c r="L70" s="135"/>
      <c r="N70" s="131"/>
      <c r="O70" s="131"/>
      <c r="P70" s="55"/>
      <c r="Q70" s="135"/>
      <c r="R70" s="135"/>
      <c r="U70" s="135"/>
      <c r="V70" s="146"/>
      <c r="W70" s="146"/>
      <c r="X70" s="338"/>
      <c r="Y70" s="338"/>
      <c r="Z70" s="338"/>
      <c r="AA70" s="338"/>
      <c r="AB70" s="338"/>
      <c r="AC70" s="338"/>
      <c r="AF70" s="138"/>
      <c r="AG70" s="138"/>
      <c r="AH70" s="138"/>
      <c r="AI70" s="138"/>
      <c r="AJ70" s="138"/>
      <c r="AM70" s="258"/>
      <c r="AN70" s="258"/>
      <c r="AO70" s="258"/>
      <c r="AP70" s="258"/>
      <c r="AR70" s="137"/>
      <c r="AT70" s="137"/>
      <c r="AV70" s="394"/>
      <c r="AW70" s="137"/>
      <c r="AX70" s="137"/>
      <c r="AY70" s="137"/>
      <c r="AZ70" s="137"/>
      <c r="BA70" s="264"/>
      <c r="BB70" s="258"/>
      <c r="BC70" s="258"/>
      <c r="BD70" s="137"/>
      <c r="BE70" s="137"/>
      <c r="BF70" s="137"/>
      <c r="BG70" s="137"/>
      <c r="BH70" s="137"/>
      <c r="BI70" s="137"/>
      <c r="BJ70" s="137"/>
      <c r="BK70" s="137"/>
      <c r="BL70" s="137"/>
      <c r="BM70" s="137"/>
      <c r="BN70" s="137"/>
      <c r="BO70" s="137"/>
      <c r="BP70" s="137"/>
      <c r="BQ70" s="137"/>
      <c r="BR70" s="137"/>
      <c r="BS70" s="137"/>
      <c r="BV70" s="262"/>
      <c r="BW70" s="136"/>
      <c r="BX70" s="137"/>
      <c r="BY70" s="137"/>
      <c r="BZ70" s="137"/>
      <c r="CA70" s="137"/>
      <c r="CB70" s="137"/>
      <c r="CC70" s="258"/>
      <c r="CD70" s="258"/>
      <c r="CE70" s="258"/>
      <c r="CF70" s="258"/>
      <c r="CG70" s="258"/>
      <c r="CH70" s="258"/>
      <c r="CI70" s="258"/>
      <c r="CJ70" s="258"/>
      <c r="CK70" s="258"/>
      <c r="CL70" s="258"/>
      <c r="CM70" s="258"/>
    </row>
    <row r="71" spans="1:91" x14ac:dyDescent="0.25">
      <c r="A71" s="723"/>
      <c r="B71" s="723"/>
      <c r="K71" s="52"/>
      <c r="L71" s="135"/>
      <c r="N71" s="131"/>
      <c r="O71" s="131"/>
      <c r="P71" s="55"/>
      <c r="Q71" s="135"/>
      <c r="R71" s="135"/>
      <c r="U71" s="135"/>
      <c r="V71" s="146"/>
      <c r="W71" s="146"/>
      <c r="X71" s="338"/>
      <c r="Y71" s="338"/>
      <c r="Z71" s="338"/>
      <c r="AA71" s="338"/>
      <c r="AB71" s="338"/>
      <c r="AC71" s="338"/>
      <c r="AF71" s="138"/>
      <c r="AG71" s="138"/>
      <c r="AH71" s="138"/>
      <c r="AI71" s="138"/>
      <c r="AJ71" s="138"/>
      <c r="AM71" s="258"/>
      <c r="AN71" s="258"/>
      <c r="AO71" s="258"/>
      <c r="AP71" s="258"/>
      <c r="AR71" s="137"/>
      <c r="AT71" s="137"/>
      <c r="AV71" s="394"/>
      <c r="AW71" s="137"/>
      <c r="AX71" s="137"/>
      <c r="AY71" s="137"/>
      <c r="AZ71" s="137"/>
      <c r="BA71" s="264"/>
      <c r="BB71" s="258"/>
      <c r="BC71" s="258"/>
      <c r="BD71" s="137"/>
      <c r="BE71" s="137"/>
      <c r="BF71" s="137"/>
      <c r="BG71" s="137"/>
      <c r="BH71" s="137"/>
      <c r="BI71" s="137"/>
      <c r="BJ71" s="137"/>
      <c r="BK71" s="137"/>
      <c r="BL71" s="137"/>
      <c r="BM71" s="137"/>
      <c r="BN71" s="137"/>
      <c r="BO71" s="137"/>
      <c r="BP71" s="137"/>
      <c r="BQ71" s="137"/>
      <c r="BR71" s="137"/>
      <c r="BS71" s="137"/>
      <c r="BV71" s="262"/>
      <c r="BW71" s="136"/>
      <c r="BX71" s="137"/>
      <c r="BY71" s="137"/>
      <c r="BZ71" s="137"/>
      <c r="CA71" s="137"/>
      <c r="CB71" s="137"/>
      <c r="CC71" s="258"/>
      <c r="CD71" s="258"/>
      <c r="CE71" s="258"/>
      <c r="CF71" s="258"/>
      <c r="CG71" s="258"/>
      <c r="CH71" s="258"/>
      <c r="CI71" s="258"/>
      <c r="CJ71" s="258"/>
      <c r="CK71" s="258"/>
      <c r="CL71" s="258"/>
      <c r="CM71" s="258"/>
    </row>
    <row r="72" spans="1:91" x14ac:dyDescent="0.25">
      <c r="A72" s="723"/>
      <c r="B72" s="723"/>
      <c r="K72" s="52"/>
      <c r="L72" s="135"/>
      <c r="N72" s="131"/>
      <c r="O72" s="131"/>
      <c r="P72" s="55"/>
      <c r="Q72" s="135"/>
      <c r="R72" s="135"/>
      <c r="U72" s="135"/>
      <c r="V72" s="146"/>
      <c r="W72" s="146"/>
      <c r="X72" s="338"/>
      <c r="Y72" s="338"/>
      <c r="Z72" s="338"/>
      <c r="AA72" s="338"/>
      <c r="AB72" s="338"/>
      <c r="AC72" s="338"/>
      <c r="AF72" s="138"/>
      <c r="AG72" s="138"/>
      <c r="AH72" s="138"/>
      <c r="AI72" s="138"/>
      <c r="AJ72" s="138"/>
      <c r="AM72" s="258"/>
      <c r="AN72" s="258"/>
      <c r="AO72" s="258"/>
      <c r="AP72" s="258"/>
      <c r="AR72" s="137"/>
      <c r="AT72" s="137"/>
      <c r="AV72" s="394"/>
      <c r="AW72" s="137"/>
      <c r="AX72" s="137"/>
      <c r="AY72" s="137"/>
      <c r="AZ72" s="137"/>
      <c r="BA72" s="264"/>
      <c r="BB72" s="258"/>
      <c r="BC72" s="258"/>
      <c r="BD72" s="137"/>
      <c r="BE72" s="137"/>
      <c r="BF72" s="137"/>
      <c r="BG72" s="137"/>
      <c r="BH72" s="137"/>
      <c r="BI72" s="137"/>
      <c r="BJ72" s="137"/>
      <c r="BK72" s="137"/>
      <c r="BL72" s="137"/>
      <c r="BM72" s="137"/>
      <c r="BN72" s="137"/>
      <c r="BO72" s="137"/>
      <c r="BP72" s="137"/>
      <c r="BQ72" s="137"/>
      <c r="BR72" s="137"/>
      <c r="BS72" s="137"/>
      <c r="BV72" s="262"/>
      <c r="BW72" s="136"/>
      <c r="BX72" s="137"/>
      <c r="BY72" s="137"/>
      <c r="BZ72" s="137"/>
      <c r="CA72" s="137"/>
      <c r="CB72" s="137"/>
      <c r="CC72" s="258"/>
      <c r="CD72" s="258"/>
      <c r="CE72" s="258"/>
      <c r="CF72" s="258"/>
      <c r="CG72" s="258"/>
      <c r="CH72" s="258"/>
      <c r="CI72" s="258"/>
      <c r="CJ72" s="258"/>
      <c r="CK72" s="258"/>
      <c r="CL72" s="258"/>
      <c r="CM72" s="258"/>
    </row>
    <row r="73" spans="1:91" x14ac:dyDescent="0.25">
      <c r="A73" s="723"/>
      <c r="B73" s="723"/>
      <c r="K73" s="52"/>
      <c r="L73" s="135"/>
      <c r="N73" s="131"/>
      <c r="O73" s="131"/>
      <c r="P73" s="55"/>
      <c r="Q73" s="135"/>
      <c r="R73" s="135"/>
      <c r="U73" s="135"/>
      <c r="V73" s="146"/>
      <c r="W73" s="146"/>
      <c r="X73" s="338"/>
      <c r="Y73" s="338"/>
      <c r="Z73" s="338"/>
      <c r="AA73" s="338"/>
      <c r="AB73" s="338"/>
      <c r="AC73" s="338"/>
      <c r="AF73" s="138"/>
      <c r="AG73" s="138"/>
      <c r="AH73" s="138"/>
      <c r="AI73" s="138"/>
      <c r="AJ73" s="138"/>
      <c r="AM73" s="258"/>
      <c r="AN73" s="258"/>
      <c r="AO73" s="258"/>
      <c r="AP73" s="258"/>
      <c r="AR73" s="137"/>
      <c r="AT73" s="137"/>
      <c r="AV73" s="394"/>
      <c r="AW73" s="137"/>
      <c r="AX73" s="137"/>
      <c r="AY73" s="137"/>
      <c r="AZ73" s="137"/>
      <c r="BA73" s="264"/>
      <c r="BB73" s="258"/>
      <c r="BC73" s="258"/>
      <c r="BD73" s="137"/>
      <c r="BE73" s="137"/>
      <c r="BF73" s="137"/>
      <c r="BG73" s="137"/>
      <c r="BH73" s="137"/>
      <c r="BI73" s="137"/>
      <c r="BJ73" s="137"/>
      <c r="BK73" s="137"/>
      <c r="BL73" s="137"/>
      <c r="BM73" s="137"/>
      <c r="BN73" s="137"/>
      <c r="BO73" s="137"/>
      <c r="BP73" s="137"/>
      <c r="BQ73" s="137"/>
      <c r="BR73" s="137"/>
      <c r="BS73" s="137"/>
      <c r="BV73" s="262"/>
      <c r="BW73" s="136"/>
      <c r="BX73" s="137"/>
      <c r="BY73" s="137"/>
      <c r="BZ73" s="137"/>
      <c r="CA73" s="137"/>
      <c r="CB73" s="137"/>
      <c r="CC73" s="258"/>
      <c r="CD73" s="258"/>
      <c r="CE73" s="258"/>
      <c r="CF73" s="258"/>
      <c r="CG73" s="258"/>
      <c r="CH73" s="258"/>
      <c r="CI73" s="258"/>
      <c r="CJ73" s="258"/>
      <c r="CK73" s="258"/>
      <c r="CL73" s="258"/>
      <c r="CM73" s="258"/>
    </row>
    <row r="74" spans="1:91" x14ac:dyDescent="0.25">
      <c r="A74" s="723"/>
      <c r="B74" s="723"/>
      <c r="K74" s="52"/>
      <c r="L74" s="135"/>
      <c r="N74" s="131"/>
      <c r="O74" s="131"/>
      <c r="P74" s="55"/>
      <c r="Q74" s="135"/>
      <c r="R74" s="135"/>
      <c r="U74" s="135"/>
      <c r="V74" s="146"/>
      <c r="W74" s="146"/>
      <c r="X74" s="338"/>
      <c r="Y74" s="338"/>
      <c r="Z74" s="338"/>
      <c r="AA74" s="338"/>
      <c r="AB74" s="338"/>
      <c r="AC74" s="338"/>
      <c r="AF74" s="138"/>
      <c r="AG74" s="138"/>
      <c r="AH74" s="138"/>
      <c r="AI74" s="138"/>
      <c r="AJ74" s="138"/>
      <c r="AM74" s="258"/>
      <c r="AN74" s="258"/>
      <c r="AO74" s="258"/>
      <c r="AP74" s="258"/>
      <c r="AR74" s="137"/>
      <c r="AT74" s="137"/>
      <c r="AV74" s="394"/>
      <c r="AW74" s="137"/>
      <c r="AX74" s="137"/>
      <c r="AY74" s="137"/>
      <c r="AZ74" s="137"/>
      <c r="BA74" s="264"/>
      <c r="BB74" s="258"/>
      <c r="BC74" s="258"/>
      <c r="BD74" s="137"/>
      <c r="BE74" s="137"/>
      <c r="BF74" s="137"/>
      <c r="BG74" s="137"/>
      <c r="BH74" s="137"/>
      <c r="BI74" s="137"/>
      <c r="BJ74" s="137"/>
      <c r="BK74" s="137"/>
      <c r="BL74" s="137"/>
      <c r="BM74" s="137"/>
      <c r="BN74" s="137"/>
      <c r="BO74" s="137"/>
      <c r="BP74" s="137"/>
      <c r="BQ74" s="137"/>
      <c r="BR74" s="137"/>
      <c r="BS74" s="137"/>
      <c r="BV74" s="262"/>
      <c r="BW74" s="136"/>
      <c r="BX74" s="137"/>
      <c r="BY74" s="137"/>
      <c r="BZ74" s="137"/>
      <c r="CA74" s="137"/>
      <c r="CB74" s="137"/>
      <c r="CC74" s="258"/>
      <c r="CD74" s="258"/>
      <c r="CE74" s="258"/>
      <c r="CF74" s="258"/>
      <c r="CG74" s="258"/>
      <c r="CH74" s="258"/>
      <c r="CI74" s="258"/>
      <c r="CJ74" s="258"/>
      <c r="CK74" s="258"/>
      <c r="CL74" s="258"/>
      <c r="CM74" s="258"/>
    </row>
    <row r="75" spans="1:91" x14ac:dyDescent="0.25">
      <c r="A75" s="723"/>
      <c r="B75" s="723"/>
      <c r="K75" s="52"/>
      <c r="L75" s="135"/>
      <c r="N75" s="131"/>
      <c r="O75" s="131"/>
      <c r="P75" s="55"/>
      <c r="Q75" s="135"/>
      <c r="R75" s="135"/>
      <c r="U75" s="135"/>
      <c r="V75" s="146"/>
      <c r="W75" s="146"/>
      <c r="X75" s="338"/>
      <c r="Y75" s="338"/>
      <c r="Z75" s="338"/>
      <c r="AA75" s="338"/>
      <c r="AB75" s="338"/>
      <c r="AC75" s="338"/>
      <c r="AF75" s="138"/>
      <c r="AG75" s="138"/>
      <c r="AH75" s="138"/>
      <c r="AI75" s="138"/>
      <c r="AJ75" s="138"/>
      <c r="AM75" s="258"/>
      <c r="AN75" s="258"/>
      <c r="AO75" s="258"/>
      <c r="AP75" s="258"/>
      <c r="AR75" s="137"/>
      <c r="AT75" s="137"/>
      <c r="AV75" s="394"/>
      <c r="AW75" s="137"/>
      <c r="AX75" s="137"/>
      <c r="AY75" s="137"/>
      <c r="AZ75" s="137"/>
      <c r="BA75" s="264"/>
      <c r="BB75" s="258"/>
      <c r="BC75" s="258"/>
      <c r="BD75" s="137"/>
      <c r="BE75" s="137"/>
      <c r="BF75" s="137"/>
      <c r="BG75" s="137"/>
      <c r="BH75" s="137"/>
      <c r="BI75" s="137"/>
      <c r="BJ75" s="137"/>
      <c r="BK75" s="137"/>
      <c r="BL75" s="137"/>
      <c r="BM75" s="137"/>
      <c r="BN75" s="137"/>
      <c r="BO75" s="137"/>
      <c r="BP75" s="137"/>
      <c r="BQ75" s="137"/>
      <c r="BR75" s="137"/>
      <c r="BS75" s="137"/>
      <c r="BV75" s="262"/>
      <c r="BW75" s="136"/>
      <c r="BX75" s="137"/>
      <c r="BY75" s="137"/>
      <c r="BZ75" s="137"/>
      <c r="CA75" s="137"/>
      <c r="CB75" s="137"/>
      <c r="CC75" s="258"/>
      <c r="CD75" s="258"/>
      <c r="CE75" s="258"/>
      <c r="CF75" s="258"/>
      <c r="CG75" s="258"/>
      <c r="CH75" s="258"/>
      <c r="CI75" s="258"/>
      <c r="CJ75" s="258"/>
      <c r="CK75" s="258"/>
      <c r="CL75" s="258"/>
      <c r="CM75" s="258"/>
    </row>
    <row r="76" spans="1:91" x14ac:dyDescent="0.25">
      <c r="A76" s="723"/>
      <c r="B76" s="723"/>
      <c r="K76" s="52"/>
      <c r="L76" s="135"/>
      <c r="N76" s="131"/>
      <c r="O76" s="131"/>
      <c r="P76" s="55"/>
      <c r="Q76" s="135"/>
      <c r="R76" s="135"/>
      <c r="U76" s="135"/>
      <c r="V76" s="146"/>
      <c r="W76" s="146"/>
      <c r="X76" s="338"/>
      <c r="Y76" s="338"/>
      <c r="Z76" s="338"/>
      <c r="AA76" s="338"/>
      <c r="AB76" s="338"/>
      <c r="AC76" s="338"/>
      <c r="AF76" s="138"/>
      <c r="AG76" s="138"/>
      <c r="AH76" s="138"/>
      <c r="AI76" s="138"/>
      <c r="AJ76" s="138"/>
      <c r="AM76" s="258"/>
      <c r="AN76" s="258"/>
      <c r="AO76" s="258"/>
      <c r="AP76" s="258"/>
      <c r="AR76" s="137"/>
      <c r="AT76" s="137"/>
      <c r="AV76" s="394"/>
      <c r="AW76" s="137"/>
      <c r="AX76" s="137"/>
      <c r="AY76" s="137"/>
      <c r="AZ76" s="137"/>
      <c r="BA76" s="264"/>
      <c r="BB76" s="258"/>
      <c r="BC76" s="258"/>
      <c r="BD76" s="137"/>
      <c r="BE76" s="137"/>
      <c r="BF76" s="137"/>
      <c r="BG76" s="137"/>
      <c r="BH76" s="137"/>
      <c r="BI76" s="137"/>
      <c r="BJ76" s="137"/>
      <c r="BK76" s="137"/>
      <c r="BL76" s="137"/>
      <c r="BM76" s="137"/>
      <c r="BN76" s="137"/>
      <c r="BO76" s="137"/>
      <c r="BP76" s="137"/>
      <c r="BQ76" s="137"/>
      <c r="BR76" s="137"/>
      <c r="BS76" s="137"/>
      <c r="BV76" s="262"/>
      <c r="BW76" s="136"/>
      <c r="BX76" s="137"/>
      <c r="BY76" s="137"/>
      <c r="BZ76" s="137"/>
      <c r="CA76" s="137"/>
      <c r="CB76" s="137"/>
      <c r="CC76" s="258"/>
      <c r="CD76" s="258"/>
      <c r="CE76" s="258"/>
      <c r="CF76" s="258"/>
      <c r="CG76" s="258"/>
      <c r="CH76" s="258"/>
      <c r="CI76" s="258"/>
      <c r="CJ76" s="258"/>
      <c r="CK76" s="258"/>
      <c r="CL76" s="258"/>
      <c r="CM76" s="258"/>
    </row>
    <row r="77" spans="1:91" x14ac:dyDescent="0.25">
      <c r="A77" s="723"/>
      <c r="B77" s="723"/>
      <c r="K77" s="52"/>
      <c r="L77" s="135"/>
      <c r="N77" s="131"/>
      <c r="O77" s="131"/>
      <c r="P77" s="55"/>
      <c r="Q77" s="135"/>
      <c r="R77" s="135"/>
      <c r="U77" s="135"/>
      <c r="V77" s="146"/>
      <c r="W77" s="146"/>
      <c r="X77" s="338"/>
      <c r="Y77" s="338"/>
      <c r="Z77" s="338"/>
      <c r="AA77" s="338"/>
      <c r="AB77" s="338"/>
      <c r="AC77" s="338"/>
      <c r="AF77" s="138"/>
      <c r="AG77" s="138"/>
      <c r="AH77" s="138"/>
      <c r="AI77" s="138"/>
      <c r="AJ77" s="138"/>
      <c r="AM77" s="258"/>
      <c r="AN77" s="258"/>
      <c r="AO77" s="258"/>
      <c r="AP77" s="258"/>
      <c r="AR77" s="137"/>
      <c r="AT77" s="137"/>
      <c r="AV77" s="394"/>
      <c r="AW77" s="137"/>
      <c r="AX77" s="137"/>
      <c r="AY77" s="137"/>
      <c r="AZ77" s="137"/>
      <c r="BA77" s="264"/>
      <c r="BB77" s="258"/>
      <c r="BC77" s="258"/>
      <c r="BD77" s="137"/>
      <c r="BE77" s="137"/>
      <c r="BF77" s="137"/>
      <c r="BG77" s="137"/>
      <c r="BH77" s="137"/>
      <c r="BI77" s="137"/>
      <c r="BJ77" s="137"/>
      <c r="BK77" s="137"/>
      <c r="BL77" s="137"/>
      <c r="BM77" s="137"/>
      <c r="BN77" s="137"/>
      <c r="BO77" s="137"/>
      <c r="BP77" s="137"/>
      <c r="BQ77" s="137"/>
      <c r="BR77" s="137"/>
      <c r="BS77" s="137"/>
      <c r="BV77" s="262"/>
      <c r="BW77" s="136"/>
      <c r="BX77" s="137"/>
      <c r="BY77" s="137"/>
      <c r="BZ77" s="137"/>
      <c r="CA77" s="137"/>
      <c r="CB77" s="137"/>
      <c r="CC77" s="258"/>
      <c r="CD77" s="258"/>
      <c r="CE77" s="258"/>
      <c r="CF77" s="258"/>
      <c r="CG77" s="258"/>
      <c r="CH77" s="258"/>
      <c r="CI77" s="258"/>
      <c r="CJ77" s="258"/>
      <c r="CK77" s="258"/>
      <c r="CL77" s="258"/>
      <c r="CM77" s="258"/>
    </row>
    <row r="78" spans="1:91" x14ac:dyDescent="0.25">
      <c r="A78" s="723"/>
      <c r="B78" s="723"/>
      <c r="K78" s="52"/>
      <c r="L78" s="135"/>
      <c r="N78" s="131"/>
      <c r="O78" s="131"/>
      <c r="P78" s="55"/>
      <c r="Q78" s="135"/>
      <c r="R78" s="135"/>
      <c r="U78" s="135"/>
      <c r="V78" s="146"/>
      <c r="W78" s="146"/>
      <c r="X78" s="338"/>
      <c r="Y78" s="338"/>
      <c r="Z78" s="338"/>
      <c r="AA78" s="338"/>
      <c r="AB78" s="338"/>
      <c r="AC78" s="338"/>
      <c r="AF78" s="138"/>
      <c r="AG78" s="138"/>
      <c r="AH78" s="138"/>
      <c r="AI78" s="138"/>
      <c r="AJ78" s="138"/>
      <c r="AM78" s="258"/>
      <c r="AN78" s="258"/>
      <c r="AO78" s="258"/>
      <c r="AP78" s="258"/>
      <c r="AR78" s="137"/>
      <c r="AT78" s="137"/>
      <c r="AV78" s="394"/>
      <c r="AW78" s="137"/>
      <c r="AX78" s="137"/>
      <c r="AY78" s="137"/>
      <c r="AZ78" s="137"/>
      <c r="BA78" s="264"/>
      <c r="BB78" s="258"/>
      <c r="BC78" s="258"/>
      <c r="BD78" s="137"/>
      <c r="BE78" s="137"/>
      <c r="BF78" s="137"/>
      <c r="BG78" s="137"/>
      <c r="BH78" s="137"/>
      <c r="BI78" s="137"/>
      <c r="BJ78" s="137"/>
      <c r="BK78" s="137"/>
      <c r="BL78" s="137"/>
      <c r="BM78" s="137"/>
      <c r="BN78" s="137"/>
      <c r="BO78" s="137"/>
      <c r="BP78" s="137"/>
      <c r="BQ78" s="137"/>
      <c r="BR78" s="137"/>
      <c r="BS78" s="137"/>
      <c r="BV78" s="262"/>
      <c r="BW78" s="136"/>
      <c r="BX78" s="137"/>
      <c r="BY78" s="137"/>
      <c r="BZ78" s="137"/>
      <c r="CA78" s="137"/>
      <c r="CB78" s="137"/>
      <c r="CC78" s="258"/>
      <c r="CD78" s="258"/>
      <c r="CE78" s="258"/>
      <c r="CF78" s="258"/>
      <c r="CG78" s="258"/>
      <c r="CH78" s="258"/>
      <c r="CI78" s="258"/>
      <c r="CJ78" s="258"/>
      <c r="CK78" s="258"/>
      <c r="CL78" s="258"/>
      <c r="CM78" s="258"/>
    </row>
    <row r="79" spans="1:91" x14ac:dyDescent="0.25">
      <c r="A79" s="723"/>
      <c r="B79" s="723"/>
      <c r="K79" s="52"/>
      <c r="L79" s="135"/>
      <c r="N79" s="131"/>
      <c r="O79" s="131"/>
      <c r="P79" s="55"/>
      <c r="Q79" s="135"/>
      <c r="R79" s="135"/>
      <c r="U79" s="135"/>
      <c r="V79" s="146"/>
      <c r="W79" s="146"/>
      <c r="X79" s="338"/>
      <c r="Y79" s="338"/>
      <c r="Z79" s="338"/>
      <c r="AA79" s="338"/>
      <c r="AB79" s="338"/>
      <c r="AC79" s="338"/>
      <c r="AF79" s="138"/>
      <c r="AG79" s="138"/>
      <c r="AH79" s="138"/>
      <c r="AI79" s="138"/>
      <c r="AJ79" s="138"/>
      <c r="AM79" s="258"/>
      <c r="AN79" s="258"/>
      <c r="AO79" s="258"/>
      <c r="AP79" s="258"/>
      <c r="AR79" s="137"/>
      <c r="AT79" s="137"/>
      <c r="AV79" s="394"/>
      <c r="AW79" s="137"/>
      <c r="AX79" s="137"/>
      <c r="AY79" s="137"/>
      <c r="AZ79" s="137"/>
      <c r="BA79" s="264"/>
      <c r="BB79" s="258"/>
      <c r="BC79" s="258"/>
      <c r="BD79" s="137"/>
      <c r="BE79" s="137"/>
      <c r="BF79" s="137"/>
      <c r="BG79" s="137"/>
      <c r="BH79" s="137"/>
      <c r="BI79" s="137"/>
      <c r="BJ79" s="137"/>
      <c r="BK79" s="137"/>
      <c r="BL79" s="137"/>
      <c r="BM79" s="137"/>
      <c r="BN79" s="137"/>
      <c r="BO79" s="137"/>
      <c r="BP79" s="137"/>
      <c r="BQ79" s="137"/>
      <c r="BR79" s="137"/>
      <c r="BS79" s="137"/>
      <c r="BV79" s="262"/>
      <c r="BW79" s="136"/>
      <c r="BX79" s="137"/>
      <c r="BY79" s="137"/>
      <c r="BZ79" s="137"/>
      <c r="CA79" s="137"/>
      <c r="CB79" s="137"/>
      <c r="CC79" s="258"/>
      <c r="CD79" s="258"/>
      <c r="CE79" s="258"/>
      <c r="CF79" s="258"/>
      <c r="CG79" s="258"/>
      <c r="CH79" s="258"/>
      <c r="CI79" s="258"/>
      <c r="CJ79" s="258"/>
      <c r="CK79" s="258"/>
      <c r="CL79" s="258"/>
      <c r="CM79" s="258"/>
    </row>
    <row r="80" spans="1:91" x14ac:dyDescent="0.25">
      <c r="A80" s="723"/>
      <c r="B80" s="723"/>
      <c r="K80" s="52"/>
      <c r="L80" s="135"/>
      <c r="N80" s="131"/>
      <c r="O80" s="131"/>
      <c r="P80" s="55"/>
      <c r="Q80" s="135"/>
      <c r="R80" s="135"/>
      <c r="U80" s="135"/>
      <c r="V80" s="146"/>
      <c r="W80" s="146"/>
      <c r="X80" s="338"/>
      <c r="Y80" s="338"/>
      <c r="Z80" s="338"/>
      <c r="AA80" s="338"/>
      <c r="AB80" s="338"/>
      <c r="AC80" s="338"/>
      <c r="AF80" s="138"/>
      <c r="AG80" s="138"/>
      <c r="AH80" s="138"/>
      <c r="AI80" s="138"/>
      <c r="AJ80" s="138"/>
      <c r="AM80" s="258"/>
      <c r="AN80" s="258"/>
      <c r="AO80" s="258"/>
      <c r="AP80" s="258"/>
      <c r="AR80" s="137"/>
      <c r="AT80" s="137"/>
      <c r="AV80" s="394"/>
      <c r="AW80" s="137"/>
      <c r="AX80" s="137"/>
      <c r="AY80" s="137"/>
      <c r="AZ80" s="137"/>
      <c r="BA80" s="264"/>
      <c r="BB80" s="258"/>
      <c r="BC80" s="258"/>
      <c r="BD80" s="137"/>
      <c r="BE80" s="137"/>
      <c r="BF80" s="137"/>
      <c r="BG80" s="137"/>
      <c r="BH80" s="137"/>
      <c r="BI80" s="137"/>
      <c r="BJ80" s="137"/>
      <c r="BK80" s="137"/>
      <c r="BL80" s="137"/>
      <c r="BM80" s="137"/>
      <c r="BN80" s="137"/>
      <c r="BO80" s="137"/>
      <c r="BP80" s="137"/>
      <c r="BQ80" s="137"/>
      <c r="BR80" s="137"/>
      <c r="BS80" s="137"/>
      <c r="BV80" s="262"/>
      <c r="BW80" s="136"/>
      <c r="BX80" s="137"/>
      <c r="BY80" s="137"/>
      <c r="BZ80" s="137"/>
      <c r="CA80" s="137"/>
      <c r="CB80" s="137"/>
      <c r="CC80" s="258"/>
      <c r="CD80" s="258"/>
      <c r="CE80" s="258"/>
      <c r="CF80" s="258"/>
      <c r="CG80" s="258"/>
      <c r="CH80" s="258"/>
      <c r="CI80" s="258"/>
      <c r="CJ80" s="258"/>
      <c r="CK80" s="258"/>
      <c r="CL80" s="258"/>
      <c r="CM80" s="258"/>
    </row>
    <row r="81" spans="1:91" x14ac:dyDescent="0.25">
      <c r="A81" s="723"/>
      <c r="B81" s="723"/>
      <c r="K81" s="52"/>
      <c r="L81" s="135"/>
      <c r="N81" s="131"/>
      <c r="O81" s="131"/>
      <c r="P81" s="55"/>
      <c r="Q81" s="135"/>
      <c r="R81" s="135"/>
      <c r="U81" s="135"/>
      <c r="V81" s="146"/>
      <c r="W81" s="146"/>
      <c r="X81" s="338"/>
      <c r="Y81" s="338"/>
      <c r="Z81" s="338"/>
      <c r="AA81" s="338"/>
      <c r="AB81" s="338"/>
      <c r="AC81" s="338"/>
      <c r="AF81" s="138"/>
      <c r="AG81" s="138"/>
      <c r="AH81" s="138"/>
      <c r="AI81" s="138"/>
      <c r="AJ81" s="138"/>
      <c r="AM81" s="258"/>
      <c r="AN81" s="258"/>
      <c r="AO81" s="258"/>
      <c r="AP81" s="258"/>
      <c r="AR81" s="137"/>
      <c r="AT81" s="137"/>
      <c r="AV81" s="394"/>
      <c r="AW81" s="137"/>
      <c r="AX81" s="137"/>
      <c r="AY81" s="137"/>
      <c r="AZ81" s="137"/>
      <c r="BA81" s="264"/>
      <c r="BB81" s="258"/>
      <c r="BC81" s="258"/>
      <c r="BD81" s="137"/>
      <c r="BE81" s="137"/>
      <c r="BF81" s="137"/>
      <c r="BG81" s="137"/>
      <c r="BH81" s="137"/>
      <c r="BI81" s="137"/>
      <c r="BJ81" s="137"/>
      <c r="BK81" s="137"/>
      <c r="BL81" s="137"/>
      <c r="BM81" s="137"/>
      <c r="BN81" s="137"/>
      <c r="BO81" s="137"/>
      <c r="BP81" s="137"/>
      <c r="BQ81" s="137"/>
      <c r="BR81" s="137"/>
      <c r="BS81" s="137"/>
      <c r="BV81" s="262"/>
      <c r="BW81" s="136"/>
      <c r="BX81" s="137"/>
      <c r="BY81" s="137"/>
      <c r="BZ81" s="137"/>
      <c r="CA81" s="137"/>
      <c r="CB81" s="137"/>
      <c r="CC81" s="258"/>
      <c r="CD81" s="258"/>
      <c r="CE81" s="258"/>
      <c r="CF81" s="258"/>
      <c r="CG81" s="258"/>
      <c r="CH81" s="258"/>
      <c r="CI81" s="258"/>
      <c r="CJ81" s="258"/>
      <c r="CK81" s="258"/>
      <c r="CL81" s="258"/>
      <c r="CM81" s="258"/>
    </row>
    <row r="82" spans="1:91" x14ac:dyDescent="0.25">
      <c r="A82" s="723"/>
      <c r="B82" s="723"/>
      <c r="K82" s="52"/>
      <c r="L82" s="135"/>
      <c r="N82" s="131"/>
      <c r="O82" s="131"/>
      <c r="P82" s="55"/>
      <c r="Q82" s="135"/>
      <c r="R82" s="135"/>
      <c r="U82" s="135"/>
      <c r="V82" s="146"/>
      <c r="W82" s="146"/>
      <c r="X82" s="338"/>
      <c r="Y82" s="338"/>
      <c r="Z82" s="338"/>
      <c r="AA82" s="338"/>
      <c r="AB82" s="338"/>
      <c r="AC82" s="338"/>
      <c r="AF82" s="138"/>
      <c r="AG82" s="138"/>
      <c r="AH82" s="138"/>
      <c r="AI82" s="138"/>
      <c r="AJ82" s="138"/>
      <c r="AM82" s="258"/>
      <c r="AN82" s="258"/>
      <c r="AO82" s="258"/>
      <c r="AP82" s="258"/>
      <c r="AR82" s="137"/>
      <c r="AT82" s="137"/>
      <c r="AV82" s="394"/>
      <c r="AW82" s="137"/>
      <c r="AX82" s="137"/>
      <c r="AY82" s="137"/>
      <c r="AZ82" s="137"/>
      <c r="BA82" s="264"/>
      <c r="BB82" s="258"/>
      <c r="BC82" s="258"/>
      <c r="BD82" s="137"/>
      <c r="BE82" s="137"/>
      <c r="BF82" s="137"/>
      <c r="BG82" s="137"/>
      <c r="BH82" s="137"/>
      <c r="BI82" s="137"/>
      <c r="BJ82" s="137"/>
      <c r="BK82" s="137"/>
      <c r="BL82" s="137"/>
      <c r="BM82" s="137"/>
      <c r="BN82" s="137"/>
      <c r="BO82" s="137"/>
      <c r="BP82" s="137"/>
      <c r="BQ82" s="137"/>
      <c r="BR82" s="137"/>
      <c r="BS82" s="137"/>
      <c r="BV82" s="262"/>
      <c r="BW82" s="136"/>
      <c r="BX82" s="137"/>
      <c r="BY82" s="137"/>
      <c r="BZ82" s="137"/>
      <c r="CA82" s="137"/>
      <c r="CB82" s="137"/>
      <c r="CC82" s="258"/>
      <c r="CD82" s="258"/>
      <c r="CE82" s="258"/>
      <c r="CF82" s="258"/>
      <c r="CG82" s="258"/>
      <c r="CH82" s="258"/>
      <c r="CI82" s="258"/>
      <c r="CJ82" s="258"/>
      <c r="CK82" s="258"/>
      <c r="CL82" s="258"/>
      <c r="CM82" s="258"/>
    </row>
    <row r="83" spans="1:91" x14ac:dyDescent="0.25">
      <c r="A83" s="723"/>
      <c r="B83" s="723"/>
      <c r="K83" s="52"/>
      <c r="L83" s="135"/>
      <c r="N83" s="131"/>
      <c r="O83" s="131"/>
      <c r="P83" s="55"/>
      <c r="Q83" s="135"/>
      <c r="R83" s="135"/>
      <c r="U83" s="135"/>
      <c r="V83" s="146"/>
      <c r="W83" s="146"/>
      <c r="X83" s="338"/>
      <c r="Y83" s="338"/>
      <c r="Z83" s="338"/>
      <c r="AA83" s="338"/>
      <c r="AB83" s="338"/>
      <c r="AC83" s="338"/>
      <c r="AF83" s="138"/>
      <c r="AG83" s="138"/>
      <c r="AH83" s="138"/>
      <c r="AI83" s="138"/>
      <c r="AJ83" s="138"/>
      <c r="AM83" s="258"/>
      <c r="AN83" s="258"/>
      <c r="AO83" s="258"/>
      <c r="AP83" s="258"/>
      <c r="AR83" s="137"/>
      <c r="AT83" s="137"/>
      <c r="AV83" s="394"/>
      <c r="AW83" s="137"/>
      <c r="AX83" s="137"/>
      <c r="AY83" s="137"/>
      <c r="AZ83" s="137"/>
      <c r="BA83" s="264"/>
      <c r="BB83" s="258"/>
      <c r="BC83" s="258"/>
      <c r="BD83" s="137"/>
      <c r="BE83" s="137"/>
      <c r="BF83" s="137"/>
      <c r="BG83" s="137"/>
      <c r="BH83" s="137"/>
      <c r="BI83" s="137"/>
      <c r="BJ83" s="137"/>
      <c r="BK83" s="137"/>
      <c r="BL83" s="137"/>
      <c r="BM83" s="137"/>
      <c r="BN83" s="137"/>
      <c r="BO83" s="137"/>
      <c r="BP83" s="137"/>
      <c r="BQ83" s="137"/>
      <c r="BR83" s="137"/>
      <c r="BS83" s="137"/>
      <c r="BV83" s="262"/>
      <c r="BW83" s="136"/>
      <c r="BX83" s="137"/>
      <c r="BY83" s="137"/>
      <c r="BZ83" s="137"/>
      <c r="CA83" s="137"/>
      <c r="CB83" s="137"/>
      <c r="CC83" s="258"/>
      <c r="CD83" s="258"/>
      <c r="CE83" s="258"/>
      <c r="CF83" s="258"/>
      <c r="CG83" s="258"/>
      <c r="CH83" s="258"/>
      <c r="CI83" s="258"/>
      <c r="CJ83" s="258"/>
      <c r="CK83" s="258"/>
      <c r="CL83" s="258"/>
      <c r="CM83" s="258"/>
    </row>
    <row r="84" spans="1:91" x14ac:dyDescent="0.25">
      <c r="A84" s="723"/>
      <c r="B84" s="723"/>
      <c r="K84" s="52"/>
      <c r="L84" s="135"/>
      <c r="N84" s="131"/>
      <c r="O84" s="131"/>
      <c r="P84" s="55"/>
      <c r="Q84" s="135"/>
      <c r="R84" s="135"/>
      <c r="U84" s="135"/>
      <c r="V84" s="146"/>
      <c r="W84" s="146"/>
      <c r="X84" s="338"/>
      <c r="Y84" s="338"/>
      <c r="Z84" s="338"/>
      <c r="AA84" s="338"/>
      <c r="AB84" s="338"/>
      <c r="AC84" s="338"/>
      <c r="AF84" s="138"/>
      <c r="AG84" s="138"/>
      <c r="AH84" s="138"/>
      <c r="AI84" s="138"/>
      <c r="AJ84" s="138"/>
      <c r="AM84" s="258"/>
      <c r="AN84" s="258"/>
      <c r="AO84" s="258"/>
      <c r="AP84" s="258"/>
      <c r="AR84" s="137"/>
      <c r="AT84" s="137"/>
      <c r="AV84" s="394"/>
      <c r="AW84" s="137"/>
      <c r="AX84" s="137"/>
      <c r="AY84" s="137"/>
      <c r="AZ84" s="137"/>
      <c r="BA84" s="264"/>
      <c r="BB84" s="258"/>
      <c r="BC84" s="258"/>
      <c r="BD84" s="137"/>
      <c r="BE84" s="137"/>
      <c r="BF84" s="137"/>
      <c r="BG84" s="137"/>
      <c r="BH84" s="137"/>
      <c r="BI84" s="137"/>
      <c r="BJ84" s="137"/>
      <c r="BK84" s="137"/>
      <c r="BL84" s="137"/>
      <c r="BM84" s="137"/>
      <c r="BN84" s="137"/>
      <c r="BO84" s="137"/>
      <c r="BP84" s="137"/>
      <c r="BQ84" s="137"/>
      <c r="BR84" s="137"/>
      <c r="BS84" s="137"/>
      <c r="BV84" s="262"/>
      <c r="BW84" s="136"/>
      <c r="BX84" s="137"/>
      <c r="BY84" s="137"/>
      <c r="BZ84" s="137"/>
      <c r="CA84" s="137"/>
      <c r="CB84" s="137"/>
      <c r="CC84" s="258"/>
      <c r="CD84" s="258"/>
      <c r="CE84" s="258"/>
      <c r="CF84" s="258"/>
      <c r="CG84" s="258"/>
      <c r="CH84" s="258"/>
      <c r="CI84" s="258"/>
      <c r="CJ84" s="258"/>
      <c r="CK84" s="258"/>
      <c r="CL84" s="258"/>
      <c r="CM84" s="258"/>
    </row>
    <row r="85" spans="1:91" x14ac:dyDescent="0.25">
      <c r="A85" s="723"/>
      <c r="B85" s="723"/>
      <c r="K85" s="52"/>
      <c r="L85" s="135"/>
      <c r="N85" s="131"/>
      <c r="O85" s="131"/>
      <c r="P85" s="55"/>
      <c r="Q85" s="135"/>
      <c r="R85" s="135"/>
      <c r="U85" s="135"/>
      <c r="V85" s="146"/>
      <c r="W85" s="146"/>
      <c r="X85" s="338"/>
      <c r="Y85" s="338"/>
      <c r="Z85" s="338"/>
      <c r="AA85" s="338"/>
      <c r="AB85" s="338"/>
      <c r="AC85" s="338"/>
      <c r="AF85" s="138"/>
      <c r="AG85" s="138"/>
      <c r="AH85" s="138"/>
      <c r="AI85" s="138"/>
      <c r="AJ85" s="138"/>
      <c r="AM85" s="258"/>
      <c r="AN85" s="258"/>
      <c r="AO85" s="258"/>
      <c r="AP85" s="258"/>
      <c r="AR85" s="137"/>
      <c r="AT85" s="137"/>
      <c r="AV85" s="394"/>
      <c r="AW85" s="137"/>
      <c r="AX85" s="137"/>
      <c r="AY85" s="137"/>
      <c r="AZ85" s="137"/>
      <c r="BA85" s="264"/>
      <c r="BB85" s="258"/>
      <c r="BC85" s="258"/>
      <c r="BD85" s="137"/>
      <c r="BE85" s="137"/>
      <c r="BF85" s="137"/>
      <c r="BG85" s="137"/>
      <c r="BH85" s="137"/>
      <c r="BI85" s="137"/>
      <c r="BJ85" s="137"/>
      <c r="BK85" s="137"/>
      <c r="BL85" s="137"/>
      <c r="BM85" s="137"/>
      <c r="BN85" s="137"/>
      <c r="BO85" s="137"/>
      <c r="BP85" s="137"/>
      <c r="BQ85" s="137"/>
      <c r="BR85" s="137"/>
      <c r="BS85" s="137"/>
      <c r="BV85" s="262"/>
      <c r="BW85" s="136"/>
      <c r="BX85" s="137"/>
      <c r="BY85" s="137"/>
      <c r="BZ85" s="137"/>
      <c r="CA85" s="137"/>
      <c r="CB85" s="137"/>
      <c r="CC85" s="258"/>
      <c r="CD85" s="258"/>
      <c r="CE85" s="258"/>
      <c r="CF85" s="258"/>
      <c r="CG85" s="258"/>
      <c r="CH85" s="258"/>
      <c r="CI85" s="258"/>
      <c r="CJ85" s="258"/>
      <c r="CK85" s="258"/>
      <c r="CL85" s="258"/>
      <c r="CM85" s="258"/>
    </row>
    <row r="86" spans="1:91" x14ac:dyDescent="0.25">
      <c r="A86" s="723"/>
      <c r="B86" s="723"/>
      <c r="K86" s="52"/>
      <c r="L86" s="135"/>
      <c r="N86" s="131"/>
      <c r="O86" s="131"/>
      <c r="P86" s="55"/>
      <c r="Q86" s="135"/>
      <c r="R86" s="135"/>
      <c r="U86" s="135"/>
      <c r="V86" s="146"/>
      <c r="W86" s="146"/>
      <c r="X86" s="338"/>
      <c r="Y86" s="338"/>
      <c r="Z86" s="338"/>
      <c r="AA86" s="338"/>
      <c r="AB86" s="338"/>
      <c r="AC86" s="338"/>
      <c r="AF86" s="138"/>
      <c r="AG86" s="138"/>
      <c r="AH86" s="138"/>
      <c r="AI86" s="138"/>
      <c r="AJ86" s="138"/>
      <c r="AM86" s="258"/>
      <c r="AN86" s="258"/>
      <c r="AO86" s="258"/>
      <c r="AP86" s="258"/>
      <c r="AR86" s="137"/>
      <c r="AT86" s="137"/>
      <c r="AV86" s="394"/>
      <c r="AW86" s="137"/>
      <c r="AX86" s="137"/>
      <c r="AY86" s="137"/>
      <c r="AZ86" s="137"/>
      <c r="BA86" s="264"/>
      <c r="BB86" s="258"/>
      <c r="BC86" s="258"/>
      <c r="BD86" s="137"/>
      <c r="BE86" s="137"/>
      <c r="BF86" s="137"/>
      <c r="BG86" s="137"/>
      <c r="BH86" s="137"/>
      <c r="BI86" s="137"/>
      <c r="BJ86" s="137"/>
      <c r="BK86" s="137"/>
      <c r="BL86" s="137"/>
      <c r="BM86" s="137"/>
      <c r="BN86" s="137"/>
      <c r="BO86" s="137"/>
      <c r="BP86" s="137"/>
      <c r="BQ86" s="137"/>
      <c r="BR86" s="137"/>
      <c r="BS86" s="137"/>
      <c r="BV86" s="262"/>
      <c r="BW86" s="136"/>
      <c r="BX86" s="137"/>
      <c r="BY86" s="137"/>
      <c r="BZ86" s="137"/>
      <c r="CA86" s="137"/>
      <c r="CB86" s="137"/>
      <c r="CC86" s="258"/>
      <c r="CD86" s="258"/>
      <c r="CE86" s="258"/>
      <c r="CF86" s="258"/>
      <c r="CG86" s="258"/>
      <c r="CH86" s="258"/>
      <c r="CI86" s="258"/>
      <c r="CJ86" s="258"/>
      <c r="CK86" s="258"/>
      <c r="CL86" s="258"/>
      <c r="CM86" s="258"/>
    </row>
    <row r="87" spans="1:91" x14ac:dyDescent="0.25">
      <c r="A87" s="723"/>
      <c r="B87" s="723"/>
      <c r="K87" s="52"/>
      <c r="L87" s="135"/>
      <c r="N87" s="131"/>
      <c r="O87" s="131"/>
      <c r="P87" s="55"/>
      <c r="Q87" s="135"/>
      <c r="R87" s="135"/>
      <c r="U87" s="135"/>
      <c r="V87" s="146"/>
      <c r="W87" s="146"/>
      <c r="X87" s="338"/>
      <c r="Y87" s="338"/>
      <c r="Z87" s="338"/>
      <c r="AA87" s="338"/>
      <c r="AB87" s="338"/>
      <c r="AC87" s="338"/>
      <c r="AF87" s="138"/>
      <c r="AG87" s="138"/>
      <c r="AH87" s="138"/>
      <c r="AI87" s="138"/>
      <c r="AJ87" s="138"/>
      <c r="AM87" s="258"/>
      <c r="AN87" s="258"/>
      <c r="AO87" s="258"/>
      <c r="AP87" s="258"/>
      <c r="AR87" s="137"/>
      <c r="AT87" s="137"/>
      <c r="AV87" s="394"/>
      <c r="AW87" s="137"/>
      <c r="AX87" s="137"/>
      <c r="AY87" s="137"/>
      <c r="AZ87" s="137"/>
      <c r="BA87" s="264"/>
      <c r="BB87" s="258"/>
      <c r="BC87" s="258"/>
      <c r="BD87" s="137"/>
      <c r="BE87" s="137"/>
      <c r="BF87" s="137"/>
      <c r="BG87" s="137"/>
      <c r="BH87" s="137"/>
      <c r="BI87" s="137"/>
      <c r="BJ87" s="137"/>
      <c r="BK87" s="137"/>
      <c r="BL87" s="137"/>
      <c r="BM87" s="137"/>
      <c r="BN87" s="137"/>
      <c r="BO87" s="137"/>
      <c r="BP87" s="137"/>
      <c r="BQ87" s="137"/>
      <c r="BR87" s="137"/>
      <c r="BS87" s="137"/>
      <c r="BV87" s="262"/>
      <c r="BW87" s="136"/>
      <c r="BX87" s="137"/>
      <c r="BY87" s="137"/>
      <c r="BZ87" s="137"/>
      <c r="CA87" s="137"/>
      <c r="CB87" s="137"/>
      <c r="CC87" s="258"/>
      <c r="CD87" s="258"/>
      <c r="CE87" s="258"/>
      <c r="CF87" s="258"/>
      <c r="CG87" s="258"/>
      <c r="CH87" s="258"/>
      <c r="CI87" s="258"/>
      <c r="CJ87" s="258"/>
      <c r="CK87" s="258"/>
      <c r="CL87" s="258"/>
      <c r="CM87" s="258"/>
    </row>
    <row r="88" spans="1:91" x14ac:dyDescent="0.25">
      <c r="A88" s="723"/>
      <c r="B88" s="723"/>
      <c r="K88" s="52"/>
      <c r="L88" s="135"/>
      <c r="N88" s="131"/>
      <c r="O88" s="131"/>
      <c r="P88" s="55"/>
      <c r="Q88" s="135"/>
      <c r="R88" s="135"/>
      <c r="U88" s="135"/>
      <c r="V88" s="146"/>
      <c r="W88" s="146"/>
      <c r="X88" s="338"/>
      <c r="Y88" s="338"/>
      <c r="Z88" s="338"/>
      <c r="AA88" s="338"/>
      <c r="AB88" s="338"/>
      <c r="AC88" s="338"/>
      <c r="AF88" s="138"/>
      <c r="AG88" s="138"/>
      <c r="AH88" s="138"/>
      <c r="AI88" s="138"/>
      <c r="AJ88" s="138"/>
      <c r="AM88" s="258"/>
      <c r="AN88" s="258"/>
      <c r="AO88" s="258"/>
      <c r="AP88" s="258"/>
      <c r="AR88" s="137"/>
      <c r="AT88" s="137"/>
      <c r="AV88" s="394"/>
      <c r="AW88" s="137"/>
      <c r="AX88" s="137"/>
      <c r="AY88" s="137"/>
      <c r="AZ88" s="137"/>
      <c r="BA88" s="264"/>
      <c r="BB88" s="258"/>
      <c r="BC88" s="258"/>
      <c r="BD88" s="137"/>
      <c r="BE88" s="137"/>
      <c r="BF88" s="137"/>
      <c r="BG88" s="137"/>
      <c r="BH88" s="137"/>
      <c r="BI88" s="137"/>
      <c r="BJ88" s="137"/>
      <c r="BK88" s="137"/>
      <c r="BL88" s="137"/>
      <c r="BM88" s="137"/>
      <c r="BN88" s="137"/>
      <c r="BO88" s="137"/>
      <c r="BP88" s="137"/>
      <c r="BQ88" s="137"/>
      <c r="BR88" s="137"/>
      <c r="BS88" s="137"/>
      <c r="BV88" s="262"/>
      <c r="BW88" s="136"/>
      <c r="BX88" s="137"/>
      <c r="BY88" s="137"/>
      <c r="BZ88" s="137"/>
      <c r="CA88" s="137"/>
      <c r="CB88" s="137"/>
      <c r="CC88" s="258"/>
      <c r="CD88" s="258"/>
      <c r="CE88" s="258"/>
      <c r="CF88" s="258"/>
      <c r="CG88" s="258"/>
      <c r="CH88" s="258"/>
      <c r="CI88" s="258"/>
      <c r="CJ88" s="258"/>
      <c r="CK88" s="258"/>
      <c r="CL88" s="258"/>
      <c r="CM88" s="258"/>
    </row>
    <row r="89" spans="1:91" x14ac:dyDescent="0.25">
      <c r="A89" s="723"/>
      <c r="B89" s="723"/>
      <c r="K89" s="52"/>
      <c r="L89" s="135"/>
      <c r="N89" s="131"/>
      <c r="O89" s="131"/>
      <c r="P89" s="55"/>
      <c r="Q89" s="135"/>
      <c r="R89" s="135"/>
      <c r="U89" s="135"/>
      <c r="V89" s="146"/>
      <c r="W89" s="146"/>
      <c r="X89" s="338"/>
      <c r="Y89" s="338"/>
      <c r="Z89" s="338"/>
      <c r="AA89" s="338"/>
      <c r="AB89" s="338"/>
      <c r="AC89" s="338"/>
      <c r="AF89" s="138"/>
      <c r="AG89" s="138"/>
      <c r="AH89" s="138"/>
      <c r="AI89" s="138"/>
      <c r="AJ89" s="138"/>
      <c r="AM89" s="258"/>
      <c r="AN89" s="258"/>
      <c r="AO89" s="258"/>
      <c r="AP89" s="258"/>
      <c r="AR89" s="137"/>
      <c r="AT89" s="137"/>
      <c r="AV89" s="394"/>
      <c r="AW89" s="137"/>
      <c r="AX89" s="137"/>
      <c r="AY89" s="137"/>
      <c r="AZ89" s="137"/>
      <c r="BA89" s="264"/>
      <c r="BB89" s="258"/>
      <c r="BC89" s="258"/>
      <c r="BD89" s="137"/>
      <c r="BE89" s="137"/>
      <c r="BF89" s="137"/>
      <c r="BG89" s="137"/>
      <c r="BH89" s="137"/>
      <c r="BI89" s="137"/>
      <c r="BJ89" s="137"/>
      <c r="BK89" s="137"/>
      <c r="BL89" s="137"/>
      <c r="BM89" s="137"/>
      <c r="BN89" s="137"/>
      <c r="BO89" s="137"/>
      <c r="BP89" s="137"/>
      <c r="BQ89" s="137"/>
      <c r="BR89" s="137"/>
      <c r="BS89" s="137"/>
      <c r="BV89" s="262"/>
      <c r="BW89" s="136"/>
      <c r="BX89" s="137"/>
      <c r="BY89" s="137"/>
      <c r="BZ89" s="137"/>
      <c r="CA89" s="137"/>
      <c r="CB89" s="137"/>
      <c r="CC89" s="258"/>
      <c r="CD89" s="258"/>
      <c r="CE89" s="258"/>
      <c r="CF89" s="258"/>
      <c r="CG89" s="258"/>
      <c r="CH89" s="258"/>
      <c r="CI89" s="258"/>
      <c r="CJ89" s="258"/>
      <c r="CK89" s="258"/>
      <c r="CL89" s="258"/>
      <c r="CM89" s="258"/>
    </row>
    <row r="90" spans="1:91" x14ac:dyDescent="0.25">
      <c r="A90" s="723"/>
      <c r="B90" s="723"/>
      <c r="K90" s="52"/>
      <c r="L90" s="135"/>
      <c r="N90" s="131"/>
      <c r="O90" s="131"/>
      <c r="P90" s="55"/>
      <c r="Q90" s="135"/>
      <c r="R90" s="135"/>
      <c r="U90" s="135"/>
      <c r="V90" s="146"/>
      <c r="W90" s="146"/>
      <c r="X90" s="338"/>
      <c r="Y90" s="338"/>
      <c r="Z90" s="338"/>
      <c r="AA90" s="338"/>
      <c r="AB90" s="338"/>
      <c r="AC90" s="338"/>
      <c r="AF90" s="138"/>
      <c r="AG90" s="138"/>
      <c r="AH90" s="138"/>
      <c r="AI90" s="138"/>
      <c r="AJ90" s="138"/>
      <c r="AM90" s="258"/>
      <c r="AN90" s="258"/>
      <c r="AO90" s="258"/>
      <c r="AP90" s="258"/>
      <c r="AR90" s="137"/>
      <c r="AT90" s="137"/>
      <c r="AV90" s="394"/>
      <c r="AW90" s="137"/>
      <c r="AX90" s="137"/>
      <c r="AY90" s="137"/>
      <c r="AZ90" s="137"/>
      <c r="BA90" s="264"/>
      <c r="BB90" s="258"/>
      <c r="BC90" s="258"/>
      <c r="BD90" s="137"/>
      <c r="BE90" s="137"/>
      <c r="BF90" s="137"/>
      <c r="BG90" s="137"/>
      <c r="BH90" s="137"/>
      <c r="BI90" s="137"/>
      <c r="BJ90" s="137"/>
      <c r="BK90" s="137"/>
      <c r="BL90" s="137"/>
      <c r="BM90" s="137"/>
      <c r="BN90" s="137"/>
      <c r="BO90" s="137"/>
      <c r="BP90" s="137"/>
      <c r="BQ90" s="137"/>
      <c r="BR90" s="137"/>
      <c r="BS90" s="137"/>
      <c r="BV90" s="262"/>
      <c r="BW90" s="136"/>
      <c r="BX90" s="137"/>
      <c r="BY90" s="137"/>
      <c r="BZ90" s="137"/>
      <c r="CA90" s="137"/>
      <c r="CB90" s="137"/>
      <c r="CC90" s="258"/>
      <c r="CD90" s="258"/>
      <c r="CE90" s="258"/>
      <c r="CF90" s="258"/>
      <c r="CG90" s="258"/>
      <c r="CH90" s="258"/>
      <c r="CI90" s="258"/>
      <c r="CJ90" s="258"/>
      <c r="CK90" s="258"/>
      <c r="CL90" s="258"/>
      <c r="CM90" s="258"/>
    </row>
    <row r="91" spans="1:91" x14ac:dyDescent="0.25">
      <c r="A91" s="723"/>
      <c r="B91" s="723"/>
      <c r="K91" s="52"/>
      <c r="L91" s="135"/>
      <c r="N91" s="131"/>
      <c r="O91" s="131"/>
      <c r="P91" s="55"/>
      <c r="Q91" s="135"/>
      <c r="R91" s="135"/>
      <c r="U91" s="135"/>
      <c r="V91" s="146"/>
      <c r="W91" s="146"/>
      <c r="X91" s="338"/>
      <c r="Y91" s="338"/>
      <c r="Z91" s="338"/>
      <c r="AA91" s="338"/>
      <c r="AB91" s="338"/>
      <c r="AC91" s="338"/>
      <c r="AF91" s="138"/>
      <c r="AG91" s="138"/>
      <c r="AH91" s="138"/>
      <c r="AI91" s="138"/>
      <c r="AJ91" s="138"/>
      <c r="AM91" s="258"/>
      <c r="AN91" s="258"/>
      <c r="AO91" s="258"/>
      <c r="AP91" s="258"/>
      <c r="AR91" s="137"/>
      <c r="AT91" s="137"/>
      <c r="AV91" s="394"/>
      <c r="AW91" s="137"/>
      <c r="AX91" s="137"/>
      <c r="AY91" s="137"/>
      <c r="AZ91" s="137"/>
      <c r="BA91" s="264"/>
      <c r="BB91" s="258"/>
      <c r="BC91" s="258"/>
      <c r="BD91" s="137"/>
      <c r="BE91" s="137"/>
      <c r="BF91" s="137"/>
      <c r="BG91" s="137"/>
      <c r="BH91" s="137"/>
      <c r="BI91" s="137"/>
      <c r="BJ91" s="137"/>
      <c r="BK91" s="137"/>
      <c r="BL91" s="137"/>
      <c r="BM91" s="137"/>
      <c r="BN91" s="137"/>
      <c r="BO91" s="137"/>
      <c r="BP91" s="137"/>
      <c r="BQ91" s="137"/>
      <c r="BR91" s="137"/>
      <c r="BS91" s="137"/>
      <c r="BV91" s="262"/>
      <c r="BW91" s="136"/>
      <c r="BX91" s="137"/>
      <c r="BY91" s="137"/>
      <c r="BZ91" s="137"/>
      <c r="CA91" s="137"/>
      <c r="CB91" s="137"/>
      <c r="CC91" s="258"/>
      <c r="CD91" s="258"/>
      <c r="CE91" s="258"/>
      <c r="CF91" s="258"/>
      <c r="CG91" s="258"/>
      <c r="CH91" s="258"/>
      <c r="CI91" s="258"/>
      <c r="CJ91" s="258"/>
      <c r="CK91" s="258"/>
      <c r="CL91" s="258"/>
      <c r="CM91" s="258"/>
    </row>
    <row r="92" spans="1:91" x14ac:dyDescent="0.25">
      <c r="A92" s="723"/>
      <c r="B92" s="723"/>
      <c r="K92" s="52"/>
      <c r="L92" s="135"/>
      <c r="N92" s="131"/>
      <c r="O92" s="131"/>
      <c r="P92" s="55"/>
      <c r="Q92" s="135"/>
      <c r="R92" s="135"/>
      <c r="U92" s="135"/>
      <c r="V92" s="146"/>
      <c r="W92" s="146"/>
      <c r="X92" s="338"/>
      <c r="Y92" s="338"/>
      <c r="Z92" s="338"/>
      <c r="AA92" s="338"/>
      <c r="AB92" s="338"/>
      <c r="AC92" s="338"/>
      <c r="AF92" s="138"/>
      <c r="AG92" s="138"/>
      <c r="AH92" s="138"/>
      <c r="AI92" s="138"/>
      <c r="AJ92" s="138"/>
      <c r="AM92" s="258"/>
      <c r="AN92" s="258"/>
      <c r="AO92" s="258"/>
      <c r="AP92" s="258"/>
      <c r="AR92" s="137"/>
      <c r="AT92" s="137"/>
      <c r="AV92" s="394"/>
      <c r="AW92" s="137"/>
      <c r="AX92" s="137"/>
      <c r="AY92" s="137"/>
      <c r="AZ92" s="137"/>
      <c r="BA92" s="264"/>
      <c r="BB92" s="258"/>
      <c r="BC92" s="258"/>
      <c r="BD92" s="137"/>
      <c r="BE92" s="137"/>
      <c r="BF92" s="137"/>
      <c r="BG92" s="137"/>
      <c r="BH92" s="137"/>
      <c r="BI92" s="137"/>
      <c r="BJ92" s="137"/>
      <c r="BK92" s="137"/>
      <c r="BL92" s="137"/>
      <c r="BM92" s="137"/>
      <c r="BN92" s="137"/>
      <c r="BO92" s="137"/>
      <c r="BP92" s="137"/>
      <c r="BQ92" s="137"/>
      <c r="BR92" s="137"/>
      <c r="BS92" s="137"/>
      <c r="BV92" s="262"/>
      <c r="BW92" s="136"/>
      <c r="BX92" s="137"/>
      <c r="BY92" s="137"/>
      <c r="BZ92" s="137"/>
      <c r="CA92" s="137"/>
      <c r="CB92" s="137"/>
      <c r="CC92" s="258"/>
      <c r="CD92" s="258"/>
      <c r="CE92" s="258"/>
      <c r="CF92" s="258"/>
      <c r="CG92" s="258"/>
      <c r="CH92" s="258"/>
      <c r="CI92" s="258"/>
      <c r="CJ92" s="258"/>
      <c r="CK92" s="258"/>
      <c r="CL92" s="258"/>
      <c r="CM92" s="258"/>
    </row>
    <row r="93" spans="1:91" x14ac:dyDescent="0.25">
      <c r="A93" s="723"/>
      <c r="B93" s="723"/>
    </row>
    <row r="94" spans="1:91" x14ac:dyDescent="0.25">
      <c r="A94" s="723"/>
      <c r="B94" s="723"/>
    </row>
    <row r="95" spans="1:91" x14ac:dyDescent="0.25">
      <c r="A95" s="723"/>
      <c r="B95" s="723"/>
    </row>
  </sheetData>
  <sheetCalcPr fullCalcOnLoad="1"/>
  <mergeCells count="99">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6:M16"/>
    <mergeCell ref="L11:M11"/>
    <mergeCell ref="L10:M10"/>
    <mergeCell ref="L9:M9"/>
    <mergeCell ref="F1:G1"/>
    <mergeCell ref="L1:P1"/>
    <mergeCell ref="L3:M3"/>
    <mergeCell ref="BU1:CB1"/>
    <mergeCell ref="AE1:AK1"/>
    <mergeCell ref="BA1:BH1"/>
    <mergeCell ref="AM20:AN20"/>
    <mergeCell ref="AO20:AP20"/>
    <mergeCell ref="L17:M17"/>
    <mergeCell ref="L6:M6"/>
    <mergeCell ref="L13:M13"/>
    <mergeCell ref="L14:M14"/>
    <mergeCell ref="L15:M15"/>
    <mergeCell ref="L12:M12"/>
    <mergeCell ref="L8:M8"/>
    <mergeCell ref="L7:M7"/>
    <mergeCell ref="A38:B38"/>
    <mergeCell ref="A39:B39"/>
    <mergeCell ref="A40:B40"/>
    <mergeCell ref="A41:B41"/>
    <mergeCell ref="A34:B34"/>
    <mergeCell ref="A35:B35"/>
    <mergeCell ref="A36:B36"/>
    <mergeCell ref="A37:B37"/>
    <mergeCell ref="A46:B46"/>
    <mergeCell ref="A47:B47"/>
    <mergeCell ref="A48:B48"/>
    <mergeCell ref="A49:B49"/>
    <mergeCell ref="A42:B42"/>
    <mergeCell ref="A43:B43"/>
    <mergeCell ref="A44:B44"/>
    <mergeCell ref="A45:B45"/>
    <mergeCell ref="A54:B54"/>
    <mergeCell ref="A55:B55"/>
    <mergeCell ref="A56:B56"/>
    <mergeCell ref="A57:B57"/>
    <mergeCell ref="A50:B50"/>
    <mergeCell ref="A51:B51"/>
    <mergeCell ref="A52:B52"/>
    <mergeCell ref="A53:B53"/>
    <mergeCell ref="A62:B62"/>
    <mergeCell ref="A63:B63"/>
    <mergeCell ref="A64:B64"/>
    <mergeCell ref="A65:B65"/>
    <mergeCell ref="A58:B58"/>
    <mergeCell ref="A59:B59"/>
    <mergeCell ref="A60:B60"/>
    <mergeCell ref="A61:B61"/>
    <mergeCell ref="A70:B70"/>
    <mergeCell ref="A71:B71"/>
    <mergeCell ref="A72:B72"/>
    <mergeCell ref="A73:B73"/>
    <mergeCell ref="A66:B66"/>
    <mergeCell ref="A67:B67"/>
    <mergeCell ref="A68:B68"/>
    <mergeCell ref="A69:B69"/>
    <mergeCell ref="A78:B78"/>
    <mergeCell ref="A79:B79"/>
    <mergeCell ref="A80:B80"/>
    <mergeCell ref="A81:B81"/>
    <mergeCell ref="A74:B74"/>
    <mergeCell ref="A75:B75"/>
    <mergeCell ref="A76:B76"/>
    <mergeCell ref="A77:B77"/>
    <mergeCell ref="A86:B86"/>
    <mergeCell ref="A87:B87"/>
    <mergeCell ref="A88:B88"/>
    <mergeCell ref="A89:B89"/>
    <mergeCell ref="A82:B82"/>
    <mergeCell ref="A83:B83"/>
    <mergeCell ref="A84:B84"/>
    <mergeCell ref="A85:B85"/>
    <mergeCell ref="A94:B94"/>
    <mergeCell ref="A95:B95"/>
    <mergeCell ref="A90:B90"/>
    <mergeCell ref="A91:B91"/>
    <mergeCell ref="A92:B92"/>
    <mergeCell ref="A93:B93"/>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3844"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3845"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pageSetUpPr autoPageBreaks="0"/>
  </sheetPr>
  <dimension ref="A1:CX33"/>
  <sheetViews>
    <sheetView zoomScale="80" workbookViewId="0">
      <selection activeCell="CI21" sqref="CI21:CI30"/>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LongTerm84</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84</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5">
      <c r="A4" s="269" t="str">
        <f>ADDRESS(ROW($S$22),COLUMN($S$22))</f>
        <v>$S$22</v>
      </c>
      <c r="L4" s="721" t="s">
        <v>201</v>
      </c>
      <c r="M4" s="722"/>
      <c r="N4" s="352">
        <f ca="1">SUMPRODUCT(INDIRECT(CONCATENATE(AV4,":",AW4)),INDIRECT(CONCATENATE($AV$2,":",$AW$2)),INDIRECT(CONCATENATE($AV$3,":",$AW$3)))</f>
        <v>454773.91826807952</v>
      </c>
      <c r="O4" s="352">
        <v>456276.18</v>
      </c>
      <c r="P4" s="354">
        <f ca="1">N4-O4</f>
        <v>-1502.2617319204728</v>
      </c>
      <c r="S4" s="427" t="s">
        <v>635</v>
      </c>
      <c r="T4" s="422">
        <f ca="1">SUMPRODUCT(INDIRECT(CONCATENATE(V4,":",W4)),INDIRECT(CONCATENATE(AV2,":",AW2)),INDIRECT(CONCATENATE(AV3,":",AW3)))</f>
        <v>440350.69685405295</v>
      </c>
      <c r="V4" s="30" t="str">
        <f>ADDRESS(ROW(K22),COLUMN(K22))</f>
        <v>$K$22</v>
      </c>
      <c r="W4" s="30" t="str">
        <f ca="1">GetEnd($AV$1,V4)</f>
        <v>$K$30</v>
      </c>
      <c r="AF4" s="28"/>
      <c r="AG4" s="103" t="s">
        <v>32</v>
      </c>
      <c r="AH4" s="104">
        <f>GetRcptIndexCol($AH$12,$AH$13)</f>
        <v>65</v>
      </c>
      <c r="AI4" s="29"/>
      <c r="AJ4" s="103" t="s">
        <v>72</v>
      </c>
      <c r="AK4" s="104">
        <f>GetNymexCol(AK3)</f>
        <v>3</v>
      </c>
      <c r="AL4" s="34">
        <v>1</v>
      </c>
      <c r="AM4" s="45">
        <f t="shared" ref="AM4:AM15" si="0">GetVolume($AH$12,$AH$13,AT4)</f>
        <v>24500</v>
      </c>
      <c r="AN4" s="46">
        <f t="shared" ref="AN4:AN15" si="1">GetCommodity($AH$12,$AH$13,AT4)</f>
        <v>6.2199999999999998E-2</v>
      </c>
      <c r="AO4" s="47">
        <f t="shared" ref="AO4:AO15" si="2">GetFuelRate($AH$12,$AH$13,AT4)</f>
        <v>4.2000000000000003E-2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LongTerm84 Sheet)</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2368061.6320343027</v>
      </c>
      <c r="O5" s="352">
        <v>2367690.16</v>
      </c>
      <c r="P5" s="355">
        <f ca="1">N5-O5</f>
        <v>371.47203430254012</v>
      </c>
      <c r="S5" s="428" t="s">
        <v>636</v>
      </c>
      <c r="T5" s="423">
        <f ca="1">SUMPRODUCT(INDIRECT(CONCATENATE(V5,":",W5)),INDIRECT(CONCATENATE(AV2,":",AW2)),INDIRECT(CONCATENATE(AV3,":",AW3)))</f>
        <v>14423.221414026584</v>
      </c>
      <c r="V5" s="30" t="str">
        <f>ADDRESS(ROW(L22),COLUMN(L22))</f>
        <v>$L$22</v>
      </c>
      <c r="W5" s="30" t="str">
        <f ca="1">GetEnd($AV$1,V5)</f>
        <v>$L$30</v>
      </c>
      <c r="AF5" s="28"/>
      <c r="AG5" s="103" t="s">
        <v>33</v>
      </c>
      <c r="AH5" s="104">
        <f>GetDelBasisCol($AH$12,$AH$13)</f>
        <v>60</v>
      </c>
      <c r="AI5" s="29"/>
      <c r="AJ5" s="103" t="s">
        <v>77</v>
      </c>
      <c r="AK5" s="104" t="str">
        <f>LiborCurve</f>
        <v>Libor AA</v>
      </c>
      <c r="AL5" s="34">
        <v>2</v>
      </c>
      <c r="AM5" s="37">
        <f t="shared" si="0"/>
        <v>24500</v>
      </c>
      <c r="AN5" s="38">
        <f t="shared" si="1"/>
        <v>6.2199999999999998E-2</v>
      </c>
      <c r="AO5" s="39">
        <f t="shared" si="2"/>
        <v>4.2000000000000003E-2</v>
      </c>
      <c r="AP5" s="38">
        <f t="shared" si="3"/>
        <v>0</v>
      </c>
      <c r="AQ5" s="38">
        <f t="shared" si="4"/>
        <v>0</v>
      </c>
      <c r="AR5" s="133">
        <f t="shared" si="5"/>
        <v>0</v>
      </c>
      <c r="AS5" s="40" t="str">
        <f t="shared" si="6"/>
        <v>(See LongTerm84 Sheet)</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5">
      <c r="A6" s="269" t="str">
        <f>ADDRESS(ROW($BW$2),COLUMN($BW$2))</f>
        <v>$BW$2</v>
      </c>
      <c r="F6" s="187"/>
      <c r="G6" s="187"/>
      <c r="L6" s="704" t="s">
        <v>149</v>
      </c>
      <c r="M6" s="705"/>
      <c r="N6" s="356">
        <f ca="1">N4-N5</f>
        <v>-1913287.7137662233</v>
      </c>
      <c r="O6" s="357">
        <v>-1911413.98</v>
      </c>
      <c r="P6" s="358">
        <f ca="1">N6-O6</f>
        <v>-1873.733766223304</v>
      </c>
      <c r="S6" s="428" t="s">
        <v>637</v>
      </c>
      <c r="T6" s="424">
        <f ca="1">SUMPRODUCT(INDIRECT(CONCATENATE(V6,":",W6)),INDIRECT(CONCATENATE(AV3,":",AW3)),INDIRECT(CONCATENATE(AX3,":",AY3)))</f>
        <v>2928594.6475813789</v>
      </c>
      <c r="V6" s="30" t="str">
        <f>ADDRESS(ROW(G22),COLUMN(G22))</f>
        <v>$G$22</v>
      </c>
      <c r="W6" s="30" t="str">
        <f ca="1">GetEnd($AV$1,V6)</f>
        <v>$G$30</v>
      </c>
      <c r="AF6" s="28"/>
      <c r="AG6" s="103" t="s">
        <v>34</v>
      </c>
      <c r="AH6" s="104">
        <f>GetDelIndexCol($AH$12,$AH$13)</f>
        <v>61</v>
      </c>
      <c r="AI6" s="29"/>
      <c r="AJ6" s="103" t="s">
        <v>79</v>
      </c>
      <c r="AK6" s="104">
        <f>GetLiborCol(AK5)</f>
        <v>4</v>
      </c>
      <c r="AL6" s="34">
        <v>3</v>
      </c>
      <c r="AM6" s="37">
        <f t="shared" si="0"/>
        <v>24500</v>
      </c>
      <c r="AN6" s="38">
        <f t="shared" si="1"/>
        <v>6.2199999999999998E-2</v>
      </c>
      <c r="AO6" s="39">
        <f t="shared" si="2"/>
        <v>4.2000000000000003E-2</v>
      </c>
      <c r="AP6" s="38">
        <f t="shared" si="3"/>
        <v>0</v>
      </c>
      <c r="AQ6" s="38">
        <f t="shared" si="4"/>
        <v>0</v>
      </c>
      <c r="AR6" s="133">
        <f t="shared" si="5"/>
        <v>0</v>
      </c>
      <c r="AS6" s="40" t="str">
        <f t="shared" si="6"/>
        <v>(See LongTerm84 Sheet)</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10172.780000000001</v>
      </c>
      <c r="P7" s="355">
        <f ca="1">N7</f>
        <v>0</v>
      </c>
      <c r="S7" s="428" t="s">
        <v>638</v>
      </c>
      <c r="T7" s="425">
        <f ca="1">T5/T6</f>
        <v>4.9249633867692148E-3</v>
      </c>
      <c r="AF7" s="28"/>
      <c r="AG7" s="103" t="s">
        <v>76</v>
      </c>
      <c r="AH7" s="104">
        <f>GetRcptOmicronCol($AH$12,$AH$13)</f>
        <v>19</v>
      </c>
      <c r="AI7" s="29"/>
      <c r="AJ7" s="103" t="s">
        <v>80</v>
      </c>
      <c r="AK7" s="104" t="str">
        <f>Configuration!$D$8</f>
        <v>Nymex Vol</v>
      </c>
      <c r="AL7" s="34">
        <v>4</v>
      </c>
      <c r="AM7" s="37">
        <f t="shared" si="0"/>
        <v>24500</v>
      </c>
      <c r="AN7" s="38">
        <f t="shared" si="1"/>
        <v>6.2199999999999998E-2</v>
      </c>
      <c r="AO7" s="39">
        <f t="shared" si="2"/>
        <v>4.2000000000000003E-2</v>
      </c>
      <c r="AP7" s="38">
        <f t="shared" si="3"/>
        <v>0</v>
      </c>
      <c r="AQ7" s="38">
        <f t="shared" si="4"/>
        <v>0</v>
      </c>
      <c r="AR7" s="133">
        <f t="shared" si="5"/>
        <v>0</v>
      </c>
      <c r="AS7" s="40" t="str">
        <f t="shared" si="6"/>
        <v>(See LongTerm84 Sheet)</v>
      </c>
      <c r="AT7" s="35">
        <f t="shared" si="7"/>
        <v>1</v>
      </c>
      <c r="AU7" s="361" t="s">
        <v>574</v>
      </c>
      <c r="AV7" s="339" t="str">
        <f>ADDRESS(ROW($AL$22),COLUMN($AL$22))</f>
        <v>$AL$22</v>
      </c>
      <c r="AW7" s="138" t="str">
        <f t="shared" ref="AW7:AW17" ca="1" si="8">GetEnd($AV$1,AV7)</f>
        <v>$AL$30</v>
      </c>
      <c r="AX7" s="339" t="str">
        <f>ADDRESS(ROW($AV$22),COLUMN($AV$22))</f>
        <v>$AV$22</v>
      </c>
      <c r="AY7" s="138" t="str">
        <f t="shared" ref="AY7:AY13" ca="1" si="9">GetEnd($AV$1,AX7)</f>
        <v>$AV$30</v>
      </c>
    </row>
    <row r="8" spans="1:102" x14ac:dyDescent="0.25">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0.99783891293932903</v>
      </c>
      <c r="V8" s="30" t="str">
        <f>ADDRESS(ROW(P22),COLUMN(P22))</f>
        <v>$P$22</v>
      </c>
      <c r="W8" s="30" t="str">
        <f ca="1">GetEnd($AV$1,V8)</f>
        <v>$P$30</v>
      </c>
      <c r="Y8" s="334">
        <f ca="1">SUMIF(INDIRECT(CONCATENATE(V8,":",W8)),"&gt;0",INDIRECT(CONCATENATE(V8,":",W8)))</f>
        <v>3.9913556517573161</v>
      </c>
      <c r="Z8" s="334">
        <f ca="1">COUNTIF(INDIRECT(CONCATENATE(V8,":",W8)),"&gt;0")</f>
        <v>4</v>
      </c>
      <c r="AF8" s="28"/>
      <c r="AG8" s="103" t="s">
        <v>75</v>
      </c>
      <c r="AH8" s="105">
        <f>GetDelOmicronCol($AH$12,$AH$13)</f>
        <v>19</v>
      </c>
      <c r="AI8" s="29"/>
      <c r="AJ8" s="103" t="s">
        <v>81</v>
      </c>
      <c r="AK8" s="104">
        <f>GetNGOmicronCol(AK7)</f>
        <v>5</v>
      </c>
      <c r="AL8" s="34">
        <v>5</v>
      </c>
      <c r="AM8" s="37">
        <f t="shared" si="0"/>
        <v>24500</v>
      </c>
      <c r="AN8" s="38">
        <f t="shared" si="1"/>
        <v>6.2199999999999998E-2</v>
      </c>
      <c r="AO8" s="39">
        <f t="shared" si="2"/>
        <v>4.2000000000000003E-2</v>
      </c>
      <c r="AP8" s="38">
        <f t="shared" si="3"/>
        <v>0</v>
      </c>
      <c r="AQ8" s="38">
        <f t="shared" si="4"/>
        <v>0</v>
      </c>
      <c r="AR8" s="133">
        <f t="shared" si="5"/>
        <v>0</v>
      </c>
      <c r="AS8" s="40" t="str">
        <f t="shared" si="6"/>
        <v>(See LongTerm84 Sheet)</v>
      </c>
      <c r="AT8" s="35">
        <f t="shared" si="7"/>
        <v>1</v>
      </c>
      <c r="AU8" s="362" t="s">
        <v>575</v>
      </c>
      <c r="AV8" s="339" t="str">
        <f>ADDRESS(ROW($AM$22),COLUMN($AM$22))</f>
        <v>$AM$22</v>
      </c>
      <c r="AW8" s="138" t="str">
        <f t="shared" ca="1" si="8"/>
        <v>$AM$30</v>
      </c>
      <c r="AX8" s="339" t="str">
        <f>ADDRESS(ROW($AO$22),COLUMN($AO$22))</f>
        <v>$AO$22</v>
      </c>
      <c r="AY8" s="138" t="str">
        <f t="shared" ca="1" si="9"/>
        <v>$AO$30</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24500</v>
      </c>
      <c r="AN9" s="38">
        <f t="shared" si="1"/>
        <v>6.2199999999999998E-2</v>
      </c>
      <c r="AO9" s="39">
        <f t="shared" si="2"/>
        <v>4.2000000000000003E-2</v>
      </c>
      <c r="AP9" s="38">
        <f t="shared" si="3"/>
        <v>0</v>
      </c>
      <c r="AQ9" s="38">
        <f t="shared" si="4"/>
        <v>0</v>
      </c>
      <c r="AR9" s="133">
        <f t="shared" si="5"/>
        <v>0</v>
      </c>
      <c r="AS9" s="40" t="str">
        <f t="shared" si="6"/>
        <v>(See LongTerm84 Sheet)</v>
      </c>
      <c r="AT9" s="35">
        <f t="shared" si="7"/>
        <v>1</v>
      </c>
      <c r="AU9" s="361" t="s">
        <v>578</v>
      </c>
      <c r="AV9" s="339" t="str">
        <f>ADDRESS(ROW($AN$22),COLUMN($AN$22))</f>
        <v>$AN$22</v>
      </c>
      <c r="AW9" s="138" t="str">
        <f t="shared" ca="1" si="8"/>
        <v>$AN$30</v>
      </c>
      <c r="AX9" s="339" t="str">
        <f>ADDRESS(ROW($AP$22),COLUMN($AP$22))</f>
        <v>$AP$22</v>
      </c>
      <c r="AY9" s="138" t="str">
        <f t="shared" ca="1" si="9"/>
        <v>$AP$30</v>
      </c>
    </row>
    <row r="10" spans="1:102" x14ac:dyDescent="0.25">
      <c r="A10" s="270" t="s">
        <v>224</v>
      </c>
      <c r="D10" s="718" t="s">
        <v>154</v>
      </c>
      <c r="E10" s="719"/>
      <c r="F10" s="719"/>
      <c r="G10" s="719"/>
      <c r="H10" s="720"/>
      <c r="K10" s="29">
        <f>SUMPRODUCT(L22:L30,F22:F30)</f>
        <v>14423.221414026584</v>
      </c>
      <c r="L10" s="706" t="s">
        <v>628</v>
      </c>
      <c r="M10" s="707"/>
      <c r="N10" s="352">
        <f ca="1">-SUMPRODUCT(INDIRECT(CONCATENATE(AV10,":",AW10)),INDIRECT(CONCATENATE($AX$7,":",$AY$7)),INDIRECT(CONCATENATE($AV$3,":",$AW$3)))</f>
        <v>-319515.947320598</v>
      </c>
      <c r="O10" s="352">
        <v>-319465.84000000003</v>
      </c>
      <c r="P10" s="355">
        <f t="shared" ref="P10:P19" ca="1" si="10">N10-O10</f>
        <v>-50.107320597977377</v>
      </c>
      <c r="AF10" s="28"/>
      <c r="AG10" s="103" t="s">
        <v>142</v>
      </c>
      <c r="AH10" s="119" t="b">
        <f>GetGRIFactor($AH$12,$AH$13)</f>
        <v>1</v>
      </c>
      <c r="AI10" s="29"/>
      <c r="AJ10" s="29"/>
      <c r="AK10" s="29"/>
      <c r="AL10" s="34">
        <v>7</v>
      </c>
      <c r="AM10" s="37">
        <f t="shared" si="0"/>
        <v>24500</v>
      </c>
      <c r="AN10" s="38">
        <f t="shared" si="1"/>
        <v>6.2199999999999998E-2</v>
      </c>
      <c r="AO10" s="39">
        <f t="shared" si="2"/>
        <v>4.2000000000000003E-2</v>
      </c>
      <c r="AP10" s="38">
        <f t="shared" si="3"/>
        <v>0</v>
      </c>
      <c r="AQ10" s="38">
        <f t="shared" si="4"/>
        <v>0</v>
      </c>
      <c r="AR10" s="133">
        <f t="shared" si="5"/>
        <v>0</v>
      </c>
      <c r="AS10" s="40" t="str">
        <f t="shared" si="6"/>
        <v>(See LongTerm84 Sheet)</v>
      </c>
      <c r="AT10" s="35">
        <f t="shared" si="7"/>
        <v>1</v>
      </c>
      <c r="AU10" s="361" t="s">
        <v>577</v>
      </c>
      <c r="AV10" s="339" t="str">
        <f>ADDRESS(ROW($AS$22),COLUMN($AS$22))</f>
        <v>$AS$22</v>
      </c>
      <c r="AW10" s="138" t="str">
        <f t="shared" ca="1" si="8"/>
        <v>$AS$30</v>
      </c>
      <c r="AX10" s="339" t="str">
        <f>ADDRESS(ROW($CC$22),COLUMN($CC$22))</f>
        <v>$CC$22</v>
      </c>
      <c r="AY10" s="138" t="str">
        <f t="shared" ca="1" si="9"/>
        <v>$CC$30</v>
      </c>
    </row>
    <row r="11" spans="1:102" x14ac:dyDescent="0.25">
      <c r="A11" s="270" t="s">
        <v>224</v>
      </c>
      <c r="D11" s="166" t="str">
        <f>IF(ISERROR($AH$13),"Check Contract Index to make sure it is valid","")</f>
        <v/>
      </c>
      <c r="E11" s="167"/>
      <c r="F11" s="168"/>
      <c r="G11" s="168"/>
      <c r="H11" s="169"/>
      <c r="K11" s="29">
        <f>SUMPRODUCT(K22:K30,F22:F30)</f>
        <v>440350.69685405295</v>
      </c>
      <c r="L11" s="704" t="s">
        <v>629</v>
      </c>
      <c r="M11" s="705"/>
      <c r="N11" s="356">
        <f ca="1">-SUMPRODUCT(INDIRECT(CONCATENATE(AV11,":",AW11)),INDIRECT(CONCATENATE($AV$2,":",$AW$2)),INDIRECT(CONCATENATE($AV$3,":",$AW$3)),INDIRECT(CONCATENATE(AX3,":",AY3)))</f>
        <v>-197568</v>
      </c>
      <c r="O11" s="357">
        <v>-197568</v>
      </c>
      <c r="P11" s="358">
        <f t="shared" ca="1" si="10"/>
        <v>0</v>
      </c>
      <c r="X11" s="734" t="s">
        <v>759</v>
      </c>
      <c r="Y11" s="735"/>
      <c r="AL11" s="34">
        <v>8</v>
      </c>
      <c r="AM11" s="37">
        <f t="shared" si="0"/>
        <v>24500</v>
      </c>
      <c r="AN11" s="38">
        <f t="shared" si="1"/>
        <v>6.2199999999999998E-2</v>
      </c>
      <c r="AO11" s="39">
        <f t="shared" si="2"/>
        <v>4.2000000000000003E-2</v>
      </c>
      <c r="AP11" s="38">
        <f t="shared" si="3"/>
        <v>0</v>
      </c>
      <c r="AQ11" s="38">
        <f t="shared" si="4"/>
        <v>0</v>
      </c>
      <c r="AR11" s="133">
        <f t="shared" si="5"/>
        <v>0</v>
      </c>
      <c r="AS11" s="40" t="str">
        <f t="shared" si="6"/>
        <v>(See LongTerm84 Sheet)</v>
      </c>
      <c r="AT11" s="35">
        <f t="shared" si="7"/>
        <v>1</v>
      </c>
      <c r="AU11" s="361" t="s">
        <v>579</v>
      </c>
      <c r="AV11" s="339" t="str">
        <f>ADDRESS(ROW($AQ$22),COLUMN($AQ$22))</f>
        <v>$AQ$22</v>
      </c>
      <c r="AW11" s="138" t="str">
        <f t="shared" ca="1" si="8"/>
        <v>$AQ$30</v>
      </c>
      <c r="AX11" s="339" t="str">
        <f>ADDRESS(ROW($CD$22),COLUMN($CD$22))</f>
        <v>$CD$22</v>
      </c>
      <c r="AY11" s="138" t="str">
        <f t="shared" ca="1" si="9"/>
        <v>$CD$30</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-8132.35</v>
      </c>
      <c r="P12" s="355">
        <f t="shared" ca="1" si="10"/>
        <v>8132.35</v>
      </c>
      <c r="X12" s="498" t="s">
        <v>760</v>
      </c>
      <c r="Y12" s="499">
        <v>0.80659999999999998</v>
      </c>
      <c r="AG12" s="248" t="s">
        <v>185</v>
      </c>
      <c r="AH12" s="119" t="str">
        <f>GetDBPage($D$2)</f>
        <v>Contract DB (West)</v>
      </c>
      <c r="AL12" s="34">
        <v>9</v>
      </c>
      <c r="AM12" s="37">
        <f t="shared" si="0"/>
        <v>24500</v>
      </c>
      <c r="AN12" s="38">
        <f t="shared" si="1"/>
        <v>6.2199999999999998E-2</v>
      </c>
      <c r="AO12" s="39">
        <f t="shared" si="2"/>
        <v>4.2000000000000003E-2</v>
      </c>
      <c r="AP12" s="38">
        <f t="shared" si="3"/>
        <v>0</v>
      </c>
      <c r="AQ12" s="38">
        <f t="shared" si="4"/>
        <v>0</v>
      </c>
      <c r="AR12" s="133">
        <f t="shared" si="5"/>
        <v>0</v>
      </c>
      <c r="AS12" s="40" t="str">
        <f t="shared" si="6"/>
        <v>(See LongTerm84 Sheet)</v>
      </c>
      <c r="AT12" s="35">
        <f t="shared" si="7"/>
        <v>1</v>
      </c>
      <c r="AU12" s="361" t="s">
        <v>271</v>
      </c>
      <c r="AV12" s="339" t="str">
        <f>ADDRESS(ROW($X$22),COLUMN($X$22))</f>
        <v>$X$22</v>
      </c>
      <c r="AW12" s="138" t="str">
        <f t="shared" ca="1" si="8"/>
        <v>$X$30</v>
      </c>
      <c r="AX12" s="339" t="str">
        <f>ADDRESS(ROW($CE$22),COLUMN($CE$22))</f>
        <v>$CE$22</v>
      </c>
      <c r="AY12" s="138" t="str">
        <f t="shared" ca="1" si="9"/>
        <v>$CE$30</v>
      </c>
    </row>
    <row r="13" spans="1:102" x14ac:dyDescent="0.25">
      <c r="A13" s="270" t="s">
        <v>224</v>
      </c>
      <c r="D13" s="170"/>
      <c r="E13" s="171"/>
      <c r="F13" s="172"/>
      <c r="G13" s="172"/>
      <c r="H13" s="173"/>
      <c r="L13" s="706" t="s">
        <v>155</v>
      </c>
      <c r="M13" s="707"/>
      <c r="N13" s="352">
        <f t="shared" ca="1" si="11"/>
        <v>0</v>
      </c>
      <c r="O13" s="352">
        <v>83.84</v>
      </c>
      <c r="P13" s="355">
        <f t="shared" ca="1" si="10"/>
        <v>-83.84</v>
      </c>
      <c r="X13" s="498" t="s">
        <v>761</v>
      </c>
      <c r="AG13" s="248" t="s">
        <v>186</v>
      </c>
      <c r="AH13" s="119">
        <f>GetRecNdx($AH$12,$D$2)</f>
        <v>7</v>
      </c>
      <c r="AL13" s="34">
        <v>10</v>
      </c>
      <c r="AM13" s="37">
        <f t="shared" si="0"/>
        <v>24500</v>
      </c>
      <c r="AN13" s="38">
        <f t="shared" si="1"/>
        <v>6.2199999999999998E-2</v>
      </c>
      <c r="AO13" s="39">
        <f t="shared" si="2"/>
        <v>4.2000000000000003E-2</v>
      </c>
      <c r="AP13" s="38">
        <f t="shared" si="3"/>
        <v>0</v>
      </c>
      <c r="AQ13" s="38">
        <f t="shared" si="4"/>
        <v>0</v>
      </c>
      <c r="AR13" s="133">
        <f t="shared" si="5"/>
        <v>0</v>
      </c>
      <c r="AS13" s="40" t="str">
        <f t="shared" si="6"/>
        <v>(See LongTerm84 Sheet)</v>
      </c>
      <c r="AT13" s="35">
        <f t="shared" si="7"/>
        <v>1</v>
      </c>
      <c r="AU13" s="361" t="s">
        <v>155</v>
      </c>
      <c r="AV13" s="339" t="str">
        <f>ADDRESS(ROW($Y$22),COLUMN($Y$22))</f>
        <v>$Y$22</v>
      </c>
      <c r="AW13" s="138" t="str">
        <f t="shared" ca="1" si="8"/>
        <v>$Y$30</v>
      </c>
      <c r="AX13" s="339" t="str">
        <f>ADDRESS(ROW($CF$22),COLUMN($CF$22))</f>
        <v>$CF$22</v>
      </c>
      <c r="AY13" s="138" t="str">
        <f t="shared" ca="1" si="9"/>
        <v>$CF$30</v>
      </c>
    </row>
    <row r="14" spans="1:102" x14ac:dyDescent="0.25">
      <c r="A14" s="270" t="s">
        <v>224</v>
      </c>
      <c r="D14" s="170"/>
      <c r="E14" s="171"/>
      <c r="F14" s="172"/>
      <c r="G14" s="172"/>
      <c r="H14" s="173"/>
      <c r="K14" s="185"/>
      <c r="L14" s="706" t="s">
        <v>156</v>
      </c>
      <c r="M14" s="707"/>
      <c r="N14" s="352">
        <f t="shared" ca="1" si="11"/>
        <v>-1002.2995724981276</v>
      </c>
      <c r="O14" s="352">
        <v>-304.83</v>
      </c>
      <c r="P14" s="355">
        <f t="shared" ca="1" si="10"/>
        <v>-697.46957249812772</v>
      </c>
      <c r="S14" s="181">
        <f>F22/(1-AR22)*AH22*AU22</f>
        <v>791622.62949167879</v>
      </c>
      <c r="T14" s="181">
        <f>F22*AH22*AU22</f>
        <v>758374.47905302828</v>
      </c>
      <c r="X14" s="500" t="s">
        <v>762</v>
      </c>
      <c r="Y14" s="501" t="s">
        <v>763</v>
      </c>
      <c r="AL14" s="34">
        <v>11</v>
      </c>
      <c r="AM14" s="37">
        <f t="shared" si="0"/>
        <v>24500</v>
      </c>
      <c r="AN14" s="38">
        <f t="shared" si="1"/>
        <v>6.2199999999999998E-2</v>
      </c>
      <c r="AO14" s="39">
        <f t="shared" si="2"/>
        <v>4.2000000000000003E-2</v>
      </c>
      <c r="AP14" s="38">
        <f t="shared" si="3"/>
        <v>0</v>
      </c>
      <c r="AQ14" s="38">
        <f t="shared" si="4"/>
        <v>0</v>
      </c>
      <c r="AR14" s="133">
        <f t="shared" si="5"/>
        <v>0</v>
      </c>
      <c r="AS14" s="40" t="str">
        <f t="shared" si="6"/>
        <v>(See LongTerm84 Sheet)</v>
      </c>
      <c r="AT14" s="35">
        <f t="shared" si="7"/>
        <v>1</v>
      </c>
      <c r="AU14" s="361" t="s">
        <v>156</v>
      </c>
      <c r="AV14" s="339" t="str">
        <f>ADDRESS(ROW($Z$22),COLUMN($Z$22))</f>
        <v>$Z$22</v>
      </c>
      <c r="AW14" s="138" t="str">
        <f t="shared" ca="1" si="8"/>
        <v>$Z$30</v>
      </c>
      <c r="AX14" s="353" t="str">
        <f ca="1">CONCATENATE(AX8,":",AY8)</f>
        <v>$AO$22:$AO$30</v>
      </c>
      <c r="AY14" s="353" t="str">
        <f ca="1">CONCATENATE(AX10,":",AY10)</f>
        <v>$CC$22:$CC$30</v>
      </c>
    </row>
    <row r="15" spans="1:102" ht="13.8" thickBot="1" x14ac:dyDescent="0.3">
      <c r="A15" s="270" t="s">
        <v>224</v>
      </c>
      <c r="D15" s="170"/>
      <c r="E15" s="171"/>
      <c r="F15" s="172"/>
      <c r="G15" s="172"/>
      <c r="H15" s="173"/>
      <c r="L15" s="706" t="s">
        <v>157</v>
      </c>
      <c r="M15" s="707"/>
      <c r="N15" s="352">
        <f t="shared" ca="1" si="11"/>
        <v>238.69753437718421</v>
      </c>
      <c r="O15" s="352">
        <v>70.19</v>
      </c>
      <c r="P15" s="355">
        <f t="shared" ca="1" si="10"/>
        <v>168.50753437718421</v>
      </c>
      <c r="X15" s="502">
        <v>2001</v>
      </c>
      <c r="Y15" s="503">
        <v>3.0000000000000001E-3</v>
      </c>
      <c r="AL15" s="34">
        <v>12</v>
      </c>
      <c r="AM15" s="41">
        <f t="shared" si="0"/>
        <v>24500</v>
      </c>
      <c r="AN15" s="42">
        <f t="shared" si="1"/>
        <v>6.2199999999999998E-2</v>
      </c>
      <c r="AO15" s="43">
        <f t="shared" si="2"/>
        <v>4.2000000000000003E-2</v>
      </c>
      <c r="AP15" s="42">
        <f t="shared" si="3"/>
        <v>0</v>
      </c>
      <c r="AQ15" s="42">
        <f t="shared" si="4"/>
        <v>0</v>
      </c>
      <c r="AR15" s="134">
        <f t="shared" si="5"/>
        <v>0</v>
      </c>
      <c r="AS15" s="44" t="str">
        <f t="shared" si="6"/>
        <v>(See LongTerm84 Sheet)</v>
      </c>
      <c r="AT15" s="35">
        <f t="shared" si="7"/>
        <v>1</v>
      </c>
      <c r="AU15" s="363" t="s">
        <v>157</v>
      </c>
      <c r="AV15" s="339" t="str">
        <f>ADDRESS(ROW($AA$22),COLUMN($AA$22))</f>
        <v>$AA$22</v>
      </c>
      <c r="AW15" s="138" t="str">
        <f t="shared" ca="1" si="8"/>
        <v>$AA$30</v>
      </c>
      <c r="AX15" s="353" t="str">
        <f ca="1">CONCATENATE(AV8,":",AW8)</f>
        <v>$AM$22:$AM$30</v>
      </c>
      <c r="AY15" s="353" t="str">
        <f ca="1">CONCATENATE(AX11,":",AY11)</f>
        <v>$CD$22:$CD$30</v>
      </c>
    </row>
    <row r="16" spans="1:102" x14ac:dyDescent="0.25">
      <c r="D16" s="174"/>
      <c r="E16" s="175"/>
      <c r="F16" s="176"/>
      <c r="G16" s="176"/>
      <c r="H16" s="177"/>
      <c r="L16" s="706" t="s">
        <v>158</v>
      </c>
      <c r="M16" s="707"/>
      <c r="N16" s="352">
        <f t="shared" ca="1" si="11"/>
        <v>0</v>
      </c>
      <c r="O16" s="352">
        <v>49.53</v>
      </c>
      <c r="P16" s="355">
        <f t="shared" ca="1" si="10"/>
        <v>-49.53</v>
      </c>
      <c r="X16" s="502">
        <v>2002</v>
      </c>
      <c r="Y16" s="503">
        <v>2E-3</v>
      </c>
      <c r="AU16" s="361" t="s">
        <v>158</v>
      </c>
      <c r="AV16" s="339" t="str">
        <f>ADDRESS(ROW($AB$22),COLUMN($AB$22))</f>
        <v>$AB$22</v>
      </c>
      <c r="AW16" s="138" t="str">
        <f t="shared" ca="1" si="8"/>
        <v>$AB$30</v>
      </c>
      <c r="AX16" s="353" t="str">
        <f ca="1">CONCATENATE(AX9,":",AY9)</f>
        <v>$AP$22:$AP$30</v>
      </c>
      <c r="AY16" s="353" t="str">
        <f ca="1">CONCATENATE(AX12,":",AY12)</f>
        <v>$CE$22:$CE$30</v>
      </c>
    </row>
    <row r="17" spans="1:91" x14ac:dyDescent="0.25">
      <c r="D17" s="171"/>
      <c r="E17" s="171"/>
      <c r="F17" s="172"/>
      <c r="G17" s="172"/>
      <c r="H17" s="172"/>
      <c r="L17" s="704" t="s">
        <v>211</v>
      </c>
      <c r="M17" s="705"/>
      <c r="N17" s="356">
        <f t="shared" ca="1" si="11"/>
        <v>72.162133454865582</v>
      </c>
      <c r="O17" s="357">
        <v>24.35</v>
      </c>
      <c r="P17" s="358">
        <f t="shared" ca="1" si="10"/>
        <v>47.812133454865581</v>
      </c>
      <c r="X17" s="504">
        <v>2003</v>
      </c>
      <c r="Y17" s="505">
        <v>1.6000000000000001E-3</v>
      </c>
      <c r="AU17" s="361" t="s">
        <v>211</v>
      </c>
      <c r="AV17" s="339" t="str">
        <f>ADDRESS(ROW($AC$22),COLUMN($AC$22))</f>
        <v>$AC$22</v>
      </c>
      <c r="AW17" s="138" t="str">
        <f t="shared" ca="1" si="8"/>
        <v>$AC$30</v>
      </c>
      <c r="AX17" s="353" t="str">
        <f ca="1">CONCATENATE(AV9,":",AW9)</f>
        <v>$AN$22:$AN$30</v>
      </c>
      <c r="AY17" s="353" t="str">
        <f ca="1">CONCATENATE(AX13,":",AY13)</f>
        <v>$CF$22:$CF$30</v>
      </c>
    </row>
    <row r="18" spans="1:91" x14ac:dyDescent="0.25">
      <c r="D18" s="171"/>
      <c r="E18" s="171"/>
      <c r="F18" s="172"/>
      <c r="G18" s="172"/>
      <c r="H18" s="172"/>
      <c r="L18" s="706" t="s">
        <v>623</v>
      </c>
      <c r="M18" s="707"/>
      <c r="N18" s="352">
        <f ca="1">SUMPRODUCT(INDIRECT(CONCATENATE(AX4,":",AY4)),INDIRECT(CONCATENATE($AV$2,":",$AW$2)),INDIRECT(CONCATENATE($AV$3,":",$AW$3)))</f>
        <v>440350.69685405295</v>
      </c>
      <c r="O18" s="352">
        <v>440281.39</v>
      </c>
      <c r="P18" s="355">
        <f t="shared" ca="1" si="10"/>
        <v>69.306854052934796</v>
      </c>
      <c r="AU18" s="361"/>
      <c r="AV18" s="339"/>
      <c r="AW18" s="138"/>
      <c r="AX18" s="339" t="str">
        <f>ADDRESS(ROW($CI$22),COLUMN($CI$22))</f>
        <v>$CI$22</v>
      </c>
      <c r="AY18" s="138" t="str">
        <f ca="1">GetEnd($AV$1,AX18)</f>
        <v>$CI$30</v>
      </c>
    </row>
    <row r="19" spans="1:91" x14ac:dyDescent="0.25">
      <c r="D19" s="171"/>
      <c r="E19" s="171"/>
      <c r="F19" s="172"/>
      <c r="G19" s="172"/>
      <c r="H19" s="172"/>
      <c r="L19" s="724" t="s">
        <v>624</v>
      </c>
      <c r="M19" s="725"/>
      <c r="N19" s="359">
        <f ca="1">SUMPRODUCT(INDIRECT(CONCATENATE(AX5,":",AY5)),INDIRECT(CONCATENATE($AV$2,":",$AW$2)),INDIRECT(CONCATENATE($AV$3,":",$AW$3)))</f>
        <v>14423.221414026584</v>
      </c>
      <c r="O19" s="359">
        <v>15994.8</v>
      </c>
      <c r="P19" s="360">
        <f t="shared" ca="1" si="10"/>
        <v>-1571.5785859734151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-1184820</v>
      </c>
      <c r="AW20" s="353">
        <f ca="1">SUMPRODUCT(INDIRECT(CONCATENATE(AX8,":",AY8)),INDIRECT(CONCATENATE($AV$2,":",$AW$2)),INDIRECT(CONCATENATE($AV$3,":",$AW$3)),INDIRECT(CONCATENATE(AX3,":",AY3)))</f>
        <v>-146877.5</v>
      </c>
      <c r="AX20" s="353">
        <f ca="1">SUMPRODUCT(INDIRECT(CONCATENATE(AV9,":",AW9)),INDIRECT(CONCATENATE($AV$2,":",$AW$2)),INDIRECT(CONCATENATE($AV$3,":",$AW$3)),INDIRECT(CONCATENATE(AX3,":",AY3)))</f>
        <v>47775</v>
      </c>
      <c r="AY20" s="353">
        <f ca="1">SUMPRODUCT(INDIRECT(CONCATENATE(AX9,":",AY9)),INDIRECT(CONCATENATE($AV$2,":",$AW$2)),INDIRECT(CONCATENATE($AV$3,":",$AW$3)),INDIRECT(CONCATENATE(AX3,":",AY3)))</f>
        <v>-29400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0" si="12">VLOOKUP(AG22,$AL$4:$AS$15,2)</f>
        <v>24500</v>
      </c>
      <c r="G22" s="28">
        <f t="shared" ref="G22:G30" si="13">F22*$AU22</f>
        <v>24463.692872678334</v>
      </c>
      <c r="H22" s="52">
        <f t="shared" ref="H22:H30" si="14">(AL22+AM22+AN22)/(1-(AR22))</f>
        <v>2.6628392484342385</v>
      </c>
      <c r="I22" s="52">
        <f t="shared" ref="I22:I30" si="15">(AL22+AO22+AP22)</f>
        <v>2.8210000000000002</v>
      </c>
      <c r="K22" s="52">
        <f t="shared" ref="K22:K30" si="16">MAX(((I22-H22)-AQ22)*AU22*AH22,0)</f>
        <v>2.8156045952227129</v>
      </c>
      <c r="L22" s="135">
        <f t="shared" ref="L22:L30" si="17">MAX(Q22-K22,0)</f>
        <v>9.8322179441873381E-2</v>
      </c>
      <c r="N22" s="131">
        <f t="shared" ref="N22:N30" si="18">SQRT(($AX22^2*($AH22/2)+$AW22^2*$AI22)/(($AH22/2)+$AI22))</f>
        <v>1.0334004032525936</v>
      </c>
      <c r="O22" s="131">
        <f t="shared" ref="O22:O30" si="19">SQRT(($AY22^2*($AH22/2)+$AW22^2*$AI22)/(($AH22/2)+$AI22))</f>
        <v>1.0334004032525936</v>
      </c>
      <c r="P22" s="55">
        <f t="shared" ref="P22:P30" si="20">(VLOOKUP(AI22,CorrelationTwo,2)*(AW22^2)*AI22+VLOOKUP(D22,CorrelationOne,$AK$9)*AX22*AY22*(AH22/2))/((AI22+(AH22/2))*O22*N22)*AF22</f>
        <v>0.99651427860902708</v>
      </c>
      <c r="Q22" s="135">
        <f>_xll.xSPRDOPT(I22,H22,AQ22,0,O22,N22,P22,D22-$G$5,1,0)*AH22*AU22</f>
        <v>2.9139267746645863</v>
      </c>
      <c r="R22" s="135"/>
      <c r="S22" s="181">
        <f>_xll.xSPRDOPT(I22,H22,AQ22,AT22,O22,N22,P22,D22-$G$5,1,2)*AF22*(F22/(1-AR22))*AH22</f>
        <v>-714176.68830836611</v>
      </c>
      <c r="T22" s="181">
        <f>_xll.xSPRDOPT(I22,H22,AQ22,AT22,O22,N22,P22,D22-$G$5,1,1)*AF22*F22*AH22</f>
        <v>687156.98248533835</v>
      </c>
      <c r="U22" s="135"/>
      <c r="V22" s="146">
        <f>($Y$12+VLOOKUP(YEAR(D22),$X$15:$Y$17,2,FALSE))*AH22*AU22</f>
        <v>25.029453214786887</v>
      </c>
      <c r="W22" s="146"/>
      <c r="X22" s="338">
        <f t="shared" ref="X22:X30" si="21">((BM22*BC22)+(BL22*BB22))*AH22*F22</f>
        <v>0</v>
      </c>
      <c r="Y22" s="338">
        <f t="shared" ref="Y22:Y30" si="22">($F22*$AH22)*((($BG22/2)*($BC22)^2)+(($BF22/2)*($BB22)^2)+($BH22*$BC22*$BB22))</f>
        <v>0</v>
      </c>
      <c r="Z22" s="338">
        <f t="shared" ref="Z22:Z30" si="23">($BI22*$F22*$AH22*($G$5-$BV$5))/365.25</f>
        <v>-523.14936147071012</v>
      </c>
      <c r="AA22" s="338">
        <f t="shared" ref="AA22:AA30" si="24">(($BK22*$BE22)+($BJ22*$BD22))*$F22*$AH22*$AF22</f>
        <v>151.59482629532857</v>
      </c>
      <c r="AB22" s="338">
        <f t="shared" ref="AB22:AB30" si="25">BN22*(AT22-CA22)*F22*AH22</f>
        <v>0</v>
      </c>
      <c r="AC22" s="338">
        <f t="shared" ref="AC22:AC30" si="26">BO22*CB22*F22*AH22*CA22*($G$5-$BV$5)/365.25</f>
        <v>11.140623295378068</v>
      </c>
      <c r="AF22" s="138">
        <f t="shared" ref="AF22:AF30" si="27">IF(AND(D22&gt;=$G$7,D22&lt;=$G$8),1,0)</f>
        <v>1</v>
      </c>
      <c r="AG22" s="138">
        <f t="shared" ref="AG22:AG30" si="28">MONTH(D22)</f>
        <v>1</v>
      </c>
      <c r="AH22" s="138">
        <f t="shared" ref="AH22:AH30" si="29">(EOMONTH(D22,0)-EOMONTH(D22-DAY(D22),0))*AF22</f>
        <v>31</v>
      </c>
      <c r="AI22" s="138">
        <f>MAX(0,(D22-DAY(D22))-$G$5+1)</f>
        <v>15</v>
      </c>
      <c r="AJ22" s="138">
        <f t="shared" ref="AJ22:AJ30" si="30">D22-$BV$5</f>
        <v>32</v>
      </c>
      <c r="AL22" s="136">
        <f t="shared" ref="AL22:AL30" si="31">VLOOKUP($D22,CurveTbl,$AK$4)</f>
        <v>2.8460000000000001</v>
      </c>
      <c r="AM22" s="258">
        <f t="shared" ref="AM22:AM30" si="32">VLOOKUP($D22,CurveTbl,$AH$3)</f>
        <v>-0.31</v>
      </c>
      <c r="AN22" s="258">
        <f t="shared" ref="AN22:AN30" si="33">VLOOKUP($D22,CurveTbl,$AH$4)+VLOOKUP($AG22,$AL$3:$AS$15,6)</f>
        <v>1.4999999999999999E-2</v>
      </c>
      <c r="AO22" s="258">
        <f t="shared" ref="AO22:AO30" si="34">VLOOKUP($D22,CurveTbl,$AH$5)</f>
        <v>-1.4999999999999999E-2</v>
      </c>
      <c r="AP22" s="258">
        <f t="shared" ref="AP22:AP30" si="35">VLOOKUP($D22,CurveTbl,$AH$6)+VLOOKUP($AG22,$AL$3:$AS$15,7)</f>
        <v>-0.01</v>
      </c>
      <c r="AQ22" s="136">
        <f t="shared" ref="AQ22:AQ30" si="36">VLOOKUP($AG22,$AL$4:$AS$15,3)+VLOOKUP($AG22,$AL$4:$AS$15,5)+($AH$10*VLOOKUP(D22,GRITable,2))</f>
        <v>6.7199999999999996E-2</v>
      </c>
      <c r="AR22" s="137">
        <f t="shared" ref="AR22:AR30" si="37">VLOOKUP($AG22,$AL$4:$AS$15,4)</f>
        <v>4.2000000000000003E-2</v>
      </c>
      <c r="AS22" s="136">
        <f t="shared" ref="AS22:AS30" si="38">(AL22+AM22+AN22)</f>
        <v>2.5510000000000002</v>
      </c>
      <c r="AT22" s="137">
        <f t="shared" ref="AT22:AT30" si="39">VLOOKUP(D22,CurveTbl,$AK$6)</f>
        <v>1.8765908157160699E-2</v>
      </c>
      <c r="AU22" s="137">
        <f t="shared" ref="AU22:AU30" si="40">(1+$AT22/2)^(-2*($D22-$G$5)/365.25)*$AF22</f>
        <v>0.99851807643585033</v>
      </c>
      <c r="AV22" s="394">
        <f t="shared" ref="AV22:AV30" si="41">ROUND((F22/(1-AR22))-F22,0)*AF22*AH22*AU22</f>
        <v>33244.660836855204</v>
      </c>
      <c r="AW22" s="137">
        <f t="shared" ref="AW22:AW30" si="42">VLOOKUP($D22,CurveTbl,$AK$8)</f>
        <v>0.87</v>
      </c>
      <c r="AX22" s="137">
        <f t="shared" ref="AX22:AX30" si="43">VLOOKUP($D22,CurveTbl,$AH$7)</f>
        <v>1.17</v>
      </c>
      <c r="AY22" s="137">
        <f t="shared" ref="AY22:AY30" si="44">VLOOKUP($D22,CurveTbl,$AH$8)</f>
        <v>1.17</v>
      </c>
      <c r="AZ22" s="137"/>
      <c r="BA22" s="264"/>
      <c r="BB22" s="258">
        <f t="shared" ref="BB22:BB30" si="45">$H22-$BV22</f>
        <v>0</v>
      </c>
      <c r="BC22" s="258">
        <f t="shared" ref="BC22:BC30" si="46">I22-BW22</f>
        <v>0</v>
      </c>
      <c r="BD22" s="137">
        <f t="shared" ref="BD22:BD30" si="47">N22-BX22</f>
        <v>1.3565034624657857E-2</v>
      </c>
      <c r="BE22" s="137">
        <f t="shared" ref="BE22:BE30" si="48">O22-BY22</f>
        <v>1.3565034624657857E-2</v>
      </c>
      <c r="BF22" s="137">
        <f>_xll.xSPRDOPT($BW22,$BV22,$CG22,0,$BY22,$BX22,$BZ22,$AJ22,1,4)*$CB22</f>
        <v>2.6232384719611872</v>
      </c>
      <c r="BG22" s="137">
        <f>_xll.xSPRDOPT($BW22,$BV22,$CG22,0,$BY22,$BX22,$BZ22,$AJ22,1,3)*$CB22</f>
        <v>2.4670713368511321</v>
      </c>
      <c r="BH22" s="137">
        <f>IF(OR(BF22&lt;&gt;0,BG22&lt;&gt;0),_xll.xSPRDOPT($BW22,$BV22,$CG22,0,$BY22,$BX22,$BZ22,$AJ22,1,12)*$CB22,0)</f>
        <v>-2.5438705932406585</v>
      </c>
      <c r="BI22" s="137">
        <f>_xll.xSPRDOPT($BW22,$BV22,$CG22,2*LN(1+CA22/2),$BY22,$BX22,$BZ22,$AJ22,1,9)</f>
        <v>-8.3862323580064471E-2</v>
      </c>
      <c r="BJ22" s="137">
        <f>_xll.xSPRDOPT($BW22,$BV22,$CG22,0,$BY22,$BX22,$BZ22,$AJ22,1,6)*$CB22</f>
        <v>-3.8766379442406407E-2</v>
      </c>
      <c r="BK22" s="137">
        <f>_xll.xSPRDOPT($BW22,$BV22,$CG22,0,$BY22,$BX22,$BZ22,$AJ22,1,5)*$CB22</f>
        <v>5.3480546919804653E-2</v>
      </c>
      <c r="BL22" s="137">
        <f>_xll.xSPRDOPT(BW22,BV22,CG22,0,BY22,BX22,BZ22,AJ22,1,2)*CB22</f>
        <v>-0.88005035139855181</v>
      </c>
      <c r="BM22" s="137">
        <f>_xll.xSPRDOPT(BW22,BV22,CG22,0,BY22,BX22,BZ22,AJ22,1,1)*CB22</f>
        <v>0.88501985092838931</v>
      </c>
      <c r="BN22" s="137">
        <f>IF(AH22&lt;&gt;0,_xll.xSPRDOPT($BW22,$BV22,$CG22,2*LN(1+CA22/2),$BY22,$BX22,$BZ22,$AJ22,1,8)+(AJ22/365.25)*CH22/AH22,0)</f>
        <v>6.2389006159851323E-2</v>
      </c>
      <c r="BO22" s="137">
        <f>_xll.xSPRDOPT($BW22,$BV22,$CG22,0,$BY22,$BX22,$BZ22,$AJ22,1,0)</f>
        <v>9.5321702603533148E-2</v>
      </c>
      <c r="BP22" s="137"/>
      <c r="BQ22" s="137"/>
      <c r="BR22" s="137"/>
      <c r="BS22" s="137"/>
      <c r="BV22" s="262">
        <v>2.6628392484342385</v>
      </c>
      <c r="BW22" s="136">
        <v>2.8210000000000002</v>
      </c>
      <c r="BX22" s="137">
        <v>1.0198353686279358</v>
      </c>
      <c r="BY22" s="137">
        <v>1.0198353686279358</v>
      </c>
      <c r="BZ22" s="137">
        <v>0.996089736138556</v>
      </c>
      <c r="CA22" s="137">
        <v>1.8765908157160699E-2</v>
      </c>
      <c r="CB22" s="137">
        <v>0.99836489939579565</v>
      </c>
      <c r="CC22" s="258">
        <v>-0.31</v>
      </c>
      <c r="CD22" s="258">
        <v>1.4999999999999999E-2</v>
      </c>
      <c r="CE22" s="258">
        <v>-1.4999999999999999E-2</v>
      </c>
      <c r="CF22" s="258">
        <v>-0.01</v>
      </c>
      <c r="CG22" s="258">
        <v>6.7199999999999996E-2</v>
      </c>
      <c r="CH22" s="258">
        <v>25.025613587194652</v>
      </c>
      <c r="CI22" s="258">
        <v>2.8460000000000001</v>
      </c>
      <c r="CJ22" s="258"/>
      <c r="CK22" s="258"/>
      <c r="CL22" s="258"/>
      <c r="CM22" s="258"/>
    </row>
    <row r="23" spans="1:91" x14ac:dyDescent="0.25">
      <c r="A23" s="723"/>
      <c r="B23" s="723"/>
      <c r="D23" s="31">
        <f t="shared" ref="D23:D30" si="49">D22+AH22</f>
        <v>37302</v>
      </c>
      <c r="F23" s="28">
        <f t="shared" si="12"/>
        <v>24500</v>
      </c>
      <c r="G23" s="28">
        <f t="shared" si="13"/>
        <v>24422.714595342419</v>
      </c>
      <c r="H23" s="52">
        <f t="shared" si="14"/>
        <v>2.6962421711899793</v>
      </c>
      <c r="I23" s="52">
        <f t="shared" si="15"/>
        <v>2.8080000000000003</v>
      </c>
      <c r="K23" s="52">
        <f t="shared" si="16"/>
        <v>1.2436835840174485</v>
      </c>
      <c r="L23" s="135">
        <f t="shared" si="17"/>
        <v>0.48856769372499453</v>
      </c>
      <c r="N23" s="131">
        <f t="shared" si="18"/>
        <v>0.94501278650961462</v>
      </c>
      <c r="O23" s="131">
        <f t="shared" si="19"/>
        <v>0.94501278650961462</v>
      </c>
      <c r="P23" s="55">
        <f t="shared" si="20"/>
        <v>0.99678831139382984</v>
      </c>
      <c r="Q23" s="135">
        <f>_xll.xSPRDOPT(I23,H23,AQ23,0,O23,N23,P23,D23-$G$5,1,0)*AH23*AU23</f>
        <v>1.732251277742443</v>
      </c>
      <c r="R23" s="135"/>
      <c r="S23" s="181">
        <f>_xll.xSPRDOPT(I23,H23,AQ23,AT23,O23,N23,P23,D23-$G$5,1,2)*AF23*(F23/(1-AR23))*AH23</f>
        <v>-491904.14103342453</v>
      </c>
      <c r="T23" s="181">
        <f>_xll.xSPRDOPT(I23,H23,AQ23,AT23,O23,N23,P23,D23-$G$5,1,1)*AF23*F23*AH23</f>
        <v>478240.51100998337</v>
      </c>
      <c r="U23" s="135"/>
      <c r="V23" s="146">
        <f t="shared" ref="V23:V30" si="50">($Y$12+VLOOKUP(YEAR(D23),$X$15:$Y$17,2,FALSE))*AH23*AU23</f>
        <v>22.569379453478717</v>
      </c>
      <c r="W23" s="146"/>
      <c r="X23" s="338">
        <f t="shared" si="21"/>
        <v>0</v>
      </c>
      <c r="Y23" s="338">
        <f t="shared" si="22"/>
        <v>0</v>
      </c>
      <c r="Z23" s="338">
        <f t="shared" si="23"/>
        <v>-524.00019475311603</v>
      </c>
      <c r="AA23" s="338">
        <f t="shared" si="24"/>
        <v>86.58208857509274</v>
      </c>
      <c r="AB23" s="338">
        <f t="shared" si="25"/>
        <v>0</v>
      </c>
      <c r="AC23" s="338">
        <f t="shared" si="26"/>
        <v>6.8415001125039439</v>
      </c>
      <c r="AF23" s="138">
        <f t="shared" si="27"/>
        <v>1</v>
      </c>
      <c r="AG23" s="138">
        <f t="shared" si="28"/>
        <v>2</v>
      </c>
      <c r="AH23" s="138">
        <f t="shared" si="29"/>
        <v>28</v>
      </c>
      <c r="AI23" s="138">
        <f t="shared" ref="AI23:AI30" si="51">AI22+AH22</f>
        <v>46</v>
      </c>
      <c r="AJ23" s="138">
        <f t="shared" si="30"/>
        <v>63</v>
      </c>
      <c r="AL23" s="136">
        <f t="shared" si="31"/>
        <v>2.9079999999999999</v>
      </c>
      <c r="AM23" s="258">
        <f t="shared" si="32"/>
        <v>-0.34</v>
      </c>
      <c r="AN23" s="258">
        <f t="shared" si="33"/>
        <v>1.4999999999999999E-2</v>
      </c>
      <c r="AO23" s="258">
        <f t="shared" si="34"/>
        <v>-0.09</v>
      </c>
      <c r="AP23" s="258">
        <f t="shared" si="35"/>
        <v>-0.01</v>
      </c>
      <c r="AQ23" s="136">
        <f t="shared" si="36"/>
        <v>6.7199999999999996E-2</v>
      </c>
      <c r="AR23" s="137">
        <f t="shared" si="37"/>
        <v>4.2000000000000003E-2</v>
      </c>
      <c r="AS23" s="136">
        <f t="shared" si="38"/>
        <v>2.5830000000000002</v>
      </c>
      <c r="AT23" s="137">
        <f t="shared" si="39"/>
        <v>1.9326187282006298E-2</v>
      </c>
      <c r="AU23" s="137">
        <f t="shared" si="40"/>
        <v>0.99684549368744568</v>
      </c>
      <c r="AV23" s="394">
        <f t="shared" si="41"/>
        <v>29977.137686168866</v>
      </c>
      <c r="AW23" s="137">
        <f t="shared" si="42"/>
        <v>0.86499999999999999</v>
      </c>
      <c r="AX23" s="137">
        <f t="shared" si="43"/>
        <v>1.17</v>
      </c>
      <c r="AY23" s="137">
        <f t="shared" si="44"/>
        <v>1.17</v>
      </c>
      <c r="AZ23" s="137"/>
      <c r="BA23" s="264"/>
      <c r="BB23" s="258">
        <f t="shared" si="45"/>
        <v>0</v>
      </c>
      <c r="BC23" s="258">
        <f t="shared" si="46"/>
        <v>0</v>
      </c>
      <c r="BD23" s="137">
        <f t="shared" si="47"/>
        <v>3.6559053121710816E-3</v>
      </c>
      <c r="BE23" s="137">
        <f t="shared" si="48"/>
        <v>3.6559053121710816E-3</v>
      </c>
      <c r="BF23" s="137">
        <f>_xll.xSPRDOPT($BW23,$BV23,$CG23,0,$BY23,$BX23,$BZ23,$AJ23,1,4)*$CB23</f>
        <v>3.9022060754897798</v>
      </c>
      <c r="BG23" s="137">
        <f>_xll.xSPRDOPT($BW23,$BV23,$CG23,0,$BY23,$BX23,$BZ23,$AJ23,1,3)*$CB23</f>
        <v>3.7852079674723589</v>
      </c>
      <c r="BH23" s="137">
        <f>IF(OR(BF23&lt;&gt;0,BG23&lt;&gt;0),_xll.xSPRDOPT($BW23,$BV23,$CG23,0,$BY23,$BX23,$BZ23,$AJ23,1,12)*$CB23,0)</f>
        <v>-3.8430794321459865</v>
      </c>
      <c r="BI23" s="137">
        <f>_xll.xSPRDOPT($BW23,$BV23,$CG23,2*LN(1+CA23/2),$BY23,$BX23,$BZ23,$AJ23,1,9)</f>
        <v>-9.2998576838472125E-2</v>
      </c>
      <c r="BJ23" s="137">
        <f>_xll.xSPRDOPT($BW23,$BV23,$CG23,0,$BY23,$BX23,$BZ23,$AJ23,1,6)*$CB23</f>
        <v>-0.10272125050636238</v>
      </c>
      <c r="BK23" s="137">
        <f>_xll.xSPRDOPT($BW23,$BV23,$CG23,0,$BY23,$BX23,$BZ23,$AJ23,1,5)*$CB23</f>
        <v>0.13724428825746784</v>
      </c>
      <c r="BL23" s="137">
        <f>_xll.xSPRDOPT(BW23,BV23,CG23,0,BY23,BX23,BZ23,AJ23,1,2)*CB23</f>
        <v>-0.68131031998610059</v>
      </c>
      <c r="BM23" s="137">
        <f>_xll.xSPRDOPT(BW23,BV23,CG23,0,BY23,BX23,BZ23,AJ23,1,1)*CB23</f>
        <v>0.691926724980646</v>
      </c>
      <c r="BN23" s="137">
        <f>IF(AH23&lt;&gt;0,_xll.xSPRDOPT($BW23,$BV23,$CG23,2*LN(1+CA23/2),$BY23,$BX23,$BZ23,$AJ23,1,8)+(AJ23/365.25)*CH23/AH23,0)</f>
        <v>0.12817234136230807</v>
      </c>
      <c r="BO23" s="137">
        <f>_xll.xSPRDOPT($BW23,$BV23,$CG23,0,$BY23,$BX23,$BZ23,$AJ23,1,0)</f>
        <v>6.3036307641867892E-2</v>
      </c>
      <c r="BP23" s="137"/>
      <c r="BQ23" s="137"/>
      <c r="BR23" s="137"/>
      <c r="BS23" s="137"/>
      <c r="BV23" s="262">
        <v>2.6962421711899793</v>
      </c>
      <c r="BW23" s="136">
        <v>2.8080000000000003</v>
      </c>
      <c r="BX23" s="137">
        <v>0.94135688119744354</v>
      </c>
      <c r="BY23" s="137">
        <v>0.94135688119744354</v>
      </c>
      <c r="BZ23" s="137">
        <v>0.99671640831935782</v>
      </c>
      <c r="CA23" s="137">
        <v>1.9326187282006298E-2</v>
      </c>
      <c r="CB23" s="137">
        <v>0.99668802984454063</v>
      </c>
      <c r="CC23" s="258">
        <v>-0.34</v>
      </c>
      <c r="CD23" s="258">
        <v>1.4999999999999999E-2</v>
      </c>
      <c r="CE23" s="258">
        <v>-0.09</v>
      </c>
      <c r="CF23" s="258">
        <v>-0.01</v>
      </c>
      <c r="CG23" s="258">
        <v>6.7199999999999996E-2</v>
      </c>
      <c r="CH23" s="258">
        <v>22.565814346104276</v>
      </c>
      <c r="CI23" s="258">
        <v>2.9079999999999999</v>
      </c>
      <c r="CJ23" s="258"/>
      <c r="CK23" s="258"/>
      <c r="CL23" s="258"/>
      <c r="CM23" s="258"/>
    </row>
    <row r="24" spans="1:91" x14ac:dyDescent="0.25">
      <c r="A24" s="723"/>
      <c r="B24" s="723"/>
      <c r="D24" s="31">
        <f t="shared" si="49"/>
        <v>37330</v>
      </c>
      <c r="F24" s="28">
        <f t="shared" si="12"/>
        <v>24500</v>
      </c>
      <c r="G24" s="28">
        <f t="shared" si="13"/>
        <v>24387.040050282591</v>
      </c>
      <c r="H24" s="52">
        <f t="shared" si="14"/>
        <v>2.5960334029227559</v>
      </c>
      <c r="I24" s="52">
        <f t="shared" si="15"/>
        <v>2.8820000000000006</v>
      </c>
      <c r="K24" s="52">
        <f t="shared" si="16"/>
        <v>6.7504964368241156</v>
      </c>
      <c r="L24" s="135">
        <f t="shared" si="17"/>
        <v>1.8064319771626813E-3</v>
      </c>
      <c r="N24" s="131">
        <f t="shared" si="18"/>
        <v>0.81400177068699564</v>
      </c>
      <c r="O24" s="131">
        <f t="shared" si="19"/>
        <v>0.81400177068699564</v>
      </c>
      <c r="P24" s="55">
        <f t="shared" si="20"/>
        <v>0.9980530617544594</v>
      </c>
      <c r="Q24" s="135">
        <f>_xll.xSPRDOPT(I24,H24,AQ24,0,O24,N24,P24,D24-$G$5,1,0)*AH24*AU24</f>
        <v>6.7523028688012783</v>
      </c>
      <c r="R24" s="135"/>
      <c r="S24" s="181">
        <f>_xll.xSPRDOPT(I24,H24,AQ24,AT24,O24,N24,P24,D24-$G$5,1,2)*AF24*(F24/(1-AR24))*AH24</f>
        <v>-787306.3945842653</v>
      </c>
      <c r="T24" s="181">
        <f>_xll.xSPRDOPT(I24,H24,AQ24,AT24,O24,N24,P24,D24-$G$5,1,1)*AF24*F24*AH24</f>
        <v>754345.59722323029</v>
      </c>
      <c r="U24" s="135"/>
      <c r="V24" s="146">
        <f t="shared" si="50"/>
        <v>24.951027678547494</v>
      </c>
      <c r="W24" s="146"/>
      <c r="X24" s="338">
        <f t="shared" si="21"/>
        <v>0</v>
      </c>
      <c r="Y24" s="338">
        <f t="shared" si="22"/>
        <v>0</v>
      </c>
      <c r="Z24" s="338">
        <f t="shared" si="23"/>
        <v>17.028487111539217</v>
      </c>
      <c r="AA24" s="338">
        <f t="shared" si="24"/>
        <v>0.51697829341613155</v>
      </c>
      <c r="AB24" s="338">
        <f t="shared" si="25"/>
        <v>0</v>
      </c>
      <c r="AC24" s="338">
        <f t="shared" si="26"/>
        <v>26.185355782041626</v>
      </c>
      <c r="AF24" s="138">
        <f t="shared" si="27"/>
        <v>1</v>
      </c>
      <c r="AG24" s="138">
        <f t="shared" si="28"/>
        <v>3</v>
      </c>
      <c r="AH24" s="138">
        <f t="shared" si="29"/>
        <v>31</v>
      </c>
      <c r="AI24" s="138">
        <f t="shared" si="51"/>
        <v>74</v>
      </c>
      <c r="AJ24" s="138">
        <f t="shared" si="30"/>
        <v>91</v>
      </c>
      <c r="AL24" s="136">
        <f t="shared" si="31"/>
        <v>2.9020000000000001</v>
      </c>
      <c r="AM24" s="258">
        <f t="shared" si="32"/>
        <v>-0.43</v>
      </c>
      <c r="AN24" s="258">
        <f t="shared" si="33"/>
        <v>1.4999999999999999E-2</v>
      </c>
      <c r="AO24" s="258">
        <f t="shared" si="34"/>
        <v>-0.01</v>
      </c>
      <c r="AP24" s="258">
        <f t="shared" si="35"/>
        <v>-0.01</v>
      </c>
      <c r="AQ24" s="136">
        <f t="shared" si="36"/>
        <v>6.7199999999999996E-2</v>
      </c>
      <c r="AR24" s="137">
        <f t="shared" si="37"/>
        <v>4.2000000000000003E-2</v>
      </c>
      <c r="AS24" s="136">
        <f t="shared" si="38"/>
        <v>2.4870000000000001</v>
      </c>
      <c r="AT24" s="137">
        <f t="shared" si="39"/>
        <v>1.9273175363903501E-2</v>
      </c>
      <c r="AU24" s="137">
        <f t="shared" si="40"/>
        <v>0.99538938980745262</v>
      </c>
      <c r="AV24" s="394">
        <f t="shared" si="41"/>
        <v>33140.494344249324</v>
      </c>
      <c r="AW24" s="137">
        <f t="shared" si="42"/>
        <v>0.79</v>
      </c>
      <c r="AX24" s="137">
        <f t="shared" si="43"/>
        <v>0.92</v>
      </c>
      <c r="AY24" s="137">
        <f t="shared" si="44"/>
        <v>0.92</v>
      </c>
      <c r="AZ24" s="137"/>
      <c r="BA24" s="264"/>
      <c r="BB24" s="258">
        <f t="shared" si="45"/>
        <v>0</v>
      </c>
      <c r="BC24" s="258">
        <f t="shared" si="46"/>
        <v>0</v>
      </c>
      <c r="BD24" s="137">
        <f t="shared" si="47"/>
        <v>7.673209307950124E-4</v>
      </c>
      <c r="BE24" s="137">
        <f t="shared" si="48"/>
        <v>7.673209307950124E-4</v>
      </c>
      <c r="BF24" s="137">
        <f>_xll.xSPRDOPT($BW24,$BV24,$CG24,0,$BY24,$BX24,$BZ24,$AJ24,1,4)*$CB24</f>
        <v>9.9303409359247988E-2</v>
      </c>
      <c r="BG24" s="137">
        <f>_xll.xSPRDOPT($BW24,$BV24,$CG24,0,$BY24,$BX24,$BZ24,$AJ24,1,3)*$CB24</f>
        <v>8.8104687571550183E-2</v>
      </c>
      <c r="BH24" s="137">
        <f>IF(OR(BF24&lt;&gt;0,BG24&lt;&gt;0),_xll.xSPRDOPT($BW24,$BV24,$CG24,0,$BY24,$BX24,$BZ24,$AJ24,1,12)*$CB24,0)</f>
        <v>-9.3521103947325851E-2</v>
      </c>
      <c r="BI24" s="137">
        <f>_xll.xSPRDOPT($BW24,$BV24,$CG24,2*LN(1+CA24/2),$BY24,$BX24,$BZ24,$AJ24,1,9)</f>
        <v>2.7297146883869649E-3</v>
      </c>
      <c r="BJ24" s="137">
        <f>_xll.xSPRDOPT($BW24,$BV24,$CG24,0,$BY24,$BX24,$BZ24,$AJ24,1,6)*$CB24</f>
        <v>-5.8929431885792255E-3</v>
      </c>
      <c r="BK24" s="137">
        <f>_xll.xSPRDOPT($BW24,$BV24,$CG24,0,$BY24,$BX24,$BZ24,$AJ24,1,5)*$CB24</f>
        <v>6.7800327838969795E-3</v>
      </c>
      <c r="BL24" s="137">
        <f>_xll.xSPRDOPT(BW24,BV24,CG24,0,BY24,BX24,BZ24,AJ24,1,2)*CB24</f>
        <v>-0.99253544620851164</v>
      </c>
      <c r="BM24" s="137">
        <f>_xll.xSPRDOPT(BW24,BV24,CG24,0,BY24,BX24,BZ24,AJ24,1,1)*CB24</f>
        <v>0.99270106477358089</v>
      </c>
      <c r="BN24" s="137">
        <f>IF(AH24&lt;&gt;0,_xll.xSPRDOPT($BW24,$BV24,$CG24,2*LN(1+CA24/2),$BY24,$BX24,$BZ24,$AJ24,1,8)+(AJ24/365.25)*CH24/AH24,0)</f>
        <v>0.14623552366553186</v>
      </c>
      <c r="BO24" s="137">
        <f>_xll.xSPRDOPT($BW24,$BV24,$CG24,0,$BY24,$BX24,$BZ24,$AJ24,1,0)</f>
        <v>0.21883753328862479</v>
      </c>
      <c r="BP24" s="137"/>
      <c r="BQ24" s="137"/>
      <c r="BR24" s="137"/>
      <c r="BS24" s="137"/>
      <c r="BV24" s="262">
        <v>2.5960334029227559</v>
      </c>
      <c r="BW24" s="136">
        <v>2.8820000000000006</v>
      </c>
      <c r="BX24" s="137">
        <v>0.81323444975620063</v>
      </c>
      <c r="BY24" s="137">
        <v>0.81323444975620063</v>
      </c>
      <c r="BZ24" s="137">
        <v>0.9980361349180793</v>
      </c>
      <c r="CA24" s="137">
        <v>1.9273175363903501E-2</v>
      </c>
      <c r="CB24" s="137">
        <v>0.99523258517239033</v>
      </c>
      <c r="CC24" s="258">
        <v>-0.43</v>
      </c>
      <c r="CD24" s="258">
        <v>1.4999999999999999E-2</v>
      </c>
      <c r="CE24" s="258">
        <v>-0.01</v>
      </c>
      <c r="CF24" s="258">
        <v>-0.01</v>
      </c>
      <c r="CG24" s="258">
        <v>6.7199999999999996E-2</v>
      </c>
      <c r="CH24" s="258">
        <v>24.94709711948224</v>
      </c>
      <c r="CI24" s="258">
        <v>2.9020000000000001</v>
      </c>
      <c r="CJ24" s="258"/>
      <c r="CK24" s="258"/>
      <c r="CL24" s="258"/>
      <c r="CM24" s="258"/>
    </row>
    <row r="25" spans="1:91" x14ac:dyDescent="0.25">
      <c r="A25" s="723"/>
      <c r="B25" s="723"/>
      <c r="D25" s="31">
        <f t="shared" si="49"/>
        <v>37361</v>
      </c>
      <c r="F25" s="28">
        <f t="shared" si="12"/>
        <v>24500</v>
      </c>
      <c r="G25" s="28">
        <f t="shared" si="13"/>
        <v>24346.197276666739</v>
      </c>
      <c r="H25" s="52">
        <f t="shared" si="14"/>
        <v>2.4405010438413357</v>
      </c>
      <c r="I25" s="52">
        <f t="shared" si="15"/>
        <v>2.7480000000000002</v>
      </c>
      <c r="K25" s="52">
        <f t="shared" si="16"/>
        <v>7.1637132147133933</v>
      </c>
      <c r="L25" s="135">
        <f t="shared" si="17"/>
        <v>6.6097141973031626E-6</v>
      </c>
      <c r="N25" s="131">
        <f t="shared" si="18"/>
        <v>0.64163852752153216</v>
      </c>
      <c r="O25" s="131">
        <f t="shared" si="19"/>
        <v>0.64163852752153216</v>
      </c>
      <c r="P25" s="55">
        <f t="shared" si="20"/>
        <v>1</v>
      </c>
      <c r="Q25" s="135">
        <f>_xll.xSPRDOPT(I25,H25,AQ25,0,O25,N25,P25,D25-$G$5,1,0)*AH25*AU25</f>
        <v>7.1637198244275906</v>
      </c>
      <c r="R25" s="135"/>
      <c r="S25" s="181">
        <f>_xll.xSPRDOPT(I25,H25,AQ25,AT25,O25,N25,P25,D25-$G$5,1,2)*AF25*(F25/(1-AR25))*AH25</f>
        <v>-762377.4263775351</v>
      </c>
      <c r="T25" s="181">
        <f>_xll.xSPRDOPT(I25,H25,AQ25,AT25,O25,N25,P25,D25-$G$5,1,1)*AF25*F25*AH25</f>
        <v>730357.57446901023</v>
      </c>
      <c r="U25" s="135"/>
      <c r="V25" s="146">
        <f t="shared" si="50"/>
        <v>24.105716470913539</v>
      </c>
      <c r="W25" s="146"/>
      <c r="X25" s="338">
        <f t="shared" si="21"/>
        <v>0</v>
      </c>
      <c r="Y25" s="338">
        <f t="shared" si="22"/>
        <v>0</v>
      </c>
      <c r="Z25" s="338">
        <f t="shared" si="23"/>
        <v>27.821496614159329</v>
      </c>
      <c r="AA25" s="338">
        <f t="shared" si="24"/>
        <v>3.6412133467434975E-3</v>
      </c>
      <c r="AB25" s="338">
        <f t="shared" si="25"/>
        <v>0</v>
      </c>
      <c r="AC25" s="338">
        <f t="shared" si="26"/>
        <v>27.994654264941939</v>
      </c>
      <c r="AF25" s="138">
        <f t="shared" si="27"/>
        <v>1</v>
      </c>
      <c r="AG25" s="138">
        <f t="shared" si="28"/>
        <v>4</v>
      </c>
      <c r="AH25" s="138">
        <f t="shared" si="29"/>
        <v>30</v>
      </c>
      <c r="AI25" s="138">
        <f t="shared" si="51"/>
        <v>105</v>
      </c>
      <c r="AJ25" s="138">
        <f t="shared" si="30"/>
        <v>122</v>
      </c>
      <c r="AL25" s="136">
        <f t="shared" si="31"/>
        <v>2.8479999999999999</v>
      </c>
      <c r="AM25" s="258">
        <f t="shared" si="32"/>
        <v>-0.53</v>
      </c>
      <c r="AN25" s="258">
        <f t="shared" si="33"/>
        <v>0.02</v>
      </c>
      <c r="AO25" s="258">
        <f t="shared" si="34"/>
        <v>-0.09</v>
      </c>
      <c r="AP25" s="258">
        <f t="shared" si="35"/>
        <v>-0.01</v>
      </c>
      <c r="AQ25" s="136">
        <f t="shared" si="36"/>
        <v>6.7199999999999996E-2</v>
      </c>
      <c r="AR25" s="137">
        <f t="shared" si="37"/>
        <v>4.2000000000000003E-2</v>
      </c>
      <c r="AS25" s="136">
        <f t="shared" si="38"/>
        <v>2.3379999999999996</v>
      </c>
      <c r="AT25" s="137">
        <f t="shared" si="39"/>
        <v>1.9422640119623601E-2</v>
      </c>
      <c r="AU25" s="137">
        <f t="shared" si="40"/>
        <v>0.99372233782313213</v>
      </c>
      <c r="AV25" s="394">
        <f t="shared" si="41"/>
        <v>32017.733724661317</v>
      </c>
      <c r="AW25" s="137">
        <f t="shared" si="42"/>
        <v>0.61</v>
      </c>
      <c r="AX25" s="137">
        <f t="shared" si="43"/>
        <v>0.83</v>
      </c>
      <c r="AY25" s="137">
        <f t="shared" si="44"/>
        <v>0.83</v>
      </c>
      <c r="AZ25" s="137"/>
      <c r="BA25" s="264"/>
      <c r="BB25" s="258">
        <f t="shared" si="45"/>
        <v>0</v>
      </c>
      <c r="BC25" s="258">
        <f t="shared" si="46"/>
        <v>0</v>
      </c>
      <c r="BD25" s="137">
        <f t="shared" si="47"/>
        <v>7.530881944529666E-4</v>
      </c>
      <c r="BE25" s="137">
        <f t="shared" si="48"/>
        <v>7.530881944529666E-4</v>
      </c>
      <c r="BF25" s="137">
        <f>_xll.xSPRDOPT($BW25,$BV25,$CG25,0,$BY25,$BX25,$BZ25,$AJ25,1,4)*$CB25</f>
        <v>-2.3688425725698056E-7</v>
      </c>
      <c r="BG25" s="137">
        <f>_xll.xSPRDOPT($BW25,$BV25,$CG25,0,$BY25,$BX25,$BZ25,$AJ25,1,3)*$CB25</f>
        <v>0</v>
      </c>
      <c r="BH25" s="137">
        <f>IF(OR(BF25&lt;&gt;0,BG25&lt;&gt;0),_xll.xSPRDOPT($BW25,$BV25,$CG25,0,$BY25,$BX25,$BZ25,$AJ25,1,12)*$CB25,0)</f>
        <v>-1.4805266078561286E-7</v>
      </c>
      <c r="BI25" s="137">
        <f>_xll.xSPRDOPT($BW25,$BV25,$CG25,2*LN(1+CA25/2),$BY25,$BX25,$BZ25,$AJ25,1,9)</f>
        <v>4.6085268201005421E-3</v>
      </c>
      <c r="BJ25" s="137">
        <f>_xll.xSPRDOPT($BW25,$BV25,$CG25,0,$BY25,$BX25,$BZ25,$AJ25,1,6)*$CB25</f>
        <v>-5.2209274208804257E-5</v>
      </c>
      <c r="BK25" s="137">
        <f>_xll.xSPRDOPT($BW25,$BV25,$CG25,0,$BY25,$BX25,$BZ25,$AJ25,1,5)*$CB25</f>
        <v>5.8787563180490251E-5</v>
      </c>
      <c r="BL25" s="137">
        <f>_xll.xSPRDOPT(BW25,BV25,CG25,0,BY25,BX25,BZ25,AJ25,1,2)*CB25</f>
        <v>-0.99355651777617138</v>
      </c>
      <c r="BM25" s="137">
        <f>_xll.xSPRDOPT(BW25,BV25,CG25,0,BY25,BX25,BZ25,AJ25,1,1)*CB25</f>
        <v>0.99355651777165321</v>
      </c>
      <c r="BN25" s="137">
        <f>IF(AH25&lt;&gt;0,_xll.xSPRDOPT($BW25,$BV25,$CG25,2*LN(1+CA25/2),$BY25,$BX25,$BZ25,$AJ25,1,8)+(AJ25/365.25)*CH25/AH25,0)</f>
        <v>0.18860098554964183</v>
      </c>
      <c r="BO25" s="137">
        <f>_xll.xSPRDOPT($BW25,$BV25,$CG25,0,$BY25,$BX25,$BZ25,$AJ25,1,0)</f>
        <v>0.24029922587579633</v>
      </c>
      <c r="BP25" s="137"/>
      <c r="BQ25" s="137"/>
      <c r="BR25" s="137"/>
      <c r="BS25" s="137"/>
      <c r="BV25" s="262">
        <v>2.4405010438413357</v>
      </c>
      <c r="BW25" s="136">
        <v>2.7480000000000002</v>
      </c>
      <c r="BX25" s="137">
        <v>0.6408854393270792</v>
      </c>
      <c r="BY25" s="137">
        <v>0.6408854393270792</v>
      </c>
      <c r="BZ25" s="137">
        <v>1</v>
      </c>
      <c r="CA25" s="137">
        <v>1.9422640119623601E-2</v>
      </c>
      <c r="CB25" s="137">
        <v>0.99356458774998258</v>
      </c>
      <c r="CC25" s="258">
        <v>-0.53</v>
      </c>
      <c r="CD25" s="258">
        <v>0.02</v>
      </c>
      <c r="CE25" s="258">
        <v>-0.09</v>
      </c>
      <c r="CF25" s="258">
        <v>-0.01</v>
      </c>
      <c r="CG25" s="258">
        <v>6.7199999999999996E-2</v>
      </c>
      <c r="CH25" s="258">
        <v>24.101889769639076</v>
      </c>
      <c r="CI25" s="258">
        <v>2.8479999999999999</v>
      </c>
      <c r="CJ25" s="258"/>
      <c r="CK25" s="258"/>
      <c r="CL25" s="258"/>
      <c r="CM25" s="258"/>
    </row>
    <row r="26" spans="1:91" x14ac:dyDescent="0.25">
      <c r="A26" s="723"/>
      <c r="B26" s="723"/>
      <c r="D26" s="31">
        <f t="shared" si="49"/>
        <v>37391</v>
      </c>
      <c r="F26" s="28">
        <f t="shared" si="12"/>
        <v>24500</v>
      </c>
      <c r="G26" s="28">
        <f t="shared" si="13"/>
        <v>0</v>
      </c>
      <c r="H26" s="52">
        <f t="shared" si="14"/>
        <v>2.4906054279749474</v>
      </c>
      <c r="I26" s="52">
        <f t="shared" si="15"/>
        <v>2.8160000000000003</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50"/>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1"/>
        <v>135</v>
      </c>
      <c r="AJ26" s="138">
        <f t="shared" si="30"/>
        <v>152</v>
      </c>
      <c r="AL26" s="136">
        <f t="shared" si="31"/>
        <v>2.8959999999999999</v>
      </c>
      <c r="AM26" s="258">
        <f t="shared" si="32"/>
        <v>-0.53</v>
      </c>
      <c r="AN26" s="258">
        <f t="shared" si="33"/>
        <v>0.02</v>
      </c>
      <c r="AO26" s="258">
        <f t="shared" si="34"/>
        <v>-7.0000000000000007E-2</v>
      </c>
      <c r="AP26" s="258">
        <f t="shared" si="35"/>
        <v>-0.01</v>
      </c>
      <c r="AQ26" s="136">
        <f t="shared" si="36"/>
        <v>6.7199999999999996E-2</v>
      </c>
      <c r="AR26" s="137">
        <f t="shared" si="37"/>
        <v>4.2000000000000003E-2</v>
      </c>
      <c r="AS26" s="136">
        <f t="shared" si="38"/>
        <v>2.3859999999999997</v>
      </c>
      <c r="AT26" s="137">
        <f t="shared" si="39"/>
        <v>1.9712159578257001E-2</v>
      </c>
      <c r="AU26" s="137">
        <f t="shared" si="40"/>
        <v>0</v>
      </c>
      <c r="AV26" s="394">
        <f t="shared" si="41"/>
        <v>0</v>
      </c>
      <c r="AW26" s="137">
        <f t="shared" si="42"/>
        <v>0.57750000000000001</v>
      </c>
      <c r="AX26" s="137">
        <f t="shared" si="43"/>
        <v>0.78</v>
      </c>
      <c r="AY26" s="137">
        <f t="shared" si="44"/>
        <v>0.78</v>
      </c>
      <c r="AZ26" s="137"/>
      <c r="BA26" s="264"/>
      <c r="BB26" s="258">
        <f t="shared" si="45"/>
        <v>0</v>
      </c>
      <c r="BC26" s="258">
        <f t="shared" si="46"/>
        <v>0</v>
      </c>
      <c r="BD26" s="137">
        <f t="shared" si="47"/>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-0.6167737822000311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0.68945010625785597</v>
      </c>
      <c r="BP26" s="137"/>
      <c r="BQ26" s="137"/>
      <c r="BR26" s="137"/>
      <c r="BS26" s="137"/>
      <c r="BV26" s="262">
        <v>2.4906054279749474</v>
      </c>
      <c r="BW26" s="136">
        <v>2.8160000000000003</v>
      </c>
      <c r="BX26" s="137">
        <v>0.57750000000000001</v>
      </c>
      <c r="BY26" s="137">
        <v>0.57750000000000001</v>
      </c>
      <c r="BZ26" s="137">
        <v>0</v>
      </c>
      <c r="CA26" s="137">
        <v>1.9712159578257001E-2</v>
      </c>
      <c r="CB26" s="137">
        <v>0</v>
      </c>
      <c r="CC26" s="258">
        <v>-0.53</v>
      </c>
      <c r="CD26" s="258">
        <v>0.02</v>
      </c>
      <c r="CE26" s="258">
        <v>-7.0000000000000007E-2</v>
      </c>
      <c r="CF26" s="258">
        <v>-0.01</v>
      </c>
      <c r="CG26" s="258">
        <v>6.7199999999999996E-2</v>
      </c>
      <c r="CH26" s="258">
        <v>0</v>
      </c>
      <c r="CI26" s="258">
        <v>2.8959999999999999</v>
      </c>
      <c r="CJ26" s="258"/>
      <c r="CK26" s="258"/>
      <c r="CL26" s="258"/>
      <c r="CM26" s="258"/>
    </row>
    <row r="27" spans="1:91" x14ac:dyDescent="0.25">
      <c r="A27" s="726"/>
      <c r="B27" s="726"/>
      <c r="C27" s="726"/>
      <c r="D27" s="31">
        <f t="shared" si="49"/>
        <v>37391</v>
      </c>
      <c r="F27" s="28">
        <f t="shared" si="12"/>
        <v>24500</v>
      </c>
      <c r="G27" s="28">
        <f t="shared" si="13"/>
        <v>0</v>
      </c>
      <c r="H27" s="52">
        <f t="shared" si="14"/>
        <v>2.4906054279749474</v>
      </c>
      <c r="I27" s="52">
        <f t="shared" si="15"/>
        <v>2.8160000000000003</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50"/>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1"/>
        <v>135</v>
      </c>
      <c r="AJ27" s="138">
        <f t="shared" si="30"/>
        <v>152</v>
      </c>
      <c r="AL27" s="136">
        <f t="shared" si="31"/>
        <v>2.8959999999999999</v>
      </c>
      <c r="AM27" s="258">
        <f t="shared" si="32"/>
        <v>-0.53</v>
      </c>
      <c r="AN27" s="258">
        <f t="shared" si="33"/>
        <v>0.02</v>
      </c>
      <c r="AO27" s="258">
        <f t="shared" si="34"/>
        <v>-7.0000000000000007E-2</v>
      </c>
      <c r="AP27" s="258">
        <f t="shared" si="35"/>
        <v>-0.01</v>
      </c>
      <c r="AQ27" s="136">
        <f t="shared" si="36"/>
        <v>6.7199999999999996E-2</v>
      </c>
      <c r="AR27" s="137">
        <f t="shared" si="37"/>
        <v>4.2000000000000003E-2</v>
      </c>
      <c r="AS27" s="136">
        <f t="shared" si="38"/>
        <v>2.3859999999999997</v>
      </c>
      <c r="AT27" s="137">
        <f t="shared" si="39"/>
        <v>1.9712159578257001E-2</v>
      </c>
      <c r="AU27" s="137">
        <f t="shared" si="40"/>
        <v>0</v>
      </c>
      <c r="AV27" s="394">
        <f t="shared" si="41"/>
        <v>0</v>
      </c>
      <c r="AW27" s="137">
        <f t="shared" si="42"/>
        <v>0.57750000000000001</v>
      </c>
      <c r="AX27" s="137">
        <f t="shared" si="43"/>
        <v>0.78</v>
      </c>
      <c r="AY27" s="137">
        <f t="shared" si="44"/>
        <v>0.78</v>
      </c>
      <c r="AZ27" s="137"/>
      <c r="BA27" s="264"/>
      <c r="BB27" s="258">
        <f t="shared" si="45"/>
        <v>0</v>
      </c>
      <c r="BC27" s="258">
        <f t="shared" si="46"/>
        <v>0</v>
      </c>
      <c r="BD27" s="137">
        <f t="shared" si="47"/>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-0.6167737822000311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0.68945010625785597</v>
      </c>
      <c r="BP27" s="137"/>
      <c r="BQ27" s="137"/>
      <c r="BR27" s="137"/>
      <c r="BS27" s="137"/>
      <c r="BV27" s="262">
        <v>2.4906054279749474</v>
      </c>
      <c r="BW27" s="136">
        <v>2.8160000000000003</v>
      </c>
      <c r="BX27" s="137">
        <v>0.57750000000000001</v>
      </c>
      <c r="BY27" s="137">
        <v>0.57750000000000001</v>
      </c>
      <c r="BZ27" s="137">
        <v>0</v>
      </c>
      <c r="CA27" s="137">
        <v>1.9712159578257001E-2</v>
      </c>
      <c r="CB27" s="137">
        <v>0</v>
      </c>
      <c r="CC27" s="258">
        <v>-0.53</v>
      </c>
      <c r="CD27" s="258">
        <v>0.02</v>
      </c>
      <c r="CE27" s="258">
        <v>-7.0000000000000007E-2</v>
      </c>
      <c r="CF27" s="258">
        <v>-0.01</v>
      </c>
      <c r="CG27" s="258">
        <v>6.7199999999999996E-2</v>
      </c>
      <c r="CH27" s="258">
        <v>0</v>
      </c>
      <c r="CI27" s="258">
        <v>2.8959999999999999</v>
      </c>
      <c r="CJ27" s="258"/>
      <c r="CK27" s="258"/>
      <c r="CL27" s="258"/>
      <c r="CM27" s="258"/>
    </row>
    <row r="28" spans="1:91" x14ac:dyDescent="0.25">
      <c r="A28" s="723"/>
      <c r="B28" s="723"/>
      <c r="D28" s="31">
        <f t="shared" si="49"/>
        <v>37391</v>
      </c>
      <c r="F28" s="28">
        <f t="shared" si="12"/>
        <v>24500</v>
      </c>
      <c r="G28" s="28">
        <f t="shared" si="13"/>
        <v>0</v>
      </c>
      <c r="H28" s="52">
        <f t="shared" si="14"/>
        <v>2.4906054279749474</v>
      </c>
      <c r="I28" s="52">
        <f t="shared" si="15"/>
        <v>2.8160000000000003</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50"/>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1"/>
        <v>135</v>
      </c>
      <c r="AJ28" s="138">
        <f t="shared" si="30"/>
        <v>152</v>
      </c>
      <c r="AL28" s="136">
        <f t="shared" si="31"/>
        <v>2.8959999999999999</v>
      </c>
      <c r="AM28" s="258">
        <f t="shared" si="32"/>
        <v>-0.53</v>
      </c>
      <c r="AN28" s="258">
        <f t="shared" si="33"/>
        <v>0.02</v>
      </c>
      <c r="AO28" s="258">
        <f t="shared" si="34"/>
        <v>-7.0000000000000007E-2</v>
      </c>
      <c r="AP28" s="258">
        <f t="shared" si="35"/>
        <v>-0.01</v>
      </c>
      <c r="AQ28" s="136">
        <f t="shared" si="36"/>
        <v>6.7199999999999996E-2</v>
      </c>
      <c r="AR28" s="137">
        <f t="shared" si="37"/>
        <v>4.2000000000000003E-2</v>
      </c>
      <c r="AS28" s="136">
        <f t="shared" si="38"/>
        <v>2.3859999999999997</v>
      </c>
      <c r="AT28" s="137">
        <f t="shared" si="39"/>
        <v>1.9712159578257001E-2</v>
      </c>
      <c r="AU28" s="137">
        <f t="shared" si="40"/>
        <v>0</v>
      </c>
      <c r="AV28" s="394">
        <f t="shared" si="41"/>
        <v>0</v>
      </c>
      <c r="AW28" s="137">
        <f t="shared" si="42"/>
        <v>0.57750000000000001</v>
      </c>
      <c r="AX28" s="137">
        <f t="shared" si="43"/>
        <v>0.78</v>
      </c>
      <c r="AY28" s="137">
        <f t="shared" si="44"/>
        <v>0.78</v>
      </c>
      <c r="AZ28" s="137"/>
      <c r="BA28" s="264"/>
      <c r="BB28" s="258">
        <f t="shared" si="45"/>
        <v>0</v>
      </c>
      <c r="BC28" s="258">
        <f t="shared" si="46"/>
        <v>0</v>
      </c>
      <c r="BD28" s="137">
        <f t="shared" si="47"/>
        <v>0</v>
      </c>
      <c r="BE28" s="137">
        <f t="shared" si="48"/>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-0.6167737822000311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0.68945010625785597</v>
      </c>
      <c r="BP28" s="137"/>
      <c r="BQ28" s="137"/>
      <c r="BR28" s="137"/>
      <c r="BS28" s="137"/>
      <c r="BV28" s="262">
        <v>2.4906054279749474</v>
      </c>
      <c r="BW28" s="136">
        <v>2.8160000000000003</v>
      </c>
      <c r="BX28" s="137">
        <v>0.57750000000000001</v>
      </c>
      <c r="BY28" s="137">
        <v>0.57750000000000001</v>
      </c>
      <c r="BZ28" s="137">
        <v>0</v>
      </c>
      <c r="CA28" s="137">
        <v>1.9712159578257001E-2</v>
      </c>
      <c r="CB28" s="137">
        <v>0</v>
      </c>
      <c r="CC28" s="258">
        <v>-0.53</v>
      </c>
      <c r="CD28" s="258">
        <v>0.02</v>
      </c>
      <c r="CE28" s="258">
        <v>-7.0000000000000007E-2</v>
      </c>
      <c r="CF28" s="258">
        <v>-0.01</v>
      </c>
      <c r="CG28" s="258">
        <v>6.7199999999999996E-2</v>
      </c>
      <c r="CH28" s="258">
        <v>0</v>
      </c>
      <c r="CI28" s="258">
        <v>2.8959999999999999</v>
      </c>
      <c r="CJ28" s="258"/>
      <c r="CK28" s="258"/>
      <c r="CL28" s="258"/>
      <c r="CM28" s="258"/>
    </row>
    <row r="29" spans="1:91" x14ac:dyDescent="0.25">
      <c r="A29" s="723"/>
      <c r="B29" s="723"/>
      <c r="D29" s="31">
        <f t="shared" si="49"/>
        <v>37391</v>
      </c>
      <c r="F29" s="28">
        <f t="shared" si="12"/>
        <v>24500</v>
      </c>
      <c r="G29" s="28">
        <f t="shared" si="13"/>
        <v>0</v>
      </c>
      <c r="H29" s="52">
        <f t="shared" si="14"/>
        <v>2.4906054279749474</v>
      </c>
      <c r="I29" s="52">
        <f t="shared" si="15"/>
        <v>2.8160000000000003</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50"/>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1"/>
        <v>135</v>
      </c>
      <c r="AJ29" s="138">
        <f t="shared" si="30"/>
        <v>152</v>
      </c>
      <c r="AL29" s="136">
        <f t="shared" si="31"/>
        <v>2.8959999999999999</v>
      </c>
      <c r="AM29" s="258">
        <f t="shared" si="32"/>
        <v>-0.53</v>
      </c>
      <c r="AN29" s="258">
        <f t="shared" si="33"/>
        <v>0.02</v>
      </c>
      <c r="AO29" s="258">
        <f t="shared" si="34"/>
        <v>-7.0000000000000007E-2</v>
      </c>
      <c r="AP29" s="258">
        <f t="shared" si="35"/>
        <v>-0.01</v>
      </c>
      <c r="AQ29" s="136">
        <f t="shared" si="36"/>
        <v>6.7199999999999996E-2</v>
      </c>
      <c r="AR29" s="137">
        <f t="shared" si="37"/>
        <v>4.2000000000000003E-2</v>
      </c>
      <c r="AS29" s="136">
        <f t="shared" si="38"/>
        <v>2.3859999999999997</v>
      </c>
      <c r="AT29" s="137">
        <f t="shared" si="39"/>
        <v>1.9712159578257001E-2</v>
      </c>
      <c r="AU29" s="137">
        <f t="shared" si="40"/>
        <v>0</v>
      </c>
      <c r="AV29" s="394">
        <f t="shared" si="41"/>
        <v>0</v>
      </c>
      <c r="AW29" s="137">
        <f t="shared" si="42"/>
        <v>0.57750000000000001</v>
      </c>
      <c r="AX29" s="137">
        <f t="shared" si="43"/>
        <v>0.78</v>
      </c>
      <c r="AY29" s="137">
        <f t="shared" si="44"/>
        <v>0.78</v>
      </c>
      <c r="AZ29" s="137"/>
      <c r="BA29" s="264"/>
      <c r="BB29" s="258">
        <f t="shared" si="45"/>
        <v>0</v>
      </c>
      <c r="BC29" s="258">
        <f t="shared" si="46"/>
        <v>0</v>
      </c>
      <c r="BD29" s="137">
        <f t="shared" si="47"/>
        <v>0</v>
      </c>
      <c r="BE29" s="137">
        <f t="shared" si="48"/>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-0.6167737822000311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0.68945010625785597</v>
      </c>
      <c r="BP29" s="137"/>
      <c r="BQ29" s="137"/>
      <c r="BR29" s="137"/>
      <c r="BS29" s="137"/>
      <c r="BV29" s="262">
        <v>2.4906054279749474</v>
      </c>
      <c r="BW29" s="136">
        <v>2.8160000000000003</v>
      </c>
      <c r="BX29" s="137">
        <v>0.57750000000000001</v>
      </c>
      <c r="BY29" s="137">
        <v>0.57750000000000001</v>
      </c>
      <c r="BZ29" s="137">
        <v>0</v>
      </c>
      <c r="CA29" s="137">
        <v>1.9712159578257001E-2</v>
      </c>
      <c r="CB29" s="137">
        <v>0</v>
      </c>
      <c r="CC29" s="258">
        <v>-0.53</v>
      </c>
      <c r="CD29" s="258">
        <v>0.02</v>
      </c>
      <c r="CE29" s="258">
        <v>-7.0000000000000007E-2</v>
      </c>
      <c r="CF29" s="258">
        <v>-0.01</v>
      </c>
      <c r="CG29" s="258">
        <v>6.7199999999999996E-2</v>
      </c>
      <c r="CH29" s="258">
        <v>0</v>
      </c>
      <c r="CI29" s="258">
        <v>2.8959999999999999</v>
      </c>
      <c r="CJ29" s="258"/>
      <c r="CK29" s="258"/>
      <c r="CL29" s="258"/>
      <c r="CM29" s="258"/>
    </row>
    <row r="30" spans="1:91" x14ac:dyDescent="0.25">
      <c r="A30" s="723"/>
      <c r="B30" s="723"/>
      <c r="D30" s="31">
        <f t="shared" si="49"/>
        <v>37391</v>
      </c>
      <c r="F30" s="28">
        <f t="shared" si="12"/>
        <v>24500</v>
      </c>
      <c r="G30" s="28">
        <f t="shared" si="13"/>
        <v>0</v>
      </c>
      <c r="H30" s="52">
        <f t="shared" si="14"/>
        <v>2.4906054279749474</v>
      </c>
      <c r="I30" s="52">
        <f t="shared" si="15"/>
        <v>2.8160000000000003</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50"/>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1"/>
        <v>135</v>
      </c>
      <c r="AJ30" s="138">
        <f t="shared" si="30"/>
        <v>152</v>
      </c>
      <c r="AL30" s="136">
        <f t="shared" si="31"/>
        <v>2.8959999999999999</v>
      </c>
      <c r="AM30" s="258">
        <f t="shared" si="32"/>
        <v>-0.53</v>
      </c>
      <c r="AN30" s="258">
        <f t="shared" si="33"/>
        <v>0.02</v>
      </c>
      <c r="AO30" s="258">
        <f t="shared" si="34"/>
        <v>-7.0000000000000007E-2</v>
      </c>
      <c r="AP30" s="258">
        <f t="shared" si="35"/>
        <v>-0.01</v>
      </c>
      <c r="AQ30" s="136">
        <f t="shared" si="36"/>
        <v>6.7199999999999996E-2</v>
      </c>
      <c r="AR30" s="137">
        <f t="shared" si="37"/>
        <v>4.2000000000000003E-2</v>
      </c>
      <c r="AS30" s="136">
        <f t="shared" si="38"/>
        <v>2.3859999999999997</v>
      </c>
      <c r="AT30" s="137">
        <f t="shared" si="39"/>
        <v>1.9712159578257001E-2</v>
      </c>
      <c r="AU30" s="137">
        <f t="shared" si="40"/>
        <v>0</v>
      </c>
      <c r="AV30" s="394">
        <f t="shared" si="41"/>
        <v>0</v>
      </c>
      <c r="AW30" s="137">
        <f t="shared" si="42"/>
        <v>0.57750000000000001</v>
      </c>
      <c r="AX30" s="137">
        <f t="shared" si="43"/>
        <v>0.78</v>
      </c>
      <c r="AY30" s="137">
        <f t="shared" si="44"/>
        <v>0.78</v>
      </c>
      <c r="AZ30" s="137"/>
      <c r="BA30" s="264"/>
      <c r="BB30" s="258">
        <f t="shared" si="45"/>
        <v>0</v>
      </c>
      <c r="BC30" s="258">
        <f t="shared" si="46"/>
        <v>0</v>
      </c>
      <c r="BD30" s="137">
        <f t="shared" si="47"/>
        <v>0</v>
      </c>
      <c r="BE30" s="137">
        <f t="shared" si="48"/>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-0.6167737822000311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0.68945010625785597</v>
      </c>
      <c r="BP30" s="137"/>
      <c r="BQ30" s="137"/>
      <c r="BR30" s="137"/>
      <c r="BS30" s="137"/>
      <c r="BV30" s="262">
        <v>2.4906054279749474</v>
      </c>
      <c r="BW30" s="136">
        <v>2.8160000000000003</v>
      </c>
      <c r="BX30" s="137">
        <v>0.57750000000000001</v>
      </c>
      <c r="BY30" s="137">
        <v>0.57750000000000001</v>
      </c>
      <c r="BZ30" s="137">
        <v>0</v>
      </c>
      <c r="CA30" s="137">
        <v>1.9712159578257001E-2</v>
      </c>
      <c r="CB30" s="137">
        <v>0</v>
      </c>
      <c r="CC30" s="258">
        <v>-0.53</v>
      </c>
      <c r="CD30" s="258">
        <v>0.02</v>
      </c>
      <c r="CE30" s="258">
        <v>-7.0000000000000007E-2</v>
      </c>
      <c r="CF30" s="258">
        <v>-0.01</v>
      </c>
      <c r="CG30" s="258">
        <v>6.7199999999999996E-2</v>
      </c>
      <c r="CH30" s="258">
        <v>0</v>
      </c>
      <c r="CI30" s="258">
        <v>2.8959999999999999</v>
      </c>
      <c r="CJ30" s="258"/>
      <c r="CK30" s="258"/>
      <c r="CL30" s="258"/>
      <c r="CM30" s="258"/>
    </row>
    <row r="31" spans="1:91" x14ac:dyDescent="0.25">
      <c r="A31" s="723"/>
      <c r="B31" s="723"/>
    </row>
    <row r="32" spans="1:91" x14ac:dyDescent="0.25">
      <c r="A32" s="723"/>
      <c r="B32" s="723"/>
    </row>
    <row r="33" spans="1:2" x14ac:dyDescent="0.25">
      <c r="A33" s="723"/>
      <c r="B33" s="723"/>
    </row>
  </sheetData>
  <sheetCalcPr fullCalcOnLoad="1"/>
  <mergeCells count="38">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0:M10"/>
    <mergeCell ref="L9:M9"/>
    <mergeCell ref="L6:M6"/>
    <mergeCell ref="L8:M8"/>
    <mergeCell ref="L7:M7"/>
    <mergeCell ref="F1:G1"/>
    <mergeCell ref="L1:P1"/>
    <mergeCell ref="L3:M3"/>
    <mergeCell ref="BU1:CB1"/>
    <mergeCell ref="AE1:AK1"/>
    <mergeCell ref="BA1:BH1"/>
    <mergeCell ref="X11:Y11"/>
    <mergeCell ref="AM20:AN20"/>
    <mergeCell ref="AO20:AP20"/>
    <mergeCell ref="L17:M17"/>
    <mergeCell ref="L15:M15"/>
    <mergeCell ref="L12:M12"/>
    <mergeCell ref="L16:M16"/>
    <mergeCell ref="L11:M11"/>
    <mergeCell ref="L13:M13"/>
    <mergeCell ref="L14:M1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4868"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4869"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pageSetUpPr autoPageBreaks="0"/>
  </sheetPr>
  <dimension ref="A1:CX33"/>
  <sheetViews>
    <sheetView topLeftCell="S1" zoomScale="80" workbookViewId="0">
      <selection activeCell="CI21" sqref="CI21:CI33"/>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LongTerm85</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85</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$F$33</v>
      </c>
      <c r="AX2" s="339" t="str">
        <f>ADDRESS(ROW($G$22),COLUMN($G$22))</f>
        <v>$G$22</v>
      </c>
      <c r="AY2" s="138" t="str">
        <f ca="1">GetEnd($AV$1,AX2)</f>
        <v>$G$33</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$AF$33</v>
      </c>
      <c r="AX3" s="339" t="str">
        <f>ADDRESS(ROW($AH$22),COLUMN($AH$22))</f>
        <v>$AH$22</v>
      </c>
      <c r="AY3" s="138" t="str">
        <f ca="1">GetEnd($AV$1,AX3)</f>
        <v>$AH$33</v>
      </c>
    </row>
    <row r="4" spans="1:102" x14ac:dyDescent="0.25">
      <c r="A4" s="269" t="str">
        <f>ADDRESS(ROW($S$22),COLUMN($S$22))</f>
        <v>$S$22</v>
      </c>
      <c r="L4" s="721" t="s">
        <v>201</v>
      </c>
      <c r="M4" s="722"/>
      <c r="N4" s="352">
        <f ca="1">SUMPRODUCT(INDIRECT(CONCATENATE(AV4,":",AW4)),INDIRECT(CONCATENATE($AV$2,":",$AW$2)),INDIRECT(CONCATENATE($AV$3,":",$AW$3)))</f>
        <v>265099.47562390211</v>
      </c>
      <c r="O4" s="352">
        <v>265073.90000000002</v>
      </c>
      <c r="P4" s="354">
        <f ca="1">N4-O4</f>
        <v>25.575623902084772</v>
      </c>
      <c r="S4" s="427" t="s">
        <v>635</v>
      </c>
      <c r="T4" s="422">
        <f ca="1">SUMPRODUCT(INDIRECT(CONCATENATE(V4,":",W4)),INDIRECT(CONCATENATE(AV2,":",AW2)),INDIRECT(CONCATENATE(AV3,":",AW3)))</f>
        <v>260978.78752813351</v>
      </c>
      <c r="V4" s="30" t="str">
        <f>ADDRESS(ROW(K22),COLUMN(K22))</f>
        <v>$K$22</v>
      </c>
      <c r="W4" s="30" t="str">
        <f ca="1">GetEnd($AV$1,V4)</f>
        <v>$K$33</v>
      </c>
      <c r="AF4" s="28"/>
      <c r="AG4" s="103" t="s">
        <v>32</v>
      </c>
      <c r="AH4" s="104">
        <f>GetRcptIndexCol($AH$12,$AH$13)</f>
        <v>65</v>
      </c>
      <c r="AI4" s="29"/>
      <c r="AJ4" s="103" t="s">
        <v>72</v>
      </c>
      <c r="AK4" s="104">
        <f>GetNymexCol(AK3)</f>
        <v>3</v>
      </c>
      <c r="AL4" s="34">
        <v>1</v>
      </c>
      <c r="AM4" s="45">
        <f t="shared" ref="AM4:AM15" si="0">GetVolume($AH$12,$AH$13,AT4)</f>
        <v>3500</v>
      </c>
      <c r="AN4" s="46">
        <f t="shared" ref="AN4:AN15" si="1">GetCommodity($AH$12,$AH$13,AT4)</f>
        <v>6.2199999999999998E-2</v>
      </c>
      <c r="AO4" s="47">
        <f t="shared" ref="AO4:AO15" si="2">GetFuelRate($AH$12,$AH$13,AT4)</f>
        <v>6.2E-2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LongTerm85 Sheet)</v>
      </c>
      <c r="AT4" s="35">
        <f t="shared" ref="AT4:AT15" si="7">gettier($AH$12,$AH$13,AL4)</f>
        <v>1</v>
      </c>
      <c r="AV4" s="339" t="str">
        <f>ADDRESS(ROW($Q$22),COLUMN($Q$22))</f>
        <v>$Q$22</v>
      </c>
      <c r="AW4" s="138" t="str">
        <f ca="1">GetEnd($AV$1,AV4)</f>
        <v>$Q$33</v>
      </c>
      <c r="AX4" s="339" t="str">
        <f>ADDRESS(ROW($K$22),COLUMN($K$22))</f>
        <v>$K$22</v>
      </c>
      <c r="AY4" s="138" t="str">
        <f ca="1">GetEnd($AV$1,AX4)</f>
        <v>$K$33</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1011670.3429359412</v>
      </c>
      <c r="O5" s="352">
        <v>1011478.88</v>
      </c>
      <c r="P5" s="355">
        <f ca="1">N5-O5</f>
        <v>191.46293594117742</v>
      </c>
      <c r="S5" s="428" t="s">
        <v>636</v>
      </c>
      <c r="T5" s="423">
        <f ca="1">SUMPRODUCT(INDIRECT(CONCATENATE(V5,":",W5)),INDIRECT(CONCATENATE(AV2,":",AW2)),INDIRECT(CONCATENATE(AV3,":",AW3)))</f>
        <v>4120.688095768619</v>
      </c>
      <c r="V5" s="30" t="str">
        <f>ADDRESS(ROW(L22),COLUMN(L22))</f>
        <v>$L$22</v>
      </c>
      <c r="W5" s="30" t="str">
        <f ca="1">GetEnd($AV$1,V5)</f>
        <v>$L$33</v>
      </c>
      <c r="AF5" s="28"/>
      <c r="AG5" s="103" t="s">
        <v>33</v>
      </c>
      <c r="AH5" s="104">
        <f>GetDelBasisCol($AH$12,$AH$13)</f>
        <v>60</v>
      </c>
      <c r="AI5" s="29"/>
      <c r="AJ5" s="103" t="s">
        <v>77</v>
      </c>
      <c r="AK5" s="104" t="str">
        <f>LiborCurve</f>
        <v>Libor AA</v>
      </c>
      <c r="AL5" s="34">
        <v>2</v>
      </c>
      <c r="AM5" s="37">
        <f t="shared" si="0"/>
        <v>3500</v>
      </c>
      <c r="AN5" s="38">
        <f t="shared" si="1"/>
        <v>6.2199999999999998E-2</v>
      </c>
      <c r="AO5" s="39">
        <f t="shared" si="2"/>
        <v>6.2E-2</v>
      </c>
      <c r="AP5" s="38">
        <f t="shared" si="3"/>
        <v>0</v>
      </c>
      <c r="AQ5" s="38">
        <f t="shared" si="4"/>
        <v>0</v>
      </c>
      <c r="AR5" s="133">
        <f t="shared" si="5"/>
        <v>0</v>
      </c>
      <c r="AS5" s="40" t="str">
        <f t="shared" si="6"/>
        <v>(See LongTerm85 Sheet)</v>
      </c>
      <c r="AT5" s="35">
        <f t="shared" si="7"/>
        <v>1</v>
      </c>
      <c r="AV5" s="339" t="str">
        <f>ADDRESS(ROW($V$22),COLUMN($V$22))</f>
        <v>$V$22</v>
      </c>
      <c r="AW5" s="138" t="str">
        <f ca="1">GetEnd($AV$1,AV5)</f>
        <v>$V$33</v>
      </c>
      <c r="AX5" s="339" t="str">
        <f>ADDRESS(ROW($L$22),COLUMN($L$22))</f>
        <v>$L$22</v>
      </c>
      <c r="AY5" s="138" t="str">
        <f ca="1">GetEnd($AV$1,AX5)</f>
        <v>$L$33</v>
      </c>
      <c r="BV5" s="266">
        <f>O2</f>
        <v>37239</v>
      </c>
    </row>
    <row r="6" spans="1:102" x14ac:dyDescent="0.25">
      <c r="A6" s="269" t="str">
        <f>ADDRESS(ROW($BW$2),COLUMN($BW$2))</f>
        <v>$BW$2</v>
      </c>
      <c r="F6" s="187"/>
      <c r="G6" s="187"/>
      <c r="L6" s="704" t="s">
        <v>149</v>
      </c>
      <c r="M6" s="705"/>
      <c r="N6" s="356">
        <f ca="1">N4-N5</f>
        <v>-746570.86731203902</v>
      </c>
      <c r="O6" s="357">
        <v>-746404.98</v>
      </c>
      <c r="P6" s="358">
        <f ca="1">N6-O6</f>
        <v>-165.88731203903444</v>
      </c>
      <c r="S6" s="428" t="s">
        <v>637</v>
      </c>
      <c r="T6" s="424">
        <f ca="1">SUMPRODUCT(INDIRECT(CONCATENATE(V6,":",W6)),INDIRECT(CONCATENATE(AV3,":",AW3)),INDIRECT(CONCATENATE(AX3,":",AY3)))</f>
        <v>1251339.4697798016</v>
      </c>
      <c r="V6" s="30" t="str">
        <f>ADDRESS(ROW(G22),COLUMN(G22))</f>
        <v>$G$22</v>
      </c>
      <c r="W6" s="30" t="str">
        <f ca="1">GetEnd($AV$1,V6)</f>
        <v>$G$33</v>
      </c>
      <c r="AF6" s="28"/>
      <c r="AG6" s="103" t="s">
        <v>34</v>
      </c>
      <c r="AH6" s="104">
        <f>GetDelIndexCol($AH$12,$AH$13)</f>
        <v>61</v>
      </c>
      <c r="AI6" s="29"/>
      <c r="AJ6" s="103" t="s">
        <v>79</v>
      </c>
      <c r="AK6" s="104">
        <f>GetLiborCol(AK5)</f>
        <v>4</v>
      </c>
      <c r="AL6" s="34">
        <v>3</v>
      </c>
      <c r="AM6" s="37">
        <f t="shared" si="0"/>
        <v>3500</v>
      </c>
      <c r="AN6" s="38">
        <f t="shared" si="1"/>
        <v>6.2199999999999998E-2</v>
      </c>
      <c r="AO6" s="39">
        <f t="shared" si="2"/>
        <v>6.2E-2</v>
      </c>
      <c r="AP6" s="38">
        <f t="shared" si="3"/>
        <v>0</v>
      </c>
      <c r="AQ6" s="38">
        <f t="shared" si="4"/>
        <v>0</v>
      </c>
      <c r="AR6" s="133">
        <f t="shared" si="5"/>
        <v>0</v>
      </c>
      <c r="AS6" s="40" t="str">
        <f t="shared" si="6"/>
        <v>(See LongTerm85 Sheet)</v>
      </c>
      <c r="AT6" s="35">
        <f t="shared" si="7"/>
        <v>1</v>
      </c>
      <c r="AX6" s="339"/>
      <c r="AY6" s="138"/>
    </row>
    <row r="7" spans="1:102" x14ac:dyDescent="0.25">
      <c r="A7" s="269" t="str">
        <f>ADDRESS(ROW($AH$12),COLUMN($AH$12))</f>
        <v>$AH$12</v>
      </c>
      <c r="F7" s="186" t="s">
        <v>25</v>
      </c>
      <c r="G7" s="189">
        <f>GetMonthStart($AH$12,$AH$13,G5)</f>
        <v>37377</v>
      </c>
      <c r="L7" s="706" t="s">
        <v>625</v>
      </c>
      <c r="M7" s="707"/>
      <c r="N7" s="352">
        <f t="array" aca="1" ref="N7" ca="1">SUM((INDIRECT(CONCATENATE(AV7,":",AW7))-INDIRECT(CONCATENATE(AX18,":",AY18)))*INDIRECT(CONCATENATE(AX7,":",AY7))*INDIRECT(CONCATENATE(AV3,":",AW3)))</f>
        <v>0</v>
      </c>
      <c r="O7" s="421">
        <v>3757.33</v>
      </c>
      <c r="P7" s="355">
        <f ca="1">N7</f>
        <v>0</v>
      </c>
      <c r="S7" s="428" t="s">
        <v>638</v>
      </c>
      <c r="T7" s="425">
        <f ca="1">T5/T6</f>
        <v>3.2930217541158012E-3</v>
      </c>
      <c r="AF7" s="28"/>
      <c r="AG7" s="103" t="s">
        <v>76</v>
      </c>
      <c r="AH7" s="104">
        <f>GetRcptOmicronCol($AH$12,$AH$13)</f>
        <v>19</v>
      </c>
      <c r="AI7" s="29"/>
      <c r="AJ7" s="103" t="s">
        <v>80</v>
      </c>
      <c r="AK7" s="104" t="str">
        <f>Configuration!$D$8</f>
        <v>Nymex Vol</v>
      </c>
      <c r="AL7" s="34">
        <v>4</v>
      </c>
      <c r="AM7" s="37">
        <f t="shared" si="0"/>
        <v>3500</v>
      </c>
      <c r="AN7" s="38">
        <f t="shared" si="1"/>
        <v>6.2199999999999998E-2</v>
      </c>
      <c r="AO7" s="39">
        <f t="shared" si="2"/>
        <v>6.2E-2</v>
      </c>
      <c r="AP7" s="38">
        <f t="shared" si="3"/>
        <v>0</v>
      </c>
      <c r="AQ7" s="38">
        <f t="shared" si="4"/>
        <v>0</v>
      </c>
      <c r="AR7" s="133">
        <f t="shared" si="5"/>
        <v>0</v>
      </c>
      <c r="AS7" s="40" t="str">
        <f t="shared" si="6"/>
        <v>(See LongTerm85 Sheet)</v>
      </c>
      <c r="AT7" s="35">
        <f t="shared" si="7"/>
        <v>1</v>
      </c>
      <c r="AU7" s="361" t="s">
        <v>574</v>
      </c>
      <c r="AV7" s="339" t="str">
        <f>ADDRESS(ROW($AL$22),COLUMN($AL$22))</f>
        <v>$AL$22</v>
      </c>
      <c r="AW7" s="138" t="str">
        <f t="shared" ref="AW7:AW17" ca="1" si="8">GetEnd($AV$1,AV7)</f>
        <v>$AL$33</v>
      </c>
      <c r="AX7" s="339" t="str">
        <f>ADDRESS(ROW($AV$22),COLUMN($AV$22))</f>
        <v>$AV$22</v>
      </c>
      <c r="AY7" s="138" t="str">
        <f t="shared" ref="AY7:AY13" ca="1" si="9">GetEnd($AV$1,AX7)</f>
        <v>$AV$33</v>
      </c>
    </row>
    <row r="8" spans="1:102" x14ac:dyDescent="0.25">
      <c r="A8" s="270" t="s">
        <v>224</v>
      </c>
      <c r="F8" s="186" t="s">
        <v>26</v>
      </c>
      <c r="G8" s="190">
        <f>GetMonthEnd($AH$12,$AH$13)</f>
        <v>37741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$P$33</v>
      </c>
      <c r="Y8" s="334">
        <f ca="1">SUMIF(INDIRECT(CONCATENATE(V8,":",W8)),"&gt;0",INDIRECT(CONCATENATE(V8,":",W8)))</f>
        <v>12</v>
      </c>
      <c r="Z8" s="334">
        <f ca="1">COUNTIF(INDIRECT(CONCATENATE(V8,":",W8)),"&gt;0")</f>
        <v>12</v>
      </c>
      <c r="AF8" s="28"/>
      <c r="AG8" s="103" t="s">
        <v>75</v>
      </c>
      <c r="AH8" s="105">
        <f>GetDelOmicronCol($AH$12,$AH$13)</f>
        <v>19</v>
      </c>
      <c r="AI8" s="29"/>
      <c r="AJ8" s="103" t="s">
        <v>81</v>
      </c>
      <c r="AK8" s="104">
        <f>GetNGOmicronCol(AK7)</f>
        <v>5</v>
      </c>
      <c r="AL8" s="34">
        <v>5</v>
      </c>
      <c r="AM8" s="37">
        <f t="shared" si="0"/>
        <v>3500</v>
      </c>
      <c r="AN8" s="38">
        <f t="shared" si="1"/>
        <v>6.2199999999999998E-2</v>
      </c>
      <c r="AO8" s="39">
        <f t="shared" si="2"/>
        <v>6.2E-2</v>
      </c>
      <c r="AP8" s="38">
        <f t="shared" si="3"/>
        <v>0</v>
      </c>
      <c r="AQ8" s="38">
        <f t="shared" si="4"/>
        <v>0</v>
      </c>
      <c r="AR8" s="133">
        <f t="shared" si="5"/>
        <v>0</v>
      </c>
      <c r="AS8" s="40" t="str">
        <f t="shared" si="6"/>
        <v>(See LongTerm85 Sheet)</v>
      </c>
      <c r="AT8" s="35">
        <f t="shared" si="7"/>
        <v>1</v>
      </c>
      <c r="AU8" s="362" t="s">
        <v>575</v>
      </c>
      <c r="AV8" s="339" t="str">
        <f>ADDRESS(ROW($AM$22),COLUMN($AM$22))</f>
        <v>$AM$22</v>
      </c>
      <c r="AW8" s="138" t="str">
        <f t="shared" ca="1" si="8"/>
        <v>$AM$33</v>
      </c>
      <c r="AX8" s="339" t="str">
        <f>ADDRESS(ROW($AO$22),COLUMN($AO$22))</f>
        <v>$AO$22</v>
      </c>
      <c r="AY8" s="138" t="str">
        <f t="shared" ca="1" si="9"/>
        <v>$AO$33</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3500</v>
      </c>
      <c r="AN9" s="38">
        <f t="shared" si="1"/>
        <v>6.2199999999999998E-2</v>
      </c>
      <c r="AO9" s="39">
        <f t="shared" si="2"/>
        <v>6.2E-2</v>
      </c>
      <c r="AP9" s="38">
        <f t="shared" si="3"/>
        <v>0</v>
      </c>
      <c r="AQ9" s="38">
        <f t="shared" si="4"/>
        <v>0</v>
      </c>
      <c r="AR9" s="133">
        <f t="shared" si="5"/>
        <v>0</v>
      </c>
      <c r="AS9" s="40" t="str">
        <f t="shared" si="6"/>
        <v>(See LongTerm85 Sheet)</v>
      </c>
      <c r="AT9" s="35">
        <f t="shared" si="7"/>
        <v>1</v>
      </c>
      <c r="AU9" s="361" t="s">
        <v>578</v>
      </c>
      <c r="AV9" s="339" t="str">
        <f>ADDRESS(ROW($AN$22),COLUMN($AN$22))</f>
        <v>$AN$22</v>
      </c>
      <c r="AW9" s="138" t="str">
        <f t="shared" ca="1" si="8"/>
        <v>$AN$33</v>
      </c>
      <c r="AX9" s="339" t="str">
        <f>ADDRESS(ROW($AP$22),COLUMN($AP$22))</f>
        <v>$AP$22</v>
      </c>
      <c r="AY9" s="138" t="str">
        <f t="shared" ca="1" si="9"/>
        <v>$AP$33</v>
      </c>
    </row>
    <row r="10" spans="1:102" x14ac:dyDescent="0.25">
      <c r="A10" s="270" t="s">
        <v>224</v>
      </c>
      <c r="D10" s="718" t="s">
        <v>154</v>
      </c>
      <c r="E10" s="719"/>
      <c r="F10" s="719"/>
      <c r="G10" s="719"/>
      <c r="H10" s="720"/>
      <c r="K10" s="29">
        <f>SUMPRODUCT(L22:L33,F22:F33)</f>
        <v>4120.688095768619</v>
      </c>
      <c r="L10" s="706" t="s">
        <v>628</v>
      </c>
      <c r="M10" s="707"/>
      <c r="N10" s="352">
        <f ca="1">-SUMPRODUCT(INDIRECT(CONCATENATE(AV10,":",AW10)),INDIRECT(CONCATENATE($AX$7,":",$AY$7)),INDIRECT(CONCATENATE($AV$3,":",$AW$3)))</f>
        <v>-225659.09326571232</v>
      </c>
      <c r="O10" s="352">
        <v>-225615.98</v>
      </c>
      <c r="P10" s="355">
        <f t="shared" ref="P10:P19" ca="1" si="10">N10-O10</f>
        <v>-43.11326571230893</v>
      </c>
      <c r="AF10" s="28"/>
      <c r="AG10" s="103" t="s">
        <v>142</v>
      </c>
      <c r="AH10" s="119" t="b">
        <f>GetGRIFactor($AH$12,$AH$13)</f>
        <v>1</v>
      </c>
      <c r="AI10" s="29"/>
      <c r="AJ10" s="29"/>
      <c r="AK10" s="29"/>
      <c r="AL10" s="34">
        <v>7</v>
      </c>
      <c r="AM10" s="37">
        <f t="shared" si="0"/>
        <v>3500</v>
      </c>
      <c r="AN10" s="38">
        <f t="shared" si="1"/>
        <v>6.2199999999999998E-2</v>
      </c>
      <c r="AO10" s="39">
        <f t="shared" si="2"/>
        <v>6.2E-2</v>
      </c>
      <c r="AP10" s="38">
        <f t="shared" si="3"/>
        <v>0</v>
      </c>
      <c r="AQ10" s="38">
        <f t="shared" si="4"/>
        <v>0</v>
      </c>
      <c r="AR10" s="133">
        <f t="shared" si="5"/>
        <v>0</v>
      </c>
      <c r="AS10" s="40" t="str">
        <f t="shared" si="6"/>
        <v>(See LongTerm85 Sheet)</v>
      </c>
      <c r="AT10" s="35">
        <f t="shared" si="7"/>
        <v>1</v>
      </c>
      <c r="AU10" s="361" t="s">
        <v>577</v>
      </c>
      <c r="AV10" s="339" t="str">
        <f>ADDRESS(ROW($AS$22),COLUMN($AS$22))</f>
        <v>$AS$22</v>
      </c>
      <c r="AW10" s="138" t="str">
        <f t="shared" ca="1" si="8"/>
        <v>$AS$33</v>
      </c>
      <c r="AX10" s="339" t="str">
        <f>ADDRESS(ROW($CC$22),COLUMN($CC$22))</f>
        <v>$CC$22</v>
      </c>
      <c r="AY10" s="138" t="str">
        <f t="shared" ca="1" si="9"/>
        <v>$CC$33</v>
      </c>
    </row>
    <row r="11" spans="1:102" x14ac:dyDescent="0.25">
      <c r="A11" s="270" t="s">
        <v>224</v>
      </c>
      <c r="D11" s="166" t="str">
        <f>IF(ISERROR($AH$13),"Check Contract Index to make sure it is valid","")</f>
        <v/>
      </c>
      <c r="E11" s="167"/>
      <c r="F11" s="168"/>
      <c r="G11" s="168"/>
      <c r="H11" s="169"/>
      <c r="K11" s="29">
        <f>SUMPRODUCT(K22:K33,F22:F33)</f>
        <v>260978.78752813351</v>
      </c>
      <c r="L11" s="704" t="s">
        <v>629</v>
      </c>
      <c r="M11" s="705"/>
      <c r="N11" s="356">
        <f ca="1">-SUMPRODUCT(INDIRECT(CONCATENATE(AV11,":",AW11)),INDIRECT(CONCATENATE($AV$2,":",$AW$2)),INDIRECT(CONCATENATE($AV$3,":",$AW$3)),INDIRECT(CONCATENATE(AX3,":",AY3)))</f>
        <v>-85428</v>
      </c>
      <c r="O11" s="357">
        <v>-85428</v>
      </c>
      <c r="P11" s="358">
        <f t="shared" ca="1" si="10"/>
        <v>0</v>
      </c>
      <c r="X11" s="734" t="s">
        <v>759</v>
      </c>
      <c r="Y11" s="735"/>
      <c r="AL11" s="34">
        <v>8</v>
      </c>
      <c r="AM11" s="37">
        <f t="shared" si="0"/>
        <v>3500</v>
      </c>
      <c r="AN11" s="38">
        <f t="shared" si="1"/>
        <v>6.2199999999999998E-2</v>
      </c>
      <c r="AO11" s="39">
        <f t="shared" si="2"/>
        <v>6.2E-2</v>
      </c>
      <c r="AP11" s="38">
        <f t="shared" si="3"/>
        <v>0</v>
      </c>
      <c r="AQ11" s="38">
        <f t="shared" si="4"/>
        <v>0</v>
      </c>
      <c r="AR11" s="133">
        <f t="shared" si="5"/>
        <v>0</v>
      </c>
      <c r="AS11" s="40" t="str">
        <f t="shared" si="6"/>
        <v>(See LongTerm85 Sheet)</v>
      </c>
      <c r="AT11" s="35">
        <f t="shared" si="7"/>
        <v>1</v>
      </c>
      <c r="AU11" s="361" t="s">
        <v>579</v>
      </c>
      <c r="AV11" s="339" t="str">
        <f>ADDRESS(ROW($AQ$22),COLUMN($AQ$22))</f>
        <v>$AQ$22</v>
      </c>
      <c r="AW11" s="138" t="str">
        <f t="shared" ca="1" si="8"/>
        <v>$AQ$33</v>
      </c>
      <c r="AX11" s="339" t="str">
        <f>ADDRESS(ROW($CD$22),COLUMN($CD$22))</f>
        <v>$CD$22</v>
      </c>
      <c r="AY11" s="138" t="str">
        <f t="shared" ca="1" si="9"/>
        <v>$CD$33</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-3521.56</v>
      </c>
      <c r="P12" s="355">
        <f t="shared" ca="1" si="10"/>
        <v>3521.56</v>
      </c>
      <c r="X12" s="498" t="s">
        <v>760</v>
      </c>
      <c r="Y12" s="499">
        <v>0.80659999999999998</v>
      </c>
      <c r="AG12" s="248" t="s">
        <v>185</v>
      </c>
      <c r="AH12" s="119" t="str">
        <f>GetDBPage($D$2)</f>
        <v>Contract DB (West)</v>
      </c>
      <c r="AL12" s="34">
        <v>9</v>
      </c>
      <c r="AM12" s="37">
        <f t="shared" si="0"/>
        <v>3500</v>
      </c>
      <c r="AN12" s="38">
        <f t="shared" si="1"/>
        <v>6.2199999999999998E-2</v>
      </c>
      <c r="AO12" s="39">
        <f t="shared" si="2"/>
        <v>6.2E-2</v>
      </c>
      <c r="AP12" s="38">
        <f t="shared" si="3"/>
        <v>0</v>
      </c>
      <c r="AQ12" s="38">
        <f t="shared" si="4"/>
        <v>0</v>
      </c>
      <c r="AR12" s="133">
        <f t="shared" si="5"/>
        <v>0</v>
      </c>
      <c r="AS12" s="40" t="str">
        <f t="shared" si="6"/>
        <v>(See LongTerm85 Sheet)</v>
      </c>
      <c r="AT12" s="35">
        <f t="shared" si="7"/>
        <v>1</v>
      </c>
      <c r="AU12" s="361" t="s">
        <v>271</v>
      </c>
      <c r="AV12" s="339" t="str">
        <f>ADDRESS(ROW($X$22),COLUMN($X$22))</f>
        <v>$X$22</v>
      </c>
      <c r="AW12" s="138" t="str">
        <f t="shared" ca="1" si="8"/>
        <v>$X$33</v>
      </c>
      <c r="AX12" s="339" t="str">
        <f>ADDRESS(ROW($CE$22),COLUMN($CE$22))</f>
        <v>$CE$22</v>
      </c>
      <c r="AY12" s="138" t="str">
        <f t="shared" ca="1" si="9"/>
        <v>$CE$33</v>
      </c>
    </row>
    <row r="13" spans="1:102" x14ac:dyDescent="0.25">
      <c r="A13" s="270" t="s">
        <v>224</v>
      </c>
      <c r="D13" s="170"/>
      <c r="E13" s="171"/>
      <c r="F13" s="172"/>
      <c r="G13" s="172"/>
      <c r="H13" s="173"/>
      <c r="L13" s="706" t="s">
        <v>155</v>
      </c>
      <c r="M13" s="707"/>
      <c r="N13" s="352">
        <f t="shared" ca="1" si="11"/>
        <v>0</v>
      </c>
      <c r="O13" s="352">
        <v>0</v>
      </c>
      <c r="P13" s="355">
        <f t="shared" ca="1" si="10"/>
        <v>0</v>
      </c>
      <c r="X13" s="498" t="s">
        <v>761</v>
      </c>
      <c r="AG13" s="248" t="s">
        <v>186</v>
      </c>
      <c r="AH13" s="119">
        <f>GetRecNdx($AH$12,$D$2)</f>
        <v>8</v>
      </c>
      <c r="AL13" s="34">
        <v>10</v>
      </c>
      <c r="AM13" s="37">
        <f t="shared" si="0"/>
        <v>3500</v>
      </c>
      <c r="AN13" s="38">
        <f t="shared" si="1"/>
        <v>6.2199999999999998E-2</v>
      </c>
      <c r="AO13" s="39">
        <f t="shared" si="2"/>
        <v>6.2E-2</v>
      </c>
      <c r="AP13" s="38">
        <f t="shared" si="3"/>
        <v>0</v>
      </c>
      <c r="AQ13" s="38">
        <f t="shared" si="4"/>
        <v>0</v>
      </c>
      <c r="AR13" s="133">
        <f t="shared" si="5"/>
        <v>0</v>
      </c>
      <c r="AS13" s="40" t="str">
        <f t="shared" si="6"/>
        <v>(See LongTerm85 Sheet)</v>
      </c>
      <c r="AT13" s="35">
        <f t="shared" si="7"/>
        <v>1</v>
      </c>
      <c r="AU13" s="361" t="s">
        <v>155</v>
      </c>
      <c r="AV13" s="339" t="str">
        <f>ADDRESS(ROW($Y$22),COLUMN($Y$22))</f>
        <v>$Y$22</v>
      </c>
      <c r="AW13" s="138" t="str">
        <f t="shared" ca="1" si="8"/>
        <v>$Y$33</v>
      </c>
      <c r="AX13" s="339" t="str">
        <f>ADDRESS(ROW($CF$22),COLUMN($CF$22))</f>
        <v>$CF$22</v>
      </c>
      <c r="AY13" s="138" t="str">
        <f t="shared" ca="1" si="9"/>
        <v>$CF$33</v>
      </c>
    </row>
    <row r="14" spans="1:102" x14ac:dyDescent="0.25">
      <c r="A14" s="270" t="s">
        <v>224</v>
      </c>
      <c r="D14" s="170"/>
      <c r="E14" s="171"/>
      <c r="F14" s="172"/>
      <c r="G14" s="172"/>
      <c r="H14" s="173"/>
      <c r="K14" s="185"/>
      <c r="L14" s="706" t="s">
        <v>156</v>
      </c>
      <c r="M14" s="707"/>
      <c r="N14" s="352">
        <f t="shared" ca="1" si="11"/>
        <v>22.825129839266999</v>
      </c>
      <c r="O14" s="352">
        <v>7.43</v>
      </c>
      <c r="P14" s="355">
        <f t="shared" ca="1" si="10"/>
        <v>15.395129839267</v>
      </c>
      <c r="S14" s="181">
        <f>F22/(1-AR22)*AH22*AU22</f>
        <v>114749.73033316844</v>
      </c>
      <c r="T14" s="181">
        <f>F22*AH22*AU22</f>
        <v>107635.24705251197</v>
      </c>
      <c r="X14" s="500" t="s">
        <v>762</v>
      </c>
      <c r="Y14" s="501" t="s">
        <v>763</v>
      </c>
      <c r="AL14" s="34">
        <v>11</v>
      </c>
      <c r="AM14" s="37">
        <f t="shared" si="0"/>
        <v>3500</v>
      </c>
      <c r="AN14" s="38">
        <f t="shared" si="1"/>
        <v>6.2199999999999998E-2</v>
      </c>
      <c r="AO14" s="39">
        <f t="shared" si="2"/>
        <v>6.2E-2</v>
      </c>
      <c r="AP14" s="38">
        <f t="shared" si="3"/>
        <v>0</v>
      </c>
      <c r="AQ14" s="38">
        <f t="shared" si="4"/>
        <v>0</v>
      </c>
      <c r="AR14" s="133">
        <f t="shared" si="5"/>
        <v>0</v>
      </c>
      <c r="AS14" s="40" t="str">
        <f t="shared" si="6"/>
        <v>(See LongTerm85 Sheet)</v>
      </c>
      <c r="AT14" s="35">
        <f t="shared" si="7"/>
        <v>1</v>
      </c>
      <c r="AU14" s="361" t="s">
        <v>156</v>
      </c>
      <c r="AV14" s="339" t="str">
        <f>ADDRESS(ROW($Z$22),COLUMN($Z$22))</f>
        <v>$Z$22</v>
      </c>
      <c r="AW14" s="138" t="str">
        <f t="shared" ca="1" si="8"/>
        <v>$Z$33</v>
      </c>
      <c r="AX14" s="353" t="str">
        <f ca="1">CONCATENATE(AX8,":",AY8)</f>
        <v>$AO$22:$AO$33</v>
      </c>
      <c r="AY14" s="353" t="str">
        <f ca="1">CONCATENATE(AX10,":",AY10)</f>
        <v>$CC$22:$CC$33</v>
      </c>
    </row>
    <row r="15" spans="1:102" ht="13.8" thickBot="1" x14ac:dyDescent="0.3">
      <c r="A15" s="270" t="s">
        <v>224</v>
      </c>
      <c r="D15" s="170"/>
      <c r="E15" s="171"/>
      <c r="F15" s="172"/>
      <c r="G15" s="172"/>
      <c r="H15" s="173"/>
      <c r="L15" s="706" t="s">
        <v>157</v>
      </c>
      <c r="M15" s="707"/>
      <c r="N15" s="352">
        <f t="shared" ca="1" si="11"/>
        <v>2.8343716370730005</v>
      </c>
      <c r="O15" s="352">
        <v>74.569999999999993</v>
      </c>
      <c r="P15" s="355">
        <f t="shared" ca="1" si="10"/>
        <v>-71.735628362926988</v>
      </c>
      <c r="X15" s="502">
        <v>2001</v>
      </c>
      <c r="Y15" s="503">
        <v>3.0000000000000001E-3</v>
      </c>
      <c r="AL15" s="34">
        <v>12</v>
      </c>
      <c r="AM15" s="41">
        <f t="shared" si="0"/>
        <v>3500</v>
      </c>
      <c r="AN15" s="42">
        <f t="shared" si="1"/>
        <v>6.2199999999999998E-2</v>
      </c>
      <c r="AO15" s="43">
        <f t="shared" si="2"/>
        <v>6.2E-2</v>
      </c>
      <c r="AP15" s="42">
        <f t="shared" si="3"/>
        <v>0</v>
      </c>
      <c r="AQ15" s="42">
        <f t="shared" si="4"/>
        <v>0</v>
      </c>
      <c r="AR15" s="134">
        <f t="shared" si="5"/>
        <v>0</v>
      </c>
      <c r="AS15" s="44" t="str">
        <f t="shared" si="6"/>
        <v>(See LongTerm85 Sheet)</v>
      </c>
      <c r="AT15" s="35">
        <f t="shared" si="7"/>
        <v>1</v>
      </c>
      <c r="AU15" s="363" t="s">
        <v>157</v>
      </c>
      <c r="AV15" s="339" t="str">
        <f>ADDRESS(ROW($AA$22),COLUMN($AA$22))</f>
        <v>$AA$22</v>
      </c>
      <c r="AW15" s="138" t="str">
        <f t="shared" ca="1" si="8"/>
        <v>$AA$33</v>
      </c>
      <c r="AX15" s="353" t="str">
        <f ca="1">CONCATENATE(AV8,":",AW8)</f>
        <v>$AM$22:$AM$33</v>
      </c>
      <c r="AY15" s="353" t="str">
        <f ca="1">CONCATENATE(AX11,":",AY11)</f>
        <v>$CD$22:$CD$33</v>
      </c>
    </row>
    <row r="16" spans="1:102" x14ac:dyDescent="0.25">
      <c r="D16" s="174"/>
      <c r="E16" s="175"/>
      <c r="F16" s="176"/>
      <c r="G16" s="176"/>
      <c r="H16" s="177"/>
      <c r="L16" s="706" t="s">
        <v>158</v>
      </c>
      <c r="M16" s="707"/>
      <c r="N16" s="352">
        <f t="shared" ca="1" si="11"/>
        <v>0</v>
      </c>
      <c r="O16" s="352">
        <v>248.82</v>
      </c>
      <c r="P16" s="355">
        <f t="shared" ca="1" si="10"/>
        <v>-248.82</v>
      </c>
      <c r="X16" s="502">
        <v>2002</v>
      </c>
      <c r="Y16" s="503">
        <v>2E-3</v>
      </c>
      <c r="AU16" s="361" t="s">
        <v>158</v>
      </c>
      <c r="AV16" s="339" t="str">
        <f>ADDRESS(ROW($AB$22),COLUMN($AB$22))</f>
        <v>$AB$22</v>
      </c>
      <c r="AW16" s="138" t="str">
        <f t="shared" ca="1" si="8"/>
        <v>$AB$33</v>
      </c>
      <c r="AX16" s="353" t="str">
        <f ca="1">CONCATENATE(AX9,":",AY9)</f>
        <v>$AP$22:$AP$33</v>
      </c>
      <c r="AY16" s="353" t="str">
        <f ca="1">CONCATENATE(AX12,":",AY12)</f>
        <v>$CE$22:$CE$33</v>
      </c>
    </row>
    <row r="17" spans="1:91" x14ac:dyDescent="0.25">
      <c r="D17" s="171"/>
      <c r="E17" s="171"/>
      <c r="F17" s="172"/>
      <c r="G17" s="172"/>
      <c r="H17" s="172"/>
      <c r="L17" s="704" t="s">
        <v>211</v>
      </c>
      <c r="M17" s="705"/>
      <c r="N17" s="356">
        <f t="shared" ca="1" si="11"/>
        <v>48.402062520698408</v>
      </c>
      <c r="O17" s="357">
        <v>16.12</v>
      </c>
      <c r="P17" s="358">
        <f t="shared" ca="1" si="10"/>
        <v>32.282062520698403</v>
      </c>
      <c r="X17" s="504">
        <v>2003</v>
      </c>
      <c r="Y17" s="505">
        <v>1.6000000000000001E-3</v>
      </c>
      <c r="AU17" s="361" t="s">
        <v>211</v>
      </c>
      <c r="AV17" s="339" t="str">
        <f>ADDRESS(ROW($AC$22),COLUMN($AC$22))</f>
        <v>$AC$22</v>
      </c>
      <c r="AW17" s="138" t="str">
        <f t="shared" ca="1" si="8"/>
        <v>$AC$33</v>
      </c>
      <c r="AX17" s="353" t="str">
        <f ca="1">CONCATENATE(AV9,":",AW9)</f>
        <v>$AN$22:$AN$33</v>
      </c>
      <c r="AY17" s="353" t="str">
        <f ca="1">CONCATENATE(AX13,":",AY13)</f>
        <v>$CF$22:$CF$33</v>
      </c>
    </row>
    <row r="18" spans="1:91" x14ac:dyDescent="0.25">
      <c r="D18" s="171"/>
      <c r="E18" s="171"/>
      <c r="F18" s="172"/>
      <c r="G18" s="172"/>
      <c r="H18" s="172"/>
      <c r="L18" s="706" t="s">
        <v>623</v>
      </c>
      <c r="M18" s="707"/>
      <c r="N18" s="352">
        <f ca="1">SUMPRODUCT(INDIRECT(CONCATENATE(AX4,":",AY4)),INDIRECT(CONCATENATE($AV$2,":",$AW$2)),INDIRECT(CONCATENATE($AV$3,":",$AW$3)))</f>
        <v>260978.78752813351</v>
      </c>
      <c r="O18" s="352">
        <v>260931.51</v>
      </c>
      <c r="P18" s="355">
        <f t="shared" ca="1" si="10"/>
        <v>47.277528133505257</v>
      </c>
      <c r="AU18" s="361"/>
      <c r="AV18" s="339"/>
      <c r="AW18" s="138"/>
      <c r="AX18" s="339" t="str">
        <f>ADDRESS(ROW($CI$22),COLUMN($CI$22))</f>
        <v>$CI$22</v>
      </c>
      <c r="AY18" s="138" t="str">
        <f ca="1">GetEnd($AV$1,AX18)</f>
        <v>$CI$33</v>
      </c>
    </row>
    <row r="19" spans="1:91" x14ac:dyDescent="0.25">
      <c r="D19" s="171"/>
      <c r="E19" s="171"/>
      <c r="F19" s="172"/>
      <c r="G19" s="172"/>
      <c r="H19" s="172"/>
      <c r="L19" s="724" t="s">
        <v>624</v>
      </c>
      <c r="M19" s="725"/>
      <c r="N19" s="359">
        <f ca="1">SUMPRODUCT(INDIRECT(CONCATENATE(AX5,":",AY5)),INDIRECT(CONCATENATE($AV$2,":",$AW$2)),INDIRECT(CONCATENATE($AV$3,":",$AW$3)))</f>
        <v>4120.688095768619</v>
      </c>
      <c r="O19" s="359">
        <v>4142.3900000000003</v>
      </c>
      <c r="P19" s="360">
        <f t="shared" ca="1" si="10"/>
        <v>-21.701904231381377</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-547032.5</v>
      </c>
      <c r="AW20" s="353">
        <f ca="1">SUMPRODUCT(INDIRECT(CONCATENATE(AX8,":",AY8)),INDIRECT(CONCATENATE($AV$2,":",$AW$2)),INDIRECT(CONCATENATE($AV$3,":",$AW$3)),INDIRECT(CONCATENATE(AX3,":",AY3)))</f>
        <v>55930</v>
      </c>
      <c r="AX20" s="353">
        <f ca="1">SUMPRODUCT(INDIRECT(CONCATENATE(AV9,":",AW9)),INDIRECT(CONCATENATE($AV$2,":",$AW$2)),INDIRECT(CONCATENATE($AV$3,":",$AW$3)),INDIRECT(CONCATENATE(AX3,":",AY3)))</f>
        <v>27413.75</v>
      </c>
      <c r="AY20" s="353">
        <f ca="1">SUMPRODUCT(INDIRECT(CONCATENATE(AX9,":",AY9)),INDIRECT(CONCATENATE($AV$2,":",$AW$2)),INDIRECT(CONCATENATE($AV$3,":",$AW$3)),INDIRECT(CONCATENATE(AX3,":",AY3)))</f>
        <v>6230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37391</v>
      </c>
      <c r="F22" s="28">
        <f t="shared" ref="F22:F33" si="12">VLOOKUP(AG22,$AL$4:$AS$15,2)</f>
        <v>3500</v>
      </c>
      <c r="G22" s="28">
        <f t="shared" ref="G22:G33" si="13">F22*$AU22</f>
        <v>3472.1047436294184</v>
      </c>
      <c r="H22" s="52">
        <f t="shared" ref="H22:H33" si="14">(AL22+AM22+AN22)/(1-(AR22))</f>
        <v>2.5437100213219614</v>
      </c>
      <c r="I22" s="52">
        <f t="shared" ref="I22:I33" si="15">(AL22+AO22+AP22)</f>
        <v>2.8160000000000003</v>
      </c>
      <c r="K22" s="52">
        <f t="shared" ref="K22:K33" si="16">MAX(((I22-H22)-AQ22)*AU22*AH22,0)</f>
        <v>6.3071172922871783</v>
      </c>
      <c r="L22" s="135">
        <f t="shared" ref="L22:L33" si="17">MAX(Q22-K22,0)</f>
        <v>5.4362691780163175E-5</v>
      </c>
      <c r="N22" s="131">
        <f t="shared" ref="N22:N33" si="18">SQRT(($AX22^2*($AH22/2)+$AW22^2*$AI22)/(($AH22/2)+$AI22))</f>
        <v>0.60151273173988828</v>
      </c>
      <c r="O22" s="131">
        <f t="shared" ref="O22:O33" si="19">SQRT(($AY22^2*($AH22/2)+$AW22^2*$AI22)/(($AH22/2)+$AI22))</f>
        <v>0.60151273173988828</v>
      </c>
      <c r="P22" s="55">
        <f t="shared" ref="P22:P33" si="20">(VLOOKUP(AI22,CorrelationTwo,2)*(AW22^2)*AI22+VLOOKUP(D22,CorrelationOne,$AK$9)*AX22*AY22*(AH22/2))/((AI22+(AH22/2))*O22*N22)*AF22</f>
        <v>0.99999999999999978</v>
      </c>
      <c r="Q22" s="135">
        <f>_xll.xSPRDOPT(I22,H22,AQ22,0,O22,N22,P22,D22-$G$5,1,0)*AH22*AU22</f>
        <v>6.3071716549789585</v>
      </c>
      <c r="R22" s="135"/>
      <c r="S22" s="181">
        <f>_xll.xSPRDOPT(I22,H22,AQ22,AT22,O22,N22,P22,D22-$G$5,1,2)*AF22*(F22/(1-AR22))*AH22</f>
        <v>-114738.21392762975</v>
      </c>
      <c r="T22" s="181">
        <f>_xll.xSPRDOPT(I22,H22,AQ22,AT22,O22,N22,P22,D22-$G$5,1,1)*AF22*F22*AH22</f>
        <v>107624.4446641167</v>
      </c>
      <c r="U22" s="135"/>
      <c r="V22" s="146">
        <f>($Y$12+VLOOKUP(YEAR(D22),$X$15:$Y$17,2,FALSE))*AH22*AU22</f>
        <v>24.866817361903195</v>
      </c>
      <c r="W22" s="146"/>
      <c r="X22" s="338">
        <f t="shared" ref="X22:X33" si="21">((BM22*BC22)+(BL22*BB22))*AH22*F22</f>
        <v>0</v>
      </c>
      <c r="Y22" s="338">
        <f t="shared" ref="Y22:Y33" si="22">($F22*$AH22)*((($BG22/2)*($BC22)^2)+(($BF22/2)*($BB22)^2)+($BH22*$BC22*$BB22))</f>
        <v>0</v>
      </c>
      <c r="Z22" s="338">
        <f t="shared" ref="Z22:Z33" si="23">($BI22*$F22*$AH22*($G$5-$BV$5))/365.25</f>
        <v>3.5284452594935733</v>
      </c>
      <c r="AA22" s="338">
        <f t="shared" ref="AA22:AA33" si="24">(($BK22*$BE22)+($BJ22*$BD22))*$F22*$AH22*$AF22</f>
        <v>2.1407959027481206E-3</v>
      </c>
      <c r="AB22" s="338">
        <f t="shared" ref="AB22:AB33" si="25">BN22*(AT22-CA22)*F22*AH22</f>
        <v>0</v>
      </c>
      <c r="AC22" s="338">
        <f t="shared" ref="AC22:AC33" si="26">BO22*CB22*F22*AH22*CA22*($G$5-$BV$5)/365.25</f>
        <v>3.5735385222797031</v>
      </c>
      <c r="AF22" s="138">
        <f t="shared" ref="AF22:AF33" si="27">IF(AND(D22&gt;=$G$7,D22&lt;=$G$8),1,0)</f>
        <v>1</v>
      </c>
      <c r="AG22" s="138">
        <f t="shared" ref="AG22:AG33" si="28">MONTH(D22)</f>
        <v>5</v>
      </c>
      <c r="AH22" s="138">
        <f t="shared" ref="AH22:AH33" si="29">(EOMONTH(D22,0)-EOMONTH(D22-DAY(D22),0))*AF22</f>
        <v>31</v>
      </c>
      <c r="AI22" s="138">
        <f>MAX(0,(D22-DAY(D22))-$G$5+1)</f>
        <v>135</v>
      </c>
      <c r="AJ22" s="138">
        <f t="shared" ref="AJ22:AJ33" si="30">D22-$BV$5</f>
        <v>152</v>
      </c>
      <c r="AL22" s="136">
        <f t="shared" ref="AL22:AL33" si="31">VLOOKUP($D22,CurveTbl,$AK$4)</f>
        <v>2.8959999999999999</v>
      </c>
      <c r="AM22" s="258">
        <f t="shared" ref="AM22:AM33" si="32">VLOOKUP($D22,CurveTbl,$AH$3)</f>
        <v>-0.53</v>
      </c>
      <c r="AN22" s="258">
        <f t="shared" ref="AN22:AN33" si="33">VLOOKUP($D22,CurveTbl,$AH$4)+VLOOKUP($AG22,$AL$3:$AS$15,6)</f>
        <v>0.02</v>
      </c>
      <c r="AO22" s="258">
        <f t="shared" ref="AO22:AO33" si="34">VLOOKUP($D22,CurveTbl,$AH$5)</f>
        <v>-7.0000000000000007E-2</v>
      </c>
      <c r="AP22" s="258">
        <f t="shared" ref="AP22:AP33" si="35">VLOOKUP($D22,CurveTbl,$AH$6)+VLOOKUP($AG22,$AL$3:$AS$15,7)</f>
        <v>-0.01</v>
      </c>
      <c r="AQ22" s="136">
        <f t="shared" ref="AQ22:AQ33" si="36">VLOOKUP($AG22,$AL$4:$AS$15,3)+VLOOKUP($AG22,$AL$4:$AS$15,5)+($AH$10*VLOOKUP(D22,GRITable,2))</f>
        <v>6.7199999999999996E-2</v>
      </c>
      <c r="AR22" s="137">
        <f t="shared" ref="AR22:AR33" si="37">VLOOKUP($AG22,$AL$4:$AS$15,4)</f>
        <v>6.2E-2</v>
      </c>
      <c r="AS22" s="136">
        <f t="shared" ref="AS22:AS33" si="38">(AL22+AM22+AN22)</f>
        <v>2.3859999999999997</v>
      </c>
      <c r="AT22" s="137">
        <f t="shared" ref="AT22:AT33" si="39">VLOOKUP(D22,CurveTbl,$AK$6)</f>
        <v>1.9712159578257001E-2</v>
      </c>
      <c r="AU22" s="137">
        <f t="shared" ref="AU22:AU33" si="40">(1+$AT22/2)^(-2*($D22-$G$5)/365.25)*$AF22</f>
        <v>0.99202992675126245</v>
      </c>
      <c r="AV22" s="394">
        <f t="shared" ref="AV22:AV33" si="41">ROUND((F22/(1-AR22))-F22,0)*AF22*AH22*AU22</f>
        <v>7103.9263054657904</v>
      </c>
      <c r="AW22" s="137">
        <f t="shared" ref="AW22:AW33" si="42">VLOOKUP($D22,CurveTbl,$AK$8)</f>
        <v>0.57750000000000001</v>
      </c>
      <c r="AX22" s="137">
        <f t="shared" ref="AX22:AX33" si="43">VLOOKUP($D22,CurveTbl,$AH$7)</f>
        <v>0.78</v>
      </c>
      <c r="AY22" s="137">
        <f t="shared" ref="AY22:AY33" si="44">VLOOKUP($D22,CurveTbl,$AH$8)</f>
        <v>0.78</v>
      </c>
      <c r="AZ22" s="137"/>
      <c r="BA22" s="264"/>
      <c r="BB22" s="258">
        <f t="shared" ref="BB22:BB33" si="45">$H22-$BV22</f>
        <v>0</v>
      </c>
      <c r="BC22" s="258">
        <f t="shared" ref="BC22:BC33" si="46">I22-BW22</f>
        <v>0</v>
      </c>
      <c r="BD22" s="137">
        <f t="shared" ref="BD22:BD33" si="47">N22-BX22</f>
        <v>4.6011273358848026E-4</v>
      </c>
      <c r="BE22" s="137">
        <f t="shared" ref="BE22:BE33" si="48">O22-BY22</f>
        <v>4.6011273358848026E-4</v>
      </c>
      <c r="BF22" s="137">
        <f>_xll.xSPRDOPT($BW22,$BV22,$CG22,0,$BY22,$BX22,$BZ22,$AJ22,1,4)*$CB22</f>
        <v>-2.3648026217035498E-7</v>
      </c>
      <c r="BG22" s="137">
        <f>_xll.xSPRDOPT($BW22,$BV22,$CG22,0,$BY22,$BX22,$BZ22,$AJ22,1,3)*$CB22</f>
        <v>1.1824013108517749E-7</v>
      </c>
      <c r="BH22" s="137">
        <f>IF(OR(BF22&lt;&gt;0,BG22&lt;&gt;0),_xll.xSPRDOPT($BW22,$BV22,$CG22,0,$BY22,$BX22,$BZ22,$AJ22,1,12)*$CB22,0)</f>
        <v>-2.0692022939906061E-7</v>
      </c>
      <c r="BI22" s="137">
        <f>_xll.xSPRDOPT($BW22,$BV22,$CG22,2*LN(1+CA22/2),$BY22,$BX22,$BZ22,$AJ22,1,9)</f>
        <v>3.9593383441782724E-3</v>
      </c>
      <c r="BJ22" s="137">
        <f>_xll.xSPRDOPT($BW22,$BV22,$CG22,0,$BY22,$BX22,$BZ22,$AJ22,1,6)*$CB22</f>
        <v>-4.0060573079942564E-4</v>
      </c>
      <c r="BK22" s="137">
        <f>_xll.xSPRDOPT($BW22,$BV22,$CG22,0,$BY22,$BX22,$BZ22,$AJ22,1,5)*$CB22</f>
        <v>4.4348834710839695E-4</v>
      </c>
      <c r="BL22" s="137">
        <f>_xll.xSPRDOPT(BW22,BV22,CG22,0,BY22,BX22,BZ22,AJ22,1,2)*CB22</f>
        <v>-0.99181048391914717</v>
      </c>
      <c r="BM22" s="137">
        <f>_xll.xSPRDOPT(BW22,BV22,CG22,0,BY22,BX22,BZ22,AJ22,1,1)*CB22</f>
        <v>0.99181048391914717</v>
      </c>
      <c r="BN22" s="137">
        <f>IF(AH22&lt;&gt;0,_xll.xSPRDOPT($BW22,$BV22,$CG22,2*LN(1+CA22/2),$BY22,$BX22,$BZ22,$AJ22,1,8)+(AJ22/365.25)*CH22/AH22,0)</f>
        <v>0.24911002629402662</v>
      </c>
      <c r="BO22" s="137">
        <f>_xll.xSPRDOPT($BW22,$BV22,$CG22,0,$BY22,$BX22,$BZ22,$AJ22,1,0)</f>
        <v>0.20509198606222828</v>
      </c>
      <c r="BP22" s="137"/>
      <c r="BQ22" s="137"/>
      <c r="BR22" s="137"/>
      <c r="BS22" s="137"/>
      <c r="BV22" s="262">
        <v>2.5437100213219614</v>
      </c>
      <c r="BW22" s="136">
        <v>2.8160000000000003</v>
      </c>
      <c r="BX22" s="137">
        <v>0.6010526190062998</v>
      </c>
      <c r="BY22" s="137">
        <v>0.6010526190062998</v>
      </c>
      <c r="BZ22" s="137">
        <v>1</v>
      </c>
      <c r="CA22" s="137">
        <v>1.9712159578257001E-2</v>
      </c>
      <c r="CB22" s="137">
        <v>0.99187010954216859</v>
      </c>
      <c r="CC22" s="258">
        <v>-0.53</v>
      </c>
      <c r="CD22" s="258">
        <v>0.02</v>
      </c>
      <c r="CE22" s="258">
        <v>-7.0000000000000007E-2</v>
      </c>
      <c r="CF22" s="258">
        <v>-0.01</v>
      </c>
      <c r="CG22" s="258">
        <v>6.7199999999999996E-2</v>
      </c>
      <c r="CH22" s="258">
        <v>24.862811287849723</v>
      </c>
      <c r="CI22" s="258">
        <v>2.8959999999999999</v>
      </c>
      <c r="CJ22" s="258"/>
      <c r="CK22" s="258"/>
      <c r="CL22" s="258"/>
      <c r="CM22" s="258"/>
    </row>
    <row r="23" spans="1:91" x14ac:dyDescent="0.25">
      <c r="A23" s="723"/>
      <c r="B23" s="723"/>
      <c r="D23" s="31">
        <f t="shared" ref="D23:D33" si="49">D22+AH22</f>
        <v>37422</v>
      </c>
      <c r="F23" s="28">
        <f t="shared" si="12"/>
        <v>3500</v>
      </c>
      <c r="G23" s="28">
        <f t="shared" si="13"/>
        <v>3465.8230355809605</v>
      </c>
      <c r="H23" s="52">
        <f t="shared" si="14"/>
        <v>2.5970149253731347</v>
      </c>
      <c r="I23" s="52">
        <f t="shared" si="15"/>
        <v>2.8860000000000006</v>
      </c>
      <c r="K23" s="52">
        <f t="shared" si="16"/>
        <v>6.5885813193414355</v>
      </c>
      <c r="L23" s="135">
        <f t="shared" si="17"/>
        <v>7.2538614969808179E-5</v>
      </c>
      <c r="N23" s="131">
        <f t="shared" si="18"/>
        <v>0.58231552220708915</v>
      </c>
      <c r="O23" s="131">
        <f t="shared" si="19"/>
        <v>0.58231552220708915</v>
      </c>
      <c r="P23" s="55">
        <f t="shared" si="20"/>
        <v>1</v>
      </c>
      <c r="Q23" s="135">
        <f>_xll.xSPRDOPT(I23,H23,AQ23,0,O23,N23,P23,D23-$G$5,1,0)*AH23*AU23</f>
        <v>6.5886538579564053</v>
      </c>
      <c r="R23" s="135"/>
      <c r="S23" s="181">
        <f>_xll.xSPRDOPT(I23,H23,AQ23,AT23,O23,N23,P23,D23-$G$5,1,2)*AF23*(F23/(1-AR23))*AH23</f>
        <v>-110835.67445863463</v>
      </c>
      <c r="T23" s="181">
        <f>_xll.xSPRDOPT(I23,H23,AQ23,AT23,O23,N23,P23,D23-$G$5,1,1)*AF23*F23*AH23</f>
        <v>103963.86264148305</v>
      </c>
      <c r="U23" s="135"/>
      <c r="V23" s="146">
        <f t="shared" ref="V23:V33" si="50">($Y$12+VLOOKUP(YEAR(D23),$X$15:$Y$17,2,FALSE))*AH23*AU23</f>
        <v>24.021124342035126</v>
      </c>
      <c r="W23" s="146"/>
      <c r="X23" s="338">
        <f t="shared" si="21"/>
        <v>0</v>
      </c>
      <c r="Y23" s="338">
        <f t="shared" si="22"/>
        <v>0</v>
      </c>
      <c r="Z23" s="338">
        <f t="shared" si="23"/>
        <v>3.748092730872385</v>
      </c>
      <c r="AA23" s="338">
        <f t="shared" si="24"/>
        <v>2.6273693202597146E-3</v>
      </c>
      <c r="AB23" s="338">
        <f t="shared" si="25"/>
        <v>0</v>
      </c>
      <c r="AC23" s="338">
        <f t="shared" si="26"/>
        <v>3.7896671724100761</v>
      </c>
      <c r="AF23" s="138">
        <f t="shared" si="27"/>
        <v>1</v>
      </c>
      <c r="AG23" s="138">
        <f t="shared" si="28"/>
        <v>6</v>
      </c>
      <c r="AH23" s="138">
        <f t="shared" si="29"/>
        <v>30</v>
      </c>
      <c r="AI23" s="138">
        <f t="shared" ref="AI23:AI33" si="51">AI22+AH22</f>
        <v>166</v>
      </c>
      <c r="AJ23" s="138">
        <f t="shared" si="30"/>
        <v>183</v>
      </c>
      <c r="AL23" s="136">
        <f t="shared" si="31"/>
        <v>2.9460000000000002</v>
      </c>
      <c r="AM23" s="258">
        <f t="shared" si="32"/>
        <v>-0.53</v>
      </c>
      <c r="AN23" s="258">
        <f t="shared" si="33"/>
        <v>0.02</v>
      </c>
      <c r="AO23" s="258">
        <f t="shared" si="34"/>
        <v>-0.05</v>
      </c>
      <c r="AP23" s="258">
        <f t="shared" si="35"/>
        <v>-0.01</v>
      </c>
      <c r="AQ23" s="136">
        <f t="shared" si="36"/>
        <v>6.7199999999999996E-2</v>
      </c>
      <c r="AR23" s="137">
        <f t="shared" si="37"/>
        <v>6.2E-2</v>
      </c>
      <c r="AS23" s="136">
        <f t="shared" si="38"/>
        <v>2.4360000000000004</v>
      </c>
      <c r="AT23" s="137">
        <f t="shared" si="39"/>
        <v>2.0011329715354399E-2</v>
      </c>
      <c r="AU23" s="137">
        <f t="shared" si="40"/>
        <v>0.99023515302313159</v>
      </c>
      <c r="AV23" s="394">
        <f t="shared" si="41"/>
        <v>6862.3296104503015</v>
      </c>
      <c r="AW23" s="137">
        <f t="shared" si="42"/>
        <v>0.54749999999999999</v>
      </c>
      <c r="AX23" s="137">
        <f t="shared" si="43"/>
        <v>0.88</v>
      </c>
      <c r="AY23" s="137">
        <f t="shared" si="44"/>
        <v>0.88</v>
      </c>
      <c r="AZ23" s="137"/>
      <c r="BA23" s="264"/>
      <c r="BB23" s="258">
        <f t="shared" si="45"/>
        <v>0</v>
      </c>
      <c r="BC23" s="258">
        <f t="shared" si="46"/>
        <v>0</v>
      </c>
      <c r="BD23" s="137">
        <f t="shared" si="47"/>
        <v>5.509358258010133E-4</v>
      </c>
      <c r="BE23" s="137">
        <f t="shared" si="48"/>
        <v>5.509358258010133E-4</v>
      </c>
      <c r="BF23" s="137">
        <f>_xll.xSPRDOPT($BW23,$BV23,$CG23,0,$BY23,$BX23,$BZ23,$AJ23,1,4)*$CB23</f>
        <v>5.9012962342328848E-7</v>
      </c>
      <c r="BG23" s="137">
        <f>_xll.xSPRDOPT($BW23,$BV23,$CG23,0,$BY23,$BX23,$BZ23,$AJ23,1,3)*$CB23</f>
        <v>1.7703888702698654E-7</v>
      </c>
      <c r="BH23" s="137">
        <f>IF(OR(BF23&lt;&gt;0,BG23&lt;&gt;0),_xll.xSPRDOPT($BW23,$BV23,$CG23,0,$BY23,$BX23,$BZ23,$AJ23,1,12)*$CB23,0)</f>
        <v>-1.4753240585582212E-7</v>
      </c>
      <c r="BI23" s="137">
        <f>_xll.xSPRDOPT($BW23,$BV23,$CG23,2*LN(1+CA23/2),$BY23,$BX23,$BZ23,$AJ23,1,9)</f>
        <v>4.3460027617496467E-3</v>
      </c>
      <c r="BJ23" s="137">
        <f>_xll.xSPRDOPT($BW23,$BV23,$CG23,0,$BY23,$BX23,$BZ23,$AJ23,1,6)*$CB23</f>
        <v>-4.0815939063350276E-4</v>
      </c>
      <c r="BK23" s="137">
        <f>_xll.xSPRDOPT($BW23,$BV23,$CG23,0,$BY23,$BX23,$BZ23,$AJ23,1,5)*$CB23</f>
        <v>4.5357768398640602E-4</v>
      </c>
      <c r="BL23" s="137">
        <f>_xll.xSPRDOPT(BW23,BV23,CG23,0,BY23,BX23,BZ23,AJ23,1,2)*CB23</f>
        <v>-0.990019295723227</v>
      </c>
      <c r="BM23" s="137">
        <f>_xll.xSPRDOPT(BW23,BV23,CG23,0,BY23,BX23,BZ23,AJ23,1,1)*CB23</f>
        <v>0.99001929571692371</v>
      </c>
      <c r="BN23" s="137">
        <f>IF(AH23&lt;&gt;0,_xll.xSPRDOPT($BW23,$BV23,$CG23,2*LN(1+CA23/2),$BY23,$BX23,$BZ23,$AJ23,1,8)+(AJ23/365.25)*CH23/AH23,0)</f>
        <v>0.29109006053960751</v>
      </c>
      <c r="BO23" s="137">
        <f>_xll.xSPRDOPT($BW23,$BV23,$CG23,0,$BY23,$BX23,$BZ23,$AJ23,1,0)</f>
        <v>0.22178771215221027</v>
      </c>
      <c r="BP23" s="137"/>
      <c r="BQ23" s="137"/>
      <c r="BR23" s="137"/>
      <c r="BS23" s="137"/>
      <c r="BV23" s="262">
        <v>2.5970149253731347</v>
      </c>
      <c r="BW23" s="136">
        <v>2.8860000000000006</v>
      </c>
      <c r="BX23" s="137">
        <v>0.58176458638128814</v>
      </c>
      <c r="BY23" s="137">
        <v>0.58176458638128814</v>
      </c>
      <c r="BZ23" s="137">
        <v>1</v>
      </c>
      <c r="CA23" s="137">
        <v>2.0011329715354399E-2</v>
      </c>
      <c r="CB23" s="137">
        <v>0.99007321601711695</v>
      </c>
      <c r="CC23" s="258">
        <v>-0.53</v>
      </c>
      <c r="CD23" s="258">
        <v>0.02</v>
      </c>
      <c r="CE23" s="258">
        <v>-0.05</v>
      </c>
      <c r="CF23" s="258">
        <v>-0.01</v>
      </c>
      <c r="CG23" s="258">
        <v>6.7199999999999996E-2</v>
      </c>
      <c r="CH23" s="258">
        <v>24.017196074143222</v>
      </c>
      <c r="CI23" s="258">
        <v>2.9460000000000002</v>
      </c>
      <c r="CJ23" s="258"/>
      <c r="CK23" s="258"/>
      <c r="CL23" s="258"/>
      <c r="CM23" s="258"/>
    </row>
    <row r="24" spans="1:91" x14ac:dyDescent="0.25">
      <c r="A24" s="723"/>
      <c r="B24" s="723"/>
      <c r="D24" s="31">
        <f t="shared" si="49"/>
        <v>37452</v>
      </c>
      <c r="F24" s="28">
        <f t="shared" si="12"/>
        <v>3500</v>
      </c>
      <c r="G24" s="28">
        <f t="shared" si="13"/>
        <v>3459.3376335630892</v>
      </c>
      <c r="H24" s="52">
        <f t="shared" si="14"/>
        <v>2.6268656716417911</v>
      </c>
      <c r="I24" s="52">
        <f t="shared" si="15"/>
        <v>3.0890000000000004</v>
      </c>
      <c r="K24" s="52">
        <f t="shared" si="16"/>
        <v>12.100727637468855</v>
      </c>
      <c r="L24" s="135">
        <f t="shared" si="17"/>
        <v>3.6624517942840384E-6</v>
      </c>
      <c r="N24" s="131">
        <f t="shared" si="18"/>
        <v>0.57401256565681114</v>
      </c>
      <c r="O24" s="131">
        <f t="shared" si="19"/>
        <v>0.57401256565681114</v>
      </c>
      <c r="P24" s="55">
        <f t="shared" si="20"/>
        <v>0.99999999999999978</v>
      </c>
      <c r="Q24" s="135">
        <f>_xll.xSPRDOPT(I24,H24,AQ24,0,O24,N24,P24,D24-$G$5,1,0)*AH24*AU24</f>
        <v>12.10073129992065</v>
      </c>
      <c r="R24" s="135"/>
      <c r="S24" s="181">
        <f>_xll.xSPRDOPT(I24,H24,AQ24,AT24,O24,N24,P24,D24-$G$5,1,2)*AF24*(F24/(1-AR24))*AH24</f>
        <v>-114320.7645799039</v>
      </c>
      <c r="T24" s="181">
        <f>_xll.xSPRDOPT(I24,H24,AQ24,AT24,O24,N24,P24,D24-$G$5,1,1)*AF24*F24*AH24</f>
        <v>107232.87717673929</v>
      </c>
      <c r="U24" s="135"/>
      <c r="V24" s="146">
        <f t="shared" si="50"/>
        <v>24.775380778706438</v>
      </c>
      <c r="W24" s="146"/>
      <c r="X24" s="338">
        <f t="shared" si="21"/>
        <v>0</v>
      </c>
      <c r="Y24" s="338">
        <f t="shared" si="22"/>
        <v>0</v>
      </c>
      <c r="Z24" s="338">
        <f t="shared" si="23"/>
        <v>7.067748259466172</v>
      </c>
      <c r="AA24" s="338">
        <f t="shared" si="24"/>
        <v>1.5159735926275543E-4</v>
      </c>
      <c r="AB24" s="338">
        <f t="shared" si="25"/>
        <v>0</v>
      </c>
      <c r="AC24" s="338">
        <f t="shared" si="26"/>
        <v>7.1052185729893358</v>
      </c>
      <c r="AF24" s="138">
        <f t="shared" si="27"/>
        <v>1</v>
      </c>
      <c r="AG24" s="138">
        <f t="shared" si="28"/>
        <v>7</v>
      </c>
      <c r="AH24" s="138">
        <f t="shared" si="29"/>
        <v>31</v>
      </c>
      <c r="AI24" s="138">
        <f t="shared" si="51"/>
        <v>196</v>
      </c>
      <c r="AJ24" s="138">
        <f t="shared" si="30"/>
        <v>213</v>
      </c>
      <c r="AL24" s="136">
        <f t="shared" si="31"/>
        <v>2.984</v>
      </c>
      <c r="AM24" s="258">
        <f t="shared" si="32"/>
        <v>-0.54</v>
      </c>
      <c r="AN24" s="258">
        <f t="shared" si="33"/>
        <v>0.02</v>
      </c>
      <c r="AO24" s="258">
        <f t="shared" si="34"/>
        <v>0.115</v>
      </c>
      <c r="AP24" s="258">
        <f t="shared" si="35"/>
        <v>-0.01</v>
      </c>
      <c r="AQ24" s="136">
        <f t="shared" si="36"/>
        <v>6.7199999999999996E-2</v>
      </c>
      <c r="AR24" s="137">
        <f t="shared" si="37"/>
        <v>6.2E-2</v>
      </c>
      <c r="AS24" s="136">
        <f t="shared" si="38"/>
        <v>2.464</v>
      </c>
      <c r="AT24" s="137">
        <f t="shared" si="39"/>
        <v>2.0428629809483099E-2</v>
      </c>
      <c r="AU24" s="137">
        <f t="shared" si="40"/>
        <v>0.98838218101802544</v>
      </c>
      <c r="AV24" s="394">
        <f t="shared" si="41"/>
        <v>7077.80479827008</v>
      </c>
      <c r="AW24" s="137">
        <f t="shared" si="42"/>
        <v>0.54249999999999998</v>
      </c>
      <c r="AX24" s="137">
        <f t="shared" si="43"/>
        <v>0.88</v>
      </c>
      <c r="AY24" s="137">
        <f t="shared" si="44"/>
        <v>0.88</v>
      </c>
      <c r="AZ24" s="137"/>
      <c r="BA24" s="264"/>
      <c r="BB24" s="258">
        <f t="shared" si="45"/>
        <v>0</v>
      </c>
      <c r="BC24" s="258">
        <f t="shared" si="46"/>
        <v>0</v>
      </c>
      <c r="BD24" s="137">
        <f t="shared" si="47"/>
        <v>4.2879744083457183E-4</v>
      </c>
      <c r="BE24" s="137">
        <f t="shared" si="48"/>
        <v>4.2879744083457183E-4</v>
      </c>
      <c r="BF24" s="137">
        <f>_xll.xSPRDOPT($BW24,$BV24,$CG24,0,$BY24,$BX24,$BZ24,$AJ24,1,4)*$CB24</f>
        <v>5.890233479742577E-7</v>
      </c>
      <c r="BG24" s="137">
        <f>_xll.xSPRDOPT($BW24,$BV24,$CG24,0,$BY24,$BX24,$BZ24,$AJ24,1,3)*$CB24</f>
        <v>8.246326871639608E-7</v>
      </c>
      <c r="BH24" s="137">
        <f>IF(OR(BF24&lt;&gt;0,BG24&lt;&gt;0),_xll.xSPRDOPT($BW24,$BV24,$CG24,0,$BY24,$BX24,$BZ24,$AJ24,1,12)*$CB24,0)</f>
        <v>-7.068280175691092E-7</v>
      </c>
      <c r="BI24" s="137">
        <f>_xll.xSPRDOPT($BW24,$BV24,$CG24,2*LN(1+CA24/2),$BY24,$BX24,$BZ24,$AJ24,1,9)</f>
        <v>7.9308603741014422E-3</v>
      </c>
      <c r="BJ24" s="137">
        <f>_xll.xSPRDOPT($BW24,$BV24,$CG24,0,$BY24,$BX24,$BZ24,$AJ24,1,6)*$CB24</f>
        <v>-1.8521665775052901E-5</v>
      </c>
      <c r="BK24" s="137">
        <f>_xll.xSPRDOPT($BW24,$BV24,$CG24,0,$BY24,$BX24,$BZ24,$AJ24,1,5)*$CB24</f>
        <v>2.1780105661564247E-5</v>
      </c>
      <c r="BL24" s="137">
        <f>_xll.xSPRDOPT(BW24,BV24,CG24,0,BY24,BX24,BZ24,AJ24,1,2)*CB24</f>
        <v>-0.98821537371085366</v>
      </c>
      <c r="BM24" s="137">
        <f>_xll.xSPRDOPT(BW24,BV24,CG24,0,BY24,BX24,BZ24,AJ24,1,1)*CB24</f>
        <v>0.98821537371624635</v>
      </c>
      <c r="BN24" s="137">
        <f>IF(AH24&lt;&gt;0,_xll.xSPRDOPT($BW24,$BV24,$CG24,2*LN(1+CA24/2),$BY24,$BX24,$BZ24,$AJ24,1,8)+(AJ24/365.25)*CH24/AH24,0)</f>
        <v>0.2383916989053731</v>
      </c>
      <c r="BO24" s="137">
        <f>_xll.xSPRDOPT($BW24,$BV24,$CG24,0,$BY24,$BX24,$BZ24,$AJ24,1,0)</f>
        <v>0.39493445993076265</v>
      </c>
      <c r="BP24" s="137"/>
      <c r="BQ24" s="137"/>
      <c r="BR24" s="137"/>
      <c r="BS24" s="137"/>
      <c r="BV24" s="262">
        <v>2.6268656716417911</v>
      </c>
      <c r="BW24" s="136">
        <v>3.0890000000000004</v>
      </c>
      <c r="BX24" s="137">
        <v>0.57358376821597656</v>
      </c>
      <c r="BY24" s="137">
        <v>0.57358376821597656</v>
      </c>
      <c r="BZ24" s="137">
        <v>1</v>
      </c>
      <c r="CA24" s="137">
        <v>2.0428629809483099E-2</v>
      </c>
      <c r="CB24" s="137">
        <v>0.98821719380072837</v>
      </c>
      <c r="CC24" s="258">
        <v>-0.54</v>
      </c>
      <c r="CD24" s="258">
        <v>0.02</v>
      </c>
      <c r="CE24" s="258">
        <v>0.115</v>
      </c>
      <c r="CF24" s="258">
        <v>-0.01</v>
      </c>
      <c r="CG24" s="258">
        <v>6.7199999999999996E-2</v>
      </c>
      <c r="CH24" s="258">
        <v>24.771245110125339</v>
      </c>
      <c r="CI24" s="258">
        <v>2.984</v>
      </c>
      <c r="CJ24" s="258"/>
      <c r="CK24" s="258"/>
      <c r="CL24" s="258"/>
      <c r="CM24" s="258"/>
    </row>
    <row r="25" spans="1:91" x14ac:dyDescent="0.25">
      <c r="A25" s="723"/>
      <c r="B25" s="723"/>
      <c r="D25" s="31">
        <f t="shared" si="49"/>
        <v>37483</v>
      </c>
      <c r="F25" s="28">
        <f t="shared" si="12"/>
        <v>3500</v>
      </c>
      <c r="G25" s="28">
        <f t="shared" si="13"/>
        <v>3451.9403675673057</v>
      </c>
      <c r="H25" s="52">
        <f t="shared" si="14"/>
        <v>2.6716417910447761</v>
      </c>
      <c r="I25" s="52">
        <f t="shared" si="15"/>
        <v>3.141</v>
      </c>
      <c r="K25" s="52">
        <f t="shared" si="16"/>
        <v>12.295717378535503</v>
      </c>
      <c r="L25" s="135">
        <f t="shared" si="17"/>
        <v>1.1125852161342209E-5</v>
      </c>
      <c r="N25" s="131">
        <f t="shared" si="18"/>
        <v>0.57822836426200452</v>
      </c>
      <c r="O25" s="131">
        <f t="shared" si="19"/>
        <v>0.57822836426200452</v>
      </c>
      <c r="P25" s="55">
        <f t="shared" si="20"/>
        <v>1</v>
      </c>
      <c r="Q25" s="135">
        <f>_xll.xSPRDOPT(I25,H25,AQ25,0,O25,N25,P25,D25-$G$5,1,0)*AH25*AU25</f>
        <v>12.295728504387665</v>
      </c>
      <c r="R25" s="135"/>
      <c r="S25" s="181">
        <f>_xll.xSPRDOPT(I25,H25,AQ25,AT25,O25,N25,P25,D25-$G$5,1,2)*AF25*(F25/(1-AR25))*AH25</f>
        <v>-114074.44089853817</v>
      </c>
      <c r="T25" s="181">
        <f>_xll.xSPRDOPT(I25,H25,AQ25,AT25,O25,N25,P25,D25-$G$5,1,1)*AF25*F25*AH25</f>
        <v>107001.82556253276</v>
      </c>
      <c r="U25" s="135"/>
      <c r="V25" s="146">
        <f t="shared" si="50"/>
        <v>24.722402405046463</v>
      </c>
      <c r="W25" s="146"/>
      <c r="X25" s="338">
        <f t="shared" si="21"/>
        <v>0</v>
      </c>
      <c r="Y25" s="338">
        <f t="shared" si="22"/>
        <v>0</v>
      </c>
      <c r="Z25" s="338">
        <f t="shared" si="23"/>
        <v>7.4021751827808631</v>
      </c>
      <c r="AA25" s="338">
        <f t="shared" si="24"/>
        <v>4.4195208266188641E-4</v>
      </c>
      <c r="AB25" s="338">
        <f t="shared" si="25"/>
        <v>0</v>
      </c>
      <c r="AC25" s="338">
        <f t="shared" si="26"/>
        <v>7.4445809339913875</v>
      </c>
      <c r="AF25" s="138">
        <f t="shared" si="27"/>
        <v>1</v>
      </c>
      <c r="AG25" s="138">
        <f t="shared" si="28"/>
        <v>8</v>
      </c>
      <c r="AH25" s="138">
        <f t="shared" si="29"/>
        <v>31</v>
      </c>
      <c r="AI25" s="138">
        <f t="shared" si="51"/>
        <v>227</v>
      </c>
      <c r="AJ25" s="138">
        <f t="shared" si="30"/>
        <v>244</v>
      </c>
      <c r="AL25" s="136">
        <f t="shared" si="31"/>
        <v>3.0259999999999998</v>
      </c>
      <c r="AM25" s="258">
        <f t="shared" si="32"/>
        <v>-0.54</v>
      </c>
      <c r="AN25" s="258">
        <f t="shared" si="33"/>
        <v>0.02</v>
      </c>
      <c r="AO25" s="258">
        <f t="shared" si="34"/>
        <v>0.125</v>
      </c>
      <c r="AP25" s="258">
        <f t="shared" si="35"/>
        <v>-0.01</v>
      </c>
      <c r="AQ25" s="136">
        <f t="shared" si="36"/>
        <v>6.7199999999999996E-2</v>
      </c>
      <c r="AR25" s="137">
        <f t="shared" si="37"/>
        <v>6.2E-2</v>
      </c>
      <c r="AS25" s="136">
        <f t="shared" si="38"/>
        <v>2.5059999999999998</v>
      </c>
      <c r="AT25" s="137">
        <f t="shared" si="39"/>
        <v>2.1065008234303999E-2</v>
      </c>
      <c r="AU25" s="137">
        <f t="shared" si="40"/>
        <v>0.98626867644780158</v>
      </c>
      <c r="AV25" s="394">
        <f t="shared" si="41"/>
        <v>7062.6699920427072</v>
      </c>
      <c r="AW25" s="137">
        <f t="shared" si="42"/>
        <v>0.54</v>
      </c>
      <c r="AX25" s="137">
        <f t="shared" si="43"/>
        <v>0.98</v>
      </c>
      <c r="AY25" s="137">
        <f t="shared" si="44"/>
        <v>0.98</v>
      </c>
      <c r="AZ25" s="137"/>
      <c r="BA25" s="264"/>
      <c r="BB25" s="258">
        <f t="shared" si="45"/>
        <v>0</v>
      </c>
      <c r="BC25" s="258">
        <f t="shared" si="46"/>
        <v>0</v>
      </c>
      <c r="BD25" s="137">
        <f t="shared" si="47"/>
        <v>4.5188333321111163E-4</v>
      </c>
      <c r="BE25" s="137">
        <f t="shared" si="48"/>
        <v>4.5188333321111163E-4</v>
      </c>
      <c r="BF25" s="137">
        <f>_xll.xSPRDOPT($BW25,$BV25,$CG25,0,$BY25,$BX25,$BZ25,$AJ25,1,4)*$CB25</f>
        <v>-8.2286507900664884E-7</v>
      </c>
      <c r="BG25" s="137">
        <f>_xll.xSPRDOPT($BW25,$BV25,$CG25,0,$BY25,$BX25,$BZ25,$AJ25,1,3)*$CB25</f>
        <v>-2.3510430828761395E-7</v>
      </c>
      <c r="BH25" s="137">
        <f>IF(OR(BF25&lt;&gt;0,BG25&lt;&gt;0),_xll.xSPRDOPT($BW25,$BV25,$CG25,0,$BY25,$BX25,$BZ25,$AJ25,1,12)*$CB25,0)</f>
        <v>5.8776077071903484E-7</v>
      </c>
      <c r="BI25" s="137">
        <f>_xll.xSPRDOPT($BW25,$BV25,$CG25,2*LN(1+CA25/2),$BY25,$BX25,$BZ25,$AJ25,1,9)</f>
        <v>8.3061274516458075E-3</v>
      </c>
      <c r="BJ25" s="137">
        <f>_xll.xSPRDOPT($BW25,$BV25,$CG25,0,$BY25,$BX25,$BZ25,$AJ25,1,6)*$CB25</f>
        <v>-5.1308892939773444E-5</v>
      </c>
      <c r="BK25" s="137">
        <f>_xll.xSPRDOPT($BW25,$BV25,$CG25,0,$BY25,$BX25,$BZ25,$AJ25,1,5)*$CB25</f>
        <v>6.0322925512066572E-5</v>
      </c>
      <c r="BL25" s="137">
        <f>_xll.xSPRDOPT(BW25,BV25,CG25,0,BY25,BX25,BZ25,AJ25,1,2)*CB25</f>
        <v>-0.98609395137041089</v>
      </c>
      <c r="BM25" s="137">
        <f>_xll.xSPRDOPT(BW25,BV25,CG25,0,BY25,BX25,BZ25,AJ25,1,1)*CB25</f>
        <v>0.98609395136682354</v>
      </c>
      <c r="BN25" s="137">
        <f>IF(AH25&lt;&gt;0,_xll.xSPRDOPT($BW25,$BV25,$CG25,2*LN(1+CA25/2),$BY25,$BX25,$BZ25,$AJ25,1,8)+(AJ25/365.25)*CH25/AH25,0)</f>
        <v>0.26774294192190023</v>
      </c>
      <c r="BO25" s="137">
        <f>_xll.xSPRDOPT($BW25,$BV25,$CG25,0,$BY25,$BX25,$BZ25,$AJ25,1,0)</f>
        <v>0.40215860147553695</v>
      </c>
      <c r="BP25" s="137"/>
      <c r="BQ25" s="137"/>
      <c r="BR25" s="137"/>
      <c r="BS25" s="137"/>
      <c r="BV25" s="262">
        <v>2.6716417910447761</v>
      </c>
      <c r="BW25" s="136">
        <v>3.141</v>
      </c>
      <c r="BX25" s="137">
        <v>0.57777648092879341</v>
      </c>
      <c r="BY25" s="137">
        <v>0.57777648092879341</v>
      </c>
      <c r="BZ25" s="137">
        <v>1</v>
      </c>
      <c r="CA25" s="137">
        <v>2.1065008234303999E-2</v>
      </c>
      <c r="CB25" s="137">
        <v>0.98609894066797232</v>
      </c>
      <c r="CC25" s="258">
        <v>-0.54</v>
      </c>
      <c r="CD25" s="258">
        <v>0.02</v>
      </c>
      <c r="CE25" s="258">
        <v>0.125</v>
      </c>
      <c r="CF25" s="258">
        <v>-0.01</v>
      </c>
      <c r="CG25" s="258">
        <v>6.7199999999999996E-2</v>
      </c>
      <c r="CH25" s="258">
        <v>24.718147706147796</v>
      </c>
      <c r="CI25" s="258">
        <v>3.0259999999999998</v>
      </c>
      <c r="CJ25" s="258"/>
      <c r="CK25" s="258"/>
      <c r="CL25" s="258"/>
      <c r="CM25" s="258"/>
    </row>
    <row r="26" spans="1:91" x14ac:dyDescent="0.25">
      <c r="A26" s="723"/>
      <c r="B26" s="723"/>
      <c r="D26" s="31">
        <f t="shared" si="49"/>
        <v>37514</v>
      </c>
      <c r="F26" s="28">
        <f t="shared" si="12"/>
        <v>3500</v>
      </c>
      <c r="G26" s="28">
        <f t="shared" si="13"/>
        <v>3444.1911754865378</v>
      </c>
      <c r="H26" s="52">
        <f t="shared" si="14"/>
        <v>2.6417910447761193</v>
      </c>
      <c r="I26" s="52">
        <f t="shared" si="15"/>
        <v>3.1230000000000002</v>
      </c>
      <c r="K26" s="52">
        <f t="shared" si="16"/>
        <v>12.22222277275279</v>
      </c>
      <c r="L26" s="135">
        <f t="shared" si="17"/>
        <v>1.8341454806503066E-5</v>
      </c>
      <c r="N26" s="131">
        <f t="shared" si="18"/>
        <v>0.56841885964489258</v>
      </c>
      <c r="O26" s="131">
        <f t="shared" si="19"/>
        <v>0.56841885964489258</v>
      </c>
      <c r="P26" s="55">
        <f t="shared" si="20"/>
        <v>0.99999999999999989</v>
      </c>
      <c r="Q26" s="135">
        <f>_xll.xSPRDOPT(I26,H26,AQ26,0,O26,N26,P26,D26-$G$5,1,0)*AH26*AU26</f>
        <v>12.222241114207597</v>
      </c>
      <c r="R26" s="135"/>
      <c r="S26" s="181">
        <f>_xll.xSPRDOPT(I26,H26,AQ26,AT26,O26,N26,P26,D26-$G$5,1,2)*AF26*(F26/(1-AR26))*AH26</f>
        <v>-110144.24223707359</v>
      </c>
      <c r="T26" s="181">
        <f>_xll.xSPRDOPT(I26,H26,AQ26,AT26,O26,N26,P26,D26-$G$5,1,1)*AF26*F26*AH26</f>
        <v>103315.29921990295</v>
      </c>
      <c r="U26" s="135"/>
      <c r="V26" s="146">
        <f t="shared" si="50"/>
        <v>23.87119700998641</v>
      </c>
      <c r="W26" s="146"/>
      <c r="X26" s="338">
        <f t="shared" si="21"/>
        <v>0</v>
      </c>
      <c r="Y26" s="338">
        <f t="shared" si="22"/>
        <v>0</v>
      </c>
      <c r="Z26" s="338">
        <f t="shared" si="23"/>
        <v>7.5743396281742719</v>
      </c>
      <c r="AA26" s="338">
        <f t="shared" si="24"/>
        <v>7.974991665046625E-4</v>
      </c>
      <c r="AB26" s="338">
        <f t="shared" si="25"/>
        <v>0</v>
      </c>
      <c r="AC26" s="338">
        <f t="shared" si="26"/>
        <v>7.6236068390325391</v>
      </c>
      <c r="AF26" s="138">
        <f t="shared" si="27"/>
        <v>1</v>
      </c>
      <c r="AG26" s="138">
        <f t="shared" si="28"/>
        <v>9</v>
      </c>
      <c r="AH26" s="138">
        <f t="shared" si="29"/>
        <v>30</v>
      </c>
      <c r="AI26" s="138">
        <f t="shared" si="51"/>
        <v>258</v>
      </c>
      <c r="AJ26" s="138">
        <f t="shared" si="30"/>
        <v>275</v>
      </c>
      <c r="AL26" s="136">
        <f t="shared" si="31"/>
        <v>3.0179999999999998</v>
      </c>
      <c r="AM26" s="258">
        <f t="shared" si="32"/>
        <v>-0.54</v>
      </c>
      <c r="AN26" s="258">
        <f t="shared" si="33"/>
        <v>0</v>
      </c>
      <c r="AO26" s="258">
        <f t="shared" si="34"/>
        <v>0.115</v>
      </c>
      <c r="AP26" s="258">
        <f t="shared" si="35"/>
        <v>-0.01</v>
      </c>
      <c r="AQ26" s="136">
        <f t="shared" si="36"/>
        <v>6.7199999999999996E-2</v>
      </c>
      <c r="AR26" s="137">
        <f t="shared" si="37"/>
        <v>6.2E-2</v>
      </c>
      <c r="AS26" s="136">
        <f t="shared" si="38"/>
        <v>2.4779999999999998</v>
      </c>
      <c r="AT26" s="137">
        <f t="shared" si="39"/>
        <v>2.1701386796276499E-2</v>
      </c>
      <c r="AU26" s="137">
        <f t="shared" si="40"/>
        <v>0.98405462156758228</v>
      </c>
      <c r="AV26" s="394">
        <f t="shared" si="41"/>
        <v>6819.4985274633455</v>
      </c>
      <c r="AW26" s="137">
        <f t="shared" si="42"/>
        <v>0.54</v>
      </c>
      <c r="AX26" s="137">
        <f t="shared" si="43"/>
        <v>0.93</v>
      </c>
      <c r="AY26" s="137">
        <f t="shared" si="44"/>
        <v>0.93</v>
      </c>
      <c r="AZ26" s="137"/>
      <c r="BA26" s="264"/>
      <c r="BB26" s="258">
        <f t="shared" si="45"/>
        <v>0</v>
      </c>
      <c r="BC26" s="258">
        <f t="shared" si="46"/>
        <v>0</v>
      </c>
      <c r="BD26" s="137">
        <f t="shared" si="47"/>
        <v>3.0125853078155629E-4</v>
      </c>
      <c r="BE26" s="137">
        <f t="shared" si="48"/>
        <v>3.0125853078155629E-4</v>
      </c>
      <c r="BF26" s="137">
        <f>_xll.xSPRDOPT($BW26,$BV26,$CG26,0,$BY26,$BX26,$BZ26,$AJ26,1,4)*$CB26</f>
        <v>1.1728765708700116E-7</v>
      </c>
      <c r="BG26" s="137">
        <f>_xll.xSPRDOPT($BW26,$BV26,$CG26,0,$BY26,$BX26,$BZ26,$AJ26,1,3)*$CB26</f>
        <v>2.3457531417400232E-7</v>
      </c>
      <c r="BH26" s="137">
        <f>IF(OR(BF26&lt;&gt;0,BG26&lt;&gt;0),_xll.xSPRDOPT($BW26,$BV26,$CG26,0,$BY26,$BX26,$BZ26,$AJ26,1,12)*$CB26,0)</f>
        <v>-5.864382854350058E-8</v>
      </c>
      <c r="BI26" s="137">
        <f>_xll.xSPRDOPT($BW26,$BV26,$CG26,2*LN(1+CA26/2),$BY26,$BX26,$BZ26,$AJ26,1,9)</f>
        <v>8.782627140287786E-3</v>
      </c>
      <c r="BJ26" s="137">
        <f>_xll.xSPRDOPT($BW26,$BV26,$CG26,0,$BY26,$BX26,$BZ26,$AJ26,1,6)*$CB26</f>
        <v>-1.3840962539863572E-4</v>
      </c>
      <c r="BK26" s="137">
        <f>_xll.xSPRDOPT($BW26,$BV26,$CG26,0,$BY26,$BX26,$BZ26,$AJ26,1,5)*$CB26</f>
        <v>1.6362129372046854E-4</v>
      </c>
      <c r="BL26" s="137">
        <f>_xll.xSPRDOPT(BW26,BV26,CG26,0,BY26,BX26,BZ26,AJ26,1,2)*CB26</f>
        <v>-0.98386659444056768</v>
      </c>
      <c r="BM26" s="137">
        <f>_xll.xSPRDOPT(BW26,BV26,CG26,0,BY26,BX26,BZ26,AJ26,1,1)*CB26</f>
        <v>0.98386659445041091</v>
      </c>
      <c r="BN26" s="137">
        <f>IF(AH26&lt;&gt;0,_xll.xSPRDOPT($BW26,$BV26,$CG26,2*LN(1+CA26/2),$BY26,$BX26,$BZ26,$AJ26,1,8)+(AJ26/365.25)*CH26/AH26,0)</f>
        <v>0.29230156582918909</v>
      </c>
      <c r="BO26" s="137">
        <f>_xll.xSPRDOPT($BW26,$BV26,$CG26,0,$BY26,$BX26,$BZ26,$AJ26,1,0)</f>
        <v>0.41400964882938901</v>
      </c>
      <c r="BP26" s="137"/>
      <c r="BQ26" s="137"/>
      <c r="BR26" s="137"/>
      <c r="BS26" s="137"/>
      <c r="BV26" s="262">
        <v>2.6417910447761193</v>
      </c>
      <c r="BW26" s="136">
        <v>3.1230000000000002</v>
      </c>
      <c r="BX26" s="137">
        <v>0.56811760111411103</v>
      </c>
      <c r="BY26" s="137">
        <v>0.56811760111411103</v>
      </c>
      <c r="BZ26" s="137">
        <v>1</v>
      </c>
      <c r="CA26" s="137">
        <v>2.1701386796276499E-2</v>
      </c>
      <c r="CB26" s="137">
        <v>0.98388017854127463</v>
      </c>
      <c r="CC26" s="258">
        <v>-0.54</v>
      </c>
      <c r="CD26" s="258">
        <v>0</v>
      </c>
      <c r="CE26" s="258">
        <v>0.115</v>
      </c>
      <c r="CF26" s="258">
        <v>-0.01</v>
      </c>
      <c r="CG26" s="258">
        <v>6.7199999999999996E-2</v>
      </c>
      <c r="CH26" s="258">
        <v>23.866965371054238</v>
      </c>
      <c r="CI26" s="258">
        <v>3.0179999999999998</v>
      </c>
      <c r="CJ26" s="258"/>
      <c r="CK26" s="258"/>
      <c r="CL26" s="258"/>
      <c r="CM26" s="258"/>
    </row>
    <row r="27" spans="1:91" x14ac:dyDescent="0.25">
      <c r="A27" s="726"/>
      <c r="B27" s="726"/>
      <c r="C27" s="726"/>
      <c r="D27" s="31">
        <f t="shared" si="49"/>
        <v>37544</v>
      </c>
      <c r="F27" s="28">
        <f t="shared" si="12"/>
        <v>3500</v>
      </c>
      <c r="G27" s="28">
        <f t="shared" si="13"/>
        <v>3436.0982373965821</v>
      </c>
      <c r="H27" s="52">
        <f t="shared" si="14"/>
        <v>2.6343283582089554</v>
      </c>
      <c r="I27" s="52">
        <f t="shared" si="15"/>
        <v>3.0510000000000002</v>
      </c>
      <c r="K27" s="52">
        <f t="shared" si="16"/>
        <v>10.635824475350645</v>
      </c>
      <c r="L27" s="135">
        <f t="shared" si="17"/>
        <v>1.458596032328785E-4</v>
      </c>
      <c r="N27" s="131">
        <f t="shared" si="18"/>
        <v>0.57075053913616014</v>
      </c>
      <c r="O27" s="131">
        <f t="shared" si="19"/>
        <v>0.57075053913616014</v>
      </c>
      <c r="P27" s="55">
        <f t="shared" si="20"/>
        <v>1</v>
      </c>
      <c r="Q27" s="135">
        <f>_xll.xSPRDOPT(I27,H27,AQ27,0,O27,N27,P27,D27-$G$5,1,0)*AH27*AU27</f>
        <v>10.635970334953878</v>
      </c>
      <c r="R27" s="135"/>
      <c r="S27" s="181">
        <f>_xll.xSPRDOPT(I27,H27,AQ27,AT27,O27,N27,P27,D27-$G$5,1,2)*AF27*(F27/(1-AR27))*AH27</f>
        <v>-113537.49293989292</v>
      </c>
      <c r="T27" s="181">
        <f>_xll.xSPRDOPT(I27,H27,AQ27,AT27,O27,N27,P27,D27-$G$5,1,1)*AF27*F27*AH27</f>
        <v>106498.16837801426</v>
      </c>
      <c r="U27" s="135"/>
      <c r="V27" s="146">
        <f t="shared" si="50"/>
        <v>24.608942879292904</v>
      </c>
      <c r="W27" s="146"/>
      <c r="X27" s="338">
        <f t="shared" si="21"/>
        <v>0</v>
      </c>
      <c r="Y27" s="338">
        <f t="shared" si="22"/>
        <v>0</v>
      </c>
      <c r="Z27" s="338">
        <f t="shared" si="23"/>
        <v>6.7708976722855176</v>
      </c>
      <c r="AA27" s="338">
        <f t="shared" si="24"/>
        <v>4.3666689226727149E-3</v>
      </c>
      <c r="AB27" s="338">
        <f t="shared" si="25"/>
        <v>0</v>
      </c>
      <c r="AC27" s="338">
        <f t="shared" si="26"/>
        <v>6.8508139449616161</v>
      </c>
      <c r="AF27" s="138">
        <f t="shared" si="27"/>
        <v>1</v>
      </c>
      <c r="AG27" s="138">
        <f t="shared" si="28"/>
        <v>10</v>
      </c>
      <c r="AH27" s="138">
        <f t="shared" si="29"/>
        <v>31</v>
      </c>
      <c r="AI27" s="138">
        <f t="shared" si="51"/>
        <v>288</v>
      </c>
      <c r="AJ27" s="138">
        <f t="shared" si="30"/>
        <v>305</v>
      </c>
      <c r="AL27" s="136">
        <f t="shared" si="31"/>
        <v>3.0310000000000001</v>
      </c>
      <c r="AM27" s="258">
        <f t="shared" si="32"/>
        <v>-0.57999999999999996</v>
      </c>
      <c r="AN27" s="258">
        <f t="shared" si="33"/>
        <v>0.02</v>
      </c>
      <c r="AO27" s="258">
        <f t="shared" si="34"/>
        <v>0.03</v>
      </c>
      <c r="AP27" s="258">
        <f t="shared" si="35"/>
        <v>-0.01</v>
      </c>
      <c r="AQ27" s="136">
        <f t="shared" si="36"/>
        <v>6.7199999999999996E-2</v>
      </c>
      <c r="AR27" s="137">
        <f t="shared" si="37"/>
        <v>6.2E-2</v>
      </c>
      <c r="AS27" s="136">
        <f t="shared" si="38"/>
        <v>2.4710000000000001</v>
      </c>
      <c r="AT27" s="137">
        <f t="shared" si="39"/>
        <v>2.2410164045373999E-2</v>
      </c>
      <c r="AU27" s="137">
        <f t="shared" si="40"/>
        <v>0.98174235354188055</v>
      </c>
      <c r="AV27" s="394">
        <f t="shared" si="41"/>
        <v>7030.2569937134067</v>
      </c>
      <c r="AW27" s="137">
        <f t="shared" si="42"/>
        <v>0.54</v>
      </c>
      <c r="AX27" s="137">
        <f t="shared" si="43"/>
        <v>0.98</v>
      </c>
      <c r="AY27" s="137">
        <f t="shared" si="44"/>
        <v>0.98</v>
      </c>
      <c r="AZ27" s="137"/>
      <c r="BA27" s="264"/>
      <c r="BB27" s="258">
        <f t="shared" si="45"/>
        <v>0</v>
      </c>
      <c r="BC27" s="258">
        <f t="shared" si="46"/>
        <v>0</v>
      </c>
      <c r="BD27" s="137">
        <f t="shared" si="47"/>
        <v>2.9295113652438864E-4</v>
      </c>
      <c r="BE27" s="137">
        <f t="shared" si="48"/>
        <v>2.9295113652438864E-4</v>
      </c>
      <c r="BF27" s="137">
        <f>_xll.xSPRDOPT($BW27,$BV27,$CG27,0,$BY27,$BX27,$BZ27,$AJ27,1,4)*$CB27</f>
        <v>-3.5103416507657819E-7</v>
      </c>
      <c r="BG27" s="137">
        <f>_xll.xSPRDOPT($BW27,$BV27,$CG27,0,$BY27,$BX27,$BZ27,$AJ27,1,3)*$CB27</f>
        <v>4.6804555343543759E-7</v>
      </c>
      <c r="BH27" s="137">
        <f>IF(OR(BF27&lt;&gt;0,BG27&lt;&gt;0),_xll.xSPRDOPT($BW27,$BV27,$CG27,0,$BY27,$BX27,$BZ27,$AJ27,1,12)*$CB27,0)</f>
        <v>1.755170825382891E-7</v>
      </c>
      <c r="BI27" s="137">
        <f>_xll.xSPRDOPT($BW27,$BV27,$CG27,2*LN(1+CA27/2),$BY27,$BX27,$BZ27,$AJ27,1,9)</f>
        <v>7.5977584479332881E-3</v>
      </c>
      <c r="BJ27" s="137">
        <f>_xll.xSPRDOPT($BW27,$BV27,$CG27,0,$BY27,$BX27,$BZ27,$AJ27,1,6)*$CB27</f>
        <v>-8.6856293046226759E-4</v>
      </c>
      <c r="BK27" s="137">
        <f>_xll.xSPRDOPT($BW27,$BV27,$CG27,0,$BY27,$BX27,$BZ27,$AJ27,1,5)*$CB27</f>
        <v>1.0059435086699872E-3</v>
      </c>
      <c r="BL27" s="137">
        <f>_xll.xSPRDOPT(BW27,BV27,CG27,0,BY27,BX27,BZ27,AJ27,1,2)*CB27</f>
        <v>-0.98147225224867451</v>
      </c>
      <c r="BM27" s="137">
        <f>_xll.xSPRDOPT(BW27,BV27,CG27,0,BY27,BX27,BZ27,AJ27,1,1)*CB27</f>
        <v>0.98147225225135271</v>
      </c>
      <c r="BN27" s="137">
        <f>IF(AH27&lt;&gt;0,_xll.xSPRDOPT($BW27,$BV27,$CG27,2*LN(1+CA27/2),$BY27,$BX27,$BZ27,$AJ27,1,8)+(AJ27/365.25)*CH27/AH27,0)</f>
        <v>0.37631965044146892</v>
      </c>
      <c r="BO27" s="137">
        <f>_xll.xSPRDOPT($BW27,$BV27,$CG27,0,$BY27,$BX27,$BZ27,$AJ27,1,0)</f>
        <v>0.34947678880572086</v>
      </c>
      <c r="BP27" s="137"/>
      <c r="BQ27" s="137"/>
      <c r="BR27" s="137"/>
      <c r="BS27" s="137"/>
      <c r="BV27" s="262">
        <v>2.6343283582089554</v>
      </c>
      <c r="BW27" s="136">
        <v>3.0510000000000002</v>
      </c>
      <c r="BX27" s="137">
        <v>0.57045758799963575</v>
      </c>
      <c r="BY27" s="137">
        <v>0.57045758799963575</v>
      </c>
      <c r="BZ27" s="137">
        <v>1</v>
      </c>
      <c r="CA27" s="137">
        <v>2.2410164045373999E-2</v>
      </c>
      <c r="CB27" s="137">
        <v>0.98156266847823481</v>
      </c>
      <c r="CC27" s="258">
        <v>-0.57999999999999996</v>
      </c>
      <c r="CD27" s="258">
        <v>0.02</v>
      </c>
      <c r="CE27" s="258">
        <v>0.03</v>
      </c>
      <c r="CF27" s="258">
        <v>-0.01</v>
      </c>
      <c r="CG27" s="258">
        <v>6.7199999999999996E-2</v>
      </c>
      <c r="CH27" s="258">
        <v>24.604438785676521</v>
      </c>
      <c r="CI27" s="258">
        <v>3.0310000000000001</v>
      </c>
      <c r="CJ27" s="258"/>
      <c r="CK27" s="258"/>
      <c r="CL27" s="258"/>
      <c r="CM27" s="258"/>
    </row>
    <row r="28" spans="1:91" x14ac:dyDescent="0.25">
      <c r="A28" s="723"/>
      <c r="B28" s="723"/>
      <c r="D28" s="31">
        <f t="shared" si="49"/>
        <v>37575</v>
      </c>
      <c r="F28" s="28">
        <f t="shared" si="12"/>
        <v>3500</v>
      </c>
      <c r="G28" s="28">
        <f t="shared" si="13"/>
        <v>3426.9354843792757</v>
      </c>
      <c r="H28" s="52">
        <f t="shared" si="14"/>
        <v>3.1380597014925371</v>
      </c>
      <c r="I28" s="52">
        <f t="shared" si="15"/>
        <v>3.2609999999999997</v>
      </c>
      <c r="K28" s="52">
        <f t="shared" si="16"/>
        <v>1.6373006302724289</v>
      </c>
      <c r="L28" s="135">
        <f t="shared" si="17"/>
        <v>9.3385011102234516E-2</v>
      </c>
      <c r="N28" s="131">
        <f t="shared" si="18"/>
        <v>0.56483238995521046</v>
      </c>
      <c r="O28" s="131">
        <f t="shared" si="19"/>
        <v>0.56483238995521046</v>
      </c>
      <c r="P28" s="55">
        <f t="shared" si="20"/>
        <v>1.0000000000000002</v>
      </c>
      <c r="Q28" s="135">
        <f>_xll.xSPRDOPT(I28,H28,AQ28,0,O28,N28,P28,D28-$G$5,1,0)*AH28*AU28</f>
        <v>1.7306856413746634</v>
      </c>
      <c r="R28" s="135"/>
      <c r="S28" s="181">
        <f>_xll.xSPRDOPT(I28,H28,AQ28,AT28,O28,N28,P28,D28-$G$5,1,2)*AF28*(F28/(1-AR28))*AH28</f>
        <v>-100283.00913887724</v>
      </c>
      <c r="T28" s="181">
        <f>_xll.xSPRDOPT(I28,H28,AQ28,AT28,O28,N28,P28,D28-$G$5,1,1)*AF28*F28*AH28</f>
        <v>94065.462573352968</v>
      </c>
      <c r="U28" s="135"/>
      <c r="V28" s="146">
        <f t="shared" si="50"/>
        <v>23.751600280020707</v>
      </c>
      <c r="W28" s="146"/>
      <c r="X28" s="338">
        <f t="shared" si="21"/>
        <v>0</v>
      </c>
      <c r="Y28" s="338">
        <f t="shared" si="22"/>
        <v>0</v>
      </c>
      <c r="Z28" s="338">
        <f t="shared" si="23"/>
        <v>-3.5956111811274183</v>
      </c>
      <c r="AA28" s="338">
        <f t="shared" si="24"/>
        <v>0.40728469713140103</v>
      </c>
      <c r="AB28" s="338">
        <f t="shared" si="25"/>
        <v>0</v>
      </c>
      <c r="AC28" s="338">
        <f t="shared" si="26"/>
        <v>1.1585624822035814</v>
      </c>
      <c r="AF28" s="138">
        <f t="shared" si="27"/>
        <v>1</v>
      </c>
      <c r="AG28" s="138">
        <f t="shared" si="28"/>
        <v>11</v>
      </c>
      <c r="AH28" s="138">
        <f t="shared" si="29"/>
        <v>30</v>
      </c>
      <c r="AI28" s="138">
        <f t="shared" si="51"/>
        <v>319</v>
      </c>
      <c r="AJ28" s="138">
        <f t="shared" si="30"/>
        <v>336</v>
      </c>
      <c r="AL28" s="136">
        <f t="shared" si="31"/>
        <v>3.2109999999999999</v>
      </c>
      <c r="AM28" s="258">
        <f t="shared" si="32"/>
        <v>-0.29499999999999998</v>
      </c>
      <c r="AN28" s="258">
        <f t="shared" si="33"/>
        <v>2.75E-2</v>
      </c>
      <c r="AO28" s="258">
        <f t="shared" si="34"/>
        <v>0.03</v>
      </c>
      <c r="AP28" s="258">
        <f t="shared" si="35"/>
        <v>0.02</v>
      </c>
      <c r="AQ28" s="136">
        <f t="shared" si="36"/>
        <v>6.7199999999999996E-2</v>
      </c>
      <c r="AR28" s="137">
        <f t="shared" si="37"/>
        <v>6.2E-2</v>
      </c>
      <c r="AS28" s="136">
        <f t="shared" si="38"/>
        <v>2.9434999999999998</v>
      </c>
      <c r="AT28" s="137">
        <f t="shared" si="39"/>
        <v>2.3274064967752799E-2</v>
      </c>
      <c r="AU28" s="137">
        <f t="shared" si="40"/>
        <v>0.97912442410836453</v>
      </c>
      <c r="AV28" s="394">
        <f t="shared" si="41"/>
        <v>6785.3322590709658</v>
      </c>
      <c r="AW28" s="137">
        <f t="shared" si="42"/>
        <v>0.54</v>
      </c>
      <c r="AX28" s="137">
        <f t="shared" si="43"/>
        <v>0.95</v>
      </c>
      <c r="AY28" s="137">
        <f t="shared" si="44"/>
        <v>0.95</v>
      </c>
      <c r="AZ28" s="137"/>
      <c r="BA28" s="264"/>
      <c r="BB28" s="258">
        <f t="shared" si="45"/>
        <v>0</v>
      </c>
      <c r="BC28" s="258">
        <f t="shared" si="46"/>
        <v>0</v>
      </c>
      <c r="BD28" s="137">
        <f t="shared" si="47"/>
        <v>2.1624188755753337E-4</v>
      </c>
      <c r="BE28" s="137">
        <f t="shared" si="48"/>
        <v>2.1624188755753337E-4</v>
      </c>
      <c r="BF28" s="137">
        <f>_xll.xSPRDOPT($BW28,$BV28,$CG28,0,$BY28,$BX28,$BZ28,$AJ28,1,4)*$CB28</f>
        <v>-2.9174636315130007E-8</v>
      </c>
      <c r="BG28" s="137">
        <f>_xll.xSPRDOPT($BW28,$BV28,$CG28,0,$BY28,$BX28,$BZ28,$AJ28,1,3)*$CB28</f>
        <v>0</v>
      </c>
      <c r="BH28" s="137">
        <f>IF(OR(BF28&lt;&gt;0,BG28&lt;&gt;0),_xll.xSPRDOPT($BW28,$BV28,$CG28,0,$BY28,$BX28,$BZ28,$AJ28,1,12)*$CB28,0)</f>
        <v>8.0230249866607522E-8</v>
      </c>
      <c r="BI28" s="137">
        <f>_xll.xSPRDOPT($BW28,$BV28,$CG28,2*LN(1+CA28/2),$BY28,$BX28,$BZ28,$AJ28,1,9)</f>
        <v>-4.1691967743072685E-3</v>
      </c>
      <c r="BJ28" s="137">
        <f>_xll.xSPRDOPT($BW28,$BV28,$CG28,0,$BY28,$BX28,$BZ28,$AJ28,1,6)*$CB28</f>
        <v>-0.45786337859535109</v>
      </c>
      <c r="BK28" s="137">
        <f>_xll.xSPRDOPT($BW28,$BV28,$CG28,0,$BY28,$BX28,$BZ28,$AJ28,1,5)*$CB28</f>
        <v>0.47580117002537592</v>
      </c>
      <c r="BL28" s="137">
        <f>_xll.xSPRDOPT(BW28,BV28,CG28,0,BY28,BX28,BZ28,AJ28,1,2)*CB28</f>
        <v>-0.89613874233947144</v>
      </c>
      <c r="BM28" s="137">
        <f>_xll.xSPRDOPT(BW28,BV28,CG28,0,BY28,BX28,BZ28,AJ28,1,1)*CB28</f>
        <v>0.8961387423502668</v>
      </c>
      <c r="BN28" s="137">
        <f>IF(AH28&lt;&gt;0,_xll.xSPRDOPT($BW28,$BV28,$CG28,2*LN(1+CA28/2),$BY28,$BX28,$BZ28,$AJ28,1,8)+(AJ28/365.25)*CH28/AH28,0)</f>
        <v>0.67508124168851458</v>
      </c>
      <c r="BO28" s="137">
        <f>_xll.xSPRDOPT($BW28,$BV28,$CG28,0,$BY28,$BX28,$BZ28,$AJ28,1,0)</f>
        <v>5.8961910419083219E-2</v>
      </c>
      <c r="BP28" s="137"/>
      <c r="BQ28" s="137"/>
      <c r="BR28" s="137"/>
      <c r="BS28" s="137"/>
      <c r="BV28" s="262">
        <v>3.1380597014925371</v>
      </c>
      <c r="BW28" s="136">
        <v>3.2609999999999997</v>
      </c>
      <c r="BX28" s="137">
        <v>0.56461614806765292</v>
      </c>
      <c r="BY28" s="137">
        <v>0.56461614806765292</v>
      </c>
      <c r="BZ28" s="137">
        <v>1</v>
      </c>
      <c r="CA28" s="137">
        <v>2.3274064967752799E-2</v>
      </c>
      <c r="CB28" s="137">
        <v>0.97893835036076038</v>
      </c>
      <c r="CC28" s="258">
        <v>-0.29499999999999998</v>
      </c>
      <c r="CD28" s="258">
        <v>2.75E-2</v>
      </c>
      <c r="CE28" s="258">
        <v>0.03</v>
      </c>
      <c r="CF28" s="258">
        <v>0.02</v>
      </c>
      <c r="CG28" s="258">
        <v>6.7199999999999996E-2</v>
      </c>
      <c r="CH28" s="258">
        <v>23.747086503051325</v>
      </c>
      <c r="CI28" s="258">
        <v>3.2109999999999999</v>
      </c>
      <c r="CJ28" s="258"/>
      <c r="CK28" s="258"/>
      <c r="CL28" s="258"/>
      <c r="CM28" s="258"/>
    </row>
    <row r="29" spans="1:91" x14ac:dyDescent="0.25">
      <c r="A29" s="723"/>
      <c r="B29" s="723"/>
      <c r="D29" s="31">
        <f t="shared" si="49"/>
        <v>37605</v>
      </c>
      <c r="F29" s="28">
        <f t="shared" si="12"/>
        <v>3500</v>
      </c>
      <c r="G29" s="28">
        <f t="shared" si="13"/>
        <v>3417.6209178640515</v>
      </c>
      <c r="H29" s="52">
        <f t="shared" si="14"/>
        <v>3.3086353944562901</v>
      </c>
      <c r="I29" s="52">
        <f t="shared" si="15"/>
        <v>3.4209999999999998</v>
      </c>
      <c r="K29" s="52">
        <f t="shared" si="16"/>
        <v>1.3671487200717418</v>
      </c>
      <c r="L29" s="135">
        <f t="shared" si="17"/>
        <v>0.15226460356853089</v>
      </c>
      <c r="N29" s="131">
        <f t="shared" si="18"/>
        <v>0.57917009354464755</v>
      </c>
      <c r="O29" s="131">
        <f t="shared" si="19"/>
        <v>0.57917009354464755</v>
      </c>
      <c r="P29" s="55">
        <f t="shared" si="20"/>
        <v>1.0000000000000002</v>
      </c>
      <c r="Q29" s="135">
        <f>_xll.xSPRDOPT(I29,H29,AQ29,0,O29,N29,P29,D29-$G$5,1,0)*AH29*AU29</f>
        <v>1.5194133236402727</v>
      </c>
      <c r="R29" s="135"/>
      <c r="S29" s="181">
        <f>_xll.xSPRDOPT(I29,H29,AQ29,AT29,O29,N29,P29,D29-$G$5,1,2)*AF29*(F29/(1-AR29))*AH29</f>
        <v>-99337.029582279036</v>
      </c>
      <c r="T29" s="181">
        <f>_xll.xSPRDOPT(I29,H29,AQ29,AT29,O29,N29,P29,D29-$G$5,1,1)*AF29*F29*AH29</f>
        <v>93178.133748239197</v>
      </c>
      <c r="U29" s="135"/>
      <c r="V29" s="146">
        <f t="shared" si="50"/>
        <v>24.476610428494585</v>
      </c>
      <c r="W29" s="146"/>
      <c r="X29" s="338">
        <f t="shared" si="21"/>
        <v>0</v>
      </c>
      <c r="Y29" s="338">
        <f t="shared" si="22"/>
        <v>0</v>
      </c>
      <c r="Z29" s="338">
        <f t="shared" si="23"/>
        <v>-4.6191027625784056</v>
      </c>
      <c r="AA29" s="338">
        <f t="shared" si="24"/>
        <v>0.73814024865227656</v>
      </c>
      <c r="AB29" s="338">
        <f t="shared" si="25"/>
        <v>0</v>
      </c>
      <c r="AC29" s="338">
        <f t="shared" si="26"/>
        <v>1.0538834285654408</v>
      </c>
      <c r="AF29" s="138">
        <f t="shared" si="27"/>
        <v>1</v>
      </c>
      <c r="AG29" s="138">
        <f t="shared" si="28"/>
        <v>12</v>
      </c>
      <c r="AH29" s="138">
        <f t="shared" si="29"/>
        <v>31</v>
      </c>
      <c r="AI29" s="138">
        <f t="shared" si="51"/>
        <v>349</v>
      </c>
      <c r="AJ29" s="138">
        <f t="shared" si="30"/>
        <v>366</v>
      </c>
      <c r="AL29" s="136">
        <f t="shared" si="31"/>
        <v>3.371</v>
      </c>
      <c r="AM29" s="258">
        <f t="shared" si="32"/>
        <v>-0.29499999999999998</v>
      </c>
      <c r="AN29" s="258">
        <f t="shared" si="33"/>
        <v>2.75E-2</v>
      </c>
      <c r="AO29" s="258">
        <f t="shared" si="34"/>
        <v>0.03</v>
      </c>
      <c r="AP29" s="258">
        <f t="shared" si="35"/>
        <v>0.02</v>
      </c>
      <c r="AQ29" s="136">
        <f t="shared" si="36"/>
        <v>6.7199999999999996E-2</v>
      </c>
      <c r="AR29" s="137">
        <f t="shared" si="37"/>
        <v>6.2E-2</v>
      </c>
      <c r="AS29" s="136">
        <f t="shared" si="38"/>
        <v>3.1034999999999999</v>
      </c>
      <c r="AT29" s="137">
        <f t="shared" si="39"/>
        <v>2.4110098358835999E-2</v>
      </c>
      <c r="AU29" s="137">
        <f t="shared" si="40"/>
        <v>0.97646311938972907</v>
      </c>
      <c r="AV29" s="394">
        <f t="shared" si="41"/>
        <v>6992.4523979498499</v>
      </c>
      <c r="AW29" s="137">
        <f t="shared" si="42"/>
        <v>0.54</v>
      </c>
      <c r="AX29" s="137">
        <f t="shared" si="43"/>
        <v>1.1499999999999999</v>
      </c>
      <c r="AY29" s="137">
        <f t="shared" si="44"/>
        <v>1.1499999999999999</v>
      </c>
      <c r="AZ29" s="137"/>
      <c r="BA29" s="264"/>
      <c r="BB29" s="258">
        <f t="shared" si="45"/>
        <v>0</v>
      </c>
      <c r="BC29" s="258">
        <f t="shared" si="46"/>
        <v>0</v>
      </c>
      <c r="BD29" s="137">
        <f t="shared" si="47"/>
        <v>3.0902553746003925E-4</v>
      </c>
      <c r="BE29" s="137">
        <f t="shared" si="48"/>
        <v>3.0902553746003925E-4</v>
      </c>
      <c r="BF29" s="137">
        <f>_xll.xSPRDOPT($BW29,$BV29,$CG29,0,$BY29,$BX29,$BZ29,$AJ29,1,4)*$CB29</f>
        <v>-1.4547570437190061E-8</v>
      </c>
      <c r="BG29" s="137">
        <f>_xll.xSPRDOPT($BW29,$BV29,$CG29,0,$BY29,$BX29,$BZ29,$AJ29,1,3)*$CB29</f>
        <v>-6.5464066967355275E-7</v>
      </c>
      <c r="BH29" s="137">
        <f>IF(OR(BF29&lt;&gt;0,BG29&lt;&gt;0),_xll.xSPRDOPT($BW29,$BV29,$CG29,0,$BY29,$BX29,$BZ29,$AJ29,1,12)*$CB29,0)</f>
        <v>3.4914169049256147E-7</v>
      </c>
      <c r="BI29" s="137">
        <f>_xll.xSPRDOPT($BW29,$BV29,$CG29,2*LN(1+CA29/2),$BY29,$BX29,$BZ29,$AJ29,1,9)</f>
        <v>-5.183186740496966E-3</v>
      </c>
      <c r="BJ29" s="137">
        <f>_xll.xSPRDOPT($BW29,$BV29,$CG29,0,$BY29,$BX29,$BZ29,$AJ29,1,6)*$CB29</f>
        <v>-0.64823751048921185</v>
      </c>
      <c r="BK29" s="137">
        <f>_xll.xSPRDOPT($BW29,$BV29,$CG29,0,$BY29,$BX29,$BZ29,$AJ29,1,5)*$CB29</f>
        <v>0.67025231220493986</v>
      </c>
      <c r="BL29" s="137">
        <f>_xll.xSPRDOPT(BW29,BV29,CG29,0,BY29,BX29,BZ29,AJ29,1,2)*CB29</f>
        <v>-0.85914460029950812</v>
      </c>
      <c r="BM29" s="137">
        <f>_xll.xSPRDOPT(BW29,BV29,CG29,0,BY29,BX29,BZ29,AJ29,1,1)*CB29</f>
        <v>0.85914460030183892</v>
      </c>
      <c r="BN29" s="137">
        <f>IF(AH29&lt;&gt;0,_xll.xSPRDOPT($BW29,$BV29,$CG29,2*LN(1+CA29/2),$BY29,$BX29,$BZ29,$AJ29,1,8)+(AJ29/365.25)*CH29/AH29,0)</f>
        <v>0.74188362279621156</v>
      </c>
      <c r="BO29" s="137">
        <f>_xll.xSPRDOPT($BW29,$BV29,$CG29,0,$BY29,$BX29,$BZ29,$AJ29,1,0)</f>
        <v>5.024148521313767E-2</v>
      </c>
      <c r="BP29" s="137"/>
      <c r="BQ29" s="137"/>
      <c r="BR29" s="137"/>
      <c r="BS29" s="137"/>
      <c r="BV29" s="262">
        <v>3.3086353944562901</v>
      </c>
      <c r="BW29" s="136">
        <v>3.4209999999999998</v>
      </c>
      <c r="BX29" s="137">
        <v>0.57886106800718751</v>
      </c>
      <c r="BY29" s="137">
        <v>0.57886106800718751</v>
      </c>
      <c r="BZ29" s="137">
        <v>1</v>
      </c>
      <c r="CA29" s="137">
        <v>2.4110098358835999E-2</v>
      </c>
      <c r="CB29" s="137">
        <v>0.97627092599980836</v>
      </c>
      <c r="CC29" s="258">
        <v>-0.29499999999999998</v>
      </c>
      <c r="CD29" s="258">
        <v>2.75E-2</v>
      </c>
      <c r="CE29" s="258">
        <v>0.03</v>
      </c>
      <c r="CF29" s="258">
        <v>0.02</v>
      </c>
      <c r="CG29" s="258">
        <v>6.7199999999999996E-2</v>
      </c>
      <c r="CH29" s="258">
        <v>24.471792793666797</v>
      </c>
      <c r="CI29" s="258">
        <v>3.371</v>
      </c>
      <c r="CJ29" s="258"/>
      <c r="CK29" s="258"/>
      <c r="CL29" s="258"/>
      <c r="CM29" s="258"/>
    </row>
    <row r="30" spans="1:91" x14ac:dyDescent="0.25">
      <c r="A30" s="723"/>
      <c r="B30" s="723"/>
      <c r="D30" s="31">
        <f t="shared" si="49"/>
        <v>37636</v>
      </c>
      <c r="F30" s="28">
        <f t="shared" si="12"/>
        <v>3500</v>
      </c>
      <c r="G30" s="28">
        <f t="shared" si="13"/>
        <v>3407.3039801407094</v>
      </c>
      <c r="H30" s="52">
        <f t="shared" si="14"/>
        <v>3.4152452025586357</v>
      </c>
      <c r="I30" s="52">
        <f t="shared" si="15"/>
        <v>3.4860000000000002</v>
      </c>
      <c r="K30" s="52">
        <f t="shared" si="16"/>
        <v>0.13745913227759254</v>
      </c>
      <c r="L30" s="135">
        <f t="shared" si="17"/>
        <v>0.42036070351797283</v>
      </c>
      <c r="N30" s="131">
        <f t="shared" si="18"/>
        <v>0.57632730332360438</v>
      </c>
      <c r="O30" s="131">
        <f t="shared" si="19"/>
        <v>0.57632730332360438</v>
      </c>
      <c r="P30" s="55">
        <f t="shared" si="20"/>
        <v>1</v>
      </c>
      <c r="Q30" s="135">
        <f>_xll.xSPRDOPT(I30,H30,AQ30,0,O30,N30,P30,D30-$G$5,1,0)*AH30*AU30</f>
        <v>0.55781983579556538</v>
      </c>
      <c r="R30" s="135"/>
      <c r="S30" s="181">
        <f>_xll.xSPRDOPT(I30,H30,AQ30,AT30,O30,N30,P30,D30-$G$5,1,2)*AF30*(F30/(1-AR30))*AH30</f>
        <v>-77100.112258737005</v>
      </c>
      <c r="T30" s="181">
        <f>_xll.xSPRDOPT(I30,H30,AQ30,AT30,O30,N30,P30,D30-$G$5,1,1)*AF30*F30*AH30</f>
        <v>72319.905298645943</v>
      </c>
      <c r="U30" s="135"/>
      <c r="V30" s="146">
        <f t="shared" si="50"/>
        <v>24.390650108354677</v>
      </c>
      <c r="W30" s="146"/>
      <c r="X30" s="338">
        <f t="shared" si="21"/>
        <v>0</v>
      </c>
      <c r="Y30" s="338">
        <f t="shared" si="22"/>
        <v>0</v>
      </c>
      <c r="Z30" s="338">
        <f t="shared" si="23"/>
        <v>-5.6331331344833089</v>
      </c>
      <c r="AA30" s="338">
        <f t="shared" si="24"/>
        <v>0.78314528199716948</v>
      </c>
      <c r="AB30" s="338">
        <f t="shared" si="25"/>
        <v>0</v>
      </c>
      <c r="AC30" s="338">
        <f t="shared" si="26"/>
        <v>0.4025145262325463</v>
      </c>
      <c r="AF30" s="138">
        <f t="shared" si="27"/>
        <v>1</v>
      </c>
      <c r="AG30" s="138">
        <f t="shared" si="28"/>
        <v>1</v>
      </c>
      <c r="AH30" s="138">
        <f t="shared" si="29"/>
        <v>31</v>
      </c>
      <c r="AI30" s="138">
        <f t="shared" si="51"/>
        <v>380</v>
      </c>
      <c r="AJ30" s="138">
        <f t="shared" si="30"/>
        <v>397</v>
      </c>
      <c r="AL30" s="136">
        <f t="shared" si="31"/>
        <v>3.4460000000000002</v>
      </c>
      <c r="AM30" s="258">
        <f t="shared" si="32"/>
        <v>-0.27</v>
      </c>
      <c r="AN30" s="258">
        <f t="shared" si="33"/>
        <v>2.75E-2</v>
      </c>
      <c r="AO30" s="258">
        <f t="shared" si="34"/>
        <v>0.02</v>
      </c>
      <c r="AP30" s="258">
        <f t="shared" si="35"/>
        <v>0.02</v>
      </c>
      <c r="AQ30" s="136">
        <f t="shared" si="36"/>
        <v>6.6199999999999995E-2</v>
      </c>
      <c r="AR30" s="137">
        <f t="shared" si="37"/>
        <v>6.2E-2</v>
      </c>
      <c r="AS30" s="136">
        <f t="shared" si="38"/>
        <v>3.2035</v>
      </c>
      <c r="AT30" s="137">
        <f t="shared" si="39"/>
        <v>2.50384261928196E-2</v>
      </c>
      <c r="AU30" s="137">
        <f t="shared" si="40"/>
        <v>0.97351542289734561</v>
      </c>
      <c r="AV30" s="394">
        <f t="shared" si="41"/>
        <v>6971.3439433678923</v>
      </c>
      <c r="AW30" s="137">
        <f t="shared" si="42"/>
        <v>0.53749999999999998</v>
      </c>
      <c r="AX30" s="137">
        <f t="shared" si="43"/>
        <v>1.18</v>
      </c>
      <c r="AY30" s="137">
        <f t="shared" si="44"/>
        <v>1.18</v>
      </c>
      <c r="AZ30" s="137"/>
      <c r="BA30" s="264"/>
      <c r="BB30" s="258">
        <f t="shared" si="45"/>
        <v>0</v>
      </c>
      <c r="BC30" s="258">
        <f t="shared" si="46"/>
        <v>0</v>
      </c>
      <c r="BD30" s="137">
        <f t="shared" si="47"/>
        <v>2.8252396234673682E-4</v>
      </c>
      <c r="BE30" s="137">
        <f t="shared" si="48"/>
        <v>2.8252396234673682E-4</v>
      </c>
      <c r="BF30" s="137">
        <f>_xll.xSPRDOPT($BW30,$BV30,$CG30,0,$BY30,$BX30,$BZ30,$AJ30,1,4)*$CB30</f>
        <v>6.9617019534107188E-7</v>
      </c>
      <c r="BG30" s="137">
        <f>_xll.xSPRDOPT($BW30,$BV30,$CG30,0,$BY30,$BX30,$BZ30,$AJ30,1,3)*$CB30</f>
        <v>6.0914892092343789E-7</v>
      </c>
      <c r="BH30" s="137">
        <f>IF(OR(BF30&lt;&gt;0,BG30&lt;&gt;0),_xll.xSPRDOPT($BW30,$BV30,$CG30,0,$BY30,$BX30,$BZ30,$AJ30,1,12)*$CB30,0)</f>
        <v>-5.4388296511021243E-8</v>
      </c>
      <c r="BI30" s="137">
        <f>_xll.xSPRDOPT($BW30,$BV30,$CG30,2*LN(1+CA30/2),$BY30,$BX30,$BZ30,$AJ30,1,9)</f>
        <v>-6.3210503145008558E-3</v>
      </c>
      <c r="BJ30" s="137">
        <f>_xll.xSPRDOPT($BW30,$BV30,$CG30,0,$BY30,$BX30,$BZ30,$AJ30,1,6)*$CB30</f>
        <v>-1.2331710119266344</v>
      </c>
      <c r="BK30" s="137">
        <f>_xll.xSPRDOPT($BW30,$BV30,$CG30,0,$BY30,$BX30,$BZ30,$AJ30,1,5)*$CB30</f>
        <v>1.2587190355575466</v>
      </c>
      <c r="BL30" s="137">
        <f>_xll.xSPRDOPT(BW30,BV30,CG30,0,BY30,BX30,BZ30,AJ30,1,2)*CB30</f>
        <v>-0.66720451437318151</v>
      </c>
      <c r="BM30" s="137">
        <f>_xll.xSPRDOPT(BW30,BV30,CG30,0,BY30,BX30,BZ30,AJ30,1,1)*CB30</f>
        <v>0.66720451437284956</v>
      </c>
      <c r="BN30" s="137">
        <f>IF(AH30&lt;&gt;0,_xll.xSPRDOPT($BW30,$BV30,$CG30,2*LN(1+CA30/2),$BY30,$BX30,$BZ30,$AJ30,1,8)+(AJ30/365.25)*CH30/AH30,0)</f>
        <v>0.83540682678648959</v>
      </c>
      <c r="BO30" s="137">
        <f>_xll.xSPRDOPT($BW30,$BV30,$CG30,0,$BY30,$BX30,$BZ30,$AJ30,1,0)</f>
        <v>1.8533595756190568E-2</v>
      </c>
      <c r="BP30" s="137"/>
      <c r="BQ30" s="137"/>
      <c r="BR30" s="137"/>
      <c r="BS30" s="137"/>
      <c r="BV30" s="262">
        <v>3.4152452025586357</v>
      </c>
      <c r="BW30" s="136">
        <v>3.4860000000000002</v>
      </c>
      <c r="BX30" s="137">
        <v>0.57604477936125764</v>
      </c>
      <c r="BY30" s="137">
        <v>0.57604477936125764</v>
      </c>
      <c r="BZ30" s="137">
        <v>1</v>
      </c>
      <c r="CA30" s="137">
        <v>2.50384261928196E-2</v>
      </c>
      <c r="CB30" s="137">
        <v>0.97331647833327972</v>
      </c>
      <c r="CC30" s="258">
        <v>-0.27</v>
      </c>
      <c r="CD30" s="258">
        <v>2.75E-2</v>
      </c>
      <c r="CE30" s="258">
        <v>0.02</v>
      </c>
      <c r="CF30" s="258">
        <v>0.02</v>
      </c>
      <c r="CG30" s="258">
        <v>6.6199999999999995E-2</v>
      </c>
      <c r="CH30" s="258">
        <v>24.385665711457658</v>
      </c>
      <c r="CI30" s="258">
        <v>3.4460000000000002</v>
      </c>
      <c r="CJ30" s="258"/>
      <c r="CK30" s="258"/>
      <c r="CL30" s="258"/>
      <c r="CM30" s="258"/>
    </row>
    <row r="31" spans="1:91" x14ac:dyDescent="0.25">
      <c r="A31" s="723"/>
      <c r="B31" s="723"/>
      <c r="D31" s="31">
        <f t="shared" si="49"/>
        <v>37667</v>
      </c>
      <c r="F31" s="28">
        <f t="shared" si="12"/>
        <v>3500</v>
      </c>
      <c r="G31" s="28">
        <f t="shared" si="13"/>
        <v>3396.1858814094289</v>
      </c>
      <c r="H31" s="52">
        <f t="shared" si="14"/>
        <v>3.3459488272921107</v>
      </c>
      <c r="I31" s="52">
        <f t="shared" si="15"/>
        <v>3.411</v>
      </c>
      <c r="K31" s="52">
        <f t="shared" si="16"/>
        <v>0</v>
      </c>
      <c r="L31" s="135">
        <f t="shared" si="17"/>
        <v>0.40954165732805597</v>
      </c>
      <c r="N31" s="131">
        <f t="shared" si="18"/>
        <v>0.56121070542386564</v>
      </c>
      <c r="O31" s="131">
        <f t="shared" si="19"/>
        <v>0.56121070542386564</v>
      </c>
      <c r="P31" s="55">
        <f t="shared" si="20"/>
        <v>1</v>
      </c>
      <c r="Q31" s="135">
        <f>_xll.xSPRDOPT(I31,H31,AQ31,0,O31,N31,P31,D31-$G$5,1,0)*AH31*AU31</f>
        <v>0.40954165732805597</v>
      </c>
      <c r="R31" s="135"/>
      <c r="S31" s="181">
        <f>_xll.xSPRDOPT(I31,H31,AQ31,AT31,O31,N31,P31,D31-$G$5,1,2)*AF31*(F31/(1-AR31))*AH31</f>
        <v>-60693.597373587523</v>
      </c>
      <c r="T31" s="181">
        <f>_xll.xSPRDOPT(I31,H31,AQ31,AT31,O31,N31,P31,D31-$G$5,1,1)*AF31*F31*AH31</f>
        <v>56930.594336600567</v>
      </c>
      <c r="U31" s="135"/>
      <c r="V31" s="146">
        <f t="shared" si="50"/>
        <v>21.958379434840804</v>
      </c>
      <c r="W31" s="146"/>
      <c r="X31" s="338">
        <f t="shared" si="21"/>
        <v>0</v>
      </c>
      <c r="Y31" s="338">
        <f t="shared" si="22"/>
        <v>0</v>
      </c>
      <c r="Z31" s="338">
        <f t="shared" si="23"/>
        <v>-4.793188496225107</v>
      </c>
      <c r="AA31" s="338">
        <f t="shared" si="24"/>
        <v>0.59450753001948753</v>
      </c>
      <c r="AB31" s="338">
        <f t="shared" si="25"/>
        <v>0</v>
      </c>
      <c r="AC31" s="338">
        <f t="shared" si="26"/>
        <v>0.30753567749841909</v>
      </c>
      <c r="AF31" s="138">
        <f t="shared" si="27"/>
        <v>1</v>
      </c>
      <c r="AG31" s="138">
        <f t="shared" si="28"/>
        <v>2</v>
      </c>
      <c r="AH31" s="138">
        <f t="shared" si="29"/>
        <v>28</v>
      </c>
      <c r="AI31" s="138">
        <f t="shared" si="51"/>
        <v>411</v>
      </c>
      <c r="AJ31" s="138">
        <f t="shared" si="30"/>
        <v>428</v>
      </c>
      <c r="AL31" s="136">
        <f t="shared" si="31"/>
        <v>3.371</v>
      </c>
      <c r="AM31" s="258">
        <f t="shared" si="32"/>
        <v>-0.26</v>
      </c>
      <c r="AN31" s="258">
        <f t="shared" si="33"/>
        <v>2.75E-2</v>
      </c>
      <c r="AO31" s="258">
        <f t="shared" si="34"/>
        <v>0.02</v>
      </c>
      <c r="AP31" s="258">
        <f t="shared" si="35"/>
        <v>0.02</v>
      </c>
      <c r="AQ31" s="136">
        <f t="shared" si="36"/>
        <v>6.6199999999999995E-2</v>
      </c>
      <c r="AR31" s="137">
        <f t="shared" si="37"/>
        <v>6.2E-2</v>
      </c>
      <c r="AS31" s="136">
        <f t="shared" si="38"/>
        <v>3.1384999999999996</v>
      </c>
      <c r="AT31" s="137">
        <f t="shared" si="39"/>
        <v>2.6044986419747399E-2</v>
      </c>
      <c r="AU31" s="137">
        <f t="shared" si="40"/>
        <v>0.97033882325983689</v>
      </c>
      <c r="AV31" s="394">
        <f t="shared" si="41"/>
        <v>6276.1515088446249</v>
      </c>
      <c r="AW31" s="137">
        <f t="shared" si="42"/>
        <v>0.52749999999999997</v>
      </c>
      <c r="AX31" s="137">
        <f t="shared" si="43"/>
        <v>1.18</v>
      </c>
      <c r="AY31" s="137">
        <f t="shared" si="44"/>
        <v>1.18</v>
      </c>
      <c r="AZ31" s="137"/>
      <c r="BA31" s="264"/>
      <c r="BB31" s="258">
        <f t="shared" si="45"/>
        <v>0</v>
      </c>
      <c r="BC31" s="258">
        <f t="shared" si="46"/>
        <v>0</v>
      </c>
      <c r="BD31" s="137">
        <f t="shared" si="47"/>
        <v>2.2924009791358557E-4</v>
      </c>
      <c r="BE31" s="137">
        <f t="shared" si="48"/>
        <v>2.2924009791358557E-4</v>
      </c>
      <c r="BF31" s="137">
        <f>_xll.xSPRDOPT($BW31,$BV31,$CG31,0,$BY31,$BX31,$BZ31,$AJ31,1,4)*$CB31</f>
        <v>8.6736614267703499E-8</v>
      </c>
      <c r="BG31" s="137">
        <f>_xll.xSPRDOPT($BW31,$BV31,$CG31,0,$BY31,$BX31,$BZ31,$AJ31,1,3)*$CB31</f>
        <v>-1.1564881902360466E-7</v>
      </c>
      <c r="BH31" s="137">
        <f>IF(OR(BF31&lt;&gt;0,BG31&lt;&gt;0),_xll.xSPRDOPT($BW31,$BV31,$CG31,0,$BY31,$BX31,$BZ31,$AJ31,1,12)*$CB31,0)</f>
        <v>0</v>
      </c>
      <c r="BI31" s="137">
        <f>_xll.xSPRDOPT($BW31,$BV31,$CG31,2*LN(1+CA31/2),$BY31,$BX31,$BZ31,$AJ31,1,9)</f>
        <v>-5.9548030552592519E-3</v>
      </c>
      <c r="BJ31" s="137">
        <f>_xll.xSPRDOPT($BW31,$BV31,$CG31,0,$BY31,$BX31,$BZ31,$AJ31,1,6)*$CB31</f>
        <v>-1.3611464764696897</v>
      </c>
      <c r="BK31" s="137">
        <f>_xll.xSPRDOPT($BW31,$BV31,$CG31,0,$BY31,$BX31,$BZ31,$AJ31,1,5)*$CB31</f>
        <v>1.3876095753025675</v>
      </c>
      <c r="BL31" s="137">
        <f>_xll.xSPRDOPT(BW31,BV31,CG31,0,BY31,BX31,BZ31,AJ31,1,2)*CB31</f>
        <v>-0.58162305508223022</v>
      </c>
      <c r="BM31" s="137">
        <f>_xll.xSPRDOPT(BW31,BV31,CG31,0,BY31,BX31,BZ31,AJ31,1,1)*CB31</f>
        <v>0.58162305508460155</v>
      </c>
      <c r="BN31" s="137">
        <f>IF(AH31&lt;&gt;0,_xll.xSPRDOPT($BW31,$BV31,$CG31,2*LN(1+CA31/2),$BY31,$BX31,$BZ31,$AJ31,1,8)+(AJ31/365.25)*CH31/AH31,0)</f>
        <v>0.90157331052115131</v>
      </c>
      <c r="BO31" s="137">
        <f>_xll.xSPRDOPT($BW31,$BV31,$CG31,0,$BY31,$BX31,$BZ31,$AJ31,1,0)</f>
        <v>1.5121092228783137E-2</v>
      </c>
      <c r="BP31" s="137"/>
      <c r="BQ31" s="137"/>
      <c r="BR31" s="137"/>
      <c r="BS31" s="137"/>
      <c r="BV31" s="262">
        <v>3.3459488272921107</v>
      </c>
      <c r="BW31" s="136">
        <v>3.411</v>
      </c>
      <c r="BX31" s="137">
        <v>0.56098146532595206</v>
      </c>
      <c r="BY31" s="137">
        <v>0.56098146532595206</v>
      </c>
      <c r="BZ31" s="137">
        <v>1</v>
      </c>
      <c r="CA31" s="137">
        <v>2.6044986419747399E-2</v>
      </c>
      <c r="CB31" s="137">
        <v>0.97013260845196225</v>
      </c>
      <c r="CC31" s="258">
        <v>-0.26</v>
      </c>
      <c r="CD31" s="258">
        <v>2.75E-2</v>
      </c>
      <c r="CE31" s="258">
        <v>0.02</v>
      </c>
      <c r="CF31" s="258">
        <v>0.02</v>
      </c>
      <c r="CG31" s="258">
        <v>6.6199999999999995E-2</v>
      </c>
      <c r="CH31" s="258">
        <v>21.953712876224525</v>
      </c>
      <c r="CI31" s="258">
        <v>3.371</v>
      </c>
      <c r="CJ31" s="258"/>
      <c r="CK31" s="258"/>
      <c r="CL31" s="258"/>
      <c r="CM31" s="258"/>
    </row>
    <row r="32" spans="1:91" x14ac:dyDescent="0.25">
      <c r="A32" s="723"/>
      <c r="B32" s="723"/>
      <c r="D32" s="31">
        <f t="shared" si="49"/>
        <v>37695</v>
      </c>
      <c r="F32" s="28">
        <f t="shared" si="12"/>
        <v>3500</v>
      </c>
      <c r="G32" s="28">
        <f t="shared" si="13"/>
        <v>3385.6857127873486</v>
      </c>
      <c r="H32" s="52">
        <f t="shared" si="14"/>
        <v>3.1966950959488276</v>
      </c>
      <c r="I32" s="52">
        <f t="shared" si="15"/>
        <v>3.3210000000000002</v>
      </c>
      <c r="K32" s="52">
        <f t="shared" si="16"/>
        <v>1.7424209280448502</v>
      </c>
      <c r="L32" s="135">
        <f t="shared" si="17"/>
        <v>0.10145987593769656</v>
      </c>
      <c r="N32" s="131">
        <f t="shared" si="18"/>
        <v>0.50896699400854961</v>
      </c>
      <c r="O32" s="131">
        <f t="shared" si="19"/>
        <v>0.50896699400854961</v>
      </c>
      <c r="P32" s="55">
        <f t="shared" si="20"/>
        <v>1.0000000000000002</v>
      </c>
      <c r="Q32" s="135">
        <f>_xll.xSPRDOPT(I32,H32,AQ32,0,O32,N32,P32,D32-$G$5,1,0)*AH32*AU32</f>
        <v>1.8438808039825467</v>
      </c>
      <c r="R32" s="135"/>
      <c r="S32" s="181">
        <f>_xll.xSPRDOPT(I32,H32,AQ32,AT32,O32,N32,P32,D32-$G$5,1,2)*AF32*(F32/(1-AR32))*AH32</f>
        <v>-102838.59817517613</v>
      </c>
      <c r="T32" s="181">
        <f>_xll.xSPRDOPT(I32,H32,AQ32,AT32,O32,N32,P32,D32-$G$5,1,1)*AF32*F32*AH32</f>
        <v>96462.605087796954</v>
      </c>
      <c r="U32" s="135"/>
      <c r="V32" s="146">
        <f t="shared" si="50"/>
        <v>24.235899138661942</v>
      </c>
      <c r="W32" s="146"/>
      <c r="X32" s="338">
        <f t="shared" si="21"/>
        <v>0</v>
      </c>
      <c r="Y32" s="338">
        <f t="shared" si="22"/>
        <v>0</v>
      </c>
      <c r="Z32" s="338">
        <f t="shared" si="23"/>
        <v>-2.2313614789803222</v>
      </c>
      <c r="AA32" s="338">
        <f t="shared" si="24"/>
        <v>0.30061935376378529</v>
      </c>
      <c r="AB32" s="338">
        <f t="shared" si="25"/>
        <v>0</v>
      </c>
      <c r="AC32" s="338">
        <f t="shared" si="26"/>
        <v>1.4291837102831548</v>
      </c>
      <c r="AF32" s="138">
        <f t="shared" si="27"/>
        <v>1</v>
      </c>
      <c r="AG32" s="138">
        <f t="shared" si="28"/>
        <v>3</v>
      </c>
      <c r="AH32" s="138">
        <f t="shared" si="29"/>
        <v>31</v>
      </c>
      <c r="AI32" s="138">
        <f t="shared" si="51"/>
        <v>439</v>
      </c>
      <c r="AJ32" s="138">
        <f t="shared" si="30"/>
        <v>456</v>
      </c>
      <c r="AL32" s="136">
        <f t="shared" si="31"/>
        <v>3.2810000000000001</v>
      </c>
      <c r="AM32" s="258">
        <f t="shared" si="32"/>
        <v>-0.31</v>
      </c>
      <c r="AN32" s="258">
        <f t="shared" si="33"/>
        <v>2.75E-2</v>
      </c>
      <c r="AO32" s="258">
        <f t="shared" si="34"/>
        <v>0.02</v>
      </c>
      <c r="AP32" s="258">
        <f t="shared" si="35"/>
        <v>0.02</v>
      </c>
      <c r="AQ32" s="136">
        <f t="shared" si="36"/>
        <v>6.6199999999999995E-2</v>
      </c>
      <c r="AR32" s="137">
        <f t="shared" si="37"/>
        <v>6.2E-2</v>
      </c>
      <c r="AS32" s="136">
        <f t="shared" si="38"/>
        <v>2.9984999999999999</v>
      </c>
      <c r="AT32" s="137">
        <f t="shared" si="39"/>
        <v>2.6954137886657601E-2</v>
      </c>
      <c r="AU32" s="137">
        <f t="shared" si="40"/>
        <v>0.96733877508209964</v>
      </c>
      <c r="AV32" s="394">
        <f t="shared" si="41"/>
        <v>6927.1129683629151</v>
      </c>
      <c r="AW32" s="137">
        <f t="shared" si="42"/>
        <v>0.48749999999999999</v>
      </c>
      <c r="AX32" s="137">
        <f t="shared" si="43"/>
        <v>0.93</v>
      </c>
      <c r="AY32" s="137">
        <f t="shared" si="44"/>
        <v>0.93</v>
      </c>
      <c r="AZ32" s="137"/>
      <c r="BA32" s="264"/>
      <c r="BB32" s="258">
        <f t="shared" si="45"/>
        <v>0</v>
      </c>
      <c r="BC32" s="258">
        <f t="shared" si="46"/>
        <v>0</v>
      </c>
      <c r="BD32" s="137">
        <f t="shared" si="47"/>
        <v>1.3781722370664884E-4</v>
      </c>
      <c r="BE32" s="137">
        <f t="shared" si="48"/>
        <v>1.3781722370664884E-4</v>
      </c>
      <c r="BF32" s="137">
        <f>_xll.xSPRDOPT($BW32,$BV32,$CG32,0,$BY32,$BX32,$BZ32,$AJ32,1,4)*$CB32</f>
        <v>-5.0439555142672921E-7</v>
      </c>
      <c r="BG32" s="137">
        <f>_xll.xSPRDOPT($BW32,$BV32,$CG32,0,$BY32,$BX32,$BZ32,$AJ32,1,3)*$CB32</f>
        <v>-9.6555719844545301E-7</v>
      </c>
      <c r="BH32" s="137">
        <f>IF(OR(BF32&lt;&gt;0,BG32&lt;&gt;0),_xll.xSPRDOPT($BW32,$BV32,$CG32,0,$BY32,$BX32,$BZ32,$AJ32,1,12)*$CB32,0)</f>
        <v>4.8998424995739404E-7</v>
      </c>
      <c r="BI32" s="137">
        <f>_xll.xSPRDOPT($BW32,$BV32,$CG32,2*LN(1+CA32/2),$BY32,$BX32,$BZ32,$AJ32,1,9)</f>
        <v>-2.5038549314825272E-3</v>
      </c>
      <c r="BJ32" s="137">
        <f>_xll.xSPRDOPT($BW32,$BV32,$CG32,0,$BY32,$BX32,$BZ32,$AJ32,1,6)*$CB32</f>
        <v>-0.51700727458534612</v>
      </c>
      <c r="BK32" s="137">
        <f>_xll.xSPRDOPT($BW32,$BV32,$CG32,0,$BY32,$BX32,$BZ32,$AJ32,1,5)*$CB32</f>
        <v>0.53711133134709776</v>
      </c>
      <c r="BL32" s="137">
        <f>_xll.xSPRDOPT(BW32,BV32,CG32,0,BY32,BX32,BZ32,AJ32,1,2)*CB32</f>
        <v>-0.88930848451152356</v>
      </c>
      <c r="BM32" s="137">
        <f>_xll.xSPRDOPT(BW32,BV32,CG32,0,BY32,BX32,BZ32,AJ32,1,1)*CB32</f>
        <v>0.88930848450580613</v>
      </c>
      <c r="BN32" s="137">
        <f>IF(AH32&lt;&gt;0,_xll.xSPRDOPT($BW32,$BV32,$CG32,2*LN(1+CA32/2),$BY32,$BX32,$BZ32,$AJ32,1,8)+(AJ32/365.25)*CH32/AH32,0)</f>
        <v>0.90155458726610949</v>
      </c>
      <c r="BO32" s="137">
        <f>_xll.xSPRDOPT($BW32,$BV32,$CG32,0,$BY32,$BX32,$BZ32,$AJ32,1,0)</f>
        <v>6.152034368119106E-2</v>
      </c>
      <c r="BP32" s="137"/>
      <c r="BQ32" s="137"/>
      <c r="BR32" s="137"/>
      <c r="BS32" s="137"/>
      <c r="BV32" s="262">
        <v>3.1966950959488276</v>
      </c>
      <c r="BW32" s="136">
        <v>3.3210000000000002</v>
      </c>
      <c r="BX32" s="137">
        <v>0.50882917678484296</v>
      </c>
      <c r="BY32" s="137">
        <v>0.50882917678484296</v>
      </c>
      <c r="BZ32" s="137">
        <v>1</v>
      </c>
      <c r="CA32" s="137">
        <v>2.6954137886657601E-2</v>
      </c>
      <c r="CB32" s="137">
        <v>0.96712607036861076</v>
      </c>
      <c r="CC32" s="258">
        <v>-0.31</v>
      </c>
      <c r="CD32" s="258">
        <v>2.75E-2</v>
      </c>
      <c r="CE32" s="258">
        <v>0.02</v>
      </c>
      <c r="CF32" s="258">
        <v>0.02</v>
      </c>
      <c r="CG32" s="258">
        <v>6.6199999999999995E-2</v>
      </c>
      <c r="CH32" s="258">
        <v>24.230569992229249</v>
      </c>
      <c r="CI32" s="258">
        <v>3.2810000000000001</v>
      </c>
      <c r="CJ32" s="258"/>
      <c r="CK32" s="258"/>
      <c r="CL32" s="258"/>
      <c r="CM32" s="258"/>
    </row>
    <row r="33" spans="1:91" x14ac:dyDescent="0.25">
      <c r="A33" s="723"/>
      <c r="B33" s="723"/>
      <c r="D33" s="31">
        <f t="shared" si="49"/>
        <v>37726</v>
      </c>
      <c r="F33" s="28">
        <f t="shared" si="12"/>
        <v>3500</v>
      </c>
      <c r="G33" s="28">
        <f t="shared" si="13"/>
        <v>3373.4978285176917</v>
      </c>
      <c r="H33" s="52">
        <f t="shared" si="14"/>
        <v>2.8901918976545842</v>
      </c>
      <c r="I33" s="52">
        <f t="shared" si="15"/>
        <v>3.286</v>
      </c>
      <c r="K33" s="52">
        <f t="shared" si="16"/>
        <v>9.5308475787779798</v>
      </c>
      <c r="L33" s="135">
        <f t="shared" si="17"/>
        <v>2.1713810655299426E-5</v>
      </c>
      <c r="N33" s="131">
        <f t="shared" si="18"/>
        <v>0.39486246463722208</v>
      </c>
      <c r="O33" s="131">
        <f t="shared" si="19"/>
        <v>0.39486246463722208</v>
      </c>
      <c r="P33" s="55">
        <f t="shared" si="20"/>
        <v>1</v>
      </c>
      <c r="Q33" s="135">
        <f>_xll.xSPRDOPT(I33,H33,AQ33,0,O33,N33,P33,D33-$G$5,1,0)*AH33*AU33</f>
        <v>9.5308692925886351</v>
      </c>
      <c r="R33" s="135"/>
      <c r="S33" s="181">
        <f>_xll.xSPRDOPT(I33,H33,AQ33,AT33,O33,N33,P33,D33-$G$5,1,2)*AF33*(F33/(1-AR33))*AH33</f>
        <v>-107864.91141699564</v>
      </c>
      <c r="T33" s="181">
        <f>_xll.xSPRDOPT(I33,H33,AQ33,AT33,O33,N33,P33,D33-$G$5,1,1)*AF33*F33*AH33</f>
        <v>101177.2869096194</v>
      </c>
      <c r="U33" s="135"/>
      <c r="V33" s="146">
        <f t="shared" si="50"/>
        <v>23.369665242925702</v>
      </c>
      <c r="W33" s="146"/>
      <c r="X33" s="338">
        <f t="shared" si="21"/>
        <v>0</v>
      </c>
      <c r="Y33" s="338">
        <f t="shared" si="22"/>
        <v>0</v>
      </c>
      <c r="Z33" s="338">
        <f t="shared" si="23"/>
        <v>7.6058281595887784</v>
      </c>
      <c r="AA33" s="338">
        <f t="shared" si="24"/>
        <v>1.4864275477102302E-4</v>
      </c>
      <c r="AB33" s="338">
        <f t="shared" si="25"/>
        <v>0</v>
      </c>
      <c r="AC33" s="338">
        <f t="shared" si="26"/>
        <v>7.662956710250608</v>
      </c>
      <c r="AF33" s="138">
        <f t="shared" si="27"/>
        <v>1</v>
      </c>
      <c r="AG33" s="138">
        <f t="shared" si="28"/>
        <v>4</v>
      </c>
      <c r="AH33" s="138">
        <f t="shared" si="29"/>
        <v>30</v>
      </c>
      <c r="AI33" s="138">
        <f t="shared" si="51"/>
        <v>470</v>
      </c>
      <c r="AJ33" s="138">
        <f t="shared" si="30"/>
        <v>487</v>
      </c>
      <c r="AL33" s="136">
        <f t="shared" si="31"/>
        <v>3.1259999999999999</v>
      </c>
      <c r="AM33" s="258">
        <f t="shared" si="32"/>
        <v>-0.435</v>
      </c>
      <c r="AN33" s="258">
        <f t="shared" si="33"/>
        <v>0.02</v>
      </c>
      <c r="AO33" s="258">
        <f t="shared" si="34"/>
        <v>0.14000000000000001</v>
      </c>
      <c r="AP33" s="258">
        <f t="shared" si="35"/>
        <v>0.02</v>
      </c>
      <c r="AQ33" s="136">
        <f t="shared" si="36"/>
        <v>6.6199999999999995E-2</v>
      </c>
      <c r="AR33" s="137">
        <f t="shared" si="37"/>
        <v>6.2E-2</v>
      </c>
      <c r="AS33" s="136">
        <f t="shared" si="38"/>
        <v>2.7109999999999999</v>
      </c>
      <c r="AT33" s="137">
        <f t="shared" si="39"/>
        <v>2.79745964320606E-2</v>
      </c>
      <c r="AU33" s="137">
        <f t="shared" si="40"/>
        <v>0.96385652243362618</v>
      </c>
      <c r="AV33" s="394">
        <f t="shared" si="41"/>
        <v>6679.5257004650293</v>
      </c>
      <c r="AW33" s="137">
        <f t="shared" si="42"/>
        <v>0.38750000000000001</v>
      </c>
      <c r="AX33" s="137">
        <f t="shared" si="43"/>
        <v>0.57999999999999996</v>
      </c>
      <c r="AY33" s="137">
        <f t="shared" si="44"/>
        <v>0.57999999999999996</v>
      </c>
      <c r="AZ33" s="137"/>
      <c r="BA33" s="264"/>
      <c r="BB33" s="258">
        <f t="shared" si="45"/>
        <v>0</v>
      </c>
      <c r="BC33" s="258">
        <f t="shared" si="46"/>
        <v>0</v>
      </c>
      <c r="BD33" s="137">
        <f t="shared" si="47"/>
        <v>4.4841638542014728E-5</v>
      </c>
      <c r="BE33" s="137">
        <f t="shared" si="48"/>
        <v>4.4841638542014728E-5</v>
      </c>
      <c r="BF33" s="137">
        <f>_xll.xSPRDOPT($BW33,$BV33,$CG33,0,$BY33,$BX33,$BZ33,$AJ33,1,4)*$CB33</f>
        <v>-2.2974887275464988E-7</v>
      </c>
      <c r="BG33" s="137">
        <f>_xll.xSPRDOPT($BW33,$BV33,$CG33,0,$BY33,$BX33,$BZ33,$AJ33,1,3)*$CB33</f>
        <v>-2.2974887275464988E-7</v>
      </c>
      <c r="BH33" s="137">
        <f>IF(OR(BF33&lt;&gt;0,BG33&lt;&gt;0),_xll.xSPRDOPT($BW33,$BV33,$CG33,0,$BY33,$BX33,$BZ33,$AJ33,1,12)*$CB33,0)</f>
        <v>-1.7231165456598742E-7</v>
      </c>
      <c r="BI33" s="137">
        <f>_xll.xSPRDOPT($BW33,$BV33,$CG33,2*LN(1+CA33/2),$BY33,$BX33,$BZ33,$AJ33,1,9)</f>
        <v>8.8191388421898463E-3</v>
      </c>
      <c r="BJ33" s="137">
        <f>_xll.xSPRDOPT($BW33,$BV33,$CG33,0,$BY33,$BX33,$BZ33,$AJ33,1,6)*$CB33</f>
        <v>-2.3052333174369813E-4</v>
      </c>
      <c r="BK33" s="137">
        <f>_xll.xSPRDOPT($BW33,$BV33,$CG33,0,$BY33,$BX33,$BZ33,$AJ33,1,5)*$CB33</f>
        <v>2.6209321477121402E-4</v>
      </c>
      <c r="BL33" s="137">
        <f>_xll.xSPRDOPT(BW33,BV33,CG33,0,BY33,BX33,BZ33,AJ33,1,2)*CB33</f>
        <v>-0.96362093999959564</v>
      </c>
      <c r="BM33" s="137">
        <f>_xll.xSPRDOPT(BW33,BV33,CG33,0,BY33,BX33,BZ33,AJ33,1,1)*CB33</f>
        <v>0.96362094000573051</v>
      </c>
      <c r="BN33" s="137">
        <f>IF(AH33&lt;&gt;0,_xll.xSPRDOPT($BW33,$BV33,$CG33,2*LN(1+CA33/2),$BY33,$BX33,$BZ33,$AJ33,1,8)+(AJ33/365.25)*CH33/AH33,0)</f>
        <v>0.61491722123150194</v>
      </c>
      <c r="BO33" s="137">
        <f>_xll.xSPRDOPT($BW33,$BV33,$CG33,0,$BY33,$BX33,$BZ33,$AJ33,1,0)</f>
        <v>0.32960889182623221</v>
      </c>
      <c r="BP33" s="137"/>
      <c r="BQ33" s="137"/>
      <c r="BR33" s="137"/>
      <c r="BS33" s="137"/>
      <c r="BV33" s="262">
        <v>2.8901918976545842</v>
      </c>
      <c r="BW33" s="136">
        <v>3.286</v>
      </c>
      <c r="BX33" s="137">
        <v>0.39481762299868006</v>
      </c>
      <c r="BY33" s="137">
        <v>0.39481762299868006</v>
      </c>
      <c r="BZ33" s="137">
        <v>1</v>
      </c>
      <c r="CA33" s="137">
        <v>2.79745964320606E-2</v>
      </c>
      <c r="CB33" s="137">
        <v>0.96363661599031902</v>
      </c>
      <c r="CC33" s="258">
        <v>-0.435</v>
      </c>
      <c r="CD33" s="258">
        <v>0.02</v>
      </c>
      <c r="CE33" s="258">
        <v>0.14000000000000001</v>
      </c>
      <c r="CF33" s="258">
        <v>0.02</v>
      </c>
      <c r="CG33" s="258">
        <v>6.6199999999999995E-2</v>
      </c>
      <c r="CH33" s="258">
        <v>23.364333391301276</v>
      </c>
      <c r="CI33" s="258">
        <v>3.1259999999999999</v>
      </c>
      <c r="CJ33" s="258"/>
      <c r="CK33" s="258"/>
      <c r="CL33" s="258"/>
      <c r="CM33" s="258"/>
    </row>
  </sheetData>
  <sheetCalcPr fullCalcOnLoad="1"/>
  <mergeCells count="3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L5:M5"/>
    <mergeCell ref="L4:M4"/>
    <mergeCell ref="L16:M16"/>
    <mergeCell ref="L11:M11"/>
    <mergeCell ref="L10:M10"/>
    <mergeCell ref="L9:M9"/>
    <mergeCell ref="A26:B26"/>
    <mergeCell ref="L18:M18"/>
    <mergeCell ref="L19:M19"/>
    <mergeCell ref="A22:B22"/>
    <mergeCell ref="A23:B23"/>
    <mergeCell ref="D10:H10"/>
    <mergeCell ref="X11:Y11"/>
    <mergeCell ref="A27:C27"/>
    <mergeCell ref="A32:B32"/>
    <mergeCell ref="A33:B33"/>
    <mergeCell ref="A28:B28"/>
    <mergeCell ref="A29:B29"/>
    <mergeCell ref="A30:B30"/>
    <mergeCell ref="A31:B31"/>
    <mergeCell ref="A24:B24"/>
    <mergeCell ref="A25:B2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5892"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5893"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pageSetUpPr autoPageBreaks="0"/>
  </sheetPr>
  <dimension ref="A1:CX33"/>
  <sheetViews>
    <sheetView topLeftCell="S1" zoomScale="80" workbookViewId="0">
      <selection activeCell="CI21" sqref="CI21:CI30"/>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LongTerm86</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86</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$F$30</v>
      </c>
      <c r="AX2" s="339" t="str">
        <f>ADDRESS(ROW($G$22),COLUMN($G$22))</f>
        <v>$G$22</v>
      </c>
      <c r="AY2" s="138" t="str">
        <f ca="1">GetEnd($AV$1,AX2)</f>
        <v>$G$30</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$AF$30</v>
      </c>
      <c r="AX3" s="339" t="str">
        <f>ADDRESS(ROW($AH$22),COLUMN($AH$22))</f>
        <v>$AH$22</v>
      </c>
      <c r="AY3" s="138" t="str">
        <f ca="1">GetEnd($AV$1,AX3)</f>
        <v>$AH$30</v>
      </c>
    </row>
    <row r="4" spans="1:102" x14ac:dyDescent="0.25">
      <c r="A4" s="269" t="str">
        <f>ADDRESS(ROW($S$22),COLUMN($S$22))</f>
        <v>$S$22</v>
      </c>
      <c r="L4" s="721" t="s">
        <v>201</v>
      </c>
      <c r="M4" s="722"/>
      <c r="N4" s="352">
        <f ca="1">SUMPRODUCT(INDIRECT(CONCATENATE(AV4,":",AW4)),INDIRECT(CONCATENATE($AV$2,":",$AW$2)),INDIRECT(CONCATENATE($AV$3,":",$AW$3)))</f>
        <v>68680.142758852817</v>
      </c>
      <c r="O4" s="352">
        <v>68907.02</v>
      </c>
      <c r="P4" s="354">
        <f ca="1">N4-O4</f>
        <v>-226.87724114718731</v>
      </c>
      <c r="S4" s="427" t="s">
        <v>635</v>
      </c>
      <c r="T4" s="422">
        <f ca="1">SUMPRODUCT(INDIRECT(CONCATENATE(V4,":",W4)),INDIRECT(CONCATENATE(AV2,":",AW2)),INDIRECT(CONCATENATE(AV3,":",AW3)))</f>
        <v>66501.941973877372</v>
      </c>
      <c r="V4" s="30" t="str">
        <f>ADDRESS(ROW(K22),COLUMN(K22))</f>
        <v>$K$22</v>
      </c>
      <c r="W4" s="30" t="str">
        <f ca="1">GetEnd($AV$1,V4)</f>
        <v>$K$30</v>
      </c>
      <c r="AF4" s="28"/>
      <c r="AG4" s="103" t="s">
        <v>32</v>
      </c>
      <c r="AH4" s="104">
        <f>GetRcptIndexCol($AH$12,$AH$13)</f>
        <v>65</v>
      </c>
      <c r="AI4" s="29"/>
      <c r="AJ4" s="103" t="s">
        <v>72</v>
      </c>
      <c r="AK4" s="104">
        <f>GetNymexCol(AK3)</f>
        <v>3</v>
      </c>
      <c r="AL4" s="34">
        <v>1</v>
      </c>
      <c r="AM4" s="45">
        <f t="shared" ref="AM4:AM15" si="0">GetVolume($AH$12,$AH$13,AT4)</f>
        <v>3700</v>
      </c>
      <c r="AN4" s="46">
        <f t="shared" ref="AN4:AN15" si="1">GetCommodity($AH$12,$AH$13,AT4)</f>
        <v>6.2199999999999998E-2</v>
      </c>
      <c r="AO4" s="47">
        <f t="shared" ref="AO4:AO15" si="2">GetFuelRate($AH$12,$AH$13,AT4)</f>
        <v>4.2000000000000003E-2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LongTerm86 Sheet)</v>
      </c>
      <c r="AT4" s="35">
        <f t="shared" ref="AT4:AT15" si="7">gettier($AH$12,$AH$13,AL4)</f>
        <v>1</v>
      </c>
      <c r="AV4" s="339" t="str">
        <f>ADDRESS(ROW($Q$22),COLUMN($Q$22))</f>
        <v>$Q$22</v>
      </c>
      <c r="AW4" s="138" t="str">
        <f ca="1">GetEnd($AV$1,AV4)</f>
        <v>$Q$30</v>
      </c>
      <c r="AX4" s="339" t="str">
        <f>ADDRESS(ROW($K$22),COLUMN($K$22))</f>
        <v>$K$22</v>
      </c>
      <c r="AY4" s="138" t="str">
        <f ca="1">GetEnd($AV$1,AX4)</f>
        <v>$K$30</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357625.63422558852</v>
      </c>
      <c r="O5" s="352">
        <v>357569.53</v>
      </c>
      <c r="P5" s="355">
        <f ca="1">N5-O5</f>
        <v>56.104225588496774</v>
      </c>
      <c r="S5" s="428" t="s">
        <v>636</v>
      </c>
      <c r="T5" s="423">
        <f ca="1">SUMPRODUCT(INDIRECT(CONCATENATE(V5,":",W5)),INDIRECT(CONCATENATE(AV2,":",AW2)),INDIRECT(CONCATENATE(AV3,":",AW3)))</f>
        <v>2178.2007849754432</v>
      </c>
      <c r="V5" s="30" t="str">
        <f>ADDRESS(ROW(L22),COLUMN(L22))</f>
        <v>$L$22</v>
      </c>
      <c r="W5" s="30" t="str">
        <f ca="1">GetEnd($AV$1,V5)</f>
        <v>$L$30</v>
      </c>
      <c r="AF5" s="28"/>
      <c r="AG5" s="103" t="s">
        <v>33</v>
      </c>
      <c r="AH5" s="104">
        <f>GetDelBasisCol($AH$12,$AH$13)</f>
        <v>60</v>
      </c>
      <c r="AI5" s="29"/>
      <c r="AJ5" s="103" t="s">
        <v>77</v>
      </c>
      <c r="AK5" s="104" t="str">
        <f>LiborCurve</f>
        <v>Libor AA</v>
      </c>
      <c r="AL5" s="34">
        <v>2</v>
      </c>
      <c r="AM5" s="37">
        <f t="shared" si="0"/>
        <v>3700</v>
      </c>
      <c r="AN5" s="38">
        <f t="shared" si="1"/>
        <v>6.2199999999999998E-2</v>
      </c>
      <c r="AO5" s="39">
        <f t="shared" si="2"/>
        <v>4.2000000000000003E-2</v>
      </c>
      <c r="AP5" s="38">
        <f t="shared" si="3"/>
        <v>0</v>
      </c>
      <c r="AQ5" s="38">
        <f t="shared" si="4"/>
        <v>0</v>
      </c>
      <c r="AR5" s="133">
        <f t="shared" si="5"/>
        <v>0</v>
      </c>
      <c r="AS5" s="40" t="str">
        <f t="shared" si="6"/>
        <v>(See LongTerm86 Sheet)</v>
      </c>
      <c r="AT5" s="35">
        <f t="shared" si="7"/>
        <v>1</v>
      </c>
      <c r="AV5" s="339" t="str">
        <f>ADDRESS(ROW($V$22),COLUMN($V$22))</f>
        <v>$V$22</v>
      </c>
      <c r="AW5" s="138" t="str">
        <f ca="1">GetEnd($AV$1,AV5)</f>
        <v>$V$30</v>
      </c>
      <c r="AX5" s="339" t="str">
        <f>ADDRESS(ROW($L$22),COLUMN($L$22))</f>
        <v>$L$22</v>
      </c>
      <c r="AY5" s="138" t="str">
        <f ca="1">GetEnd($AV$1,AX5)</f>
        <v>$L$30</v>
      </c>
      <c r="BV5" s="266">
        <f>O2</f>
        <v>37239</v>
      </c>
    </row>
    <row r="6" spans="1:102" x14ac:dyDescent="0.25">
      <c r="A6" s="269" t="str">
        <f>ADDRESS(ROW($BW$2),COLUMN($BW$2))</f>
        <v>$BW$2</v>
      </c>
      <c r="F6" s="187"/>
      <c r="G6" s="187"/>
      <c r="L6" s="704" t="s">
        <v>149</v>
      </c>
      <c r="M6" s="705"/>
      <c r="N6" s="356">
        <f ca="1">N4-N5</f>
        <v>-288945.49146673572</v>
      </c>
      <c r="O6" s="357">
        <v>-288662.52</v>
      </c>
      <c r="P6" s="358">
        <f ca="1">N6-O6</f>
        <v>-282.97146673570387</v>
      </c>
      <c r="S6" s="428" t="s">
        <v>637</v>
      </c>
      <c r="T6" s="424">
        <f ca="1">SUMPRODUCT(INDIRECT(CONCATENATE(V6,":",W6)),INDIRECT(CONCATENATE(AV3,":",AW3)),INDIRECT(CONCATENATE(AX3,":",AY3)))</f>
        <v>442277.55902249384</v>
      </c>
      <c r="V6" s="30" t="str">
        <f>ADDRESS(ROW(G22),COLUMN(G22))</f>
        <v>$G$22</v>
      </c>
      <c r="W6" s="30" t="str">
        <f ca="1">GetEnd($AV$1,V6)</f>
        <v>$G$30</v>
      </c>
      <c r="AF6" s="28"/>
      <c r="AG6" s="103" t="s">
        <v>34</v>
      </c>
      <c r="AH6" s="104">
        <f>GetDelIndexCol($AH$12,$AH$13)</f>
        <v>61</v>
      </c>
      <c r="AI6" s="29"/>
      <c r="AJ6" s="103" t="s">
        <v>79</v>
      </c>
      <c r="AK6" s="104">
        <f>GetLiborCol(AK5)</f>
        <v>4</v>
      </c>
      <c r="AL6" s="34">
        <v>3</v>
      </c>
      <c r="AM6" s="37">
        <f t="shared" si="0"/>
        <v>3700</v>
      </c>
      <c r="AN6" s="38">
        <f t="shared" si="1"/>
        <v>6.2199999999999998E-2</v>
      </c>
      <c r="AO6" s="39">
        <f t="shared" si="2"/>
        <v>4.2000000000000003E-2</v>
      </c>
      <c r="AP6" s="38">
        <f t="shared" si="3"/>
        <v>0</v>
      </c>
      <c r="AQ6" s="38">
        <f t="shared" si="4"/>
        <v>0</v>
      </c>
      <c r="AR6" s="133">
        <f t="shared" si="5"/>
        <v>0</v>
      </c>
      <c r="AS6" s="40" t="str">
        <f t="shared" si="6"/>
        <v>(See LongTerm86 Sheet)</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1534.44</v>
      </c>
      <c r="P7" s="355">
        <f ca="1">N7</f>
        <v>0</v>
      </c>
      <c r="S7" s="428" t="s">
        <v>638</v>
      </c>
      <c r="T7" s="425">
        <f ca="1">T5/T6</f>
        <v>4.9249633867692166E-3</v>
      </c>
      <c r="AF7" s="28"/>
      <c r="AG7" s="103" t="s">
        <v>76</v>
      </c>
      <c r="AH7" s="104">
        <f>GetRcptOmicronCol($AH$12,$AH$13)</f>
        <v>19</v>
      </c>
      <c r="AI7" s="29"/>
      <c r="AJ7" s="103" t="s">
        <v>80</v>
      </c>
      <c r="AK7" s="104" t="str">
        <f>Configuration!$D$8</f>
        <v>Nymex Vol</v>
      </c>
      <c r="AL7" s="34">
        <v>4</v>
      </c>
      <c r="AM7" s="37">
        <f t="shared" si="0"/>
        <v>3700</v>
      </c>
      <c r="AN7" s="38">
        <f t="shared" si="1"/>
        <v>6.2199999999999998E-2</v>
      </c>
      <c r="AO7" s="39">
        <f t="shared" si="2"/>
        <v>4.2000000000000003E-2</v>
      </c>
      <c r="AP7" s="38">
        <f t="shared" si="3"/>
        <v>0</v>
      </c>
      <c r="AQ7" s="38">
        <f t="shared" si="4"/>
        <v>0</v>
      </c>
      <c r="AR7" s="133">
        <f t="shared" si="5"/>
        <v>0</v>
      </c>
      <c r="AS7" s="40" t="str">
        <f t="shared" si="6"/>
        <v>(See LongTerm86 Sheet)</v>
      </c>
      <c r="AT7" s="35">
        <f t="shared" si="7"/>
        <v>1</v>
      </c>
      <c r="AU7" s="361" t="s">
        <v>574</v>
      </c>
      <c r="AV7" s="339" t="str">
        <f>ADDRESS(ROW($AL$22),COLUMN($AL$22))</f>
        <v>$AL$22</v>
      </c>
      <c r="AW7" s="138" t="str">
        <f t="shared" ref="AW7:AW17" ca="1" si="8">GetEnd($AV$1,AV7)</f>
        <v>$AL$30</v>
      </c>
      <c r="AX7" s="339" t="str">
        <f>ADDRESS(ROW($AV$22),COLUMN($AV$22))</f>
        <v>$AV$22</v>
      </c>
      <c r="AY7" s="138" t="str">
        <f t="shared" ref="AY7:AY13" ca="1" si="9">GetEnd($AV$1,AX7)</f>
        <v>$AV$30</v>
      </c>
    </row>
    <row r="8" spans="1:102" x14ac:dyDescent="0.25">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0.99783891293932903</v>
      </c>
      <c r="V8" s="30" t="str">
        <f>ADDRESS(ROW(P22),COLUMN(P22))</f>
        <v>$P$22</v>
      </c>
      <c r="W8" s="30" t="str">
        <f ca="1">GetEnd($AV$1,V8)</f>
        <v>$P$30</v>
      </c>
      <c r="Y8" s="334">
        <f ca="1">SUMIF(INDIRECT(CONCATENATE(V8,":",W8)),"&gt;0",INDIRECT(CONCATENATE(V8,":",W8)))</f>
        <v>3.9913556517573161</v>
      </c>
      <c r="Z8" s="334">
        <f ca="1">COUNTIF(INDIRECT(CONCATENATE(V8,":",W8)),"&gt;0")</f>
        <v>4</v>
      </c>
      <c r="AF8" s="28"/>
      <c r="AG8" s="103" t="s">
        <v>75</v>
      </c>
      <c r="AH8" s="105">
        <f>GetDelOmicronCol($AH$12,$AH$13)</f>
        <v>19</v>
      </c>
      <c r="AI8" s="29"/>
      <c r="AJ8" s="103" t="s">
        <v>81</v>
      </c>
      <c r="AK8" s="104">
        <f>GetNGOmicronCol(AK7)</f>
        <v>5</v>
      </c>
      <c r="AL8" s="34">
        <v>5</v>
      </c>
      <c r="AM8" s="37">
        <f t="shared" si="0"/>
        <v>3700</v>
      </c>
      <c r="AN8" s="38">
        <f t="shared" si="1"/>
        <v>6.2199999999999998E-2</v>
      </c>
      <c r="AO8" s="39">
        <f t="shared" si="2"/>
        <v>4.2000000000000003E-2</v>
      </c>
      <c r="AP8" s="38">
        <f t="shared" si="3"/>
        <v>0</v>
      </c>
      <c r="AQ8" s="38">
        <f t="shared" si="4"/>
        <v>0</v>
      </c>
      <c r="AR8" s="133">
        <f t="shared" si="5"/>
        <v>0</v>
      </c>
      <c r="AS8" s="40" t="str">
        <f t="shared" si="6"/>
        <v>(See LongTerm86 Sheet)</v>
      </c>
      <c r="AT8" s="35">
        <f t="shared" si="7"/>
        <v>1</v>
      </c>
      <c r="AU8" s="362" t="s">
        <v>575</v>
      </c>
      <c r="AV8" s="339" t="str">
        <f>ADDRESS(ROW($AM$22),COLUMN($AM$22))</f>
        <v>$AM$22</v>
      </c>
      <c r="AW8" s="138" t="str">
        <f t="shared" ca="1" si="8"/>
        <v>$AM$30</v>
      </c>
      <c r="AX8" s="339" t="str">
        <f>ADDRESS(ROW($AO$22),COLUMN($AO$22))</f>
        <v>$AO$22</v>
      </c>
      <c r="AY8" s="138" t="str">
        <f t="shared" ca="1" si="9"/>
        <v>$AO$30</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3700</v>
      </c>
      <c r="AN9" s="38">
        <f t="shared" si="1"/>
        <v>6.2199999999999998E-2</v>
      </c>
      <c r="AO9" s="39">
        <f t="shared" si="2"/>
        <v>4.2000000000000003E-2</v>
      </c>
      <c r="AP9" s="38">
        <f t="shared" si="3"/>
        <v>0</v>
      </c>
      <c r="AQ9" s="38">
        <f t="shared" si="4"/>
        <v>0</v>
      </c>
      <c r="AR9" s="133">
        <f t="shared" si="5"/>
        <v>0</v>
      </c>
      <c r="AS9" s="40" t="str">
        <f t="shared" si="6"/>
        <v>(See LongTerm86 Sheet)</v>
      </c>
      <c r="AT9" s="35">
        <f t="shared" si="7"/>
        <v>1</v>
      </c>
      <c r="AU9" s="361" t="s">
        <v>578</v>
      </c>
      <c r="AV9" s="339" t="str">
        <f>ADDRESS(ROW($AN$22),COLUMN($AN$22))</f>
        <v>$AN$22</v>
      </c>
      <c r="AW9" s="138" t="str">
        <f t="shared" ca="1" si="8"/>
        <v>$AN$30</v>
      </c>
      <c r="AX9" s="339" t="str">
        <f>ADDRESS(ROW($AP$22),COLUMN($AP$22))</f>
        <v>$AP$22</v>
      </c>
      <c r="AY9" s="138" t="str">
        <f t="shared" ca="1" si="9"/>
        <v>$AP$30</v>
      </c>
    </row>
    <row r="10" spans="1:102" x14ac:dyDescent="0.25">
      <c r="A10" s="270" t="s">
        <v>224</v>
      </c>
      <c r="D10" s="718" t="s">
        <v>154</v>
      </c>
      <c r="E10" s="719"/>
      <c r="F10" s="719"/>
      <c r="G10" s="719"/>
      <c r="H10" s="720"/>
      <c r="K10" s="29">
        <f>SUMPRODUCT(L22:L30,F22:F30)</f>
        <v>2178.2007849754432</v>
      </c>
      <c r="L10" s="706" t="s">
        <v>628</v>
      </c>
      <c r="M10" s="707"/>
      <c r="N10" s="352">
        <f ca="1">-SUMPRODUCT(INDIRECT(CONCATENATE(AV10,":",AW10)),INDIRECT(CONCATENATE($AX$7,":",$AY$7)),INDIRECT(CONCATENATE($AV$3,":",$AW$3)))</f>
        <v>-48195.142891933778</v>
      </c>
      <c r="O10" s="352">
        <v>-48187.58</v>
      </c>
      <c r="P10" s="355">
        <f t="shared" ref="P10:P19" ca="1" si="10">N10-O10</f>
        <v>-7.5628919337759726</v>
      </c>
      <c r="AF10" s="28"/>
      <c r="AG10" s="103" t="s">
        <v>142</v>
      </c>
      <c r="AH10" s="119" t="b">
        <f>GetGRIFactor($AH$12,$AH$13)</f>
        <v>1</v>
      </c>
      <c r="AI10" s="29"/>
      <c r="AJ10" s="29"/>
      <c r="AK10" s="29"/>
      <c r="AL10" s="34">
        <v>7</v>
      </c>
      <c r="AM10" s="37">
        <f t="shared" si="0"/>
        <v>3700</v>
      </c>
      <c r="AN10" s="38">
        <f t="shared" si="1"/>
        <v>6.2199999999999998E-2</v>
      </c>
      <c r="AO10" s="39">
        <f t="shared" si="2"/>
        <v>4.2000000000000003E-2</v>
      </c>
      <c r="AP10" s="38">
        <f t="shared" si="3"/>
        <v>0</v>
      </c>
      <c r="AQ10" s="38">
        <f t="shared" si="4"/>
        <v>0</v>
      </c>
      <c r="AR10" s="133">
        <f t="shared" si="5"/>
        <v>0</v>
      </c>
      <c r="AS10" s="40" t="str">
        <f t="shared" si="6"/>
        <v>(See LongTerm86 Sheet)</v>
      </c>
      <c r="AT10" s="35">
        <f t="shared" si="7"/>
        <v>1</v>
      </c>
      <c r="AU10" s="361" t="s">
        <v>577</v>
      </c>
      <c r="AV10" s="339" t="str">
        <f>ADDRESS(ROW($AS$22),COLUMN($AS$22))</f>
        <v>$AS$22</v>
      </c>
      <c r="AW10" s="138" t="str">
        <f t="shared" ca="1" si="8"/>
        <v>$AS$30</v>
      </c>
      <c r="AX10" s="339" t="str">
        <f>ADDRESS(ROW($CC$22),COLUMN($CC$22))</f>
        <v>$CC$22</v>
      </c>
      <c r="AY10" s="138" t="str">
        <f t="shared" ca="1" si="9"/>
        <v>$CC$30</v>
      </c>
    </row>
    <row r="11" spans="1:102" x14ac:dyDescent="0.25">
      <c r="A11" s="270" t="s">
        <v>224</v>
      </c>
      <c r="D11" s="166" t="str">
        <f>IF(ISERROR($AH$13),"Check Contract Index to make sure it is valid","")</f>
        <v/>
      </c>
      <c r="E11" s="167"/>
      <c r="F11" s="168"/>
      <c r="G11" s="168"/>
      <c r="H11" s="169"/>
      <c r="K11" s="29">
        <f>SUMPRODUCT(K22:K30,F22:F30)</f>
        <v>66501.941973877372</v>
      </c>
      <c r="L11" s="704" t="s">
        <v>629</v>
      </c>
      <c r="M11" s="705"/>
      <c r="N11" s="356">
        <f ca="1">-SUMPRODUCT(INDIRECT(CONCATENATE(AV11,":",AW11)),INDIRECT(CONCATENATE($AV$2,":",$AW$2)),INDIRECT(CONCATENATE($AV$3,":",$AW$3)),INDIRECT(CONCATENATE(AX3,":",AY3)))</f>
        <v>-29836.799999999999</v>
      </c>
      <c r="O11" s="357">
        <v>-29836.799999999999</v>
      </c>
      <c r="P11" s="358">
        <f t="shared" ca="1" si="10"/>
        <v>0</v>
      </c>
      <c r="X11" s="734" t="s">
        <v>759</v>
      </c>
      <c r="Y11" s="735"/>
      <c r="AL11" s="34">
        <v>8</v>
      </c>
      <c r="AM11" s="37">
        <f t="shared" si="0"/>
        <v>3700</v>
      </c>
      <c r="AN11" s="38">
        <f t="shared" si="1"/>
        <v>6.2199999999999998E-2</v>
      </c>
      <c r="AO11" s="39">
        <f t="shared" si="2"/>
        <v>4.2000000000000003E-2</v>
      </c>
      <c r="AP11" s="38">
        <f t="shared" si="3"/>
        <v>0</v>
      </c>
      <c r="AQ11" s="38">
        <f t="shared" si="4"/>
        <v>0</v>
      </c>
      <c r="AR11" s="133">
        <f t="shared" si="5"/>
        <v>0</v>
      </c>
      <c r="AS11" s="40" t="str">
        <f t="shared" si="6"/>
        <v>(See LongTerm86 Sheet)</v>
      </c>
      <c r="AT11" s="35">
        <f t="shared" si="7"/>
        <v>1</v>
      </c>
      <c r="AU11" s="361" t="s">
        <v>579</v>
      </c>
      <c r="AV11" s="339" t="str">
        <f>ADDRESS(ROW($AQ$22),COLUMN($AQ$22))</f>
        <v>$AQ$22</v>
      </c>
      <c r="AW11" s="138" t="str">
        <f t="shared" ca="1" si="8"/>
        <v>$AQ$30</v>
      </c>
      <c r="AX11" s="339" t="str">
        <f>ADDRESS(ROW($CD$22),COLUMN($CD$22))</f>
        <v>$CD$22</v>
      </c>
      <c r="AY11" s="138" t="str">
        <f t="shared" ca="1" si="9"/>
        <v>$CD$30</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-1228.1500000000001</v>
      </c>
      <c r="P12" s="355">
        <f t="shared" ca="1" si="10"/>
        <v>1228.1500000000001</v>
      </c>
      <c r="X12" s="498" t="s">
        <v>760</v>
      </c>
      <c r="Y12" s="499">
        <v>0.80659999999999998</v>
      </c>
      <c r="AG12" s="248" t="s">
        <v>185</v>
      </c>
      <c r="AH12" s="119" t="str">
        <f>GetDBPage($D$2)</f>
        <v>Contract DB (West)</v>
      </c>
      <c r="AL12" s="34">
        <v>9</v>
      </c>
      <c r="AM12" s="37">
        <f t="shared" si="0"/>
        <v>3700</v>
      </c>
      <c r="AN12" s="38">
        <f t="shared" si="1"/>
        <v>6.2199999999999998E-2</v>
      </c>
      <c r="AO12" s="39">
        <f t="shared" si="2"/>
        <v>4.2000000000000003E-2</v>
      </c>
      <c r="AP12" s="38">
        <f t="shared" si="3"/>
        <v>0</v>
      </c>
      <c r="AQ12" s="38">
        <f t="shared" si="4"/>
        <v>0</v>
      </c>
      <c r="AR12" s="133">
        <f t="shared" si="5"/>
        <v>0</v>
      </c>
      <c r="AS12" s="40" t="str">
        <f t="shared" si="6"/>
        <v>(See LongTerm86 Sheet)</v>
      </c>
      <c r="AT12" s="35">
        <f t="shared" si="7"/>
        <v>1</v>
      </c>
      <c r="AU12" s="361" t="s">
        <v>271</v>
      </c>
      <c r="AV12" s="339" t="str">
        <f>ADDRESS(ROW($X$22),COLUMN($X$22))</f>
        <v>$X$22</v>
      </c>
      <c r="AW12" s="138" t="str">
        <f t="shared" ca="1" si="8"/>
        <v>$X$30</v>
      </c>
      <c r="AX12" s="339" t="str">
        <f>ADDRESS(ROW($CE$22),COLUMN($CE$22))</f>
        <v>$CE$22</v>
      </c>
      <c r="AY12" s="138" t="str">
        <f t="shared" ca="1" si="9"/>
        <v>$CE$30</v>
      </c>
    </row>
    <row r="13" spans="1:102" x14ac:dyDescent="0.25">
      <c r="A13" s="270" t="s">
        <v>224</v>
      </c>
      <c r="D13" s="170"/>
      <c r="E13" s="171"/>
      <c r="F13" s="172"/>
      <c r="G13" s="172"/>
      <c r="H13" s="173"/>
      <c r="L13" s="706" t="s">
        <v>155</v>
      </c>
      <c r="M13" s="707"/>
      <c r="N13" s="352">
        <f t="shared" ca="1" si="11"/>
        <v>0</v>
      </c>
      <c r="O13" s="352">
        <v>12.66</v>
      </c>
      <c r="P13" s="355">
        <f t="shared" ca="1" si="10"/>
        <v>-12.66</v>
      </c>
      <c r="X13" s="498" t="s">
        <v>761</v>
      </c>
      <c r="AG13" s="248" t="s">
        <v>186</v>
      </c>
      <c r="AH13" s="119">
        <f>GetRecNdx($AH$12,$D$2)</f>
        <v>9</v>
      </c>
      <c r="AL13" s="34">
        <v>10</v>
      </c>
      <c r="AM13" s="37">
        <f t="shared" si="0"/>
        <v>3700</v>
      </c>
      <c r="AN13" s="38">
        <f t="shared" si="1"/>
        <v>6.2199999999999998E-2</v>
      </c>
      <c r="AO13" s="39">
        <f t="shared" si="2"/>
        <v>4.2000000000000003E-2</v>
      </c>
      <c r="AP13" s="38">
        <f t="shared" si="3"/>
        <v>0</v>
      </c>
      <c r="AQ13" s="38">
        <f t="shared" si="4"/>
        <v>0</v>
      </c>
      <c r="AR13" s="133">
        <f t="shared" si="5"/>
        <v>0</v>
      </c>
      <c r="AS13" s="40" t="str">
        <f t="shared" si="6"/>
        <v>(See LongTerm86 Sheet)</v>
      </c>
      <c r="AT13" s="35">
        <f t="shared" si="7"/>
        <v>1</v>
      </c>
      <c r="AU13" s="361" t="s">
        <v>155</v>
      </c>
      <c r="AV13" s="339" t="str">
        <f>ADDRESS(ROW($Y$22),COLUMN($Y$22))</f>
        <v>$Y$22</v>
      </c>
      <c r="AW13" s="138" t="str">
        <f t="shared" ca="1" si="8"/>
        <v>$Y$30</v>
      </c>
      <c r="AX13" s="339" t="str">
        <f>ADDRESS(ROW($CF$22),COLUMN($CF$22))</f>
        <v>$CF$22</v>
      </c>
      <c r="AY13" s="138" t="str">
        <f t="shared" ca="1" si="9"/>
        <v>$CF$30</v>
      </c>
    </row>
    <row r="14" spans="1:102" x14ac:dyDescent="0.25">
      <c r="A14" s="270" t="s">
        <v>224</v>
      </c>
      <c r="D14" s="170"/>
      <c r="E14" s="171"/>
      <c r="F14" s="172"/>
      <c r="G14" s="172"/>
      <c r="H14" s="173"/>
      <c r="K14" s="185"/>
      <c r="L14" s="706" t="s">
        <v>156</v>
      </c>
      <c r="M14" s="707"/>
      <c r="N14" s="352">
        <f t="shared" ca="1" si="11"/>
        <v>-151.36769054053357</v>
      </c>
      <c r="O14" s="352">
        <v>-46.04</v>
      </c>
      <c r="P14" s="355">
        <f t="shared" ca="1" si="10"/>
        <v>-105.32769054053358</v>
      </c>
      <c r="S14" s="181">
        <f>F22/(1-AR22)*AH22*AU22</f>
        <v>119551.1726171107</v>
      </c>
      <c r="T14" s="181">
        <f>F22*AH22*AU22</f>
        <v>114530.02336719203</v>
      </c>
      <c r="X14" s="500" t="s">
        <v>762</v>
      </c>
      <c r="Y14" s="501" t="s">
        <v>763</v>
      </c>
      <c r="AL14" s="34">
        <v>11</v>
      </c>
      <c r="AM14" s="37">
        <f t="shared" si="0"/>
        <v>3700</v>
      </c>
      <c r="AN14" s="38">
        <f t="shared" si="1"/>
        <v>6.2199999999999998E-2</v>
      </c>
      <c r="AO14" s="39">
        <f t="shared" si="2"/>
        <v>4.2000000000000003E-2</v>
      </c>
      <c r="AP14" s="38">
        <f t="shared" si="3"/>
        <v>0</v>
      </c>
      <c r="AQ14" s="38">
        <f t="shared" si="4"/>
        <v>0</v>
      </c>
      <c r="AR14" s="133">
        <f t="shared" si="5"/>
        <v>0</v>
      </c>
      <c r="AS14" s="40" t="str">
        <f t="shared" si="6"/>
        <v>(See LongTerm86 Sheet)</v>
      </c>
      <c r="AT14" s="35">
        <f t="shared" si="7"/>
        <v>1</v>
      </c>
      <c r="AU14" s="361" t="s">
        <v>156</v>
      </c>
      <c r="AV14" s="339" t="str">
        <f>ADDRESS(ROW($Z$22),COLUMN($Z$22))</f>
        <v>$Z$22</v>
      </c>
      <c r="AW14" s="138" t="str">
        <f t="shared" ca="1" si="8"/>
        <v>$Z$30</v>
      </c>
      <c r="AX14" s="353" t="str">
        <f ca="1">CONCATENATE(AX8,":",AY8)</f>
        <v>$AO$22:$AO$30</v>
      </c>
      <c r="AY14" s="353" t="str">
        <f ca="1">CONCATENATE(AX10,":",AY10)</f>
        <v>$CC$22:$CC$30</v>
      </c>
    </row>
    <row r="15" spans="1:102" ht="13.8" thickBot="1" x14ac:dyDescent="0.3">
      <c r="A15" s="270" t="s">
        <v>224</v>
      </c>
      <c r="D15" s="170"/>
      <c r="E15" s="171"/>
      <c r="F15" s="172"/>
      <c r="G15" s="172"/>
      <c r="H15" s="173"/>
      <c r="L15" s="706" t="s">
        <v>157</v>
      </c>
      <c r="M15" s="707"/>
      <c r="N15" s="352">
        <f t="shared" ca="1" si="11"/>
        <v>36.048199069207406</v>
      </c>
      <c r="O15" s="352">
        <v>10.6</v>
      </c>
      <c r="P15" s="355">
        <f t="shared" ca="1" si="10"/>
        <v>25.448199069207405</v>
      </c>
      <c r="X15" s="502">
        <v>2001</v>
      </c>
      <c r="Y15" s="503">
        <v>3.0000000000000001E-3</v>
      </c>
      <c r="AL15" s="34">
        <v>12</v>
      </c>
      <c r="AM15" s="41">
        <f t="shared" si="0"/>
        <v>3700</v>
      </c>
      <c r="AN15" s="42">
        <f t="shared" si="1"/>
        <v>6.2199999999999998E-2</v>
      </c>
      <c r="AO15" s="43">
        <f t="shared" si="2"/>
        <v>4.2000000000000003E-2</v>
      </c>
      <c r="AP15" s="42">
        <f t="shared" si="3"/>
        <v>0</v>
      </c>
      <c r="AQ15" s="42">
        <f t="shared" si="4"/>
        <v>0</v>
      </c>
      <c r="AR15" s="134">
        <f t="shared" si="5"/>
        <v>0</v>
      </c>
      <c r="AS15" s="44" t="str">
        <f t="shared" si="6"/>
        <v>(See LongTerm86 Sheet)</v>
      </c>
      <c r="AT15" s="35">
        <f t="shared" si="7"/>
        <v>1</v>
      </c>
      <c r="AU15" s="363" t="s">
        <v>157</v>
      </c>
      <c r="AV15" s="339" t="str">
        <f>ADDRESS(ROW($AA$22),COLUMN($AA$22))</f>
        <v>$AA$22</v>
      </c>
      <c r="AW15" s="138" t="str">
        <f t="shared" ca="1" si="8"/>
        <v>$AA$30</v>
      </c>
      <c r="AX15" s="353" t="str">
        <f ca="1">CONCATENATE(AV8,":",AW8)</f>
        <v>$AM$22:$AM$30</v>
      </c>
      <c r="AY15" s="353" t="str">
        <f ca="1">CONCATENATE(AX11,":",AY11)</f>
        <v>$CD$22:$CD$30</v>
      </c>
    </row>
    <row r="16" spans="1:102" x14ac:dyDescent="0.25">
      <c r="D16" s="174"/>
      <c r="E16" s="175"/>
      <c r="F16" s="176"/>
      <c r="G16" s="176"/>
      <c r="H16" s="177"/>
      <c r="L16" s="706" t="s">
        <v>158</v>
      </c>
      <c r="M16" s="707"/>
      <c r="N16" s="352">
        <f t="shared" ca="1" si="11"/>
        <v>0</v>
      </c>
      <c r="O16" s="352">
        <v>7.48</v>
      </c>
      <c r="P16" s="355">
        <f t="shared" ca="1" si="10"/>
        <v>-7.48</v>
      </c>
      <c r="X16" s="502">
        <v>2002</v>
      </c>
      <c r="Y16" s="503">
        <v>2E-3</v>
      </c>
      <c r="AU16" s="361" t="s">
        <v>158</v>
      </c>
      <c r="AV16" s="339" t="str">
        <f>ADDRESS(ROW($AB$22),COLUMN($AB$22))</f>
        <v>$AB$22</v>
      </c>
      <c r="AW16" s="138" t="str">
        <f t="shared" ca="1" si="8"/>
        <v>$AB$30</v>
      </c>
      <c r="AX16" s="353" t="str">
        <f ca="1">CONCATENATE(AX9,":",AY9)</f>
        <v>$AP$22:$AP$30</v>
      </c>
      <c r="AY16" s="353" t="str">
        <f ca="1">CONCATENATE(AX12,":",AY12)</f>
        <v>$CE$22:$CE$30</v>
      </c>
    </row>
    <row r="17" spans="1:91" x14ac:dyDescent="0.25">
      <c r="D17" s="171"/>
      <c r="E17" s="171"/>
      <c r="F17" s="172"/>
      <c r="G17" s="172"/>
      <c r="H17" s="172"/>
      <c r="L17" s="704" t="s">
        <v>211</v>
      </c>
      <c r="M17" s="705"/>
      <c r="N17" s="356">
        <f t="shared" ca="1" si="11"/>
        <v>10.897954848285822</v>
      </c>
      <c r="O17" s="357">
        <v>3.68</v>
      </c>
      <c r="P17" s="358">
        <f t="shared" ca="1" si="10"/>
        <v>7.2179548482858227</v>
      </c>
      <c r="X17" s="504">
        <v>2003</v>
      </c>
      <c r="Y17" s="505">
        <v>1.6000000000000001E-3</v>
      </c>
      <c r="AU17" s="361" t="s">
        <v>211</v>
      </c>
      <c r="AV17" s="339" t="str">
        <f>ADDRESS(ROW($AC$22),COLUMN($AC$22))</f>
        <v>$AC$22</v>
      </c>
      <c r="AW17" s="138" t="str">
        <f t="shared" ca="1" si="8"/>
        <v>$AC$30</v>
      </c>
      <c r="AX17" s="353" t="str">
        <f ca="1">CONCATENATE(AV9,":",AW9)</f>
        <v>$AN$22:$AN$30</v>
      </c>
      <c r="AY17" s="353" t="str">
        <f ca="1">CONCATENATE(AX13,":",AY13)</f>
        <v>$CF$22:$CF$30</v>
      </c>
    </row>
    <row r="18" spans="1:91" x14ac:dyDescent="0.25">
      <c r="D18" s="171"/>
      <c r="E18" s="171"/>
      <c r="F18" s="172"/>
      <c r="G18" s="172"/>
      <c r="H18" s="172"/>
      <c r="L18" s="706" t="s">
        <v>623</v>
      </c>
      <c r="M18" s="707"/>
      <c r="N18" s="352">
        <f ca="1">SUMPRODUCT(INDIRECT(CONCATENATE(AX4,":",AY4)),INDIRECT(CONCATENATE($AV$2,":",$AW$2)),INDIRECT(CONCATENATE($AV$3,":",$AW$3)))</f>
        <v>66501.941973877372</v>
      </c>
      <c r="O18" s="352">
        <v>66491.47</v>
      </c>
      <c r="P18" s="355">
        <f t="shared" ca="1" si="10"/>
        <v>10.471973877371056</v>
      </c>
      <c r="AU18" s="361"/>
      <c r="AV18" s="339"/>
      <c r="AW18" s="138"/>
      <c r="AX18" s="339" t="str">
        <f>ADDRESS(ROW($CI$22),COLUMN($CI$22))</f>
        <v>$CI$22</v>
      </c>
      <c r="AY18" s="138" t="str">
        <f ca="1">GetEnd($AV$1,AX18)</f>
        <v>$CI$30</v>
      </c>
    </row>
    <row r="19" spans="1:91" x14ac:dyDescent="0.25">
      <c r="D19" s="171"/>
      <c r="E19" s="171"/>
      <c r="F19" s="172"/>
      <c r="G19" s="172"/>
      <c r="H19" s="172"/>
      <c r="L19" s="724" t="s">
        <v>624</v>
      </c>
      <c r="M19" s="725"/>
      <c r="N19" s="359">
        <f ca="1">SUMPRODUCT(INDIRECT(CONCATENATE(AX5,":",AY5)),INDIRECT(CONCATENATE($AV$2,":",$AW$2)),INDIRECT(CONCATENATE($AV$3,":",$AW$3)))</f>
        <v>2178.2007849754432</v>
      </c>
      <c r="O19" s="359">
        <v>2415.54</v>
      </c>
      <c r="P19" s="360">
        <f t="shared" ca="1" si="10"/>
        <v>-237.33921502455678</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-178932</v>
      </c>
      <c r="AW20" s="353">
        <f ca="1">SUMPRODUCT(INDIRECT(CONCATENATE(AX8,":",AY8)),INDIRECT(CONCATENATE($AV$2,":",$AW$2)),INDIRECT(CONCATENATE($AV$3,":",$AW$3)),INDIRECT(CONCATENATE(AX3,":",AY3)))</f>
        <v>-22181.5</v>
      </c>
      <c r="AX20" s="353">
        <f ca="1">SUMPRODUCT(INDIRECT(CONCATENATE(AV9,":",AW9)),INDIRECT(CONCATENATE($AV$2,":",$AW$2)),INDIRECT(CONCATENATE($AV$3,":",$AW$3)),INDIRECT(CONCATENATE(AX3,":",AY3)))</f>
        <v>7215</v>
      </c>
      <c r="AY20" s="353">
        <f ca="1">SUMPRODUCT(INDIRECT(CONCATENATE(AX9,":",AY9)),INDIRECT(CONCATENATE($AV$2,":",$AW$2)),INDIRECT(CONCATENATE($AV$3,":",$AW$3)),INDIRECT(CONCATENATE(AX3,":",AY3)))</f>
        <v>-4440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0" si="12">VLOOKUP(AG22,$AL$4:$AS$15,2)</f>
        <v>3700</v>
      </c>
      <c r="G22" s="28">
        <f t="shared" ref="G22:G30" si="13">F22*$AU22</f>
        <v>3694.5168828126461</v>
      </c>
      <c r="H22" s="52">
        <f t="shared" ref="H22:H30" si="14">(AL22+AM22+AN22)/(1-(AR22))</f>
        <v>2.6628392484342385</v>
      </c>
      <c r="I22" s="52">
        <f t="shared" ref="I22:I30" si="15">(AL22+AO22+AP22)</f>
        <v>2.8210000000000002</v>
      </c>
      <c r="K22" s="52">
        <f t="shared" ref="K22:K30" si="16">MAX(((I22-H22)-AQ22)*AU22*AH22,0)</f>
        <v>2.8156045952227129</v>
      </c>
      <c r="L22" s="135">
        <f t="shared" ref="L22:L30" si="17">MAX(Q22-K22,0)</f>
        <v>9.8322179441873381E-2</v>
      </c>
      <c r="N22" s="131">
        <f t="shared" ref="N22:N30" si="18">SQRT(($AX22^2*($AH22/2)+$AW22^2*$AI22)/(($AH22/2)+$AI22))</f>
        <v>1.0334004032525936</v>
      </c>
      <c r="O22" s="131">
        <f t="shared" ref="O22:O30" si="19">SQRT(($AY22^2*($AH22/2)+$AW22^2*$AI22)/(($AH22/2)+$AI22))</f>
        <v>1.0334004032525936</v>
      </c>
      <c r="P22" s="55">
        <f t="shared" ref="P22:P30" si="20">(VLOOKUP(AI22,CorrelationTwo,2)*(AW22^2)*AI22+VLOOKUP(D22,CorrelationOne,$AK$9)*AX22*AY22*(AH22/2))/((AI22+(AH22/2))*O22*N22)*AF22</f>
        <v>0.99651427860902708</v>
      </c>
      <c r="Q22" s="135">
        <f>_xll.xSPRDOPT(I22,H22,AQ22,0,O22,N22,P22,D22-$G$5,1,0)*AH22*AU22</f>
        <v>2.9139267746645863</v>
      </c>
      <c r="R22" s="135"/>
      <c r="S22" s="181">
        <f>_xll.xSPRDOPT(I22,H22,AQ22,AT22,O22,N22,P22,D22-$G$5,1,2)*AF22*(F22/(1-AR22))*AH22</f>
        <v>-107855.25496901856</v>
      </c>
      <c r="T22" s="181">
        <f>_xll.xSPRDOPT(I22,H22,AQ22,AT22,O22,N22,P22,D22-$G$5,1,1)*AF22*F22*AH22</f>
        <v>103774.72796717356</v>
      </c>
      <c r="U22" s="135"/>
      <c r="V22" s="146">
        <f>($Y$12+VLOOKUP(YEAR(D22),$X$15:$Y$17,2,FALSE))*AH22*AU22</f>
        <v>25.029453214786887</v>
      </c>
      <c r="W22" s="146"/>
      <c r="X22" s="338">
        <f t="shared" ref="X22:X30" si="21">((BM22*BC22)+(BL22*BB22))*AH22*F22</f>
        <v>0</v>
      </c>
      <c r="Y22" s="338">
        <f t="shared" ref="Y22:Y30" si="22">($F22*$AH22)*((($BG22/2)*($BC22)^2)+(($BF22/2)*($BB22)^2)+($BH22*$BC22*$BB22))</f>
        <v>0</v>
      </c>
      <c r="Z22" s="338">
        <f t="shared" ref="Z22:Z30" si="23">($BI22*$F22*$AH22*($G$5-$BV$5))/365.25</f>
        <v>-79.006230099658268</v>
      </c>
      <c r="AA22" s="338">
        <f t="shared" ref="AA22:AA30" si="24">(($BK22*$BE22)+($BJ22*$BD22))*$F22*$AH22*$AF22</f>
        <v>22.893912542559825</v>
      </c>
      <c r="AB22" s="338">
        <f t="shared" ref="AB22:AB30" si="25">BN22*(AT22-CA22)*F22*AH22</f>
        <v>0</v>
      </c>
      <c r="AC22" s="338">
        <f t="shared" ref="AC22:AC30" si="26">BO22*CB22*F22*AH22*CA22*($G$5-$BV$5)/365.25</f>
        <v>1.6824614772611777</v>
      </c>
      <c r="AF22" s="138">
        <f t="shared" ref="AF22:AF30" si="27">IF(AND(D22&gt;=$G$7,D22&lt;=$G$8),1,0)</f>
        <v>1</v>
      </c>
      <c r="AG22" s="138">
        <f t="shared" ref="AG22:AG30" si="28">MONTH(D22)</f>
        <v>1</v>
      </c>
      <c r="AH22" s="138">
        <f t="shared" ref="AH22:AH30" si="29">(EOMONTH(D22,0)-EOMONTH(D22-DAY(D22),0))*AF22</f>
        <v>31</v>
      </c>
      <c r="AI22" s="138">
        <f>MAX(0,(D22-DAY(D22))-$G$5+1)</f>
        <v>15</v>
      </c>
      <c r="AJ22" s="138">
        <f t="shared" ref="AJ22:AJ30" si="30">D22-$BV$5</f>
        <v>32</v>
      </c>
      <c r="AL22" s="136">
        <f t="shared" ref="AL22:AL30" si="31">VLOOKUP($D22,CurveTbl,$AK$4)</f>
        <v>2.8460000000000001</v>
      </c>
      <c r="AM22" s="258">
        <f t="shared" ref="AM22:AM30" si="32">VLOOKUP($D22,CurveTbl,$AH$3)</f>
        <v>-0.31</v>
      </c>
      <c r="AN22" s="258">
        <f t="shared" ref="AN22:AN30" si="33">VLOOKUP($D22,CurveTbl,$AH$4)+VLOOKUP($AG22,$AL$3:$AS$15,6)</f>
        <v>1.4999999999999999E-2</v>
      </c>
      <c r="AO22" s="258">
        <f t="shared" ref="AO22:AO30" si="34">VLOOKUP($D22,CurveTbl,$AH$5)</f>
        <v>-1.4999999999999999E-2</v>
      </c>
      <c r="AP22" s="258">
        <f t="shared" ref="AP22:AP30" si="35">VLOOKUP($D22,CurveTbl,$AH$6)+VLOOKUP($AG22,$AL$3:$AS$15,7)</f>
        <v>-0.01</v>
      </c>
      <c r="AQ22" s="136">
        <f t="shared" ref="AQ22:AQ30" si="36">VLOOKUP($AG22,$AL$4:$AS$15,3)+VLOOKUP($AG22,$AL$4:$AS$15,5)+($AH$10*VLOOKUP(D22,GRITable,2))</f>
        <v>6.7199999999999996E-2</v>
      </c>
      <c r="AR22" s="137">
        <f t="shared" ref="AR22:AR30" si="37">VLOOKUP($AG22,$AL$4:$AS$15,4)</f>
        <v>4.2000000000000003E-2</v>
      </c>
      <c r="AS22" s="136">
        <f t="shared" ref="AS22:AS30" si="38">(AL22+AM22+AN22)</f>
        <v>2.5510000000000002</v>
      </c>
      <c r="AT22" s="137">
        <f t="shared" ref="AT22:AT30" si="39">VLOOKUP(D22,CurveTbl,$AK$6)</f>
        <v>1.8765908157160699E-2</v>
      </c>
      <c r="AU22" s="137">
        <f t="shared" ref="AU22:AU30" si="40">(1+$AT22/2)^(-2*($D22-$G$5)/365.25)*$AF22</f>
        <v>0.99851807643585033</v>
      </c>
      <c r="AV22" s="394">
        <f t="shared" ref="AV22:AV30" si="41">ROUND((F22/(1-AR22))-F22,0)*AF22*AH22*AU22</f>
        <v>5014.5577798608401</v>
      </c>
      <c r="AW22" s="137">
        <f t="shared" ref="AW22:AW30" si="42">VLOOKUP($D22,CurveTbl,$AK$8)</f>
        <v>0.87</v>
      </c>
      <c r="AX22" s="137">
        <f t="shared" ref="AX22:AX30" si="43">VLOOKUP($D22,CurveTbl,$AH$7)</f>
        <v>1.17</v>
      </c>
      <c r="AY22" s="137">
        <f t="shared" ref="AY22:AY30" si="44">VLOOKUP($D22,CurveTbl,$AH$8)</f>
        <v>1.17</v>
      </c>
      <c r="AZ22" s="137"/>
      <c r="BA22" s="264"/>
      <c r="BB22" s="258">
        <f t="shared" ref="BB22:BB30" si="45">$H22-$BV22</f>
        <v>0</v>
      </c>
      <c r="BC22" s="258">
        <f t="shared" ref="BC22:BC30" si="46">I22-BW22</f>
        <v>0</v>
      </c>
      <c r="BD22" s="137">
        <f t="shared" ref="BD22:BD30" si="47">N22-BX22</f>
        <v>1.3565034624657857E-2</v>
      </c>
      <c r="BE22" s="137">
        <f t="shared" ref="BE22:BE30" si="48">O22-BY22</f>
        <v>1.3565034624657857E-2</v>
      </c>
      <c r="BF22" s="137">
        <f>_xll.xSPRDOPT($BW22,$BV22,$CG22,0,$BY22,$BX22,$BZ22,$AJ22,1,4)*$CB22</f>
        <v>2.6232384719611872</v>
      </c>
      <c r="BG22" s="137">
        <f>_xll.xSPRDOPT($BW22,$BV22,$CG22,0,$BY22,$BX22,$BZ22,$AJ22,1,3)*$CB22</f>
        <v>2.4670713368511321</v>
      </c>
      <c r="BH22" s="137">
        <f>IF(OR(BF22&lt;&gt;0,BG22&lt;&gt;0),_xll.xSPRDOPT($BW22,$BV22,$CG22,0,$BY22,$BX22,$BZ22,$AJ22,1,12)*$CB22,0)</f>
        <v>-2.5438705932406585</v>
      </c>
      <c r="BI22" s="137">
        <f>_xll.xSPRDOPT($BW22,$BV22,$CG22,2*LN(1+CA22/2),$BY22,$BX22,$BZ22,$AJ22,1,9)</f>
        <v>-8.3862323580064471E-2</v>
      </c>
      <c r="BJ22" s="137">
        <f>_xll.xSPRDOPT($BW22,$BV22,$CG22,0,$BY22,$BX22,$BZ22,$AJ22,1,6)*$CB22</f>
        <v>-3.8766379442406407E-2</v>
      </c>
      <c r="BK22" s="137">
        <f>_xll.xSPRDOPT($BW22,$BV22,$CG22,0,$BY22,$BX22,$BZ22,$AJ22,1,5)*$CB22</f>
        <v>5.3480546919804653E-2</v>
      </c>
      <c r="BL22" s="137">
        <f>_xll.xSPRDOPT(BW22,BV22,CG22,0,BY22,BX22,BZ22,AJ22,1,2)*CB22</f>
        <v>-0.88005035139855181</v>
      </c>
      <c r="BM22" s="137">
        <f>_xll.xSPRDOPT(BW22,BV22,CG22,0,BY22,BX22,BZ22,AJ22,1,1)*CB22</f>
        <v>0.88501985092838931</v>
      </c>
      <c r="BN22" s="137">
        <f>IF(AH22&lt;&gt;0,_xll.xSPRDOPT($BW22,$BV22,$CG22,2*LN(1+CA22/2),$BY22,$BX22,$BZ22,$AJ22,1,8)+(AJ22/365.25)*CH22/AH22,0)</f>
        <v>6.2389006159851323E-2</v>
      </c>
      <c r="BO22" s="137">
        <f>_xll.xSPRDOPT($BW22,$BV22,$CG22,0,$BY22,$BX22,$BZ22,$AJ22,1,0)</f>
        <v>9.5321702603533148E-2</v>
      </c>
      <c r="BP22" s="137"/>
      <c r="BQ22" s="137"/>
      <c r="BR22" s="137"/>
      <c r="BS22" s="137"/>
      <c r="BV22" s="262">
        <v>2.6628392484342385</v>
      </c>
      <c r="BW22" s="136">
        <v>2.8210000000000002</v>
      </c>
      <c r="BX22" s="137">
        <v>1.0198353686279358</v>
      </c>
      <c r="BY22" s="137">
        <v>1.0198353686279358</v>
      </c>
      <c r="BZ22" s="137">
        <v>0.996089736138556</v>
      </c>
      <c r="CA22" s="137">
        <v>1.8765908157160699E-2</v>
      </c>
      <c r="CB22" s="137">
        <v>0.99836489939579565</v>
      </c>
      <c r="CC22" s="258">
        <v>-0.31</v>
      </c>
      <c r="CD22" s="258">
        <v>1.4999999999999999E-2</v>
      </c>
      <c r="CE22" s="258">
        <v>-1.4999999999999999E-2</v>
      </c>
      <c r="CF22" s="258">
        <v>-0.01</v>
      </c>
      <c r="CG22" s="258">
        <v>6.7199999999999996E-2</v>
      </c>
      <c r="CH22" s="258">
        <v>25.025613587194652</v>
      </c>
      <c r="CI22" s="258">
        <v>2.8460000000000001</v>
      </c>
      <c r="CJ22" s="258"/>
      <c r="CK22" s="258"/>
      <c r="CL22" s="258"/>
      <c r="CM22" s="258"/>
    </row>
    <row r="23" spans="1:91" x14ac:dyDescent="0.25">
      <c r="A23" s="723"/>
      <c r="B23" s="723"/>
      <c r="D23" s="31">
        <f t="shared" ref="D23:D30" si="49">D22+AH22</f>
        <v>37302</v>
      </c>
      <c r="F23" s="28">
        <f t="shared" si="12"/>
        <v>3700</v>
      </c>
      <c r="G23" s="28">
        <f t="shared" si="13"/>
        <v>3688.3283266435492</v>
      </c>
      <c r="H23" s="52">
        <f t="shared" si="14"/>
        <v>2.6962421711899793</v>
      </c>
      <c r="I23" s="52">
        <f t="shared" si="15"/>
        <v>2.8080000000000003</v>
      </c>
      <c r="K23" s="52">
        <f t="shared" si="16"/>
        <v>1.2436835840174485</v>
      </c>
      <c r="L23" s="135">
        <f t="shared" si="17"/>
        <v>0.48856769372499453</v>
      </c>
      <c r="N23" s="131">
        <f t="shared" si="18"/>
        <v>0.94501278650961462</v>
      </c>
      <c r="O23" s="131">
        <f t="shared" si="19"/>
        <v>0.94501278650961462</v>
      </c>
      <c r="P23" s="55">
        <f t="shared" si="20"/>
        <v>0.99678831139382984</v>
      </c>
      <c r="Q23" s="135">
        <f>_xll.xSPRDOPT(I23,H23,AQ23,0,O23,N23,P23,D23-$G$5,1,0)*AH23*AU23</f>
        <v>1.732251277742443</v>
      </c>
      <c r="R23" s="135"/>
      <c r="S23" s="181">
        <f>_xll.xSPRDOPT(I23,H23,AQ23,AT23,O23,N23,P23,D23-$G$5,1,2)*AF23*(F23/(1-AR23))*AH23</f>
        <v>-74287.564156068198</v>
      </c>
      <c r="T23" s="181">
        <f>_xll.xSPRDOPT(I23,H23,AQ23,AT23,O23,N23,P23,D23-$G$5,1,1)*AF23*F23*AH23</f>
        <v>72224.07717293626</v>
      </c>
      <c r="U23" s="135"/>
      <c r="V23" s="146">
        <f t="shared" ref="V23:V30" si="50">($Y$12+VLOOKUP(YEAR(D23),$X$15:$Y$17,2,FALSE))*AH23*AU23</f>
        <v>22.569379453478717</v>
      </c>
      <c r="W23" s="146"/>
      <c r="X23" s="338">
        <f t="shared" si="21"/>
        <v>0</v>
      </c>
      <c r="Y23" s="338">
        <f t="shared" si="22"/>
        <v>0</v>
      </c>
      <c r="Z23" s="338">
        <f t="shared" si="23"/>
        <v>-79.134723289246097</v>
      </c>
      <c r="AA23" s="338">
        <f t="shared" si="24"/>
        <v>13.075662356238496</v>
      </c>
      <c r="AB23" s="338">
        <f t="shared" si="25"/>
        <v>0</v>
      </c>
      <c r="AC23" s="338">
        <f t="shared" si="26"/>
        <v>1.0332061394393712</v>
      </c>
      <c r="AF23" s="138">
        <f t="shared" si="27"/>
        <v>1</v>
      </c>
      <c r="AG23" s="138">
        <f t="shared" si="28"/>
        <v>2</v>
      </c>
      <c r="AH23" s="138">
        <f t="shared" si="29"/>
        <v>28</v>
      </c>
      <c r="AI23" s="138">
        <f t="shared" ref="AI23:AI30" si="51">AI22+AH22</f>
        <v>46</v>
      </c>
      <c r="AJ23" s="138">
        <f t="shared" si="30"/>
        <v>63</v>
      </c>
      <c r="AL23" s="136">
        <f t="shared" si="31"/>
        <v>2.9079999999999999</v>
      </c>
      <c r="AM23" s="258">
        <f t="shared" si="32"/>
        <v>-0.34</v>
      </c>
      <c r="AN23" s="258">
        <f t="shared" si="33"/>
        <v>1.4999999999999999E-2</v>
      </c>
      <c r="AO23" s="258">
        <f t="shared" si="34"/>
        <v>-0.09</v>
      </c>
      <c r="AP23" s="258">
        <f t="shared" si="35"/>
        <v>-0.01</v>
      </c>
      <c r="AQ23" s="136">
        <f t="shared" si="36"/>
        <v>6.7199999999999996E-2</v>
      </c>
      <c r="AR23" s="137">
        <f t="shared" si="37"/>
        <v>4.2000000000000003E-2</v>
      </c>
      <c r="AS23" s="136">
        <f t="shared" si="38"/>
        <v>2.5830000000000002</v>
      </c>
      <c r="AT23" s="137">
        <f t="shared" si="39"/>
        <v>1.9326187282006298E-2</v>
      </c>
      <c r="AU23" s="137">
        <f t="shared" si="40"/>
        <v>0.99684549368744568</v>
      </c>
      <c r="AV23" s="394">
        <f t="shared" si="41"/>
        <v>4521.6911593662535</v>
      </c>
      <c r="AW23" s="137">
        <f t="shared" si="42"/>
        <v>0.86499999999999999</v>
      </c>
      <c r="AX23" s="137">
        <f t="shared" si="43"/>
        <v>1.17</v>
      </c>
      <c r="AY23" s="137">
        <f t="shared" si="44"/>
        <v>1.17</v>
      </c>
      <c r="AZ23" s="137"/>
      <c r="BA23" s="264"/>
      <c r="BB23" s="258">
        <f t="shared" si="45"/>
        <v>0</v>
      </c>
      <c r="BC23" s="258">
        <f t="shared" si="46"/>
        <v>0</v>
      </c>
      <c r="BD23" s="137">
        <f t="shared" si="47"/>
        <v>3.6559053121710816E-3</v>
      </c>
      <c r="BE23" s="137">
        <f t="shared" si="48"/>
        <v>3.6559053121710816E-3</v>
      </c>
      <c r="BF23" s="137">
        <f>_xll.xSPRDOPT($BW23,$BV23,$CG23,0,$BY23,$BX23,$BZ23,$AJ23,1,4)*$CB23</f>
        <v>3.9022060754897798</v>
      </c>
      <c r="BG23" s="137">
        <f>_xll.xSPRDOPT($BW23,$BV23,$CG23,0,$BY23,$BX23,$BZ23,$AJ23,1,3)*$CB23</f>
        <v>3.7852079674723589</v>
      </c>
      <c r="BH23" s="137">
        <f>IF(OR(BF23&lt;&gt;0,BG23&lt;&gt;0),_xll.xSPRDOPT($BW23,$BV23,$CG23,0,$BY23,$BX23,$BZ23,$AJ23,1,12)*$CB23,0)</f>
        <v>-3.8430794321459865</v>
      </c>
      <c r="BI23" s="137">
        <f>_xll.xSPRDOPT($BW23,$BV23,$CG23,2*LN(1+CA23/2),$BY23,$BX23,$BZ23,$AJ23,1,9)</f>
        <v>-9.2998576838472125E-2</v>
      </c>
      <c r="BJ23" s="137">
        <f>_xll.xSPRDOPT($BW23,$BV23,$CG23,0,$BY23,$BX23,$BZ23,$AJ23,1,6)*$CB23</f>
        <v>-0.10272125050636238</v>
      </c>
      <c r="BK23" s="137">
        <f>_xll.xSPRDOPT($BW23,$BV23,$CG23,0,$BY23,$BX23,$BZ23,$AJ23,1,5)*$CB23</f>
        <v>0.13724428825746784</v>
      </c>
      <c r="BL23" s="137">
        <f>_xll.xSPRDOPT(BW23,BV23,CG23,0,BY23,BX23,BZ23,AJ23,1,2)*CB23</f>
        <v>-0.68131031998610059</v>
      </c>
      <c r="BM23" s="137">
        <f>_xll.xSPRDOPT(BW23,BV23,CG23,0,BY23,BX23,BZ23,AJ23,1,1)*CB23</f>
        <v>0.691926724980646</v>
      </c>
      <c r="BN23" s="137">
        <f>IF(AH23&lt;&gt;0,_xll.xSPRDOPT($BW23,$BV23,$CG23,2*LN(1+CA23/2),$BY23,$BX23,$BZ23,$AJ23,1,8)+(AJ23/365.25)*CH23/AH23,0)</f>
        <v>0.12817234136230807</v>
      </c>
      <c r="BO23" s="137">
        <f>_xll.xSPRDOPT($BW23,$BV23,$CG23,0,$BY23,$BX23,$BZ23,$AJ23,1,0)</f>
        <v>6.3036307641867892E-2</v>
      </c>
      <c r="BP23" s="137"/>
      <c r="BQ23" s="137"/>
      <c r="BR23" s="137"/>
      <c r="BS23" s="137"/>
      <c r="BV23" s="262">
        <v>2.6962421711899793</v>
      </c>
      <c r="BW23" s="136">
        <v>2.8080000000000003</v>
      </c>
      <c r="BX23" s="137">
        <v>0.94135688119744354</v>
      </c>
      <c r="BY23" s="137">
        <v>0.94135688119744354</v>
      </c>
      <c r="BZ23" s="137">
        <v>0.99671640831935782</v>
      </c>
      <c r="CA23" s="137">
        <v>1.9326187282006298E-2</v>
      </c>
      <c r="CB23" s="137">
        <v>0.99668802984454063</v>
      </c>
      <c r="CC23" s="258">
        <v>-0.34</v>
      </c>
      <c r="CD23" s="258">
        <v>1.4999999999999999E-2</v>
      </c>
      <c r="CE23" s="258">
        <v>-0.09</v>
      </c>
      <c r="CF23" s="258">
        <v>-0.01</v>
      </c>
      <c r="CG23" s="258">
        <v>6.7199999999999996E-2</v>
      </c>
      <c r="CH23" s="258">
        <v>22.565814346104276</v>
      </c>
      <c r="CI23" s="258">
        <v>2.9079999999999999</v>
      </c>
      <c r="CJ23" s="258"/>
      <c r="CK23" s="258"/>
      <c r="CL23" s="258"/>
      <c r="CM23" s="258"/>
    </row>
    <row r="24" spans="1:91" x14ac:dyDescent="0.25">
      <c r="A24" s="723"/>
      <c r="B24" s="723"/>
      <c r="D24" s="31">
        <f t="shared" si="49"/>
        <v>37330</v>
      </c>
      <c r="F24" s="28">
        <f t="shared" si="12"/>
        <v>3700</v>
      </c>
      <c r="G24" s="28">
        <f t="shared" si="13"/>
        <v>3682.9407422875747</v>
      </c>
      <c r="H24" s="52">
        <f t="shared" si="14"/>
        <v>2.5960334029227559</v>
      </c>
      <c r="I24" s="52">
        <f t="shared" si="15"/>
        <v>2.8820000000000006</v>
      </c>
      <c r="K24" s="52">
        <f t="shared" si="16"/>
        <v>6.7504964368241156</v>
      </c>
      <c r="L24" s="135">
        <f t="shared" si="17"/>
        <v>1.8064319771626813E-3</v>
      </c>
      <c r="N24" s="131">
        <f t="shared" si="18"/>
        <v>0.81400177068699564</v>
      </c>
      <c r="O24" s="131">
        <f t="shared" si="19"/>
        <v>0.81400177068699564</v>
      </c>
      <c r="P24" s="55">
        <f t="shared" si="20"/>
        <v>0.9980530617544594</v>
      </c>
      <c r="Q24" s="135">
        <f>_xll.xSPRDOPT(I24,H24,AQ24,0,O24,N24,P24,D24-$G$5,1,0)*AH24*AU24</f>
        <v>6.7523028688012783</v>
      </c>
      <c r="R24" s="135"/>
      <c r="S24" s="181">
        <f>_xll.xSPRDOPT(I24,H24,AQ24,AT24,O24,N24,P24,D24-$G$5,1,2)*AF24*(F24/(1-AR24))*AH24</f>
        <v>-118899.33305966455</v>
      </c>
      <c r="T24" s="181">
        <f>_xll.xSPRDOPT(I24,H24,AQ24,AT24,O24,N24,P24,D24-$G$5,1,1)*AF24*F24*AH24</f>
        <v>113921.57998881437</v>
      </c>
      <c r="U24" s="135"/>
      <c r="V24" s="146">
        <f t="shared" si="50"/>
        <v>24.951027678547494</v>
      </c>
      <c r="W24" s="146"/>
      <c r="X24" s="338">
        <f t="shared" si="21"/>
        <v>0</v>
      </c>
      <c r="Y24" s="338">
        <f t="shared" si="22"/>
        <v>0</v>
      </c>
      <c r="Z24" s="338">
        <f t="shared" si="23"/>
        <v>2.571649073987555</v>
      </c>
      <c r="AA24" s="338">
        <f t="shared" si="24"/>
        <v>7.8074272883252513E-2</v>
      </c>
      <c r="AB24" s="338">
        <f t="shared" si="25"/>
        <v>0</v>
      </c>
      <c r="AC24" s="338">
        <f t="shared" si="26"/>
        <v>3.9545231181042455</v>
      </c>
      <c r="AF24" s="138">
        <f t="shared" si="27"/>
        <v>1</v>
      </c>
      <c r="AG24" s="138">
        <f t="shared" si="28"/>
        <v>3</v>
      </c>
      <c r="AH24" s="138">
        <f t="shared" si="29"/>
        <v>31</v>
      </c>
      <c r="AI24" s="138">
        <f t="shared" si="51"/>
        <v>74</v>
      </c>
      <c r="AJ24" s="138">
        <f t="shared" si="30"/>
        <v>91</v>
      </c>
      <c r="AL24" s="136">
        <f t="shared" si="31"/>
        <v>2.9020000000000001</v>
      </c>
      <c r="AM24" s="258">
        <f t="shared" si="32"/>
        <v>-0.43</v>
      </c>
      <c r="AN24" s="258">
        <f t="shared" si="33"/>
        <v>1.4999999999999999E-2</v>
      </c>
      <c r="AO24" s="258">
        <f t="shared" si="34"/>
        <v>-0.01</v>
      </c>
      <c r="AP24" s="258">
        <f t="shared" si="35"/>
        <v>-0.01</v>
      </c>
      <c r="AQ24" s="136">
        <f t="shared" si="36"/>
        <v>6.7199999999999996E-2</v>
      </c>
      <c r="AR24" s="137">
        <f t="shared" si="37"/>
        <v>4.2000000000000003E-2</v>
      </c>
      <c r="AS24" s="136">
        <f t="shared" si="38"/>
        <v>2.4870000000000001</v>
      </c>
      <c r="AT24" s="137">
        <f t="shared" si="39"/>
        <v>1.9273175363903501E-2</v>
      </c>
      <c r="AU24" s="137">
        <f t="shared" si="40"/>
        <v>0.99538938980745262</v>
      </c>
      <c r="AV24" s="394">
        <f t="shared" si="41"/>
        <v>4998.8455156130267</v>
      </c>
      <c r="AW24" s="137">
        <f t="shared" si="42"/>
        <v>0.79</v>
      </c>
      <c r="AX24" s="137">
        <f t="shared" si="43"/>
        <v>0.92</v>
      </c>
      <c r="AY24" s="137">
        <f t="shared" si="44"/>
        <v>0.92</v>
      </c>
      <c r="AZ24" s="137"/>
      <c r="BA24" s="264"/>
      <c r="BB24" s="258">
        <f t="shared" si="45"/>
        <v>0</v>
      </c>
      <c r="BC24" s="258">
        <f t="shared" si="46"/>
        <v>0</v>
      </c>
      <c r="BD24" s="137">
        <f t="shared" si="47"/>
        <v>7.673209307950124E-4</v>
      </c>
      <c r="BE24" s="137">
        <f t="shared" si="48"/>
        <v>7.673209307950124E-4</v>
      </c>
      <c r="BF24" s="137">
        <f>_xll.xSPRDOPT($BW24,$BV24,$CG24,0,$BY24,$BX24,$BZ24,$AJ24,1,4)*$CB24</f>
        <v>9.9303409359247988E-2</v>
      </c>
      <c r="BG24" s="137">
        <f>_xll.xSPRDOPT($BW24,$BV24,$CG24,0,$BY24,$BX24,$BZ24,$AJ24,1,3)*$CB24</f>
        <v>8.8104687571550183E-2</v>
      </c>
      <c r="BH24" s="137">
        <f>IF(OR(BF24&lt;&gt;0,BG24&lt;&gt;0),_xll.xSPRDOPT($BW24,$BV24,$CG24,0,$BY24,$BX24,$BZ24,$AJ24,1,12)*$CB24,0)</f>
        <v>-9.3521103947325851E-2</v>
      </c>
      <c r="BI24" s="137">
        <f>_xll.xSPRDOPT($BW24,$BV24,$CG24,2*LN(1+CA24/2),$BY24,$BX24,$BZ24,$AJ24,1,9)</f>
        <v>2.7297146883869649E-3</v>
      </c>
      <c r="BJ24" s="137">
        <f>_xll.xSPRDOPT($BW24,$BV24,$CG24,0,$BY24,$BX24,$BZ24,$AJ24,1,6)*$CB24</f>
        <v>-5.8929431885792255E-3</v>
      </c>
      <c r="BK24" s="137">
        <f>_xll.xSPRDOPT($BW24,$BV24,$CG24,0,$BY24,$BX24,$BZ24,$AJ24,1,5)*$CB24</f>
        <v>6.7800327838969795E-3</v>
      </c>
      <c r="BL24" s="137">
        <f>_xll.xSPRDOPT(BW24,BV24,CG24,0,BY24,BX24,BZ24,AJ24,1,2)*CB24</f>
        <v>-0.99253544620851164</v>
      </c>
      <c r="BM24" s="137">
        <f>_xll.xSPRDOPT(BW24,BV24,CG24,0,BY24,BX24,BZ24,AJ24,1,1)*CB24</f>
        <v>0.99270106477358089</v>
      </c>
      <c r="BN24" s="137">
        <f>IF(AH24&lt;&gt;0,_xll.xSPRDOPT($BW24,$BV24,$CG24,2*LN(1+CA24/2),$BY24,$BX24,$BZ24,$AJ24,1,8)+(AJ24/365.25)*CH24/AH24,0)</f>
        <v>0.14623552366553186</v>
      </c>
      <c r="BO24" s="137">
        <f>_xll.xSPRDOPT($BW24,$BV24,$CG24,0,$BY24,$BX24,$BZ24,$AJ24,1,0)</f>
        <v>0.21883753328862479</v>
      </c>
      <c r="BP24" s="137"/>
      <c r="BQ24" s="137"/>
      <c r="BR24" s="137"/>
      <c r="BS24" s="137"/>
      <c r="BV24" s="262">
        <v>2.5960334029227559</v>
      </c>
      <c r="BW24" s="136">
        <v>2.8820000000000006</v>
      </c>
      <c r="BX24" s="137">
        <v>0.81323444975620063</v>
      </c>
      <c r="BY24" s="137">
        <v>0.81323444975620063</v>
      </c>
      <c r="BZ24" s="137">
        <v>0.9980361349180793</v>
      </c>
      <c r="CA24" s="137">
        <v>1.9273175363903501E-2</v>
      </c>
      <c r="CB24" s="137">
        <v>0.99523258517239033</v>
      </c>
      <c r="CC24" s="258">
        <v>-0.43</v>
      </c>
      <c r="CD24" s="258">
        <v>1.4999999999999999E-2</v>
      </c>
      <c r="CE24" s="258">
        <v>-0.01</v>
      </c>
      <c r="CF24" s="258">
        <v>-0.01</v>
      </c>
      <c r="CG24" s="258">
        <v>6.7199999999999996E-2</v>
      </c>
      <c r="CH24" s="258">
        <v>24.94709711948224</v>
      </c>
      <c r="CI24" s="258">
        <v>2.9020000000000001</v>
      </c>
      <c r="CJ24" s="258"/>
      <c r="CK24" s="258"/>
      <c r="CL24" s="258"/>
      <c r="CM24" s="258"/>
    </row>
    <row r="25" spans="1:91" x14ac:dyDescent="0.25">
      <c r="A25" s="723"/>
      <c r="B25" s="723"/>
      <c r="D25" s="31">
        <f t="shared" si="49"/>
        <v>37361</v>
      </c>
      <c r="F25" s="28">
        <f t="shared" si="12"/>
        <v>3700</v>
      </c>
      <c r="G25" s="28">
        <f t="shared" si="13"/>
        <v>3676.7726499455889</v>
      </c>
      <c r="H25" s="52">
        <f t="shared" si="14"/>
        <v>2.4405010438413357</v>
      </c>
      <c r="I25" s="52">
        <f t="shared" si="15"/>
        <v>2.7480000000000002</v>
      </c>
      <c r="K25" s="52">
        <f t="shared" si="16"/>
        <v>7.1637132147133933</v>
      </c>
      <c r="L25" s="135">
        <f t="shared" si="17"/>
        <v>6.6097141973031626E-6</v>
      </c>
      <c r="N25" s="131">
        <f t="shared" si="18"/>
        <v>0.64163852752153216</v>
      </c>
      <c r="O25" s="131">
        <f t="shared" si="19"/>
        <v>0.64163852752153216</v>
      </c>
      <c r="P25" s="55">
        <f t="shared" si="20"/>
        <v>1</v>
      </c>
      <c r="Q25" s="135">
        <f>_xll.xSPRDOPT(I25,H25,AQ25,0,O25,N25,P25,D25-$G$5,1,0)*AH25*AU25</f>
        <v>7.1637198244275906</v>
      </c>
      <c r="R25" s="135"/>
      <c r="S25" s="181">
        <f>_xll.xSPRDOPT(I25,H25,AQ25,AT25,O25,N25,P25,D25-$G$5,1,2)*AF25*(F25/(1-AR25))*AH25</f>
        <v>-115134.55010599511</v>
      </c>
      <c r="T25" s="181">
        <f>_xll.xSPRDOPT(I25,H25,AQ25,AT25,O25,N25,P25,D25-$G$5,1,1)*AF25*F25*AH25</f>
        <v>110298.89900144235</v>
      </c>
      <c r="U25" s="135"/>
      <c r="V25" s="146">
        <f t="shared" si="50"/>
        <v>24.105716470913539</v>
      </c>
      <c r="W25" s="146"/>
      <c r="X25" s="338">
        <f t="shared" si="21"/>
        <v>0</v>
      </c>
      <c r="Y25" s="338">
        <f t="shared" si="22"/>
        <v>0</v>
      </c>
      <c r="Z25" s="338">
        <f t="shared" si="23"/>
        <v>4.2016137743832456</v>
      </c>
      <c r="AA25" s="338">
        <f t="shared" si="24"/>
        <v>5.4989752583473235E-4</v>
      </c>
      <c r="AB25" s="338">
        <f t="shared" si="25"/>
        <v>0</v>
      </c>
      <c r="AC25" s="338">
        <f t="shared" si="26"/>
        <v>4.2277641134810278</v>
      </c>
      <c r="AF25" s="138">
        <f t="shared" si="27"/>
        <v>1</v>
      </c>
      <c r="AG25" s="138">
        <f t="shared" si="28"/>
        <v>4</v>
      </c>
      <c r="AH25" s="138">
        <f t="shared" si="29"/>
        <v>30</v>
      </c>
      <c r="AI25" s="138">
        <f t="shared" si="51"/>
        <v>105</v>
      </c>
      <c r="AJ25" s="138">
        <f t="shared" si="30"/>
        <v>122</v>
      </c>
      <c r="AL25" s="136">
        <f t="shared" si="31"/>
        <v>2.8479999999999999</v>
      </c>
      <c r="AM25" s="258">
        <f t="shared" si="32"/>
        <v>-0.53</v>
      </c>
      <c r="AN25" s="258">
        <f t="shared" si="33"/>
        <v>0.02</v>
      </c>
      <c r="AO25" s="258">
        <f t="shared" si="34"/>
        <v>-0.09</v>
      </c>
      <c r="AP25" s="258">
        <f t="shared" si="35"/>
        <v>-0.01</v>
      </c>
      <c r="AQ25" s="136">
        <f t="shared" si="36"/>
        <v>6.7199999999999996E-2</v>
      </c>
      <c r="AR25" s="137">
        <f t="shared" si="37"/>
        <v>4.2000000000000003E-2</v>
      </c>
      <c r="AS25" s="136">
        <f t="shared" si="38"/>
        <v>2.3379999999999996</v>
      </c>
      <c r="AT25" s="137">
        <f t="shared" si="39"/>
        <v>1.9422640119623601E-2</v>
      </c>
      <c r="AU25" s="137">
        <f t="shared" si="40"/>
        <v>0.99372233782313213</v>
      </c>
      <c r="AV25" s="394">
        <f t="shared" si="41"/>
        <v>4829.490561820422</v>
      </c>
      <c r="AW25" s="137">
        <f t="shared" si="42"/>
        <v>0.61</v>
      </c>
      <c r="AX25" s="137">
        <f t="shared" si="43"/>
        <v>0.83</v>
      </c>
      <c r="AY25" s="137">
        <f t="shared" si="44"/>
        <v>0.83</v>
      </c>
      <c r="AZ25" s="137"/>
      <c r="BA25" s="264"/>
      <c r="BB25" s="258">
        <f t="shared" si="45"/>
        <v>0</v>
      </c>
      <c r="BC25" s="258">
        <f t="shared" si="46"/>
        <v>0</v>
      </c>
      <c r="BD25" s="137">
        <f t="shared" si="47"/>
        <v>7.530881944529666E-4</v>
      </c>
      <c r="BE25" s="137">
        <f t="shared" si="48"/>
        <v>7.530881944529666E-4</v>
      </c>
      <c r="BF25" s="137">
        <f>_xll.xSPRDOPT($BW25,$BV25,$CG25,0,$BY25,$BX25,$BZ25,$AJ25,1,4)*$CB25</f>
        <v>-2.3688425725698056E-7</v>
      </c>
      <c r="BG25" s="137">
        <f>_xll.xSPRDOPT($BW25,$BV25,$CG25,0,$BY25,$BX25,$BZ25,$AJ25,1,3)*$CB25</f>
        <v>0</v>
      </c>
      <c r="BH25" s="137">
        <f>IF(OR(BF25&lt;&gt;0,BG25&lt;&gt;0),_xll.xSPRDOPT($BW25,$BV25,$CG25,0,$BY25,$BX25,$BZ25,$AJ25,1,12)*$CB25,0)</f>
        <v>-1.4805266078561286E-7</v>
      </c>
      <c r="BI25" s="137">
        <f>_xll.xSPRDOPT($BW25,$BV25,$CG25,2*LN(1+CA25/2),$BY25,$BX25,$BZ25,$AJ25,1,9)</f>
        <v>4.6085268201005421E-3</v>
      </c>
      <c r="BJ25" s="137">
        <f>_xll.xSPRDOPT($BW25,$BV25,$CG25,0,$BY25,$BX25,$BZ25,$AJ25,1,6)*$CB25</f>
        <v>-5.2209274208804257E-5</v>
      </c>
      <c r="BK25" s="137">
        <f>_xll.xSPRDOPT($BW25,$BV25,$CG25,0,$BY25,$BX25,$BZ25,$AJ25,1,5)*$CB25</f>
        <v>5.8787563180490251E-5</v>
      </c>
      <c r="BL25" s="137">
        <f>_xll.xSPRDOPT(BW25,BV25,CG25,0,BY25,BX25,BZ25,AJ25,1,2)*CB25</f>
        <v>-0.99355651777617138</v>
      </c>
      <c r="BM25" s="137">
        <f>_xll.xSPRDOPT(BW25,BV25,CG25,0,BY25,BX25,BZ25,AJ25,1,1)*CB25</f>
        <v>0.99355651777165321</v>
      </c>
      <c r="BN25" s="137">
        <f>IF(AH25&lt;&gt;0,_xll.xSPRDOPT($BW25,$BV25,$CG25,2*LN(1+CA25/2),$BY25,$BX25,$BZ25,$AJ25,1,8)+(AJ25/365.25)*CH25/AH25,0)</f>
        <v>0.18860098554964183</v>
      </c>
      <c r="BO25" s="137">
        <f>_xll.xSPRDOPT($BW25,$BV25,$CG25,0,$BY25,$BX25,$BZ25,$AJ25,1,0)</f>
        <v>0.24029922587579633</v>
      </c>
      <c r="BP25" s="137"/>
      <c r="BQ25" s="137"/>
      <c r="BR25" s="137"/>
      <c r="BS25" s="137"/>
      <c r="BV25" s="262">
        <v>2.4405010438413357</v>
      </c>
      <c r="BW25" s="136">
        <v>2.7480000000000002</v>
      </c>
      <c r="BX25" s="137">
        <v>0.6408854393270792</v>
      </c>
      <c r="BY25" s="137">
        <v>0.6408854393270792</v>
      </c>
      <c r="BZ25" s="137">
        <v>1</v>
      </c>
      <c r="CA25" s="137">
        <v>1.9422640119623601E-2</v>
      </c>
      <c r="CB25" s="137">
        <v>0.99356458774998258</v>
      </c>
      <c r="CC25" s="258">
        <v>-0.53</v>
      </c>
      <c r="CD25" s="258">
        <v>0.02</v>
      </c>
      <c r="CE25" s="258">
        <v>-0.09</v>
      </c>
      <c r="CF25" s="258">
        <v>-0.01</v>
      </c>
      <c r="CG25" s="258">
        <v>6.7199999999999996E-2</v>
      </c>
      <c r="CH25" s="258">
        <v>24.101889769639076</v>
      </c>
      <c r="CI25" s="258">
        <v>2.8479999999999999</v>
      </c>
      <c r="CJ25" s="258"/>
      <c r="CK25" s="258"/>
      <c r="CL25" s="258"/>
      <c r="CM25" s="258"/>
    </row>
    <row r="26" spans="1:91" x14ac:dyDescent="0.25">
      <c r="A26" s="723"/>
      <c r="B26" s="723"/>
      <c r="D26" s="31">
        <f t="shared" si="49"/>
        <v>37391</v>
      </c>
      <c r="F26" s="28">
        <f t="shared" si="12"/>
        <v>3700</v>
      </c>
      <c r="G26" s="28">
        <f t="shared" si="13"/>
        <v>0</v>
      </c>
      <c r="H26" s="52">
        <f t="shared" si="14"/>
        <v>2.4906054279749474</v>
      </c>
      <c r="I26" s="52">
        <f t="shared" si="15"/>
        <v>2.8160000000000003</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50"/>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1"/>
        <v>135</v>
      </c>
      <c r="AJ26" s="138">
        <f t="shared" si="30"/>
        <v>152</v>
      </c>
      <c r="AL26" s="136">
        <f t="shared" si="31"/>
        <v>2.8959999999999999</v>
      </c>
      <c r="AM26" s="258">
        <f t="shared" si="32"/>
        <v>-0.53</v>
      </c>
      <c r="AN26" s="258">
        <f t="shared" si="33"/>
        <v>0.02</v>
      </c>
      <c r="AO26" s="258">
        <f t="shared" si="34"/>
        <v>-7.0000000000000007E-2</v>
      </c>
      <c r="AP26" s="258">
        <f t="shared" si="35"/>
        <v>-0.01</v>
      </c>
      <c r="AQ26" s="136">
        <f t="shared" si="36"/>
        <v>6.7199999999999996E-2</v>
      </c>
      <c r="AR26" s="137">
        <f t="shared" si="37"/>
        <v>4.2000000000000003E-2</v>
      </c>
      <c r="AS26" s="136">
        <f t="shared" si="38"/>
        <v>2.3859999999999997</v>
      </c>
      <c r="AT26" s="137">
        <f t="shared" si="39"/>
        <v>1.9712159578257001E-2</v>
      </c>
      <c r="AU26" s="137">
        <f t="shared" si="40"/>
        <v>0</v>
      </c>
      <c r="AV26" s="394">
        <f t="shared" si="41"/>
        <v>0</v>
      </c>
      <c r="AW26" s="137">
        <f t="shared" si="42"/>
        <v>0.57750000000000001</v>
      </c>
      <c r="AX26" s="137">
        <f t="shared" si="43"/>
        <v>0.78</v>
      </c>
      <c r="AY26" s="137">
        <f t="shared" si="44"/>
        <v>0.78</v>
      </c>
      <c r="AZ26" s="137"/>
      <c r="BA26" s="264"/>
      <c r="BB26" s="258">
        <f t="shared" si="45"/>
        <v>0</v>
      </c>
      <c r="BC26" s="258">
        <f t="shared" si="46"/>
        <v>0</v>
      </c>
      <c r="BD26" s="137">
        <f t="shared" si="47"/>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-0.6167737822000311</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0.68945010625785597</v>
      </c>
      <c r="BP26" s="137"/>
      <c r="BQ26" s="137"/>
      <c r="BR26" s="137"/>
      <c r="BS26" s="137"/>
      <c r="BV26" s="262">
        <v>2.4906054279749474</v>
      </c>
      <c r="BW26" s="136">
        <v>2.8160000000000003</v>
      </c>
      <c r="BX26" s="137">
        <v>0.57750000000000001</v>
      </c>
      <c r="BY26" s="137">
        <v>0.57750000000000001</v>
      </c>
      <c r="BZ26" s="137">
        <v>0</v>
      </c>
      <c r="CA26" s="137">
        <v>1.9712159578257001E-2</v>
      </c>
      <c r="CB26" s="137">
        <v>0</v>
      </c>
      <c r="CC26" s="258">
        <v>-0.53</v>
      </c>
      <c r="CD26" s="258">
        <v>0.02</v>
      </c>
      <c r="CE26" s="258">
        <v>-7.0000000000000007E-2</v>
      </c>
      <c r="CF26" s="258">
        <v>-0.01</v>
      </c>
      <c r="CG26" s="258">
        <v>6.7199999999999996E-2</v>
      </c>
      <c r="CH26" s="258">
        <v>0</v>
      </c>
      <c r="CI26" s="258">
        <v>2.8959999999999999</v>
      </c>
      <c r="CJ26" s="258"/>
      <c r="CK26" s="258"/>
      <c r="CL26" s="258"/>
      <c r="CM26" s="258"/>
    </row>
    <row r="27" spans="1:91" x14ac:dyDescent="0.25">
      <c r="A27" s="726"/>
      <c r="B27" s="726"/>
      <c r="C27" s="726"/>
      <c r="D27" s="31">
        <f t="shared" si="49"/>
        <v>37391</v>
      </c>
      <c r="F27" s="28">
        <f t="shared" si="12"/>
        <v>3700</v>
      </c>
      <c r="G27" s="28">
        <f t="shared" si="13"/>
        <v>0</v>
      </c>
      <c r="H27" s="52">
        <f t="shared" si="14"/>
        <v>2.4906054279749474</v>
      </c>
      <c r="I27" s="52">
        <f t="shared" si="15"/>
        <v>2.8160000000000003</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50"/>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1"/>
        <v>135</v>
      </c>
      <c r="AJ27" s="138">
        <f t="shared" si="30"/>
        <v>152</v>
      </c>
      <c r="AL27" s="136">
        <f t="shared" si="31"/>
        <v>2.8959999999999999</v>
      </c>
      <c r="AM27" s="258">
        <f t="shared" si="32"/>
        <v>-0.53</v>
      </c>
      <c r="AN27" s="258">
        <f t="shared" si="33"/>
        <v>0.02</v>
      </c>
      <c r="AO27" s="258">
        <f t="shared" si="34"/>
        <v>-7.0000000000000007E-2</v>
      </c>
      <c r="AP27" s="258">
        <f t="shared" si="35"/>
        <v>-0.01</v>
      </c>
      <c r="AQ27" s="136">
        <f t="shared" si="36"/>
        <v>6.7199999999999996E-2</v>
      </c>
      <c r="AR27" s="137">
        <f t="shared" si="37"/>
        <v>4.2000000000000003E-2</v>
      </c>
      <c r="AS27" s="136">
        <f t="shared" si="38"/>
        <v>2.3859999999999997</v>
      </c>
      <c r="AT27" s="137">
        <f t="shared" si="39"/>
        <v>1.9712159578257001E-2</v>
      </c>
      <c r="AU27" s="137">
        <f t="shared" si="40"/>
        <v>0</v>
      </c>
      <c r="AV27" s="394">
        <f t="shared" si="41"/>
        <v>0</v>
      </c>
      <c r="AW27" s="137">
        <f t="shared" si="42"/>
        <v>0.57750000000000001</v>
      </c>
      <c r="AX27" s="137">
        <f t="shared" si="43"/>
        <v>0.78</v>
      </c>
      <c r="AY27" s="137">
        <f t="shared" si="44"/>
        <v>0.78</v>
      </c>
      <c r="AZ27" s="137"/>
      <c r="BA27" s="264"/>
      <c r="BB27" s="258">
        <f t="shared" si="45"/>
        <v>0</v>
      </c>
      <c r="BC27" s="258">
        <f t="shared" si="46"/>
        <v>0</v>
      </c>
      <c r="BD27" s="137">
        <f t="shared" si="47"/>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-0.6167737822000311</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0.68945010625785597</v>
      </c>
      <c r="BP27" s="137"/>
      <c r="BQ27" s="137"/>
      <c r="BR27" s="137"/>
      <c r="BS27" s="137"/>
      <c r="BV27" s="262">
        <v>2.4906054279749474</v>
      </c>
      <c r="BW27" s="136">
        <v>2.8160000000000003</v>
      </c>
      <c r="BX27" s="137">
        <v>0.57750000000000001</v>
      </c>
      <c r="BY27" s="137">
        <v>0.57750000000000001</v>
      </c>
      <c r="BZ27" s="137">
        <v>0</v>
      </c>
      <c r="CA27" s="137">
        <v>1.9712159578257001E-2</v>
      </c>
      <c r="CB27" s="137">
        <v>0</v>
      </c>
      <c r="CC27" s="258">
        <v>-0.53</v>
      </c>
      <c r="CD27" s="258">
        <v>0.02</v>
      </c>
      <c r="CE27" s="258">
        <v>-7.0000000000000007E-2</v>
      </c>
      <c r="CF27" s="258">
        <v>-0.01</v>
      </c>
      <c r="CG27" s="258">
        <v>6.7199999999999996E-2</v>
      </c>
      <c r="CH27" s="258">
        <v>0</v>
      </c>
      <c r="CI27" s="258">
        <v>2.8959999999999999</v>
      </c>
      <c r="CJ27" s="258"/>
      <c r="CK27" s="258"/>
      <c r="CL27" s="258"/>
      <c r="CM27" s="258"/>
    </row>
    <row r="28" spans="1:91" x14ac:dyDescent="0.25">
      <c r="A28" s="723"/>
      <c r="B28" s="723"/>
      <c r="D28" s="31">
        <f t="shared" si="49"/>
        <v>37391</v>
      </c>
      <c r="F28" s="28">
        <f t="shared" si="12"/>
        <v>3700</v>
      </c>
      <c r="G28" s="28">
        <f t="shared" si="13"/>
        <v>0</v>
      </c>
      <c r="H28" s="52">
        <f t="shared" si="14"/>
        <v>2.4906054279749474</v>
      </c>
      <c r="I28" s="52">
        <f t="shared" si="15"/>
        <v>2.8160000000000003</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50"/>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1"/>
        <v>135</v>
      </c>
      <c r="AJ28" s="138">
        <f t="shared" si="30"/>
        <v>152</v>
      </c>
      <c r="AL28" s="136">
        <f t="shared" si="31"/>
        <v>2.8959999999999999</v>
      </c>
      <c r="AM28" s="258">
        <f t="shared" si="32"/>
        <v>-0.53</v>
      </c>
      <c r="AN28" s="258">
        <f t="shared" si="33"/>
        <v>0.02</v>
      </c>
      <c r="AO28" s="258">
        <f t="shared" si="34"/>
        <v>-7.0000000000000007E-2</v>
      </c>
      <c r="AP28" s="258">
        <f t="shared" si="35"/>
        <v>-0.01</v>
      </c>
      <c r="AQ28" s="136">
        <f t="shared" si="36"/>
        <v>6.7199999999999996E-2</v>
      </c>
      <c r="AR28" s="137">
        <f t="shared" si="37"/>
        <v>4.2000000000000003E-2</v>
      </c>
      <c r="AS28" s="136">
        <f t="shared" si="38"/>
        <v>2.3859999999999997</v>
      </c>
      <c r="AT28" s="137">
        <f t="shared" si="39"/>
        <v>1.9712159578257001E-2</v>
      </c>
      <c r="AU28" s="137">
        <f t="shared" si="40"/>
        <v>0</v>
      </c>
      <c r="AV28" s="394">
        <f t="shared" si="41"/>
        <v>0</v>
      </c>
      <c r="AW28" s="137">
        <f t="shared" si="42"/>
        <v>0.57750000000000001</v>
      </c>
      <c r="AX28" s="137">
        <f t="shared" si="43"/>
        <v>0.78</v>
      </c>
      <c r="AY28" s="137">
        <f t="shared" si="44"/>
        <v>0.78</v>
      </c>
      <c r="AZ28" s="137"/>
      <c r="BA28" s="264"/>
      <c r="BB28" s="258">
        <f t="shared" si="45"/>
        <v>0</v>
      </c>
      <c r="BC28" s="258">
        <f t="shared" si="46"/>
        <v>0</v>
      </c>
      <c r="BD28" s="137">
        <f t="shared" si="47"/>
        <v>0</v>
      </c>
      <c r="BE28" s="137">
        <f t="shared" si="48"/>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-0.6167737822000311</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0.68945010625785597</v>
      </c>
      <c r="BP28" s="137"/>
      <c r="BQ28" s="137"/>
      <c r="BR28" s="137"/>
      <c r="BS28" s="137"/>
      <c r="BV28" s="262">
        <v>2.4906054279749474</v>
      </c>
      <c r="BW28" s="136">
        <v>2.8160000000000003</v>
      </c>
      <c r="BX28" s="137">
        <v>0.57750000000000001</v>
      </c>
      <c r="BY28" s="137">
        <v>0.57750000000000001</v>
      </c>
      <c r="BZ28" s="137">
        <v>0</v>
      </c>
      <c r="CA28" s="137">
        <v>1.9712159578257001E-2</v>
      </c>
      <c r="CB28" s="137">
        <v>0</v>
      </c>
      <c r="CC28" s="258">
        <v>-0.53</v>
      </c>
      <c r="CD28" s="258">
        <v>0.02</v>
      </c>
      <c r="CE28" s="258">
        <v>-7.0000000000000007E-2</v>
      </c>
      <c r="CF28" s="258">
        <v>-0.01</v>
      </c>
      <c r="CG28" s="258">
        <v>6.7199999999999996E-2</v>
      </c>
      <c r="CH28" s="258">
        <v>0</v>
      </c>
      <c r="CI28" s="258">
        <v>2.8959999999999999</v>
      </c>
      <c r="CJ28" s="258"/>
      <c r="CK28" s="258"/>
      <c r="CL28" s="258"/>
      <c r="CM28" s="258"/>
    </row>
    <row r="29" spans="1:91" x14ac:dyDescent="0.25">
      <c r="A29" s="723"/>
      <c r="B29" s="723"/>
      <c r="D29" s="31">
        <f t="shared" si="49"/>
        <v>37391</v>
      </c>
      <c r="F29" s="28">
        <f t="shared" si="12"/>
        <v>3700</v>
      </c>
      <c r="G29" s="28">
        <f t="shared" si="13"/>
        <v>0</v>
      </c>
      <c r="H29" s="52">
        <f t="shared" si="14"/>
        <v>2.4906054279749474</v>
      </c>
      <c r="I29" s="52">
        <f t="shared" si="15"/>
        <v>2.8160000000000003</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50"/>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1"/>
        <v>135</v>
      </c>
      <c r="AJ29" s="138">
        <f t="shared" si="30"/>
        <v>152</v>
      </c>
      <c r="AL29" s="136">
        <f t="shared" si="31"/>
        <v>2.8959999999999999</v>
      </c>
      <c r="AM29" s="258">
        <f t="shared" si="32"/>
        <v>-0.53</v>
      </c>
      <c r="AN29" s="258">
        <f t="shared" si="33"/>
        <v>0.02</v>
      </c>
      <c r="AO29" s="258">
        <f t="shared" si="34"/>
        <v>-7.0000000000000007E-2</v>
      </c>
      <c r="AP29" s="258">
        <f t="shared" si="35"/>
        <v>-0.01</v>
      </c>
      <c r="AQ29" s="136">
        <f t="shared" si="36"/>
        <v>6.7199999999999996E-2</v>
      </c>
      <c r="AR29" s="137">
        <f t="shared" si="37"/>
        <v>4.2000000000000003E-2</v>
      </c>
      <c r="AS29" s="136">
        <f t="shared" si="38"/>
        <v>2.3859999999999997</v>
      </c>
      <c r="AT29" s="137">
        <f t="shared" si="39"/>
        <v>1.9712159578257001E-2</v>
      </c>
      <c r="AU29" s="137">
        <f t="shared" si="40"/>
        <v>0</v>
      </c>
      <c r="AV29" s="394">
        <f t="shared" si="41"/>
        <v>0</v>
      </c>
      <c r="AW29" s="137">
        <f t="shared" si="42"/>
        <v>0.57750000000000001</v>
      </c>
      <c r="AX29" s="137">
        <f t="shared" si="43"/>
        <v>0.78</v>
      </c>
      <c r="AY29" s="137">
        <f t="shared" si="44"/>
        <v>0.78</v>
      </c>
      <c r="AZ29" s="137"/>
      <c r="BA29" s="264"/>
      <c r="BB29" s="258">
        <f t="shared" si="45"/>
        <v>0</v>
      </c>
      <c r="BC29" s="258">
        <f t="shared" si="46"/>
        <v>0</v>
      </c>
      <c r="BD29" s="137">
        <f t="shared" si="47"/>
        <v>0</v>
      </c>
      <c r="BE29" s="137">
        <f t="shared" si="48"/>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-0.6167737822000311</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0.68945010625785597</v>
      </c>
      <c r="BP29" s="137"/>
      <c r="BQ29" s="137"/>
      <c r="BR29" s="137"/>
      <c r="BS29" s="137"/>
      <c r="BV29" s="262">
        <v>2.4906054279749474</v>
      </c>
      <c r="BW29" s="136">
        <v>2.8160000000000003</v>
      </c>
      <c r="BX29" s="137">
        <v>0.57750000000000001</v>
      </c>
      <c r="BY29" s="137">
        <v>0.57750000000000001</v>
      </c>
      <c r="BZ29" s="137">
        <v>0</v>
      </c>
      <c r="CA29" s="137">
        <v>1.9712159578257001E-2</v>
      </c>
      <c r="CB29" s="137">
        <v>0</v>
      </c>
      <c r="CC29" s="258">
        <v>-0.53</v>
      </c>
      <c r="CD29" s="258">
        <v>0.02</v>
      </c>
      <c r="CE29" s="258">
        <v>-7.0000000000000007E-2</v>
      </c>
      <c r="CF29" s="258">
        <v>-0.01</v>
      </c>
      <c r="CG29" s="258">
        <v>6.7199999999999996E-2</v>
      </c>
      <c r="CH29" s="258">
        <v>0</v>
      </c>
      <c r="CI29" s="258">
        <v>2.8959999999999999</v>
      </c>
      <c r="CJ29" s="258"/>
      <c r="CK29" s="258"/>
      <c r="CL29" s="258"/>
      <c r="CM29" s="258"/>
    </row>
    <row r="30" spans="1:91" x14ac:dyDescent="0.25">
      <c r="A30" s="723"/>
      <c r="B30" s="723"/>
      <c r="D30" s="31">
        <f t="shared" si="49"/>
        <v>37391</v>
      </c>
      <c r="F30" s="28">
        <f t="shared" si="12"/>
        <v>3700</v>
      </c>
      <c r="G30" s="28">
        <f t="shared" si="13"/>
        <v>0</v>
      </c>
      <c r="H30" s="52">
        <f t="shared" si="14"/>
        <v>2.4906054279749474</v>
      </c>
      <c r="I30" s="52">
        <f t="shared" si="15"/>
        <v>2.8160000000000003</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50"/>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1"/>
        <v>135</v>
      </c>
      <c r="AJ30" s="138">
        <f t="shared" si="30"/>
        <v>152</v>
      </c>
      <c r="AL30" s="136">
        <f t="shared" si="31"/>
        <v>2.8959999999999999</v>
      </c>
      <c r="AM30" s="258">
        <f t="shared" si="32"/>
        <v>-0.53</v>
      </c>
      <c r="AN30" s="258">
        <f t="shared" si="33"/>
        <v>0.02</v>
      </c>
      <c r="AO30" s="258">
        <f t="shared" si="34"/>
        <v>-7.0000000000000007E-2</v>
      </c>
      <c r="AP30" s="258">
        <f t="shared" si="35"/>
        <v>-0.01</v>
      </c>
      <c r="AQ30" s="136">
        <f t="shared" si="36"/>
        <v>6.7199999999999996E-2</v>
      </c>
      <c r="AR30" s="137">
        <f t="shared" si="37"/>
        <v>4.2000000000000003E-2</v>
      </c>
      <c r="AS30" s="136">
        <f t="shared" si="38"/>
        <v>2.3859999999999997</v>
      </c>
      <c r="AT30" s="137">
        <f t="shared" si="39"/>
        <v>1.9712159578257001E-2</v>
      </c>
      <c r="AU30" s="137">
        <f t="shared" si="40"/>
        <v>0</v>
      </c>
      <c r="AV30" s="394">
        <f t="shared" si="41"/>
        <v>0</v>
      </c>
      <c r="AW30" s="137">
        <f t="shared" si="42"/>
        <v>0.57750000000000001</v>
      </c>
      <c r="AX30" s="137">
        <f t="shared" si="43"/>
        <v>0.78</v>
      </c>
      <c r="AY30" s="137">
        <f t="shared" si="44"/>
        <v>0.78</v>
      </c>
      <c r="AZ30" s="137"/>
      <c r="BA30" s="264"/>
      <c r="BB30" s="258">
        <f t="shared" si="45"/>
        <v>0</v>
      </c>
      <c r="BC30" s="258">
        <f t="shared" si="46"/>
        <v>0</v>
      </c>
      <c r="BD30" s="137">
        <f t="shared" si="47"/>
        <v>0</v>
      </c>
      <c r="BE30" s="137">
        <f t="shared" si="48"/>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-0.6167737822000311</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0.68945010625785597</v>
      </c>
      <c r="BP30" s="137"/>
      <c r="BQ30" s="137"/>
      <c r="BR30" s="137"/>
      <c r="BS30" s="137"/>
      <c r="BV30" s="262">
        <v>2.4906054279749474</v>
      </c>
      <c r="BW30" s="136">
        <v>2.8160000000000003</v>
      </c>
      <c r="BX30" s="137">
        <v>0.57750000000000001</v>
      </c>
      <c r="BY30" s="137">
        <v>0.57750000000000001</v>
      </c>
      <c r="BZ30" s="137">
        <v>0</v>
      </c>
      <c r="CA30" s="137">
        <v>1.9712159578257001E-2</v>
      </c>
      <c r="CB30" s="137">
        <v>0</v>
      </c>
      <c r="CC30" s="258">
        <v>-0.53</v>
      </c>
      <c r="CD30" s="258">
        <v>0.02</v>
      </c>
      <c r="CE30" s="258">
        <v>-7.0000000000000007E-2</v>
      </c>
      <c r="CF30" s="258">
        <v>-0.01</v>
      </c>
      <c r="CG30" s="258">
        <v>6.7199999999999996E-2</v>
      </c>
      <c r="CH30" s="258">
        <v>0</v>
      </c>
      <c r="CI30" s="258">
        <v>2.8959999999999999</v>
      </c>
      <c r="CJ30" s="258"/>
      <c r="CK30" s="258"/>
      <c r="CL30" s="258"/>
      <c r="CM30" s="258"/>
    </row>
    <row r="31" spans="1:91" x14ac:dyDescent="0.25">
      <c r="A31" s="723"/>
      <c r="B31" s="723"/>
    </row>
    <row r="32" spans="1:91" x14ac:dyDescent="0.25">
      <c r="A32" s="723"/>
      <c r="B32" s="723"/>
    </row>
    <row r="33" spans="1:2" x14ac:dyDescent="0.25">
      <c r="A33" s="723"/>
      <c r="B33" s="723"/>
    </row>
  </sheetData>
  <sheetCalcPr fullCalcOnLoad="1"/>
  <mergeCells count="38">
    <mergeCell ref="A27:C27"/>
    <mergeCell ref="A32:B32"/>
    <mergeCell ref="A33:B33"/>
    <mergeCell ref="A28:B28"/>
    <mergeCell ref="A29:B29"/>
    <mergeCell ref="A30:B30"/>
    <mergeCell ref="A31:B31"/>
    <mergeCell ref="A24:B24"/>
    <mergeCell ref="A25:B25"/>
    <mergeCell ref="A26:B26"/>
    <mergeCell ref="L18:M18"/>
    <mergeCell ref="L19:M19"/>
    <mergeCell ref="A22:B22"/>
    <mergeCell ref="A23:B23"/>
    <mergeCell ref="D10:H10"/>
    <mergeCell ref="L5:M5"/>
    <mergeCell ref="L4:M4"/>
    <mergeCell ref="L10:M10"/>
    <mergeCell ref="L9:M9"/>
    <mergeCell ref="L6:M6"/>
    <mergeCell ref="L8:M8"/>
    <mergeCell ref="L7:M7"/>
    <mergeCell ref="F1:G1"/>
    <mergeCell ref="L1:P1"/>
    <mergeCell ref="L3:M3"/>
    <mergeCell ref="BU1:CB1"/>
    <mergeCell ref="AE1:AK1"/>
    <mergeCell ref="BA1:BH1"/>
    <mergeCell ref="X11:Y11"/>
    <mergeCell ref="AM20:AN20"/>
    <mergeCell ref="AO20:AP20"/>
    <mergeCell ref="L17:M17"/>
    <mergeCell ref="L15:M15"/>
    <mergeCell ref="L12:M12"/>
    <mergeCell ref="L16:M16"/>
    <mergeCell ref="L11:M11"/>
    <mergeCell ref="L13:M13"/>
    <mergeCell ref="L14:M14"/>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6916"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6917"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pageSetUpPr autoPageBreaks="0"/>
  </sheetPr>
  <dimension ref="A1:CX33"/>
  <sheetViews>
    <sheetView zoomScale="80" workbookViewId="0">
      <selection activeCell="CI21" sqref="CI21:CI33"/>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KERN</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LongTerm87</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87</v>
      </c>
      <c r="F2" s="178" t="str">
        <f>GetRcptPoint($AH$12,$AH$13)</f>
        <v>NWPL Rockies</v>
      </c>
      <c r="G2" s="179" t="str">
        <f>GetDelPoint($AH$12,$AH$13)</f>
        <v>Socal</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$F$33</v>
      </c>
      <c r="AX2" s="339" t="str">
        <f>ADDRESS(ROW($G$22),COLUMN($G$22))</f>
        <v>$G$22</v>
      </c>
      <c r="AY2" s="138" t="str">
        <f ca="1">GetEnd($AV$1,AX2)</f>
        <v>$G$33</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64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$AF$33</v>
      </c>
      <c r="AX3" s="339" t="str">
        <f>ADDRESS(ROW($AH$22),COLUMN($AH$22))</f>
        <v>$AH$22</v>
      </c>
      <c r="AY3" s="138" t="str">
        <f ca="1">GetEnd($AV$1,AX3)</f>
        <v>$AH$33</v>
      </c>
    </row>
    <row r="4" spans="1:102" x14ac:dyDescent="0.25">
      <c r="A4" s="269" t="str">
        <f>ADDRESS(ROW($S$22),COLUMN($S$22))</f>
        <v>$S$22</v>
      </c>
      <c r="L4" s="721" t="s">
        <v>201</v>
      </c>
      <c r="M4" s="722"/>
      <c r="N4" s="352">
        <f ca="1">SUMPRODUCT(INDIRECT(CONCATENATE(AV4,":",AW4)),INDIRECT(CONCATENATE($AV$2,":",$AW$2)),INDIRECT(CONCATENATE($AV$3,":",$AW$3)))</f>
        <v>53019.895124780436</v>
      </c>
      <c r="O4" s="352">
        <v>53014.78</v>
      </c>
      <c r="P4" s="354">
        <f ca="1">N4-O4</f>
        <v>5.115124780437327</v>
      </c>
      <c r="S4" s="427" t="s">
        <v>635</v>
      </c>
      <c r="T4" s="422">
        <f ca="1">SUMPRODUCT(INDIRECT(CONCATENATE(V4,":",W4)),INDIRECT(CONCATENATE(AV2,":",AW2)),INDIRECT(CONCATENATE(AV3,":",AW3)))</f>
        <v>52195.757505626694</v>
      </c>
      <c r="V4" s="30" t="str">
        <f>ADDRESS(ROW(K22),COLUMN(K22))</f>
        <v>$K$22</v>
      </c>
      <c r="W4" s="30" t="str">
        <f ca="1">GetEnd($AV$1,V4)</f>
        <v>$K$33</v>
      </c>
      <c r="AF4" s="28"/>
      <c r="AG4" s="103" t="s">
        <v>32</v>
      </c>
      <c r="AH4" s="104">
        <f>GetRcptIndexCol($AH$12,$AH$13)</f>
        <v>65</v>
      </c>
      <c r="AI4" s="29"/>
      <c r="AJ4" s="103" t="s">
        <v>72</v>
      </c>
      <c r="AK4" s="104">
        <f>GetNymexCol(AK3)</f>
        <v>3</v>
      </c>
      <c r="AL4" s="34">
        <v>1</v>
      </c>
      <c r="AM4" s="45">
        <f t="shared" ref="AM4:AM15" si="0">GetVolume($AH$12,$AH$13,AT4)</f>
        <v>700</v>
      </c>
      <c r="AN4" s="46">
        <f t="shared" ref="AN4:AN15" si="1">GetCommodity($AH$12,$AH$13,AT4)</f>
        <v>6.2199999999999998E-2</v>
      </c>
      <c r="AO4" s="47">
        <f t="shared" ref="AO4:AO15" si="2">GetFuelRate($AH$12,$AH$13,AT4)</f>
        <v>6.2E-2</v>
      </c>
      <c r="AP4" s="46">
        <f t="shared" ref="AP4:AP15" si="3">GetSurcharge($AH$12,$AH$13,$AT4)</f>
        <v>0</v>
      </c>
      <c r="AQ4" s="46">
        <f t="shared" ref="AQ4:AQ15" si="4">GetRcptIndexAdj($AH$12,$AH$13,$AT4)</f>
        <v>0</v>
      </c>
      <c r="AR4" s="132">
        <f t="shared" ref="AR4:AR15" si="5">GetDelIndexAdj($AH$12,$AH$13,$AT4)</f>
        <v>0</v>
      </c>
      <c r="AS4" s="48" t="str">
        <f t="shared" ref="AS4:AS15" si="6">GetDemandRate($AH$12,$AH$13,$AT4)</f>
        <v>(See LongTerm87 Sheet)</v>
      </c>
      <c r="AT4" s="35">
        <f t="shared" ref="AT4:AT15" si="7">gettier($AH$12,$AH$13,AL4)</f>
        <v>1</v>
      </c>
      <c r="AV4" s="339" t="str">
        <f>ADDRESS(ROW($Q$22),COLUMN($Q$22))</f>
        <v>$Q$22</v>
      </c>
      <c r="AW4" s="138" t="str">
        <f ca="1">GetEnd($AV$1,AV4)</f>
        <v>$Q$33</v>
      </c>
      <c r="AX4" s="339" t="str">
        <f>ADDRESS(ROW($K$22),COLUMN($K$22))</f>
        <v>$K$22</v>
      </c>
      <c r="AY4" s="138" t="str">
        <f ca="1">GetEnd($AV$1,AX4)</f>
        <v>$K$33</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202334.06858718826</v>
      </c>
      <c r="O5" s="352">
        <v>202295.78</v>
      </c>
      <c r="P5" s="355">
        <f ca="1">N5-O5</f>
        <v>38.288587188260863</v>
      </c>
      <c r="S5" s="428" t="s">
        <v>636</v>
      </c>
      <c r="T5" s="423">
        <f ca="1">SUMPRODUCT(INDIRECT(CONCATENATE(V5,":",W5)),INDIRECT(CONCATENATE(AV2,":",AW2)),INDIRECT(CONCATENATE(AV3,":",AW3)))</f>
        <v>824.13761915372368</v>
      </c>
      <c r="V5" s="30" t="str">
        <f>ADDRESS(ROW(L22),COLUMN(L22))</f>
        <v>$L$22</v>
      </c>
      <c r="W5" s="30" t="str">
        <f ca="1">GetEnd($AV$1,V5)</f>
        <v>$L$33</v>
      </c>
      <c r="AF5" s="28"/>
      <c r="AG5" s="103" t="s">
        <v>33</v>
      </c>
      <c r="AH5" s="104">
        <f>GetDelBasisCol($AH$12,$AH$13)</f>
        <v>60</v>
      </c>
      <c r="AI5" s="29"/>
      <c r="AJ5" s="103" t="s">
        <v>77</v>
      </c>
      <c r="AK5" s="104" t="str">
        <f>LiborCurve</f>
        <v>Libor AA</v>
      </c>
      <c r="AL5" s="34">
        <v>2</v>
      </c>
      <c r="AM5" s="37">
        <f t="shared" si="0"/>
        <v>700</v>
      </c>
      <c r="AN5" s="38">
        <f t="shared" si="1"/>
        <v>6.2199999999999998E-2</v>
      </c>
      <c r="AO5" s="39">
        <f t="shared" si="2"/>
        <v>6.2E-2</v>
      </c>
      <c r="AP5" s="38">
        <f t="shared" si="3"/>
        <v>0</v>
      </c>
      <c r="AQ5" s="38">
        <f t="shared" si="4"/>
        <v>0</v>
      </c>
      <c r="AR5" s="133">
        <f t="shared" si="5"/>
        <v>0</v>
      </c>
      <c r="AS5" s="40" t="str">
        <f t="shared" si="6"/>
        <v>(See LongTerm87 Sheet)</v>
      </c>
      <c r="AT5" s="35">
        <f t="shared" si="7"/>
        <v>1</v>
      </c>
      <c r="AV5" s="339" t="str">
        <f>ADDRESS(ROW($V$22),COLUMN($V$22))</f>
        <v>$V$22</v>
      </c>
      <c r="AW5" s="138" t="str">
        <f ca="1">GetEnd($AV$1,AV5)</f>
        <v>$V$33</v>
      </c>
      <c r="AX5" s="339" t="str">
        <f>ADDRESS(ROW($L$22),COLUMN($L$22))</f>
        <v>$L$22</v>
      </c>
      <c r="AY5" s="138" t="str">
        <f ca="1">GetEnd($AV$1,AX5)</f>
        <v>$L$33</v>
      </c>
      <c r="BV5" s="266">
        <f>O2</f>
        <v>37239</v>
      </c>
    </row>
    <row r="6" spans="1:102" x14ac:dyDescent="0.25">
      <c r="A6" s="269" t="str">
        <f>ADDRESS(ROW($BW$2),COLUMN($BW$2))</f>
        <v>$BW$2</v>
      </c>
      <c r="F6" s="187"/>
      <c r="G6" s="187"/>
      <c r="L6" s="704" t="s">
        <v>149</v>
      </c>
      <c r="M6" s="705"/>
      <c r="N6" s="356">
        <f ca="1">N4-N5</f>
        <v>-149314.17346240784</v>
      </c>
      <c r="O6" s="357">
        <v>-149281</v>
      </c>
      <c r="P6" s="358">
        <f ca="1">N6-O6</f>
        <v>-33.173462407838088</v>
      </c>
      <c r="S6" s="428" t="s">
        <v>637</v>
      </c>
      <c r="T6" s="424">
        <f ca="1">SUMPRODUCT(INDIRECT(CONCATENATE(V6,":",W6)),INDIRECT(CONCATENATE(AV3,":",AW3)),INDIRECT(CONCATENATE(AX3,":",AY3)))</f>
        <v>250267.89395596032</v>
      </c>
      <c r="V6" s="30" t="str">
        <f>ADDRESS(ROW(G22),COLUMN(G22))</f>
        <v>$G$22</v>
      </c>
      <c r="W6" s="30" t="str">
        <f ca="1">GetEnd($AV$1,V6)</f>
        <v>$G$33</v>
      </c>
      <c r="AF6" s="28"/>
      <c r="AG6" s="103" t="s">
        <v>34</v>
      </c>
      <c r="AH6" s="104">
        <f>GetDelIndexCol($AH$12,$AH$13)</f>
        <v>61</v>
      </c>
      <c r="AI6" s="29"/>
      <c r="AJ6" s="103" t="s">
        <v>79</v>
      </c>
      <c r="AK6" s="104">
        <f>GetLiborCol(AK5)</f>
        <v>4</v>
      </c>
      <c r="AL6" s="34">
        <v>3</v>
      </c>
      <c r="AM6" s="37">
        <f t="shared" si="0"/>
        <v>700</v>
      </c>
      <c r="AN6" s="38">
        <f t="shared" si="1"/>
        <v>6.2199999999999998E-2</v>
      </c>
      <c r="AO6" s="39">
        <f t="shared" si="2"/>
        <v>6.2E-2</v>
      </c>
      <c r="AP6" s="38">
        <f t="shared" si="3"/>
        <v>0</v>
      </c>
      <c r="AQ6" s="38">
        <f t="shared" si="4"/>
        <v>0</v>
      </c>
      <c r="AR6" s="133">
        <f t="shared" si="5"/>
        <v>0</v>
      </c>
      <c r="AS6" s="40" t="str">
        <f t="shared" si="6"/>
        <v>(See LongTerm87 Sheet)</v>
      </c>
      <c r="AT6" s="35">
        <f t="shared" si="7"/>
        <v>1</v>
      </c>
      <c r="AX6" s="339"/>
      <c r="AY6" s="138"/>
    </row>
    <row r="7" spans="1:102" x14ac:dyDescent="0.25">
      <c r="A7" s="269" t="str">
        <f>ADDRESS(ROW($AH$12),COLUMN($AH$12))</f>
        <v>$AH$12</v>
      </c>
      <c r="F7" s="186" t="s">
        <v>25</v>
      </c>
      <c r="G7" s="189">
        <f>GetMonthStart($AH$12,$AH$13,G5)</f>
        <v>37377</v>
      </c>
      <c r="L7" s="706" t="s">
        <v>625</v>
      </c>
      <c r="M7" s="707"/>
      <c r="N7" s="352">
        <f t="array" aca="1" ref="N7" ca="1">SUM((INDIRECT(CONCATENATE(AV7,":",AW7))-INDIRECT(CONCATENATE(AX18,":",AY18)))*INDIRECT(CONCATENATE(AX7,":",AY7))*INDIRECT(CONCATENATE(AV3,":",AW3)))</f>
        <v>0</v>
      </c>
      <c r="O7" s="421">
        <v>748.21</v>
      </c>
      <c r="P7" s="355">
        <f ca="1">N7</f>
        <v>0</v>
      </c>
      <c r="S7" s="428" t="s">
        <v>638</v>
      </c>
      <c r="T7" s="425">
        <f ca="1">T5/T6</f>
        <v>3.2930217541158008E-3</v>
      </c>
      <c r="AF7" s="28"/>
      <c r="AG7" s="103" t="s">
        <v>76</v>
      </c>
      <c r="AH7" s="104">
        <f>GetRcptOmicronCol($AH$12,$AH$13)</f>
        <v>19</v>
      </c>
      <c r="AI7" s="29"/>
      <c r="AJ7" s="103" t="s">
        <v>80</v>
      </c>
      <c r="AK7" s="104" t="str">
        <f>Configuration!$D$8</f>
        <v>Nymex Vol</v>
      </c>
      <c r="AL7" s="34">
        <v>4</v>
      </c>
      <c r="AM7" s="37">
        <f t="shared" si="0"/>
        <v>700</v>
      </c>
      <c r="AN7" s="38">
        <f t="shared" si="1"/>
        <v>6.2199999999999998E-2</v>
      </c>
      <c r="AO7" s="39">
        <f t="shared" si="2"/>
        <v>6.2E-2</v>
      </c>
      <c r="AP7" s="38">
        <f t="shared" si="3"/>
        <v>0</v>
      </c>
      <c r="AQ7" s="38">
        <f t="shared" si="4"/>
        <v>0</v>
      </c>
      <c r="AR7" s="133">
        <f t="shared" si="5"/>
        <v>0</v>
      </c>
      <c r="AS7" s="40" t="str">
        <f t="shared" si="6"/>
        <v>(See LongTerm87 Sheet)</v>
      </c>
      <c r="AT7" s="35">
        <f t="shared" si="7"/>
        <v>1</v>
      </c>
      <c r="AU7" s="361" t="s">
        <v>574</v>
      </c>
      <c r="AV7" s="339" t="str">
        <f>ADDRESS(ROW($AL$22),COLUMN($AL$22))</f>
        <v>$AL$22</v>
      </c>
      <c r="AW7" s="138" t="str">
        <f t="shared" ref="AW7:AW17" ca="1" si="8">GetEnd($AV$1,AV7)</f>
        <v>$AL$33</v>
      </c>
      <c r="AX7" s="339" t="str">
        <f>ADDRESS(ROW($AV$22),COLUMN($AV$22))</f>
        <v>$AV$22</v>
      </c>
      <c r="AY7" s="138" t="str">
        <f t="shared" ref="AY7:AY13" ca="1" si="9">GetEnd($AV$1,AX7)</f>
        <v>$AV$33</v>
      </c>
    </row>
    <row r="8" spans="1:102" x14ac:dyDescent="0.25">
      <c r="A8" s="270" t="s">
        <v>224</v>
      </c>
      <c r="F8" s="186" t="s">
        <v>26</v>
      </c>
      <c r="G8" s="190">
        <f>GetMonthEnd($AH$12,$AH$13)</f>
        <v>37741</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1</v>
      </c>
      <c r="V8" s="30" t="str">
        <f>ADDRESS(ROW(P22),COLUMN(P22))</f>
        <v>$P$22</v>
      </c>
      <c r="W8" s="30" t="str">
        <f ca="1">GetEnd($AV$1,V8)</f>
        <v>$P$33</v>
      </c>
      <c r="Y8" s="334">
        <f ca="1">SUMIF(INDIRECT(CONCATENATE(V8,":",W8)),"&gt;0",INDIRECT(CONCATENATE(V8,":",W8)))</f>
        <v>12</v>
      </c>
      <c r="Z8" s="334">
        <f ca="1">COUNTIF(INDIRECT(CONCATENATE(V8,":",W8)),"&gt;0")</f>
        <v>12</v>
      </c>
      <c r="AF8" s="28"/>
      <c r="AG8" s="103" t="s">
        <v>75</v>
      </c>
      <c r="AH8" s="105">
        <f>GetDelOmicronCol($AH$12,$AH$13)</f>
        <v>19</v>
      </c>
      <c r="AI8" s="29"/>
      <c r="AJ8" s="103" t="s">
        <v>81</v>
      </c>
      <c r="AK8" s="104">
        <f>GetNGOmicronCol(AK7)</f>
        <v>5</v>
      </c>
      <c r="AL8" s="34">
        <v>5</v>
      </c>
      <c r="AM8" s="37">
        <f t="shared" si="0"/>
        <v>700</v>
      </c>
      <c r="AN8" s="38">
        <f t="shared" si="1"/>
        <v>6.2199999999999998E-2</v>
      </c>
      <c r="AO8" s="39">
        <f t="shared" si="2"/>
        <v>6.2E-2</v>
      </c>
      <c r="AP8" s="38">
        <f t="shared" si="3"/>
        <v>0</v>
      </c>
      <c r="AQ8" s="38">
        <f t="shared" si="4"/>
        <v>0</v>
      </c>
      <c r="AR8" s="133">
        <f t="shared" si="5"/>
        <v>0</v>
      </c>
      <c r="AS8" s="40" t="str">
        <f t="shared" si="6"/>
        <v>(See LongTerm87 Sheet)</v>
      </c>
      <c r="AT8" s="35">
        <f t="shared" si="7"/>
        <v>1</v>
      </c>
      <c r="AU8" s="362" t="s">
        <v>575</v>
      </c>
      <c r="AV8" s="339" t="str">
        <f>ADDRESS(ROW($AM$22),COLUMN($AM$22))</f>
        <v>$AM$22</v>
      </c>
      <c r="AW8" s="138" t="str">
        <f t="shared" ca="1" si="8"/>
        <v>$AM$33</v>
      </c>
      <c r="AX8" s="339" t="str">
        <f>ADDRESS(ROW($AO$22),COLUMN($AO$22))</f>
        <v>$AO$22</v>
      </c>
      <c r="AY8" s="138" t="str">
        <f t="shared" ca="1" si="9"/>
        <v>$AO$33</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69</v>
      </c>
      <c r="AL9" s="34">
        <v>6</v>
      </c>
      <c r="AM9" s="37">
        <f t="shared" si="0"/>
        <v>700</v>
      </c>
      <c r="AN9" s="38">
        <f t="shared" si="1"/>
        <v>6.2199999999999998E-2</v>
      </c>
      <c r="AO9" s="39">
        <f t="shared" si="2"/>
        <v>6.2E-2</v>
      </c>
      <c r="AP9" s="38">
        <f t="shared" si="3"/>
        <v>0</v>
      </c>
      <c r="AQ9" s="38">
        <f t="shared" si="4"/>
        <v>0</v>
      </c>
      <c r="AR9" s="133">
        <f t="shared" si="5"/>
        <v>0</v>
      </c>
      <c r="AS9" s="40" t="str">
        <f t="shared" si="6"/>
        <v>(See LongTerm87 Sheet)</v>
      </c>
      <c r="AT9" s="35">
        <f t="shared" si="7"/>
        <v>1</v>
      </c>
      <c r="AU9" s="361" t="s">
        <v>578</v>
      </c>
      <c r="AV9" s="339" t="str">
        <f>ADDRESS(ROW($AN$22),COLUMN($AN$22))</f>
        <v>$AN$22</v>
      </c>
      <c r="AW9" s="138" t="str">
        <f t="shared" ca="1" si="8"/>
        <v>$AN$33</v>
      </c>
      <c r="AX9" s="339" t="str">
        <f>ADDRESS(ROW($AP$22),COLUMN($AP$22))</f>
        <v>$AP$22</v>
      </c>
      <c r="AY9" s="138" t="str">
        <f t="shared" ca="1" si="9"/>
        <v>$AP$33</v>
      </c>
    </row>
    <row r="10" spans="1:102" x14ac:dyDescent="0.25">
      <c r="A10" s="270" t="s">
        <v>224</v>
      </c>
      <c r="D10" s="718" t="s">
        <v>154</v>
      </c>
      <c r="E10" s="719"/>
      <c r="F10" s="719"/>
      <c r="G10" s="719"/>
      <c r="H10" s="720"/>
      <c r="K10" s="29">
        <f>SUMPRODUCT(L22:L33,F22:F33)</f>
        <v>824.13761915372368</v>
      </c>
      <c r="L10" s="706" t="s">
        <v>628</v>
      </c>
      <c r="M10" s="707"/>
      <c r="N10" s="352">
        <f ca="1">-SUMPRODUCT(INDIRECT(CONCATENATE(AV10,":",AW10)),INDIRECT(CONCATENATE($AX$7,":",$AY$7)),INDIRECT(CONCATENATE($AV$3,":",$AW$3)))</f>
        <v>-44936.442814817179</v>
      </c>
      <c r="O10" s="352">
        <v>-44927.86</v>
      </c>
      <c r="P10" s="355">
        <f t="shared" ref="P10:P19" ca="1" si="10">N10-O10</f>
        <v>-8.582814817178587</v>
      </c>
      <c r="AF10" s="28"/>
      <c r="AG10" s="103" t="s">
        <v>142</v>
      </c>
      <c r="AH10" s="119" t="b">
        <f>GetGRIFactor($AH$12,$AH$13)</f>
        <v>1</v>
      </c>
      <c r="AI10" s="29"/>
      <c r="AJ10" s="29"/>
      <c r="AK10" s="29"/>
      <c r="AL10" s="34">
        <v>7</v>
      </c>
      <c r="AM10" s="37">
        <f t="shared" si="0"/>
        <v>700</v>
      </c>
      <c r="AN10" s="38">
        <f t="shared" si="1"/>
        <v>6.2199999999999998E-2</v>
      </c>
      <c r="AO10" s="39">
        <f t="shared" si="2"/>
        <v>6.2E-2</v>
      </c>
      <c r="AP10" s="38">
        <f t="shared" si="3"/>
        <v>0</v>
      </c>
      <c r="AQ10" s="38">
        <f t="shared" si="4"/>
        <v>0</v>
      </c>
      <c r="AR10" s="133">
        <f t="shared" si="5"/>
        <v>0</v>
      </c>
      <c r="AS10" s="40" t="str">
        <f t="shared" si="6"/>
        <v>(See LongTerm87 Sheet)</v>
      </c>
      <c r="AT10" s="35">
        <f t="shared" si="7"/>
        <v>1</v>
      </c>
      <c r="AU10" s="361" t="s">
        <v>577</v>
      </c>
      <c r="AV10" s="339" t="str">
        <f>ADDRESS(ROW($AS$22),COLUMN($AS$22))</f>
        <v>$AS$22</v>
      </c>
      <c r="AW10" s="138" t="str">
        <f t="shared" ca="1" si="8"/>
        <v>$AS$33</v>
      </c>
      <c r="AX10" s="339" t="str">
        <f>ADDRESS(ROW($CC$22),COLUMN($CC$22))</f>
        <v>$CC$22</v>
      </c>
      <c r="AY10" s="138" t="str">
        <f t="shared" ca="1" si="9"/>
        <v>$CC$33</v>
      </c>
    </row>
    <row r="11" spans="1:102" x14ac:dyDescent="0.25">
      <c r="A11" s="270" t="s">
        <v>224</v>
      </c>
      <c r="D11" s="166" t="str">
        <f>IF(ISERROR($AH$13),"Check Contract Index to make sure it is valid","")</f>
        <v/>
      </c>
      <c r="E11" s="167"/>
      <c r="F11" s="168"/>
      <c r="G11" s="168"/>
      <c r="H11" s="169"/>
      <c r="K11" s="29">
        <f>SUMPRODUCT(K22:K33,F22:F33)</f>
        <v>52195.757505626694</v>
      </c>
      <c r="L11" s="704" t="s">
        <v>629</v>
      </c>
      <c r="M11" s="705"/>
      <c r="N11" s="356">
        <f ca="1">-SUMPRODUCT(INDIRECT(CONCATENATE(AV11,":",AW11)),INDIRECT(CONCATENATE($AV$2,":",$AW$2)),INDIRECT(CONCATENATE($AV$3,":",$AW$3)),INDIRECT(CONCATENATE(AX3,":",AY3)))</f>
        <v>-17085.600000000002</v>
      </c>
      <c r="O11" s="357">
        <v>-17085.599999999999</v>
      </c>
      <c r="P11" s="358">
        <f t="shared" ca="1" si="10"/>
        <v>0</v>
      </c>
      <c r="X11" s="734" t="s">
        <v>759</v>
      </c>
      <c r="Y11" s="735"/>
      <c r="AL11" s="34">
        <v>8</v>
      </c>
      <c r="AM11" s="37">
        <f t="shared" si="0"/>
        <v>700</v>
      </c>
      <c r="AN11" s="38">
        <f t="shared" si="1"/>
        <v>6.2199999999999998E-2</v>
      </c>
      <c r="AO11" s="39">
        <f t="shared" si="2"/>
        <v>6.2E-2</v>
      </c>
      <c r="AP11" s="38">
        <f t="shared" si="3"/>
        <v>0</v>
      </c>
      <c r="AQ11" s="38">
        <f t="shared" si="4"/>
        <v>0</v>
      </c>
      <c r="AR11" s="133">
        <f t="shared" si="5"/>
        <v>0</v>
      </c>
      <c r="AS11" s="40" t="str">
        <f t="shared" si="6"/>
        <v>(See LongTerm87 Sheet)</v>
      </c>
      <c r="AT11" s="35">
        <f t="shared" si="7"/>
        <v>1</v>
      </c>
      <c r="AU11" s="361" t="s">
        <v>579</v>
      </c>
      <c r="AV11" s="339" t="str">
        <f>ADDRESS(ROW($AQ$22),COLUMN($AQ$22))</f>
        <v>$AQ$22</v>
      </c>
      <c r="AW11" s="138" t="str">
        <f t="shared" ca="1" si="8"/>
        <v>$AQ$33</v>
      </c>
      <c r="AX11" s="339" t="str">
        <f>ADDRESS(ROW($CD$22),COLUMN($CD$22))</f>
        <v>$CD$22</v>
      </c>
      <c r="AY11" s="138" t="str">
        <f t="shared" ca="1" si="9"/>
        <v>$CD$33</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-704.31</v>
      </c>
      <c r="P12" s="355">
        <f t="shared" ca="1" si="10"/>
        <v>704.31</v>
      </c>
      <c r="X12" s="498" t="s">
        <v>760</v>
      </c>
      <c r="Y12" s="499">
        <v>0.80659999999999998</v>
      </c>
      <c r="AG12" s="248" t="s">
        <v>185</v>
      </c>
      <c r="AH12" s="119" t="str">
        <f>GetDBPage($D$2)</f>
        <v>Contract DB (West)</v>
      </c>
      <c r="AL12" s="34">
        <v>9</v>
      </c>
      <c r="AM12" s="37">
        <f t="shared" si="0"/>
        <v>700</v>
      </c>
      <c r="AN12" s="38">
        <f t="shared" si="1"/>
        <v>6.2199999999999998E-2</v>
      </c>
      <c r="AO12" s="39">
        <f t="shared" si="2"/>
        <v>6.2E-2</v>
      </c>
      <c r="AP12" s="38">
        <f t="shared" si="3"/>
        <v>0</v>
      </c>
      <c r="AQ12" s="38">
        <f t="shared" si="4"/>
        <v>0</v>
      </c>
      <c r="AR12" s="133">
        <f t="shared" si="5"/>
        <v>0</v>
      </c>
      <c r="AS12" s="40" t="str">
        <f t="shared" si="6"/>
        <v>(See LongTerm87 Sheet)</v>
      </c>
      <c r="AT12" s="35">
        <f t="shared" si="7"/>
        <v>1</v>
      </c>
      <c r="AU12" s="361" t="s">
        <v>271</v>
      </c>
      <c r="AV12" s="339" t="str">
        <f>ADDRESS(ROW($X$22),COLUMN($X$22))</f>
        <v>$X$22</v>
      </c>
      <c r="AW12" s="138" t="str">
        <f t="shared" ca="1" si="8"/>
        <v>$X$33</v>
      </c>
      <c r="AX12" s="339" t="str">
        <f>ADDRESS(ROW($CE$22),COLUMN($CE$22))</f>
        <v>$CE$22</v>
      </c>
      <c r="AY12" s="138" t="str">
        <f t="shared" ca="1" si="9"/>
        <v>$CE$33</v>
      </c>
    </row>
    <row r="13" spans="1:102" x14ac:dyDescent="0.25">
      <c r="A13" s="270" t="s">
        <v>224</v>
      </c>
      <c r="D13" s="170"/>
      <c r="E13" s="171"/>
      <c r="F13" s="172"/>
      <c r="G13" s="172"/>
      <c r="H13" s="173"/>
      <c r="L13" s="706" t="s">
        <v>155</v>
      </c>
      <c r="M13" s="707"/>
      <c r="N13" s="352">
        <f t="shared" ca="1" si="11"/>
        <v>0</v>
      </c>
      <c r="O13" s="352">
        <v>0</v>
      </c>
      <c r="P13" s="355">
        <f t="shared" ca="1" si="10"/>
        <v>0</v>
      </c>
      <c r="X13" s="498" t="s">
        <v>761</v>
      </c>
      <c r="AG13" s="248" t="s">
        <v>186</v>
      </c>
      <c r="AH13" s="119">
        <f>GetRecNdx($AH$12,$D$2)</f>
        <v>10</v>
      </c>
      <c r="AL13" s="34">
        <v>10</v>
      </c>
      <c r="AM13" s="37">
        <f t="shared" si="0"/>
        <v>700</v>
      </c>
      <c r="AN13" s="38">
        <f t="shared" si="1"/>
        <v>6.2199999999999998E-2</v>
      </c>
      <c r="AO13" s="39">
        <f t="shared" si="2"/>
        <v>6.2E-2</v>
      </c>
      <c r="AP13" s="38">
        <f t="shared" si="3"/>
        <v>0</v>
      </c>
      <c r="AQ13" s="38">
        <f t="shared" si="4"/>
        <v>0</v>
      </c>
      <c r="AR13" s="133">
        <f t="shared" si="5"/>
        <v>0</v>
      </c>
      <c r="AS13" s="40" t="str">
        <f t="shared" si="6"/>
        <v>(See LongTerm87 Sheet)</v>
      </c>
      <c r="AT13" s="35">
        <f t="shared" si="7"/>
        <v>1</v>
      </c>
      <c r="AU13" s="361" t="s">
        <v>155</v>
      </c>
      <c r="AV13" s="339" t="str">
        <f>ADDRESS(ROW($Y$22),COLUMN($Y$22))</f>
        <v>$Y$22</v>
      </c>
      <c r="AW13" s="138" t="str">
        <f t="shared" ca="1" si="8"/>
        <v>$Y$33</v>
      </c>
      <c r="AX13" s="339" t="str">
        <f>ADDRESS(ROW($CF$22),COLUMN($CF$22))</f>
        <v>$CF$22</v>
      </c>
      <c r="AY13" s="138" t="str">
        <f t="shared" ca="1" si="9"/>
        <v>$CF$33</v>
      </c>
    </row>
    <row r="14" spans="1:102" x14ac:dyDescent="0.25">
      <c r="A14" s="270" t="s">
        <v>224</v>
      </c>
      <c r="D14" s="170"/>
      <c r="E14" s="171"/>
      <c r="F14" s="172"/>
      <c r="G14" s="172"/>
      <c r="H14" s="173"/>
      <c r="K14" s="185"/>
      <c r="L14" s="706" t="s">
        <v>156</v>
      </c>
      <c r="M14" s="707"/>
      <c r="N14" s="352">
        <f t="shared" ca="1" si="11"/>
        <v>4.5650259678533995</v>
      </c>
      <c r="O14" s="352">
        <v>1.49</v>
      </c>
      <c r="P14" s="355">
        <f t="shared" ca="1" si="10"/>
        <v>3.0750259678533993</v>
      </c>
      <c r="S14" s="181">
        <f>F22/(1-AR22)*AH22*AU22</f>
        <v>22949.946066633685</v>
      </c>
      <c r="T14" s="181">
        <f>F22*AH22*AU22</f>
        <v>21527.049410502394</v>
      </c>
      <c r="X14" s="500" t="s">
        <v>762</v>
      </c>
      <c r="Y14" s="501" t="s">
        <v>763</v>
      </c>
      <c r="AL14" s="34">
        <v>11</v>
      </c>
      <c r="AM14" s="37">
        <f t="shared" si="0"/>
        <v>700</v>
      </c>
      <c r="AN14" s="38">
        <f t="shared" si="1"/>
        <v>6.2199999999999998E-2</v>
      </c>
      <c r="AO14" s="39">
        <f t="shared" si="2"/>
        <v>6.2E-2</v>
      </c>
      <c r="AP14" s="38">
        <f t="shared" si="3"/>
        <v>0</v>
      </c>
      <c r="AQ14" s="38">
        <f t="shared" si="4"/>
        <v>0</v>
      </c>
      <c r="AR14" s="133">
        <f t="shared" si="5"/>
        <v>0</v>
      </c>
      <c r="AS14" s="40" t="str">
        <f t="shared" si="6"/>
        <v>(See LongTerm87 Sheet)</v>
      </c>
      <c r="AT14" s="35">
        <f t="shared" si="7"/>
        <v>1</v>
      </c>
      <c r="AU14" s="361" t="s">
        <v>156</v>
      </c>
      <c r="AV14" s="339" t="str">
        <f>ADDRESS(ROW($Z$22),COLUMN($Z$22))</f>
        <v>$Z$22</v>
      </c>
      <c r="AW14" s="138" t="str">
        <f t="shared" ca="1" si="8"/>
        <v>$Z$33</v>
      </c>
      <c r="AX14" s="353" t="str">
        <f ca="1">CONCATENATE(AX8,":",AY8)</f>
        <v>$AO$22:$AO$33</v>
      </c>
      <c r="AY14" s="353" t="str">
        <f ca="1">CONCATENATE(AX10,":",AY10)</f>
        <v>$CC$22:$CC$33</v>
      </c>
    </row>
    <row r="15" spans="1:102" ht="13.8" thickBot="1" x14ac:dyDescent="0.3">
      <c r="A15" s="270" t="s">
        <v>224</v>
      </c>
      <c r="D15" s="170"/>
      <c r="E15" s="171"/>
      <c r="F15" s="172"/>
      <c r="G15" s="172"/>
      <c r="H15" s="173"/>
      <c r="L15" s="706" t="s">
        <v>157</v>
      </c>
      <c r="M15" s="707"/>
      <c r="N15" s="352">
        <f t="shared" ca="1" si="11"/>
        <v>0.56687432741460009</v>
      </c>
      <c r="O15" s="352">
        <v>14.91</v>
      </c>
      <c r="P15" s="355">
        <f t="shared" ca="1" si="10"/>
        <v>-14.343125672585399</v>
      </c>
      <c r="X15" s="502">
        <v>2001</v>
      </c>
      <c r="Y15" s="503">
        <v>3.0000000000000001E-3</v>
      </c>
      <c r="AL15" s="34">
        <v>12</v>
      </c>
      <c r="AM15" s="41">
        <f t="shared" si="0"/>
        <v>700</v>
      </c>
      <c r="AN15" s="42">
        <f t="shared" si="1"/>
        <v>6.2199999999999998E-2</v>
      </c>
      <c r="AO15" s="43">
        <f t="shared" si="2"/>
        <v>6.2E-2</v>
      </c>
      <c r="AP15" s="42">
        <f t="shared" si="3"/>
        <v>0</v>
      </c>
      <c r="AQ15" s="42">
        <f t="shared" si="4"/>
        <v>0</v>
      </c>
      <c r="AR15" s="134">
        <f t="shared" si="5"/>
        <v>0</v>
      </c>
      <c r="AS15" s="44" t="str">
        <f t="shared" si="6"/>
        <v>(See LongTerm87 Sheet)</v>
      </c>
      <c r="AT15" s="35">
        <f t="shared" si="7"/>
        <v>1</v>
      </c>
      <c r="AU15" s="363" t="s">
        <v>157</v>
      </c>
      <c r="AV15" s="339" t="str">
        <f>ADDRESS(ROW($AA$22),COLUMN($AA$22))</f>
        <v>$AA$22</v>
      </c>
      <c r="AW15" s="138" t="str">
        <f t="shared" ca="1" si="8"/>
        <v>$AA$33</v>
      </c>
      <c r="AX15" s="353" t="str">
        <f ca="1">CONCATENATE(AV8,":",AW8)</f>
        <v>$AM$22:$AM$33</v>
      </c>
      <c r="AY15" s="353" t="str">
        <f ca="1">CONCATENATE(AX11,":",AY11)</f>
        <v>$CD$22:$CD$33</v>
      </c>
    </row>
    <row r="16" spans="1:102" x14ac:dyDescent="0.25">
      <c r="D16" s="174"/>
      <c r="E16" s="175"/>
      <c r="F16" s="176"/>
      <c r="G16" s="176"/>
      <c r="H16" s="177"/>
      <c r="L16" s="706" t="s">
        <v>158</v>
      </c>
      <c r="M16" s="707"/>
      <c r="N16" s="352">
        <f t="shared" ca="1" si="11"/>
        <v>0</v>
      </c>
      <c r="O16" s="352">
        <v>49.76</v>
      </c>
      <c r="P16" s="355">
        <f t="shared" ca="1" si="10"/>
        <v>-49.76</v>
      </c>
      <c r="X16" s="502">
        <v>2002</v>
      </c>
      <c r="Y16" s="503">
        <v>2E-3</v>
      </c>
      <c r="AU16" s="361" t="s">
        <v>158</v>
      </c>
      <c r="AV16" s="339" t="str">
        <f>ADDRESS(ROW($AB$22),COLUMN($AB$22))</f>
        <v>$AB$22</v>
      </c>
      <c r="AW16" s="138" t="str">
        <f t="shared" ca="1" si="8"/>
        <v>$AB$33</v>
      </c>
      <c r="AX16" s="353" t="str">
        <f ca="1">CONCATENATE(AX9,":",AY9)</f>
        <v>$AP$22:$AP$33</v>
      </c>
      <c r="AY16" s="353" t="str">
        <f ca="1">CONCATENATE(AX12,":",AY12)</f>
        <v>$CE$22:$CE$33</v>
      </c>
    </row>
    <row r="17" spans="1:91" x14ac:dyDescent="0.25">
      <c r="D17" s="171"/>
      <c r="E17" s="171"/>
      <c r="F17" s="172"/>
      <c r="G17" s="172"/>
      <c r="H17" s="172"/>
      <c r="L17" s="704" t="s">
        <v>211</v>
      </c>
      <c r="M17" s="705"/>
      <c r="N17" s="356">
        <f t="shared" ca="1" si="11"/>
        <v>9.6804125041396816</v>
      </c>
      <c r="O17" s="357">
        <v>3.22</v>
      </c>
      <c r="P17" s="358">
        <f t="shared" ca="1" si="10"/>
        <v>6.4604125041396809</v>
      </c>
      <c r="X17" s="504">
        <v>2003</v>
      </c>
      <c r="Y17" s="505">
        <v>1.6000000000000001E-3</v>
      </c>
      <c r="AU17" s="361" t="s">
        <v>211</v>
      </c>
      <c r="AV17" s="339" t="str">
        <f>ADDRESS(ROW($AC$22),COLUMN($AC$22))</f>
        <v>$AC$22</v>
      </c>
      <c r="AW17" s="138" t="str">
        <f t="shared" ca="1" si="8"/>
        <v>$AC$33</v>
      </c>
      <c r="AX17" s="353" t="str">
        <f ca="1">CONCATENATE(AV9,":",AW9)</f>
        <v>$AN$22:$AN$33</v>
      </c>
      <c r="AY17" s="353" t="str">
        <f ca="1">CONCATENATE(AX13,":",AY13)</f>
        <v>$CF$22:$CF$33</v>
      </c>
    </row>
    <row r="18" spans="1:91" x14ac:dyDescent="0.25">
      <c r="D18" s="171"/>
      <c r="E18" s="171"/>
      <c r="F18" s="172"/>
      <c r="G18" s="172"/>
      <c r="H18" s="172"/>
      <c r="L18" s="706" t="s">
        <v>623</v>
      </c>
      <c r="M18" s="707"/>
      <c r="N18" s="352">
        <f ca="1">SUMPRODUCT(INDIRECT(CONCATENATE(AX4,":",AY4)),INDIRECT(CONCATENATE($AV$2,":",$AW$2)),INDIRECT(CONCATENATE($AV$3,":",$AW$3)))</f>
        <v>52195.757505626694</v>
      </c>
      <c r="O18" s="352">
        <v>52186.3</v>
      </c>
      <c r="P18" s="355">
        <f t="shared" ca="1" si="10"/>
        <v>9.4575056266912725</v>
      </c>
      <c r="AU18" s="361"/>
      <c r="AV18" s="339"/>
      <c r="AW18" s="138"/>
      <c r="AX18" s="339" t="str">
        <f>ADDRESS(ROW($CI$22),COLUMN($CI$22))</f>
        <v>$CI$22</v>
      </c>
      <c r="AY18" s="138" t="str">
        <f ca="1">GetEnd($AV$1,AX18)</f>
        <v>$CI$33</v>
      </c>
    </row>
    <row r="19" spans="1:91" x14ac:dyDescent="0.25">
      <c r="D19" s="171"/>
      <c r="E19" s="171"/>
      <c r="F19" s="172"/>
      <c r="G19" s="172"/>
      <c r="H19" s="172"/>
      <c r="L19" s="724" t="s">
        <v>624</v>
      </c>
      <c r="M19" s="725"/>
      <c r="N19" s="359">
        <f ca="1">SUMPRODUCT(INDIRECT(CONCATENATE(AX5,":",AY5)),INDIRECT(CONCATENATE($AV$2,":",$AW$2)),INDIRECT(CONCATENATE($AV$3,":",$AW$3)))</f>
        <v>824.13761915372368</v>
      </c>
      <c r="O19" s="359">
        <v>828.48</v>
      </c>
      <c r="P19" s="360">
        <f t="shared" ca="1" si="10"/>
        <v>-4.3423808462763418</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IF-NWPL_ROCKY_M Basis Mid</v>
      </c>
      <c r="T20" s="182" t="str">
        <f>GetDelBasis($AH$12,$AH$13)</f>
        <v>NGI-SOCAL Basis Mid</v>
      </c>
      <c r="U20" s="158"/>
      <c r="V20" s="158"/>
      <c r="W20" s="158"/>
      <c r="X20" s="158"/>
      <c r="Y20" s="335"/>
      <c r="Z20" s="335"/>
      <c r="AA20" s="335"/>
      <c r="AB20" s="335"/>
      <c r="AC20" s="335"/>
      <c r="AI20" s="138"/>
      <c r="AM20" s="702" t="str">
        <f>GetRcptPoint($AH$12,$AH$13)</f>
        <v>NWPL Rockies</v>
      </c>
      <c r="AN20" s="703"/>
      <c r="AO20" s="702" t="str">
        <f>GetDelPoint($AH$12,$AH$13)</f>
        <v>Socal</v>
      </c>
      <c r="AP20" s="703"/>
      <c r="AQ20" s="137"/>
      <c r="AS20" s="137"/>
      <c r="AU20" s="136" t="s">
        <v>576</v>
      </c>
      <c r="AV20" s="353">
        <f ca="1">SUMPRODUCT(INDIRECT(CONCATENATE(AV8,":",AW8)),INDIRECT(CONCATENATE($AV$2,":",$AW$2)),INDIRECT(CONCATENATE($AV$3,":",$AW$3)),INDIRECT(CONCATENATE(AX3,":",AY3)))</f>
        <v>-109406.5</v>
      </c>
      <c r="AW20" s="353">
        <f ca="1">SUMPRODUCT(INDIRECT(CONCATENATE(AX8,":",AY8)),INDIRECT(CONCATENATE($AV$2,":",$AW$2)),INDIRECT(CONCATENATE($AV$3,":",$AW$3)),INDIRECT(CONCATENATE(AX3,":",AY3)))</f>
        <v>11186</v>
      </c>
      <c r="AX20" s="353">
        <f ca="1">SUMPRODUCT(INDIRECT(CONCATENATE(AV9,":",AW9)),INDIRECT(CONCATENATE($AV$2,":",$AW$2)),INDIRECT(CONCATENATE($AV$3,":",$AW$3)),INDIRECT(CONCATENATE(AX3,":",AY3)))</f>
        <v>5482.75</v>
      </c>
      <c r="AY20" s="353">
        <f ca="1">SUMPRODUCT(INDIRECT(CONCATENATE(AX9,":",AY9)),INDIRECT(CONCATENATE($AV$2,":",$AW$2)),INDIRECT(CONCATENATE($AV$3,":",$AW$3)),INDIRECT(CONCATENATE(AX3,":",AY3)))</f>
        <v>1246</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37391</v>
      </c>
      <c r="F22" s="28">
        <f t="shared" ref="F22:F33" si="12">VLOOKUP(AG22,$AL$4:$AS$15,2)</f>
        <v>700</v>
      </c>
      <c r="G22" s="28">
        <f t="shared" ref="G22:G33" si="13">F22*$AU22</f>
        <v>694.4209487258837</v>
      </c>
      <c r="H22" s="52">
        <f t="shared" ref="H22:H33" si="14">(AL22+AM22+AN22)/(1-(AR22))</f>
        <v>2.5437100213219614</v>
      </c>
      <c r="I22" s="52">
        <f t="shared" ref="I22:I33" si="15">(AL22+AO22+AP22)</f>
        <v>2.8160000000000003</v>
      </c>
      <c r="K22" s="52">
        <f t="shared" ref="K22:K33" si="16">MAX(((I22-H22)-AQ22)*AU22*AH22,0)</f>
        <v>6.3071172922871783</v>
      </c>
      <c r="L22" s="135">
        <f t="shared" ref="L22:L33" si="17">MAX(Q22-K22,0)</f>
        <v>5.4362691780163175E-5</v>
      </c>
      <c r="N22" s="131">
        <f t="shared" ref="N22:N33" si="18">SQRT(($AX22^2*($AH22/2)+$AW22^2*$AI22)/(($AH22/2)+$AI22))</f>
        <v>0.60151273173988828</v>
      </c>
      <c r="O22" s="131">
        <f t="shared" ref="O22:O33" si="19">SQRT(($AY22^2*($AH22/2)+$AW22^2*$AI22)/(($AH22/2)+$AI22))</f>
        <v>0.60151273173988828</v>
      </c>
      <c r="P22" s="55">
        <f t="shared" ref="P22:P33" si="20">(VLOOKUP(AI22,CorrelationTwo,2)*(AW22^2)*AI22+VLOOKUP(D22,CorrelationOne,$AK$9)*AX22*AY22*(AH22/2))/((AI22+(AH22/2))*O22*N22)*AF22</f>
        <v>0.99999999999999978</v>
      </c>
      <c r="Q22" s="135">
        <f>_xll.xSPRDOPT(I22,H22,AQ22,0,O22,N22,P22,D22-$G$5,1,0)*AH22*AU22</f>
        <v>6.3071716549789585</v>
      </c>
      <c r="R22" s="135"/>
      <c r="S22" s="181">
        <f>_xll.xSPRDOPT(I22,H22,AQ22,AT22,O22,N22,P22,D22-$G$5,1,2)*AF22*(F22/(1-AR22))*AH22</f>
        <v>-22947.64278552595</v>
      </c>
      <c r="T22" s="181">
        <f>_xll.xSPRDOPT(I22,H22,AQ22,AT22,O22,N22,P22,D22-$G$5,1,1)*AF22*F22*AH22</f>
        <v>21524.888932823338</v>
      </c>
      <c r="U22" s="135"/>
      <c r="V22" s="146">
        <f>($Y$12+VLOOKUP(YEAR(D22),$X$15:$Y$17,2,FALSE))*AH22*AU22</f>
        <v>24.866817361903195</v>
      </c>
      <c r="W22" s="146"/>
      <c r="X22" s="338">
        <f t="shared" ref="X22:X33" si="21">((BM22*BC22)+(BL22*BB22))*AH22*F22</f>
        <v>0</v>
      </c>
      <c r="Y22" s="338">
        <f t="shared" ref="Y22:Y33" si="22">($F22*$AH22)*((($BG22/2)*($BC22)^2)+(($BF22/2)*($BB22)^2)+($BH22*$BC22*$BB22))</f>
        <v>0</v>
      </c>
      <c r="Z22" s="338">
        <f t="shared" ref="Z22:Z33" si="23">($BI22*$F22*$AH22*($G$5-$BV$5))/365.25</f>
        <v>0.70568905189871478</v>
      </c>
      <c r="AA22" s="338">
        <f t="shared" ref="AA22:AA33" si="24">(($BK22*$BE22)+($BJ22*$BD22))*$F22*$AH22*$AF22</f>
        <v>4.2815918054962414E-4</v>
      </c>
      <c r="AB22" s="338">
        <f t="shared" ref="AB22:AB33" si="25">BN22*(AT22-CA22)*F22*AH22</f>
        <v>0</v>
      </c>
      <c r="AC22" s="338">
        <f t="shared" ref="AC22:AC33" si="26">BO22*CB22*F22*AH22*CA22*($G$5-$BV$5)/365.25</f>
        <v>0.71470770445594078</v>
      </c>
      <c r="AF22" s="138">
        <f t="shared" ref="AF22:AF33" si="27">IF(AND(D22&gt;=$G$7,D22&lt;=$G$8),1,0)</f>
        <v>1</v>
      </c>
      <c r="AG22" s="138">
        <f t="shared" ref="AG22:AG33" si="28">MONTH(D22)</f>
        <v>5</v>
      </c>
      <c r="AH22" s="138">
        <f t="shared" ref="AH22:AH33" si="29">(EOMONTH(D22,0)-EOMONTH(D22-DAY(D22),0))*AF22</f>
        <v>31</v>
      </c>
      <c r="AI22" s="138">
        <f>MAX(0,(D22-DAY(D22))-$G$5+1)</f>
        <v>135</v>
      </c>
      <c r="AJ22" s="138">
        <f t="shared" ref="AJ22:AJ33" si="30">D22-$BV$5</f>
        <v>152</v>
      </c>
      <c r="AL22" s="136">
        <f t="shared" ref="AL22:AL33" si="31">VLOOKUP($D22,CurveTbl,$AK$4)</f>
        <v>2.8959999999999999</v>
      </c>
      <c r="AM22" s="258">
        <f t="shared" ref="AM22:AM33" si="32">VLOOKUP($D22,CurveTbl,$AH$3)</f>
        <v>-0.53</v>
      </c>
      <c r="AN22" s="258">
        <f t="shared" ref="AN22:AN33" si="33">VLOOKUP($D22,CurveTbl,$AH$4)+VLOOKUP($AG22,$AL$3:$AS$15,6)</f>
        <v>0.02</v>
      </c>
      <c r="AO22" s="258">
        <f t="shared" ref="AO22:AO33" si="34">VLOOKUP($D22,CurveTbl,$AH$5)</f>
        <v>-7.0000000000000007E-2</v>
      </c>
      <c r="AP22" s="258">
        <f t="shared" ref="AP22:AP33" si="35">VLOOKUP($D22,CurveTbl,$AH$6)+VLOOKUP($AG22,$AL$3:$AS$15,7)</f>
        <v>-0.01</v>
      </c>
      <c r="AQ22" s="136">
        <f t="shared" ref="AQ22:AQ33" si="36">VLOOKUP($AG22,$AL$4:$AS$15,3)+VLOOKUP($AG22,$AL$4:$AS$15,5)+($AH$10*VLOOKUP(D22,GRITable,2))</f>
        <v>6.7199999999999996E-2</v>
      </c>
      <c r="AR22" s="137">
        <f t="shared" ref="AR22:AR33" si="37">VLOOKUP($AG22,$AL$4:$AS$15,4)</f>
        <v>6.2E-2</v>
      </c>
      <c r="AS22" s="136">
        <f t="shared" ref="AS22:AS33" si="38">(AL22+AM22+AN22)</f>
        <v>2.3859999999999997</v>
      </c>
      <c r="AT22" s="137">
        <f t="shared" ref="AT22:AT33" si="39">VLOOKUP(D22,CurveTbl,$AK$6)</f>
        <v>1.9712159578257001E-2</v>
      </c>
      <c r="AU22" s="137">
        <f t="shared" ref="AU22:AU33" si="40">(1+$AT22/2)^(-2*($D22-$G$5)/365.25)*$AF22</f>
        <v>0.99202992675126245</v>
      </c>
      <c r="AV22" s="394">
        <f t="shared" ref="AV22:AV33" si="41">ROUND((F22/(1-AR22))-F22,0)*AF22*AH22*AU22</f>
        <v>1414.6346755473003</v>
      </c>
      <c r="AW22" s="137">
        <f t="shared" ref="AW22:AW33" si="42">VLOOKUP($D22,CurveTbl,$AK$8)</f>
        <v>0.57750000000000001</v>
      </c>
      <c r="AX22" s="137">
        <f t="shared" ref="AX22:AX33" si="43">VLOOKUP($D22,CurveTbl,$AH$7)</f>
        <v>0.78</v>
      </c>
      <c r="AY22" s="137">
        <f t="shared" ref="AY22:AY33" si="44">VLOOKUP($D22,CurveTbl,$AH$8)</f>
        <v>0.78</v>
      </c>
      <c r="AZ22" s="137"/>
      <c r="BA22" s="264"/>
      <c r="BB22" s="258">
        <f t="shared" ref="BB22:BB33" si="45">$H22-$BV22</f>
        <v>0</v>
      </c>
      <c r="BC22" s="258">
        <f t="shared" ref="BC22:BC33" si="46">I22-BW22</f>
        <v>0</v>
      </c>
      <c r="BD22" s="137">
        <f t="shared" ref="BD22:BD33" si="47">N22-BX22</f>
        <v>4.6011273358848026E-4</v>
      </c>
      <c r="BE22" s="137">
        <f t="shared" ref="BE22:BE33" si="48">O22-BY22</f>
        <v>4.6011273358848026E-4</v>
      </c>
      <c r="BF22" s="137">
        <f>_xll.xSPRDOPT($BW22,$BV22,$CG22,0,$BY22,$BX22,$BZ22,$AJ22,1,4)*$CB22</f>
        <v>-2.3648026217035498E-7</v>
      </c>
      <c r="BG22" s="137">
        <f>_xll.xSPRDOPT($BW22,$BV22,$CG22,0,$BY22,$BX22,$BZ22,$AJ22,1,3)*$CB22</f>
        <v>1.1824013108517749E-7</v>
      </c>
      <c r="BH22" s="137">
        <f>IF(OR(BF22&lt;&gt;0,BG22&lt;&gt;0),_xll.xSPRDOPT($BW22,$BV22,$CG22,0,$BY22,$BX22,$BZ22,$AJ22,1,12)*$CB22,0)</f>
        <v>-2.0692022939906061E-7</v>
      </c>
      <c r="BI22" s="137">
        <f>_xll.xSPRDOPT($BW22,$BV22,$CG22,2*LN(1+CA22/2),$BY22,$BX22,$BZ22,$AJ22,1,9)</f>
        <v>3.9593383441782724E-3</v>
      </c>
      <c r="BJ22" s="137">
        <f>_xll.xSPRDOPT($BW22,$BV22,$CG22,0,$BY22,$BX22,$BZ22,$AJ22,1,6)*$CB22</f>
        <v>-4.0060573079942564E-4</v>
      </c>
      <c r="BK22" s="137">
        <f>_xll.xSPRDOPT($BW22,$BV22,$CG22,0,$BY22,$BX22,$BZ22,$AJ22,1,5)*$CB22</f>
        <v>4.4348834710839695E-4</v>
      </c>
      <c r="BL22" s="137">
        <f>_xll.xSPRDOPT(BW22,BV22,CG22,0,BY22,BX22,BZ22,AJ22,1,2)*CB22</f>
        <v>-0.99181048391914717</v>
      </c>
      <c r="BM22" s="137">
        <f>_xll.xSPRDOPT(BW22,BV22,CG22,0,BY22,BX22,BZ22,AJ22,1,1)*CB22</f>
        <v>0.99181048391914717</v>
      </c>
      <c r="BN22" s="137">
        <f>IF(AH22&lt;&gt;0,_xll.xSPRDOPT($BW22,$BV22,$CG22,2*LN(1+CA22/2),$BY22,$BX22,$BZ22,$AJ22,1,8)+(AJ22/365.25)*CH22/AH22,0)</f>
        <v>0.24911002629402662</v>
      </c>
      <c r="BO22" s="137">
        <f>_xll.xSPRDOPT($BW22,$BV22,$CG22,0,$BY22,$BX22,$BZ22,$AJ22,1,0)</f>
        <v>0.20509198606222828</v>
      </c>
      <c r="BP22" s="137"/>
      <c r="BQ22" s="137"/>
      <c r="BR22" s="137"/>
      <c r="BS22" s="137"/>
      <c r="BV22" s="262">
        <v>2.5437100213219614</v>
      </c>
      <c r="BW22" s="136">
        <v>2.8160000000000003</v>
      </c>
      <c r="BX22" s="137">
        <v>0.6010526190062998</v>
      </c>
      <c r="BY22" s="137">
        <v>0.6010526190062998</v>
      </c>
      <c r="BZ22" s="137">
        <v>1</v>
      </c>
      <c r="CA22" s="137">
        <v>1.9712159578257001E-2</v>
      </c>
      <c r="CB22" s="137">
        <v>0.99187010954216859</v>
      </c>
      <c r="CC22" s="258">
        <v>-0.53</v>
      </c>
      <c r="CD22" s="258">
        <v>0.02</v>
      </c>
      <c r="CE22" s="258">
        <v>-7.0000000000000007E-2</v>
      </c>
      <c r="CF22" s="258">
        <v>-0.01</v>
      </c>
      <c r="CG22" s="258">
        <v>6.7199999999999996E-2</v>
      </c>
      <c r="CH22" s="258">
        <v>24.862811287849723</v>
      </c>
      <c r="CI22" s="258">
        <v>2.8959999999999999</v>
      </c>
      <c r="CJ22" s="258"/>
      <c r="CK22" s="258"/>
      <c r="CL22" s="258"/>
      <c r="CM22" s="258"/>
    </row>
    <row r="23" spans="1:91" x14ac:dyDescent="0.25">
      <c r="A23" s="723"/>
      <c r="B23" s="723"/>
      <c r="D23" s="31">
        <f t="shared" ref="D23:D33" si="49">D22+AH22</f>
        <v>37422</v>
      </c>
      <c r="F23" s="28">
        <f t="shared" si="12"/>
        <v>700</v>
      </c>
      <c r="G23" s="28">
        <f t="shared" si="13"/>
        <v>693.16460711619209</v>
      </c>
      <c r="H23" s="52">
        <f t="shared" si="14"/>
        <v>2.5970149253731347</v>
      </c>
      <c r="I23" s="52">
        <f t="shared" si="15"/>
        <v>2.8860000000000006</v>
      </c>
      <c r="K23" s="52">
        <f t="shared" si="16"/>
        <v>6.5885813193414355</v>
      </c>
      <c r="L23" s="135">
        <f t="shared" si="17"/>
        <v>7.2538614969808179E-5</v>
      </c>
      <c r="N23" s="131">
        <f t="shared" si="18"/>
        <v>0.58231552220708915</v>
      </c>
      <c r="O23" s="131">
        <f t="shared" si="19"/>
        <v>0.58231552220708915</v>
      </c>
      <c r="P23" s="55">
        <f t="shared" si="20"/>
        <v>1</v>
      </c>
      <c r="Q23" s="135">
        <f>_xll.xSPRDOPT(I23,H23,AQ23,0,O23,N23,P23,D23-$G$5,1,0)*AH23*AU23</f>
        <v>6.5886538579564053</v>
      </c>
      <c r="R23" s="135"/>
      <c r="S23" s="181">
        <f>_xll.xSPRDOPT(I23,H23,AQ23,AT23,O23,N23,P23,D23-$G$5,1,2)*AF23*(F23/(1-AR23))*AH23</f>
        <v>-22167.134891726924</v>
      </c>
      <c r="T23" s="181">
        <f>_xll.xSPRDOPT(I23,H23,AQ23,AT23,O23,N23,P23,D23-$G$5,1,1)*AF23*F23*AH23</f>
        <v>20792.772528296609</v>
      </c>
      <c r="U23" s="135"/>
      <c r="V23" s="146">
        <f t="shared" ref="V23:V33" si="50">($Y$12+VLOOKUP(YEAR(D23),$X$15:$Y$17,2,FALSE))*AH23*AU23</f>
        <v>24.021124342035126</v>
      </c>
      <c r="W23" s="146"/>
      <c r="X23" s="338">
        <f t="shared" si="21"/>
        <v>0</v>
      </c>
      <c r="Y23" s="338">
        <f t="shared" si="22"/>
        <v>0</v>
      </c>
      <c r="Z23" s="338">
        <f t="shared" si="23"/>
        <v>0.74961854617447699</v>
      </c>
      <c r="AA23" s="338">
        <f t="shared" si="24"/>
        <v>5.2547386405194288E-4</v>
      </c>
      <c r="AB23" s="338">
        <f t="shared" si="25"/>
        <v>0</v>
      </c>
      <c r="AC23" s="338">
        <f t="shared" si="26"/>
        <v>0.75793343448201533</v>
      </c>
      <c r="AF23" s="138">
        <f t="shared" si="27"/>
        <v>1</v>
      </c>
      <c r="AG23" s="138">
        <f t="shared" si="28"/>
        <v>6</v>
      </c>
      <c r="AH23" s="138">
        <f t="shared" si="29"/>
        <v>30</v>
      </c>
      <c r="AI23" s="138">
        <f t="shared" ref="AI23:AI33" si="51">AI22+AH22</f>
        <v>166</v>
      </c>
      <c r="AJ23" s="138">
        <f t="shared" si="30"/>
        <v>183</v>
      </c>
      <c r="AL23" s="136">
        <f t="shared" si="31"/>
        <v>2.9460000000000002</v>
      </c>
      <c r="AM23" s="258">
        <f t="shared" si="32"/>
        <v>-0.53</v>
      </c>
      <c r="AN23" s="258">
        <f t="shared" si="33"/>
        <v>0.02</v>
      </c>
      <c r="AO23" s="258">
        <f t="shared" si="34"/>
        <v>-0.05</v>
      </c>
      <c r="AP23" s="258">
        <f t="shared" si="35"/>
        <v>-0.01</v>
      </c>
      <c r="AQ23" s="136">
        <f t="shared" si="36"/>
        <v>6.7199999999999996E-2</v>
      </c>
      <c r="AR23" s="137">
        <f t="shared" si="37"/>
        <v>6.2E-2</v>
      </c>
      <c r="AS23" s="136">
        <f t="shared" si="38"/>
        <v>2.4360000000000004</v>
      </c>
      <c r="AT23" s="137">
        <f t="shared" si="39"/>
        <v>2.0011329715354399E-2</v>
      </c>
      <c r="AU23" s="137">
        <f t="shared" si="40"/>
        <v>0.99023515302313159</v>
      </c>
      <c r="AV23" s="394">
        <f t="shared" si="41"/>
        <v>1366.5245111719216</v>
      </c>
      <c r="AW23" s="137">
        <f t="shared" si="42"/>
        <v>0.54749999999999999</v>
      </c>
      <c r="AX23" s="137">
        <f t="shared" si="43"/>
        <v>0.88</v>
      </c>
      <c r="AY23" s="137">
        <f t="shared" si="44"/>
        <v>0.88</v>
      </c>
      <c r="AZ23" s="137"/>
      <c r="BA23" s="264"/>
      <c r="BB23" s="258">
        <f t="shared" si="45"/>
        <v>0</v>
      </c>
      <c r="BC23" s="258">
        <f t="shared" si="46"/>
        <v>0</v>
      </c>
      <c r="BD23" s="137">
        <f t="shared" si="47"/>
        <v>5.509358258010133E-4</v>
      </c>
      <c r="BE23" s="137">
        <f t="shared" si="48"/>
        <v>5.509358258010133E-4</v>
      </c>
      <c r="BF23" s="137">
        <f>_xll.xSPRDOPT($BW23,$BV23,$CG23,0,$BY23,$BX23,$BZ23,$AJ23,1,4)*$CB23</f>
        <v>5.9012962342328848E-7</v>
      </c>
      <c r="BG23" s="137">
        <f>_xll.xSPRDOPT($BW23,$BV23,$CG23,0,$BY23,$BX23,$BZ23,$AJ23,1,3)*$CB23</f>
        <v>1.7703888702698654E-7</v>
      </c>
      <c r="BH23" s="137">
        <f>IF(OR(BF23&lt;&gt;0,BG23&lt;&gt;0),_xll.xSPRDOPT($BW23,$BV23,$CG23,0,$BY23,$BX23,$BZ23,$AJ23,1,12)*$CB23,0)</f>
        <v>-1.4753240585582212E-7</v>
      </c>
      <c r="BI23" s="137">
        <f>_xll.xSPRDOPT($BW23,$BV23,$CG23,2*LN(1+CA23/2),$BY23,$BX23,$BZ23,$AJ23,1,9)</f>
        <v>4.3460027617496467E-3</v>
      </c>
      <c r="BJ23" s="137">
        <f>_xll.xSPRDOPT($BW23,$BV23,$CG23,0,$BY23,$BX23,$BZ23,$AJ23,1,6)*$CB23</f>
        <v>-4.0815939063350276E-4</v>
      </c>
      <c r="BK23" s="137">
        <f>_xll.xSPRDOPT($BW23,$BV23,$CG23,0,$BY23,$BX23,$BZ23,$AJ23,1,5)*$CB23</f>
        <v>4.5357768398640602E-4</v>
      </c>
      <c r="BL23" s="137">
        <f>_xll.xSPRDOPT(BW23,BV23,CG23,0,BY23,BX23,BZ23,AJ23,1,2)*CB23</f>
        <v>-0.990019295723227</v>
      </c>
      <c r="BM23" s="137">
        <f>_xll.xSPRDOPT(BW23,BV23,CG23,0,BY23,BX23,BZ23,AJ23,1,1)*CB23</f>
        <v>0.99001929571692371</v>
      </c>
      <c r="BN23" s="137">
        <f>IF(AH23&lt;&gt;0,_xll.xSPRDOPT($BW23,$BV23,$CG23,2*LN(1+CA23/2),$BY23,$BX23,$BZ23,$AJ23,1,8)+(AJ23/365.25)*CH23/AH23,0)</f>
        <v>0.29109006053960751</v>
      </c>
      <c r="BO23" s="137">
        <f>_xll.xSPRDOPT($BW23,$BV23,$CG23,0,$BY23,$BX23,$BZ23,$AJ23,1,0)</f>
        <v>0.22178771215221027</v>
      </c>
      <c r="BP23" s="137"/>
      <c r="BQ23" s="137"/>
      <c r="BR23" s="137"/>
      <c r="BS23" s="137"/>
      <c r="BV23" s="262">
        <v>2.5970149253731347</v>
      </c>
      <c r="BW23" s="136">
        <v>2.8860000000000006</v>
      </c>
      <c r="BX23" s="137">
        <v>0.58176458638128814</v>
      </c>
      <c r="BY23" s="137">
        <v>0.58176458638128814</v>
      </c>
      <c r="BZ23" s="137">
        <v>1</v>
      </c>
      <c r="CA23" s="137">
        <v>2.0011329715354399E-2</v>
      </c>
      <c r="CB23" s="137">
        <v>0.99007321601711695</v>
      </c>
      <c r="CC23" s="258">
        <v>-0.53</v>
      </c>
      <c r="CD23" s="258">
        <v>0.02</v>
      </c>
      <c r="CE23" s="258">
        <v>-0.05</v>
      </c>
      <c r="CF23" s="258">
        <v>-0.01</v>
      </c>
      <c r="CG23" s="258">
        <v>6.7199999999999996E-2</v>
      </c>
      <c r="CH23" s="258">
        <v>24.017196074143222</v>
      </c>
      <c r="CI23" s="258">
        <v>2.9460000000000002</v>
      </c>
      <c r="CJ23" s="258"/>
      <c r="CK23" s="258"/>
      <c r="CL23" s="258"/>
      <c r="CM23" s="258"/>
    </row>
    <row r="24" spans="1:91" x14ac:dyDescent="0.25">
      <c r="A24" s="723"/>
      <c r="B24" s="723"/>
      <c r="D24" s="31">
        <f t="shared" si="49"/>
        <v>37452</v>
      </c>
      <c r="F24" s="28">
        <f t="shared" si="12"/>
        <v>700</v>
      </c>
      <c r="G24" s="28">
        <f t="shared" si="13"/>
        <v>691.86752671261786</v>
      </c>
      <c r="H24" s="52">
        <f t="shared" si="14"/>
        <v>2.6268656716417911</v>
      </c>
      <c r="I24" s="52">
        <f t="shared" si="15"/>
        <v>3.0890000000000004</v>
      </c>
      <c r="K24" s="52">
        <f t="shared" si="16"/>
        <v>12.100727637468855</v>
      </c>
      <c r="L24" s="135">
        <f t="shared" si="17"/>
        <v>3.6624517942840384E-6</v>
      </c>
      <c r="N24" s="131">
        <f t="shared" si="18"/>
        <v>0.57401256565681114</v>
      </c>
      <c r="O24" s="131">
        <f t="shared" si="19"/>
        <v>0.57401256565681114</v>
      </c>
      <c r="P24" s="55">
        <f t="shared" si="20"/>
        <v>0.99999999999999978</v>
      </c>
      <c r="Q24" s="135">
        <f>_xll.xSPRDOPT(I24,H24,AQ24,0,O24,N24,P24,D24-$G$5,1,0)*AH24*AU24</f>
        <v>12.10073129992065</v>
      </c>
      <c r="R24" s="135"/>
      <c r="S24" s="181">
        <f>_xll.xSPRDOPT(I24,H24,AQ24,AT24,O24,N24,P24,D24-$G$5,1,2)*AF24*(F24/(1-AR24))*AH24</f>
        <v>-22864.15291598078</v>
      </c>
      <c r="T24" s="181">
        <f>_xll.xSPRDOPT(I24,H24,AQ24,AT24,O24,N24,P24,D24-$G$5,1,1)*AF24*F24*AH24</f>
        <v>21446.575435347859</v>
      </c>
      <c r="U24" s="135"/>
      <c r="V24" s="146">
        <f t="shared" si="50"/>
        <v>24.775380778706438</v>
      </c>
      <c r="W24" s="146"/>
      <c r="X24" s="338">
        <f t="shared" si="21"/>
        <v>0</v>
      </c>
      <c r="Y24" s="338">
        <f t="shared" si="22"/>
        <v>0</v>
      </c>
      <c r="Z24" s="338">
        <f t="shared" si="23"/>
        <v>1.4135496518932342</v>
      </c>
      <c r="AA24" s="338">
        <f t="shared" si="24"/>
        <v>3.031947185255108E-5</v>
      </c>
      <c r="AB24" s="338">
        <f t="shared" si="25"/>
        <v>0</v>
      </c>
      <c r="AC24" s="338">
        <f t="shared" si="26"/>
        <v>1.4210437145978672</v>
      </c>
      <c r="AF24" s="138">
        <f t="shared" si="27"/>
        <v>1</v>
      </c>
      <c r="AG24" s="138">
        <f t="shared" si="28"/>
        <v>7</v>
      </c>
      <c r="AH24" s="138">
        <f t="shared" si="29"/>
        <v>31</v>
      </c>
      <c r="AI24" s="138">
        <f t="shared" si="51"/>
        <v>196</v>
      </c>
      <c r="AJ24" s="138">
        <f t="shared" si="30"/>
        <v>213</v>
      </c>
      <c r="AL24" s="136">
        <f t="shared" si="31"/>
        <v>2.984</v>
      </c>
      <c r="AM24" s="258">
        <f t="shared" si="32"/>
        <v>-0.54</v>
      </c>
      <c r="AN24" s="258">
        <f t="shared" si="33"/>
        <v>0.02</v>
      </c>
      <c r="AO24" s="258">
        <f t="shared" si="34"/>
        <v>0.115</v>
      </c>
      <c r="AP24" s="258">
        <f t="shared" si="35"/>
        <v>-0.01</v>
      </c>
      <c r="AQ24" s="136">
        <f t="shared" si="36"/>
        <v>6.7199999999999996E-2</v>
      </c>
      <c r="AR24" s="137">
        <f t="shared" si="37"/>
        <v>6.2E-2</v>
      </c>
      <c r="AS24" s="136">
        <f t="shared" si="38"/>
        <v>2.464</v>
      </c>
      <c r="AT24" s="137">
        <f t="shared" si="39"/>
        <v>2.0428629809483099E-2</v>
      </c>
      <c r="AU24" s="137">
        <f t="shared" si="40"/>
        <v>0.98838218101802544</v>
      </c>
      <c r="AV24" s="394">
        <f t="shared" si="41"/>
        <v>1409.4329901317042</v>
      </c>
      <c r="AW24" s="137">
        <f t="shared" si="42"/>
        <v>0.54249999999999998</v>
      </c>
      <c r="AX24" s="137">
        <f t="shared" si="43"/>
        <v>0.88</v>
      </c>
      <c r="AY24" s="137">
        <f t="shared" si="44"/>
        <v>0.88</v>
      </c>
      <c r="AZ24" s="137"/>
      <c r="BA24" s="264"/>
      <c r="BB24" s="258">
        <f t="shared" si="45"/>
        <v>0</v>
      </c>
      <c r="BC24" s="258">
        <f t="shared" si="46"/>
        <v>0</v>
      </c>
      <c r="BD24" s="137">
        <f t="shared" si="47"/>
        <v>4.2879744083457183E-4</v>
      </c>
      <c r="BE24" s="137">
        <f t="shared" si="48"/>
        <v>4.2879744083457183E-4</v>
      </c>
      <c r="BF24" s="137">
        <f>_xll.xSPRDOPT($BW24,$BV24,$CG24,0,$BY24,$BX24,$BZ24,$AJ24,1,4)*$CB24</f>
        <v>5.890233479742577E-7</v>
      </c>
      <c r="BG24" s="137">
        <f>_xll.xSPRDOPT($BW24,$BV24,$CG24,0,$BY24,$BX24,$BZ24,$AJ24,1,3)*$CB24</f>
        <v>8.246326871639608E-7</v>
      </c>
      <c r="BH24" s="137">
        <f>IF(OR(BF24&lt;&gt;0,BG24&lt;&gt;0),_xll.xSPRDOPT($BW24,$BV24,$CG24,0,$BY24,$BX24,$BZ24,$AJ24,1,12)*$CB24,0)</f>
        <v>-7.068280175691092E-7</v>
      </c>
      <c r="BI24" s="137">
        <f>_xll.xSPRDOPT($BW24,$BV24,$CG24,2*LN(1+CA24/2),$BY24,$BX24,$BZ24,$AJ24,1,9)</f>
        <v>7.9308603741014422E-3</v>
      </c>
      <c r="BJ24" s="137">
        <f>_xll.xSPRDOPT($BW24,$BV24,$CG24,0,$BY24,$BX24,$BZ24,$AJ24,1,6)*$CB24</f>
        <v>-1.8521665775052901E-5</v>
      </c>
      <c r="BK24" s="137">
        <f>_xll.xSPRDOPT($BW24,$BV24,$CG24,0,$BY24,$BX24,$BZ24,$AJ24,1,5)*$CB24</f>
        <v>2.1780105661564247E-5</v>
      </c>
      <c r="BL24" s="137">
        <f>_xll.xSPRDOPT(BW24,BV24,CG24,0,BY24,BX24,BZ24,AJ24,1,2)*CB24</f>
        <v>-0.98821537371085366</v>
      </c>
      <c r="BM24" s="137">
        <f>_xll.xSPRDOPT(BW24,BV24,CG24,0,BY24,BX24,BZ24,AJ24,1,1)*CB24</f>
        <v>0.98821537371624635</v>
      </c>
      <c r="BN24" s="137">
        <f>IF(AH24&lt;&gt;0,_xll.xSPRDOPT($BW24,$BV24,$CG24,2*LN(1+CA24/2),$BY24,$BX24,$BZ24,$AJ24,1,8)+(AJ24/365.25)*CH24/AH24,0)</f>
        <v>0.2383916989053731</v>
      </c>
      <c r="BO24" s="137">
        <f>_xll.xSPRDOPT($BW24,$BV24,$CG24,0,$BY24,$BX24,$BZ24,$AJ24,1,0)</f>
        <v>0.39493445993076265</v>
      </c>
      <c r="BP24" s="137"/>
      <c r="BQ24" s="137"/>
      <c r="BR24" s="137"/>
      <c r="BS24" s="137"/>
      <c r="BV24" s="262">
        <v>2.6268656716417911</v>
      </c>
      <c r="BW24" s="136">
        <v>3.0890000000000004</v>
      </c>
      <c r="BX24" s="137">
        <v>0.57358376821597656</v>
      </c>
      <c r="BY24" s="137">
        <v>0.57358376821597656</v>
      </c>
      <c r="BZ24" s="137">
        <v>1</v>
      </c>
      <c r="CA24" s="137">
        <v>2.0428629809483099E-2</v>
      </c>
      <c r="CB24" s="137">
        <v>0.98821719380072837</v>
      </c>
      <c r="CC24" s="258">
        <v>-0.54</v>
      </c>
      <c r="CD24" s="258">
        <v>0.02</v>
      </c>
      <c r="CE24" s="258">
        <v>0.115</v>
      </c>
      <c r="CF24" s="258">
        <v>-0.01</v>
      </c>
      <c r="CG24" s="258">
        <v>6.7199999999999996E-2</v>
      </c>
      <c r="CH24" s="258">
        <v>24.771245110125339</v>
      </c>
      <c r="CI24" s="258">
        <v>2.984</v>
      </c>
      <c r="CJ24" s="258"/>
      <c r="CK24" s="258"/>
      <c r="CL24" s="258"/>
      <c r="CM24" s="258"/>
    </row>
    <row r="25" spans="1:91" x14ac:dyDescent="0.25">
      <c r="A25" s="723"/>
      <c r="B25" s="723"/>
      <c r="D25" s="31">
        <f t="shared" si="49"/>
        <v>37483</v>
      </c>
      <c r="F25" s="28">
        <f t="shared" si="12"/>
        <v>700</v>
      </c>
      <c r="G25" s="28">
        <f t="shared" si="13"/>
        <v>690.38807351346111</v>
      </c>
      <c r="H25" s="52">
        <f t="shared" si="14"/>
        <v>2.6716417910447761</v>
      </c>
      <c r="I25" s="52">
        <f t="shared" si="15"/>
        <v>3.141</v>
      </c>
      <c r="K25" s="52">
        <f t="shared" si="16"/>
        <v>12.295717378535503</v>
      </c>
      <c r="L25" s="135">
        <f t="shared" si="17"/>
        <v>1.1125852161342209E-5</v>
      </c>
      <c r="N25" s="131">
        <f t="shared" si="18"/>
        <v>0.57822836426200452</v>
      </c>
      <c r="O25" s="131">
        <f t="shared" si="19"/>
        <v>0.57822836426200452</v>
      </c>
      <c r="P25" s="55">
        <f t="shared" si="20"/>
        <v>1</v>
      </c>
      <c r="Q25" s="135">
        <f>_xll.xSPRDOPT(I25,H25,AQ25,0,O25,N25,P25,D25-$G$5,1,0)*AH25*AU25</f>
        <v>12.295728504387665</v>
      </c>
      <c r="R25" s="135"/>
      <c r="S25" s="181">
        <f>_xll.xSPRDOPT(I25,H25,AQ25,AT25,O25,N25,P25,D25-$G$5,1,2)*AF25*(F25/(1-AR25))*AH25</f>
        <v>-22814.888179707632</v>
      </c>
      <c r="T25" s="181">
        <f>_xll.xSPRDOPT(I25,H25,AQ25,AT25,O25,N25,P25,D25-$G$5,1,1)*AF25*F25*AH25</f>
        <v>21400.365112506552</v>
      </c>
      <c r="U25" s="135"/>
      <c r="V25" s="146">
        <f t="shared" si="50"/>
        <v>24.722402405046463</v>
      </c>
      <c r="W25" s="146"/>
      <c r="X25" s="338">
        <f t="shared" si="21"/>
        <v>0</v>
      </c>
      <c r="Y25" s="338">
        <f t="shared" si="22"/>
        <v>0</v>
      </c>
      <c r="Z25" s="338">
        <f t="shared" si="23"/>
        <v>1.4804350365561729</v>
      </c>
      <c r="AA25" s="338">
        <f t="shared" si="24"/>
        <v>8.8390416532377274E-5</v>
      </c>
      <c r="AB25" s="338">
        <f t="shared" si="25"/>
        <v>0</v>
      </c>
      <c r="AC25" s="338">
        <f t="shared" si="26"/>
        <v>1.4889161867982774</v>
      </c>
      <c r="AF25" s="138">
        <f t="shared" si="27"/>
        <v>1</v>
      </c>
      <c r="AG25" s="138">
        <f t="shared" si="28"/>
        <v>8</v>
      </c>
      <c r="AH25" s="138">
        <f t="shared" si="29"/>
        <v>31</v>
      </c>
      <c r="AI25" s="138">
        <f t="shared" si="51"/>
        <v>227</v>
      </c>
      <c r="AJ25" s="138">
        <f t="shared" si="30"/>
        <v>244</v>
      </c>
      <c r="AL25" s="136">
        <f t="shared" si="31"/>
        <v>3.0259999999999998</v>
      </c>
      <c r="AM25" s="258">
        <f t="shared" si="32"/>
        <v>-0.54</v>
      </c>
      <c r="AN25" s="258">
        <f t="shared" si="33"/>
        <v>0.02</v>
      </c>
      <c r="AO25" s="258">
        <f t="shared" si="34"/>
        <v>0.125</v>
      </c>
      <c r="AP25" s="258">
        <f t="shared" si="35"/>
        <v>-0.01</v>
      </c>
      <c r="AQ25" s="136">
        <f t="shared" si="36"/>
        <v>6.7199999999999996E-2</v>
      </c>
      <c r="AR25" s="137">
        <f t="shared" si="37"/>
        <v>6.2E-2</v>
      </c>
      <c r="AS25" s="136">
        <f t="shared" si="38"/>
        <v>2.5059999999999998</v>
      </c>
      <c r="AT25" s="137">
        <f t="shared" si="39"/>
        <v>2.1065008234303999E-2</v>
      </c>
      <c r="AU25" s="137">
        <f t="shared" si="40"/>
        <v>0.98626867644780158</v>
      </c>
      <c r="AV25" s="394">
        <f t="shared" si="41"/>
        <v>1406.4191326145651</v>
      </c>
      <c r="AW25" s="137">
        <f t="shared" si="42"/>
        <v>0.54</v>
      </c>
      <c r="AX25" s="137">
        <f t="shared" si="43"/>
        <v>0.98</v>
      </c>
      <c r="AY25" s="137">
        <f t="shared" si="44"/>
        <v>0.98</v>
      </c>
      <c r="AZ25" s="137"/>
      <c r="BA25" s="264"/>
      <c r="BB25" s="258">
        <f t="shared" si="45"/>
        <v>0</v>
      </c>
      <c r="BC25" s="258">
        <f t="shared" si="46"/>
        <v>0</v>
      </c>
      <c r="BD25" s="137">
        <f t="shared" si="47"/>
        <v>4.5188333321111163E-4</v>
      </c>
      <c r="BE25" s="137">
        <f t="shared" si="48"/>
        <v>4.5188333321111163E-4</v>
      </c>
      <c r="BF25" s="137">
        <f>_xll.xSPRDOPT($BW25,$BV25,$CG25,0,$BY25,$BX25,$BZ25,$AJ25,1,4)*$CB25</f>
        <v>-8.2286507900664884E-7</v>
      </c>
      <c r="BG25" s="137">
        <f>_xll.xSPRDOPT($BW25,$BV25,$CG25,0,$BY25,$BX25,$BZ25,$AJ25,1,3)*$CB25</f>
        <v>-2.3510430828761395E-7</v>
      </c>
      <c r="BH25" s="137">
        <f>IF(OR(BF25&lt;&gt;0,BG25&lt;&gt;0),_xll.xSPRDOPT($BW25,$BV25,$CG25,0,$BY25,$BX25,$BZ25,$AJ25,1,12)*$CB25,0)</f>
        <v>5.8776077071903484E-7</v>
      </c>
      <c r="BI25" s="137">
        <f>_xll.xSPRDOPT($BW25,$BV25,$CG25,2*LN(1+CA25/2),$BY25,$BX25,$BZ25,$AJ25,1,9)</f>
        <v>8.3061274516458075E-3</v>
      </c>
      <c r="BJ25" s="137">
        <f>_xll.xSPRDOPT($BW25,$BV25,$CG25,0,$BY25,$BX25,$BZ25,$AJ25,1,6)*$CB25</f>
        <v>-5.1308892939773444E-5</v>
      </c>
      <c r="BK25" s="137">
        <f>_xll.xSPRDOPT($BW25,$BV25,$CG25,0,$BY25,$BX25,$BZ25,$AJ25,1,5)*$CB25</f>
        <v>6.0322925512066572E-5</v>
      </c>
      <c r="BL25" s="137">
        <f>_xll.xSPRDOPT(BW25,BV25,CG25,0,BY25,BX25,BZ25,AJ25,1,2)*CB25</f>
        <v>-0.98609395137041089</v>
      </c>
      <c r="BM25" s="137">
        <f>_xll.xSPRDOPT(BW25,BV25,CG25,0,BY25,BX25,BZ25,AJ25,1,1)*CB25</f>
        <v>0.98609395136682354</v>
      </c>
      <c r="BN25" s="137">
        <f>IF(AH25&lt;&gt;0,_xll.xSPRDOPT($BW25,$BV25,$CG25,2*LN(1+CA25/2),$BY25,$BX25,$BZ25,$AJ25,1,8)+(AJ25/365.25)*CH25/AH25,0)</f>
        <v>0.26774294192190023</v>
      </c>
      <c r="BO25" s="137">
        <f>_xll.xSPRDOPT($BW25,$BV25,$CG25,0,$BY25,$BX25,$BZ25,$AJ25,1,0)</f>
        <v>0.40215860147553695</v>
      </c>
      <c r="BP25" s="137"/>
      <c r="BQ25" s="137"/>
      <c r="BR25" s="137"/>
      <c r="BS25" s="137"/>
      <c r="BV25" s="262">
        <v>2.6716417910447761</v>
      </c>
      <c r="BW25" s="136">
        <v>3.141</v>
      </c>
      <c r="BX25" s="137">
        <v>0.57777648092879341</v>
      </c>
      <c r="BY25" s="137">
        <v>0.57777648092879341</v>
      </c>
      <c r="BZ25" s="137">
        <v>1</v>
      </c>
      <c r="CA25" s="137">
        <v>2.1065008234303999E-2</v>
      </c>
      <c r="CB25" s="137">
        <v>0.98609894066797232</v>
      </c>
      <c r="CC25" s="258">
        <v>-0.54</v>
      </c>
      <c r="CD25" s="258">
        <v>0.02</v>
      </c>
      <c r="CE25" s="258">
        <v>0.125</v>
      </c>
      <c r="CF25" s="258">
        <v>-0.01</v>
      </c>
      <c r="CG25" s="258">
        <v>6.7199999999999996E-2</v>
      </c>
      <c r="CH25" s="258">
        <v>24.718147706147796</v>
      </c>
      <c r="CI25" s="258">
        <v>3.0259999999999998</v>
      </c>
      <c r="CJ25" s="258"/>
      <c r="CK25" s="258"/>
      <c r="CL25" s="258"/>
      <c r="CM25" s="258"/>
    </row>
    <row r="26" spans="1:91" x14ac:dyDescent="0.25">
      <c r="A26" s="723"/>
      <c r="B26" s="723"/>
      <c r="D26" s="31">
        <f t="shared" si="49"/>
        <v>37514</v>
      </c>
      <c r="F26" s="28">
        <f t="shared" si="12"/>
        <v>700</v>
      </c>
      <c r="G26" s="28">
        <f t="shared" si="13"/>
        <v>688.83823509730757</v>
      </c>
      <c r="H26" s="52">
        <f t="shared" si="14"/>
        <v>2.6417910447761193</v>
      </c>
      <c r="I26" s="52">
        <f t="shared" si="15"/>
        <v>3.1230000000000002</v>
      </c>
      <c r="K26" s="52">
        <f t="shared" si="16"/>
        <v>12.22222277275279</v>
      </c>
      <c r="L26" s="135">
        <f t="shared" si="17"/>
        <v>1.8341454806503066E-5</v>
      </c>
      <c r="N26" s="131">
        <f t="shared" si="18"/>
        <v>0.56841885964489258</v>
      </c>
      <c r="O26" s="131">
        <f t="shared" si="19"/>
        <v>0.56841885964489258</v>
      </c>
      <c r="P26" s="55">
        <f t="shared" si="20"/>
        <v>0.99999999999999989</v>
      </c>
      <c r="Q26" s="135">
        <f>_xll.xSPRDOPT(I26,H26,AQ26,0,O26,N26,P26,D26-$G$5,1,0)*AH26*AU26</f>
        <v>12.222241114207597</v>
      </c>
      <c r="R26" s="135"/>
      <c r="S26" s="181">
        <f>_xll.xSPRDOPT(I26,H26,AQ26,AT26,O26,N26,P26,D26-$G$5,1,2)*AF26*(F26/(1-AR26))*AH26</f>
        <v>-22028.848447414712</v>
      </c>
      <c r="T26" s="181">
        <f>_xll.xSPRDOPT(I26,H26,AQ26,AT26,O26,N26,P26,D26-$G$5,1,1)*AF26*F26*AH26</f>
        <v>20663.059843980591</v>
      </c>
      <c r="U26" s="135"/>
      <c r="V26" s="146">
        <f t="shared" si="50"/>
        <v>23.87119700998641</v>
      </c>
      <c r="W26" s="146"/>
      <c r="X26" s="338">
        <f t="shared" si="21"/>
        <v>0</v>
      </c>
      <c r="Y26" s="338">
        <f t="shared" si="22"/>
        <v>0</v>
      </c>
      <c r="Z26" s="338">
        <f t="shared" si="23"/>
        <v>1.5148679256348543</v>
      </c>
      <c r="AA26" s="338">
        <f t="shared" si="24"/>
        <v>1.594998333009325E-4</v>
      </c>
      <c r="AB26" s="338">
        <f t="shared" si="25"/>
        <v>0</v>
      </c>
      <c r="AC26" s="338">
        <f t="shared" si="26"/>
        <v>1.5247213678065075</v>
      </c>
      <c r="AF26" s="138">
        <f t="shared" si="27"/>
        <v>1</v>
      </c>
      <c r="AG26" s="138">
        <f t="shared" si="28"/>
        <v>9</v>
      </c>
      <c r="AH26" s="138">
        <f t="shared" si="29"/>
        <v>30</v>
      </c>
      <c r="AI26" s="138">
        <f t="shared" si="51"/>
        <v>258</v>
      </c>
      <c r="AJ26" s="138">
        <f t="shared" si="30"/>
        <v>275</v>
      </c>
      <c r="AL26" s="136">
        <f t="shared" si="31"/>
        <v>3.0179999999999998</v>
      </c>
      <c r="AM26" s="258">
        <f t="shared" si="32"/>
        <v>-0.54</v>
      </c>
      <c r="AN26" s="258">
        <f t="shared" si="33"/>
        <v>0</v>
      </c>
      <c r="AO26" s="258">
        <f t="shared" si="34"/>
        <v>0.115</v>
      </c>
      <c r="AP26" s="258">
        <f t="shared" si="35"/>
        <v>-0.01</v>
      </c>
      <c r="AQ26" s="136">
        <f t="shared" si="36"/>
        <v>6.7199999999999996E-2</v>
      </c>
      <c r="AR26" s="137">
        <f t="shared" si="37"/>
        <v>6.2E-2</v>
      </c>
      <c r="AS26" s="136">
        <f t="shared" si="38"/>
        <v>2.4779999999999998</v>
      </c>
      <c r="AT26" s="137">
        <f t="shared" si="39"/>
        <v>2.1701386796276499E-2</v>
      </c>
      <c r="AU26" s="137">
        <f t="shared" si="40"/>
        <v>0.98405462156758228</v>
      </c>
      <c r="AV26" s="394">
        <f t="shared" si="41"/>
        <v>1357.9953777632636</v>
      </c>
      <c r="AW26" s="137">
        <f t="shared" si="42"/>
        <v>0.54</v>
      </c>
      <c r="AX26" s="137">
        <f t="shared" si="43"/>
        <v>0.93</v>
      </c>
      <c r="AY26" s="137">
        <f t="shared" si="44"/>
        <v>0.93</v>
      </c>
      <c r="AZ26" s="137"/>
      <c r="BA26" s="264"/>
      <c r="BB26" s="258">
        <f t="shared" si="45"/>
        <v>0</v>
      </c>
      <c r="BC26" s="258">
        <f t="shared" si="46"/>
        <v>0</v>
      </c>
      <c r="BD26" s="137">
        <f t="shared" si="47"/>
        <v>3.0125853078155629E-4</v>
      </c>
      <c r="BE26" s="137">
        <f t="shared" si="48"/>
        <v>3.0125853078155629E-4</v>
      </c>
      <c r="BF26" s="137">
        <f>_xll.xSPRDOPT($BW26,$BV26,$CG26,0,$BY26,$BX26,$BZ26,$AJ26,1,4)*$CB26</f>
        <v>1.1728765708700116E-7</v>
      </c>
      <c r="BG26" s="137">
        <f>_xll.xSPRDOPT($BW26,$BV26,$CG26,0,$BY26,$BX26,$BZ26,$AJ26,1,3)*$CB26</f>
        <v>2.3457531417400232E-7</v>
      </c>
      <c r="BH26" s="137">
        <f>IF(OR(BF26&lt;&gt;0,BG26&lt;&gt;0),_xll.xSPRDOPT($BW26,$BV26,$CG26,0,$BY26,$BX26,$BZ26,$AJ26,1,12)*$CB26,0)</f>
        <v>-5.864382854350058E-8</v>
      </c>
      <c r="BI26" s="137">
        <f>_xll.xSPRDOPT($BW26,$BV26,$CG26,2*LN(1+CA26/2),$BY26,$BX26,$BZ26,$AJ26,1,9)</f>
        <v>8.782627140287786E-3</v>
      </c>
      <c r="BJ26" s="137">
        <f>_xll.xSPRDOPT($BW26,$BV26,$CG26,0,$BY26,$BX26,$BZ26,$AJ26,1,6)*$CB26</f>
        <v>-1.3840962539863572E-4</v>
      </c>
      <c r="BK26" s="137">
        <f>_xll.xSPRDOPT($BW26,$BV26,$CG26,0,$BY26,$BX26,$BZ26,$AJ26,1,5)*$CB26</f>
        <v>1.6362129372046854E-4</v>
      </c>
      <c r="BL26" s="137">
        <f>_xll.xSPRDOPT(BW26,BV26,CG26,0,BY26,BX26,BZ26,AJ26,1,2)*CB26</f>
        <v>-0.98386659444056768</v>
      </c>
      <c r="BM26" s="137">
        <f>_xll.xSPRDOPT(BW26,BV26,CG26,0,BY26,BX26,BZ26,AJ26,1,1)*CB26</f>
        <v>0.98386659445041091</v>
      </c>
      <c r="BN26" s="137">
        <f>IF(AH26&lt;&gt;0,_xll.xSPRDOPT($BW26,$BV26,$CG26,2*LN(1+CA26/2),$BY26,$BX26,$BZ26,$AJ26,1,8)+(AJ26/365.25)*CH26/AH26,0)</f>
        <v>0.29230156582918909</v>
      </c>
      <c r="BO26" s="137">
        <f>_xll.xSPRDOPT($BW26,$BV26,$CG26,0,$BY26,$BX26,$BZ26,$AJ26,1,0)</f>
        <v>0.41400964882938901</v>
      </c>
      <c r="BP26" s="137"/>
      <c r="BQ26" s="137"/>
      <c r="BR26" s="137"/>
      <c r="BS26" s="137"/>
      <c r="BV26" s="262">
        <v>2.6417910447761193</v>
      </c>
      <c r="BW26" s="136">
        <v>3.1230000000000002</v>
      </c>
      <c r="BX26" s="137">
        <v>0.56811760111411103</v>
      </c>
      <c r="BY26" s="137">
        <v>0.56811760111411103</v>
      </c>
      <c r="BZ26" s="137">
        <v>1</v>
      </c>
      <c r="CA26" s="137">
        <v>2.1701386796276499E-2</v>
      </c>
      <c r="CB26" s="137">
        <v>0.98388017854127463</v>
      </c>
      <c r="CC26" s="258">
        <v>-0.54</v>
      </c>
      <c r="CD26" s="258">
        <v>0</v>
      </c>
      <c r="CE26" s="258">
        <v>0.115</v>
      </c>
      <c r="CF26" s="258">
        <v>-0.01</v>
      </c>
      <c r="CG26" s="258">
        <v>6.7199999999999996E-2</v>
      </c>
      <c r="CH26" s="258">
        <v>23.866965371054238</v>
      </c>
      <c r="CI26" s="258">
        <v>3.0179999999999998</v>
      </c>
      <c r="CJ26" s="258"/>
      <c r="CK26" s="258"/>
      <c r="CL26" s="258"/>
      <c r="CM26" s="258"/>
    </row>
    <row r="27" spans="1:91" x14ac:dyDescent="0.25">
      <c r="A27" s="726"/>
      <c r="B27" s="726"/>
      <c r="C27" s="726"/>
      <c r="D27" s="31">
        <f t="shared" si="49"/>
        <v>37544</v>
      </c>
      <c r="F27" s="28">
        <f t="shared" si="12"/>
        <v>700</v>
      </c>
      <c r="G27" s="28">
        <f t="shared" si="13"/>
        <v>687.21964747931634</v>
      </c>
      <c r="H27" s="52">
        <f t="shared" si="14"/>
        <v>2.6343283582089554</v>
      </c>
      <c r="I27" s="52">
        <f t="shared" si="15"/>
        <v>3.0510000000000002</v>
      </c>
      <c r="K27" s="52">
        <f t="shared" si="16"/>
        <v>10.635824475350645</v>
      </c>
      <c r="L27" s="135">
        <f t="shared" si="17"/>
        <v>1.458596032328785E-4</v>
      </c>
      <c r="N27" s="131">
        <f t="shared" si="18"/>
        <v>0.57075053913616014</v>
      </c>
      <c r="O27" s="131">
        <f t="shared" si="19"/>
        <v>0.57075053913616014</v>
      </c>
      <c r="P27" s="55">
        <f t="shared" si="20"/>
        <v>1</v>
      </c>
      <c r="Q27" s="135">
        <f>_xll.xSPRDOPT(I27,H27,AQ27,0,O27,N27,P27,D27-$G$5,1,0)*AH27*AU27</f>
        <v>10.635970334953878</v>
      </c>
      <c r="R27" s="135"/>
      <c r="S27" s="181">
        <f>_xll.xSPRDOPT(I27,H27,AQ27,AT27,O27,N27,P27,D27-$G$5,1,2)*AF27*(F27/(1-AR27))*AH27</f>
        <v>-22707.498587978582</v>
      </c>
      <c r="T27" s="181">
        <f>_xll.xSPRDOPT(I27,H27,AQ27,AT27,O27,N27,P27,D27-$G$5,1,1)*AF27*F27*AH27</f>
        <v>21299.633675602854</v>
      </c>
      <c r="U27" s="135"/>
      <c r="V27" s="146">
        <f t="shared" si="50"/>
        <v>24.608942879292904</v>
      </c>
      <c r="W27" s="146"/>
      <c r="X27" s="338">
        <f t="shared" si="21"/>
        <v>0</v>
      </c>
      <c r="Y27" s="338">
        <f t="shared" si="22"/>
        <v>0</v>
      </c>
      <c r="Z27" s="338">
        <f t="shared" si="23"/>
        <v>1.3541795344571035</v>
      </c>
      <c r="AA27" s="338">
        <f t="shared" si="24"/>
        <v>8.7333378453454292E-4</v>
      </c>
      <c r="AB27" s="338">
        <f t="shared" si="25"/>
        <v>0</v>
      </c>
      <c r="AC27" s="338">
        <f t="shared" si="26"/>
        <v>1.3701627889923234</v>
      </c>
      <c r="AF27" s="138">
        <f t="shared" si="27"/>
        <v>1</v>
      </c>
      <c r="AG27" s="138">
        <f t="shared" si="28"/>
        <v>10</v>
      </c>
      <c r="AH27" s="138">
        <f t="shared" si="29"/>
        <v>31</v>
      </c>
      <c r="AI27" s="138">
        <f t="shared" si="51"/>
        <v>288</v>
      </c>
      <c r="AJ27" s="138">
        <f t="shared" si="30"/>
        <v>305</v>
      </c>
      <c r="AL27" s="136">
        <f t="shared" si="31"/>
        <v>3.0310000000000001</v>
      </c>
      <c r="AM27" s="258">
        <f t="shared" si="32"/>
        <v>-0.57999999999999996</v>
      </c>
      <c r="AN27" s="258">
        <f t="shared" si="33"/>
        <v>0.02</v>
      </c>
      <c r="AO27" s="258">
        <f t="shared" si="34"/>
        <v>0.03</v>
      </c>
      <c r="AP27" s="258">
        <f t="shared" si="35"/>
        <v>-0.01</v>
      </c>
      <c r="AQ27" s="136">
        <f t="shared" si="36"/>
        <v>6.7199999999999996E-2</v>
      </c>
      <c r="AR27" s="137">
        <f t="shared" si="37"/>
        <v>6.2E-2</v>
      </c>
      <c r="AS27" s="136">
        <f t="shared" si="38"/>
        <v>2.4710000000000001</v>
      </c>
      <c r="AT27" s="137">
        <f t="shared" si="39"/>
        <v>2.2410164045373999E-2</v>
      </c>
      <c r="AU27" s="137">
        <f t="shared" si="40"/>
        <v>0.98174235354188055</v>
      </c>
      <c r="AV27" s="394">
        <f t="shared" si="41"/>
        <v>1399.9645961507217</v>
      </c>
      <c r="AW27" s="137">
        <f t="shared" si="42"/>
        <v>0.54</v>
      </c>
      <c r="AX27" s="137">
        <f t="shared" si="43"/>
        <v>0.98</v>
      </c>
      <c r="AY27" s="137">
        <f t="shared" si="44"/>
        <v>0.98</v>
      </c>
      <c r="AZ27" s="137"/>
      <c r="BA27" s="264"/>
      <c r="BB27" s="258">
        <f t="shared" si="45"/>
        <v>0</v>
      </c>
      <c r="BC27" s="258">
        <f t="shared" si="46"/>
        <v>0</v>
      </c>
      <c r="BD27" s="137">
        <f t="shared" si="47"/>
        <v>2.9295113652438864E-4</v>
      </c>
      <c r="BE27" s="137">
        <f t="shared" si="48"/>
        <v>2.9295113652438864E-4</v>
      </c>
      <c r="BF27" s="137">
        <f>_xll.xSPRDOPT($BW27,$BV27,$CG27,0,$BY27,$BX27,$BZ27,$AJ27,1,4)*$CB27</f>
        <v>-3.5103416507657819E-7</v>
      </c>
      <c r="BG27" s="137">
        <f>_xll.xSPRDOPT($BW27,$BV27,$CG27,0,$BY27,$BX27,$BZ27,$AJ27,1,3)*$CB27</f>
        <v>4.6804555343543759E-7</v>
      </c>
      <c r="BH27" s="137">
        <f>IF(OR(BF27&lt;&gt;0,BG27&lt;&gt;0),_xll.xSPRDOPT($BW27,$BV27,$CG27,0,$BY27,$BX27,$BZ27,$AJ27,1,12)*$CB27,0)</f>
        <v>1.755170825382891E-7</v>
      </c>
      <c r="BI27" s="137">
        <f>_xll.xSPRDOPT($BW27,$BV27,$CG27,2*LN(1+CA27/2),$BY27,$BX27,$BZ27,$AJ27,1,9)</f>
        <v>7.5977584479332881E-3</v>
      </c>
      <c r="BJ27" s="137">
        <f>_xll.xSPRDOPT($BW27,$BV27,$CG27,0,$BY27,$BX27,$BZ27,$AJ27,1,6)*$CB27</f>
        <v>-8.6856293046226759E-4</v>
      </c>
      <c r="BK27" s="137">
        <f>_xll.xSPRDOPT($BW27,$BV27,$CG27,0,$BY27,$BX27,$BZ27,$AJ27,1,5)*$CB27</f>
        <v>1.0059435086699872E-3</v>
      </c>
      <c r="BL27" s="137">
        <f>_xll.xSPRDOPT(BW27,BV27,CG27,0,BY27,BX27,BZ27,AJ27,1,2)*CB27</f>
        <v>-0.98147225224867451</v>
      </c>
      <c r="BM27" s="137">
        <f>_xll.xSPRDOPT(BW27,BV27,CG27,0,BY27,BX27,BZ27,AJ27,1,1)*CB27</f>
        <v>0.98147225225135271</v>
      </c>
      <c r="BN27" s="137">
        <f>IF(AH27&lt;&gt;0,_xll.xSPRDOPT($BW27,$BV27,$CG27,2*LN(1+CA27/2),$BY27,$BX27,$BZ27,$AJ27,1,8)+(AJ27/365.25)*CH27/AH27,0)</f>
        <v>0.37631965044146892</v>
      </c>
      <c r="BO27" s="137">
        <f>_xll.xSPRDOPT($BW27,$BV27,$CG27,0,$BY27,$BX27,$BZ27,$AJ27,1,0)</f>
        <v>0.34947678880572086</v>
      </c>
      <c r="BP27" s="137"/>
      <c r="BQ27" s="137"/>
      <c r="BR27" s="137"/>
      <c r="BS27" s="137"/>
      <c r="BV27" s="262">
        <v>2.6343283582089554</v>
      </c>
      <c r="BW27" s="136">
        <v>3.0510000000000002</v>
      </c>
      <c r="BX27" s="137">
        <v>0.57045758799963575</v>
      </c>
      <c r="BY27" s="137">
        <v>0.57045758799963575</v>
      </c>
      <c r="BZ27" s="137">
        <v>1</v>
      </c>
      <c r="CA27" s="137">
        <v>2.2410164045373999E-2</v>
      </c>
      <c r="CB27" s="137">
        <v>0.98156266847823481</v>
      </c>
      <c r="CC27" s="258">
        <v>-0.57999999999999996</v>
      </c>
      <c r="CD27" s="258">
        <v>0.02</v>
      </c>
      <c r="CE27" s="258">
        <v>0.03</v>
      </c>
      <c r="CF27" s="258">
        <v>-0.01</v>
      </c>
      <c r="CG27" s="258">
        <v>6.7199999999999996E-2</v>
      </c>
      <c r="CH27" s="258">
        <v>24.604438785676521</v>
      </c>
      <c r="CI27" s="258">
        <v>3.0310000000000001</v>
      </c>
      <c r="CJ27" s="258"/>
      <c r="CK27" s="258"/>
      <c r="CL27" s="258"/>
      <c r="CM27" s="258"/>
    </row>
    <row r="28" spans="1:91" x14ac:dyDescent="0.25">
      <c r="A28" s="723"/>
      <c r="B28" s="723"/>
      <c r="D28" s="31">
        <f t="shared" si="49"/>
        <v>37575</v>
      </c>
      <c r="F28" s="28">
        <f t="shared" si="12"/>
        <v>700</v>
      </c>
      <c r="G28" s="28">
        <f t="shared" si="13"/>
        <v>685.38709687585515</v>
      </c>
      <c r="H28" s="52">
        <f t="shared" si="14"/>
        <v>3.1380597014925371</v>
      </c>
      <c r="I28" s="52">
        <f t="shared" si="15"/>
        <v>3.2609999999999997</v>
      </c>
      <c r="K28" s="52">
        <f t="shared" si="16"/>
        <v>1.6373006302724289</v>
      </c>
      <c r="L28" s="135">
        <f t="shared" si="17"/>
        <v>9.3385011102234516E-2</v>
      </c>
      <c r="N28" s="131">
        <f t="shared" si="18"/>
        <v>0.56483238995521046</v>
      </c>
      <c r="O28" s="131">
        <f t="shared" si="19"/>
        <v>0.56483238995521046</v>
      </c>
      <c r="P28" s="55">
        <f t="shared" si="20"/>
        <v>1.0000000000000002</v>
      </c>
      <c r="Q28" s="135">
        <f>_xll.xSPRDOPT(I28,H28,AQ28,0,O28,N28,P28,D28-$G$5,1,0)*AH28*AU28</f>
        <v>1.7306856413746634</v>
      </c>
      <c r="R28" s="135"/>
      <c r="S28" s="181">
        <f>_xll.xSPRDOPT(I28,H28,AQ28,AT28,O28,N28,P28,D28-$G$5,1,2)*AF28*(F28/(1-AR28))*AH28</f>
        <v>-20056.601827775448</v>
      </c>
      <c r="T28" s="181">
        <f>_xll.xSPRDOPT(I28,H28,AQ28,AT28,O28,N28,P28,D28-$G$5,1,1)*AF28*F28*AH28</f>
        <v>18813.092514670596</v>
      </c>
      <c r="U28" s="135"/>
      <c r="V28" s="146">
        <f t="shared" si="50"/>
        <v>23.751600280020707</v>
      </c>
      <c r="W28" s="146"/>
      <c r="X28" s="338">
        <f t="shared" si="21"/>
        <v>0</v>
      </c>
      <c r="Y28" s="338">
        <f t="shared" si="22"/>
        <v>0</v>
      </c>
      <c r="Z28" s="338">
        <f t="shared" si="23"/>
        <v>-0.71912223622548377</v>
      </c>
      <c r="AA28" s="338">
        <f t="shared" si="24"/>
        <v>8.1456939426280225E-2</v>
      </c>
      <c r="AB28" s="338">
        <f t="shared" si="25"/>
        <v>0</v>
      </c>
      <c r="AC28" s="338">
        <f t="shared" si="26"/>
        <v>0.23171249644071626</v>
      </c>
      <c r="AF28" s="138">
        <f t="shared" si="27"/>
        <v>1</v>
      </c>
      <c r="AG28" s="138">
        <f t="shared" si="28"/>
        <v>11</v>
      </c>
      <c r="AH28" s="138">
        <f t="shared" si="29"/>
        <v>30</v>
      </c>
      <c r="AI28" s="138">
        <f t="shared" si="51"/>
        <v>319</v>
      </c>
      <c r="AJ28" s="138">
        <f t="shared" si="30"/>
        <v>336</v>
      </c>
      <c r="AL28" s="136">
        <f t="shared" si="31"/>
        <v>3.2109999999999999</v>
      </c>
      <c r="AM28" s="258">
        <f t="shared" si="32"/>
        <v>-0.29499999999999998</v>
      </c>
      <c r="AN28" s="258">
        <f t="shared" si="33"/>
        <v>2.75E-2</v>
      </c>
      <c r="AO28" s="258">
        <f t="shared" si="34"/>
        <v>0.03</v>
      </c>
      <c r="AP28" s="258">
        <f t="shared" si="35"/>
        <v>0.02</v>
      </c>
      <c r="AQ28" s="136">
        <f t="shared" si="36"/>
        <v>6.7199999999999996E-2</v>
      </c>
      <c r="AR28" s="137">
        <f t="shared" si="37"/>
        <v>6.2E-2</v>
      </c>
      <c r="AS28" s="136">
        <f t="shared" si="38"/>
        <v>2.9434999999999998</v>
      </c>
      <c r="AT28" s="137">
        <f t="shared" si="39"/>
        <v>2.3274064967752799E-2</v>
      </c>
      <c r="AU28" s="137">
        <f t="shared" si="40"/>
        <v>0.97912442410836453</v>
      </c>
      <c r="AV28" s="394">
        <f t="shared" si="41"/>
        <v>1351.191705269543</v>
      </c>
      <c r="AW28" s="137">
        <f t="shared" si="42"/>
        <v>0.54</v>
      </c>
      <c r="AX28" s="137">
        <f t="shared" si="43"/>
        <v>0.95</v>
      </c>
      <c r="AY28" s="137">
        <f t="shared" si="44"/>
        <v>0.95</v>
      </c>
      <c r="AZ28" s="137"/>
      <c r="BA28" s="264"/>
      <c r="BB28" s="258">
        <f t="shared" si="45"/>
        <v>0</v>
      </c>
      <c r="BC28" s="258">
        <f t="shared" si="46"/>
        <v>0</v>
      </c>
      <c r="BD28" s="137">
        <f t="shared" si="47"/>
        <v>2.1624188755753337E-4</v>
      </c>
      <c r="BE28" s="137">
        <f t="shared" si="48"/>
        <v>2.1624188755753337E-4</v>
      </c>
      <c r="BF28" s="137">
        <f>_xll.xSPRDOPT($BW28,$BV28,$CG28,0,$BY28,$BX28,$BZ28,$AJ28,1,4)*$CB28</f>
        <v>-2.9174636315130007E-8</v>
      </c>
      <c r="BG28" s="137">
        <f>_xll.xSPRDOPT($BW28,$BV28,$CG28,0,$BY28,$BX28,$BZ28,$AJ28,1,3)*$CB28</f>
        <v>0</v>
      </c>
      <c r="BH28" s="137">
        <f>IF(OR(BF28&lt;&gt;0,BG28&lt;&gt;0),_xll.xSPRDOPT($BW28,$BV28,$CG28,0,$BY28,$BX28,$BZ28,$AJ28,1,12)*$CB28,0)</f>
        <v>8.0230249866607522E-8</v>
      </c>
      <c r="BI28" s="137">
        <f>_xll.xSPRDOPT($BW28,$BV28,$CG28,2*LN(1+CA28/2),$BY28,$BX28,$BZ28,$AJ28,1,9)</f>
        <v>-4.1691967743072685E-3</v>
      </c>
      <c r="BJ28" s="137">
        <f>_xll.xSPRDOPT($BW28,$BV28,$CG28,0,$BY28,$BX28,$BZ28,$AJ28,1,6)*$CB28</f>
        <v>-0.45786337859535109</v>
      </c>
      <c r="BK28" s="137">
        <f>_xll.xSPRDOPT($BW28,$BV28,$CG28,0,$BY28,$BX28,$BZ28,$AJ28,1,5)*$CB28</f>
        <v>0.47580117002537592</v>
      </c>
      <c r="BL28" s="137">
        <f>_xll.xSPRDOPT(BW28,BV28,CG28,0,BY28,BX28,BZ28,AJ28,1,2)*CB28</f>
        <v>-0.89613874233947144</v>
      </c>
      <c r="BM28" s="137">
        <f>_xll.xSPRDOPT(BW28,BV28,CG28,0,BY28,BX28,BZ28,AJ28,1,1)*CB28</f>
        <v>0.8961387423502668</v>
      </c>
      <c r="BN28" s="137">
        <f>IF(AH28&lt;&gt;0,_xll.xSPRDOPT($BW28,$BV28,$CG28,2*LN(1+CA28/2),$BY28,$BX28,$BZ28,$AJ28,1,8)+(AJ28/365.25)*CH28/AH28,0)</f>
        <v>0.67508124168851458</v>
      </c>
      <c r="BO28" s="137">
        <f>_xll.xSPRDOPT($BW28,$BV28,$CG28,0,$BY28,$BX28,$BZ28,$AJ28,1,0)</f>
        <v>5.8961910419083219E-2</v>
      </c>
      <c r="BP28" s="137"/>
      <c r="BQ28" s="137"/>
      <c r="BR28" s="137"/>
      <c r="BS28" s="137"/>
      <c r="BV28" s="262">
        <v>3.1380597014925371</v>
      </c>
      <c r="BW28" s="136">
        <v>3.2609999999999997</v>
      </c>
      <c r="BX28" s="137">
        <v>0.56461614806765292</v>
      </c>
      <c r="BY28" s="137">
        <v>0.56461614806765292</v>
      </c>
      <c r="BZ28" s="137">
        <v>1</v>
      </c>
      <c r="CA28" s="137">
        <v>2.3274064967752799E-2</v>
      </c>
      <c r="CB28" s="137">
        <v>0.97893835036076038</v>
      </c>
      <c r="CC28" s="258">
        <v>-0.29499999999999998</v>
      </c>
      <c r="CD28" s="258">
        <v>2.75E-2</v>
      </c>
      <c r="CE28" s="258">
        <v>0.03</v>
      </c>
      <c r="CF28" s="258">
        <v>0.02</v>
      </c>
      <c r="CG28" s="258">
        <v>6.7199999999999996E-2</v>
      </c>
      <c r="CH28" s="258">
        <v>23.747086503051325</v>
      </c>
      <c r="CI28" s="258">
        <v>3.2109999999999999</v>
      </c>
      <c r="CJ28" s="258"/>
      <c r="CK28" s="258"/>
      <c r="CL28" s="258"/>
      <c r="CM28" s="258"/>
    </row>
    <row r="29" spans="1:91" x14ac:dyDescent="0.25">
      <c r="A29" s="723"/>
      <c r="B29" s="723"/>
      <c r="D29" s="31">
        <f t="shared" si="49"/>
        <v>37605</v>
      </c>
      <c r="F29" s="28">
        <f t="shared" si="12"/>
        <v>700</v>
      </c>
      <c r="G29" s="28">
        <f t="shared" si="13"/>
        <v>683.52418357281033</v>
      </c>
      <c r="H29" s="52">
        <f t="shared" si="14"/>
        <v>3.3086353944562901</v>
      </c>
      <c r="I29" s="52">
        <f t="shared" si="15"/>
        <v>3.4209999999999998</v>
      </c>
      <c r="K29" s="52">
        <f t="shared" si="16"/>
        <v>1.3671487200717418</v>
      </c>
      <c r="L29" s="135">
        <f t="shared" si="17"/>
        <v>0.15226460356853089</v>
      </c>
      <c r="N29" s="131">
        <f t="shared" si="18"/>
        <v>0.57917009354464755</v>
      </c>
      <c r="O29" s="131">
        <f t="shared" si="19"/>
        <v>0.57917009354464755</v>
      </c>
      <c r="P29" s="55">
        <f t="shared" si="20"/>
        <v>1.0000000000000002</v>
      </c>
      <c r="Q29" s="135">
        <f>_xll.xSPRDOPT(I29,H29,AQ29,0,O29,N29,P29,D29-$G$5,1,0)*AH29*AU29</f>
        <v>1.5194133236402727</v>
      </c>
      <c r="R29" s="135"/>
      <c r="S29" s="181">
        <f>_xll.xSPRDOPT(I29,H29,AQ29,AT29,O29,N29,P29,D29-$G$5,1,2)*AF29*(F29/(1-AR29))*AH29</f>
        <v>-19867.405916455806</v>
      </c>
      <c r="T29" s="181">
        <f>_xll.xSPRDOPT(I29,H29,AQ29,AT29,O29,N29,P29,D29-$G$5,1,1)*AF29*F29*AH29</f>
        <v>18635.626749647839</v>
      </c>
      <c r="U29" s="135"/>
      <c r="V29" s="146">
        <f t="shared" si="50"/>
        <v>24.476610428494585</v>
      </c>
      <c r="W29" s="146"/>
      <c r="X29" s="338">
        <f t="shared" si="21"/>
        <v>0</v>
      </c>
      <c r="Y29" s="338">
        <f t="shared" si="22"/>
        <v>0</v>
      </c>
      <c r="Z29" s="338">
        <f t="shared" si="23"/>
        <v>-0.92382055251568096</v>
      </c>
      <c r="AA29" s="338">
        <f t="shared" si="24"/>
        <v>0.14762804973045532</v>
      </c>
      <c r="AB29" s="338">
        <f t="shared" si="25"/>
        <v>0</v>
      </c>
      <c r="AC29" s="338">
        <f t="shared" si="26"/>
        <v>0.21077668571308814</v>
      </c>
      <c r="AF29" s="138">
        <f t="shared" si="27"/>
        <v>1</v>
      </c>
      <c r="AG29" s="138">
        <f t="shared" si="28"/>
        <v>12</v>
      </c>
      <c r="AH29" s="138">
        <f t="shared" si="29"/>
        <v>31</v>
      </c>
      <c r="AI29" s="138">
        <f t="shared" si="51"/>
        <v>349</v>
      </c>
      <c r="AJ29" s="138">
        <f t="shared" si="30"/>
        <v>366</v>
      </c>
      <c r="AL29" s="136">
        <f t="shared" si="31"/>
        <v>3.371</v>
      </c>
      <c r="AM29" s="258">
        <f t="shared" si="32"/>
        <v>-0.29499999999999998</v>
      </c>
      <c r="AN29" s="258">
        <f t="shared" si="33"/>
        <v>2.75E-2</v>
      </c>
      <c r="AO29" s="258">
        <f t="shared" si="34"/>
        <v>0.03</v>
      </c>
      <c r="AP29" s="258">
        <f t="shared" si="35"/>
        <v>0.02</v>
      </c>
      <c r="AQ29" s="136">
        <f t="shared" si="36"/>
        <v>6.7199999999999996E-2</v>
      </c>
      <c r="AR29" s="137">
        <f t="shared" si="37"/>
        <v>6.2E-2</v>
      </c>
      <c r="AS29" s="136">
        <f t="shared" si="38"/>
        <v>3.1034999999999999</v>
      </c>
      <c r="AT29" s="137">
        <f t="shared" si="39"/>
        <v>2.4110098358835999E-2</v>
      </c>
      <c r="AU29" s="137">
        <f t="shared" si="40"/>
        <v>0.97646311938972907</v>
      </c>
      <c r="AV29" s="394">
        <f t="shared" si="41"/>
        <v>1392.4364082497536</v>
      </c>
      <c r="AW29" s="137">
        <f t="shared" si="42"/>
        <v>0.54</v>
      </c>
      <c r="AX29" s="137">
        <f t="shared" si="43"/>
        <v>1.1499999999999999</v>
      </c>
      <c r="AY29" s="137">
        <f t="shared" si="44"/>
        <v>1.1499999999999999</v>
      </c>
      <c r="AZ29" s="137"/>
      <c r="BA29" s="264"/>
      <c r="BB29" s="258">
        <f t="shared" si="45"/>
        <v>0</v>
      </c>
      <c r="BC29" s="258">
        <f t="shared" si="46"/>
        <v>0</v>
      </c>
      <c r="BD29" s="137">
        <f t="shared" si="47"/>
        <v>3.0902553746003925E-4</v>
      </c>
      <c r="BE29" s="137">
        <f t="shared" si="48"/>
        <v>3.0902553746003925E-4</v>
      </c>
      <c r="BF29" s="137">
        <f>_xll.xSPRDOPT($BW29,$BV29,$CG29,0,$BY29,$BX29,$BZ29,$AJ29,1,4)*$CB29</f>
        <v>-1.4547570437190061E-8</v>
      </c>
      <c r="BG29" s="137">
        <f>_xll.xSPRDOPT($BW29,$BV29,$CG29,0,$BY29,$BX29,$BZ29,$AJ29,1,3)*$CB29</f>
        <v>-6.5464066967355275E-7</v>
      </c>
      <c r="BH29" s="137">
        <f>IF(OR(BF29&lt;&gt;0,BG29&lt;&gt;0),_xll.xSPRDOPT($BW29,$BV29,$CG29,0,$BY29,$BX29,$BZ29,$AJ29,1,12)*$CB29,0)</f>
        <v>3.4914169049256147E-7</v>
      </c>
      <c r="BI29" s="137">
        <f>_xll.xSPRDOPT($BW29,$BV29,$CG29,2*LN(1+CA29/2),$BY29,$BX29,$BZ29,$AJ29,1,9)</f>
        <v>-5.183186740496966E-3</v>
      </c>
      <c r="BJ29" s="137">
        <f>_xll.xSPRDOPT($BW29,$BV29,$CG29,0,$BY29,$BX29,$BZ29,$AJ29,1,6)*$CB29</f>
        <v>-0.64823751048921185</v>
      </c>
      <c r="BK29" s="137">
        <f>_xll.xSPRDOPT($BW29,$BV29,$CG29,0,$BY29,$BX29,$BZ29,$AJ29,1,5)*$CB29</f>
        <v>0.67025231220493986</v>
      </c>
      <c r="BL29" s="137">
        <f>_xll.xSPRDOPT(BW29,BV29,CG29,0,BY29,BX29,BZ29,AJ29,1,2)*CB29</f>
        <v>-0.85914460029950812</v>
      </c>
      <c r="BM29" s="137">
        <f>_xll.xSPRDOPT(BW29,BV29,CG29,0,BY29,BX29,BZ29,AJ29,1,1)*CB29</f>
        <v>0.85914460030183892</v>
      </c>
      <c r="BN29" s="137">
        <f>IF(AH29&lt;&gt;0,_xll.xSPRDOPT($BW29,$BV29,$CG29,2*LN(1+CA29/2),$BY29,$BX29,$BZ29,$AJ29,1,8)+(AJ29/365.25)*CH29/AH29,0)</f>
        <v>0.74188362279621156</v>
      </c>
      <c r="BO29" s="137">
        <f>_xll.xSPRDOPT($BW29,$BV29,$CG29,0,$BY29,$BX29,$BZ29,$AJ29,1,0)</f>
        <v>5.024148521313767E-2</v>
      </c>
      <c r="BP29" s="137"/>
      <c r="BQ29" s="137"/>
      <c r="BR29" s="137"/>
      <c r="BS29" s="137"/>
      <c r="BV29" s="262">
        <v>3.3086353944562901</v>
      </c>
      <c r="BW29" s="136">
        <v>3.4209999999999998</v>
      </c>
      <c r="BX29" s="137">
        <v>0.57886106800718751</v>
      </c>
      <c r="BY29" s="137">
        <v>0.57886106800718751</v>
      </c>
      <c r="BZ29" s="137">
        <v>1</v>
      </c>
      <c r="CA29" s="137">
        <v>2.4110098358835999E-2</v>
      </c>
      <c r="CB29" s="137">
        <v>0.97627092599980836</v>
      </c>
      <c r="CC29" s="258">
        <v>-0.29499999999999998</v>
      </c>
      <c r="CD29" s="258">
        <v>2.75E-2</v>
      </c>
      <c r="CE29" s="258">
        <v>0.03</v>
      </c>
      <c r="CF29" s="258">
        <v>0.02</v>
      </c>
      <c r="CG29" s="258">
        <v>6.7199999999999996E-2</v>
      </c>
      <c r="CH29" s="258">
        <v>24.471792793666797</v>
      </c>
      <c r="CI29" s="258">
        <v>3.371</v>
      </c>
      <c r="CJ29" s="258"/>
      <c r="CK29" s="258"/>
      <c r="CL29" s="258"/>
      <c r="CM29" s="258"/>
    </row>
    <row r="30" spans="1:91" x14ac:dyDescent="0.25">
      <c r="A30" s="723"/>
      <c r="B30" s="723"/>
      <c r="D30" s="31">
        <f t="shared" si="49"/>
        <v>37636</v>
      </c>
      <c r="F30" s="28">
        <f t="shared" si="12"/>
        <v>700</v>
      </c>
      <c r="G30" s="28">
        <f t="shared" si="13"/>
        <v>681.46079602814189</v>
      </c>
      <c r="H30" s="52">
        <f t="shared" si="14"/>
        <v>3.4152452025586357</v>
      </c>
      <c r="I30" s="52">
        <f t="shared" si="15"/>
        <v>3.4860000000000002</v>
      </c>
      <c r="K30" s="52">
        <f t="shared" si="16"/>
        <v>0.13745913227759254</v>
      </c>
      <c r="L30" s="135">
        <f t="shared" si="17"/>
        <v>0.42036070351797283</v>
      </c>
      <c r="N30" s="131">
        <f t="shared" si="18"/>
        <v>0.57632730332360438</v>
      </c>
      <c r="O30" s="131">
        <f t="shared" si="19"/>
        <v>0.57632730332360438</v>
      </c>
      <c r="P30" s="55">
        <f t="shared" si="20"/>
        <v>1</v>
      </c>
      <c r="Q30" s="135">
        <f>_xll.xSPRDOPT(I30,H30,AQ30,0,O30,N30,P30,D30-$G$5,1,0)*AH30*AU30</f>
        <v>0.55781983579556538</v>
      </c>
      <c r="R30" s="135"/>
      <c r="S30" s="181">
        <f>_xll.xSPRDOPT(I30,H30,AQ30,AT30,O30,N30,P30,D30-$G$5,1,2)*AF30*(F30/(1-AR30))*AH30</f>
        <v>-15420.022451747396</v>
      </c>
      <c r="T30" s="181">
        <f>_xll.xSPRDOPT(I30,H30,AQ30,AT30,O30,N30,P30,D30-$G$5,1,1)*AF30*F30*AH30</f>
        <v>14463.981059729191</v>
      </c>
      <c r="U30" s="135"/>
      <c r="V30" s="146">
        <f t="shared" si="50"/>
        <v>24.390650108354677</v>
      </c>
      <c r="W30" s="146"/>
      <c r="X30" s="338">
        <f t="shared" si="21"/>
        <v>0</v>
      </c>
      <c r="Y30" s="338">
        <f t="shared" si="22"/>
        <v>0</v>
      </c>
      <c r="Z30" s="338">
        <f t="shared" si="23"/>
        <v>-1.1266266268966618</v>
      </c>
      <c r="AA30" s="338">
        <f t="shared" si="24"/>
        <v>0.15662905639943389</v>
      </c>
      <c r="AB30" s="338">
        <f t="shared" si="25"/>
        <v>0</v>
      </c>
      <c r="AC30" s="338">
        <f t="shared" si="26"/>
        <v>8.0502905246509257E-2</v>
      </c>
      <c r="AF30" s="138">
        <f t="shared" si="27"/>
        <v>1</v>
      </c>
      <c r="AG30" s="138">
        <f t="shared" si="28"/>
        <v>1</v>
      </c>
      <c r="AH30" s="138">
        <f t="shared" si="29"/>
        <v>31</v>
      </c>
      <c r="AI30" s="138">
        <f t="shared" si="51"/>
        <v>380</v>
      </c>
      <c r="AJ30" s="138">
        <f t="shared" si="30"/>
        <v>397</v>
      </c>
      <c r="AL30" s="136">
        <f t="shared" si="31"/>
        <v>3.4460000000000002</v>
      </c>
      <c r="AM30" s="258">
        <f t="shared" si="32"/>
        <v>-0.27</v>
      </c>
      <c r="AN30" s="258">
        <f t="shared" si="33"/>
        <v>2.75E-2</v>
      </c>
      <c r="AO30" s="258">
        <f t="shared" si="34"/>
        <v>0.02</v>
      </c>
      <c r="AP30" s="258">
        <f t="shared" si="35"/>
        <v>0.02</v>
      </c>
      <c r="AQ30" s="136">
        <f t="shared" si="36"/>
        <v>6.6199999999999995E-2</v>
      </c>
      <c r="AR30" s="137">
        <f t="shared" si="37"/>
        <v>6.2E-2</v>
      </c>
      <c r="AS30" s="136">
        <f t="shared" si="38"/>
        <v>3.2035</v>
      </c>
      <c r="AT30" s="137">
        <f t="shared" si="39"/>
        <v>2.50384261928196E-2</v>
      </c>
      <c r="AU30" s="137">
        <f t="shared" si="40"/>
        <v>0.97351542289734561</v>
      </c>
      <c r="AV30" s="394">
        <f t="shared" si="41"/>
        <v>1388.2329930516148</v>
      </c>
      <c r="AW30" s="137">
        <f t="shared" si="42"/>
        <v>0.53749999999999998</v>
      </c>
      <c r="AX30" s="137">
        <f t="shared" si="43"/>
        <v>1.18</v>
      </c>
      <c r="AY30" s="137">
        <f t="shared" si="44"/>
        <v>1.18</v>
      </c>
      <c r="AZ30" s="137"/>
      <c r="BA30" s="264"/>
      <c r="BB30" s="258">
        <f t="shared" si="45"/>
        <v>0</v>
      </c>
      <c r="BC30" s="258">
        <f t="shared" si="46"/>
        <v>0</v>
      </c>
      <c r="BD30" s="137">
        <f t="shared" si="47"/>
        <v>2.8252396234673682E-4</v>
      </c>
      <c r="BE30" s="137">
        <f t="shared" si="48"/>
        <v>2.8252396234673682E-4</v>
      </c>
      <c r="BF30" s="137">
        <f>_xll.xSPRDOPT($BW30,$BV30,$CG30,0,$BY30,$BX30,$BZ30,$AJ30,1,4)*$CB30</f>
        <v>6.9617019534107188E-7</v>
      </c>
      <c r="BG30" s="137">
        <f>_xll.xSPRDOPT($BW30,$BV30,$CG30,0,$BY30,$BX30,$BZ30,$AJ30,1,3)*$CB30</f>
        <v>6.0914892092343789E-7</v>
      </c>
      <c r="BH30" s="137">
        <f>IF(OR(BF30&lt;&gt;0,BG30&lt;&gt;0),_xll.xSPRDOPT($BW30,$BV30,$CG30,0,$BY30,$BX30,$BZ30,$AJ30,1,12)*$CB30,0)</f>
        <v>-5.4388296511021243E-8</v>
      </c>
      <c r="BI30" s="137">
        <f>_xll.xSPRDOPT($BW30,$BV30,$CG30,2*LN(1+CA30/2),$BY30,$BX30,$BZ30,$AJ30,1,9)</f>
        <v>-6.3210503145008558E-3</v>
      </c>
      <c r="BJ30" s="137">
        <f>_xll.xSPRDOPT($BW30,$BV30,$CG30,0,$BY30,$BX30,$BZ30,$AJ30,1,6)*$CB30</f>
        <v>-1.2331710119266344</v>
      </c>
      <c r="BK30" s="137">
        <f>_xll.xSPRDOPT($BW30,$BV30,$CG30,0,$BY30,$BX30,$BZ30,$AJ30,1,5)*$CB30</f>
        <v>1.2587190355575466</v>
      </c>
      <c r="BL30" s="137">
        <f>_xll.xSPRDOPT(BW30,BV30,CG30,0,BY30,BX30,BZ30,AJ30,1,2)*CB30</f>
        <v>-0.66720451437318151</v>
      </c>
      <c r="BM30" s="137">
        <f>_xll.xSPRDOPT(BW30,BV30,CG30,0,BY30,BX30,BZ30,AJ30,1,1)*CB30</f>
        <v>0.66720451437284956</v>
      </c>
      <c r="BN30" s="137">
        <f>IF(AH30&lt;&gt;0,_xll.xSPRDOPT($BW30,$BV30,$CG30,2*LN(1+CA30/2),$BY30,$BX30,$BZ30,$AJ30,1,8)+(AJ30/365.25)*CH30/AH30,0)</f>
        <v>0.83540682678648959</v>
      </c>
      <c r="BO30" s="137">
        <f>_xll.xSPRDOPT($BW30,$BV30,$CG30,0,$BY30,$BX30,$BZ30,$AJ30,1,0)</f>
        <v>1.8533595756190568E-2</v>
      </c>
      <c r="BP30" s="137"/>
      <c r="BQ30" s="137"/>
      <c r="BR30" s="137"/>
      <c r="BS30" s="137"/>
      <c r="BV30" s="262">
        <v>3.4152452025586357</v>
      </c>
      <c r="BW30" s="136">
        <v>3.4860000000000002</v>
      </c>
      <c r="BX30" s="137">
        <v>0.57604477936125764</v>
      </c>
      <c r="BY30" s="137">
        <v>0.57604477936125764</v>
      </c>
      <c r="BZ30" s="137">
        <v>1</v>
      </c>
      <c r="CA30" s="137">
        <v>2.50384261928196E-2</v>
      </c>
      <c r="CB30" s="137">
        <v>0.97331647833327972</v>
      </c>
      <c r="CC30" s="258">
        <v>-0.27</v>
      </c>
      <c r="CD30" s="258">
        <v>2.75E-2</v>
      </c>
      <c r="CE30" s="258">
        <v>0.02</v>
      </c>
      <c r="CF30" s="258">
        <v>0.02</v>
      </c>
      <c r="CG30" s="258">
        <v>6.6199999999999995E-2</v>
      </c>
      <c r="CH30" s="258">
        <v>24.385665711457658</v>
      </c>
      <c r="CI30" s="258">
        <v>3.4460000000000002</v>
      </c>
      <c r="CJ30" s="258"/>
      <c r="CK30" s="258"/>
      <c r="CL30" s="258"/>
      <c r="CM30" s="258"/>
    </row>
    <row r="31" spans="1:91" x14ac:dyDescent="0.25">
      <c r="A31" s="723"/>
      <c r="B31" s="723"/>
      <c r="D31" s="31">
        <f t="shared" si="49"/>
        <v>37667</v>
      </c>
      <c r="F31" s="28">
        <f t="shared" si="12"/>
        <v>700</v>
      </c>
      <c r="G31" s="28">
        <f t="shared" si="13"/>
        <v>679.23717628188581</v>
      </c>
      <c r="H31" s="52">
        <f t="shared" si="14"/>
        <v>3.3459488272921107</v>
      </c>
      <c r="I31" s="52">
        <f t="shared" si="15"/>
        <v>3.411</v>
      </c>
      <c r="K31" s="52">
        <f t="shared" si="16"/>
        <v>0</v>
      </c>
      <c r="L31" s="135">
        <f t="shared" si="17"/>
        <v>0.40954165732805597</v>
      </c>
      <c r="N31" s="131">
        <f t="shared" si="18"/>
        <v>0.56121070542386564</v>
      </c>
      <c r="O31" s="131">
        <f t="shared" si="19"/>
        <v>0.56121070542386564</v>
      </c>
      <c r="P31" s="55">
        <f t="shared" si="20"/>
        <v>1</v>
      </c>
      <c r="Q31" s="135">
        <f>_xll.xSPRDOPT(I31,H31,AQ31,0,O31,N31,P31,D31-$G$5,1,0)*AH31*AU31</f>
        <v>0.40954165732805597</v>
      </c>
      <c r="R31" s="135"/>
      <c r="S31" s="181">
        <f>_xll.xSPRDOPT(I31,H31,AQ31,AT31,O31,N31,P31,D31-$G$5,1,2)*AF31*(F31/(1-AR31))*AH31</f>
        <v>-12138.719474717504</v>
      </c>
      <c r="T31" s="181">
        <f>_xll.xSPRDOPT(I31,H31,AQ31,AT31,O31,N31,P31,D31-$G$5,1,1)*AF31*F31*AH31</f>
        <v>11386.118867320112</v>
      </c>
      <c r="U31" s="135"/>
      <c r="V31" s="146">
        <f t="shared" si="50"/>
        <v>21.958379434840804</v>
      </c>
      <c r="W31" s="146"/>
      <c r="X31" s="338">
        <f t="shared" si="21"/>
        <v>0</v>
      </c>
      <c r="Y31" s="338">
        <f t="shared" si="22"/>
        <v>0</v>
      </c>
      <c r="Z31" s="338">
        <f t="shared" si="23"/>
        <v>-0.95863769924502118</v>
      </c>
      <c r="AA31" s="338">
        <f t="shared" si="24"/>
        <v>0.11890150600389751</v>
      </c>
      <c r="AB31" s="338">
        <f t="shared" si="25"/>
        <v>0</v>
      </c>
      <c r="AC31" s="338">
        <f t="shared" si="26"/>
        <v>6.150713549968382E-2</v>
      </c>
      <c r="AF31" s="138">
        <f t="shared" si="27"/>
        <v>1</v>
      </c>
      <c r="AG31" s="138">
        <f t="shared" si="28"/>
        <v>2</v>
      </c>
      <c r="AH31" s="138">
        <f t="shared" si="29"/>
        <v>28</v>
      </c>
      <c r="AI31" s="138">
        <f t="shared" si="51"/>
        <v>411</v>
      </c>
      <c r="AJ31" s="138">
        <f t="shared" si="30"/>
        <v>428</v>
      </c>
      <c r="AL31" s="136">
        <f t="shared" si="31"/>
        <v>3.371</v>
      </c>
      <c r="AM31" s="258">
        <f t="shared" si="32"/>
        <v>-0.26</v>
      </c>
      <c r="AN31" s="258">
        <f t="shared" si="33"/>
        <v>2.75E-2</v>
      </c>
      <c r="AO31" s="258">
        <f t="shared" si="34"/>
        <v>0.02</v>
      </c>
      <c r="AP31" s="258">
        <f t="shared" si="35"/>
        <v>0.02</v>
      </c>
      <c r="AQ31" s="136">
        <f t="shared" si="36"/>
        <v>6.6199999999999995E-2</v>
      </c>
      <c r="AR31" s="137">
        <f t="shared" si="37"/>
        <v>6.2E-2</v>
      </c>
      <c r="AS31" s="136">
        <f t="shared" si="38"/>
        <v>3.1384999999999996</v>
      </c>
      <c r="AT31" s="137">
        <f t="shared" si="39"/>
        <v>2.6044986419747399E-2</v>
      </c>
      <c r="AU31" s="137">
        <f t="shared" si="40"/>
        <v>0.97033882325983689</v>
      </c>
      <c r="AV31" s="394">
        <f t="shared" si="41"/>
        <v>1249.7964043586699</v>
      </c>
      <c r="AW31" s="137">
        <f t="shared" si="42"/>
        <v>0.52749999999999997</v>
      </c>
      <c r="AX31" s="137">
        <f t="shared" si="43"/>
        <v>1.18</v>
      </c>
      <c r="AY31" s="137">
        <f t="shared" si="44"/>
        <v>1.18</v>
      </c>
      <c r="AZ31" s="137"/>
      <c r="BA31" s="264"/>
      <c r="BB31" s="258">
        <f t="shared" si="45"/>
        <v>0</v>
      </c>
      <c r="BC31" s="258">
        <f t="shared" si="46"/>
        <v>0</v>
      </c>
      <c r="BD31" s="137">
        <f t="shared" si="47"/>
        <v>2.2924009791358557E-4</v>
      </c>
      <c r="BE31" s="137">
        <f t="shared" si="48"/>
        <v>2.2924009791358557E-4</v>
      </c>
      <c r="BF31" s="137">
        <f>_xll.xSPRDOPT($BW31,$BV31,$CG31,0,$BY31,$BX31,$BZ31,$AJ31,1,4)*$CB31</f>
        <v>8.6736614267703499E-8</v>
      </c>
      <c r="BG31" s="137">
        <f>_xll.xSPRDOPT($BW31,$BV31,$CG31,0,$BY31,$BX31,$BZ31,$AJ31,1,3)*$CB31</f>
        <v>-1.1564881902360466E-7</v>
      </c>
      <c r="BH31" s="137">
        <f>IF(OR(BF31&lt;&gt;0,BG31&lt;&gt;0),_xll.xSPRDOPT($BW31,$BV31,$CG31,0,$BY31,$BX31,$BZ31,$AJ31,1,12)*$CB31,0)</f>
        <v>0</v>
      </c>
      <c r="BI31" s="137">
        <f>_xll.xSPRDOPT($BW31,$BV31,$CG31,2*LN(1+CA31/2),$BY31,$BX31,$BZ31,$AJ31,1,9)</f>
        <v>-5.9548030552592519E-3</v>
      </c>
      <c r="BJ31" s="137">
        <f>_xll.xSPRDOPT($BW31,$BV31,$CG31,0,$BY31,$BX31,$BZ31,$AJ31,1,6)*$CB31</f>
        <v>-1.3611464764696897</v>
      </c>
      <c r="BK31" s="137">
        <f>_xll.xSPRDOPT($BW31,$BV31,$CG31,0,$BY31,$BX31,$BZ31,$AJ31,1,5)*$CB31</f>
        <v>1.3876095753025675</v>
      </c>
      <c r="BL31" s="137">
        <f>_xll.xSPRDOPT(BW31,BV31,CG31,0,BY31,BX31,BZ31,AJ31,1,2)*CB31</f>
        <v>-0.58162305508223022</v>
      </c>
      <c r="BM31" s="137">
        <f>_xll.xSPRDOPT(BW31,BV31,CG31,0,BY31,BX31,BZ31,AJ31,1,1)*CB31</f>
        <v>0.58162305508460155</v>
      </c>
      <c r="BN31" s="137">
        <f>IF(AH31&lt;&gt;0,_xll.xSPRDOPT($BW31,$BV31,$CG31,2*LN(1+CA31/2),$BY31,$BX31,$BZ31,$AJ31,1,8)+(AJ31/365.25)*CH31/AH31,0)</f>
        <v>0.90157331052115131</v>
      </c>
      <c r="BO31" s="137">
        <f>_xll.xSPRDOPT($BW31,$BV31,$CG31,0,$BY31,$BX31,$BZ31,$AJ31,1,0)</f>
        <v>1.5121092228783137E-2</v>
      </c>
      <c r="BP31" s="137"/>
      <c r="BQ31" s="137"/>
      <c r="BR31" s="137"/>
      <c r="BS31" s="137"/>
      <c r="BV31" s="262">
        <v>3.3459488272921107</v>
      </c>
      <c r="BW31" s="136">
        <v>3.411</v>
      </c>
      <c r="BX31" s="137">
        <v>0.56098146532595206</v>
      </c>
      <c r="BY31" s="137">
        <v>0.56098146532595206</v>
      </c>
      <c r="BZ31" s="137">
        <v>1</v>
      </c>
      <c r="CA31" s="137">
        <v>2.6044986419747399E-2</v>
      </c>
      <c r="CB31" s="137">
        <v>0.97013260845196225</v>
      </c>
      <c r="CC31" s="258">
        <v>-0.26</v>
      </c>
      <c r="CD31" s="258">
        <v>2.75E-2</v>
      </c>
      <c r="CE31" s="258">
        <v>0.02</v>
      </c>
      <c r="CF31" s="258">
        <v>0.02</v>
      </c>
      <c r="CG31" s="258">
        <v>6.6199999999999995E-2</v>
      </c>
      <c r="CH31" s="258">
        <v>21.953712876224525</v>
      </c>
      <c r="CI31" s="258">
        <v>3.371</v>
      </c>
      <c r="CJ31" s="258"/>
      <c r="CK31" s="258"/>
      <c r="CL31" s="258"/>
      <c r="CM31" s="258"/>
    </row>
    <row r="32" spans="1:91" x14ac:dyDescent="0.25">
      <c r="A32" s="723"/>
      <c r="B32" s="723"/>
      <c r="D32" s="31">
        <f t="shared" si="49"/>
        <v>37695</v>
      </c>
      <c r="F32" s="28">
        <f t="shared" si="12"/>
        <v>700</v>
      </c>
      <c r="G32" s="28">
        <f t="shared" si="13"/>
        <v>677.1371425574697</v>
      </c>
      <c r="H32" s="52">
        <f t="shared" si="14"/>
        <v>3.1966950959488276</v>
      </c>
      <c r="I32" s="52">
        <f t="shared" si="15"/>
        <v>3.3210000000000002</v>
      </c>
      <c r="K32" s="52">
        <f t="shared" si="16"/>
        <v>1.7424209280448502</v>
      </c>
      <c r="L32" s="135">
        <f t="shared" si="17"/>
        <v>0.10145987593769656</v>
      </c>
      <c r="N32" s="131">
        <f t="shared" si="18"/>
        <v>0.50896699400854961</v>
      </c>
      <c r="O32" s="131">
        <f t="shared" si="19"/>
        <v>0.50896699400854961</v>
      </c>
      <c r="P32" s="55">
        <f t="shared" si="20"/>
        <v>1.0000000000000002</v>
      </c>
      <c r="Q32" s="135">
        <f>_xll.xSPRDOPT(I32,H32,AQ32,0,O32,N32,P32,D32-$G$5,1,0)*AH32*AU32</f>
        <v>1.8438808039825467</v>
      </c>
      <c r="R32" s="135"/>
      <c r="S32" s="181">
        <f>_xll.xSPRDOPT(I32,H32,AQ32,AT32,O32,N32,P32,D32-$G$5,1,2)*AF32*(F32/(1-AR32))*AH32</f>
        <v>-20567.719635035221</v>
      </c>
      <c r="T32" s="181">
        <f>_xll.xSPRDOPT(I32,H32,AQ32,AT32,O32,N32,P32,D32-$G$5,1,1)*AF32*F32*AH32</f>
        <v>19292.521017559389</v>
      </c>
      <c r="U32" s="135"/>
      <c r="V32" s="146">
        <f t="shared" si="50"/>
        <v>24.235899138661942</v>
      </c>
      <c r="W32" s="146"/>
      <c r="X32" s="338">
        <f t="shared" si="21"/>
        <v>0</v>
      </c>
      <c r="Y32" s="338">
        <f t="shared" si="22"/>
        <v>0</v>
      </c>
      <c r="Z32" s="338">
        <f t="shared" si="23"/>
        <v>-0.44627229579606437</v>
      </c>
      <c r="AA32" s="338">
        <f t="shared" si="24"/>
        <v>6.0123870752757061E-2</v>
      </c>
      <c r="AB32" s="338">
        <f t="shared" si="25"/>
        <v>0</v>
      </c>
      <c r="AC32" s="338">
        <f t="shared" si="26"/>
        <v>0.28583674205663095</v>
      </c>
      <c r="AF32" s="138">
        <f t="shared" si="27"/>
        <v>1</v>
      </c>
      <c r="AG32" s="138">
        <f t="shared" si="28"/>
        <v>3</v>
      </c>
      <c r="AH32" s="138">
        <f t="shared" si="29"/>
        <v>31</v>
      </c>
      <c r="AI32" s="138">
        <f t="shared" si="51"/>
        <v>439</v>
      </c>
      <c r="AJ32" s="138">
        <f t="shared" si="30"/>
        <v>456</v>
      </c>
      <c r="AL32" s="136">
        <f t="shared" si="31"/>
        <v>3.2810000000000001</v>
      </c>
      <c r="AM32" s="258">
        <f t="shared" si="32"/>
        <v>-0.31</v>
      </c>
      <c r="AN32" s="258">
        <f t="shared" si="33"/>
        <v>2.75E-2</v>
      </c>
      <c r="AO32" s="258">
        <f t="shared" si="34"/>
        <v>0.02</v>
      </c>
      <c r="AP32" s="258">
        <f t="shared" si="35"/>
        <v>0.02</v>
      </c>
      <c r="AQ32" s="136">
        <f t="shared" si="36"/>
        <v>6.6199999999999995E-2</v>
      </c>
      <c r="AR32" s="137">
        <f t="shared" si="37"/>
        <v>6.2E-2</v>
      </c>
      <c r="AS32" s="136">
        <f t="shared" si="38"/>
        <v>2.9984999999999999</v>
      </c>
      <c r="AT32" s="137">
        <f t="shared" si="39"/>
        <v>2.6954137886657601E-2</v>
      </c>
      <c r="AU32" s="137">
        <f t="shared" si="40"/>
        <v>0.96733877508209964</v>
      </c>
      <c r="AV32" s="394">
        <f t="shared" si="41"/>
        <v>1379.4250932670741</v>
      </c>
      <c r="AW32" s="137">
        <f t="shared" si="42"/>
        <v>0.48749999999999999</v>
      </c>
      <c r="AX32" s="137">
        <f t="shared" si="43"/>
        <v>0.93</v>
      </c>
      <c r="AY32" s="137">
        <f t="shared" si="44"/>
        <v>0.93</v>
      </c>
      <c r="AZ32" s="137"/>
      <c r="BA32" s="264"/>
      <c r="BB32" s="258">
        <f t="shared" si="45"/>
        <v>0</v>
      </c>
      <c r="BC32" s="258">
        <f t="shared" si="46"/>
        <v>0</v>
      </c>
      <c r="BD32" s="137">
        <f t="shared" si="47"/>
        <v>1.3781722370664884E-4</v>
      </c>
      <c r="BE32" s="137">
        <f t="shared" si="48"/>
        <v>1.3781722370664884E-4</v>
      </c>
      <c r="BF32" s="137">
        <f>_xll.xSPRDOPT($BW32,$BV32,$CG32,0,$BY32,$BX32,$BZ32,$AJ32,1,4)*$CB32</f>
        <v>-5.0439555142672921E-7</v>
      </c>
      <c r="BG32" s="137">
        <f>_xll.xSPRDOPT($BW32,$BV32,$CG32,0,$BY32,$BX32,$BZ32,$AJ32,1,3)*$CB32</f>
        <v>-9.6555719844545301E-7</v>
      </c>
      <c r="BH32" s="137">
        <f>IF(OR(BF32&lt;&gt;0,BG32&lt;&gt;0),_xll.xSPRDOPT($BW32,$BV32,$CG32,0,$BY32,$BX32,$BZ32,$AJ32,1,12)*$CB32,0)</f>
        <v>4.8998424995739404E-7</v>
      </c>
      <c r="BI32" s="137">
        <f>_xll.xSPRDOPT($BW32,$BV32,$CG32,2*LN(1+CA32/2),$BY32,$BX32,$BZ32,$AJ32,1,9)</f>
        <v>-2.5038549314825272E-3</v>
      </c>
      <c r="BJ32" s="137">
        <f>_xll.xSPRDOPT($BW32,$BV32,$CG32,0,$BY32,$BX32,$BZ32,$AJ32,1,6)*$CB32</f>
        <v>-0.51700727458534612</v>
      </c>
      <c r="BK32" s="137">
        <f>_xll.xSPRDOPT($BW32,$BV32,$CG32,0,$BY32,$BX32,$BZ32,$AJ32,1,5)*$CB32</f>
        <v>0.53711133134709776</v>
      </c>
      <c r="BL32" s="137">
        <f>_xll.xSPRDOPT(BW32,BV32,CG32,0,BY32,BX32,BZ32,AJ32,1,2)*CB32</f>
        <v>-0.88930848451152356</v>
      </c>
      <c r="BM32" s="137">
        <f>_xll.xSPRDOPT(BW32,BV32,CG32,0,BY32,BX32,BZ32,AJ32,1,1)*CB32</f>
        <v>0.88930848450580613</v>
      </c>
      <c r="BN32" s="137">
        <f>IF(AH32&lt;&gt;0,_xll.xSPRDOPT($BW32,$BV32,$CG32,2*LN(1+CA32/2),$BY32,$BX32,$BZ32,$AJ32,1,8)+(AJ32/365.25)*CH32/AH32,0)</f>
        <v>0.90155458726610949</v>
      </c>
      <c r="BO32" s="137">
        <f>_xll.xSPRDOPT($BW32,$BV32,$CG32,0,$BY32,$BX32,$BZ32,$AJ32,1,0)</f>
        <v>6.152034368119106E-2</v>
      </c>
      <c r="BP32" s="137"/>
      <c r="BQ32" s="137"/>
      <c r="BR32" s="137"/>
      <c r="BS32" s="137"/>
      <c r="BV32" s="262">
        <v>3.1966950959488276</v>
      </c>
      <c r="BW32" s="136">
        <v>3.3210000000000002</v>
      </c>
      <c r="BX32" s="137">
        <v>0.50882917678484296</v>
      </c>
      <c r="BY32" s="137">
        <v>0.50882917678484296</v>
      </c>
      <c r="BZ32" s="137">
        <v>1</v>
      </c>
      <c r="CA32" s="137">
        <v>2.6954137886657601E-2</v>
      </c>
      <c r="CB32" s="137">
        <v>0.96712607036861076</v>
      </c>
      <c r="CC32" s="258">
        <v>-0.31</v>
      </c>
      <c r="CD32" s="258">
        <v>2.75E-2</v>
      </c>
      <c r="CE32" s="258">
        <v>0.02</v>
      </c>
      <c r="CF32" s="258">
        <v>0.02</v>
      </c>
      <c r="CG32" s="258">
        <v>6.6199999999999995E-2</v>
      </c>
      <c r="CH32" s="258">
        <v>24.230569992229249</v>
      </c>
      <c r="CI32" s="258">
        <v>3.2810000000000001</v>
      </c>
      <c r="CJ32" s="258"/>
      <c r="CK32" s="258"/>
      <c r="CL32" s="258"/>
      <c r="CM32" s="258"/>
    </row>
    <row r="33" spans="1:91" x14ac:dyDescent="0.25">
      <c r="A33" s="723"/>
      <c r="B33" s="723"/>
      <c r="D33" s="31">
        <f t="shared" si="49"/>
        <v>37726</v>
      </c>
      <c r="F33" s="28">
        <f t="shared" si="12"/>
        <v>700</v>
      </c>
      <c r="G33" s="28">
        <f t="shared" si="13"/>
        <v>674.69956570353838</v>
      </c>
      <c r="H33" s="52">
        <f t="shared" si="14"/>
        <v>2.8901918976545842</v>
      </c>
      <c r="I33" s="52">
        <f t="shared" si="15"/>
        <v>3.286</v>
      </c>
      <c r="K33" s="52">
        <f t="shared" si="16"/>
        <v>9.5308475787779798</v>
      </c>
      <c r="L33" s="135">
        <f t="shared" si="17"/>
        <v>2.1713810655299426E-5</v>
      </c>
      <c r="N33" s="131">
        <f t="shared" si="18"/>
        <v>0.39486246463722208</v>
      </c>
      <c r="O33" s="131">
        <f t="shared" si="19"/>
        <v>0.39486246463722208</v>
      </c>
      <c r="P33" s="55">
        <f t="shared" si="20"/>
        <v>1</v>
      </c>
      <c r="Q33" s="135">
        <f>_xll.xSPRDOPT(I33,H33,AQ33,0,O33,N33,P33,D33-$G$5,1,0)*AH33*AU33</f>
        <v>9.5308692925886351</v>
      </c>
      <c r="R33" s="135"/>
      <c r="S33" s="181">
        <f>_xll.xSPRDOPT(I33,H33,AQ33,AT33,O33,N33,P33,D33-$G$5,1,2)*AF33*(F33/(1-AR33))*AH33</f>
        <v>-21572.982283399131</v>
      </c>
      <c r="T33" s="181">
        <f>_xll.xSPRDOPT(I33,H33,AQ33,AT33,O33,N33,P33,D33-$G$5,1,1)*AF33*F33*AH33</f>
        <v>20235.457381923879</v>
      </c>
      <c r="U33" s="135"/>
      <c r="V33" s="146">
        <f t="shared" si="50"/>
        <v>23.369665242925702</v>
      </c>
      <c r="W33" s="146"/>
      <c r="X33" s="338">
        <f t="shared" si="21"/>
        <v>0</v>
      </c>
      <c r="Y33" s="338">
        <f t="shared" si="22"/>
        <v>0</v>
      </c>
      <c r="Z33" s="338">
        <f t="shared" si="23"/>
        <v>1.521165631917756</v>
      </c>
      <c r="AA33" s="338">
        <f t="shared" si="24"/>
        <v>2.9728550954204603E-5</v>
      </c>
      <c r="AB33" s="338">
        <f t="shared" si="25"/>
        <v>0</v>
      </c>
      <c r="AC33" s="338">
        <f t="shared" si="26"/>
        <v>1.5325913420501216</v>
      </c>
      <c r="AF33" s="138">
        <f t="shared" si="27"/>
        <v>1</v>
      </c>
      <c r="AG33" s="138">
        <f t="shared" si="28"/>
        <v>4</v>
      </c>
      <c r="AH33" s="138">
        <f t="shared" si="29"/>
        <v>30</v>
      </c>
      <c r="AI33" s="138">
        <f t="shared" si="51"/>
        <v>470</v>
      </c>
      <c r="AJ33" s="138">
        <f t="shared" si="30"/>
        <v>487</v>
      </c>
      <c r="AL33" s="136">
        <f t="shared" si="31"/>
        <v>3.1259999999999999</v>
      </c>
      <c r="AM33" s="258">
        <f t="shared" si="32"/>
        <v>-0.435</v>
      </c>
      <c r="AN33" s="258">
        <f t="shared" si="33"/>
        <v>0.02</v>
      </c>
      <c r="AO33" s="258">
        <f t="shared" si="34"/>
        <v>0.14000000000000001</v>
      </c>
      <c r="AP33" s="258">
        <f t="shared" si="35"/>
        <v>0.02</v>
      </c>
      <c r="AQ33" s="136">
        <f t="shared" si="36"/>
        <v>6.6199999999999995E-2</v>
      </c>
      <c r="AR33" s="137">
        <f t="shared" si="37"/>
        <v>6.2E-2</v>
      </c>
      <c r="AS33" s="136">
        <f t="shared" si="38"/>
        <v>2.7109999999999999</v>
      </c>
      <c r="AT33" s="137">
        <f t="shared" si="39"/>
        <v>2.79745964320606E-2</v>
      </c>
      <c r="AU33" s="137">
        <f t="shared" si="40"/>
        <v>0.96385652243362618</v>
      </c>
      <c r="AV33" s="394">
        <f t="shared" si="41"/>
        <v>1330.1220009584042</v>
      </c>
      <c r="AW33" s="137">
        <f t="shared" si="42"/>
        <v>0.38750000000000001</v>
      </c>
      <c r="AX33" s="137">
        <f t="shared" si="43"/>
        <v>0.57999999999999996</v>
      </c>
      <c r="AY33" s="137">
        <f t="shared" si="44"/>
        <v>0.57999999999999996</v>
      </c>
      <c r="AZ33" s="137"/>
      <c r="BA33" s="264"/>
      <c r="BB33" s="258">
        <f t="shared" si="45"/>
        <v>0</v>
      </c>
      <c r="BC33" s="258">
        <f t="shared" si="46"/>
        <v>0</v>
      </c>
      <c r="BD33" s="137">
        <f t="shared" si="47"/>
        <v>4.4841638542014728E-5</v>
      </c>
      <c r="BE33" s="137">
        <f t="shared" si="48"/>
        <v>4.4841638542014728E-5</v>
      </c>
      <c r="BF33" s="137">
        <f>_xll.xSPRDOPT($BW33,$BV33,$CG33,0,$BY33,$BX33,$BZ33,$AJ33,1,4)*$CB33</f>
        <v>-2.2974887275464988E-7</v>
      </c>
      <c r="BG33" s="137">
        <f>_xll.xSPRDOPT($BW33,$BV33,$CG33,0,$BY33,$BX33,$BZ33,$AJ33,1,3)*$CB33</f>
        <v>-2.2974887275464988E-7</v>
      </c>
      <c r="BH33" s="137">
        <f>IF(OR(BF33&lt;&gt;0,BG33&lt;&gt;0),_xll.xSPRDOPT($BW33,$BV33,$CG33,0,$BY33,$BX33,$BZ33,$AJ33,1,12)*$CB33,0)</f>
        <v>-1.7231165456598742E-7</v>
      </c>
      <c r="BI33" s="137">
        <f>_xll.xSPRDOPT($BW33,$BV33,$CG33,2*LN(1+CA33/2),$BY33,$BX33,$BZ33,$AJ33,1,9)</f>
        <v>8.8191388421898463E-3</v>
      </c>
      <c r="BJ33" s="137">
        <f>_xll.xSPRDOPT($BW33,$BV33,$CG33,0,$BY33,$BX33,$BZ33,$AJ33,1,6)*$CB33</f>
        <v>-2.3052333174369813E-4</v>
      </c>
      <c r="BK33" s="137">
        <f>_xll.xSPRDOPT($BW33,$BV33,$CG33,0,$BY33,$BX33,$BZ33,$AJ33,1,5)*$CB33</f>
        <v>2.6209321477121402E-4</v>
      </c>
      <c r="BL33" s="137">
        <f>_xll.xSPRDOPT(BW33,BV33,CG33,0,BY33,BX33,BZ33,AJ33,1,2)*CB33</f>
        <v>-0.96362093999959564</v>
      </c>
      <c r="BM33" s="137">
        <f>_xll.xSPRDOPT(BW33,BV33,CG33,0,BY33,BX33,BZ33,AJ33,1,1)*CB33</f>
        <v>0.96362094000573051</v>
      </c>
      <c r="BN33" s="137">
        <f>IF(AH33&lt;&gt;0,_xll.xSPRDOPT($BW33,$BV33,$CG33,2*LN(1+CA33/2),$BY33,$BX33,$BZ33,$AJ33,1,8)+(AJ33/365.25)*CH33/AH33,0)</f>
        <v>0.61491722123150194</v>
      </c>
      <c r="BO33" s="137">
        <f>_xll.xSPRDOPT($BW33,$BV33,$CG33,0,$BY33,$BX33,$BZ33,$AJ33,1,0)</f>
        <v>0.32960889182623221</v>
      </c>
      <c r="BP33" s="137"/>
      <c r="BQ33" s="137"/>
      <c r="BR33" s="137"/>
      <c r="BS33" s="137"/>
      <c r="BV33" s="262">
        <v>2.8901918976545842</v>
      </c>
      <c r="BW33" s="136">
        <v>3.286</v>
      </c>
      <c r="BX33" s="137">
        <v>0.39481762299868006</v>
      </c>
      <c r="BY33" s="137">
        <v>0.39481762299868006</v>
      </c>
      <c r="BZ33" s="137">
        <v>1</v>
      </c>
      <c r="CA33" s="137">
        <v>2.79745964320606E-2</v>
      </c>
      <c r="CB33" s="137">
        <v>0.96363661599031902</v>
      </c>
      <c r="CC33" s="258">
        <v>-0.435</v>
      </c>
      <c r="CD33" s="258">
        <v>0.02</v>
      </c>
      <c r="CE33" s="258">
        <v>0.14000000000000001</v>
      </c>
      <c r="CF33" s="258">
        <v>0.02</v>
      </c>
      <c r="CG33" s="258">
        <v>6.6199999999999995E-2</v>
      </c>
      <c r="CH33" s="258">
        <v>23.364333391301276</v>
      </c>
      <c r="CI33" s="258">
        <v>3.1259999999999999</v>
      </c>
      <c r="CJ33" s="258"/>
      <c r="CK33" s="258"/>
      <c r="CL33" s="258"/>
      <c r="CM33" s="258"/>
    </row>
  </sheetData>
  <sheetCalcPr fullCalcOnLoad="1"/>
  <mergeCells count="38">
    <mergeCell ref="AM20:AN20"/>
    <mergeCell ref="AO20:AP20"/>
    <mergeCell ref="L17:M17"/>
    <mergeCell ref="L6:M6"/>
    <mergeCell ref="L13:M13"/>
    <mergeCell ref="L14:M14"/>
    <mergeCell ref="L15:M15"/>
    <mergeCell ref="L12:M12"/>
    <mergeCell ref="L8:M8"/>
    <mergeCell ref="L7:M7"/>
    <mergeCell ref="F1:G1"/>
    <mergeCell ref="L1:P1"/>
    <mergeCell ref="L3:M3"/>
    <mergeCell ref="BU1:CB1"/>
    <mergeCell ref="AE1:AK1"/>
    <mergeCell ref="BA1:BH1"/>
    <mergeCell ref="L5:M5"/>
    <mergeCell ref="L4:M4"/>
    <mergeCell ref="L16:M16"/>
    <mergeCell ref="L11:M11"/>
    <mergeCell ref="L10:M10"/>
    <mergeCell ref="L9:M9"/>
    <mergeCell ref="A26:B26"/>
    <mergeCell ref="L18:M18"/>
    <mergeCell ref="L19:M19"/>
    <mergeCell ref="A22:B22"/>
    <mergeCell ref="A23:B23"/>
    <mergeCell ref="D10:H10"/>
    <mergeCell ref="X11:Y11"/>
    <mergeCell ref="A27:C27"/>
    <mergeCell ref="A32:B32"/>
    <mergeCell ref="A33:B33"/>
    <mergeCell ref="A28:B28"/>
    <mergeCell ref="A29:B29"/>
    <mergeCell ref="A30:B30"/>
    <mergeCell ref="A31:B31"/>
    <mergeCell ref="A24:B24"/>
    <mergeCell ref="A25:B25"/>
  </mergeCells>
  <phoneticPr fontId="0" type="noConversion"/>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67940" r:id="rId4" name="Button 4">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7941" r:id="rId5" name="Button 5">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CX33"/>
  <sheetViews>
    <sheetView topLeftCell="A8" workbookViewId="0">
      <selection activeCell="CI21" sqref="CI21:CI32"/>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LongTerm88</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88</v>
      </c>
      <c r="F2" s="178" t="str">
        <f>GetRcptPoint($AH$12,$AH$13)</f>
        <v>IF-TRANSCO/Z1</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88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5">
      <c r="A4" s="269" t="str">
        <f>ADDRESS(ROW($S$22),COLUMN($S$22))</f>
        <v>$S$22</v>
      </c>
      <c r="L4" s="721" t="s">
        <v>201</v>
      </c>
      <c r="M4" s="722"/>
      <c r="N4" s="352">
        <f ca="1">SUMPRODUCT(INDIRECT(CONCATENATE(AV4,":",AW4)),INDIRECT(CONCATENATE($AV$2,":",$AW$2)),INDIRECT(CONCATENATE($AV$3,":",$AW$3)))</f>
        <v>272448.71476174751</v>
      </c>
      <c r="O4" s="352">
        <v>272251.21999999997</v>
      </c>
      <c r="P4" s="354">
        <f ca="1">N4-O4</f>
        <v>197.49476174754091</v>
      </c>
      <c r="S4" s="427" t="s">
        <v>635</v>
      </c>
      <c r="T4" s="422">
        <f ca="1">SUMPRODUCT(INDIRECT(CONCATENATE(V4,":",W4)),INDIRECT(CONCATENATE(AV2,":",AW2)),INDIRECT(CONCATENATE(AV3,":",AW3)))</f>
        <v>268119.15061031887</v>
      </c>
      <c r="V4" s="30" t="str">
        <f>ADDRESS(ROW(K22),COLUMN(K22))</f>
        <v>$K$22</v>
      </c>
      <c r="W4" s="30" t="str">
        <f ca="1">GetEnd($AV$1,V4)</f>
        <v>$K$32</v>
      </c>
      <c r="AF4" s="28"/>
      <c r="AG4" s="103" t="s">
        <v>32</v>
      </c>
      <c r="AH4" s="104">
        <f>GetRcptIndexCol($AH$12,$AH$13)</f>
        <v>89</v>
      </c>
      <c r="AI4" s="29"/>
      <c r="AJ4" s="103" t="s">
        <v>72</v>
      </c>
      <c r="AK4" s="104">
        <f>GetNymexCol(AK3)</f>
        <v>3</v>
      </c>
      <c r="AL4" s="34">
        <v>1</v>
      </c>
      <c r="AM4" s="45">
        <f t="shared" ref="AM4:AM15" si="0">GetVolume($AH$12,$AH$13,AT4)</f>
        <v>1700</v>
      </c>
      <c r="AN4" s="46">
        <f t="shared" ref="AN4:AN15" si="1">GetCommodity($AH$12,$AH$13,AT4)</f>
        <v>4.8899999999999999E-2</v>
      </c>
      <c r="AO4" s="47">
        <f t="shared" ref="AO4:AO15" si="2">GetFuelRate($AH$12,$AH$13,AT4)</f>
        <v>5.3900000000000003E-2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4329.5673423244416</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1700</v>
      </c>
      <c r="AN5" s="38">
        <f t="shared" si="1"/>
        <v>4.8899999999999999E-2</v>
      </c>
      <c r="AO5" s="39">
        <f t="shared" si="2"/>
        <v>5.3900000000000003E-2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5">
      <c r="A6" s="269" t="str">
        <f>ADDRESS(ROW($BW$2),COLUMN($BW$2))</f>
        <v>$BW$2</v>
      </c>
      <c r="F6" s="187"/>
      <c r="G6" s="187"/>
      <c r="L6" s="704" t="s">
        <v>149</v>
      </c>
      <c r="M6" s="705"/>
      <c r="N6" s="356">
        <f ca="1">N4-N5</f>
        <v>272448.71476174751</v>
      </c>
      <c r="O6" s="357">
        <v>272251.21999999997</v>
      </c>
      <c r="P6" s="358">
        <f ca="1">N6-O6</f>
        <v>197.49476174754091</v>
      </c>
      <c r="S6" s="428" t="s">
        <v>637</v>
      </c>
      <c r="T6" s="424">
        <f ca="1">SUMPRODUCT(INDIRECT(CONCATENATE(V6,":",W6)),INDIRECT(CONCATENATE(AV3,":",AW3)),INDIRECT(CONCATENATE(AX3,":",AY3)))</f>
        <v>203208.60819952423</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1700</v>
      </c>
      <c r="AN6" s="38">
        <f t="shared" si="1"/>
        <v>4.8899999999999999E-2</v>
      </c>
      <c r="AO6" s="39">
        <f t="shared" si="2"/>
        <v>5.3900000000000003E-2</v>
      </c>
      <c r="AP6" s="38">
        <f t="shared" si="3"/>
        <v>0</v>
      </c>
      <c r="AQ6" s="38">
        <f t="shared" si="4"/>
        <v>0</v>
      </c>
      <c r="AR6" s="133">
        <f t="shared" si="5"/>
        <v>0</v>
      </c>
      <c r="AS6" s="40">
        <f t="shared" si="6"/>
        <v>0</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918.77</v>
      </c>
      <c r="P7" s="355">
        <f ca="1">N7</f>
        <v>0</v>
      </c>
      <c r="S7" s="428" t="s">
        <v>638</v>
      </c>
      <c r="T7" s="425">
        <f ca="1">T5/T6</f>
        <v>2.1306023306224182E-2</v>
      </c>
      <c r="AF7" s="28"/>
      <c r="AG7" s="103" t="s">
        <v>76</v>
      </c>
      <c r="AH7" s="104">
        <f>GetRcptOmicronCol($AH$12,$AH$13)</f>
        <v>7</v>
      </c>
      <c r="AI7" s="29"/>
      <c r="AJ7" s="103" t="s">
        <v>80</v>
      </c>
      <c r="AK7" s="104" t="str">
        <f>Configuration!$D$8</f>
        <v>Nymex Vol</v>
      </c>
      <c r="AL7" s="34">
        <v>4</v>
      </c>
      <c r="AM7" s="37">
        <f t="shared" si="0"/>
        <v>1700</v>
      </c>
      <c r="AN7" s="38">
        <f t="shared" si="1"/>
        <v>4.8899999999999999E-2</v>
      </c>
      <c r="AO7" s="39">
        <f t="shared" si="2"/>
        <v>5.3900000000000003E-2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5">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24989.94</v>
      </c>
      <c r="P8" s="355">
        <f ca="1">N8</f>
        <v>0</v>
      </c>
      <c r="S8" s="429" t="s">
        <v>639</v>
      </c>
      <c r="T8" s="426">
        <f ca="1">Y8/Z8</f>
        <v>0.98866084815005228</v>
      </c>
      <c r="V8" s="30" t="str">
        <f>ADDRESS(ROW(P22),COLUMN(P22))</f>
        <v>$P$22</v>
      </c>
      <c r="W8" s="30" t="str">
        <f ca="1">GetEnd($AV$1,V8)</f>
        <v>$P$32</v>
      </c>
      <c r="Y8" s="334">
        <f ca="1">SUMIF(INDIRECT(CONCATENATE(V8,":",W8)),"&gt;0",INDIRECT(CONCATENATE(V8,":",W8)))</f>
        <v>3.9546433926002091</v>
      </c>
      <c r="Z8" s="334">
        <f ca="1">COUNTIF(INDIRECT(CONCATENATE(V8,":",W8)),"&gt;0")</f>
        <v>4</v>
      </c>
      <c r="AF8" s="28"/>
      <c r="AG8" s="103" t="s">
        <v>75</v>
      </c>
      <c r="AH8" s="105">
        <f>GetDelOmicronCol($AH$12,$AH$13)</f>
        <v>18</v>
      </c>
      <c r="AI8" s="29"/>
      <c r="AJ8" s="103" t="s">
        <v>81</v>
      </c>
      <c r="AK8" s="104">
        <f>GetNGOmicronCol(AK7)</f>
        <v>5</v>
      </c>
      <c r="AL8" s="34">
        <v>5</v>
      </c>
      <c r="AM8" s="37">
        <f t="shared" si="0"/>
        <v>1700</v>
      </c>
      <c r="AN8" s="38">
        <f t="shared" si="1"/>
        <v>4.8899999999999999E-2</v>
      </c>
      <c r="AO8" s="39">
        <f t="shared" si="2"/>
        <v>5.3900000000000003E-2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12</v>
      </c>
      <c r="AL9" s="34">
        <v>6</v>
      </c>
      <c r="AM9" s="37">
        <f t="shared" si="0"/>
        <v>1700</v>
      </c>
      <c r="AN9" s="38">
        <f t="shared" si="1"/>
        <v>4.8899999999999999E-2</v>
      </c>
      <c r="AO9" s="39">
        <f t="shared" si="2"/>
        <v>5.3900000000000003E-2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5">
      <c r="A10" s="270" t="s">
        <v>224</v>
      </c>
      <c r="D10" s="718" t="s">
        <v>154</v>
      </c>
      <c r="E10" s="719"/>
      <c r="F10" s="719"/>
      <c r="G10" s="719"/>
      <c r="H10" s="720"/>
      <c r="K10" s="29">
        <f>SUMPRODUCT(L22:L32,F22:F32)</f>
        <v>4329.5673423244416</v>
      </c>
      <c r="L10" s="706" t="s">
        <v>628</v>
      </c>
      <c r="M10" s="707"/>
      <c r="N10" s="352">
        <f ca="1">-SUMPRODUCT(INDIRECT(CONCATENATE(AV10,":",AW10)),INDIRECT(CONCATENATE($AX$7,":",$AY$7)),INDIRECT(CONCATENATE($AV$3,":",$AW$3)))</f>
        <v>-32521.040783869339</v>
      </c>
      <c r="O10" s="352">
        <v>-32515.94</v>
      </c>
      <c r="P10" s="355">
        <f t="shared" ref="P10:P19" ca="1" si="10">N10-O10</f>
        <v>-5.1007838693403755</v>
      </c>
      <c r="AF10" s="28"/>
      <c r="AG10" s="103" t="s">
        <v>142</v>
      </c>
      <c r="AH10" s="119" t="b">
        <f>GetGRIFactor($AH$12,$AH$13)</f>
        <v>1</v>
      </c>
      <c r="AI10" s="29"/>
      <c r="AJ10" s="29"/>
      <c r="AK10" s="29"/>
      <c r="AL10" s="34">
        <v>7</v>
      </c>
      <c r="AM10" s="37">
        <f t="shared" si="0"/>
        <v>1700</v>
      </c>
      <c r="AN10" s="38">
        <f t="shared" si="1"/>
        <v>4.8899999999999999E-2</v>
      </c>
      <c r="AO10" s="39">
        <f t="shared" si="2"/>
        <v>5.3900000000000003E-2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5">
      <c r="A11" s="270" t="s">
        <v>224</v>
      </c>
      <c r="D11" s="166" t="str">
        <f>IF(ISERROR($AH$13),"Check Contract Index to make sure it is valid","")</f>
        <v/>
      </c>
      <c r="E11" s="167"/>
      <c r="F11" s="168"/>
      <c r="G11" s="168"/>
      <c r="H11" s="169"/>
      <c r="K11" s="29">
        <f>SUMPRODUCT(K22:K32,F22:F32)</f>
        <v>268119.15061031887</v>
      </c>
      <c r="L11" s="704" t="s">
        <v>629</v>
      </c>
      <c r="M11" s="705"/>
      <c r="N11" s="356">
        <f ca="1">-SUMPRODUCT(INDIRECT(CONCATENATE(AV11,":",AW11)),INDIRECT(CONCATENATE($AV$2,":",$AW$2)),INDIRECT(CONCATENATE($AV$3,":",$AW$3)),INDIRECT(CONCATENATE(AX3,":",AY3)))</f>
        <v>-10995.6</v>
      </c>
      <c r="O11" s="357">
        <v>-10995.6</v>
      </c>
      <c r="P11" s="358">
        <f t="shared" ca="1" si="10"/>
        <v>0</v>
      </c>
      <c r="X11" s="734" t="s">
        <v>759</v>
      </c>
      <c r="Y11" s="735"/>
      <c r="AL11" s="34">
        <v>8</v>
      </c>
      <c r="AM11" s="37">
        <f t="shared" si="0"/>
        <v>1700</v>
      </c>
      <c r="AN11" s="38">
        <f t="shared" si="1"/>
        <v>4.8899999999999999E-2</v>
      </c>
      <c r="AO11" s="39">
        <f t="shared" si="2"/>
        <v>5.3900000000000003E-2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23345.360000000001</v>
      </c>
      <c r="P12" s="355">
        <f t="shared" ca="1" si="10"/>
        <v>-23345.360000000001</v>
      </c>
      <c r="X12" s="498" t="s">
        <v>760</v>
      </c>
      <c r="Y12" s="499">
        <v>0</v>
      </c>
      <c r="AG12" s="248" t="s">
        <v>185</v>
      </c>
      <c r="AH12" s="119" t="str">
        <f>GetDBPage($D$2)</f>
        <v>Contract DB (East)</v>
      </c>
      <c r="AL12" s="34">
        <v>9</v>
      </c>
      <c r="AM12" s="37">
        <f t="shared" si="0"/>
        <v>1700</v>
      </c>
      <c r="AN12" s="38">
        <f t="shared" si="1"/>
        <v>4.8899999999999999E-2</v>
      </c>
      <c r="AO12" s="39">
        <f t="shared" si="2"/>
        <v>5.3900000000000003E-2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5">
      <c r="A13" s="270" t="s">
        <v>224</v>
      </c>
      <c r="D13" s="170"/>
      <c r="E13" s="171"/>
      <c r="F13" s="172"/>
      <c r="G13" s="172"/>
      <c r="H13" s="173"/>
      <c r="L13" s="706" t="s">
        <v>155</v>
      </c>
      <c r="M13" s="707"/>
      <c r="N13" s="352">
        <f t="shared" ca="1" si="11"/>
        <v>0</v>
      </c>
      <c r="O13" s="352">
        <v>77.27</v>
      </c>
      <c r="P13" s="355">
        <f t="shared" ca="1" si="10"/>
        <v>-77.27</v>
      </c>
      <c r="X13" s="498" t="s">
        <v>761</v>
      </c>
      <c r="AG13" s="248" t="s">
        <v>186</v>
      </c>
      <c r="AH13" s="119">
        <f>GetRecNdx($AH$12,$D$2)</f>
        <v>13</v>
      </c>
      <c r="AL13" s="34">
        <v>10</v>
      </c>
      <c r="AM13" s="37">
        <f t="shared" si="0"/>
        <v>1700</v>
      </c>
      <c r="AN13" s="38">
        <f t="shared" si="1"/>
        <v>4.8899999999999999E-2</v>
      </c>
      <c r="AO13" s="39">
        <f t="shared" si="2"/>
        <v>5.3900000000000003E-2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5">
      <c r="A14" s="270" t="s">
        <v>224</v>
      </c>
      <c r="D14" s="170"/>
      <c r="E14" s="171"/>
      <c r="F14" s="172"/>
      <c r="G14" s="172"/>
      <c r="H14" s="173"/>
      <c r="K14" s="185"/>
      <c r="L14" s="706" t="s">
        <v>156</v>
      </c>
      <c r="M14" s="707"/>
      <c r="N14" s="352">
        <f t="shared" ca="1" si="11"/>
        <v>-208.83388914650038</v>
      </c>
      <c r="O14" s="352">
        <v>-208.99</v>
      </c>
      <c r="P14" s="355">
        <f t="shared" ca="1" si="10"/>
        <v>0.1561108534996265</v>
      </c>
      <c r="S14" s="181">
        <f>F22/(1-AR22)*AH22*AU22</f>
        <v>55619.810409226637</v>
      </c>
      <c r="T14" s="181">
        <f>F22*AH22*AU22</f>
        <v>52621.902628169315</v>
      </c>
      <c r="X14" s="500" t="s">
        <v>762</v>
      </c>
      <c r="Y14" s="501" t="s">
        <v>763</v>
      </c>
      <c r="AL14" s="34">
        <v>11</v>
      </c>
      <c r="AM14" s="37">
        <f t="shared" si="0"/>
        <v>1700</v>
      </c>
      <c r="AN14" s="38">
        <f t="shared" si="1"/>
        <v>4.8899999999999999E-2</v>
      </c>
      <c r="AO14" s="39">
        <f t="shared" si="2"/>
        <v>5.3900000000000003E-2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8" thickBot="1" x14ac:dyDescent="0.3">
      <c r="A15" s="270" t="s">
        <v>224</v>
      </c>
      <c r="D15" s="170"/>
      <c r="E15" s="171"/>
      <c r="F15" s="172"/>
      <c r="G15" s="172"/>
      <c r="H15" s="173"/>
      <c r="L15" s="706" t="s">
        <v>157</v>
      </c>
      <c r="M15" s="707"/>
      <c r="N15" s="352">
        <f t="shared" ca="1" si="11"/>
        <v>282.90084985421004</v>
      </c>
      <c r="O15" s="352">
        <v>277.38</v>
      </c>
      <c r="P15" s="355">
        <f t="shared" ca="1" si="10"/>
        <v>5.5208498542100415</v>
      </c>
      <c r="X15" s="502">
        <v>2001</v>
      </c>
      <c r="Y15" s="503">
        <v>0</v>
      </c>
      <c r="AL15" s="34">
        <v>12</v>
      </c>
      <c r="AM15" s="41">
        <f t="shared" si="0"/>
        <v>1700</v>
      </c>
      <c r="AN15" s="42">
        <f t="shared" si="1"/>
        <v>4.8899999999999999E-2</v>
      </c>
      <c r="AO15" s="43">
        <f t="shared" si="2"/>
        <v>5.3900000000000003E-2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5">
      <c r="D16" s="174"/>
      <c r="E16" s="175"/>
      <c r="F16" s="176"/>
      <c r="G16" s="176"/>
      <c r="H16" s="177"/>
      <c r="L16" s="706" t="s">
        <v>158</v>
      </c>
      <c r="M16" s="707"/>
      <c r="N16" s="352">
        <f t="shared" ca="1" si="11"/>
        <v>0</v>
      </c>
      <c r="O16" s="352">
        <v>-3.78</v>
      </c>
      <c r="P16" s="355">
        <f t="shared" ca="1" si="10"/>
        <v>3.78</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5">
      <c r="D17" s="171"/>
      <c r="E17" s="171"/>
      <c r="F17" s="172"/>
      <c r="G17" s="172"/>
      <c r="H17" s="172"/>
      <c r="L17" s="704" t="s">
        <v>211</v>
      </c>
      <c r="M17" s="705"/>
      <c r="N17" s="356">
        <f t="shared" ca="1" si="11"/>
        <v>42.662981863171417</v>
      </c>
      <c r="O17" s="357">
        <v>12.95</v>
      </c>
      <c r="P17" s="358">
        <f t="shared" ca="1" si="10"/>
        <v>29.712981863171418</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5">
      <c r="D18" s="171"/>
      <c r="E18" s="171"/>
      <c r="F18" s="172"/>
      <c r="G18" s="172"/>
      <c r="H18" s="172"/>
      <c r="L18" s="706" t="s">
        <v>623</v>
      </c>
      <c r="M18" s="707"/>
      <c r="N18" s="352">
        <f ca="1">SUMPRODUCT(INDIRECT(CONCATENATE(AX4,":",AY4)),INDIRECT(CONCATENATE($AV$2,":",$AW$2)),INDIRECT(CONCATENATE($AV$3,":",$AW$3)))</f>
        <v>268119.15061031887</v>
      </c>
      <c r="O18" s="352">
        <v>268077.34000000003</v>
      </c>
      <c r="P18" s="355">
        <f t="shared" ca="1" si="10"/>
        <v>41.810610318847466</v>
      </c>
      <c r="AU18" s="361"/>
      <c r="AV18" s="339"/>
      <c r="AW18" s="138"/>
      <c r="AX18" s="339" t="str">
        <f>ADDRESS(ROW($CI$22),COLUMN($CI$22))</f>
        <v>$CI$22</v>
      </c>
      <c r="AY18" s="138" t="str">
        <f ca="1">GetEnd($AV$1,AX18)</f>
        <v>$CI$32</v>
      </c>
    </row>
    <row r="19" spans="1:91" x14ac:dyDescent="0.25">
      <c r="D19" s="171"/>
      <c r="E19" s="171"/>
      <c r="F19" s="172"/>
      <c r="G19" s="172"/>
      <c r="H19" s="172"/>
      <c r="L19" s="724" t="s">
        <v>624</v>
      </c>
      <c r="M19" s="725"/>
      <c r="N19" s="359">
        <f ca="1">SUMPRODUCT(INDIRECT(CONCATENATE(AX5,":",AY5)),INDIRECT(CONCATENATE($AV$2,":",$AW$2)),INDIRECT(CONCATENATE($AV$3,":",$AW$3)))</f>
        <v>4329.5673423244416</v>
      </c>
      <c r="O19" s="359">
        <v>4173.8900000000003</v>
      </c>
      <c r="P19" s="360">
        <f t="shared" ca="1" si="10"/>
        <v>155.67734232444127</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IF-TRANSCO/Z1 Basis Mid</v>
      </c>
      <c r="T20" s="182" t="str">
        <f>GetDelBasis($AH$12,$AH$13)</f>
        <v>IF-TRANSCO/Z6 Basis Mid</v>
      </c>
      <c r="U20" s="158"/>
      <c r="V20" s="158"/>
      <c r="W20" s="158"/>
      <c r="X20" s="158"/>
      <c r="Y20" s="335"/>
      <c r="Z20" s="335"/>
      <c r="AA20" s="335"/>
      <c r="AB20" s="335"/>
      <c r="AC20" s="335"/>
      <c r="AI20" s="138"/>
      <c r="AM20" s="702" t="str">
        <f>GetRcptPoint($AH$12,$AH$13)</f>
        <v>IF-TRANSCO/Z1</v>
      </c>
      <c r="AN20" s="703"/>
      <c r="AO20" s="702" t="str">
        <f>GetDelPoint($AH$12,$AH$13)</f>
        <v>IF-TRANSCO/Z6</v>
      </c>
      <c r="AP20" s="703"/>
      <c r="AQ20" s="137"/>
      <c r="AS20" s="137"/>
      <c r="AU20" s="136" t="s">
        <v>576</v>
      </c>
      <c r="AV20" s="353">
        <f ca="1">SUMPRODUCT(INDIRECT(CONCATENATE(AV8,":",AW8)),INDIRECT(CONCATENATE($AV$2,":",$AW$2)),INDIRECT(CONCATENATE($AV$3,":",$AW$3)),INDIRECT(CONCATENATE(AX3,":",AY3)))</f>
        <v>-15941.75</v>
      </c>
      <c r="AW20" s="353">
        <f ca="1">SUMPRODUCT(INDIRECT(CONCATENATE(AX8,":",AY8)),INDIRECT(CONCATENATE($AV$2,":",$AW$2)),INDIRECT(CONCATENATE($AV$3,":",$AW$3)),INDIRECT(CONCATENATE(AX3,":",AY3)))</f>
        <v>251260</v>
      </c>
      <c r="AX20" s="353">
        <f ca="1">SUMPRODUCT(INDIRECT(CONCATENATE(AV9,":",AW9)),INDIRECT(CONCATENATE($AV$2,":",$AW$2)),INDIRECT(CONCATENATE($AV$3,":",$AW$3)),INDIRECT(CONCATENATE(AX3,":",AY3)))</f>
        <v>1530</v>
      </c>
      <c r="AY20" s="353">
        <f ca="1">SUMPRODUCT(INDIRECT(CONCATENATE(AX9,":",AY9)),INDIRECT(CONCATENATE($AV$2,":",$AW$2)),INDIRECT(CONCATENATE($AV$3,":",$AW$3)),INDIRECT(CONCATENATE(AX3,":",AY3)))</f>
        <v>46784</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2" si="12">VLOOKUP(AG22,$AL$4:$AS$15,2)</f>
        <v>1700</v>
      </c>
      <c r="G22" s="28">
        <f t="shared" ref="G22:G32" si="13">F22*$AU22</f>
        <v>1697.4807299409456</v>
      </c>
      <c r="H22" s="52">
        <f t="shared" ref="H22:H32" si="14">(AL22+AM22+AN22)/(1-(AR22))</f>
        <v>2.9315082972201671</v>
      </c>
      <c r="I22" s="52">
        <f t="shared" ref="I22:I32" si="15">(AL22+AO22+AP22)</f>
        <v>5.226</v>
      </c>
      <c r="K22" s="52">
        <f t="shared" ref="K22:K32" si="16">MAX(((I22-H22)-AQ22)*AU22*AH22,0)</f>
        <v>69.355410831273204</v>
      </c>
      <c r="L22" s="135">
        <f t="shared" ref="L22:L32" si="17">MAX(Q22-K22,0)</f>
        <v>1.17059540760971</v>
      </c>
      <c r="N22" s="131">
        <f t="shared" ref="N22:N32" si="18">SQRT(($AX22^2*($AH22/2)+$AW22^2*$AI22)/(($AH22/2)+$AI22))</f>
        <v>0.97398938796521406</v>
      </c>
      <c r="O22" s="131">
        <f t="shared" ref="O22:O32" si="19">SQRT(($AY22^2*($AH22/2)+$AW22^2*$AI22)/(($AH22/2)+$AI22))</f>
        <v>2.2342489661232814</v>
      </c>
      <c r="P22" s="55">
        <f t="shared" ref="P22:P32" si="20">(VLOOKUP(AI22,CorrelationTwo,2)*(AW22^2)*AI22+VLOOKUP(D22,CorrelationOne,$AK$9)*AX22*AY22*(AH22/2))/((AI22+(AH22/2))*O22*N22)*AF22</f>
        <v>1.0129456584585042</v>
      </c>
      <c r="Q22" s="135">
        <f>_xll.xSPRDOPT(I22,H22,AQ22,0,O22,N22,P22,D22-$G$5,1,0)*AH22*AU22</f>
        <v>70.526006238882914</v>
      </c>
      <c r="R22" s="135"/>
      <c r="S22" s="181">
        <f>_xll.xSPRDOPT(I22,H22,AQ22,AT22,O22,N22,P22,D22-$G$5,1,2)*AF22*(F22/(1-AR22))*AH22</f>
        <v>-48666.529239914009</v>
      </c>
      <c r="T22" s="181">
        <f>_xll.xSPRDOPT(I22,H22,AQ22,AT22,O22,N22,P22,D22-$G$5,1,1)*AF22*F22*AH22</f>
        <v>48726.907536730818</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0</v>
      </c>
      <c r="AA22" s="338">
        <f t="shared" ref="AA22:AA32" si="24">(($BK22*$BE22)+($BJ22*$BD22))*$F22*$AH22*$AF22</f>
        <v>0</v>
      </c>
      <c r="AB22" s="338">
        <f t="shared" ref="AB22:AB32" si="25">BN22*(AT22-CA22)*F22*AH22</f>
        <v>0</v>
      </c>
      <c r="AC22" s="338">
        <f t="shared" ref="AC22:AC32" si="26">BO22*CB22*F22*AH22*CA22*($G$5-$BV$5)/365.25</f>
        <v>18.452297349989934</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-0.08</v>
      </c>
      <c r="AN22" s="258">
        <f t="shared" ref="AN22:AN32" si="33">VLOOKUP($D22,CurveTbl,$AH$4)+VLOOKUP($AG22,$AL$3:$AS$15,6)</f>
        <v>7.4999999999999997E-3</v>
      </c>
      <c r="AO22" s="258">
        <f t="shared" ref="AO22:AO32" si="34">VLOOKUP($D22,CurveTbl,$AH$5)</f>
        <v>1.95</v>
      </c>
      <c r="AP22" s="258">
        <f t="shared" ref="AP22:AP32" si="35">VLOOKUP($D22,CurveTbl,$AH$6)+VLOOKUP($AG22,$AL$3:$AS$15,7)</f>
        <v>0.43</v>
      </c>
      <c r="AQ22" s="136">
        <f t="shared" ref="AQ22:AQ32" si="36">VLOOKUP($AG22,$AL$4:$AS$15,3)+VLOOKUP($AG22,$AL$4:$AS$15,5)+($AH$10*VLOOKUP(D22,GRITable,2))</f>
        <v>5.3899999999999997E-2</v>
      </c>
      <c r="AR22" s="137">
        <f t="shared" ref="AR22:AR32" si="37">VLOOKUP($AG22,$AL$4:$AS$15,4)</f>
        <v>5.3900000000000003E-2</v>
      </c>
      <c r="AS22" s="136">
        <f t="shared" ref="AS22:AS32" si="38">(AL22+AM22+AN22)</f>
        <v>2.7734999999999999</v>
      </c>
      <c r="AT22" s="137">
        <f t="shared" ref="AT22:AT32" si="39">VLOOKUP(D22,CurveTbl,$AK$6)</f>
        <v>1.8765908157160699E-2</v>
      </c>
      <c r="AU22" s="137">
        <f t="shared" ref="AU22:AU32" si="40">(1+$AT22/2)^(-2*($D22-$G$5)/365.25)*$AF22</f>
        <v>0.99851807643585033</v>
      </c>
      <c r="AV22" s="394">
        <f t="shared" ref="AV22:AV32" si="41">ROUND((F22/(1-AR22))-F22,0)*AF22*AH22*AU22</f>
        <v>3002.5438558426022</v>
      </c>
      <c r="AW22" s="137">
        <f t="shared" ref="AW22:AW32" si="42">VLOOKUP($D22,CurveTbl,$AK$8)</f>
        <v>0.87</v>
      </c>
      <c r="AX22" s="137">
        <f t="shared" ref="AX22:AX32" si="43">VLOOKUP($D22,CurveTbl,$AH$7)</f>
        <v>1.0649999999999999</v>
      </c>
      <c r="AY22" s="137">
        <f t="shared" ref="AY22:AY32" si="44">VLOOKUP($D22,CurveTbl,$AH$8)</f>
        <v>3.0150000000000001</v>
      </c>
      <c r="AZ22" s="137"/>
      <c r="BA22" s="264"/>
      <c r="BB22" s="258">
        <f t="shared" ref="BB22:BB32" si="45">$H22-$BV22</f>
        <v>0</v>
      </c>
      <c r="BC22" s="258">
        <f t="shared" ref="BC22:BC32" si="46">I22-BW22</f>
        <v>0</v>
      </c>
      <c r="BD22" s="137">
        <f t="shared" ref="BD22:BE32" si="47">N22-BX22</f>
        <v>8.8556102145729287E-3</v>
      </c>
      <c r="BE22" s="137">
        <f t="shared" si="47"/>
        <v>8.6548442932621761E-2</v>
      </c>
      <c r="BF22" s="137">
        <f>_xll.xSPRDOPT($BW22,$BV22,$CG22,0,$BY22,$BX22,$BZ22,$AJ22,1,4)*$CB22</f>
        <v>-3.4645363392920618E-2</v>
      </c>
      <c r="BG22" s="137">
        <f>_xll.xSPRDOPT($BW22,$BV22,$CG22,0,$BY22,$BX22,$BZ22,$AJ22,1,3)*$CB22</f>
        <v>-2.3947680892113996E-2</v>
      </c>
      <c r="BH22" s="137">
        <f>IF(OR(BF22&lt;&gt;0,BG22&lt;&gt;0),_xll.xSPRDOPT($BW22,$BV22,$CG22,0,$BY22,$BX22,$BZ22,$AJ22,1,12)*$CB22,0)</f>
        <v>4.1587627341218091E-2</v>
      </c>
      <c r="BI22" s="137">
        <f>_xll.xSPRDOPT($BW22,$BV22,$CG22,2*LN(1+CA22/2),$BY22,$BX22,$BZ22,$AJ22,1,9)</f>
        <v>0</v>
      </c>
      <c r="BJ22" s="137">
        <f>_xll.xSPRDOPT($BW22,$BV22,$CG22,0,$BY22,$BX22,$BZ22,$AJ22,1,6)*$CB22</f>
        <v>0</v>
      </c>
      <c r="BK22" s="137">
        <f>_xll.xSPRDOPT($BW22,$BV22,$CG22,0,$BY22,$BX22,$BZ22,$AJ22,1,5)*$CB22</f>
        <v>0</v>
      </c>
      <c r="BL22" s="137">
        <f>_xll.xSPRDOPT(BW22,BV22,CG22,0,BY22,BX22,BZ22,AJ22,1,2)*CB22</f>
        <v>-0.90854757413280296</v>
      </c>
      <c r="BM22" s="137">
        <f>_xll.xSPRDOPT(BW22,BV22,CG22,0,BY22,BX22,BZ22,AJ22,1,1)*CB22</f>
        <v>0.95267280101988694</v>
      </c>
      <c r="BN22" s="137">
        <f>IF(AH22&lt;&gt;0,_xll.xSPRDOPT($BW22,$BV22,$CG22,2*LN(1+CA22/2),$BY22,$BX22,$BZ22,$AJ22,1,8)+(AJ22/365.25)*CH22/AH22,0)</f>
        <v>0</v>
      </c>
      <c r="BO22" s="137">
        <f>_xll.xSPRDOPT($BW22,$BV22,$CG22,0,$BY22,$BX22,$BZ22,$AJ22,1,0)</f>
        <v>2.2753588992160561</v>
      </c>
      <c r="BP22" s="137"/>
      <c r="BQ22" s="137"/>
      <c r="BR22" s="137"/>
      <c r="BS22" s="137"/>
      <c r="BV22" s="262">
        <v>2.9315082972201671</v>
      </c>
      <c r="BW22" s="136">
        <v>5.226</v>
      </c>
      <c r="BX22" s="137">
        <v>0.96513377775064113</v>
      </c>
      <c r="BY22" s="137">
        <v>2.1477005231906596</v>
      </c>
      <c r="BZ22" s="137">
        <v>1.0005749020573107</v>
      </c>
      <c r="CA22" s="137">
        <v>1.8765908157160699E-2</v>
      </c>
      <c r="CB22" s="137">
        <v>0.99836489939579565</v>
      </c>
      <c r="CC22" s="258">
        <v>-0.08</v>
      </c>
      <c r="CD22" s="258">
        <v>7.4999999999999997E-3</v>
      </c>
      <c r="CE22" s="258">
        <v>1.95</v>
      </c>
      <c r="CF22" s="258">
        <v>0.43</v>
      </c>
      <c r="CG22" s="258">
        <v>5.3899999999999997E-2</v>
      </c>
      <c r="CH22" s="258">
        <v>0</v>
      </c>
      <c r="CI22" s="258">
        <v>2.8460000000000001</v>
      </c>
      <c r="CJ22" s="258"/>
      <c r="CK22" s="258"/>
      <c r="CL22" s="258"/>
      <c r="CM22" s="258"/>
    </row>
    <row r="23" spans="1:91" x14ac:dyDescent="0.25">
      <c r="A23" s="723"/>
      <c r="B23" s="723"/>
      <c r="D23" s="31">
        <f t="shared" ref="D23:D32" si="48">D22+AH22</f>
        <v>37302</v>
      </c>
      <c r="F23" s="28">
        <f t="shared" si="12"/>
        <v>1700</v>
      </c>
      <c r="G23" s="28">
        <f t="shared" si="13"/>
        <v>1694.6373392686576</v>
      </c>
      <c r="H23" s="52">
        <f t="shared" si="14"/>
        <v>2.9996829087834267</v>
      </c>
      <c r="I23" s="52">
        <f t="shared" si="15"/>
        <v>5.2379999999999995</v>
      </c>
      <c r="K23" s="52">
        <f t="shared" si="16"/>
        <v>60.970737343966192</v>
      </c>
      <c r="L23" s="135">
        <f t="shared" si="17"/>
        <v>0.98125770906615628</v>
      </c>
      <c r="N23" s="131">
        <f t="shared" si="18"/>
        <v>0.91558269242415602</v>
      </c>
      <c r="O23" s="131">
        <f t="shared" si="19"/>
        <v>1.6415516034126574</v>
      </c>
      <c r="P23" s="55">
        <f t="shared" si="20"/>
        <v>0.94056836942262156</v>
      </c>
      <c r="Q23" s="135">
        <f>_xll.xSPRDOPT(I23,H23,AQ23,0,O23,N23,P23,D23-$G$5,1,0)*AH23*AU23</f>
        <v>61.951995053032348</v>
      </c>
      <c r="R23" s="135"/>
      <c r="S23" s="181">
        <f>_xll.xSPRDOPT(I23,H23,AQ23,AT23,O23,N23,P23,D23-$G$5,1,2)*AF23*(F23/(1-AR23))*AH23</f>
        <v>-46050.051899992053</v>
      </c>
      <c r="T23" s="181">
        <f>_xll.xSPRDOPT(I23,H23,AQ23,AT23,O23,N23,P23,D23-$G$5,1,1)*AF23*F23*AH23</f>
        <v>45479.849133750045</v>
      </c>
      <c r="U23" s="135"/>
      <c r="V23" s="146">
        <f t="shared" ref="V23:V32" si="49">($Y$12+VLOOKUP(YEAR(D23),$X$15:$Y$17,2,FALSE))*AH23*AU23</f>
        <v>0</v>
      </c>
      <c r="W23" s="146"/>
      <c r="X23" s="338">
        <f t="shared" si="21"/>
        <v>0</v>
      </c>
      <c r="Y23" s="338">
        <f t="shared" si="22"/>
        <v>0</v>
      </c>
      <c r="Z23" s="338">
        <f t="shared" si="23"/>
        <v>-166.06716915685973</v>
      </c>
      <c r="AA23" s="338">
        <f t="shared" si="24"/>
        <v>227.12681629417366</v>
      </c>
      <c r="AB23" s="338">
        <f t="shared" si="25"/>
        <v>0</v>
      </c>
      <c r="AC23" s="338">
        <f t="shared" si="26"/>
        <v>16.715570497559721</v>
      </c>
      <c r="AF23" s="138">
        <f t="shared" si="27"/>
        <v>1</v>
      </c>
      <c r="AG23" s="138">
        <f t="shared" si="28"/>
        <v>2</v>
      </c>
      <c r="AH23" s="138">
        <f t="shared" si="29"/>
        <v>28</v>
      </c>
      <c r="AI23" s="138">
        <f t="shared" ref="AI23:AI32" si="50">AI22+AH22</f>
        <v>46</v>
      </c>
      <c r="AJ23" s="138">
        <f t="shared" si="30"/>
        <v>63</v>
      </c>
      <c r="AL23" s="136">
        <f t="shared" si="31"/>
        <v>2.9079999999999999</v>
      </c>
      <c r="AM23" s="258">
        <f t="shared" si="32"/>
        <v>-7.7499999999999999E-2</v>
      </c>
      <c r="AN23" s="258">
        <f t="shared" si="33"/>
        <v>7.4999999999999997E-3</v>
      </c>
      <c r="AO23" s="258">
        <f t="shared" si="34"/>
        <v>1.9</v>
      </c>
      <c r="AP23" s="258">
        <f t="shared" si="35"/>
        <v>0.43</v>
      </c>
      <c r="AQ23" s="136">
        <f t="shared" si="36"/>
        <v>5.3899999999999997E-2</v>
      </c>
      <c r="AR23" s="137">
        <f t="shared" si="37"/>
        <v>5.3900000000000003E-2</v>
      </c>
      <c r="AS23" s="136">
        <f t="shared" si="38"/>
        <v>2.8379999999999996</v>
      </c>
      <c r="AT23" s="137">
        <f t="shared" si="39"/>
        <v>1.9326187282006298E-2</v>
      </c>
      <c r="AU23" s="137">
        <f t="shared" si="40"/>
        <v>0.99684549368744568</v>
      </c>
      <c r="AV23" s="394">
        <f t="shared" si="41"/>
        <v>2707.4323608551026</v>
      </c>
      <c r="AW23" s="137">
        <f t="shared" si="42"/>
        <v>0.86499999999999999</v>
      </c>
      <c r="AX23" s="137">
        <f t="shared" si="43"/>
        <v>1.0649999999999999</v>
      </c>
      <c r="AY23" s="137">
        <f t="shared" si="44"/>
        <v>3.0150000000000001</v>
      </c>
      <c r="AZ23" s="137"/>
      <c r="BA23" s="264"/>
      <c r="BB23" s="258">
        <f t="shared" si="45"/>
        <v>0</v>
      </c>
      <c r="BC23" s="258">
        <f t="shared" si="46"/>
        <v>0</v>
      </c>
      <c r="BD23" s="137">
        <f t="shared" si="47"/>
        <v>2.3451670356195997E-3</v>
      </c>
      <c r="BE23" s="137">
        <f t="shared" si="47"/>
        <v>2.8479138277325067E-2</v>
      </c>
      <c r="BF23" s="137">
        <f>_xll.xSPRDOPT($BW23,$BV23,$CG23,0,$BY23,$BX23,$BZ23,$AJ23,1,4)*$CB23</f>
        <v>0.14103328057191755</v>
      </c>
      <c r="BG23" s="137">
        <f>_xll.xSPRDOPT($BW23,$BV23,$CG23,0,$BY23,$BX23,$BZ23,$AJ23,1,3)*$CB23</f>
        <v>4.8644864406938833E-2</v>
      </c>
      <c r="BH23" s="137">
        <f>IF(OR(BF23&lt;&gt;0,BG23&lt;&gt;0),_xll.xSPRDOPT($BW23,$BV23,$CG23,0,$BY23,$BX23,$BZ23,$AJ23,1,12)*$CB23,0)</f>
        <v>-8.2826679166883965E-2</v>
      </c>
      <c r="BI23" s="137">
        <f>_xll.xSPRDOPT($BW23,$BV23,$CG23,2*LN(1+CA23/2),$BY23,$BX23,$BZ23,$AJ23,1,9)</f>
        <v>-0.42476213959764014</v>
      </c>
      <c r="BJ23" s="137">
        <f>_xll.xSPRDOPT($BW23,$BV23,$CG23,0,$BY23,$BX23,$BZ23,$AJ23,1,6)*$CB23</f>
        <v>-0.13974275444786097</v>
      </c>
      <c r="BK23" s="137">
        <f>_xll.xSPRDOPT($BW23,$BV23,$CG23,0,$BY23,$BX23,$BZ23,$AJ23,1,5)*$CB23</f>
        <v>0.17905358731109633</v>
      </c>
      <c r="BL23" s="137">
        <f>_xll.xSPRDOPT(BW23,BV23,CG23,0,BY23,BX23,BZ23,AJ23,1,2)*CB23</f>
        <v>-0.915095363311756</v>
      </c>
      <c r="BM23" s="137">
        <f>_xll.xSPRDOPT(BW23,BV23,CG23,0,BY23,BX23,BZ23,AJ23,1,1)*CB23</f>
        <v>0.9552906848263506</v>
      </c>
      <c r="BN23" s="137">
        <f>IF(AH23&lt;&gt;0,_xll.xSPRDOPT($BW23,$BV23,$CG23,2*LN(1+CA23/2),$BY23,$BX23,$BZ23,$AJ23,1,8)+(AJ23/365.25)*CH23/AH23,0)</f>
        <v>-0.38158154468720767</v>
      </c>
      <c r="BO23" s="137">
        <f>_xll.xSPRDOPT($BW23,$BV23,$CG23,0,$BY23,$BX23,$BZ23,$AJ23,1,0)</f>
        <v>2.2196157327619495</v>
      </c>
      <c r="BP23" s="137"/>
      <c r="BQ23" s="137"/>
      <c r="BR23" s="137"/>
      <c r="BS23" s="137"/>
      <c r="BV23" s="262">
        <v>2.9996829087834267</v>
      </c>
      <c r="BW23" s="136">
        <v>5.2379999999999995</v>
      </c>
      <c r="BX23" s="137">
        <v>0.91323752538853642</v>
      </c>
      <c r="BY23" s="137">
        <v>1.6130724651353323</v>
      </c>
      <c r="BZ23" s="137">
        <v>0.93800121683976345</v>
      </c>
      <c r="CA23" s="137">
        <v>1.9326187282006298E-2</v>
      </c>
      <c r="CB23" s="137">
        <v>0.99668802984454063</v>
      </c>
      <c r="CC23" s="258">
        <v>-7.7499999999999999E-2</v>
      </c>
      <c r="CD23" s="258">
        <v>7.4999999999999997E-3</v>
      </c>
      <c r="CE23" s="258">
        <v>1.9</v>
      </c>
      <c r="CF23" s="258">
        <v>0.43</v>
      </c>
      <c r="CG23" s="258">
        <v>5.3899999999999997E-2</v>
      </c>
      <c r="CH23" s="258">
        <v>0</v>
      </c>
      <c r="CI23" s="258">
        <v>2.9079999999999999</v>
      </c>
      <c r="CJ23" s="258"/>
      <c r="CK23" s="258"/>
      <c r="CL23" s="258"/>
      <c r="CM23" s="258"/>
    </row>
    <row r="24" spans="1:91" x14ac:dyDescent="0.25">
      <c r="A24" s="723"/>
      <c r="B24" s="723"/>
      <c r="D24" s="31">
        <f t="shared" si="48"/>
        <v>37330</v>
      </c>
      <c r="F24" s="28">
        <f t="shared" si="12"/>
        <v>1700</v>
      </c>
      <c r="G24" s="28">
        <f t="shared" si="13"/>
        <v>1692.1619626726695</v>
      </c>
      <c r="H24" s="52">
        <f t="shared" si="14"/>
        <v>2.9933410844519606</v>
      </c>
      <c r="I24" s="52">
        <f t="shared" si="15"/>
        <v>3.6520000000000001</v>
      </c>
      <c r="K24" s="52">
        <f t="shared" si="16"/>
        <v>18.661088845767377</v>
      </c>
      <c r="L24" s="135">
        <f t="shared" si="17"/>
        <v>0.39495120233851111</v>
      </c>
      <c r="N24" s="131">
        <f t="shared" si="18"/>
        <v>0.79438594042591715</v>
      </c>
      <c r="O24" s="131">
        <f t="shared" si="19"/>
        <v>0.98372730642583128</v>
      </c>
      <c r="P24" s="55">
        <f t="shared" si="20"/>
        <v>0.98683199298741853</v>
      </c>
      <c r="Q24" s="135">
        <f>_xll.xSPRDOPT(I24,H24,AQ24,0,O24,N24,P24,D24-$G$5,1,0)*AH24*AU24</f>
        <v>19.056040048105888</v>
      </c>
      <c r="R24" s="135"/>
      <c r="S24" s="181">
        <f>_xll.xSPRDOPT(I24,H24,AQ24,AT24,O24,N24,P24,D24-$G$5,1,2)*AF24*(F24/(1-AR24))*AH24</f>
        <v>-51173.428921168881</v>
      </c>
      <c r="T24" s="181">
        <f>_xll.xSPRDOPT(I24,H24,AQ24,AT24,O24,N24,P24,D24-$G$5,1,1)*AF24*F24*AH24</f>
        <v>49226.375211079088</v>
      </c>
      <c r="U24" s="135"/>
      <c r="V24" s="146">
        <f t="shared" si="49"/>
        <v>0</v>
      </c>
      <c r="W24" s="146"/>
      <c r="X24" s="338">
        <f t="shared" si="21"/>
        <v>0</v>
      </c>
      <c r="Y24" s="338">
        <f t="shared" si="22"/>
        <v>0</v>
      </c>
      <c r="Z24" s="338">
        <f t="shared" si="23"/>
        <v>-42.766719989640649</v>
      </c>
      <c r="AA24" s="338">
        <f t="shared" si="24"/>
        <v>55.774033560036393</v>
      </c>
      <c r="AB24" s="338">
        <f t="shared" si="25"/>
        <v>0</v>
      </c>
      <c r="AC24" s="338">
        <f t="shared" si="26"/>
        <v>5.12794694944564</v>
      </c>
      <c r="AF24" s="138">
        <f t="shared" si="27"/>
        <v>1</v>
      </c>
      <c r="AG24" s="138">
        <f t="shared" si="28"/>
        <v>3</v>
      </c>
      <c r="AH24" s="138">
        <f t="shared" si="29"/>
        <v>31</v>
      </c>
      <c r="AI24" s="138">
        <f t="shared" si="50"/>
        <v>74</v>
      </c>
      <c r="AJ24" s="138">
        <f t="shared" si="30"/>
        <v>91</v>
      </c>
      <c r="AL24" s="136">
        <f t="shared" si="31"/>
        <v>2.9020000000000001</v>
      </c>
      <c r="AM24" s="258">
        <f t="shared" si="32"/>
        <v>-7.7499999999999999E-2</v>
      </c>
      <c r="AN24" s="258">
        <f t="shared" si="33"/>
        <v>7.4999999999999997E-3</v>
      </c>
      <c r="AO24" s="258">
        <f t="shared" si="34"/>
        <v>0.7</v>
      </c>
      <c r="AP24" s="258">
        <f t="shared" si="35"/>
        <v>0.05</v>
      </c>
      <c r="AQ24" s="136">
        <f t="shared" si="36"/>
        <v>5.3899999999999997E-2</v>
      </c>
      <c r="AR24" s="137">
        <f t="shared" si="37"/>
        <v>5.3900000000000003E-2</v>
      </c>
      <c r="AS24" s="136">
        <f t="shared" si="38"/>
        <v>2.8319999999999999</v>
      </c>
      <c r="AT24" s="137">
        <f t="shared" si="39"/>
        <v>1.9273175363903501E-2</v>
      </c>
      <c r="AU24" s="137">
        <f t="shared" si="40"/>
        <v>0.99538938980745262</v>
      </c>
      <c r="AV24" s="394">
        <f t="shared" si="41"/>
        <v>2993.1358951510101</v>
      </c>
      <c r="AW24" s="137">
        <f t="shared" si="42"/>
        <v>0.79</v>
      </c>
      <c r="AX24" s="137">
        <f t="shared" si="43"/>
        <v>0.81499999999999995</v>
      </c>
      <c r="AY24" s="137">
        <f t="shared" si="44"/>
        <v>1.615</v>
      </c>
      <c r="AZ24" s="137"/>
      <c r="BA24" s="264"/>
      <c r="BB24" s="258">
        <f t="shared" si="45"/>
        <v>0</v>
      </c>
      <c r="BC24" s="258">
        <f t="shared" si="46"/>
        <v>0</v>
      </c>
      <c r="BD24" s="137">
        <f t="shared" si="47"/>
        <v>1.4186670005755797E-4</v>
      </c>
      <c r="BE24" s="137">
        <f t="shared" si="47"/>
        <v>5.6807840149594169E-3</v>
      </c>
      <c r="BF24" s="137">
        <f>_xll.xSPRDOPT($BW24,$BV24,$CG24,0,$BY24,$BX24,$BZ24,$AJ24,1,4)*$CB24</f>
        <v>0.37721935711084947</v>
      </c>
      <c r="BG24" s="137">
        <f>_xll.xSPRDOPT($BW24,$BV24,$CG24,0,$BY24,$BX24,$BZ24,$AJ24,1,3)*$CB24</f>
        <v>0.26697124878007172</v>
      </c>
      <c r="BH24" s="137">
        <f>IF(OR(BF24&lt;&gt;0,BG24&lt;&gt;0),_xll.xSPRDOPT($BW24,$BV24,$CG24,0,$BY24,$BX24,$BZ24,$AJ24,1,12)*$CB24,0)</f>
        <v>-0.31733603547277023</v>
      </c>
      <c r="BI24" s="137">
        <f>_xll.xSPRDOPT($BW24,$BV24,$CG24,2*LN(1+CA24/2),$BY24,$BX24,$BZ24,$AJ24,1,9)</f>
        <v>-9.8801672841342489E-2</v>
      </c>
      <c r="BJ24" s="137">
        <f>_xll.xSPRDOPT($BW24,$BV24,$CG24,0,$BY24,$BX24,$BZ24,$AJ24,1,6)*$CB24</f>
        <v>-0.16510830177345337</v>
      </c>
      <c r="BK24" s="137">
        <f>_xll.xSPRDOPT($BW24,$BV24,$CG24,0,$BY24,$BX24,$BZ24,$AJ24,1,5)*$CB24</f>
        <v>0.19042339484601203</v>
      </c>
      <c r="BL24" s="137">
        <f>_xll.xSPRDOPT(BW24,BV24,CG24,0,BY24,BX24,BZ24,AJ24,1,2)*CB24</f>
        <v>-0.91831705465606528</v>
      </c>
      <c r="BM24" s="137">
        <f>_xll.xSPRDOPT(BW24,BV24,CG24,0,BY24,BX24,BZ24,AJ24,1,1)*CB24</f>
        <v>0.93376307547068849</v>
      </c>
      <c r="BN24" s="137">
        <f>IF(AH24&lt;&gt;0,_xll.xSPRDOPT($BW24,$BV24,$CG24,2*LN(1+CA24/2),$BY24,$BX24,$BZ24,$AJ24,1,8)+(AJ24/365.25)*CH24/AH24,0)</f>
        <v>-0.15314392476421904</v>
      </c>
      <c r="BO24" s="137">
        <f>_xll.xSPRDOPT($BW24,$BV24,$CG24,0,$BY24,$BX24,$BZ24,$AJ24,1,0)</f>
        <v>0.61762379322675776</v>
      </c>
      <c r="BP24" s="137"/>
      <c r="BQ24" s="137"/>
      <c r="BR24" s="137"/>
      <c r="BS24" s="137"/>
      <c r="BV24" s="262">
        <v>2.9933410844519606</v>
      </c>
      <c r="BW24" s="136">
        <v>3.6520000000000001</v>
      </c>
      <c r="BX24" s="137">
        <v>0.79424407372585959</v>
      </c>
      <c r="BY24" s="137">
        <v>0.97804652241087187</v>
      </c>
      <c r="BZ24" s="137">
        <v>0.98653569324007784</v>
      </c>
      <c r="CA24" s="137">
        <v>1.9273175363903501E-2</v>
      </c>
      <c r="CB24" s="137">
        <v>0.99523258517239033</v>
      </c>
      <c r="CC24" s="258">
        <v>-7.7499999999999999E-2</v>
      </c>
      <c r="CD24" s="258">
        <v>7.4999999999999997E-3</v>
      </c>
      <c r="CE24" s="258">
        <v>0.7</v>
      </c>
      <c r="CF24" s="258">
        <v>0.05</v>
      </c>
      <c r="CG24" s="258">
        <v>5.3899999999999997E-2</v>
      </c>
      <c r="CH24" s="258">
        <v>0</v>
      </c>
      <c r="CI24" s="258">
        <v>2.9020000000000001</v>
      </c>
      <c r="CJ24" s="258"/>
      <c r="CK24" s="258"/>
      <c r="CL24" s="258"/>
      <c r="CM24" s="258"/>
    </row>
    <row r="25" spans="1:91" x14ac:dyDescent="0.25">
      <c r="A25" s="723"/>
      <c r="B25" s="723"/>
      <c r="D25" s="31">
        <f t="shared" si="48"/>
        <v>37361</v>
      </c>
      <c r="F25" s="28">
        <f t="shared" si="12"/>
        <v>1700</v>
      </c>
      <c r="G25" s="28">
        <f t="shared" si="13"/>
        <v>1689.3279742993245</v>
      </c>
      <c r="H25" s="52">
        <f t="shared" si="14"/>
        <v>2.9362646654687663</v>
      </c>
      <c r="I25" s="52">
        <f t="shared" si="15"/>
        <v>3.2829999999999999</v>
      </c>
      <c r="K25" s="52">
        <f t="shared" si="16"/>
        <v>8.7299103968278917</v>
      </c>
      <c r="L25" s="135">
        <f t="shared" si="17"/>
        <v>0</v>
      </c>
      <c r="N25" s="131">
        <f t="shared" si="18"/>
        <v>0.60633118013178244</v>
      </c>
      <c r="O25" s="131">
        <f t="shared" si="19"/>
        <v>0.60633118013178244</v>
      </c>
      <c r="P25" s="55">
        <f t="shared" si="20"/>
        <v>1.0142973717316648</v>
      </c>
      <c r="Q25" s="135">
        <f>_xll.xSPRDOPT(I25,H25,AQ25,0,O25,N25,P25,D25-$G$5,1,0)*AH25*AU25</f>
        <v>8.7299085198303317</v>
      </c>
      <c r="R25" s="135"/>
      <c r="S25" s="181">
        <f>_xll.xSPRDOPT(I25,H25,AQ25,AT25,O25,N25,P25,D25-$G$5,1,2)*AF25*(F25/(1-AR25))*AH25</f>
        <v>-53565.760693058604</v>
      </c>
      <c r="T25" s="181">
        <f>_xll.xSPRDOPT(I25,H25,AQ25,AT25,O25,N25,P25,D25-$G$5,1,1)*AF25*F25*AH25</f>
        <v>50678.570183629658</v>
      </c>
      <c r="U25" s="135"/>
      <c r="V25" s="146">
        <f t="shared" si="49"/>
        <v>0</v>
      </c>
      <c r="W25" s="146"/>
      <c r="X25" s="338">
        <f t="shared" si="21"/>
        <v>0</v>
      </c>
      <c r="Y25" s="338">
        <f t="shared" si="22"/>
        <v>0</v>
      </c>
      <c r="Z25" s="338">
        <f t="shared" si="23"/>
        <v>0</v>
      </c>
      <c r="AA25" s="338">
        <f t="shared" si="24"/>
        <v>0</v>
      </c>
      <c r="AB25" s="338">
        <f t="shared" si="25"/>
        <v>0</v>
      </c>
      <c r="AC25" s="338">
        <f t="shared" si="26"/>
        <v>2.3671670661761155</v>
      </c>
      <c r="AF25" s="138">
        <f t="shared" si="27"/>
        <v>1</v>
      </c>
      <c r="AG25" s="138">
        <f t="shared" si="28"/>
        <v>4</v>
      </c>
      <c r="AH25" s="138">
        <f t="shared" si="29"/>
        <v>30</v>
      </c>
      <c r="AI25" s="138">
        <f t="shared" si="50"/>
        <v>105</v>
      </c>
      <c r="AJ25" s="138">
        <f t="shared" si="30"/>
        <v>122</v>
      </c>
      <c r="AL25" s="136">
        <f t="shared" si="31"/>
        <v>2.8479999999999999</v>
      </c>
      <c r="AM25" s="258">
        <f t="shared" si="32"/>
        <v>-7.7499999999999999E-2</v>
      </c>
      <c r="AN25" s="258">
        <f t="shared" si="33"/>
        <v>7.4999999999999997E-3</v>
      </c>
      <c r="AO25" s="258">
        <f t="shared" si="34"/>
        <v>0.41499999999999998</v>
      </c>
      <c r="AP25" s="258">
        <f t="shared" si="35"/>
        <v>0.02</v>
      </c>
      <c r="AQ25" s="136">
        <f t="shared" si="36"/>
        <v>5.3899999999999997E-2</v>
      </c>
      <c r="AR25" s="137">
        <f t="shared" si="37"/>
        <v>5.3900000000000003E-2</v>
      </c>
      <c r="AS25" s="136">
        <f t="shared" si="38"/>
        <v>2.7779999999999996</v>
      </c>
      <c r="AT25" s="137">
        <f t="shared" si="39"/>
        <v>1.9422640119623601E-2</v>
      </c>
      <c r="AU25" s="137">
        <f t="shared" si="40"/>
        <v>0.99372233782313213</v>
      </c>
      <c r="AV25" s="394">
        <f t="shared" si="41"/>
        <v>2891.7320030653145</v>
      </c>
      <c r="AW25" s="137">
        <f t="shared" si="42"/>
        <v>0.61</v>
      </c>
      <c r="AX25" s="137">
        <f t="shared" si="43"/>
        <v>0.57999999999999996</v>
      </c>
      <c r="AY25" s="137">
        <f t="shared" si="44"/>
        <v>0.57999999999999996</v>
      </c>
      <c r="AZ25" s="137"/>
      <c r="BA25" s="264"/>
      <c r="BB25" s="258">
        <f t="shared" si="45"/>
        <v>0</v>
      </c>
      <c r="BC25" s="258">
        <f t="shared" si="46"/>
        <v>0</v>
      </c>
      <c r="BD25" s="137">
        <f t="shared" si="47"/>
        <v>-8.9747494742220546E-5</v>
      </c>
      <c r="BE25" s="137">
        <f t="shared" si="47"/>
        <v>-8.9747494742220546E-5</v>
      </c>
      <c r="BF25" s="137">
        <f>_xll.xSPRDOPT($BW25,$BV25,$CG25,0,$BY25,$BX25,$BZ25,$AJ25,1,4)*$CB25</f>
        <v>-4.6901921315783984E-4</v>
      </c>
      <c r="BG25" s="137">
        <f>_xll.xSPRDOPT($BW25,$BV25,$CG25,0,$BY25,$BX25,$BZ25,$AJ25,1,3)*$CB25</f>
        <v>-4.1474428165475707E-4</v>
      </c>
      <c r="BH25" s="137">
        <f>IF(OR(BF25&lt;&gt;0,BG25&lt;&gt;0),_xll.xSPRDOPT($BW25,$BV25,$CG25,0,$BY25,$BX25,$BZ25,$AJ25,1,12)*$CB25,0)</f>
        <v>4.4169117425678871E-4</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-0.99357188110112615</v>
      </c>
      <c r="BM25" s="137">
        <f>_xll.xSPRDOPT(BW25,BV25,CG25,0,BY25,BX25,BZ25,AJ25,1,1)*CB25</f>
        <v>0.99357186789487251</v>
      </c>
      <c r="BN25" s="137">
        <f>IF(AH25&lt;&gt;0,_xll.xSPRDOPT($BW25,$BV25,$CG25,2*LN(1+CA25/2),$BY25,$BX25,$BZ25,$AJ25,1,8)+(AJ25/365.25)*CH25/AH25,0)</f>
        <v>0</v>
      </c>
      <c r="BO25" s="137">
        <f>_xll.xSPRDOPT($BW25,$BV25,$CG25,0,$BY25,$BX25,$BZ25,$AJ25,1,0)</f>
        <v>0.29283523833149677</v>
      </c>
      <c r="BP25" s="137"/>
      <c r="BQ25" s="137"/>
      <c r="BR25" s="137"/>
      <c r="BS25" s="137"/>
      <c r="BV25" s="262">
        <v>2.9362646654687663</v>
      </c>
      <c r="BW25" s="136">
        <v>3.2829999999999999</v>
      </c>
      <c r="BX25" s="137">
        <v>0.60642092762652466</v>
      </c>
      <c r="BY25" s="137">
        <v>0.60642092762652466</v>
      </c>
      <c r="BZ25" s="137">
        <v>1.013944526980421</v>
      </c>
      <c r="CA25" s="137">
        <v>1.9422640119623601E-2</v>
      </c>
      <c r="CB25" s="137">
        <v>0.99356458774998258</v>
      </c>
      <c r="CC25" s="258">
        <v>-7.7499999999999999E-2</v>
      </c>
      <c r="CD25" s="258">
        <v>7.4999999999999997E-3</v>
      </c>
      <c r="CE25" s="258">
        <v>0.41499999999999998</v>
      </c>
      <c r="CF25" s="258">
        <v>0.02</v>
      </c>
      <c r="CG25" s="258">
        <v>5.3899999999999997E-2</v>
      </c>
      <c r="CH25" s="258">
        <v>0</v>
      </c>
      <c r="CI25" s="258">
        <v>2.8479999999999999</v>
      </c>
      <c r="CJ25" s="258"/>
      <c r="CK25" s="258"/>
      <c r="CL25" s="258"/>
      <c r="CM25" s="258"/>
    </row>
    <row r="26" spans="1:91" x14ac:dyDescent="0.25">
      <c r="A26" s="723"/>
      <c r="B26" s="723"/>
      <c r="D26" s="31">
        <f t="shared" si="48"/>
        <v>37391</v>
      </c>
      <c r="F26" s="28">
        <f t="shared" si="12"/>
        <v>1700</v>
      </c>
      <c r="G26" s="28">
        <f t="shared" si="13"/>
        <v>0</v>
      </c>
      <c r="H26" s="52">
        <f t="shared" si="14"/>
        <v>2.9869992601204944</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-7.7499999999999999E-2</v>
      </c>
      <c r="AN26" s="258">
        <f t="shared" si="33"/>
        <v>7.4999999999999997E-3</v>
      </c>
      <c r="AO26" s="258">
        <f t="shared" si="34"/>
        <v>0.38500000000000001</v>
      </c>
      <c r="AP26" s="258">
        <f t="shared" si="35"/>
        <v>0.02</v>
      </c>
      <c r="AQ26" s="136">
        <f t="shared" si="36"/>
        <v>5.3899999999999997E-2</v>
      </c>
      <c r="AR26" s="137">
        <f t="shared" si="37"/>
        <v>5.3900000000000003E-2</v>
      </c>
      <c r="AS26" s="136">
        <f t="shared" si="38"/>
        <v>2.8259999999999996</v>
      </c>
      <c r="AT26" s="137">
        <f t="shared" si="39"/>
        <v>1.9712159578257001E-2</v>
      </c>
      <c r="AU26" s="137">
        <f t="shared" si="40"/>
        <v>0</v>
      </c>
      <c r="AV26" s="394">
        <f t="shared" si="41"/>
        <v>0</v>
      </c>
      <c r="AW26" s="137">
        <f t="shared" si="42"/>
        <v>0.57750000000000001</v>
      </c>
      <c r="AX26" s="137">
        <f t="shared" si="43"/>
        <v>0.63</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-0.73519487852069543</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0.79107956095474918</v>
      </c>
      <c r="BP26" s="137"/>
      <c r="BQ26" s="137"/>
      <c r="BR26" s="137"/>
      <c r="BS26" s="137"/>
      <c r="BV26" s="262">
        <v>2.9869992601204944</v>
      </c>
      <c r="BW26" s="136">
        <v>3.3009999999999997</v>
      </c>
      <c r="BX26" s="137">
        <v>0.57750000000000001</v>
      </c>
      <c r="BY26" s="137">
        <v>0.57750000000000001</v>
      </c>
      <c r="BZ26" s="137">
        <v>0</v>
      </c>
      <c r="CA26" s="137">
        <v>1.9712159578257001E-2</v>
      </c>
      <c r="CB26" s="137">
        <v>0</v>
      </c>
      <c r="CC26" s="258">
        <v>-7.7499999999999999E-2</v>
      </c>
      <c r="CD26" s="258">
        <v>7.4999999999999997E-3</v>
      </c>
      <c r="CE26" s="258">
        <v>0.38500000000000001</v>
      </c>
      <c r="CF26" s="258">
        <v>0.02</v>
      </c>
      <c r="CG26" s="258">
        <v>5.3899999999999997E-2</v>
      </c>
      <c r="CH26" s="258">
        <v>0</v>
      </c>
      <c r="CI26" s="258">
        <v>2.8959999999999999</v>
      </c>
      <c r="CJ26" s="258"/>
      <c r="CK26" s="258"/>
      <c r="CL26" s="258"/>
      <c r="CM26" s="258"/>
    </row>
    <row r="27" spans="1:91" x14ac:dyDescent="0.25">
      <c r="A27" s="726"/>
      <c r="B27" s="726"/>
      <c r="C27" s="726"/>
      <c r="D27" s="31">
        <f t="shared" si="48"/>
        <v>37391</v>
      </c>
      <c r="F27" s="28">
        <f t="shared" si="12"/>
        <v>1700</v>
      </c>
      <c r="G27" s="28">
        <f t="shared" si="13"/>
        <v>0</v>
      </c>
      <c r="H27" s="52">
        <f t="shared" si="14"/>
        <v>2.9869992601204944</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-7.7499999999999999E-2</v>
      </c>
      <c r="AN27" s="258">
        <f t="shared" si="33"/>
        <v>7.4999999999999997E-3</v>
      </c>
      <c r="AO27" s="258">
        <f t="shared" si="34"/>
        <v>0.38500000000000001</v>
      </c>
      <c r="AP27" s="258">
        <f t="shared" si="35"/>
        <v>0.02</v>
      </c>
      <c r="AQ27" s="136">
        <f t="shared" si="36"/>
        <v>5.3899999999999997E-2</v>
      </c>
      <c r="AR27" s="137">
        <f t="shared" si="37"/>
        <v>5.3900000000000003E-2</v>
      </c>
      <c r="AS27" s="136">
        <f t="shared" si="38"/>
        <v>2.8259999999999996</v>
      </c>
      <c r="AT27" s="137">
        <f t="shared" si="39"/>
        <v>1.9712159578257001E-2</v>
      </c>
      <c r="AU27" s="137">
        <f t="shared" si="40"/>
        <v>0</v>
      </c>
      <c r="AV27" s="394">
        <f t="shared" si="41"/>
        <v>0</v>
      </c>
      <c r="AW27" s="137">
        <f t="shared" si="42"/>
        <v>0.57750000000000001</v>
      </c>
      <c r="AX27" s="137">
        <f t="shared" si="43"/>
        <v>0.63</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-0.73519487852069543</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0.79107956095474918</v>
      </c>
      <c r="BP27" s="137"/>
      <c r="BQ27" s="137"/>
      <c r="BR27" s="137"/>
      <c r="BS27" s="137"/>
      <c r="BV27" s="262">
        <v>2.9869992601204944</v>
      </c>
      <c r="BW27" s="136">
        <v>3.3009999999999997</v>
      </c>
      <c r="BX27" s="137">
        <v>0.57750000000000001</v>
      </c>
      <c r="BY27" s="137">
        <v>0.57750000000000001</v>
      </c>
      <c r="BZ27" s="137">
        <v>0</v>
      </c>
      <c r="CA27" s="137">
        <v>1.9712159578257001E-2</v>
      </c>
      <c r="CB27" s="137">
        <v>0</v>
      </c>
      <c r="CC27" s="258">
        <v>-7.7499999999999999E-2</v>
      </c>
      <c r="CD27" s="258">
        <v>7.4999999999999997E-3</v>
      </c>
      <c r="CE27" s="258">
        <v>0.38500000000000001</v>
      </c>
      <c r="CF27" s="258">
        <v>0.02</v>
      </c>
      <c r="CG27" s="258">
        <v>5.3899999999999997E-2</v>
      </c>
      <c r="CH27" s="258">
        <v>0</v>
      </c>
      <c r="CI27" s="258">
        <v>2.8959999999999999</v>
      </c>
      <c r="CJ27" s="258"/>
      <c r="CK27" s="258"/>
      <c r="CL27" s="258"/>
      <c r="CM27" s="258"/>
    </row>
    <row r="28" spans="1:91" x14ac:dyDescent="0.25">
      <c r="A28" s="723"/>
      <c r="B28" s="723"/>
      <c r="D28" s="31">
        <f t="shared" si="48"/>
        <v>37391</v>
      </c>
      <c r="F28" s="28">
        <f t="shared" si="12"/>
        <v>1700</v>
      </c>
      <c r="G28" s="28">
        <f t="shared" si="13"/>
        <v>0</v>
      </c>
      <c r="H28" s="52">
        <f t="shared" si="14"/>
        <v>2.9869992601204944</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-7.7499999999999999E-2</v>
      </c>
      <c r="AN28" s="258">
        <f t="shared" si="33"/>
        <v>7.4999999999999997E-3</v>
      </c>
      <c r="AO28" s="258">
        <f t="shared" si="34"/>
        <v>0.38500000000000001</v>
      </c>
      <c r="AP28" s="258">
        <f t="shared" si="35"/>
        <v>0.02</v>
      </c>
      <c r="AQ28" s="136">
        <f t="shared" si="36"/>
        <v>5.3899999999999997E-2</v>
      </c>
      <c r="AR28" s="137">
        <f t="shared" si="37"/>
        <v>5.3900000000000003E-2</v>
      </c>
      <c r="AS28" s="136">
        <f t="shared" si="38"/>
        <v>2.8259999999999996</v>
      </c>
      <c r="AT28" s="137">
        <f t="shared" si="39"/>
        <v>1.9712159578257001E-2</v>
      </c>
      <c r="AU28" s="137">
        <f t="shared" si="40"/>
        <v>0</v>
      </c>
      <c r="AV28" s="394">
        <f t="shared" si="41"/>
        <v>0</v>
      </c>
      <c r="AW28" s="137">
        <f t="shared" si="42"/>
        <v>0.57750000000000001</v>
      </c>
      <c r="AX28" s="137">
        <f t="shared" si="43"/>
        <v>0.63</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-0.73519487852069543</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0.79107956095474918</v>
      </c>
      <c r="BP28" s="137"/>
      <c r="BQ28" s="137"/>
      <c r="BR28" s="137"/>
      <c r="BS28" s="137"/>
      <c r="BV28" s="262">
        <v>2.9869992601204944</v>
      </c>
      <c r="BW28" s="136">
        <v>3.3009999999999997</v>
      </c>
      <c r="BX28" s="137">
        <v>0.57750000000000001</v>
      </c>
      <c r="BY28" s="137">
        <v>0.57750000000000001</v>
      </c>
      <c r="BZ28" s="137">
        <v>0</v>
      </c>
      <c r="CA28" s="137">
        <v>1.9712159578257001E-2</v>
      </c>
      <c r="CB28" s="137">
        <v>0</v>
      </c>
      <c r="CC28" s="258">
        <v>-7.7499999999999999E-2</v>
      </c>
      <c r="CD28" s="258">
        <v>7.4999999999999997E-3</v>
      </c>
      <c r="CE28" s="258">
        <v>0.38500000000000001</v>
      </c>
      <c r="CF28" s="258">
        <v>0.02</v>
      </c>
      <c r="CG28" s="258">
        <v>5.3899999999999997E-2</v>
      </c>
      <c r="CH28" s="258">
        <v>0</v>
      </c>
      <c r="CI28" s="258">
        <v>2.8959999999999999</v>
      </c>
      <c r="CJ28" s="258"/>
      <c r="CK28" s="258"/>
      <c r="CL28" s="258"/>
      <c r="CM28" s="258"/>
    </row>
    <row r="29" spans="1:91" x14ac:dyDescent="0.25">
      <c r="A29" s="723"/>
      <c r="B29" s="723"/>
      <c r="D29" s="31">
        <f t="shared" si="48"/>
        <v>37391</v>
      </c>
      <c r="F29" s="28">
        <f t="shared" si="12"/>
        <v>1700</v>
      </c>
      <c r="G29" s="28">
        <f t="shared" si="13"/>
        <v>0</v>
      </c>
      <c r="H29" s="52">
        <f t="shared" si="14"/>
        <v>2.9869992601204944</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-7.7499999999999999E-2</v>
      </c>
      <c r="AN29" s="258">
        <f t="shared" si="33"/>
        <v>7.4999999999999997E-3</v>
      </c>
      <c r="AO29" s="258">
        <f t="shared" si="34"/>
        <v>0.38500000000000001</v>
      </c>
      <c r="AP29" s="258">
        <f t="shared" si="35"/>
        <v>0.02</v>
      </c>
      <c r="AQ29" s="136">
        <f t="shared" si="36"/>
        <v>5.3899999999999997E-2</v>
      </c>
      <c r="AR29" s="137">
        <f t="shared" si="37"/>
        <v>5.3900000000000003E-2</v>
      </c>
      <c r="AS29" s="136">
        <f t="shared" si="38"/>
        <v>2.8259999999999996</v>
      </c>
      <c r="AT29" s="137">
        <f t="shared" si="39"/>
        <v>1.9712159578257001E-2</v>
      </c>
      <c r="AU29" s="137">
        <f t="shared" si="40"/>
        <v>0</v>
      </c>
      <c r="AV29" s="394">
        <f t="shared" si="41"/>
        <v>0</v>
      </c>
      <c r="AW29" s="137">
        <f t="shared" si="42"/>
        <v>0.57750000000000001</v>
      </c>
      <c r="AX29" s="137">
        <f t="shared" si="43"/>
        <v>0.63</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-0.73519487852069543</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0.79107956095474918</v>
      </c>
      <c r="BP29" s="137"/>
      <c r="BQ29" s="137"/>
      <c r="BR29" s="137"/>
      <c r="BS29" s="137"/>
      <c r="BV29" s="262">
        <v>2.9869992601204944</v>
      </c>
      <c r="BW29" s="136">
        <v>3.3009999999999997</v>
      </c>
      <c r="BX29" s="137">
        <v>0.57750000000000001</v>
      </c>
      <c r="BY29" s="137">
        <v>0.57750000000000001</v>
      </c>
      <c r="BZ29" s="137">
        <v>0</v>
      </c>
      <c r="CA29" s="137">
        <v>1.9712159578257001E-2</v>
      </c>
      <c r="CB29" s="137">
        <v>0</v>
      </c>
      <c r="CC29" s="258">
        <v>-7.7499999999999999E-2</v>
      </c>
      <c r="CD29" s="258">
        <v>7.4999999999999997E-3</v>
      </c>
      <c r="CE29" s="258">
        <v>0.38500000000000001</v>
      </c>
      <c r="CF29" s="258">
        <v>0.02</v>
      </c>
      <c r="CG29" s="258">
        <v>5.3899999999999997E-2</v>
      </c>
      <c r="CH29" s="258">
        <v>0</v>
      </c>
      <c r="CI29" s="258">
        <v>2.8959999999999999</v>
      </c>
      <c r="CJ29" s="258"/>
      <c r="CK29" s="258"/>
      <c r="CL29" s="258"/>
      <c r="CM29" s="258"/>
    </row>
    <row r="30" spans="1:91" x14ac:dyDescent="0.25">
      <c r="A30" s="723"/>
      <c r="B30" s="723"/>
      <c r="D30" s="31">
        <f t="shared" si="48"/>
        <v>37391</v>
      </c>
      <c r="F30" s="28">
        <f t="shared" si="12"/>
        <v>1700</v>
      </c>
      <c r="G30" s="28">
        <f t="shared" si="13"/>
        <v>0</v>
      </c>
      <c r="H30" s="52">
        <f t="shared" si="14"/>
        <v>2.9869992601204944</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-7.7499999999999999E-2</v>
      </c>
      <c r="AN30" s="258">
        <f t="shared" si="33"/>
        <v>7.4999999999999997E-3</v>
      </c>
      <c r="AO30" s="258">
        <f t="shared" si="34"/>
        <v>0.38500000000000001</v>
      </c>
      <c r="AP30" s="258">
        <f t="shared" si="35"/>
        <v>0.02</v>
      </c>
      <c r="AQ30" s="136">
        <f t="shared" si="36"/>
        <v>5.3899999999999997E-2</v>
      </c>
      <c r="AR30" s="137">
        <f t="shared" si="37"/>
        <v>5.3900000000000003E-2</v>
      </c>
      <c r="AS30" s="136">
        <f t="shared" si="38"/>
        <v>2.8259999999999996</v>
      </c>
      <c r="AT30" s="137">
        <f t="shared" si="39"/>
        <v>1.9712159578257001E-2</v>
      </c>
      <c r="AU30" s="137">
        <f t="shared" si="40"/>
        <v>0</v>
      </c>
      <c r="AV30" s="394">
        <f t="shared" si="41"/>
        <v>0</v>
      </c>
      <c r="AW30" s="137">
        <f t="shared" si="42"/>
        <v>0.57750000000000001</v>
      </c>
      <c r="AX30" s="137">
        <f t="shared" si="43"/>
        <v>0.63</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-0.73519487852069543</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0.79107956095474918</v>
      </c>
      <c r="BP30" s="137"/>
      <c r="BQ30" s="137"/>
      <c r="BR30" s="137"/>
      <c r="BS30" s="137"/>
      <c r="BV30" s="262">
        <v>2.9869992601204944</v>
      </c>
      <c r="BW30" s="136">
        <v>3.3009999999999997</v>
      </c>
      <c r="BX30" s="137">
        <v>0.57750000000000001</v>
      </c>
      <c r="BY30" s="137">
        <v>0.57750000000000001</v>
      </c>
      <c r="BZ30" s="137">
        <v>0</v>
      </c>
      <c r="CA30" s="137">
        <v>1.9712159578257001E-2</v>
      </c>
      <c r="CB30" s="137">
        <v>0</v>
      </c>
      <c r="CC30" s="258">
        <v>-7.7499999999999999E-2</v>
      </c>
      <c r="CD30" s="258">
        <v>7.4999999999999997E-3</v>
      </c>
      <c r="CE30" s="258">
        <v>0.38500000000000001</v>
      </c>
      <c r="CF30" s="258">
        <v>0.02</v>
      </c>
      <c r="CG30" s="258">
        <v>5.3899999999999997E-2</v>
      </c>
      <c r="CH30" s="258">
        <v>0</v>
      </c>
      <c r="CI30" s="258">
        <v>2.8959999999999999</v>
      </c>
      <c r="CJ30" s="258"/>
      <c r="CK30" s="258"/>
      <c r="CL30" s="258"/>
      <c r="CM30" s="258"/>
    </row>
    <row r="31" spans="1:91" x14ac:dyDescent="0.25">
      <c r="A31" s="723"/>
      <c r="B31" s="723"/>
      <c r="D31" s="31">
        <f t="shared" si="48"/>
        <v>37391</v>
      </c>
      <c r="F31" s="28">
        <f t="shared" si="12"/>
        <v>1700</v>
      </c>
      <c r="G31" s="28">
        <f t="shared" si="13"/>
        <v>0</v>
      </c>
      <c r="H31" s="52">
        <f t="shared" si="14"/>
        <v>2.9869992601204944</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-7.7499999999999999E-2</v>
      </c>
      <c r="AN31" s="258">
        <f t="shared" si="33"/>
        <v>7.4999999999999997E-3</v>
      </c>
      <c r="AO31" s="258">
        <f t="shared" si="34"/>
        <v>0.38500000000000001</v>
      </c>
      <c r="AP31" s="258">
        <f t="shared" si="35"/>
        <v>0.02</v>
      </c>
      <c r="AQ31" s="136">
        <f t="shared" si="36"/>
        <v>5.3899999999999997E-2</v>
      </c>
      <c r="AR31" s="137">
        <f t="shared" si="37"/>
        <v>5.3900000000000003E-2</v>
      </c>
      <c r="AS31" s="136">
        <f t="shared" si="38"/>
        <v>2.8259999999999996</v>
      </c>
      <c r="AT31" s="137">
        <f t="shared" si="39"/>
        <v>1.9712159578257001E-2</v>
      </c>
      <c r="AU31" s="137">
        <f t="shared" si="40"/>
        <v>0</v>
      </c>
      <c r="AV31" s="394">
        <f t="shared" si="41"/>
        <v>0</v>
      </c>
      <c r="AW31" s="137">
        <f t="shared" si="42"/>
        <v>0.57750000000000001</v>
      </c>
      <c r="AX31" s="137">
        <f t="shared" si="43"/>
        <v>0.63</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-0.73519487852069543</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0.79107956095474918</v>
      </c>
      <c r="BP31" s="137"/>
      <c r="BQ31" s="137"/>
      <c r="BR31" s="137"/>
      <c r="BS31" s="137"/>
      <c r="BV31" s="262">
        <v>2.9869992601204944</v>
      </c>
      <c r="BW31" s="136">
        <v>3.3009999999999997</v>
      </c>
      <c r="BX31" s="137">
        <v>0.57750000000000001</v>
      </c>
      <c r="BY31" s="137">
        <v>0.57750000000000001</v>
      </c>
      <c r="BZ31" s="137">
        <v>0</v>
      </c>
      <c r="CA31" s="137">
        <v>1.9712159578257001E-2</v>
      </c>
      <c r="CB31" s="137">
        <v>0</v>
      </c>
      <c r="CC31" s="258">
        <v>-7.7499999999999999E-2</v>
      </c>
      <c r="CD31" s="258">
        <v>7.4999999999999997E-3</v>
      </c>
      <c r="CE31" s="258">
        <v>0.38500000000000001</v>
      </c>
      <c r="CF31" s="258">
        <v>0.02</v>
      </c>
      <c r="CG31" s="258">
        <v>5.3899999999999997E-2</v>
      </c>
      <c r="CH31" s="258">
        <v>0</v>
      </c>
      <c r="CI31" s="258">
        <v>2.8959999999999999</v>
      </c>
      <c r="CJ31" s="258"/>
      <c r="CK31" s="258"/>
      <c r="CL31" s="258"/>
      <c r="CM31" s="258"/>
    </row>
    <row r="32" spans="1:91" x14ac:dyDescent="0.25">
      <c r="A32" s="723"/>
      <c r="B32" s="723"/>
      <c r="D32" s="31">
        <f t="shared" si="48"/>
        <v>37391</v>
      </c>
      <c r="F32" s="28">
        <f t="shared" si="12"/>
        <v>1700</v>
      </c>
      <c r="G32" s="28">
        <f t="shared" si="13"/>
        <v>0</v>
      </c>
      <c r="H32" s="52">
        <f t="shared" si="14"/>
        <v>2.9869992601204944</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-7.7499999999999999E-2</v>
      </c>
      <c r="AN32" s="258">
        <f t="shared" si="33"/>
        <v>7.4999999999999997E-3</v>
      </c>
      <c r="AO32" s="258">
        <f t="shared" si="34"/>
        <v>0.38500000000000001</v>
      </c>
      <c r="AP32" s="258">
        <f t="shared" si="35"/>
        <v>0.02</v>
      </c>
      <c r="AQ32" s="136">
        <f t="shared" si="36"/>
        <v>5.3899999999999997E-2</v>
      </c>
      <c r="AR32" s="137">
        <f t="shared" si="37"/>
        <v>5.3900000000000003E-2</v>
      </c>
      <c r="AS32" s="136">
        <f t="shared" si="38"/>
        <v>2.8259999999999996</v>
      </c>
      <c r="AT32" s="137">
        <f t="shared" si="39"/>
        <v>1.9712159578257001E-2</v>
      </c>
      <c r="AU32" s="137">
        <f t="shared" si="40"/>
        <v>0</v>
      </c>
      <c r="AV32" s="394">
        <f t="shared" si="41"/>
        <v>0</v>
      </c>
      <c r="AW32" s="137">
        <f t="shared" si="42"/>
        <v>0.57750000000000001</v>
      </c>
      <c r="AX32" s="137">
        <f t="shared" si="43"/>
        <v>0.63</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-0.73519487852069543</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0.79107956095474918</v>
      </c>
      <c r="BP32" s="137"/>
      <c r="BQ32" s="137"/>
      <c r="BR32" s="137"/>
      <c r="BS32" s="137"/>
      <c r="BV32" s="262">
        <v>2.9869992601204944</v>
      </c>
      <c r="BW32" s="136">
        <v>3.3009999999999997</v>
      </c>
      <c r="BX32" s="137">
        <v>0.57750000000000001</v>
      </c>
      <c r="BY32" s="137">
        <v>0.57750000000000001</v>
      </c>
      <c r="BZ32" s="137">
        <v>0</v>
      </c>
      <c r="CA32" s="137">
        <v>1.9712159578257001E-2</v>
      </c>
      <c r="CB32" s="137">
        <v>0</v>
      </c>
      <c r="CC32" s="258">
        <v>-7.7499999999999999E-2</v>
      </c>
      <c r="CD32" s="258">
        <v>7.4999999999999997E-3</v>
      </c>
      <c r="CE32" s="258">
        <v>0.38500000000000001</v>
      </c>
      <c r="CF32" s="258">
        <v>0.02</v>
      </c>
      <c r="CG32" s="258">
        <v>5.3899999999999997E-2</v>
      </c>
      <c r="CH32" s="258">
        <v>0</v>
      </c>
      <c r="CI32" s="258">
        <v>2.8959999999999999</v>
      </c>
      <c r="CJ32" s="258"/>
      <c r="CK32" s="258"/>
      <c r="CL32" s="258"/>
      <c r="CM32" s="258"/>
    </row>
    <row r="33" spans="1:2" x14ac:dyDescent="0.25">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68961"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8962"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CX33"/>
  <sheetViews>
    <sheetView zoomScale="80" workbookViewId="0">
      <selection activeCell="CI21" sqref="CI21:CI32"/>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LongTerm89</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89</v>
      </c>
      <c r="F2" s="178" t="str">
        <f>GetRcptPoint($AH$12,$AH$13)</f>
        <v>IF-TRANSCO/Z2</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90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5">
      <c r="A4" s="269" t="str">
        <f>ADDRESS(ROW($S$22),COLUMN($S$22))</f>
        <v>$S$22</v>
      </c>
      <c r="L4" s="721" t="s">
        <v>201</v>
      </c>
      <c r="M4" s="722"/>
      <c r="N4" s="352">
        <f ca="1">SUMPRODUCT(INDIRECT(CONCATENATE(AV4,":",AW4)),INDIRECT(CONCATENATE($AV$2,":",$AW$2)),INDIRECT(CONCATENATE($AV$3,":",$AW$3)))</f>
        <v>390539.89471585769</v>
      </c>
      <c r="O4" s="352">
        <v>390297.97</v>
      </c>
      <c r="P4" s="354">
        <f ca="1">N4-O4</f>
        <v>241.92471585772</v>
      </c>
      <c r="S4" s="427" t="s">
        <v>635</v>
      </c>
      <c r="T4" s="422">
        <f ca="1">SUMPRODUCT(INDIRECT(CONCATENATE(V4,":",W4)),INDIRECT(CONCATENATE(AV2,":",AW2)),INDIRECT(CONCATENATE(AV3,":",AW3)))</f>
        <v>382761.00007084617</v>
      </c>
      <c r="V4" s="30" t="str">
        <f>ADDRESS(ROW(K22),COLUMN(K22))</f>
        <v>$K$22</v>
      </c>
      <c r="W4" s="30" t="str">
        <f ca="1">GetEnd($AV$1,V4)</f>
        <v>$K$32</v>
      </c>
      <c r="AF4" s="28"/>
      <c r="AG4" s="103" t="s">
        <v>32</v>
      </c>
      <c r="AH4" s="104">
        <f>GetRcptIndexCol($AH$12,$AH$13)</f>
        <v>91</v>
      </c>
      <c r="AI4" s="29"/>
      <c r="AJ4" s="103" t="s">
        <v>72</v>
      </c>
      <c r="AK4" s="104">
        <f>GetNymexCol(AK3)</f>
        <v>3</v>
      </c>
      <c r="AL4" s="34">
        <v>1</v>
      </c>
      <c r="AM4" s="45">
        <f t="shared" ref="AM4:AM15" si="0">GetVolume($AH$12,$AH$13,AT4)</f>
        <v>2500</v>
      </c>
      <c r="AN4" s="46">
        <f t="shared" ref="AN4:AN15" si="1">GetCommodity($AH$12,$AH$13,AT4)</f>
        <v>4.6399999999999997E-2</v>
      </c>
      <c r="AO4" s="47">
        <f t="shared" ref="AO4:AO15" si="2">GetFuelRate($AH$12,$AH$13,AT4)</f>
        <v>5.04E-2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7779.3207021189655</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2500</v>
      </c>
      <c r="AN5" s="38">
        <f t="shared" si="1"/>
        <v>4.6399999999999997E-2</v>
      </c>
      <c r="AO5" s="39">
        <f t="shared" si="2"/>
        <v>5.04E-2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5">
      <c r="A6" s="269" t="str">
        <f>ADDRESS(ROW($BW$2),COLUMN($BW$2))</f>
        <v>$BW$2</v>
      </c>
      <c r="F6" s="187"/>
      <c r="G6" s="187"/>
      <c r="L6" s="704" t="s">
        <v>149</v>
      </c>
      <c r="M6" s="705"/>
      <c r="N6" s="356">
        <f ca="1">N4-N5</f>
        <v>390539.89471585769</v>
      </c>
      <c r="O6" s="357">
        <v>390297.97</v>
      </c>
      <c r="P6" s="358">
        <f ca="1">N6-O6</f>
        <v>241.92471585772</v>
      </c>
      <c r="S6" s="428" t="s">
        <v>637</v>
      </c>
      <c r="T6" s="424">
        <f ca="1">SUMPRODUCT(INDIRECT(CONCATENATE(V6,":",W6)),INDIRECT(CONCATENATE(AV3,":",AW3)),INDIRECT(CONCATENATE(AX3,":",AY3)))</f>
        <v>298836.18852871214</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2500</v>
      </c>
      <c r="AN6" s="38">
        <f t="shared" si="1"/>
        <v>4.6399999999999997E-2</v>
      </c>
      <c r="AO6" s="39">
        <f t="shared" si="2"/>
        <v>5.04E-2</v>
      </c>
      <c r="AP6" s="38">
        <f t="shared" si="3"/>
        <v>0</v>
      </c>
      <c r="AQ6" s="38">
        <f t="shared" si="4"/>
        <v>0</v>
      </c>
      <c r="AR6" s="133">
        <f t="shared" si="5"/>
        <v>0</v>
      </c>
      <c r="AS6" s="40">
        <f t="shared" si="6"/>
        <v>0</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1259.76</v>
      </c>
      <c r="P7" s="355">
        <f ca="1">N7</f>
        <v>0</v>
      </c>
      <c r="S7" s="428" t="s">
        <v>638</v>
      </c>
      <c r="T7" s="425">
        <f ca="1">T5/T6</f>
        <v>2.6032057029035254E-2</v>
      </c>
      <c r="AF7" s="28"/>
      <c r="AG7" s="103" t="s">
        <v>76</v>
      </c>
      <c r="AH7" s="104">
        <f>GetRcptOmicronCol($AH$12,$AH$13)</f>
        <v>6</v>
      </c>
      <c r="AI7" s="29"/>
      <c r="AJ7" s="103" t="s">
        <v>80</v>
      </c>
      <c r="AK7" s="104" t="str">
        <f>Configuration!$D$8</f>
        <v>Nymex Vol</v>
      </c>
      <c r="AL7" s="34">
        <v>4</v>
      </c>
      <c r="AM7" s="37">
        <f t="shared" si="0"/>
        <v>2500</v>
      </c>
      <c r="AN7" s="38">
        <f t="shared" si="1"/>
        <v>4.6399999999999997E-2</v>
      </c>
      <c r="AO7" s="39">
        <f t="shared" si="2"/>
        <v>5.04E-2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5">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36749.910000000003</v>
      </c>
      <c r="P8" s="355">
        <f ca="1">N8</f>
        <v>0</v>
      </c>
      <c r="S8" s="429" t="s">
        <v>639</v>
      </c>
      <c r="T8" s="426">
        <f ca="1">Y8/Z8</f>
        <v>0.98417785151104353</v>
      </c>
      <c r="V8" s="30" t="str">
        <f>ADDRESS(ROW(P22),COLUMN(P22))</f>
        <v>$P$22</v>
      </c>
      <c r="W8" s="30" t="str">
        <f ca="1">GetEnd($AV$1,V8)</f>
        <v>$P$32</v>
      </c>
      <c r="Y8" s="334">
        <f ca="1">SUMIF(INDIRECT(CONCATENATE(V8,":",W8)),"&gt;0",INDIRECT(CONCATENATE(V8,":",W8)))</f>
        <v>3.9367114060441741</v>
      </c>
      <c r="Z8" s="334">
        <f ca="1">COUNTIF(INDIRECT(CONCATENATE(V8,":",W8)),"&gt;0")</f>
        <v>4</v>
      </c>
      <c r="AF8" s="28"/>
      <c r="AG8" s="103" t="s">
        <v>75</v>
      </c>
      <c r="AH8" s="105">
        <f>GetDelOmicronCol($AH$12,$AH$13)</f>
        <v>18</v>
      </c>
      <c r="AI8" s="29"/>
      <c r="AJ8" s="103" t="s">
        <v>81</v>
      </c>
      <c r="AK8" s="104">
        <f>GetNGOmicronCol(AK7)</f>
        <v>5</v>
      </c>
      <c r="AL8" s="34">
        <v>5</v>
      </c>
      <c r="AM8" s="37">
        <f t="shared" si="0"/>
        <v>2500</v>
      </c>
      <c r="AN8" s="38">
        <f t="shared" si="1"/>
        <v>4.6399999999999997E-2</v>
      </c>
      <c r="AO8" s="39">
        <f t="shared" si="2"/>
        <v>5.04E-2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19</v>
      </c>
      <c r="AL9" s="34">
        <v>6</v>
      </c>
      <c r="AM9" s="37">
        <f t="shared" si="0"/>
        <v>2500</v>
      </c>
      <c r="AN9" s="38">
        <f t="shared" si="1"/>
        <v>4.6399999999999997E-2</v>
      </c>
      <c r="AO9" s="39">
        <f t="shared" si="2"/>
        <v>5.04E-2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5">
      <c r="A10" s="270" t="s">
        <v>224</v>
      </c>
      <c r="D10" s="718" t="s">
        <v>154</v>
      </c>
      <c r="E10" s="719"/>
      <c r="F10" s="719"/>
      <c r="G10" s="719"/>
      <c r="H10" s="720"/>
      <c r="K10" s="29">
        <f>SUMPRODUCT(L22:L32,F22:F32)</f>
        <v>7779.3207021189655</v>
      </c>
      <c r="L10" s="706" t="s">
        <v>628</v>
      </c>
      <c r="M10" s="707"/>
      <c r="N10" s="352">
        <f ca="1">-SUMPRODUCT(INDIRECT(CONCATENATE(AV10,":",AW10)),INDIRECT(CONCATENATE($AX$7,":",$AY$7)),INDIRECT(CONCATENATE($AV$3,":",$AW$3)))</f>
        <v>-45375.981438811315</v>
      </c>
      <c r="O10" s="352">
        <v>-45368.86</v>
      </c>
      <c r="P10" s="355">
        <f t="shared" ref="P10:P19" ca="1" si="10">N10-O10</f>
        <v>-7.1214388113148743</v>
      </c>
      <c r="AF10" s="28"/>
      <c r="AG10" s="103" t="s">
        <v>142</v>
      </c>
      <c r="AH10" s="119" t="b">
        <f>GetGRIFactor($AH$12,$AH$13)</f>
        <v>1</v>
      </c>
      <c r="AI10" s="29"/>
      <c r="AJ10" s="29"/>
      <c r="AK10" s="29"/>
      <c r="AL10" s="34">
        <v>7</v>
      </c>
      <c r="AM10" s="37">
        <f t="shared" si="0"/>
        <v>2500</v>
      </c>
      <c r="AN10" s="38">
        <f t="shared" si="1"/>
        <v>4.6399999999999997E-2</v>
      </c>
      <c r="AO10" s="39">
        <f t="shared" si="2"/>
        <v>5.04E-2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5">
      <c r="A11" s="270" t="s">
        <v>224</v>
      </c>
      <c r="D11" s="166" t="str">
        <f>IF(ISERROR($AH$13),"Check Contract Index to make sure it is valid","")</f>
        <v/>
      </c>
      <c r="E11" s="167"/>
      <c r="F11" s="168"/>
      <c r="G11" s="168"/>
      <c r="H11" s="169"/>
      <c r="K11" s="29">
        <f>SUMPRODUCT(K22:K32,F22:F32)</f>
        <v>382761.00007084617</v>
      </c>
      <c r="L11" s="704" t="s">
        <v>629</v>
      </c>
      <c r="M11" s="705"/>
      <c r="N11" s="356">
        <f ca="1">-SUMPRODUCT(INDIRECT(CONCATENATE(AV11,":",AW11)),INDIRECT(CONCATENATE($AV$2,":",$AW$2)),INDIRECT(CONCATENATE($AV$3,":",$AW$3)),INDIRECT(CONCATENATE(AX3,":",AY3)))</f>
        <v>-15419.999999999996</v>
      </c>
      <c r="O11" s="357">
        <v>-15420</v>
      </c>
      <c r="P11" s="358">
        <f t="shared" ca="1" si="10"/>
        <v>0</v>
      </c>
      <c r="X11" s="734" t="s">
        <v>759</v>
      </c>
      <c r="Y11" s="735"/>
      <c r="AL11" s="34">
        <v>8</v>
      </c>
      <c r="AM11" s="37">
        <f t="shared" si="0"/>
        <v>2500</v>
      </c>
      <c r="AN11" s="38">
        <f t="shared" si="1"/>
        <v>4.6399999999999997E-2</v>
      </c>
      <c r="AO11" s="39">
        <f t="shared" si="2"/>
        <v>5.04E-2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34219.5</v>
      </c>
      <c r="P12" s="355">
        <f t="shared" ca="1" si="10"/>
        <v>-34219.5</v>
      </c>
      <c r="X12" s="498" t="s">
        <v>760</v>
      </c>
      <c r="Y12" s="499">
        <v>0</v>
      </c>
      <c r="AG12" s="248" t="s">
        <v>185</v>
      </c>
      <c r="AH12" s="119" t="str">
        <f>GetDBPage($D$2)</f>
        <v>Contract DB (East)</v>
      </c>
      <c r="AL12" s="34">
        <v>9</v>
      </c>
      <c r="AM12" s="37">
        <f t="shared" si="0"/>
        <v>2500</v>
      </c>
      <c r="AN12" s="38">
        <f t="shared" si="1"/>
        <v>4.6399999999999997E-2</v>
      </c>
      <c r="AO12" s="39">
        <f t="shared" si="2"/>
        <v>5.04E-2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5">
      <c r="A13" s="270" t="s">
        <v>224</v>
      </c>
      <c r="D13" s="170"/>
      <c r="E13" s="171"/>
      <c r="F13" s="172"/>
      <c r="G13" s="172"/>
      <c r="H13" s="173"/>
      <c r="L13" s="706" t="s">
        <v>155</v>
      </c>
      <c r="M13" s="707"/>
      <c r="N13" s="352">
        <f t="shared" ca="1" si="11"/>
        <v>0</v>
      </c>
      <c r="O13" s="352">
        <v>130.41999999999999</v>
      </c>
      <c r="P13" s="355">
        <f t="shared" ca="1" si="10"/>
        <v>-130.41999999999999</v>
      </c>
      <c r="X13" s="498" t="s">
        <v>761</v>
      </c>
      <c r="AG13" s="248" t="s">
        <v>186</v>
      </c>
      <c r="AH13" s="119">
        <f>GetRecNdx($AH$12,$D$2)</f>
        <v>14</v>
      </c>
      <c r="AL13" s="34">
        <v>10</v>
      </c>
      <c r="AM13" s="37">
        <f t="shared" si="0"/>
        <v>2500</v>
      </c>
      <c r="AN13" s="38">
        <f t="shared" si="1"/>
        <v>4.6399999999999997E-2</v>
      </c>
      <c r="AO13" s="39">
        <f t="shared" si="2"/>
        <v>5.04E-2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5">
      <c r="A14" s="270" t="s">
        <v>224</v>
      </c>
      <c r="D14" s="170"/>
      <c r="E14" s="171"/>
      <c r="F14" s="172"/>
      <c r="G14" s="172"/>
      <c r="H14" s="173"/>
      <c r="K14" s="185"/>
      <c r="L14" s="706" t="s">
        <v>156</v>
      </c>
      <c r="M14" s="707"/>
      <c r="N14" s="352">
        <f t="shared" ca="1" si="11"/>
        <v>-993.56550819879988</v>
      </c>
      <c r="O14" s="352">
        <v>-352.21</v>
      </c>
      <c r="P14" s="355">
        <f t="shared" ca="1" si="10"/>
        <v>-641.35550819879995</v>
      </c>
      <c r="S14" s="181">
        <f>F22/(1-AR22)*AH22*AU22</f>
        <v>81492.366179210614</v>
      </c>
      <c r="T14" s="181">
        <f>F22*AH22*AU22</f>
        <v>77385.150923778405</v>
      </c>
      <c r="X14" s="500" t="s">
        <v>762</v>
      </c>
      <c r="Y14" s="501" t="s">
        <v>763</v>
      </c>
      <c r="AL14" s="34">
        <v>11</v>
      </c>
      <c r="AM14" s="37">
        <f t="shared" si="0"/>
        <v>2500</v>
      </c>
      <c r="AN14" s="38">
        <f t="shared" si="1"/>
        <v>4.6399999999999997E-2</v>
      </c>
      <c r="AO14" s="39">
        <f t="shared" si="2"/>
        <v>5.04E-2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8" thickBot="1" x14ac:dyDescent="0.3">
      <c r="A15" s="270" t="s">
        <v>224</v>
      </c>
      <c r="D15" s="170"/>
      <c r="E15" s="171"/>
      <c r="F15" s="172"/>
      <c r="G15" s="172"/>
      <c r="H15" s="173"/>
      <c r="L15" s="706" t="s">
        <v>157</v>
      </c>
      <c r="M15" s="707"/>
      <c r="N15" s="352">
        <f t="shared" ca="1" si="11"/>
        <v>1372.6030123194334</v>
      </c>
      <c r="O15" s="352">
        <v>459.48</v>
      </c>
      <c r="P15" s="355">
        <f t="shared" ca="1" si="10"/>
        <v>913.12301231943343</v>
      </c>
      <c r="X15" s="502">
        <v>2001</v>
      </c>
      <c r="Y15" s="503">
        <v>0</v>
      </c>
      <c r="AL15" s="34">
        <v>12</v>
      </c>
      <c r="AM15" s="41">
        <f t="shared" si="0"/>
        <v>2500</v>
      </c>
      <c r="AN15" s="42">
        <f t="shared" si="1"/>
        <v>4.6399999999999997E-2</v>
      </c>
      <c r="AO15" s="43">
        <f t="shared" si="2"/>
        <v>5.04E-2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5">
      <c r="D16" s="174"/>
      <c r="E16" s="175"/>
      <c r="F16" s="176"/>
      <c r="G16" s="176"/>
      <c r="H16" s="177"/>
      <c r="L16" s="706" t="s">
        <v>158</v>
      </c>
      <c r="M16" s="707"/>
      <c r="N16" s="352">
        <f t="shared" ca="1" si="11"/>
        <v>0</v>
      </c>
      <c r="O16" s="352">
        <v>-5.39</v>
      </c>
      <c r="P16" s="355">
        <f t="shared" ca="1" si="10"/>
        <v>5.39</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5">
      <c r="D17" s="171"/>
      <c r="E17" s="171"/>
      <c r="F17" s="172"/>
      <c r="G17" s="172"/>
      <c r="H17" s="172"/>
      <c r="L17" s="704" t="s">
        <v>211</v>
      </c>
      <c r="M17" s="705"/>
      <c r="N17" s="356">
        <f t="shared" ca="1" si="11"/>
        <v>61.151359320309524</v>
      </c>
      <c r="O17" s="357">
        <v>18.52</v>
      </c>
      <c r="P17" s="358">
        <f t="shared" ca="1" si="10"/>
        <v>42.631359320309528</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5">
      <c r="D18" s="171"/>
      <c r="E18" s="171"/>
      <c r="F18" s="172"/>
      <c r="G18" s="172"/>
      <c r="H18" s="172"/>
      <c r="L18" s="706" t="s">
        <v>623</v>
      </c>
      <c r="M18" s="707"/>
      <c r="N18" s="352">
        <f ca="1">SUMPRODUCT(INDIRECT(CONCATENATE(AX4,":",AY4)),INDIRECT(CONCATENATE($AV$2,":",$AW$2)),INDIRECT(CONCATENATE($AV$3,":",$AW$3)))</f>
        <v>382761.00007084617</v>
      </c>
      <c r="O18" s="352">
        <v>382701.32</v>
      </c>
      <c r="P18" s="355">
        <f t="shared" ca="1" si="10"/>
        <v>59.680070846166927</v>
      </c>
      <c r="AU18" s="361"/>
      <c r="AV18" s="339"/>
      <c r="AW18" s="138"/>
      <c r="AX18" s="339" t="str">
        <f>ADDRESS(ROW($CI$22),COLUMN($CI$22))</f>
        <v>$CI$22</v>
      </c>
      <c r="AY18" s="138" t="str">
        <f ca="1">GetEnd($AV$1,AX18)</f>
        <v>$CI$32</v>
      </c>
    </row>
    <row r="19" spans="1:91" x14ac:dyDescent="0.25">
      <c r="D19" s="171"/>
      <c r="E19" s="171"/>
      <c r="F19" s="172"/>
      <c r="G19" s="172"/>
      <c r="H19" s="172"/>
      <c r="L19" s="724" t="s">
        <v>624</v>
      </c>
      <c r="M19" s="725"/>
      <c r="N19" s="359">
        <f ca="1">SUMPRODUCT(INDIRECT(CONCATENATE(AX5,":",AY5)),INDIRECT(CONCATENATE($AV$2,":",$AW$2)),INDIRECT(CONCATENATE($AV$3,":",$AW$3)))</f>
        <v>7779.3207021189655</v>
      </c>
      <c r="O19" s="359">
        <v>7597.15</v>
      </c>
      <c r="P19" s="360">
        <f t="shared" ca="1" si="10"/>
        <v>182.17070211896589</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IF-TRANSCO/Z2 Basis Mid</v>
      </c>
      <c r="T20" s="182" t="str">
        <f>GetDelBasis($AH$12,$AH$13)</f>
        <v>IF-TRANSCO/Z6 Basis Mid</v>
      </c>
      <c r="U20" s="158"/>
      <c r="V20" s="158"/>
      <c r="W20" s="158"/>
      <c r="X20" s="158"/>
      <c r="Y20" s="335"/>
      <c r="Z20" s="335"/>
      <c r="AA20" s="335"/>
      <c r="AB20" s="335"/>
      <c r="AC20" s="335"/>
      <c r="AI20" s="138"/>
      <c r="AM20" s="702" t="str">
        <f>GetRcptPoint($AH$12,$AH$13)</f>
        <v>IF-TRANSCO/Z2</v>
      </c>
      <c r="AN20" s="703"/>
      <c r="AO20" s="702" t="str">
        <f>GetDelPoint($AH$12,$AH$13)</f>
        <v>IF-TRANSCO/Z6</v>
      </c>
      <c r="AP20" s="703"/>
      <c r="AQ20" s="137"/>
      <c r="AS20" s="137"/>
      <c r="AU20" s="136" t="s">
        <v>576</v>
      </c>
      <c r="AV20" s="353">
        <f ca="1">SUMPRODUCT(INDIRECT(CONCATENATE(AV8,":",AW8)),INDIRECT(CONCATENATE($AV$2,":",$AW$2)),INDIRECT(CONCATENATE($AV$3,":",$AW$3)),INDIRECT(CONCATENATE(AX3,":",AY3)))</f>
        <v>-7312.5</v>
      </c>
      <c r="AW20" s="353">
        <f ca="1">SUMPRODUCT(INDIRECT(CONCATENATE(AX8,":",AY8)),INDIRECT(CONCATENATE($AV$2,":",$AW$2)),INDIRECT(CONCATENATE($AV$3,":",$AW$3)),INDIRECT(CONCATENATE(AX3,":",AY3)))</f>
        <v>369500</v>
      </c>
      <c r="AX20" s="353">
        <f ca="1">SUMPRODUCT(INDIRECT(CONCATENATE(AV9,":",AW9)),INDIRECT(CONCATENATE($AV$2,":",$AW$2)),INDIRECT(CONCATENATE($AV$3,":",$AW$3)),INDIRECT(CONCATENATE(AX3,":",AY3)))</f>
        <v>937.5</v>
      </c>
      <c r="AY20" s="353">
        <f ca="1">SUMPRODUCT(INDIRECT(CONCATENATE(AX9,":",AY9)),INDIRECT(CONCATENATE($AV$2,":",$AW$2)),INDIRECT(CONCATENATE($AV$3,":",$AW$3)),INDIRECT(CONCATENATE(AX3,":",AY3)))</f>
        <v>68800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2" si="12">VLOOKUP(AG22,$AL$4:$AS$15,2)</f>
        <v>2500</v>
      </c>
      <c r="G22" s="28">
        <f t="shared" ref="G22:G32" si="13">F22*$AU22</f>
        <v>2496.2951910896259</v>
      </c>
      <c r="H22" s="52">
        <f t="shared" ref="H22:H32" si="14">(AL22+AM22+AN22)/(1-(AR22))</f>
        <v>2.9733572030328559</v>
      </c>
      <c r="I22" s="52">
        <f t="shared" ref="I22:I32" si="15">(AL22+AO22+AP22)</f>
        <v>5.226</v>
      </c>
      <c r="K22" s="52">
        <f t="shared" ref="K22:K32" si="16">MAX(((I22-H22)-AQ22)*AU22*AH22,0)</f>
        <v>68.137402425273009</v>
      </c>
      <c r="L22" s="135">
        <f t="shared" ref="L22:L32" si="17">MAX(Q22-K22,0)</f>
        <v>1.3364772433949099</v>
      </c>
      <c r="N22" s="131">
        <f t="shared" ref="N22:N32" si="18">SQRT(($AX22^2*($AH22/2)+$AW22^2*$AI22)/(($AH22/2)+$AI22))</f>
        <v>0.96016221307122684</v>
      </c>
      <c r="O22" s="131">
        <f t="shared" ref="O22:O32" si="19">SQRT(($AY22^2*($AH22/2)+$AW22^2*$AI22)/(($AH22/2)+$AI22))</f>
        <v>2.2342489661232814</v>
      </c>
      <c r="P22" s="55">
        <f t="shared" ref="P22:P32" si="20">(VLOOKUP(AI22,CorrelationTwo,2)*(AW22^2)*AI22+VLOOKUP(D22,CorrelationOne,$AK$9)*AX22*AY22*(AH22/2))/((AI22+(AH22/2))*O22*N22)*AF22</f>
        <v>1.0074450151777696</v>
      </c>
      <c r="Q22" s="135">
        <f>_xll.xSPRDOPT(I22,H22,AQ22,0,O22,N22,P22,D22-$G$5,1,0)*AH22*AU22</f>
        <v>69.473879668667919</v>
      </c>
      <c r="R22" s="135"/>
      <c r="S22" s="181">
        <f>_xll.xSPRDOPT(I22,H22,AQ22,AT22,O22,N22,P22,D22-$G$5,1,2)*AF22*(F22/(1-AR22))*AH22</f>
        <v>-74679.288912032236</v>
      </c>
      <c r="T22" s="181">
        <f>_xll.xSPRDOPT(I22,H22,AQ22,AT22,O22,N22,P22,D22-$G$5,1,1)*AF22*F22*AH22</f>
        <v>74653.157528735028</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-627.51748036841354</v>
      </c>
      <c r="AA22" s="338">
        <f t="shared" ref="AA22:AA32" si="24">(($BK22*$BE22)+($BJ22*$BD22))*$F22*$AH22*$AF22</f>
        <v>897.45722673113164</v>
      </c>
      <c r="AB22" s="338">
        <f t="shared" ref="AB22:AB32" si="25">BN22*(AT22-CA22)*F22*AH22</f>
        <v>0</v>
      </c>
      <c r="AC22" s="338">
        <f t="shared" ref="AC22:AC32" si="26">BO22*CB22*F22*AH22*CA22*($G$5-$BV$5)/365.25</f>
        <v>26.737399209992965</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-2.5000000000000001E-2</v>
      </c>
      <c r="AN22" s="258">
        <f t="shared" ref="AN22:AN32" si="33">VLOOKUP($D22,CurveTbl,$AH$4)+VLOOKUP($AG22,$AL$3:$AS$15,6)</f>
        <v>2.5000000000000001E-3</v>
      </c>
      <c r="AO22" s="258">
        <f t="shared" ref="AO22:AO32" si="34">VLOOKUP($D22,CurveTbl,$AH$5)</f>
        <v>1.95</v>
      </c>
      <c r="AP22" s="258">
        <f t="shared" ref="AP22:AP32" si="35">VLOOKUP($D22,CurveTbl,$AH$6)+VLOOKUP($AG22,$AL$3:$AS$15,7)</f>
        <v>0.43</v>
      </c>
      <c r="AQ22" s="136">
        <f t="shared" ref="AQ22:AQ32" si="36">VLOOKUP($AG22,$AL$4:$AS$15,3)+VLOOKUP($AG22,$AL$4:$AS$15,5)+($AH$10*VLOOKUP(D22,GRITable,2))</f>
        <v>5.1399999999999994E-2</v>
      </c>
      <c r="AR22" s="137">
        <f t="shared" ref="AR22:AR32" si="37">VLOOKUP($AG22,$AL$4:$AS$15,4)</f>
        <v>5.04E-2</v>
      </c>
      <c r="AS22" s="136">
        <f t="shared" ref="AS22:AS32" si="38">(AL22+AM22+AN22)</f>
        <v>2.8235000000000001</v>
      </c>
      <c r="AT22" s="137">
        <f t="shared" ref="AT22:AT32" si="39">VLOOKUP(D22,CurveTbl,$AK$6)</f>
        <v>1.8765908157160699E-2</v>
      </c>
      <c r="AU22" s="137">
        <f t="shared" ref="AU22:AU32" si="40">(1+$AT22/2)^(-2*($D22-$G$5)/365.25)*$AF22</f>
        <v>0.99851807643585033</v>
      </c>
      <c r="AV22" s="394">
        <f t="shared" ref="AV22:AV32" si="41">ROUND((F22/(1-AR22))-F22,0)*AF22*AH22*AU22</f>
        <v>4116.8900291450109</v>
      </c>
      <c r="AW22" s="137">
        <f t="shared" ref="AW22:AW32" si="42">VLOOKUP($D22,CurveTbl,$AK$8)</f>
        <v>0.87</v>
      </c>
      <c r="AX22" s="137">
        <f t="shared" ref="AX22:AX32" si="43">VLOOKUP($D22,CurveTbl,$AH$7)</f>
        <v>1.04</v>
      </c>
      <c r="AY22" s="137">
        <f t="shared" ref="AY22:AY32" si="44">VLOOKUP($D22,CurveTbl,$AH$8)</f>
        <v>3.0150000000000001</v>
      </c>
      <c r="AZ22" s="137"/>
      <c r="BA22" s="264"/>
      <c r="BB22" s="258">
        <f t="shared" ref="BB22:BB32" si="45">$H22-$BV22</f>
        <v>0</v>
      </c>
      <c r="BC22" s="258">
        <f t="shared" ref="BC22:BC32" si="46">I22-BW22</f>
        <v>0</v>
      </c>
      <c r="BD22" s="137">
        <f t="shared" ref="BD22:BE32" si="47">N22-BX22</f>
        <v>7.7262160833929672E-3</v>
      </c>
      <c r="BE22" s="137">
        <f t="shared" si="47"/>
        <v>8.6548442932621761E-2</v>
      </c>
      <c r="BF22" s="137">
        <f>_xll.xSPRDOPT($BW22,$BV22,$CG22,0,$BY22,$BX22,$BZ22,$AJ22,1,4)*$CB22</f>
        <v>0.14738788454450907</v>
      </c>
      <c r="BG22" s="137">
        <f>_xll.xSPRDOPT($BW22,$BV22,$CG22,0,$BY22,$BX22,$BZ22,$AJ22,1,3)*$CB22</f>
        <v>5.0041697073558065E-2</v>
      </c>
      <c r="BH22" s="137">
        <f>IF(OR(BF22&lt;&gt;0,BG22&lt;&gt;0),_xll.xSPRDOPT($BW22,$BV22,$CG22,0,$BY22,$BX22,$BZ22,$AJ22,1,12)*$CB22,0)</f>
        <v>-8.5883861934698338E-2</v>
      </c>
      <c r="BI22" s="137">
        <f>_xll.xSPRDOPT($BW22,$BV22,$CG22,2*LN(1+CA22/2),$BY22,$BX22,$BZ22,$AJ22,1,9)</f>
        <v>-0.98580971915941107</v>
      </c>
      <c r="BJ22" s="137">
        <f>_xll.xSPRDOPT($BW22,$BV22,$CG22,0,$BY22,$BX22,$BZ22,$AJ22,1,6)*$CB22</f>
        <v>-0.14105046335516799</v>
      </c>
      <c r="BK22" s="137">
        <f>_xll.xSPRDOPT($BW22,$BV22,$CG22,0,$BY22,$BX22,$BZ22,$AJ22,1,5)*$CB22</f>
        <v>0.14639061290278677</v>
      </c>
      <c r="BL22" s="137">
        <f>_xll.xSPRDOPT(BW22,BV22,CG22,0,BY22,BX22,BZ22,AJ22,1,2)*CB22</f>
        <v>-0.90792355992451756</v>
      </c>
      <c r="BM22" s="137">
        <f>_xll.xSPRDOPT(BW22,BV22,CG22,0,BY22,BX22,BZ22,AJ22,1,1)*CB22</f>
        <v>0.95326562499867717</v>
      </c>
      <c r="BN22" s="137">
        <f>IF(AH22&lt;&gt;0,_xll.xSPRDOPT($BW22,$BV22,$CG22,2*LN(1+CA22/2),$BY22,$BX22,$BZ22,$AJ22,1,8)+(AJ22/365.25)*CH22/AH22,0)</f>
        <v>-0.19609954908698515</v>
      </c>
      <c r="BO22" s="137">
        <f>_xll.xSPRDOPT($BW22,$BV22,$CG22,0,$BY22,$BX22,$BZ22,$AJ22,1,0)</f>
        <v>2.2419583369319849</v>
      </c>
      <c r="BP22" s="137"/>
      <c r="BQ22" s="137"/>
      <c r="BR22" s="137"/>
      <c r="BS22" s="137"/>
      <c r="BV22" s="262">
        <v>2.9733572030328559</v>
      </c>
      <c r="BW22" s="136">
        <v>5.226</v>
      </c>
      <c r="BX22" s="137">
        <v>0.95243599698783388</v>
      </c>
      <c r="BY22" s="137">
        <v>2.1477005231906596</v>
      </c>
      <c r="BZ22" s="137">
        <v>0.99473408551646614</v>
      </c>
      <c r="CA22" s="137">
        <v>1.8765908157160699E-2</v>
      </c>
      <c r="CB22" s="137">
        <v>0.99836489939579565</v>
      </c>
      <c r="CC22" s="258">
        <v>-2.5000000000000001E-2</v>
      </c>
      <c r="CD22" s="258">
        <v>2.5000000000000001E-3</v>
      </c>
      <c r="CE22" s="258">
        <v>1.95</v>
      </c>
      <c r="CF22" s="258">
        <v>0.43</v>
      </c>
      <c r="CG22" s="258">
        <v>5.1399999999999994E-2</v>
      </c>
      <c r="CH22" s="258">
        <v>0</v>
      </c>
      <c r="CI22" s="258">
        <v>2.8460000000000001</v>
      </c>
      <c r="CJ22" s="258"/>
      <c r="CK22" s="258"/>
      <c r="CL22" s="258"/>
      <c r="CM22" s="258"/>
    </row>
    <row r="23" spans="1:91" x14ac:dyDescent="0.25">
      <c r="A23" s="723"/>
      <c r="B23" s="723"/>
      <c r="D23" s="31">
        <f t="shared" ref="D23:D32" si="48">D22+AH22</f>
        <v>37302</v>
      </c>
      <c r="F23" s="28">
        <f t="shared" si="12"/>
        <v>2500</v>
      </c>
      <c r="G23" s="28">
        <f t="shared" si="13"/>
        <v>2492.1137342186144</v>
      </c>
      <c r="H23" s="52">
        <f t="shared" si="14"/>
        <v>3.0386478517270428</v>
      </c>
      <c r="I23" s="52">
        <f t="shared" si="15"/>
        <v>5.2379999999999995</v>
      </c>
      <c r="K23" s="52">
        <f t="shared" si="16"/>
        <v>59.952939750540622</v>
      </c>
      <c r="L23" s="135">
        <f t="shared" si="17"/>
        <v>1.152080793495351</v>
      </c>
      <c r="N23" s="131">
        <f t="shared" si="18"/>
        <v>0.90885229823112634</v>
      </c>
      <c r="O23" s="131">
        <f t="shared" si="19"/>
        <v>1.6415516034126574</v>
      </c>
      <c r="P23" s="55">
        <f t="shared" si="20"/>
        <v>0.93427164042177968</v>
      </c>
      <c r="Q23" s="135">
        <f>_xll.xSPRDOPT(I23,H23,AQ23,0,O23,N23,P23,D23-$G$5,1,0)*AH23*AU23</f>
        <v>61.105020544035973</v>
      </c>
      <c r="R23" s="135"/>
      <c r="S23" s="181">
        <f>_xll.xSPRDOPT(I23,H23,AQ23,AT23,O23,N23,P23,D23-$G$5,1,2)*AF23*(F23/(1-AR23))*AH23</f>
        <v>-66730.047545726949</v>
      </c>
      <c r="T23" s="181">
        <f>_xll.xSPRDOPT(I23,H23,AQ23,AT23,O23,N23,P23,D23-$G$5,1,1)*AF23*F23*AH23</f>
        <v>66509.106181695606</v>
      </c>
      <c r="U23" s="135"/>
      <c r="V23" s="146">
        <f t="shared" ref="V23:V32" si="49">($Y$12+VLOOKUP(YEAR(D23),$X$15:$Y$17,2,FALSE))*AH23*AU23</f>
        <v>0</v>
      </c>
      <c r="W23" s="146"/>
      <c r="X23" s="338">
        <f t="shared" si="21"/>
        <v>0</v>
      </c>
      <c r="Y23" s="338">
        <f t="shared" si="22"/>
        <v>0</v>
      </c>
      <c r="Z23" s="338">
        <f t="shared" si="23"/>
        <v>-276.99501981203946</v>
      </c>
      <c r="AA23" s="338">
        <f t="shared" si="24"/>
        <v>370.46948853992899</v>
      </c>
      <c r="AB23" s="338">
        <f t="shared" si="25"/>
        <v>0</v>
      </c>
      <c r="AC23" s="338">
        <f t="shared" si="26"/>
        <v>24.245695773641089</v>
      </c>
      <c r="AF23" s="138">
        <f t="shared" si="27"/>
        <v>1</v>
      </c>
      <c r="AG23" s="138">
        <f t="shared" si="28"/>
        <v>2</v>
      </c>
      <c r="AH23" s="138">
        <f t="shared" si="29"/>
        <v>28</v>
      </c>
      <c r="AI23" s="138">
        <f t="shared" ref="AI23:AI32" si="50">AI22+AH22</f>
        <v>46</v>
      </c>
      <c r="AJ23" s="138">
        <f t="shared" si="30"/>
        <v>63</v>
      </c>
      <c r="AL23" s="136">
        <f t="shared" si="31"/>
        <v>2.9079999999999999</v>
      </c>
      <c r="AM23" s="258">
        <f t="shared" si="32"/>
        <v>-2.5000000000000001E-2</v>
      </c>
      <c r="AN23" s="258">
        <f t="shared" si="33"/>
        <v>2.5000000000000001E-3</v>
      </c>
      <c r="AO23" s="258">
        <f t="shared" si="34"/>
        <v>1.9</v>
      </c>
      <c r="AP23" s="258">
        <f t="shared" si="35"/>
        <v>0.43</v>
      </c>
      <c r="AQ23" s="136">
        <f t="shared" si="36"/>
        <v>5.1399999999999994E-2</v>
      </c>
      <c r="AR23" s="137">
        <f t="shared" si="37"/>
        <v>5.04E-2</v>
      </c>
      <c r="AS23" s="136">
        <f t="shared" si="38"/>
        <v>2.8855</v>
      </c>
      <c r="AT23" s="137">
        <f t="shared" si="39"/>
        <v>1.9326187282006298E-2</v>
      </c>
      <c r="AU23" s="137">
        <f t="shared" si="40"/>
        <v>0.99684549368744568</v>
      </c>
      <c r="AV23" s="394">
        <f t="shared" si="41"/>
        <v>3712.2526184920475</v>
      </c>
      <c r="AW23" s="137">
        <f t="shared" si="42"/>
        <v>0.86499999999999999</v>
      </c>
      <c r="AX23" s="137">
        <f t="shared" si="43"/>
        <v>1.04</v>
      </c>
      <c r="AY23" s="137">
        <f t="shared" si="44"/>
        <v>3.0150000000000001</v>
      </c>
      <c r="AZ23" s="137"/>
      <c r="BA23" s="264"/>
      <c r="BB23" s="258">
        <f t="shared" si="45"/>
        <v>0</v>
      </c>
      <c r="BC23" s="258">
        <f t="shared" si="46"/>
        <v>0</v>
      </c>
      <c r="BD23" s="137">
        <f t="shared" si="47"/>
        <v>2.0401162808982853E-3</v>
      </c>
      <c r="BE23" s="137">
        <f t="shared" si="47"/>
        <v>2.8479138277325067E-2</v>
      </c>
      <c r="BF23" s="137">
        <f>_xll.xSPRDOPT($BW23,$BV23,$CG23,0,$BY23,$BX23,$BZ23,$AJ23,1,4)*$CB23</f>
        <v>0.14969449676735702</v>
      </c>
      <c r="BG23" s="137">
        <f>_xll.xSPRDOPT($BW23,$BV23,$CG23,0,$BY23,$BX23,$BZ23,$AJ23,1,3)*$CB23</f>
        <v>5.2760928696720097E-2</v>
      </c>
      <c r="BH23" s="137">
        <f>IF(OR(BF23&lt;&gt;0,BG23&lt;&gt;0),_xll.xSPRDOPT($BW23,$BV23,$CG23,0,$BY23,$BX23,$BZ23,$AJ23,1,12)*$CB23,0)</f>
        <v>-8.8869177934203306E-2</v>
      </c>
      <c r="BI23" s="137">
        <f>_xll.xSPRDOPT($BW23,$BV23,$CG23,2*LN(1+CA23/2),$BY23,$BX23,$BZ23,$AJ23,1,9)</f>
        <v>-0.4817734808873686</v>
      </c>
      <c r="BJ23" s="137">
        <f>_xll.xSPRDOPT($BW23,$BV23,$CG23,0,$BY23,$BX23,$BZ23,$AJ23,1,6)*$CB23</f>
        <v>-0.15050794243105517</v>
      </c>
      <c r="BK23" s="137">
        <f>_xll.xSPRDOPT($BW23,$BV23,$CG23,0,$BY23,$BX23,$BZ23,$AJ23,1,5)*$CB23</f>
        <v>0.19661672744756103</v>
      </c>
      <c r="BL23" s="137">
        <f>_xll.xSPRDOPT(BW23,BV23,CG23,0,BY23,BX23,BZ23,AJ23,1,2)*CB23</f>
        <v>-0.90504323773101347</v>
      </c>
      <c r="BM23" s="137">
        <f>_xll.xSPRDOPT(BW23,BV23,CG23,0,BY23,BX23,BZ23,AJ23,1,1)*CB23</f>
        <v>0.94996209585328695</v>
      </c>
      <c r="BN23" s="137">
        <f>IF(AH23&lt;&gt;0,_xll.xSPRDOPT($BW23,$BV23,$CG23,2*LN(1+CA23/2),$BY23,$BX23,$BZ23,$AJ23,1,8)+(AJ23/365.25)*CH23/AH23,0)</f>
        <v>-0.37636542717686144</v>
      </c>
      <c r="BO23" s="137">
        <f>_xll.xSPRDOPT($BW23,$BV23,$CG23,0,$BY23,$BX23,$BZ23,$AJ23,1,0)</f>
        <v>2.1892741802128342</v>
      </c>
      <c r="BP23" s="137"/>
      <c r="BQ23" s="137"/>
      <c r="BR23" s="137"/>
      <c r="BS23" s="137"/>
      <c r="BV23" s="262">
        <v>3.0386478517270428</v>
      </c>
      <c r="BW23" s="136">
        <v>5.2379999999999995</v>
      </c>
      <c r="BX23" s="137">
        <v>0.90681218195022806</v>
      </c>
      <c r="BY23" s="137">
        <v>1.6130724651353323</v>
      </c>
      <c r="BZ23" s="137">
        <v>0.93176517437583928</v>
      </c>
      <c r="CA23" s="137">
        <v>1.9326187282006298E-2</v>
      </c>
      <c r="CB23" s="137">
        <v>0.99668802984454063</v>
      </c>
      <c r="CC23" s="258">
        <v>-2.5000000000000001E-2</v>
      </c>
      <c r="CD23" s="258">
        <v>2.5000000000000001E-3</v>
      </c>
      <c r="CE23" s="258">
        <v>1.9</v>
      </c>
      <c r="CF23" s="258">
        <v>0.43</v>
      </c>
      <c r="CG23" s="258">
        <v>5.1399999999999994E-2</v>
      </c>
      <c r="CH23" s="258">
        <v>0</v>
      </c>
      <c r="CI23" s="258">
        <v>2.9079999999999999</v>
      </c>
      <c r="CJ23" s="258"/>
      <c r="CK23" s="258"/>
      <c r="CL23" s="258"/>
      <c r="CM23" s="258"/>
    </row>
    <row r="24" spans="1:91" x14ac:dyDescent="0.25">
      <c r="A24" s="723"/>
      <c r="B24" s="723"/>
      <c r="D24" s="31">
        <f t="shared" si="48"/>
        <v>37330</v>
      </c>
      <c r="F24" s="28">
        <f t="shared" si="12"/>
        <v>2500</v>
      </c>
      <c r="G24" s="28">
        <f t="shared" si="13"/>
        <v>2488.4734745186315</v>
      </c>
      <c r="H24" s="52">
        <f t="shared" si="14"/>
        <v>3.0323294018534122</v>
      </c>
      <c r="I24" s="52">
        <f t="shared" si="15"/>
        <v>3.6520000000000001</v>
      </c>
      <c r="K24" s="52">
        <f t="shared" si="16"/>
        <v>17.535166241974096</v>
      </c>
      <c r="L24" s="135">
        <f t="shared" si="17"/>
        <v>0.62317024395732545</v>
      </c>
      <c r="N24" s="131">
        <f t="shared" si="18"/>
        <v>0.79</v>
      </c>
      <c r="O24" s="131">
        <f t="shared" si="19"/>
        <v>0.98372730642583128</v>
      </c>
      <c r="P24" s="55">
        <f t="shared" si="20"/>
        <v>0.98218858005222098</v>
      </c>
      <c r="Q24" s="135">
        <f>_xll.xSPRDOPT(I24,H24,AQ24,0,O24,N24,P24,D24-$G$5,1,0)*AH24*AU24</f>
        <v>18.158336485931422</v>
      </c>
      <c r="R24" s="135"/>
      <c r="S24" s="181">
        <f>_xll.xSPRDOPT(I24,H24,AQ24,AT24,O24,N24,P24,D24-$G$5,1,2)*AF24*(F24/(1-AR24))*AH24</f>
        <v>-72507.109113936909</v>
      </c>
      <c r="T24" s="181">
        <f>_xll.xSPRDOPT(I24,H24,AQ24,AT24,O24,N24,P24,D24-$G$5,1,1)*AF24*F24*AH24</f>
        <v>70502.456117000533</v>
      </c>
      <c r="U24" s="135"/>
      <c r="V24" s="146">
        <f t="shared" si="49"/>
        <v>0</v>
      </c>
      <c r="W24" s="146"/>
      <c r="X24" s="338">
        <f t="shared" si="21"/>
        <v>0</v>
      </c>
      <c r="Y24" s="338">
        <f t="shared" si="22"/>
        <v>0</v>
      </c>
      <c r="Z24" s="338">
        <f t="shared" si="23"/>
        <v>-89.053008018346844</v>
      </c>
      <c r="AA24" s="338">
        <f t="shared" si="24"/>
        <v>104.67629704837277</v>
      </c>
      <c r="AB24" s="338">
        <f t="shared" si="25"/>
        <v>0</v>
      </c>
      <c r="AC24" s="338">
        <f t="shared" si="26"/>
        <v>7.1860698262976417</v>
      </c>
      <c r="AF24" s="138">
        <f t="shared" si="27"/>
        <v>1</v>
      </c>
      <c r="AG24" s="138">
        <f t="shared" si="28"/>
        <v>3</v>
      </c>
      <c r="AH24" s="138">
        <f t="shared" si="29"/>
        <v>31</v>
      </c>
      <c r="AI24" s="138">
        <f t="shared" si="50"/>
        <v>74</v>
      </c>
      <c r="AJ24" s="138">
        <f t="shared" si="30"/>
        <v>91</v>
      </c>
      <c r="AL24" s="136">
        <f t="shared" si="31"/>
        <v>2.9020000000000001</v>
      </c>
      <c r="AM24" s="258">
        <f t="shared" si="32"/>
        <v>-2.5000000000000001E-2</v>
      </c>
      <c r="AN24" s="258">
        <f t="shared" si="33"/>
        <v>2.5000000000000001E-3</v>
      </c>
      <c r="AO24" s="258">
        <f t="shared" si="34"/>
        <v>0.7</v>
      </c>
      <c r="AP24" s="258">
        <f t="shared" si="35"/>
        <v>0.05</v>
      </c>
      <c r="AQ24" s="136">
        <f t="shared" si="36"/>
        <v>5.1399999999999994E-2</v>
      </c>
      <c r="AR24" s="137">
        <f t="shared" si="37"/>
        <v>5.04E-2</v>
      </c>
      <c r="AS24" s="136">
        <f t="shared" si="38"/>
        <v>2.8795000000000002</v>
      </c>
      <c r="AT24" s="137">
        <f t="shared" si="39"/>
        <v>1.9273175363903501E-2</v>
      </c>
      <c r="AU24" s="137">
        <f t="shared" si="40"/>
        <v>0.99538938980745262</v>
      </c>
      <c r="AV24" s="394">
        <f t="shared" si="41"/>
        <v>4103.9904541761271</v>
      </c>
      <c r="AW24" s="137">
        <f t="shared" si="42"/>
        <v>0.79</v>
      </c>
      <c r="AX24" s="137">
        <f t="shared" si="43"/>
        <v>0.79</v>
      </c>
      <c r="AY24" s="137">
        <f t="shared" si="44"/>
        <v>1.615</v>
      </c>
      <c r="AZ24" s="137"/>
      <c r="BA24" s="264"/>
      <c r="BB24" s="258">
        <f t="shared" si="45"/>
        <v>0</v>
      </c>
      <c r="BC24" s="258">
        <f t="shared" si="46"/>
        <v>0</v>
      </c>
      <c r="BD24" s="137">
        <f t="shared" si="47"/>
        <v>0</v>
      </c>
      <c r="BE24" s="137">
        <f t="shared" si="47"/>
        <v>5.6807840149594169E-3</v>
      </c>
      <c r="BF24" s="137">
        <f>_xll.xSPRDOPT($BW24,$BV24,$CG24,0,$BY24,$BX24,$BZ24,$AJ24,1,4)*$CB24</f>
        <v>0.45134448288739115</v>
      </c>
      <c r="BG24" s="137">
        <f>_xll.xSPRDOPT($BW24,$BV24,$CG24,0,$BY24,$BX24,$BZ24,$AJ24,1,3)*$CB24</f>
        <v>0.3256438051555644</v>
      </c>
      <c r="BH24" s="137">
        <f>IF(OR(BF24&lt;&gt;0,BG24&lt;&gt;0),_xll.xSPRDOPT($BW24,$BV24,$CG24,0,$BY24,$BX24,$BZ24,$AJ24,1,12)*$CB24,0)</f>
        <v>-0.38336881876416329</v>
      </c>
      <c r="BI24" s="137">
        <f>_xll.xSPRDOPT($BW24,$BV24,$CG24,2*LN(1+CA24/2),$BY24,$BX24,$BZ24,$AJ24,1,9)</f>
        <v>-0.13989940291914488</v>
      </c>
      <c r="BJ24" s="137">
        <f>_xll.xSPRDOPT($BW24,$BV24,$CG24,0,$BY24,$BX24,$BZ24,$AJ24,1,6)*$CB24</f>
        <v>-0.19902722883982302</v>
      </c>
      <c r="BK24" s="137">
        <f>_xll.xSPRDOPT($BW24,$BV24,$CG24,0,$BY24,$BX24,$BZ24,$AJ24,1,5)*$CB24</f>
        <v>0.23775976939831028</v>
      </c>
      <c r="BL24" s="137">
        <f>_xll.xSPRDOPT(BW24,BV24,CG24,0,BY24,BX24,BZ24,AJ24,1,2)*CB24</f>
        <v>-0.88804300942980163</v>
      </c>
      <c r="BM24" s="137">
        <f>_xll.xSPRDOPT(BW24,BV24,CG24,0,BY24,BX24,BZ24,AJ24,1,1)*CB24</f>
        <v>0.90938525019231753</v>
      </c>
      <c r="BN24" s="137">
        <f>IF(AH24&lt;&gt;0,_xll.xSPRDOPT($BW24,$BV24,$CG24,2*LN(1+CA24/2),$BY24,$BX24,$BZ24,$AJ24,1,8)+(AJ24/365.25)*CH24/AH24,0)</f>
        <v>-0.14593403645187597</v>
      </c>
      <c r="BO24" s="137">
        <f>_xll.xSPRDOPT($BW24,$BV24,$CG24,0,$BY24,$BX24,$BZ24,$AJ24,1,0)</f>
        <v>0.58854657991211645</v>
      </c>
      <c r="BP24" s="137"/>
      <c r="BQ24" s="137"/>
      <c r="BR24" s="137"/>
      <c r="BS24" s="137"/>
      <c r="BV24" s="262">
        <v>3.0323294018534122</v>
      </c>
      <c r="BW24" s="136">
        <v>3.6520000000000001</v>
      </c>
      <c r="BX24" s="137">
        <v>0.79</v>
      </c>
      <c r="BY24" s="137">
        <v>0.97804652241087187</v>
      </c>
      <c r="BZ24" s="137">
        <v>0.98198487483443253</v>
      </c>
      <c r="CA24" s="137">
        <v>1.9273175363903501E-2</v>
      </c>
      <c r="CB24" s="137">
        <v>0.99523258517239033</v>
      </c>
      <c r="CC24" s="258">
        <v>-2.5000000000000001E-2</v>
      </c>
      <c r="CD24" s="258">
        <v>2.5000000000000001E-3</v>
      </c>
      <c r="CE24" s="258">
        <v>0.7</v>
      </c>
      <c r="CF24" s="258">
        <v>0.05</v>
      </c>
      <c r="CG24" s="258">
        <v>5.1399999999999994E-2</v>
      </c>
      <c r="CH24" s="258">
        <v>0</v>
      </c>
      <c r="CI24" s="258">
        <v>2.9020000000000001</v>
      </c>
      <c r="CJ24" s="258"/>
      <c r="CK24" s="258"/>
      <c r="CL24" s="258"/>
      <c r="CM24" s="258"/>
    </row>
    <row r="25" spans="1:91" x14ac:dyDescent="0.25">
      <c r="A25" s="723"/>
      <c r="B25" s="723"/>
      <c r="D25" s="31">
        <f t="shared" si="48"/>
        <v>37361</v>
      </c>
      <c r="F25" s="28">
        <f t="shared" si="12"/>
        <v>2500</v>
      </c>
      <c r="G25" s="28">
        <f t="shared" si="13"/>
        <v>2484.3058445578304</v>
      </c>
      <c r="H25" s="52">
        <f t="shared" si="14"/>
        <v>2.9807287278854253</v>
      </c>
      <c r="I25" s="52">
        <f t="shared" si="15"/>
        <v>3.2829999999999999</v>
      </c>
      <c r="K25" s="52">
        <f t="shared" si="16"/>
        <v>7.4788916105507468</v>
      </c>
      <c r="L25" s="135">
        <f t="shared" si="17"/>
        <v>0</v>
      </c>
      <c r="N25" s="131">
        <f t="shared" si="18"/>
        <v>0.60058305004387191</v>
      </c>
      <c r="O25" s="131">
        <f t="shared" si="19"/>
        <v>0.60633118013178244</v>
      </c>
      <c r="P25" s="55">
        <f t="shared" si="20"/>
        <v>1.0128061703924034</v>
      </c>
      <c r="Q25" s="135">
        <f>_xll.xSPRDOPT(I25,H25,AQ25,0,O25,N25,P25,D25-$G$5,1,0)*AH25*AU25</f>
        <v>7.4787211877077553</v>
      </c>
      <c r="R25" s="135"/>
      <c r="S25" s="181">
        <f>_xll.xSPRDOPT(I25,H25,AQ25,AT25,O25,N25,P25,D25-$G$5,1,2)*AF25*(F25/(1-AR25))*AH25</f>
        <v>-78508.141555799622</v>
      </c>
      <c r="T25" s="181">
        <f>_xll.xSPRDOPT(I25,H25,AQ25,AT25,O25,N25,P25,D25-$G$5,1,1)*AF25*F25*AH25</f>
        <v>74550.075268538028</v>
      </c>
      <c r="U25" s="135"/>
      <c r="V25" s="146">
        <f t="shared" si="49"/>
        <v>0</v>
      </c>
      <c r="W25" s="146"/>
      <c r="X25" s="338">
        <f t="shared" si="21"/>
        <v>0</v>
      </c>
      <c r="Y25" s="338">
        <f t="shared" si="22"/>
        <v>0</v>
      </c>
      <c r="Z25" s="338">
        <f t="shared" si="23"/>
        <v>0</v>
      </c>
      <c r="AA25" s="338">
        <f t="shared" si="24"/>
        <v>0</v>
      </c>
      <c r="AB25" s="338">
        <f t="shared" si="25"/>
        <v>0</v>
      </c>
      <c r="AC25" s="338">
        <f t="shared" si="26"/>
        <v>2.9821945103778296</v>
      </c>
      <c r="AF25" s="138">
        <f t="shared" si="27"/>
        <v>1</v>
      </c>
      <c r="AG25" s="138">
        <f t="shared" si="28"/>
        <v>4</v>
      </c>
      <c r="AH25" s="138">
        <f t="shared" si="29"/>
        <v>30</v>
      </c>
      <c r="AI25" s="138">
        <f t="shared" si="50"/>
        <v>105</v>
      </c>
      <c r="AJ25" s="138">
        <f t="shared" si="30"/>
        <v>122</v>
      </c>
      <c r="AL25" s="136">
        <f t="shared" si="31"/>
        <v>2.8479999999999999</v>
      </c>
      <c r="AM25" s="258">
        <f t="shared" si="32"/>
        <v>-2.2499999999999999E-2</v>
      </c>
      <c r="AN25" s="258">
        <f t="shared" si="33"/>
        <v>5.0000000000000001E-3</v>
      </c>
      <c r="AO25" s="258">
        <f t="shared" si="34"/>
        <v>0.41499999999999998</v>
      </c>
      <c r="AP25" s="258">
        <f t="shared" si="35"/>
        <v>0.02</v>
      </c>
      <c r="AQ25" s="136">
        <f t="shared" si="36"/>
        <v>5.1399999999999994E-2</v>
      </c>
      <c r="AR25" s="137">
        <f t="shared" si="37"/>
        <v>5.04E-2</v>
      </c>
      <c r="AS25" s="136">
        <f t="shared" si="38"/>
        <v>2.8304999999999998</v>
      </c>
      <c r="AT25" s="137">
        <f t="shared" si="39"/>
        <v>1.9422640119623601E-2</v>
      </c>
      <c r="AU25" s="137">
        <f t="shared" si="40"/>
        <v>0.99372233782313213</v>
      </c>
      <c r="AV25" s="394">
        <f t="shared" si="41"/>
        <v>3964.9521279142973</v>
      </c>
      <c r="AW25" s="137">
        <f t="shared" si="42"/>
        <v>0.61</v>
      </c>
      <c r="AX25" s="137">
        <f t="shared" si="43"/>
        <v>0.53</v>
      </c>
      <c r="AY25" s="137">
        <f t="shared" si="44"/>
        <v>0.57999999999999996</v>
      </c>
      <c r="AZ25" s="137"/>
      <c r="BA25" s="264"/>
      <c r="BB25" s="258">
        <f t="shared" si="45"/>
        <v>0</v>
      </c>
      <c r="BC25" s="258">
        <f t="shared" si="46"/>
        <v>0</v>
      </c>
      <c r="BD25" s="137">
        <f t="shared" si="47"/>
        <v>-2.3143778118694946E-4</v>
      </c>
      <c r="BE25" s="137">
        <f t="shared" si="47"/>
        <v>-8.9747494742220546E-5</v>
      </c>
      <c r="BF25" s="137">
        <f>_xll.xSPRDOPT($BW25,$BV25,$CG25,0,$BY25,$BX25,$BZ25,$AJ25,1,4)*$CB25</f>
        <v>-2.1927020093057095E-2</v>
      </c>
      <c r="BG25" s="137">
        <f>_xll.xSPRDOPT($BW25,$BV25,$CG25,0,$BY25,$BX25,$BZ25,$AJ25,1,3)*$CB25</f>
        <v>-1.9804423103525773E-2</v>
      </c>
      <c r="BH25" s="137">
        <f>IF(OR(BF25&lt;&gt;0,BG25&lt;&gt;0),_xll.xSPRDOPT($BW25,$BV25,$CG25,0,$BY25,$BX25,$BZ25,$AJ25,1,12)*$CB25,0)</f>
        <v>2.0834780055447415E-2</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-0.99394315456987847</v>
      </c>
      <c r="BM25" s="137">
        <f>_xll.xSPRDOPT(BW25,BV25,CG25,0,BY25,BX25,BZ25,AJ25,1,1)*CB25</f>
        <v>0.99392372607138979</v>
      </c>
      <c r="BN25" s="137">
        <f>IF(AH25&lt;&gt;0,_xll.xSPRDOPT($BW25,$BV25,$CG25,2*LN(1+CA25/2),$BY25,$BX25,$BZ25,$AJ25,1,8)+(AJ25/365.25)*CH25/AH25,0)</f>
        <v>0</v>
      </c>
      <c r="BO25" s="137">
        <f>_xll.xSPRDOPT($BW25,$BV25,$CG25,0,$BY25,$BX25,$BZ25,$AJ25,1,0)</f>
        <v>0.25086455612678438</v>
      </c>
      <c r="BP25" s="137"/>
      <c r="BQ25" s="137"/>
      <c r="BR25" s="137"/>
      <c r="BS25" s="137"/>
      <c r="BV25" s="262">
        <v>2.9807287278854253</v>
      </c>
      <c r="BW25" s="136">
        <v>3.2829999999999999</v>
      </c>
      <c r="BX25" s="137">
        <v>0.60081448782505886</v>
      </c>
      <c r="BY25" s="137">
        <v>0.60642092762652466</v>
      </c>
      <c r="BZ25" s="137">
        <v>1.0124860618414568</v>
      </c>
      <c r="CA25" s="137">
        <v>1.9422640119623601E-2</v>
      </c>
      <c r="CB25" s="137">
        <v>0.99356458774998258</v>
      </c>
      <c r="CC25" s="258">
        <v>-2.2499999999999999E-2</v>
      </c>
      <c r="CD25" s="258">
        <v>5.0000000000000001E-3</v>
      </c>
      <c r="CE25" s="258">
        <v>0.41499999999999998</v>
      </c>
      <c r="CF25" s="258">
        <v>0.02</v>
      </c>
      <c r="CG25" s="258">
        <v>5.1399999999999994E-2</v>
      </c>
      <c r="CH25" s="258">
        <v>0</v>
      </c>
      <c r="CI25" s="258">
        <v>2.8479999999999999</v>
      </c>
      <c r="CJ25" s="258"/>
      <c r="CK25" s="258"/>
      <c r="CL25" s="258"/>
      <c r="CM25" s="258"/>
    </row>
    <row r="26" spans="1:91" x14ac:dyDescent="0.25">
      <c r="A26" s="723"/>
      <c r="B26" s="723"/>
      <c r="D26" s="31">
        <f t="shared" si="48"/>
        <v>37391</v>
      </c>
      <c r="F26" s="28">
        <f t="shared" si="12"/>
        <v>2500</v>
      </c>
      <c r="G26" s="28">
        <f t="shared" si="13"/>
        <v>0</v>
      </c>
      <c r="H26" s="52">
        <f t="shared" si="14"/>
        <v>3.0312763268744733</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-2.2499999999999999E-2</v>
      </c>
      <c r="AN26" s="258">
        <f t="shared" si="33"/>
        <v>5.0000000000000001E-3</v>
      </c>
      <c r="AO26" s="258">
        <f t="shared" si="34"/>
        <v>0.38500000000000001</v>
      </c>
      <c r="AP26" s="258">
        <f t="shared" si="35"/>
        <v>0.02</v>
      </c>
      <c r="AQ26" s="136">
        <f t="shared" si="36"/>
        <v>5.1399999999999994E-2</v>
      </c>
      <c r="AR26" s="137">
        <f t="shared" si="37"/>
        <v>5.04E-2</v>
      </c>
      <c r="AS26" s="136">
        <f t="shared" si="38"/>
        <v>2.8784999999999998</v>
      </c>
      <c r="AT26" s="137">
        <f t="shared" si="39"/>
        <v>1.9712159578257001E-2</v>
      </c>
      <c r="AU26" s="137">
        <f t="shared" si="40"/>
        <v>0</v>
      </c>
      <c r="AV26" s="394">
        <f t="shared" si="41"/>
        <v>0</v>
      </c>
      <c r="AW26" s="137">
        <f t="shared" si="42"/>
        <v>0.57750000000000001</v>
      </c>
      <c r="AX26" s="137">
        <f t="shared" si="43"/>
        <v>0.57999999999999996</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-0.74392168602855602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0.77245455811069519</v>
      </c>
      <c r="BP26" s="137"/>
      <c r="BQ26" s="137"/>
      <c r="BR26" s="137"/>
      <c r="BS26" s="137"/>
      <c r="BV26" s="262">
        <v>3.0312763268744733</v>
      </c>
      <c r="BW26" s="136">
        <v>3.3009999999999997</v>
      </c>
      <c r="BX26" s="137">
        <v>0.57750000000000001</v>
      </c>
      <c r="BY26" s="137">
        <v>0.57750000000000001</v>
      </c>
      <c r="BZ26" s="137">
        <v>0</v>
      </c>
      <c r="CA26" s="137">
        <v>1.9712159578257001E-2</v>
      </c>
      <c r="CB26" s="137">
        <v>0</v>
      </c>
      <c r="CC26" s="258">
        <v>-2.2499999999999999E-2</v>
      </c>
      <c r="CD26" s="258">
        <v>5.0000000000000001E-3</v>
      </c>
      <c r="CE26" s="258">
        <v>0.38500000000000001</v>
      </c>
      <c r="CF26" s="258">
        <v>0.02</v>
      </c>
      <c r="CG26" s="258">
        <v>5.1399999999999994E-2</v>
      </c>
      <c r="CH26" s="258">
        <v>0</v>
      </c>
      <c r="CI26" s="258">
        <v>2.8959999999999999</v>
      </c>
      <c r="CJ26" s="258"/>
      <c r="CK26" s="258"/>
      <c r="CL26" s="258"/>
      <c r="CM26" s="258"/>
    </row>
    <row r="27" spans="1:91" x14ac:dyDescent="0.25">
      <c r="A27" s="726"/>
      <c r="B27" s="726"/>
      <c r="C27" s="726"/>
      <c r="D27" s="31">
        <f t="shared" si="48"/>
        <v>37391</v>
      </c>
      <c r="F27" s="28">
        <f t="shared" si="12"/>
        <v>2500</v>
      </c>
      <c r="G27" s="28">
        <f t="shared" si="13"/>
        <v>0</v>
      </c>
      <c r="H27" s="52">
        <f t="shared" si="14"/>
        <v>3.0312763268744733</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-2.2499999999999999E-2</v>
      </c>
      <c r="AN27" s="258">
        <f t="shared" si="33"/>
        <v>5.0000000000000001E-3</v>
      </c>
      <c r="AO27" s="258">
        <f t="shared" si="34"/>
        <v>0.38500000000000001</v>
      </c>
      <c r="AP27" s="258">
        <f t="shared" si="35"/>
        <v>0.02</v>
      </c>
      <c r="AQ27" s="136">
        <f t="shared" si="36"/>
        <v>5.1399999999999994E-2</v>
      </c>
      <c r="AR27" s="137">
        <f t="shared" si="37"/>
        <v>5.04E-2</v>
      </c>
      <c r="AS27" s="136">
        <f t="shared" si="38"/>
        <v>2.8784999999999998</v>
      </c>
      <c r="AT27" s="137">
        <f t="shared" si="39"/>
        <v>1.9712159578257001E-2</v>
      </c>
      <c r="AU27" s="137">
        <f t="shared" si="40"/>
        <v>0</v>
      </c>
      <c r="AV27" s="394">
        <f t="shared" si="41"/>
        <v>0</v>
      </c>
      <c r="AW27" s="137">
        <f t="shared" si="42"/>
        <v>0.57750000000000001</v>
      </c>
      <c r="AX27" s="137">
        <f t="shared" si="43"/>
        <v>0.57999999999999996</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-0.74392168602855602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0.77245455811069519</v>
      </c>
      <c r="BP27" s="137"/>
      <c r="BQ27" s="137"/>
      <c r="BR27" s="137"/>
      <c r="BS27" s="137"/>
      <c r="BV27" s="262">
        <v>3.0312763268744733</v>
      </c>
      <c r="BW27" s="136">
        <v>3.3009999999999997</v>
      </c>
      <c r="BX27" s="137">
        <v>0.57750000000000001</v>
      </c>
      <c r="BY27" s="137">
        <v>0.57750000000000001</v>
      </c>
      <c r="BZ27" s="137">
        <v>0</v>
      </c>
      <c r="CA27" s="137">
        <v>1.9712159578257001E-2</v>
      </c>
      <c r="CB27" s="137">
        <v>0</v>
      </c>
      <c r="CC27" s="258">
        <v>-2.2499999999999999E-2</v>
      </c>
      <c r="CD27" s="258">
        <v>5.0000000000000001E-3</v>
      </c>
      <c r="CE27" s="258">
        <v>0.38500000000000001</v>
      </c>
      <c r="CF27" s="258">
        <v>0.02</v>
      </c>
      <c r="CG27" s="258">
        <v>5.1399999999999994E-2</v>
      </c>
      <c r="CH27" s="258">
        <v>0</v>
      </c>
      <c r="CI27" s="258">
        <v>2.8959999999999999</v>
      </c>
      <c r="CJ27" s="258"/>
      <c r="CK27" s="258"/>
      <c r="CL27" s="258"/>
      <c r="CM27" s="258"/>
    </row>
    <row r="28" spans="1:91" x14ac:dyDescent="0.25">
      <c r="A28" s="723"/>
      <c r="B28" s="723"/>
      <c r="D28" s="31">
        <f t="shared" si="48"/>
        <v>37391</v>
      </c>
      <c r="F28" s="28">
        <f t="shared" si="12"/>
        <v>2500</v>
      </c>
      <c r="G28" s="28">
        <f t="shared" si="13"/>
        <v>0</v>
      </c>
      <c r="H28" s="52">
        <f t="shared" si="14"/>
        <v>3.0312763268744733</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-2.2499999999999999E-2</v>
      </c>
      <c r="AN28" s="258">
        <f t="shared" si="33"/>
        <v>5.0000000000000001E-3</v>
      </c>
      <c r="AO28" s="258">
        <f t="shared" si="34"/>
        <v>0.38500000000000001</v>
      </c>
      <c r="AP28" s="258">
        <f t="shared" si="35"/>
        <v>0.02</v>
      </c>
      <c r="AQ28" s="136">
        <f t="shared" si="36"/>
        <v>5.1399999999999994E-2</v>
      </c>
      <c r="AR28" s="137">
        <f t="shared" si="37"/>
        <v>5.04E-2</v>
      </c>
      <c r="AS28" s="136">
        <f t="shared" si="38"/>
        <v>2.8784999999999998</v>
      </c>
      <c r="AT28" s="137">
        <f t="shared" si="39"/>
        <v>1.9712159578257001E-2</v>
      </c>
      <c r="AU28" s="137">
        <f t="shared" si="40"/>
        <v>0</v>
      </c>
      <c r="AV28" s="394">
        <f t="shared" si="41"/>
        <v>0</v>
      </c>
      <c r="AW28" s="137">
        <f t="shared" si="42"/>
        <v>0.57750000000000001</v>
      </c>
      <c r="AX28" s="137">
        <f t="shared" si="43"/>
        <v>0.57999999999999996</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-0.74392168602855602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0.77245455811069519</v>
      </c>
      <c r="BP28" s="137"/>
      <c r="BQ28" s="137"/>
      <c r="BR28" s="137"/>
      <c r="BS28" s="137"/>
      <c r="BV28" s="262">
        <v>3.0312763268744733</v>
      </c>
      <c r="BW28" s="136">
        <v>3.3009999999999997</v>
      </c>
      <c r="BX28" s="137">
        <v>0.57750000000000001</v>
      </c>
      <c r="BY28" s="137">
        <v>0.57750000000000001</v>
      </c>
      <c r="BZ28" s="137">
        <v>0</v>
      </c>
      <c r="CA28" s="137">
        <v>1.9712159578257001E-2</v>
      </c>
      <c r="CB28" s="137">
        <v>0</v>
      </c>
      <c r="CC28" s="258">
        <v>-2.2499999999999999E-2</v>
      </c>
      <c r="CD28" s="258">
        <v>5.0000000000000001E-3</v>
      </c>
      <c r="CE28" s="258">
        <v>0.38500000000000001</v>
      </c>
      <c r="CF28" s="258">
        <v>0.02</v>
      </c>
      <c r="CG28" s="258">
        <v>5.1399999999999994E-2</v>
      </c>
      <c r="CH28" s="258">
        <v>0</v>
      </c>
      <c r="CI28" s="258">
        <v>2.8959999999999999</v>
      </c>
      <c r="CJ28" s="258"/>
      <c r="CK28" s="258"/>
      <c r="CL28" s="258"/>
      <c r="CM28" s="258"/>
    </row>
    <row r="29" spans="1:91" x14ac:dyDescent="0.25">
      <c r="A29" s="723"/>
      <c r="B29" s="723"/>
      <c r="D29" s="31">
        <f t="shared" si="48"/>
        <v>37391</v>
      </c>
      <c r="F29" s="28">
        <f t="shared" si="12"/>
        <v>2500</v>
      </c>
      <c r="G29" s="28">
        <f t="shared" si="13"/>
        <v>0</v>
      </c>
      <c r="H29" s="52">
        <f t="shared" si="14"/>
        <v>3.0312763268744733</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-2.2499999999999999E-2</v>
      </c>
      <c r="AN29" s="258">
        <f t="shared" si="33"/>
        <v>5.0000000000000001E-3</v>
      </c>
      <c r="AO29" s="258">
        <f t="shared" si="34"/>
        <v>0.38500000000000001</v>
      </c>
      <c r="AP29" s="258">
        <f t="shared" si="35"/>
        <v>0.02</v>
      </c>
      <c r="AQ29" s="136">
        <f t="shared" si="36"/>
        <v>5.1399999999999994E-2</v>
      </c>
      <c r="AR29" s="137">
        <f t="shared" si="37"/>
        <v>5.04E-2</v>
      </c>
      <c r="AS29" s="136">
        <f t="shared" si="38"/>
        <v>2.8784999999999998</v>
      </c>
      <c r="AT29" s="137">
        <f t="shared" si="39"/>
        <v>1.9712159578257001E-2</v>
      </c>
      <c r="AU29" s="137">
        <f t="shared" si="40"/>
        <v>0</v>
      </c>
      <c r="AV29" s="394">
        <f t="shared" si="41"/>
        <v>0</v>
      </c>
      <c r="AW29" s="137">
        <f t="shared" si="42"/>
        <v>0.57750000000000001</v>
      </c>
      <c r="AX29" s="137">
        <f t="shared" si="43"/>
        <v>0.57999999999999996</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-0.74392168602855602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0.77245455811069519</v>
      </c>
      <c r="BP29" s="137"/>
      <c r="BQ29" s="137"/>
      <c r="BR29" s="137"/>
      <c r="BS29" s="137"/>
      <c r="BV29" s="262">
        <v>3.0312763268744733</v>
      </c>
      <c r="BW29" s="136">
        <v>3.3009999999999997</v>
      </c>
      <c r="BX29" s="137">
        <v>0.57750000000000001</v>
      </c>
      <c r="BY29" s="137">
        <v>0.57750000000000001</v>
      </c>
      <c r="BZ29" s="137">
        <v>0</v>
      </c>
      <c r="CA29" s="137">
        <v>1.9712159578257001E-2</v>
      </c>
      <c r="CB29" s="137">
        <v>0</v>
      </c>
      <c r="CC29" s="258">
        <v>-2.2499999999999999E-2</v>
      </c>
      <c r="CD29" s="258">
        <v>5.0000000000000001E-3</v>
      </c>
      <c r="CE29" s="258">
        <v>0.38500000000000001</v>
      </c>
      <c r="CF29" s="258">
        <v>0.02</v>
      </c>
      <c r="CG29" s="258">
        <v>5.1399999999999994E-2</v>
      </c>
      <c r="CH29" s="258">
        <v>0</v>
      </c>
      <c r="CI29" s="258">
        <v>2.8959999999999999</v>
      </c>
      <c r="CJ29" s="258"/>
      <c r="CK29" s="258"/>
      <c r="CL29" s="258"/>
      <c r="CM29" s="258"/>
    </row>
    <row r="30" spans="1:91" x14ac:dyDescent="0.25">
      <c r="A30" s="723"/>
      <c r="B30" s="723"/>
      <c r="D30" s="31">
        <f t="shared" si="48"/>
        <v>37391</v>
      </c>
      <c r="F30" s="28">
        <f t="shared" si="12"/>
        <v>2500</v>
      </c>
      <c r="G30" s="28">
        <f t="shared" si="13"/>
        <v>0</v>
      </c>
      <c r="H30" s="52">
        <f t="shared" si="14"/>
        <v>3.0312763268744733</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-2.2499999999999999E-2</v>
      </c>
      <c r="AN30" s="258">
        <f t="shared" si="33"/>
        <v>5.0000000000000001E-3</v>
      </c>
      <c r="AO30" s="258">
        <f t="shared" si="34"/>
        <v>0.38500000000000001</v>
      </c>
      <c r="AP30" s="258">
        <f t="shared" si="35"/>
        <v>0.02</v>
      </c>
      <c r="AQ30" s="136">
        <f t="shared" si="36"/>
        <v>5.1399999999999994E-2</v>
      </c>
      <c r="AR30" s="137">
        <f t="shared" si="37"/>
        <v>5.04E-2</v>
      </c>
      <c r="AS30" s="136">
        <f t="shared" si="38"/>
        <v>2.8784999999999998</v>
      </c>
      <c r="AT30" s="137">
        <f t="shared" si="39"/>
        <v>1.9712159578257001E-2</v>
      </c>
      <c r="AU30" s="137">
        <f t="shared" si="40"/>
        <v>0</v>
      </c>
      <c r="AV30" s="394">
        <f t="shared" si="41"/>
        <v>0</v>
      </c>
      <c r="AW30" s="137">
        <f t="shared" si="42"/>
        <v>0.57750000000000001</v>
      </c>
      <c r="AX30" s="137">
        <f t="shared" si="43"/>
        <v>0.57999999999999996</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-0.74392168602855602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0.77245455811069519</v>
      </c>
      <c r="BP30" s="137"/>
      <c r="BQ30" s="137"/>
      <c r="BR30" s="137"/>
      <c r="BS30" s="137"/>
      <c r="BV30" s="262">
        <v>3.0312763268744733</v>
      </c>
      <c r="BW30" s="136">
        <v>3.3009999999999997</v>
      </c>
      <c r="BX30" s="137">
        <v>0.57750000000000001</v>
      </c>
      <c r="BY30" s="137">
        <v>0.57750000000000001</v>
      </c>
      <c r="BZ30" s="137">
        <v>0</v>
      </c>
      <c r="CA30" s="137">
        <v>1.9712159578257001E-2</v>
      </c>
      <c r="CB30" s="137">
        <v>0</v>
      </c>
      <c r="CC30" s="258">
        <v>-2.2499999999999999E-2</v>
      </c>
      <c r="CD30" s="258">
        <v>5.0000000000000001E-3</v>
      </c>
      <c r="CE30" s="258">
        <v>0.38500000000000001</v>
      </c>
      <c r="CF30" s="258">
        <v>0.02</v>
      </c>
      <c r="CG30" s="258">
        <v>5.1399999999999994E-2</v>
      </c>
      <c r="CH30" s="258">
        <v>0</v>
      </c>
      <c r="CI30" s="258">
        <v>2.8959999999999999</v>
      </c>
      <c r="CJ30" s="258"/>
      <c r="CK30" s="258"/>
      <c r="CL30" s="258"/>
      <c r="CM30" s="258"/>
    </row>
    <row r="31" spans="1:91" x14ac:dyDescent="0.25">
      <c r="A31" s="723"/>
      <c r="B31" s="723"/>
      <c r="D31" s="31">
        <f t="shared" si="48"/>
        <v>37391</v>
      </c>
      <c r="F31" s="28">
        <f t="shared" si="12"/>
        <v>2500</v>
      </c>
      <c r="G31" s="28">
        <f t="shared" si="13"/>
        <v>0</v>
      </c>
      <c r="H31" s="52">
        <f t="shared" si="14"/>
        <v>3.0312763268744733</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-2.2499999999999999E-2</v>
      </c>
      <c r="AN31" s="258">
        <f t="shared" si="33"/>
        <v>5.0000000000000001E-3</v>
      </c>
      <c r="AO31" s="258">
        <f t="shared" si="34"/>
        <v>0.38500000000000001</v>
      </c>
      <c r="AP31" s="258">
        <f t="shared" si="35"/>
        <v>0.02</v>
      </c>
      <c r="AQ31" s="136">
        <f t="shared" si="36"/>
        <v>5.1399999999999994E-2</v>
      </c>
      <c r="AR31" s="137">
        <f t="shared" si="37"/>
        <v>5.04E-2</v>
      </c>
      <c r="AS31" s="136">
        <f t="shared" si="38"/>
        <v>2.8784999999999998</v>
      </c>
      <c r="AT31" s="137">
        <f t="shared" si="39"/>
        <v>1.9712159578257001E-2</v>
      </c>
      <c r="AU31" s="137">
        <f t="shared" si="40"/>
        <v>0</v>
      </c>
      <c r="AV31" s="394">
        <f t="shared" si="41"/>
        <v>0</v>
      </c>
      <c r="AW31" s="137">
        <f t="shared" si="42"/>
        <v>0.57750000000000001</v>
      </c>
      <c r="AX31" s="137">
        <f t="shared" si="43"/>
        <v>0.57999999999999996</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-0.74392168602855602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0.77245455811069519</v>
      </c>
      <c r="BP31" s="137"/>
      <c r="BQ31" s="137"/>
      <c r="BR31" s="137"/>
      <c r="BS31" s="137"/>
      <c r="BV31" s="262">
        <v>3.0312763268744733</v>
      </c>
      <c r="BW31" s="136">
        <v>3.3009999999999997</v>
      </c>
      <c r="BX31" s="137">
        <v>0.57750000000000001</v>
      </c>
      <c r="BY31" s="137">
        <v>0.57750000000000001</v>
      </c>
      <c r="BZ31" s="137">
        <v>0</v>
      </c>
      <c r="CA31" s="137">
        <v>1.9712159578257001E-2</v>
      </c>
      <c r="CB31" s="137">
        <v>0</v>
      </c>
      <c r="CC31" s="258">
        <v>-2.2499999999999999E-2</v>
      </c>
      <c r="CD31" s="258">
        <v>5.0000000000000001E-3</v>
      </c>
      <c r="CE31" s="258">
        <v>0.38500000000000001</v>
      </c>
      <c r="CF31" s="258">
        <v>0.02</v>
      </c>
      <c r="CG31" s="258">
        <v>5.1399999999999994E-2</v>
      </c>
      <c r="CH31" s="258">
        <v>0</v>
      </c>
      <c r="CI31" s="258">
        <v>2.8959999999999999</v>
      </c>
      <c r="CJ31" s="258"/>
      <c r="CK31" s="258"/>
      <c r="CL31" s="258"/>
      <c r="CM31" s="258"/>
    </row>
    <row r="32" spans="1:91" x14ac:dyDescent="0.25">
      <c r="A32" s="723"/>
      <c r="B32" s="723"/>
      <c r="D32" s="31">
        <f t="shared" si="48"/>
        <v>37391</v>
      </c>
      <c r="F32" s="28">
        <f t="shared" si="12"/>
        <v>2500</v>
      </c>
      <c r="G32" s="28">
        <f t="shared" si="13"/>
        <v>0</v>
      </c>
      <c r="H32" s="52">
        <f t="shared" si="14"/>
        <v>3.0312763268744733</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-2.2499999999999999E-2</v>
      </c>
      <c r="AN32" s="258">
        <f t="shared" si="33"/>
        <v>5.0000000000000001E-3</v>
      </c>
      <c r="AO32" s="258">
        <f t="shared" si="34"/>
        <v>0.38500000000000001</v>
      </c>
      <c r="AP32" s="258">
        <f t="shared" si="35"/>
        <v>0.02</v>
      </c>
      <c r="AQ32" s="136">
        <f t="shared" si="36"/>
        <v>5.1399999999999994E-2</v>
      </c>
      <c r="AR32" s="137">
        <f t="shared" si="37"/>
        <v>5.04E-2</v>
      </c>
      <c r="AS32" s="136">
        <f t="shared" si="38"/>
        <v>2.8784999999999998</v>
      </c>
      <c r="AT32" s="137">
        <f t="shared" si="39"/>
        <v>1.9712159578257001E-2</v>
      </c>
      <c r="AU32" s="137">
        <f t="shared" si="40"/>
        <v>0</v>
      </c>
      <c r="AV32" s="394">
        <f t="shared" si="41"/>
        <v>0</v>
      </c>
      <c r="AW32" s="137">
        <f t="shared" si="42"/>
        <v>0.57750000000000001</v>
      </c>
      <c r="AX32" s="137">
        <f t="shared" si="43"/>
        <v>0.57999999999999996</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-0.74392168602855602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0.77245455811069519</v>
      </c>
      <c r="BP32" s="137"/>
      <c r="BQ32" s="137"/>
      <c r="BR32" s="137"/>
      <c r="BS32" s="137"/>
      <c r="BV32" s="262">
        <v>3.0312763268744733</v>
      </c>
      <c r="BW32" s="136">
        <v>3.3009999999999997</v>
      </c>
      <c r="BX32" s="137">
        <v>0.57750000000000001</v>
      </c>
      <c r="BY32" s="137">
        <v>0.57750000000000001</v>
      </c>
      <c r="BZ32" s="137">
        <v>0</v>
      </c>
      <c r="CA32" s="137">
        <v>1.9712159578257001E-2</v>
      </c>
      <c r="CB32" s="137">
        <v>0</v>
      </c>
      <c r="CC32" s="258">
        <v>-2.2499999999999999E-2</v>
      </c>
      <c r="CD32" s="258">
        <v>5.0000000000000001E-3</v>
      </c>
      <c r="CE32" s="258">
        <v>0.38500000000000001</v>
      </c>
      <c r="CF32" s="258">
        <v>0.02</v>
      </c>
      <c r="CG32" s="258">
        <v>5.1399999999999994E-2</v>
      </c>
      <c r="CH32" s="258">
        <v>0</v>
      </c>
      <c r="CI32" s="258">
        <v>2.8959999999999999</v>
      </c>
      <c r="CJ32" s="258"/>
      <c r="CK32" s="258"/>
      <c r="CL32" s="258"/>
      <c r="CM32" s="258"/>
    </row>
    <row r="33" spans="1:2" x14ac:dyDescent="0.25">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69985"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69986"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CX33"/>
  <sheetViews>
    <sheetView topLeftCell="K1" zoomScale="80" workbookViewId="0">
      <selection activeCell="CI21" sqref="CI21:CI32"/>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LongTerm90</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90</v>
      </c>
      <c r="F2" s="178" t="str">
        <f>GetRcptPoint($AH$12,$AH$13)</f>
        <v>IF-TRANSCO/Z3</v>
      </c>
      <c r="G2" s="179" t="str">
        <f>GetDelPoint($AH$12,$AH$13)</f>
        <v>IF-TRANSCO/Z6</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$F$32</v>
      </c>
      <c r="AX2" s="339" t="str">
        <f>ADDRESS(ROW($G$22),COLUMN($G$22))</f>
        <v>$G$22</v>
      </c>
      <c r="AY2" s="138" t="str">
        <f ca="1">GetEnd($AV$1,AX2)</f>
        <v>$G$32</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92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$AF$32</v>
      </c>
      <c r="AX3" s="339" t="str">
        <f>ADDRESS(ROW($AH$22),COLUMN($AH$22))</f>
        <v>$AH$22</v>
      </c>
      <c r="AY3" s="138" t="str">
        <f ca="1">GetEnd($AV$1,AX3)</f>
        <v>$AH$32</v>
      </c>
    </row>
    <row r="4" spans="1:102" x14ac:dyDescent="0.25">
      <c r="A4" s="269" t="str">
        <f>ADDRESS(ROW($S$22),COLUMN($S$22))</f>
        <v>$S$22</v>
      </c>
      <c r="L4" s="721" t="s">
        <v>201</v>
      </c>
      <c r="M4" s="722"/>
      <c r="N4" s="352">
        <f ca="1">SUMPRODUCT(INDIRECT(CONCATENATE(AV4,":",AW4)),INDIRECT(CONCATENATE($AV$2,":",$AW$2)),INDIRECT(CONCATENATE($AV$3,":",$AW$3)))</f>
        <v>887710.85765989637</v>
      </c>
      <c r="O4" s="352">
        <v>887302.82</v>
      </c>
      <c r="P4" s="354">
        <f ca="1">N4-O4</f>
        <v>408.03765989642125</v>
      </c>
      <c r="S4" s="427" t="s">
        <v>635</v>
      </c>
      <c r="T4" s="422">
        <f ca="1">SUMPRODUCT(INDIRECT(CONCATENATE(V4,":",W4)),INDIRECT(CONCATENATE(AV2,":",AW2)),INDIRECT(CONCATENATE(AV3,":",AW3)))</f>
        <v>868438.27441888792</v>
      </c>
      <c r="V4" s="30" t="str">
        <f>ADDRESS(ROW(K22),COLUMN(K22))</f>
        <v>$K$22</v>
      </c>
      <c r="W4" s="30" t="str">
        <f ca="1">GetEnd($AV$1,V4)</f>
        <v>$K$32</v>
      </c>
      <c r="AF4" s="28"/>
      <c r="AG4" s="103" t="s">
        <v>32</v>
      </c>
      <c r="AH4" s="104">
        <f>GetRcptIndexCol($AH$12,$AH$13)</f>
        <v>93</v>
      </c>
      <c r="AI4" s="29"/>
      <c r="AJ4" s="103" t="s">
        <v>72</v>
      </c>
      <c r="AK4" s="104">
        <f>GetNymexCol(AK3)</f>
        <v>3</v>
      </c>
      <c r="AL4" s="34">
        <v>1</v>
      </c>
      <c r="AM4" s="45">
        <f t="shared" ref="AM4:AM15" si="0">GetVolume($AH$12,$AH$13,AT4)</f>
        <v>5800</v>
      </c>
      <c r="AN4" s="46">
        <f t="shared" ref="AN4:AN15" si="1">GetCommodity($AH$12,$AH$13,AT4)</f>
        <v>4.3299999999999998E-2</v>
      </c>
      <c r="AO4" s="47">
        <f t="shared" ref="AO4:AO15" si="2">GetFuelRate($AH$12,$AH$13,AT4)</f>
        <v>4.6199999999999998E-2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1</v>
      </c>
      <c r="AV4" s="339" t="str">
        <f>ADDRESS(ROW($Q$22),COLUMN($Q$22))</f>
        <v>$Q$22</v>
      </c>
      <c r="AW4" s="138" t="str">
        <f ca="1">GetEnd($AV$1,AV4)</f>
        <v>$Q$32</v>
      </c>
      <c r="AX4" s="339" t="str">
        <f>ADDRESS(ROW($K$22),COLUMN($K$22))</f>
        <v>$K$22</v>
      </c>
      <c r="AY4" s="138" t="str">
        <f ca="1">GetEnd($AV$1,AX4)</f>
        <v>$K$32</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19276.41672092702</v>
      </c>
      <c r="V5" s="30" t="str">
        <f>ADDRESS(ROW(L22),COLUMN(L22))</f>
        <v>$L$22</v>
      </c>
      <c r="W5" s="30" t="str">
        <f ca="1">GetEnd($AV$1,V5)</f>
        <v>$L$32</v>
      </c>
      <c r="AF5" s="28"/>
      <c r="AG5" s="103" t="s">
        <v>33</v>
      </c>
      <c r="AH5" s="104">
        <f>GetDelBasisCol($AH$12,$AH$13)</f>
        <v>94</v>
      </c>
      <c r="AI5" s="29"/>
      <c r="AJ5" s="103" t="s">
        <v>77</v>
      </c>
      <c r="AK5" s="104" t="str">
        <f>LiborCurve</f>
        <v>Libor AA</v>
      </c>
      <c r="AL5" s="34">
        <v>2</v>
      </c>
      <c r="AM5" s="37">
        <f t="shared" si="0"/>
        <v>5800</v>
      </c>
      <c r="AN5" s="38">
        <f t="shared" si="1"/>
        <v>4.3299999999999998E-2</v>
      </c>
      <c r="AO5" s="39">
        <f t="shared" si="2"/>
        <v>4.6199999999999998E-2</v>
      </c>
      <c r="AP5" s="38">
        <f t="shared" si="3"/>
        <v>0</v>
      </c>
      <c r="AQ5" s="38">
        <f t="shared" si="4"/>
        <v>0</v>
      </c>
      <c r="AR5" s="133">
        <f t="shared" si="5"/>
        <v>0</v>
      </c>
      <c r="AS5" s="40">
        <f t="shared" si="6"/>
        <v>0</v>
      </c>
      <c r="AT5" s="35">
        <f t="shared" si="7"/>
        <v>1</v>
      </c>
      <c r="AV5" s="339" t="str">
        <f>ADDRESS(ROW($V$22),COLUMN($V$22))</f>
        <v>$V$22</v>
      </c>
      <c r="AW5" s="138" t="str">
        <f ca="1">GetEnd($AV$1,AV5)</f>
        <v>$V$32</v>
      </c>
      <c r="AX5" s="339" t="str">
        <f>ADDRESS(ROW($L$22),COLUMN($L$22))</f>
        <v>$L$22</v>
      </c>
      <c r="AY5" s="138" t="str">
        <f ca="1">GetEnd($AV$1,AX5)</f>
        <v>$L$32</v>
      </c>
      <c r="BV5" s="266">
        <f>O2</f>
        <v>37239</v>
      </c>
    </row>
    <row r="6" spans="1:102" x14ac:dyDescent="0.25">
      <c r="A6" s="269" t="str">
        <f>ADDRESS(ROW($BW$2),COLUMN($BW$2))</f>
        <v>$BW$2</v>
      </c>
      <c r="F6" s="187"/>
      <c r="G6" s="187"/>
      <c r="L6" s="704" t="s">
        <v>149</v>
      </c>
      <c r="M6" s="705"/>
      <c r="N6" s="356">
        <f ca="1">N4-N5</f>
        <v>887710.85765989637</v>
      </c>
      <c r="O6" s="357">
        <v>887302.82</v>
      </c>
      <c r="P6" s="358">
        <f ca="1">N6-O6</f>
        <v>408.03765989642125</v>
      </c>
      <c r="S6" s="428" t="s">
        <v>637</v>
      </c>
      <c r="T6" s="424">
        <f ca="1">SUMPRODUCT(INDIRECT(CONCATENATE(V6,":",W6)),INDIRECT(CONCATENATE(AV3,":",AW3)),INDIRECT(CONCATENATE(AX3,":",AY3)))</f>
        <v>693299.95738661196</v>
      </c>
      <c r="V6" s="30" t="str">
        <f>ADDRESS(ROW(G22),COLUMN(G22))</f>
        <v>$G$22</v>
      </c>
      <c r="W6" s="30" t="str">
        <f ca="1">GetEnd($AV$1,V6)</f>
        <v>$G$32</v>
      </c>
      <c r="AF6" s="28"/>
      <c r="AG6" s="103" t="s">
        <v>34</v>
      </c>
      <c r="AH6" s="104">
        <f>GetDelIndexCol($AH$12,$AH$13)</f>
        <v>95</v>
      </c>
      <c r="AI6" s="29"/>
      <c r="AJ6" s="103" t="s">
        <v>79</v>
      </c>
      <c r="AK6" s="104">
        <f>GetLiborCol(AK5)</f>
        <v>4</v>
      </c>
      <c r="AL6" s="34">
        <v>3</v>
      </c>
      <c r="AM6" s="37">
        <f t="shared" si="0"/>
        <v>5800</v>
      </c>
      <c r="AN6" s="38">
        <f t="shared" si="1"/>
        <v>4.3299999999999998E-2</v>
      </c>
      <c r="AO6" s="39">
        <f t="shared" si="2"/>
        <v>4.6199999999999998E-2</v>
      </c>
      <c r="AP6" s="38">
        <f t="shared" si="3"/>
        <v>0</v>
      </c>
      <c r="AQ6" s="38">
        <f t="shared" si="4"/>
        <v>0</v>
      </c>
      <c r="AR6" s="133">
        <f t="shared" si="5"/>
        <v>0</v>
      </c>
      <c r="AS6" s="40">
        <f t="shared" si="6"/>
        <v>0</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2661.59</v>
      </c>
      <c r="P7" s="355">
        <f ca="1">N7</f>
        <v>0</v>
      </c>
      <c r="S7" s="428" t="s">
        <v>638</v>
      </c>
      <c r="T7" s="425">
        <f ca="1">T5/T6</f>
        <v>2.7803862549753072E-2</v>
      </c>
      <c r="AF7" s="28"/>
      <c r="AG7" s="103" t="s">
        <v>76</v>
      </c>
      <c r="AH7" s="104">
        <f>GetRcptOmicronCol($AH$12,$AH$13)</f>
        <v>17</v>
      </c>
      <c r="AI7" s="29"/>
      <c r="AJ7" s="103" t="s">
        <v>80</v>
      </c>
      <c r="AK7" s="104" t="str">
        <f>Configuration!$D$8</f>
        <v>Nymex Vol</v>
      </c>
      <c r="AL7" s="34">
        <v>4</v>
      </c>
      <c r="AM7" s="37">
        <f t="shared" si="0"/>
        <v>5800</v>
      </c>
      <c r="AN7" s="38">
        <f t="shared" si="1"/>
        <v>4.3299999999999998E-2</v>
      </c>
      <c r="AO7" s="39">
        <f t="shared" si="2"/>
        <v>4.6199999999999998E-2</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$AL$32</v>
      </c>
      <c r="AX7" s="339" t="str">
        <f>ADDRESS(ROW($AV$22),COLUMN($AV$22))</f>
        <v>$AV$22</v>
      </c>
      <c r="AY7" s="138" t="str">
        <f t="shared" ref="AY7:AY13" ca="1" si="9">GetEnd($AV$1,AX7)</f>
        <v>$AV$32</v>
      </c>
    </row>
    <row r="8" spans="1:102" x14ac:dyDescent="0.25">
      <c r="A8" s="270" t="s">
        <v>224</v>
      </c>
      <c r="F8" s="186" t="s">
        <v>26</v>
      </c>
      <c r="G8" s="190">
        <f>GetMonthEnd($AH$12,$AH$13)</f>
        <v>37376</v>
      </c>
      <c r="L8" s="706" t="s">
        <v>626</v>
      </c>
      <c r="M8" s="707"/>
      <c r="N8" s="352">
        <f t="array" aca="1" ref="N8" ca="1">SUM(((INDIRECT(AX14)-INDIRECT(AY16))-(INDIRECT(AX15)-INDIRECT(AY14)))*INDIRECT(CONCATENATE(AX2,":",AY2))*INDIRECT(CONCATENATE(AV3,":",AW3))*INDIRECT(CONCATENATE(AX3,":",AY3)))</f>
        <v>0</v>
      </c>
      <c r="O8" s="421">
        <v>85259.78</v>
      </c>
      <c r="P8" s="355">
        <f ca="1">N8</f>
        <v>0</v>
      </c>
      <c r="S8" s="429" t="s">
        <v>639</v>
      </c>
      <c r="T8" s="426">
        <f ca="1">Y8/Z8</f>
        <v>0.98417785151104353</v>
      </c>
      <c r="V8" s="30" t="str">
        <f>ADDRESS(ROW(P22),COLUMN(P22))</f>
        <v>$P$22</v>
      </c>
      <c r="W8" s="30" t="str">
        <f ca="1">GetEnd($AV$1,V8)</f>
        <v>$P$32</v>
      </c>
      <c r="Y8" s="334">
        <f ca="1">SUMIF(INDIRECT(CONCATENATE(V8,":",W8)),"&gt;0",INDIRECT(CONCATENATE(V8,":",W8)))</f>
        <v>3.9367114060441741</v>
      </c>
      <c r="Z8" s="334">
        <f ca="1">COUNTIF(INDIRECT(CONCATENATE(V8,":",W8)),"&gt;0")</f>
        <v>4</v>
      </c>
      <c r="AF8" s="28"/>
      <c r="AG8" s="103" t="s">
        <v>75</v>
      </c>
      <c r="AH8" s="105">
        <f>GetDelOmicronCol($AH$12,$AH$13)</f>
        <v>18</v>
      </c>
      <c r="AI8" s="29"/>
      <c r="AJ8" s="103" t="s">
        <v>81</v>
      </c>
      <c r="AK8" s="104">
        <f>GetNGOmicronCol(AK7)</f>
        <v>5</v>
      </c>
      <c r="AL8" s="34">
        <v>5</v>
      </c>
      <c r="AM8" s="37">
        <f t="shared" si="0"/>
        <v>5800</v>
      </c>
      <c r="AN8" s="38">
        <f t="shared" si="1"/>
        <v>4.3299999999999998E-2</v>
      </c>
      <c r="AO8" s="39">
        <f t="shared" si="2"/>
        <v>4.6199999999999998E-2</v>
      </c>
      <c r="AP8" s="38">
        <f t="shared" si="3"/>
        <v>0</v>
      </c>
      <c r="AQ8" s="38">
        <f t="shared" si="4"/>
        <v>0</v>
      </c>
      <c r="AR8" s="133">
        <f t="shared" si="5"/>
        <v>0</v>
      </c>
      <c r="AS8" s="40">
        <f t="shared" si="6"/>
        <v>0</v>
      </c>
      <c r="AT8" s="35">
        <f t="shared" si="7"/>
        <v>1</v>
      </c>
      <c r="AU8" s="362" t="s">
        <v>575</v>
      </c>
      <c r="AV8" s="339" t="str">
        <f>ADDRESS(ROW($AM$22),COLUMN($AM$22))</f>
        <v>$AM$22</v>
      </c>
      <c r="AW8" s="138" t="str">
        <f t="shared" ca="1" si="8"/>
        <v>$AM$32</v>
      </c>
      <c r="AX8" s="339" t="str">
        <f>ADDRESS(ROW($AO$22),COLUMN($AO$22))</f>
        <v>$AO$22</v>
      </c>
      <c r="AY8" s="138" t="str">
        <f t="shared" ca="1" si="9"/>
        <v>$AO$32</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13</v>
      </c>
      <c r="AL9" s="34">
        <v>6</v>
      </c>
      <c r="AM9" s="37">
        <f t="shared" si="0"/>
        <v>5800</v>
      </c>
      <c r="AN9" s="38">
        <f t="shared" si="1"/>
        <v>4.3299999999999998E-2</v>
      </c>
      <c r="AO9" s="39">
        <f t="shared" si="2"/>
        <v>4.6199999999999998E-2</v>
      </c>
      <c r="AP9" s="38">
        <f t="shared" si="3"/>
        <v>0</v>
      </c>
      <c r="AQ9" s="38">
        <f t="shared" si="4"/>
        <v>0</v>
      </c>
      <c r="AR9" s="133">
        <f t="shared" si="5"/>
        <v>0</v>
      </c>
      <c r="AS9" s="40">
        <f t="shared" si="6"/>
        <v>0</v>
      </c>
      <c r="AT9" s="35">
        <f t="shared" si="7"/>
        <v>1</v>
      </c>
      <c r="AU9" s="361" t="s">
        <v>578</v>
      </c>
      <c r="AV9" s="339" t="str">
        <f>ADDRESS(ROW($AN$22),COLUMN($AN$22))</f>
        <v>$AN$22</v>
      </c>
      <c r="AW9" s="138" t="str">
        <f t="shared" ca="1" si="8"/>
        <v>$AN$32</v>
      </c>
      <c r="AX9" s="339" t="str">
        <f>ADDRESS(ROW($AP$22),COLUMN($AP$22))</f>
        <v>$AP$22</v>
      </c>
      <c r="AY9" s="138" t="str">
        <f t="shared" ca="1" si="9"/>
        <v>$AP$32</v>
      </c>
    </row>
    <row r="10" spans="1:102" x14ac:dyDescent="0.25">
      <c r="A10" s="270" t="s">
        <v>224</v>
      </c>
      <c r="D10" s="718" t="s">
        <v>154</v>
      </c>
      <c r="E10" s="719"/>
      <c r="F10" s="719"/>
      <c r="G10" s="719"/>
      <c r="H10" s="720"/>
      <c r="K10" s="29">
        <f>SUMPRODUCT(L22:L32,F22:F32)</f>
        <v>19276.41672092702</v>
      </c>
      <c r="L10" s="706" t="s">
        <v>628</v>
      </c>
      <c r="M10" s="707"/>
      <c r="N10" s="352">
        <f ca="1">-SUMPRODUCT(INDIRECT(CONCATENATE(AV10,":",AW10)),INDIRECT(CONCATENATE($AX$7,":",$AY$7)),INDIRECT(CONCATENATE($AV$3,":",$AW$3)))</f>
        <v>-97297.095241819567</v>
      </c>
      <c r="O10" s="352">
        <v>-97281.83</v>
      </c>
      <c r="P10" s="355">
        <f t="shared" ref="P10:P19" ca="1" si="10">N10-O10</f>
        <v>-15.265241819564835</v>
      </c>
      <c r="AF10" s="28"/>
      <c r="AG10" s="103" t="s">
        <v>142</v>
      </c>
      <c r="AH10" s="119" t="b">
        <f>GetGRIFactor($AH$12,$AH$13)</f>
        <v>1</v>
      </c>
      <c r="AI10" s="29"/>
      <c r="AJ10" s="29"/>
      <c r="AK10" s="29"/>
      <c r="AL10" s="34">
        <v>7</v>
      </c>
      <c r="AM10" s="37">
        <f t="shared" si="0"/>
        <v>5800</v>
      </c>
      <c r="AN10" s="38">
        <f t="shared" si="1"/>
        <v>4.3299999999999998E-2</v>
      </c>
      <c r="AO10" s="39">
        <f t="shared" si="2"/>
        <v>4.6199999999999998E-2</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$AS$32</v>
      </c>
      <c r="AX10" s="339" t="str">
        <f>ADDRESS(ROW($CC$22),COLUMN($CC$22))</f>
        <v>$CC$22</v>
      </c>
      <c r="AY10" s="138" t="str">
        <f t="shared" ca="1" si="9"/>
        <v>$CC$32</v>
      </c>
    </row>
    <row r="11" spans="1:102" x14ac:dyDescent="0.25">
      <c r="A11" s="270" t="s">
        <v>224</v>
      </c>
      <c r="D11" s="166" t="str">
        <f>IF(ISERROR($AH$13),"Check Contract Index to make sure it is valid","")</f>
        <v/>
      </c>
      <c r="E11" s="167"/>
      <c r="F11" s="168"/>
      <c r="G11" s="168"/>
      <c r="H11" s="169"/>
      <c r="K11" s="29">
        <f>SUMPRODUCT(K22:K32,F22:F32)</f>
        <v>868438.27441888792</v>
      </c>
      <c r="L11" s="704" t="s">
        <v>629</v>
      </c>
      <c r="M11" s="705"/>
      <c r="N11" s="356">
        <f ca="1">-SUMPRODUCT(INDIRECT(CONCATENATE(AV11,":",AW11)),INDIRECT(CONCATENATE($AV$2,":",$AW$2)),INDIRECT(CONCATENATE($AV$3,":",$AW$3)),INDIRECT(CONCATENATE(AX3,":",AY3)))</f>
        <v>-33616.800000000003</v>
      </c>
      <c r="O11" s="357">
        <v>-33616.800000000003</v>
      </c>
      <c r="P11" s="358">
        <f t="shared" ca="1" si="10"/>
        <v>0</v>
      </c>
      <c r="X11" s="734" t="s">
        <v>759</v>
      </c>
      <c r="Y11" s="735"/>
      <c r="AL11" s="34">
        <v>8</v>
      </c>
      <c r="AM11" s="37">
        <f t="shared" si="0"/>
        <v>5800</v>
      </c>
      <c r="AN11" s="38">
        <f t="shared" si="1"/>
        <v>4.3299999999999998E-2</v>
      </c>
      <c r="AO11" s="39">
        <f t="shared" si="2"/>
        <v>4.6199999999999998E-2</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$AQ$32</v>
      </c>
      <c r="AX11" s="339" t="str">
        <f>ADDRESS(ROW($CD$22),COLUMN($CD$22))</f>
        <v>$CD$22</v>
      </c>
      <c r="AY11" s="138" t="str">
        <f t="shared" ca="1" si="9"/>
        <v>$CD$32</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79373.41</v>
      </c>
      <c r="P12" s="355">
        <f t="shared" ca="1" si="10"/>
        <v>-79373.41</v>
      </c>
      <c r="X12" s="498" t="s">
        <v>760</v>
      </c>
      <c r="Y12" s="499">
        <v>0</v>
      </c>
      <c r="AG12" s="248" t="s">
        <v>185</v>
      </c>
      <c r="AH12" s="119" t="str">
        <f>GetDBPage($D$2)</f>
        <v>Contract DB (East)</v>
      </c>
      <c r="AL12" s="34">
        <v>9</v>
      </c>
      <c r="AM12" s="37">
        <f t="shared" si="0"/>
        <v>5800</v>
      </c>
      <c r="AN12" s="38">
        <f t="shared" si="1"/>
        <v>4.3299999999999998E-2</v>
      </c>
      <c r="AO12" s="39">
        <f t="shared" si="2"/>
        <v>4.6199999999999998E-2</v>
      </c>
      <c r="AP12" s="38">
        <f t="shared" si="3"/>
        <v>0</v>
      </c>
      <c r="AQ12" s="38">
        <f t="shared" si="4"/>
        <v>0</v>
      </c>
      <c r="AR12" s="133">
        <f t="shared" si="5"/>
        <v>0</v>
      </c>
      <c r="AS12" s="40">
        <f t="shared" si="6"/>
        <v>0</v>
      </c>
      <c r="AT12" s="35">
        <f t="shared" si="7"/>
        <v>1</v>
      </c>
      <c r="AU12" s="361" t="s">
        <v>271</v>
      </c>
      <c r="AV12" s="339" t="str">
        <f>ADDRESS(ROW($X$22),COLUMN($X$22))</f>
        <v>$X$22</v>
      </c>
      <c r="AW12" s="138" t="str">
        <f t="shared" ca="1" si="8"/>
        <v>$X$32</v>
      </c>
      <c r="AX12" s="339" t="str">
        <f>ADDRESS(ROW($CE$22),COLUMN($CE$22))</f>
        <v>$CE$22</v>
      </c>
      <c r="AY12" s="138" t="str">
        <f t="shared" ca="1" si="9"/>
        <v>$CE$32</v>
      </c>
    </row>
    <row r="13" spans="1:102" x14ac:dyDescent="0.25">
      <c r="A13" s="270" t="s">
        <v>224</v>
      </c>
      <c r="D13" s="170"/>
      <c r="E13" s="171"/>
      <c r="F13" s="172"/>
      <c r="G13" s="172"/>
      <c r="H13" s="173"/>
      <c r="L13" s="706" t="s">
        <v>155</v>
      </c>
      <c r="M13" s="707"/>
      <c r="N13" s="352">
        <f t="shared" ca="1" si="11"/>
        <v>0</v>
      </c>
      <c r="O13" s="352">
        <v>329.65</v>
      </c>
      <c r="P13" s="355">
        <f t="shared" ca="1" si="10"/>
        <v>-329.65</v>
      </c>
      <c r="X13" s="498" t="s">
        <v>761</v>
      </c>
      <c r="AG13" s="248" t="s">
        <v>186</v>
      </c>
      <c r="AH13" s="119">
        <f>GetRecNdx($AH$12,$D$2)</f>
        <v>15</v>
      </c>
      <c r="AL13" s="34">
        <v>10</v>
      </c>
      <c r="AM13" s="37">
        <f t="shared" si="0"/>
        <v>5800</v>
      </c>
      <c r="AN13" s="38">
        <f t="shared" si="1"/>
        <v>4.3299999999999998E-2</v>
      </c>
      <c r="AO13" s="39">
        <f t="shared" si="2"/>
        <v>4.6199999999999998E-2</v>
      </c>
      <c r="AP13" s="38">
        <f t="shared" si="3"/>
        <v>0</v>
      </c>
      <c r="AQ13" s="38">
        <f t="shared" si="4"/>
        <v>0</v>
      </c>
      <c r="AR13" s="133">
        <f t="shared" si="5"/>
        <v>0</v>
      </c>
      <c r="AS13" s="40">
        <f t="shared" si="6"/>
        <v>0</v>
      </c>
      <c r="AT13" s="35">
        <f t="shared" si="7"/>
        <v>1</v>
      </c>
      <c r="AU13" s="361" t="s">
        <v>155</v>
      </c>
      <c r="AV13" s="339" t="str">
        <f>ADDRESS(ROW($Y$22),COLUMN($Y$22))</f>
        <v>$Y$22</v>
      </c>
      <c r="AW13" s="138" t="str">
        <f t="shared" ca="1" si="8"/>
        <v>$Y$32</v>
      </c>
      <c r="AX13" s="339" t="str">
        <f>ADDRESS(ROW($CF$22),COLUMN($CF$22))</f>
        <v>$CF$22</v>
      </c>
      <c r="AY13" s="138" t="str">
        <f t="shared" ca="1" si="9"/>
        <v>$CF$32</v>
      </c>
    </row>
    <row r="14" spans="1:102" x14ac:dyDescent="0.25">
      <c r="A14" s="270" t="s">
        <v>224</v>
      </c>
      <c r="D14" s="170"/>
      <c r="E14" s="171"/>
      <c r="F14" s="172"/>
      <c r="G14" s="172"/>
      <c r="H14" s="173"/>
      <c r="K14" s="185"/>
      <c r="L14" s="706" t="s">
        <v>156</v>
      </c>
      <c r="M14" s="707"/>
      <c r="N14" s="352">
        <f t="shared" ca="1" si="11"/>
        <v>-2416.2734038278218</v>
      </c>
      <c r="O14" s="352">
        <v>-855.93</v>
      </c>
      <c r="P14" s="355">
        <f t="shared" ca="1" si="10"/>
        <v>-1560.3434038278219</v>
      </c>
      <c r="S14" s="181">
        <f>F22/(1-AR22)*AH22*AU22</f>
        <v>188229.76530002712</v>
      </c>
      <c r="T14" s="181">
        <f>F22*AH22*AU22</f>
        <v>179533.55014316589</v>
      </c>
      <c r="X14" s="500" t="s">
        <v>762</v>
      </c>
      <c r="Y14" s="501" t="s">
        <v>763</v>
      </c>
      <c r="AL14" s="34">
        <v>11</v>
      </c>
      <c r="AM14" s="37">
        <f t="shared" si="0"/>
        <v>5800</v>
      </c>
      <c r="AN14" s="38">
        <f t="shared" si="1"/>
        <v>4.3299999999999998E-2</v>
      </c>
      <c r="AO14" s="39">
        <f t="shared" si="2"/>
        <v>4.6199999999999998E-2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$Z$32</v>
      </c>
      <c r="AX14" s="353" t="str">
        <f ca="1">CONCATENATE(AX8,":",AY8)</f>
        <v>$AO$22:$AO$32</v>
      </c>
      <c r="AY14" s="353" t="str">
        <f ca="1">CONCATENATE(AX10,":",AY10)</f>
        <v>$CC$22:$CC$32</v>
      </c>
    </row>
    <row r="15" spans="1:102" ht="13.8" thickBot="1" x14ac:dyDescent="0.3">
      <c r="A15" s="270" t="s">
        <v>224</v>
      </c>
      <c r="D15" s="170"/>
      <c r="E15" s="171"/>
      <c r="F15" s="172"/>
      <c r="G15" s="172"/>
      <c r="H15" s="173"/>
      <c r="L15" s="706" t="s">
        <v>157</v>
      </c>
      <c r="M15" s="707"/>
      <c r="N15" s="352">
        <f t="shared" ca="1" si="11"/>
        <v>3328.2265473402904</v>
      </c>
      <c r="O15" s="352">
        <v>1113.57</v>
      </c>
      <c r="P15" s="355">
        <f t="shared" ca="1" si="10"/>
        <v>2214.6565473402907</v>
      </c>
      <c r="X15" s="502">
        <v>2001</v>
      </c>
      <c r="Y15" s="503">
        <v>0</v>
      </c>
      <c r="AL15" s="34">
        <v>12</v>
      </c>
      <c r="AM15" s="41">
        <f t="shared" si="0"/>
        <v>5800</v>
      </c>
      <c r="AN15" s="42">
        <f t="shared" si="1"/>
        <v>4.3299999999999998E-2</v>
      </c>
      <c r="AO15" s="43">
        <f t="shared" si="2"/>
        <v>4.6199999999999998E-2</v>
      </c>
      <c r="AP15" s="42">
        <f t="shared" si="3"/>
        <v>0</v>
      </c>
      <c r="AQ15" s="42">
        <f t="shared" si="4"/>
        <v>0</v>
      </c>
      <c r="AR15" s="134">
        <f t="shared" si="5"/>
        <v>0</v>
      </c>
      <c r="AS15" s="44">
        <f t="shared" si="6"/>
        <v>0</v>
      </c>
      <c r="AT15" s="35">
        <f t="shared" si="7"/>
        <v>1</v>
      </c>
      <c r="AU15" s="363" t="s">
        <v>157</v>
      </c>
      <c r="AV15" s="339" t="str">
        <f>ADDRESS(ROW($AA$22),COLUMN($AA$22))</f>
        <v>$AA$22</v>
      </c>
      <c r="AW15" s="138" t="str">
        <f t="shared" ca="1" si="8"/>
        <v>$AA$32</v>
      </c>
      <c r="AX15" s="353" t="str">
        <f ca="1">CONCATENATE(AV8,":",AW8)</f>
        <v>$AM$22:$AM$32</v>
      </c>
      <c r="AY15" s="353" t="str">
        <f ca="1">CONCATENATE(AX11,":",AY11)</f>
        <v>$CD$22:$CD$32</v>
      </c>
    </row>
    <row r="16" spans="1:102" x14ac:dyDescent="0.25">
      <c r="D16" s="174"/>
      <c r="E16" s="175"/>
      <c r="F16" s="176"/>
      <c r="G16" s="176"/>
      <c r="H16" s="177"/>
      <c r="L16" s="706" t="s">
        <v>158</v>
      </c>
      <c r="M16" s="707"/>
      <c r="N16" s="352">
        <f t="shared" ca="1" si="11"/>
        <v>0</v>
      </c>
      <c r="O16" s="352">
        <v>-12.18</v>
      </c>
      <c r="P16" s="355">
        <f t="shared" ca="1" si="10"/>
        <v>12.18</v>
      </c>
      <c r="X16" s="502">
        <v>2002</v>
      </c>
      <c r="Y16" s="503">
        <v>0</v>
      </c>
      <c r="AU16" s="361" t="s">
        <v>158</v>
      </c>
      <c r="AV16" s="339" t="str">
        <f>ADDRESS(ROW($AB$22),COLUMN($AB$22))</f>
        <v>$AB$22</v>
      </c>
      <c r="AW16" s="138" t="str">
        <f t="shared" ca="1" si="8"/>
        <v>$AB$32</v>
      </c>
      <c r="AX16" s="353" t="str">
        <f ca="1">CONCATENATE(AX9,":",AY9)</f>
        <v>$AP$22:$AP$32</v>
      </c>
      <c r="AY16" s="353" t="str">
        <f ca="1">CONCATENATE(AX12,":",AY12)</f>
        <v>$CE$22:$CE$32</v>
      </c>
    </row>
    <row r="17" spans="1:91" x14ac:dyDescent="0.25">
      <c r="D17" s="171"/>
      <c r="E17" s="171"/>
      <c r="F17" s="172"/>
      <c r="G17" s="172"/>
      <c r="H17" s="172"/>
      <c r="L17" s="704" t="s">
        <v>211</v>
      </c>
      <c r="M17" s="705"/>
      <c r="N17" s="356">
        <f t="shared" ca="1" si="11"/>
        <v>139.00345121614316</v>
      </c>
      <c r="O17" s="357">
        <v>42.02</v>
      </c>
      <c r="P17" s="358">
        <f t="shared" ca="1" si="10"/>
        <v>96.983451216143152</v>
      </c>
      <c r="X17" s="504">
        <v>2003</v>
      </c>
      <c r="Y17" s="505">
        <v>0</v>
      </c>
      <c r="AU17" s="361" t="s">
        <v>211</v>
      </c>
      <c r="AV17" s="339" t="str">
        <f>ADDRESS(ROW($AC$22),COLUMN($AC$22))</f>
        <v>$AC$22</v>
      </c>
      <c r="AW17" s="138" t="str">
        <f t="shared" ca="1" si="8"/>
        <v>$AC$32</v>
      </c>
      <c r="AX17" s="353" t="str">
        <f ca="1">CONCATENATE(AV9,":",AW9)</f>
        <v>$AN$22:$AN$32</v>
      </c>
      <c r="AY17" s="353" t="str">
        <f ca="1">CONCATENATE(AX13,":",AY13)</f>
        <v>$CF$22:$CF$32</v>
      </c>
    </row>
    <row r="18" spans="1:91" x14ac:dyDescent="0.25">
      <c r="D18" s="171"/>
      <c r="E18" s="171"/>
      <c r="F18" s="172"/>
      <c r="G18" s="172"/>
      <c r="H18" s="172"/>
      <c r="L18" s="706" t="s">
        <v>623</v>
      </c>
      <c r="M18" s="707"/>
      <c r="N18" s="352">
        <f ca="1">SUMPRODUCT(INDIRECT(CONCATENATE(AX4,":",AY4)),INDIRECT(CONCATENATE($AV$2,":",$AW$2)),INDIRECT(CONCATENATE($AV$3,":",$AW$3)))</f>
        <v>868438.27441888792</v>
      </c>
      <c r="O18" s="352">
        <v>868302.88</v>
      </c>
      <c r="P18" s="355">
        <f t="shared" ca="1" si="10"/>
        <v>135.39441888791043</v>
      </c>
      <c r="AU18" s="361"/>
      <c r="AV18" s="339"/>
      <c r="AW18" s="138"/>
      <c r="AX18" s="339" t="str">
        <f>ADDRESS(ROW($CI$22),COLUMN($CI$22))</f>
        <v>$CI$22</v>
      </c>
      <c r="AY18" s="138" t="str">
        <f ca="1">GetEnd($AV$1,AX18)</f>
        <v>$CI$32</v>
      </c>
    </row>
    <row r="19" spans="1:91" x14ac:dyDescent="0.25">
      <c r="D19" s="171"/>
      <c r="E19" s="171"/>
      <c r="F19" s="172"/>
      <c r="G19" s="172"/>
      <c r="H19" s="172"/>
      <c r="L19" s="724" t="s">
        <v>624</v>
      </c>
      <c r="M19" s="725"/>
      <c r="N19" s="359">
        <f ca="1">SUMPRODUCT(INDIRECT(CONCATENATE(AX5,":",AY5)),INDIRECT(CONCATENATE($AV$2,":",$AW$2)),INDIRECT(CONCATENATE($AV$3,":",$AW$3)))</f>
        <v>19276.41672092702</v>
      </c>
      <c r="O19" s="359">
        <v>19004.32</v>
      </c>
      <c r="P19" s="360">
        <f t="shared" ca="1" si="10"/>
        <v>272.09672092702021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IF-TRANSCO/Z3 Basis Mid</v>
      </c>
      <c r="T20" s="182" t="str">
        <f>GetDelBasis($AH$12,$AH$13)</f>
        <v>IF-TRANSCO/Z6 Basis Mid</v>
      </c>
      <c r="U20" s="158"/>
      <c r="V20" s="158"/>
      <c r="W20" s="158"/>
      <c r="X20" s="158"/>
      <c r="Y20" s="335"/>
      <c r="Z20" s="335"/>
      <c r="AA20" s="335"/>
      <c r="AB20" s="335"/>
      <c r="AC20" s="335"/>
      <c r="AI20" s="138"/>
      <c r="AM20" s="702" t="str">
        <f>GetRcptPoint($AH$12,$AH$13)</f>
        <v>IF-TRANSCO/Z3</v>
      </c>
      <c r="AN20" s="703"/>
      <c r="AO20" s="702" t="str">
        <f>GetDelPoint($AH$12,$AH$13)</f>
        <v>IF-TRANSCO/Z6</v>
      </c>
      <c r="AP20" s="703"/>
      <c r="AQ20" s="137"/>
      <c r="AS20" s="137"/>
      <c r="AU20" s="136" t="s">
        <v>576</v>
      </c>
      <c r="AV20" s="353">
        <f ca="1">SUMPRODUCT(INDIRECT(CONCATENATE(AV8,":",AW8)),INDIRECT(CONCATENATE($AV$2,":",$AW$2)),INDIRECT(CONCATENATE($AV$3,":",$AW$3)),INDIRECT(CONCATENATE(AX3,":",AY3)))</f>
        <v>10875</v>
      </c>
      <c r="AW20" s="353">
        <f ca="1">SUMPRODUCT(INDIRECT(CONCATENATE(AX8,":",AY8)),INDIRECT(CONCATENATE($AV$2,":",$AW$2)),INDIRECT(CONCATENATE($AV$3,":",$AW$3)),INDIRECT(CONCATENATE(AX3,":",AY3)))</f>
        <v>857240</v>
      </c>
      <c r="AX20" s="353">
        <f ca="1">SUMPRODUCT(INDIRECT(CONCATENATE(AV9,":",AW9)),INDIRECT(CONCATENATE($AV$2,":",$AW$2)),INDIRECT(CONCATENATE($AV$3,":",$AW$3)),INDIRECT(CONCATENATE(AX3,":",AY3)))</f>
        <v>3915</v>
      </c>
      <c r="AY20" s="353">
        <f ca="1">SUMPRODUCT(INDIRECT(CONCATENATE(AX9,":",AY9)),INDIRECT(CONCATENATE($AV$2,":",$AW$2)),INDIRECT(CONCATENATE($AV$3,":",$AW$3)),INDIRECT(CONCATENATE(AX3,":",AY3)))</f>
        <v>159616</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32" si="12">VLOOKUP(AG22,$AL$4:$AS$15,2)</f>
        <v>5800</v>
      </c>
      <c r="G22" s="28">
        <f t="shared" ref="G22:G32" si="13">F22*$AU22</f>
        <v>5791.4048433279322</v>
      </c>
      <c r="H22" s="52">
        <f t="shared" ref="H22:H32" si="14">(AL22+AM22+AN22)/(1-(AR22))</f>
        <v>3.0048228140071296</v>
      </c>
      <c r="I22" s="52">
        <f t="shared" ref="I22:I32" si="15">(AL22+AO22+AP22)</f>
        <v>5.226</v>
      </c>
      <c r="K22" s="52">
        <f t="shared" ref="K22:K32" si="16">MAX(((I22-H22)-AQ22)*AU22*AH22,0)</f>
        <v>67.259371590757283</v>
      </c>
      <c r="L22" s="135">
        <f t="shared" ref="L22:L32" si="17">MAX(Q22-K22,0)</f>
        <v>1.386793368743696</v>
      </c>
      <c r="N22" s="131">
        <f t="shared" ref="N22:N32" si="18">SQRT(($AX22^2*($AH22/2)+$AW22^2*$AI22)/(($AH22/2)+$AI22))</f>
        <v>0.96016221307122684</v>
      </c>
      <c r="O22" s="131">
        <f t="shared" ref="O22:O32" si="19">SQRT(($AY22^2*($AH22/2)+$AW22^2*$AI22)/(($AH22/2)+$AI22))</f>
        <v>2.2342489661232814</v>
      </c>
      <c r="P22" s="55">
        <f t="shared" ref="P22:P32" si="20">(VLOOKUP(AI22,CorrelationTwo,2)*(AW22^2)*AI22+VLOOKUP(D22,CorrelationOne,$AK$9)*AX22*AY22*(AH22/2))/((AI22+(AH22/2))*O22*N22)*AF22</f>
        <v>1.0074450151777696</v>
      </c>
      <c r="Q22" s="135">
        <f>_xll.xSPRDOPT(I22,H22,AQ22,0,O22,N22,P22,D22-$G$5,1,0)*AH22*AU22</f>
        <v>68.646164959500979</v>
      </c>
      <c r="R22" s="135"/>
      <c r="S22" s="181">
        <f>_xll.xSPRDOPT(I22,H22,AQ22,AT22,O22,N22,P22,D22-$G$5,1,2)*AF22*(F22/(1-AR22))*AH22</f>
        <v>-176030.78889273861</v>
      </c>
      <c r="T22" s="181">
        <f>_xll.xSPRDOPT(I22,H22,AQ22,AT22,O22,N22,P22,D22-$G$5,1,1)*AF22*F22*AH22</f>
        <v>175866.89085890944</v>
      </c>
      <c r="U22" s="135"/>
      <c r="V22" s="146">
        <f>($Y$12+VLOOKUP(YEAR(D22),$X$15:$Y$17,2,FALSE))*AH22*AU22</f>
        <v>0</v>
      </c>
      <c r="W22" s="146"/>
      <c r="X22" s="338">
        <f t="shared" ref="X22:X32" si="21">((BM22*BC22)+(BL22*BB22))*AH22*F22</f>
        <v>0</v>
      </c>
      <c r="Y22" s="338">
        <f t="shared" ref="Y22:Y32" si="22">($F22*$AH22)*((($BG22/2)*($BC22)^2)+(($BF22/2)*($BB22)^2)+($BH22*$BC22*$BB22))</f>
        <v>0</v>
      </c>
      <c r="Z22" s="338">
        <f t="shared" ref="Z22:Z32" si="23">($BI22*$F22*$AH22*($G$5-$BV$5))/365.25</f>
        <v>-1518.1947755568615</v>
      </c>
      <c r="AA22" s="338">
        <f t="shared" ref="AA22:AA32" si="24">(($BK22*$BE22)+($BJ22*$BD22))*$F22*$AH22*$AF22</f>
        <v>2169.1842524498429</v>
      </c>
      <c r="AB22" s="338">
        <f t="shared" ref="AB22:AB32" si="25">BN22*(AT22-CA22)*F22*AH22</f>
        <v>0</v>
      </c>
      <c r="AC22" s="338">
        <f t="shared" ref="AC22:AC32" si="26">BO22*CB22*F22*AH22*CA22*($G$5-$BV$5)/365.25</f>
        <v>61.313925105018356</v>
      </c>
      <c r="AF22" s="138">
        <f t="shared" ref="AF22:AF32" si="27">IF(AND(D22&gt;=$G$7,D22&lt;=$G$8),1,0)</f>
        <v>1</v>
      </c>
      <c r="AG22" s="138">
        <f t="shared" ref="AG22:AG32" si="28">MONTH(D22)</f>
        <v>1</v>
      </c>
      <c r="AH22" s="138">
        <f t="shared" ref="AH22:AH32" si="29">(EOMONTH(D22,0)-EOMONTH(D22-DAY(D22),0))*AF22</f>
        <v>31</v>
      </c>
      <c r="AI22" s="138">
        <f>MAX(0,(D22-DAY(D22))-$G$5+1)</f>
        <v>15</v>
      </c>
      <c r="AJ22" s="138">
        <f t="shared" ref="AJ22:AJ32" si="30">D22-$BV$5</f>
        <v>32</v>
      </c>
      <c r="AL22" s="136">
        <f t="shared" ref="AL22:AL32" si="31">VLOOKUP($D22,CurveTbl,$AK$4)</f>
        <v>2.8460000000000001</v>
      </c>
      <c r="AM22" s="258">
        <f t="shared" ref="AM22:AM32" si="32">VLOOKUP($D22,CurveTbl,$AH$3)</f>
        <v>1.4999999999999999E-2</v>
      </c>
      <c r="AN22" s="258">
        <f t="shared" ref="AN22:AN32" si="33">VLOOKUP($D22,CurveTbl,$AH$4)+VLOOKUP($AG22,$AL$3:$AS$15,6)</f>
        <v>5.0000000000000001E-3</v>
      </c>
      <c r="AO22" s="258">
        <f t="shared" ref="AO22:AO32" si="34">VLOOKUP($D22,CurveTbl,$AH$5)</f>
        <v>1.95</v>
      </c>
      <c r="AP22" s="258">
        <f t="shared" ref="AP22:AP32" si="35">VLOOKUP($D22,CurveTbl,$AH$6)+VLOOKUP($AG22,$AL$3:$AS$15,7)</f>
        <v>0.43</v>
      </c>
      <c r="AQ22" s="136">
        <f t="shared" ref="AQ22:AQ32" si="36">VLOOKUP($AG22,$AL$4:$AS$15,3)+VLOOKUP($AG22,$AL$4:$AS$15,5)+($AH$10*VLOOKUP(D22,GRITable,2))</f>
        <v>4.8299999999999996E-2</v>
      </c>
      <c r="AR22" s="137">
        <f t="shared" ref="AR22:AR32" si="37">VLOOKUP($AG22,$AL$4:$AS$15,4)</f>
        <v>4.6199999999999998E-2</v>
      </c>
      <c r="AS22" s="136">
        <f t="shared" ref="AS22:AS32" si="38">(AL22+AM22+AN22)</f>
        <v>2.8660000000000001</v>
      </c>
      <c r="AT22" s="137">
        <f t="shared" ref="AT22:AT32" si="39">VLOOKUP(D22,CurveTbl,$AK$6)</f>
        <v>1.8765908157160699E-2</v>
      </c>
      <c r="AU22" s="137">
        <f t="shared" ref="AU22:AU32" si="40">(1+$AT22/2)^(-2*($D22-$G$5)/365.25)*$AF22</f>
        <v>0.99851807643585033</v>
      </c>
      <c r="AV22" s="394">
        <f t="shared" ref="AV22:AV32" si="41">ROUND((F22/(1-AR22))-F22,0)*AF22*AH22*AU22</f>
        <v>8698.0909638326921</v>
      </c>
      <c r="AW22" s="137">
        <f t="shared" ref="AW22:AW32" si="42">VLOOKUP($D22,CurveTbl,$AK$8)</f>
        <v>0.87</v>
      </c>
      <c r="AX22" s="137">
        <f t="shared" ref="AX22:AX32" si="43">VLOOKUP($D22,CurveTbl,$AH$7)</f>
        <v>1.04</v>
      </c>
      <c r="AY22" s="137">
        <f t="shared" ref="AY22:AY32" si="44">VLOOKUP($D22,CurveTbl,$AH$8)</f>
        <v>3.0150000000000001</v>
      </c>
      <c r="AZ22" s="137"/>
      <c r="BA22" s="264"/>
      <c r="BB22" s="258">
        <f t="shared" ref="BB22:BB32" si="45">$H22-$BV22</f>
        <v>0</v>
      </c>
      <c r="BC22" s="258">
        <f t="shared" ref="BC22:BC32" si="46">I22-BW22</f>
        <v>0</v>
      </c>
      <c r="BD22" s="137">
        <f t="shared" ref="BD22:BE32" si="47">N22-BX22</f>
        <v>7.7262160833929672E-3</v>
      </c>
      <c r="BE22" s="137">
        <f t="shared" si="47"/>
        <v>8.6548442932621761E-2</v>
      </c>
      <c r="BF22" s="137">
        <f>_xll.xSPRDOPT($BW22,$BV22,$CG22,0,$BY22,$BX22,$BZ22,$AJ22,1,4)*$CB22</f>
        <v>0.15113940933032366</v>
      </c>
      <c r="BG22" s="137">
        <f>_xll.xSPRDOPT($BW22,$BV22,$CG22,0,$BY22,$BX22,$BZ22,$AJ22,1,3)*$CB22</f>
        <v>5.2215428810678956E-2</v>
      </c>
      <c r="BH22" s="137">
        <f>IF(OR(BF22&lt;&gt;0,BG22&lt;&gt;0),_xll.xSPRDOPT($BW22,$BV22,$CG22,0,$BY22,$BX22,$BZ22,$AJ22,1,12)*$CB22,0)</f>
        <v>-8.8835983418381115E-2</v>
      </c>
      <c r="BI22" s="137">
        <f>_xll.xSPRDOPT($BW22,$BV22,$CG22,2*LN(1+CA22/2),$BY22,$BX22,$BZ22,$AJ22,1,9)</f>
        <v>-1.0280323355063843</v>
      </c>
      <c r="BJ22" s="137">
        <f>_xll.xSPRDOPT($BW22,$BV22,$CG22,0,$BY22,$BX22,$BZ22,$AJ22,1,6)*$CB22</f>
        <v>-0.14723559679886697</v>
      </c>
      <c r="BK22" s="137">
        <f>_xll.xSPRDOPT($BW22,$BV22,$CG22,0,$BY22,$BX22,$BZ22,$AJ22,1,5)*$CB22</f>
        <v>0.15253888035444424</v>
      </c>
      <c r="BL22" s="137">
        <f>_xll.xSPRDOPT(BW22,BV22,CG22,0,BY22,BX22,BZ22,AJ22,1,2)*CB22</f>
        <v>-0.90386960518359161</v>
      </c>
      <c r="BM22" s="137">
        <f>_xll.xSPRDOPT(BW22,BV22,CG22,0,BY22,BX22,BZ22,AJ22,1,1)*CB22</f>
        <v>0.95089313524918628</v>
      </c>
      <c r="BN22" s="137">
        <f>IF(AH22&lt;&gt;0,_xll.xSPRDOPT($BW22,$BV22,$CG22,2*LN(1+CA22/2),$BY22,$BX22,$BZ22,$AJ22,1,8)+(AJ22/365.25)*CH22/AH22,0)</f>
        <v>-0.19383337993023489</v>
      </c>
      <c r="BO22" s="137">
        <f>_xll.xSPRDOPT($BW22,$BV22,$CG22,0,$BY22,$BX22,$BZ22,$AJ22,1,0)</f>
        <v>2.2160497774399857</v>
      </c>
      <c r="BP22" s="137"/>
      <c r="BQ22" s="137"/>
      <c r="BR22" s="137"/>
      <c r="BS22" s="137"/>
      <c r="BV22" s="262">
        <v>3.0048228140071296</v>
      </c>
      <c r="BW22" s="136">
        <v>5.226</v>
      </c>
      <c r="BX22" s="137">
        <v>0.95243599698783388</v>
      </c>
      <c r="BY22" s="137">
        <v>2.1477005231906596</v>
      </c>
      <c r="BZ22" s="137">
        <v>0.99473408551646614</v>
      </c>
      <c r="CA22" s="137">
        <v>1.8765908157160699E-2</v>
      </c>
      <c r="CB22" s="137">
        <v>0.99836489939579565</v>
      </c>
      <c r="CC22" s="258">
        <v>1.4999999999999999E-2</v>
      </c>
      <c r="CD22" s="258">
        <v>5.0000000000000001E-3</v>
      </c>
      <c r="CE22" s="258">
        <v>1.95</v>
      </c>
      <c r="CF22" s="258">
        <v>0.43</v>
      </c>
      <c r="CG22" s="258">
        <v>4.8299999999999996E-2</v>
      </c>
      <c r="CH22" s="258">
        <v>0</v>
      </c>
      <c r="CI22" s="258">
        <v>2.8460000000000001</v>
      </c>
      <c r="CJ22" s="258"/>
      <c r="CK22" s="258"/>
      <c r="CL22" s="258"/>
      <c r="CM22" s="258"/>
    </row>
    <row r="23" spans="1:91" x14ac:dyDescent="0.25">
      <c r="A23" s="723"/>
      <c r="B23" s="723"/>
      <c r="D23" s="31">
        <f t="shared" ref="D23:D32" si="48">D22+AH22</f>
        <v>37302</v>
      </c>
      <c r="F23" s="28">
        <f t="shared" si="12"/>
        <v>5800</v>
      </c>
      <c r="G23" s="28">
        <f t="shared" si="13"/>
        <v>5781.7038633871853</v>
      </c>
      <c r="H23" s="52">
        <f t="shared" si="14"/>
        <v>3.0698259593206121</v>
      </c>
      <c r="I23" s="52">
        <f t="shared" si="15"/>
        <v>5.2379999999999995</v>
      </c>
      <c r="K23" s="52">
        <f t="shared" si="16"/>
        <v>59.169232769814847</v>
      </c>
      <c r="L23" s="135">
        <f t="shared" si="17"/>
        <v>1.2209878133401517</v>
      </c>
      <c r="N23" s="131">
        <f t="shared" si="18"/>
        <v>0.90885229823112634</v>
      </c>
      <c r="O23" s="131">
        <f t="shared" si="19"/>
        <v>1.6415516034126574</v>
      </c>
      <c r="P23" s="55">
        <f t="shared" si="20"/>
        <v>0.93427164042177968</v>
      </c>
      <c r="Q23" s="135">
        <f>_xll.xSPRDOPT(I23,H23,AQ23,0,O23,N23,P23,D23-$G$5,1,0)*AH23*AU23</f>
        <v>60.390220583154999</v>
      </c>
      <c r="R23" s="135"/>
      <c r="S23" s="181">
        <f>_xll.xSPRDOPT(I23,H23,AQ23,AT23,O23,N23,P23,D23-$G$5,1,2)*AF23*(F23/(1-AR23))*AH23</f>
        <v>-153437.52749384561</v>
      </c>
      <c r="T23" s="181">
        <f>_xll.xSPRDOPT(I23,H23,AQ23,AT23,O23,N23,P23,D23-$G$5,1,1)*AF23*F23*AH23</f>
        <v>153906.29535875379</v>
      </c>
      <c r="U23" s="135"/>
      <c r="V23" s="146">
        <f t="shared" ref="V23:V32" si="49">($Y$12+VLOOKUP(YEAR(D23),$X$15:$Y$17,2,FALSE))*AH23*AU23</f>
        <v>0</v>
      </c>
      <c r="W23" s="146"/>
      <c r="X23" s="338">
        <f t="shared" si="21"/>
        <v>0</v>
      </c>
      <c r="Y23" s="338">
        <f t="shared" si="22"/>
        <v>0</v>
      </c>
      <c r="Z23" s="338">
        <f t="shared" si="23"/>
        <v>-671.26546811010064</v>
      </c>
      <c r="AA23" s="338">
        <f t="shared" si="24"/>
        <v>894.58581022697854</v>
      </c>
      <c r="AB23" s="338">
        <f t="shared" si="25"/>
        <v>0</v>
      </c>
      <c r="AC23" s="338">
        <f t="shared" si="26"/>
        <v>55.592064588011162</v>
      </c>
      <c r="AF23" s="138">
        <f t="shared" si="27"/>
        <v>1</v>
      </c>
      <c r="AG23" s="138">
        <f t="shared" si="28"/>
        <v>2</v>
      </c>
      <c r="AH23" s="138">
        <f t="shared" si="29"/>
        <v>28</v>
      </c>
      <c r="AI23" s="138">
        <f t="shared" ref="AI23:AI32" si="50">AI22+AH22</f>
        <v>46</v>
      </c>
      <c r="AJ23" s="138">
        <f t="shared" si="30"/>
        <v>63</v>
      </c>
      <c r="AL23" s="136">
        <f t="shared" si="31"/>
        <v>2.9079999999999999</v>
      </c>
      <c r="AM23" s="258">
        <f t="shared" si="32"/>
        <v>1.4999999999999999E-2</v>
      </c>
      <c r="AN23" s="258">
        <f t="shared" si="33"/>
        <v>5.0000000000000001E-3</v>
      </c>
      <c r="AO23" s="258">
        <f t="shared" si="34"/>
        <v>1.9</v>
      </c>
      <c r="AP23" s="258">
        <f t="shared" si="35"/>
        <v>0.43</v>
      </c>
      <c r="AQ23" s="136">
        <f t="shared" si="36"/>
        <v>4.8299999999999996E-2</v>
      </c>
      <c r="AR23" s="137">
        <f t="shared" si="37"/>
        <v>4.6199999999999998E-2</v>
      </c>
      <c r="AS23" s="136">
        <f t="shared" si="38"/>
        <v>2.9279999999999999</v>
      </c>
      <c r="AT23" s="137">
        <f t="shared" si="39"/>
        <v>1.9326187282006298E-2</v>
      </c>
      <c r="AU23" s="137">
        <f t="shared" si="40"/>
        <v>0.99684549368744568</v>
      </c>
      <c r="AV23" s="394">
        <f t="shared" si="41"/>
        <v>7843.1803443328226</v>
      </c>
      <c r="AW23" s="137">
        <f t="shared" si="42"/>
        <v>0.86499999999999999</v>
      </c>
      <c r="AX23" s="137">
        <f t="shared" si="43"/>
        <v>1.04</v>
      </c>
      <c r="AY23" s="137">
        <f t="shared" si="44"/>
        <v>3.0150000000000001</v>
      </c>
      <c r="AZ23" s="137"/>
      <c r="BA23" s="264"/>
      <c r="BB23" s="258">
        <f t="shared" si="45"/>
        <v>0</v>
      </c>
      <c r="BC23" s="258">
        <f t="shared" si="46"/>
        <v>0</v>
      </c>
      <c r="BD23" s="137">
        <f t="shared" si="47"/>
        <v>2.0401162808982853E-3</v>
      </c>
      <c r="BE23" s="137">
        <f t="shared" si="47"/>
        <v>2.8479138277325067E-2</v>
      </c>
      <c r="BF23" s="137">
        <f>_xll.xSPRDOPT($BW23,$BV23,$CG23,0,$BY23,$BX23,$BZ23,$AJ23,1,4)*$CB23</f>
        <v>0.15348209478876054</v>
      </c>
      <c r="BG23" s="137">
        <f>_xll.xSPRDOPT($BW23,$BV23,$CG23,0,$BY23,$BX23,$BZ23,$AJ23,1,3)*$CB23</f>
        <v>5.5019536412716702E-2</v>
      </c>
      <c r="BH23" s="137">
        <f>IF(OR(BF23&lt;&gt;0,BG23&lt;&gt;0),_xll.xSPRDOPT($BW23,$BV23,$CG23,0,$BY23,$BX23,$BZ23,$AJ23,1,12)*$CB23,0)</f>
        <v>-9.1892590637400906E-2</v>
      </c>
      <c r="BI23" s="137">
        <f>_xll.xSPRDOPT($BW23,$BV23,$CG23,2*LN(1+CA23/2),$BY23,$BX23,$BZ23,$AJ23,1,9)</f>
        <v>-0.50324243067983221</v>
      </c>
      <c r="BJ23" s="137">
        <f>_xll.xSPRDOPT($BW23,$BV23,$CG23,0,$BY23,$BX23,$BZ23,$AJ23,1,6)*$CB23</f>
        <v>-0.15683192668800305</v>
      </c>
      <c r="BK23" s="137">
        <f>_xll.xSPRDOPT($BW23,$BV23,$CG23,0,$BY23,$BX23,$BZ23,$AJ23,1,5)*$CB23</f>
        <v>0.20465818257734947</v>
      </c>
      <c r="BL23" s="137">
        <f>_xll.xSPRDOPT(BW23,BV23,CG23,0,BY23,BX23,BZ23,AJ23,1,2)*CB23</f>
        <v>-0.90096382577894518</v>
      </c>
      <c r="BM23" s="137">
        <f>_xll.xSPRDOPT(BW23,BV23,CG23,0,BY23,BX23,BZ23,AJ23,1,1)*CB23</f>
        <v>0.94753052523926229</v>
      </c>
      <c r="BN23" s="137">
        <f>IF(AH23&lt;&gt;0,_xll.xSPRDOPT($BW23,$BV23,$CG23,2*LN(1+CA23/2),$BY23,$BX23,$BZ23,$AJ23,1,8)+(AJ23/365.25)*CH23/AH23,0)</f>
        <v>-0.37196312633512357</v>
      </c>
      <c r="BO23" s="137">
        <f>_xll.xSPRDOPT($BW23,$BV23,$CG23,0,$BY23,$BX23,$BZ23,$AJ23,1,0)</f>
        <v>2.163666505143846</v>
      </c>
      <c r="BP23" s="137"/>
      <c r="BQ23" s="137"/>
      <c r="BR23" s="137"/>
      <c r="BS23" s="137"/>
      <c r="BV23" s="262">
        <v>3.0698259593206121</v>
      </c>
      <c r="BW23" s="136">
        <v>5.2379999999999995</v>
      </c>
      <c r="BX23" s="137">
        <v>0.90681218195022806</v>
      </c>
      <c r="BY23" s="137">
        <v>1.6130724651353323</v>
      </c>
      <c r="BZ23" s="137">
        <v>0.93176517437583928</v>
      </c>
      <c r="CA23" s="137">
        <v>1.9326187282006298E-2</v>
      </c>
      <c r="CB23" s="137">
        <v>0.99668802984454063</v>
      </c>
      <c r="CC23" s="258">
        <v>1.4999999999999999E-2</v>
      </c>
      <c r="CD23" s="258">
        <v>5.0000000000000001E-3</v>
      </c>
      <c r="CE23" s="258">
        <v>1.9</v>
      </c>
      <c r="CF23" s="258">
        <v>0.43</v>
      </c>
      <c r="CG23" s="258">
        <v>4.8299999999999996E-2</v>
      </c>
      <c r="CH23" s="258">
        <v>0</v>
      </c>
      <c r="CI23" s="258">
        <v>2.9079999999999999</v>
      </c>
      <c r="CJ23" s="258"/>
      <c r="CK23" s="258"/>
      <c r="CL23" s="258"/>
      <c r="CM23" s="258"/>
    </row>
    <row r="24" spans="1:91" x14ac:dyDescent="0.25">
      <c r="A24" s="723"/>
      <c r="B24" s="723"/>
      <c r="D24" s="31">
        <f t="shared" si="48"/>
        <v>37330</v>
      </c>
      <c r="F24" s="28">
        <f t="shared" si="12"/>
        <v>5800</v>
      </c>
      <c r="G24" s="28">
        <f t="shared" si="13"/>
        <v>5773.2584608832249</v>
      </c>
      <c r="H24" s="52">
        <f t="shared" si="14"/>
        <v>3.0635353323547916</v>
      </c>
      <c r="I24" s="52">
        <f t="shared" si="15"/>
        <v>3.6520000000000001</v>
      </c>
      <c r="K24" s="52">
        <f t="shared" si="16"/>
        <v>16.667899546610197</v>
      </c>
      <c r="L24" s="135">
        <f t="shared" si="17"/>
        <v>0.71573894221391399</v>
      </c>
      <c r="N24" s="131">
        <f t="shared" si="18"/>
        <v>0.79</v>
      </c>
      <c r="O24" s="131">
        <f t="shared" si="19"/>
        <v>0.98372730642583128</v>
      </c>
      <c r="P24" s="55">
        <f t="shared" si="20"/>
        <v>0.98218858005222098</v>
      </c>
      <c r="Q24" s="135">
        <f>_xll.xSPRDOPT(I24,H24,AQ24,0,O24,N24,P24,D24-$G$5,1,0)*AH24*AU24</f>
        <v>17.383638488824111</v>
      </c>
      <c r="R24" s="135"/>
      <c r="S24" s="181">
        <f>_xll.xSPRDOPT(I24,H24,AQ24,AT24,O24,N24,P24,D24-$G$5,1,2)*AF24*(F24/(1-AR24))*AH24</f>
        <v>-165085.73608990817</v>
      </c>
      <c r="T24" s="181">
        <f>_xll.xSPRDOPT(I24,H24,AQ24,AT24,O24,N24,P24,D24-$G$5,1,1)*AF24*F24*AH24</f>
        <v>161621.7560530084</v>
      </c>
      <c r="U24" s="135"/>
      <c r="V24" s="146">
        <f t="shared" si="49"/>
        <v>0</v>
      </c>
      <c r="W24" s="146"/>
      <c r="X24" s="338">
        <f t="shared" si="21"/>
        <v>0</v>
      </c>
      <c r="Y24" s="338">
        <f t="shared" si="22"/>
        <v>0</v>
      </c>
      <c r="Z24" s="338">
        <f t="shared" si="23"/>
        <v>-226.81316016085987</v>
      </c>
      <c r="AA24" s="338">
        <f t="shared" si="24"/>
        <v>264.45648466346887</v>
      </c>
      <c r="AB24" s="338">
        <f t="shared" si="25"/>
        <v>0</v>
      </c>
      <c r="AC24" s="338">
        <f t="shared" si="26"/>
        <v>15.960695151292404</v>
      </c>
      <c r="AF24" s="138">
        <f t="shared" si="27"/>
        <v>1</v>
      </c>
      <c r="AG24" s="138">
        <f t="shared" si="28"/>
        <v>3</v>
      </c>
      <c r="AH24" s="138">
        <f t="shared" si="29"/>
        <v>31</v>
      </c>
      <c r="AI24" s="138">
        <f t="shared" si="50"/>
        <v>74</v>
      </c>
      <c r="AJ24" s="138">
        <f t="shared" si="30"/>
        <v>91</v>
      </c>
      <c r="AL24" s="136">
        <f t="shared" si="31"/>
        <v>2.9020000000000001</v>
      </c>
      <c r="AM24" s="258">
        <f t="shared" si="32"/>
        <v>1.4999999999999999E-2</v>
      </c>
      <c r="AN24" s="258">
        <f t="shared" si="33"/>
        <v>5.0000000000000001E-3</v>
      </c>
      <c r="AO24" s="258">
        <f t="shared" si="34"/>
        <v>0.7</v>
      </c>
      <c r="AP24" s="258">
        <f t="shared" si="35"/>
        <v>0.05</v>
      </c>
      <c r="AQ24" s="136">
        <f t="shared" si="36"/>
        <v>4.8299999999999996E-2</v>
      </c>
      <c r="AR24" s="137">
        <f t="shared" si="37"/>
        <v>4.6199999999999998E-2</v>
      </c>
      <c r="AS24" s="136">
        <f t="shared" si="38"/>
        <v>2.9220000000000002</v>
      </c>
      <c r="AT24" s="137">
        <f t="shared" si="39"/>
        <v>1.9273175363903501E-2</v>
      </c>
      <c r="AU24" s="137">
        <f t="shared" si="40"/>
        <v>0.99538938980745262</v>
      </c>
      <c r="AV24" s="394">
        <f t="shared" si="41"/>
        <v>8670.8369746127191</v>
      </c>
      <c r="AW24" s="137">
        <f t="shared" si="42"/>
        <v>0.79</v>
      </c>
      <c r="AX24" s="137">
        <f t="shared" si="43"/>
        <v>0.79</v>
      </c>
      <c r="AY24" s="137">
        <f t="shared" si="44"/>
        <v>1.615</v>
      </c>
      <c r="AZ24" s="137"/>
      <c r="BA24" s="264"/>
      <c r="BB24" s="258">
        <f t="shared" si="45"/>
        <v>0</v>
      </c>
      <c r="BC24" s="258">
        <f t="shared" si="46"/>
        <v>0</v>
      </c>
      <c r="BD24" s="137">
        <f t="shared" si="47"/>
        <v>0</v>
      </c>
      <c r="BE24" s="137">
        <f t="shared" si="47"/>
        <v>5.6807840149594169E-3</v>
      </c>
      <c r="BF24" s="137">
        <f>_xll.xSPRDOPT($BW24,$BV24,$CG24,0,$BY24,$BX24,$BZ24,$AJ24,1,4)*$CB24</f>
        <v>0.48676126210589071</v>
      </c>
      <c r="BG24" s="137">
        <f>_xll.xSPRDOPT($BW24,$BV24,$CG24,0,$BY24,$BX24,$BZ24,$AJ24,1,3)*$CB24</f>
        <v>0.35705148370333767</v>
      </c>
      <c r="BH24" s="137">
        <f>IF(OR(BF24&lt;&gt;0,BG24&lt;&gt;0),_xll.xSPRDOPT($BW24,$BV24,$CG24,0,$BY24,$BX24,$BZ24,$AJ24,1,12)*$CB24,0)</f>
        <v>-0.41688469481808155</v>
      </c>
      <c r="BI24" s="137">
        <f>_xll.xSPRDOPT($BW24,$BV24,$CG24,2*LN(1+CA24/2),$BY24,$BX24,$BZ24,$AJ24,1,9)</f>
        <v>-0.15358455088756778</v>
      </c>
      <c r="BJ24" s="137">
        <f>_xll.xSPRDOPT($BW24,$BV24,$CG24,0,$BY24,$BX24,$BZ24,$AJ24,1,6)*$CB24</f>
        <v>-0.21688777666014275</v>
      </c>
      <c r="BK24" s="137">
        <f>_xll.xSPRDOPT($BW24,$BV24,$CG24,0,$BY24,$BX24,$BZ24,$AJ24,1,5)*$CB24</f>
        <v>0.2589144301184319</v>
      </c>
      <c r="BL24" s="137">
        <f>_xll.xSPRDOPT(BW24,BV24,CG24,0,BY24,BX24,BZ24,AJ24,1,2)*CB24</f>
        <v>-0.87535824109933669</v>
      </c>
      <c r="BM24" s="137">
        <f>_xll.xSPRDOPT(BW24,BV24,CG24,0,BY24,BX24,BZ24,AJ24,1,1)*CB24</f>
        <v>0.89856849379277626</v>
      </c>
      <c r="BN24" s="137">
        <f>IF(AH24&lt;&gt;0,_xll.xSPRDOPT($BW24,$BV24,$CG24,2*LN(1+CA24/2),$BY24,$BX24,$BZ24,$AJ24,1,8)+(AJ24/365.25)*CH24/AH24,0)</f>
        <v>-0.13971047842825018</v>
      </c>
      <c r="BO24" s="137">
        <f>_xll.xSPRDOPT($BW24,$BV24,$CG24,0,$BY24,$BX24,$BZ24,$AJ24,1,0)</f>
        <v>0.56344720022835459</v>
      </c>
      <c r="BP24" s="137"/>
      <c r="BQ24" s="137"/>
      <c r="BR24" s="137"/>
      <c r="BS24" s="137"/>
      <c r="BV24" s="262">
        <v>3.0635353323547916</v>
      </c>
      <c r="BW24" s="136">
        <v>3.6520000000000001</v>
      </c>
      <c r="BX24" s="137">
        <v>0.79</v>
      </c>
      <c r="BY24" s="137">
        <v>0.97804652241087187</v>
      </c>
      <c r="BZ24" s="137">
        <v>0.98198487483443253</v>
      </c>
      <c r="CA24" s="137">
        <v>1.9273175363903501E-2</v>
      </c>
      <c r="CB24" s="137">
        <v>0.99523258517239033</v>
      </c>
      <c r="CC24" s="258">
        <v>1.4999999999999999E-2</v>
      </c>
      <c r="CD24" s="258">
        <v>5.0000000000000001E-3</v>
      </c>
      <c r="CE24" s="258">
        <v>0.7</v>
      </c>
      <c r="CF24" s="258">
        <v>0.05</v>
      </c>
      <c r="CG24" s="258">
        <v>4.8299999999999996E-2</v>
      </c>
      <c r="CH24" s="258">
        <v>0</v>
      </c>
      <c r="CI24" s="258">
        <v>2.9020000000000001</v>
      </c>
      <c r="CJ24" s="258"/>
      <c r="CK24" s="258"/>
      <c r="CL24" s="258"/>
      <c r="CM24" s="258"/>
    </row>
    <row r="25" spans="1:91" x14ac:dyDescent="0.25">
      <c r="A25" s="723"/>
      <c r="B25" s="723"/>
      <c r="D25" s="31">
        <f t="shared" si="48"/>
        <v>37361</v>
      </c>
      <c r="F25" s="28">
        <f t="shared" si="12"/>
        <v>5800</v>
      </c>
      <c r="G25" s="28">
        <f t="shared" si="13"/>
        <v>5763.5895593741661</v>
      </c>
      <c r="H25" s="52">
        <f t="shared" si="14"/>
        <v>3.0121618788005868</v>
      </c>
      <c r="I25" s="52">
        <f t="shared" si="15"/>
        <v>3.2829999999999999</v>
      </c>
      <c r="K25" s="52">
        <f t="shared" si="16"/>
        <v>6.6342330615914484</v>
      </c>
      <c r="L25" s="135">
        <f t="shared" si="17"/>
        <v>0</v>
      </c>
      <c r="N25" s="131">
        <f t="shared" si="18"/>
        <v>0.60058305004387191</v>
      </c>
      <c r="O25" s="131">
        <f t="shared" si="19"/>
        <v>0.60633118013178244</v>
      </c>
      <c r="P25" s="55">
        <f t="shared" si="20"/>
        <v>1.0128061703924034</v>
      </c>
      <c r="Q25" s="135">
        <f>_xll.xSPRDOPT(I25,H25,AQ25,0,O25,N25,P25,D25-$G$5,1,0)*AH25*AU25</f>
        <v>6.6335721167779171</v>
      </c>
      <c r="R25" s="135"/>
      <c r="S25" s="181">
        <f>_xll.xSPRDOPT(I25,H25,AQ25,AT25,O25,N25,P25,D25-$G$5,1,2)*AF25*(F25/(1-AR25))*AH25</f>
        <v>-181512.64079537676</v>
      </c>
      <c r="T25" s="181">
        <f>_xll.xSPRDOPT(I25,H25,AQ25,AT25,O25,N25,P25,D25-$G$5,1,1)*AF25*F25*AH25</f>
        <v>173115.25595352578</v>
      </c>
      <c r="U25" s="135"/>
      <c r="V25" s="146">
        <f t="shared" si="49"/>
        <v>0</v>
      </c>
      <c r="W25" s="146"/>
      <c r="X25" s="338">
        <f t="shared" si="21"/>
        <v>0</v>
      </c>
      <c r="Y25" s="338">
        <f t="shared" si="22"/>
        <v>0</v>
      </c>
      <c r="Z25" s="338">
        <f t="shared" si="23"/>
        <v>0</v>
      </c>
      <c r="AA25" s="338">
        <f t="shared" si="24"/>
        <v>0</v>
      </c>
      <c r="AB25" s="338">
        <f t="shared" si="25"/>
        <v>0</v>
      </c>
      <c r="AC25" s="338">
        <f t="shared" si="26"/>
        <v>6.136766371821226</v>
      </c>
      <c r="AF25" s="138">
        <f t="shared" si="27"/>
        <v>1</v>
      </c>
      <c r="AG25" s="138">
        <f t="shared" si="28"/>
        <v>4</v>
      </c>
      <c r="AH25" s="138">
        <f t="shared" si="29"/>
        <v>30</v>
      </c>
      <c r="AI25" s="138">
        <f t="shared" si="50"/>
        <v>105</v>
      </c>
      <c r="AJ25" s="138">
        <f t="shared" si="30"/>
        <v>122</v>
      </c>
      <c r="AL25" s="136">
        <f t="shared" si="31"/>
        <v>2.8479999999999999</v>
      </c>
      <c r="AM25" s="258">
        <f t="shared" si="32"/>
        <v>1.7500000000000002E-2</v>
      </c>
      <c r="AN25" s="258">
        <f t="shared" si="33"/>
        <v>7.4999999999999997E-3</v>
      </c>
      <c r="AO25" s="258">
        <f t="shared" si="34"/>
        <v>0.41499999999999998</v>
      </c>
      <c r="AP25" s="258">
        <f t="shared" si="35"/>
        <v>0.02</v>
      </c>
      <c r="AQ25" s="136">
        <f t="shared" si="36"/>
        <v>4.8299999999999996E-2</v>
      </c>
      <c r="AR25" s="137">
        <f t="shared" si="37"/>
        <v>4.6199999999999998E-2</v>
      </c>
      <c r="AS25" s="136">
        <f t="shared" si="38"/>
        <v>2.8729999999999998</v>
      </c>
      <c r="AT25" s="137">
        <f t="shared" si="39"/>
        <v>1.9422640119623601E-2</v>
      </c>
      <c r="AU25" s="137">
        <f t="shared" si="40"/>
        <v>0.99372233782313213</v>
      </c>
      <c r="AV25" s="394">
        <f t="shared" si="41"/>
        <v>8377.0793078490042</v>
      </c>
      <c r="AW25" s="137">
        <f t="shared" si="42"/>
        <v>0.61</v>
      </c>
      <c r="AX25" s="137">
        <f t="shared" si="43"/>
        <v>0.53</v>
      </c>
      <c r="AY25" s="137">
        <f t="shared" si="44"/>
        <v>0.57999999999999996</v>
      </c>
      <c r="AZ25" s="137"/>
      <c r="BA25" s="264"/>
      <c r="BB25" s="258">
        <f t="shared" si="45"/>
        <v>0</v>
      </c>
      <c r="BC25" s="258">
        <f t="shared" si="46"/>
        <v>0</v>
      </c>
      <c r="BD25" s="137">
        <f t="shared" si="47"/>
        <v>-2.3143778118694946E-4</v>
      </c>
      <c r="BE25" s="137">
        <f t="shared" si="47"/>
        <v>-8.9747494742220546E-5</v>
      </c>
      <c r="BF25" s="137">
        <f>_xll.xSPRDOPT($BW25,$BV25,$CG25,0,$BY25,$BX25,$BZ25,$AJ25,1,4)*$CB25</f>
        <v>-8.5544792524992141E-2</v>
      </c>
      <c r="BG25" s="137">
        <f>_xll.xSPRDOPT($BW25,$BV25,$CG25,0,$BY25,$BX25,$BZ25,$AJ25,1,3)*$CB25</f>
        <v>-7.7447716867018984E-2</v>
      </c>
      <c r="BH25" s="137">
        <f>IF(OR(BF25&lt;&gt;0,BG25&lt;&gt;0),_xll.xSPRDOPT($BW25,$BV25,$CG25,0,$BY25,$BX25,$BZ25,$AJ25,1,12)*$CB25,0)</f>
        <v>8.1406501830201178E-2</v>
      </c>
      <c r="BI25" s="137">
        <f>_xll.xSPRDOPT($BW25,$BV25,$CG25,2*LN(1+CA25/2),$BY25,$BX25,$BZ25,$AJ25,1,9)</f>
        <v>0</v>
      </c>
      <c r="BJ25" s="137">
        <f>_xll.xSPRDOPT($BW25,$BV25,$CG25,0,$BY25,$BX25,$BZ25,$AJ25,1,6)*$CB25</f>
        <v>0</v>
      </c>
      <c r="BK25" s="137">
        <f>_xll.xSPRDOPT($BW25,$BV25,$CG25,0,$BY25,$BX25,$BZ25,$AJ25,1,5)*$CB25</f>
        <v>0</v>
      </c>
      <c r="BL25" s="137">
        <f>_xll.xSPRDOPT(BW25,BV25,CG25,0,BY25,BX25,BZ25,AJ25,1,2)*CB25</f>
        <v>-0.99502345077890031</v>
      </c>
      <c r="BM25" s="137">
        <f>_xll.xSPRDOPT(BW25,BV25,CG25,0,BY25,BX25,BZ25,AJ25,1,1)*CB25</f>
        <v>0.99494877232406975</v>
      </c>
      <c r="BN25" s="137">
        <f>IF(AH25&lt;&gt;0,_xll.xSPRDOPT($BW25,$BV25,$CG25,2*LN(1+CA25/2),$BY25,$BX25,$BZ25,$AJ25,1,8)+(AJ25/365.25)*CH25/AH25,0)</f>
        <v>0</v>
      </c>
      <c r="BO25" s="137">
        <f>_xll.xSPRDOPT($BW25,$BV25,$CG25,0,$BY25,$BX25,$BZ25,$AJ25,1,0)</f>
        <v>0.22251277202006864</v>
      </c>
      <c r="BP25" s="137"/>
      <c r="BQ25" s="137"/>
      <c r="BR25" s="137"/>
      <c r="BS25" s="137"/>
      <c r="BV25" s="262">
        <v>3.0121618788005868</v>
      </c>
      <c r="BW25" s="136">
        <v>3.2829999999999999</v>
      </c>
      <c r="BX25" s="137">
        <v>0.60081448782505886</v>
      </c>
      <c r="BY25" s="137">
        <v>0.60642092762652466</v>
      </c>
      <c r="BZ25" s="137">
        <v>1.0124860618414568</v>
      </c>
      <c r="CA25" s="137">
        <v>1.9422640119623601E-2</v>
      </c>
      <c r="CB25" s="137">
        <v>0.99356458774998258</v>
      </c>
      <c r="CC25" s="258">
        <v>1.7500000000000002E-2</v>
      </c>
      <c r="CD25" s="258">
        <v>7.4999999999999997E-3</v>
      </c>
      <c r="CE25" s="258">
        <v>0.41499999999999998</v>
      </c>
      <c r="CF25" s="258">
        <v>0.02</v>
      </c>
      <c r="CG25" s="258">
        <v>4.8299999999999996E-2</v>
      </c>
      <c r="CH25" s="258">
        <v>0</v>
      </c>
      <c r="CI25" s="258">
        <v>2.8479999999999999</v>
      </c>
      <c r="CJ25" s="258"/>
      <c r="CK25" s="258"/>
      <c r="CL25" s="258"/>
      <c r="CM25" s="258"/>
    </row>
    <row r="26" spans="1:91" x14ac:dyDescent="0.25">
      <c r="A26" s="723"/>
      <c r="B26" s="723"/>
      <c r="D26" s="31">
        <f t="shared" si="48"/>
        <v>37391</v>
      </c>
      <c r="F26" s="28">
        <f t="shared" si="12"/>
        <v>5800</v>
      </c>
      <c r="G26" s="28">
        <f t="shared" si="13"/>
        <v>0</v>
      </c>
      <c r="H26" s="52">
        <f t="shared" si="14"/>
        <v>3.0624868945271544</v>
      </c>
      <c r="I26" s="52">
        <f t="shared" si="15"/>
        <v>3.3009999999999997</v>
      </c>
      <c r="K26" s="52">
        <f t="shared" si="16"/>
        <v>0</v>
      </c>
      <c r="L26" s="135">
        <f t="shared" si="17"/>
        <v>0</v>
      </c>
      <c r="N26" s="131">
        <f t="shared" si="18"/>
        <v>0.57750000000000001</v>
      </c>
      <c r="O26" s="131">
        <f t="shared" si="19"/>
        <v>0.57750000000000001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49"/>
        <v>0</v>
      </c>
      <c r="W26" s="146"/>
      <c r="X26" s="338">
        <f t="shared" si="21"/>
        <v>0</v>
      </c>
      <c r="Y26" s="338">
        <f t="shared" si="22"/>
        <v>0</v>
      </c>
      <c r="Z26" s="338">
        <f t="shared" si="23"/>
        <v>0</v>
      </c>
      <c r="AA26" s="338">
        <f t="shared" si="24"/>
        <v>0</v>
      </c>
      <c r="AB26" s="338">
        <f t="shared" si="25"/>
        <v>0</v>
      </c>
      <c r="AC26" s="338">
        <f t="shared" si="26"/>
        <v>0</v>
      </c>
      <c r="AF26" s="138">
        <f t="shared" si="27"/>
        <v>0</v>
      </c>
      <c r="AG26" s="138">
        <f t="shared" si="28"/>
        <v>5</v>
      </c>
      <c r="AH26" s="138">
        <f t="shared" si="29"/>
        <v>0</v>
      </c>
      <c r="AI26" s="138">
        <f t="shared" si="50"/>
        <v>135</v>
      </c>
      <c r="AJ26" s="138">
        <f t="shared" si="30"/>
        <v>152</v>
      </c>
      <c r="AL26" s="136">
        <f t="shared" si="31"/>
        <v>2.8959999999999999</v>
      </c>
      <c r="AM26" s="258">
        <f t="shared" si="32"/>
        <v>1.7500000000000002E-2</v>
      </c>
      <c r="AN26" s="258">
        <f t="shared" si="33"/>
        <v>7.4999999999999997E-3</v>
      </c>
      <c r="AO26" s="258">
        <f t="shared" si="34"/>
        <v>0.38500000000000001</v>
      </c>
      <c r="AP26" s="258">
        <f t="shared" si="35"/>
        <v>0.02</v>
      </c>
      <c r="AQ26" s="136">
        <f t="shared" si="36"/>
        <v>4.8299999999999996E-2</v>
      </c>
      <c r="AR26" s="137">
        <f t="shared" si="37"/>
        <v>4.6199999999999998E-2</v>
      </c>
      <c r="AS26" s="136">
        <f t="shared" si="38"/>
        <v>2.9209999999999998</v>
      </c>
      <c r="AT26" s="137">
        <f t="shared" si="39"/>
        <v>1.9712159578257001E-2</v>
      </c>
      <c r="AU26" s="137">
        <f t="shared" si="40"/>
        <v>0</v>
      </c>
      <c r="AV26" s="394">
        <f t="shared" si="41"/>
        <v>0</v>
      </c>
      <c r="AW26" s="137">
        <f t="shared" si="42"/>
        <v>0.57750000000000001</v>
      </c>
      <c r="AX26" s="137">
        <f t="shared" si="43"/>
        <v>0.57999999999999996</v>
      </c>
      <c r="AY26" s="137">
        <f t="shared" si="44"/>
        <v>0.63</v>
      </c>
      <c r="AZ26" s="137"/>
      <c r="BA26" s="264"/>
      <c r="BB26" s="258">
        <f t="shared" si="45"/>
        <v>0</v>
      </c>
      <c r="BC26" s="258">
        <f t="shared" si="46"/>
        <v>0</v>
      </c>
      <c r="BD26" s="137">
        <f t="shared" si="47"/>
        <v>0</v>
      </c>
      <c r="BE26" s="137">
        <f t="shared" si="47"/>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-0.74965432356592232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0.76031133077159585</v>
      </c>
      <c r="BP26" s="137"/>
      <c r="BQ26" s="137"/>
      <c r="BR26" s="137"/>
      <c r="BS26" s="137"/>
      <c r="BV26" s="262">
        <v>3.0624868945271544</v>
      </c>
      <c r="BW26" s="136">
        <v>3.3009999999999997</v>
      </c>
      <c r="BX26" s="137">
        <v>0.57750000000000001</v>
      </c>
      <c r="BY26" s="137">
        <v>0.57750000000000001</v>
      </c>
      <c r="BZ26" s="137">
        <v>0</v>
      </c>
      <c r="CA26" s="137">
        <v>1.9712159578257001E-2</v>
      </c>
      <c r="CB26" s="137">
        <v>0</v>
      </c>
      <c r="CC26" s="258">
        <v>1.7500000000000002E-2</v>
      </c>
      <c r="CD26" s="258">
        <v>7.4999999999999997E-3</v>
      </c>
      <c r="CE26" s="258">
        <v>0.38500000000000001</v>
      </c>
      <c r="CF26" s="258">
        <v>0.02</v>
      </c>
      <c r="CG26" s="258">
        <v>4.8299999999999996E-2</v>
      </c>
      <c r="CH26" s="258">
        <v>0</v>
      </c>
      <c r="CI26" s="258">
        <v>2.8959999999999999</v>
      </c>
      <c r="CJ26" s="258"/>
      <c r="CK26" s="258"/>
      <c r="CL26" s="258"/>
      <c r="CM26" s="258"/>
    </row>
    <row r="27" spans="1:91" x14ac:dyDescent="0.25">
      <c r="A27" s="726"/>
      <c r="B27" s="726"/>
      <c r="C27" s="726"/>
      <c r="D27" s="31">
        <f t="shared" si="48"/>
        <v>37391</v>
      </c>
      <c r="F27" s="28">
        <f t="shared" si="12"/>
        <v>5800</v>
      </c>
      <c r="G27" s="28">
        <f t="shared" si="13"/>
        <v>0</v>
      </c>
      <c r="H27" s="52">
        <f t="shared" si="14"/>
        <v>3.0624868945271544</v>
      </c>
      <c r="I27" s="52">
        <f t="shared" si="15"/>
        <v>3.3009999999999997</v>
      </c>
      <c r="K27" s="52">
        <f t="shared" si="16"/>
        <v>0</v>
      </c>
      <c r="L27" s="135">
        <f t="shared" si="17"/>
        <v>0</v>
      </c>
      <c r="N27" s="131">
        <f t="shared" si="18"/>
        <v>0.57750000000000001</v>
      </c>
      <c r="O27" s="131">
        <f t="shared" si="19"/>
        <v>0.57750000000000001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49"/>
        <v>0</v>
      </c>
      <c r="W27" s="146"/>
      <c r="X27" s="338">
        <f t="shared" si="21"/>
        <v>0</v>
      </c>
      <c r="Y27" s="338">
        <f t="shared" si="22"/>
        <v>0</v>
      </c>
      <c r="Z27" s="338">
        <f t="shared" si="23"/>
        <v>0</v>
      </c>
      <c r="AA27" s="338">
        <f t="shared" si="24"/>
        <v>0</v>
      </c>
      <c r="AB27" s="338">
        <f t="shared" si="25"/>
        <v>0</v>
      </c>
      <c r="AC27" s="338">
        <f t="shared" si="26"/>
        <v>0</v>
      </c>
      <c r="AF27" s="138">
        <f t="shared" si="27"/>
        <v>0</v>
      </c>
      <c r="AG27" s="138">
        <f t="shared" si="28"/>
        <v>5</v>
      </c>
      <c r="AH27" s="138">
        <f t="shared" si="29"/>
        <v>0</v>
      </c>
      <c r="AI27" s="138">
        <f t="shared" si="50"/>
        <v>135</v>
      </c>
      <c r="AJ27" s="138">
        <f t="shared" si="30"/>
        <v>152</v>
      </c>
      <c r="AL27" s="136">
        <f t="shared" si="31"/>
        <v>2.8959999999999999</v>
      </c>
      <c r="AM27" s="258">
        <f t="shared" si="32"/>
        <v>1.7500000000000002E-2</v>
      </c>
      <c r="AN27" s="258">
        <f t="shared" si="33"/>
        <v>7.4999999999999997E-3</v>
      </c>
      <c r="AO27" s="258">
        <f t="shared" si="34"/>
        <v>0.38500000000000001</v>
      </c>
      <c r="AP27" s="258">
        <f t="shared" si="35"/>
        <v>0.02</v>
      </c>
      <c r="AQ27" s="136">
        <f t="shared" si="36"/>
        <v>4.8299999999999996E-2</v>
      </c>
      <c r="AR27" s="137">
        <f t="shared" si="37"/>
        <v>4.6199999999999998E-2</v>
      </c>
      <c r="AS27" s="136">
        <f t="shared" si="38"/>
        <v>2.9209999999999998</v>
      </c>
      <c r="AT27" s="137">
        <f t="shared" si="39"/>
        <v>1.9712159578257001E-2</v>
      </c>
      <c r="AU27" s="137">
        <f t="shared" si="40"/>
        <v>0</v>
      </c>
      <c r="AV27" s="394">
        <f t="shared" si="41"/>
        <v>0</v>
      </c>
      <c r="AW27" s="137">
        <f t="shared" si="42"/>
        <v>0.57750000000000001</v>
      </c>
      <c r="AX27" s="137">
        <f t="shared" si="43"/>
        <v>0.57999999999999996</v>
      </c>
      <c r="AY27" s="137">
        <f t="shared" si="44"/>
        <v>0.63</v>
      </c>
      <c r="AZ27" s="137"/>
      <c r="BA27" s="264"/>
      <c r="BB27" s="258">
        <f t="shared" si="45"/>
        <v>0</v>
      </c>
      <c r="BC27" s="258">
        <f t="shared" si="46"/>
        <v>0</v>
      </c>
      <c r="BD27" s="137">
        <f t="shared" si="47"/>
        <v>0</v>
      </c>
      <c r="BE27" s="137">
        <f t="shared" si="47"/>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-0.74965432356592232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0.76031133077159585</v>
      </c>
      <c r="BP27" s="137"/>
      <c r="BQ27" s="137"/>
      <c r="BR27" s="137"/>
      <c r="BS27" s="137"/>
      <c r="BV27" s="262">
        <v>3.0624868945271544</v>
      </c>
      <c r="BW27" s="136">
        <v>3.3009999999999997</v>
      </c>
      <c r="BX27" s="137">
        <v>0.57750000000000001</v>
      </c>
      <c r="BY27" s="137">
        <v>0.57750000000000001</v>
      </c>
      <c r="BZ27" s="137">
        <v>0</v>
      </c>
      <c r="CA27" s="137">
        <v>1.9712159578257001E-2</v>
      </c>
      <c r="CB27" s="137">
        <v>0</v>
      </c>
      <c r="CC27" s="258">
        <v>1.7500000000000002E-2</v>
      </c>
      <c r="CD27" s="258">
        <v>7.4999999999999997E-3</v>
      </c>
      <c r="CE27" s="258">
        <v>0.38500000000000001</v>
      </c>
      <c r="CF27" s="258">
        <v>0.02</v>
      </c>
      <c r="CG27" s="258">
        <v>4.8299999999999996E-2</v>
      </c>
      <c r="CH27" s="258">
        <v>0</v>
      </c>
      <c r="CI27" s="258">
        <v>2.8959999999999999</v>
      </c>
      <c r="CJ27" s="258"/>
      <c r="CK27" s="258"/>
      <c r="CL27" s="258"/>
      <c r="CM27" s="258"/>
    </row>
    <row r="28" spans="1:91" x14ac:dyDescent="0.25">
      <c r="A28" s="723"/>
      <c r="B28" s="723"/>
      <c r="D28" s="31">
        <f t="shared" si="48"/>
        <v>37391</v>
      </c>
      <c r="F28" s="28">
        <f t="shared" si="12"/>
        <v>5800</v>
      </c>
      <c r="G28" s="28">
        <f t="shared" si="13"/>
        <v>0</v>
      </c>
      <c r="H28" s="52">
        <f t="shared" si="14"/>
        <v>3.0624868945271544</v>
      </c>
      <c r="I28" s="52">
        <f t="shared" si="15"/>
        <v>3.3009999999999997</v>
      </c>
      <c r="K28" s="52">
        <f t="shared" si="16"/>
        <v>0</v>
      </c>
      <c r="L28" s="135">
        <f t="shared" si="17"/>
        <v>0</v>
      </c>
      <c r="N28" s="131">
        <f t="shared" si="18"/>
        <v>0.57750000000000001</v>
      </c>
      <c r="O28" s="131">
        <f t="shared" si="19"/>
        <v>0.57750000000000001</v>
      </c>
      <c r="P28" s="55">
        <f t="shared" si="20"/>
        <v>0</v>
      </c>
      <c r="Q28" s="135">
        <f>_xll.xSPRDOPT(I28,H28,AQ28,0,O28,N28,P28,D28-$G$5,1,0)*AH28*AU28</f>
        <v>0</v>
      </c>
      <c r="R28" s="135"/>
      <c r="S28" s="181">
        <f>_xll.xSPRDOPT(I28,H28,AQ28,AT28,O28,N28,P28,D28-$G$5,1,2)*AF28*(F28/(1-AR28))*AH28</f>
        <v>0</v>
      </c>
      <c r="T28" s="181">
        <f>_xll.xSPRDOPT(I28,H28,AQ28,AT28,O28,N28,P28,D28-$G$5,1,1)*AF28*F28*AH28</f>
        <v>0</v>
      </c>
      <c r="U28" s="135"/>
      <c r="V28" s="146">
        <f t="shared" si="49"/>
        <v>0</v>
      </c>
      <c r="W28" s="146"/>
      <c r="X28" s="338">
        <f t="shared" si="21"/>
        <v>0</v>
      </c>
      <c r="Y28" s="338">
        <f t="shared" si="22"/>
        <v>0</v>
      </c>
      <c r="Z28" s="338">
        <f t="shared" si="23"/>
        <v>0</v>
      </c>
      <c r="AA28" s="338">
        <f t="shared" si="24"/>
        <v>0</v>
      </c>
      <c r="AB28" s="338">
        <f t="shared" si="25"/>
        <v>0</v>
      </c>
      <c r="AC28" s="338">
        <f t="shared" si="26"/>
        <v>0</v>
      </c>
      <c r="AF28" s="138">
        <f t="shared" si="27"/>
        <v>0</v>
      </c>
      <c r="AG28" s="138">
        <f t="shared" si="28"/>
        <v>5</v>
      </c>
      <c r="AH28" s="138">
        <f t="shared" si="29"/>
        <v>0</v>
      </c>
      <c r="AI28" s="138">
        <f t="shared" si="50"/>
        <v>135</v>
      </c>
      <c r="AJ28" s="138">
        <f t="shared" si="30"/>
        <v>152</v>
      </c>
      <c r="AL28" s="136">
        <f t="shared" si="31"/>
        <v>2.8959999999999999</v>
      </c>
      <c r="AM28" s="258">
        <f t="shared" si="32"/>
        <v>1.7500000000000002E-2</v>
      </c>
      <c r="AN28" s="258">
        <f t="shared" si="33"/>
        <v>7.4999999999999997E-3</v>
      </c>
      <c r="AO28" s="258">
        <f t="shared" si="34"/>
        <v>0.38500000000000001</v>
      </c>
      <c r="AP28" s="258">
        <f t="shared" si="35"/>
        <v>0.02</v>
      </c>
      <c r="AQ28" s="136">
        <f t="shared" si="36"/>
        <v>4.8299999999999996E-2</v>
      </c>
      <c r="AR28" s="137">
        <f t="shared" si="37"/>
        <v>4.6199999999999998E-2</v>
      </c>
      <c r="AS28" s="136">
        <f t="shared" si="38"/>
        <v>2.9209999999999998</v>
      </c>
      <c r="AT28" s="137">
        <f t="shared" si="39"/>
        <v>1.9712159578257001E-2</v>
      </c>
      <c r="AU28" s="137">
        <f t="shared" si="40"/>
        <v>0</v>
      </c>
      <c r="AV28" s="394">
        <f t="shared" si="41"/>
        <v>0</v>
      </c>
      <c r="AW28" s="137">
        <f t="shared" si="42"/>
        <v>0.57750000000000001</v>
      </c>
      <c r="AX28" s="137">
        <f t="shared" si="43"/>
        <v>0.57999999999999996</v>
      </c>
      <c r="AY28" s="137">
        <f t="shared" si="44"/>
        <v>0.63</v>
      </c>
      <c r="AZ28" s="137"/>
      <c r="BA28" s="264"/>
      <c r="BB28" s="258">
        <f t="shared" si="45"/>
        <v>0</v>
      </c>
      <c r="BC28" s="258">
        <f t="shared" si="46"/>
        <v>0</v>
      </c>
      <c r="BD28" s="137">
        <f t="shared" si="47"/>
        <v>0</v>
      </c>
      <c r="BE28" s="137">
        <f t="shared" si="47"/>
        <v>0</v>
      </c>
      <c r="BF28" s="137">
        <f>_xll.xSPRDOPT($BW28,$BV28,$CG28,0,$BY28,$BX28,$BZ28,$AJ28,1,4)*$CB28</f>
        <v>0</v>
      </c>
      <c r="BG28" s="137">
        <f>_xll.xSPRDOPT($BW28,$BV28,$CG28,0,$BY28,$BX28,$BZ28,$AJ28,1,3)*$CB28</f>
        <v>0</v>
      </c>
      <c r="BH28" s="137">
        <f>IF(OR(BF28&lt;&gt;0,BG28&lt;&gt;0),_xll.xSPRDOPT($BW28,$BV28,$CG28,0,$BY28,$BX28,$BZ28,$AJ28,1,12)*$CB28,0)</f>
        <v>0</v>
      </c>
      <c r="BI28" s="137">
        <f>_xll.xSPRDOPT($BW28,$BV28,$CG28,2*LN(1+CA28/2),$BY28,$BX28,$BZ28,$AJ28,1,9)</f>
        <v>-0.74965432356592232</v>
      </c>
      <c r="BJ28" s="137">
        <f>_xll.xSPRDOPT($BW28,$BV28,$CG28,0,$BY28,$BX28,$BZ28,$AJ28,1,6)*$CB28</f>
        <v>0</v>
      </c>
      <c r="BK28" s="137">
        <f>_xll.xSPRDOPT($BW28,$BV28,$CG28,0,$BY28,$BX28,$BZ28,$AJ28,1,5)*$CB28</f>
        <v>0</v>
      </c>
      <c r="BL28" s="137">
        <f>_xll.xSPRDOPT(BW28,BV28,CG28,0,BY28,BX28,BZ28,AJ28,1,2)*CB28</f>
        <v>0</v>
      </c>
      <c r="BM28" s="137">
        <f>_xll.xSPRDOPT(BW28,BV28,CG28,0,BY28,BX28,BZ28,AJ28,1,1)*CB28</f>
        <v>0</v>
      </c>
      <c r="BN28" s="137">
        <f>IF(AH28&lt;&gt;0,_xll.xSPRDOPT($BW28,$BV28,$CG28,2*LN(1+CA28/2),$BY28,$BX28,$BZ28,$AJ28,1,8)+(AJ28/365.25)*CH28/AH28,0)</f>
        <v>0</v>
      </c>
      <c r="BO28" s="137">
        <f>_xll.xSPRDOPT($BW28,$BV28,$CG28,0,$BY28,$BX28,$BZ28,$AJ28,1,0)</f>
        <v>0.76031133077159585</v>
      </c>
      <c r="BP28" s="137"/>
      <c r="BQ28" s="137"/>
      <c r="BR28" s="137"/>
      <c r="BS28" s="137"/>
      <c r="BV28" s="262">
        <v>3.0624868945271544</v>
      </c>
      <c r="BW28" s="136">
        <v>3.3009999999999997</v>
      </c>
      <c r="BX28" s="137">
        <v>0.57750000000000001</v>
      </c>
      <c r="BY28" s="137">
        <v>0.57750000000000001</v>
      </c>
      <c r="BZ28" s="137">
        <v>0</v>
      </c>
      <c r="CA28" s="137">
        <v>1.9712159578257001E-2</v>
      </c>
      <c r="CB28" s="137">
        <v>0</v>
      </c>
      <c r="CC28" s="258">
        <v>1.7500000000000002E-2</v>
      </c>
      <c r="CD28" s="258">
        <v>7.4999999999999997E-3</v>
      </c>
      <c r="CE28" s="258">
        <v>0.38500000000000001</v>
      </c>
      <c r="CF28" s="258">
        <v>0.02</v>
      </c>
      <c r="CG28" s="258">
        <v>4.8299999999999996E-2</v>
      </c>
      <c r="CH28" s="258">
        <v>0</v>
      </c>
      <c r="CI28" s="258">
        <v>2.8959999999999999</v>
      </c>
      <c r="CJ28" s="258"/>
      <c r="CK28" s="258"/>
      <c r="CL28" s="258"/>
      <c r="CM28" s="258"/>
    </row>
    <row r="29" spans="1:91" x14ac:dyDescent="0.25">
      <c r="A29" s="723"/>
      <c r="B29" s="723"/>
      <c r="D29" s="31">
        <f t="shared" si="48"/>
        <v>37391</v>
      </c>
      <c r="F29" s="28">
        <f t="shared" si="12"/>
        <v>5800</v>
      </c>
      <c r="G29" s="28">
        <f t="shared" si="13"/>
        <v>0</v>
      </c>
      <c r="H29" s="52">
        <f t="shared" si="14"/>
        <v>3.0624868945271544</v>
      </c>
      <c r="I29" s="52">
        <f t="shared" si="15"/>
        <v>3.3009999999999997</v>
      </c>
      <c r="K29" s="52">
        <f t="shared" si="16"/>
        <v>0</v>
      </c>
      <c r="L29" s="135">
        <f t="shared" si="17"/>
        <v>0</v>
      </c>
      <c r="N29" s="131">
        <f t="shared" si="18"/>
        <v>0.57750000000000001</v>
      </c>
      <c r="O29" s="131">
        <f t="shared" si="19"/>
        <v>0.57750000000000001</v>
      </c>
      <c r="P29" s="55">
        <f t="shared" si="20"/>
        <v>0</v>
      </c>
      <c r="Q29" s="135">
        <f>_xll.xSPRDOPT(I29,H29,AQ29,0,O29,N29,P29,D29-$G$5,1,0)*AH29*AU29</f>
        <v>0</v>
      </c>
      <c r="R29" s="135"/>
      <c r="S29" s="181">
        <f>_xll.xSPRDOPT(I29,H29,AQ29,AT29,O29,N29,P29,D29-$G$5,1,2)*AF29*(F29/(1-AR29))*AH29</f>
        <v>0</v>
      </c>
      <c r="T29" s="181">
        <f>_xll.xSPRDOPT(I29,H29,AQ29,AT29,O29,N29,P29,D29-$G$5,1,1)*AF29*F29*AH29</f>
        <v>0</v>
      </c>
      <c r="U29" s="135"/>
      <c r="V29" s="146">
        <f t="shared" si="49"/>
        <v>0</v>
      </c>
      <c r="W29" s="146"/>
      <c r="X29" s="338">
        <f t="shared" si="21"/>
        <v>0</v>
      </c>
      <c r="Y29" s="338">
        <f t="shared" si="22"/>
        <v>0</v>
      </c>
      <c r="Z29" s="338">
        <f t="shared" si="23"/>
        <v>0</v>
      </c>
      <c r="AA29" s="338">
        <f t="shared" si="24"/>
        <v>0</v>
      </c>
      <c r="AB29" s="338">
        <f t="shared" si="25"/>
        <v>0</v>
      </c>
      <c r="AC29" s="338">
        <f t="shared" si="26"/>
        <v>0</v>
      </c>
      <c r="AF29" s="138">
        <f t="shared" si="27"/>
        <v>0</v>
      </c>
      <c r="AG29" s="138">
        <f t="shared" si="28"/>
        <v>5</v>
      </c>
      <c r="AH29" s="138">
        <f t="shared" si="29"/>
        <v>0</v>
      </c>
      <c r="AI29" s="138">
        <f t="shared" si="50"/>
        <v>135</v>
      </c>
      <c r="AJ29" s="138">
        <f t="shared" si="30"/>
        <v>152</v>
      </c>
      <c r="AL29" s="136">
        <f t="shared" si="31"/>
        <v>2.8959999999999999</v>
      </c>
      <c r="AM29" s="258">
        <f t="shared" si="32"/>
        <v>1.7500000000000002E-2</v>
      </c>
      <c r="AN29" s="258">
        <f t="shared" si="33"/>
        <v>7.4999999999999997E-3</v>
      </c>
      <c r="AO29" s="258">
        <f t="shared" si="34"/>
        <v>0.38500000000000001</v>
      </c>
      <c r="AP29" s="258">
        <f t="shared" si="35"/>
        <v>0.02</v>
      </c>
      <c r="AQ29" s="136">
        <f t="shared" si="36"/>
        <v>4.8299999999999996E-2</v>
      </c>
      <c r="AR29" s="137">
        <f t="shared" si="37"/>
        <v>4.6199999999999998E-2</v>
      </c>
      <c r="AS29" s="136">
        <f t="shared" si="38"/>
        <v>2.9209999999999998</v>
      </c>
      <c r="AT29" s="137">
        <f t="shared" si="39"/>
        <v>1.9712159578257001E-2</v>
      </c>
      <c r="AU29" s="137">
        <f t="shared" si="40"/>
        <v>0</v>
      </c>
      <c r="AV29" s="394">
        <f t="shared" si="41"/>
        <v>0</v>
      </c>
      <c r="AW29" s="137">
        <f t="shared" si="42"/>
        <v>0.57750000000000001</v>
      </c>
      <c r="AX29" s="137">
        <f t="shared" si="43"/>
        <v>0.57999999999999996</v>
      </c>
      <c r="AY29" s="137">
        <f t="shared" si="44"/>
        <v>0.63</v>
      </c>
      <c r="AZ29" s="137"/>
      <c r="BA29" s="264"/>
      <c r="BB29" s="258">
        <f t="shared" si="45"/>
        <v>0</v>
      </c>
      <c r="BC29" s="258">
        <f t="shared" si="46"/>
        <v>0</v>
      </c>
      <c r="BD29" s="137">
        <f t="shared" si="47"/>
        <v>0</v>
      </c>
      <c r="BE29" s="137">
        <f t="shared" si="47"/>
        <v>0</v>
      </c>
      <c r="BF29" s="137">
        <f>_xll.xSPRDOPT($BW29,$BV29,$CG29,0,$BY29,$BX29,$BZ29,$AJ29,1,4)*$CB29</f>
        <v>0</v>
      </c>
      <c r="BG29" s="137">
        <f>_xll.xSPRDOPT($BW29,$BV29,$CG29,0,$BY29,$BX29,$BZ29,$AJ29,1,3)*$CB29</f>
        <v>0</v>
      </c>
      <c r="BH29" s="137">
        <f>IF(OR(BF29&lt;&gt;0,BG29&lt;&gt;0),_xll.xSPRDOPT($BW29,$BV29,$CG29,0,$BY29,$BX29,$BZ29,$AJ29,1,12)*$CB29,0)</f>
        <v>0</v>
      </c>
      <c r="BI29" s="137">
        <f>_xll.xSPRDOPT($BW29,$BV29,$CG29,2*LN(1+CA29/2),$BY29,$BX29,$BZ29,$AJ29,1,9)</f>
        <v>-0.74965432356592232</v>
      </c>
      <c r="BJ29" s="137">
        <f>_xll.xSPRDOPT($BW29,$BV29,$CG29,0,$BY29,$BX29,$BZ29,$AJ29,1,6)*$CB29</f>
        <v>0</v>
      </c>
      <c r="BK29" s="137">
        <f>_xll.xSPRDOPT($BW29,$BV29,$CG29,0,$BY29,$BX29,$BZ29,$AJ29,1,5)*$CB29</f>
        <v>0</v>
      </c>
      <c r="BL29" s="137">
        <f>_xll.xSPRDOPT(BW29,BV29,CG29,0,BY29,BX29,BZ29,AJ29,1,2)*CB29</f>
        <v>0</v>
      </c>
      <c r="BM29" s="137">
        <f>_xll.xSPRDOPT(BW29,BV29,CG29,0,BY29,BX29,BZ29,AJ29,1,1)*CB29</f>
        <v>0</v>
      </c>
      <c r="BN29" s="137">
        <f>IF(AH29&lt;&gt;0,_xll.xSPRDOPT($BW29,$BV29,$CG29,2*LN(1+CA29/2),$BY29,$BX29,$BZ29,$AJ29,1,8)+(AJ29/365.25)*CH29/AH29,0)</f>
        <v>0</v>
      </c>
      <c r="BO29" s="137">
        <f>_xll.xSPRDOPT($BW29,$BV29,$CG29,0,$BY29,$BX29,$BZ29,$AJ29,1,0)</f>
        <v>0.76031133077159585</v>
      </c>
      <c r="BP29" s="137"/>
      <c r="BQ29" s="137"/>
      <c r="BR29" s="137"/>
      <c r="BS29" s="137"/>
      <c r="BV29" s="262">
        <v>3.0624868945271544</v>
      </c>
      <c r="BW29" s="136">
        <v>3.3009999999999997</v>
      </c>
      <c r="BX29" s="137">
        <v>0.57750000000000001</v>
      </c>
      <c r="BY29" s="137">
        <v>0.57750000000000001</v>
      </c>
      <c r="BZ29" s="137">
        <v>0</v>
      </c>
      <c r="CA29" s="137">
        <v>1.9712159578257001E-2</v>
      </c>
      <c r="CB29" s="137">
        <v>0</v>
      </c>
      <c r="CC29" s="258">
        <v>1.7500000000000002E-2</v>
      </c>
      <c r="CD29" s="258">
        <v>7.4999999999999997E-3</v>
      </c>
      <c r="CE29" s="258">
        <v>0.38500000000000001</v>
      </c>
      <c r="CF29" s="258">
        <v>0.02</v>
      </c>
      <c r="CG29" s="258">
        <v>4.8299999999999996E-2</v>
      </c>
      <c r="CH29" s="258">
        <v>0</v>
      </c>
      <c r="CI29" s="258">
        <v>2.8959999999999999</v>
      </c>
      <c r="CJ29" s="258"/>
      <c r="CK29" s="258"/>
      <c r="CL29" s="258"/>
      <c r="CM29" s="258"/>
    </row>
    <row r="30" spans="1:91" x14ac:dyDescent="0.25">
      <c r="A30" s="723"/>
      <c r="B30" s="723"/>
      <c r="D30" s="31">
        <f t="shared" si="48"/>
        <v>37391</v>
      </c>
      <c r="F30" s="28">
        <f t="shared" si="12"/>
        <v>5800</v>
      </c>
      <c r="G30" s="28">
        <f t="shared" si="13"/>
        <v>0</v>
      </c>
      <c r="H30" s="52">
        <f t="shared" si="14"/>
        <v>3.0624868945271544</v>
      </c>
      <c r="I30" s="52">
        <f t="shared" si="15"/>
        <v>3.3009999999999997</v>
      </c>
      <c r="K30" s="52">
        <f t="shared" si="16"/>
        <v>0</v>
      </c>
      <c r="L30" s="135">
        <f t="shared" si="17"/>
        <v>0</v>
      </c>
      <c r="N30" s="131">
        <f t="shared" si="18"/>
        <v>0.57750000000000001</v>
      </c>
      <c r="O30" s="131">
        <f t="shared" si="19"/>
        <v>0.57750000000000001</v>
      </c>
      <c r="P30" s="55">
        <f t="shared" si="20"/>
        <v>0</v>
      </c>
      <c r="Q30" s="135">
        <f>_xll.xSPRDOPT(I30,H30,AQ30,0,O30,N30,P30,D30-$G$5,1,0)*AH30*AU30</f>
        <v>0</v>
      </c>
      <c r="R30" s="135"/>
      <c r="S30" s="181">
        <f>_xll.xSPRDOPT(I30,H30,AQ30,AT30,O30,N30,P30,D30-$G$5,1,2)*AF30*(F30/(1-AR30))*AH30</f>
        <v>0</v>
      </c>
      <c r="T30" s="181">
        <f>_xll.xSPRDOPT(I30,H30,AQ30,AT30,O30,N30,P30,D30-$G$5,1,1)*AF30*F30*AH30</f>
        <v>0</v>
      </c>
      <c r="U30" s="135"/>
      <c r="V30" s="146">
        <f t="shared" si="49"/>
        <v>0</v>
      </c>
      <c r="W30" s="146"/>
      <c r="X30" s="338">
        <f t="shared" si="21"/>
        <v>0</v>
      </c>
      <c r="Y30" s="338">
        <f t="shared" si="22"/>
        <v>0</v>
      </c>
      <c r="Z30" s="338">
        <f t="shared" si="23"/>
        <v>0</v>
      </c>
      <c r="AA30" s="338">
        <f t="shared" si="24"/>
        <v>0</v>
      </c>
      <c r="AB30" s="338">
        <f t="shared" si="25"/>
        <v>0</v>
      </c>
      <c r="AC30" s="338">
        <f t="shared" si="26"/>
        <v>0</v>
      </c>
      <c r="AF30" s="138">
        <f t="shared" si="27"/>
        <v>0</v>
      </c>
      <c r="AG30" s="138">
        <f t="shared" si="28"/>
        <v>5</v>
      </c>
      <c r="AH30" s="138">
        <f t="shared" si="29"/>
        <v>0</v>
      </c>
      <c r="AI30" s="138">
        <f t="shared" si="50"/>
        <v>135</v>
      </c>
      <c r="AJ30" s="138">
        <f t="shared" si="30"/>
        <v>152</v>
      </c>
      <c r="AL30" s="136">
        <f t="shared" si="31"/>
        <v>2.8959999999999999</v>
      </c>
      <c r="AM30" s="258">
        <f t="shared" si="32"/>
        <v>1.7500000000000002E-2</v>
      </c>
      <c r="AN30" s="258">
        <f t="shared" si="33"/>
        <v>7.4999999999999997E-3</v>
      </c>
      <c r="AO30" s="258">
        <f t="shared" si="34"/>
        <v>0.38500000000000001</v>
      </c>
      <c r="AP30" s="258">
        <f t="shared" si="35"/>
        <v>0.02</v>
      </c>
      <c r="AQ30" s="136">
        <f t="shared" si="36"/>
        <v>4.8299999999999996E-2</v>
      </c>
      <c r="AR30" s="137">
        <f t="shared" si="37"/>
        <v>4.6199999999999998E-2</v>
      </c>
      <c r="AS30" s="136">
        <f t="shared" si="38"/>
        <v>2.9209999999999998</v>
      </c>
      <c r="AT30" s="137">
        <f t="shared" si="39"/>
        <v>1.9712159578257001E-2</v>
      </c>
      <c r="AU30" s="137">
        <f t="shared" si="40"/>
        <v>0</v>
      </c>
      <c r="AV30" s="394">
        <f t="shared" si="41"/>
        <v>0</v>
      </c>
      <c r="AW30" s="137">
        <f t="shared" si="42"/>
        <v>0.57750000000000001</v>
      </c>
      <c r="AX30" s="137">
        <f t="shared" si="43"/>
        <v>0.57999999999999996</v>
      </c>
      <c r="AY30" s="137">
        <f t="shared" si="44"/>
        <v>0.63</v>
      </c>
      <c r="AZ30" s="137"/>
      <c r="BA30" s="264"/>
      <c r="BB30" s="258">
        <f t="shared" si="45"/>
        <v>0</v>
      </c>
      <c r="BC30" s="258">
        <f t="shared" si="46"/>
        <v>0</v>
      </c>
      <c r="BD30" s="137">
        <f t="shared" si="47"/>
        <v>0</v>
      </c>
      <c r="BE30" s="137">
        <f t="shared" si="47"/>
        <v>0</v>
      </c>
      <c r="BF30" s="137">
        <f>_xll.xSPRDOPT($BW30,$BV30,$CG30,0,$BY30,$BX30,$BZ30,$AJ30,1,4)*$CB30</f>
        <v>0</v>
      </c>
      <c r="BG30" s="137">
        <f>_xll.xSPRDOPT($BW30,$BV30,$CG30,0,$BY30,$BX30,$BZ30,$AJ30,1,3)*$CB30</f>
        <v>0</v>
      </c>
      <c r="BH30" s="137">
        <f>IF(OR(BF30&lt;&gt;0,BG30&lt;&gt;0),_xll.xSPRDOPT($BW30,$BV30,$CG30,0,$BY30,$BX30,$BZ30,$AJ30,1,12)*$CB30,0)</f>
        <v>0</v>
      </c>
      <c r="BI30" s="137">
        <f>_xll.xSPRDOPT($BW30,$BV30,$CG30,2*LN(1+CA30/2),$BY30,$BX30,$BZ30,$AJ30,1,9)</f>
        <v>-0.74965432356592232</v>
      </c>
      <c r="BJ30" s="137">
        <f>_xll.xSPRDOPT($BW30,$BV30,$CG30,0,$BY30,$BX30,$BZ30,$AJ30,1,6)*$CB30</f>
        <v>0</v>
      </c>
      <c r="BK30" s="137">
        <f>_xll.xSPRDOPT($BW30,$BV30,$CG30,0,$BY30,$BX30,$BZ30,$AJ30,1,5)*$CB30</f>
        <v>0</v>
      </c>
      <c r="BL30" s="137">
        <f>_xll.xSPRDOPT(BW30,BV30,CG30,0,BY30,BX30,BZ30,AJ30,1,2)*CB30</f>
        <v>0</v>
      </c>
      <c r="BM30" s="137">
        <f>_xll.xSPRDOPT(BW30,BV30,CG30,0,BY30,BX30,BZ30,AJ30,1,1)*CB30</f>
        <v>0</v>
      </c>
      <c r="BN30" s="137">
        <f>IF(AH30&lt;&gt;0,_xll.xSPRDOPT($BW30,$BV30,$CG30,2*LN(1+CA30/2),$BY30,$BX30,$BZ30,$AJ30,1,8)+(AJ30/365.25)*CH30/AH30,0)</f>
        <v>0</v>
      </c>
      <c r="BO30" s="137">
        <f>_xll.xSPRDOPT($BW30,$BV30,$CG30,0,$BY30,$BX30,$BZ30,$AJ30,1,0)</f>
        <v>0.76031133077159585</v>
      </c>
      <c r="BP30" s="137"/>
      <c r="BQ30" s="137"/>
      <c r="BR30" s="137"/>
      <c r="BS30" s="137"/>
      <c r="BV30" s="262">
        <v>3.0624868945271544</v>
      </c>
      <c r="BW30" s="136">
        <v>3.3009999999999997</v>
      </c>
      <c r="BX30" s="137">
        <v>0.57750000000000001</v>
      </c>
      <c r="BY30" s="137">
        <v>0.57750000000000001</v>
      </c>
      <c r="BZ30" s="137">
        <v>0</v>
      </c>
      <c r="CA30" s="137">
        <v>1.9712159578257001E-2</v>
      </c>
      <c r="CB30" s="137">
        <v>0</v>
      </c>
      <c r="CC30" s="258">
        <v>1.7500000000000002E-2</v>
      </c>
      <c r="CD30" s="258">
        <v>7.4999999999999997E-3</v>
      </c>
      <c r="CE30" s="258">
        <v>0.38500000000000001</v>
      </c>
      <c r="CF30" s="258">
        <v>0.02</v>
      </c>
      <c r="CG30" s="258">
        <v>4.8299999999999996E-2</v>
      </c>
      <c r="CH30" s="258">
        <v>0</v>
      </c>
      <c r="CI30" s="258">
        <v>2.8959999999999999</v>
      </c>
      <c r="CJ30" s="258"/>
      <c r="CK30" s="258"/>
      <c r="CL30" s="258"/>
      <c r="CM30" s="258"/>
    </row>
    <row r="31" spans="1:91" x14ac:dyDescent="0.25">
      <c r="A31" s="723"/>
      <c r="B31" s="723"/>
      <c r="D31" s="31">
        <f t="shared" si="48"/>
        <v>37391</v>
      </c>
      <c r="F31" s="28">
        <f t="shared" si="12"/>
        <v>5800</v>
      </c>
      <c r="G31" s="28">
        <f t="shared" si="13"/>
        <v>0</v>
      </c>
      <c r="H31" s="52">
        <f t="shared" si="14"/>
        <v>3.0624868945271544</v>
      </c>
      <c r="I31" s="52">
        <f t="shared" si="15"/>
        <v>3.3009999999999997</v>
      </c>
      <c r="K31" s="52">
        <f t="shared" si="16"/>
        <v>0</v>
      </c>
      <c r="L31" s="135">
        <f t="shared" si="17"/>
        <v>0</v>
      </c>
      <c r="N31" s="131">
        <f t="shared" si="18"/>
        <v>0.57750000000000001</v>
      </c>
      <c r="O31" s="131">
        <f t="shared" si="19"/>
        <v>0.57750000000000001</v>
      </c>
      <c r="P31" s="55">
        <f t="shared" si="20"/>
        <v>0</v>
      </c>
      <c r="Q31" s="135">
        <f>_xll.xSPRDOPT(I31,H31,AQ31,0,O31,N31,P31,D31-$G$5,1,0)*AH31*AU31</f>
        <v>0</v>
      </c>
      <c r="R31" s="135"/>
      <c r="S31" s="181">
        <f>_xll.xSPRDOPT(I31,H31,AQ31,AT31,O31,N31,P31,D31-$G$5,1,2)*AF31*(F31/(1-AR31))*AH31</f>
        <v>0</v>
      </c>
      <c r="T31" s="181">
        <f>_xll.xSPRDOPT(I31,H31,AQ31,AT31,O31,N31,P31,D31-$G$5,1,1)*AF31*F31*AH31</f>
        <v>0</v>
      </c>
      <c r="U31" s="135"/>
      <c r="V31" s="146">
        <f t="shared" si="49"/>
        <v>0</v>
      </c>
      <c r="W31" s="146"/>
      <c r="X31" s="338">
        <f t="shared" si="21"/>
        <v>0</v>
      </c>
      <c r="Y31" s="338">
        <f t="shared" si="22"/>
        <v>0</v>
      </c>
      <c r="Z31" s="338">
        <f t="shared" si="23"/>
        <v>0</v>
      </c>
      <c r="AA31" s="338">
        <f t="shared" si="24"/>
        <v>0</v>
      </c>
      <c r="AB31" s="338">
        <f t="shared" si="25"/>
        <v>0</v>
      </c>
      <c r="AC31" s="338">
        <f t="shared" si="26"/>
        <v>0</v>
      </c>
      <c r="AF31" s="138">
        <f t="shared" si="27"/>
        <v>0</v>
      </c>
      <c r="AG31" s="138">
        <f t="shared" si="28"/>
        <v>5</v>
      </c>
      <c r="AH31" s="138">
        <f t="shared" si="29"/>
        <v>0</v>
      </c>
      <c r="AI31" s="138">
        <f t="shared" si="50"/>
        <v>135</v>
      </c>
      <c r="AJ31" s="138">
        <f t="shared" si="30"/>
        <v>152</v>
      </c>
      <c r="AL31" s="136">
        <f t="shared" si="31"/>
        <v>2.8959999999999999</v>
      </c>
      <c r="AM31" s="258">
        <f t="shared" si="32"/>
        <v>1.7500000000000002E-2</v>
      </c>
      <c r="AN31" s="258">
        <f t="shared" si="33"/>
        <v>7.4999999999999997E-3</v>
      </c>
      <c r="AO31" s="258">
        <f t="shared" si="34"/>
        <v>0.38500000000000001</v>
      </c>
      <c r="AP31" s="258">
        <f t="shared" si="35"/>
        <v>0.02</v>
      </c>
      <c r="AQ31" s="136">
        <f t="shared" si="36"/>
        <v>4.8299999999999996E-2</v>
      </c>
      <c r="AR31" s="137">
        <f t="shared" si="37"/>
        <v>4.6199999999999998E-2</v>
      </c>
      <c r="AS31" s="136">
        <f t="shared" si="38"/>
        <v>2.9209999999999998</v>
      </c>
      <c r="AT31" s="137">
        <f t="shared" si="39"/>
        <v>1.9712159578257001E-2</v>
      </c>
      <c r="AU31" s="137">
        <f t="shared" si="40"/>
        <v>0</v>
      </c>
      <c r="AV31" s="394">
        <f t="shared" si="41"/>
        <v>0</v>
      </c>
      <c r="AW31" s="137">
        <f t="shared" si="42"/>
        <v>0.57750000000000001</v>
      </c>
      <c r="AX31" s="137">
        <f t="shared" si="43"/>
        <v>0.57999999999999996</v>
      </c>
      <c r="AY31" s="137">
        <f t="shared" si="44"/>
        <v>0.63</v>
      </c>
      <c r="AZ31" s="137"/>
      <c r="BA31" s="264"/>
      <c r="BB31" s="258">
        <f t="shared" si="45"/>
        <v>0</v>
      </c>
      <c r="BC31" s="258">
        <f t="shared" si="46"/>
        <v>0</v>
      </c>
      <c r="BD31" s="137">
        <f t="shared" si="47"/>
        <v>0</v>
      </c>
      <c r="BE31" s="137">
        <f t="shared" si="47"/>
        <v>0</v>
      </c>
      <c r="BF31" s="137">
        <f>_xll.xSPRDOPT($BW31,$BV31,$CG31,0,$BY31,$BX31,$BZ31,$AJ31,1,4)*$CB31</f>
        <v>0</v>
      </c>
      <c r="BG31" s="137">
        <f>_xll.xSPRDOPT($BW31,$BV31,$CG31,0,$BY31,$BX31,$BZ31,$AJ31,1,3)*$CB31</f>
        <v>0</v>
      </c>
      <c r="BH31" s="137">
        <f>IF(OR(BF31&lt;&gt;0,BG31&lt;&gt;0),_xll.xSPRDOPT($BW31,$BV31,$CG31,0,$BY31,$BX31,$BZ31,$AJ31,1,12)*$CB31,0)</f>
        <v>0</v>
      </c>
      <c r="BI31" s="137">
        <f>_xll.xSPRDOPT($BW31,$BV31,$CG31,2*LN(1+CA31/2),$BY31,$BX31,$BZ31,$AJ31,1,9)</f>
        <v>-0.74965432356592232</v>
      </c>
      <c r="BJ31" s="137">
        <f>_xll.xSPRDOPT($BW31,$BV31,$CG31,0,$BY31,$BX31,$BZ31,$AJ31,1,6)*$CB31</f>
        <v>0</v>
      </c>
      <c r="BK31" s="137">
        <f>_xll.xSPRDOPT($BW31,$BV31,$CG31,0,$BY31,$BX31,$BZ31,$AJ31,1,5)*$CB31</f>
        <v>0</v>
      </c>
      <c r="BL31" s="137">
        <f>_xll.xSPRDOPT(BW31,BV31,CG31,0,BY31,BX31,BZ31,AJ31,1,2)*CB31</f>
        <v>0</v>
      </c>
      <c r="BM31" s="137">
        <f>_xll.xSPRDOPT(BW31,BV31,CG31,0,BY31,BX31,BZ31,AJ31,1,1)*CB31</f>
        <v>0</v>
      </c>
      <c r="BN31" s="137">
        <f>IF(AH31&lt;&gt;0,_xll.xSPRDOPT($BW31,$BV31,$CG31,2*LN(1+CA31/2),$BY31,$BX31,$BZ31,$AJ31,1,8)+(AJ31/365.25)*CH31/AH31,0)</f>
        <v>0</v>
      </c>
      <c r="BO31" s="137">
        <f>_xll.xSPRDOPT($BW31,$BV31,$CG31,0,$BY31,$BX31,$BZ31,$AJ31,1,0)</f>
        <v>0.76031133077159585</v>
      </c>
      <c r="BP31" s="137"/>
      <c r="BQ31" s="137"/>
      <c r="BR31" s="137"/>
      <c r="BS31" s="137"/>
      <c r="BV31" s="262">
        <v>3.0624868945271544</v>
      </c>
      <c r="BW31" s="136">
        <v>3.3009999999999997</v>
      </c>
      <c r="BX31" s="137">
        <v>0.57750000000000001</v>
      </c>
      <c r="BY31" s="137">
        <v>0.57750000000000001</v>
      </c>
      <c r="BZ31" s="137">
        <v>0</v>
      </c>
      <c r="CA31" s="137">
        <v>1.9712159578257001E-2</v>
      </c>
      <c r="CB31" s="137">
        <v>0</v>
      </c>
      <c r="CC31" s="258">
        <v>1.7500000000000002E-2</v>
      </c>
      <c r="CD31" s="258">
        <v>7.4999999999999997E-3</v>
      </c>
      <c r="CE31" s="258">
        <v>0.38500000000000001</v>
      </c>
      <c r="CF31" s="258">
        <v>0.02</v>
      </c>
      <c r="CG31" s="258">
        <v>4.8299999999999996E-2</v>
      </c>
      <c r="CH31" s="258">
        <v>0</v>
      </c>
      <c r="CI31" s="258">
        <v>2.8959999999999999</v>
      </c>
      <c r="CJ31" s="258"/>
      <c r="CK31" s="258"/>
      <c r="CL31" s="258"/>
      <c r="CM31" s="258"/>
    </row>
    <row r="32" spans="1:91" x14ac:dyDescent="0.25">
      <c r="A32" s="723"/>
      <c r="B32" s="723"/>
      <c r="D32" s="31">
        <f t="shared" si="48"/>
        <v>37391</v>
      </c>
      <c r="F32" s="28">
        <f t="shared" si="12"/>
        <v>5800</v>
      </c>
      <c r="G32" s="28">
        <f t="shared" si="13"/>
        <v>0</v>
      </c>
      <c r="H32" s="52">
        <f t="shared" si="14"/>
        <v>3.0624868945271544</v>
      </c>
      <c r="I32" s="52">
        <f t="shared" si="15"/>
        <v>3.3009999999999997</v>
      </c>
      <c r="K32" s="52">
        <f t="shared" si="16"/>
        <v>0</v>
      </c>
      <c r="L32" s="135">
        <f t="shared" si="17"/>
        <v>0</v>
      </c>
      <c r="N32" s="131">
        <f t="shared" si="18"/>
        <v>0.57750000000000001</v>
      </c>
      <c r="O32" s="131">
        <f t="shared" si="19"/>
        <v>0.57750000000000001</v>
      </c>
      <c r="P32" s="55">
        <f t="shared" si="20"/>
        <v>0</v>
      </c>
      <c r="Q32" s="135">
        <f>_xll.xSPRDOPT(I32,H32,AQ32,0,O32,N32,P32,D32-$G$5,1,0)*AH32*AU32</f>
        <v>0</v>
      </c>
      <c r="R32" s="135"/>
      <c r="S32" s="181">
        <f>_xll.xSPRDOPT(I32,H32,AQ32,AT32,O32,N32,P32,D32-$G$5,1,2)*AF32*(F32/(1-AR32))*AH32</f>
        <v>0</v>
      </c>
      <c r="T32" s="181">
        <f>_xll.xSPRDOPT(I32,H32,AQ32,AT32,O32,N32,P32,D32-$G$5,1,1)*AF32*F32*AH32</f>
        <v>0</v>
      </c>
      <c r="U32" s="135"/>
      <c r="V32" s="146">
        <f t="shared" si="49"/>
        <v>0</v>
      </c>
      <c r="W32" s="146"/>
      <c r="X32" s="338">
        <f t="shared" si="21"/>
        <v>0</v>
      </c>
      <c r="Y32" s="338">
        <f t="shared" si="22"/>
        <v>0</v>
      </c>
      <c r="Z32" s="338">
        <f t="shared" si="23"/>
        <v>0</v>
      </c>
      <c r="AA32" s="338">
        <f t="shared" si="24"/>
        <v>0</v>
      </c>
      <c r="AB32" s="338">
        <f t="shared" si="25"/>
        <v>0</v>
      </c>
      <c r="AC32" s="338">
        <f t="shared" si="26"/>
        <v>0</v>
      </c>
      <c r="AF32" s="138">
        <f t="shared" si="27"/>
        <v>0</v>
      </c>
      <c r="AG32" s="138">
        <f t="shared" si="28"/>
        <v>5</v>
      </c>
      <c r="AH32" s="138">
        <f t="shared" si="29"/>
        <v>0</v>
      </c>
      <c r="AI32" s="138">
        <f t="shared" si="50"/>
        <v>135</v>
      </c>
      <c r="AJ32" s="138">
        <f t="shared" si="30"/>
        <v>152</v>
      </c>
      <c r="AL32" s="136">
        <f t="shared" si="31"/>
        <v>2.8959999999999999</v>
      </c>
      <c r="AM32" s="258">
        <f t="shared" si="32"/>
        <v>1.7500000000000002E-2</v>
      </c>
      <c r="AN32" s="258">
        <f t="shared" si="33"/>
        <v>7.4999999999999997E-3</v>
      </c>
      <c r="AO32" s="258">
        <f t="shared" si="34"/>
        <v>0.38500000000000001</v>
      </c>
      <c r="AP32" s="258">
        <f t="shared" si="35"/>
        <v>0.02</v>
      </c>
      <c r="AQ32" s="136">
        <f t="shared" si="36"/>
        <v>4.8299999999999996E-2</v>
      </c>
      <c r="AR32" s="137">
        <f t="shared" si="37"/>
        <v>4.6199999999999998E-2</v>
      </c>
      <c r="AS32" s="136">
        <f t="shared" si="38"/>
        <v>2.9209999999999998</v>
      </c>
      <c r="AT32" s="137">
        <f t="shared" si="39"/>
        <v>1.9712159578257001E-2</v>
      </c>
      <c r="AU32" s="137">
        <f t="shared" si="40"/>
        <v>0</v>
      </c>
      <c r="AV32" s="394">
        <f t="shared" si="41"/>
        <v>0</v>
      </c>
      <c r="AW32" s="137">
        <f t="shared" si="42"/>
        <v>0.57750000000000001</v>
      </c>
      <c r="AX32" s="137">
        <f t="shared" si="43"/>
        <v>0.57999999999999996</v>
      </c>
      <c r="AY32" s="137">
        <f t="shared" si="44"/>
        <v>0.63</v>
      </c>
      <c r="AZ32" s="137"/>
      <c r="BA32" s="264"/>
      <c r="BB32" s="258">
        <f t="shared" si="45"/>
        <v>0</v>
      </c>
      <c r="BC32" s="258">
        <f t="shared" si="46"/>
        <v>0</v>
      </c>
      <c r="BD32" s="137">
        <f t="shared" si="47"/>
        <v>0</v>
      </c>
      <c r="BE32" s="137">
        <f t="shared" si="47"/>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-0.74965432356592232</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0.76031133077159585</v>
      </c>
      <c r="BP32" s="137"/>
      <c r="BQ32" s="137"/>
      <c r="BR32" s="137"/>
      <c r="BS32" s="137"/>
      <c r="BV32" s="262">
        <v>3.0624868945271544</v>
      </c>
      <c r="BW32" s="136">
        <v>3.3009999999999997</v>
      </c>
      <c r="BX32" s="137">
        <v>0.57750000000000001</v>
      </c>
      <c r="BY32" s="137">
        <v>0.57750000000000001</v>
      </c>
      <c r="BZ32" s="137">
        <v>0</v>
      </c>
      <c r="CA32" s="137">
        <v>1.9712159578257001E-2</v>
      </c>
      <c r="CB32" s="137">
        <v>0</v>
      </c>
      <c r="CC32" s="258">
        <v>1.7500000000000002E-2</v>
      </c>
      <c r="CD32" s="258">
        <v>7.4999999999999997E-3</v>
      </c>
      <c r="CE32" s="258">
        <v>0.38500000000000001</v>
      </c>
      <c r="CF32" s="258">
        <v>0.02</v>
      </c>
      <c r="CG32" s="258">
        <v>4.8299999999999996E-2</v>
      </c>
      <c r="CH32" s="258">
        <v>0</v>
      </c>
      <c r="CI32" s="258">
        <v>2.8959999999999999</v>
      </c>
      <c r="CJ32" s="258"/>
      <c r="CK32" s="258"/>
      <c r="CL32" s="258"/>
      <c r="CM32" s="258"/>
    </row>
    <row r="33" spans="1:2" x14ac:dyDescent="0.25">
      <c r="A33" s="723"/>
      <c r="B33" s="723"/>
    </row>
  </sheetData>
  <sheetCalcPr fullCalcOnLoad="1"/>
  <mergeCells count="38">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27:C27"/>
    <mergeCell ref="AM20:AN20"/>
    <mergeCell ref="AO20:AP20"/>
    <mergeCell ref="A22:B22"/>
    <mergeCell ref="A23:B23"/>
    <mergeCell ref="A32:B32"/>
    <mergeCell ref="A33:B33"/>
    <mergeCell ref="A28:B28"/>
    <mergeCell ref="A29:B29"/>
    <mergeCell ref="A30:B30"/>
    <mergeCell ref="A31:B31"/>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71009"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71010"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3"/>
  <dimension ref="A1:CX27"/>
  <sheetViews>
    <sheetView zoomScale="80" workbookViewId="0">
      <selection activeCell="CI21" sqref="CI21:CI27"/>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LongTerm100</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100</v>
      </c>
      <c r="F2" s="178" t="str">
        <f>GetRcptPoint($AH$12,$AH$13)</f>
        <v>Tetco/ETX</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$F$27</v>
      </c>
      <c r="AX2" s="339" t="str">
        <f>ADDRESS(ROW($G$22),COLUMN($G$22))</f>
        <v>$G$22</v>
      </c>
      <c r="AY2" s="138" t="str">
        <f ca="1">GetEnd($AV$1,AX2)</f>
        <v>$G$27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$AF$27</v>
      </c>
      <c r="AX3" s="339" t="str">
        <f>ADDRESS(ROW($AH$22),COLUMN($AH$22))</f>
        <v>$AH$22</v>
      </c>
      <c r="AY3" s="138" t="str">
        <f ca="1">GetEnd($AV$1,AX3)</f>
        <v>$AH$27</v>
      </c>
    </row>
    <row r="4" spans="1:102" x14ac:dyDescent="0.25">
      <c r="A4" s="269" t="str">
        <f>ADDRESS(ROW($S$22),COLUMN($S$22))</f>
        <v>$S$22</v>
      </c>
      <c r="L4" s="721" t="s">
        <v>201</v>
      </c>
      <c r="M4" s="722"/>
      <c r="N4" s="352">
        <f ca="1">SUMPRODUCT(INDIRECT(CONCATENATE(AV4,":",AW4)),INDIRECT(CONCATENATE($AV$2,":",$AW$2)),INDIRECT(CONCATENATE($AV$3,":",$AW$3)))</f>
        <v>6349.2231982123585</v>
      </c>
      <c r="O4" s="352">
        <v>6465.42</v>
      </c>
      <c r="P4" s="354">
        <f ca="1">N4-O4</f>
        <v>-116.19680178764156</v>
      </c>
      <c r="S4" s="427" t="s">
        <v>635</v>
      </c>
      <c r="T4" s="422">
        <f ca="1">SUMPRODUCT(INDIRECT(CONCATENATE(V4,":",W4)),INDIRECT(CONCATENATE(AV2,":",AW2)),INDIRECT(CONCATENATE(AV3,":",AW3)))</f>
        <v>4808.6814104789537</v>
      </c>
      <c r="V4" s="30" t="str">
        <f>ADDRESS(ROW(K22),COLUMN(K22))</f>
        <v>$K$22</v>
      </c>
      <c r="W4" s="30" t="str">
        <f ca="1">GetEnd($AV$1,V4)</f>
        <v>$K$27</v>
      </c>
      <c r="AF4" s="28"/>
      <c r="AG4" s="103" t="s">
        <v>32</v>
      </c>
      <c r="AH4" s="104">
        <f>GetRcptIndexCol($AH$12,$AH$13)</f>
        <v>113</v>
      </c>
      <c r="AI4" s="29"/>
      <c r="AJ4" s="103" t="s">
        <v>72</v>
      </c>
      <c r="AK4" s="104">
        <f>GetNymexCol(AK3)</f>
        <v>3</v>
      </c>
      <c r="AL4" s="34">
        <v>1</v>
      </c>
      <c r="AM4" s="45">
        <f t="shared" ref="AM4:AM15" si="0">GetVolume($AH$12,$AH$13,AT4)</f>
        <v>1074</v>
      </c>
      <c r="AN4" s="46">
        <f t="shared" ref="AN4:AN15" si="1">GetCommodity($AH$12,$AH$13,AT4)</f>
        <v>7.5700000000000003E-2</v>
      </c>
      <c r="AO4" s="47">
        <f t="shared" ref="AO4:AO15" si="2">GetFuelRate($AH$12,$AH$13,AT4)</f>
        <v>7.0699999999999999E-2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$Q$27</v>
      </c>
      <c r="AX4" s="339" t="str">
        <f>ADDRESS(ROW($K$22),COLUMN($K$22))</f>
        <v>$K$22</v>
      </c>
      <c r="AY4" s="138" t="str">
        <f ca="1">GetEnd($AV$1,AX4)</f>
        <v>$K$27</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1540.5417877334039</v>
      </c>
      <c r="V5" s="30" t="str">
        <f>ADDRESS(ROW(L22),COLUMN(L22))</f>
        <v>$L$22</v>
      </c>
      <c r="W5" s="30" t="str">
        <f ca="1">GetEnd($AV$1,V5)</f>
        <v>$L$27</v>
      </c>
      <c r="AF5" s="28"/>
      <c r="AG5" s="103" t="s">
        <v>33</v>
      </c>
      <c r="AH5" s="104">
        <f>GetDelBasisCol($AH$12,$AH$13)</f>
        <v>98</v>
      </c>
      <c r="AI5" s="29"/>
      <c r="AJ5" s="103" t="s">
        <v>77</v>
      </c>
      <c r="AK5" s="104" t="str">
        <f>LiborCurve</f>
        <v>Libor AA</v>
      </c>
      <c r="AL5" s="34">
        <v>2</v>
      </c>
      <c r="AM5" s="37">
        <f t="shared" si="0"/>
        <v>1074</v>
      </c>
      <c r="AN5" s="38">
        <f t="shared" si="1"/>
        <v>7.5700000000000003E-2</v>
      </c>
      <c r="AO5" s="39">
        <f t="shared" si="2"/>
        <v>7.0699999999999999E-2</v>
      </c>
      <c r="AP5" s="38">
        <f t="shared" si="3"/>
        <v>0</v>
      </c>
      <c r="AQ5" s="38">
        <f t="shared" si="4"/>
        <v>0</v>
      </c>
      <c r="AR5" s="133">
        <f t="shared" si="5"/>
        <v>0</v>
      </c>
      <c r="AS5" s="40">
        <f t="shared" si="6"/>
        <v>0</v>
      </c>
      <c r="AT5" s="35">
        <f t="shared" si="7"/>
        <v>2</v>
      </c>
      <c r="AV5" s="339" t="str">
        <f>ADDRESS(ROW($V$22),COLUMN($V$22))</f>
        <v>$V$22</v>
      </c>
      <c r="AW5" s="138" t="str">
        <f ca="1">GetEnd($AV$1,AV5)</f>
        <v>$V$27</v>
      </c>
      <c r="AX5" s="339" t="str">
        <f>ADDRESS(ROW($L$22),COLUMN($L$22))</f>
        <v>$L$22</v>
      </c>
      <c r="AY5" s="138" t="str">
        <f ca="1">GetEnd($AV$1,AX5)</f>
        <v>$L$27</v>
      </c>
      <c r="BV5" s="266">
        <f>O2</f>
        <v>37239</v>
      </c>
    </row>
    <row r="6" spans="1:102" x14ac:dyDescent="0.25">
      <c r="A6" s="269" t="str">
        <f>ADDRESS(ROW($BW$2),COLUMN($BW$2))</f>
        <v>$BW$2</v>
      </c>
      <c r="F6" s="187"/>
      <c r="G6" s="187"/>
      <c r="L6" s="704" t="s">
        <v>149</v>
      </c>
      <c r="M6" s="705"/>
      <c r="N6" s="356">
        <f ca="1">N4-N5</f>
        <v>6349.2231982123585</v>
      </c>
      <c r="O6" s="357">
        <v>6465.42</v>
      </c>
      <c r="P6" s="358">
        <f ca="1">N6-O6</f>
        <v>-116.19680178764156</v>
      </c>
      <c r="S6" s="428" t="s">
        <v>637</v>
      </c>
      <c r="T6" s="424">
        <f ca="1">SUMPRODUCT(INDIRECT(CONCATENATE(V6,":",W6)),INDIRECT(CONCATENATE(AV3,":",AW3)),INDIRECT(CONCATENATE(AX3,":",AY3)))</f>
        <v>96362.292867273383</v>
      </c>
      <c r="V6" s="30" t="str">
        <f>ADDRESS(ROW(G22),COLUMN(G22))</f>
        <v>$G$22</v>
      </c>
      <c r="W6" s="30" t="str">
        <f ca="1">GetEnd($AV$1,V6)</f>
        <v>$G$27</v>
      </c>
      <c r="AF6" s="28"/>
      <c r="AG6" s="103" t="s">
        <v>34</v>
      </c>
      <c r="AH6" s="104">
        <f>GetDelIndexCol($AH$12,$AH$13)</f>
        <v>99</v>
      </c>
      <c r="AI6" s="29"/>
      <c r="AJ6" s="103" t="s">
        <v>79</v>
      </c>
      <c r="AK6" s="104">
        <f>GetLiborCol(AK5)</f>
        <v>4</v>
      </c>
      <c r="AL6" s="34">
        <v>3</v>
      </c>
      <c r="AM6" s="37">
        <f t="shared" si="0"/>
        <v>1074</v>
      </c>
      <c r="AN6" s="38">
        <f t="shared" si="1"/>
        <v>7.5700000000000003E-2</v>
      </c>
      <c r="AO6" s="39">
        <f t="shared" si="2"/>
        <v>7.0699999999999999E-2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627.6</v>
      </c>
      <c r="P7" s="355">
        <f ca="1">N7</f>
        <v>0</v>
      </c>
      <c r="S7" s="428" t="s">
        <v>638</v>
      </c>
      <c r="T7" s="425">
        <f ca="1">T5/T6</f>
        <v>1.5986977290539373E-2</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$AL$27</v>
      </c>
      <c r="AX7" s="339" t="str">
        <f>ADDRESS(ROW($AV$22),COLUMN($AV$22))</f>
        <v>$AV$22</v>
      </c>
      <c r="AY7" s="138" t="str">
        <f t="shared" ref="AY7:AY13" ca="1" si="9">GetEnd($AV$1,AX7)</f>
        <v>$AV$27</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0.99682878519862361</v>
      </c>
      <c r="V8" s="30" t="str">
        <f>ADDRESS(ROW(P22),COLUMN(P22))</f>
        <v>$P$22</v>
      </c>
      <c r="W8" s="30" t="str">
        <f ca="1">GetEnd($AV$1,V8)</f>
        <v>$P$27</v>
      </c>
      <c r="Y8" s="334">
        <f ca="1">SUMIF(INDIRECT(CONCATENATE(V8,":",W8)),"&gt;0",INDIRECT(CONCATENATE(V8,":",W8)))</f>
        <v>2.9904863555958707</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$AM$27</v>
      </c>
      <c r="AX8" s="339" t="str">
        <f>ADDRESS(ROW($AO$22),COLUMN($AO$22))</f>
        <v>$AO$22</v>
      </c>
      <c r="AY8" s="138" t="str">
        <f t="shared" ca="1" si="9"/>
        <v>$AO$27</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27</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$AN$27</v>
      </c>
      <c r="AX9" s="339" t="str">
        <f>ADDRESS(ROW($AP$22),COLUMN($AP$22))</f>
        <v>$AP$22</v>
      </c>
      <c r="AY9" s="138" t="str">
        <f t="shared" ca="1" si="9"/>
        <v>$AP$27</v>
      </c>
    </row>
    <row r="10" spans="1:102" x14ac:dyDescent="0.25">
      <c r="A10" s="270" t="s">
        <v>224</v>
      </c>
      <c r="D10" s="718" t="s">
        <v>154</v>
      </c>
      <c r="E10" s="719"/>
      <c r="F10" s="719"/>
      <c r="G10" s="719"/>
      <c r="H10" s="720"/>
      <c r="K10" s="29">
        <f>SUMPRODUCT(L22:L23,F22:F23)</f>
        <v>871.49177357174301</v>
      </c>
      <c r="L10" s="706" t="s">
        <v>628</v>
      </c>
      <c r="M10" s="707"/>
      <c r="N10" s="352">
        <f ca="1">-SUMPRODUCT(INDIRECT(CONCATENATE(AV10,":",AW10)),INDIRECT(CONCATENATE($AX$7,":",$AY$7)),INDIRECT(CONCATENATE($AV$3,":",$AW$3)))</f>
        <v>-20302.730379103399</v>
      </c>
      <c r="O10" s="352">
        <v>-20299.560000000001</v>
      </c>
      <c r="P10" s="355">
        <f t="shared" ref="P10:P19" ca="1" si="10">N10-O10</f>
        <v>-3.1703791033978632</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$AS$27</v>
      </c>
      <c r="AX10" s="339" t="str">
        <f>ADDRESS(ROW($CC$22),COLUMN($CC$22))</f>
        <v>$CC$22</v>
      </c>
      <c r="AY10" s="138" t="str">
        <f t="shared" ca="1" si="9"/>
        <v>$CC$27</v>
      </c>
    </row>
    <row r="11" spans="1:102" x14ac:dyDescent="0.25">
      <c r="A11" s="270" t="s">
        <v>224</v>
      </c>
      <c r="D11" s="166" t="str">
        <f>IF(ISERROR($AH$13),"Check Contract Index to make sure it is valid","")</f>
        <v/>
      </c>
      <c r="E11" s="167"/>
      <c r="F11" s="168"/>
      <c r="G11" s="168"/>
      <c r="H11" s="169"/>
      <c r="K11" s="29">
        <f>SUMPRODUCT(K22:K23,F22:F23)</f>
        <v>3879.7779249776959</v>
      </c>
      <c r="L11" s="704" t="s">
        <v>629</v>
      </c>
      <c r="M11" s="705"/>
      <c r="N11" s="356">
        <f ca="1">-SUMPRODUCT(INDIRECT(CONCATENATE(AV11,":",AW11)),INDIRECT(CONCATENATE($AV$2,":",$AW$2)),INDIRECT(CONCATENATE($AV$3,":",$AW$3)),INDIRECT(CONCATENATE(AX3,":",AY3)))</f>
        <v>-7317.1620000000003</v>
      </c>
      <c r="O11" s="357">
        <v>-7317.16</v>
      </c>
      <c r="P11" s="358">
        <f t="shared" ca="1" si="10"/>
        <v>-2.0000000004074536E-3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$AQ$27</v>
      </c>
      <c r="AX11" s="339" t="str">
        <f>ADDRESS(ROW($CD$22),COLUMN($CD$22))</f>
        <v>$CD$22</v>
      </c>
      <c r="AY11" s="138" t="str">
        <f t="shared" ca="1" si="9"/>
        <v>$CD$27</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-385.29</v>
      </c>
      <c r="P12" s="355">
        <f t="shared" ca="1" si="10"/>
        <v>385.29</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$X$27</v>
      </c>
      <c r="AX12" s="339" t="str">
        <f>ADDRESS(ROW($CE$22),COLUMN($CE$22))</f>
        <v>$CE$22</v>
      </c>
      <c r="AY12" s="138" t="str">
        <f t="shared" ca="1" si="9"/>
        <v>$CE$27</v>
      </c>
    </row>
    <row r="13" spans="1:102" x14ac:dyDescent="0.25">
      <c r="A13" s="270" t="s">
        <v>224</v>
      </c>
      <c r="D13" s="170"/>
      <c r="E13" s="171"/>
      <c r="F13" s="172"/>
      <c r="G13" s="172"/>
      <c r="H13" s="173"/>
      <c r="L13" s="706" t="s">
        <v>155</v>
      </c>
      <c r="M13" s="707"/>
      <c r="N13" s="352">
        <f t="shared" ca="1" si="11"/>
        <v>0</v>
      </c>
      <c r="O13" s="352">
        <v>11.32</v>
      </c>
      <c r="P13" s="355">
        <f t="shared" ca="1" si="10"/>
        <v>-11.32</v>
      </c>
      <c r="X13" s="498" t="s">
        <v>761</v>
      </c>
      <c r="AG13" s="248" t="s">
        <v>186</v>
      </c>
      <c r="AH13" s="119">
        <f>GetRecNdx($AH$12,$D$2)</f>
        <v>16</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$Y$27</v>
      </c>
      <c r="AX13" s="339" t="str">
        <f>ADDRESS(ROW($CF$22),COLUMN($CF$22))</f>
        <v>$CF$22</v>
      </c>
      <c r="AY13" s="138" t="str">
        <f t="shared" ca="1" si="9"/>
        <v>$CF$27</v>
      </c>
    </row>
    <row r="14" spans="1:102" x14ac:dyDescent="0.25">
      <c r="A14" s="270" t="s">
        <v>224</v>
      </c>
      <c r="D14" s="170"/>
      <c r="E14" s="171"/>
      <c r="F14" s="172"/>
      <c r="G14" s="172"/>
      <c r="H14" s="173"/>
      <c r="K14" s="185"/>
      <c r="L14" s="706" t="s">
        <v>156</v>
      </c>
      <c r="M14" s="707"/>
      <c r="N14" s="352">
        <f t="shared" ca="1" si="11"/>
        <v>-83.508482628296207</v>
      </c>
      <c r="O14" s="352">
        <v>-25.55</v>
      </c>
      <c r="P14" s="355">
        <f t="shared" ca="1" si="10"/>
        <v>-57.95848262829621</v>
      </c>
      <c r="S14" s="181">
        <f>F22/(1-AR22)*AH22*AU22</f>
        <v>35773.873708011619</v>
      </c>
      <c r="T14" s="181">
        <f>F22*AH22*AU22</f>
        <v>33244.660836855204</v>
      </c>
      <c r="X14" s="500" t="s">
        <v>762</v>
      </c>
      <c r="Y14" s="501" t="s">
        <v>763</v>
      </c>
      <c r="AL14" s="34">
        <v>11</v>
      </c>
      <c r="AM14" s="37">
        <f t="shared" si="0"/>
        <v>1074</v>
      </c>
      <c r="AN14" s="38">
        <f t="shared" si="1"/>
        <v>7.5700000000000003E-2</v>
      </c>
      <c r="AO14" s="39">
        <f t="shared" si="2"/>
        <v>7.0699999999999999E-2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$Z$27</v>
      </c>
      <c r="AX14" s="353" t="str">
        <f ca="1">CONCATENATE(AX8,":",AY8)</f>
        <v>$AO$22:$AO$27</v>
      </c>
      <c r="AY14" s="353" t="str">
        <f ca="1">CONCATENATE(AX10,":",AY10)</f>
        <v>$CC$22:$CC$27</v>
      </c>
    </row>
    <row r="15" spans="1:102" ht="13.8" thickBot="1" x14ac:dyDescent="0.3">
      <c r="A15" s="270" t="s">
        <v>224</v>
      </c>
      <c r="D15" s="170"/>
      <c r="E15" s="171"/>
      <c r="F15" s="172"/>
      <c r="G15" s="172"/>
      <c r="H15" s="173"/>
      <c r="L15" s="706" t="s">
        <v>157</v>
      </c>
      <c r="M15" s="707"/>
      <c r="N15" s="352">
        <f t="shared" ca="1" si="11"/>
        <v>15.782812852720168</v>
      </c>
      <c r="O15" s="352">
        <v>9.8800000000000008</v>
      </c>
      <c r="P15" s="355">
        <f t="shared" ca="1" si="10"/>
        <v>5.9028128527201673</v>
      </c>
      <c r="X15" s="502">
        <v>2001</v>
      </c>
      <c r="Y15" s="503">
        <v>0</v>
      </c>
      <c r="AL15" s="34">
        <v>12</v>
      </c>
      <c r="AM15" s="41">
        <f t="shared" si="0"/>
        <v>1074</v>
      </c>
      <c r="AN15" s="42">
        <f t="shared" si="1"/>
        <v>7.5700000000000003E-2</v>
      </c>
      <c r="AO15" s="43">
        <f t="shared" si="2"/>
        <v>7.0699999999999999E-2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$AA$27</v>
      </c>
      <c r="AX15" s="353" t="str">
        <f ca="1">CONCATENATE(AV8,":",AW8)</f>
        <v>$AM$22:$AM$27</v>
      </c>
      <c r="AY15" s="353" t="str">
        <f ca="1">CONCATENATE(AX11,":",AY11)</f>
        <v>$CD$22:$CD$27</v>
      </c>
    </row>
    <row r="16" spans="1:102" x14ac:dyDescent="0.25">
      <c r="D16" s="174"/>
      <c r="E16" s="175"/>
      <c r="F16" s="176"/>
      <c r="G16" s="176"/>
      <c r="H16" s="177"/>
      <c r="L16" s="706" t="s">
        <v>158</v>
      </c>
      <c r="M16" s="707"/>
      <c r="N16" s="352">
        <f t="shared" ca="1" si="11"/>
        <v>0</v>
      </c>
      <c r="O16" s="352">
        <v>-0.15</v>
      </c>
      <c r="P16" s="355">
        <f t="shared" ca="1" si="10"/>
        <v>0.15</v>
      </c>
      <c r="X16" s="502">
        <v>2002</v>
      </c>
      <c r="Y16" s="503">
        <v>0</v>
      </c>
      <c r="AU16" s="361" t="s">
        <v>158</v>
      </c>
      <c r="AV16" s="339" t="str">
        <f>ADDRESS(ROW($AB$22),COLUMN($AB$22))</f>
        <v>$AB$22</v>
      </c>
      <c r="AW16" s="138" t="str">
        <f t="shared" ca="1" si="8"/>
        <v>$AB$27</v>
      </c>
      <c r="AX16" s="353" t="str">
        <f ca="1">CONCATENATE(AX9,":",AY9)</f>
        <v>$AP$22:$AP$27</v>
      </c>
      <c r="AY16" s="353" t="str">
        <f ca="1">CONCATENATE(AX12,":",AY12)</f>
        <v>$CE$22:$CE$27</v>
      </c>
    </row>
    <row r="17" spans="1:91" x14ac:dyDescent="0.25">
      <c r="D17" s="171"/>
      <c r="E17" s="171"/>
      <c r="F17" s="172"/>
      <c r="G17" s="172"/>
      <c r="H17" s="172"/>
      <c r="L17" s="704" t="s">
        <v>211</v>
      </c>
      <c r="M17" s="705"/>
      <c r="N17" s="356">
        <f t="shared" ca="1" si="11"/>
        <v>1.0138938860321298</v>
      </c>
      <c r="O17" s="357">
        <v>0.36</v>
      </c>
      <c r="P17" s="358">
        <f t="shared" ca="1" si="10"/>
        <v>0.65389388603212983</v>
      </c>
      <c r="X17" s="504">
        <v>2003</v>
      </c>
      <c r="Y17" s="505">
        <v>0</v>
      </c>
      <c r="AU17" s="361" t="s">
        <v>211</v>
      </c>
      <c r="AV17" s="339" t="str">
        <f>ADDRESS(ROW($AC$22),COLUMN($AC$22))</f>
        <v>$AC$22</v>
      </c>
      <c r="AW17" s="138" t="str">
        <f t="shared" ca="1" si="8"/>
        <v>$AC$27</v>
      </c>
      <c r="AX17" s="353" t="str">
        <f ca="1">CONCATENATE(AV9,":",AW9)</f>
        <v>$AN$22:$AN$27</v>
      </c>
      <c r="AY17" s="353" t="str">
        <f ca="1">CONCATENATE(AX13,":",AY13)</f>
        <v>$CF$22:$CF$27</v>
      </c>
    </row>
    <row r="18" spans="1:91" x14ac:dyDescent="0.25">
      <c r="D18" s="171"/>
      <c r="E18" s="171"/>
      <c r="F18" s="172"/>
      <c r="G18" s="172"/>
      <c r="H18" s="172"/>
      <c r="L18" s="706" t="s">
        <v>623</v>
      </c>
      <c r="M18" s="707"/>
      <c r="N18" s="352">
        <f ca="1">SUMPRODUCT(INDIRECT(CONCATENATE(AX4,":",AY4)),INDIRECT(CONCATENATE($AV$2,":",$AW$2)),INDIRECT(CONCATENATE($AV$3,":",$AW$3)))</f>
        <v>4808.6814104789537</v>
      </c>
      <c r="O18" s="352">
        <v>4807.93</v>
      </c>
      <c r="P18" s="355">
        <f t="shared" ca="1" si="10"/>
        <v>0.75141047895340307</v>
      </c>
      <c r="AU18" s="361"/>
      <c r="AV18" s="339"/>
      <c r="AW18" s="138"/>
      <c r="AX18" s="339" t="str">
        <f>ADDRESS(ROW($CI$22),COLUMN($CI$22))</f>
        <v>$CI$22</v>
      </c>
      <c r="AY18" s="138" t="str">
        <f ca="1">GetEnd($AV$1,AX18)</f>
        <v>$CI$27</v>
      </c>
    </row>
    <row r="19" spans="1:91" x14ac:dyDescent="0.25">
      <c r="D19" s="171"/>
      <c r="E19" s="171"/>
      <c r="F19" s="172"/>
      <c r="G19" s="172"/>
      <c r="H19" s="172"/>
      <c r="L19" s="724" t="s">
        <v>624</v>
      </c>
      <c r="M19" s="725"/>
      <c r="N19" s="359">
        <f ca="1">SUMPRODUCT(INDIRECT(CONCATENATE(AX5,":",AY5)),INDIRECT(CONCATENATE($AV$2,":",$AW$2)),INDIRECT(CONCATENATE($AV$3,":",$AW$3)))</f>
        <v>1540.5417877334039</v>
      </c>
      <c r="O19" s="359">
        <v>1657.49</v>
      </c>
      <c r="P19" s="360">
        <f t="shared" ca="1" si="10"/>
        <v>-116.9482122665961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IF-TETCO/ETX Basis Mid</v>
      </c>
      <c r="T20" s="182" t="str">
        <f>GetDelBasis($AH$12,$AH$13)</f>
        <v>IF-CNG/APPALACH Basis Mid</v>
      </c>
      <c r="U20" s="158"/>
      <c r="V20" s="158"/>
      <c r="W20" s="158"/>
      <c r="X20" s="158"/>
      <c r="Y20" s="335"/>
      <c r="Z20" s="335"/>
      <c r="AA20" s="335"/>
      <c r="AB20" s="335"/>
      <c r="AC20" s="335"/>
      <c r="AI20" s="138"/>
      <c r="AM20" s="702" t="str">
        <f>GetRcptPoint($AH$12,$AH$13)</f>
        <v>Tetco/ETX</v>
      </c>
      <c r="AN20" s="703"/>
      <c r="AO20" s="702" t="str">
        <f>GetDelPoint($AH$12,$AH$13)</f>
        <v>CNG/Appalach</v>
      </c>
      <c r="AP20" s="703"/>
      <c r="AQ20" s="137"/>
      <c r="AS20" s="137"/>
      <c r="AU20" s="136" t="s">
        <v>576</v>
      </c>
      <c r="AV20" s="353">
        <f ca="1">SUMPRODUCT(INDIRECT(CONCATENATE(AV8,":",AW8)),INDIRECT(CONCATENATE($AV$2,":",$AW$2)),INDIRECT(CONCATENATE($AV$3,":",$AW$3)),INDIRECT(CONCATENATE(AX3,":",AY3)))</f>
        <v>-12082.5</v>
      </c>
      <c r="AW20" s="353">
        <f ca="1">SUMPRODUCT(INDIRECT(CONCATENATE(AX8,":",AY8)),INDIRECT(CONCATENATE($AV$2,":",$AW$2)),INDIRECT(CONCATENATE($AV$3,":",$AW$3)),INDIRECT(CONCATENATE(AX3,":",AY3)))</f>
        <v>18416.415000000001</v>
      </c>
      <c r="AX20" s="353">
        <f ca="1">SUMPRODUCT(INDIRECT(CONCATENATE(AV9,":",AW9)),INDIRECT(CONCATENATE($AV$2,":",$AW$2)),INDIRECT(CONCATENATE($AV$3,":",$AW$3)),INDIRECT(CONCATENATE(AX3,":",AY3)))</f>
        <v>0</v>
      </c>
      <c r="AY20" s="353">
        <f ca="1">SUMPRODUCT(INDIRECT(CONCATENATE(AX9,":",AY9)),INDIRECT(CONCATENATE($AV$2,":",$AW$2)),INDIRECT(CONCATENATE($AV$3,":",$AW$3)),INDIRECT(CONCATENATE(AX3,":",AY3)))</f>
        <v>1933.2000000000003</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27" si="12">VLOOKUP(AG22,$AL$4:$AS$15,2)</f>
        <v>1074</v>
      </c>
      <c r="G22" s="28">
        <f t="shared" ref="G22:G27" si="13">F22*$AU22</f>
        <v>1072.4084140921032</v>
      </c>
      <c r="H22" s="52">
        <f t="shared" ref="H22:H27" si="14">(AL22+AM22+AN22)/(1-(AR22))</f>
        <v>2.928010330356182</v>
      </c>
      <c r="I22" s="52">
        <f t="shared" ref="I22:I27" si="15">(AL22+AO22+AP22)</f>
        <v>3.0685000000000002</v>
      </c>
      <c r="K22" s="52">
        <f t="shared" ref="K22:K27" si="16">MAX(((I22-H22)-AQ22)*AU22*AH22,0)</f>
        <v>2.0055033454754478</v>
      </c>
      <c r="L22" s="135">
        <f t="shared" ref="L22:L27" si="17">MAX(Q22-K22,0)</f>
        <v>0.30066933223569947</v>
      </c>
      <c r="N22" s="131">
        <f t="shared" ref="N22:N27" si="18">SQRT(($AX22^2*($AH22/2)+$AW22^2*$AI22)/(($AH22/2)+$AI22))</f>
        <v>0.97398938796521406</v>
      </c>
      <c r="O22" s="131">
        <f t="shared" ref="O22:O27" si="19">SQRT(($AY22^2*($AH22/2)+$AW22^2*$AI22)/(($AH22/2)+$AI22))</f>
        <v>0.98794454613075744</v>
      </c>
      <c r="P22" s="55">
        <f t="shared" ref="P22:P27" si="20">(VLOOKUP(AI22,CorrelationTwo,2)*(AW22^2)*AI22+VLOOKUP(D22,CorrelationOne,$AK$9)*AX22*AY22*(AH22/2))/((AI22+(AH22/2))*O22*N22)*AF22</f>
        <v>0.99606764657010616</v>
      </c>
      <c r="Q22" s="135">
        <f>_xll.xSPRDOPT(I22,H22,AQ22,0,O22,N22,P22,D22-$G$5,1,0)*AH22*AU22</f>
        <v>2.3061726777111473</v>
      </c>
      <c r="R22" s="135"/>
      <c r="S22" s="181">
        <f>_xll.xSPRDOPT(I22,H22,AQ22,AT22,O22,N22,P22,D22-$G$5,1,2)*AF22*(F22/(1-AR22))*AH22</f>
        <v>-28151.481426032293</v>
      </c>
      <c r="T22" s="181">
        <f>_xll.xSPRDOPT(I22,H22,AQ22,AT22,O22,N22,P22,D22-$G$5,1,1)*AF22*F22*AH22</f>
        <v>26389.31931067412</v>
      </c>
      <c r="U22" s="135"/>
      <c r="V22" s="146">
        <f t="shared" ref="V22:V27" si="21">($Y$12+VLOOKUP(YEAR(D22),$X$15:$Y$17,2,FALSE))*AH22*AU22</f>
        <v>0</v>
      </c>
      <c r="W22" s="146"/>
      <c r="X22" s="338">
        <f t="shared" ref="X22:X27" si="22">((BM22*BC22)+(BL22*BB22))*AH22*F22</f>
        <v>0</v>
      </c>
      <c r="Y22" s="338">
        <f t="shared" ref="Y22:Y27" si="23">($F22*$AH22)*((($BG22/2)*($BC22)^2)+(($BF22/2)*($BB22)^2)+($BH22*$BC22*$BB22))</f>
        <v>0</v>
      </c>
      <c r="Z22" s="338">
        <f t="shared" ref="Z22:Z27" si="24">($BI22*$F22*$AH22*($G$5-$BV$5))/365.25</f>
        <v>-41.113017903768529</v>
      </c>
      <c r="AA22" s="338">
        <f t="shared" ref="AA22:AA27" si="25">(($BK22*$BE22)+($BJ22*$BD22))*$F22*$AH22*$AF22</f>
        <v>12.113762336615132</v>
      </c>
      <c r="AB22" s="338">
        <f t="shared" ref="AB22:AB27" si="26">BN22*(AT22-CA22)*F22*AH22</f>
        <v>0</v>
      </c>
      <c r="AC22" s="338">
        <f t="shared" ref="AC22:AC27" si="27">BO22*CB22*F22*AH22*CA22*($G$5-$BV$5)/365.25</f>
        <v>0.39190231183316898</v>
      </c>
      <c r="AF22" s="138">
        <f t="shared" ref="AF22:AF27" si="28">IF(AND(D22&gt;=$G$7,D22&lt;=$G$8),1,0)</f>
        <v>1</v>
      </c>
      <c r="AG22" s="138">
        <f t="shared" ref="AG22:AG27" si="29">MONTH(D22)</f>
        <v>1</v>
      </c>
      <c r="AH22" s="138">
        <f t="shared" ref="AH22:AH27" si="30">(EOMONTH(D22,0)-EOMONTH(D22-DAY(D22),0))*AF22</f>
        <v>31</v>
      </c>
      <c r="AI22" s="138">
        <f>MAX(0,(D22-DAY(D22))-$G$5+1)</f>
        <v>15</v>
      </c>
      <c r="AJ22" s="138">
        <f t="shared" ref="AJ22:AJ27" si="31">D22-$BV$5</f>
        <v>32</v>
      </c>
      <c r="AL22" s="136">
        <f t="shared" ref="AL22:AL27" si="32">VLOOKUP($D22,CurveTbl,$AK$4)</f>
        <v>2.8460000000000001</v>
      </c>
      <c r="AM22" s="258">
        <f t="shared" ref="AM22:AM27" si="33">VLOOKUP($D22,CurveTbl,$AH$3)</f>
        <v>-0.125</v>
      </c>
      <c r="AN22" s="258">
        <f t="shared" ref="AN22:AN27" si="34">VLOOKUP($D22,CurveTbl,$AH$4)+VLOOKUP($AG22,$AL$3:$AS$15,6)</f>
        <v>0</v>
      </c>
      <c r="AO22" s="258">
        <f t="shared" ref="AO22:AO27" si="35">VLOOKUP($D22,CurveTbl,$AH$5)</f>
        <v>0.20250000000000001</v>
      </c>
      <c r="AP22" s="258">
        <f t="shared" ref="AP22:AP27" si="36">VLOOKUP($D22,CurveTbl,$AH$6)+VLOOKUP($AG22,$AL$3:$AS$15,7)</f>
        <v>0.02</v>
      </c>
      <c r="AQ22" s="136">
        <f t="shared" ref="AQ22:AQ27" si="37">VLOOKUP($AG22,$AL$4:$AS$15,3)+VLOOKUP($AG22,$AL$4:$AS$15,5)+($AH$10*VLOOKUP(D22,GRITable,2))</f>
        <v>7.5700000000000003E-2</v>
      </c>
      <c r="AR22" s="137">
        <f t="shared" ref="AR22:AR27" si="38">VLOOKUP($AG22,$AL$4:$AS$15,4)</f>
        <v>7.0699999999999999E-2</v>
      </c>
      <c r="AS22" s="136">
        <f t="shared" ref="AS22:AS27" si="39">(AL22+AM22+AN22)</f>
        <v>2.7210000000000001</v>
      </c>
      <c r="AT22" s="137">
        <f t="shared" ref="AT22:AT27" si="40">VLOOKUP(D22,CurveTbl,$AK$6)</f>
        <v>1.8765908157160699E-2</v>
      </c>
      <c r="AU22" s="137">
        <f t="shared" ref="AU22:AU27" si="41">(1+$AT22/2)^(-2*($D22-$G$5)/365.25)*$AF22</f>
        <v>0.99851807643585033</v>
      </c>
      <c r="AV22" s="394">
        <f t="shared" ref="AV22:AV27" si="42">ROUND((F22/(1-AR22))-F22,0)*AF22*AH22*AU22</f>
        <v>2538.2329502999314</v>
      </c>
      <c r="AW22" s="137">
        <f t="shared" ref="AW22:AW27" si="43">VLOOKUP($D22,CurveTbl,$AK$8)</f>
        <v>0.87</v>
      </c>
      <c r="AX22" s="137">
        <f t="shared" ref="AX22:AX27" si="44">VLOOKUP($D22,CurveTbl,$AH$7)</f>
        <v>1.0649999999999999</v>
      </c>
      <c r="AY22" s="137">
        <f t="shared" ref="AY22:AY27" si="45">VLOOKUP($D22,CurveTbl,$AH$8)</f>
        <v>1.0900000000000001</v>
      </c>
      <c r="AZ22" s="137"/>
      <c r="BA22" s="264"/>
      <c r="BB22" s="258">
        <f t="shared" ref="BB22:BB27" si="46">$H22-$BV22</f>
        <v>0</v>
      </c>
      <c r="BC22" s="258">
        <f t="shared" ref="BC22:BC27" si="47">I22-BW22</f>
        <v>0</v>
      </c>
      <c r="BD22" s="137">
        <f t="shared" ref="BD22:BE27" si="48">N22-BX22</f>
        <v>8.8556102145729287E-3</v>
      </c>
      <c r="BE22" s="137">
        <f t="shared" si="48"/>
        <v>9.9821502477693835E-3</v>
      </c>
      <c r="BF22" s="137">
        <f>_xll.xSPRDOPT($BW22,$BV22,$CG22,0,$BY22,$BX22,$BZ22,$AJ22,1,4)*$CB22</f>
        <v>3.4998837524417206</v>
      </c>
      <c r="BG22" s="137">
        <f>_xll.xSPRDOPT($BW22,$BV22,$CG22,0,$BY22,$BX22,$BZ22,$AJ22,1,3)*$CB22</f>
        <v>3.364459364170524</v>
      </c>
      <c r="BH22" s="137">
        <f>IF(OR(BF22&lt;&gt;0,BG22&lt;&gt;0),_xll.xSPRDOPT($BW22,$BV22,$CG22,0,$BY22,$BX22,$BZ22,$AJ22,1,12)*$CB22,0)</f>
        <v>-3.4314100218239671</v>
      </c>
      <c r="BI22" s="137">
        <f>_xll.xSPRDOPT($BW22,$BV22,$CG22,2*LN(1+CA22/2),$BY22,$BX22,$BZ22,$AJ22,1,9)</f>
        <v>-0.15034270228220756</v>
      </c>
      <c r="BJ22" s="137">
        <f>_xll.xSPRDOPT($BW22,$BV22,$CG22,0,$BY22,$BX22,$BZ22,$AJ22,1,6)*$CB22</f>
        <v>-9.2810020767721532E-2</v>
      </c>
      <c r="BK22" s="137">
        <f>_xll.xSPRDOPT($BW22,$BV22,$CG22,0,$BY22,$BX22,$BZ22,$AJ22,1,5)*$CB22</f>
        <v>0.11878518579595408</v>
      </c>
      <c r="BL22" s="137">
        <f>_xll.xSPRDOPT(BW22,BV22,CG22,0,BY22,BX22,BZ22,AJ22,1,2)*CB22</f>
        <v>-0.76679235212612584</v>
      </c>
      <c r="BM22" s="137">
        <f>_xll.xSPRDOPT(BW22,BV22,CG22,0,BY22,BX22,BZ22,AJ22,1,1)*CB22</f>
        <v>0.77468861911241904</v>
      </c>
      <c r="BN22" s="137">
        <f>IF(AH22&lt;&gt;0,_xll.xSPRDOPT($BW22,$BV22,$CG22,2*LN(1+CA22/2),$BY22,$BX22,$BZ22,$AJ22,1,8)+(AJ22/365.25)*CH22/AH22,0)</f>
        <v>-6.6906912190698052E-3</v>
      </c>
      <c r="BO22" s="137">
        <f>_xll.xSPRDOPT($BW22,$BV22,$CG22,0,$BY22,$BX22,$BZ22,$AJ22,1,0)</f>
        <v>7.6493041561138009E-2</v>
      </c>
      <c r="BP22" s="137"/>
      <c r="BQ22" s="137"/>
      <c r="BR22" s="137"/>
      <c r="BS22" s="137"/>
      <c r="BV22" s="262">
        <v>2.928010330356182</v>
      </c>
      <c r="BW22" s="136">
        <v>3.0685000000000002</v>
      </c>
      <c r="BX22" s="137">
        <v>0.96513377775064113</v>
      </c>
      <c r="BY22" s="137">
        <v>0.97796239588298806</v>
      </c>
      <c r="BZ22" s="137">
        <v>0.99562518982160231</v>
      </c>
      <c r="CA22" s="137">
        <v>1.8765908157160699E-2</v>
      </c>
      <c r="CB22" s="137">
        <v>0.99836489939579565</v>
      </c>
      <c r="CC22" s="258">
        <v>-0.125</v>
      </c>
      <c r="CD22" s="258">
        <v>0</v>
      </c>
      <c r="CE22" s="258">
        <v>0.20250000000000001</v>
      </c>
      <c r="CF22" s="258">
        <v>0.02</v>
      </c>
      <c r="CG22" s="258">
        <v>7.5700000000000003E-2</v>
      </c>
      <c r="CH22" s="258">
        <v>0</v>
      </c>
      <c r="CI22" s="258">
        <v>2.8460000000000001</v>
      </c>
      <c r="CJ22" s="258"/>
      <c r="CK22" s="258"/>
      <c r="CL22" s="258"/>
      <c r="CM22" s="258"/>
    </row>
    <row r="23" spans="1:91" x14ac:dyDescent="0.25">
      <c r="A23" s="723"/>
      <c r="B23" s="723"/>
      <c r="D23" s="31">
        <f>D22+AH22</f>
        <v>37302</v>
      </c>
      <c r="F23" s="28">
        <f t="shared" si="12"/>
        <v>1074</v>
      </c>
      <c r="G23" s="28">
        <f t="shared" si="13"/>
        <v>1070.6120602203166</v>
      </c>
      <c r="H23" s="52">
        <f t="shared" si="14"/>
        <v>2.9947272140320669</v>
      </c>
      <c r="I23" s="52">
        <f t="shared" si="15"/>
        <v>3.1280000000000001</v>
      </c>
      <c r="K23" s="52">
        <f t="shared" si="16"/>
        <v>1.6069528230326493</v>
      </c>
      <c r="L23" s="135">
        <f t="shared" si="17"/>
        <v>0.51077552211415433</v>
      </c>
      <c r="N23" s="131">
        <f t="shared" si="18"/>
        <v>0.91558269242415602</v>
      </c>
      <c r="O23" s="131">
        <f t="shared" si="19"/>
        <v>0.92242208343035681</v>
      </c>
      <c r="P23" s="55">
        <f t="shared" si="20"/>
        <v>0.99654524764541674</v>
      </c>
      <c r="Q23" s="135">
        <f>_xll.xSPRDOPT(I23,H23,AQ23,0,O23,N23,P23,D23-$G$5,1,0)*AH23*AU23</f>
        <v>2.1177283451468036</v>
      </c>
      <c r="R23" s="135"/>
      <c r="S23" s="181">
        <f>_xll.xSPRDOPT(I23,H23,AQ23,AT23,O23,N23,P23,D23-$G$5,1,2)*AF23*(F23/(1-AR23))*AH23</f>
        <v>-22937.342739807074</v>
      </c>
      <c r="T23" s="181">
        <f>_xll.xSPRDOPT(I23,H23,AQ23,AT23,O23,N23,P23,D23-$G$5,1,1)*AF23*F23*AH23</f>
        <v>21617.099292783656</v>
      </c>
      <c r="U23" s="135"/>
      <c r="V23" s="146">
        <f t="shared" si="21"/>
        <v>0</v>
      </c>
      <c r="W23" s="146"/>
      <c r="X23" s="338">
        <f t="shared" si="22"/>
        <v>0</v>
      </c>
      <c r="Y23" s="338">
        <f t="shared" si="23"/>
        <v>0</v>
      </c>
      <c r="Z23" s="338">
        <f t="shared" si="24"/>
        <v>-25.520374843879114</v>
      </c>
      <c r="AA23" s="338">
        <f t="shared" si="25"/>
        <v>4.3535524322607637</v>
      </c>
      <c r="AB23" s="338">
        <f t="shared" si="26"/>
        <v>0</v>
      </c>
      <c r="AC23" s="338">
        <f t="shared" si="27"/>
        <v>0.3658117054999897</v>
      </c>
      <c r="AF23" s="138">
        <f t="shared" si="28"/>
        <v>1</v>
      </c>
      <c r="AG23" s="138">
        <f t="shared" si="29"/>
        <v>2</v>
      </c>
      <c r="AH23" s="138">
        <f t="shared" si="30"/>
        <v>28</v>
      </c>
      <c r="AI23" s="138">
        <f>AI22+AH22</f>
        <v>46</v>
      </c>
      <c r="AJ23" s="138">
        <f t="shared" si="31"/>
        <v>63</v>
      </c>
      <c r="AL23" s="136">
        <f t="shared" si="32"/>
        <v>2.9079999999999999</v>
      </c>
      <c r="AM23" s="258">
        <f t="shared" si="33"/>
        <v>-0.125</v>
      </c>
      <c r="AN23" s="258">
        <f t="shared" si="34"/>
        <v>0</v>
      </c>
      <c r="AO23" s="258">
        <f t="shared" si="35"/>
        <v>0.2</v>
      </c>
      <c r="AP23" s="258">
        <f t="shared" si="36"/>
        <v>0.02</v>
      </c>
      <c r="AQ23" s="136">
        <f t="shared" si="37"/>
        <v>7.5700000000000003E-2</v>
      </c>
      <c r="AR23" s="137">
        <f t="shared" si="38"/>
        <v>7.0699999999999999E-2</v>
      </c>
      <c r="AS23" s="136">
        <f t="shared" si="39"/>
        <v>2.7829999999999999</v>
      </c>
      <c r="AT23" s="137">
        <f t="shared" si="40"/>
        <v>1.9326187282006298E-2</v>
      </c>
      <c r="AU23" s="137">
        <f t="shared" si="41"/>
        <v>0.99684549368744568</v>
      </c>
      <c r="AV23" s="394">
        <f t="shared" si="42"/>
        <v>2288.7572535063755</v>
      </c>
      <c r="AW23" s="137">
        <f t="shared" si="43"/>
        <v>0.86499999999999999</v>
      </c>
      <c r="AX23" s="137">
        <f t="shared" si="44"/>
        <v>1.0649999999999999</v>
      </c>
      <c r="AY23" s="137">
        <f t="shared" si="45"/>
        <v>1.0900000000000001</v>
      </c>
      <c r="AZ23" s="137"/>
      <c r="BA23" s="264"/>
      <c r="BB23" s="258">
        <f t="shared" si="46"/>
        <v>0</v>
      </c>
      <c r="BC23" s="258">
        <f t="shared" si="47"/>
        <v>0</v>
      </c>
      <c r="BD23" s="137">
        <f t="shared" si="48"/>
        <v>2.3451670356195997E-3</v>
      </c>
      <c r="BE23" s="137">
        <f t="shared" si="48"/>
        <v>2.6530906935935405E-3</v>
      </c>
      <c r="BF23" s="137">
        <f>_xll.xSPRDOPT($BW23,$BV23,$CG23,0,$BY23,$BX23,$BZ23,$AJ23,1,4)*$CB23</f>
        <v>3.289382229135986</v>
      </c>
      <c r="BG23" s="137">
        <f>_xll.xSPRDOPT($BW23,$BV23,$CG23,0,$BY23,$BX23,$BZ23,$AJ23,1,3)*$CB23</f>
        <v>3.1769006458058939</v>
      </c>
      <c r="BH23" s="137">
        <f>IF(OR(BF23&lt;&gt;0,BG23&lt;&gt;0),_xll.xSPRDOPT($BW23,$BV23,$CG23,0,$BY23,$BX23,$BZ23,$AJ23,1,12)*$CB23,0)</f>
        <v>-3.2325059802585323</v>
      </c>
      <c r="BI23" s="137">
        <f>_xll.xSPRDOPT($BW23,$BV23,$CG23,2*LN(1+CA23/2),$BY23,$BX23,$BZ23,$AJ23,1,9)</f>
        <v>-0.10332221459305274</v>
      </c>
      <c r="BJ23" s="137">
        <f>_xll.xSPRDOPT($BW23,$BV23,$CG23,0,$BY23,$BX23,$BZ23,$AJ23,1,6)*$CB23</f>
        <v>-0.14006842579075626</v>
      </c>
      <c r="BK23" s="137">
        <f>_xll.xSPRDOPT($BW23,$BV23,$CG23,0,$BY23,$BX23,$BZ23,$AJ23,1,5)*$CB23</f>
        <v>0.17837868118615469</v>
      </c>
      <c r="BL23" s="137">
        <f>_xll.xSPRDOPT(BW23,BV23,CG23,0,BY23,BX23,BZ23,AJ23,1,2)*CB23</f>
        <v>-0.70307176759377898</v>
      </c>
      <c r="BM23" s="137">
        <f>_xll.xSPRDOPT(BW23,BV23,CG23,0,BY23,BX23,BZ23,AJ23,1,1)*CB23</f>
        <v>0.71350879649673804</v>
      </c>
      <c r="BN23" s="137">
        <f>IF(AH23&lt;&gt;0,_xll.xSPRDOPT($BW23,$BV23,$CG23,2*LN(1+CA23/2),$BY23,$BX23,$BZ23,$AJ23,1,8)+(AJ23/365.25)*CH23/AH23,0)</f>
        <v>-1.3218080621829649E-2</v>
      </c>
      <c r="BO23" s="137">
        <f>_xll.xSPRDOPT($BW23,$BV23,$CG23,0,$BY23,$BX23,$BZ23,$AJ23,1,0)</f>
        <v>7.6888046902737234E-2</v>
      </c>
      <c r="BP23" s="137"/>
      <c r="BQ23" s="137"/>
      <c r="BR23" s="137"/>
      <c r="BS23" s="137"/>
      <c r="BV23" s="262">
        <v>2.9947272140320669</v>
      </c>
      <c r="BW23" s="136">
        <v>3.1280000000000001</v>
      </c>
      <c r="BX23" s="137">
        <v>0.91323752538853642</v>
      </c>
      <c r="BY23" s="137">
        <v>0.91976899273676327</v>
      </c>
      <c r="BZ23" s="137">
        <v>0.99647858031029035</v>
      </c>
      <c r="CA23" s="137">
        <v>1.9326187282006298E-2</v>
      </c>
      <c r="CB23" s="137">
        <v>0.99668802984454063</v>
      </c>
      <c r="CC23" s="258">
        <v>-0.125</v>
      </c>
      <c r="CD23" s="258">
        <v>0</v>
      </c>
      <c r="CE23" s="258">
        <v>0.2</v>
      </c>
      <c r="CF23" s="258">
        <v>0.02</v>
      </c>
      <c r="CG23" s="258">
        <v>7.5700000000000003E-2</v>
      </c>
      <c r="CH23" s="258">
        <v>0</v>
      </c>
      <c r="CI23" s="258">
        <v>2.9079999999999999</v>
      </c>
      <c r="CJ23" s="258"/>
      <c r="CK23" s="258"/>
      <c r="CL23" s="258"/>
      <c r="CM23" s="258"/>
    </row>
    <row r="24" spans="1:91" x14ac:dyDescent="0.25">
      <c r="A24" s="723"/>
      <c r="B24" s="723"/>
      <c r="D24" s="31">
        <f>D23+AH23</f>
        <v>37330</v>
      </c>
      <c r="F24" s="28">
        <f t="shared" si="12"/>
        <v>1074</v>
      </c>
      <c r="G24" s="28">
        <f t="shared" si="13"/>
        <v>1069.048204653204</v>
      </c>
      <c r="H24" s="52">
        <f t="shared" si="14"/>
        <v>2.9882707414182721</v>
      </c>
      <c r="I24" s="52">
        <f t="shared" si="15"/>
        <v>3.0920000000000001</v>
      </c>
      <c r="K24" s="52">
        <f t="shared" si="16"/>
        <v>0.86490082448906724</v>
      </c>
      <c r="L24" s="135">
        <f t="shared" si="17"/>
        <v>0.62295159605368799</v>
      </c>
      <c r="N24" s="131">
        <f t="shared" si="18"/>
        <v>0.79438594042591715</v>
      </c>
      <c r="O24" s="131">
        <f t="shared" si="19"/>
        <v>0.79</v>
      </c>
      <c r="P24" s="55">
        <f t="shared" si="20"/>
        <v>0.99787346138034816</v>
      </c>
      <c r="Q24" s="135">
        <f>_xll.xSPRDOPT(I24,H24,AQ24,0,O24,N24,P24,D24-$G$5,1,0)*AH24*AU24</f>
        <v>1.4878524205427552</v>
      </c>
      <c r="R24" s="135"/>
      <c r="S24" s="181">
        <f>_xll.xSPRDOPT(I24,H24,AQ24,AT24,O24,N24,P24,D24-$G$5,1,2)*AF24*(F24/(1-AR24))*AH24</f>
        <v>-22602.823474135726</v>
      </c>
      <c r="T24" s="181">
        <f>_xll.xSPRDOPT(I24,H24,AQ24,AT24,O24,N24,P24,D24-$G$5,1,1)*AF24*F24*AH24</f>
        <v>21297.073796836652</v>
      </c>
      <c r="U24" s="135"/>
      <c r="V24" s="146">
        <f t="shared" si="21"/>
        <v>0</v>
      </c>
      <c r="W24" s="146"/>
      <c r="X24" s="338">
        <f t="shared" si="22"/>
        <v>0</v>
      </c>
      <c r="Y24" s="338">
        <f t="shared" si="23"/>
        <v>0</v>
      </c>
      <c r="Z24" s="338">
        <f t="shared" si="24"/>
        <v>-16.875089880648552</v>
      </c>
      <c r="AA24" s="338">
        <f t="shared" si="25"/>
        <v>-0.68450191615572631</v>
      </c>
      <c r="AB24" s="338">
        <f t="shared" si="26"/>
        <v>0</v>
      </c>
      <c r="AC24" s="338">
        <f t="shared" si="27"/>
        <v>0.25617986869897125</v>
      </c>
      <c r="AF24" s="138">
        <f t="shared" si="28"/>
        <v>1</v>
      </c>
      <c r="AG24" s="138">
        <f t="shared" si="29"/>
        <v>3</v>
      </c>
      <c r="AH24" s="138">
        <f t="shared" si="30"/>
        <v>31</v>
      </c>
      <c r="AI24" s="138">
        <f>AI23+AH23</f>
        <v>74</v>
      </c>
      <c r="AJ24" s="138">
        <f t="shared" si="31"/>
        <v>91</v>
      </c>
      <c r="AL24" s="136">
        <f t="shared" si="32"/>
        <v>2.9020000000000001</v>
      </c>
      <c r="AM24" s="258">
        <f t="shared" si="33"/>
        <v>-0.125</v>
      </c>
      <c r="AN24" s="258">
        <f t="shared" si="34"/>
        <v>0</v>
      </c>
      <c r="AO24" s="258">
        <f t="shared" si="35"/>
        <v>0.17</v>
      </c>
      <c r="AP24" s="258">
        <f t="shared" si="36"/>
        <v>0.02</v>
      </c>
      <c r="AQ24" s="136">
        <f t="shared" si="37"/>
        <v>7.5700000000000003E-2</v>
      </c>
      <c r="AR24" s="137">
        <f t="shared" si="38"/>
        <v>7.0699999999999999E-2</v>
      </c>
      <c r="AS24" s="136">
        <f t="shared" si="39"/>
        <v>2.7770000000000001</v>
      </c>
      <c r="AT24" s="137">
        <f t="shared" si="40"/>
        <v>1.9273175363903501E-2</v>
      </c>
      <c r="AU24" s="137">
        <f t="shared" si="41"/>
        <v>0.99538938980745262</v>
      </c>
      <c r="AV24" s="394">
        <f t="shared" si="42"/>
        <v>2530.2798288905446</v>
      </c>
      <c r="AW24" s="137">
        <f t="shared" si="43"/>
        <v>0.79</v>
      </c>
      <c r="AX24" s="137">
        <f t="shared" si="44"/>
        <v>0.81499999999999995</v>
      </c>
      <c r="AY24" s="137">
        <f t="shared" si="45"/>
        <v>0.79</v>
      </c>
      <c r="AZ24" s="137"/>
      <c r="BA24" s="264"/>
      <c r="BB24" s="258">
        <f t="shared" si="46"/>
        <v>0</v>
      </c>
      <c r="BC24" s="258">
        <f t="shared" si="47"/>
        <v>0</v>
      </c>
      <c r="BD24" s="137">
        <f t="shared" si="48"/>
        <v>1.4186670005755797E-4</v>
      </c>
      <c r="BE24" s="137">
        <f t="shared" si="48"/>
        <v>0</v>
      </c>
      <c r="BF24" s="137">
        <f>_xll.xSPRDOPT($BW24,$BV24,$CG24,0,$BY24,$BX24,$BZ24,$AJ24,1,4)*$CB24</f>
        <v>4.567515681511364</v>
      </c>
      <c r="BG24" s="137">
        <f>_xll.xSPRDOPT($BW24,$BV24,$CG24,0,$BY24,$BX24,$BZ24,$AJ24,1,3)*$CB24</f>
        <v>4.4880147735519778</v>
      </c>
      <c r="BH24" s="137">
        <f>IF(OR(BF24&lt;&gt;0,BG24&lt;&gt;0),_xll.xSPRDOPT($BW24,$BV24,$CG24,0,$BY24,$BX24,$BZ24,$AJ24,1,12)*$CB24,0)</f>
        <v>-4.5273765307258911</v>
      </c>
      <c r="BI24" s="137">
        <f>_xll.xSPRDOPT($BW24,$BV24,$CG24,2*LN(1+CA24/2),$BY24,$BX24,$BZ24,$AJ24,1,9)</f>
        <v>-6.1709082506426427E-2</v>
      </c>
      <c r="BJ24" s="137">
        <f>_xll.xSPRDOPT($BW24,$BV24,$CG24,0,$BY24,$BX24,$BZ24,$AJ24,1,6)*$CB24</f>
        <v>-0.14491996691934089</v>
      </c>
      <c r="BK24" s="137">
        <f>_xll.xSPRDOPT($BW24,$BV24,$CG24,0,$BY24,$BX24,$BZ24,$AJ24,1,5)*$CB24</f>
        <v>0.18520927977774432</v>
      </c>
      <c r="BL24" s="137">
        <f>_xll.xSPRDOPT(BW24,BV24,CG24,0,BY24,BX24,BZ24,AJ24,1,2)*CB24</f>
        <v>-0.62818798275639431</v>
      </c>
      <c r="BM24" s="137">
        <f>_xll.xSPRDOPT(BW24,BV24,CG24,0,BY24,BX24,BZ24,AJ24,1,1)*CB24</f>
        <v>0.63716272903261562</v>
      </c>
      <c r="BN24" s="137">
        <f>IF(AH24&lt;&gt;0,_xll.xSPRDOPT($BW24,$BV24,$CG24,2*LN(1+CA24/2),$BY24,$BX24,$BZ24,$AJ24,1,8)+(AJ24/365.25)*CH24/AH24,0)</f>
        <v>-1.2110048657633141E-2</v>
      </c>
      <c r="BO24" s="137">
        <f>_xll.xSPRDOPT($BW24,$BV24,$CG24,0,$BY24,$BX24,$BZ24,$AJ24,1,0)</f>
        <v>4.8839379032523708E-2</v>
      </c>
      <c r="BP24" s="137"/>
      <c r="BQ24" s="137"/>
      <c r="BR24" s="137"/>
      <c r="BS24" s="137"/>
      <c r="BV24" s="262">
        <v>2.9882707414182721</v>
      </c>
      <c r="BW24" s="136">
        <v>3.0920000000000001</v>
      </c>
      <c r="BX24" s="137">
        <v>0.79424407372585959</v>
      </c>
      <c r="BY24" s="137">
        <v>0.79</v>
      </c>
      <c r="BZ24" s="137">
        <v>0.99786093639609497</v>
      </c>
      <c r="CA24" s="137">
        <v>1.9273175363903501E-2</v>
      </c>
      <c r="CB24" s="137">
        <v>0.99523258517239033</v>
      </c>
      <c r="CC24" s="258">
        <v>-0.125</v>
      </c>
      <c r="CD24" s="258">
        <v>0</v>
      </c>
      <c r="CE24" s="258">
        <v>0.17</v>
      </c>
      <c r="CF24" s="258">
        <v>0.02</v>
      </c>
      <c r="CG24" s="258">
        <v>7.5700000000000003E-2</v>
      </c>
      <c r="CH24" s="258">
        <v>0</v>
      </c>
      <c r="CI24" s="258">
        <v>2.9020000000000001</v>
      </c>
      <c r="CJ24" s="258"/>
      <c r="CK24" s="258"/>
      <c r="CL24" s="258"/>
      <c r="CM24" s="258"/>
    </row>
    <row r="25" spans="1:91" x14ac:dyDescent="0.25">
      <c r="A25" s="723"/>
      <c r="B25" s="723"/>
      <c r="D25" s="31">
        <f>D24+AH24</f>
        <v>37361</v>
      </c>
      <c r="F25" s="28">
        <f t="shared" si="12"/>
        <v>0</v>
      </c>
      <c r="G25" s="28">
        <f t="shared" si="13"/>
        <v>0</v>
      </c>
      <c r="H25" s="52">
        <f t="shared" si="14"/>
        <v>2.7079999999999997</v>
      </c>
      <c r="I25" s="52">
        <f t="shared" si="15"/>
        <v>3.0504999999999995</v>
      </c>
      <c r="K25" s="52">
        <f t="shared" si="16"/>
        <v>0</v>
      </c>
      <c r="L25" s="135">
        <f t="shared" si="17"/>
        <v>0</v>
      </c>
      <c r="N25" s="131">
        <f t="shared" si="18"/>
        <v>0.61</v>
      </c>
      <c r="O25" s="131">
        <f t="shared" si="19"/>
        <v>0.61</v>
      </c>
      <c r="P25" s="55">
        <f t="shared" si="20"/>
        <v>0</v>
      </c>
      <c r="Q25" s="135">
        <f>_xll.xSPRDOPT(I25,H25,AQ25,0,O25,N25,P25,D25-$G$5,1,0)*AH25*AU25</f>
        <v>0</v>
      </c>
      <c r="R25" s="135"/>
      <c r="S25" s="181">
        <f>_xll.xSPRDOPT(I25,H25,AQ25,AT25,O25,N25,P25,D25-$G$5,1,2)*AF25*(F25/(1-AR25))*AH25</f>
        <v>0</v>
      </c>
      <c r="T25" s="181">
        <f>_xll.xSPRDOPT(I25,H25,AQ25,AT25,O25,N25,P25,D25-$G$5,1,1)*AF25*F25*AH25</f>
        <v>0</v>
      </c>
      <c r="U25" s="135"/>
      <c r="V25" s="146">
        <f t="shared" si="21"/>
        <v>0</v>
      </c>
      <c r="W25" s="146"/>
      <c r="X25" s="338">
        <f t="shared" si="22"/>
        <v>0</v>
      </c>
      <c r="Y25" s="338">
        <f t="shared" si="23"/>
        <v>0</v>
      </c>
      <c r="Z25" s="338">
        <f t="shared" si="24"/>
        <v>0</v>
      </c>
      <c r="AA25" s="338">
        <f t="shared" si="25"/>
        <v>0</v>
      </c>
      <c r="AB25" s="338">
        <f t="shared" si="26"/>
        <v>0</v>
      </c>
      <c r="AC25" s="338">
        <f t="shared" si="27"/>
        <v>0</v>
      </c>
      <c r="AF25" s="138">
        <f t="shared" si="28"/>
        <v>0</v>
      </c>
      <c r="AG25" s="138">
        <f t="shared" si="29"/>
        <v>4</v>
      </c>
      <c r="AH25" s="138">
        <f t="shared" si="30"/>
        <v>0</v>
      </c>
      <c r="AI25" s="138">
        <f>AI24+AH24</f>
        <v>105</v>
      </c>
      <c r="AJ25" s="138">
        <f t="shared" si="31"/>
        <v>122</v>
      </c>
      <c r="AL25" s="136">
        <f t="shared" si="32"/>
        <v>2.8479999999999999</v>
      </c>
      <c r="AM25" s="258">
        <f t="shared" si="33"/>
        <v>-0.14499999999999999</v>
      </c>
      <c r="AN25" s="258">
        <f t="shared" si="34"/>
        <v>5.0000000000000001E-3</v>
      </c>
      <c r="AO25" s="258">
        <f t="shared" si="35"/>
        <v>0.19500000000000001</v>
      </c>
      <c r="AP25" s="258">
        <f t="shared" si="36"/>
        <v>7.4999999999999997E-3</v>
      </c>
      <c r="AQ25" s="136">
        <f t="shared" si="37"/>
        <v>0</v>
      </c>
      <c r="AR25" s="137">
        <f t="shared" si="38"/>
        <v>0</v>
      </c>
      <c r="AS25" s="136">
        <f t="shared" si="39"/>
        <v>2.7079999999999997</v>
      </c>
      <c r="AT25" s="137">
        <f t="shared" si="40"/>
        <v>1.9422640119623601E-2</v>
      </c>
      <c r="AU25" s="137">
        <f t="shared" si="41"/>
        <v>0</v>
      </c>
      <c r="AV25" s="394">
        <f t="shared" si="42"/>
        <v>0</v>
      </c>
      <c r="AW25" s="137">
        <f t="shared" si="43"/>
        <v>0.61</v>
      </c>
      <c r="AX25" s="137">
        <f t="shared" si="44"/>
        <v>0.57999999999999996</v>
      </c>
      <c r="AY25" s="137">
        <f t="shared" si="45"/>
        <v>0.57999999999999996</v>
      </c>
      <c r="AZ25" s="137"/>
      <c r="BA25" s="264"/>
      <c r="BB25" s="258">
        <f t="shared" si="46"/>
        <v>0</v>
      </c>
      <c r="BC25" s="258">
        <f t="shared" si="47"/>
        <v>0</v>
      </c>
      <c r="BD25" s="137">
        <f t="shared" si="48"/>
        <v>0</v>
      </c>
      <c r="BE25" s="137">
        <f t="shared" si="48"/>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-0.78657664899773372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0.75380346039901236</v>
      </c>
      <c r="BP25" s="137"/>
      <c r="BQ25" s="137"/>
      <c r="BR25" s="137"/>
      <c r="BS25" s="137"/>
      <c r="BV25" s="262">
        <v>2.7079999999999997</v>
      </c>
      <c r="BW25" s="136">
        <v>3.0504999999999995</v>
      </c>
      <c r="BX25" s="137">
        <v>0.61</v>
      </c>
      <c r="BY25" s="137">
        <v>0.61</v>
      </c>
      <c r="BZ25" s="137">
        <v>0</v>
      </c>
      <c r="CA25" s="137">
        <v>1.9422640119623601E-2</v>
      </c>
      <c r="CB25" s="137">
        <v>0</v>
      </c>
      <c r="CC25" s="258">
        <v>-0.14499999999999999</v>
      </c>
      <c r="CD25" s="258">
        <v>5.0000000000000001E-3</v>
      </c>
      <c r="CE25" s="258">
        <v>0.19500000000000001</v>
      </c>
      <c r="CF25" s="258">
        <v>7.4999999999999997E-3</v>
      </c>
      <c r="CG25" s="258">
        <v>0</v>
      </c>
      <c r="CH25" s="258">
        <v>0</v>
      </c>
      <c r="CI25" s="258">
        <v>2.8479999999999999</v>
      </c>
      <c r="CJ25" s="258"/>
      <c r="CK25" s="258"/>
      <c r="CL25" s="258"/>
      <c r="CM25" s="258"/>
    </row>
    <row r="26" spans="1:91" x14ac:dyDescent="0.25">
      <c r="A26" s="723"/>
      <c r="B26" s="723"/>
      <c r="D26" s="31">
        <f>D25+AH25</f>
        <v>37361</v>
      </c>
      <c r="F26" s="28">
        <f t="shared" si="12"/>
        <v>0</v>
      </c>
      <c r="G26" s="28">
        <f t="shared" si="13"/>
        <v>0</v>
      </c>
      <c r="H26" s="52">
        <f t="shared" si="14"/>
        <v>2.7079999999999997</v>
      </c>
      <c r="I26" s="52">
        <f t="shared" si="15"/>
        <v>3.0504999999999995</v>
      </c>
      <c r="K26" s="52">
        <f t="shared" si="16"/>
        <v>0</v>
      </c>
      <c r="L26" s="135">
        <f t="shared" si="17"/>
        <v>0</v>
      </c>
      <c r="N26" s="131">
        <f t="shared" si="18"/>
        <v>0.61</v>
      </c>
      <c r="O26" s="131">
        <f t="shared" si="19"/>
        <v>0.61</v>
      </c>
      <c r="P26" s="55">
        <f t="shared" si="20"/>
        <v>0</v>
      </c>
      <c r="Q26" s="135">
        <f>_xll.xSPRDOPT(I26,H26,AQ26,0,O26,N26,P26,D26-$G$5,1,0)*AH26*AU26</f>
        <v>0</v>
      </c>
      <c r="R26" s="135"/>
      <c r="S26" s="181">
        <f>_xll.xSPRDOPT(I26,H26,AQ26,AT26,O26,N26,P26,D26-$G$5,1,2)*AF26*(F26/(1-AR26))*AH26</f>
        <v>0</v>
      </c>
      <c r="T26" s="181">
        <f>_xll.xSPRDOPT(I26,H26,AQ26,AT26,O26,N26,P26,D26-$G$5,1,1)*AF26*F26*AH26</f>
        <v>0</v>
      </c>
      <c r="U26" s="135"/>
      <c r="V26" s="146">
        <f t="shared" si="21"/>
        <v>0</v>
      </c>
      <c r="W26" s="146"/>
      <c r="X26" s="338">
        <f t="shared" si="22"/>
        <v>0</v>
      </c>
      <c r="Y26" s="338">
        <f t="shared" si="23"/>
        <v>0</v>
      </c>
      <c r="Z26" s="338">
        <f t="shared" si="24"/>
        <v>0</v>
      </c>
      <c r="AA26" s="338">
        <f t="shared" si="25"/>
        <v>0</v>
      </c>
      <c r="AB26" s="338">
        <f t="shared" si="26"/>
        <v>0</v>
      </c>
      <c r="AC26" s="338">
        <f t="shared" si="27"/>
        <v>0</v>
      </c>
      <c r="AF26" s="138">
        <f t="shared" si="28"/>
        <v>0</v>
      </c>
      <c r="AG26" s="138">
        <f t="shared" si="29"/>
        <v>4</v>
      </c>
      <c r="AH26" s="138">
        <f t="shared" si="30"/>
        <v>0</v>
      </c>
      <c r="AI26" s="138">
        <f>AI25+AH25</f>
        <v>105</v>
      </c>
      <c r="AJ26" s="138">
        <f t="shared" si="31"/>
        <v>122</v>
      </c>
      <c r="AL26" s="136">
        <f t="shared" si="32"/>
        <v>2.8479999999999999</v>
      </c>
      <c r="AM26" s="258">
        <f t="shared" si="33"/>
        <v>-0.14499999999999999</v>
      </c>
      <c r="AN26" s="258">
        <f t="shared" si="34"/>
        <v>5.0000000000000001E-3</v>
      </c>
      <c r="AO26" s="258">
        <f t="shared" si="35"/>
        <v>0.19500000000000001</v>
      </c>
      <c r="AP26" s="258">
        <f t="shared" si="36"/>
        <v>7.4999999999999997E-3</v>
      </c>
      <c r="AQ26" s="136">
        <f t="shared" si="37"/>
        <v>0</v>
      </c>
      <c r="AR26" s="137">
        <f t="shared" si="38"/>
        <v>0</v>
      </c>
      <c r="AS26" s="136">
        <f t="shared" si="39"/>
        <v>2.7079999999999997</v>
      </c>
      <c r="AT26" s="137">
        <f t="shared" si="40"/>
        <v>1.9422640119623601E-2</v>
      </c>
      <c r="AU26" s="137">
        <f t="shared" si="41"/>
        <v>0</v>
      </c>
      <c r="AV26" s="394">
        <f t="shared" si="42"/>
        <v>0</v>
      </c>
      <c r="AW26" s="137">
        <f t="shared" si="43"/>
        <v>0.61</v>
      </c>
      <c r="AX26" s="137">
        <f t="shared" si="44"/>
        <v>0.57999999999999996</v>
      </c>
      <c r="AY26" s="137">
        <f t="shared" si="45"/>
        <v>0.57999999999999996</v>
      </c>
      <c r="AZ26" s="137"/>
      <c r="BA26" s="264"/>
      <c r="BB26" s="258">
        <f t="shared" si="46"/>
        <v>0</v>
      </c>
      <c r="BC26" s="258">
        <f t="shared" si="47"/>
        <v>0</v>
      </c>
      <c r="BD26" s="137">
        <f t="shared" si="48"/>
        <v>0</v>
      </c>
      <c r="BE26" s="137">
        <f t="shared" si="48"/>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-0.78657664899773372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0.75380346039901236</v>
      </c>
      <c r="BP26" s="137"/>
      <c r="BQ26" s="137"/>
      <c r="BR26" s="137"/>
      <c r="BS26" s="137"/>
      <c r="BV26" s="262">
        <v>2.7079999999999997</v>
      </c>
      <c r="BW26" s="136">
        <v>3.0504999999999995</v>
      </c>
      <c r="BX26" s="137">
        <v>0.61</v>
      </c>
      <c r="BY26" s="137">
        <v>0.61</v>
      </c>
      <c r="BZ26" s="137">
        <v>0</v>
      </c>
      <c r="CA26" s="137">
        <v>1.9422640119623601E-2</v>
      </c>
      <c r="CB26" s="137">
        <v>0</v>
      </c>
      <c r="CC26" s="258">
        <v>-0.14499999999999999</v>
      </c>
      <c r="CD26" s="258">
        <v>5.0000000000000001E-3</v>
      </c>
      <c r="CE26" s="258">
        <v>0.19500000000000001</v>
      </c>
      <c r="CF26" s="258">
        <v>7.4999999999999997E-3</v>
      </c>
      <c r="CG26" s="258">
        <v>0</v>
      </c>
      <c r="CH26" s="258">
        <v>0</v>
      </c>
      <c r="CI26" s="258">
        <v>2.8479999999999999</v>
      </c>
      <c r="CJ26" s="258"/>
      <c r="CK26" s="258"/>
      <c r="CL26" s="258"/>
      <c r="CM26" s="258"/>
    </row>
    <row r="27" spans="1:91" x14ac:dyDescent="0.25">
      <c r="A27" s="723"/>
      <c r="B27" s="723"/>
      <c r="D27" s="31">
        <f>D26+AH26</f>
        <v>37361</v>
      </c>
      <c r="F27" s="28">
        <f t="shared" si="12"/>
        <v>0</v>
      </c>
      <c r="G27" s="28">
        <f t="shared" si="13"/>
        <v>0</v>
      </c>
      <c r="H27" s="52">
        <f t="shared" si="14"/>
        <v>2.7079999999999997</v>
      </c>
      <c r="I27" s="52">
        <f t="shared" si="15"/>
        <v>3.0504999999999995</v>
      </c>
      <c r="K27" s="52">
        <f t="shared" si="16"/>
        <v>0</v>
      </c>
      <c r="L27" s="135">
        <f t="shared" si="17"/>
        <v>0</v>
      </c>
      <c r="N27" s="131">
        <f t="shared" si="18"/>
        <v>0.61</v>
      </c>
      <c r="O27" s="131">
        <f t="shared" si="19"/>
        <v>0.61</v>
      </c>
      <c r="P27" s="55">
        <f t="shared" si="20"/>
        <v>0</v>
      </c>
      <c r="Q27" s="135">
        <f>_xll.xSPRDOPT(I27,H27,AQ27,0,O27,N27,P27,D27-$G$5,1,0)*AH27*AU27</f>
        <v>0</v>
      </c>
      <c r="R27" s="135"/>
      <c r="S27" s="181">
        <f>_xll.xSPRDOPT(I27,H27,AQ27,AT27,O27,N27,P27,D27-$G$5,1,2)*AF27*(F27/(1-AR27))*AH27</f>
        <v>0</v>
      </c>
      <c r="T27" s="181">
        <f>_xll.xSPRDOPT(I27,H27,AQ27,AT27,O27,N27,P27,D27-$G$5,1,1)*AF27*F27*AH27</f>
        <v>0</v>
      </c>
      <c r="U27" s="135"/>
      <c r="V27" s="146">
        <f t="shared" si="21"/>
        <v>0</v>
      </c>
      <c r="W27" s="146"/>
      <c r="X27" s="338">
        <f t="shared" si="22"/>
        <v>0</v>
      </c>
      <c r="Y27" s="338">
        <f t="shared" si="23"/>
        <v>0</v>
      </c>
      <c r="Z27" s="338">
        <f t="shared" si="24"/>
        <v>0</v>
      </c>
      <c r="AA27" s="338">
        <f t="shared" si="25"/>
        <v>0</v>
      </c>
      <c r="AB27" s="338">
        <f t="shared" si="26"/>
        <v>0</v>
      </c>
      <c r="AC27" s="338">
        <f t="shared" si="27"/>
        <v>0</v>
      </c>
      <c r="AF27" s="138">
        <f t="shared" si="28"/>
        <v>0</v>
      </c>
      <c r="AG27" s="138">
        <f t="shared" si="29"/>
        <v>4</v>
      </c>
      <c r="AH27" s="138">
        <f t="shared" si="30"/>
        <v>0</v>
      </c>
      <c r="AI27" s="138">
        <f>AI26+AH26</f>
        <v>105</v>
      </c>
      <c r="AJ27" s="138">
        <f t="shared" si="31"/>
        <v>122</v>
      </c>
      <c r="AL27" s="136">
        <f t="shared" si="32"/>
        <v>2.8479999999999999</v>
      </c>
      <c r="AM27" s="258">
        <f t="shared" si="33"/>
        <v>-0.14499999999999999</v>
      </c>
      <c r="AN27" s="258">
        <f t="shared" si="34"/>
        <v>5.0000000000000001E-3</v>
      </c>
      <c r="AO27" s="258">
        <f t="shared" si="35"/>
        <v>0.19500000000000001</v>
      </c>
      <c r="AP27" s="258">
        <f t="shared" si="36"/>
        <v>7.4999999999999997E-3</v>
      </c>
      <c r="AQ27" s="136">
        <f t="shared" si="37"/>
        <v>0</v>
      </c>
      <c r="AR27" s="137">
        <f t="shared" si="38"/>
        <v>0</v>
      </c>
      <c r="AS27" s="136">
        <f t="shared" si="39"/>
        <v>2.7079999999999997</v>
      </c>
      <c r="AT27" s="137">
        <f t="shared" si="40"/>
        <v>1.9422640119623601E-2</v>
      </c>
      <c r="AU27" s="137">
        <f t="shared" si="41"/>
        <v>0</v>
      </c>
      <c r="AV27" s="394">
        <f t="shared" si="42"/>
        <v>0</v>
      </c>
      <c r="AW27" s="137">
        <f t="shared" si="43"/>
        <v>0.61</v>
      </c>
      <c r="AX27" s="137">
        <f t="shared" si="44"/>
        <v>0.57999999999999996</v>
      </c>
      <c r="AY27" s="137">
        <f t="shared" si="45"/>
        <v>0.57999999999999996</v>
      </c>
      <c r="AZ27" s="137"/>
      <c r="BA27" s="264"/>
      <c r="BB27" s="258">
        <f t="shared" si="46"/>
        <v>0</v>
      </c>
      <c r="BC27" s="258">
        <f t="shared" si="47"/>
        <v>0</v>
      </c>
      <c r="BD27" s="137">
        <f t="shared" si="48"/>
        <v>0</v>
      </c>
      <c r="BE27" s="137">
        <f t="shared" si="48"/>
        <v>0</v>
      </c>
      <c r="BF27" s="137">
        <f>_xll.xSPRDOPT($BW27,$BV27,$CG27,0,$BY27,$BX27,$BZ27,$AJ27,1,4)*$CB27</f>
        <v>0</v>
      </c>
      <c r="BG27" s="137">
        <f>_xll.xSPRDOPT($BW27,$BV27,$CG27,0,$BY27,$BX27,$BZ27,$AJ27,1,3)*$CB27</f>
        <v>0</v>
      </c>
      <c r="BH27" s="137">
        <f>IF(OR(BF27&lt;&gt;0,BG27&lt;&gt;0),_xll.xSPRDOPT($BW27,$BV27,$CG27,0,$BY27,$BX27,$BZ27,$AJ27,1,12)*$CB27,0)</f>
        <v>0</v>
      </c>
      <c r="BI27" s="137">
        <f>_xll.xSPRDOPT($BW27,$BV27,$CG27,2*LN(1+CA27/2),$BY27,$BX27,$BZ27,$AJ27,1,9)</f>
        <v>-0.78657664899773372</v>
      </c>
      <c r="BJ27" s="137">
        <f>_xll.xSPRDOPT($BW27,$BV27,$CG27,0,$BY27,$BX27,$BZ27,$AJ27,1,6)*$CB27</f>
        <v>0</v>
      </c>
      <c r="BK27" s="137">
        <f>_xll.xSPRDOPT($BW27,$BV27,$CG27,0,$BY27,$BX27,$BZ27,$AJ27,1,5)*$CB27</f>
        <v>0</v>
      </c>
      <c r="BL27" s="137">
        <f>_xll.xSPRDOPT(BW27,BV27,CG27,0,BY27,BX27,BZ27,AJ27,1,2)*CB27</f>
        <v>0</v>
      </c>
      <c r="BM27" s="137">
        <f>_xll.xSPRDOPT(BW27,BV27,CG27,0,BY27,BX27,BZ27,AJ27,1,1)*CB27</f>
        <v>0</v>
      </c>
      <c r="BN27" s="137">
        <f>IF(AH27&lt;&gt;0,_xll.xSPRDOPT($BW27,$BV27,$CG27,2*LN(1+CA27/2),$BY27,$BX27,$BZ27,$AJ27,1,8)+(AJ27/365.25)*CH27/AH27,0)</f>
        <v>0</v>
      </c>
      <c r="BO27" s="137">
        <f>_xll.xSPRDOPT($BW27,$BV27,$CG27,0,$BY27,$BX27,$BZ27,$AJ27,1,0)</f>
        <v>0.75380346039901236</v>
      </c>
      <c r="BP27" s="137"/>
      <c r="BQ27" s="137"/>
      <c r="BR27" s="137"/>
      <c r="BS27" s="137"/>
      <c r="BV27" s="262">
        <v>2.7079999999999997</v>
      </c>
      <c r="BW27" s="136">
        <v>3.0504999999999995</v>
      </c>
      <c r="BX27" s="137">
        <v>0.61</v>
      </c>
      <c r="BY27" s="137">
        <v>0.61</v>
      </c>
      <c r="BZ27" s="137">
        <v>0</v>
      </c>
      <c r="CA27" s="137">
        <v>1.9422640119623601E-2</v>
      </c>
      <c r="CB27" s="137">
        <v>0</v>
      </c>
      <c r="CC27" s="258">
        <v>-0.14499999999999999</v>
      </c>
      <c r="CD27" s="258">
        <v>5.0000000000000001E-3</v>
      </c>
      <c r="CE27" s="258">
        <v>0.19500000000000001</v>
      </c>
      <c r="CF27" s="258">
        <v>7.4999999999999997E-3</v>
      </c>
      <c r="CG27" s="258">
        <v>0</v>
      </c>
      <c r="CH27" s="258">
        <v>0</v>
      </c>
      <c r="CI27" s="258">
        <v>2.8479999999999999</v>
      </c>
      <c r="CJ27" s="258"/>
      <c r="CK27" s="258"/>
      <c r="CL27" s="258"/>
      <c r="CM27" s="258"/>
    </row>
  </sheetData>
  <sheetCalcPr fullCalcOnLoad="1"/>
  <mergeCells count="32">
    <mergeCell ref="AM20:AN20"/>
    <mergeCell ref="AO20:AP20"/>
    <mergeCell ref="A22:B22"/>
    <mergeCell ref="A23:B23"/>
    <mergeCell ref="A24:B24"/>
    <mergeCell ref="A27:B27"/>
    <mergeCell ref="A25:B25"/>
    <mergeCell ref="A26:B26"/>
    <mergeCell ref="L14:M14"/>
    <mergeCell ref="L15:M15"/>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79201"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79202"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CX26"/>
  <sheetViews>
    <sheetView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LongTerm101</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101</v>
      </c>
      <c r="F2" s="178" t="str">
        <f>GetRcptPoint($AH$12,$AH$13)</f>
        <v>Tetco/ELA</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4725.4417128038149</v>
      </c>
      <c r="O4" s="352">
        <v>4930.6099999999997</v>
      </c>
      <c r="P4" s="354">
        <f ca="1">N4-O4</f>
        <v>-205.16828719618479</v>
      </c>
      <c r="S4" s="427" t="s">
        <v>635</v>
      </c>
      <c r="T4" s="422">
        <f ca="1">SUMPRODUCT(INDIRECT(CONCATENATE(V4,":",W4)),INDIRECT(CONCATENATE(AV2,":",AW2)),INDIRECT(CONCATENATE(AV3,":",AW3)))</f>
        <v>277.09219733953989</v>
      </c>
      <c r="V4" s="30" t="str">
        <f>ADDRESS(ROW(K22),COLUMN(K22))</f>
        <v>$K$22</v>
      </c>
      <c r="W4" s="30" t="str">
        <f ca="1">GetEnd($AV$1,V4)</f>
        <v>$K$26</v>
      </c>
      <c r="AF4" s="28"/>
      <c r="AG4" s="103" t="s">
        <v>32</v>
      </c>
      <c r="AH4" s="104">
        <f>GetRcptIndexCol($AH$12,$AH$13)</f>
        <v>115</v>
      </c>
      <c r="AI4" s="29"/>
      <c r="AJ4" s="103" t="s">
        <v>72</v>
      </c>
      <c r="AK4" s="104">
        <f>GetNymexCol(AK3)</f>
        <v>3</v>
      </c>
      <c r="AL4" s="34">
        <v>1</v>
      </c>
      <c r="AM4" s="45">
        <f t="shared" ref="AM4:AM15" si="0">GetVolume($AH$12,$AH$13,AT4)</f>
        <v>1597</v>
      </c>
      <c r="AN4" s="46">
        <f t="shared" ref="AN4:AN15" si="1">GetCommodity($AH$12,$AH$13,AT4)</f>
        <v>7.5700000000000003E-2</v>
      </c>
      <c r="AO4" s="47">
        <f t="shared" ref="AO4:AO15" si="2">GetFuelRate($AH$12,$AH$13,AT4)</f>
        <v>7.0699999999999999E-2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4448.3495154642742</v>
      </c>
      <c r="V5" s="30" t="str">
        <f>ADDRESS(ROW(L22),COLUMN(L22))</f>
        <v>$L$22</v>
      </c>
      <c r="W5" s="30" t="str">
        <f ca="1">GetEnd($AV$1,V5)</f>
        <v>$L$26</v>
      </c>
      <c r="AF5" s="28"/>
      <c r="AG5" s="103" t="s">
        <v>33</v>
      </c>
      <c r="AH5" s="104">
        <f>GetDelBasisCol($AH$12,$AH$13)</f>
        <v>98</v>
      </c>
      <c r="AI5" s="29"/>
      <c r="AJ5" s="103" t="s">
        <v>77</v>
      </c>
      <c r="AK5" s="104" t="str">
        <f>LiborCurve</f>
        <v>Libor AA</v>
      </c>
      <c r="AL5" s="34">
        <v>2</v>
      </c>
      <c r="AM5" s="37">
        <f t="shared" si="0"/>
        <v>1597</v>
      </c>
      <c r="AN5" s="38">
        <f t="shared" si="1"/>
        <v>7.5700000000000003E-2</v>
      </c>
      <c r="AO5" s="39">
        <f t="shared" si="2"/>
        <v>7.0699999999999999E-2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4725.4417128038149</v>
      </c>
      <c r="O6" s="357">
        <v>4930.6099999999997</v>
      </c>
      <c r="P6" s="358">
        <f ca="1">N6-O6</f>
        <v>-205.16828719618479</v>
      </c>
      <c r="S6" s="428" t="s">
        <v>637</v>
      </c>
      <c r="T6" s="424">
        <f ca="1">SUMPRODUCT(INDIRECT(CONCATENATE(V6,":",W6)),INDIRECT(CONCATENATE(AV3,":",AW3)),INDIRECT(CONCATENATE(AX3,":",AY3)))</f>
        <v>143287.32002703502</v>
      </c>
      <c r="V6" s="30" t="str">
        <f>ADDRESS(ROW(G22),COLUMN(G22))</f>
        <v>$G$22</v>
      </c>
      <c r="W6" s="30" t="str">
        <f ca="1">GetEnd($AV$1,V6)</f>
        <v>$G$26</v>
      </c>
      <c r="AF6" s="28"/>
      <c r="AG6" s="103" t="s">
        <v>34</v>
      </c>
      <c r="AH6" s="104">
        <f>GetDelIndexCol($AH$12,$AH$13)</f>
        <v>99</v>
      </c>
      <c r="AI6" s="29"/>
      <c r="AJ6" s="103" t="s">
        <v>79</v>
      </c>
      <c r="AK6" s="104">
        <f>GetLiborCol(AK5)</f>
        <v>4</v>
      </c>
      <c r="AL6" s="34">
        <v>3</v>
      </c>
      <c r="AM6" s="37">
        <f t="shared" si="0"/>
        <v>1597</v>
      </c>
      <c r="AN6" s="38">
        <f t="shared" si="1"/>
        <v>7.5700000000000003E-2</v>
      </c>
      <c r="AO6" s="39">
        <f t="shared" si="2"/>
        <v>7.0699999999999999E-2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926.09</v>
      </c>
      <c r="P7" s="355">
        <f ca="1">N7</f>
        <v>0</v>
      </c>
      <c r="S7" s="428" t="s">
        <v>638</v>
      </c>
      <c r="T7" s="425">
        <f ca="1">T5/T6</f>
        <v>3.1044962768687231E-2</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0.99669552473003475</v>
      </c>
      <c r="V8" s="30" t="str">
        <f>ADDRESS(ROW(P22),COLUMN(P22))</f>
        <v>$P$22</v>
      </c>
      <c r="W8" s="30" t="str">
        <f ca="1">GetEnd($AV$1,V8)</f>
        <v>$P$26</v>
      </c>
      <c r="Y8" s="334">
        <f ca="1">SUMIF(INDIRECT(CONCATENATE(V8,":",W8)),"&gt;0",INDIRECT(CONCATENATE(V8,":",W8)))</f>
        <v>2.9900865741901042</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358.16</v>
      </c>
      <c r="P9" s="355">
        <f ca="1">N9</f>
        <v>0</v>
      </c>
      <c r="AF9" s="28"/>
      <c r="AG9" s="52"/>
      <c r="AH9" s="52"/>
      <c r="AI9" s="29"/>
      <c r="AJ9" s="103" t="s">
        <v>139</v>
      </c>
      <c r="AK9" s="105">
        <f>GetCorrelCol($AH$12,$AH$13)</f>
        <v>25</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3489.9777546479991</v>
      </c>
      <c r="L10" s="706" t="s">
        <v>628</v>
      </c>
      <c r="M10" s="707"/>
      <c r="N10" s="352">
        <f ca="1">-SUMPRODUCT(INDIRECT(CONCATENATE(AV10,":",AW10)),INDIRECT(CONCATENATE($AX$7,":",$AY$7)),INDIRECT(CONCATENATE($AV$3,":",$AW$3)))</f>
        <v>-30556.012291940358</v>
      </c>
      <c r="O10" s="352">
        <v>-30551.24</v>
      </c>
      <c r="P10" s="355">
        <f t="shared" ref="P10:P19" ca="1" si="10">N10-O10</f>
        <v>-4.7722919403568085</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277.09219733953989</v>
      </c>
      <c r="L11" s="704" t="s">
        <v>629</v>
      </c>
      <c r="M11" s="705"/>
      <c r="N11" s="356">
        <f ca="1">-SUMPRODUCT(INDIRECT(CONCATENATE(AV11,":",AW11)),INDIRECT(CONCATENATE($AV$2,":",$AW$2)),INDIRECT(CONCATENATE($AV$3,":",$AW$3)),INDIRECT(CONCATENATE(AX3,":",AY3)))</f>
        <v>-10880.361000000001</v>
      </c>
      <c r="O11" s="357">
        <v>-10880.36</v>
      </c>
      <c r="P11" s="358">
        <f t="shared" ca="1" si="10"/>
        <v>-1.0000000002037268E-3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-123.65</v>
      </c>
      <c r="P12" s="355">
        <f t="shared" ca="1" si="10"/>
        <v>123.65</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4.3899999999999997</v>
      </c>
      <c r="P13" s="355">
        <f t="shared" ca="1" si="10"/>
        <v>-4.3899999999999997</v>
      </c>
      <c r="X13" s="498" t="s">
        <v>761</v>
      </c>
      <c r="AG13" s="248" t="s">
        <v>186</v>
      </c>
      <c r="AH13" s="119">
        <f>GetRecNdx($AH$12,$D$2)</f>
        <v>17</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-158.96626633075005</v>
      </c>
      <c r="O14" s="352">
        <v>-51.14</v>
      </c>
      <c r="P14" s="355">
        <f t="shared" ca="1" si="10"/>
        <v>-107.82626633075004</v>
      </c>
      <c r="S14" s="181">
        <f>F22/(1-AR22)*AH22*AU22</f>
        <v>53194.48446154056</v>
      </c>
      <c r="T14" s="181">
        <f>F22*AH22*AU22</f>
        <v>49433.63441010964</v>
      </c>
      <c r="X14" s="500" t="s">
        <v>762</v>
      </c>
      <c r="Y14" s="501" t="s">
        <v>763</v>
      </c>
      <c r="AL14" s="34">
        <v>11</v>
      </c>
      <c r="AM14" s="37">
        <f t="shared" si="0"/>
        <v>1597</v>
      </c>
      <c r="AN14" s="38">
        <f t="shared" si="1"/>
        <v>7.5700000000000003E-2</v>
      </c>
      <c r="AO14" s="39">
        <f t="shared" si="2"/>
        <v>7.0699999999999999E-2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44.204871864927554</v>
      </c>
      <c r="O15" s="352">
        <v>21.2</v>
      </c>
      <c r="P15" s="355">
        <f t="shared" ca="1" si="10"/>
        <v>23.004871864927555</v>
      </c>
      <c r="X15" s="502">
        <v>2001</v>
      </c>
      <c r="Y15" s="503">
        <v>0</v>
      </c>
      <c r="AL15" s="34">
        <v>12</v>
      </c>
      <c r="AM15" s="41">
        <f t="shared" si="0"/>
        <v>1597</v>
      </c>
      <c r="AN15" s="42">
        <f t="shared" si="1"/>
        <v>7.5700000000000003E-2</v>
      </c>
      <c r="AO15" s="43">
        <f t="shared" si="2"/>
        <v>7.0699999999999999E-2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-0.1</v>
      </c>
      <c r="P16" s="355">
        <f t="shared" ca="1" si="10"/>
        <v>0.1</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0.7730100935738532</v>
      </c>
      <c r="O17" s="357">
        <v>0.27</v>
      </c>
      <c r="P17" s="358">
        <f t="shared" ca="1" si="10"/>
        <v>0.50301009357385318</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277.09219733953989</v>
      </c>
      <c r="O18" s="352">
        <v>277.05</v>
      </c>
      <c r="P18" s="355">
        <f t="shared" ca="1" si="10"/>
        <v>4.219733953988225E-2</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4448.3495154642742</v>
      </c>
      <c r="O19" s="359">
        <v>4653.5600000000004</v>
      </c>
      <c r="P19" s="360">
        <f t="shared" ca="1" si="10"/>
        <v>-205.21048453572621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IF-TETCO/ELA Basis Mid</v>
      </c>
      <c r="T20" s="182" t="str">
        <f>GetDelBasis($AH$12,$AH$13)</f>
        <v>IF-CNG/APPALACH Basis Mid</v>
      </c>
      <c r="U20" s="158"/>
      <c r="V20" s="158"/>
      <c r="W20" s="158"/>
      <c r="X20" s="158"/>
      <c r="Y20" s="335"/>
      <c r="Z20" s="335"/>
      <c r="AA20" s="335"/>
      <c r="AB20" s="335"/>
      <c r="AC20" s="335"/>
      <c r="AI20" s="138"/>
      <c r="AM20" s="702" t="str">
        <f>GetRcptPoint($AH$12,$AH$13)</f>
        <v>Tetco/ELA</v>
      </c>
      <c r="AN20" s="703"/>
      <c r="AO20" s="702" t="str">
        <f>GetDelPoint($AH$12,$AH$13)</f>
        <v>CNG/Appalach</v>
      </c>
      <c r="AP20" s="703"/>
      <c r="AQ20" s="137"/>
      <c r="AS20" s="137"/>
      <c r="AU20" s="136" t="s">
        <v>576</v>
      </c>
      <c r="AV20" s="353">
        <f ca="1">SUMPRODUCT(INDIRECT(CONCATENATE(AV8,":",AW8)),INDIRECT(CONCATENATE($AV$2,":",$AW$2)),INDIRECT(CONCATENATE($AV$3,":",$AW$3)),INDIRECT(CONCATENATE(AX3,":",AY3)))</f>
        <v>-9701.7750000000015</v>
      </c>
      <c r="AW20" s="353">
        <f ca="1">SUMPRODUCT(INDIRECT(CONCATENATE(AX8,":",AY8)),INDIRECT(CONCATENATE($AV$2,":",$AW$2)),INDIRECT(CONCATENATE($AV$3,":",$AW$3)),INDIRECT(CONCATENATE(AX3,":",AY3)))</f>
        <v>27384.557500000003</v>
      </c>
      <c r="AX20" s="353">
        <f ca="1">SUMPRODUCT(INDIRECT(CONCATENATE(AV9,":",AW9)),INDIRECT(CONCATENATE($AV$2,":",$AW$2)),INDIRECT(CONCATENATE($AV$3,":",$AW$3)),INDIRECT(CONCATENATE(AX3,":",AY3)))</f>
        <v>-359.32499999999999</v>
      </c>
      <c r="AY20" s="353">
        <f ca="1">SUMPRODUCT(INDIRECT(CONCATENATE(AX9,":",AY9)),INDIRECT(CONCATENATE($AV$2,":",$AW$2)),INDIRECT(CONCATENATE($AV$3,":",$AW$3)),INDIRECT(CONCATENATE(AX3,":",AY3)))</f>
        <v>2874.6</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1597</v>
      </c>
      <c r="G22" s="28">
        <f>F22*$AU22</f>
        <v>1594.633368068053</v>
      </c>
      <c r="H22" s="52">
        <f>(AL22+AM22+AN22)/(1-(AR22))</f>
        <v>2.9871946626493062</v>
      </c>
      <c r="I22" s="52">
        <f>(AL22+AO22+AP22)</f>
        <v>3.0685000000000002</v>
      </c>
      <c r="K22" s="52">
        <f>MAX(((I22-H22)-AQ22)*AU22*AH22,0)</f>
        <v>0.17350795074485906</v>
      </c>
      <c r="L22" s="135">
        <f>MAX(Q22-K22,0)</f>
        <v>1.0040415348058489</v>
      </c>
      <c r="N22" s="131">
        <f>SQRT(($AX22^2*($AH22/2)+$AW22^2*$AI22)/(($AH22/2)+$AI22))</f>
        <v>0.96016221307122684</v>
      </c>
      <c r="O22" s="131">
        <f>SQRT(($AY22^2*($AH22/2)+$AW22^2*$AI22)/(($AH22/2)+$AI22))</f>
        <v>0.98794454613075744</v>
      </c>
      <c r="P22" s="55">
        <f>(VLOOKUP(AI22,CorrelationTwo,2)*(AW22^2)*AI22+VLOOKUP(D22,CorrelationOne,$AK$9)*AX22*AY22*(AH22/2))/((AI22+(AH22/2))*O22*N22)*AF22</f>
        <v>0.99581295567868766</v>
      </c>
      <c r="Q22" s="135">
        <f>_xll.xSPRDOPT(I22,H22,AQ22,0,O22,N22,P22,D22-$G$5,1,0)*AH22*AU22</f>
        <v>1.177549485550708</v>
      </c>
      <c r="R22" s="135"/>
      <c r="S22" s="181">
        <f>_xll.xSPRDOPT(I22,H22,AQ22,AT22,O22,N22,P22,D22-$G$5,1,2)*AF22*(F22/(1-AR22))*AH22</f>
        <v>-27850.023426989563</v>
      </c>
      <c r="T22" s="181">
        <f>_xll.xSPRDOPT(I22,H22,AQ22,AT22,O22,N22,P22,D22-$G$5,1,1)*AF22*F22*AH22</f>
        <v>26385.052994893224</v>
      </c>
      <c r="U22" s="135"/>
      <c r="V22" s="146">
        <f>($Y$12+VLOOKUP(YEAR(D22),$X$15:$Y$17,2,FALSE))*AH22*AU22</f>
        <v>0</v>
      </c>
      <c r="W22" s="146"/>
      <c r="X22" s="338">
        <f>((BM22*BC22)+(BL22*BB22))*AH22*F22</f>
        <v>0</v>
      </c>
      <c r="Y22" s="338">
        <f>($F22*$AH22)*((($BG22/2)*($BC22)^2)+(($BF22/2)*($BB22)^2)+($BH22*$BC22*$BB22))</f>
        <v>0</v>
      </c>
      <c r="Z22" s="338">
        <f>($BI22*$F22*$AH22*($G$5-$BV$5))/365.25</f>
        <v>-86.943736203871438</v>
      </c>
      <c r="AA22" s="338">
        <f>(($BK22*$BE22)+($BJ22*$BD22))*$F22*$AH22*$AF22</f>
        <v>33.798123931359363</v>
      </c>
      <c r="AB22" s="338">
        <f>BN22*(AT22-CA22)*F22*AH22</f>
        <v>0</v>
      </c>
      <c r="AC22" s="338">
        <f>BO22*CB22*F22*AH22*CA22*($G$5-$BV$5)/365.25</f>
        <v>0.30908785497397206</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-6.7500000000000004E-2</v>
      </c>
      <c r="AN22" s="258">
        <f>VLOOKUP($D22,CurveTbl,$AH$4)+VLOOKUP($AG22,$AL$3:$AS$15,6)</f>
        <v>-2.5000000000000001E-3</v>
      </c>
      <c r="AO22" s="258">
        <f>VLOOKUP($D22,CurveTbl,$AH$5)</f>
        <v>0.20250000000000001</v>
      </c>
      <c r="AP22" s="258">
        <f>VLOOKUP($D22,CurveTbl,$AH$6)+VLOOKUP($AG22,$AL$3:$AS$15,7)</f>
        <v>0.02</v>
      </c>
      <c r="AQ22" s="136">
        <f>VLOOKUP($AG22,$AL$4:$AS$15,3)+VLOOKUP($AG22,$AL$4:$AS$15,5)+($AH$10*VLOOKUP(D22,GRITable,2))</f>
        <v>7.5700000000000003E-2</v>
      </c>
      <c r="AR22" s="137">
        <f>VLOOKUP($AG22,$AL$4:$AS$15,4)</f>
        <v>7.0699999999999999E-2</v>
      </c>
      <c r="AS22" s="136">
        <f>(AL22+AM22+AN22)</f>
        <v>2.7760000000000002</v>
      </c>
      <c r="AT22" s="137">
        <f>VLOOKUP(D22,CurveTbl,$AK$6)</f>
        <v>1.8765908157160699E-2</v>
      </c>
      <c r="AU22" s="137">
        <f>(1+$AT22/2)^(-2*($D22-$G$5)/365.25)*$AF22</f>
        <v>0.99851807643585033</v>
      </c>
      <c r="AV22" s="394">
        <f>ROUND((F22/(1-AR22))-F22,0)*AF22*AH22*AU22</f>
        <v>3745.4413047108746</v>
      </c>
      <c r="AW22" s="137">
        <f>VLOOKUP($D22,CurveTbl,$AK$8)</f>
        <v>0.87</v>
      </c>
      <c r="AX22" s="137">
        <f>VLOOKUP($D22,CurveTbl,$AH$7)</f>
        <v>1.04</v>
      </c>
      <c r="AY22" s="137">
        <f>VLOOKUP($D22,CurveTbl,$AH$8)</f>
        <v>1.0900000000000001</v>
      </c>
      <c r="AZ22" s="137"/>
      <c r="BA22" s="264"/>
      <c r="BB22" s="258">
        <f>$H22-$BV22</f>
        <v>0</v>
      </c>
      <c r="BC22" s="258">
        <f>I22-BW22</f>
        <v>0</v>
      </c>
      <c r="BD22" s="137">
        <f t="shared" ref="BD22:BE26" si="12">N22-BX22</f>
        <v>7.7262160833929672E-3</v>
      </c>
      <c r="BE22" s="137">
        <f t="shared" si="12"/>
        <v>9.9821502477693835E-3</v>
      </c>
      <c r="BF22" s="137">
        <f>_xll.xSPRDOPT($BW22,$BV22,$CG22,0,$BY22,$BX22,$BZ22,$AJ22,1,4)*$CB22</f>
        <v>4.2168872798398143</v>
      </c>
      <c r="BG22" s="137">
        <f>_xll.xSPRDOPT($BW22,$BV22,$CG22,0,$BY22,$BX22,$BZ22,$AJ22,1,3)*$CB22</f>
        <v>4.1998359036625947</v>
      </c>
      <c r="BH22" s="137">
        <f>IF(OR(BF22&lt;&gt;0,BG22&lt;&gt;0),_xll.xSPRDOPT($BW22,$BV22,$CG22,0,$BY22,$BX22,$BZ22,$AJ22,1,12)*$CB22,0)</f>
        <v>-4.2082702285848956</v>
      </c>
      <c r="BI22" s="137">
        <f>_xll.xSPRDOPT($BW22,$BV22,$CG22,2*LN(1+CA22/2),$BY22,$BX22,$BZ22,$AJ22,1,9)</f>
        <v>-0.21381622564124969</v>
      </c>
      <c r="BJ22" s="137">
        <f>_xll.xSPRDOPT($BW22,$BV22,$CG22,0,$BY22,$BX22,$BZ22,$AJ22,1,6)*$CB22</f>
        <v>-0.14980974783137113</v>
      </c>
      <c r="BK22" s="137">
        <f>_xll.xSPRDOPT($BW22,$BV22,$CG22,0,$BY22,$BX22,$BZ22,$AJ22,1,5)*$CB22</f>
        <v>0.18434468299487622</v>
      </c>
      <c r="BL22" s="137">
        <f>_xll.xSPRDOPT(BW22,BV22,CG22,0,BY22,BX22,BZ22,AJ22,1,2)*CB22</f>
        <v>-0.5201708941060974</v>
      </c>
      <c r="BM22" s="137">
        <f>_xll.xSPRDOPT(BW22,BV22,CG22,0,BY22,BX22,BZ22,AJ22,1,1)*CB22</f>
        <v>0.53122587270400012</v>
      </c>
      <c r="BN22" s="137">
        <f>IF(AH22&lt;&gt;0,_xll.xSPRDOPT($BW22,$BV22,$CG22,2*LN(1+CA22/2),$BY22,$BX22,$BZ22,$AJ22,1,8)+(AJ22/365.25)*CH22/AH22,0)</f>
        <v>-3.5487423370207474E-3</v>
      </c>
      <c r="BO22" s="137">
        <f>_xll.xSPRDOPT($BW22,$BV22,$CG22,0,$BY22,$BX22,$BZ22,$AJ22,1,0)</f>
        <v>4.0571905979131073E-2</v>
      </c>
      <c r="BP22" s="137"/>
      <c r="BQ22" s="137"/>
      <c r="BR22" s="137"/>
      <c r="BS22" s="137"/>
      <c r="BV22" s="262">
        <v>2.9871946626493062</v>
      </c>
      <c r="BW22" s="136">
        <v>3.0685000000000002</v>
      </c>
      <c r="BX22" s="137">
        <v>0.95243599698783388</v>
      </c>
      <c r="BY22" s="137">
        <v>0.97796239588298806</v>
      </c>
      <c r="BZ22" s="137">
        <v>0.99536260574645685</v>
      </c>
      <c r="CA22" s="137">
        <v>1.8765908157160699E-2</v>
      </c>
      <c r="CB22" s="137">
        <v>0.99836489939579565</v>
      </c>
      <c r="CC22" s="258">
        <v>-6.7500000000000004E-2</v>
      </c>
      <c r="CD22" s="258">
        <v>-2.5000000000000001E-3</v>
      </c>
      <c r="CE22" s="258">
        <v>0.20250000000000001</v>
      </c>
      <c r="CF22" s="258">
        <v>0.02</v>
      </c>
      <c r="CG22" s="258">
        <v>7.5700000000000003E-2</v>
      </c>
      <c r="CH22" s="258">
        <v>0</v>
      </c>
      <c r="CI22" s="258">
        <v>2.8460000000000001</v>
      </c>
      <c r="CJ22" s="258"/>
      <c r="CK22" s="258"/>
      <c r="CL22" s="258"/>
      <c r="CM22" s="258"/>
    </row>
    <row r="23" spans="1:91" x14ac:dyDescent="0.25">
      <c r="A23" s="723"/>
      <c r="B23" s="723"/>
      <c r="D23" s="31">
        <f>D22+AH22</f>
        <v>37302</v>
      </c>
      <c r="F23" s="28">
        <f>VLOOKUP(AG23,$AL$4:$AS$15,2)</f>
        <v>1597</v>
      </c>
      <c r="G23" s="28">
        <f>F23*$AU23</f>
        <v>1591.9622534188507</v>
      </c>
      <c r="H23" s="52">
        <f>(AL23+AM23+AN23)/(1-(AR23))</f>
        <v>3.0539115463251911</v>
      </c>
      <c r="I23" s="52">
        <f>(AL23+AO23+AP23)</f>
        <v>3.1280000000000001</v>
      </c>
      <c r="K23" s="52">
        <f>MAX(((I23-H23)-AQ23)*AU23*AH23,0)</f>
        <v>0</v>
      </c>
      <c r="L23" s="135">
        <f>MAX(Q23-K23,0)</f>
        <v>1.1812920623438061</v>
      </c>
      <c r="N23" s="131">
        <f>SQRT(($AX23^2*($AH23/2)+$AW23^2*$AI23)/(($AH23/2)+$AI23))</f>
        <v>0.90885229823112634</v>
      </c>
      <c r="O23" s="131">
        <f>SQRT(($AY23^2*($AH23/2)+$AW23^2*$AI23)/(($AH23/2)+$AI23))</f>
        <v>0.92242208343035681</v>
      </c>
      <c r="P23" s="55">
        <f>(VLOOKUP(AI23,CorrelationTwo,2)*(AW23^2)*AI23+VLOOKUP(D23,CorrelationOne,$AK$9)*AX23*AY23*(AH23/2))/((AI23+(AH23/2))*O23*N23)*AF23</f>
        <v>0.99634065761756163</v>
      </c>
      <c r="Q23" s="135">
        <f>_xll.xSPRDOPT(I23,H23,AQ23,0,O23,N23,P23,D23-$G$5,1,0)*AH23*AU23</f>
        <v>1.1812920623438061</v>
      </c>
      <c r="R23" s="135"/>
      <c r="S23" s="181">
        <f>_xll.xSPRDOPT(I23,H23,AQ23,AT23,O23,N23,P23,D23-$G$5,1,2)*AF23*(F23/(1-AR23))*AH23</f>
        <v>-23563.214668236171</v>
      </c>
      <c r="T23" s="181">
        <f>_xll.xSPRDOPT(I23,H23,AQ23,AT23,O23,N23,P23,D23-$G$5,1,1)*AF23*F23*AH23</f>
        <v>22451.167290904639</v>
      </c>
      <c r="U23" s="135"/>
      <c r="V23" s="146">
        <f>($Y$12+VLOOKUP(YEAR(D23),$X$15:$Y$17,2,FALSE))*AH23*AU23</f>
        <v>0</v>
      </c>
      <c r="W23" s="146"/>
      <c r="X23" s="338">
        <f>((BM23*BC23)+(BL23*BB23))*AH23*F23</f>
        <v>0</v>
      </c>
      <c r="Y23" s="338">
        <f>($F23*$AH23)*((($BG23/2)*($BC23)^2)+(($BF23/2)*($BB23)^2)+($BH23*$BC23*$BB23))</f>
        <v>0</v>
      </c>
      <c r="Z23" s="338">
        <f>($BI23*$F23*$AH23*($G$5-$BV$5))/365.25</f>
        <v>-46.767625835504901</v>
      </c>
      <c r="AA23" s="338">
        <f>(($BK23*$BE23)+($BJ23*$BD23))*$F23*$AH23*$AF23</f>
        <v>10.406747933568189</v>
      </c>
      <c r="AB23" s="338">
        <f>BN23*(AT23-CA23)*F23*AH23</f>
        <v>0</v>
      </c>
      <c r="AC23" s="338">
        <f>BO23*CB23*F23*AH23*CA23*($G$5-$BV$5)/365.25</f>
        <v>0.30747568398222114</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-6.7500000000000004E-2</v>
      </c>
      <c r="AN23" s="258">
        <f>VLOOKUP($D23,CurveTbl,$AH$4)+VLOOKUP($AG23,$AL$3:$AS$15,6)</f>
        <v>-2.5000000000000001E-3</v>
      </c>
      <c r="AO23" s="258">
        <f>VLOOKUP($D23,CurveTbl,$AH$5)</f>
        <v>0.2</v>
      </c>
      <c r="AP23" s="258">
        <f>VLOOKUP($D23,CurveTbl,$AH$6)+VLOOKUP($AG23,$AL$3:$AS$15,7)</f>
        <v>0.02</v>
      </c>
      <c r="AQ23" s="136">
        <f>VLOOKUP($AG23,$AL$4:$AS$15,3)+VLOOKUP($AG23,$AL$4:$AS$15,5)+($AH$10*VLOOKUP(D23,GRITable,2))</f>
        <v>7.5700000000000003E-2</v>
      </c>
      <c r="AR23" s="137">
        <f>VLOOKUP($AG23,$AL$4:$AS$15,4)</f>
        <v>7.0699999999999999E-2</v>
      </c>
      <c r="AS23" s="136">
        <f>(AL23+AM23+AN23)</f>
        <v>2.8380000000000001</v>
      </c>
      <c r="AT23" s="137">
        <f>VLOOKUP(D23,CurveTbl,$AK$6)</f>
        <v>1.9326187282006298E-2</v>
      </c>
      <c r="AU23" s="137">
        <f>(1+$AT23/2)^(-2*($D23-$G$5)/365.25)*$AF23</f>
        <v>0.99684549368744568</v>
      </c>
      <c r="AV23" s="394">
        <f>ROUND((F23/(1-AR23))-F23,0)*AF23*AH23*AU23</f>
        <v>3377.3125326130662</v>
      </c>
      <c r="AW23" s="137">
        <f>VLOOKUP($D23,CurveTbl,$AK$8)</f>
        <v>0.86499999999999999</v>
      </c>
      <c r="AX23" s="137">
        <f>VLOOKUP($D23,CurveTbl,$AH$7)</f>
        <v>1.04</v>
      </c>
      <c r="AY23" s="137">
        <f>VLOOKUP($D23,CurveTbl,$AH$8)</f>
        <v>1.0900000000000001</v>
      </c>
      <c r="AZ23" s="137"/>
      <c r="BA23" s="264"/>
      <c r="BB23" s="258">
        <f>$H23-$BV23</f>
        <v>0</v>
      </c>
      <c r="BC23" s="258">
        <f>I23-BW23</f>
        <v>0</v>
      </c>
      <c r="BD23" s="137">
        <f t="shared" si="12"/>
        <v>2.0401162808982853E-3</v>
      </c>
      <c r="BE23" s="137">
        <f t="shared" si="12"/>
        <v>2.6530906935935405E-3</v>
      </c>
      <c r="BF23" s="137">
        <f>_xll.xSPRDOPT($BW23,$BV23,$CG23,0,$BY23,$BX23,$BZ23,$AJ23,1,4)*$CB23</f>
        <v>3.5916989352579853</v>
      </c>
      <c r="BG23" s="137">
        <f>_xll.xSPRDOPT($BW23,$BV23,$CG23,0,$BY23,$BX23,$BZ23,$AJ23,1,3)*$CB23</f>
        <v>3.5909138438101551</v>
      </c>
      <c r="BH23" s="137">
        <f>IF(OR(BF23&lt;&gt;0,BG23&lt;&gt;0),_xll.xSPRDOPT($BW23,$BV23,$CG23,0,$BY23,$BX23,$BZ23,$AJ23,1,12)*$CB23,0)</f>
        <v>-3.5911833460964138</v>
      </c>
      <c r="BI23" s="137">
        <f>_xll.xSPRDOPT($BW23,$BV23,$CG23,2*LN(1+CA23/2),$BY23,$BX23,$BZ23,$AJ23,1,9)</f>
        <v>-0.12733604180769126</v>
      </c>
      <c r="BJ23" s="137">
        <f>_xll.xSPRDOPT($BW23,$BV23,$CG23,0,$BY23,$BX23,$BZ23,$AJ23,1,6)*$CB23</f>
        <v>-0.18275274346321527</v>
      </c>
      <c r="BK23" s="137">
        <f>_xll.xSPRDOPT($BW23,$BV23,$CG23,0,$BY23,$BX23,$BZ23,$AJ23,1,5)*$CB23</f>
        <v>0.22824952720520336</v>
      </c>
      <c r="BL23" s="137">
        <f>_xll.xSPRDOPT(BW23,BV23,CG23,0,BY23,BX23,BZ23,AJ23,1,2)*CB23</f>
        <v>-0.48953197761142375</v>
      </c>
      <c r="BM23" s="137">
        <f>_xll.xSPRDOPT(BW23,BV23,CG23,0,BY23,BX23,BZ23,AJ23,1,1)*CB23</f>
        <v>0.50227966748396491</v>
      </c>
      <c r="BN23" s="137">
        <f>IF(AH23&lt;&gt;0,_xll.xSPRDOPT($BW23,$BV23,$CG23,2*LN(1+CA23/2),$BY23,$BX23,$BZ23,$AJ23,1,8)+(AJ23/365.25)*CH23/AH23,0)</f>
        <v>-7.4717260428110261E-3</v>
      </c>
      <c r="BO23" s="137">
        <f>_xll.xSPRDOPT($BW23,$BV23,$CG23,0,$BY23,$BX23,$BZ23,$AJ23,1,0)</f>
        <v>4.3462166623139932E-2</v>
      </c>
      <c r="BP23" s="137"/>
      <c r="BQ23" s="137"/>
      <c r="BR23" s="137"/>
      <c r="BS23" s="137"/>
      <c r="BV23" s="262">
        <v>3.0539115463251911</v>
      </c>
      <c r="BW23" s="136">
        <v>3.1280000000000001</v>
      </c>
      <c r="BX23" s="137">
        <v>0.90681218195022806</v>
      </c>
      <c r="BY23" s="137">
        <v>0.91976899273676327</v>
      </c>
      <c r="BZ23" s="137">
        <v>0.99627891200740992</v>
      </c>
      <c r="CA23" s="137">
        <v>1.9326187282006298E-2</v>
      </c>
      <c r="CB23" s="137">
        <v>0.99668802984454063</v>
      </c>
      <c r="CC23" s="258">
        <v>-6.7500000000000004E-2</v>
      </c>
      <c r="CD23" s="258">
        <v>-2.5000000000000001E-3</v>
      </c>
      <c r="CE23" s="258">
        <v>0.2</v>
      </c>
      <c r="CF23" s="258">
        <v>0.02</v>
      </c>
      <c r="CG23" s="258">
        <v>7.5700000000000003E-2</v>
      </c>
      <c r="CH23" s="258">
        <v>0</v>
      </c>
      <c r="CI23" s="258">
        <v>2.9079999999999999</v>
      </c>
      <c r="CJ23" s="258"/>
      <c r="CK23" s="258"/>
      <c r="CL23" s="258"/>
      <c r="CM23" s="258"/>
    </row>
    <row r="24" spans="1:91" x14ac:dyDescent="0.25">
      <c r="A24" s="723"/>
      <c r="B24" s="723"/>
      <c r="D24" s="31">
        <f>D23+AH23</f>
        <v>37330</v>
      </c>
      <c r="F24" s="28">
        <f>VLOOKUP(AG24,$AL$4:$AS$15,2)</f>
        <v>1597</v>
      </c>
      <c r="G24" s="28">
        <f>F24*$AU24</f>
        <v>1589.6368555225017</v>
      </c>
      <c r="H24" s="52">
        <f>(AL24+AM24+AN24)/(1-(AR24))</f>
        <v>3.0474550737113959</v>
      </c>
      <c r="I24" s="52">
        <f>(AL24+AO24+AP24)</f>
        <v>3.0920000000000001</v>
      </c>
      <c r="K24" s="52">
        <f>MAX(((I24-H24)-AQ24)*AU24*AH24,0)</f>
        <v>0</v>
      </c>
      <c r="L24" s="135">
        <f>MAX(Q24-K24,0)</f>
        <v>0.60010755217049183</v>
      </c>
      <c r="N24" s="131">
        <f>SQRT(($AX24^2*($AH24/2)+$AW24^2*$AI24)/(($AH24/2)+$AI24))</f>
        <v>0.79</v>
      </c>
      <c r="O24" s="131">
        <f>SQRT(($AY24^2*($AH24/2)+$AW24^2*$AI24)/(($AH24/2)+$AI24))</f>
        <v>0.79</v>
      </c>
      <c r="P24" s="55">
        <f>(VLOOKUP(AI24,CorrelationTwo,2)*(AW24^2)*AI24+VLOOKUP(D24,CorrelationOne,$AK$9)*AX24*AY24*(AH24/2))/((AI24+(AH24/2))*O24*N24)*AF24</f>
        <v>0.99793296089385497</v>
      </c>
      <c r="Q24" s="135">
        <f>_xll.xSPRDOPT(I24,H24,AQ24,0,O24,N24,P24,D24-$G$5,1,0)*AH24*AU24</f>
        <v>0.60010755217049183</v>
      </c>
      <c r="R24" s="135"/>
      <c r="S24" s="181">
        <f>_xll.xSPRDOPT(I24,H24,AQ24,AT24,O24,N24,P24,D24-$G$5,1,2)*AF24*(F24/(1-AR24))*AH24</f>
        <v>-18596.505817341898</v>
      </c>
      <c r="T24" s="181">
        <f>_xll.xSPRDOPT(I24,H24,AQ24,AT24,O24,N24,P24,D24-$G$5,1,1)*AF24*F24*AH24</f>
        <v>17711.441726621804</v>
      </c>
      <c r="U24" s="135"/>
      <c r="V24" s="146">
        <f>($Y$12+VLOOKUP(YEAR(D24),$X$15:$Y$17,2,FALSE))*AH24*AU24</f>
        <v>0</v>
      </c>
      <c r="W24" s="146"/>
      <c r="X24" s="338">
        <f>((BM24*BC24)+(BL24*BB24))*AH24*F24</f>
        <v>0</v>
      </c>
      <c r="Y24" s="338">
        <f>($F24*$AH24)*((($BG24/2)*($BC24)^2)+(($BF24/2)*($BB24)^2)+($BH24*$BC24*$BB24))</f>
        <v>0</v>
      </c>
      <c r="Z24" s="338">
        <f>($BI24*$F24*$AH24*($G$5-$BV$5))/365.25</f>
        <v>-25.254904291373677</v>
      </c>
      <c r="AA24" s="338">
        <f>(($BK24*$BE24)+($BJ24*$BD24))*$F24*$AH24*$AF24</f>
        <v>0</v>
      </c>
      <c r="AB24" s="338">
        <f>BN24*(AT24-CA24)*F24*AH24</f>
        <v>0</v>
      </c>
      <c r="AC24" s="338">
        <f>BO24*CB24*F24*AH24*CA24*($G$5-$BV$5)/365.25</f>
        <v>0.15644655461765999</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-6.7500000000000004E-2</v>
      </c>
      <c r="AN24" s="258">
        <f>VLOOKUP($D24,CurveTbl,$AH$4)+VLOOKUP($AG24,$AL$3:$AS$15,6)</f>
        <v>-2.5000000000000001E-3</v>
      </c>
      <c r="AO24" s="258">
        <f>VLOOKUP($D24,CurveTbl,$AH$5)</f>
        <v>0.17</v>
      </c>
      <c r="AP24" s="258">
        <f>VLOOKUP($D24,CurveTbl,$AH$6)+VLOOKUP($AG24,$AL$3:$AS$15,7)</f>
        <v>0.02</v>
      </c>
      <c r="AQ24" s="136">
        <f>VLOOKUP($AG24,$AL$4:$AS$15,3)+VLOOKUP($AG24,$AL$4:$AS$15,5)+($AH$10*VLOOKUP(D24,GRITable,2))</f>
        <v>7.5700000000000003E-2</v>
      </c>
      <c r="AR24" s="137">
        <f>VLOOKUP($AG24,$AL$4:$AS$15,4)</f>
        <v>7.0699999999999999E-2</v>
      </c>
      <c r="AS24" s="136">
        <f>(AL24+AM24+AN24)</f>
        <v>2.8320000000000003</v>
      </c>
      <c r="AT24" s="137">
        <f>VLOOKUP(D24,CurveTbl,$AK$6)</f>
        <v>1.9273175363903501E-2</v>
      </c>
      <c r="AU24" s="137">
        <f>(1+$AT24/2)^(-2*($D24-$G$5)/365.25)*$AF24</f>
        <v>0.99538938980745262</v>
      </c>
      <c r="AV24" s="394">
        <f>ROUND((F24/(1-AR24))-F24,0)*AF24*AH24*AU24</f>
        <v>3733.7056011677546</v>
      </c>
      <c r="AW24" s="137">
        <f>VLOOKUP($D24,CurveTbl,$AK$8)</f>
        <v>0.79</v>
      </c>
      <c r="AX24" s="137">
        <f>VLOOKUP($D24,CurveTbl,$AH$7)</f>
        <v>0.79</v>
      </c>
      <c r="AY24" s="137">
        <f>VLOOKUP($D24,CurveTbl,$AH$8)</f>
        <v>0.79</v>
      </c>
      <c r="AZ24" s="137"/>
      <c r="BA24" s="264"/>
      <c r="BB24" s="258">
        <f>$H24-$BV24</f>
        <v>0</v>
      </c>
      <c r="BC24" s="258">
        <f>I24-BW24</f>
        <v>0</v>
      </c>
      <c r="BD24" s="137">
        <f t="shared" si="12"/>
        <v>0</v>
      </c>
      <c r="BE24" s="137">
        <f t="shared" si="12"/>
        <v>0</v>
      </c>
      <c r="BF24" s="137">
        <f>_xll.xSPRDOPT($BW24,$BV24,$CG24,0,$BY24,$BX24,$BZ24,$AJ24,1,4)*$CB24</f>
        <v>4.4338125118709693</v>
      </c>
      <c r="BG24" s="137">
        <f>_xll.xSPRDOPT($BW24,$BV24,$CG24,0,$BY24,$BX24,$BZ24,$AJ24,1,3)*$CB24</f>
        <v>4.5084613189200544</v>
      </c>
      <c r="BH24" s="137">
        <f>IF(OR(BF24&lt;&gt;0,BG24&lt;&gt;0),_xll.xSPRDOPT($BW24,$BV24,$CG24,0,$BY24,$BX24,$BZ24,$AJ24,1,12)*$CB24,0)</f>
        <v>-4.4708273725981975</v>
      </c>
      <c r="BI24" s="137">
        <f>_xll.xSPRDOPT($BW24,$BV24,$CG24,2*LN(1+CA24/2),$BY24,$BX24,$BZ24,$AJ24,1,9)</f>
        <v>-6.2108077594577434E-2</v>
      </c>
      <c r="BJ24" s="137">
        <f>_xll.xSPRDOPT($BW24,$BV24,$CG24,0,$BY24,$BX24,$BZ24,$AJ24,1,6)*$CB24</f>
        <v>-0.16985875118706967</v>
      </c>
      <c r="BK24" s="137">
        <f>_xll.xSPRDOPT($BW24,$BV24,$CG24,0,$BY24,$BX24,$BZ24,$AJ24,1,5)*$CB24</f>
        <v>0.20927464047122574</v>
      </c>
      <c r="BL24" s="137">
        <f>_xll.xSPRDOPT(BW24,BV24,CG24,0,BY24,BX24,BZ24,AJ24,1,2)*CB24</f>
        <v>-0.35173374573688387</v>
      </c>
      <c r="BM24" s="137">
        <f>_xll.xSPRDOPT(BW24,BV24,CG24,0,BY24,BX24,BZ24,AJ24,1,1)*CB24</f>
        <v>0.36061672285042329</v>
      </c>
      <c r="BN24" s="137">
        <f>IF(AH24&lt;&gt;0,_xll.xSPRDOPT($BW24,$BV24,$CG24,2*LN(1+CA24/2),$BY24,$BX24,$BZ24,$AJ24,1,8)+(AJ24/365.25)*CH24/AH24,0)</f>
        <v>-4.9735473604641646E-3</v>
      </c>
      <c r="BO24" s="137">
        <f>_xll.xSPRDOPT($BW24,$BV24,$CG24,0,$BY24,$BX24,$BZ24,$AJ24,1,0)</f>
        <v>2.0058132840020469E-2</v>
      </c>
      <c r="BP24" s="137"/>
      <c r="BQ24" s="137"/>
      <c r="BR24" s="137"/>
      <c r="BS24" s="137"/>
      <c r="BV24" s="262">
        <v>3.0474550737113959</v>
      </c>
      <c r="BW24" s="136">
        <v>3.0920000000000001</v>
      </c>
      <c r="BX24" s="137">
        <v>0.79</v>
      </c>
      <c r="BY24" s="137">
        <v>0.79</v>
      </c>
      <c r="BZ24" s="137">
        <v>0.99791891891891904</v>
      </c>
      <c r="CA24" s="137">
        <v>1.9273175363903501E-2</v>
      </c>
      <c r="CB24" s="137">
        <v>0.99523258517239033</v>
      </c>
      <c r="CC24" s="258">
        <v>-6.7500000000000004E-2</v>
      </c>
      <c r="CD24" s="258">
        <v>-2.5000000000000001E-3</v>
      </c>
      <c r="CE24" s="258">
        <v>0.17</v>
      </c>
      <c r="CF24" s="258">
        <v>0.02</v>
      </c>
      <c r="CG24" s="258">
        <v>7.5700000000000003E-2</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2.7805</v>
      </c>
      <c r="I25" s="52">
        <f>(AL25+AO25+AP25)</f>
        <v>3.0504999999999995</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-6.5000000000000002E-2</v>
      </c>
      <c r="AN25" s="258">
        <f>VLOOKUP($D25,CurveTbl,$AH$4)+VLOOKUP($AG25,$AL$3:$AS$15,6)</f>
        <v>-2.5000000000000001E-3</v>
      </c>
      <c r="AO25" s="258">
        <f>VLOOKUP($D25,CurveTbl,$AH$5)</f>
        <v>0.19500000000000001</v>
      </c>
      <c r="AP25" s="258">
        <f>VLOOKUP($D25,CurveTbl,$AH$6)+VLOOKUP($AG25,$AL$3:$AS$15,7)</f>
        <v>7.4999999999999997E-3</v>
      </c>
      <c r="AQ25" s="136">
        <f>VLOOKUP($AG25,$AL$4:$AS$15,3)+VLOOKUP($AG25,$AL$4:$AS$15,5)+($AH$10*VLOOKUP(D25,GRITable,2))</f>
        <v>0</v>
      </c>
      <c r="AR25" s="137">
        <f>VLOOKUP($AG25,$AL$4:$AS$15,4)</f>
        <v>0</v>
      </c>
      <c r="AS25" s="136">
        <f>(AL25+AM25+AN25)</f>
        <v>2.7805</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-0.80709139815172382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0.7186240585099074</v>
      </c>
      <c r="BP25" s="137"/>
      <c r="BQ25" s="137"/>
      <c r="BR25" s="137"/>
      <c r="BS25" s="137"/>
      <c r="BV25" s="262">
        <v>2.7805</v>
      </c>
      <c r="BW25" s="136">
        <v>3.0504999999999995</v>
      </c>
      <c r="BX25" s="137">
        <v>0.61</v>
      </c>
      <c r="BY25" s="137">
        <v>0.61</v>
      </c>
      <c r="BZ25" s="137">
        <v>0</v>
      </c>
      <c r="CA25" s="137">
        <v>1.9422640119623601E-2</v>
      </c>
      <c r="CB25" s="137">
        <v>0</v>
      </c>
      <c r="CC25" s="258">
        <v>-6.5000000000000002E-2</v>
      </c>
      <c r="CD25" s="258">
        <v>-2.5000000000000001E-3</v>
      </c>
      <c r="CE25" s="258">
        <v>0.19500000000000001</v>
      </c>
      <c r="CF25" s="258">
        <v>7.4999999999999997E-3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2.7805</v>
      </c>
      <c r="I26" s="52">
        <f>(AL26+AO26+AP26)</f>
        <v>3.0504999999999995</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-6.5000000000000002E-2</v>
      </c>
      <c r="AN26" s="258">
        <f>VLOOKUP($D26,CurveTbl,$AH$4)+VLOOKUP($AG26,$AL$3:$AS$15,6)</f>
        <v>-2.5000000000000001E-3</v>
      </c>
      <c r="AO26" s="258">
        <f>VLOOKUP($D26,CurveTbl,$AH$5)</f>
        <v>0.19500000000000001</v>
      </c>
      <c r="AP26" s="258">
        <f>VLOOKUP($D26,CurveTbl,$AH$6)+VLOOKUP($AG26,$AL$3:$AS$15,7)</f>
        <v>7.4999999999999997E-3</v>
      </c>
      <c r="AQ26" s="136">
        <f>VLOOKUP($AG26,$AL$4:$AS$15,3)+VLOOKUP($AG26,$AL$4:$AS$15,5)+($AH$10*VLOOKUP(D26,GRITable,2))</f>
        <v>0</v>
      </c>
      <c r="AR26" s="137">
        <f>VLOOKUP($AG26,$AL$4:$AS$15,4)</f>
        <v>0</v>
      </c>
      <c r="AS26" s="136">
        <f>(AL26+AM26+AN26)</f>
        <v>2.7805</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-0.80709139815172382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0.7186240585099074</v>
      </c>
      <c r="BP26" s="137"/>
      <c r="BQ26" s="137"/>
      <c r="BR26" s="137"/>
      <c r="BS26" s="137"/>
      <c r="BV26" s="262">
        <v>2.7805</v>
      </c>
      <c r="BW26" s="136">
        <v>3.0504999999999995</v>
      </c>
      <c r="BX26" s="137">
        <v>0.61</v>
      </c>
      <c r="BY26" s="137">
        <v>0.61</v>
      </c>
      <c r="BZ26" s="137">
        <v>0</v>
      </c>
      <c r="CA26" s="137">
        <v>1.9422640119623601E-2</v>
      </c>
      <c r="CB26" s="137">
        <v>0</v>
      </c>
      <c r="CC26" s="258">
        <v>-6.5000000000000002E-2</v>
      </c>
      <c r="CD26" s="258">
        <v>-2.5000000000000001E-3</v>
      </c>
      <c r="CE26" s="258">
        <v>0.19500000000000001</v>
      </c>
      <c r="CF26" s="258">
        <v>7.4999999999999997E-3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0225"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0226"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A1:CX26"/>
  <sheetViews>
    <sheetView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LongTerm102</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102</v>
      </c>
      <c r="F2" s="178" t="str">
        <f>GetRcptPoint($AH$12,$AH$13)</f>
        <v>Tetco/WLA</v>
      </c>
      <c r="G2" s="179" t="str">
        <f>GetDelPoint($AH$12,$AH$13)</f>
        <v>CNG/Appalach</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3348.0705212532894</v>
      </c>
      <c r="O4" s="352">
        <v>3474.3</v>
      </c>
      <c r="P4" s="354">
        <f ca="1">N4-O4</f>
        <v>-126.22947874671081</v>
      </c>
      <c r="S4" s="427" t="s">
        <v>635</v>
      </c>
      <c r="T4" s="422">
        <f ca="1">SUMPRODUCT(INDIRECT(CONCATENATE(V4,":",W4)),INDIRECT(CONCATENATE(AV2,":",AW2)),INDIRECT(CONCATENATE(AV3,":",AW3)))</f>
        <v>691.11871423563798</v>
      </c>
      <c r="V4" s="30" t="str">
        <f>ADDRESS(ROW(K22),COLUMN(K22))</f>
        <v>$K$22</v>
      </c>
      <c r="W4" s="30" t="str">
        <f ca="1">GetEnd($AV$1,V4)</f>
        <v>$K$26</v>
      </c>
      <c r="AF4" s="28"/>
      <c r="AG4" s="103" t="s">
        <v>32</v>
      </c>
      <c r="AH4" s="104">
        <f>GetRcptIndexCol($AH$12,$AH$13)</f>
        <v>117</v>
      </c>
      <c r="AI4" s="29"/>
      <c r="AJ4" s="103" t="s">
        <v>72</v>
      </c>
      <c r="AK4" s="104">
        <f>GetNymexCol(AK3)</f>
        <v>3</v>
      </c>
      <c r="AL4" s="34">
        <v>1</v>
      </c>
      <c r="AM4" s="45">
        <f t="shared" ref="AM4:AM15" si="0">GetVolume($AH$12,$AH$13,AT4)</f>
        <v>989</v>
      </c>
      <c r="AN4" s="46">
        <f t="shared" ref="AN4:AN15" si="1">GetCommodity($AH$12,$AH$13,AT4)</f>
        <v>7.8799999999999995E-2</v>
      </c>
      <c r="AO4" s="47">
        <f t="shared" ref="AO4:AO15" si="2">GetFuelRate($AH$12,$AH$13,AT4)</f>
        <v>7.3400000000000007E-2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2656.9518070176514</v>
      </c>
      <c r="V5" s="30" t="str">
        <f>ADDRESS(ROW(L22),COLUMN(L22))</f>
        <v>$L$22</v>
      </c>
      <c r="W5" s="30" t="str">
        <f ca="1">GetEnd($AV$1,V5)</f>
        <v>$L$26</v>
      </c>
      <c r="AF5" s="28"/>
      <c r="AG5" s="103" t="s">
        <v>33</v>
      </c>
      <c r="AH5" s="104">
        <f>GetDelBasisCol($AH$12,$AH$13)</f>
        <v>98</v>
      </c>
      <c r="AI5" s="29"/>
      <c r="AJ5" s="103" t="s">
        <v>77</v>
      </c>
      <c r="AK5" s="104" t="str">
        <f>LiborCurve</f>
        <v>Libor AA</v>
      </c>
      <c r="AL5" s="34">
        <v>2</v>
      </c>
      <c r="AM5" s="37">
        <f t="shared" si="0"/>
        <v>989</v>
      </c>
      <c r="AN5" s="38">
        <f t="shared" si="1"/>
        <v>7.8799999999999995E-2</v>
      </c>
      <c r="AO5" s="39">
        <f t="shared" si="2"/>
        <v>7.3400000000000007E-2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3348.0705212532894</v>
      </c>
      <c r="O6" s="357">
        <v>3474.3</v>
      </c>
      <c r="P6" s="358">
        <f ca="1">N6-O6</f>
        <v>-126.22947874671081</v>
      </c>
      <c r="S6" s="428" t="s">
        <v>637</v>
      </c>
      <c r="T6" s="424">
        <f ca="1">SUMPRODUCT(INDIRECT(CONCATENATE(V6,":",W6)),INDIRECT(CONCATENATE(AV3,":",AW3)),INDIRECT(CONCATENATE(AX3,":",AY3)))</f>
        <v>88735.854418746167</v>
      </c>
      <c r="V6" s="30" t="str">
        <f>ADDRESS(ROW(G22),COLUMN(G22))</f>
        <v>$G$22</v>
      </c>
      <c r="W6" s="30" t="str">
        <f ca="1">GetEnd($AV$1,V6)</f>
        <v>$G$26</v>
      </c>
      <c r="AF6" s="28"/>
      <c r="AG6" s="103" t="s">
        <v>34</v>
      </c>
      <c r="AH6" s="104">
        <f>GetDelIndexCol($AH$12,$AH$13)</f>
        <v>99</v>
      </c>
      <c r="AI6" s="29"/>
      <c r="AJ6" s="103" t="s">
        <v>79</v>
      </c>
      <c r="AK6" s="104">
        <f>GetLiborCol(AK5)</f>
        <v>4</v>
      </c>
      <c r="AL6" s="34">
        <v>3</v>
      </c>
      <c r="AM6" s="37">
        <f t="shared" si="0"/>
        <v>989</v>
      </c>
      <c r="AN6" s="38">
        <f t="shared" si="1"/>
        <v>7.8799999999999995E-2</v>
      </c>
      <c r="AO6" s="39">
        <f t="shared" si="2"/>
        <v>7.3400000000000007E-2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596.98</v>
      </c>
      <c r="P7" s="355">
        <f ca="1">N7</f>
        <v>0</v>
      </c>
      <c r="S7" s="428" t="s">
        <v>638</v>
      </c>
      <c r="T7" s="425">
        <f ca="1">T5/T6</f>
        <v>2.9942257551039582E-2</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-221.81</v>
      </c>
      <c r="P8" s="355">
        <f ca="1">N8</f>
        <v>0</v>
      </c>
      <c r="S8" s="429" t="s">
        <v>639</v>
      </c>
      <c r="T8" s="426">
        <f ca="1">Y8/Z8</f>
        <v>0.99669552473003475</v>
      </c>
      <c r="V8" s="30" t="str">
        <f>ADDRESS(ROW(P22),COLUMN(P22))</f>
        <v>$P$22</v>
      </c>
      <c r="W8" s="30" t="str">
        <f ca="1">GetEnd($AV$1,V8)</f>
        <v>$P$26</v>
      </c>
      <c r="Y8" s="334">
        <f ca="1">SUMIF(INDIRECT(CONCATENATE(V8,":",W8)),"&gt;0",INDIRECT(CONCATENATE(V8,":",W8)))</f>
        <v>2.9900865741901042</v>
      </c>
      <c r="Z8" s="334">
        <f ca="1">COUNTIF(INDIRECT(CONCATENATE(V8,":",W8)),"&gt;0")</f>
        <v>3</v>
      </c>
      <c r="AF8" s="28"/>
      <c r="AG8" s="103" t="s">
        <v>75</v>
      </c>
      <c r="AH8" s="105">
        <f>GetDelOmicronCol($AH$12,$AH$13)</f>
        <v>12</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24</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1949.5697971076168</v>
      </c>
      <c r="L10" s="706" t="s">
        <v>628</v>
      </c>
      <c r="M10" s="707"/>
      <c r="N10" s="352">
        <f ca="1">-SUMPRODUCT(INDIRECT(CONCATENATE(AV10,":",AW10)),INDIRECT(CONCATENATE($AX$7,":",$AY$7)),INDIRECT(CONCATENATE($AV$3,":",$AW$3)))</f>
        <v>-19557.296545845456</v>
      </c>
      <c r="O10" s="352">
        <v>-19554.240000000002</v>
      </c>
      <c r="P10" s="355">
        <f t="shared" ref="P10:P19" ca="1" si="10">N10-O10</f>
        <v>-3.0565458454548207</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691.11871423563798</v>
      </c>
      <c r="L11" s="704" t="s">
        <v>629</v>
      </c>
      <c r="M11" s="705"/>
      <c r="N11" s="356">
        <f ca="1">-SUMPRODUCT(INDIRECT(CONCATENATE(AV11,":",AW11)),INDIRECT(CONCATENATE($AV$2,":",$AW$2)),INDIRECT(CONCATENATE($AV$3,":",$AW$3)),INDIRECT(CONCATENATE(AX3,":",AY3)))</f>
        <v>-7013.9880000000012</v>
      </c>
      <c r="O11" s="357">
        <v>-7013.99</v>
      </c>
      <c r="P11" s="358">
        <f t="shared" ca="1" si="10"/>
        <v>1.9999999985884642E-3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-366.96</v>
      </c>
      <c r="P12" s="355">
        <f t="shared" ca="1" si="10"/>
        <v>366.96</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17.809999999999999</v>
      </c>
      <c r="P13" s="355">
        <f t="shared" ca="1" si="10"/>
        <v>-17.809999999999999</v>
      </c>
      <c r="X13" s="498" t="s">
        <v>761</v>
      </c>
      <c r="AG13" s="248" t="s">
        <v>186</v>
      </c>
      <c r="AH13" s="119">
        <f>GetRecNdx($AH$12,$D$2)</f>
        <v>18</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-98.645140168433173</v>
      </c>
      <c r="O14" s="352">
        <v>-31.35</v>
      </c>
      <c r="P14" s="355">
        <f t="shared" ca="1" si="10"/>
        <v>-67.295140168433164</v>
      </c>
      <c r="S14" s="181">
        <f>F22/(1-AR22)*AH22*AU22</f>
        <v>33038.598861911007</v>
      </c>
      <c r="T14" s="181">
        <f>F22*AH22*AU22</f>
        <v>30613.565705446734</v>
      </c>
      <c r="X14" s="500" t="s">
        <v>762</v>
      </c>
      <c r="Y14" s="501" t="s">
        <v>763</v>
      </c>
      <c r="AL14" s="34">
        <v>11</v>
      </c>
      <c r="AM14" s="37">
        <f t="shared" si="0"/>
        <v>989</v>
      </c>
      <c r="AN14" s="38">
        <f t="shared" si="1"/>
        <v>7.8799999999999995E-2</v>
      </c>
      <c r="AO14" s="39">
        <f t="shared" si="2"/>
        <v>7.3400000000000007E-2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27.444265677286769</v>
      </c>
      <c r="O15" s="352">
        <v>13.29</v>
      </c>
      <c r="P15" s="355">
        <f t="shared" ca="1" si="10"/>
        <v>14.154265677286769</v>
      </c>
      <c r="X15" s="502">
        <v>2001</v>
      </c>
      <c r="Y15" s="503">
        <v>0</v>
      </c>
      <c r="AL15" s="34">
        <v>12</v>
      </c>
      <c r="AM15" s="41">
        <f t="shared" si="0"/>
        <v>989</v>
      </c>
      <c r="AN15" s="42">
        <f t="shared" si="1"/>
        <v>7.8799999999999995E-2</v>
      </c>
      <c r="AO15" s="43">
        <f t="shared" si="2"/>
        <v>7.3400000000000007E-2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-0.08</v>
      </c>
      <c r="P16" s="355">
        <f t="shared" ca="1" si="10"/>
        <v>0.08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0.54470049022171219</v>
      </c>
      <c r="O17" s="357">
        <v>0.2</v>
      </c>
      <c r="P17" s="358">
        <f t="shared" ca="1" si="10"/>
        <v>0.34470049022171217</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691.11871423563798</v>
      </c>
      <c r="O18" s="352">
        <v>691.01</v>
      </c>
      <c r="P18" s="355">
        <f t="shared" ca="1" si="10"/>
        <v>0.10871423563798999</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2656.9518070176514</v>
      </c>
      <c r="O19" s="359">
        <v>2783.29</v>
      </c>
      <c r="P19" s="360">
        <f t="shared" ca="1" si="10"/>
        <v>-126.33819298234857</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IF-TETCO/WLA Basis Mid</v>
      </c>
      <c r="T20" s="182" t="str">
        <f>GetDelBasis($AH$12,$AH$13)</f>
        <v>IF-CNG/APPALACH Basis Mid</v>
      </c>
      <c r="U20" s="158"/>
      <c r="V20" s="158"/>
      <c r="W20" s="158"/>
      <c r="X20" s="158"/>
      <c r="Y20" s="335"/>
      <c r="Z20" s="335"/>
      <c r="AA20" s="335"/>
      <c r="AB20" s="335"/>
      <c r="AC20" s="335"/>
      <c r="AI20" s="138"/>
      <c r="AM20" s="702" t="str">
        <f>GetRcptPoint($AH$12,$AH$13)</f>
        <v>Tetco/WLA</v>
      </c>
      <c r="AN20" s="703"/>
      <c r="AO20" s="702" t="str">
        <f>GetDelPoint($AH$12,$AH$13)</f>
        <v>CNG/Appalach</v>
      </c>
      <c r="AP20" s="703"/>
      <c r="AQ20" s="137"/>
      <c r="AS20" s="137"/>
      <c r="AU20" s="136" t="s">
        <v>576</v>
      </c>
      <c r="AV20" s="353">
        <f ca="1">SUMPRODUCT(INDIRECT(CONCATENATE(AV8,":",AW8)),INDIRECT(CONCATENATE($AV$2,":",$AW$2)),INDIRECT(CONCATENATE($AV$3,":",$AW$3)),INDIRECT(CONCATENATE(AX3,":",AY3)))</f>
        <v>-8010.8999999999987</v>
      </c>
      <c r="AW20" s="353">
        <f ca="1">SUMPRODUCT(INDIRECT(CONCATENATE(AX8,":",AY8)),INDIRECT(CONCATENATE($AV$2,":",$AW$2)),INDIRECT(CONCATENATE($AV$3,":",$AW$3)),INDIRECT(CONCATENATE(AX3,":",AY3)))</f>
        <v>16958.877500000002</v>
      </c>
      <c r="AX20" s="353">
        <f ca="1">SUMPRODUCT(INDIRECT(CONCATENATE(AV9,":",AW9)),INDIRECT(CONCATENATE($AV$2,":",$AW$2)),INDIRECT(CONCATENATE($AV$3,":",$AW$3)),INDIRECT(CONCATENATE(AX3,":",AY3)))</f>
        <v>0</v>
      </c>
      <c r="AY20" s="353">
        <f ca="1">SUMPRODUCT(INDIRECT(CONCATENATE(AX9,":",AY9)),INDIRECT(CONCATENATE($AV$2,":",$AW$2)),INDIRECT(CONCATENATE($AV$3,":",$AW$3)),INDIRECT(CONCATENATE(AX3,":",AY3)))</f>
        <v>1780.2</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989</v>
      </c>
      <c r="G22" s="28">
        <f>F22*$AU22</f>
        <v>987.53437759505596</v>
      </c>
      <c r="H22" s="52">
        <f>(AL22+AM22+AN22)/(1-(AR22))</f>
        <v>2.9743146988992017</v>
      </c>
      <c r="I22" s="52">
        <f>(AL22+AO22+AP22)</f>
        <v>3.0685000000000002</v>
      </c>
      <c r="K22" s="52">
        <f>MAX(((I22-H22)-AQ22)*AU22*AH22,0)</f>
        <v>0.47623753907722588</v>
      </c>
      <c r="L22" s="135">
        <f>MAX(Q22-K22,0)</f>
        <v>0.87137573796357104</v>
      </c>
      <c r="N22" s="131">
        <f>SQRT(($AX22^2*($AH22/2)+$AW22^2*$AI22)/(($AH22/2)+$AI22))</f>
        <v>0.96016221307122684</v>
      </c>
      <c r="O22" s="131">
        <f>SQRT(($AY22^2*($AH22/2)+$AW22^2*$AI22)/(($AH22/2)+$AI22))</f>
        <v>0.98794454613075744</v>
      </c>
      <c r="P22" s="55">
        <f>(VLOOKUP(AI22,CorrelationTwo,2)*(AW22^2)*AI22+VLOOKUP(D22,CorrelationOne,$AK$9)*AX22*AY22*(AH22/2))/((AI22+(AH22/2))*O22*N22)*AF22</f>
        <v>0.99581295567868766</v>
      </c>
      <c r="Q22" s="135">
        <f>_xll.xSPRDOPT(I22,H22,AQ22,0,O22,N22,P22,D22-$G$5,1,0)*AH22*AU22</f>
        <v>1.3476132770407969</v>
      </c>
      <c r="R22" s="135"/>
      <c r="S22" s="181">
        <f>_xll.xSPRDOPT(I22,H22,AQ22,AT22,O22,N22,P22,D22-$G$5,1,2)*AF22*(F22/(1-AR22))*AH22</f>
        <v>-18750.380160261029</v>
      </c>
      <c r="T22" s="181">
        <f>_xll.xSPRDOPT(I22,H22,AQ22,AT22,O22,N22,P22,D22-$G$5,1,1)*AF22*F22*AH22</f>
        <v>17680.981933159383</v>
      </c>
      <c r="U22" s="135"/>
      <c r="V22" s="146">
        <f>($Y$12+VLOOKUP(YEAR(D22),$X$15:$Y$17,2,FALSE))*AH22*AU22</f>
        <v>0</v>
      </c>
      <c r="W22" s="146"/>
      <c r="X22" s="338">
        <f>((BM22*BC22)+(BL22*BB22))*AH22*F22</f>
        <v>0</v>
      </c>
      <c r="Y22" s="338">
        <f>($F22*$AH22)*((($BG22/2)*($BC22)^2)+(($BF22/2)*($BB22)^2)+($BH22*$BC22*$BB22))</f>
        <v>0</v>
      </c>
      <c r="Z22" s="338">
        <f>($BI22*$F22*$AH22*($G$5-$BV$5))/365.25</f>
        <v>-53.389058877519915</v>
      </c>
      <c r="AA22" s="338">
        <f>(($BK22*$BE22)+($BJ22*$BD22))*$F22*$AH22*$AF22</f>
        <v>20.918150923813304</v>
      </c>
      <c r="AB22" s="338">
        <f>BN22*(AT22-CA22)*F22*AH22</f>
        <v>0</v>
      </c>
      <c r="AC22" s="338">
        <f>BO22*CB22*F22*AH22*CA22*($G$5-$BV$5)/365.25</f>
        <v>0.21712267481413286</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-0.09</v>
      </c>
      <c r="AN22" s="258">
        <f>VLOOKUP($D22,CurveTbl,$AH$4)+VLOOKUP($AG22,$AL$3:$AS$15,6)</f>
        <v>0</v>
      </c>
      <c r="AO22" s="258">
        <f>VLOOKUP($D22,CurveTbl,$AH$5)</f>
        <v>0.20250000000000001</v>
      </c>
      <c r="AP22" s="258">
        <f>VLOOKUP($D22,CurveTbl,$AH$6)+VLOOKUP($AG22,$AL$3:$AS$15,7)</f>
        <v>0.02</v>
      </c>
      <c r="AQ22" s="136">
        <f>VLOOKUP($AG22,$AL$4:$AS$15,3)+VLOOKUP($AG22,$AL$4:$AS$15,5)+($AH$10*VLOOKUP(D22,GRITable,2))</f>
        <v>7.8799999999999995E-2</v>
      </c>
      <c r="AR22" s="137">
        <f>VLOOKUP($AG22,$AL$4:$AS$15,4)</f>
        <v>7.3400000000000007E-2</v>
      </c>
      <c r="AS22" s="136">
        <f>(AL22+AM22+AN22)</f>
        <v>2.7560000000000002</v>
      </c>
      <c r="AT22" s="137">
        <f>VLOOKUP(D22,CurveTbl,$AK$6)</f>
        <v>1.8765908157160699E-2</v>
      </c>
      <c r="AU22" s="137">
        <f>(1+$AT22/2)^(-2*($D22-$G$5)/365.25)*$AF22</f>
        <v>0.99851807643585033</v>
      </c>
      <c r="AV22" s="394">
        <f>ROUND((F22/(1-AR22))-F22,0)*AF22*AH22*AU22</f>
        <v>2414.416708821886</v>
      </c>
      <c r="AW22" s="137">
        <f>VLOOKUP($D22,CurveTbl,$AK$8)</f>
        <v>0.87</v>
      </c>
      <c r="AX22" s="137">
        <f>VLOOKUP($D22,CurveTbl,$AH$7)</f>
        <v>1.04</v>
      </c>
      <c r="AY22" s="137">
        <f>VLOOKUP($D22,CurveTbl,$AH$8)</f>
        <v>1.0900000000000001</v>
      </c>
      <c r="AZ22" s="137"/>
      <c r="BA22" s="264"/>
      <c r="BB22" s="258">
        <f>$H22-$BV22</f>
        <v>0</v>
      </c>
      <c r="BC22" s="258">
        <f>I22-BW22</f>
        <v>0</v>
      </c>
      <c r="BD22" s="137">
        <f t="shared" ref="BD22:BE26" si="12">N22-BX22</f>
        <v>7.7262160833929672E-3</v>
      </c>
      <c r="BE22" s="137">
        <f t="shared" si="12"/>
        <v>9.9821502477693835E-3</v>
      </c>
      <c r="BF22" s="137">
        <f>_xll.xSPRDOPT($BW22,$BV22,$CG22,0,$BY22,$BX22,$BZ22,$AJ22,1,4)*$CB22</f>
        <v>4.1604292717768141</v>
      </c>
      <c r="BG22" s="137">
        <f>_xll.xSPRDOPT($BW22,$BV22,$CG22,0,$BY22,$BX22,$BZ22,$AJ22,1,3)*$CB22</f>
        <v>4.1197159549369529</v>
      </c>
      <c r="BH22" s="137">
        <f>IF(OR(BF22&lt;&gt;0,BG22&lt;&gt;0),_xll.xSPRDOPT($BW22,$BV22,$CG22,0,$BY22,$BX22,$BZ22,$AJ22,1,12)*$CB22,0)</f>
        <v>-4.1399321035556378</v>
      </c>
      <c r="BI22" s="137">
        <f>_xll.xSPRDOPT($BW22,$BV22,$CG22,2*LN(1+CA22/2),$BY22,$BX22,$BZ22,$AJ22,1,9)</f>
        <v>-0.21201337024488892</v>
      </c>
      <c r="BJ22" s="137">
        <f>_xll.xSPRDOPT($BW22,$BV22,$CG22,0,$BY22,$BX22,$BZ22,$AJ22,1,6)*$CB22</f>
        <v>-0.15112930983352338</v>
      </c>
      <c r="BK22" s="137">
        <f>_xll.xSPRDOPT($BW22,$BV22,$CG22,0,$BY22,$BX22,$BZ22,$AJ22,1,5)*$CB22</f>
        <v>0.18532498975850786</v>
      </c>
      <c r="BL22" s="137">
        <f>_xll.xSPRDOPT(BW22,BV22,CG22,0,BY22,BX22,BZ22,AJ22,1,2)*CB22</f>
        <v>-0.56120866332673136</v>
      </c>
      <c r="BM22" s="137">
        <f>_xll.xSPRDOPT(BW22,BV22,CG22,0,BY22,BX22,BZ22,AJ22,1,1)*CB22</f>
        <v>0.57209936668849315</v>
      </c>
      <c r="BN22" s="137">
        <f>IF(AH22&lt;&gt;0,_xll.xSPRDOPT($BW22,$BV22,$CG22,2*LN(1+CA22/2),$BY22,$BX22,$BZ22,$AJ22,1,8)+(AJ22/365.25)*CH22/AH22,0)</f>
        <v>-4.0253748814783399E-3</v>
      </c>
      <c r="BO22" s="137">
        <f>_xll.xSPRDOPT($BW22,$BV22,$CG22,0,$BY22,$BX22,$BZ22,$AJ22,1,0)</f>
        <v>4.6021129660037165E-2</v>
      </c>
      <c r="BP22" s="137"/>
      <c r="BQ22" s="137"/>
      <c r="BR22" s="137"/>
      <c r="BS22" s="137"/>
      <c r="BV22" s="262">
        <v>2.9743146988992017</v>
      </c>
      <c r="BW22" s="136">
        <v>3.0685000000000002</v>
      </c>
      <c r="BX22" s="137">
        <v>0.95243599698783388</v>
      </c>
      <c r="BY22" s="137">
        <v>0.97796239588298806</v>
      </c>
      <c r="BZ22" s="137">
        <v>0.99536260574645685</v>
      </c>
      <c r="CA22" s="137">
        <v>1.8765908157160699E-2</v>
      </c>
      <c r="CB22" s="137">
        <v>0.99836489939579565</v>
      </c>
      <c r="CC22" s="258">
        <v>-0.09</v>
      </c>
      <c r="CD22" s="258">
        <v>0</v>
      </c>
      <c r="CE22" s="258">
        <v>0.20250000000000001</v>
      </c>
      <c r="CF22" s="258">
        <v>0.02</v>
      </c>
      <c r="CG22" s="258">
        <v>7.8799999999999995E-2</v>
      </c>
      <c r="CH22" s="258">
        <v>0</v>
      </c>
      <c r="CI22" s="258">
        <v>2.8460000000000001</v>
      </c>
      <c r="CJ22" s="258"/>
      <c r="CK22" s="258"/>
      <c r="CL22" s="258"/>
      <c r="CM22" s="258"/>
    </row>
    <row r="23" spans="1:91" x14ac:dyDescent="0.25">
      <c r="A23" s="723"/>
      <c r="B23" s="723"/>
      <c r="D23" s="31">
        <f>D22+AH22</f>
        <v>37302</v>
      </c>
      <c r="F23" s="28">
        <f>VLOOKUP(AG23,$AL$4:$AS$15,2)</f>
        <v>989</v>
      </c>
      <c r="G23" s="28">
        <f>F23*$AU23</f>
        <v>985.88019325688379</v>
      </c>
      <c r="H23" s="52">
        <f>(AL23+AM23+AN23)/(1-(AR23))</f>
        <v>3.0412259874811141</v>
      </c>
      <c r="I23" s="52">
        <f>(AL23+AO23+AP23)</f>
        <v>3.1280000000000001</v>
      </c>
      <c r="K23" s="52">
        <f>MAX(((I23-H23)-AQ23)*AU23*AH23,0)</f>
        <v>0.22256803648964779</v>
      </c>
      <c r="L23" s="135">
        <f>MAX(Q23-K23,0)</f>
        <v>1.0998778485962033</v>
      </c>
      <c r="N23" s="131">
        <f>SQRT(($AX23^2*($AH23/2)+$AW23^2*$AI23)/(($AH23/2)+$AI23))</f>
        <v>0.90885229823112634</v>
      </c>
      <c r="O23" s="131">
        <f>SQRT(($AY23^2*($AH23/2)+$AW23^2*$AI23)/(($AH23/2)+$AI23))</f>
        <v>0.92242208343035681</v>
      </c>
      <c r="P23" s="55">
        <f>(VLOOKUP(AI23,CorrelationTwo,2)*(AW23^2)*AI23+VLOOKUP(D23,CorrelationOne,$AK$9)*AX23*AY23*(AH23/2))/((AI23+(AH23/2))*O23*N23)*AF23</f>
        <v>0.99634065761756163</v>
      </c>
      <c r="Q23" s="135">
        <f>_xll.xSPRDOPT(I23,H23,AQ23,0,O23,N23,P23,D23-$G$5,1,0)*AH23*AU23</f>
        <v>1.3224458850858511</v>
      </c>
      <c r="R23" s="135"/>
      <c r="S23" s="181">
        <f>_xll.xSPRDOPT(I23,H23,AQ23,AT23,O23,N23,P23,D23-$G$5,1,2)*AF23*(F23/(1-AR23))*AH23</f>
        <v>-15696.691442391088</v>
      </c>
      <c r="T23" s="181">
        <f>_xll.xSPRDOPT(I23,H23,AQ23,AT23,O23,N23,P23,D23-$G$5,1,1)*AF23*F23*AH23</f>
        <v>14885.16733842438</v>
      </c>
      <c r="U23" s="135"/>
      <c r="V23" s="146">
        <f>($Y$12+VLOOKUP(YEAR(D23),$X$15:$Y$17,2,FALSE))*AH23*AU23</f>
        <v>0</v>
      </c>
      <c r="W23" s="146"/>
      <c r="X23" s="338">
        <f>((BM23*BC23)+(BL23*BB23))*AH23*F23</f>
        <v>0</v>
      </c>
      <c r="Y23" s="338">
        <f>($F23*$AH23)*((($BG23/2)*($BC23)^2)+(($BF23/2)*($BB23)^2)+($BH23*$BC23*$BB23))</f>
        <v>0</v>
      </c>
      <c r="Z23" s="338">
        <f>($BI23*$F23*$AH23*($G$5-$BV$5))/365.25</f>
        <v>-28.971468067941739</v>
      </c>
      <c r="AA23" s="338">
        <f>(($BK23*$BE23)+($BJ23*$BD23))*$F23*$AH23*$AF23</f>
        <v>6.5261147534734638</v>
      </c>
      <c r="AB23" s="338">
        <f>BN23*(AT23-CA23)*F23*AH23</f>
        <v>0</v>
      </c>
      <c r="AC23" s="338">
        <f>BO23*CB23*F23*AH23*CA23*($G$5-$BV$5)/365.25</f>
        <v>0.21254891819339863</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-0.09</v>
      </c>
      <c r="AN23" s="258">
        <f>VLOOKUP($D23,CurveTbl,$AH$4)+VLOOKUP($AG23,$AL$3:$AS$15,6)</f>
        <v>0</v>
      </c>
      <c r="AO23" s="258">
        <f>VLOOKUP($D23,CurveTbl,$AH$5)</f>
        <v>0.2</v>
      </c>
      <c r="AP23" s="258">
        <f>VLOOKUP($D23,CurveTbl,$AH$6)+VLOOKUP($AG23,$AL$3:$AS$15,7)</f>
        <v>0.02</v>
      </c>
      <c r="AQ23" s="136">
        <f>VLOOKUP($AG23,$AL$4:$AS$15,3)+VLOOKUP($AG23,$AL$4:$AS$15,5)+($AH$10*VLOOKUP(D23,GRITable,2))</f>
        <v>7.8799999999999995E-2</v>
      </c>
      <c r="AR23" s="137">
        <f>VLOOKUP($AG23,$AL$4:$AS$15,4)</f>
        <v>7.3400000000000007E-2</v>
      </c>
      <c r="AS23" s="136">
        <f>(AL23+AM23+AN23)</f>
        <v>2.8180000000000001</v>
      </c>
      <c r="AT23" s="137">
        <f>VLOOKUP(D23,CurveTbl,$AK$6)</f>
        <v>1.9326187282006298E-2</v>
      </c>
      <c r="AU23" s="137">
        <f>(1+$AT23/2)^(-2*($D23-$G$5)/365.25)*$AF23</f>
        <v>0.99684549368744568</v>
      </c>
      <c r="AV23" s="394">
        <f>ROUND((F23/(1-AR23))-F23,0)*AF23*AH23*AU23</f>
        <v>2177.1105582133814</v>
      </c>
      <c r="AW23" s="137">
        <f>VLOOKUP($D23,CurveTbl,$AK$8)</f>
        <v>0.86499999999999999</v>
      </c>
      <c r="AX23" s="137">
        <f>VLOOKUP($D23,CurveTbl,$AH$7)</f>
        <v>1.04</v>
      </c>
      <c r="AY23" s="137">
        <f>VLOOKUP($D23,CurveTbl,$AH$8)</f>
        <v>1.0900000000000001</v>
      </c>
      <c r="AZ23" s="137"/>
      <c r="BA23" s="264"/>
      <c r="BB23" s="258">
        <f>$H23-$BV23</f>
        <v>0</v>
      </c>
      <c r="BC23" s="258">
        <f>I23-BW23</f>
        <v>0</v>
      </c>
      <c r="BD23" s="137">
        <f t="shared" si="12"/>
        <v>2.0401162808982853E-3</v>
      </c>
      <c r="BE23" s="137">
        <f t="shared" si="12"/>
        <v>2.6530906935935405E-3</v>
      </c>
      <c r="BF23" s="137">
        <f>_xll.xSPRDOPT($BW23,$BV23,$CG23,0,$BY23,$BX23,$BZ23,$AJ23,1,4)*$CB23</f>
        <v>3.5763521542623211</v>
      </c>
      <c r="BG23" s="137">
        <f>_xll.xSPRDOPT($BW23,$BV23,$CG23,0,$BY23,$BX23,$BZ23,$AJ23,1,3)*$CB23</f>
        <v>3.5554428739190085</v>
      </c>
      <c r="BH23" s="137">
        <f>IF(OR(BF23&lt;&gt;0,BG23&lt;&gt;0),_xll.xSPRDOPT($BW23,$BV23,$CG23,0,$BY23,$BX23,$BZ23,$AJ23,1,12)*$CB23,0)</f>
        <v>-3.5657469018217998</v>
      </c>
      <c r="BI23" s="137">
        <f>_xll.xSPRDOPT($BW23,$BV23,$CG23,2*LN(1+CA23/2),$BY23,$BX23,$BZ23,$AJ23,1,9)</f>
        <v>-0.12737527940459001</v>
      </c>
      <c r="BJ23" s="137">
        <f>_xll.xSPRDOPT($BW23,$BV23,$CG23,0,$BY23,$BX23,$BZ23,$AJ23,1,6)*$CB23</f>
        <v>-0.18762177040963721</v>
      </c>
      <c r="BK23" s="137">
        <f>_xll.xSPRDOPT($BW23,$BV23,$CG23,0,$BY23,$BX23,$BZ23,$AJ23,1,5)*$CB23</f>
        <v>0.23310100309630685</v>
      </c>
      <c r="BL23" s="137">
        <f>_xll.xSPRDOPT(BW23,BV23,CG23,0,BY23,BX23,BZ23,AJ23,1,2)*CB23</f>
        <v>-0.52415351272760369</v>
      </c>
      <c r="BM23" s="137">
        <f>_xll.xSPRDOPT(BW23,BV23,CG23,0,BY23,BX23,BZ23,AJ23,1,1)*CB23</f>
        <v>0.53681479949384914</v>
      </c>
      <c r="BN23" s="137">
        <f>IF(AH23&lt;&gt;0,_xll.xSPRDOPT($BW23,$BV23,$CG23,2*LN(1+CA23/2),$BY23,$BX23,$BZ23,$AJ23,1,8)+(AJ23/365.25)*CH23/AH23,0)</f>
        <v>-8.3402234604962738E-3</v>
      </c>
      <c r="BO23" s="137">
        <f>_xll.xSPRDOPT($BW23,$BV23,$CG23,0,$BY23,$BX23,$BZ23,$AJ23,1,0)</f>
        <v>4.8514115699286993E-2</v>
      </c>
      <c r="BP23" s="137"/>
      <c r="BQ23" s="137"/>
      <c r="BR23" s="137"/>
      <c r="BS23" s="137"/>
      <c r="BV23" s="262">
        <v>3.0412259874811141</v>
      </c>
      <c r="BW23" s="136">
        <v>3.1280000000000001</v>
      </c>
      <c r="BX23" s="137">
        <v>0.90681218195022806</v>
      </c>
      <c r="BY23" s="137">
        <v>0.91976899273676327</v>
      </c>
      <c r="BZ23" s="137">
        <v>0.99627891200740992</v>
      </c>
      <c r="CA23" s="137">
        <v>1.9326187282006298E-2</v>
      </c>
      <c r="CB23" s="137">
        <v>0.99668802984454063</v>
      </c>
      <c r="CC23" s="258">
        <v>-0.09</v>
      </c>
      <c r="CD23" s="258">
        <v>0</v>
      </c>
      <c r="CE23" s="258">
        <v>0.2</v>
      </c>
      <c r="CF23" s="258">
        <v>0.02</v>
      </c>
      <c r="CG23" s="258">
        <v>7.8799999999999995E-2</v>
      </c>
      <c r="CH23" s="258">
        <v>0</v>
      </c>
      <c r="CI23" s="258">
        <v>2.9079999999999999</v>
      </c>
      <c r="CJ23" s="258"/>
      <c r="CK23" s="258"/>
      <c r="CL23" s="258"/>
      <c r="CM23" s="258"/>
    </row>
    <row r="24" spans="1:91" x14ac:dyDescent="0.25">
      <c r="A24" s="723"/>
      <c r="B24" s="723"/>
      <c r="D24" s="31">
        <f>D23+AH23</f>
        <v>37330</v>
      </c>
      <c r="F24" s="28">
        <f>VLOOKUP(AG24,$AL$4:$AS$15,2)</f>
        <v>989</v>
      </c>
      <c r="G24" s="28">
        <f>F24*$AU24</f>
        <v>984.44010651957069</v>
      </c>
      <c r="H24" s="52">
        <f>(AL24+AM24+AN24)/(1-(AR24))</f>
        <v>3.0347507014893162</v>
      </c>
      <c r="I24" s="52">
        <f>(AL24+AO24+AP24)</f>
        <v>3.0920000000000001</v>
      </c>
      <c r="K24" s="52">
        <f>MAX(((I24-H24)-AQ24)*AU24*AH24,0)</f>
        <v>0</v>
      </c>
      <c r="L24" s="135">
        <f>MAX(Q24-K24,0)</f>
        <v>0.71524975723967088</v>
      </c>
      <c r="N24" s="131">
        <f>SQRT(($AX24^2*($AH24/2)+$AW24^2*$AI24)/(($AH24/2)+$AI24))</f>
        <v>0.79</v>
      </c>
      <c r="O24" s="131">
        <f>SQRT(($AY24^2*($AH24/2)+$AW24^2*$AI24)/(($AH24/2)+$AI24))</f>
        <v>0.79</v>
      </c>
      <c r="P24" s="55">
        <f>(VLOOKUP(AI24,CorrelationTwo,2)*(AW24^2)*AI24+VLOOKUP(D24,CorrelationOne,$AK$9)*AX24*AY24*(AH24/2))/((AI24+(AH24/2))*O24*N24)*AF24</f>
        <v>0.99793296089385497</v>
      </c>
      <c r="Q24" s="135">
        <f>_xll.xSPRDOPT(I24,H24,AQ24,0,O24,N24,P24,D24-$G$5,1,0)*AH24*AU24</f>
        <v>0.71524975723967088</v>
      </c>
      <c r="R24" s="135"/>
      <c r="S24" s="181">
        <f>_xll.xSPRDOPT(I24,H24,AQ24,AT24,O24,N24,P24,D24-$G$5,1,2)*AF24*(F24/(1-AR24))*AH24</f>
        <v>-13041.846067245064</v>
      </c>
      <c r="T24" s="181">
        <f>_xll.xSPRDOPT(I24,H24,AQ24,AT24,O24,N24,P24,D24-$G$5,1,1)*AF24*F24*AH24</f>
        <v>12358.964308678589</v>
      </c>
      <c r="U24" s="135"/>
      <c r="V24" s="146">
        <f>($Y$12+VLOOKUP(YEAR(D24),$X$15:$Y$17,2,FALSE))*AH24*AU24</f>
        <v>0</v>
      </c>
      <c r="W24" s="146"/>
      <c r="X24" s="338">
        <f>((BM24*BC24)+(BL24*BB24))*AH24*F24</f>
        <v>0</v>
      </c>
      <c r="Y24" s="338">
        <f>($F24*$AH24)*((($BG24/2)*($BC24)^2)+(($BF24/2)*($BB24)^2)+($BH24*$BC24*$BB24))</f>
        <v>0</v>
      </c>
      <c r="Z24" s="338">
        <f>($BI24*$F24*$AH24*($G$5-$BV$5))/365.25</f>
        <v>-16.284613222971515</v>
      </c>
      <c r="AA24" s="338">
        <f>(($BK24*$BE24)+($BJ24*$BD24))*$F24*$AH24*$AF24</f>
        <v>0</v>
      </c>
      <c r="AB24" s="338">
        <f>BN24*(AT24-CA24)*F24*AH24</f>
        <v>0</v>
      </c>
      <c r="AC24" s="338">
        <f>BO24*CB24*F24*AH24*CA24*($G$5-$BV$5)/365.25</f>
        <v>0.11502889721418065</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-0.09</v>
      </c>
      <c r="AN24" s="258">
        <f>VLOOKUP($D24,CurveTbl,$AH$4)+VLOOKUP($AG24,$AL$3:$AS$15,6)</f>
        <v>0</v>
      </c>
      <c r="AO24" s="258">
        <f>VLOOKUP($D24,CurveTbl,$AH$5)</f>
        <v>0.17</v>
      </c>
      <c r="AP24" s="258">
        <f>VLOOKUP($D24,CurveTbl,$AH$6)+VLOOKUP($AG24,$AL$3:$AS$15,7)</f>
        <v>0.02</v>
      </c>
      <c r="AQ24" s="136">
        <f>VLOOKUP($AG24,$AL$4:$AS$15,3)+VLOOKUP($AG24,$AL$4:$AS$15,5)+($AH$10*VLOOKUP(D24,GRITable,2))</f>
        <v>7.8799999999999995E-2</v>
      </c>
      <c r="AR24" s="137">
        <f>VLOOKUP($AG24,$AL$4:$AS$15,4)</f>
        <v>7.3400000000000007E-2</v>
      </c>
      <c r="AS24" s="136">
        <f>(AL24+AM24+AN24)</f>
        <v>2.8120000000000003</v>
      </c>
      <c r="AT24" s="137">
        <f>VLOOKUP(D24,CurveTbl,$AK$6)</f>
        <v>1.9273175363903501E-2</v>
      </c>
      <c r="AU24" s="137">
        <f>(1+$AT24/2)^(-2*($D24-$G$5)/365.25)*$AF24</f>
        <v>0.99538938980745262</v>
      </c>
      <c r="AV24" s="394">
        <f>ROUND((F24/(1-AR24))-F24,0)*AF24*AH24*AU24</f>
        <v>2406.8515445544203</v>
      </c>
      <c r="AW24" s="137">
        <f>VLOOKUP($D24,CurveTbl,$AK$8)</f>
        <v>0.79</v>
      </c>
      <c r="AX24" s="137">
        <f>VLOOKUP($D24,CurveTbl,$AH$7)</f>
        <v>0.79</v>
      </c>
      <c r="AY24" s="137">
        <f>VLOOKUP($D24,CurveTbl,$AH$8)</f>
        <v>0.79</v>
      </c>
      <c r="AZ24" s="137"/>
      <c r="BA24" s="264"/>
      <c r="BB24" s="258">
        <f>$H24-$BV24</f>
        <v>0</v>
      </c>
      <c r="BC24" s="258">
        <f>I24-BW24</f>
        <v>0</v>
      </c>
      <c r="BD24" s="137">
        <f t="shared" si="12"/>
        <v>0</v>
      </c>
      <c r="BE24" s="137">
        <f t="shared" si="12"/>
        <v>0</v>
      </c>
      <c r="BF24" s="137">
        <f>_xll.xSPRDOPT($BW24,$BV24,$CG24,0,$BY24,$BX24,$BZ24,$AJ24,1,4)*$CB24</f>
        <v>4.588029730333143</v>
      </c>
      <c r="BG24" s="137">
        <f>_xll.xSPRDOPT($BW24,$BV24,$CG24,0,$BY24,$BX24,$BZ24,$AJ24,1,3)*$CB24</f>
        <v>4.6383116736945862</v>
      </c>
      <c r="BH24" s="137">
        <f>IF(OR(BF24&lt;&gt;0,BG24&lt;&gt;0),_xll.xSPRDOPT($BW24,$BV24,$CG24,0,$BY24,$BX24,$BZ24,$AJ24,1,12)*$CB24,0)</f>
        <v>-4.6129252781285448</v>
      </c>
      <c r="BI24" s="137">
        <f>_xll.xSPRDOPT($BW24,$BV24,$CG24,2*LN(1+CA24/2),$BY24,$BX24,$BZ24,$AJ24,1,9)</f>
        <v>-6.4667851524732783E-2</v>
      </c>
      <c r="BJ24" s="137">
        <f>_xll.xSPRDOPT($BW24,$BV24,$CG24,0,$BY24,$BX24,$BZ24,$AJ24,1,6)*$CB24</f>
        <v>-0.1851398580212886</v>
      </c>
      <c r="BK24" s="137">
        <f>_xll.xSPRDOPT($BW24,$BV24,$CG24,0,$BY24,$BX24,$BZ24,$AJ24,1,5)*$CB24</f>
        <v>0.22621554042201458</v>
      </c>
      <c r="BL24" s="137">
        <f>_xll.xSPRDOPT(BW24,BV24,CG24,0,BY24,BX24,BZ24,AJ24,1,2)*CB24</f>
        <v>-0.39602587955147556</v>
      </c>
      <c r="BM24" s="137">
        <f>_xll.xSPRDOPT(BW24,BV24,CG24,0,BY24,BX24,BZ24,AJ24,1,1)*CB24</f>
        <v>0.40517212307063788</v>
      </c>
      <c r="BN24" s="137">
        <f>IF(AH24&lt;&gt;0,_xll.xSPRDOPT($BW24,$BV24,$CG24,2*LN(1+CA24/2),$BY24,$BX24,$BZ24,$AJ24,1,8)+(AJ24/365.25)*CH24/AH24,0)</f>
        <v>-5.9049447080678011E-3</v>
      </c>
      <c r="BO24" s="137">
        <f>_xll.xSPRDOPT($BW24,$BV24,$CG24,0,$BY24,$BX24,$BZ24,$AJ24,1,0)</f>
        <v>2.3814423947969812E-2</v>
      </c>
      <c r="BP24" s="137"/>
      <c r="BQ24" s="137"/>
      <c r="BR24" s="137"/>
      <c r="BS24" s="137"/>
      <c r="BV24" s="262">
        <v>3.0347507014893162</v>
      </c>
      <c r="BW24" s="136">
        <v>3.0920000000000001</v>
      </c>
      <c r="BX24" s="137">
        <v>0.79</v>
      </c>
      <c r="BY24" s="137">
        <v>0.79</v>
      </c>
      <c r="BZ24" s="137">
        <v>0.99791891891891904</v>
      </c>
      <c r="CA24" s="137">
        <v>1.9273175363903501E-2</v>
      </c>
      <c r="CB24" s="137">
        <v>0.99523258517239033</v>
      </c>
      <c r="CC24" s="258">
        <v>-0.09</v>
      </c>
      <c r="CD24" s="258">
        <v>0</v>
      </c>
      <c r="CE24" s="258">
        <v>0.17</v>
      </c>
      <c r="CF24" s="258">
        <v>0.02</v>
      </c>
      <c r="CG24" s="258">
        <v>7.8799999999999995E-2</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2.7679999999999998</v>
      </c>
      <c r="I25" s="52">
        <f>(AL25+AO25+AP25)</f>
        <v>3.0504999999999995</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-8.2500000000000004E-2</v>
      </c>
      <c r="AN25" s="258">
        <f>VLOOKUP($D25,CurveTbl,$AH$4)+VLOOKUP($AG25,$AL$3:$AS$15,6)</f>
        <v>2.5000000000000001E-3</v>
      </c>
      <c r="AO25" s="258">
        <f>VLOOKUP($D25,CurveTbl,$AH$5)</f>
        <v>0.19500000000000001</v>
      </c>
      <c r="AP25" s="258">
        <f>VLOOKUP($D25,CurveTbl,$AH$6)+VLOOKUP($AG25,$AL$3:$AS$15,7)</f>
        <v>7.4999999999999997E-3</v>
      </c>
      <c r="AQ25" s="136">
        <f>VLOOKUP($AG25,$AL$4:$AS$15,3)+VLOOKUP($AG25,$AL$4:$AS$15,5)+($AH$10*VLOOKUP(D25,GRITable,2))</f>
        <v>0</v>
      </c>
      <c r="AR25" s="137">
        <f>VLOOKUP($AG25,$AL$4:$AS$15,4)</f>
        <v>0</v>
      </c>
      <c r="AS25" s="136">
        <f>(AL25+AM25+AN25)</f>
        <v>2.7679999999999998</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-0.80372159099754592</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0.72458054340829114</v>
      </c>
      <c r="BP25" s="137"/>
      <c r="BQ25" s="137"/>
      <c r="BR25" s="137"/>
      <c r="BS25" s="137"/>
      <c r="BV25" s="262">
        <v>2.7679999999999998</v>
      </c>
      <c r="BW25" s="136">
        <v>3.0504999999999995</v>
      </c>
      <c r="BX25" s="137">
        <v>0.61</v>
      </c>
      <c r="BY25" s="137">
        <v>0.61</v>
      </c>
      <c r="BZ25" s="137">
        <v>0</v>
      </c>
      <c r="CA25" s="137">
        <v>1.9422640119623601E-2</v>
      </c>
      <c r="CB25" s="137">
        <v>0</v>
      </c>
      <c r="CC25" s="258">
        <v>-8.2500000000000004E-2</v>
      </c>
      <c r="CD25" s="258">
        <v>2.5000000000000001E-3</v>
      </c>
      <c r="CE25" s="258">
        <v>0.19500000000000001</v>
      </c>
      <c r="CF25" s="258">
        <v>7.4999999999999997E-3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2.7679999999999998</v>
      </c>
      <c r="I26" s="52">
        <f>(AL26+AO26+AP26)</f>
        <v>3.0504999999999995</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-8.2500000000000004E-2</v>
      </c>
      <c r="AN26" s="258">
        <f>VLOOKUP($D26,CurveTbl,$AH$4)+VLOOKUP($AG26,$AL$3:$AS$15,6)</f>
        <v>2.5000000000000001E-3</v>
      </c>
      <c r="AO26" s="258">
        <f>VLOOKUP($D26,CurveTbl,$AH$5)</f>
        <v>0.19500000000000001</v>
      </c>
      <c r="AP26" s="258">
        <f>VLOOKUP($D26,CurveTbl,$AH$6)+VLOOKUP($AG26,$AL$3:$AS$15,7)</f>
        <v>7.4999999999999997E-3</v>
      </c>
      <c r="AQ26" s="136">
        <f>VLOOKUP($AG26,$AL$4:$AS$15,3)+VLOOKUP($AG26,$AL$4:$AS$15,5)+($AH$10*VLOOKUP(D26,GRITable,2))</f>
        <v>0</v>
      </c>
      <c r="AR26" s="137">
        <f>VLOOKUP($AG26,$AL$4:$AS$15,4)</f>
        <v>0</v>
      </c>
      <c r="AS26" s="136">
        <f>(AL26+AM26+AN26)</f>
        <v>2.7679999999999998</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-0.80372159099754592</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0.72458054340829114</v>
      </c>
      <c r="BP26" s="137"/>
      <c r="BQ26" s="137"/>
      <c r="BR26" s="137"/>
      <c r="BS26" s="137"/>
      <c r="BV26" s="262">
        <v>2.7679999999999998</v>
      </c>
      <c r="BW26" s="136">
        <v>3.0504999999999995</v>
      </c>
      <c r="BX26" s="137">
        <v>0.61</v>
      </c>
      <c r="BY26" s="137">
        <v>0.61</v>
      </c>
      <c r="BZ26" s="137">
        <v>0</v>
      </c>
      <c r="CA26" s="137">
        <v>1.9422640119623601E-2</v>
      </c>
      <c r="CB26" s="137">
        <v>0</v>
      </c>
      <c r="CC26" s="258">
        <v>-8.2500000000000004E-2</v>
      </c>
      <c r="CD26" s="258">
        <v>2.5000000000000001E-3</v>
      </c>
      <c r="CE26" s="258">
        <v>0.19500000000000001</v>
      </c>
      <c r="CF26" s="258">
        <v>7.4999999999999997E-3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1249"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1250"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CX26"/>
  <sheetViews>
    <sheetView topLeftCell="Q1"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LongTerm103</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103</v>
      </c>
      <c r="F2" s="178" t="str">
        <f>GetRcptPoint($AH$12,$AH$13)</f>
        <v>Tetco/STX</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118</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23804.187000191549</v>
      </c>
      <c r="O4" s="352">
        <v>23802.65</v>
      </c>
      <c r="P4" s="354">
        <f ca="1">N4-O4</f>
        <v>1.5370001915471221</v>
      </c>
      <c r="S4" s="427" t="s">
        <v>635</v>
      </c>
      <c r="T4" s="422">
        <f ca="1">SUMPRODUCT(INDIRECT(CONCATENATE(V4,":",W4)),INDIRECT(CONCATENATE(AV2,":",AW2)),INDIRECT(CONCATENATE(AV3,":",AW3)))</f>
        <v>23755.809851137794</v>
      </c>
      <c r="V4" s="30" t="str">
        <f>ADDRESS(ROW(K22),COLUMN(K22))</f>
        <v>$K$22</v>
      </c>
      <c r="W4" s="30" t="str">
        <f ca="1">GetEnd($AV$1,V4)</f>
        <v>$K$26</v>
      </c>
      <c r="AF4" s="28"/>
      <c r="AG4" s="103" t="s">
        <v>32</v>
      </c>
      <c r="AH4" s="104">
        <f>GetRcptIndexCol($AH$12,$AH$13)</f>
        <v>119</v>
      </c>
      <c r="AI4" s="29"/>
      <c r="AJ4" s="103" t="s">
        <v>72</v>
      </c>
      <c r="AK4" s="104">
        <f>GetNymexCol(AK3)</f>
        <v>3</v>
      </c>
      <c r="AL4" s="34">
        <v>1</v>
      </c>
      <c r="AM4" s="45">
        <f t="shared" ref="AM4:AM15" si="0">GetVolume($AH$12,$AH$13,AT4)</f>
        <v>402</v>
      </c>
      <c r="AN4" s="46">
        <f t="shared" ref="AN4:AN15" si="1">GetCommodity($AH$12,$AH$13,AT4)</f>
        <v>0.1134</v>
      </c>
      <c r="AO4" s="47">
        <f t="shared" ref="AO4:AO15" si="2">GetFuelRate($AH$12,$AH$13,AT4)</f>
        <v>8.8400000000000006E-2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48.377149053752575</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402</v>
      </c>
      <c r="AN5" s="38">
        <f t="shared" si="1"/>
        <v>0.1134</v>
      </c>
      <c r="AO5" s="39">
        <f t="shared" si="2"/>
        <v>8.8400000000000006E-2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23804.187000191549</v>
      </c>
      <c r="O6" s="357">
        <v>23802.65</v>
      </c>
      <c r="P6" s="358">
        <f ca="1">N6-O6</f>
        <v>1.5370001915471221</v>
      </c>
      <c r="S6" s="428" t="s">
        <v>637</v>
      </c>
      <c r="T6" s="424">
        <f ca="1">SUMPRODUCT(INDIRECT(CONCATENATE(V6,":",W6)),INDIRECT(CONCATENATE(AV3,":",AW3)),INDIRECT(CONCATENATE(AX3,":",AY3)))</f>
        <v>36068.56772126993</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402</v>
      </c>
      <c r="AN6" s="38">
        <f t="shared" si="1"/>
        <v>0.1134</v>
      </c>
      <c r="AO6" s="39">
        <f t="shared" si="2"/>
        <v>8.8400000000000006E-2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298.49</v>
      </c>
      <c r="P7" s="355">
        <f ca="1">N7</f>
        <v>0</v>
      </c>
      <c r="S7" s="428" t="s">
        <v>638</v>
      </c>
      <c r="T7" s="425">
        <f ca="1">T5/T6</f>
        <v>1.3412550625131747E-3</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3854.35</v>
      </c>
      <c r="P8" s="355">
        <f ca="1">N8</f>
        <v>0</v>
      </c>
      <c r="S8" s="429" t="s">
        <v>639</v>
      </c>
      <c r="T8" s="426">
        <f ca="1">Y8/Z8</f>
        <v>0.9871542206993954</v>
      </c>
      <c r="V8" s="30" t="str">
        <f>ADDRESS(ROW(P22),COLUMN(P22))</f>
        <v>$P$22</v>
      </c>
      <c r="W8" s="30" t="str">
        <f ca="1">GetEnd($AV$1,V8)</f>
        <v>$P$26</v>
      </c>
      <c r="Y8" s="334">
        <f ca="1">SUMIF(INDIRECT(CONCATENATE(V8,":",W8)),"&gt;0",INDIRECT(CONCATENATE(V8,":",W8)))</f>
        <v>2.9614626620981861</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180.31</v>
      </c>
      <c r="P9" s="355">
        <f ca="1">N9</f>
        <v>0</v>
      </c>
      <c r="AF9" s="28"/>
      <c r="AG9" s="52"/>
      <c r="AH9" s="52"/>
      <c r="AI9" s="29"/>
      <c r="AJ9" s="103" t="s">
        <v>139</v>
      </c>
      <c r="AK9" s="105">
        <f>GetCorrelCol($AH$12,$AH$13)</f>
        <v>14</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34.954485400989675</v>
      </c>
      <c r="L10" s="706" t="s">
        <v>628</v>
      </c>
      <c r="M10" s="707"/>
      <c r="N10" s="352">
        <f ca="1">-SUMPRODUCT(INDIRECT(CONCATENATE(AV10,":",AW10)),INDIRECT(CONCATENATE($AX$7,":",$AY$7)),INDIRECT(CONCATENATE($AV$3,":",$AW$3)))</f>
        <v>-9577.444882089525</v>
      </c>
      <c r="O10" s="352">
        <v>-9575.9500000000007</v>
      </c>
      <c r="P10" s="355">
        <f t="shared" ref="P10:P19" ca="1" si="10">N10-O10</f>
        <v>-1.4948820895242534</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18211.107774000338</v>
      </c>
      <c r="L11" s="704" t="s">
        <v>629</v>
      </c>
      <c r="M11" s="705"/>
      <c r="N11" s="356">
        <f ca="1">-SUMPRODUCT(INDIRECT(CONCATENATE(AV11,":",AW11)),INDIRECT(CONCATENATE($AV$2,":",$AW$2)),INDIRECT(CONCATENATE($AV$3,":",$AW$3)),INDIRECT(CONCATENATE(AX3,":",AY3)))</f>
        <v>-4102.8120000000008</v>
      </c>
      <c r="O11" s="357">
        <v>-4102.8100000000004</v>
      </c>
      <c r="P11" s="358">
        <f t="shared" ca="1" si="10"/>
        <v>-2.0000000004074536E-3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3664.07</v>
      </c>
      <c r="P12" s="355">
        <f t="shared" ca="1" si="10"/>
        <v>-3664.07</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40.619999999999997</v>
      </c>
      <c r="P13" s="355">
        <f t="shared" ca="1" si="10"/>
        <v>-40.619999999999997</v>
      </c>
      <c r="X13" s="498" t="s">
        <v>761</v>
      </c>
      <c r="AG13" s="248" t="s">
        <v>186</v>
      </c>
      <c r="AH13" s="119">
        <f>GetRecNdx($AH$12,$D$2)</f>
        <v>19</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-7.4098819180064428</v>
      </c>
      <c r="O14" s="352">
        <v>-4.88</v>
      </c>
      <c r="P14" s="355">
        <f t="shared" ca="1" si="10"/>
        <v>-2.5298819180064429</v>
      </c>
      <c r="S14" s="181">
        <f>F22/(1-AR22)*AH22*AU22</f>
        <v>13650.210913277278</v>
      </c>
      <c r="T14" s="181">
        <f>F22*AH22*AU22</f>
        <v>12443.532268543568</v>
      </c>
      <c r="X14" s="500" t="s">
        <v>762</v>
      </c>
      <c r="Y14" s="501" t="s">
        <v>763</v>
      </c>
      <c r="AL14" s="34">
        <v>11</v>
      </c>
      <c r="AM14" s="37">
        <f t="shared" si="0"/>
        <v>402</v>
      </c>
      <c r="AN14" s="38">
        <f t="shared" si="1"/>
        <v>0.1134</v>
      </c>
      <c r="AO14" s="39">
        <f t="shared" si="2"/>
        <v>8.8400000000000006E-2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10.213635107956407</v>
      </c>
      <c r="O15" s="352">
        <v>5.61</v>
      </c>
      <c r="P15" s="355">
        <f t="shared" ca="1" si="10"/>
        <v>4.6036351079564062</v>
      </c>
      <c r="X15" s="502">
        <v>2001</v>
      </c>
      <c r="Y15" s="503">
        <v>0</v>
      </c>
      <c r="AL15" s="34">
        <v>12</v>
      </c>
      <c r="AM15" s="41">
        <f t="shared" si="0"/>
        <v>402</v>
      </c>
      <c r="AN15" s="42">
        <f t="shared" si="1"/>
        <v>0.1134</v>
      </c>
      <c r="AO15" s="43">
        <f t="shared" si="2"/>
        <v>8.8400000000000006E-2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-0.39</v>
      </c>
      <c r="P16" s="355">
        <f t="shared" ca="1" si="10"/>
        <v>0.39</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3.7316259433422214</v>
      </c>
      <c r="O17" s="357">
        <v>1.05</v>
      </c>
      <c r="P17" s="358">
        <f t="shared" ca="1" si="10"/>
        <v>2.6816259433422216</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23755.809851137794</v>
      </c>
      <c r="O18" s="352">
        <v>23752.1</v>
      </c>
      <c r="P18" s="355">
        <f t="shared" ca="1" si="10"/>
        <v>3.70985113779534</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48.377149053752575</v>
      </c>
      <c r="O19" s="359">
        <v>50.54</v>
      </c>
      <c r="P19" s="360">
        <f t="shared" ca="1" si="10"/>
        <v>-2.1628509462474241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IF-TETCO/STX Basis Mid</v>
      </c>
      <c r="T20" s="182" t="str">
        <f>GetDelBasis($AH$12,$AH$13)</f>
        <v>IF-TETCO/M3 Basis Mid</v>
      </c>
      <c r="U20" s="158"/>
      <c r="V20" s="158"/>
      <c r="W20" s="158"/>
      <c r="X20" s="158"/>
      <c r="Y20" s="335"/>
      <c r="Z20" s="335"/>
      <c r="AA20" s="335"/>
      <c r="AB20" s="335"/>
      <c r="AC20" s="335"/>
      <c r="AI20" s="138"/>
      <c r="AM20" s="702" t="str">
        <f>GetRcptPoint($AH$12,$AH$13)</f>
        <v>Tetco/STX</v>
      </c>
      <c r="AN20" s="703"/>
      <c r="AO20" s="702" t="str">
        <f>GetDelPoint($AH$12,$AH$13)</f>
        <v>Tetco/M3</v>
      </c>
      <c r="AP20" s="703"/>
      <c r="AQ20" s="137"/>
      <c r="AS20" s="137"/>
      <c r="AU20" s="136" t="s">
        <v>576</v>
      </c>
      <c r="AV20" s="353">
        <f ca="1">SUMPRODUCT(INDIRECT(CONCATENATE(AV8,":",AW8)),INDIRECT(CONCATENATE($AV$2,":",$AW$2)),INDIRECT(CONCATENATE($AV$3,":",$AW$3)),INDIRECT(CONCATENATE(AX3,":",AY3)))</f>
        <v>-5065.2000000000007</v>
      </c>
      <c r="AW20" s="353">
        <f ca="1">SUMPRODUCT(INDIRECT(CONCATENATE(AX8,":",AY8)),INDIRECT(CONCATENATE($AV$2,":",$AW$2)),INDIRECT(CONCATENATE($AV$3,":",$AW$3)),INDIRECT(CONCATENATE(AX3,":",AY3)))</f>
        <v>28349.039999999997</v>
      </c>
      <c r="AX20" s="353">
        <f ca="1">SUMPRODUCT(INDIRECT(CONCATENATE(AV9,":",AW9)),INDIRECT(CONCATENATE($AV$2,":",$AW$2)),INDIRECT(CONCATENATE($AV$3,":",$AW$3)),INDIRECT(CONCATENATE(AX3,":",AY3)))</f>
        <v>-271.34999999999997</v>
      </c>
      <c r="AY20" s="353">
        <f ca="1">SUMPRODUCT(INDIRECT(CONCATENATE(AX9,":",AY9)),INDIRECT(CONCATENATE($AV$2,":",$AW$2)),INDIRECT(CONCATENATE($AV$3,":",$AW$3)),INDIRECT(CONCATENATE(AX3,":",AY3)))</f>
        <v>3843.12</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402</v>
      </c>
      <c r="G22" s="28">
        <f>F22*$AU22</f>
        <v>401.40426672721185</v>
      </c>
      <c r="H22" s="52">
        <f>(AL22+AM22+AN22)/(1-(AR22))</f>
        <v>2.9601799034664329</v>
      </c>
      <c r="I22" s="52">
        <f>(AL22+AO22+AP22)</f>
        <v>3.8460000000000001</v>
      </c>
      <c r="K22" s="52">
        <f>MAX(((I22-H22)-AQ22)*AU22*AH22,0)</f>
        <v>23.909538298723831</v>
      </c>
      <c r="L22" s="135">
        <f>MAX(Q22-K22,0)</f>
        <v>4.1447370793623151E-2</v>
      </c>
      <c r="N22" s="131">
        <f>SQRT(($AX22^2*($AH22/2)+$AW22^2*$AI22)/(($AH22/2)+$AI22))</f>
        <v>0.97398938796521406</v>
      </c>
      <c r="O22" s="131">
        <f>SQRT(($AY22^2*($AH22/2)+$AW22^2*$AI22)/(($AH22/2)+$AI22))</f>
        <v>1.2249463019344771</v>
      </c>
      <c r="P22" s="55">
        <f>(VLOOKUP(AI22,CorrelationTwo,2)*(AW22^2)*AI22+VLOOKUP(D22,CorrelationOne,$AK$9)*AX22*AY22*(AH22/2))/((AI22+(AH22/2))*O22*N22)*AF22</f>
        <v>0.98480469233082146</v>
      </c>
      <c r="Q22" s="135">
        <f>_xll.xSPRDOPT(I22,H22,AQ22,0,O22,N22,P22,D22-$G$5,1,0)*AH22*AU22</f>
        <v>23.950985669517454</v>
      </c>
      <c r="R22" s="135"/>
      <c r="S22" s="181">
        <f>_xll.xSPRDOPT(I22,H22,AQ22,AT22,O22,N22,P22,D22-$G$5,1,2)*AF22*(F22/(1-AR22))*AH22</f>
        <v>-13481.699755903304</v>
      </c>
      <c r="T22" s="181">
        <f>_xll.xSPRDOPT(I22,H22,AQ22,AT22,O22,N22,P22,D22-$G$5,1,1)*AF22*F22*AH22</f>
        <v>12321.752723602278</v>
      </c>
      <c r="U22" s="135"/>
      <c r="V22" s="146">
        <f>($Y$12+VLOOKUP(YEAR(D22),$X$15:$Y$17,2,FALSE))*AH22*AU22</f>
        <v>0</v>
      </c>
      <c r="W22" s="146"/>
      <c r="X22" s="338">
        <f>((BM22*BC22)+(BL22*BB22))*AH22*F22</f>
        <v>0</v>
      </c>
      <c r="Y22" s="338">
        <f>($F22*$AH22)*((($BG22/2)*($BC22)^2)+(($BF22/2)*($BB22)^2)+($BH22*$BC22*$BB22))</f>
        <v>0</v>
      </c>
      <c r="Z22" s="338">
        <f>($BI22*$F22*$AH22*($G$5-$BV$5))/365.25</f>
        <v>-4.7722024918902539</v>
      </c>
      <c r="AA22" s="338">
        <f>(($BK22*$BE22)+($BJ22*$BD22))*$F22*$AH22*$AF22</f>
        <v>6.8419304557692842</v>
      </c>
      <c r="AB22" s="338">
        <f>BN22*(AT22-CA22)*F22*AH22</f>
        <v>0</v>
      </c>
      <c r="AC22" s="338">
        <f>BO22*CB22*F22*AH22*CA22*($G$5-$BV$5)/365.25</f>
        <v>1.4840019568452132</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-0.14000000000000001</v>
      </c>
      <c r="AN22" s="258">
        <f>VLOOKUP($D22,CurveTbl,$AH$4)+VLOOKUP($AG22,$AL$3:$AS$15,6)</f>
        <v>-7.4999999999999997E-3</v>
      </c>
      <c r="AO22" s="258">
        <f>VLOOKUP($D22,CurveTbl,$AH$5)</f>
        <v>0.88</v>
      </c>
      <c r="AP22" s="258">
        <f>VLOOKUP($D22,CurveTbl,$AH$6)+VLOOKUP($AG22,$AL$3:$AS$15,7)</f>
        <v>0.12</v>
      </c>
      <c r="AQ22" s="136">
        <f>VLOOKUP($AG22,$AL$4:$AS$15,3)+VLOOKUP($AG22,$AL$4:$AS$15,5)+($AH$10*VLOOKUP(D22,GRITable,2))</f>
        <v>0.1134</v>
      </c>
      <c r="AR22" s="137">
        <f>VLOOKUP($AG22,$AL$4:$AS$15,4)</f>
        <v>8.8400000000000006E-2</v>
      </c>
      <c r="AS22" s="136">
        <f>(AL22+AM22+AN22)</f>
        <v>2.6985000000000001</v>
      </c>
      <c r="AT22" s="137">
        <f>VLOOKUP(D22,CurveTbl,$AK$6)</f>
        <v>1.8765908157160699E-2</v>
      </c>
      <c r="AU22" s="137">
        <f>(1+$AT22/2)^(-2*($D22-$G$5)/365.25)*$AF22</f>
        <v>0.99851807643585033</v>
      </c>
      <c r="AV22" s="394">
        <f>ROUND((F22/(1-AR22))-F22,0)*AF22*AH22*AU22</f>
        <v>1207.208354410943</v>
      </c>
      <c r="AW22" s="137">
        <f>VLOOKUP($D22,CurveTbl,$AK$8)</f>
        <v>0.87</v>
      </c>
      <c r="AX22" s="137">
        <f>VLOOKUP($D22,CurveTbl,$AH$7)</f>
        <v>1.0649999999999999</v>
      </c>
      <c r="AY22" s="137">
        <f>VLOOKUP($D22,CurveTbl,$AH$8)</f>
        <v>1.49</v>
      </c>
      <c r="AZ22" s="137"/>
      <c r="BA22" s="264"/>
      <c r="BB22" s="258">
        <f>$H22-$BV22</f>
        <v>0</v>
      </c>
      <c r="BC22" s="258">
        <f>I22-BW22</f>
        <v>0</v>
      </c>
      <c r="BD22" s="137">
        <f t="shared" ref="BD22:BE26" si="12">N22-BX22</f>
        <v>8.8556102145729287E-3</v>
      </c>
      <c r="BE22" s="137">
        <f t="shared" si="12"/>
        <v>2.7489419589802999E-2</v>
      </c>
      <c r="BF22" s="137">
        <f>_xll.xSPRDOPT($BW22,$BV22,$CG22,0,$BY22,$BX22,$BZ22,$AJ22,1,4)*$CB22</f>
        <v>0.10439166470888239</v>
      </c>
      <c r="BG22" s="137">
        <f>_xll.xSPRDOPT($BW22,$BV22,$CG22,0,$BY22,$BX22,$BZ22,$AJ22,1,3)*$CB22</f>
        <v>6.9629067802481071E-2</v>
      </c>
      <c r="BH22" s="137">
        <f>IF(OR(BF22&lt;&gt;0,BG22&lt;&gt;0),_xll.xSPRDOPT($BW22,$BV22,$CG22,0,$BY22,$BX22,$BZ22,$AJ22,1,12)*$CB22,0)</f>
        <v>-8.525195705111796E-2</v>
      </c>
      <c r="BI22" s="137">
        <f>_xll.xSPRDOPT($BW22,$BV22,$CG22,2*LN(1+CA22/2),$BY22,$BX22,$BZ22,$AJ22,1,9)</f>
        <v>-4.6622986148903742E-2</v>
      </c>
      <c r="BJ22" s="137">
        <f>_xll.xSPRDOPT($BW22,$BV22,$CG22,0,$BY22,$BX22,$BZ22,$AJ22,1,6)*$CB22</f>
        <v>-2.2813871248269193E-2</v>
      </c>
      <c r="BK22" s="137">
        <f>_xll.xSPRDOPT($BW22,$BV22,$CG22,0,$BY22,$BX22,$BZ22,$AJ22,1,5)*$CB22</f>
        <v>2.7321574273703044E-2</v>
      </c>
      <c r="BL22" s="137">
        <f>_xll.xSPRDOPT(BW22,BV22,CG22,0,BY22,BX22,BZ22,AJ22,1,2)*CB22</f>
        <v>-0.98539620168737752</v>
      </c>
      <c r="BM22" s="137">
        <f>_xll.xSPRDOPT(BW22,BV22,CG22,0,BY22,BX22,BZ22,AJ22,1,1)*CB22</f>
        <v>0.98809016700368191</v>
      </c>
      <c r="BN22" s="137">
        <f>IF(AH22&lt;&gt;0,_xll.xSPRDOPT($BW22,$BV22,$CG22,2*LN(1+CA22/2),$BY22,$BX22,$BZ22,$AJ22,1,8)+(AJ22/365.25)*CH22/AH22,0)</f>
        <v>-6.7687093189618006E-2</v>
      </c>
      <c r="BO22" s="137">
        <f>_xll.xSPRDOPT($BW22,$BV22,$CG22,0,$BY22,$BX22,$BZ22,$AJ22,1,0)</f>
        <v>0.77385003476903857</v>
      </c>
      <c r="BP22" s="137"/>
      <c r="BQ22" s="137"/>
      <c r="BR22" s="137"/>
      <c r="BS22" s="137"/>
      <c r="BV22" s="262">
        <v>2.9601799034664329</v>
      </c>
      <c r="BW22" s="136">
        <v>3.8460000000000001</v>
      </c>
      <c r="BX22" s="137">
        <v>0.96513377775064113</v>
      </c>
      <c r="BY22" s="137">
        <v>1.1974568823446741</v>
      </c>
      <c r="BZ22" s="137">
        <v>0.98367552636587796</v>
      </c>
      <c r="CA22" s="137">
        <v>1.8765908157160699E-2</v>
      </c>
      <c r="CB22" s="137">
        <v>0.99836489939579565</v>
      </c>
      <c r="CC22" s="258">
        <v>-0.14000000000000001</v>
      </c>
      <c r="CD22" s="258">
        <v>-7.4999999999999997E-3</v>
      </c>
      <c r="CE22" s="258">
        <v>0.88</v>
      </c>
      <c r="CF22" s="258">
        <v>0.12</v>
      </c>
      <c r="CG22" s="258">
        <v>0.1134</v>
      </c>
      <c r="CH22" s="258">
        <v>0</v>
      </c>
      <c r="CI22" s="258">
        <v>2.8460000000000001</v>
      </c>
      <c r="CJ22" s="258"/>
      <c r="CK22" s="258"/>
      <c r="CL22" s="258"/>
      <c r="CM22" s="258"/>
    </row>
    <row r="23" spans="1:91" x14ac:dyDescent="0.25">
      <c r="A23" s="723"/>
      <c r="B23" s="723"/>
      <c r="D23" s="31">
        <f>D22+AH22</f>
        <v>37302</v>
      </c>
      <c r="F23" s="28">
        <f>VLOOKUP(AG23,$AL$4:$AS$15,2)</f>
        <v>402</v>
      </c>
      <c r="G23" s="28">
        <f>F23*$AU23</f>
        <v>400.73188846235314</v>
      </c>
      <c r="H23" s="52">
        <f>(AL23+AM23+AN23)/(1-(AR23))</f>
        <v>3.0281921895568233</v>
      </c>
      <c r="I23" s="52">
        <f>(AL23+AO23+AP23)</f>
        <v>3.9079999999999999</v>
      </c>
      <c r="K23" s="52">
        <f>MAX(((I23-H23)-AQ23)*AU23*AH23,0)</f>
        <v>21.391724820679997</v>
      </c>
      <c r="L23" s="135">
        <f>MAX(Q23-K23,0)</f>
        <v>4.5504085427744201E-2</v>
      </c>
      <c r="N23" s="131">
        <f>SQRT(($AX23^2*($AH23/2)+$AW23^2*$AI23)/(($AH23/2)+$AI23))</f>
        <v>0.91558269242415602</v>
      </c>
      <c r="O23" s="131">
        <f>SQRT(($AY23^2*($AH23/2)+$AW23^2*$AI23)/(($AH23/2)+$AI23))</f>
        <v>1.0448265406276778</v>
      </c>
      <c r="P23" s="55">
        <f>(VLOOKUP(AI23,CorrelationTwo,2)*(AW23^2)*AI23+VLOOKUP(D23,CorrelationOne,$AK$9)*AX23*AY23*(AH23/2))/((AI23+(AH23/2))*O23*N23)*AF23</f>
        <v>0.98370403787579863</v>
      </c>
      <c r="Q23" s="135">
        <f>_xll.xSPRDOPT(I23,H23,AQ23,0,O23,N23,P23,D23-$G$5,1,0)*AH23*AU23</f>
        <v>21.437228906107741</v>
      </c>
      <c r="R23" s="135"/>
      <c r="S23" s="181">
        <f>_xll.xSPRDOPT(I23,H23,AQ23,AT23,O23,N23,P23,D23-$G$5,1,2)*AF23*(F23/(1-AR23))*AH23</f>
        <v>-12132.368108998109</v>
      </c>
      <c r="T23" s="181">
        <f>_xll.xSPRDOPT(I23,H23,AQ23,AT23,O23,N23,P23,D23-$G$5,1,1)*AF23*F23*AH23</f>
        <v>11092.188911114625</v>
      </c>
      <c r="U23" s="135"/>
      <c r="V23" s="146">
        <f>($Y$12+VLOOKUP(YEAR(D23),$X$15:$Y$17,2,FALSE))*AH23*AU23</f>
        <v>0</v>
      </c>
      <c r="W23" s="146"/>
      <c r="X23" s="338">
        <f>((BM23*BC23)+(BL23*BB23))*AH23*F23</f>
        <v>0</v>
      </c>
      <c r="Y23" s="338">
        <f>($F23*$AH23)*((($BG23/2)*($BC23)^2)+(($BF23/2)*($BB23)^2)+($BH23*$BC23*$BB23))</f>
        <v>0</v>
      </c>
      <c r="Z23" s="338">
        <f>($BI23*$F23*$AH23*($G$5-$BV$5))/365.25</f>
        <v>-1.8888859343603519</v>
      </c>
      <c r="AA23" s="338">
        <f>(($BK23*$BE23)+($BJ23*$BD23))*$F23*$AH23*$AF23</f>
        <v>2.5905899945501614</v>
      </c>
      <c r="AB23" s="338">
        <f>BN23*(AT23-CA23)*F23*AH23</f>
        <v>0</v>
      </c>
      <c r="AC23" s="338">
        <f>BO23*CB23*F23*AH23*CA23*($G$5-$BV$5)/365.25</f>
        <v>1.3678221433021835</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-0.14000000000000001</v>
      </c>
      <c r="AN23" s="258">
        <f>VLOOKUP($D23,CurveTbl,$AH$4)+VLOOKUP($AG23,$AL$3:$AS$15,6)</f>
        <v>-7.4999999999999997E-3</v>
      </c>
      <c r="AO23" s="258">
        <f>VLOOKUP($D23,CurveTbl,$AH$5)</f>
        <v>0.88</v>
      </c>
      <c r="AP23" s="258">
        <f>VLOOKUP($D23,CurveTbl,$AH$6)+VLOOKUP($AG23,$AL$3:$AS$15,7)</f>
        <v>0.12</v>
      </c>
      <c r="AQ23" s="136">
        <f>VLOOKUP($AG23,$AL$4:$AS$15,3)+VLOOKUP($AG23,$AL$4:$AS$15,5)+($AH$10*VLOOKUP(D23,GRITable,2))</f>
        <v>0.1134</v>
      </c>
      <c r="AR23" s="137">
        <f>VLOOKUP($AG23,$AL$4:$AS$15,4)</f>
        <v>8.8400000000000006E-2</v>
      </c>
      <c r="AS23" s="136">
        <f>(AL23+AM23+AN23)</f>
        <v>2.7605</v>
      </c>
      <c r="AT23" s="137">
        <f>VLOOKUP(D23,CurveTbl,$AK$6)</f>
        <v>1.9326187282006298E-2</v>
      </c>
      <c r="AU23" s="137">
        <f>(1+$AT23/2)^(-2*($D23-$G$5)/365.25)*$AF23</f>
        <v>0.99684549368744568</v>
      </c>
      <c r="AV23" s="394">
        <f>ROUND((F23/(1-AR23))-F23,0)*AF23*AH23*AU23</f>
        <v>1088.5552791066907</v>
      </c>
      <c r="AW23" s="137">
        <f>VLOOKUP($D23,CurveTbl,$AK$8)</f>
        <v>0.86499999999999999</v>
      </c>
      <c r="AX23" s="137">
        <f>VLOOKUP($D23,CurveTbl,$AH$7)</f>
        <v>1.0649999999999999</v>
      </c>
      <c r="AY23" s="137">
        <f>VLOOKUP($D23,CurveTbl,$AH$8)</f>
        <v>1.49</v>
      </c>
      <c r="AZ23" s="137"/>
      <c r="BA23" s="264"/>
      <c r="BB23" s="258">
        <f>$H23-$BV23</f>
        <v>0</v>
      </c>
      <c r="BC23" s="258">
        <f>I23-BW23</f>
        <v>0</v>
      </c>
      <c r="BD23" s="137">
        <f t="shared" si="12"/>
        <v>2.3451670356195997E-3</v>
      </c>
      <c r="BE23" s="137">
        <f t="shared" si="12"/>
        <v>7.8557920849169349E-3</v>
      </c>
      <c r="BF23" s="137">
        <f>_xll.xSPRDOPT($BW23,$BV23,$CG23,0,$BY23,$BX23,$BZ23,$AJ23,1,4)*$CB23</f>
        <v>0.11270314116460621</v>
      </c>
      <c r="BG23" s="137">
        <f>_xll.xSPRDOPT($BW23,$BV23,$CG23,0,$BY23,$BX23,$BZ23,$AJ23,1,3)*$CB23</f>
        <v>7.626156567738078E-2</v>
      </c>
      <c r="BH23" s="137">
        <f>IF(OR(BF23&lt;&gt;0,BG23&lt;&gt;0),_xll.xSPRDOPT($BW23,$BV23,$CG23,0,$BY23,$BX23,$BZ23,$AJ23,1,12)*$CB23,0)</f>
        <v>-9.2694430801732328E-2</v>
      </c>
      <c r="BI23" s="137">
        <f>_xll.xSPRDOPT($BW23,$BV23,$CG23,2*LN(1+CA23/2),$BY23,$BX23,$BZ23,$AJ23,1,9)</f>
        <v>-2.0431046775797164E-2</v>
      </c>
      <c r="BJ23" s="137">
        <f>_xll.xSPRDOPT($BW23,$BV23,$CG23,0,$BY23,$BX23,$BZ23,$AJ23,1,6)*$CB23</f>
        <v>-3.0236272089116303E-2</v>
      </c>
      <c r="BK23" s="137">
        <f>_xll.xSPRDOPT($BW23,$BV23,$CG23,0,$BY23,$BX23,$BZ23,$AJ23,1,5)*$CB23</f>
        <v>3.8323446422904896E-2</v>
      </c>
      <c r="BL23" s="137">
        <f>_xll.xSPRDOPT(BW23,BV23,CG23,0,BY23,BX23,BZ23,AJ23,1,2)*CB23</f>
        <v>-0.98213135483226432</v>
      </c>
      <c r="BM23" s="137">
        <f>_xll.xSPRDOPT(BW23,BV23,CG23,0,BY23,BX23,BZ23,AJ23,1,1)*CB23</f>
        <v>0.98506353535525726</v>
      </c>
      <c r="BN23" s="137">
        <f>IF(AH23&lt;&gt;0,_xll.xSPRDOPT($BW23,$BV23,$CG23,2*LN(1+CA23/2),$BY23,$BX23,$BZ23,$AJ23,1,8)+(AJ23/365.25)*CH23/AH23,0)</f>
        <v>-0.13204399535901687</v>
      </c>
      <c r="BO23" s="137">
        <f>_xll.xSPRDOPT($BW23,$BV23,$CG23,0,$BY23,$BX23,$BZ23,$AJ23,1,0)</f>
        <v>0.76808465607494381</v>
      </c>
      <c r="BP23" s="137"/>
      <c r="BQ23" s="137"/>
      <c r="BR23" s="137"/>
      <c r="BS23" s="137"/>
      <c r="BV23" s="262">
        <v>3.0281921895568233</v>
      </c>
      <c r="BW23" s="136">
        <v>3.9079999999999999</v>
      </c>
      <c r="BX23" s="137">
        <v>0.91323752538853642</v>
      </c>
      <c r="BY23" s="137">
        <v>1.0369707485427608</v>
      </c>
      <c r="BZ23" s="137">
        <v>0.98381811682862641</v>
      </c>
      <c r="CA23" s="137">
        <v>1.9326187282006298E-2</v>
      </c>
      <c r="CB23" s="137">
        <v>0.99668802984454063</v>
      </c>
      <c r="CC23" s="258">
        <v>-0.14000000000000001</v>
      </c>
      <c r="CD23" s="258">
        <v>-7.4999999999999997E-3</v>
      </c>
      <c r="CE23" s="258">
        <v>0.88</v>
      </c>
      <c r="CF23" s="258">
        <v>0.12</v>
      </c>
      <c r="CG23" s="258">
        <v>0.1134</v>
      </c>
      <c r="CH23" s="258">
        <v>0</v>
      </c>
      <c r="CI23" s="258">
        <v>2.9079999999999999</v>
      </c>
      <c r="CJ23" s="258"/>
      <c r="CK23" s="258"/>
      <c r="CL23" s="258"/>
      <c r="CM23" s="258"/>
    </row>
    <row r="24" spans="1:91" x14ac:dyDescent="0.25">
      <c r="A24" s="723"/>
      <c r="B24" s="723"/>
      <c r="D24" s="31">
        <f>D23+AH23</f>
        <v>37330</v>
      </c>
      <c r="F24" s="28">
        <f>VLOOKUP(AG24,$AL$4:$AS$15,2)</f>
        <v>402</v>
      </c>
      <c r="G24" s="28">
        <f>F24*$AU24</f>
        <v>400.14653470259594</v>
      </c>
      <c r="H24" s="52">
        <f>(AL24+AM24+AN24)/(1-(AR24))</f>
        <v>3.0216103554190439</v>
      </c>
      <c r="I24" s="52">
        <f>(AL24+AO24+AP24)</f>
        <v>3.5820000000000003</v>
      </c>
      <c r="K24" s="52">
        <f>MAX(((I24-H24)-AQ24)*AU24*AH24,0)</f>
        <v>13.792791236660337</v>
      </c>
      <c r="L24" s="135">
        <f>MAX(Q24-K24,0)</f>
        <v>3.3389710579012188E-2</v>
      </c>
      <c r="N24" s="131">
        <f>SQRT(($AX24^2*($AH24/2)+$AW24^2*$AI24)/(($AH24/2)+$AI24))</f>
        <v>0.79438594042591715</v>
      </c>
      <c r="O24" s="131">
        <f>SQRT(($AY24^2*($AH24/2)+$AW24^2*$AI24)/(($AH24/2)+$AI24))</f>
        <v>0.83864882017172071</v>
      </c>
      <c r="P24" s="55">
        <f>(VLOOKUP(AI24,CorrelationTwo,2)*(AW24^2)*AI24+VLOOKUP(D24,CorrelationOne,$AK$9)*AX24*AY24*(AH24/2))/((AI24+(AH24/2))*O24*N24)*AF24</f>
        <v>0.99295393189156633</v>
      </c>
      <c r="Q24" s="135">
        <f>_xll.xSPRDOPT(I24,H24,AQ24,0,O24,N24,P24,D24-$G$5,1,0)*AH24*AU24</f>
        <v>13.826180947239349</v>
      </c>
      <c r="R24" s="135"/>
      <c r="S24" s="181">
        <f>_xll.xSPRDOPT(I24,H24,AQ24,AT24,O24,N24,P24,D24-$G$5,1,2)*AF24*(F24/(1-AR24))*AH24</f>
        <v>-13408.195807274602</v>
      </c>
      <c r="T24" s="181">
        <f>_xll.xSPRDOPT(I24,H24,AQ24,AT24,O24,N24,P24,D24-$G$5,1,1)*AF24*F24*AH24</f>
        <v>12244.364971262628</v>
      </c>
      <c r="U24" s="135"/>
      <c r="V24" s="146">
        <f>($Y$12+VLOOKUP(YEAR(D24),$X$15:$Y$17,2,FALSE))*AH24*AU24</f>
        <v>0</v>
      </c>
      <c r="W24" s="146"/>
      <c r="X24" s="338">
        <f>((BM24*BC24)+(BL24*BB24))*AH24*F24</f>
        <v>0</v>
      </c>
      <c r="Y24" s="338">
        <f>($F24*$AH24)*((($BG24/2)*($BC24)^2)+(($BF24/2)*($BB24)^2)+($BH24*$BC24*$BB24))</f>
        <v>0</v>
      </c>
      <c r="Z24" s="338">
        <f>($BI24*$F24*$AH24*($G$5-$BV$5))/365.25</f>
        <v>-0.74879349175583743</v>
      </c>
      <c r="AA24" s="338">
        <f>(($BK24*$BE24)+($BJ24*$BD24))*$F24*$AH24*$AF24</f>
        <v>0.78111465763696009</v>
      </c>
      <c r="AB24" s="338">
        <f>BN24*(AT24-CA24)*F24*AH24</f>
        <v>0</v>
      </c>
      <c r="AC24" s="338">
        <f>BO24*CB24*F24*AH24*CA24*($G$5-$BV$5)/365.25</f>
        <v>0.87980184319482457</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-0.14000000000000001</v>
      </c>
      <c r="AN24" s="258">
        <f>VLOOKUP($D24,CurveTbl,$AH$4)+VLOOKUP($AG24,$AL$3:$AS$15,6)</f>
        <v>-7.4999999999999997E-3</v>
      </c>
      <c r="AO24" s="258">
        <f>VLOOKUP($D24,CurveTbl,$AH$5)</f>
        <v>0.6</v>
      </c>
      <c r="AP24" s="258">
        <f>VLOOKUP($D24,CurveTbl,$AH$6)+VLOOKUP($AG24,$AL$3:$AS$15,7)</f>
        <v>0.08</v>
      </c>
      <c r="AQ24" s="136">
        <f>VLOOKUP($AG24,$AL$4:$AS$15,3)+VLOOKUP($AG24,$AL$4:$AS$15,5)+($AH$10*VLOOKUP(D24,GRITable,2))</f>
        <v>0.1134</v>
      </c>
      <c r="AR24" s="137">
        <f>VLOOKUP($AG24,$AL$4:$AS$15,4)</f>
        <v>8.8400000000000006E-2</v>
      </c>
      <c r="AS24" s="136">
        <f>(AL24+AM24+AN24)</f>
        <v>2.7545000000000002</v>
      </c>
      <c r="AT24" s="137">
        <f>VLOOKUP(D24,CurveTbl,$AK$6)</f>
        <v>1.9273175363903501E-2</v>
      </c>
      <c r="AU24" s="137">
        <f>(1+$AT24/2)^(-2*($D24-$G$5)/365.25)*$AF24</f>
        <v>0.99538938980745262</v>
      </c>
      <c r="AV24" s="394">
        <f>ROUND((F24/(1-AR24))-F24,0)*AF24*AH24*AU24</f>
        <v>1203.4257722772102</v>
      </c>
      <c r="AW24" s="137">
        <f>VLOOKUP($D24,CurveTbl,$AK$8)</f>
        <v>0.79</v>
      </c>
      <c r="AX24" s="137">
        <f>VLOOKUP($D24,CurveTbl,$AH$7)</f>
        <v>0.81499999999999995</v>
      </c>
      <c r="AY24" s="137">
        <f>VLOOKUP($D24,CurveTbl,$AH$8)</f>
        <v>1.04</v>
      </c>
      <c r="AZ24" s="137"/>
      <c r="BA24" s="264"/>
      <c r="BB24" s="258">
        <f>$H24-$BV24</f>
        <v>0</v>
      </c>
      <c r="BC24" s="258">
        <f>I24-BW24</f>
        <v>0</v>
      </c>
      <c r="BD24" s="137">
        <f t="shared" si="12"/>
        <v>1.4186670005755797E-4</v>
      </c>
      <c r="BE24" s="137">
        <f t="shared" si="12"/>
        <v>1.5334385413493523E-3</v>
      </c>
      <c r="BF24" s="137">
        <f>_xll.xSPRDOPT($BW24,$BV24,$CG24,0,$BY24,$BX24,$BZ24,$AJ24,1,4)*$CB24</f>
        <v>0.18236586759524726</v>
      </c>
      <c r="BG24" s="137">
        <f>_xll.xSPRDOPT($BW24,$BV24,$CG24,0,$BY24,$BX24,$BZ24,$AJ24,1,3)*$CB24</f>
        <v>0.1463742285458603</v>
      </c>
      <c r="BH24" s="137">
        <f>IF(OR(BF24&lt;&gt;0,BG24&lt;&gt;0),_xll.xSPRDOPT($BW24,$BV24,$CG24,0,$BY24,$BX24,$BZ24,$AJ24,1,12)*$CB24,0)</f>
        <v>-0.16335192217446884</v>
      </c>
      <c r="BI24" s="137">
        <f>_xll.xSPRDOPT($BW24,$BV24,$CG24,2*LN(1+CA24/2),$BY24,$BX24,$BZ24,$AJ24,1,9)</f>
        <v>-7.315487692286406E-3</v>
      </c>
      <c r="BJ24" s="137">
        <f>_xll.xSPRDOPT($BW24,$BV24,$CG24,0,$BY24,$BX24,$BZ24,$AJ24,1,6)*$CB24</f>
        <v>-3.6704352120331019E-2</v>
      </c>
      <c r="BK24" s="137">
        <f>_xll.xSPRDOPT($BW24,$BV24,$CG24,0,$BY24,$BX24,$BZ24,$AJ24,1,5)*$CB24</f>
        <v>4.427099126510127E-2</v>
      </c>
      <c r="BL24" s="137">
        <f>_xll.xSPRDOPT(BW24,BV24,CG24,0,BY24,BX24,BZ24,AJ24,1,2)*CB24</f>
        <v>-0.98027418808363997</v>
      </c>
      <c r="BM24" s="137">
        <f>_xll.xSPRDOPT(BW24,BV24,CG24,0,BY24,BX24,BZ24,AJ24,1,1)*CB24</f>
        <v>0.98204176385661979</v>
      </c>
      <c r="BN24" s="137">
        <f>IF(AH24&lt;&gt;0,_xll.xSPRDOPT($BW24,$BV24,$CG24,2*LN(1+CA24/2),$BY24,$BX24,$BZ24,$AJ24,1,8)+(AJ24/365.25)*CH24/AH24,0)</f>
        <v>-0.11111277272261362</v>
      </c>
      <c r="BO24" s="137">
        <f>_xll.xSPRDOPT($BW24,$BV24,$CG24,0,$BY24,$BX24,$BZ24,$AJ24,1,0)</f>
        <v>0.44811370918265242</v>
      </c>
      <c r="BP24" s="137"/>
      <c r="BQ24" s="137"/>
      <c r="BR24" s="137"/>
      <c r="BS24" s="137"/>
      <c r="BV24" s="262">
        <v>3.0216103554190439</v>
      </c>
      <c r="BW24" s="136">
        <v>3.5820000000000003</v>
      </c>
      <c r="BX24" s="137">
        <v>0.79424407372585959</v>
      </c>
      <c r="BY24" s="137">
        <v>0.83711538163037136</v>
      </c>
      <c r="BZ24" s="137">
        <v>0.99304923531911427</v>
      </c>
      <c r="CA24" s="137">
        <v>1.9273175363903501E-2</v>
      </c>
      <c r="CB24" s="137">
        <v>0.99523258517239033</v>
      </c>
      <c r="CC24" s="258">
        <v>-0.14000000000000001</v>
      </c>
      <c r="CD24" s="258">
        <v>-7.4999999999999997E-3</v>
      </c>
      <c r="CE24" s="258">
        <v>0.6</v>
      </c>
      <c r="CF24" s="258">
        <v>0.08</v>
      </c>
      <c r="CG24" s="258">
        <v>0.1134</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2.6755</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-0.16500000000000001</v>
      </c>
      <c r="AN25" s="258">
        <f>VLOOKUP($D25,CurveTbl,$AH$4)+VLOOKUP($AG25,$AL$3:$AS$15,6)</f>
        <v>-7.4999999999999997E-3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2.6755</v>
      </c>
      <c r="AT25" s="137">
        <f>VLOOKUP(D25,CurveTbl,$AK$6)</f>
        <v>1.9422640119623601E-2</v>
      </c>
      <c r="AU25" s="137">
        <f>(1+$AT25/2)^(-2*($D25-$G$5)/365.25)*$AF25</f>
        <v>0</v>
      </c>
      <c r="AV25" s="394">
        <f>ROUND((F25/(1-AR25))-F25,0)*AF25*AH25*AU25</f>
        <v>0</v>
      </c>
      <c r="AW25" s="137">
        <f>VLOOKUP($D25,CurveTbl,$AK$8)</f>
        <v>0.61</v>
      </c>
      <c r="AX25" s="137">
        <f>VLOOKUP($D25,CurveTbl,$AH$7)</f>
        <v>0.57999999999999996</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-0.77036394970439315</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0.87149028151735664</v>
      </c>
      <c r="BP25" s="137"/>
      <c r="BQ25" s="137"/>
      <c r="BR25" s="137"/>
      <c r="BS25" s="137"/>
      <c r="BV25" s="262">
        <v>2.6755</v>
      </c>
      <c r="BW25" s="136">
        <v>3.1929999999999996</v>
      </c>
      <c r="BX25" s="137">
        <v>0.61</v>
      </c>
      <c r="BY25" s="137">
        <v>0.61</v>
      </c>
      <c r="BZ25" s="137">
        <v>0</v>
      </c>
      <c r="CA25" s="137">
        <v>1.9422640119623601E-2</v>
      </c>
      <c r="CB25" s="137">
        <v>0</v>
      </c>
      <c r="CC25" s="258">
        <v>-0.16500000000000001</v>
      </c>
      <c r="CD25" s="258">
        <v>-7.4999999999999997E-3</v>
      </c>
      <c r="CE25" s="258">
        <v>0.34</v>
      </c>
      <c r="CF25" s="258">
        <v>5.0000000000000001E-3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2.6755</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-0.16500000000000001</v>
      </c>
      <c r="AN26" s="258">
        <f>VLOOKUP($D26,CurveTbl,$AH$4)+VLOOKUP($AG26,$AL$3:$AS$15,6)</f>
        <v>-7.4999999999999997E-3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2.6755</v>
      </c>
      <c r="AT26" s="137">
        <f>VLOOKUP(D26,CurveTbl,$AK$6)</f>
        <v>1.9422640119623601E-2</v>
      </c>
      <c r="AU26" s="137">
        <f>(1+$AT26/2)^(-2*($D26-$G$5)/365.25)*$AF26</f>
        <v>0</v>
      </c>
      <c r="AV26" s="394">
        <f>ROUND((F26/(1-AR26))-F26,0)*AF26*AH26*AU26</f>
        <v>0</v>
      </c>
      <c r="AW26" s="137">
        <f>VLOOKUP($D26,CurveTbl,$AK$8)</f>
        <v>0.61</v>
      </c>
      <c r="AX26" s="137">
        <f>VLOOKUP($D26,CurveTbl,$AH$7)</f>
        <v>0.57999999999999996</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-0.77036394970439315</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0.87149028151735664</v>
      </c>
      <c r="BP26" s="137"/>
      <c r="BQ26" s="137"/>
      <c r="BR26" s="137"/>
      <c r="BS26" s="137"/>
      <c r="BV26" s="262">
        <v>2.6755</v>
      </c>
      <c r="BW26" s="136">
        <v>3.1929999999999996</v>
      </c>
      <c r="BX26" s="137">
        <v>0.61</v>
      </c>
      <c r="BY26" s="137">
        <v>0.61</v>
      </c>
      <c r="BZ26" s="137">
        <v>0</v>
      </c>
      <c r="CA26" s="137">
        <v>1.9422640119623601E-2</v>
      </c>
      <c r="CB26" s="137">
        <v>0</v>
      </c>
      <c r="CC26" s="258">
        <v>-0.16500000000000001</v>
      </c>
      <c r="CD26" s="258">
        <v>-7.4999999999999997E-3</v>
      </c>
      <c r="CE26" s="258">
        <v>0.34</v>
      </c>
      <c r="CF26" s="258">
        <v>5.0000000000000001E-3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2273"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2274"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dimension ref="A1:CX26"/>
  <sheetViews>
    <sheetView topLeftCell="M1"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LongTerm104</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104</v>
      </c>
      <c r="F2" s="178" t="str">
        <f>GetRcptPoint($AH$12,$AH$13)</f>
        <v>Tetco/ETX</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112</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397995.49179718224</v>
      </c>
      <c r="O4" s="352">
        <v>397962.68</v>
      </c>
      <c r="P4" s="354">
        <f ca="1">N4-O4</f>
        <v>32.811797182250302</v>
      </c>
      <c r="S4" s="427" t="s">
        <v>635</v>
      </c>
      <c r="T4" s="422">
        <f ca="1">SUMPRODUCT(INDIRECT(CONCATENATE(V4,":",W4)),INDIRECT(CONCATENATE(AV2,":",AW2)),INDIRECT(CONCATENATE(AV3,":",AW3)))</f>
        <v>397373.47487728181</v>
      </c>
      <c r="V4" s="30" t="str">
        <f>ADDRESS(ROW(K22),COLUMN(K22))</f>
        <v>$K$22</v>
      </c>
      <c r="W4" s="30" t="str">
        <f ca="1">GetEnd($AV$1,V4)</f>
        <v>$K$26</v>
      </c>
      <c r="AF4" s="28"/>
      <c r="AG4" s="103" t="s">
        <v>32</v>
      </c>
      <c r="AH4" s="104">
        <f>GetRcptIndexCol($AH$12,$AH$13)</f>
        <v>113</v>
      </c>
      <c r="AI4" s="29"/>
      <c r="AJ4" s="103" t="s">
        <v>72</v>
      </c>
      <c r="AK4" s="104">
        <f>GetNymexCol(AK3)</f>
        <v>3</v>
      </c>
      <c r="AL4" s="34">
        <v>1</v>
      </c>
      <c r="AM4" s="45">
        <f t="shared" ref="AM4:AM15" si="0">GetVolume($AH$12,$AH$13,AT4)</f>
        <v>6578</v>
      </c>
      <c r="AN4" s="46">
        <f t="shared" ref="AN4:AN15" si="1">GetCommodity($AH$12,$AH$13,AT4)</f>
        <v>0.10299999999999999</v>
      </c>
      <c r="AO4" s="47">
        <f t="shared" ref="AO4:AO15" si="2">GetFuelRate($AH$12,$AH$13,AT4)</f>
        <v>7.9600000000000004E-2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622.01691990051756</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6578</v>
      </c>
      <c r="AN5" s="38">
        <f t="shared" si="1"/>
        <v>0.10299999999999999</v>
      </c>
      <c r="AO5" s="39">
        <f t="shared" si="2"/>
        <v>7.9600000000000004E-2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397995.49179718224</v>
      </c>
      <c r="O6" s="357">
        <v>397962.68</v>
      </c>
      <c r="P6" s="358">
        <f ca="1">N6-O6</f>
        <v>32.811797182250302</v>
      </c>
      <c r="S6" s="428" t="s">
        <v>637</v>
      </c>
      <c r="T6" s="424">
        <f ca="1">SUMPRODUCT(INDIRECT(CONCATENATE(V6,":",W6)),INDIRECT(CONCATENATE(AV3,":",AW3)),INDIRECT(CONCATENATE(AX3,":",AY3)))</f>
        <v>590196.61311073042</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6578</v>
      </c>
      <c r="AN6" s="38">
        <f t="shared" si="1"/>
        <v>0.10299999999999999</v>
      </c>
      <c r="AO6" s="39">
        <f t="shared" si="2"/>
        <v>7.9600000000000004E-2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4354.92</v>
      </c>
      <c r="P7" s="355">
        <f ca="1">N7</f>
        <v>0</v>
      </c>
      <c r="S7" s="428" t="s">
        <v>638</v>
      </c>
      <c r="T7" s="425">
        <f ca="1">T5/T6</f>
        <v>1.0539147566809523E-3</v>
      </c>
      <c r="AF7" s="28"/>
      <c r="AG7" s="103" t="s">
        <v>76</v>
      </c>
      <c r="AH7" s="104">
        <f>GetRcptOmicronCol($AH$12,$AH$13)</f>
        <v>7</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63069.36</v>
      </c>
      <c r="P8" s="355">
        <f ca="1">N8</f>
        <v>0</v>
      </c>
      <c r="S8" s="429" t="s">
        <v>639</v>
      </c>
      <c r="T8" s="426">
        <f ca="1">Y8/Z8</f>
        <v>0.9871542206993954</v>
      </c>
      <c r="V8" s="30" t="str">
        <f>ADDRESS(ROW(P22),COLUMN(P22))</f>
        <v>$P$22</v>
      </c>
      <c r="W8" s="30" t="str">
        <f ca="1">GetEnd($AV$1,V8)</f>
        <v>$P$26</v>
      </c>
      <c r="Y8" s="334">
        <f ca="1">SUMIF(INDIRECT(CONCATENATE(V8,":",W8)),"&gt;0",INDIRECT(CONCATENATE(V8,":",W8)))</f>
        <v>2.9614626620981861</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23</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464.39394695598423</v>
      </c>
      <c r="L10" s="706" t="s">
        <v>628</v>
      </c>
      <c r="M10" s="707"/>
      <c r="N10" s="352">
        <f ca="1">-SUMPRODUCT(INDIRECT(CONCATENATE(AV10,":",AW10)),INDIRECT(CONCATENATE($AX$7,":",$AY$7)),INDIRECT(CONCATENATE($AV$3,":",$AW$3)))</f>
        <v>-140881.14128914432</v>
      </c>
      <c r="O10" s="352">
        <v>-140859.13</v>
      </c>
      <c r="P10" s="355">
        <f t="shared" ref="P10:P19" ca="1" si="10">N10-O10</f>
        <v>-22.011289144313196</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303631.51052751602</v>
      </c>
      <c r="L11" s="704" t="s">
        <v>629</v>
      </c>
      <c r="M11" s="705"/>
      <c r="N11" s="356">
        <f ca="1">-SUMPRODUCT(INDIRECT(CONCATENATE(AV11,":",AW11)),INDIRECT(CONCATENATE($AV$2,":",$AW$2)),INDIRECT(CONCATENATE($AV$3,":",$AW$3)),INDIRECT(CONCATENATE(AX3,":",AY3)))</f>
        <v>-60978.06</v>
      </c>
      <c r="O11" s="357">
        <v>-60978.06</v>
      </c>
      <c r="P11" s="358">
        <f t="shared" ca="1" si="10"/>
        <v>0</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57642.1</v>
      </c>
      <c r="P12" s="355">
        <f t="shared" ca="1" si="10"/>
        <v>-57642.1</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483</v>
      </c>
      <c r="P13" s="355">
        <f t="shared" ca="1" si="10"/>
        <v>-483</v>
      </c>
      <c r="X13" s="498" t="s">
        <v>761</v>
      </c>
      <c r="AG13" s="248" t="s">
        <v>186</v>
      </c>
      <c r="AH13" s="119">
        <f>GetRecNdx($AH$12,$D$2)</f>
        <v>20</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-90.500254362250246</v>
      </c>
      <c r="O14" s="352">
        <v>-62.38</v>
      </c>
      <c r="P14" s="355">
        <f t="shared" ca="1" si="10"/>
        <v>-28.120254362250243</v>
      </c>
      <c r="S14" s="181">
        <f>F22/(1-AR22)*AH22*AU22</f>
        <v>221225.34670865463</v>
      </c>
      <c r="T14" s="181">
        <f>F22*AH22*AU22</f>
        <v>203615.80911064573</v>
      </c>
      <c r="X14" s="500" t="s">
        <v>762</v>
      </c>
      <c r="Y14" s="501" t="s">
        <v>763</v>
      </c>
      <c r="AL14" s="34">
        <v>11</v>
      </c>
      <c r="AM14" s="37">
        <f t="shared" si="0"/>
        <v>6578</v>
      </c>
      <c r="AN14" s="38">
        <f t="shared" si="1"/>
        <v>0.10299999999999999</v>
      </c>
      <c r="AO14" s="39">
        <f t="shared" si="2"/>
        <v>7.9600000000000004E-2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141.48377840601484</v>
      </c>
      <c r="O15" s="352">
        <v>75.89</v>
      </c>
      <c r="P15" s="355">
        <f t="shared" ca="1" si="10"/>
        <v>65.593778406014835</v>
      </c>
      <c r="X15" s="502">
        <v>2001</v>
      </c>
      <c r="Y15" s="503">
        <v>0</v>
      </c>
      <c r="AL15" s="34">
        <v>12</v>
      </c>
      <c r="AM15" s="41">
        <f t="shared" si="0"/>
        <v>6578</v>
      </c>
      <c r="AN15" s="42">
        <f t="shared" si="1"/>
        <v>0.10299999999999999</v>
      </c>
      <c r="AO15" s="43">
        <f t="shared" si="2"/>
        <v>7.9600000000000004E-2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-6.68</v>
      </c>
      <c r="P16" s="355">
        <f t="shared" ca="1" si="10"/>
        <v>6.68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62.392272655149668</v>
      </c>
      <c r="O17" s="357">
        <v>17.68</v>
      </c>
      <c r="P17" s="358">
        <f t="shared" ca="1" si="10"/>
        <v>44.712272655149668</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397373.47487728181</v>
      </c>
      <c r="O18" s="352">
        <v>397311.48</v>
      </c>
      <c r="P18" s="355">
        <f t="shared" ca="1" si="10"/>
        <v>61.994877281831577</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622.01691990051756</v>
      </c>
      <c r="O19" s="359">
        <v>651.20000000000005</v>
      </c>
      <c r="P19" s="360">
        <f t="shared" ca="1" si="10"/>
        <v>-29.183080099482481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IF-TETCO/ETX Basis Mid</v>
      </c>
      <c r="T20" s="182" t="str">
        <f>GetDelBasis($AH$12,$AH$13)</f>
        <v>IF-TETCO/M3 Basis Mid</v>
      </c>
      <c r="U20" s="158"/>
      <c r="V20" s="158"/>
      <c r="W20" s="158"/>
      <c r="X20" s="158"/>
      <c r="Y20" s="335"/>
      <c r="Z20" s="335"/>
      <c r="AA20" s="335"/>
      <c r="AB20" s="335"/>
      <c r="AC20" s="335"/>
      <c r="AI20" s="138"/>
      <c r="AM20" s="702" t="str">
        <f>GetRcptPoint($AH$12,$AH$13)</f>
        <v>Tetco/ETX</v>
      </c>
      <c r="AN20" s="703"/>
      <c r="AO20" s="702" t="str">
        <f>GetDelPoint($AH$12,$AH$13)</f>
        <v>Tetco/M3</v>
      </c>
      <c r="AP20" s="703"/>
      <c r="AQ20" s="137"/>
      <c r="AS20" s="137"/>
      <c r="AU20" s="136" t="s">
        <v>576</v>
      </c>
      <c r="AV20" s="353">
        <f ca="1">SUMPRODUCT(INDIRECT(CONCATENATE(AV8,":",AW8)),INDIRECT(CONCATENATE($AV$2,":",$AW$2)),INDIRECT(CONCATENATE($AV$3,":",$AW$3)),INDIRECT(CONCATENATE(AX3,":",AY3)))</f>
        <v>-74002.5</v>
      </c>
      <c r="AW20" s="353">
        <f ca="1">SUMPRODUCT(INDIRECT(CONCATENATE(AX8,":",AY8)),INDIRECT(CONCATENATE($AV$2,":",$AW$2)),INDIRECT(CONCATENATE($AV$3,":",$AW$3)),INDIRECT(CONCATENATE(AX3,":",AY3)))</f>
        <v>463880.56</v>
      </c>
      <c r="AX20" s="353">
        <f ca="1">SUMPRODUCT(INDIRECT(CONCATENATE(AV9,":",AW9)),INDIRECT(CONCATENATE($AV$2,":",$AW$2)),INDIRECT(CONCATENATE($AV$3,":",$AW$3)),INDIRECT(CONCATENATE(AX3,":",AY3)))</f>
        <v>0</v>
      </c>
      <c r="AY20" s="353">
        <f ca="1">SUMPRODUCT(INDIRECT(CONCATENATE(AX9,":",AY9)),INDIRECT(CONCATENATE($AV$2,":",$AW$2)),INDIRECT(CONCATENATE($AV$3,":",$AW$3)),INDIRECT(CONCATENATE(AX3,":",AY3)))</f>
        <v>62885.680000000008</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6578</v>
      </c>
      <c r="G22" s="28">
        <f>F22*$AU22</f>
        <v>6568.2519067950234</v>
      </c>
      <c r="H22" s="52">
        <f>(AL22+AM22+AN22)/(1-(AR22))</f>
        <v>2.9563233376792701</v>
      </c>
      <c r="I22" s="52">
        <f>(AL22+AO22+AP22)</f>
        <v>3.8460000000000001</v>
      </c>
      <c r="K22" s="52">
        <f>MAX(((I22-H22)-AQ22)*AU22*AH22,0)</f>
        <v>24.350836896761578</v>
      </c>
      <c r="L22" s="135">
        <f>MAX(Q22-K22,0)</f>
        <v>3.3721414821947349E-2</v>
      </c>
      <c r="N22" s="131">
        <f>SQRT(($AX22^2*($AH22/2)+$AW22^2*$AI22)/(($AH22/2)+$AI22))</f>
        <v>0.97398938796521406</v>
      </c>
      <c r="O22" s="131">
        <f>SQRT(($AY22^2*($AH22/2)+$AW22^2*$AI22)/(($AH22/2)+$AI22))</f>
        <v>1.2249463019344771</v>
      </c>
      <c r="P22" s="55">
        <f>(VLOOKUP(AI22,CorrelationTwo,2)*(AW22^2)*AI22+VLOOKUP(D22,CorrelationOne,$AK$9)*AX22*AY22*(AH22/2))/((AI22+(AH22/2))*O22*N22)*AF22</f>
        <v>0.98480469233082146</v>
      </c>
      <c r="Q22" s="135">
        <f>_xll.xSPRDOPT(I22,H22,AQ22,0,O22,N22,P22,D22-$G$5,1,0)*AH22*AU22</f>
        <v>24.384558311583525</v>
      </c>
      <c r="R22" s="135"/>
      <c r="S22" s="181">
        <f>_xll.xSPRDOPT(I22,H22,AQ22,AT22,O22,N22,P22,D22-$G$5,1,2)*AF22*(F22/(1-AR22))*AH22</f>
        <v>-218923.86338513807</v>
      </c>
      <c r="T22" s="181">
        <f>_xll.xSPRDOPT(I22,H22,AQ22,AT22,O22,N22,P22,D22-$G$5,1,1)*AF22*F22*AH22</f>
        <v>201945.47195313312</v>
      </c>
      <c r="U22" s="135"/>
      <c r="V22" s="146">
        <f>($Y$12+VLOOKUP(YEAR(D22),$X$15:$Y$17,2,FALSE))*AH22*AU22</f>
        <v>0</v>
      </c>
      <c r="W22" s="146"/>
      <c r="X22" s="338">
        <f>((BM22*BC22)+(BL22*BB22))*AH22*F22</f>
        <v>0</v>
      </c>
      <c r="Y22" s="338">
        <f>($F22*$AH22)*((($BG22/2)*($BC22)^2)+(($BF22/2)*($BB22)^2)+($BH22*$BC22*$BB22))</f>
        <v>0</v>
      </c>
      <c r="Z22" s="338">
        <f>($BI22*$F22*$AH22*($G$5-$BV$5))/365.25</f>
        <v>-62.395161217043288</v>
      </c>
      <c r="AA22" s="338">
        <f>(($BK22*$BE22)+($BJ22*$BD22))*$F22*$AH22*$AF22</f>
        <v>95.676872192889434</v>
      </c>
      <c r="AB22" s="338">
        <f>BN22*(AT22-CA22)*F22*AH22</f>
        <v>0</v>
      </c>
      <c r="AC22" s="338">
        <f>BO22*CB22*F22*AH22*CA22*($G$5-$BV$5)/365.25</f>
        <v>24.722100621242738</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-0.125</v>
      </c>
      <c r="AN22" s="258">
        <f>VLOOKUP($D22,CurveTbl,$AH$4)+VLOOKUP($AG22,$AL$3:$AS$15,6)</f>
        <v>0</v>
      </c>
      <c r="AO22" s="258">
        <f>VLOOKUP($D22,CurveTbl,$AH$5)</f>
        <v>0.88</v>
      </c>
      <c r="AP22" s="258">
        <f>VLOOKUP($D22,CurveTbl,$AH$6)+VLOOKUP($AG22,$AL$3:$AS$15,7)</f>
        <v>0.12</v>
      </c>
      <c r="AQ22" s="136">
        <f>VLOOKUP($AG22,$AL$4:$AS$15,3)+VLOOKUP($AG22,$AL$4:$AS$15,5)+($AH$10*VLOOKUP(D22,GRITable,2))</f>
        <v>0.10299999999999999</v>
      </c>
      <c r="AR22" s="137">
        <f>VLOOKUP($AG22,$AL$4:$AS$15,4)</f>
        <v>7.9600000000000004E-2</v>
      </c>
      <c r="AS22" s="136">
        <f>(AL22+AM22+AN22)</f>
        <v>2.7210000000000001</v>
      </c>
      <c r="AT22" s="137">
        <f>VLOOKUP(D22,CurveTbl,$AK$6)</f>
        <v>1.8765908157160699E-2</v>
      </c>
      <c r="AU22" s="137">
        <f>(1+$AT22/2)^(-2*($D22-$G$5)/365.25)*$AF22</f>
        <v>0.99851807643585033</v>
      </c>
      <c r="AV22" s="394">
        <f>ROUND((F22/(1-AR22))-F22,0)*AF22*AH22*AU22</f>
        <v>17612.860350251965</v>
      </c>
      <c r="AW22" s="137">
        <f>VLOOKUP($D22,CurveTbl,$AK$8)</f>
        <v>0.87</v>
      </c>
      <c r="AX22" s="137">
        <f>VLOOKUP($D22,CurveTbl,$AH$7)</f>
        <v>1.0649999999999999</v>
      </c>
      <c r="AY22" s="137">
        <f>VLOOKUP($D22,CurveTbl,$AH$8)</f>
        <v>1.49</v>
      </c>
      <c r="AZ22" s="137"/>
      <c r="BA22" s="264"/>
      <c r="BB22" s="258">
        <f>$H22-$BV22</f>
        <v>0</v>
      </c>
      <c r="BC22" s="258">
        <f>I22-BW22</f>
        <v>0</v>
      </c>
      <c r="BD22" s="137">
        <f t="shared" ref="BD22:BE26" si="12">N22-BX22</f>
        <v>8.8556102145729287E-3</v>
      </c>
      <c r="BE22" s="137">
        <f t="shared" si="12"/>
        <v>2.7489419589802999E-2</v>
      </c>
      <c r="BF22" s="137">
        <f>_xll.xSPRDOPT($BW22,$BV22,$CG22,0,$BY22,$BX22,$BZ22,$AJ22,1,4)*$CB22</f>
        <v>9.1609244038558635E-2</v>
      </c>
      <c r="BG22" s="137">
        <f>_xll.xSPRDOPT($BW22,$BV22,$CG22,0,$BY22,$BX22,$BZ22,$AJ22,1,3)*$CB22</f>
        <v>6.0385825992826866E-2</v>
      </c>
      <c r="BH22" s="137">
        <f>IF(OR(BF22&lt;&gt;0,BG22&lt;&gt;0),_xll.xSPRDOPT($BW22,$BV22,$CG22,0,$BY22,$BX22,$BZ22,$AJ22,1,12)*$CB22,0)</f>
        <v>-7.4373189160583011E-2</v>
      </c>
      <c r="BI22" s="137">
        <f>_xll.xSPRDOPT($BW22,$BV22,$CG22,2*LN(1+CA22/2),$BY22,$BX22,$BZ22,$AJ22,1,9)</f>
        <v>-3.7253262969306394E-2</v>
      </c>
      <c r="BJ22" s="137">
        <f>_xll.xSPRDOPT($BW22,$BV22,$CG22,0,$BY22,$BX22,$BZ22,$AJ22,1,6)*$CB22</f>
        <v>-1.9566576669080044E-2</v>
      </c>
      <c r="BK22" s="137">
        <f>_xll.xSPRDOPT($BW22,$BV22,$CG22,0,$BY22,$BX22,$BZ22,$AJ22,1,5)*$CB22</f>
        <v>2.3371422838030717E-2</v>
      </c>
      <c r="BL22" s="137">
        <f>_xll.xSPRDOPT(BW22,BV22,CG22,0,BY22,BX22,BZ22,AJ22,1,2)*CB22</f>
        <v>-0.98740579948623475</v>
      </c>
      <c r="BM22" s="137">
        <f>_xll.xSPRDOPT(BW22,BV22,CG22,0,BY22,BX22,BZ22,AJ22,1,1)*CB22</f>
        <v>0.98972907996309167</v>
      </c>
      <c r="BN22" s="137">
        <f>IF(AH22&lt;&gt;0,_xll.xSPRDOPT($BW22,$BV22,$CG22,2*LN(1+CA22/2),$BY22,$BX22,$BZ22,$AJ22,1,8)+(AJ22/365.25)*CH22/AH22,0)</f>
        <v>-6.8911062139506818E-2</v>
      </c>
      <c r="BO22" s="137">
        <f>_xll.xSPRDOPT($BW22,$BV22,$CG22,0,$BY22,$BX22,$BZ22,$AJ22,1,0)</f>
        <v>0.78784337337754251</v>
      </c>
      <c r="BP22" s="137"/>
      <c r="BQ22" s="137"/>
      <c r="BR22" s="137"/>
      <c r="BS22" s="137"/>
      <c r="BV22" s="262">
        <v>2.9563233376792701</v>
      </c>
      <c r="BW22" s="136">
        <v>3.8460000000000001</v>
      </c>
      <c r="BX22" s="137">
        <v>0.96513377775064113</v>
      </c>
      <c r="BY22" s="137">
        <v>1.1974568823446741</v>
      </c>
      <c r="BZ22" s="137">
        <v>0.98367552636587796</v>
      </c>
      <c r="CA22" s="137">
        <v>1.8765908157160699E-2</v>
      </c>
      <c r="CB22" s="137">
        <v>0.99836489939579565</v>
      </c>
      <c r="CC22" s="258">
        <v>-0.125</v>
      </c>
      <c r="CD22" s="258">
        <v>0</v>
      </c>
      <c r="CE22" s="258">
        <v>0.88</v>
      </c>
      <c r="CF22" s="258">
        <v>0.12</v>
      </c>
      <c r="CG22" s="258">
        <v>0.10299999999999999</v>
      </c>
      <c r="CH22" s="258">
        <v>0</v>
      </c>
      <c r="CI22" s="258">
        <v>2.8460000000000001</v>
      </c>
      <c r="CJ22" s="258"/>
      <c r="CK22" s="258"/>
      <c r="CL22" s="258"/>
      <c r="CM22" s="258"/>
    </row>
    <row r="23" spans="1:91" x14ac:dyDescent="0.25">
      <c r="A23" s="723"/>
      <c r="B23" s="723"/>
      <c r="D23" s="31">
        <f>D22+AH22</f>
        <v>37302</v>
      </c>
      <c r="F23" s="28">
        <f>VLOOKUP(AG23,$AL$4:$AS$15,2)</f>
        <v>6578</v>
      </c>
      <c r="G23" s="28">
        <f>F23*$AU23</f>
        <v>6557.249657476018</v>
      </c>
      <c r="H23" s="52">
        <f>(AL23+AM23+AN23)/(1-(AR23))</f>
        <v>3.0236853541938289</v>
      </c>
      <c r="I23" s="52">
        <f>(AL23+AO23+AP23)</f>
        <v>3.9079999999999999</v>
      </c>
      <c r="K23" s="52">
        <f>MAX(((I23-H23)-AQ23)*AU23*AH23,0)</f>
        <v>21.807799547068761</v>
      </c>
      <c r="L23" s="135">
        <f>MAX(Q23-K23,0)</f>
        <v>3.6876631233994317E-2</v>
      </c>
      <c r="N23" s="131">
        <f>SQRT(($AX23^2*($AH23/2)+$AW23^2*$AI23)/(($AH23/2)+$AI23))</f>
        <v>0.91558269242415602</v>
      </c>
      <c r="O23" s="131">
        <f>SQRT(($AY23^2*($AH23/2)+$AW23^2*$AI23)/(($AH23/2)+$AI23))</f>
        <v>1.0448265406276778</v>
      </c>
      <c r="P23" s="55">
        <f>(VLOOKUP(AI23,CorrelationTwo,2)*(AW23^2)*AI23+VLOOKUP(D23,CorrelationOne,$AK$9)*AX23*AY23*(AH23/2))/((AI23+(AH23/2))*O23*N23)*AF23</f>
        <v>0.98370403787579863</v>
      </c>
      <c r="Q23" s="135">
        <f>_xll.xSPRDOPT(I23,H23,AQ23,0,O23,N23,P23,D23-$G$5,1,0)*AH23*AU23</f>
        <v>21.844676178302755</v>
      </c>
      <c r="R23" s="135"/>
      <c r="S23" s="181">
        <f>_xll.xSPRDOPT(I23,H23,AQ23,AT23,O23,N23,P23,D23-$G$5,1,2)*AF23*(F23/(1-AR23))*AH23</f>
        <v>-197077.02791900522</v>
      </c>
      <c r="T23" s="181">
        <f>_xll.xSPRDOPT(I23,H23,AQ23,AT23,O23,N23,P23,D23-$G$5,1,1)*AF23*F23*AH23</f>
        <v>181845.14257842491</v>
      </c>
      <c r="U23" s="135"/>
      <c r="V23" s="146">
        <f>($Y$12+VLOOKUP(YEAR(D23),$X$15:$Y$17,2,FALSE))*AH23*AU23</f>
        <v>0</v>
      </c>
      <c r="W23" s="146"/>
      <c r="X23" s="338">
        <f>((BM23*BC23)+(BL23*BB23))*AH23*F23</f>
        <v>0</v>
      </c>
      <c r="Y23" s="338">
        <f>($F23*$AH23)*((($BG23/2)*($BC23)^2)+(($BF23/2)*($BB23)^2)+($BH23*$BC23*$BB23))</f>
        <v>0</v>
      </c>
      <c r="Z23" s="338">
        <f>($BI23*$F23*$AH23*($G$5-$BV$5))/365.25</f>
        <v>-22.38556038551533</v>
      </c>
      <c r="AA23" s="338">
        <f>(($BK23*$BE23)+($BJ23*$BD23))*$F23*$AH23*$AF23</f>
        <v>35.958871000299055</v>
      </c>
      <c r="AB23" s="338">
        <f>BN23*(AT23-CA23)*F23*AH23</f>
        <v>0</v>
      </c>
      <c r="AC23" s="338">
        <f>BO23*CB23*F23*AH23*CA23*($G$5-$BV$5)/365.25</f>
        <v>22.807077133279645</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-0.125</v>
      </c>
      <c r="AN23" s="258">
        <f>VLOOKUP($D23,CurveTbl,$AH$4)+VLOOKUP($AG23,$AL$3:$AS$15,6)</f>
        <v>0</v>
      </c>
      <c r="AO23" s="258">
        <f>VLOOKUP($D23,CurveTbl,$AH$5)</f>
        <v>0.88</v>
      </c>
      <c r="AP23" s="258">
        <f>VLOOKUP($D23,CurveTbl,$AH$6)+VLOOKUP($AG23,$AL$3:$AS$15,7)</f>
        <v>0.12</v>
      </c>
      <c r="AQ23" s="136">
        <f>VLOOKUP($AG23,$AL$4:$AS$15,3)+VLOOKUP($AG23,$AL$4:$AS$15,5)+($AH$10*VLOOKUP(D23,GRITable,2))</f>
        <v>0.10299999999999999</v>
      </c>
      <c r="AR23" s="137">
        <f>VLOOKUP($AG23,$AL$4:$AS$15,4)</f>
        <v>7.9600000000000004E-2</v>
      </c>
      <c r="AS23" s="136">
        <f>(AL23+AM23+AN23)</f>
        <v>2.7829999999999999</v>
      </c>
      <c r="AT23" s="137">
        <f>VLOOKUP(D23,CurveTbl,$AK$6)</f>
        <v>1.9326187282006298E-2</v>
      </c>
      <c r="AU23" s="137">
        <f>(1+$AT23/2)^(-2*($D23-$G$5)/365.25)*$AF23</f>
        <v>0.99684549368744568</v>
      </c>
      <c r="AV23" s="394">
        <f>ROUND((F23/(1-AR23))-F23,0)*AF23*AH23*AU23</f>
        <v>15881.742405428384</v>
      </c>
      <c r="AW23" s="137">
        <f>VLOOKUP($D23,CurveTbl,$AK$8)</f>
        <v>0.86499999999999999</v>
      </c>
      <c r="AX23" s="137">
        <f>VLOOKUP($D23,CurveTbl,$AH$7)</f>
        <v>1.0649999999999999</v>
      </c>
      <c r="AY23" s="137">
        <f>VLOOKUP($D23,CurveTbl,$AH$8)</f>
        <v>1.49</v>
      </c>
      <c r="AZ23" s="137"/>
      <c r="BA23" s="264"/>
      <c r="BB23" s="258">
        <f>$H23-$BV23</f>
        <v>0</v>
      </c>
      <c r="BC23" s="258">
        <f>I23-BW23</f>
        <v>0</v>
      </c>
      <c r="BD23" s="137">
        <f t="shared" si="12"/>
        <v>2.3451670356195997E-3</v>
      </c>
      <c r="BE23" s="137">
        <f t="shared" si="12"/>
        <v>7.8557920849169349E-3</v>
      </c>
      <c r="BF23" s="137">
        <f>_xll.xSPRDOPT($BW23,$BV23,$CG23,0,$BY23,$BX23,$BZ23,$AJ23,1,4)*$CB23</f>
        <v>9.8893364343402318E-2</v>
      </c>
      <c r="BG23" s="137">
        <f>_xll.xSPRDOPT($BW23,$BV23,$CG23,0,$BY23,$BX23,$BZ23,$AJ23,1,3)*$CB23</f>
        <v>6.6091041505704523E-2</v>
      </c>
      <c r="BH23" s="137">
        <f>IF(OR(BF23&lt;&gt;0,BG23&lt;&gt;0),_xll.xSPRDOPT($BW23,$BV23,$CG23,0,$BY23,$BX23,$BZ23,$AJ23,1,12)*$CB23,0)</f>
        <v>-8.0834375682243539E-2</v>
      </c>
      <c r="BI23" s="137">
        <f>_xll.xSPRDOPT($BW23,$BV23,$CG23,2*LN(1+CA23/2),$BY23,$BX23,$BZ23,$AJ23,1,9)</f>
        <v>-1.4797387269993549E-2</v>
      </c>
      <c r="BJ23" s="137">
        <f>_xll.xSPRDOPT($BW23,$BV23,$CG23,0,$BY23,$BX23,$BZ23,$AJ23,1,6)*$CB23</f>
        <v>-2.5660431493434749E-2</v>
      </c>
      <c r="BK23" s="137">
        <f>_xll.xSPRDOPT($BW23,$BV23,$CG23,0,$BY23,$BX23,$BZ23,$AJ23,1,5)*$CB23</f>
        <v>3.2512496337065058E-2</v>
      </c>
      <c r="BL23" s="137">
        <f>_xll.xSPRDOPT(BW23,BV23,CG23,0,BY23,BX23,BZ23,AJ23,1,2)*CB23</f>
        <v>-0.9844202662224294</v>
      </c>
      <c r="BM23" s="137">
        <f>_xll.xSPRDOPT(BW23,BV23,CG23,0,BY23,BX23,BZ23,AJ23,1,1)*CB23</f>
        <v>0.98694809005444084</v>
      </c>
      <c r="BN23" s="137">
        <f>IF(AH23&lt;&gt;0,_xll.xSPRDOPT($BW23,$BV23,$CG23,2*LN(1+CA23/2),$BY23,$BX23,$BZ23,$AJ23,1,8)+(AJ23/365.25)*CH23/AH23,0)</f>
        <v>-0.13455221198827441</v>
      </c>
      <c r="BO23" s="137">
        <f>_xll.xSPRDOPT($BW23,$BV23,$CG23,0,$BY23,$BX23,$BZ23,$AJ23,1,0)</f>
        <v>0.78267466224528648</v>
      </c>
      <c r="BP23" s="137"/>
      <c r="BQ23" s="137"/>
      <c r="BR23" s="137"/>
      <c r="BS23" s="137"/>
      <c r="BV23" s="262">
        <v>3.0236853541938289</v>
      </c>
      <c r="BW23" s="136">
        <v>3.9079999999999999</v>
      </c>
      <c r="BX23" s="137">
        <v>0.91323752538853642</v>
      </c>
      <c r="BY23" s="137">
        <v>1.0369707485427608</v>
      </c>
      <c r="BZ23" s="137">
        <v>0.98381811682862641</v>
      </c>
      <c r="CA23" s="137">
        <v>1.9326187282006298E-2</v>
      </c>
      <c r="CB23" s="137">
        <v>0.99668802984454063</v>
      </c>
      <c r="CC23" s="258">
        <v>-0.125</v>
      </c>
      <c r="CD23" s="258">
        <v>0</v>
      </c>
      <c r="CE23" s="258">
        <v>0.88</v>
      </c>
      <c r="CF23" s="258">
        <v>0.12</v>
      </c>
      <c r="CG23" s="258">
        <v>0.10299999999999999</v>
      </c>
      <c r="CH23" s="258">
        <v>0</v>
      </c>
      <c r="CI23" s="258">
        <v>2.9079999999999999</v>
      </c>
      <c r="CJ23" s="258"/>
      <c r="CK23" s="258"/>
      <c r="CL23" s="258"/>
      <c r="CM23" s="258"/>
    </row>
    <row r="24" spans="1:91" x14ac:dyDescent="0.25">
      <c r="A24" s="723"/>
      <c r="B24" s="723"/>
      <c r="D24" s="31">
        <f>D23+AH23</f>
        <v>37330</v>
      </c>
      <c r="F24" s="28">
        <f>VLOOKUP(AG24,$AL$4:$AS$15,2)</f>
        <v>6578</v>
      </c>
      <c r="G24" s="28">
        <f>F24*$AU24</f>
        <v>6547.671406153423</v>
      </c>
      <c r="H24" s="52">
        <f>(AL24+AM24+AN24)/(1-(AR24))</f>
        <v>3.0171664493698396</v>
      </c>
      <c r="I24" s="52">
        <f>(AL24+AO24+AP24)</f>
        <v>3.5820000000000003</v>
      </c>
      <c r="K24" s="52">
        <f>MAX(((I24-H24)-AQ24)*AU24*AH24,0)</f>
        <v>14.250830700785315</v>
      </c>
      <c r="L24" s="135">
        <f>MAX(Q24-K24,0)</f>
        <v>2.3962142436079858E-2</v>
      </c>
      <c r="N24" s="131">
        <f>SQRT(($AX24^2*($AH24/2)+$AW24^2*$AI24)/(($AH24/2)+$AI24))</f>
        <v>0.79438594042591715</v>
      </c>
      <c r="O24" s="131">
        <f>SQRT(($AY24^2*($AH24/2)+$AW24^2*$AI24)/(($AH24/2)+$AI24))</f>
        <v>0.83864882017172071</v>
      </c>
      <c r="P24" s="55">
        <f>(VLOOKUP(AI24,CorrelationTwo,2)*(AW24^2)*AI24+VLOOKUP(D24,CorrelationOne,$AK$9)*AX24*AY24*(AH24/2))/((AI24+(AH24/2))*O24*N24)*AF24</f>
        <v>0.99295393189156633</v>
      </c>
      <c r="Q24" s="135">
        <f>_xll.xSPRDOPT(I24,H24,AQ24,0,O24,N24,P24,D24-$G$5,1,0)*AH24*AU24</f>
        <v>14.274792843221395</v>
      </c>
      <c r="R24" s="135"/>
      <c r="S24" s="181">
        <f>_xll.xSPRDOPT(I24,H24,AQ24,AT24,O24,N24,P24,D24-$G$5,1,2)*AF24*(F24/(1-AR24))*AH24</f>
        <v>-218078.4322574363</v>
      </c>
      <c r="T24" s="181">
        <f>_xll.xSPRDOPT(I24,H24,AQ24,AT24,O24,N24,P24,D24-$G$5,1,1)*AF24*F24*AH24</f>
        <v>200997.1293880725</v>
      </c>
      <c r="U24" s="135"/>
      <c r="V24" s="146">
        <f>($Y$12+VLOOKUP(YEAR(D24),$X$15:$Y$17,2,FALSE))*AH24*AU24</f>
        <v>0</v>
      </c>
      <c r="W24" s="146"/>
      <c r="X24" s="338">
        <f>((BM24*BC24)+(BL24*BB24))*AH24*F24</f>
        <v>0</v>
      </c>
      <c r="Y24" s="338">
        <f>($F24*$AH24)*((($BG24/2)*($BC24)^2)+(($BF24/2)*($BB24)^2)+($BH24*$BC24*$BB24))</f>
        <v>0</v>
      </c>
      <c r="Z24" s="338">
        <f>($BI24*$F24*$AH24*($G$5-$BV$5))/365.25</f>
        <v>-5.7195327596916279</v>
      </c>
      <c r="AA24" s="338">
        <f>(($BK24*$BE24)+($BJ24*$BD24))*$F24*$AH24*$AF24</f>
        <v>9.8480352128263409</v>
      </c>
      <c r="AB24" s="338">
        <f>BN24*(AT24-CA24)*F24*AH24</f>
        <v>0</v>
      </c>
      <c r="AC24" s="338">
        <f>BO24*CB24*F24*AH24*CA24*($G$5-$BV$5)/365.25</f>
        <v>14.863094900627292</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-0.125</v>
      </c>
      <c r="AN24" s="258">
        <f>VLOOKUP($D24,CurveTbl,$AH$4)+VLOOKUP($AG24,$AL$3:$AS$15,6)</f>
        <v>0</v>
      </c>
      <c r="AO24" s="258">
        <f>VLOOKUP($D24,CurveTbl,$AH$5)</f>
        <v>0.6</v>
      </c>
      <c r="AP24" s="258">
        <f>VLOOKUP($D24,CurveTbl,$AH$6)+VLOOKUP($AG24,$AL$3:$AS$15,7)</f>
        <v>0.08</v>
      </c>
      <c r="AQ24" s="136">
        <f>VLOOKUP($AG24,$AL$4:$AS$15,3)+VLOOKUP($AG24,$AL$4:$AS$15,5)+($AH$10*VLOOKUP(D24,GRITable,2))</f>
        <v>0.10299999999999999</v>
      </c>
      <c r="AR24" s="137">
        <f>VLOOKUP($AG24,$AL$4:$AS$15,4)</f>
        <v>7.9600000000000004E-2</v>
      </c>
      <c r="AS24" s="136">
        <f>(AL24+AM24+AN24)</f>
        <v>2.7770000000000001</v>
      </c>
      <c r="AT24" s="137">
        <f>VLOOKUP(D24,CurveTbl,$AK$6)</f>
        <v>1.9273175363903501E-2</v>
      </c>
      <c r="AU24" s="137">
        <f>(1+$AT24/2)^(-2*($D24-$G$5)/365.25)*$AF24</f>
        <v>0.99538938980745262</v>
      </c>
      <c r="AV24" s="394">
        <f>ROUND((F24/(1-AR24))-F24,0)*AF24*AH24*AU24</f>
        <v>17557.673446813656</v>
      </c>
      <c r="AW24" s="137">
        <f>VLOOKUP($D24,CurveTbl,$AK$8)</f>
        <v>0.79</v>
      </c>
      <c r="AX24" s="137">
        <f>VLOOKUP($D24,CurveTbl,$AH$7)</f>
        <v>0.81499999999999995</v>
      </c>
      <c r="AY24" s="137">
        <f>VLOOKUP($D24,CurveTbl,$AH$8)</f>
        <v>1.04</v>
      </c>
      <c r="AZ24" s="137"/>
      <c r="BA24" s="264"/>
      <c r="BB24" s="258">
        <f>$H24-$BV24</f>
        <v>0</v>
      </c>
      <c r="BC24" s="258">
        <f>I24-BW24</f>
        <v>0</v>
      </c>
      <c r="BD24" s="137">
        <f t="shared" si="12"/>
        <v>1.4186670005755797E-4</v>
      </c>
      <c r="BE24" s="137">
        <f t="shared" si="12"/>
        <v>1.5334385413493523E-3</v>
      </c>
      <c r="BF24" s="137">
        <f>_xll.xSPRDOPT($BW24,$BV24,$CG24,0,$BY24,$BX24,$BZ24,$AJ24,1,4)*$CB24</f>
        <v>0.1472994539664273</v>
      </c>
      <c r="BG24" s="137">
        <f>_xll.xSPRDOPT($BW24,$BV24,$CG24,0,$BY24,$BX24,$BZ24,$AJ24,1,3)*$CB24</f>
        <v>0.11684573238802626</v>
      </c>
      <c r="BH24" s="137">
        <f>IF(OR(BF24&lt;&gt;0,BG24&lt;&gt;0),_xll.xSPRDOPT($BW24,$BV24,$CG24,0,$BY24,$BX24,$BZ24,$AJ24,1,12)*$CB24,0)</f>
        <v>-0.1311701558671004</v>
      </c>
      <c r="BI24" s="137">
        <f>_xll.xSPRDOPT($BW24,$BV24,$CG24,2*LN(1+CA24/2),$BY24,$BX24,$BZ24,$AJ24,1,9)</f>
        <v>-3.4148682975139802E-3</v>
      </c>
      <c r="BJ24" s="137">
        <f>_xll.xSPRDOPT($BW24,$BV24,$CG24,0,$BY24,$BX24,$BZ24,$AJ24,1,6)*$CB24</f>
        <v>-2.8267143241206667E-2</v>
      </c>
      <c r="BK24" s="137">
        <f>_xll.xSPRDOPT($BW24,$BV24,$CG24,0,$BY24,$BX24,$BZ24,$AJ24,1,5)*$CB24</f>
        <v>3.410913425566902E-2</v>
      </c>
      <c r="BL24" s="137">
        <f>_xll.xSPRDOPT(BW24,BV24,CG24,0,BY24,BX24,BZ24,AJ24,1,2)*CB24</f>
        <v>-0.98384733983412387</v>
      </c>
      <c r="BM24" s="137">
        <f>_xll.xSPRDOPT(BW24,BV24,CG24,0,BY24,BX24,BZ24,AJ24,1,1)*CB24</f>
        <v>0.98524903822198118</v>
      </c>
      <c r="BN24" s="137">
        <f>IF(AH24&lt;&gt;0,_xll.xSPRDOPT($BW24,$BV24,$CG24,2*LN(1+CA24/2),$BY24,$BX24,$BZ24,$AJ24,1,8)+(AJ24/365.25)*CH24/AH24,0)</f>
        <v>-0.11471509058025442</v>
      </c>
      <c r="BO24" s="137">
        <f>_xll.xSPRDOPT($BW24,$BV24,$CG24,0,$BY24,$BX24,$BZ24,$AJ24,1,0)</f>
        <v>0.46264172407498344</v>
      </c>
      <c r="BP24" s="137"/>
      <c r="BQ24" s="137"/>
      <c r="BR24" s="137"/>
      <c r="BS24" s="137"/>
      <c r="BV24" s="262">
        <v>3.0171664493698396</v>
      </c>
      <c r="BW24" s="136">
        <v>3.5820000000000003</v>
      </c>
      <c r="BX24" s="137">
        <v>0.79424407372585959</v>
      </c>
      <c r="BY24" s="137">
        <v>0.83711538163037136</v>
      </c>
      <c r="BZ24" s="137">
        <v>0.99304923531911427</v>
      </c>
      <c r="CA24" s="137">
        <v>1.9273175363903501E-2</v>
      </c>
      <c r="CB24" s="137">
        <v>0.99523258517239033</v>
      </c>
      <c r="CC24" s="258">
        <v>-0.125</v>
      </c>
      <c r="CD24" s="258">
        <v>0</v>
      </c>
      <c r="CE24" s="258">
        <v>0.6</v>
      </c>
      <c r="CF24" s="258">
        <v>0.08</v>
      </c>
      <c r="CG24" s="258">
        <v>0.10299999999999999</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2.7079999999999997</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-0.14499999999999999</v>
      </c>
      <c r="AN25" s="258">
        <f>VLOOKUP($D25,CurveTbl,$AH$4)+VLOOKUP($AG25,$AL$3:$AS$15,6)</f>
        <v>5.0000000000000001E-3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2.7079999999999997</v>
      </c>
      <c r="AT25" s="137">
        <f>VLOOKUP(D25,CurveTbl,$AK$6)</f>
        <v>1.9422640119623601E-2</v>
      </c>
      <c r="AU25" s="137">
        <f>(1+$AT25/2)^(-2*($D25-$G$5)/365.25)*$AF25</f>
        <v>0</v>
      </c>
      <c r="AV25" s="394">
        <f>ROUND((F25/(1-AR25))-F25,0)*AF25*AH25*AU25</f>
        <v>0</v>
      </c>
      <c r="AW25" s="137">
        <f>VLOOKUP($D25,CurveTbl,$AK$8)</f>
        <v>0.61</v>
      </c>
      <c r="AX25" s="137">
        <f>VLOOKUP($D25,CurveTbl,$AH$7)</f>
        <v>0.57999999999999996</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-0.78206186577750036</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0.85403315350312081</v>
      </c>
      <c r="BP25" s="137"/>
      <c r="BQ25" s="137"/>
      <c r="BR25" s="137"/>
      <c r="BS25" s="137"/>
      <c r="BV25" s="262">
        <v>2.7079999999999997</v>
      </c>
      <c r="BW25" s="136">
        <v>3.1929999999999996</v>
      </c>
      <c r="BX25" s="137">
        <v>0.61</v>
      </c>
      <c r="BY25" s="137">
        <v>0.61</v>
      </c>
      <c r="BZ25" s="137">
        <v>0</v>
      </c>
      <c r="CA25" s="137">
        <v>1.9422640119623601E-2</v>
      </c>
      <c r="CB25" s="137">
        <v>0</v>
      </c>
      <c r="CC25" s="258">
        <v>-0.14499999999999999</v>
      </c>
      <c r="CD25" s="258">
        <v>5.0000000000000001E-3</v>
      </c>
      <c r="CE25" s="258">
        <v>0.34</v>
      </c>
      <c r="CF25" s="258">
        <v>5.0000000000000001E-3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2.7079999999999997</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-0.14499999999999999</v>
      </c>
      <c r="AN26" s="258">
        <f>VLOOKUP($D26,CurveTbl,$AH$4)+VLOOKUP($AG26,$AL$3:$AS$15,6)</f>
        <v>5.0000000000000001E-3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2.7079999999999997</v>
      </c>
      <c r="AT26" s="137">
        <f>VLOOKUP(D26,CurveTbl,$AK$6)</f>
        <v>1.9422640119623601E-2</v>
      </c>
      <c r="AU26" s="137">
        <f>(1+$AT26/2)^(-2*($D26-$G$5)/365.25)*$AF26</f>
        <v>0</v>
      </c>
      <c r="AV26" s="394">
        <f>ROUND((F26/(1-AR26))-F26,0)*AF26*AH26*AU26</f>
        <v>0</v>
      </c>
      <c r="AW26" s="137">
        <f>VLOOKUP($D26,CurveTbl,$AK$8)</f>
        <v>0.61</v>
      </c>
      <c r="AX26" s="137">
        <f>VLOOKUP($D26,CurveTbl,$AH$7)</f>
        <v>0.57999999999999996</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-0.78206186577750036</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0.85403315350312081</v>
      </c>
      <c r="BP26" s="137"/>
      <c r="BQ26" s="137"/>
      <c r="BR26" s="137"/>
      <c r="BS26" s="137"/>
      <c r="BV26" s="262">
        <v>2.7079999999999997</v>
      </c>
      <c r="BW26" s="136">
        <v>3.1929999999999996</v>
      </c>
      <c r="BX26" s="137">
        <v>0.61</v>
      </c>
      <c r="BY26" s="137">
        <v>0.61</v>
      </c>
      <c r="BZ26" s="137">
        <v>0</v>
      </c>
      <c r="CA26" s="137">
        <v>1.9422640119623601E-2</v>
      </c>
      <c r="CB26" s="137">
        <v>0</v>
      </c>
      <c r="CC26" s="258">
        <v>-0.14499999999999999</v>
      </c>
      <c r="CD26" s="258">
        <v>5.0000000000000001E-3</v>
      </c>
      <c r="CE26" s="258">
        <v>0.34</v>
      </c>
      <c r="CF26" s="258">
        <v>5.0000000000000001E-3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3297"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3298"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CX26"/>
  <sheetViews>
    <sheetView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LongTerm105</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105</v>
      </c>
      <c r="F2" s="178" t="str">
        <f>GetRcptPoint($AH$12,$AH$13)</f>
        <v>Tetco/ELA</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114</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1147263.7611728914</v>
      </c>
      <c r="O4" s="352">
        <v>1147257.8</v>
      </c>
      <c r="P4" s="354">
        <f ca="1">N4-O4</f>
        <v>5.9611728913150728</v>
      </c>
      <c r="S4" s="427" t="s">
        <v>635</v>
      </c>
      <c r="T4" s="422">
        <f ca="1">SUMPRODUCT(INDIRECT(CONCATENATE(V4,":",W4)),INDIRECT(CONCATENATE(AV2,":",AW2)),INDIRECT(CONCATENATE(AV3,":",AW3)))</f>
        <v>1142189.6009632833</v>
      </c>
      <c r="V4" s="30" t="str">
        <f>ADDRESS(ROW(K22),COLUMN(K22))</f>
        <v>$K$22</v>
      </c>
      <c r="W4" s="30" t="str">
        <f ca="1">GetEnd($AV$1,V4)</f>
        <v>$K$26</v>
      </c>
      <c r="AF4" s="28"/>
      <c r="AG4" s="103" t="s">
        <v>32</v>
      </c>
      <c r="AH4" s="104">
        <f>GetRcptIndexCol($AH$12,$AH$13)</f>
        <v>115</v>
      </c>
      <c r="AI4" s="29"/>
      <c r="AJ4" s="103" t="s">
        <v>72</v>
      </c>
      <c r="AK4" s="104">
        <f>GetNymexCol(AK3)</f>
        <v>3</v>
      </c>
      <c r="AL4" s="34">
        <v>1</v>
      </c>
      <c r="AM4" s="45">
        <f t="shared" ref="AM4:AM15" si="0">GetVolume($AH$12,$AH$13,AT4)</f>
        <v>20749</v>
      </c>
      <c r="AN4" s="46">
        <f t="shared" ref="AN4:AN15" si="1">GetCommodity($AH$12,$AH$13,AT4)</f>
        <v>0.10299999999999999</v>
      </c>
      <c r="AO4" s="47">
        <f t="shared" ref="AO4:AO15" si="2">GetFuelRate($AH$12,$AH$13,AT4)</f>
        <v>7.9600000000000004E-2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5074.1602096080433</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20749</v>
      </c>
      <c r="AN5" s="38">
        <f t="shared" si="1"/>
        <v>0.10299999999999999</v>
      </c>
      <c r="AO5" s="39">
        <f t="shared" si="2"/>
        <v>7.9600000000000004E-2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1147263.7611728914</v>
      </c>
      <c r="O6" s="357">
        <v>1147257.8</v>
      </c>
      <c r="P6" s="358">
        <f ca="1">N6-O6</f>
        <v>5.9611728913150728</v>
      </c>
      <c r="S6" s="428" t="s">
        <v>637</v>
      </c>
      <c r="T6" s="424">
        <f ca="1">SUMPRODUCT(INDIRECT(CONCATENATE(V6,":",W6)),INDIRECT(CONCATENATE(AV3,":",AW3)),INDIRECT(CONCATENATE(AX3,":",AY3)))</f>
        <v>1861658.4866881338</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20749</v>
      </c>
      <c r="AN6" s="38">
        <f t="shared" si="1"/>
        <v>0.10299999999999999</v>
      </c>
      <c r="AO6" s="39">
        <f t="shared" si="2"/>
        <v>7.9600000000000004E-2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13730.63</v>
      </c>
      <c r="P7" s="355">
        <f ca="1">N7</f>
        <v>0</v>
      </c>
      <c r="S7" s="428" t="s">
        <v>638</v>
      </c>
      <c r="T7" s="425">
        <f ca="1">T5/T6</f>
        <v>2.7256128048678296E-3</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198939.81</v>
      </c>
      <c r="P8" s="355">
        <f ca="1">N8</f>
        <v>0</v>
      </c>
      <c r="S8" s="429" t="s">
        <v>639</v>
      </c>
      <c r="T8" s="426">
        <f ca="1">Y8/Z8</f>
        <v>0.9854658439463545</v>
      </c>
      <c r="V8" s="30" t="str">
        <f>ADDRESS(ROW(P22),COLUMN(P22))</f>
        <v>$P$22</v>
      </c>
      <c r="W8" s="30" t="str">
        <f ca="1">GetEnd($AV$1,V8)</f>
        <v>$P$26</v>
      </c>
      <c r="Y8" s="334">
        <f ca="1">SUMIF(INDIRECT(CONCATENATE(V8,":",W8)),"&gt;0",INDIRECT(CONCATENATE(V8,":",W8)))</f>
        <v>2.9563975318390634</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4653.42</v>
      </c>
      <c r="P9" s="355">
        <f ca="1">N9</f>
        <v>0</v>
      </c>
      <c r="AF9" s="28"/>
      <c r="AG9" s="52"/>
      <c r="AH9" s="52"/>
      <c r="AI9" s="29"/>
      <c r="AJ9" s="103" t="s">
        <v>139</v>
      </c>
      <c r="AK9" s="105">
        <f>GetCorrelCol($AH$12,$AH$13)</f>
        <v>21</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3379.7953218699331</v>
      </c>
      <c r="L10" s="706" t="s">
        <v>628</v>
      </c>
      <c r="M10" s="707"/>
      <c r="N10" s="352">
        <f ca="1">-SUMPRODUCT(INDIRECT(CONCATENATE(AV10,":",AW10)),INDIRECT(CONCATENATE($AX$7,":",$AY$7)),INDIRECT(CONCATENATE($AV$3,":",$AW$3)))</f>
        <v>-453037.07480777672</v>
      </c>
      <c r="O10" s="352">
        <v>-452966.28</v>
      </c>
      <c r="P10" s="355">
        <f t="shared" ref="P10:P19" ca="1" si="10">N10-O10</f>
        <v>-70.794807776692323</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884758.49679934327</v>
      </c>
      <c r="L11" s="704" t="s">
        <v>629</v>
      </c>
      <c r="M11" s="705"/>
      <c r="N11" s="356">
        <f ca="1">-SUMPRODUCT(INDIRECT(CONCATENATE(AV11,":",AW11)),INDIRECT(CONCATENATE($AV$2,":",$AW$2)),INDIRECT(CONCATENATE($AV$3,":",$AW$3)),INDIRECT(CONCATENATE(AX3,":",AY3)))</f>
        <v>-192343.22999999998</v>
      </c>
      <c r="O11" s="357">
        <v>-192343.23</v>
      </c>
      <c r="P11" s="358">
        <f t="shared" ca="1" si="10"/>
        <v>0</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182352.6</v>
      </c>
      <c r="P12" s="355">
        <f t="shared" ca="1" si="10"/>
        <v>-182352.6</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3127.93</v>
      </c>
      <c r="P13" s="355">
        <f t="shared" ca="1" si="10"/>
        <v>-3127.93</v>
      </c>
      <c r="X13" s="498" t="s">
        <v>761</v>
      </c>
      <c r="AG13" s="248" t="s">
        <v>186</v>
      </c>
      <c r="AH13" s="119">
        <f>GetRecNdx($AH$12,$D$2)</f>
        <v>21</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-784.93741478128322</v>
      </c>
      <c r="O14" s="352">
        <v>-427.43</v>
      </c>
      <c r="P14" s="355">
        <f t="shared" ca="1" si="10"/>
        <v>-357.50741478128322</v>
      </c>
      <c r="S14" s="181">
        <f>F22/(1-AR22)*AH22*AU22</f>
        <v>697811.60213710484</v>
      </c>
      <c r="T14" s="181">
        <f>F22*AH22*AU22</f>
        <v>642265.79860699119</v>
      </c>
      <c r="X14" s="500" t="s">
        <v>762</v>
      </c>
      <c r="Y14" s="501" t="s">
        <v>763</v>
      </c>
      <c r="AL14" s="34">
        <v>11</v>
      </c>
      <c r="AM14" s="37">
        <f t="shared" si="0"/>
        <v>20749</v>
      </c>
      <c r="AN14" s="38">
        <f t="shared" si="1"/>
        <v>0.10299999999999999</v>
      </c>
      <c r="AO14" s="39">
        <f t="shared" si="2"/>
        <v>7.9600000000000004E-2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882.26212362202671</v>
      </c>
      <c r="O15" s="352">
        <v>455.93</v>
      </c>
      <c r="P15" s="355">
        <f t="shared" ca="1" si="10"/>
        <v>426.3321236220267</v>
      </c>
      <c r="X15" s="502">
        <v>2001</v>
      </c>
      <c r="Y15" s="503">
        <v>0</v>
      </c>
      <c r="AL15" s="34">
        <v>12</v>
      </c>
      <c r="AM15" s="41">
        <f t="shared" si="0"/>
        <v>20749</v>
      </c>
      <c r="AN15" s="42">
        <f t="shared" si="1"/>
        <v>0.10299999999999999</v>
      </c>
      <c r="AO15" s="43">
        <f t="shared" si="2"/>
        <v>7.9600000000000004E-2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-18.329999999999998</v>
      </c>
      <c r="P16" s="355">
        <f t="shared" ca="1" si="10"/>
        <v>18.329999999999998</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179.84281334764182</v>
      </c>
      <c r="O17" s="357">
        <v>50.05</v>
      </c>
      <c r="P17" s="358">
        <f t="shared" ca="1" si="10"/>
        <v>129.79281334764181</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1142189.6009632833</v>
      </c>
      <c r="O18" s="352">
        <v>1142011.42</v>
      </c>
      <c r="P18" s="355">
        <f t="shared" ca="1" si="10"/>
        <v>178.18096328340471</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5074.1602096080433</v>
      </c>
      <c r="O19" s="359">
        <v>5246.39</v>
      </c>
      <c r="P19" s="360">
        <f t="shared" ca="1" si="10"/>
        <v>-172.22979039195707</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IF-TETCO/ELA Basis Mid</v>
      </c>
      <c r="T20" s="182" t="str">
        <f>GetDelBasis($AH$12,$AH$13)</f>
        <v>IF-TETCO/M3 Basis Mid</v>
      </c>
      <c r="U20" s="158"/>
      <c r="V20" s="158"/>
      <c r="W20" s="158"/>
      <c r="X20" s="158"/>
      <c r="Y20" s="335"/>
      <c r="Z20" s="335"/>
      <c r="AA20" s="335"/>
      <c r="AB20" s="335"/>
      <c r="AC20" s="335"/>
      <c r="AI20" s="138"/>
      <c r="AM20" s="702" t="str">
        <f>GetRcptPoint($AH$12,$AH$13)</f>
        <v>Tetco/ELA</v>
      </c>
      <c r="AN20" s="703"/>
      <c r="AO20" s="702" t="str">
        <f>GetDelPoint($AH$12,$AH$13)</f>
        <v>Tetco/M3</v>
      </c>
      <c r="AP20" s="703"/>
      <c r="AQ20" s="137"/>
      <c r="AS20" s="137"/>
      <c r="AU20" s="136" t="s">
        <v>576</v>
      </c>
      <c r="AV20" s="353">
        <f ca="1">SUMPRODUCT(INDIRECT(CONCATENATE(AV8,":",AW8)),INDIRECT(CONCATENATE($AV$2,":",$AW$2)),INDIRECT(CONCATENATE($AV$3,":",$AW$3)),INDIRECT(CONCATENATE(AX3,":",AY3)))</f>
        <v>-126050.175</v>
      </c>
      <c r="AW20" s="353">
        <f ca="1">SUMPRODUCT(INDIRECT(CONCATENATE(AX8,":",AY8)),INDIRECT(CONCATENATE($AV$2,":",$AW$2)),INDIRECT(CONCATENATE($AV$3,":",$AW$3)),INDIRECT(CONCATENATE(AX3,":",AY3)))</f>
        <v>1463219.48</v>
      </c>
      <c r="AX20" s="353">
        <f ca="1">SUMPRODUCT(INDIRECT(CONCATENATE(AV9,":",AW9)),INDIRECT(CONCATENATE($AV$2,":",$AW$2)),INDIRECT(CONCATENATE($AV$3,":",$AW$3)),INDIRECT(CONCATENATE(AX3,":",AY3)))</f>
        <v>-4668.5249999999996</v>
      </c>
      <c r="AY20" s="353">
        <f ca="1">SUMPRODUCT(INDIRECT(CONCATENATE(AX9,":",AY9)),INDIRECT(CONCATENATE($AV$2,":",$AW$2)),INDIRECT(CONCATENATE($AV$3,":",$AW$3)),INDIRECT(CONCATENATE(AX3,":",AY3)))</f>
        <v>198360.44</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20749</v>
      </c>
      <c r="G22" s="28">
        <f>F22*$AU22</f>
        <v>20718.251567967458</v>
      </c>
      <c r="H22" s="52">
        <f>(AL22+AM22+AN22)/(1-(AR22))</f>
        <v>3.0160799652325081</v>
      </c>
      <c r="I22" s="52">
        <f>(AL22+AO22+AP22)</f>
        <v>3.8460000000000001</v>
      </c>
      <c r="K22" s="52">
        <f>MAX(((I22-H22)-AQ22)*AU22*AH22,0)</f>
        <v>22.501126640000244</v>
      </c>
      <c r="L22" s="135">
        <f>MAX(Q22-K22,0)</f>
        <v>7.9840323420157233E-2</v>
      </c>
      <c r="N22" s="131">
        <f>SQRT(($AX22^2*($AH22/2)+$AW22^2*$AI22)/(($AH22/2)+$AI22))</f>
        <v>0.96016221307122684</v>
      </c>
      <c r="O22" s="131">
        <f>SQRT(($AY22^2*($AH22/2)+$AW22^2*$AI22)/(($AH22/2)+$AI22))</f>
        <v>1.2249463019344771</v>
      </c>
      <c r="P22" s="55">
        <f>(VLOOKUP(AI22,CorrelationTwo,2)*(AW22^2)*AI22+VLOOKUP(D22,CorrelationOne,$AK$9)*AX22*AY22*(AH22/2))/((AI22+(AH22/2))*O22*N22)*AF22</f>
        <v>0.9828915368670702</v>
      </c>
      <c r="Q22" s="135">
        <f>_xll.xSPRDOPT(I22,H22,AQ22,0,O22,N22,P22,D22-$G$5,1,0)*AH22*AU22</f>
        <v>22.580966963420401</v>
      </c>
      <c r="R22" s="135"/>
      <c r="S22" s="181">
        <f>_xll.xSPRDOPT(I22,H22,AQ22,AT22,O22,N22,P22,D22-$G$5,1,2)*AF22*(F22/(1-AR22))*AH22</f>
        <v>-682748.21267137374</v>
      </c>
      <c r="T22" s="181">
        <f>_xll.xSPRDOPT(I22,H22,AQ22,AT22,O22,N22,P22,D22-$G$5,1,1)*AF22*F22*AH22</f>
        <v>631216.07603318756</v>
      </c>
      <c r="U22" s="135"/>
      <c r="V22" s="146">
        <f>($Y$12+VLOOKUP(YEAR(D22),$X$15:$Y$17,2,FALSE))*AH22*AU22</f>
        <v>0</v>
      </c>
      <c r="W22" s="146"/>
      <c r="X22" s="338">
        <f>((BM22*BC22)+(BL22*BB22))*AH22*F22</f>
        <v>0</v>
      </c>
      <c r="Y22" s="338">
        <f>($F22*$AH22)*((($BG22/2)*($BC22)^2)+(($BF22/2)*($BB22)^2)+($BH22*$BC22*$BB22))</f>
        <v>0</v>
      </c>
      <c r="Z22" s="338">
        <f>($BI22*$F22*$AH22*($G$5-$BV$5))/365.25</f>
        <v>-461.50114685238009</v>
      </c>
      <c r="AA22" s="338">
        <f>(($BK22*$BE22)+($BJ22*$BD22))*$F22*$AH22*$AF22</f>
        <v>591.72119787685142</v>
      </c>
      <c r="AB22" s="338">
        <f>BN22*(AT22-CA22)*F22*AH22</f>
        <v>0</v>
      </c>
      <c r="AC22" s="338">
        <f>BO22*CB22*F22*AH22*CA22*($G$5-$BV$5)/365.25</f>
        <v>72.220110303850731</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-6.7500000000000004E-2</v>
      </c>
      <c r="AN22" s="258">
        <f>VLOOKUP($D22,CurveTbl,$AH$4)+VLOOKUP($AG22,$AL$3:$AS$15,6)</f>
        <v>-2.5000000000000001E-3</v>
      </c>
      <c r="AO22" s="258">
        <f>VLOOKUP($D22,CurveTbl,$AH$5)</f>
        <v>0.88</v>
      </c>
      <c r="AP22" s="258">
        <f>VLOOKUP($D22,CurveTbl,$AH$6)+VLOOKUP($AG22,$AL$3:$AS$15,7)</f>
        <v>0.12</v>
      </c>
      <c r="AQ22" s="136">
        <f>VLOOKUP($AG22,$AL$4:$AS$15,3)+VLOOKUP($AG22,$AL$4:$AS$15,5)+($AH$10*VLOOKUP(D22,GRITable,2))</f>
        <v>0.10299999999999999</v>
      </c>
      <c r="AR22" s="137">
        <f>VLOOKUP($AG22,$AL$4:$AS$15,4)</f>
        <v>7.9600000000000004E-2</v>
      </c>
      <c r="AS22" s="136">
        <f>(AL22+AM22+AN22)</f>
        <v>2.7760000000000002</v>
      </c>
      <c r="AT22" s="137">
        <f>VLOOKUP(D22,CurveTbl,$AK$6)</f>
        <v>1.8765908157160699E-2</v>
      </c>
      <c r="AU22" s="137">
        <f>(1+$AT22/2)^(-2*($D22-$G$5)/365.25)*$AF22</f>
        <v>0.99851807643585033</v>
      </c>
      <c r="AV22" s="394">
        <f>ROUND((F22/(1-AR22))-F22,0)*AF22*AH22*AU22</f>
        <v>55531.584302903379</v>
      </c>
      <c r="AW22" s="137">
        <f>VLOOKUP($D22,CurveTbl,$AK$8)</f>
        <v>0.87</v>
      </c>
      <c r="AX22" s="137">
        <f>VLOOKUP($D22,CurveTbl,$AH$7)</f>
        <v>1.04</v>
      </c>
      <c r="AY22" s="137">
        <f>VLOOKUP($D22,CurveTbl,$AH$8)</f>
        <v>1.49</v>
      </c>
      <c r="AZ22" s="137"/>
      <c r="BA22" s="264"/>
      <c r="BB22" s="258">
        <f>$H22-$BV22</f>
        <v>0</v>
      </c>
      <c r="BC22" s="258">
        <f>I22-BW22</f>
        <v>0</v>
      </c>
      <c r="BD22" s="137">
        <f t="shared" ref="BD22:BE26" si="12">N22-BX22</f>
        <v>7.7262160833929672E-3</v>
      </c>
      <c r="BE22" s="137">
        <f t="shared" si="12"/>
        <v>2.7489419589802999E-2</v>
      </c>
      <c r="BF22" s="137">
        <f>_xll.xSPRDOPT($BW22,$BV22,$CG22,0,$BY22,$BX22,$BZ22,$AJ22,1,4)*$CB22</f>
        <v>0.16102460415293895</v>
      </c>
      <c r="BG22" s="137">
        <f>_xll.xSPRDOPT($BW22,$BV22,$CG22,0,$BY22,$BX22,$BZ22,$AJ22,1,3)*$CB22</f>
        <v>0.10942384687243692</v>
      </c>
      <c r="BH22" s="137">
        <f>IF(OR(BF22&lt;&gt;0,BG22&lt;&gt;0),_xll.xSPRDOPT($BW22,$BV22,$CG22,0,$BY22,$BX22,$BZ22,$AJ22,1,12)*$CB22,0)</f>
        <v>-0.13273466970057188</v>
      </c>
      <c r="BI22" s="137">
        <f>_xll.xSPRDOPT($BW22,$BV22,$CG22,2*LN(1+CA22/2),$BY22,$BX22,$BZ22,$AJ22,1,9)</f>
        <v>-8.7354018816728482E-2</v>
      </c>
      <c r="BJ22" s="137">
        <f>_xll.xSPRDOPT($BW22,$BV22,$CG22,0,$BY22,$BX22,$BZ22,$AJ22,1,6)*$CB22</f>
        <v>-3.6342577844014276E-2</v>
      </c>
      <c r="BK22" s="137">
        <f>_xll.xSPRDOPT($BW22,$BV22,$CG22,0,$BY22,$BX22,$BZ22,$AJ22,1,5)*$CB22</f>
        <v>4.3679641168805003E-2</v>
      </c>
      <c r="BL22" s="137">
        <f>_xll.xSPRDOPT(BW22,BV22,CG22,0,BY22,BX22,BZ22,AJ22,1,2)*CB22</f>
        <v>-0.97592789304122018</v>
      </c>
      <c r="BM22" s="137">
        <f>_xll.xSPRDOPT(BW22,BV22,CG22,0,BY22,BX22,BZ22,AJ22,1,1)*CB22</f>
        <v>0.98049336082279048</v>
      </c>
      <c r="BN22" s="137">
        <f>IF(AH22&lt;&gt;0,_xll.xSPRDOPT($BW22,$BV22,$CG22,2*LN(1+CA22/2),$BY22,$BX22,$BZ22,$AJ22,1,8)+(AJ22/365.25)*CH22/AH22,0)</f>
        <v>-6.3820238078784092E-2</v>
      </c>
      <c r="BO22" s="137">
        <f>_xll.xSPRDOPT($BW22,$BV22,$CG22,0,$BY22,$BX22,$BZ22,$AJ22,1,0)</f>
        <v>0.72964122300070233</v>
      </c>
      <c r="BP22" s="137"/>
      <c r="BQ22" s="137"/>
      <c r="BR22" s="137"/>
      <c r="BS22" s="137"/>
      <c r="BV22" s="262">
        <v>3.0160799652325081</v>
      </c>
      <c r="BW22" s="136">
        <v>3.8460000000000001</v>
      </c>
      <c r="BX22" s="137">
        <v>0.95243599698783388</v>
      </c>
      <c r="BY22" s="137">
        <v>1.1974568823446741</v>
      </c>
      <c r="BZ22" s="137">
        <v>0.98167794465529856</v>
      </c>
      <c r="CA22" s="137">
        <v>1.8765908157160699E-2</v>
      </c>
      <c r="CB22" s="137">
        <v>0.99836489939579565</v>
      </c>
      <c r="CC22" s="258">
        <v>-6.7500000000000004E-2</v>
      </c>
      <c r="CD22" s="258">
        <v>-2.5000000000000001E-3</v>
      </c>
      <c r="CE22" s="258">
        <v>0.88</v>
      </c>
      <c r="CF22" s="258">
        <v>0.12</v>
      </c>
      <c r="CG22" s="258">
        <v>0.10299999999999999</v>
      </c>
      <c r="CH22" s="258">
        <v>0</v>
      </c>
      <c r="CI22" s="258">
        <v>2.8460000000000001</v>
      </c>
      <c r="CJ22" s="258"/>
      <c r="CK22" s="258"/>
      <c r="CL22" s="258"/>
      <c r="CM22" s="258"/>
    </row>
    <row r="23" spans="1:91" x14ac:dyDescent="0.25">
      <c r="A23" s="723"/>
      <c r="B23" s="723"/>
      <c r="D23" s="31">
        <f>D22+AH22</f>
        <v>37302</v>
      </c>
      <c r="F23" s="28">
        <f>VLOOKUP(AG23,$AL$4:$AS$15,2)</f>
        <v>20749</v>
      </c>
      <c r="G23" s="28">
        <f>F23*$AU23</f>
        <v>20683.547148520811</v>
      </c>
      <c r="H23" s="52">
        <f>(AL23+AM23+AN23)/(1-(AR23))</f>
        <v>3.0834419817470664</v>
      </c>
      <c r="I23" s="52">
        <f>(AL23+AO23+AP23)</f>
        <v>3.9079999999999999</v>
      </c>
      <c r="K23" s="52">
        <f>MAX(((I23-H23)-AQ23)*AU23*AH23,0)</f>
        <v>20.139892050025452</v>
      </c>
      <c r="L23" s="135">
        <f>MAX(Q23-K23,0)</f>
        <v>8.3049228937543518E-2</v>
      </c>
      <c r="N23" s="131">
        <f>SQRT(($AX23^2*($AH23/2)+$AW23^2*$AI23)/(($AH23/2)+$AI23))</f>
        <v>0.90885229823112634</v>
      </c>
      <c r="O23" s="131">
        <f>SQRT(($AY23^2*($AH23/2)+$AW23^2*$AI23)/(($AH23/2)+$AI23))</f>
        <v>1.0448265406276778</v>
      </c>
      <c r="P23" s="55">
        <f>(VLOOKUP(AI23,CorrelationTwo,2)*(AW23^2)*AI23+VLOOKUP(D23,CorrelationOne,$AK$9)*AX23*AY23*(AH23/2))/((AI23+(AH23/2))*O23*N23)*AF23</f>
        <v>0.98183569330588027</v>
      </c>
      <c r="Q23" s="135">
        <f>_xll.xSPRDOPT(I23,H23,AQ23,0,O23,N23,P23,D23-$G$5,1,0)*AH23*AU23</f>
        <v>20.222941278962995</v>
      </c>
      <c r="R23" s="135"/>
      <c r="S23" s="181">
        <f>_xll.xSPRDOPT(I23,H23,AQ23,AT23,O23,N23,P23,D23-$G$5,1,2)*AF23*(F23/(1-AR23))*AH23</f>
        <v>-614132.05244409293</v>
      </c>
      <c r="T23" s="181">
        <f>_xll.xSPRDOPT(I23,H23,AQ23,AT23,O23,N23,P23,D23-$G$5,1,1)*AF23*F23*AH23</f>
        <v>567998.05135198357</v>
      </c>
      <c r="U23" s="135"/>
      <c r="V23" s="146">
        <f>($Y$12+VLOOKUP(YEAR(D23),$X$15:$Y$17,2,FALSE))*AH23*AU23</f>
        <v>0</v>
      </c>
      <c r="W23" s="146"/>
      <c r="X23" s="338">
        <f>((BM23*BC23)+(BL23*BB23))*AH23*F23</f>
        <v>0</v>
      </c>
      <c r="Y23" s="338">
        <f>($F23*$AH23)*((($BG23/2)*($BC23)^2)+(($BF23/2)*($BB23)^2)+($BH23*$BC23*$BB23))</f>
        <v>0</v>
      </c>
      <c r="Z23" s="338">
        <f>($BI23*$F23*$AH23*($G$5-$BV$5))/365.25</f>
        <v>-200.02253784796042</v>
      </c>
      <c r="AA23" s="338">
        <f>(($BK23*$BE23)+($BJ23*$BD23))*$F23*$AH23*$AF23</f>
        <v>211.96837077788427</v>
      </c>
      <c r="AB23" s="338">
        <f>BN23*(AT23-CA23)*F23*AH23</f>
        <v>0</v>
      </c>
      <c r="AC23" s="338">
        <f>BO23*CB23*F23*AH23*CA23*($G$5-$BV$5)/365.25</f>
        <v>66.602354133539691</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-6.7500000000000004E-2</v>
      </c>
      <c r="AN23" s="258">
        <f>VLOOKUP($D23,CurveTbl,$AH$4)+VLOOKUP($AG23,$AL$3:$AS$15,6)</f>
        <v>-2.5000000000000001E-3</v>
      </c>
      <c r="AO23" s="258">
        <f>VLOOKUP($D23,CurveTbl,$AH$5)</f>
        <v>0.88</v>
      </c>
      <c r="AP23" s="258">
        <f>VLOOKUP($D23,CurveTbl,$AH$6)+VLOOKUP($AG23,$AL$3:$AS$15,7)</f>
        <v>0.12</v>
      </c>
      <c r="AQ23" s="136">
        <f>VLOOKUP($AG23,$AL$4:$AS$15,3)+VLOOKUP($AG23,$AL$4:$AS$15,5)+($AH$10*VLOOKUP(D23,GRITable,2))</f>
        <v>0.10299999999999999</v>
      </c>
      <c r="AR23" s="137">
        <f>VLOOKUP($AG23,$AL$4:$AS$15,4)</f>
        <v>7.9600000000000004E-2</v>
      </c>
      <c r="AS23" s="136">
        <f>(AL23+AM23+AN23)</f>
        <v>2.8380000000000001</v>
      </c>
      <c r="AT23" s="137">
        <f>VLOOKUP(D23,CurveTbl,$AK$6)</f>
        <v>1.9326187282006298E-2</v>
      </c>
      <c r="AU23" s="137">
        <f>(1+$AT23/2)^(-2*($D23-$G$5)/365.25)*$AF23</f>
        <v>0.99684549368744568</v>
      </c>
      <c r="AV23" s="394">
        <f>ROUND((F23/(1-AR23))-F23,0)*AF23*AH23*AU23</f>
        <v>50073.542838907772</v>
      </c>
      <c r="AW23" s="137">
        <f>VLOOKUP($D23,CurveTbl,$AK$8)</f>
        <v>0.86499999999999999</v>
      </c>
      <c r="AX23" s="137">
        <f>VLOOKUP($D23,CurveTbl,$AH$7)</f>
        <v>1.04</v>
      </c>
      <c r="AY23" s="137">
        <f>VLOOKUP($D23,CurveTbl,$AH$8)</f>
        <v>1.49</v>
      </c>
      <c r="AZ23" s="137"/>
      <c r="BA23" s="264"/>
      <c r="BB23" s="258">
        <f>$H23-$BV23</f>
        <v>0</v>
      </c>
      <c r="BC23" s="258">
        <f>I23-BW23</f>
        <v>0</v>
      </c>
      <c r="BD23" s="137">
        <f t="shared" si="12"/>
        <v>2.0401162808982853E-3</v>
      </c>
      <c r="BE23" s="137">
        <f t="shared" si="12"/>
        <v>7.8557920849169349E-3</v>
      </c>
      <c r="BF23" s="137">
        <f>_xll.xSPRDOPT($BW23,$BV23,$CG23,0,$BY23,$BX23,$BZ23,$AJ23,1,4)*$CB23</f>
        <v>0.16925251037594224</v>
      </c>
      <c r="BG23" s="137">
        <f>_xll.xSPRDOPT($BW23,$BV23,$CG23,0,$BY23,$BX23,$BZ23,$AJ23,1,3)*$CB23</f>
        <v>0.11640420607333046</v>
      </c>
      <c r="BH23" s="137">
        <f>IF(OR(BF23&lt;&gt;0,BG23&lt;&gt;0),_xll.xSPRDOPT($BW23,$BV23,$CG23,0,$BY23,$BX23,$BZ23,$AJ23,1,12)*$CB23,0)</f>
        <v>-0.14034686998581869</v>
      </c>
      <c r="BI23" s="137">
        <f>_xll.xSPRDOPT($BW23,$BV23,$CG23,2*LN(1+CA23/2),$BY23,$BX23,$BZ23,$AJ23,1,9)</f>
        <v>-4.1917242109756031E-2</v>
      </c>
      <c r="BJ23" s="137">
        <f>_xll.xSPRDOPT($BW23,$BV23,$CG23,0,$BY23,$BX23,$BZ23,$AJ23,1,6)*$CB23</f>
        <v>-4.5345978303197296E-2</v>
      </c>
      <c r="BK23" s="137">
        <f>_xll.xSPRDOPT($BW23,$BV23,$CG23,0,$BY23,$BX23,$BZ23,$AJ23,1,5)*$CB23</f>
        <v>5.8219760846890914E-2</v>
      </c>
      <c r="BL23" s="137">
        <f>_xll.xSPRDOPT(BW23,BV23,CG23,0,BY23,BX23,BZ23,AJ23,1,2)*CB23</f>
        <v>-0.97240968231215963</v>
      </c>
      <c r="BM23" s="137">
        <f>_xll.xSPRDOPT(BW23,BV23,CG23,0,BY23,BX23,BZ23,AJ23,1,1)*CB23</f>
        <v>0.97722169619539612</v>
      </c>
      <c r="BN23" s="137">
        <f>IF(AH23&lt;&gt;0,_xll.xSPRDOPT($BW23,$BV23,$CG23,2*LN(1+CA23/2),$BY23,$BX23,$BZ23,$AJ23,1,8)+(AJ23/365.25)*CH23/AH23,0)</f>
        <v>-0.12456828604741421</v>
      </c>
      <c r="BO23" s="137">
        <f>_xll.xSPRDOPT($BW23,$BV23,$CG23,0,$BY23,$BX23,$BZ23,$AJ23,1,0)</f>
        <v>0.72459931923772813</v>
      </c>
      <c r="BP23" s="137"/>
      <c r="BQ23" s="137"/>
      <c r="BR23" s="137"/>
      <c r="BS23" s="137"/>
      <c r="BV23" s="262">
        <v>3.0834419817470664</v>
      </c>
      <c r="BW23" s="136">
        <v>3.9079999999999999</v>
      </c>
      <c r="BX23" s="137">
        <v>0.90681218195022806</v>
      </c>
      <c r="BY23" s="137">
        <v>1.0369707485427608</v>
      </c>
      <c r="BZ23" s="137">
        <v>0.98198611250809587</v>
      </c>
      <c r="CA23" s="137">
        <v>1.9326187282006298E-2</v>
      </c>
      <c r="CB23" s="137">
        <v>0.99668802984454063</v>
      </c>
      <c r="CC23" s="258">
        <v>-6.7500000000000004E-2</v>
      </c>
      <c r="CD23" s="258">
        <v>-2.5000000000000001E-3</v>
      </c>
      <c r="CE23" s="258">
        <v>0.88</v>
      </c>
      <c r="CF23" s="258">
        <v>0.12</v>
      </c>
      <c r="CG23" s="258">
        <v>0.10299999999999999</v>
      </c>
      <c r="CH23" s="258">
        <v>0</v>
      </c>
      <c r="CI23" s="258">
        <v>2.9079999999999999</v>
      </c>
      <c r="CJ23" s="258"/>
      <c r="CK23" s="258"/>
      <c r="CL23" s="258"/>
      <c r="CM23" s="258"/>
    </row>
    <row r="24" spans="1:91" x14ac:dyDescent="0.25">
      <c r="A24" s="723"/>
      <c r="B24" s="723"/>
      <c r="D24" s="31">
        <f>D23+AH23</f>
        <v>37330</v>
      </c>
      <c r="F24" s="28">
        <f>VLOOKUP(AG24,$AL$4:$AS$15,2)</f>
        <v>20749</v>
      </c>
      <c r="G24" s="28">
        <f>F24*$AU24</f>
        <v>20653.334449114835</v>
      </c>
      <c r="H24" s="52">
        <f>(AL24+AM24+AN24)/(1-(AR24))</f>
        <v>3.0769230769230771</v>
      </c>
      <c r="I24" s="52">
        <f>(AL24+AO24+AP24)</f>
        <v>3.5820000000000003</v>
      </c>
      <c r="K24" s="52">
        <f>MAX(((I24-H24)-AQ24)*AU24*AH24,0)</f>
        <v>12.406916196633096</v>
      </c>
      <c r="L24" s="135">
        <f>MAX(Q24-K24,0)</f>
        <v>8.1660074593383314E-2</v>
      </c>
      <c r="N24" s="131">
        <f>SQRT(($AX24^2*($AH24/2)+$AW24^2*$AI24)/(($AH24/2)+$AI24))</f>
        <v>0.79</v>
      </c>
      <c r="O24" s="131">
        <f>SQRT(($AY24^2*($AH24/2)+$AW24^2*$AI24)/(($AH24/2)+$AI24))</f>
        <v>0.83864882017172071</v>
      </c>
      <c r="P24" s="55">
        <f>(VLOOKUP(AI24,CorrelationTwo,2)*(AW24^2)*AI24+VLOOKUP(D24,CorrelationOne,$AK$9)*AX24*AY24*(AH24/2))/((AI24+(AH24/2))*O24*N24)*AF24</f>
        <v>0.99167030166611325</v>
      </c>
      <c r="Q24" s="135">
        <f>_xll.xSPRDOPT(I24,H24,AQ24,0,O24,N24,P24,D24-$G$5,1,0)*AH24*AU24</f>
        <v>12.48857627122648</v>
      </c>
      <c r="R24" s="135"/>
      <c r="S24" s="181">
        <f>_xll.xSPRDOPT(I24,H24,AQ24,AT24,O24,N24,P24,D24-$G$5,1,2)*AF24*(F24/(1-AR24))*AH24</f>
        <v>-673438.28322436707</v>
      </c>
      <c r="T24" s="181">
        <f>_xll.xSPRDOPT(I24,H24,AQ24,AT24,O24,N24,P24,D24-$G$5,1,1)*AF24*F24*AH24</f>
        <v>622219.56107896892</v>
      </c>
      <c r="U24" s="135"/>
      <c r="V24" s="146">
        <f>($Y$12+VLOOKUP(YEAR(D24),$X$15:$Y$17,2,FALSE))*AH24*AU24</f>
        <v>0</v>
      </c>
      <c r="W24" s="146"/>
      <c r="X24" s="338">
        <f>((BM24*BC24)+(BL24*BB24))*AH24*F24</f>
        <v>0</v>
      </c>
      <c r="Y24" s="338">
        <f>($F24*$AH24)*((($BG24/2)*($BC24)^2)+(($BF24/2)*($BB24)^2)+($BH24*$BC24*$BB24))</f>
        <v>0</v>
      </c>
      <c r="Z24" s="338">
        <f>($BI24*$F24*$AH24*($G$5-$BV$5))/365.25</f>
        <v>-123.41373008094277</v>
      </c>
      <c r="AA24" s="338">
        <f>(($BK24*$BE24)+($BJ24*$BD24))*$F24*$AH24*$AF24</f>
        <v>78.572554967291012</v>
      </c>
      <c r="AB24" s="338">
        <f>BN24*(AT24-CA24)*F24*AH24</f>
        <v>0</v>
      </c>
      <c r="AC24" s="338">
        <f>BO24*CB24*F24*AH24*CA24*($G$5-$BV$5)/365.25</f>
        <v>41.0203489102514</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-6.7500000000000004E-2</v>
      </c>
      <c r="AN24" s="258">
        <f>VLOOKUP($D24,CurveTbl,$AH$4)+VLOOKUP($AG24,$AL$3:$AS$15,6)</f>
        <v>-2.5000000000000001E-3</v>
      </c>
      <c r="AO24" s="258">
        <f>VLOOKUP($D24,CurveTbl,$AH$5)</f>
        <v>0.6</v>
      </c>
      <c r="AP24" s="258">
        <f>VLOOKUP($D24,CurveTbl,$AH$6)+VLOOKUP($AG24,$AL$3:$AS$15,7)</f>
        <v>0.08</v>
      </c>
      <c r="AQ24" s="136">
        <f>VLOOKUP($AG24,$AL$4:$AS$15,3)+VLOOKUP($AG24,$AL$4:$AS$15,5)+($AH$10*VLOOKUP(D24,GRITable,2))</f>
        <v>0.10299999999999999</v>
      </c>
      <c r="AR24" s="137">
        <f>VLOOKUP($AG24,$AL$4:$AS$15,4)</f>
        <v>7.9600000000000004E-2</v>
      </c>
      <c r="AS24" s="136">
        <f>(AL24+AM24+AN24)</f>
        <v>2.8320000000000003</v>
      </c>
      <c r="AT24" s="137">
        <f>VLOOKUP(D24,CurveTbl,$AK$6)</f>
        <v>1.9273175363903501E-2</v>
      </c>
      <c r="AU24" s="137">
        <f>(1+$AT24/2)^(-2*($D24-$G$5)/365.25)*$AF24</f>
        <v>0.99538938980745262</v>
      </c>
      <c r="AV24" s="394">
        <f>ROUND((F24/(1-AR24))-F24,0)*AF24*AH24*AU24</f>
        <v>55357.585524751667</v>
      </c>
      <c r="AW24" s="137">
        <f>VLOOKUP($D24,CurveTbl,$AK$8)</f>
        <v>0.79</v>
      </c>
      <c r="AX24" s="137">
        <f>VLOOKUP($D24,CurveTbl,$AH$7)</f>
        <v>0.79</v>
      </c>
      <c r="AY24" s="137">
        <f>VLOOKUP($D24,CurveTbl,$AH$8)</f>
        <v>1.04</v>
      </c>
      <c r="AZ24" s="137"/>
      <c r="BA24" s="264"/>
      <c r="BB24" s="258">
        <f>$H24-$BV24</f>
        <v>0</v>
      </c>
      <c r="BC24" s="258">
        <f>I24-BW24</f>
        <v>0</v>
      </c>
      <c r="BD24" s="137">
        <f t="shared" si="12"/>
        <v>0</v>
      </c>
      <c r="BE24" s="137">
        <f t="shared" si="12"/>
        <v>1.5334385413493523E-3</v>
      </c>
      <c r="BF24" s="137">
        <f>_xll.xSPRDOPT($BW24,$BV24,$CG24,0,$BY24,$BX24,$BZ24,$AJ24,1,4)*$CB24</f>
        <v>0.33943732042324293</v>
      </c>
      <c r="BG24" s="137">
        <f>_xll.xSPRDOPT($BW24,$BV24,$CG24,0,$BY24,$BX24,$BZ24,$AJ24,1,3)*$CB24</f>
        <v>0.27568397306773473</v>
      </c>
      <c r="BH24" s="137">
        <f>IF(OR(BF24&lt;&gt;0,BG24&lt;&gt;0),_xll.xSPRDOPT($BW24,$BV24,$CG24,0,$BY24,$BX24,$BZ24,$AJ24,1,12)*$CB24,0)</f>
        <v>-0.3058651449904089</v>
      </c>
      <c r="BI24" s="137">
        <f>_xll.xSPRDOPT($BW24,$BV24,$CG24,2*LN(1+CA24/2),$BY24,$BX24,$BZ24,$AJ24,1,9)</f>
        <v>-2.3360040106642964E-2</v>
      </c>
      <c r="BJ24" s="137">
        <f>_xll.xSPRDOPT($BW24,$BV24,$CG24,0,$BY24,$BX24,$BZ24,$AJ24,1,6)*$CB24</f>
        <v>-6.4803768889422297E-2</v>
      </c>
      <c r="BK24" s="137">
        <f>_xll.xSPRDOPT($BW24,$BV24,$CG24,0,$BY24,$BX24,$BZ24,$AJ24,1,5)*$CB24</f>
        <v>7.9660978439387492E-2</v>
      </c>
      <c r="BL24" s="137">
        <f>_xll.xSPRDOPT(BW24,BV24,CG24,0,BY24,BX24,BZ24,AJ24,1,2)*CB24</f>
        <v>-0.96294739849230926</v>
      </c>
      <c r="BM24" s="137">
        <f>_xll.xSPRDOPT(BW24,BV24,CG24,0,BY24,BX24,BZ24,AJ24,1,1)*CB24</f>
        <v>0.96672313590341841</v>
      </c>
      <c r="BN24" s="137">
        <f>IF(AH24&lt;&gt;0,_xll.xSPRDOPT($BW24,$BV24,$CG24,2*LN(1+CA24/2),$BY24,$BX24,$BZ24,$AJ24,1,8)+(AJ24/365.25)*CH24/AH24,0)</f>
        <v>-0.10037079178426131</v>
      </c>
      <c r="BO24" s="137">
        <f>_xll.xSPRDOPT($BW24,$BV24,$CG24,0,$BY24,$BX24,$BZ24,$AJ24,1,0)</f>
        <v>0.40479169674155041</v>
      </c>
      <c r="BP24" s="137"/>
      <c r="BQ24" s="137"/>
      <c r="BR24" s="137"/>
      <c r="BS24" s="137"/>
      <c r="BV24" s="262">
        <v>3.0769230769230771</v>
      </c>
      <c r="BW24" s="136">
        <v>3.5820000000000003</v>
      </c>
      <c r="BX24" s="137">
        <v>0.79</v>
      </c>
      <c r="BY24" s="137">
        <v>0.83711538163037136</v>
      </c>
      <c r="BZ24" s="137">
        <v>0.99179618014047477</v>
      </c>
      <c r="CA24" s="137">
        <v>1.9273175363903501E-2</v>
      </c>
      <c r="CB24" s="137">
        <v>0.99523258517239033</v>
      </c>
      <c r="CC24" s="258">
        <v>-6.7500000000000004E-2</v>
      </c>
      <c r="CD24" s="258">
        <v>-2.5000000000000001E-3</v>
      </c>
      <c r="CE24" s="258">
        <v>0.6</v>
      </c>
      <c r="CF24" s="258">
        <v>0.08</v>
      </c>
      <c r="CG24" s="258">
        <v>0.10299999999999999</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2.7805</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-6.5000000000000002E-2</v>
      </c>
      <c r="AN25" s="258">
        <f>VLOOKUP($D25,CurveTbl,$AH$4)+VLOOKUP($AG25,$AL$3:$AS$15,6)</f>
        <v>-2.5000000000000001E-3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2.7805</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-0.80654287959166926</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0.81620653578396796</v>
      </c>
      <c r="BP25" s="137"/>
      <c r="BQ25" s="137"/>
      <c r="BR25" s="137"/>
      <c r="BS25" s="137"/>
      <c r="BV25" s="262">
        <v>2.7805</v>
      </c>
      <c r="BW25" s="136">
        <v>3.1929999999999996</v>
      </c>
      <c r="BX25" s="137">
        <v>0.61</v>
      </c>
      <c r="BY25" s="137">
        <v>0.61</v>
      </c>
      <c r="BZ25" s="137">
        <v>0</v>
      </c>
      <c r="CA25" s="137">
        <v>1.9422640119623601E-2</v>
      </c>
      <c r="CB25" s="137">
        <v>0</v>
      </c>
      <c r="CC25" s="258">
        <v>-6.5000000000000002E-2</v>
      </c>
      <c r="CD25" s="258">
        <v>-2.5000000000000001E-3</v>
      </c>
      <c r="CE25" s="258">
        <v>0.34</v>
      </c>
      <c r="CF25" s="258">
        <v>5.0000000000000001E-3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2.7805</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-6.5000000000000002E-2</v>
      </c>
      <c r="AN26" s="258">
        <f>VLOOKUP($D26,CurveTbl,$AH$4)+VLOOKUP($AG26,$AL$3:$AS$15,6)</f>
        <v>-2.5000000000000001E-3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2.7805</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-0.80654287959166926</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0.81620653578396796</v>
      </c>
      <c r="BP26" s="137"/>
      <c r="BQ26" s="137"/>
      <c r="BR26" s="137"/>
      <c r="BS26" s="137"/>
      <c r="BV26" s="262">
        <v>2.7805</v>
      </c>
      <c r="BW26" s="136">
        <v>3.1929999999999996</v>
      </c>
      <c r="BX26" s="137">
        <v>0.61</v>
      </c>
      <c r="BY26" s="137">
        <v>0.61</v>
      </c>
      <c r="BZ26" s="137">
        <v>0</v>
      </c>
      <c r="CA26" s="137">
        <v>1.9422640119623601E-2</v>
      </c>
      <c r="CB26" s="137">
        <v>0</v>
      </c>
      <c r="CC26" s="258">
        <v>-6.5000000000000002E-2</v>
      </c>
      <c r="CD26" s="258">
        <v>-2.5000000000000001E-3</v>
      </c>
      <c r="CE26" s="258">
        <v>0.34</v>
      </c>
      <c r="CF26" s="258">
        <v>5.0000000000000001E-3</v>
      </c>
      <c r="CG26" s="258">
        <v>0</v>
      </c>
      <c r="CH26" s="258">
        <v>0</v>
      </c>
      <c r="CI26" s="258">
        <v>2.8479999999999999</v>
      </c>
      <c r="CJ26" s="258"/>
      <c r="CK26" s="258"/>
      <c r="CL26" s="258"/>
      <c r="CM26" s="258"/>
    </row>
  </sheetData>
  <sheetCalcPr fullCalcOnLoad="1"/>
  <mergeCells count="31">
    <mergeCell ref="BU1:CB1"/>
    <mergeCell ref="L3:M3"/>
    <mergeCell ref="L4:M4"/>
    <mergeCell ref="L5:M5"/>
    <mergeCell ref="F1:G1"/>
    <mergeCell ref="L1:P1"/>
    <mergeCell ref="AE1:AK1"/>
    <mergeCell ref="BA1:BH1"/>
    <mergeCell ref="D10:H10"/>
    <mergeCell ref="L10:M10"/>
    <mergeCell ref="L11:M11"/>
    <mergeCell ref="X11:Y11"/>
    <mergeCell ref="L6:M6"/>
    <mergeCell ref="L7:M7"/>
    <mergeCell ref="L8:M8"/>
    <mergeCell ref="L9:M9"/>
    <mergeCell ref="L16:M16"/>
    <mergeCell ref="L17:M17"/>
    <mergeCell ref="L18:M18"/>
    <mergeCell ref="L19:M19"/>
    <mergeCell ref="L12:M12"/>
    <mergeCell ref="L13:M13"/>
    <mergeCell ref="L14:M14"/>
    <mergeCell ref="L15:M15"/>
    <mergeCell ref="A24:B24"/>
    <mergeCell ref="A25:B25"/>
    <mergeCell ref="A26:B26"/>
    <mergeCell ref="AM20:AN20"/>
    <mergeCell ref="AO20:AP20"/>
    <mergeCell ref="A22:B22"/>
    <mergeCell ref="A23:B2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4321"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4322"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dimension ref="A1:CX26"/>
  <sheetViews>
    <sheetView zoomScale="80" workbookViewId="0">
      <selection activeCell="CI21" sqref="CI21:CI26"/>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8.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f>GetPipeName($AH$12,$AH$13)</f>
        <v>0</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LongTerm106</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106</v>
      </c>
      <c r="F2" s="178" t="str">
        <f>GetRcptPoint($AH$12,$AH$13)</f>
        <v>Tetco/WLA</v>
      </c>
      <c r="G2" s="179" t="str">
        <f>GetDelPoint($AH$12,$AH$13)</f>
        <v>Tetco/M3</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$F$26</v>
      </c>
      <c r="AX2" s="339" t="str">
        <f>ADDRESS(ROW($G$22),COLUMN($G$22))</f>
        <v>$G$22</v>
      </c>
      <c r="AY2" s="138" t="str">
        <f ca="1">GetEnd($AV$1,AX2)</f>
        <v>$G$26</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116</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$AF$26</v>
      </c>
      <c r="AX3" s="339" t="str">
        <f>ADDRESS(ROW($AH$22),COLUMN($AH$22))</f>
        <v>$AH$22</v>
      </c>
      <c r="AY3" s="138" t="str">
        <f ca="1">GetEnd($AV$1,AX3)</f>
        <v>$AH$26</v>
      </c>
    </row>
    <row r="4" spans="1:102" x14ac:dyDescent="0.25">
      <c r="A4" s="269" t="str">
        <f>ADDRESS(ROW($S$22),COLUMN($S$22))</f>
        <v>$S$22</v>
      </c>
      <c r="L4" s="721" t="s">
        <v>201</v>
      </c>
      <c r="M4" s="722"/>
      <c r="N4" s="352">
        <f ca="1">SUMPRODUCT(INDIRECT(CONCATENATE(AV4,":",AW4)),INDIRECT(CONCATENATE($AV$2,":",$AW$2)),INDIRECT(CONCATENATE($AV$3,":",$AW$3)))</f>
        <v>705017.71163167257</v>
      </c>
      <c r="O4" s="352">
        <v>705007.55</v>
      </c>
      <c r="P4" s="354">
        <f ca="1">N4-O4</f>
        <v>10.16163167252671</v>
      </c>
      <c r="S4" s="427" t="s">
        <v>635</v>
      </c>
      <c r="T4" s="422">
        <f ca="1">SUMPRODUCT(INDIRECT(CONCATENATE(V4,":",W4)),INDIRECT(CONCATENATE(AV2,":",AW2)),INDIRECT(CONCATENATE(AV3,":",AW3)))</f>
        <v>702161.66814061289</v>
      </c>
      <c r="V4" s="30" t="str">
        <f>ADDRESS(ROW(K22),COLUMN(K22))</f>
        <v>$K$22</v>
      </c>
      <c r="W4" s="30" t="str">
        <f ca="1">GetEnd($AV$1,V4)</f>
        <v>$K$26</v>
      </c>
      <c r="AF4" s="28"/>
      <c r="AG4" s="103" t="s">
        <v>32</v>
      </c>
      <c r="AH4" s="104">
        <f>GetRcptIndexCol($AH$12,$AH$13)</f>
        <v>117</v>
      </c>
      <c r="AI4" s="29"/>
      <c r="AJ4" s="103" t="s">
        <v>72</v>
      </c>
      <c r="AK4" s="104">
        <f>GetNymexCol(AK3)</f>
        <v>3</v>
      </c>
      <c r="AL4" s="34">
        <v>1</v>
      </c>
      <c r="AM4" s="45">
        <f t="shared" ref="AM4:AM15" si="0">GetVolume($AH$12,$AH$13,AT4)</f>
        <v>12557</v>
      </c>
      <c r="AN4" s="46">
        <f t="shared" ref="AN4:AN15" si="1">GetCommodity($AH$12,$AH$13,AT4)</f>
        <v>0.1061</v>
      </c>
      <c r="AO4" s="47">
        <f t="shared" ref="AO4:AO15" si="2">GetFuelRate($AH$12,$AH$13,AT4)</f>
        <v>8.2299999999999998E-2</v>
      </c>
      <c r="AP4" s="46">
        <f t="shared" ref="AP4:AP15" si="3">GetSurcharge($AH$12,$AH$13,$AT4)</f>
        <v>0</v>
      </c>
      <c r="AQ4" s="46">
        <f t="shared" ref="AQ4:AQ15" si="4">GetRcptIndexAdj($AH$12,$AH$13,$AT4)</f>
        <v>0</v>
      </c>
      <c r="AR4" s="132">
        <f t="shared" ref="AR4:AR15" si="5">GetDelIndexAdj($AH$12,$AH$13,$AT4)</f>
        <v>0</v>
      </c>
      <c r="AS4" s="48">
        <f t="shared" ref="AS4:AS15" si="6">GetDemandRate($AH$12,$AH$13,$AT4)</f>
        <v>0</v>
      </c>
      <c r="AT4" s="35">
        <f t="shared" ref="AT4:AT15" si="7">gettier($AH$12,$AH$13,AL4)</f>
        <v>2</v>
      </c>
      <c r="AV4" s="339" t="str">
        <f>ADDRESS(ROW($Q$22),COLUMN($Q$22))</f>
        <v>$Q$22</v>
      </c>
      <c r="AW4" s="138" t="str">
        <f ca="1">GetEnd($AV$1,AV4)</f>
        <v>$Q$26</v>
      </c>
      <c r="AX4" s="339" t="str">
        <f>ADDRESS(ROW($K$22),COLUMN($K$22))</f>
        <v>$K$22</v>
      </c>
      <c r="AY4" s="138" t="str">
        <f ca="1">GetEnd($AV$1,AX4)</f>
        <v>$K$26</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0</v>
      </c>
      <c r="O5" s="352">
        <v>0</v>
      </c>
      <c r="P5" s="355">
        <f ca="1">N5-O5</f>
        <v>0</v>
      </c>
      <c r="S5" s="428" t="s">
        <v>636</v>
      </c>
      <c r="T5" s="423">
        <f ca="1">SUMPRODUCT(INDIRECT(CONCATENATE(V5,":",W5)),INDIRECT(CONCATENATE(AV2,":",AW2)),INDIRECT(CONCATENATE(AV3,":",AW3)))</f>
        <v>2856.0434910597114</v>
      </c>
      <c r="V5" s="30" t="str">
        <f>ADDRESS(ROW(L22),COLUMN(L22))</f>
        <v>$L$22</v>
      </c>
      <c r="W5" s="30" t="str">
        <f ca="1">GetEnd($AV$1,V5)</f>
        <v>$L$26</v>
      </c>
      <c r="AF5" s="28"/>
      <c r="AG5" s="103" t="s">
        <v>33</v>
      </c>
      <c r="AH5" s="104">
        <f>GetDelBasisCol($AH$12,$AH$13)</f>
        <v>120</v>
      </c>
      <c r="AI5" s="29"/>
      <c r="AJ5" s="103" t="s">
        <v>77</v>
      </c>
      <c r="AK5" s="104" t="str">
        <f>LiborCurve</f>
        <v>Libor AA</v>
      </c>
      <c r="AL5" s="34">
        <v>2</v>
      </c>
      <c r="AM5" s="37">
        <f t="shared" si="0"/>
        <v>12557</v>
      </c>
      <c r="AN5" s="38">
        <f t="shared" si="1"/>
        <v>0.1061</v>
      </c>
      <c r="AO5" s="39">
        <f t="shared" si="2"/>
        <v>8.2299999999999998E-2</v>
      </c>
      <c r="AP5" s="38">
        <f t="shared" si="3"/>
        <v>0</v>
      </c>
      <c r="AQ5" s="38">
        <f t="shared" si="4"/>
        <v>0</v>
      </c>
      <c r="AR5" s="133">
        <f t="shared" si="5"/>
        <v>0</v>
      </c>
      <c r="AS5" s="40">
        <f t="shared" si="6"/>
        <v>0</v>
      </c>
      <c r="AT5" s="35">
        <f t="shared" si="7"/>
        <v>2</v>
      </c>
      <c r="AV5" s="339" t="str">
        <f>ADDRESS(ROW($V$22),COLUMN($V$22))</f>
        <v>$V$22</v>
      </c>
      <c r="AW5" s="138" t="str">
        <f ca="1">GetEnd($AV$1,AV5)</f>
        <v>$V$26</v>
      </c>
      <c r="AX5" s="339" t="str">
        <f>ADDRESS(ROW($L$22),COLUMN($L$22))</f>
        <v>$L$22</v>
      </c>
      <c r="AY5" s="138" t="str">
        <f ca="1">GetEnd($AV$1,AX5)</f>
        <v>$L$26</v>
      </c>
      <c r="BV5" s="266">
        <f>O2</f>
        <v>37239</v>
      </c>
    </row>
    <row r="6" spans="1:102" x14ac:dyDescent="0.25">
      <c r="A6" s="269" t="str">
        <f>ADDRESS(ROW($BW$2),COLUMN($BW$2))</f>
        <v>$BW$2</v>
      </c>
      <c r="F6" s="187"/>
      <c r="G6" s="187"/>
      <c r="L6" s="704" t="s">
        <v>149</v>
      </c>
      <c r="M6" s="705"/>
      <c r="N6" s="356">
        <f ca="1">N4-N5</f>
        <v>705017.71163167257</v>
      </c>
      <c r="O6" s="357">
        <v>705007.55</v>
      </c>
      <c r="P6" s="358">
        <f ca="1">N6-O6</f>
        <v>10.16163167252671</v>
      </c>
      <c r="S6" s="428" t="s">
        <v>637</v>
      </c>
      <c r="T6" s="424">
        <f ca="1">SUMPRODUCT(INDIRECT(CONCATENATE(V6,":",W6)),INDIRECT(CONCATENATE(AV3,":",AW3)),INDIRECT(CONCATENATE(AX3,":",AY3)))</f>
        <v>1126649.265860663</v>
      </c>
      <c r="V6" s="30" t="str">
        <f>ADDRESS(ROW(G22),COLUMN(G22))</f>
        <v>$G$22</v>
      </c>
      <c r="W6" s="30" t="str">
        <f ca="1">GetEnd($AV$1,V6)</f>
        <v>$G$26</v>
      </c>
      <c r="AF6" s="28"/>
      <c r="AG6" s="103" t="s">
        <v>34</v>
      </c>
      <c r="AH6" s="104">
        <f>GetDelIndexCol($AH$12,$AH$13)</f>
        <v>121</v>
      </c>
      <c r="AI6" s="29"/>
      <c r="AJ6" s="103" t="s">
        <v>79</v>
      </c>
      <c r="AK6" s="104">
        <f>GetLiborCol(AK5)</f>
        <v>4</v>
      </c>
      <c r="AL6" s="34">
        <v>3</v>
      </c>
      <c r="AM6" s="37">
        <f t="shared" si="0"/>
        <v>12557</v>
      </c>
      <c r="AN6" s="38">
        <f t="shared" si="1"/>
        <v>0.1061</v>
      </c>
      <c r="AO6" s="39">
        <f t="shared" si="2"/>
        <v>8.2299999999999998E-2</v>
      </c>
      <c r="AP6" s="38">
        <f t="shared" si="3"/>
        <v>0</v>
      </c>
      <c r="AQ6" s="38">
        <f t="shared" si="4"/>
        <v>0</v>
      </c>
      <c r="AR6" s="133">
        <f t="shared" si="5"/>
        <v>0</v>
      </c>
      <c r="AS6" s="40">
        <f t="shared" si="6"/>
        <v>0</v>
      </c>
      <c r="AT6" s="35">
        <f t="shared" si="7"/>
        <v>2</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8618</v>
      </c>
      <c r="P7" s="355">
        <f ca="1">N7</f>
        <v>0</v>
      </c>
      <c r="S7" s="428" t="s">
        <v>638</v>
      </c>
      <c r="T7" s="425">
        <f ca="1">T5/T6</f>
        <v>2.5349889957793918E-3</v>
      </c>
      <c r="AF7" s="28"/>
      <c r="AG7" s="103" t="s">
        <v>76</v>
      </c>
      <c r="AH7" s="104">
        <f>GetRcptOmicronCol($AH$12,$AH$13)</f>
        <v>6</v>
      </c>
      <c r="AI7" s="29"/>
      <c r="AJ7" s="103" t="s">
        <v>80</v>
      </c>
      <c r="AK7" s="104" t="str">
        <f>Configuration!$D$8</f>
        <v>Nymex Vol</v>
      </c>
      <c r="AL7" s="34">
        <v>4</v>
      </c>
      <c r="AM7" s="37">
        <f t="shared" si="0"/>
        <v>0</v>
      </c>
      <c r="AN7" s="38">
        <f t="shared" si="1"/>
        <v>0</v>
      </c>
      <c r="AO7" s="39">
        <f t="shared" si="2"/>
        <v>0</v>
      </c>
      <c r="AP7" s="38">
        <f t="shared" si="3"/>
        <v>0</v>
      </c>
      <c r="AQ7" s="38">
        <f t="shared" si="4"/>
        <v>0</v>
      </c>
      <c r="AR7" s="133">
        <f t="shared" si="5"/>
        <v>0</v>
      </c>
      <c r="AS7" s="40">
        <f t="shared" si="6"/>
        <v>0</v>
      </c>
      <c r="AT7" s="35">
        <f t="shared" si="7"/>
        <v>-1</v>
      </c>
      <c r="AU7" s="361" t="s">
        <v>574</v>
      </c>
      <c r="AV7" s="339" t="str">
        <f>ADDRESS(ROW($AL$22),COLUMN($AL$22))</f>
        <v>$AL$22</v>
      </c>
      <c r="AW7" s="138" t="str">
        <f t="shared" ref="AW7:AW17" ca="1" si="8">GetEnd($AV$1,AV7)</f>
        <v>$AL$26</v>
      </c>
      <c r="AX7" s="339" t="str">
        <f>ADDRESS(ROW($AV$22),COLUMN($AV$22))</f>
        <v>$AV$22</v>
      </c>
      <c r="AY7" s="138" t="str">
        <f t="shared" ref="AY7:AY13" ca="1" si="9">GetEnd($AV$1,AX7)</f>
        <v>$AV$26</v>
      </c>
    </row>
    <row r="8" spans="1:102" x14ac:dyDescent="0.25">
      <c r="A8" s="270" t="s">
        <v>224</v>
      </c>
      <c r="F8" s="186" t="s">
        <v>26</v>
      </c>
      <c r="G8" s="190">
        <f>GetMonthEnd($AH$12,$AH$13)</f>
        <v>37346</v>
      </c>
      <c r="L8" s="706" t="s">
        <v>626</v>
      </c>
      <c r="M8" s="707"/>
      <c r="N8" s="352">
        <f t="array" aca="1" ref="N8" ca="1">SUM(((INDIRECT(AX14)-INDIRECT(AY16))-(INDIRECT(AX15)-INDIRECT(AY14)))*INDIRECT(CONCATENATE(AX2,":",AY2))*INDIRECT(CONCATENATE(AV3,":",AW3))*INDIRECT(CONCATENATE(AX3,":",AY3)))</f>
        <v>0</v>
      </c>
      <c r="O8" s="421">
        <v>117579.36</v>
      </c>
      <c r="P8" s="355">
        <f ca="1">N8</f>
        <v>0</v>
      </c>
      <c r="S8" s="429" t="s">
        <v>639</v>
      </c>
      <c r="T8" s="426">
        <f ca="1">Y8/Z8</f>
        <v>0.9854658439463545</v>
      </c>
      <c r="V8" s="30" t="str">
        <f>ADDRESS(ROW(P22),COLUMN(P22))</f>
        <v>$P$22</v>
      </c>
      <c r="W8" s="30" t="str">
        <f ca="1">GetEnd($AV$1,V8)</f>
        <v>$P$26</v>
      </c>
      <c r="Y8" s="334">
        <f ca="1">SUMIF(INDIRECT(CONCATENATE(V8,":",W8)),"&gt;0",INDIRECT(CONCATENATE(V8,":",W8)))</f>
        <v>2.9563975318390634</v>
      </c>
      <c r="Z8" s="334">
        <f ca="1">COUNTIF(INDIRECT(CONCATENATE(V8,":",W8)),"&gt;0")</f>
        <v>3</v>
      </c>
      <c r="AF8" s="28"/>
      <c r="AG8" s="103" t="s">
        <v>75</v>
      </c>
      <c r="AH8" s="105">
        <f>GetDelOmicronCol($AH$12,$AH$13)</f>
        <v>11</v>
      </c>
      <c r="AI8" s="29"/>
      <c r="AJ8" s="103" t="s">
        <v>81</v>
      </c>
      <c r="AK8" s="104">
        <f>GetNGOmicronCol(AK7)</f>
        <v>5</v>
      </c>
      <c r="AL8" s="34">
        <v>5</v>
      </c>
      <c r="AM8" s="37">
        <f t="shared" si="0"/>
        <v>0</v>
      </c>
      <c r="AN8" s="38">
        <f t="shared" si="1"/>
        <v>0</v>
      </c>
      <c r="AO8" s="39">
        <f t="shared" si="2"/>
        <v>0</v>
      </c>
      <c r="AP8" s="38">
        <f t="shared" si="3"/>
        <v>0</v>
      </c>
      <c r="AQ8" s="38">
        <f t="shared" si="4"/>
        <v>0</v>
      </c>
      <c r="AR8" s="133">
        <f t="shared" si="5"/>
        <v>0</v>
      </c>
      <c r="AS8" s="40">
        <f t="shared" si="6"/>
        <v>0</v>
      </c>
      <c r="AT8" s="35">
        <f t="shared" si="7"/>
        <v>-1</v>
      </c>
      <c r="AU8" s="362" t="s">
        <v>575</v>
      </c>
      <c r="AV8" s="339" t="str">
        <f>ADDRESS(ROW($AM$22),COLUMN($AM$22))</f>
        <v>$AM$22</v>
      </c>
      <c r="AW8" s="138" t="str">
        <f t="shared" ca="1" si="8"/>
        <v>$AM$26</v>
      </c>
      <c r="AX8" s="339" t="str">
        <f>ADDRESS(ROW($AO$22),COLUMN($AO$22))</f>
        <v>$AO$22</v>
      </c>
      <c r="AY8" s="138" t="str">
        <f t="shared" ca="1" si="9"/>
        <v>$AO$26</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20</v>
      </c>
      <c r="AL9" s="34">
        <v>6</v>
      </c>
      <c r="AM9" s="37">
        <f t="shared" si="0"/>
        <v>0</v>
      </c>
      <c r="AN9" s="38">
        <f t="shared" si="1"/>
        <v>0</v>
      </c>
      <c r="AO9" s="39">
        <f t="shared" si="2"/>
        <v>0</v>
      </c>
      <c r="AP9" s="38">
        <f t="shared" si="3"/>
        <v>0</v>
      </c>
      <c r="AQ9" s="38">
        <f t="shared" si="4"/>
        <v>0</v>
      </c>
      <c r="AR9" s="133">
        <f t="shared" si="5"/>
        <v>0</v>
      </c>
      <c r="AS9" s="40">
        <f t="shared" si="6"/>
        <v>0</v>
      </c>
      <c r="AT9" s="35">
        <f t="shared" si="7"/>
        <v>-1</v>
      </c>
      <c r="AU9" s="361" t="s">
        <v>578</v>
      </c>
      <c r="AV9" s="339" t="str">
        <f>ADDRESS(ROW($AN$22),COLUMN($AN$22))</f>
        <v>$AN$22</v>
      </c>
      <c r="AW9" s="138" t="str">
        <f t="shared" ca="1" si="8"/>
        <v>$AN$26</v>
      </c>
      <c r="AX9" s="339" t="str">
        <f>ADDRESS(ROW($AP$22),COLUMN($AP$22))</f>
        <v>$AP$22</v>
      </c>
      <c r="AY9" s="138" t="str">
        <f t="shared" ca="1" si="9"/>
        <v>$AP$26</v>
      </c>
    </row>
    <row r="10" spans="1:102" x14ac:dyDescent="0.25">
      <c r="A10" s="270" t="s">
        <v>224</v>
      </c>
      <c r="D10" s="718" t="s">
        <v>154</v>
      </c>
      <c r="E10" s="719"/>
      <c r="F10" s="719"/>
      <c r="G10" s="719"/>
      <c r="H10" s="720"/>
      <c r="K10" s="29">
        <f>SUMPRODUCT(L22:L23,F22:F23)</f>
        <v>1920.7063766194369</v>
      </c>
      <c r="L10" s="706" t="s">
        <v>628</v>
      </c>
      <c r="M10" s="707"/>
      <c r="N10" s="352">
        <f ca="1">-SUMPRODUCT(INDIRECT(CONCATENATE(AV10,":",AW10)),INDIRECT(CONCATENATE($AX$7,":",$AY$7)),INDIRECT(CONCATENATE($AV$3,":",$AW$3)))</f>
        <v>-282327.12705925625</v>
      </c>
      <c r="O10" s="352">
        <v>-282283.01</v>
      </c>
      <c r="P10" s="355">
        <f t="shared" ref="P10:P19" ca="1" si="10">N10-O10</f>
        <v>-44.117059256241191</v>
      </c>
      <c r="AF10" s="28"/>
      <c r="AG10" s="103" t="s">
        <v>142</v>
      </c>
      <c r="AH10" s="119" t="b">
        <f>GetGRIFactor($AH$12,$AH$13)</f>
        <v>0</v>
      </c>
      <c r="AI10" s="29"/>
      <c r="AJ10" s="29"/>
      <c r="AK10" s="29"/>
      <c r="AL10" s="34">
        <v>7</v>
      </c>
      <c r="AM10" s="37">
        <f t="shared" si="0"/>
        <v>0</v>
      </c>
      <c r="AN10" s="38">
        <f t="shared" si="1"/>
        <v>0</v>
      </c>
      <c r="AO10" s="39">
        <f t="shared" si="2"/>
        <v>0</v>
      </c>
      <c r="AP10" s="38">
        <f t="shared" si="3"/>
        <v>0</v>
      </c>
      <c r="AQ10" s="38">
        <f t="shared" si="4"/>
        <v>0</v>
      </c>
      <c r="AR10" s="133">
        <f t="shared" si="5"/>
        <v>0</v>
      </c>
      <c r="AS10" s="40">
        <f t="shared" si="6"/>
        <v>0</v>
      </c>
      <c r="AT10" s="35">
        <f t="shared" si="7"/>
        <v>-1</v>
      </c>
      <c r="AU10" s="361" t="s">
        <v>577</v>
      </c>
      <c r="AV10" s="339" t="str">
        <f>ADDRESS(ROW($AS$22),COLUMN($AS$22))</f>
        <v>$AS$22</v>
      </c>
      <c r="AW10" s="138" t="str">
        <f t="shared" ca="1" si="8"/>
        <v>$AS$26</v>
      </c>
      <c r="AX10" s="339" t="str">
        <f>ADDRESS(ROW($CC$22),COLUMN($CC$22))</f>
        <v>$CC$22</v>
      </c>
      <c r="AY10" s="138" t="str">
        <f t="shared" ca="1" si="9"/>
        <v>$CC$26</v>
      </c>
    </row>
    <row r="11" spans="1:102" x14ac:dyDescent="0.25">
      <c r="A11" s="270" t="s">
        <v>224</v>
      </c>
      <c r="D11" s="166" t="str">
        <f>IF(ISERROR($AH$13),"Check Contract Index to make sure it is valid","")</f>
        <v/>
      </c>
      <c r="E11" s="167"/>
      <c r="F11" s="168"/>
      <c r="G11" s="168"/>
      <c r="H11" s="169"/>
      <c r="K11" s="29">
        <f>SUMPRODUCT(K22:K23,F22:F23)</f>
        <v>542632.44718132401</v>
      </c>
      <c r="L11" s="704" t="s">
        <v>629</v>
      </c>
      <c r="M11" s="705"/>
      <c r="N11" s="356">
        <f ca="1">-SUMPRODUCT(INDIRECT(CONCATENATE(AV11,":",AW11)),INDIRECT(CONCATENATE($AV$2,":",$AW$2)),INDIRECT(CONCATENATE($AV$3,":",$AW$3)),INDIRECT(CONCATENATE(AX3,":",AY3)))</f>
        <v>-119906.79300000001</v>
      </c>
      <c r="O11" s="357">
        <v>-119906.79</v>
      </c>
      <c r="P11" s="358">
        <f t="shared" ca="1" si="10"/>
        <v>-3.0000000115251169E-3</v>
      </c>
      <c r="X11" s="734" t="s">
        <v>759</v>
      </c>
      <c r="Y11" s="735"/>
      <c r="AL11" s="34">
        <v>8</v>
      </c>
      <c r="AM11" s="37">
        <f t="shared" si="0"/>
        <v>0</v>
      </c>
      <c r="AN11" s="38">
        <f t="shared" si="1"/>
        <v>0</v>
      </c>
      <c r="AO11" s="39">
        <f t="shared" si="2"/>
        <v>0</v>
      </c>
      <c r="AP11" s="38">
        <f t="shared" si="3"/>
        <v>0</v>
      </c>
      <c r="AQ11" s="38">
        <f t="shared" si="4"/>
        <v>0</v>
      </c>
      <c r="AR11" s="133">
        <f t="shared" si="5"/>
        <v>0</v>
      </c>
      <c r="AS11" s="40">
        <f t="shared" si="6"/>
        <v>0</v>
      </c>
      <c r="AT11" s="35">
        <f t="shared" si="7"/>
        <v>-1</v>
      </c>
      <c r="AU11" s="361" t="s">
        <v>579</v>
      </c>
      <c r="AV11" s="339" t="str">
        <f>ADDRESS(ROW($AQ$22),COLUMN($AQ$22))</f>
        <v>$AQ$22</v>
      </c>
      <c r="AW11" s="138" t="str">
        <f t="shared" ca="1" si="8"/>
        <v>$AQ$26</v>
      </c>
      <c r="AX11" s="339" t="str">
        <f>ADDRESS(ROW($CD$22),COLUMN($CD$22))</f>
        <v>$CD$22</v>
      </c>
      <c r="AY11" s="138" t="str">
        <f t="shared" ca="1" si="9"/>
        <v>$CD$26</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1">SUM(INDIRECT(CONCATENATE(AV12,":",AW12)))</f>
        <v>0</v>
      </c>
      <c r="O12" s="352">
        <v>104791.15</v>
      </c>
      <c r="P12" s="355">
        <f t="shared" ca="1" si="10"/>
        <v>-104791.15</v>
      </c>
      <c r="X12" s="498" t="s">
        <v>760</v>
      </c>
      <c r="Y12" s="499">
        <v>0</v>
      </c>
      <c r="AG12" s="248" t="s">
        <v>185</v>
      </c>
      <c r="AH12" s="119" t="str">
        <f>GetDBPage($D$2)</f>
        <v>Contract DB (East)</v>
      </c>
      <c r="AL12" s="34">
        <v>9</v>
      </c>
      <c r="AM12" s="37">
        <f t="shared" si="0"/>
        <v>0</v>
      </c>
      <c r="AN12" s="38">
        <f t="shared" si="1"/>
        <v>0</v>
      </c>
      <c r="AO12" s="39">
        <f t="shared" si="2"/>
        <v>0</v>
      </c>
      <c r="AP12" s="38">
        <f t="shared" si="3"/>
        <v>0</v>
      </c>
      <c r="AQ12" s="38">
        <f t="shared" si="4"/>
        <v>0</v>
      </c>
      <c r="AR12" s="133">
        <f t="shared" si="5"/>
        <v>0</v>
      </c>
      <c r="AS12" s="40">
        <f t="shared" si="6"/>
        <v>0</v>
      </c>
      <c r="AT12" s="35">
        <f t="shared" si="7"/>
        <v>-1</v>
      </c>
      <c r="AU12" s="361" t="s">
        <v>271</v>
      </c>
      <c r="AV12" s="339" t="str">
        <f>ADDRESS(ROW($X$22),COLUMN($X$22))</f>
        <v>$X$22</v>
      </c>
      <c r="AW12" s="138" t="str">
        <f t="shared" ca="1" si="8"/>
        <v>$X$26</v>
      </c>
      <c r="AX12" s="339" t="str">
        <f>ADDRESS(ROW($CE$22),COLUMN($CE$22))</f>
        <v>$CE$22</v>
      </c>
      <c r="AY12" s="138" t="str">
        <f t="shared" ca="1" si="9"/>
        <v>$CE$26</v>
      </c>
    </row>
    <row r="13" spans="1:102" x14ac:dyDescent="0.25">
      <c r="A13" s="270" t="s">
        <v>224</v>
      </c>
      <c r="D13" s="170"/>
      <c r="E13" s="171"/>
      <c r="F13" s="172"/>
      <c r="G13" s="172"/>
      <c r="H13" s="173"/>
      <c r="L13" s="706" t="s">
        <v>155</v>
      </c>
      <c r="M13" s="707"/>
      <c r="N13" s="352">
        <f t="shared" ca="1" si="11"/>
        <v>0</v>
      </c>
      <c r="O13" s="352">
        <v>1482.62</v>
      </c>
      <c r="P13" s="355">
        <f t="shared" ca="1" si="10"/>
        <v>-1482.62</v>
      </c>
      <c r="X13" s="498" t="s">
        <v>761</v>
      </c>
      <c r="AG13" s="248" t="s">
        <v>186</v>
      </c>
      <c r="AH13" s="119">
        <f>GetRecNdx($AH$12,$D$2)</f>
        <v>22</v>
      </c>
      <c r="AL13" s="34">
        <v>10</v>
      </c>
      <c r="AM13" s="37">
        <f t="shared" si="0"/>
        <v>0</v>
      </c>
      <c r="AN13" s="38">
        <f t="shared" si="1"/>
        <v>0</v>
      </c>
      <c r="AO13" s="39">
        <f t="shared" si="2"/>
        <v>0</v>
      </c>
      <c r="AP13" s="38">
        <f t="shared" si="3"/>
        <v>0</v>
      </c>
      <c r="AQ13" s="38">
        <f t="shared" si="4"/>
        <v>0</v>
      </c>
      <c r="AR13" s="133">
        <f t="shared" si="5"/>
        <v>0</v>
      </c>
      <c r="AS13" s="40">
        <f t="shared" si="6"/>
        <v>0</v>
      </c>
      <c r="AT13" s="35">
        <f t="shared" si="7"/>
        <v>-1</v>
      </c>
      <c r="AU13" s="361" t="s">
        <v>155</v>
      </c>
      <c r="AV13" s="339" t="str">
        <f>ADDRESS(ROW($Y$22),COLUMN($Y$22))</f>
        <v>$Y$22</v>
      </c>
      <c r="AW13" s="138" t="str">
        <f t="shared" ca="1" si="8"/>
        <v>$Y$26</v>
      </c>
      <c r="AX13" s="339" t="str">
        <f>ADDRESS(ROW($CF$22),COLUMN($CF$22))</f>
        <v>$CF$22</v>
      </c>
      <c r="AY13" s="138" t="str">
        <f t="shared" ca="1" si="9"/>
        <v>$CF$26</v>
      </c>
    </row>
    <row r="14" spans="1:102" x14ac:dyDescent="0.25">
      <c r="A14" s="270" t="s">
        <v>224</v>
      </c>
      <c r="D14" s="170"/>
      <c r="E14" s="171"/>
      <c r="F14" s="172"/>
      <c r="G14" s="172"/>
      <c r="H14" s="173"/>
      <c r="K14" s="185"/>
      <c r="L14" s="706" t="s">
        <v>156</v>
      </c>
      <c r="M14" s="707"/>
      <c r="N14" s="352">
        <f t="shared" ca="1" si="11"/>
        <v>-444.79522752650871</v>
      </c>
      <c r="O14" s="352">
        <v>-235.07</v>
      </c>
      <c r="P14" s="355">
        <f t="shared" ca="1" si="10"/>
        <v>-209.72522752650872</v>
      </c>
      <c r="S14" s="181">
        <f>F22/(1-AR22)*AH22*AU22</f>
        <v>423548.14869778161</v>
      </c>
      <c r="T14" s="181">
        <f>F22*AH22*AU22</f>
        <v>388690.13605995418</v>
      </c>
      <c r="X14" s="500" t="s">
        <v>762</v>
      </c>
      <c r="Y14" s="501" t="s">
        <v>763</v>
      </c>
      <c r="AL14" s="34">
        <v>11</v>
      </c>
      <c r="AM14" s="37">
        <f t="shared" si="0"/>
        <v>12557</v>
      </c>
      <c r="AN14" s="38">
        <f t="shared" si="1"/>
        <v>0.1061</v>
      </c>
      <c r="AO14" s="39">
        <f t="shared" si="2"/>
        <v>8.2299999999999998E-2</v>
      </c>
      <c r="AP14" s="38">
        <f t="shared" si="3"/>
        <v>0</v>
      </c>
      <c r="AQ14" s="38">
        <f t="shared" si="4"/>
        <v>0</v>
      </c>
      <c r="AR14" s="133">
        <f t="shared" si="5"/>
        <v>0</v>
      </c>
      <c r="AS14" s="40">
        <f t="shared" si="6"/>
        <v>0</v>
      </c>
      <c r="AT14" s="35">
        <f t="shared" si="7"/>
        <v>1</v>
      </c>
      <c r="AU14" s="361" t="s">
        <v>156</v>
      </c>
      <c r="AV14" s="339" t="str">
        <f>ADDRESS(ROW($Z$22),COLUMN($Z$22))</f>
        <v>$Z$22</v>
      </c>
      <c r="AW14" s="138" t="str">
        <f t="shared" ca="1" si="8"/>
        <v>$Z$26</v>
      </c>
      <c r="AX14" s="353" t="str">
        <f ca="1">CONCATENATE(AX8,":",AY8)</f>
        <v>$AO$22:$AO$26</v>
      </c>
      <c r="AY14" s="353" t="str">
        <f ca="1">CONCATENATE(AX10,":",AY10)</f>
        <v>$CC$22:$CC$26</v>
      </c>
    </row>
    <row r="15" spans="1:102" ht="13.8" thickBot="1" x14ac:dyDescent="0.3">
      <c r="A15" s="270" t="s">
        <v>224</v>
      </c>
      <c r="D15" s="170"/>
      <c r="E15" s="171"/>
      <c r="F15" s="172"/>
      <c r="G15" s="172"/>
      <c r="H15" s="173"/>
      <c r="L15" s="706" t="s">
        <v>157</v>
      </c>
      <c r="M15" s="707"/>
      <c r="N15" s="352">
        <f t="shared" ca="1" si="11"/>
        <v>507.92527028982147</v>
      </c>
      <c r="O15" s="352">
        <v>253.84</v>
      </c>
      <c r="P15" s="355">
        <f t="shared" ca="1" si="10"/>
        <v>254.08527028982147</v>
      </c>
      <c r="X15" s="502">
        <v>2001</v>
      </c>
      <c r="Y15" s="503">
        <v>0</v>
      </c>
      <c r="AL15" s="34">
        <v>12</v>
      </c>
      <c r="AM15" s="41">
        <f t="shared" si="0"/>
        <v>12557</v>
      </c>
      <c r="AN15" s="42">
        <f t="shared" si="1"/>
        <v>0.1061</v>
      </c>
      <c r="AO15" s="43">
        <f t="shared" si="2"/>
        <v>8.2299999999999998E-2</v>
      </c>
      <c r="AP15" s="42">
        <f t="shared" si="3"/>
        <v>0</v>
      </c>
      <c r="AQ15" s="42">
        <f t="shared" si="4"/>
        <v>0</v>
      </c>
      <c r="AR15" s="134">
        <f t="shared" si="5"/>
        <v>0</v>
      </c>
      <c r="AS15" s="44">
        <f t="shared" si="6"/>
        <v>0</v>
      </c>
      <c r="AT15" s="35">
        <f t="shared" si="7"/>
        <v>2</v>
      </c>
      <c r="AU15" s="363" t="s">
        <v>157</v>
      </c>
      <c r="AV15" s="339" t="str">
        <f>ADDRESS(ROW($AA$22),COLUMN($AA$22))</f>
        <v>$AA$22</v>
      </c>
      <c r="AW15" s="138" t="str">
        <f t="shared" ca="1" si="8"/>
        <v>$AA$26</v>
      </c>
      <c r="AX15" s="353" t="str">
        <f ca="1">CONCATENATE(AV8,":",AW8)</f>
        <v>$AM$22:$AM$26</v>
      </c>
      <c r="AY15" s="353" t="str">
        <f ca="1">CONCATENATE(AX11,":",AY11)</f>
        <v>$CD$22:$CD$26</v>
      </c>
    </row>
    <row r="16" spans="1:102" x14ac:dyDescent="0.25">
      <c r="D16" s="174"/>
      <c r="E16" s="175"/>
      <c r="F16" s="176"/>
      <c r="G16" s="176"/>
      <c r="H16" s="177"/>
      <c r="L16" s="706" t="s">
        <v>158</v>
      </c>
      <c r="M16" s="707"/>
      <c r="N16" s="352">
        <f t="shared" ca="1" si="11"/>
        <v>0</v>
      </c>
      <c r="O16" s="352">
        <v>-11.51</v>
      </c>
      <c r="P16" s="355">
        <f t="shared" ca="1" si="10"/>
        <v>11.51</v>
      </c>
      <c r="X16" s="502">
        <v>2002</v>
      </c>
      <c r="Y16" s="503">
        <v>0</v>
      </c>
      <c r="AU16" s="361" t="s">
        <v>158</v>
      </c>
      <c r="AV16" s="339" t="str">
        <f>ADDRESS(ROW($AB$22),COLUMN($AB$22))</f>
        <v>$AB$22</v>
      </c>
      <c r="AW16" s="138" t="str">
        <f t="shared" ca="1" si="8"/>
        <v>$AB$26</v>
      </c>
      <c r="AX16" s="353" t="str">
        <f ca="1">CONCATENATE(AX9,":",AY9)</f>
        <v>$AP$22:$AP$26</v>
      </c>
      <c r="AY16" s="353" t="str">
        <f ca="1">CONCATENATE(AX12,":",AY12)</f>
        <v>$CE$22:$CE$26</v>
      </c>
    </row>
    <row r="17" spans="1:91" x14ac:dyDescent="0.25">
      <c r="D17" s="171"/>
      <c r="E17" s="171"/>
      <c r="F17" s="172"/>
      <c r="G17" s="172"/>
      <c r="H17" s="172"/>
      <c r="L17" s="704" t="s">
        <v>211</v>
      </c>
      <c r="M17" s="705"/>
      <c r="N17" s="356">
        <f t="shared" ca="1" si="11"/>
        <v>110.51849931826784</v>
      </c>
      <c r="O17" s="357">
        <v>31.15</v>
      </c>
      <c r="P17" s="358">
        <f t="shared" ca="1" si="10"/>
        <v>79.368499318267851</v>
      </c>
      <c r="X17" s="504">
        <v>2003</v>
      </c>
      <c r="Y17" s="505">
        <v>0</v>
      </c>
      <c r="AU17" s="361" t="s">
        <v>211</v>
      </c>
      <c r="AV17" s="339" t="str">
        <f>ADDRESS(ROW($AC$22),COLUMN($AC$22))</f>
        <v>$AC$22</v>
      </c>
      <c r="AW17" s="138" t="str">
        <f t="shared" ca="1" si="8"/>
        <v>$AC$26</v>
      </c>
      <c r="AX17" s="353" t="str">
        <f ca="1">CONCATENATE(AV9,":",AW9)</f>
        <v>$AN$22:$AN$26</v>
      </c>
      <c r="AY17" s="353" t="str">
        <f ca="1">CONCATENATE(AX13,":",AY13)</f>
        <v>$CF$22:$CF$26</v>
      </c>
    </row>
    <row r="18" spans="1:91" x14ac:dyDescent="0.25">
      <c r="D18" s="171"/>
      <c r="E18" s="171"/>
      <c r="F18" s="172"/>
      <c r="G18" s="172"/>
      <c r="H18" s="172"/>
      <c r="L18" s="706" t="s">
        <v>623</v>
      </c>
      <c r="M18" s="707"/>
      <c r="N18" s="352">
        <f ca="1">SUMPRODUCT(INDIRECT(CONCATENATE(AX4,":",AY4)),INDIRECT(CONCATENATE($AV$2,":",$AW$2)),INDIRECT(CONCATENATE($AV$3,":",$AW$3)))</f>
        <v>702161.66814061289</v>
      </c>
      <c r="O18" s="352">
        <v>702052.13</v>
      </c>
      <c r="P18" s="355">
        <f t="shared" ca="1" si="10"/>
        <v>109.53814061288722</v>
      </c>
      <c r="AU18" s="361"/>
      <c r="AV18" s="339"/>
      <c r="AW18" s="138"/>
      <c r="AX18" s="339" t="str">
        <f>ADDRESS(ROW($CI$22),COLUMN($CI$22))</f>
        <v>$CI$22</v>
      </c>
      <c r="AY18" s="138" t="str">
        <f ca="1">GetEnd($AV$1,AX18)</f>
        <v>$CI$26</v>
      </c>
    </row>
    <row r="19" spans="1:91" x14ac:dyDescent="0.25">
      <c r="D19" s="171"/>
      <c r="E19" s="171"/>
      <c r="F19" s="172"/>
      <c r="G19" s="172"/>
      <c r="H19" s="172"/>
      <c r="L19" s="724" t="s">
        <v>624</v>
      </c>
      <c r="M19" s="725"/>
      <c r="N19" s="359">
        <f ca="1">SUMPRODUCT(INDIRECT(CONCATENATE(AX5,":",AY5)),INDIRECT(CONCATENATE($AV$2,":",$AW$2)),INDIRECT(CONCATENATE($AV$3,":",$AW$3)))</f>
        <v>2856.0434910597114</v>
      </c>
      <c r="O19" s="359">
        <v>2955.43</v>
      </c>
      <c r="P19" s="360">
        <f t="shared" ca="1" si="10"/>
        <v>-99.386508940288422</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IF-TETCO/WLA Basis Mid</v>
      </c>
      <c r="T20" s="182" t="str">
        <f>GetDelBasis($AH$12,$AH$13)</f>
        <v>IF-TETCO/M3 Basis Mid</v>
      </c>
      <c r="U20" s="158"/>
      <c r="V20" s="158"/>
      <c r="W20" s="158"/>
      <c r="X20" s="158"/>
      <c r="Y20" s="335"/>
      <c r="Z20" s="335"/>
      <c r="AA20" s="335"/>
      <c r="AB20" s="335"/>
      <c r="AC20" s="335"/>
      <c r="AI20" s="138"/>
      <c r="AM20" s="702" t="str">
        <f>GetRcptPoint($AH$12,$AH$13)</f>
        <v>Tetco/WLA</v>
      </c>
      <c r="AN20" s="703"/>
      <c r="AO20" s="702" t="str">
        <f>GetDelPoint($AH$12,$AH$13)</f>
        <v>Tetco/M3</v>
      </c>
      <c r="AP20" s="703"/>
      <c r="AQ20" s="137"/>
      <c r="AS20" s="137"/>
      <c r="AU20" s="136" t="s">
        <v>576</v>
      </c>
      <c r="AV20" s="353">
        <f ca="1">SUMPRODUCT(INDIRECT(CONCATENATE(AV8,":",AW8)),INDIRECT(CONCATENATE($AV$2,":",$AW$2)),INDIRECT(CONCATENATE($AV$3,":",$AW$3)),INDIRECT(CONCATENATE(AX3,":",AY3)))</f>
        <v>-101711.7</v>
      </c>
      <c r="AW20" s="353">
        <f ca="1">SUMPRODUCT(INDIRECT(CONCATENATE(AX8,":",AY8)),INDIRECT(CONCATENATE($AV$2,":",$AW$2)),INDIRECT(CONCATENATE($AV$3,":",$AW$3)),INDIRECT(CONCATENATE(AX3,":",AY3)))</f>
        <v>885519.6399999999</v>
      </c>
      <c r="AX20" s="353">
        <f ca="1">SUMPRODUCT(INDIRECT(CONCATENATE(AV9,":",AW9)),INDIRECT(CONCATENATE($AV$2,":",$AW$2)),INDIRECT(CONCATENATE($AV$3,":",$AW$3)),INDIRECT(CONCATENATE(AX3,":",AY3)))</f>
        <v>0</v>
      </c>
      <c r="AY20" s="353">
        <f ca="1">SUMPRODUCT(INDIRECT(CONCATENATE(AX9,":",AY9)),INDIRECT(CONCATENATE($AV$2,":",$AW$2)),INDIRECT(CONCATENATE($AV$3,":",$AW$3)),INDIRECT(CONCATENATE(AX3,":",AY3)))</f>
        <v>120044.92</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VLOOKUP(AG22,$AL$4:$AS$15,2)</f>
        <v>12557</v>
      </c>
      <c r="G22" s="28">
        <f>F22*$AU22</f>
        <v>12538.391485804972</v>
      </c>
      <c r="H22" s="52">
        <f>(AL22+AM22+AN22)/(1-(AR22))</f>
        <v>3.0031600740982896</v>
      </c>
      <c r="I22" s="52">
        <f>(AL22+AO22+AP22)</f>
        <v>3.8460000000000001</v>
      </c>
      <c r="K22" s="52">
        <f>MAX(((I22-H22)-AQ22)*AU22*AH22,0)</f>
        <v>22.805092142990876</v>
      </c>
      <c r="L22" s="135">
        <f>MAX(Q22-K22,0)</f>
        <v>7.4760008799891864E-2</v>
      </c>
      <c r="N22" s="131">
        <f>SQRT(($AX22^2*($AH22/2)+$AW22^2*$AI22)/(($AH22/2)+$AI22))</f>
        <v>0.96016221307122684</v>
      </c>
      <c r="O22" s="131">
        <f>SQRT(($AY22^2*($AH22/2)+$AW22^2*$AI22)/(($AH22/2)+$AI22))</f>
        <v>1.2249463019344771</v>
      </c>
      <c r="P22" s="55">
        <f>(VLOOKUP(AI22,CorrelationTwo,2)*(AW22^2)*AI22+VLOOKUP(D22,CorrelationOne,$AK$9)*AX22*AY22*(AH22/2))/((AI22+(AH22/2))*O22*N22)*AF22</f>
        <v>0.9828915368670702</v>
      </c>
      <c r="Q22" s="135">
        <f>_xll.xSPRDOPT(I22,H22,AQ22,0,O22,N22,P22,D22-$G$5,1,0)*AH22*AU22</f>
        <v>22.879852151790768</v>
      </c>
      <c r="R22" s="135"/>
      <c r="S22" s="181">
        <f>_xll.xSPRDOPT(I22,H22,AQ22,AT22,O22,N22,P22,D22-$G$5,1,2)*AF22*(F22/(1-AR22))*AH22</f>
        <v>-414940.26628880773</v>
      </c>
      <c r="T22" s="181">
        <f>_xll.xSPRDOPT(I22,H22,AQ22,AT22,O22,N22,P22,D22-$G$5,1,1)*AF22*F22*AH22</f>
        <v>382407.03360966226</v>
      </c>
      <c r="U22" s="135"/>
      <c r="V22" s="146">
        <f>($Y$12+VLOOKUP(YEAR(D22),$X$15:$Y$17,2,FALSE))*AH22*AU22</f>
        <v>0</v>
      </c>
      <c r="W22" s="146"/>
      <c r="X22" s="338">
        <f>((BM22*BC22)+(BL22*BB22))*AH22*F22</f>
        <v>0</v>
      </c>
      <c r="Y22" s="338">
        <f>($F22*$AH22)*((($BG22/2)*($BC22)^2)+(($BF22/2)*($BB22)^2)+($BH22*$BC22*$BB22))</f>
        <v>0</v>
      </c>
      <c r="Z22" s="338">
        <f>($BI22*$F22*$AH22*($G$5-$BV$5))/365.25</f>
        <v>-263.40224206813849</v>
      </c>
      <c r="AA22" s="338">
        <f>(($BK22*$BE22)+($BJ22*$BD22))*$F22*$AH22*$AF22</f>
        <v>340.50551204943594</v>
      </c>
      <c r="AB22" s="338">
        <f>BN22*(AT22-CA22)*F22*AH22</f>
        <v>0</v>
      </c>
      <c r="AC22" s="338">
        <f>BO22*CB22*F22*AH22*CA22*($G$5-$BV$5)/365.25</f>
        <v>44.284569134586292</v>
      </c>
      <c r="AF22" s="138">
        <f>IF(AND(D22&gt;=$G$7,D22&lt;=$G$8),1,0)</f>
        <v>1</v>
      </c>
      <c r="AG22" s="138">
        <f>MONTH(D22)</f>
        <v>1</v>
      </c>
      <c r="AH22" s="138">
        <f>(EOMONTH(D22,0)-EOMONTH(D22-DAY(D22),0))*AF22</f>
        <v>31</v>
      </c>
      <c r="AI22" s="138">
        <f>MAX(0,(D22-DAY(D22))-$G$5+1)</f>
        <v>15</v>
      </c>
      <c r="AJ22" s="138">
        <f>D22-$BV$5</f>
        <v>32</v>
      </c>
      <c r="AL22" s="136">
        <f>VLOOKUP($D22,CurveTbl,$AK$4)</f>
        <v>2.8460000000000001</v>
      </c>
      <c r="AM22" s="258">
        <f>VLOOKUP($D22,CurveTbl,$AH$3)</f>
        <v>-0.09</v>
      </c>
      <c r="AN22" s="258">
        <f>VLOOKUP($D22,CurveTbl,$AH$4)+VLOOKUP($AG22,$AL$3:$AS$15,6)</f>
        <v>0</v>
      </c>
      <c r="AO22" s="258">
        <f>VLOOKUP($D22,CurveTbl,$AH$5)</f>
        <v>0.88</v>
      </c>
      <c r="AP22" s="258">
        <f>VLOOKUP($D22,CurveTbl,$AH$6)+VLOOKUP($AG22,$AL$3:$AS$15,7)</f>
        <v>0.12</v>
      </c>
      <c r="AQ22" s="136">
        <f>VLOOKUP($AG22,$AL$4:$AS$15,3)+VLOOKUP($AG22,$AL$4:$AS$15,5)+($AH$10*VLOOKUP(D22,GRITable,2))</f>
        <v>0.1061</v>
      </c>
      <c r="AR22" s="137">
        <f>VLOOKUP($AG22,$AL$4:$AS$15,4)</f>
        <v>8.2299999999999998E-2</v>
      </c>
      <c r="AS22" s="136">
        <f>(AL22+AM22+AN22)</f>
        <v>2.7560000000000002</v>
      </c>
      <c r="AT22" s="137">
        <f>VLOOKUP(D22,CurveTbl,$AK$6)</f>
        <v>1.8765908157160699E-2</v>
      </c>
      <c r="AU22" s="137">
        <f>(1+$AT22/2)^(-2*($D22-$G$5)/365.25)*$AF22</f>
        <v>0.99851807643585033</v>
      </c>
      <c r="AV22" s="394">
        <f>ROUND((F22/(1-AR22))-F22,0)*AF22*AH22*AU22</f>
        <v>34854.271976069795</v>
      </c>
      <c r="AW22" s="137">
        <f>VLOOKUP($D22,CurveTbl,$AK$8)</f>
        <v>0.87</v>
      </c>
      <c r="AX22" s="137">
        <f>VLOOKUP($D22,CurveTbl,$AH$7)</f>
        <v>1.04</v>
      </c>
      <c r="AY22" s="137">
        <f>VLOOKUP($D22,CurveTbl,$AH$8)</f>
        <v>1.49</v>
      </c>
      <c r="AZ22" s="137"/>
      <c r="BA22" s="264"/>
      <c r="BB22" s="258">
        <f>$H22-$BV22</f>
        <v>0</v>
      </c>
      <c r="BC22" s="258">
        <f>I22-BW22</f>
        <v>0</v>
      </c>
      <c r="BD22" s="137">
        <f t="shared" ref="BD22:BE26" si="12">N22-BX22</f>
        <v>7.7262160833929672E-3</v>
      </c>
      <c r="BE22" s="137">
        <f t="shared" si="12"/>
        <v>2.7489419589802999E-2</v>
      </c>
      <c r="BF22" s="137">
        <f>_xll.xSPRDOPT($BW22,$BV22,$CG22,0,$BY22,$BX22,$BZ22,$AJ22,1,4)*$CB22</f>
        <v>0.15288193886834606</v>
      </c>
      <c r="BG22" s="137">
        <f>_xll.xSPRDOPT($BW22,$BV22,$CG22,0,$BY22,$BX22,$BZ22,$AJ22,1,3)*$CB22</f>
        <v>0.10341509952459907</v>
      </c>
      <c r="BH22" s="137">
        <f>IF(OR(BF22&lt;&gt;0,BG22&lt;&gt;0),_xll.xSPRDOPT($BW22,$BV22,$CG22,0,$BY22,$BX22,$BZ22,$AJ22,1,12)*$CB22,0)</f>
        <v>-0.12573350824105226</v>
      </c>
      <c r="BI22" s="137">
        <f>_xll.xSPRDOPT($BW22,$BV22,$CG22,2*LN(1+CA22/2),$BY22,$BX22,$BZ22,$AJ22,1,9)</f>
        <v>-8.238361580045539E-2</v>
      </c>
      <c r="BJ22" s="137">
        <f>_xll.xSPRDOPT($BW22,$BV22,$CG22,0,$BY22,$BX22,$BZ22,$AJ22,1,6)*$CB22</f>
        <v>-3.4508377732249108E-2</v>
      </c>
      <c r="BK22" s="137">
        <f>_xll.xSPRDOPT($BW22,$BV22,$CG22,0,$BY22,$BX22,$BZ22,$AJ22,1,5)*$CB22</f>
        <v>4.1519766879025539E-2</v>
      </c>
      <c r="BL22" s="137">
        <f>_xll.xSPRDOPT(BW22,BV22,CG22,0,BY22,BX22,BZ22,AJ22,1,2)*CB22</f>
        <v>-0.97722463132699877</v>
      </c>
      <c r="BM22" s="137">
        <f>_xll.xSPRDOPT(BW22,BV22,CG22,0,BY22,BX22,BZ22,AJ22,1,1)*CB22</f>
        <v>0.98156004062562796</v>
      </c>
      <c r="BN22" s="137">
        <f>IF(AH22&lt;&gt;0,_xll.xSPRDOPT($BW22,$BV22,$CG22,2*LN(1+CA22/2),$BY22,$BX22,$BZ22,$AJ22,1,8)+(AJ22/365.25)*CH22/AH22,0)</f>
        <v>-6.4664209465211259E-2</v>
      </c>
      <c r="BO22" s="137">
        <f>_xll.xSPRDOPT($BW22,$BV22,$CG22,0,$BY22,$BX22,$BZ22,$AJ22,1,0)</f>
        <v>0.73929014210705446</v>
      </c>
      <c r="BP22" s="137"/>
      <c r="BQ22" s="137"/>
      <c r="BR22" s="137"/>
      <c r="BS22" s="137"/>
      <c r="BV22" s="262">
        <v>3.0031600740982896</v>
      </c>
      <c r="BW22" s="136">
        <v>3.8460000000000001</v>
      </c>
      <c r="BX22" s="137">
        <v>0.95243599698783388</v>
      </c>
      <c r="BY22" s="137">
        <v>1.1974568823446741</v>
      </c>
      <c r="BZ22" s="137">
        <v>0.98167794465529856</v>
      </c>
      <c r="CA22" s="137">
        <v>1.8765908157160699E-2</v>
      </c>
      <c r="CB22" s="137">
        <v>0.99836489939579565</v>
      </c>
      <c r="CC22" s="258">
        <v>-0.09</v>
      </c>
      <c r="CD22" s="258">
        <v>0</v>
      </c>
      <c r="CE22" s="258">
        <v>0.88</v>
      </c>
      <c r="CF22" s="258">
        <v>0.12</v>
      </c>
      <c r="CG22" s="258">
        <v>0.1061</v>
      </c>
      <c r="CH22" s="258">
        <v>0</v>
      </c>
      <c r="CI22" s="258">
        <v>2.8460000000000001</v>
      </c>
      <c r="CJ22" s="258"/>
      <c r="CK22" s="258"/>
      <c r="CL22" s="258"/>
      <c r="CM22" s="258"/>
    </row>
    <row r="23" spans="1:91" x14ac:dyDescent="0.25">
      <c r="A23" s="723"/>
      <c r="B23" s="723"/>
      <c r="D23" s="31">
        <f>D22+AH22</f>
        <v>37302</v>
      </c>
      <c r="F23" s="28">
        <f>VLOOKUP(AG23,$AL$4:$AS$15,2)</f>
        <v>12557</v>
      </c>
      <c r="G23" s="28">
        <f>F23*$AU23</f>
        <v>12517.388864233255</v>
      </c>
      <c r="H23" s="52">
        <f>(AL23+AM23+AN23)/(1-(AR23))</f>
        <v>3.0707202789582655</v>
      </c>
      <c r="I23" s="52">
        <f>(AL23+AO23+AP23)</f>
        <v>3.9079999999999999</v>
      </c>
      <c r="K23" s="52">
        <f>MAX(((I23-H23)-AQ23)*AU23*AH23,0)</f>
        <v>20.408449879890703</v>
      </c>
      <c r="L23" s="135">
        <f>MAX(Q23-K23,0)</f>
        <v>7.8199008212088472E-2</v>
      </c>
      <c r="N23" s="131">
        <f>SQRT(($AX23^2*($AH23/2)+$AW23^2*$AI23)/(($AH23/2)+$AI23))</f>
        <v>0.90885229823112634</v>
      </c>
      <c r="O23" s="131">
        <f>SQRT(($AY23^2*($AH23/2)+$AW23^2*$AI23)/(($AH23/2)+$AI23))</f>
        <v>1.0448265406276778</v>
      </c>
      <c r="P23" s="55">
        <f>(VLOOKUP(AI23,CorrelationTwo,2)*(AW23^2)*AI23+VLOOKUP(D23,CorrelationOne,$AK$9)*AX23*AY23*(AH23/2))/((AI23+(AH23/2))*O23*N23)*AF23</f>
        <v>0.98183569330588027</v>
      </c>
      <c r="Q23" s="135">
        <f>_xll.xSPRDOPT(I23,H23,AQ23,0,O23,N23,P23,D23-$G$5,1,0)*AH23*AU23</f>
        <v>20.486648888102792</v>
      </c>
      <c r="R23" s="135"/>
      <c r="S23" s="181">
        <f>_xll.xSPRDOPT(I23,H23,AQ23,AT23,O23,N23,P23,D23-$G$5,1,2)*AF23*(F23/(1-AR23))*AH23</f>
        <v>-373257.34253765602</v>
      </c>
      <c r="T23" s="181">
        <f>_xll.xSPRDOPT(I23,H23,AQ23,AT23,O23,N23,P23,D23-$G$5,1,1)*AF23*F23*AH23</f>
        <v>344123.33570783917</v>
      </c>
      <c r="U23" s="135"/>
      <c r="V23" s="146">
        <f>($Y$12+VLOOKUP(YEAR(D23),$X$15:$Y$17,2,FALSE))*AH23*AU23</f>
        <v>0</v>
      </c>
      <c r="W23" s="146"/>
      <c r="X23" s="338">
        <f>((BM23*BC23)+(BL23*BB23))*AH23*F23</f>
        <v>0</v>
      </c>
      <c r="Y23" s="338">
        <f>($F23*$AH23)*((($BG23/2)*($BC23)^2)+(($BF23/2)*($BB23)^2)+($BH23*$BC23*$BB23))</f>
        <v>0</v>
      </c>
      <c r="Z23" s="338">
        <f>($BI23*$F23*$AH23*($G$5-$BV$5))/365.25</f>
        <v>-113.54487698584443</v>
      </c>
      <c r="AA23" s="338">
        <f>(($BK23*$BE23)+($BJ23*$BD23))*$F23*$AH23*$AF23</f>
        <v>122.73774380992569</v>
      </c>
      <c r="AB23" s="338">
        <f>BN23*(AT23-CA23)*F23*AH23</f>
        <v>0</v>
      </c>
      <c r="AC23" s="338">
        <f>BO23*CB23*F23*AH23*CA23*($G$5-$BV$5)/365.25</f>
        <v>40.832215827028058</v>
      </c>
      <c r="AF23" s="138">
        <f>IF(AND(D23&gt;=$G$7,D23&lt;=$G$8),1,0)</f>
        <v>1</v>
      </c>
      <c r="AG23" s="138">
        <f>MONTH(D23)</f>
        <v>2</v>
      </c>
      <c r="AH23" s="138">
        <f>(EOMONTH(D23,0)-EOMONTH(D23-DAY(D23),0))*AF23</f>
        <v>28</v>
      </c>
      <c r="AI23" s="138">
        <f>AI22+AH22</f>
        <v>46</v>
      </c>
      <c r="AJ23" s="138">
        <f>D23-$BV$5</f>
        <v>63</v>
      </c>
      <c r="AL23" s="136">
        <f>VLOOKUP($D23,CurveTbl,$AK$4)</f>
        <v>2.9079999999999999</v>
      </c>
      <c r="AM23" s="258">
        <f>VLOOKUP($D23,CurveTbl,$AH$3)</f>
        <v>-0.09</v>
      </c>
      <c r="AN23" s="258">
        <f>VLOOKUP($D23,CurveTbl,$AH$4)+VLOOKUP($AG23,$AL$3:$AS$15,6)</f>
        <v>0</v>
      </c>
      <c r="AO23" s="258">
        <f>VLOOKUP($D23,CurveTbl,$AH$5)</f>
        <v>0.88</v>
      </c>
      <c r="AP23" s="258">
        <f>VLOOKUP($D23,CurveTbl,$AH$6)+VLOOKUP($AG23,$AL$3:$AS$15,7)</f>
        <v>0.12</v>
      </c>
      <c r="AQ23" s="136">
        <f>VLOOKUP($AG23,$AL$4:$AS$15,3)+VLOOKUP($AG23,$AL$4:$AS$15,5)+($AH$10*VLOOKUP(D23,GRITable,2))</f>
        <v>0.1061</v>
      </c>
      <c r="AR23" s="137">
        <f>VLOOKUP($AG23,$AL$4:$AS$15,4)</f>
        <v>8.2299999999999998E-2</v>
      </c>
      <c r="AS23" s="136">
        <f>(AL23+AM23+AN23)</f>
        <v>2.8180000000000001</v>
      </c>
      <c r="AT23" s="137">
        <f>VLOOKUP(D23,CurveTbl,$AK$6)</f>
        <v>1.9326187282006298E-2</v>
      </c>
      <c r="AU23" s="137">
        <f>(1+$AT23/2)^(-2*($D23-$G$5)/365.25)*$AF23</f>
        <v>0.99684549368744568</v>
      </c>
      <c r="AV23" s="394">
        <f>ROUND((F23/(1-AR23))-F23,0)*AF23*AH23*AU23</f>
        <v>31428.544724977786</v>
      </c>
      <c r="AW23" s="137">
        <f>VLOOKUP($D23,CurveTbl,$AK$8)</f>
        <v>0.86499999999999999</v>
      </c>
      <c r="AX23" s="137">
        <f>VLOOKUP($D23,CurveTbl,$AH$7)</f>
        <v>1.04</v>
      </c>
      <c r="AY23" s="137">
        <f>VLOOKUP($D23,CurveTbl,$AH$8)</f>
        <v>1.49</v>
      </c>
      <c r="AZ23" s="137"/>
      <c r="BA23" s="264"/>
      <c r="BB23" s="258">
        <f>$H23-$BV23</f>
        <v>0</v>
      </c>
      <c r="BC23" s="258">
        <f>I23-BW23</f>
        <v>0</v>
      </c>
      <c r="BD23" s="137">
        <f t="shared" si="12"/>
        <v>2.0401162808982853E-3</v>
      </c>
      <c r="BE23" s="137">
        <f t="shared" si="12"/>
        <v>7.8557920849169349E-3</v>
      </c>
      <c r="BF23" s="137">
        <f>_xll.xSPRDOPT($BW23,$BV23,$CG23,0,$BY23,$BX23,$BZ23,$AJ23,1,4)*$CB23</f>
        <v>0.16111355396308144</v>
      </c>
      <c r="BG23" s="137">
        <f>_xll.xSPRDOPT($BW23,$BV23,$CG23,0,$BY23,$BX23,$BZ23,$AJ23,1,3)*$CB23</f>
        <v>0.11035144322243316</v>
      </c>
      <c r="BH23" s="137">
        <f>IF(OR(BF23&lt;&gt;0,BG23&lt;&gt;0),_xll.xSPRDOPT($BW23,$BV23,$CG23,0,$BY23,$BX23,$BZ23,$AJ23,1,12)*$CB23,0)</f>
        <v>-0.13332212543052921</v>
      </c>
      <c r="BI23" s="137">
        <f>_xll.xSPRDOPT($BW23,$BV23,$CG23,2*LN(1+CA23/2),$BY23,$BX23,$BZ23,$AJ23,1,9)</f>
        <v>-3.9318105931314795E-2</v>
      </c>
      <c r="BJ23" s="137">
        <f>_xll.xSPRDOPT($BW23,$BV23,$CG23,0,$BY23,$BX23,$BZ23,$AJ23,1,6)*$CB23</f>
        <v>-4.3390448927015858E-2</v>
      </c>
      <c r="BK23" s="137">
        <f>_xll.xSPRDOPT($BW23,$BV23,$CG23,0,$BY23,$BX23,$BZ23,$AJ23,1,5)*$CB23</f>
        <v>5.5705266370557019E-2</v>
      </c>
      <c r="BL23" s="137">
        <f>_xll.xSPRDOPT(BW23,BV23,CG23,0,BY23,BX23,BZ23,AJ23,1,2)*CB23</f>
        <v>-0.97372652512561242</v>
      </c>
      <c r="BM23" s="137">
        <f>_xll.xSPRDOPT(BW23,BV23,CG23,0,BY23,BX23,BZ23,AJ23,1,1)*CB23</f>
        <v>0.97830948102938597</v>
      </c>
      <c r="BN23" s="137">
        <f>IF(AH23&lt;&gt;0,_xll.xSPRDOPT($BW23,$BV23,$CG23,2*LN(1+CA23/2),$BY23,$BX23,$BZ23,$AJ23,1,8)+(AJ23/365.25)*CH23/AH23,0)</f>
        <v>-0.12619209011404903</v>
      </c>
      <c r="BO23" s="137">
        <f>_xll.xSPRDOPT($BW23,$BV23,$CG23,0,$BY23,$BX23,$BZ23,$AJ23,1,0)</f>
        <v>0.73404479977369053</v>
      </c>
      <c r="BP23" s="137"/>
      <c r="BQ23" s="137"/>
      <c r="BR23" s="137"/>
      <c r="BS23" s="137"/>
      <c r="BV23" s="262">
        <v>3.0707202789582655</v>
      </c>
      <c r="BW23" s="136">
        <v>3.9079999999999999</v>
      </c>
      <c r="BX23" s="137">
        <v>0.90681218195022806</v>
      </c>
      <c r="BY23" s="137">
        <v>1.0369707485427608</v>
      </c>
      <c r="BZ23" s="137">
        <v>0.98198611250809587</v>
      </c>
      <c r="CA23" s="137">
        <v>1.9326187282006298E-2</v>
      </c>
      <c r="CB23" s="137">
        <v>0.99668802984454063</v>
      </c>
      <c r="CC23" s="258">
        <v>-0.09</v>
      </c>
      <c r="CD23" s="258">
        <v>0</v>
      </c>
      <c r="CE23" s="258">
        <v>0.88</v>
      </c>
      <c r="CF23" s="258">
        <v>0.12</v>
      </c>
      <c r="CG23" s="258">
        <v>0.1061</v>
      </c>
      <c r="CH23" s="258">
        <v>0</v>
      </c>
      <c r="CI23" s="258">
        <v>2.9079999999999999</v>
      </c>
      <c r="CJ23" s="258"/>
      <c r="CK23" s="258"/>
      <c r="CL23" s="258"/>
      <c r="CM23" s="258"/>
    </row>
    <row r="24" spans="1:91" x14ac:dyDescent="0.25">
      <c r="A24" s="723"/>
      <c r="B24" s="723"/>
      <c r="D24" s="31">
        <f>D23+AH23</f>
        <v>37330</v>
      </c>
      <c r="F24" s="28">
        <f>VLOOKUP(AG24,$AL$4:$AS$15,2)</f>
        <v>12557</v>
      </c>
      <c r="G24" s="28">
        <f>F24*$AU24</f>
        <v>12499.104567812183</v>
      </c>
      <c r="H24" s="52">
        <f>(AL24+AM24+AN24)/(1-(AR24))</f>
        <v>3.0641821946169778</v>
      </c>
      <c r="I24" s="52">
        <f>(AL24+AO24+AP24)</f>
        <v>3.5820000000000003</v>
      </c>
      <c r="K24" s="52">
        <f>MAX(((I24-H24)-AQ24)*AU24*AH24,0)</f>
        <v>12.704405587265178</v>
      </c>
      <c r="L24" s="135">
        <f>MAX(Q24-K24,0)</f>
        <v>7.4487307035141725E-2</v>
      </c>
      <c r="N24" s="131">
        <f>SQRT(($AX24^2*($AH24/2)+$AW24^2*$AI24)/(($AH24/2)+$AI24))</f>
        <v>0.79</v>
      </c>
      <c r="O24" s="131">
        <f>SQRT(($AY24^2*($AH24/2)+$AW24^2*$AI24)/(($AH24/2)+$AI24))</f>
        <v>0.83864882017172071</v>
      </c>
      <c r="P24" s="55">
        <f>(VLOOKUP(AI24,CorrelationTwo,2)*(AW24^2)*AI24+VLOOKUP(D24,CorrelationOne,$AK$9)*AX24*AY24*(AH24/2))/((AI24+(AH24/2))*O24*N24)*AF24</f>
        <v>0.99167030166611325</v>
      </c>
      <c r="Q24" s="135">
        <f>_xll.xSPRDOPT(I24,H24,AQ24,0,O24,N24,P24,D24-$G$5,1,0)*AH24*AU24</f>
        <v>12.77889289430032</v>
      </c>
      <c r="R24" s="135"/>
      <c r="S24" s="181">
        <f>_xll.xSPRDOPT(I24,H24,AQ24,AT24,O24,N24,P24,D24-$G$5,1,2)*AF24*(F24/(1-AR24))*AH24</f>
        <v>-409876.69603865716</v>
      </c>
      <c r="T24" s="181">
        <f>_xll.xSPRDOPT(I24,H24,AQ24,AT24,O24,N24,P24,D24-$G$5,1,1)*AF24*F24*AH24</f>
        <v>377482.85830764496</v>
      </c>
      <c r="U24" s="135"/>
      <c r="V24" s="146">
        <f>($Y$12+VLOOKUP(YEAR(D24),$X$15:$Y$17,2,FALSE))*AH24*AU24</f>
        <v>0</v>
      </c>
      <c r="W24" s="146"/>
      <c r="X24" s="338">
        <f>((BM24*BC24)+(BL24*BB24))*AH24*F24</f>
        <v>0</v>
      </c>
      <c r="Y24" s="338">
        <f>($F24*$AH24)*((($BG24/2)*($BC24)^2)+(($BF24/2)*($BB24)^2)+($BH24*$BC24*$BB24))</f>
        <v>0</v>
      </c>
      <c r="Z24" s="338">
        <f>($BI24*$F24*$AH24*($G$5-$BV$5))/365.25</f>
        <v>-67.84810847252578</v>
      </c>
      <c r="AA24" s="338">
        <f>(($BK24*$BE24)+($BJ24*$BD24))*$F24*$AH24*$AF24</f>
        <v>44.68201443045983</v>
      </c>
      <c r="AB24" s="338">
        <f>BN24*(AT24-CA24)*F24*AH24</f>
        <v>0</v>
      </c>
      <c r="AC24" s="338">
        <f>BO24*CB24*F24*AH24*CA24*($G$5-$BV$5)/365.25</f>
        <v>25.4017143566535</v>
      </c>
      <c r="AF24" s="138">
        <f>IF(AND(D24&gt;=$G$7,D24&lt;=$G$8),1,0)</f>
        <v>1</v>
      </c>
      <c r="AG24" s="138">
        <f>MONTH(D24)</f>
        <v>3</v>
      </c>
      <c r="AH24" s="138">
        <f>(EOMONTH(D24,0)-EOMONTH(D24-DAY(D24),0))*AF24</f>
        <v>31</v>
      </c>
      <c r="AI24" s="138">
        <f>AI23+AH23</f>
        <v>74</v>
      </c>
      <c r="AJ24" s="138">
        <f>D24-$BV$5</f>
        <v>91</v>
      </c>
      <c r="AL24" s="136">
        <f>VLOOKUP($D24,CurveTbl,$AK$4)</f>
        <v>2.9020000000000001</v>
      </c>
      <c r="AM24" s="258">
        <f>VLOOKUP($D24,CurveTbl,$AH$3)</f>
        <v>-0.09</v>
      </c>
      <c r="AN24" s="258">
        <f>VLOOKUP($D24,CurveTbl,$AH$4)+VLOOKUP($AG24,$AL$3:$AS$15,6)</f>
        <v>0</v>
      </c>
      <c r="AO24" s="258">
        <f>VLOOKUP($D24,CurveTbl,$AH$5)</f>
        <v>0.6</v>
      </c>
      <c r="AP24" s="258">
        <f>VLOOKUP($D24,CurveTbl,$AH$6)+VLOOKUP($AG24,$AL$3:$AS$15,7)</f>
        <v>0.08</v>
      </c>
      <c r="AQ24" s="136">
        <f>VLOOKUP($AG24,$AL$4:$AS$15,3)+VLOOKUP($AG24,$AL$4:$AS$15,5)+($AH$10*VLOOKUP(D24,GRITable,2))</f>
        <v>0.1061</v>
      </c>
      <c r="AR24" s="137">
        <f>VLOOKUP($AG24,$AL$4:$AS$15,4)</f>
        <v>8.2299999999999998E-2</v>
      </c>
      <c r="AS24" s="136">
        <f>(AL24+AM24+AN24)</f>
        <v>2.8120000000000003</v>
      </c>
      <c r="AT24" s="137">
        <f>VLOOKUP(D24,CurveTbl,$AK$6)</f>
        <v>1.9273175363903501E-2</v>
      </c>
      <c r="AU24" s="137">
        <f>(1+$AT24/2)^(-2*($D24-$G$5)/365.25)*$AF24</f>
        <v>0.99538938980745262</v>
      </c>
      <c r="AV24" s="394">
        <f>ROUND((F24/(1-AR24))-F24,0)*AF24*AH24*AU24</f>
        <v>34745.062040618941</v>
      </c>
      <c r="AW24" s="137">
        <f>VLOOKUP($D24,CurveTbl,$AK$8)</f>
        <v>0.79</v>
      </c>
      <c r="AX24" s="137">
        <f>VLOOKUP($D24,CurveTbl,$AH$7)</f>
        <v>0.79</v>
      </c>
      <c r="AY24" s="137">
        <f>VLOOKUP($D24,CurveTbl,$AH$8)</f>
        <v>1.04</v>
      </c>
      <c r="AZ24" s="137"/>
      <c r="BA24" s="264"/>
      <c r="BB24" s="258">
        <f>$H24-$BV24</f>
        <v>0</v>
      </c>
      <c r="BC24" s="258">
        <f>I24-BW24</f>
        <v>0</v>
      </c>
      <c r="BD24" s="137">
        <f t="shared" si="12"/>
        <v>0</v>
      </c>
      <c r="BE24" s="137">
        <f t="shared" si="12"/>
        <v>1.5334385413493523E-3</v>
      </c>
      <c r="BF24" s="137">
        <f>_xll.xSPRDOPT($BW24,$BV24,$CG24,0,$BY24,$BX24,$BZ24,$AJ24,1,4)*$CB24</f>
        <v>0.31422975673619619</v>
      </c>
      <c r="BG24" s="137">
        <f>_xll.xSPRDOPT($BW24,$BV24,$CG24,0,$BY24,$BX24,$BZ24,$AJ24,1,3)*$CB24</f>
        <v>0.25425597425257501</v>
      </c>
      <c r="BH24" s="137">
        <f>IF(OR(BF24&lt;&gt;0,BG24&lt;&gt;0),_xll.xSPRDOPT($BW24,$BV24,$CG24,0,$BY24,$BX24,$BZ24,$AJ24,1,12)*$CB24,0)</f>
        <v>-0.28261754587483345</v>
      </c>
      <c r="BI24" s="137">
        <f>_xll.xSPRDOPT($BW24,$BV24,$CG24,2*LN(1+CA24/2),$BY24,$BX24,$BZ24,$AJ24,1,9)</f>
        <v>-2.122067168943171E-2</v>
      </c>
      <c r="BJ24" s="137">
        <f>_xll.xSPRDOPT($BW24,$BV24,$CG24,0,$BY24,$BX24,$BZ24,$AJ24,1,6)*$CB24</f>
        <v>-6.0946947822363262E-2</v>
      </c>
      <c r="BK24" s="137">
        <f>_xll.xSPRDOPT($BW24,$BV24,$CG24,0,$BY24,$BX24,$BZ24,$AJ24,1,5)*$CB24</f>
        <v>7.4854649612604657E-2</v>
      </c>
      <c r="BL24" s="137">
        <f>_xll.xSPRDOPT(BW24,BV24,CG24,0,BY24,BX24,BZ24,AJ24,1,2)*CB24</f>
        <v>-0.96561702532017113</v>
      </c>
      <c r="BM24" s="137">
        <f>_xll.xSPRDOPT(BW24,BV24,CG24,0,BY24,BX24,BZ24,AJ24,1,1)*CB24</f>
        <v>0.96911906478207188</v>
      </c>
      <c r="BN24" s="137">
        <f>IF(AH24&lt;&gt;0,_xll.xSPRDOPT($BW24,$BV24,$CG24,2*LN(1+CA24/2),$BY24,$BX24,$BZ24,$AJ24,1,8)+(AJ24/365.25)*CH24/AH24,0)</f>
        <v>-0.10270280486675101</v>
      </c>
      <c r="BO24" s="137">
        <f>_xll.xSPRDOPT($BW24,$BV24,$CG24,0,$BY24,$BX24,$BZ24,$AJ24,1,0)</f>
        <v>0.41419661938591401</v>
      </c>
      <c r="BP24" s="137"/>
      <c r="BQ24" s="137"/>
      <c r="BR24" s="137"/>
      <c r="BS24" s="137"/>
      <c r="BV24" s="262">
        <v>3.0641821946169778</v>
      </c>
      <c r="BW24" s="136">
        <v>3.5820000000000003</v>
      </c>
      <c r="BX24" s="137">
        <v>0.79</v>
      </c>
      <c r="BY24" s="137">
        <v>0.83711538163037136</v>
      </c>
      <c r="BZ24" s="137">
        <v>0.99179618014047477</v>
      </c>
      <c r="CA24" s="137">
        <v>1.9273175363903501E-2</v>
      </c>
      <c r="CB24" s="137">
        <v>0.99523258517239033</v>
      </c>
      <c r="CC24" s="258">
        <v>-0.09</v>
      </c>
      <c r="CD24" s="258">
        <v>0</v>
      </c>
      <c r="CE24" s="258">
        <v>0.6</v>
      </c>
      <c r="CF24" s="258">
        <v>0.08</v>
      </c>
      <c r="CG24" s="258">
        <v>0.1061</v>
      </c>
      <c r="CH24" s="258">
        <v>0</v>
      </c>
      <c r="CI24" s="258">
        <v>2.9020000000000001</v>
      </c>
      <c r="CJ24" s="258"/>
      <c r="CK24" s="258"/>
      <c r="CL24" s="258"/>
      <c r="CM24" s="258"/>
    </row>
    <row r="25" spans="1:91" x14ac:dyDescent="0.25">
      <c r="A25" s="723"/>
      <c r="B25" s="723"/>
      <c r="D25" s="31">
        <f>D24+AH24</f>
        <v>37361</v>
      </c>
      <c r="F25" s="28">
        <f>VLOOKUP(AG25,$AL$4:$AS$15,2)</f>
        <v>0</v>
      </c>
      <c r="G25" s="28">
        <f>F25*$AU25</f>
        <v>0</v>
      </c>
      <c r="H25" s="52">
        <f>(AL25+AM25+AN25)/(1-(AR25))</f>
        <v>2.7679999999999998</v>
      </c>
      <c r="I25" s="52">
        <f>(AL25+AO25+AP25)</f>
        <v>3.1929999999999996</v>
      </c>
      <c r="K25" s="52">
        <f>MAX(((I25-H25)-AQ25)*AU25*AH25,0)</f>
        <v>0</v>
      </c>
      <c r="L25" s="135">
        <f>MAX(Q25-K25,0)</f>
        <v>0</v>
      </c>
      <c r="N25" s="131">
        <f>SQRT(($AX25^2*($AH25/2)+$AW25^2*$AI25)/(($AH25/2)+$AI25))</f>
        <v>0.61</v>
      </c>
      <c r="O25" s="131">
        <f>SQRT(($AY25^2*($AH25/2)+$AW25^2*$AI25)/(($AH25/2)+$AI25))</f>
        <v>0.61</v>
      </c>
      <c r="P25" s="55">
        <f>(VLOOKUP(AI25,CorrelationTwo,2)*(AW25^2)*AI25+VLOOKUP(D25,CorrelationOne,$AK$9)*AX25*AY25*(AH25/2))/((AI25+(AH25/2))*O25*N25)*AF25</f>
        <v>0</v>
      </c>
      <c r="Q25" s="135">
        <f>_xll.xSPRDOPT(I25,H25,AQ25,0,O25,N25,P25,D25-$G$5,1,0)*AH25*AU25</f>
        <v>0</v>
      </c>
      <c r="R25" s="135"/>
      <c r="S25" s="181">
        <f>_xll.xSPRDOPT(I25,H25,AQ25,AT25,O25,N25,P25,D25-$G$5,1,2)*AF25*(F25/(1-AR25))*AH25</f>
        <v>0</v>
      </c>
      <c r="T25" s="181">
        <f>_xll.xSPRDOPT(I25,H25,AQ25,AT25,O25,N25,P25,D25-$G$5,1,1)*AF25*F25*AH25</f>
        <v>0</v>
      </c>
      <c r="U25" s="135"/>
      <c r="V25" s="146">
        <f>($Y$12+VLOOKUP(YEAR(D25),$X$15:$Y$17,2,FALSE))*AH25*AU25</f>
        <v>0</v>
      </c>
      <c r="W25" s="146"/>
      <c r="X25" s="338">
        <f>((BM25*BC25)+(BL25*BB25))*AH25*F25</f>
        <v>0</v>
      </c>
      <c r="Y25" s="338">
        <f>($F25*$AH25)*((($BG25/2)*($BC25)^2)+(($BF25/2)*($BB25)^2)+($BH25*$BC25*$BB25))</f>
        <v>0</v>
      </c>
      <c r="Z25" s="338">
        <f>($BI25*$F25*$AH25*($G$5-$BV$5))/365.25</f>
        <v>0</v>
      </c>
      <c r="AA25" s="338">
        <f>(($BK25*$BE25)+($BJ25*$BD25))*$F25*$AH25*$AF25</f>
        <v>0</v>
      </c>
      <c r="AB25" s="338">
        <f>BN25*(AT25-CA25)*F25*AH25</f>
        <v>0</v>
      </c>
      <c r="AC25" s="338">
        <f>BO25*CB25*F25*AH25*CA25*($G$5-$BV$5)/365.25</f>
        <v>0</v>
      </c>
      <c r="AF25" s="138">
        <f>IF(AND(D25&gt;=$G$7,D25&lt;=$G$8),1,0)</f>
        <v>0</v>
      </c>
      <c r="AG25" s="138">
        <f>MONTH(D25)</f>
        <v>4</v>
      </c>
      <c r="AH25" s="138">
        <f>(EOMONTH(D25,0)-EOMONTH(D25-DAY(D25),0))*AF25</f>
        <v>0</v>
      </c>
      <c r="AI25" s="138">
        <f>AI24+AH24</f>
        <v>105</v>
      </c>
      <c r="AJ25" s="138">
        <f>D25-$BV$5</f>
        <v>122</v>
      </c>
      <c r="AL25" s="136">
        <f>VLOOKUP($D25,CurveTbl,$AK$4)</f>
        <v>2.8479999999999999</v>
      </c>
      <c r="AM25" s="258">
        <f>VLOOKUP($D25,CurveTbl,$AH$3)</f>
        <v>-8.2500000000000004E-2</v>
      </c>
      <c r="AN25" s="258">
        <f>VLOOKUP($D25,CurveTbl,$AH$4)+VLOOKUP($AG25,$AL$3:$AS$15,6)</f>
        <v>2.5000000000000001E-3</v>
      </c>
      <c r="AO25" s="258">
        <f>VLOOKUP($D25,CurveTbl,$AH$5)</f>
        <v>0.34</v>
      </c>
      <c r="AP25" s="258">
        <f>VLOOKUP($D25,CurveTbl,$AH$6)+VLOOKUP($AG25,$AL$3:$AS$15,7)</f>
        <v>5.0000000000000001E-3</v>
      </c>
      <c r="AQ25" s="136">
        <f>VLOOKUP($AG25,$AL$4:$AS$15,3)+VLOOKUP($AG25,$AL$4:$AS$15,5)+($AH$10*VLOOKUP(D25,GRITable,2))</f>
        <v>0</v>
      </c>
      <c r="AR25" s="137">
        <f>VLOOKUP($AG25,$AL$4:$AS$15,4)</f>
        <v>0</v>
      </c>
      <c r="AS25" s="136">
        <f>(AL25+AM25+AN25)</f>
        <v>2.7679999999999998</v>
      </c>
      <c r="AT25" s="137">
        <f>VLOOKUP(D25,CurveTbl,$AK$6)</f>
        <v>1.9422640119623601E-2</v>
      </c>
      <c r="AU25" s="137">
        <f>(1+$AT25/2)^(-2*($D25-$G$5)/365.25)*$AF25</f>
        <v>0</v>
      </c>
      <c r="AV25" s="394">
        <f>ROUND((F25/(1-AR25))-F25,0)*AF25*AH25*AU25</f>
        <v>0</v>
      </c>
      <c r="AW25" s="137">
        <f>VLOOKUP($D25,CurveTbl,$AK$8)</f>
        <v>0.61</v>
      </c>
      <c r="AX25" s="137">
        <f>VLOOKUP($D25,CurveTbl,$AH$7)</f>
        <v>0.53</v>
      </c>
      <c r="AY25" s="137">
        <f>VLOOKUP($D25,CurveTbl,$AH$8)</f>
        <v>0.57999999999999996</v>
      </c>
      <c r="AZ25" s="137"/>
      <c r="BA25" s="264"/>
      <c r="BB25" s="258">
        <f>$H25-$BV25</f>
        <v>0</v>
      </c>
      <c r="BC25" s="258">
        <f>I25-BW25</f>
        <v>0</v>
      </c>
      <c r="BD25" s="137">
        <f t="shared" si="12"/>
        <v>0</v>
      </c>
      <c r="BE25" s="137">
        <f t="shared" si="12"/>
        <v>0</v>
      </c>
      <c r="BF25" s="137">
        <f>_xll.xSPRDOPT($BW25,$BV25,$CG25,0,$BY25,$BX25,$BZ25,$AJ25,1,4)*$CB25</f>
        <v>0</v>
      </c>
      <c r="BG25" s="137">
        <f>_xll.xSPRDOPT($BW25,$BV25,$CG25,0,$BY25,$BX25,$BZ25,$AJ25,1,3)*$CB25</f>
        <v>0</v>
      </c>
      <c r="BH25" s="137">
        <f>IF(OR(BF25&lt;&gt;0,BG25&lt;&gt;0),_xll.xSPRDOPT($BW25,$BV25,$CG25,0,$BY25,$BX25,$BZ25,$AJ25,1,12)*$CB25,0)</f>
        <v>0</v>
      </c>
      <c r="BI25" s="137">
        <f>_xll.xSPRDOPT($BW25,$BV25,$CG25,2*LN(1+CA25/2),$BY25,$BX25,$BZ25,$AJ25,1,9)</f>
        <v>-0.80248167375741175</v>
      </c>
      <c r="BJ25" s="137">
        <f>_xll.xSPRDOPT($BW25,$BV25,$CG25,0,$BY25,$BX25,$BZ25,$AJ25,1,6)*$CB25</f>
        <v>0</v>
      </c>
      <c r="BK25" s="137">
        <f>_xll.xSPRDOPT($BW25,$BV25,$CG25,0,$BY25,$BX25,$BZ25,$AJ25,1,5)*$CB25</f>
        <v>0</v>
      </c>
      <c r="BL25" s="137">
        <f>_xll.xSPRDOPT(BW25,BV25,CG25,0,BY25,BX25,BZ25,AJ25,1,2)*CB25</f>
        <v>0</v>
      </c>
      <c r="BM25" s="137">
        <f>_xll.xSPRDOPT(BW25,BV25,CG25,0,BY25,BX25,BZ25,AJ25,1,1)*CB25</f>
        <v>0</v>
      </c>
      <c r="BN25" s="137">
        <f>IF(AH25&lt;&gt;0,_xll.xSPRDOPT($BW25,$BV25,$CG25,2*LN(1+CA25/2),$BY25,$BX25,$BZ25,$AJ25,1,8)+(AJ25/365.25)*CH25/AH25,0)</f>
        <v>0</v>
      </c>
      <c r="BO25" s="137">
        <f>_xll.xSPRDOPT($BW25,$BV25,$CG25,0,$BY25,$BX25,$BZ25,$AJ25,1,0)</f>
        <v>0.82261947717616735</v>
      </c>
      <c r="BP25" s="137"/>
      <c r="BQ25" s="137"/>
      <c r="BR25" s="137"/>
      <c r="BS25" s="137"/>
      <c r="BV25" s="262">
        <v>2.7679999999999998</v>
      </c>
      <c r="BW25" s="136">
        <v>3.1929999999999996</v>
      </c>
      <c r="BX25" s="137">
        <v>0.61</v>
      </c>
      <c r="BY25" s="137">
        <v>0.61</v>
      </c>
      <c r="BZ25" s="137">
        <v>0</v>
      </c>
      <c r="CA25" s="137">
        <v>1.9422640119623601E-2</v>
      </c>
      <c r="CB25" s="137">
        <v>0</v>
      </c>
      <c r="CC25" s="258">
        <v>-8.2500000000000004E-2</v>
      </c>
      <c r="CD25" s="258">
        <v>2.5000000000000001E-3</v>
      </c>
      <c r="CE25" s="258">
        <v>0.34</v>
      </c>
      <c r="CF25" s="258">
        <v>5.0000000000000001E-3</v>
      </c>
      <c r="CG25" s="258">
        <v>0</v>
      </c>
      <c r="CH25" s="258">
        <v>0</v>
      </c>
      <c r="CI25" s="258">
        <v>2.8479999999999999</v>
      </c>
      <c r="CJ25" s="258"/>
      <c r="CK25" s="258"/>
      <c r="CL25" s="258"/>
      <c r="CM25" s="258"/>
    </row>
    <row r="26" spans="1:91" x14ac:dyDescent="0.25">
      <c r="A26" s="723"/>
      <c r="B26" s="723"/>
      <c r="D26" s="31">
        <f>D25+AH25</f>
        <v>37361</v>
      </c>
      <c r="F26" s="28">
        <f>VLOOKUP(AG26,$AL$4:$AS$15,2)</f>
        <v>0</v>
      </c>
      <c r="G26" s="28">
        <f>F26*$AU26</f>
        <v>0</v>
      </c>
      <c r="H26" s="52">
        <f>(AL26+AM26+AN26)/(1-(AR26))</f>
        <v>2.7679999999999998</v>
      </c>
      <c r="I26" s="52">
        <f>(AL26+AO26+AP26)</f>
        <v>3.1929999999999996</v>
      </c>
      <c r="K26" s="52">
        <f>MAX(((I26-H26)-AQ26)*AU26*AH26,0)</f>
        <v>0</v>
      </c>
      <c r="L26" s="135">
        <f>MAX(Q26-K26,0)</f>
        <v>0</v>
      </c>
      <c r="N26" s="131">
        <f>SQRT(($AX26^2*($AH26/2)+$AW26^2*$AI26)/(($AH26/2)+$AI26))</f>
        <v>0.61</v>
      </c>
      <c r="O26" s="131">
        <f>SQRT(($AY26^2*($AH26/2)+$AW26^2*$AI26)/(($AH26/2)+$AI26))</f>
        <v>0.61</v>
      </c>
      <c r="P26" s="55">
        <f>(VLOOKUP(AI26,CorrelationTwo,2)*(AW26^2)*AI26+VLOOKUP(D26,CorrelationOne,$AK$9)*AX26*AY26*(AH26/2))/((AI26+(AH26/2))*O26*N26)*AF26</f>
        <v>0</v>
      </c>
      <c r="Q26" s="135">
        <f>_xll.xSPRDOPT(I26,H26,AQ26,0,O26,N26,P26,D26-$G$5,1,0)*AH26*AU26</f>
        <v>0</v>
      </c>
      <c r="R26" s="135"/>
      <c r="S26" s="181">
        <f>_xll.xSPRDOPT(I26,H26,AQ26,AT26,O26,N26,P26,D26-$G$5,1,2)*AF26*(F26/(1-AR26))*AH26</f>
        <v>0</v>
      </c>
      <c r="T26" s="181">
        <f>_xll.xSPRDOPT(I26,H26,AQ26,AT26,O26,N26,P26,D26-$G$5,1,1)*AF26*F26*AH26</f>
        <v>0</v>
      </c>
      <c r="U26" s="135"/>
      <c r="V26" s="146">
        <f>($Y$12+VLOOKUP(YEAR(D26),$X$15:$Y$17,2,FALSE))*AH26*AU26</f>
        <v>0</v>
      </c>
      <c r="W26" s="146"/>
      <c r="X26" s="338">
        <f>((BM26*BC26)+(BL26*BB26))*AH26*F26</f>
        <v>0</v>
      </c>
      <c r="Y26" s="338">
        <f>($F26*$AH26)*((($BG26/2)*($BC26)^2)+(($BF26/2)*($BB26)^2)+($BH26*$BC26*$BB26))</f>
        <v>0</v>
      </c>
      <c r="Z26" s="338">
        <f>($BI26*$F26*$AH26*($G$5-$BV$5))/365.25</f>
        <v>0</v>
      </c>
      <c r="AA26" s="338">
        <f>(($BK26*$BE26)+($BJ26*$BD26))*$F26*$AH26*$AF26</f>
        <v>0</v>
      </c>
      <c r="AB26" s="338">
        <f>BN26*(AT26-CA26)*F26*AH26</f>
        <v>0</v>
      </c>
      <c r="AC26" s="338">
        <f>BO26*CB26*F26*AH26*CA26*($G$5-$BV$5)/365.25</f>
        <v>0</v>
      </c>
      <c r="AF26" s="138">
        <f>IF(AND(D26&gt;=$G$7,D26&lt;=$G$8),1,0)</f>
        <v>0</v>
      </c>
      <c r="AG26" s="138">
        <f>MONTH(D26)</f>
        <v>4</v>
      </c>
      <c r="AH26" s="138">
        <f>(EOMONTH(D26,0)-EOMONTH(D26-DAY(D26),0))*AF26</f>
        <v>0</v>
      </c>
      <c r="AI26" s="138">
        <f>AI25+AH25</f>
        <v>105</v>
      </c>
      <c r="AJ26" s="138">
        <f>D26-$BV$5</f>
        <v>122</v>
      </c>
      <c r="AL26" s="136">
        <f>VLOOKUP($D26,CurveTbl,$AK$4)</f>
        <v>2.8479999999999999</v>
      </c>
      <c r="AM26" s="258">
        <f>VLOOKUP($D26,CurveTbl,$AH$3)</f>
        <v>-8.2500000000000004E-2</v>
      </c>
      <c r="AN26" s="258">
        <f>VLOOKUP($D26,CurveTbl,$AH$4)+VLOOKUP($AG26,$AL$3:$AS$15,6)</f>
        <v>2.5000000000000001E-3</v>
      </c>
      <c r="AO26" s="258">
        <f>VLOOKUP($D26,CurveTbl,$AH$5)</f>
        <v>0.34</v>
      </c>
      <c r="AP26" s="258">
        <f>VLOOKUP($D26,CurveTbl,$AH$6)+VLOOKUP($AG26,$AL$3:$AS$15,7)</f>
        <v>5.0000000000000001E-3</v>
      </c>
      <c r="AQ26" s="136">
        <f>VLOOKUP($AG26,$AL$4:$AS$15,3)+VLOOKUP($AG26,$AL$4:$AS$15,5)+($AH$10*VLOOKUP(D26,GRITable,2))</f>
        <v>0</v>
      </c>
      <c r="AR26" s="137">
        <f>VLOOKUP($AG26,$AL$4:$AS$15,4)</f>
        <v>0</v>
      </c>
      <c r="AS26" s="136">
        <f>(AL26+AM26+AN26)</f>
        <v>2.7679999999999998</v>
      </c>
      <c r="AT26" s="137">
        <f>VLOOKUP(D26,CurveTbl,$AK$6)</f>
        <v>1.9422640119623601E-2</v>
      </c>
      <c r="AU26" s="137">
        <f>(1+$AT26/2)^(-2*($D26-$G$5)/365.25)*$AF26</f>
        <v>0</v>
      </c>
      <c r="AV26" s="394">
        <f>ROUND((F26/(1-AR26))-F26,0)*AF26*AH26*AU26</f>
        <v>0</v>
      </c>
      <c r="AW26" s="137">
        <f>VLOOKUP($D26,CurveTbl,$AK$8)</f>
        <v>0.61</v>
      </c>
      <c r="AX26" s="137">
        <f>VLOOKUP($D26,CurveTbl,$AH$7)</f>
        <v>0.53</v>
      </c>
      <c r="AY26" s="137">
        <f>VLOOKUP($D26,CurveTbl,$AH$8)</f>
        <v>0.57999999999999996</v>
      </c>
      <c r="AZ26" s="137"/>
      <c r="BA26" s="264"/>
      <c r="BB26" s="258">
        <f>$H26-$BV26</f>
        <v>0</v>
      </c>
      <c r="BC26" s="258">
        <f>I26-BW26</f>
        <v>0</v>
      </c>
      <c r="BD26" s="137">
        <f t="shared" si="12"/>
        <v>0</v>
      </c>
      <c r="BE26" s="137">
        <f t="shared" si="12"/>
        <v>0</v>
      </c>
      <c r="BF26" s="137">
        <f>_xll.xSPRDOPT($BW26,$BV26,$CG26,0,$BY26,$BX26,$BZ26,$AJ26,1,4)*$CB26</f>
        <v>0</v>
      </c>
      <c r="BG26" s="137">
        <f>_xll.xSPRDOPT($BW26,$BV26,$CG26,0,$BY26,$BX26,$BZ26,$AJ26,1,3)*$CB26</f>
        <v>0</v>
      </c>
      <c r="BH26" s="137">
        <f>IF(OR(BF26&lt;&gt;0,BG26&lt;&gt;0),_xll.xSPRDOPT($BW26,$BV26,$CG26,0,$BY26,$BX26,$BZ26,$AJ26,1,12)*$CB26,0)</f>
        <v>0</v>
      </c>
      <c r="BI26" s="137">
        <f>_xll.xSPRDOPT($BW26,$BV26,$CG26,2*LN(1+CA26/2),$BY26,$BX26,$BZ26,$AJ26,1,9)</f>
        <v>-0.80248167375741175</v>
      </c>
      <c r="BJ26" s="137">
        <f>_xll.xSPRDOPT($BW26,$BV26,$CG26,0,$BY26,$BX26,$BZ26,$AJ26,1,6)*$CB26</f>
        <v>0</v>
      </c>
      <c r="BK26" s="137">
        <f>_xll.xSPRDOPT($BW26,$BV26,$CG26,0,$BY26,$BX26,$BZ26,$AJ26,1,5)*$CB26</f>
        <v>0</v>
      </c>
      <c r="BL26" s="137">
        <f>_xll.xSPRDOPT(BW26,BV26,CG26,0,BY26,BX26,BZ26,AJ26,1,2)*CB26</f>
        <v>0</v>
      </c>
      <c r="BM26" s="137">
        <f>_xll.xSPRDOPT(BW26,BV26,CG26,0,BY26,BX26,BZ26,AJ26,1,1)*CB26</f>
        <v>0</v>
      </c>
      <c r="BN26" s="137">
        <f>IF(AH26&lt;&gt;0,_xll.xSPRDOPT($BW26,$BV26,$CG26,2*LN(1+CA26/2),$BY26,$BX26,$BZ26,$AJ26,1,8)+(AJ26/365.25)*CH26/AH26,0)</f>
        <v>0</v>
      </c>
      <c r="BO26" s="137">
        <f>_xll.xSPRDOPT($BW26,$BV26,$CG26,0,$BY26,$BX26,$BZ26,$AJ26,1,0)</f>
        <v>0.82261947717616735</v>
      </c>
      <c r="BP26" s="137"/>
      <c r="BQ26" s="137"/>
      <c r="BR26" s="137"/>
      <c r="BS26" s="137"/>
      <c r="BV26" s="262">
        <v>2.7679999999999998</v>
      </c>
      <c r="BW26" s="136">
        <v>3.1929999999999996</v>
      </c>
      <c r="BX26" s="137">
        <v>0.61</v>
      </c>
      <c r="BY26" s="137">
        <v>0.61</v>
      </c>
      <c r="BZ26" s="137">
        <v>0</v>
      </c>
      <c r="CA26" s="137">
        <v>1.9422640119623601E-2</v>
      </c>
      <c r="CB26" s="137">
        <v>0</v>
      </c>
      <c r="CC26" s="258">
        <v>-8.2500000000000004E-2</v>
      </c>
      <c r="CD26" s="258">
        <v>2.5000000000000001E-3</v>
      </c>
      <c r="CE26" s="258">
        <v>0.34</v>
      </c>
      <c r="CF26" s="258">
        <v>5.0000000000000001E-3</v>
      </c>
      <c r="CG26" s="258">
        <v>0</v>
      </c>
      <c r="CH26" s="258">
        <v>0</v>
      </c>
      <c r="CI26" s="258">
        <v>2.8479999999999999</v>
      </c>
      <c r="CJ26" s="258"/>
      <c r="CK26" s="258"/>
      <c r="CL26" s="258"/>
      <c r="CM26" s="258"/>
    </row>
  </sheetData>
  <sheetCalcPr fullCalcOnLoad="1"/>
  <mergeCells count="31">
    <mergeCell ref="A24:B24"/>
    <mergeCell ref="A25:B25"/>
    <mergeCell ref="A26:B26"/>
    <mergeCell ref="AM20:AN20"/>
    <mergeCell ref="L14:M14"/>
    <mergeCell ref="L15:M15"/>
    <mergeCell ref="AO20:AP20"/>
    <mergeCell ref="A22:B22"/>
    <mergeCell ref="A23:B23"/>
    <mergeCell ref="L16:M16"/>
    <mergeCell ref="L17:M17"/>
    <mergeCell ref="L18:M18"/>
    <mergeCell ref="L19:M19"/>
    <mergeCell ref="D10:H10"/>
    <mergeCell ref="L10:M10"/>
    <mergeCell ref="L11:M11"/>
    <mergeCell ref="X11:Y11"/>
    <mergeCell ref="L12:M12"/>
    <mergeCell ref="L13:M13"/>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5345"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5346"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29"/>
  <sheetViews>
    <sheetView topLeftCell="Q1" workbookViewId="0">
      <selection activeCell="CI21" sqref="CI21:CI117"/>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LongTerm107</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107</v>
      </c>
      <c r="F2" s="178" t="str">
        <f>GetRcptPoint($AH$12,$AH$13)</f>
        <v>Ventura</v>
      </c>
      <c r="G2" s="179" t="str">
        <f>GetDelPoint($AH$12,$AH$13)</f>
        <v>Harper</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5">
      <c r="A4" s="269" t="str">
        <f>ADDRESS(ROW($S$22),COLUMN($S$22))</f>
        <v>$S$22</v>
      </c>
      <c r="L4" s="721" t="s">
        <v>201</v>
      </c>
      <c r="M4" s="722"/>
      <c r="N4" s="352">
        <f ca="1">SUMPRODUCT(INDIRECT(CONCATENATE(AV4,":",AW4)),INDIRECT(CONCATENATE($AV$2,":",$AW$2)),INDIRECT(CONCATENATE($AV$3,":",$AW$3)))</f>
        <v>277089.89516579354</v>
      </c>
      <c r="O4" s="352">
        <v>278064.03000000003</v>
      </c>
      <c r="P4" s="354">
        <f ca="1">N4-O4</f>
        <v>-974.13483420648845</v>
      </c>
      <c r="S4" s="427" t="s">
        <v>635</v>
      </c>
      <c r="T4" s="422">
        <f ca="1">SUMPRODUCT(INDIRECT(CONCATENATE(V4,":",W4)),INDIRECT(CONCATENATE(AV2,":",AW2)),INDIRECT(CONCATENATE(AV3,":",AW3)))</f>
        <v>118440.48024685266</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15600</v>
      </c>
      <c r="AN4" s="46">
        <f>GetCommodity($AH$12,$AH$13,AT4)</f>
        <v>5.9999999999999995E-4</v>
      </c>
      <c r="AO4" s="47">
        <f>GetFuelRate($AH$12,$AH$13,AT4)</f>
        <v>4.0000000000000001E-3</v>
      </c>
      <c r="AP4" s="46">
        <f t="shared" ref="AP4:AP15" si="0">GetSurcharge($AH$12,$AH$13,$AT4)</f>
        <v>0</v>
      </c>
      <c r="AQ4" s="46">
        <f t="shared" ref="AQ4:AQ15" si="1">GetRcptIndexAdj($AH$12,$AH$13,$AT4)</f>
        <v>0</v>
      </c>
      <c r="AR4" s="132">
        <f t="shared" ref="AR4:AR15" si="2">GetDelIndexAdj($AH$12,$AH$13,$AT4)</f>
        <v>0</v>
      </c>
      <c r="AS4" s="48">
        <f t="shared" ref="AS4:AS15" si="3">GetDemandRate($AH$12,$AH$13,$AT4)</f>
        <v>4.3999999999999997E-2</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206719.16585530562</v>
      </c>
      <c r="O5" s="352">
        <v>206685.02</v>
      </c>
      <c r="P5" s="355">
        <f ca="1">N5-O5</f>
        <v>34.145855305629084</v>
      </c>
      <c r="S5" s="428" t="s">
        <v>636</v>
      </c>
      <c r="T5" s="423">
        <f ca="1">SUMPRODUCT(INDIRECT(CONCATENATE(V5,":",W5)),INDIRECT(CONCATENATE(AV2,":",AW2)),INDIRECT(CONCATENATE(AV3,":",AW3)))</f>
        <v>158649.41491894089</v>
      </c>
      <c r="V5" s="30" t="str">
        <f>ADDRESS(ROW(L22),COLUMN(L22))</f>
        <v>$L$22</v>
      </c>
      <c r="W5" s="30" t="str">
        <f ca="1">GetEnd($AV$1,V5)</f>
        <v>$L$117</v>
      </c>
      <c r="AF5" s="28"/>
      <c r="AG5" s="103" t="s">
        <v>33</v>
      </c>
      <c r="AH5" s="104">
        <f>GetDelBasisCol($AH$12,$AH$13)</f>
        <v>122</v>
      </c>
      <c r="AI5" s="29"/>
      <c r="AJ5" s="103" t="s">
        <v>77</v>
      </c>
      <c r="AK5" s="104" t="str">
        <f>LiborCurve</f>
        <v>Libor AA</v>
      </c>
      <c r="AL5" s="34">
        <v>2</v>
      </c>
      <c r="AM5" s="37">
        <f t="shared" ref="AM5:AM15" si="4">GetVolume($AH$12,$AH$13,AT5)</f>
        <v>15600</v>
      </c>
      <c r="AN5" s="38">
        <f t="shared" ref="AN5:AN15" si="5">GetCommodity($AH$12,$AH$13,AT5)</f>
        <v>5.9999999999999995E-4</v>
      </c>
      <c r="AO5" s="39">
        <f t="shared" ref="AO5:AO15" si="6">GetFuelRate($AH$12,$AH$13,AT5)</f>
        <v>4.0000000000000001E-3</v>
      </c>
      <c r="AP5" s="38">
        <f t="shared" si="0"/>
        <v>0</v>
      </c>
      <c r="AQ5" s="38">
        <f t="shared" si="1"/>
        <v>0</v>
      </c>
      <c r="AR5" s="133">
        <f t="shared" si="2"/>
        <v>0</v>
      </c>
      <c r="AS5" s="40">
        <f t="shared" si="3"/>
        <v>4.3999999999999997E-2</v>
      </c>
      <c r="AT5" s="35">
        <f t="shared" ref="AT5:AT15" si="7">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5">
      <c r="A6" s="269" t="str">
        <f>ADDRESS(ROW($BW$2),COLUMN($BW$2))</f>
        <v>$BW$2</v>
      </c>
      <c r="F6" s="187"/>
      <c r="G6" s="187"/>
      <c r="L6" s="704" t="s">
        <v>149</v>
      </c>
      <c r="M6" s="705"/>
      <c r="N6" s="356">
        <f ca="1">N4-N5</f>
        <v>70370.729310487921</v>
      </c>
      <c r="O6" s="357">
        <v>71379.009999999995</v>
      </c>
      <c r="P6" s="358">
        <f ca="1">N6-O6</f>
        <v>-1008.2806895120739</v>
      </c>
      <c r="S6" s="428" t="s">
        <v>637</v>
      </c>
      <c r="T6" s="424">
        <f ca="1">SUMPRODUCT(INDIRECT(CONCATENATE(V6,":",W6)),INDIRECT(CONCATENATE(AV3,":",AW3)),INDIRECT(CONCATENATE(AX3,":",AY3)))</f>
        <v>4698162.8603478558</v>
      </c>
      <c r="V6" s="30" t="str">
        <f>ADDRESS(ROW(G22),COLUMN(G22))</f>
        <v>$G$22</v>
      </c>
      <c r="W6" s="30" t="str">
        <f ca="1">GetEnd($AV$1,V6)</f>
        <v>$G$117</v>
      </c>
      <c r="AF6" s="28"/>
      <c r="AG6" s="103" t="s">
        <v>34</v>
      </c>
      <c r="AH6" s="104">
        <f>GetDelIndexCol($AH$12,$AH$13)</f>
        <v>123</v>
      </c>
      <c r="AI6" s="29"/>
      <c r="AJ6" s="103" t="s">
        <v>79</v>
      </c>
      <c r="AK6" s="104">
        <f>GetLiborCol(AK5)</f>
        <v>4</v>
      </c>
      <c r="AL6" s="34">
        <v>3</v>
      </c>
      <c r="AM6" s="37">
        <f t="shared" si="4"/>
        <v>15600</v>
      </c>
      <c r="AN6" s="38">
        <f t="shared" si="5"/>
        <v>5.9999999999999995E-4</v>
      </c>
      <c r="AO6" s="39">
        <f t="shared" si="6"/>
        <v>4.0000000000000001E-3</v>
      </c>
      <c r="AP6" s="38">
        <f t="shared" si="0"/>
        <v>0</v>
      </c>
      <c r="AQ6" s="38">
        <f t="shared" si="1"/>
        <v>0</v>
      </c>
      <c r="AR6" s="133">
        <f t="shared" si="2"/>
        <v>0</v>
      </c>
      <c r="AS6" s="40">
        <f t="shared" si="3"/>
        <v>4.3999999999999997E-2</v>
      </c>
      <c r="AT6" s="35">
        <f t="shared" si="7"/>
        <v>1</v>
      </c>
      <c r="AX6" s="339"/>
      <c r="AY6" s="138"/>
    </row>
    <row r="7" spans="1:102" x14ac:dyDescent="0.25">
      <c r="A7" s="269" t="str">
        <f>ADDRESS(ROW($AH$12),COLUMN($AH$12))</f>
        <v>$AH$12</v>
      </c>
      <c r="F7" s="186" t="s">
        <v>25</v>
      </c>
      <c r="G7" s="189">
        <f>GetMonthStart($AH$12,$AH$13,G5)</f>
        <v>37257</v>
      </c>
      <c r="L7" s="706" t="s">
        <v>625</v>
      </c>
      <c r="M7" s="707"/>
      <c r="N7" s="352">
        <f t="array" aca="1" ref="N7" ca="1">SUM((INDIRECT(CONCATENATE(AV7,":",AW7))-INDIRECT(CONCATENATE(AX18,":",AY18)))*INDIRECT(CONCATENATE(AX7,":",AY7))*INDIRECT(CONCATENATE(AV3,":",AW3)))</f>
        <v>0</v>
      </c>
      <c r="O7" s="421">
        <v>1216.56</v>
      </c>
      <c r="P7" s="355">
        <f ca="1">N7</f>
        <v>0</v>
      </c>
      <c r="S7" s="428" t="s">
        <v>638</v>
      </c>
      <c r="T7" s="425">
        <f ca="1">T5/T6</f>
        <v>3.3768394079722125E-2</v>
      </c>
      <c r="AF7" s="28"/>
      <c r="AG7" s="103" t="s">
        <v>76</v>
      </c>
      <c r="AH7" s="104">
        <f>GetRcptOmicronCol($AH$12,$AH$13)</f>
        <v>10</v>
      </c>
      <c r="AI7" s="29"/>
      <c r="AJ7" s="103" t="s">
        <v>80</v>
      </c>
      <c r="AK7" s="104" t="str">
        <f>Configuration!$D$8</f>
        <v>Nymex Vol</v>
      </c>
      <c r="AL7" s="34">
        <v>4</v>
      </c>
      <c r="AM7" s="37">
        <f t="shared" si="4"/>
        <v>15600</v>
      </c>
      <c r="AN7" s="38">
        <f t="shared" si="5"/>
        <v>5.9999999999999995E-4</v>
      </c>
      <c r="AO7" s="39">
        <f t="shared" si="6"/>
        <v>4.0000000000000001E-3</v>
      </c>
      <c r="AP7" s="38">
        <f t="shared" si="0"/>
        <v>0</v>
      </c>
      <c r="AQ7" s="38">
        <f t="shared" si="1"/>
        <v>0</v>
      </c>
      <c r="AR7" s="133">
        <f t="shared" si="2"/>
        <v>0</v>
      </c>
      <c r="AS7" s="40">
        <f t="shared" si="3"/>
        <v>4.3999999999999997E-2</v>
      </c>
      <c r="AT7" s="35">
        <f t="shared" si="7"/>
        <v>1</v>
      </c>
      <c r="AU7" s="361" t="s">
        <v>574</v>
      </c>
      <c r="AV7" s="339" t="str">
        <f>ADDRESS(ROW($AL$22),COLUMN($AL$22))</f>
        <v>$AL$22</v>
      </c>
      <c r="AW7" s="138" t="str">
        <f ca="1">GetEnd($AV$1,AV7)</f>
        <v>$AL$117</v>
      </c>
      <c r="AX7" s="339" t="str">
        <f>ADDRESS(ROW($AV$22),COLUMN($AV$22))</f>
        <v>$AV$22</v>
      </c>
      <c r="AY7" s="138" t="str">
        <f t="shared" ref="AY7:AY13" ca="1" si="8">GetEnd($AV$1,AX7)</f>
        <v>$AV$117</v>
      </c>
    </row>
    <row r="8" spans="1:102" x14ac:dyDescent="0.25">
      <c r="A8" s="270" t="s">
        <v>224</v>
      </c>
      <c r="F8" s="186" t="s">
        <v>26</v>
      </c>
      <c r="G8" s="190">
        <f>GetMonthEnd($AH$12,$AH$13)</f>
        <v>37560</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0.99403609474108146</v>
      </c>
      <c r="V8" s="30" t="str">
        <f>ADDRESS(ROW(P22),COLUMN(P22))</f>
        <v>$P$22</v>
      </c>
      <c r="W8" s="30" t="str">
        <f ca="1">GetEnd($AV$1,V8)</f>
        <v>$P$117</v>
      </c>
      <c r="Y8" s="334">
        <f ca="1">SUMIF(INDIRECT(CONCATENATE(V8,":",W8)),"&gt;0",INDIRECT(CONCATENATE(V8,":",W8)))</f>
        <v>9.9403609474108148</v>
      </c>
      <c r="Z8" s="334">
        <f ca="1">COUNTIF(INDIRECT(CONCATENATE(V8,":",W8)),"&gt;0")</f>
        <v>10</v>
      </c>
      <c r="AF8" s="28"/>
      <c r="AG8" s="103" t="s">
        <v>75</v>
      </c>
      <c r="AH8" s="105">
        <f>GetDelOmicronCol($AH$12,$AH$13)</f>
        <v>16</v>
      </c>
      <c r="AI8" s="29"/>
      <c r="AJ8" s="103" t="s">
        <v>81</v>
      </c>
      <c r="AK8" s="104">
        <f>GetNGOmicronCol(AK7)</f>
        <v>5</v>
      </c>
      <c r="AL8" s="34">
        <v>5</v>
      </c>
      <c r="AM8" s="37">
        <f t="shared" si="4"/>
        <v>15600</v>
      </c>
      <c r="AN8" s="38">
        <f t="shared" si="5"/>
        <v>5.9999999999999995E-4</v>
      </c>
      <c r="AO8" s="39">
        <f t="shared" si="6"/>
        <v>4.0000000000000001E-3</v>
      </c>
      <c r="AP8" s="38">
        <f t="shared" si="0"/>
        <v>0</v>
      </c>
      <c r="AQ8" s="38">
        <f t="shared" si="1"/>
        <v>0</v>
      </c>
      <c r="AR8" s="133">
        <f t="shared" si="2"/>
        <v>0</v>
      </c>
      <c r="AS8" s="40">
        <f t="shared" si="3"/>
        <v>4.3999999999999997E-2</v>
      </c>
      <c r="AT8" s="35">
        <f t="shared" si="7"/>
        <v>1</v>
      </c>
      <c r="AU8" s="362" t="s">
        <v>575</v>
      </c>
      <c r="AV8" s="339" t="str">
        <f>ADDRESS(ROW($AM$22),COLUMN($AM$22))</f>
        <v>$AM$22</v>
      </c>
      <c r="AW8" s="138" t="str">
        <f ca="1">GetEnd($AV$1,AV8)</f>
        <v>$AM$117</v>
      </c>
      <c r="AX8" s="339" t="str">
        <f>ADDRESS(ROW($AO$22),COLUMN($AO$22))</f>
        <v>$AO$22</v>
      </c>
      <c r="AY8" s="138" t="str">
        <f t="shared" ca="1" si="8"/>
        <v>$AO$117</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4"/>
        <v>15600</v>
      </c>
      <c r="AN9" s="38">
        <f t="shared" si="5"/>
        <v>5.9999999999999995E-4</v>
      </c>
      <c r="AO9" s="39">
        <f t="shared" si="6"/>
        <v>4.0000000000000001E-3</v>
      </c>
      <c r="AP9" s="38">
        <f t="shared" si="0"/>
        <v>0</v>
      </c>
      <c r="AQ9" s="38">
        <f t="shared" si="1"/>
        <v>0</v>
      </c>
      <c r="AR9" s="133">
        <f t="shared" si="2"/>
        <v>0</v>
      </c>
      <c r="AS9" s="40">
        <f t="shared" si="3"/>
        <v>4.3999999999999997E-2</v>
      </c>
      <c r="AT9" s="35">
        <f t="shared" si="7"/>
        <v>1</v>
      </c>
      <c r="AU9" s="361" t="s">
        <v>578</v>
      </c>
      <c r="AV9" s="339" t="str">
        <f>ADDRESS(ROW($AN$22),COLUMN($AN$22))</f>
        <v>$AN$22</v>
      </c>
      <c r="AW9" s="138" t="str">
        <f ca="1">GetEnd($AV$1,AV9)</f>
        <v>$AN$117</v>
      </c>
      <c r="AX9" s="339" t="str">
        <f>ADDRESS(ROW($AP$22),COLUMN($AP$22))</f>
        <v>$AP$22</v>
      </c>
      <c r="AY9" s="138" t="str">
        <f t="shared" ca="1" si="8"/>
        <v>$AP$117</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-54629.675055405292</v>
      </c>
      <c r="O10" s="352">
        <v>-54620.65</v>
      </c>
      <c r="P10" s="355">
        <f t="shared" ref="P10:P19" ca="1" si="9">N10-O10</f>
        <v>-9.0250554052909138</v>
      </c>
      <c r="AF10" s="28"/>
      <c r="AG10" s="103" t="s">
        <v>142</v>
      </c>
      <c r="AH10" s="119" t="b">
        <f>GetGRIFactor($AH$12,$AH$13)</f>
        <v>0</v>
      </c>
      <c r="AI10" s="29"/>
      <c r="AJ10" s="29"/>
      <c r="AK10" s="29"/>
      <c r="AL10" s="34">
        <v>7</v>
      </c>
      <c r="AM10" s="37">
        <f t="shared" si="4"/>
        <v>15600</v>
      </c>
      <c r="AN10" s="38">
        <f t="shared" si="5"/>
        <v>5.9999999999999995E-4</v>
      </c>
      <c r="AO10" s="39">
        <f t="shared" si="6"/>
        <v>4.0000000000000001E-3</v>
      </c>
      <c r="AP10" s="38">
        <f t="shared" si="0"/>
        <v>0</v>
      </c>
      <c r="AQ10" s="38">
        <f t="shared" si="1"/>
        <v>0</v>
      </c>
      <c r="AR10" s="133">
        <f t="shared" si="2"/>
        <v>0</v>
      </c>
      <c r="AS10" s="40">
        <f t="shared" si="3"/>
        <v>4.3999999999999997E-2</v>
      </c>
      <c r="AT10" s="35">
        <f t="shared" si="7"/>
        <v>1</v>
      </c>
      <c r="AU10" s="361" t="s">
        <v>577</v>
      </c>
      <c r="AV10" s="339" t="str">
        <f>ADDRESS(ROW($AS$22),COLUMN($AS$22))</f>
        <v>$AS$22</v>
      </c>
      <c r="AW10" s="138" t="str">
        <f ca="1">GetEnd($AV$1,AV10)</f>
        <v>$AS$117</v>
      </c>
      <c r="AX10" s="339" t="str">
        <f>ADDRESS(ROW($CC$22),COLUMN($CC$22))</f>
        <v>$CC$22</v>
      </c>
      <c r="AY10" s="138" t="str">
        <f t="shared" ca="1" si="8"/>
        <v>$CC$117</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-2845.4399999999996</v>
      </c>
      <c r="O11" s="357">
        <v>-2845.44</v>
      </c>
      <c r="P11" s="358">
        <f t="shared" ca="1" si="9"/>
        <v>0</v>
      </c>
      <c r="AL11" s="34">
        <v>8</v>
      </c>
      <c r="AM11" s="37">
        <f t="shared" si="4"/>
        <v>15600</v>
      </c>
      <c r="AN11" s="38">
        <f t="shared" si="5"/>
        <v>5.9999999999999995E-4</v>
      </c>
      <c r="AO11" s="39">
        <f t="shared" si="6"/>
        <v>4.0000000000000001E-3</v>
      </c>
      <c r="AP11" s="38">
        <f t="shared" si="0"/>
        <v>0</v>
      </c>
      <c r="AQ11" s="38">
        <f t="shared" si="1"/>
        <v>0</v>
      </c>
      <c r="AR11" s="133">
        <f t="shared" si="2"/>
        <v>0</v>
      </c>
      <c r="AS11" s="40">
        <f t="shared" si="3"/>
        <v>4.3999999999999997E-2</v>
      </c>
      <c r="AT11" s="35">
        <f t="shared" si="7"/>
        <v>1</v>
      </c>
      <c r="AU11" s="361" t="s">
        <v>579</v>
      </c>
      <c r="AV11" s="339" t="str">
        <f>ADDRESS(ROW($AQ$22),COLUMN($AQ$22))</f>
        <v>$AQ$22</v>
      </c>
      <c r="AW11" s="138" t="str">
        <f ca="1">GetEnd($AV$1,AV11)</f>
        <v>$AQ$117</v>
      </c>
      <c r="AX11" s="339" t="str">
        <f>ADDRESS(ROW($CD$22),COLUMN($CD$22))</f>
        <v>$CD$22</v>
      </c>
      <c r="AY11" s="138" t="str">
        <f t="shared" ca="1" si="8"/>
        <v>$CD$117</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4138.3599999999997</v>
      </c>
      <c r="P12" s="355">
        <f t="shared" ca="1" si="9"/>
        <v>-4138.3599999999997</v>
      </c>
      <c r="AG12" s="248" t="s">
        <v>185</v>
      </c>
      <c r="AH12" s="119" t="str">
        <f>GetDBPage($D$2)</f>
        <v>Contract DB (Central)</v>
      </c>
      <c r="AL12" s="34">
        <v>9</v>
      </c>
      <c r="AM12" s="37">
        <f t="shared" si="4"/>
        <v>15600</v>
      </c>
      <c r="AN12" s="38">
        <f t="shared" si="5"/>
        <v>5.9999999999999995E-4</v>
      </c>
      <c r="AO12" s="39">
        <f t="shared" si="6"/>
        <v>4.0000000000000001E-3</v>
      </c>
      <c r="AP12" s="38">
        <f t="shared" si="0"/>
        <v>0</v>
      </c>
      <c r="AQ12" s="38">
        <f t="shared" si="1"/>
        <v>0</v>
      </c>
      <c r="AR12" s="133">
        <f t="shared" si="2"/>
        <v>0</v>
      </c>
      <c r="AS12" s="40">
        <f t="shared" si="3"/>
        <v>4.3999999999999997E-2</v>
      </c>
      <c r="AT12" s="35">
        <f t="shared" si="7"/>
        <v>1</v>
      </c>
      <c r="AU12" s="361" t="s">
        <v>271</v>
      </c>
      <c r="AV12" s="339" t="str">
        <f>ADDRESS(ROW($X$22),COLUMN($X$22))</f>
        <v>$X$22</v>
      </c>
      <c r="AW12" s="138" t="str">
        <f t="shared" ref="AW12:AW17" ca="1" si="11">GetEnd($AV$1,AV12)</f>
        <v>$X$117</v>
      </c>
      <c r="AX12" s="339" t="str">
        <f>ADDRESS(ROW($CE$22),COLUMN($CE$22))</f>
        <v>$CE$22</v>
      </c>
      <c r="AY12" s="138" t="str">
        <f t="shared" ca="1" si="8"/>
        <v>$CE$117</v>
      </c>
    </row>
    <row r="13" spans="1:102" x14ac:dyDescent="0.25">
      <c r="A13" s="270" t="s">
        <v>224</v>
      </c>
      <c r="D13" s="170"/>
      <c r="E13" s="171"/>
      <c r="F13" s="172"/>
      <c r="G13" s="172"/>
      <c r="H13" s="173"/>
      <c r="L13" s="706" t="s">
        <v>155</v>
      </c>
      <c r="M13" s="707"/>
      <c r="N13" s="352">
        <f t="shared" ca="1" si="10"/>
        <v>0</v>
      </c>
      <c r="O13" s="352">
        <v>6.45</v>
      </c>
      <c r="P13" s="355">
        <f t="shared" ca="1" si="9"/>
        <v>-6.45</v>
      </c>
      <c r="AG13" s="248" t="s">
        <v>186</v>
      </c>
      <c r="AH13" s="119">
        <f>GetRecNdx($AH$12,$D$2)</f>
        <v>6</v>
      </c>
      <c r="AL13" s="34">
        <v>10</v>
      </c>
      <c r="AM13" s="37">
        <f t="shared" si="4"/>
        <v>15600</v>
      </c>
      <c r="AN13" s="38">
        <f t="shared" si="5"/>
        <v>5.9999999999999995E-4</v>
      </c>
      <c r="AO13" s="39">
        <f t="shared" si="6"/>
        <v>4.0000000000000001E-3</v>
      </c>
      <c r="AP13" s="38">
        <f t="shared" si="0"/>
        <v>0</v>
      </c>
      <c r="AQ13" s="38">
        <f t="shared" si="1"/>
        <v>0</v>
      </c>
      <c r="AR13" s="133">
        <f t="shared" si="2"/>
        <v>0</v>
      </c>
      <c r="AS13" s="40">
        <f t="shared" si="3"/>
        <v>4.3999999999999997E-2</v>
      </c>
      <c r="AT13" s="35">
        <f t="shared" si="7"/>
        <v>1</v>
      </c>
      <c r="AU13" s="361" t="s">
        <v>155</v>
      </c>
      <c r="AV13" s="339" t="str">
        <f>ADDRESS(ROW($Y$22),COLUMN($Y$22))</f>
        <v>$Y$22</v>
      </c>
      <c r="AW13" s="138" t="str">
        <f t="shared" ca="1" si="11"/>
        <v>$Y$117</v>
      </c>
      <c r="AX13" s="339" t="str">
        <f>ADDRESS(ROW($CF$22),COLUMN($CF$22))</f>
        <v>$CF$22</v>
      </c>
      <c r="AY13" s="138" t="str">
        <f t="shared" ca="1" si="8"/>
        <v>$CF$117</v>
      </c>
    </row>
    <row r="14" spans="1:102" x14ac:dyDescent="0.25">
      <c r="A14" s="270" t="s">
        <v>224</v>
      </c>
      <c r="D14" s="170"/>
      <c r="E14" s="171"/>
      <c r="F14" s="172"/>
      <c r="G14" s="172"/>
      <c r="H14" s="173"/>
      <c r="K14" s="185"/>
      <c r="L14" s="706" t="s">
        <v>156</v>
      </c>
      <c r="M14" s="707"/>
      <c r="N14" s="352">
        <f t="shared" ca="1" si="10"/>
        <v>-3503.2300067206324</v>
      </c>
      <c r="O14" s="352">
        <v>-1115.55</v>
      </c>
      <c r="P14" s="355">
        <f t="shared" ca="1" si="9"/>
        <v>-2387.6800067206323</v>
      </c>
      <c r="S14" s="181">
        <f>F22/(1-AR22)*AH22*AU22</f>
        <v>484822.6322935514</v>
      </c>
      <c r="T14" s="181">
        <f>F22*AH22*AU22</f>
        <v>482883.3417643772</v>
      </c>
      <c r="AL14" s="34">
        <v>11</v>
      </c>
      <c r="AM14" s="37">
        <f t="shared" si="4"/>
        <v>15600</v>
      </c>
      <c r="AN14" s="38">
        <f t="shared" si="5"/>
        <v>5.9999999999999995E-4</v>
      </c>
      <c r="AO14" s="39">
        <f t="shared" si="6"/>
        <v>4.0000000000000001E-3</v>
      </c>
      <c r="AP14" s="38">
        <f t="shared" si="0"/>
        <v>0</v>
      </c>
      <c r="AQ14" s="38">
        <f t="shared" si="1"/>
        <v>0</v>
      </c>
      <c r="AR14" s="133">
        <f t="shared" si="2"/>
        <v>0</v>
      </c>
      <c r="AS14" s="40">
        <f t="shared" si="3"/>
        <v>4.3999999999999997E-2</v>
      </c>
      <c r="AT14" s="35">
        <f t="shared" si="7"/>
        <v>1</v>
      </c>
      <c r="AU14" s="361" t="s">
        <v>156</v>
      </c>
      <c r="AV14" s="339" t="str">
        <f>ADDRESS(ROW($Z$22),COLUMN($Z$22))</f>
        <v>$Z$22</v>
      </c>
      <c r="AW14" s="138" t="str">
        <f t="shared" ca="1" si="11"/>
        <v>$Z$117</v>
      </c>
      <c r="AX14" s="353" t="str">
        <f ca="1">CONCATENATE(AX8,":",AY8)</f>
        <v>$AO$22:$AO$117</v>
      </c>
      <c r="AY14" s="353" t="str">
        <f ca="1">CONCATENATE(AX10,":",AY10)</f>
        <v>$CC$22:$CC$117</v>
      </c>
    </row>
    <row r="15" spans="1:102" ht="13.8" thickBot="1" x14ac:dyDescent="0.3">
      <c r="A15" s="270" t="s">
        <v>224</v>
      </c>
      <c r="D15" s="170"/>
      <c r="E15" s="171"/>
      <c r="F15" s="172"/>
      <c r="G15" s="172"/>
      <c r="H15" s="173"/>
      <c r="L15" s="706" t="s">
        <v>157</v>
      </c>
      <c r="M15" s="707"/>
      <c r="N15" s="352">
        <f t="shared" ca="1" si="10"/>
        <v>657.09927923070097</v>
      </c>
      <c r="O15" s="352">
        <v>1716.43</v>
      </c>
      <c r="P15" s="355">
        <f t="shared" ca="1" si="9"/>
        <v>-1059.3307207692992</v>
      </c>
      <c r="AL15" s="34">
        <v>12</v>
      </c>
      <c r="AM15" s="41">
        <f t="shared" si="4"/>
        <v>15600</v>
      </c>
      <c r="AN15" s="42">
        <f t="shared" si="5"/>
        <v>5.9999999999999995E-4</v>
      </c>
      <c r="AO15" s="43">
        <f t="shared" si="6"/>
        <v>4.0000000000000001E-3</v>
      </c>
      <c r="AP15" s="42">
        <f t="shared" si="0"/>
        <v>0</v>
      </c>
      <c r="AQ15" s="42">
        <f t="shared" si="1"/>
        <v>0</v>
      </c>
      <c r="AR15" s="134">
        <f t="shared" si="2"/>
        <v>0</v>
      </c>
      <c r="AS15" s="44">
        <f t="shared" si="3"/>
        <v>4.3999999999999997E-2</v>
      </c>
      <c r="AT15" s="35">
        <f t="shared" si="7"/>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5">
      <c r="D16" s="174"/>
      <c r="E16" s="175"/>
      <c r="F16" s="176"/>
      <c r="G16" s="176"/>
      <c r="H16" s="177"/>
      <c r="L16" s="706" t="s">
        <v>158</v>
      </c>
      <c r="M16" s="707"/>
      <c r="N16" s="352">
        <f t="shared" ca="1" si="10"/>
        <v>0</v>
      </c>
      <c r="O16" s="352">
        <v>-4.93</v>
      </c>
      <c r="P16" s="355">
        <f t="shared" ca="1" si="9"/>
        <v>4.93</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5">
      <c r="D17" s="171"/>
      <c r="E17" s="171"/>
      <c r="F17" s="172"/>
      <c r="G17" s="172"/>
      <c r="H17" s="172"/>
      <c r="L17" s="704" t="s">
        <v>211</v>
      </c>
      <c r="M17" s="705"/>
      <c r="N17" s="356">
        <f t="shared" ca="1" si="10"/>
        <v>45.872095117630757</v>
      </c>
      <c r="O17" s="357">
        <v>14.94</v>
      </c>
      <c r="P17" s="358">
        <f t="shared" ca="1" si="9"/>
        <v>30.932095117630759</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5">
      <c r="D18" s="171"/>
      <c r="E18" s="171"/>
      <c r="F18" s="172"/>
      <c r="G18" s="172"/>
      <c r="H18" s="172"/>
      <c r="L18" s="706" t="s">
        <v>623</v>
      </c>
      <c r="M18" s="707"/>
      <c r="N18" s="352">
        <f ca="1">SUMPRODUCT(INDIRECT(CONCATENATE(AX4,":",AY4)),INDIRECT(CONCATENATE($AV$2,":",$AW$2)),INDIRECT(CONCATENATE($AV$3,":",$AW$3)))</f>
        <v>118440.48024685266</v>
      </c>
      <c r="O18" s="352">
        <v>118420.97</v>
      </c>
      <c r="P18" s="355">
        <f t="shared" ca="1" si="9"/>
        <v>19.510246852660202</v>
      </c>
      <c r="AU18" s="361"/>
      <c r="AV18" s="339"/>
      <c r="AW18" s="138"/>
      <c r="AX18" s="339" t="str">
        <f>ADDRESS(ROW($CI$22),COLUMN($CI$22))</f>
        <v>$CI$22</v>
      </c>
      <c r="AY18" s="138" t="str">
        <f ca="1">GetEnd($AV$1,AX18)</f>
        <v>$CI$117</v>
      </c>
    </row>
    <row r="19" spans="1:91" x14ac:dyDescent="0.25">
      <c r="D19" s="171"/>
      <c r="E19" s="171"/>
      <c r="F19" s="172"/>
      <c r="G19" s="172"/>
      <c r="H19" s="172"/>
      <c r="L19" s="724" t="s">
        <v>624</v>
      </c>
      <c r="M19" s="725"/>
      <c r="N19" s="359">
        <f ca="1">SUMPRODUCT(INDIRECT(CONCATENATE(AX5,":",AY5)),INDIRECT(CONCATENATE($AV$2,":",$AW$2)),INDIRECT(CONCATENATE($AV$3,":",$AW$3)))</f>
        <v>158649.41491894089</v>
      </c>
      <c r="O19" s="359">
        <v>159643.07</v>
      </c>
      <c r="P19" s="360">
        <f t="shared" ca="1" si="9"/>
        <v>-993.65508105911431</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IF-HARPER Basis Mid</v>
      </c>
      <c r="U20" s="158"/>
      <c r="V20" s="158"/>
      <c r="W20" s="158"/>
      <c r="X20" s="158"/>
      <c r="Y20" s="335"/>
      <c r="Z20" s="335"/>
      <c r="AA20" s="335"/>
      <c r="AB20" s="335"/>
      <c r="AC20" s="335"/>
      <c r="AI20" s="138"/>
      <c r="AM20" s="702" t="str">
        <f>GetRcptPoint($AH$12,$AH$13)</f>
        <v>Ventura</v>
      </c>
      <c r="AN20" s="703"/>
      <c r="AO20" s="702" t="str">
        <f>GetDelPoint($AH$12,$AH$13)</f>
        <v>Harper</v>
      </c>
      <c r="AP20" s="703"/>
      <c r="AQ20" s="137"/>
      <c r="AS20" s="137"/>
      <c r="AU20" s="136" t="s">
        <v>576</v>
      </c>
      <c r="AV20" s="353">
        <f ca="1">SUMPRODUCT(INDIRECT(CONCATENATE(AV8,":",AW8)),INDIRECT(CONCATENATE($AV$2,":",$AW$2)),INDIRECT(CONCATENATE($AV$3,":",$AW$3)),INDIRECT(CONCATENATE(AX3,":",AY3)))</f>
        <v>-312312</v>
      </c>
      <c r="AW20" s="353">
        <f ca="1">SUMPRODUCT(INDIRECT(CONCATENATE(AX8,":",AY8)),INDIRECT(CONCATENATE($AV$2,":",$AW$2)),INDIRECT(CONCATENATE($AV$3,":",$AW$3)),INDIRECT(CONCATENATE(AX3,":",AY3)))</f>
        <v>-114036</v>
      </c>
      <c r="AX20" s="353">
        <f ca="1">SUMPRODUCT(INDIRECT(CONCATENATE(AV9,":",AW9)),INDIRECT(CONCATENATE($AV$2,":",$AW$2)),INDIRECT(CONCATENATE($AV$3,":",$AW$3)),INDIRECT(CONCATENATE(AX3,":",AY3)))</f>
        <v>21060</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37271</v>
      </c>
      <c r="F22" s="28">
        <f t="shared" ref="F22:F85" si="12">VLOOKUP(AG22,$AL$4:$AS$15,2)</f>
        <v>15600</v>
      </c>
      <c r="G22" s="28">
        <f t="shared" ref="G22:G85" si="13">F22*$AU22</f>
        <v>15576.881992399265</v>
      </c>
      <c r="H22" s="52">
        <f t="shared" ref="H22:H85" si="14">(AL22+AM22+AN22)/(1-(AR22))</f>
        <v>2.857429718875502</v>
      </c>
      <c r="I22" s="52">
        <f t="shared" ref="I22:I85" si="15">(AL22+AO22+AP22)</f>
        <v>2.9060000000000001</v>
      </c>
      <c r="K22" s="52">
        <f>MAX(((I22-H22)-AQ22)*AU22*AH22,0)</f>
        <v>1.4848749778701462</v>
      </c>
      <c r="L22" s="135">
        <f>MAX(Q22-K22,0)</f>
        <v>1.4243851745554243</v>
      </c>
      <c r="N22" s="131">
        <f>SQRT(($AX22^2*($AH22/2)+$AW22^2*$AI22)/(($AH22/2)+$AI22))</f>
        <v>1.0449417585150498</v>
      </c>
      <c r="O22" s="131">
        <f>SQRT(($AY22^2*($AH22/2)+$AW22^2*$AI22)/(($AH22/2)+$AI22))</f>
        <v>1.0162176738552315</v>
      </c>
      <c r="P22" s="55">
        <f>(VLOOKUP(AI22,CorrelationTwo,2)*(AW22^2)*AI22+VLOOKUP(D22,CorrelationOne,$AK$9)*AX22*AY22*(AH22/2))/((AI22+(AH22/2))*O22*N22)*AF22</f>
        <v>0.98005377727809406</v>
      </c>
      <c r="Q22" s="135">
        <f>_xll.xSPRDOPT(I22,H22,AQ22,0,O22,N22,P22,D22-$G$5,1,0)*AH22*AU22</f>
        <v>2.9092601524255706</v>
      </c>
      <c r="R22" s="135"/>
      <c r="S22" s="181">
        <f>_xll.xSPRDOPT(I22,H22,AQ22,AT22,O22,N22,P22,D22-$G$5,1,2)*AF22*(F22/(1-AR22))*AH22</f>
        <v>-291210.1656023594</v>
      </c>
      <c r="T22" s="181">
        <f>_xll.xSPRDOPT(I22,H22,AQ22,AT22,O22,N22,P22,D22-$G$5,1,1)*AF22*F22*AH22</f>
        <v>300877.4692906217</v>
      </c>
      <c r="U22" s="135"/>
      <c r="V22" s="146">
        <f t="shared" ref="V22:V85" si="16">VLOOKUP($AG22,$AL$4:$AS$15,8)*AH22*AU22</f>
        <v>1.3619786562584997</v>
      </c>
      <c r="W22" s="146"/>
      <c r="X22" s="338">
        <f t="shared" ref="X22:X85" si="17">((BM22*BC22)+(BL22*BB22))*AH22*F22</f>
        <v>0</v>
      </c>
      <c r="Y22" s="338">
        <f t="shared" ref="Y22:Y117" si="18">($F22*$AH22)*((($BG22/2)*($BC22)^2)+(($BF22/2)*($BB22)^2)+($BH22*$BC22*$BB22))</f>
        <v>0</v>
      </c>
      <c r="Z22" s="338">
        <f t="shared" ref="Z22:Z117" si="19">($BI22*$F22*$AH22*($G$5-$BV$5))/365.25</f>
        <v>-1485.9474655302149</v>
      </c>
      <c r="AA22" s="338">
        <f t="shared" ref="AA22:AA117" si="20">(($BK22*$BE22)+($BJ22*$BD22))*$F22*$AH22*$AF22</f>
        <v>456.06609786278375</v>
      </c>
      <c r="AB22" s="338">
        <f t="shared" ref="AB22:AB85" si="21">BN22*(AT22-CA22)*F22*AH22</f>
        <v>0</v>
      </c>
      <c r="AC22" s="338">
        <f t="shared" ref="AC22:AC85" si="22">BO22*CB22*F22*AH22*CA22*($G$5-$BV$5)/365.25</f>
        <v>7.0878470345477362</v>
      </c>
      <c r="AF22" s="138">
        <f t="shared" ref="AF22:AF85" si="23">IF(AND(D22&gt;=$G$7,D22&lt;=$G$8),1,0)</f>
        <v>1</v>
      </c>
      <c r="AG22" s="138">
        <f t="shared" ref="AG22:AG85" si="24">MONTH(D22)</f>
        <v>1</v>
      </c>
      <c r="AH22" s="138">
        <f t="shared" ref="AH22:AH53" si="25">(EOMONTH(D22,0)-EOMONTH(D22-DAY(D22),0))*AF22</f>
        <v>31</v>
      </c>
      <c r="AI22" s="138">
        <f>MAX(0,(D22-DAY(D22))-$G$5+1)</f>
        <v>15</v>
      </c>
      <c r="AJ22" s="138">
        <f t="shared" ref="AJ22:AJ85" si="26">D22-$BV$5</f>
        <v>32</v>
      </c>
      <c r="AL22" s="136">
        <f t="shared" ref="AL22:AL117" si="27">VLOOKUP($D22,CurveTbl,$AK$4)</f>
        <v>2.8460000000000001</v>
      </c>
      <c r="AM22" s="258">
        <f>VLOOKUP($D22,CurveTbl,$AH$3)</f>
        <v>-1.4999999999999999E-2</v>
      </c>
      <c r="AN22" s="258">
        <f t="shared" ref="AN22:AN117" si="28">VLOOKUP($D22,CurveTbl,$AH$4)+VLOOKUP($AG22,$AL$3:$AS$15,6)</f>
        <v>1.4999999999999999E-2</v>
      </c>
      <c r="AO22" s="258">
        <f t="shared" ref="AO22:AO117" si="29">VLOOKUP($D22,CurveTbl,$AH$5)</f>
        <v>0.06</v>
      </c>
      <c r="AP22" s="258">
        <f t="shared" ref="AP22:AP117" si="30">VLOOKUP($D22,CurveTbl,$AH$6)+VLOOKUP($AG22,$AL$3:$AS$15,7)</f>
        <v>0</v>
      </c>
      <c r="AQ22" s="136">
        <f t="shared" ref="AQ22:AQ85" si="31">VLOOKUP($AG22,$AL$4:$AS$15,3)+VLOOKUP($AG22,$AL$4:$AS$15,5)+($AH$10*VLOOKUP(D22,GRITable,2))</f>
        <v>5.9999999999999995E-4</v>
      </c>
      <c r="AR22" s="137">
        <f t="shared" ref="AR22:AR117" si="32">VLOOKUP($AG22,$AL$4:$AS$15,4)</f>
        <v>4.0000000000000001E-3</v>
      </c>
      <c r="AS22" s="136">
        <f>(AL22+AM22+AN22)</f>
        <v>2.8460000000000001</v>
      </c>
      <c r="AT22" s="137">
        <f t="shared" ref="AT22:AT85" si="33">VLOOKUP(D22,CurveTbl,$AK$6)</f>
        <v>1.8765908157160699E-2</v>
      </c>
      <c r="AU22" s="137">
        <f t="shared" ref="AU22:AU117" si="34">(1+$AT22/2)^(-2*($D22-$G$5)/365.25)*$AF22</f>
        <v>0.99851807643585033</v>
      </c>
      <c r="AV22" s="394">
        <f>ROUND((F22/(1-AR22))-F22,0)*AF22*AH22*AU22</f>
        <v>1950.1058032792157</v>
      </c>
      <c r="AW22" s="137">
        <f t="shared" ref="AW22:AW117" si="35">VLOOKUP($D22,CurveTbl,$AK$8)</f>
        <v>0.87</v>
      </c>
      <c r="AX22" s="137">
        <f t="shared" ref="AX22:AX117" si="36">VLOOKUP($D22,CurveTbl,$AH$7)</f>
        <v>1.19</v>
      </c>
      <c r="AY22" s="137">
        <f t="shared" ref="AY22:AY117" si="37">VLOOKUP($D22,CurveTbl,$AH$8)</f>
        <v>1.1399999999999999</v>
      </c>
      <c r="AZ22" s="137"/>
      <c r="BA22" s="264"/>
      <c r="BB22" s="258">
        <f t="shared" ref="BB22:BB117" si="38">$H22-$BV22</f>
        <v>0</v>
      </c>
      <c r="BC22" s="258">
        <f t="shared" ref="BC22:BC85" si="39">I22-BW22</f>
        <v>0</v>
      </c>
      <c r="BD22" s="137">
        <f t="shared" ref="BD22:BE53" si="40">N22-BX22</f>
        <v>1.4454987578796041E-2</v>
      </c>
      <c r="BE22" s="137">
        <f t="shared" si="40"/>
        <v>1.2225642014340954E-2</v>
      </c>
      <c r="BF22" s="137">
        <f>_xll.xSPRDOPT($BW22,$BV22,$CG22,0,$BY22,$BX22,$BZ22,$AJ22,1,4)*$CB22</f>
        <v>2.2637449542521835</v>
      </c>
      <c r="BG22" s="137">
        <f>_xll.xSPRDOPT($BW22,$BV22,$CG22,0,$BY22,$BX22,$BZ22,$AJ22,1,3)*$CB22</f>
        <v>2.1896071946209443</v>
      </c>
      <c r="BH22" s="137">
        <f>IF(OR(BF22&lt;&gt;0,BG22&lt;&gt;0),_xll.xSPRDOPT($BW22,$BV22,$CG22,0,$BY22,$BX22,$BZ22,$AJ22,1,12)*$CB22,0)</f>
        <v>-2.2263678131265698</v>
      </c>
      <c r="BI22" s="137">
        <f>_xll.xSPRDOPT($BW22,$BV22,$CG22,2*LN(1+CA22/2),$BY22,$BX22,$BZ22,$AJ22,1,9)</f>
        <v>-0.37409864335877513</v>
      </c>
      <c r="BJ22" s="137">
        <f>_xll.xSPRDOPT($BW22,$BV22,$CG22,0,$BY22,$BX22,$BZ22,$AJ22,1,6)*$CB22</f>
        <v>7.3983061501815689E-2</v>
      </c>
      <c r="BK22" s="137">
        <f>_xll.xSPRDOPT($BW22,$BV22,$CG22,0,$BY22,$BX22,$BZ22,$AJ22,1,5)*$CB22</f>
        <v>-1.0335613983275328E-2</v>
      </c>
      <c r="BL22" s="137">
        <f>_xll.xSPRDOPT(BW22,BV22,CG22,0,BY22,BX22,BZ22,AJ22,1,2)*CB22</f>
        <v>-0.59736221043787308</v>
      </c>
      <c r="BM22" s="137">
        <f>_xll.xSPRDOPT(BW22,BV22,CG22,0,BY22,BX22,BZ22,AJ22,1,1)*CB22</f>
        <v>0.62022818505824862</v>
      </c>
      <c r="BN22" s="137">
        <f>IF(AH22&lt;&gt;0,_xll.xSPRDOPT($BW22,$BV22,$CG22,2*LN(1+CA22/2),$BY22,$BX22,$BZ22,$AJ22,1,8)+(AJ22/365.25)*CH22/AH22,0)</f>
        <v>-4.4822183017249606E-3</v>
      </c>
      <c r="BO22" s="137">
        <f>_xll.xSPRDOPT($BW22,$BV22,$CG22,0,$BY22,$BX22,$BZ22,$AJ22,1,0)</f>
        <v>9.5244109108297448E-2</v>
      </c>
      <c r="BP22" s="137"/>
      <c r="BQ22" s="137"/>
      <c r="BR22" s="137"/>
      <c r="BS22" s="137"/>
      <c r="BV22" s="262">
        <v>2.857429718875502</v>
      </c>
      <c r="BW22" s="136">
        <v>2.9060000000000001</v>
      </c>
      <c r="BX22" s="137">
        <v>1.0304867709362537</v>
      </c>
      <c r="BY22" s="137">
        <v>1.0039920318408906</v>
      </c>
      <c r="BZ22" s="137">
        <v>0.9806820963516063</v>
      </c>
      <c r="CA22" s="137">
        <v>1.8765908157160699E-2</v>
      </c>
      <c r="CB22" s="137">
        <v>0.99836489939579565</v>
      </c>
      <c r="CC22" s="258">
        <v>-1.4999999999999999E-2</v>
      </c>
      <c r="CD22" s="258">
        <v>1.4999999999999999E-2</v>
      </c>
      <c r="CE22" s="258">
        <v>0.06</v>
      </c>
      <c r="CF22" s="258">
        <v>0</v>
      </c>
      <c r="CG22" s="258">
        <v>5.9999999999999995E-4</v>
      </c>
      <c r="CH22" s="258">
        <v>1.3617697227758652</v>
      </c>
      <c r="CI22" s="258">
        <v>2.8460000000000001</v>
      </c>
      <c r="CJ22" s="258"/>
      <c r="CK22" s="258"/>
      <c r="CL22" s="258"/>
      <c r="CM22" s="258"/>
    </row>
    <row r="23" spans="1:91" x14ac:dyDescent="0.25">
      <c r="A23" s="723"/>
      <c r="B23" s="723"/>
      <c r="D23" s="31">
        <f t="shared" ref="D23:D86" si="41">D22+AH22</f>
        <v>37302</v>
      </c>
      <c r="F23" s="28">
        <f t="shared" si="12"/>
        <v>15600</v>
      </c>
      <c r="G23" s="28">
        <f t="shared" si="13"/>
        <v>15550.789701524152</v>
      </c>
      <c r="H23" s="52">
        <f t="shared" si="14"/>
        <v>2.929718875502008</v>
      </c>
      <c r="I23" s="52">
        <f t="shared" si="15"/>
        <v>2.9430000000000001</v>
      </c>
      <c r="K23" s="52">
        <f t="shared" ref="K23:K86" si="42">MAX(((I23-H23)-AQ23)*AU23*AH23,0)</f>
        <v>0.35395141069995872</v>
      </c>
      <c r="L23" s="135">
        <f t="shared" ref="L23:L86" si="43">MAX(Q23-K23,0)</f>
        <v>1.7996835963902336</v>
      </c>
      <c r="N23" s="131">
        <f t="shared" ref="N23:N86" si="44">SQRT(($AX23^2*($AH23/2)+$AW23^2*$AI23)/(($AH23/2)+$AI23))</f>
        <v>0.95082201278683076</v>
      </c>
      <c r="O23" s="131">
        <f t="shared" ref="O23:O86" si="45">SQRT(($AY23^2*($AH23/2)+$AW23^2*$AI23)/(($AH23/2)+$AI23))</f>
        <v>0.93641826480834234</v>
      </c>
      <c r="P23" s="55">
        <f t="shared" ref="P23:P86" si="46">(VLOOKUP(AI23,CorrelationTwo,2)*(AW23^2)*AI23+VLOOKUP(D23,CorrelationOne,$AK$9)*AX23*AY23*(AH23/2))/((AI23+(AH23/2))*O23*N23)*AF23</f>
        <v>0.98767965648098666</v>
      </c>
      <c r="Q23" s="135">
        <f>_xll.xSPRDOPT(I23,H23,AQ23,0,O23,N23,P23,D23-$G$5,1,0)*AH23*AU23</f>
        <v>2.1536350070901924</v>
      </c>
      <c r="R23" s="135"/>
      <c r="S23" s="181">
        <f>_xll.xSPRDOPT(I23,H23,AQ23,AT23,O23,N23,P23,D23-$G$5,1,2)*AF23*(F23/(1-AR23))*AH23</f>
        <v>-225809.31821411758</v>
      </c>
      <c r="T23" s="181">
        <f>_xll.xSPRDOPT(I23,H23,AQ23,AT23,O23,N23,P23,D23-$G$5,1,1)*AF23*F23*AH23</f>
        <v>235354.96511338901</v>
      </c>
      <c r="U23" s="135"/>
      <c r="V23" s="146">
        <f t="shared" si="16"/>
        <v>1.2281136482229331</v>
      </c>
      <c r="W23" s="146"/>
      <c r="X23" s="338">
        <f t="shared" si="17"/>
        <v>0</v>
      </c>
      <c r="Y23" s="338">
        <f t="shared" si="18"/>
        <v>0</v>
      </c>
      <c r="Z23" s="338">
        <f t="shared" si="19"/>
        <v>-730.91865357264942</v>
      </c>
      <c r="AA23" s="338">
        <f t="shared" si="20"/>
        <v>129.52042790511064</v>
      </c>
      <c r="AB23" s="338">
        <f t="shared" si="21"/>
        <v>0</v>
      </c>
      <c r="AC23" s="338">
        <f t="shared" si="22"/>
        <v>5.3731372600301324</v>
      </c>
      <c r="AF23" s="138">
        <f t="shared" si="23"/>
        <v>1</v>
      </c>
      <c r="AG23" s="138">
        <f t="shared" si="24"/>
        <v>2</v>
      </c>
      <c r="AH23" s="138">
        <f t="shared" si="25"/>
        <v>28</v>
      </c>
      <c r="AI23" s="138">
        <f t="shared" ref="AI23:AI86" si="47">AI22+AH22</f>
        <v>46</v>
      </c>
      <c r="AJ23" s="138">
        <f t="shared" si="26"/>
        <v>63</v>
      </c>
      <c r="AL23" s="136">
        <f t="shared" si="27"/>
        <v>2.9079999999999999</v>
      </c>
      <c r="AM23" s="258">
        <f t="shared" ref="AM23:AM117" si="48">VLOOKUP($D23,CurveTbl,$AH$3)</f>
        <v>-5.0000000000000001E-3</v>
      </c>
      <c r="AN23" s="258">
        <f t="shared" si="28"/>
        <v>1.4999999999999999E-2</v>
      </c>
      <c r="AO23" s="258">
        <f t="shared" si="29"/>
        <v>3.5000000000000003E-2</v>
      </c>
      <c r="AP23" s="258">
        <f t="shared" si="30"/>
        <v>0</v>
      </c>
      <c r="AQ23" s="136">
        <f t="shared" si="31"/>
        <v>5.9999999999999995E-4</v>
      </c>
      <c r="AR23" s="137">
        <f t="shared" si="32"/>
        <v>4.0000000000000001E-3</v>
      </c>
      <c r="AS23" s="136">
        <f t="shared" ref="AS23:AS86" si="49">(AL23+AM23+AN23)</f>
        <v>2.9180000000000001</v>
      </c>
      <c r="AT23" s="137">
        <f t="shared" si="33"/>
        <v>1.9326187282006298E-2</v>
      </c>
      <c r="AU23" s="137">
        <f t="shared" si="34"/>
        <v>0.99684549368744568</v>
      </c>
      <c r="AV23" s="394">
        <f t="shared" ref="AV23:AV86" si="50">ROUND((F23/(1-AR23))-F23,0)*AF23*AH23*AU23</f>
        <v>1758.4354508646543</v>
      </c>
      <c r="AW23" s="137">
        <f t="shared" si="35"/>
        <v>0.86499999999999999</v>
      </c>
      <c r="AX23" s="137">
        <f t="shared" si="36"/>
        <v>1.19</v>
      </c>
      <c r="AY23" s="137">
        <f t="shared" si="37"/>
        <v>1.1399999999999999</v>
      </c>
      <c r="AZ23" s="137"/>
      <c r="BA23" s="264"/>
      <c r="BB23" s="258">
        <f t="shared" si="38"/>
        <v>0</v>
      </c>
      <c r="BC23" s="258">
        <f t="shared" si="39"/>
        <v>0</v>
      </c>
      <c r="BD23" s="137">
        <f t="shared" si="40"/>
        <v>3.9103660812541685E-3</v>
      </c>
      <c r="BE23" s="137">
        <f t="shared" si="40"/>
        <v>3.2769155060097255E-3</v>
      </c>
      <c r="BF23" s="137">
        <f>_xll.xSPRDOPT($BW23,$BV23,$CG23,0,$BY23,$BX23,$BZ23,$AJ23,1,4)*$CB23</f>
        <v>2.2295717499829291</v>
      </c>
      <c r="BG23" s="137">
        <f>_xll.xSPRDOPT($BW23,$BV23,$CG23,0,$BY23,$BX23,$BZ23,$AJ23,1,3)*$CB23</f>
        <v>2.2103946582625205</v>
      </c>
      <c r="BH23" s="137">
        <f>IF(OR(BF23&lt;&gt;0,BG23&lt;&gt;0),_xll.xSPRDOPT($BW23,$BV23,$CG23,0,$BY23,$BX23,$BZ23,$AJ23,1,12)*$CB23,0)</f>
        <v>-2.2199621568001078</v>
      </c>
      <c r="BI23" s="137">
        <f>_xll.xSPRDOPT($BW23,$BV23,$CG23,2*LN(1+CA23/2),$BY23,$BX23,$BZ23,$AJ23,1,9)</f>
        <v>-0.20373018789484906</v>
      </c>
      <c r="BJ23" s="137">
        <f>_xll.xSPRDOPT($BW23,$BV23,$CG23,0,$BY23,$BX23,$BZ23,$AJ23,1,6)*$CB23</f>
        <v>8.1885694550590235E-2</v>
      </c>
      <c r="BK23" s="137">
        <f>_xll.xSPRDOPT($BW23,$BV23,$CG23,0,$BY23,$BX23,$BZ23,$AJ23,1,5)*$CB23</f>
        <v>-7.2268925795452793E-3</v>
      </c>
      <c r="BL23" s="137">
        <f>_xll.xSPRDOPT(BW23,BV23,CG23,0,BY23,BX23,BZ23,AJ23,1,2)*CB23</f>
        <v>-0.51448323593449452</v>
      </c>
      <c r="BM23" s="137">
        <f>_xll.xSPRDOPT(BW23,BV23,CG23,0,BY23,BX23,BZ23,AJ23,1,1)*CB23</f>
        <v>0.53860339763086917</v>
      </c>
      <c r="BN23" s="137">
        <f>IF(AH23&lt;&gt;0,_xll.xSPRDOPT($BW23,$BV23,$CG23,2*LN(1+CA23/2),$BY23,$BX23,$BZ23,$AJ23,1,8)+(AJ23/365.25)*CH23/AH23,0)</f>
        <v>-5.8023351885515282E-3</v>
      </c>
      <c r="BO23" s="137">
        <f>_xll.xSPRDOPT($BW23,$BV23,$CG23,0,$BY23,$BX23,$BZ23,$AJ23,1,0)</f>
        <v>7.7751513013619308E-2</v>
      </c>
      <c r="BP23" s="137"/>
      <c r="BQ23" s="137"/>
      <c r="BR23" s="137"/>
      <c r="BS23" s="137"/>
      <c r="BV23" s="262">
        <v>2.929718875502008</v>
      </c>
      <c r="BW23" s="136">
        <v>2.9430000000000001</v>
      </c>
      <c r="BX23" s="137">
        <v>0.94691164670557659</v>
      </c>
      <c r="BY23" s="137">
        <v>0.93314134930233261</v>
      </c>
      <c r="BZ23" s="137">
        <v>0.98797038391070735</v>
      </c>
      <c r="CA23" s="137">
        <v>1.9326187282006298E-2</v>
      </c>
      <c r="CB23" s="137">
        <v>0.99668802984454063</v>
      </c>
      <c r="CC23" s="258">
        <v>-5.0000000000000001E-3</v>
      </c>
      <c r="CD23" s="258">
        <v>1.4999999999999999E-2</v>
      </c>
      <c r="CE23" s="258">
        <v>3.5000000000000003E-2</v>
      </c>
      <c r="CF23" s="258">
        <v>0</v>
      </c>
      <c r="CG23" s="258">
        <v>5.9999999999999995E-4</v>
      </c>
      <c r="CH23" s="258">
        <v>1.2279196527684741</v>
      </c>
      <c r="CI23" s="258">
        <v>2.9079999999999999</v>
      </c>
      <c r="CJ23" s="258"/>
      <c r="CK23" s="258"/>
      <c r="CL23" s="258"/>
      <c r="CM23" s="258"/>
    </row>
    <row r="24" spans="1:91" x14ac:dyDescent="0.25">
      <c r="A24" s="723"/>
      <c r="B24" s="723"/>
      <c r="D24" s="31">
        <f t="shared" si="41"/>
        <v>37330</v>
      </c>
      <c r="F24" s="28">
        <f t="shared" si="12"/>
        <v>15600</v>
      </c>
      <c r="G24" s="28">
        <f t="shared" si="13"/>
        <v>15528.074480996262</v>
      </c>
      <c r="H24" s="52">
        <f t="shared" si="14"/>
        <v>2.9236947791164662</v>
      </c>
      <c r="I24" s="52">
        <f t="shared" si="15"/>
        <v>2.9370000000000003</v>
      </c>
      <c r="K24" s="52">
        <f t="shared" si="42"/>
        <v>0.39204590394152511</v>
      </c>
      <c r="L24" s="135">
        <f t="shared" si="43"/>
        <v>1.6157684996627619</v>
      </c>
      <c r="N24" s="131">
        <f t="shared" si="44"/>
        <v>0.80820478349675651</v>
      </c>
      <c r="O24" s="131">
        <f t="shared" si="45"/>
        <v>0.79</v>
      </c>
      <c r="P24" s="55">
        <f t="shared" si="46"/>
        <v>0.99211504222462454</v>
      </c>
      <c r="Q24" s="135">
        <f>_xll.xSPRDOPT(I24,H24,AQ24,0,O24,N24,P24,D24-$G$5,1,0)*AH24*AU24</f>
        <v>2.0078144036042871</v>
      </c>
      <c r="R24" s="135"/>
      <c r="S24" s="181">
        <f>_xll.xSPRDOPT(I24,H24,AQ24,AT24,O24,N24,P24,D24-$G$5,1,2)*AF24*(F24/(1-AR24))*AH24</f>
        <v>-253519.64217628242</v>
      </c>
      <c r="T24" s="181">
        <f>_xll.xSPRDOPT(I24,H24,AQ24,AT24,O24,N24,P24,D24-$G$5,1,1)*AF24*F24*AH24</f>
        <v>262081.27670940186</v>
      </c>
      <c r="U24" s="135"/>
      <c r="V24" s="146">
        <f t="shared" si="16"/>
        <v>1.3577111276973652</v>
      </c>
      <c r="W24" s="146"/>
      <c r="X24" s="338">
        <f t="shared" si="17"/>
        <v>0</v>
      </c>
      <c r="Y24" s="338">
        <f t="shared" si="18"/>
        <v>0</v>
      </c>
      <c r="Z24" s="338">
        <f t="shared" si="19"/>
        <v>-459.74751596416371</v>
      </c>
      <c r="AA24" s="338">
        <f t="shared" si="20"/>
        <v>38.179468185736418</v>
      </c>
      <c r="AB24" s="338">
        <f t="shared" si="21"/>
        <v>0</v>
      </c>
      <c r="AC24" s="338">
        <f t="shared" si="22"/>
        <v>4.9810284038454764</v>
      </c>
      <c r="AF24" s="138">
        <f t="shared" si="23"/>
        <v>1</v>
      </c>
      <c r="AG24" s="138">
        <f t="shared" si="24"/>
        <v>3</v>
      </c>
      <c r="AH24" s="138">
        <f t="shared" si="25"/>
        <v>31</v>
      </c>
      <c r="AI24" s="138">
        <f t="shared" si="47"/>
        <v>74</v>
      </c>
      <c r="AJ24" s="138">
        <f t="shared" si="26"/>
        <v>91</v>
      </c>
      <c r="AL24" s="136">
        <f t="shared" si="27"/>
        <v>2.9020000000000001</v>
      </c>
      <c r="AM24" s="258">
        <f t="shared" si="48"/>
        <v>-5.0000000000000001E-3</v>
      </c>
      <c r="AN24" s="258">
        <f t="shared" si="28"/>
        <v>1.4999999999999999E-2</v>
      </c>
      <c r="AO24" s="258">
        <f t="shared" si="29"/>
        <v>3.5000000000000003E-2</v>
      </c>
      <c r="AP24" s="258">
        <f t="shared" si="30"/>
        <v>0</v>
      </c>
      <c r="AQ24" s="136">
        <f t="shared" si="31"/>
        <v>5.9999999999999995E-4</v>
      </c>
      <c r="AR24" s="137">
        <f t="shared" si="32"/>
        <v>4.0000000000000001E-3</v>
      </c>
      <c r="AS24" s="136">
        <f t="shared" si="49"/>
        <v>2.9120000000000004</v>
      </c>
      <c r="AT24" s="137">
        <f t="shared" si="33"/>
        <v>1.9273175363903501E-2</v>
      </c>
      <c r="AU24" s="137">
        <f t="shared" si="34"/>
        <v>0.99538938980745262</v>
      </c>
      <c r="AV24" s="394">
        <f t="shared" si="50"/>
        <v>1943.9954782939549</v>
      </c>
      <c r="AW24" s="137">
        <f t="shared" si="35"/>
        <v>0.79</v>
      </c>
      <c r="AX24" s="137">
        <f t="shared" si="36"/>
        <v>0.89</v>
      </c>
      <c r="AY24" s="137">
        <f t="shared" si="37"/>
        <v>0.79</v>
      </c>
      <c r="AZ24" s="137"/>
      <c r="BA24" s="264"/>
      <c r="BB24" s="258">
        <f t="shared" si="38"/>
        <v>0</v>
      </c>
      <c r="BC24" s="258">
        <f t="shared" si="39"/>
        <v>0</v>
      </c>
      <c r="BD24" s="137">
        <f t="shared" si="40"/>
        <v>5.8398674165105469E-4</v>
      </c>
      <c r="BE24" s="137">
        <f t="shared" si="40"/>
        <v>0</v>
      </c>
      <c r="BF24" s="137">
        <f>_xll.xSPRDOPT($BW24,$BV24,$CG24,0,$BY24,$BX24,$BZ24,$AJ24,1,4)*$CB24</f>
        <v>2.6940824451422194</v>
      </c>
      <c r="BG24" s="137">
        <f>_xll.xSPRDOPT($BW24,$BV24,$CG24,0,$BY24,$BX24,$BZ24,$AJ24,1,3)*$CB24</f>
        <v>2.6708130213393773</v>
      </c>
      <c r="BH24" s="137">
        <f>IF(OR(BF24&lt;&gt;0,BG24&lt;&gt;0),_xll.xSPRDOPT($BW24,$BV24,$CG24,0,$BY24,$BX24,$BZ24,$AJ24,1,12)*$CB24,0)</f>
        <v>-2.6824220872792641</v>
      </c>
      <c r="BI24" s="137">
        <f>_xll.xSPRDOPT($BW24,$BV24,$CG24,2*LN(1+CA24/2),$BY24,$BX24,$BZ24,$AJ24,1,9)</f>
        <v>-0.11574495464978689</v>
      </c>
      <c r="BJ24" s="137">
        <f>_xll.xSPRDOPT($BW24,$BV24,$CG24,0,$BY24,$BX24,$BZ24,$AJ24,1,6)*$CB24</f>
        <v>0.13518876328721205</v>
      </c>
      <c r="BK24" s="137">
        <f>_xll.xSPRDOPT($BW24,$BV24,$CG24,0,$BY24,$BX24,$BZ24,$AJ24,1,5)*$CB24</f>
        <v>-6.4411355742598542E-2</v>
      </c>
      <c r="BL24" s="137">
        <f>_xll.xSPRDOPT(BW24,BV24,CG24,0,BY24,BX24,BZ24,AJ24,1,2)*CB24</f>
        <v>-0.5218331074884468</v>
      </c>
      <c r="BM24" s="137">
        <f>_xll.xSPRDOPT(BW24,BV24,CG24,0,BY24,BX24,BZ24,AJ24,1,1)*CB24</f>
        <v>0.54173689467195485</v>
      </c>
      <c r="BN24" s="137">
        <f>IF(AH24&lt;&gt;0,_xll.xSPRDOPT($BW24,$BV24,$CG24,2*LN(1+CA24/2),$BY24,$BX24,$BZ24,$AJ24,1,8)+(AJ24/365.25)*CH24/AH24,0)</f>
        <v>-5.3005262427042281E-3</v>
      </c>
      <c r="BO24" s="137">
        <f>_xll.xSPRDOPT($BW24,$BV24,$CG24,0,$BY24,$BX24,$BZ24,$AJ24,1,0)</f>
        <v>6.5376826597314974E-2</v>
      </c>
      <c r="BP24" s="137"/>
      <c r="BQ24" s="137"/>
      <c r="BR24" s="137"/>
      <c r="BS24" s="137"/>
      <c r="BV24" s="262">
        <v>2.9236947791164662</v>
      </c>
      <c r="BW24" s="136">
        <v>2.9370000000000003</v>
      </c>
      <c r="BX24" s="137">
        <v>0.80762079675510545</v>
      </c>
      <c r="BY24" s="137">
        <v>0.79</v>
      </c>
      <c r="BZ24" s="137">
        <v>0.99227796949281377</v>
      </c>
      <c r="CA24" s="137">
        <v>1.9273175363903501E-2</v>
      </c>
      <c r="CB24" s="137">
        <v>0.99523258517239033</v>
      </c>
      <c r="CC24" s="258">
        <v>-5.0000000000000001E-3</v>
      </c>
      <c r="CD24" s="258">
        <v>1.4999999999999999E-2</v>
      </c>
      <c r="CE24" s="258">
        <v>3.5000000000000003E-2</v>
      </c>
      <c r="CF24" s="258">
        <v>0</v>
      </c>
      <c r="CG24" s="258">
        <v>5.9999999999999995E-4</v>
      </c>
      <c r="CH24" s="258">
        <v>1.3574972461751402</v>
      </c>
      <c r="CI24" s="258">
        <v>2.9020000000000001</v>
      </c>
      <c r="CJ24" s="258"/>
      <c r="CK24" s="258"/>
      <c r="CL24" s="258"/>
      <c r="CM24" s="258"/>
    </row>
    <row r="25" spans="1:91" x14ac:dyDescent="0.25">
      <c r="A25" s="723"/>
      <c r="B25" s="723"/>
      <c r="D25" s="31">
        <f t="shared" si="41"/>
        <v>37361</v>
      </c>
      <c r="F25" s="28">
        <f t="shared" si="12"/>
        <v>15600</v>
      </c>
      <c r="G25" s="28">
        <f t="shared" si="13"/>
        <v>15502.068470040862</v>
      </c>
      <c r="H25" s="52">
        <f t="shared" si="14"/>
        <v>2.7690763052208838</v>
      </c>
      <c r="I25" s="52">
        <f t="shared" si="15"/>
        <v>2.7954999999999997</v>
      </c>
      <c r="K25" s="52">
        <f t="shared" si="42"/>
        <v>0.76984747041402135</v>
      </c>
      <c r="L25" s="135">
        <f t="shared" si="43"/>
        <v>0.53499836442818383</v>
      </c>
      <c r="N25" s="131">
        <f t="shared" si="44"/>
        <v>0.60633118013178244</v>
      </c>
      <c r="O25" s="131">
        <f t="shared" si="45"/>
        <v>0.60633118013178244</v>
      </c>
      <c r="P25" s="55">
        <f t="shared" si="46"/>
        <v>0.99714052565366673</v>
      </c>
      <c r="Q25" s="135">
        <f>_xll.xSPRDOPT(I25,H25,AQ25,0,O25,N25,P25,D25-$G$5,1,0)*AH25*AU25</f>
        <v>1.3048458348422052</v>
      </c>
      <c r="R25" s="135"/>
      <c r="S25" s="181">
        <f>_xll.xSPRDOPT(I25,H25,AQ25,AT25,O25,N25,P25,D25-$G$5,1,2)*AF25*(F25/(1-AR25))*AH25</f>
        <v>-295861.6460267037</v>
      </c>
      <c r="T25" s="181">
        <f>_xll.xSPRDOPT(I25,H25,AQ25,AT25,O25,N25,P25,D25-$G$5,1,1)*AF25*F25*AH25</f>
        <v>299237.86129381531</v>
      </c>
      <c r="U25" s="135"/>
      <c r="V25" s="146">
        <f t="shared" si="16"/>
        <v>1.3117134859265343</v>
      </c>
      <c r="W25" s="146"/>
      <c r="X25" s="338">
        <f t="shared" si="17"/>
        <v>0</v>
      </c>
      <c r="Y25" s="338">
        <f t="shared" si="18"/>
        <v>0</v>
      </c>
      <c r="Z25" s="338">
        <f t="shared" si="19"/>
        <v>-152.73542555745229</v>
      </c>
      <c r="AA25" s="338">
        <f t="shared" si="20"/>
        <v>-1.8773648533109257</v>
      </c>
      <c r="AB25" s="338">
        <f t="shared" si="21"/>
        <v>0</v>
      </c>
      <c r="AC25" s="338">
        <f t="shared" si="22"/>
        <v>3.2469971962743296</v>
      </c>
      <c r="AF25" s="138">
        <f t="shared" si="23"/>
        <v>1</v>
      </c>
      <c r="AG25" s="138">
        <f t="shared" si="24"/>
        <v>4</v>
      </c>
      <c r="AH25" s="138">
        <f t="shared" si="25"/>
        <v>30</v>
      </c>
      <c r="AI25" s="138">
        <f t="shared" si="47"/>
        <v>105</v>
      </c>
      <c r="AJ25" s="138">
        <f t="shared" si="26"/>
        <v>122</v>
      </c>
      <c r="AL25" s="136">
        <f t="shared" si="27"/>
        <v>2.8479999999999999</v>
      </c>
      <c r="AM25" s="258">
        <f t="shared" si="48"/>
        <v>-0.09</v>
      </c>
      <c r="AN25" s="258">
        <f t="shared" si="28"/>
        <v>0</v>
      </c>
      <c r="AO25" s="258">
        <f t="shared" si="29"/>
        <v>-5.2499999999999998E-2</v>
      </c>
      <c r="AP25" s="258">
        <f t="shared" si="30"/>
        <v>0</v>
      </c>
      <c r="AQ25" s="136">
        <f t="shared" si="31"/>
        <v>5.9999999999999995E-4</v>
      </c>
      <c r="AR25" s="137">
        <f t="shared" si="32"/>
        <v>4.0000000000000001E-3</v>
      </c>
      <c r="AS25" s="136">
        <f t="shared" si="49"/>
        <v>2.758</v>
      </c>
      <c r="AT25" s="137">
        <f t="shared" si="33"/>
        <v>1.9422640119623601E-2</v>
      </c>
      <c r="AU25" s="137">
        <f t="shared" si="34"/>
        <v>0.99372233782313213</v>
      </c>
      <c r="AV25" s="394">
        <f t="shared" si="50"/>
        <v>1878.1352184857196</v>
      </c>
      <c r="AW25" s="137">
        <f t="shared" si="35"/>
        <v>0.61</v>
      </c>
      <c r="AX25" s="137">
        <f t="shared" si="36"/>
        <v>0.57999999999999996</v>
      </c>
      <c r="AY25" s="137">
        <f t="shared" si="37"/>
        <v>0.57999999999999996</v>
      </c>
      <c r="AZ25" s="137"/>
      <c r="BA25" s="264"/>
      <c r="BB25" s="258">
        <f t="shared" si="38"/>
        <v>0</v>
      </c>
      <c r="BC25" s="258">
        <f t="shared" si="39"/>
        <v>0</v>
      </c>
      <c r="BD25" s="137">
        <f t="shared" si="40"/>
        <v>-8.9747494742220546E-5</v>
      </c>
      <c r="BE25" s="137">
        <f t="shared" si="40"/>
        <v>-8.9747494742220546E-5</v>
      </c>
      <c r="BF25" s="137">
        <f>_xll.xSPRDOPT($BW25,$BV25,$CG25,0,$BY25,$BX25,$BZ25,$AJ25,1,4)*$CB25</f>
        <v>5.1583068388862277</v>
      </c>
      <c r="BG25" s="137">
        <f>_xll.xSPRDOPT($BW25,$BV25,$CG25,0,$BY25,$BX25,$BZ25,$AJ25,1,3)*$CB25</f>
        <v>5.0634370932820794</v>
      </c>
      <c r="BH25" s="137">
        <f>IF(OR(BF25&lt;&gt;0,BG25&lt;&gt;0),_xll.xSPRDOPT($BW25,$BV25,$CG25,0,$BY25,$BX25,$BZ25,$AJ25,1,12)*$CB25,0)</f>
        <v>-5.1106554056723468</v>
      </c>
      <c r="BI25" s="137">
        <f>_xll.xSPRDOPT($BW25,$BV25,$CG25,2*LN(1+CA25/2),$BY25,$BX25,$BZ25,$AJ25,1,9)</f>
        <v>-3.9734055687221825E-2</v>
      </c>
      <c r="BJ25" s="137">
        <f>_xll.xSPRDOPT($BW25,$BV25,$CG25,0,$BY25,$BX25,$BZ25,$AJ25,1,6)*$CB25</f>
        <v>2.0618084234526636E-2</v>
      </c>
      <c r="BK25" s="137">
        <f>_xll.xSPRDOPT($BW25,$BV25,$CG25,0,$BY25,$BX25,$BZ25,$AJ25,1,5)*$CB25</f>
        <v>2.4079134036551649E-2</v>
      </c>
      <c r="BL25" s="137">
        <f>_xll.xSPRDOPT(BW25,BV25,CG25,0,BY25,BX25,BZ25,AJ25,1,2)*CB25</f>
        <v>-0.6295594329906381</v>
      </c>
      <c r="BM25" s="137">
        <f>_xll.xSPRDOPT(BW25,BV25,CG25,0,BY25,BX25,BZ25,AJ25,1,1)*CB25</f>
        <v>0.6393021740362862</v>
      </c>
      <c r="BN25" s="137">
        <f>IF(AH25&lt;&gt;0,_xll.xSPRDOPT($BW25,$BV25,$CG25,2*LN(1+CA25/2),$BY25,$BX25,$BZ25,$AJ25,1,8)+(AJ25/365.25)*CH25/AH25,0)</f>
        <v>7.5523052210733216E-5</v>
      </c>
      <c r="BO25" s="137">
        <f>_xll.xSPRDOPT($BW25,$BV25,$CG25,0,$BY25,$BX25,$BZ25,$AJ25,1,0)</f>
        <v>4.3772430621661383E-2</v>
      </c>
      <c r="BP25" s="137"/>
      <c r="BQ25" s="137"/>
      <c r="BR25" s="137"/>
      <c r="BS25" s="137"/>
      <c r="BV25" s="262">
        <v>2.7690763052208838</v>
      </c>
      <c r="BW25" s="136">
        <v>2.7954999999999997</v>
      </c>
      <c r="BX25" s="137">
        <v>0.60642092762652466</v>
      </c>
      <c r="BY25" s="137">
        <v>0.60642092762652466</v>
      </c>
      <c r="BZ25" s="137">
        <v>0.99721109460391566</v>
      </c>
      <c r="CA25" s="137">
        <v>1.9422640119623601E-2</v>
      </c>
      <c r="CB25" s="137">
        <v>0.99356458774998258</v>
      </c>
      <c r="CC25" s="258">
        <v>-0.09</v>
      </c>
      <c r="CD25" s="258">
        <v>0</v>
      </c>
      <c r="CE25" s="258">
        <v>-5.2499999999999998E-2</v>
      </c>
      <c r="CF25" s="258">
        <v>0</v>
      </c>
      <c r="CG25" s="258">
        <v>5.9999999999999995E-4</v>
      </c>
      <c r="CH25" s="258">
        <v>1.3115052558299769</v>
      </c>
      <c r="CI25" s="258">
        <v>2.8479999999999999</v>
      </c>
      <c r="CJ25" s="258"/>
      <c r="CK25" s="258"/>
      <c r="CL25" s="258"/>
      <c r="CM25" s="258"/>
    </row>
    <row r="26" spans="1:91" x14ac:dyDescent="0.25">
      <c r="A26" s="723"/>
      <c r="B26" s="723"/>
      <c r="D26" s="31">
        <f t="shared" si="41"/>
        <v>37391</v>
      </c>
      <c r="F26" s="28">
        <f t="shared" si="12"/>
        <v>15600</v>
      </c>
      <c r="G26" s="28">
        <f t="shared" si="13"/>
        <v>15475.666857319695</v>
      </c>
      <c r="H26" s="52">
        <f t="shared" si="14"/>
        <v>2.8172690763052208</v>
      </c>
      <c r="I26" s="52">
        <f t="shared" si="15"/>
        <v>2.8434999999999997</v>
      </c>
      <c r="K26" s="52">
        <f t="shared" si="42"/>
        <v>0.78822594402045876</v>
      </c>
      <c r="L26" s="135">
        <f t="shared" si="43"/>
        <v>0.67976089820333485</v>
      </c>
      <c r="N26" s="131">
        <f t="shared" si="44"/>
        <v>0.57775797476853397</v>
      </c>
      <c r="O26" s="131">
        <f t="shared" si="45"/>
        <v>0.58312535051959857</v>
      </c>
      <c r="P26" s="55">
        <f t="shared" si="46"/>
        <v>0.99686811971705225</v>
      </c>
      <c r="Q26" s="135">
        <f>_xll.xSPRDOPT(I26,H26,AQ26,0,O26,N26,P26,D26-$G$5,1,0)*AH26*AU26</f>
        <v>1.4679868422237936</v>
      </c>
      <c r="R26" s="135"/>
      <c r="S26" s="181">
        <f>_xll.xSPRDOPT(I26,H26,AQ26,AT26,O26,N26,P26,D26-$G$5,1,2)*AF26*(F26/(1-AR26))*AH26</f>
        <v>-296091.56134891679</v>
      </c>
      <c r="T26" s="181">
        <f>_xll.xSPRDOPT(I26,H26,AQ26,AT26,O26,N26,P26,D26-$G$5,1,1)*AF26*F26*AH26</f>
        <v>300301.16280871141</v>
      </c>
      <c r="U26" s="135"/>
      <c r="V26" s="146">
        <f t="shared" si="16"/>
        <v>1.3531288200887219</v>
      </c>
      <c r="W26" s="146"/>
      <c r="X26" s="338">
        <f t="shared" si="17"/>
        <v>0</v>
      </c>
      <c r="Y26" s="338">
        <f t="shared" si="18"/>
        <v>0</v>
      </c>
      <c r="Z26" s="338">
        <f t="shared" si="19"/>
        <v>-147.00412527329357</v>
      </c>
      <c r="AA26" s="338">
        <f t="shared" si="20"/>
        <v>5.5712493222772741</v>
      </c>
      <c r="AB26" s="338">
        <f t="shared" si="21"/>
        <v>0</v>
      </c>
      <c r="AC26" s="338">
        <f t="shared" si="22"/>
        <v>3.7074093284421301</v>
      </c>
      <c r="AF26" s="138">
        <f t="shared" si="23"/>
        <v>1</v>
      </c>
      <c r="AG26" s="138">
        <f t="shared" si="24"/>
        <v>5</v>
      </c>
      <c r="AH26" s="138">
        <f t="shared" si="25"/>
        <v>31</v>
      </c>
      <c r="AI26" s="138">
        <f t="shared" si="47"/>
        <v>135</v>
      </c>
      <c r="AJ26" s="138">
        <f t="shared" si="26"/>
        <v>152</v>
      </c>
      <c r="AL26" s="136">
        <f t="shared" si="27"/>
        <v>2.8959999999999999</v>
      </c>
      <c r="AM26" s="258">
        <f t="shared" si="48"/>
        <v>-0.09</v>
      </c>
      <c r="AN26" s="258">
        <f t="shared" si="28"/>
        <v>0</v>
      </c>
      <c r="AO26" s="258">
        <f t="shared" si="29"/>
        <v>-5.2499999999999998E-2</v>
      </c>
      <c r="AP26" s="258">
        <f t="shared" si="30"/>
        <v>0</v>
      </c>
      <c r="AQ26" s="136">
        <f t="shared" si="31"/>
        <v>5.9999999999999995E-4</v>
      </c>
      <c r="AR26" s="137">
        <f t="shared" si="32"/>
        <v>4.0000000000000001E-3</v>
      </c>
      <c r="AS26" s="136">
        <f t="shared" si="49"/>
        <v>2.806</v>
      </c>
      <c r="AT26" s="137">
        <f t="shared" si="33"/>
        <v>1.9712159578257001E-2</v>
      </c>
      <c r="AU26" s="137">
        <f t="shared" si="34"/>
        <v>0.99202992675126245</v>
      </c>
      <c r="AV26" s="394">
        <f t="shared" si="50"/>
        <v>1937.4344469452155</v>
      </c>
      <c r="AW26" s="137">
        <f t="shared" si="35"/>
        <v>0.57750000000000001</v>
      </c>
      <c r="AX26" s="137">
        <f t="shared" si="36"/>
        <v>0.57999999999999996</v>
      </c>
      <c r="AY26" s="137">
        <f t="shared" si="37"/>
        <v>0.63</v>
      </c>
      <c r="AZ26" s="137"/>
      <c r="BA26" s="264"/>
      <c r="BB26" s="258">
        <f t="shared" si="38"/>
        <v>0</v>
      </c>
      <c r="BC26" s="258">
        <f t="shared" si="39"/>
        <v>0</v>
      </c>
      <c r="BD26" s="137">
        <f t="shared" si="40"/>
        <v>5.0407485243653127E-6</v>
      </c>
      <c r="BE26" s="137">
        <f t="shared" si="40"/>
        <v>1.0942167210792331E-4</v>
      </c>
      <c r="BF26" s="137">
        <f>_xll.xSPRDOPT($BW26,$BV26,$CG26,0,$BY26,$BX26,$BZ26,$AJ26,1,4)*$CB26</f>
        <v>4.5543228689711892</v>
      </c>
      <c r="BG26" s="137">
        <f>_xll.xSPRDOPT($BW26,$BV26,$CG26,0,$BY26,$BX26,$BZ26,$AJ26,1,3)*$CB26</f>
        <v>4.4726041537463921</v>
      </c>
      <c r="BH26" s="137">
        <f>IF(OR(BF26&lt;&gt;0,BG26&lt;&gt;0),_xll.xSPRDOPT($BW26,$BV26,$CG26,0,$BY26,$BX26,$BZ26,$AJ26,1,12)*$CB26,0)</f>
        <v>-4.5132783324860908</v>
      </c>
      <c r="BI26" s="137">
        <f>_xll.xSPRDOPT($BW26,$BV26,$CG26,2*LN(1+CA26/2),$BY26,$BX26,$BZ26,$AJ26,1,9)</f>
        <v>-3.7009413258940221E-2</v>
      </c>
      <c r="BJ26" s="137">
        <f>_xll.xSPRDOPT($BW26,$BV26,$CG26,0,$BY26,$BX26,$BZ26,$AJ26,1,6)*$CB26</f>
        <v>-5.410488263662766E-2</v>
      </c>
      <c r="BK26" s="137">
        <f>_xll.xSPRDOPT($BW26,$BV26,$CG26,0,$BY26,$BX26,$BZ26,$AJ26,1,5)*$CB26</f>
        <v>0.10777659993219262</v>
      </c>
      <c r="BL26" s="137">
        <f>_xll.xSPRDOPT(BW26,BV26,CG26,0,BY26,BX26,BZ26,AJ26,1,2)*CB26</f>
        <v>-0.60973014161256744</v>
      </c>
      <c r="BM26" s="137">
        <f>_xll.xSPRDOPT(BW26,BV26,CG26,0,BY26,BX26,BZ26,AJ26,1,1)*CB26</f>
        <v>0.62088376194877426</v>
      </c>
      <c r="BN26" s="137">
        <f>IF(AH26&lt;&gt;0,_xll.xSPRDOPT($BW26,$BV26,$CG26,2*LN(1+CA26/2),$BY26,$BX26,$BZ26,$AJ26,1,8)+(AJ26/365.25)*CH26/AH26,0)</f>
        <v>-1.5429338070704554E-3</v>
      </c>
      <c r="BO26" s="137">
        <f>_xll.xSPRDOPT($BW26,$BV26,$CG26,0,$BY26,$BX26,$BZ26,$AJ26,1,0)</f>
        <v>4.7737998551866653E-2</v>
      </c>
      <c r="BP26" s="137"/>
      <c r="BQ26" s="137"/>
      <c r="BR26" s="137"/>
      <c r="BS26" s="137"/>
      <c r="BV26" s="262">
        <v>2.8172690763052208</v>
      </c>
      <c r="BW26" s="136">
        <v>2.8434999999999997</v>
      </c>
      <c r="BX26" s="137">
        <v>0.5777529340200096</v>
      </c>
      <c r="BY26" s="137">
        <v>0.58301592884749065</v>
      </c>
      <c r="BZ26" s="137">
        <v>0.99692791467439357</v>
      </c>
      <c r="CA26" s="137">
        <v>1.9712159578257001E-2</v>
      </c>
      <c r="CB26" s="137">
        <v>0.99187010954216859</v>
      </c>
      <c r="CC26" s="258">
        <v>-0.09</v>
      </c>
      <c r="CD26" s="258">
        <v>0</v>
      </c>
      <c r="CE26" s="258">
        <v>-5.2499999999999998E-2</v>
      </c>
      <c r="CF26" s="258">
        <v>0</v>
      </c>
      <c r="CG26" s="258">
        <v>5.9999999999999995E-4</v>
      </c>
      <c r="CH26" s="258">
        <v>1.3529108294155179</v>
      </c>
      <c r="CI26" s="258">
        <v>2.8959999999999999</v>
      </c>
      <c r="CJ26" s="258"/>
      <c r="CK26" s="258"/>
      <c r="CL26" s="258"/>
      <c r="CM26" s="258"/>
    </row>
    <row r="27" spans="1:91" x14ac:dyDescent="0.25">
      <c r="A27" s="726"/>
      <c r="B27" s="726"/>
      <c r="C27" s="726"/>
      <c r="D27" s="31">
        <f t="shared" si="41"/>
        <v>37422</v>
      </c>
      <c r="F27" s="28">
        <f t="shared" si="12"/>
        <v>15600</v>
      </c>
      <c r="G27" s="28">
        <f t="shared" si="13"/>
        <v>15447.668387160853</v>
      </c>
      <c r="H27" s="52">
        <f t="shared" si="14"/>
        <v>2.8674698795180724</v>
      </c>
      <c r="I27" s="52">
        <f t="shared" si="15"/>
        <v>2.8935</v>
      </c>
      <c r="K27" s="52">
        <f t="shared" si="42"/>
        <v>0.75545397740454578</v>
      </c>
      <c r="L27" s="135">
        <f t="shared" si="43"/>
        <v>0.66212038657690997</v>
      </c>
      <c r="N27" s="131">
        <f t="shared" si="44"/>
        <v>0.5502663217587267</v>
      </c>
      <c r="O27" s="131">
        <f t="shared" si="45"/>
        <v>0.5548034219582415</v>
      </c>
      <c r="P27" s="55">
        <f t="shared" si="46"/>
        <v>0.99721463615751704</v>
      </c>
      <c r="Q27" s="135">
        <f>_xll.xSPRDOPT(I27,H27,AQ27,0,O27,N27,P27,D27-$G$5,1,0)*AH27*AU27</f>
        <v>1.4175743639814558</v>
      </c>
      <c r="R27" s="135"/>
      <c r="S27" s="181">
        <f>_xll.xSPRDOPT(I27,H27,AQ27,AT27,O27,N27,P27,D27-$G$5,1,2)*AF27*(F27/(1-AR27))*AH27</f>
        <v>-285445.84708557301</v>
      </c>
      <c r="T27" s="181">
        <f>_xll.xSPRDOPT(I27,H27,AQ27,AT27,O27,N27,P27,D27-$G$5,1,1)*AF27*F27*AH27</f>
        <v>289446.66702351585</v>
      </c>
      <c r="U27" s="135"/>
      <c r="V27" s="146">
        <f t="shared" si="16"/>
        <v>1.3071104019905335</v>
      </c>
      <c r="W27" s="146"/>
      <c r="X27" s="338">
        <f t="shared" si="17"/>
        <v>0</v>
      </c>
      <c r="Y27" s="338">
        <f t="shared" si="18"/>
        <v>0</v>
      </c>
      <c r="Z27" s="338">
        <f t="shared" si="19"/>
        <v>-117.82288362875251</v>
      </c>
      <c r="AA27" s="338">
        <f t="shared" si="20"/>
        <v>5.0957792538323936</v>
      </c>
      <c r="AB27" s="338">
        <f t="shared" si="21"/>
        <v>0</v>
      </c>
      <c r="AC27" s="338">
        <f t="shared" si="22"/>
        <v>3.6342901682591768</v>
      </c>
      <c r="AF27" s="138">
        <f t="shared" si="23"/>
        <v>1</v>
      </c>
      <c r="AG27" s="138">
        <f t="shared" si="24"/>
        <v>6</v>
      </c>
      <c r="AH27" s="138">
        <f t="shared" si="25"/>
        <v>30</v>
      </c>
      <c r="AI27" s="138">
        <f t="shared" si="47"/>
        <v>166</v>
      </c>
      <c r="AJ27" s="138">
        <f t="shared" si="26"/>
        <v>183</v>
      </c>
      <c r="AL27" s="136">
        <f t="shared" si="27"/>
        <v>2.9460000000000002</v>
      </c>
      <c r="AM27" s="258">
        <f t="shared" si="48"/>
        <v>-0.09</v>
      </c>
      <c r="AN27" s="258">
        <f t="shared" si="28"/>
        <v>0</v>
      </c>
      <c r="AO27" s="258">
        <f t="shared" si="29"/>
        <v>-5.2499999999999998E-2</v>
      </c>
      <c r="AP27" s="258">
        <f t="shared" si="30"/>
        <v>0</v>
      </c>
      <c r="AQ27" s="136">
        <f t="shared" si="31"/>
        <v>5.9999999999999995E-4</v>
      </c>
      <c r="AR27" s="137">
        <f t="shared" si="32"/>
        <v>4.0000000000000001E-3</v>
      </c>
      <c r="AS27" s="136">
        <f t="shared" si="49"/>
        <v>2.8560000000000003</v>
      </c>
      <c r="AT27" s="137">
        <f t="shared" si="33"/>
        <v>2.0011329715354399E-2</v>
      </c>
      <c r="AU27" s="137">
        <f t="shared" si="34"/>
        <v>0.99023515302313159</v>
      </c>
      <c r="AV27" s="394">
        <f t="shared" si="50"/>
        <v>1871.5444392137188</v>
      </c>
      <c r="AW27" s="137">
        <f t="shared" si="35"/>
        <v>0.54749999999999999</v>
      </c>
      <c r="AX27" s="137">
        <f t="shared" si="36"/>
        <v>0.57999999999999996</v>
      </c>
      <c r="AY27" s="137">
        <f t="shared" si="37"/>
        <v>0.63</v>
      </c>
      <c r="AZ27" s="137"/>
      <c r="BA27" s="264"/>
      <c r="BB27" s="258">
        <f t="shared" si="38"/>
        <v>0</v>
      </c>
      <c r="BC27" s="258">
        <f t="shared" si="39"/>
        <v>0</v>
      </c>
      <c r="BD27" s="137">
        <f t="shared" si="40"/>
        <v>4.4991539458583141E-5</v>
      </c>
      <c r="BE27" s="137">
        <f t="shared" si="40"/>
        <v>1.1830637855325676E-4</v>
      </c>
      <c r="BF27" s="137">
        <f>_xll.xSPRDOPT($BW27,$BV27,$CG27,0,$BY27,$BX27,$BZ27,$AJ27,1,4)*$CB27</f>
        <v>4.5346483673770432</v>
      </c>
      <c r="BG27" s="137">
        <f>_xll.xSPRDOPT($BW27,$BV27,$CG27,0,$BY27,$BX27,$BZ27,$AJ27,1,3)*$CB27</f>
        <v>4.4553059378581477</v>
      </c>
      <c r="BH27" s="137">
        <f>IF(OR(BF27&lt;&gt;0,BG27&lt;&gt;0),_xll.xSPRDOPT($BW27,$BV27,$CG27,0,$BY27,$BX27,$BZ27,$AJ27,1,12)*$CB27,0)</f>
        <v>-4.4948016810242883</v>
      </c>
      <c r="BI27" s="137">
        <f>_xll.xSPRDOPT($BW27,$BV27,$CG27,2*LN(1+CA27/2),$BY27,$BX27,$BZ27,$AJ27,1,9)</f>
        <v>-3.0651572824360294E-2</v>
      </c>
      <c r="BJ27" s="137">
        <f>_xll.xSPRDOPT($BW27,$BV27,$CG27,0,$BY27,$BX27,$BZ27,$AJ27,1,6)*$CB27</f>
        <v>-5.7161863282840286E-2</v>
      </c>
      <c r="BK27" s="137">
        <f>_xll.xSPRDOPT($BW27,$BV27,$CG27,0,$BY27,$BX27,$BZ27,$AJ27,1,5)*$CB27</f>
        <v>0.11377423264122966</v>
      </c>
      <c r="BL27" s="137">
        <f>_xll.xSPRDOPT(BW27,BV27,CG27,0,BY27,BX27,BZ27,AJ27,1,2)*CB27</f>
        <v>-0.60741228489759835</v>
      </c>
      <c r="BM27" s="137">
        <f>_xll.xSPRDOPT(BW27,BV27,CG27,0,BY27,BX27,BZ27,AJ27,1,1)*CB27</f>
        <v>0.61840003722035664</v>
      </c>
      <c r="BN27" s="137">
        <f>IF(AH27&lt;&gt;0,_xll.xSPRDOPT($BW27,$BV27,$CG27,2*LN(1+CA27/2),$BY27,$BX27,$BZ27,$AJ27,1,8)+(AJ27/365.25)*CH27/AH27,0)</f>
        <v>-1.845264234346531E-3</v>
      </c>
      <c r="BO27" s="137">
        <f>_xll.xSPRDOPT($BW27,$BV27,$CG27,0,$BY27,$BX27,$BZ27,$AJ27,1,0)</f>
        <v>4.7719892479438517E-2</v>
      </c>
      <c r="BP27" s="137"/>
      <c r="BQ27" s="137"/>
      <c r="BR27" s="137"/>
      <c r="BS27" s="137"/>
      <c r="BV27" s="262">
        <v>2.8674698795180724</v>
      </c>
      <c r="BW27" s="136">
        <v>2.8935</v>
      </c>
      <c r="BX27" s="137">
        <v>0.55022133021926811</v>
      </c>
      <c r="BY27" s="137">
        <v>0.55468511557968825</v>
      </c>
      <c r="BZ27" s="137">
        <v>0.99725870997230137</v>
      </c>
      <c r="CA27" s="137">
        <v>2.0011329715354399E-2</v>
      </c>
      <c r="CB27" s="137">
        <v>0.99007321601711695</v>
      </c>
      <c r="CC27" s="258">
        <v>-0.09</v>
      </c>
      <c r="CD27" s="258">
        <v>0</v>
      </c>
      <c r="CE27" s="258">
        <v>-5.2499999999999998E-2</v>
      </c>
      <c r="CF27" s="258">
        <v>0</v>
      </c>
      <c r="CG27" s="258">
        <v>5.9999999999999995E-4</v>
      </c>
      <c r="CH27" s="258">
        <v>1.3068966451425943</v>
      </c>
      <c r="CI27" s="258">
        <v>2.9460000000000002</v>
      </c>
      <c r="CJ27" s="258"/>
      <c r="CK27" s="258"/>
      <c r="CL27" s="258"/>
      <c r="CM27" s="258"/>
    </row>
    <row r="28" spans="1:91" x14ac:dyDescent="0.25">
      <c r="A28" s="723"/>
      <c r="B28" s="723"/>
      <c r="D28" s="31">
        <f t="shared" si="41"/>
        <v>37452</v>
      </c>
      <c r="F28" s="28">
        <f t="shared" si="12"/>
        <v>15600</v>
      </c>
      <c r="G28" s="28">
        <f t="shared" si="13"/>
        <v>15418.762023881196</v>
      </c>
      <c r="H28" s="52">
        <f t="shared" si="14"/>
        <v>2.9056224899598395</v>
      </c>
      <c r="I28" s="52">
        <f t="shared" si="15"/>
        <v>2.9314999999999998</v>
      </c>
      <c r="K28" s="52">
        <f t="shared" si="42"/>
        <v>0.77449905563015753</v>
      </c>
      <c r="L28" s="135">
        <f t="shared" si="43"/>
        <v>0.78748342936687721</v>
      </c>
      <c r="N28" s="131">
        <f t="shared" si="44"/>
        <v>0.54938596714727361</v>
      </c>
      <c r="O28" s="131">
        <f t="shared" si="45"/>
        <v>0.55373746243591337</v>
      </c>
      <c r="P28" s="55">
        <f t="shared" si="46"/>
        <v>0.99714993757363546</v>
      </c>
      <c r="Q28" s="135">
        <f>_xll.xSPRDOPT(I28,H28,AQ28,0,O28,N28,P28,D28-$G$5,1,0)*AH28*AU28</f>
        <v>1.5619824849970347</v>
      </c>
      <c r="R28" s="135"/>
      <c r="S28" s="181">
        <f>_xll.xSPRDOPT(I28,H28,AQ28,AT28,O28,N28,P28,D28-$G$5,1,2)*AF28*(F28/(1-AR28))*AH28</f>
        <v>-288575.53628393792</v>
      </c>
      <c r="T28" s="181">
        <f>_xll.xSPRDOPT(I28,H28,AQ28,AT28,O28,N28,P28,D28-$G$5,1,1)*AF28*F28*AH28</f>
        <v>293253.40580665815</v>
      </c>
      <c r="U28" s="135"/>
      <c r="V28" s="146">
        <f t="shared" si="16"/>
        <v>1.3481532949085866</v>
      </c>
      <c r="W28" s="146"/>
      <c r="X28" s="338">
        <f t="shared" si="17"/>
        <v>0</v>
      </c>
      <c r="Y28" s="338">
        <f t="shared" si="18"/>
        <v>0</v>
      </c>
      <c r="Z28" s="338">
        <f t="shared" si="19"/>
        <v>-115.81924015175024</v>
      </c>
      <c r="AA28" s="338">
        <f t="shared" si="20"/>
        <v>6.4305498863852399</v>
      </c>
      <c r="AB28" s="338">
        <f t="shared" si="21"/>
        <v>0</v>
      </c>
      <c r="AC28" s="338">
        <f t="shared" si="22"/>
        <v>4.0880264810115863</v>
      </c>
      <c r="AF28" s="138">
        <f t="shared" si="23"/>
        <v>1</v>
      </c>
      <c r="AG28" s="138">
        <f t="shared" si="24"/>
        <v>7</v>
      </c>
      <c r="AH28" s="138">
        <f t="shared" si="25"/>
        <v>31</v>
      </c>
      <c r="AI28" s="138">
        <f t="shared" si="47"/>
        <v>196</v>
      </c>
      <c r="AJ28" s="138">
        <f t="shared" si="26"/>
        <v>213</v>
      </c>
      <c r="AL28" s="136">
        <f t="shared" si="27"/>
        <v>2.984</v>
      </c>
      <c r="AM28" s="258">
        <f t="shared" si="48"/>
        <v>-0.09</v>
      </c>
      <c r="AN28" s="258">
        <f t="shared" si="28"/>
        <v>0</v>
      </c>
      <c r="AO28" s="258">
        <f t="shared" si="29"/>
        <v>-5.2499999999999998E-2</v>
      </c>
      <c r="AP28" s="258">
        <f t="shared" si="30"/>
        <v>0</v>
      </c>
      <c r="AQ28" s="136">
        <f t="shared" si="31"/>
        <v>5.9999999999999995E-4</v>
      </c>
      <c r="AR28" s="137">
        <f t="shared" si="32"/>
        <v>4.0000000000000001E-3</v>
      </c>
      <c r="AS28" s="136">
        <f t="shared" si="49"/>
        <v>2.8940000000000001</v>
      </c>
      <c r="AT28" s="137">
        <f t="shared" si="33"/>
        <v>2.0428629809483099E-2</v>
      </c>
      <c r="AU28" s="137">
        <f t="shared" si="34"/>
        <v>0.98838218101802544</v>
      </c>
      <c r="AV28" s="394">
        <f t="shared" si="50"/>
        <v>1930.3103995282038</v>
      </c>
      <c r="AW28" s="137">
        <f t="shared" si="35"/>
        <v>0.54249999999999998</v>
      </c>
      <c r="AX28" s="137">
        <f t="shared" si="36"/>
        <v>0.63</v>
      </c>
      <c r="AY28" s="137">
        <f t="shared" si="37"/>
        <v>0.68</v>
      </c>
      <c r="AZ28" s="137"/>
      <c r="BA28" s="264"/>
      <c r="BB28" s="258">
        <f t="shared" si="38"/>
        <v>0</v>
      </c>
      <c r="BC28" s="258">
        <f t="shared" si="39"/>
        <v>0</v>
      </c>
      <c r="BD28" s="137">
        <f t="shared" si="40"/>
        <v>9.5712015904636516E-5</v>
      </c>
      <c r="BE28" s="137">
        <f t="shared" si="40"/>
        <v>1.555944024809186E-4</v>
      </c>
      <c r="BF28" s="137">
        <f>_xll.xSPRDOPT($BW28,$BV28,$CG28,0,$BY28,$BX28,$BZ28,$AJ28,1,4)*$CB28</f>
        <v>4.1333256048568465</v>
      </c>
      <c r="BG28" s="137">
        <f>_xll.xSPRDOPT($BW28,$BV28,$CG28,0,$BY28,$BX28,$BZ28,$AJ28,1,3)*$CB28</f>
        <v>4.0623634465356933</v>
      </c>
      <c r="BH28" s="137">
        <f>IF(OR(BF28&lt;&gt;0,BG28&lt;&gt;0),_xll.xSPRDOPT($BW28,$BV28,$CG28,0,$BY28,$BX28,$BZ28,$AJ28,1,12)*$CB28,0)</f>
        <v>-4.0976889347146326</v>
      </c>
      <c r="BI28" s="137">
        <f>_xll.xSPRDOPT($BW28,$BV28,$CG28,2*LN(1+CA28/2),$BY28,$BX28,$BZ28,$AJ28,1,9)</f>
        <v>-2.9158379835557469E-2</v>
      </c>
      <c r="BJ28" s="137">
        <f>_xll.xSPRDOPT($BW28,$BV28,$CG28,0,$BY28,$BX28,$BZ28,$AJ28,1,6)*$CB28</f>
        <v>-5.7995690872203499E-2</v>
      </c>
      <c r="BK28" s="137">
        <f>_xll.xSPRDOPT($BW28,$BV28,$CG28,0,$BY28,$BX28,$BZ28,$AJ28,1,5)*$CB28</f>
        <v>0.12113632460367144</v>
      </c>
      <c r="BL28" s="137">
        <f>_xll.xSPRDOPT(BW28,BV28,CG28,0,BY28,BX28,BZ28,AJ28,1,2)*CB28</f>
        <v>-0.59426740539372014</v>
      </c>
      <c r="BM28" s="137">
        <f>_xll.xSPRDOPT(BW28,BV28,CG28,0,BY28,BX28,BZ28,AJ28,1,1)*CB28</f>
        <v>0.60632666515286138</v>
      </c>
      <c r="BN28" s="137">
        <f>IF(AH28&lt;&gt;0,_xll.xSPRDOPT($BW28,$BV28,$CG28,2*LN(1+CA28/2),$BY28,$BX28,$BZ28,$AJ28,1,8)+(AJ28/365.25)*CH28/AH28,0)</f>
        <v>-4.0228423429999362E-3</v>
      </c>
      <c r="BO28" s="137">
        <f>_xll.xSPRDOPT($BW28,$BV28,$CG28,0,$BY28,$BX28,$BZ28,$AJ28,1,0)</f>
        <v>5.0980575490134884E-2</v>
      </c>
      <c r="BP28" s="137"/>
      <c r="BQ28" s="137"/>
      <c r="BR28" s="137"/>
      <c r="BS28" s="137"/>
      <c r="BV28" s="262">
        <v>2.9056224899598395</v>
      </c>
      <c r="BW28" s="136">
        <v>2.9314999999999998</v>
      </c>
      <c r="BX28" s="137">
        <v>0.54929025513136898</v>
      </c>
      <c r="BY28" s="137">
        <v>0.55358186803343246</v>
      </c>
      <c r="BZ28" s="137">
        <v>0.99718810334020791</v>
      </c>
      <c r="CA28" s="137">
        <v>2.0428629809483099E-2</v>
      </c>
      <c r="CB28" s="137">
        <v>0.98821719380072837</v>
      </c>
      <c r="CC28" s="258">
        <v>-0.09</v>
      </c>
      <c r="CD28" s="258">
        <v>0</v>
      </c>
      <c r="CE28" s="258">
        <v>-5.2499999999999998E-2</v>
      </c>
      <c r="CF28" s="258">
        <v>0</v>
      </c>
      <c r="CG28" s="258">
        <v>5.9999999999999995E-4</v>
      </c>
      <c r="CH28" s="258">
        <v>1.3479282523441933</v>
      </c>
      <c r="CI28" s="258">
        <v>2.984</v>
      </c>
      <c r="CJ28" s="258"/>
      <c r="CK28" s="258"/>
      <c r="CL28" s="258"/>
      <c r="CM28" s="258"/>
    </row>
    <row r="29" spans="1:91" x14ac:dyDescent="0.25">
      <c r="A29" s="723"/>
      <c r="B29" s="723"/>
      <c r="D29" s="31">
        <f t="shared" si="41"/>
        <v>37483</v>
      </c>
      <c r="F29" s="28">
        <f t="shared" si="12"/>
        <v>15600</v>
      </c>
      <c r="G29" s="28">
        <f t="shared" si="13"/>
        <v>15385.791352585704</v>
      </c>
      <c r="H29" s="52">
        <f t="shared" si="14"/>
        <v>2.9477911646586343</v>
      </c>
      <c r="I29" s="52">
        <f t="shared" si="15"/>
        <v>2.9734999999999996</v>
      </c>
      <c r="K29" s="52">
        <f t="shared" si="42"/>
        <v>0.76768579177749696</v>
      </c>
      <c r="L29" s="135">
        <f t="shared" si="43"/>
        <v>0.88026351218159682</v>
      </c>
      <c r="N29" s="131">
        <f t="shared" si="44"/>
        <v>0.55001555741820785</v>
      </c>
      <c r="O29" s="131">
        <f t="shared" si="45"/>
        <v>0.55409683176234836</v>
      </c>
      <c r="P29" s="55">
        <f t="shared" si="46"/>
        <v>0.99716242396125854</v>
      </c>
      <c r="Q29" s="135">
        <f>_xll.xSPRDOPT(I29,H29,AQ29,0,O29,N29,P29,D29-$G$5,1,0)*AH29*AU29</f>
        <v>1.6479493039590938</v>
      </c>
      <c r="R29" s="135"/>
      <c r="S29" s="181">
        <f>_xll.xSPRDOPT(I29,H29,AQ29,AT29,O29,N29,P29,D29-$G$5,1,2)*AF29*(F29/(1-AR29))*AH29</f>
        <v>-283496.42748426425</v>
      </c>
      <c r="T29" s="181">
        <f>_xll.xSPRDOPT(I29,H29,AQ29,AT29,O29,N29,P29,D29-$G$5,1,1)*AF29*F29*AH29</f>
        <v>288622.14847883792</v>
      </c>
      <c r="U29" s="135"/>
      <c r="V29" s="146">
        <f t="shared" si="16"/>
        <v>1.3452704746748012</v>
      </c>
      <c r="W29" s="146"/>
      <c r="X29" s="338">
        <f t="shared" si="17"/>
        <v>0</v>
      </c>
      <c r="Y29" s="338">
        <f t="shared" si="18"/>
        <v>0</v>
      </c>
      <c r="Z29" s="338">
        <f t="shared" si="19"/>
        <v>-109.51841456605507</v>
      </c>
      <c r="AA29" s="338">
        <f t="shared" si="20"/>
        <v>7.0156047990642243</v>
      </c>
      <c r="AB29" s="338">
        <f t="shared" si="21"/>
        <v>0</v>
      </c>
      <c r="AC29" s="338">
        <f t="shared" si="22"/>
        <v>4.4473190354827752</v>
      </c>
      <c r="AF29" s="138">
        <f t="shared" si="23"/>
        <v>1</v>
      </c>
      <c r="AG29" s="138">
        <f t="shared" si="24"/>
        <v>8</v>
      </c>
      <c r="AH29" s="138">
        <f t="shared" si="25"/>
        <v>31</v>
      </c>
      <c r="AI29" s="138">
        <f t="shared" si="47"/>
        <v>227</v>
      </c>
      <c r="AJ29" s="138">
        <f t="shared" si="26"/>
        <v>244</v>
      </c>
      <c r="AL29" s="136">
        <f t="shared" si="27"/>
        <v>3.0259999999999998</v>
      </c>
      <c r="AM29" s="258">
        <f t="shared" si="48"/>
        <v>-0.09</v>
      </c>
      <c r="AN29" s="258">
        <f t="shared" si="28"/>
        <v>0</v>
      </c>
      <c r="AO29" s="258">
        <f t="shared" si="29"/>
        <v>-5.2499999999999998E-2</v>
      </c>
      <c r="AP29" s="258">
        <f t="shared" si="30"/>
        <v>0</v>
      </c>
      <c r="AQ29" s="136">
        <f t="shared" si="31"/>
        <v>5.9999999999999995E-4</v>
      </c>
      <c r="AR29" s="137">
        <f t="shared" si="32"/>
        <v>4.0000000000000001E-3</v>
      </c>
      <c r="AS29" s="136">
        <f t="shared" si="49"/>
        <v>2.9359999999999999</v>
      </c>
      <c r="AT29" s="137">
        <f t="shared" si="33"/>
        <v>2.1065008234303999E-2</v>
      </c>
      <c r="AU29" s="137">
        <f t="shared" si="34"/>
        <v>0.98626867644780158</v>
      </c>
      <c r="AV29" s="394">
        <f t="shared" si="50"/>
        <v>1926.1827251025566</v>
      </c>
      <c r="AW29" s="137">
        <f t="shared" si="35"/>
        <v>0.54</v>
      </c>
      <c r="AX29" s="137">
        <f t="shared" si="36"/>
        <v>0.68</v>
      </c>
      <c r="AY29" s="137">
        <f t="shared" si="37"/>
        <v>0.73</v>
      </c>
      <c r="AZ29" s="137"/>
      <c r="BA29" s="264"/>
      <c r="BB29" s="258">
        <f t="shared" si="38"/>
        <v>0</v>
      </c>
      <c r="BC29" s="258">
        <f t="shared" si="39"/>
        <v>0</v>
      </c>
      <c r="BD29" s="137">
        <f t="shared" si="40"/>
        <v>1.2128874378558585E-4</v>
      </c>
      <c r="BE29" s="137">
        <f t="shared" si="40"/>
        <v>1.7009754209929007E-4</v>
      </c>
      <c r="BF29" s="137">
        <f>_xll.xSPRDOPT($BW29,$BV29,$CG29,0,$BY29,$BX29,$BZ29,$AJ29,1,4)*$CB29</f>
        <v>3.8249308625870735</v>
      </c>
      <c r="BG29" s="137">
        <f>_xll.xSPRDOPT($BW29,$BV29,$CG29,0,$BY29,$BX29,$BZ29,$AJ29,1,3)*$CB29</f>
        <v>3.7606158609844269</v>
      </c>
      <c r="BH29" s="137">
        <f>IF(OR(BF29&lt;&gt;0,BG29&lt;&gt;0),_xll.xSPRDOPT($BW29,$BV29,$CG29,0,$BY29,$BX29,$BZ29,$AJ29,1,12)*$CB29,0)</f>
        <v>-3.7926339904563267</v>
      </c>
      <c r="BI29" s="137">
        <f>_xll.xSPRDOPT($BW29,$BV29,$CG29,2*LN(1+CA29/2),$BY29,$BX29,$BZ29,$AJ29,1,9)</f>
        <v>-2.757209878704964E-2</v>
      </c>
      <c r="BJ29" s="137">
        <f>_xll.xSPRDOPT($BW29,$BV29,$CG29,0,$BY29,$BX29,$BZ29,$AJ29,1,6)*$CB29</f>
        <v>-5.7555238669162317E-2</v>
      </c>
      <c r="BK29" s="137">
        <f>_xll.xSPRDOPT($BW29,$BV29,$CG29,0,$BY29,$BX29,$BZ29,$AJ29,1,5)*$CB29</f>
        <v>0.12632659389838441</v>
      </c>
      <c r="BL29" s="137">
        <f>_xll.xSPRDOPT(BW29,BV29,CG29,0,BY29,BX29,BZ29,AJ29,1,2)*CB29</f>
        <v>-0.58381407989600653</v>
      </c>
      <c r="BM29" s="137">
        <f>_xll.xSPRDOPT(BW29,BV29,CG29,0,BY29,BX29,BZ29,AJ29,1,1)*CB29</f>
        <v>0.59675729078938011</v>
      </c>
      <c r="BN29" s="137">
        <f>IF(AH29&lt;&gt;0,_xll.xSPRDOPT($BW29,$BV29,$CG29,2*LN(1+CA29/2),$BY29,$BX29,$BZ29,$AJ29,1,8)+(AJ29/365.25)*CH29/AH29,0)</f>
        <v>-6.5224404755027388E-3</v>
      </c>
      <c r="BO29" s="137">
        <f>_xll.xSPRDOPT($BW29,$BV29,$CG29,0,$BY29,$BX29,$BZ29,$AJ29,1,0)</f>
        <v>5.3901250093192674E-2</v>
      </c>
      <c r="BP29" s="137"/>
      <c r="BQ29" s="137"/>
      <c r="BR29" s="137"/>
      <c r="BS29" s="137"/>
      <c r="BV29" s="262">
        <v>2.9477911646586343</v>
      </c>
      <c r="BW29" s="136">
        <v>2.9734999999999996</v>
      </c>
      <c r="BX29" s="137">
        <v>0.54989426867442226</v>
      </c>
      <c r="BY29" s="137">
        <v>0.55392673422024907</v>
      </c>
      <c r="BZ29" s="137">
        <v>0.9971953039547915</v>
      </c>
      <c r="CA29" s="137">
        <v>2.1065008234303999E-2</v>
      </c>
      <c r="CB29" s="137">
        <v>0.98609894066797232</v>
      </c>
      <c r="CC29" s="258">
        <v>-0.09</v>
      </c>
      <c r="CD29" s="258">
        <v>0</v>
      </c>
      <c r="CE29" s="258">
        <v>-5.2499999999999998E-2</v>
      </c>
      <c r="CF29" s="258">
        <v>0</v>
      </c>
      <c r="CG29" s="258">
        <v>5.9999999999999995E-4</v>
      </c>
      <c r="CH29" s="258">
        <v>1.3450389550711142</v>
      </c>
      <c r="CI29" s="258">
        <v>3.0259999999999998</v>
      </c>
      <c r="CJ29" s="258"/>
      <c r="CK29" s="258"/>
      <c r="CL29" s="258"/>
      <c r="CM29" s="258"/>
    </row>
    <row r="30" spans="1:91" x14ac:dyDescent="0.25">
      <c r="A30" s="723"/>
      <c r="B30" s="723"/>
      <c r="D30" s="31">
        <f t="shared" si="41"/>
        <v>37514</v>
      </c>
      <c r="F30" s="28">
        <f t="shared" si="12"/>
        <v>15600</v>
      </c>
      <c r="G30" s="28">
        <f t="shared" si="13"/>
        <v>15351.252096454284</v>
      </c>
      <c r="H30" s="52">
        <f t="shared" si="14"/>
        <v>2.9397590361445785</v>
      </c>
      <c r="I30" s="52">
        <f t="shared" si="15"/>
        <v>2.9654999999999996</v>
      </c>
      <c r="K30" s="52">
        <f t="shared" si="42"/>
        <v>0.74220245017772113</v>
      </c>
      <c r="L30" s="135">
        <f t="shared" si="43"/>
        <v>0.82930334398991956</v>
      </c>
      <c r="N30" s="131">
        <f t="shared" si="44"/>
        <v>0.54862064797509713</v>
      </c>
      <c r="O30" s="131">
        <f t="shared" si="45"/>
        <v>0.55213969406142294</v>
      </c>
      <c r="P30" s="55">
        <f t="shared" si="46"/>
        <v>0.99754268680602187</v>
      </c>
      <c r="Q30" s="135">
        <f>_xll.xSPRDOPT(I30,H30,AQ30,0,O30,N30,P30,D30-$G$5,1,0)*AH30*AU30</f>
        <v>1.5715057941676407</v>
      </c>
      <c r="R30" s="135"/>
      <c r="S30" s="181">
        <f>_xll.xSPRDOPT(I30,H30,AQ30,AT30,O30,N30,P30,D30-$G$5,1,2)*AF30*(F30/(1-AR30))*AH30</f>
        <v>-274642.18081624969</v>
      </c>
      <c r="T30" s="181">
        <f>_xll.xSPRDOPT(I30,H30,AQ30,AT30,O30,N30,P30,D30-$G$5,1,1)*AF30*F30*AH30</f>
        <v>279489.73417364352</v>
      </c>
      <c r="U30" s="135"/>
      <c r="V30" s="146">
        <f t="shared" si="16"/>
        <v>1.2989521004692084</v>
      </c>
      <c r="W30" s="146"/>
      <c r="X30" s="338">
        <f t="shared" si="17"/>
        <v>0</v>
      </c>
      <c r="Y30" s="338">
        <f t="shared" si="18"/>
        <v>0</v>
      </c>
      <c r="Z30" s="338">
        <f t="shared" si="19"/>
        <v>-91.427454179074076</v>
      </c>
      <c r="AA30" s="338">
        <f t="shared" si="20"/>
        <v>5.1288721370467041</v>
      </c>
      <c r="AB30" s="338">
        <f t="shared" si="21"/>
        <v>0</v>
      </c>
      <c r="AC30" s="338">
        <f t="shared" si="22"/>
        <v>4.3690633477318892</v>
      </c>
      <c r="AF30" s="138">
        <f t="shared" si="23"/>
        <v>1</v>
      </c>
      <c r="AG30" s="138">
        <f t="shared" si="24"/>
        <v>9</v>
      </c>
      <c r="AH30" s="138">
        <f t="shared" si="25"/>
        <v>30</v>
      </c>
      <c r="AI30" s="138">
        <f t="shared" si="47"/>
        <v>258</v>
      </c>
      <c r="AJ30" s="138">
        <f t="shared" si="26"/>
        <v>275</v>
      </c>
      <c r="AL30" s="136">
        <f t="shared" si="27"/>
        <v>3.0179999999999998</v>
      </c>
      <c r="AM30" s="258">
        <f t="shared" si="48"/>
        <v>-0.09</v>
      </c>
      <c r="AN30" s="258">
        <f t="shared" si="28"/>
        <v>0</v>
      </c>
      <c r="AO30" s="258">
        <f t="shared" si="29"/>
        <v>-5.2499999999999998E-2</v>
      </c>
      <c r="AP30" s="258">
        <f t="shared" si="30"/>
        <v>0</v>
      </c>
      <c r="AQ30" s="136">
        <f t="shared" si="31"/>
        <v>5.9999999999999995E-4</v>
      </c>
      <c r="AR30" s="137">
        <f t="shared" si="32"/>
        <v>4.0000000000000001E-3</v>
      </c>
      <c r="AS30" s="136">
        <f t="shared" si="49"/>
        <v>2.9279999999999999</v>
      </c>
      <c r="AT30" s="137">
        <f t="shared" si="33"/>
        <v>2.1701386796276499E-2</v>
      </c>
      <c r="AU30" s="137">
        <f t="shared" si="34"/>
        <v>0.98405462156758228</v>
      </c>
      <c r="AV30" s="394">
        <f t="shared" si="50"/>
        <v>1859.8632347627306</v>
      </c>
      <c r="AW30" s="137">
        <f t="shared" si="35"/>
        <v>0.54</v>
      </c>
      <c r="AX30" s="137">
        <f t="shared" si="36"/>
        <v>0.68</v>
      </c>
      <c r="AY30" s="137">
        <f t="shared" si="37"/>
        <v>0.73</v>
      </c>
      <c r="AZ30" s="137"/>
      <c r="BA30" s="264"/>
      <c r="BB30" s="258">
        <f t="shared" si="38"/>
        <v>0</v>
      </c>
      <c r="BC30" s="258">
        <f t="shared" si="39"/>
        <v>0</v>
      </c>
      <c r="BD30" s="137">
        <f t="shared" si="40"/>
        <v>9.2974383643640301E-5</v>
      </c>
      <c r="BE30" s="137">
        <f t="shared" si="40"/>
        <v>1.3051801922825401E-4</v>
      </c>
      <c r="BF30" s="137">
        <f>_xll.xSPRDOPT($BW30,$BV30,$CG30,0,$BY30,$BX30,$BZ30,$AJ30,1,4)*$CB30</f>
        <v>3.8805013912525608</v>
      </c>
      <c r="BG30" s="137">
        <f>_xll.xSPRDOPT($BW30,$BV30,$CG30,0,$BY30,$BX30,$BZ30,$AJ30,1,3)*$CB30</f>
        <v>3.8149935005820899</v>
      </c>
      <c r="BH30" s="137">
        <f>IF(OR(BF30&lt;&gt;0,BG30&lt;&gt;0),_xll.xSPRDOPT($BW30,$BV30,$CG30,0,$BY30,$BX30,$BZ30,$AJ30,1,12)*$CB30,0)</f>
        <v>-3.8476051677772105</v>
      </c>
      <c r="BI30" s="137">
        <f>_xll.xSPRDOPT($BW30,$BV30,$CG30,2*LN(1+CA30/2),$BY30,$BX30,$BZ30,$AJ30,1,9)</f>
        <v>-2.3784813133124506E-2</v>
      </c>
      <c r="BJ30" s="137">
        <f>_xll.xSPRDOPT($BW30,$BV30,$CG30,0,$BY30,$BX30,$BZ30,$AJ30,1,6)*$CB30</f>
        <v>-5.6871049305051331E-2</v>
      </c>
      <c r="BK30" s="137">
        <f>_xll.xSPRDOPT($BW30,$BV30,$CG30,0,$BY30,$BX30,$BZ30,$AJ30,1,5)*$CB30</f>
        <v>0.12447843868864243</v>
      </c>
      <c r="BL30" s="137">
        <f>_xll.xSPRDOPT(BW30,BV30,CG30,0,BY30,BX30,BZ30,AJ30,1,2)*CB30</f>
        <v>-0.58444008592562746</v>
      </c>
      <c r="BM30" s="137">
        <f>_xll.xSPRDOPT(BW30,BV30,CG30,0,BY30,BX30,BZ30,AJ30,1,1)*CB30</f>
        <v>0.5971445979687755</v>
      </c>
      <c r="BN30" s="137">
        <f>IF(AH30&lt;&gt;0,_xll.xSPRDOPT($BW30,$BV30,$CG30,2*LN(1+CA30/2),$BY30,$BX30,$BZ30,$AJ30,1,8)+(AJ30/365.25)*CH30/AH30,0)</f>
        <v>-6.8396240301190556E-3</v>
      </c>
      <c r="BO30" s="137">
        <f>_xll.xSPRDOPT($BW30,$BV30,$CG30,0,$BY30,$BX30,$BZ30,$AJ30,1,0)</f>
        <v>5.3233100206848488E-2</v>
      </c>
      <c r="BP30" s="137"/>
      <c r="BQ30" s="137"/>
      <c r="BR30" s="137"/>
      <c r="BS30" s="137"/>
      <c r="BV30" s="262">
        <v>2.9397590361445785</v>
      </c>
      <c r="BW30" s="136">
        <v>2.9654999999999996</v>
      </c>
      <c r="BX30" s="137">
        <v>0.54852767359145349</v>
      </c>
      <c r="BY30" s="137">
        <v>0.55200917604219468</v>
      </c>
      <c r="BZ30" s="137">
        <v>0.99756819822540166</v>
      </c>
      <c r="CA30" s="137">
        <v>2.1701386796276499E-2</v>
      </c>
      <c r="CB30" s="137">
        <v>0.98388017854127463</v>
      </c>
      <c r="CC30" s="258">
        <v>-0.09</v>
      </c>
      <c r="CD30" s="258">
        <v>0</v>
      </c>
      <c r="CE30" s="258">
        <v>-5.2499999999999998E-2</v>
      </c>
      <c r="CF30" s="258">
        <v>0</v>
      </c>
      <c r="CG30" s="258">
        <v>5.9999999999999995E-4</v>
      </c>
      <c r="CH30" s="258">
        <v>1.2987218356744823</v>
      </c>
      <c r="CI30" s="258">
        <v>3.0179999999999998</v>
      </c>
      <c r="CJ30" s="258"/>
      <c r="CK30" s="258"/>
      <c r="CL30" s="258"/>
      <c r="CM30" s="258"/>
    </row>
    <row r="31" spans="1:91" x14ac:dyDescent="0.25">
      <c r="A31" s="723"/>
      <c r="B31" s="723"/>
      <c r="D31" s="31">
        <f t="shared" si="41"/>
        <v>37544</v>
      </c>
      <c r="F31" s="28">
        <f t="shared" si="12"/>
        <v>15600</v>
      </c>
      <c r="G31" s="28">
        <f t="shared" si="13"/>
        <v>15315.180715253337</v>
      </c>
      <c r="H31" s="52">
        <f t="shared" si="14"/>
        <v>2.95281124497992</v>
      </c>
      <c r="I31" s="52">
        <f t="shared" si="15"/>
        <v>2.9784999999999999</v>
      </c>
      <c r="K31" s="52">
        <f t="shared" si="42"/>
        <v>0.76355149542631762</v>
      </c>
      <c r="L31" s="135">
        <f t="shared" si="43"/>
        <v>0.95606708432045751</v>
      </c>
      <c r="N31" s="131">
        <f t="shared" si="44"/>
        <v>0.55129247567847639</v>
      </c>
      <c r="O31" s="131">
        <f t="shared" si="45"/>
        <v>0.554778552374395</v>
      </c>
      <c r="P31" s="55">
        <f t="shared" si="46"/>
        <v>0.99743414155795906</v>
      </c>
      <c r="Q31" s="135">
        <f>_xll.xSPRDOPT(I31,H31,AQ31,0,O31,N31,P31,D31-$G$5,1,0)*AH31*AU31</f>
        <v>1.7196185797467751</v>
      </c>
      <c r="R31" s="135"/>
      <c r="S31" s="181">
        <f>_xll.xSPRDOPT(I31,H31,AQ31,AT31,O31,N31,P31,D31-$G$5,1,2)*AF31*(F31/(1-AR31))*AH31</f>
        <v>-279031.5282777219</v>
      </c>
      <c r="T31" s="181">
        <f>_xll.xSPRDOPT(I31,H31,AQ31,AT31,O31,N31,P31,D31-$G$5,1,1)*AF31*F31*AH31</f>
        <v>284579.05201868009</v>
      </c>
      <c r="U31" s="135"/>
      <c r="V31" s="146">
        <f t="shared" si="16"/>
        <v>1.339096570231125</v>
      </c>
      <c r="W31" s="146"/>
      <c r="X31" s="338">
        <f t="shared" si="17"/>
        <v>0</v>
      </c>
      <c r="Y31" s="338">
        <f t="shared" si="18"/>
        <v>0</v>
      </c>
      <c r="Z31" s="338">
        <f t="shared" si="19"/>
        <v>-92.288828297226914</v>
      </c>
      <c r="AA31" s="338">
        <f t="shared" si="20"/>
        <v>5.9685947317752577</v>
      </c>
      <c r="AB31" s="338">
        <f t="shared" si="21"/>
        <v>0</v>
      </c>
      <c r="AC31" s="338">
        <f t="shared" si="22"/>
        <v>4.9369768620055243</v>
      </c>
      <c r="AF31" s="138">
        <f t="shared" si="23"/>
        <v>1</v>
      </c>
      <c r="AG31" s="138">
        <f t="shared" si="24"/>
        <v>10</v>
      </c>
      <c r="AH31" s="138">
        <f t="shared" si="25"/>
        <v>31</v>
      </c>
      <c r="AI31" s="138">
        <f t="shared" si="47"/>
        <v>288</v>
      </c>
      <c r="AJ31" s="138">
        <f t="shared" si="26"/>
        <v>305</v>
      </c>
      <c r="AL31" s="136">
        <f t="shared" si="27"/>
        <v>3.0310000000000001</v>
      </c>
      <c r="AM31" s="258">
        <f t="shared" si="48"/>
        <v>-0.09</v>
      </c>
      <c r="AN31" s="258">
        <f t="shared" si="28"/>
        <v>0</v>
      </c>
      <c r="AO31" s="258">
        <f t="shared" si="29"/>
        <v>-5.2499999999999998E-2</v>
      </c>
      <c r="AP31" s="258">
        <f t="shared" si="30"/>
        <v>0</v>
      </c>
      <c r="AQ31" s="136">
        <f t="shared" si="31"/>
        <v>5.9999999999999995E-4</v>
      </c>
      <c r="AR31" s="137">
        <f t="shared" si="32"/>
        <v>4.0000000000000001E-3</v>
      </c>
      <c r="AS31" s="136">
        <f t="shared" si="49"/>
        <v>2.9410000000000003</v>
      </c>
      <c r="AT31" s="137">
        <f t="shared" si="33"/>
        <v>2.2410164045373999E-2</v>
      </c>
      <c r="AU31" s="137">
        <f t="shared" si="34"/>
        <v>0.98174235354188055</v>
      </c>
      <c r="AV31" s="394">
        <f t="shared" si="50"/>
        <v>1917.3428164672928</v>
      </c>
      <c r="AW31" s="137">
        <f t="shared" si="35"/>
        <v>0.54</v>
      </c>
      <c r="AX31" s="137">
        <f t="shared" si="36"/>
        <v>0.73</v>
      </c>
      <c r="AY31" s="137">
        <f t="shared" si="37"/>
        <v>0.78</v>
      </c>
      <c r="AZ31" s="137"/>
      <c r="BA31" s="264"/>
      <c r="BB31" s="258">
        <f t="shared" si="38"/>
        <v>0</v>
      </c>
      <c r="BC31" s="258">
        <f t="shared" si="39"/>
        <v>0</v>
      </c>
      <c r="BD31" s="137">
        <f t="shared" si="40"/>
        <v>1.0940877027609819E-4</v>
      </c>
      <c r="BE31" s="137">
        <f t="shared" si="40"/>
        <v>1.4274311435447107E-4</v>
      </c>
      <c r="BF31" s="137">
        <f>_xll.xSPRDOPT($BW31,$BV31,$CG31,0,$BY31,$BX31,$BZ31,$AJ31,1,4)*$CB31</f>
        <v>3.581377480391176</v>
      </c>
      <c r="BG31" s="137">
        <f>_xll.xSPRDOPT($BW31,$BV31,$CG31,0,$BY31,$BX31,$BZ31,$AJ31,1,3)*$CB31</f>
        <v>3.5213054365406626</v>
      </c>
      <c r="BH31" s="137">
        <f>IF(OR(BF31&lt;&gt;0,BG31&lt;&gt;0),_xll.xSPRDOPT($BW31,$BV31,$CG31,0,$BY31,$BX31,$BZ31,$AJ31,1,12)*$CB31,0)</f>
        <v>-3.5512107514656686</v>
      </c>
      <c r="BI31" s="137">
        <f>_xll.xSPRDOPT($BW31,$BV31,$CG31,2*LN(1+CA31/2),$BY31,$BX31,$BZ31,$AJ31,1,9)</f>
        <v>-2.3234418621148424E-2</v>
      </c>
      <c r="BJ31" s="137">
        <f>_xll.xSPRDOPT($BW31,$BV31,$CG31,0,$BY31,$BX31,$BZ31,$AJ31,1,6)*$CB31</f>
        <v>-5.6220782799222907E-2</v>
      </c>
      <c r="BK31" s="137">
        <f>_xll.xSPRDOPT($BW31,$BV31,$CG31,0,$BY31,$BX31,$BZ31,$AJ31,1,5)*$CB31</f>
        <v>0.12955478866175707</v>
      </c>
      <c r="BL31" s="137">
        <f>_xll.xSPRDOPT(BW31,BV31,CG31,0,BY31,BX31,BZ31,AJ31,1,2)*CB31</f>
        <v>-0.57463200047133822</v>
      </c>
      <c r="BM31" s="137">
        <f>_xll.xSPRDOPT(BW31,BV31,CG31,0,BY31,BX31,BZ31,AJ31,1,1)*CB31</f>
        <v>0.58841050999009392</v>
      </c>
      <c r="BN31" s="137">
        <f>IF(AH31&lt;&gt;0,_xll.xSPRDOPT($BW31,$BV31,$CG31,2*LN(1+CA31/2),$BY31,$BX31,$BZ31,$AJ31,1,8)+(AJ31/365.25)*CH31/AH31,0)</f>
        <v>-1.0249045635218154E-2</v>
      </c>
      <c r="BO31" s="137">
        <f>_xll.xSPRDOPT($BW31,$BV31,$CG31,0,$BY31,$BX31,$BZ31,$AJ31,1,0)</f>
        <v>5.6504196201813663E-2</v>
      </c>
      <c r="BP31" s="137"/>
      <c r="BQ31" s="137"/>
      <c r="BR31" s="137"/>
      <c r="BS31" s="137"/>
      <c r="BV31" s="262">
        <v>2.95281124497992</v>
      </c>
      <c r="BW31" s="136">
        <v>2.9784999999999999</v>
      </c>
      <c r="BX31" s="137">
        <v>0.55118306690820029</v>
      </c>
      <c r="BY31" s="137">
        <v>0.55463580926004052</v>
      </c>
      <c r="BZ31" s="137">
        <v>0.99745791388185301</v>
      </c>
      <c r="CA31" s="137">
        <v>2.2410164045373999E-2</v>
      </c>
      <c r="CB31" s="137">
        <v>0.98156266847823481</v>
      </c>
      <c r="CC31" s="258">
        <v>-0.09</v>
      </c>
      <c r="CD31" s="258">
        <v>0</v>
      </c>
      <c r="CE31" s="258">
        <v>-5.2499999999999998E-2</v>
      </c>
      <c r="CF31" s="258">
        <v>0</v>
      </c>
      <c r="CG31" s="258">
        <v>5.9999999999999995E-4</v>
      </c>
      <c r="CH31" s="258">
        <v>1.3388514798043121</v>
      </c>
      <c r="CI31" s="258">
        <v>3.0310000000000001</v>
      </c>
      <c r="CJ31" s="258"/>
      <c r="CK31" s="258"/>
      <c r="CL31" s="258"/>
      <c r="CM31" s="258"/>
    </row>
    <row r="32" spans="1:91" x14ac:dyDescent="0.25">
      <c r="A32" s="723"/>
      <c r="B32" s="723"/>
      <c r="D32" s="31">
        <f t="shared" si="41"/>
        <v>37575</v>
      </c>
      <c r="F32" s="28">
        <f t="shared" si="12"/>
        <v>15600</v>
      </c>
      <c r="G32" s="28">
        <f t="shared" si="13"/>
        <v>0</v>
      </c>
      <c r="H32" s="52">
        <f t="shared" si="14"/>
        <v>3.2540160642570277</v>
      </c>
      <c r="I32" s="52">
        <f t="shared" si="15"/>
        <v>3.2509999999999999</v>
      </c>
      <c r="K32" s="52">
        <f t="shared" si="42"/>
        <v>0</v>
      </c>
      <c r="L32" s="135">
        <f t="shared" si="43"/>
        <v>0</v>
      </c>
      <c r="N32" s="131">
        <f t="shared" si="44"/>
        <v>0.54</v>
      </c>
      <c r="O32" s="131">
        <f t="shared" si="45"/>
        <v>0.54</v>
      </c>
      <c r="P32" s="55">
        <f t="shared" si="46"/>
        <v>0</v>
      </c>
      <c r="Q32" s="135">
        <f>_xll.xSPRDOPT(I32,H32,AQ32,0,O32,N32,P32,D32-$G$5,1,0)*AH32*AU32</f>
        <v>0</v>
      </c>
      <c r="R32" s="135"/>
      <c r="S32" s="181">
        <f>_xll.xSPRDOPT(I32,H32,AQ32,AT32,O32,N32,P32,D32-$G$5,1,2)*AF32*(F32/(1-AR32))*AH32</f>
        <v>0</v>
      </c>
      <c r="T32" s="181">
        <f>_xll.xSPRDOPT(I32,H32,AQ32,AT32,O32,N32,P32,D32-$G$5,1,1)*AF32*F32*AH32</f>
        <v>0</v>
      </c>
      <c r="U32" s="135"/>
      <c r="V32" s="146">
        <f t="shared" si="16"/>
        <v>0</v>
      </c>
      <c r="W32" s="146"/>
      <c r="X32" s="338">
        <f t="shared" si="17"/>
        <v>0</v>
      </c>
      <c r="Y32" s="338">
        <f t="shared" si="18"/>
        <v>0</v>
      </c>
      <c r="Z32" s="338">
        <f t="shared" si="19"/>
        <v>0</v>
      </c>
      <c r="AA32" s="338">
        <f t="shared" si="20"/>
        <v>0</v>
      </c>
      <c r="AB32" s="338">
        <f t="shared" si="21"/>
        <v>0</v>
      </c>
      <c r="AC32" s="338">
        <f t="shared" si="22"/>
        <v>0</v>
      </c>
      <c r="AF32" s="138">
        <f t="shared" si="23"/>
        <v>0</v>
      </c>
      <c r="AG32" s="138">
        <f t="shared" si="24"/>
        <v>11</v>
      </c>
      <c r="AH32" s="138">
        <f t="shared" si="25"/>
        <v>0</v>
      </c>
      <c r="AI32" s="138">
        <f t="shared" si="47"/>
        <v>319</v>
      </c>
      <c r="AJ32" s="138">
        <f t="shared" si="26"/>
        <v>336</v>
      </c>
      <c r="AL32" s="136">
        <f t="shared" si="27"/>
        <v>3.2109999999999999</v>
      </c>
      <c r="AM32" s="258">
        <f t="shared" si="48"/>
        <v>0</v>
      </c>
      <c r="AN32" s="258">
        <f t="shared" si="28"/>
        <v>0.03</v>
      </c>
      <c r="AO32" s="258">
        <f t="shared" si="29"/>
        <v>0.04</v>
      </c>
      <c r="AP32" s="258">
        <f t="shared" si="30"/>
        <v>0</v>
      </c>
      <c r="AQ32" s="136">
        <f t="shared" si="31"/>
        <v>5.9999999999999995E-4</v>
      </c>
      <c r="AR32" s="137">
        <f t="shared" si="32"/>
        <v>4.0000000000000001E-3</v>
      </c>
      <c r="AS32" s="136">
        <f t="shared" si="49"/>
        <v>3.2409999999999997</v>
      </c>
      <c r="AT32" s="137">
        <f t="shared" si="33"/>
        <v>2.3274064967752799E-2</v>
      </c>
      <c r="AU32" s="137">
        <f t="shared" si="34"/>
        <v>0</v>
      </c>
      <c r="AV32" s="394">
        <f t="shared" si="50"/>
        <v>0</v>
      </c>
      <c r="AW32" s="137">
        <f t="shared" si="35"/>
        <v>0.54</v>
      </c>
      <c r="AX32" s="137">
        <f t="shared" si="36"/>
        <v>0.95</v>
      </c>
      <c r="AY32" s="137">
        <f t="shared" si="37"/>
        <v>0.85</v>
      </c>
      <c r="AZ32" s="137"/>
      <c r="BA32" s="264"/>
      <c r="BB32" s="258">
        <f t="shared" si="38"/>
        <v>0</v>
      </c>
      <c r="BC32" s="258">
        <f t="shared" si="39"/>
        <v>0</v>
      </c>
      <c r="BD32" s="137">
        <f t="shared" si="40"/>
        <v>0</v>
      </c>
      <c r="BE32" s="137">
        <f t="shared" si="40"/>
        <v>0</v>
      </c>
      <c r="BF32" s="137">
        <f>_xll.xSPRDOPT($BW32,$BV32,$CG32,0,$BY32,$BX32,$BZ32,$AJ32,1,4)*$CB32</f>
        <v>0</v>
      </c>
      <c r="BG32" s="137">
        <f>_xll.xSPRDOPT($BW32,$BV32,$CG32,0,$BY32,$BX32,$BZ32,$AJ32,1,3)*$CB32</f>
        <v>0</v>
      </c>
      <c r="BH32" s="137">
        <f>IF(OR(BF32&lt;&gt;0,BG32&lt;&gt;0),_xll.xSPRDOPT($BW32,$BV32,$CG32,0,$BY32,$BX32,$BZ32,$AJ32,1,12)*$CB32,0)</f>
        <v>0</v>
      </c>
      <c r="BI32" s="137">
        <f>_xll.xSPRDOPT($BW32,$BV32,$CG32,2*LN(1+CA32/2),$BY32,$BX32,$BZ32,$AJ32,1,9)</f>
        <v>-0.45187663113673437</v>
      </c>
      <c r="BJ32" s="137">
        <f>_xll.xSPRDOPT($BW32,$BV32,$CG32,0,$BY32,$BX32,$BZ32,$AJ32,1,6)*$CB32</f>
        <v>0</v>
      </c>
      <c r="BK32" s="137">
        <f>_xll.xSPRDOPT($BW32,$BV32,$CG32,0,$BY32,$BX32,$BZ32,$AJ32,1,5)*$CB32</f>
        <v>0</v>
      </c>
      <c r="BL32" s="137">
        <f>_xll.xSPRDOPT(BW32,BV32,CG32,0,BY32,BX32,BZ32,AJ32,1,2)*CB32</f>
        <v>0</v>
      </c>
      <c r="BM32" s="137">
        <f>_xll.xSPRDOPT(BW32,BV32,CG32,0,BY32,BX32,BZ32,AJ32,1,1)*CB32</f>
        <v>0</v>
      </c>
      <c r="BN32" s="137">
        <f>IF(AH32&lt;&gt;0,_xll.xSPRDOPT($BW32,$BV32,$CG32,2*LN(1+CA32/2),$BY32,$BX32,$BZ32,$AJ32,1,8)+(AJ32/365.25)*CH32/AH32,0)</f>
        <v>0</v>
      </c>
      <c r="BO32" s="137">
        <f>_xll.xSPRDOPT($BW32,$BV32,$CG32,0,$BY32,$BX32,$BZ32,$AJ32,1,0)</f>
        <v>0.92777993663970204</v>
      </c>
      <c r="BP32" s="137"/>
      <c r="BQ32" s="137"/>
      <c r="BR32" s="137"/>
      <c r="BS32" s="137"/>
      <c r="BV32" s="262">
        <v>3.2540160642570277</v>
      </c>
      <c r="BW32" s="136">
        <v>3.2509999999999999</v>
      </c>
      <c r="BX32" s="137">
        <v>0.54</v>
      </c>
      <c r="BY32" s="137">
        <v>0.54</v>
      </c>
      <c r="BZ32" s="137">
        <v>0</v>
      </c>
      <c r="CA32" s="137">
        <v>2.3274064967752799E-2</v>
      </c>
      <c r="CB32" s="137">
        <v>0</v>
      </c>
      <c r="CC32" s="258">
        <v>0</v>
      </c>
      <c r="CD32" s="258">
        <v>0.03</v>
      </c>
      <c r="CE32" s="258">
        <v>0.04</v>
      </c>
      <c r="CF32" s="258">
        <v>0</v>
      </c>
      <c r="CG32" s="258">
        <v>5.9999999999999995E-4</v>
      </c>
      <c r="CH32" s="258">
        <v>0</v>
      </c>
      <c r="CI32" s="258">
        <v>3.2109999999999999</v>
      </c>
      <c r="CJ32" s="258"/>
      <c r="CK32" s="258"/>
      <c r="CL32" s="258"/>
      <c r="CM32" s="258"/>
    </row>
    <row r="33" spans="1:91" x14ac:dyDescent="0.25">
      <c r="A33" s="723"/>
      <c r="B33" s="723"/>
      <c r="D33" s="31">
        <f t="shared" si="41"/>
        <v>37575</v>
      </c>
      <c r="F33" s="28">
        <f t="shared" si="12"/>
        <v>15600</v>
      </c>
      <c r="G33" s="28">
        <f t="shared" si="13"/>
        <v>0</v>
      </c>
      <c r="H33" s="52">
        <f t="shared" si="14"/>
        <v>3.2540160642570277</v>
      </c>
      <c r="I33" s="52">
        <f t="shared" si="15"/>
        <v>3.2509999999999999</v>
      </c>
      <c r="K33" s="52">
        <f t="shared" si="42"/>
        <v>0</v>
      </c>
      <c r="L33" s="135">
        <f t="shared" si="43"/>
        <v>0</v>
      </c>
      <c r="N33" s="131">
        <f t="shared" si="44"/>
        <v>0.54</v>
      </c>
      <c r="O33" s="131">
        <f t="shared" si="45"/>
        <v>0.54</v>
      </c>
      <c r="P33" s="55">
        <f t="shared" si="46"/>
        <v>0</v>
      </c>
      <c r="Q33" s="135">
        <f>_xll.xSPRDOPT(I33,H33,AQ33,0,O33,N33,P33,D33-$G$5,1,0)*AH33*AU33</f>
        <v>0</v>
      </c>
      <c r="R33" s="135"/>
      <c r="S33" s="181">
        <f>_xll.xSPRDOPT(I33,H33,AQ33,AT33,O33,N33,P33,D33-$G$5,1,2)*AF33*(F33/(1-AR33))*AH33</f>
        <v>0</v>
      </c>
      <c r="T33" s="181">
        <f>_xll.xSPRDOPT(I33,H33,AQ33,AT33,O33,N33,P33,D33-$G$5,1,1)*AF33*F33*AH33</f>
        <v>0</v>
      </c>
      <c r="U33" s="135"/>
      <c r="V33" s="146">
        <f t="shared" si="16"/>
        <v>0</v>
      </c>
      <c r="W33" s="146"/>
      <c r="X33" s="338">
        <f t="shared" si="17"/>
        <v>0</v>
      </c>
      <c r="Y33" s="338">
        <f t="shared" si="18"/>
        <v>0</v>
      </c>
      <c r="Z33" s="338">
        <f t="shared" si="19"/>
        <v>0</v>
      </c>
      <c r="AA33" s="338">
        <f t="shared" si="20"/>
        <v>0</v>
      </c>
      <c r="AB33" s="338">
        <f t="shared" si="21"/>
        <v>0</v>
      </c>
      <c r="AC33" s="338">
        <f t="shared" si="22"/>
        <v>0</v>
      </c>
      <c r="AF33" s="138">
        <f t="shared" si="23"/>
        <v>0</v>
      </c>
      <c r="AG33" s="138">
        <f t="shared" si="24"/>
        <v>11</v>
      </c>
      <c r="AH33" s="138">
        <f t="shared" si="25"/>
        <v>0</v>
      </c>
      <c r="AI33" s="138">
        <f t="shared" si="47"/>
        <v>319</v>
      </c>
      <c r="AJ33" s="138">
        <f t="shared" si="26"/>
        <v>336</v>
      </c>
      <c r="AL33" s="136">
        <f t="shared" si="27"/>
        <v>3.2109999999999999</v>
      </c>
      <c r="AM33" s="258">
        <f t="shared" si="48"/>
        <v>0</v>
      </c>
      <c r="AN33" s="258">
        <f t="shared" si="28"/>
        <v>0.03</v>
      </c>
      <c r="AO33" s="258">
        <f t="shared" si="29"/>
        <v>0.04</v>
      </c>
      <c r="AP33" s="258">
        <f t="shared" si="30"/>
        <v>0</v>
      </c>
      <c r="AQ33" s="136">
        <f t="shared" si="31"/>
        <v>5.9999999999999995E-4</v>
      </c>
      <c r="AR33" s="137">
        <f t="shared" si="32"/>
        <v>4.0000000000000001E-3</v>
      </c>
      <c r="AS33" s="136">
        <f t="shared" si="49"/>
        <v>3.2409999999999997</v>
      </c>
      <c r="AT33" s="137">
        <f t="shared" si="33"/>
        <v>2.3274064967752799E-2</v>
      </c>
      <c r="AU33" s="137">
        <f t="shared" si="34"/>
        <v>0</v>
      </c>
      <c r="AV33" s="394">
        <f t="shared" si="50"/>
        <v>0</v>
      </c>
      <c r="AW33" s="137">
        <f t="shared" si="35"/>
        <v>0.54</v>
      </c>
      <c r="AX33" s="137">
        <f t="shared" si="36"/>
        <v>0.95</v>
      </c>
      <c r="AY33" s="137">
        <f t="shared" si="37"/>
        <v>0.85</v>
      </c>
      <c r="AZ33" s="137"/>
      <c r="BA33" s="264"/>
      <c r="BB33" s="258">
        <f t="shared" si="38"/>
        <v>0</v>
      </c>
      <c r="BC33" s="258">
        <f t="shared" si="39"/>
        <v>0</v>
      </c>
      <c r="BD33" s="137">
        <f t="shared" si="40"/>
        <v>0</v>
      </c>
      <c r="BE33" s="137">
        <f t="shared" si="40"/>
        <v>0</v>
      </c>
      <c r="BF33" s="137">
        <f>_xll.xSPRDOPT($BW33,$BV33,$CG33,0,$BY33,$BX33,$BZ33,$AJ33,1,4)*$CB33</f>
        <v>0</v>
      </c>
      <c r="BG33" s="137">
        <f>_xll.xSPRDOPT($BW33,$BV33,$CG33,0,$BY33,$BX33,$BZ33,$AJ33,1,3)*$CB33</f>
        <v>0</v>
      </c>
      <c r="BH33" s="137">
        <f>IF(OR(BF33&lt;&gt;0,BG33&lt;&gt;0),_xll.xSPRDOPT($BW33,$BV33,$CG33,0,$BY33,$BX33,$BZ33,$AJ33,1,12)*$CB33,0)</f>
        <v>0</v>
      </c>
      <c r="BI33" s="137">
        <f>_xll.xSPRDOPT($BW33,$BV33,$CG33,2*LN(1+CA33/2),$BY33,$BX33,$BZ33,$AJ33,1,9)</f>
        <v>-0.45187663113673437</v>
      </c>
      <c r="BJ33" s="137">
        <f>_xll.xSPRDOPT($BW33,$BV33,$CG33,0,$BY33,$BX33,$BZ33,$AJ33,1,6)*$CB33</f>
        <v>0</v>
      </c>
      <c r="BK33" s="137">
        <f>_xll.xSPRDOPT($BW33,$BV33,$CG33,0,$BY33,$BX33,$BZ33,$AJ33,1,5)*$CB33</f>
        <v>0</v>
      </c>
      <c r="BL33" s="137">
        <f>_xll.xSPRDOPT(BW33,BV33,CG33,0,BY33,BX33,BZ33,AJ33,1,2)*CB33</f>
        <v>0</v>
      </c>
      <c r="BM33" s="137">
        <f>_xll.xSPRDOPT(BW33,BV33,CG33,0,BY33,BX33,BZ33,AJ33,1,1)*CB33</f>
        <v>0</v>
      </c>
      <c r="BN33" s="137">
        <f>IF(AH33&lt;&gt;0,_xll.xSPRDOPT($BW33,$BV33,$CG33,2*LN(1+CA33/2),$BY33,$BX33,$BZ33,$AJ33,1,8)+(AJ33/365.25)*CH33/AH33,0)</f>
        <v>0</v>
      </c>
      <c r="BO33" s="137">
        <f>_xll.xSPRDOPT($BW33,$BV33,$CG33,0,$BY33,$BX33,$BZ33,$AJ33,1,0)</f>
        <v>0.92777993663970204</v>
      </c>
      <c r="BP33" s="137"/>
      <c r="BQ33" s="137"/>
      <c r="BR33" s="137"/>
      <c r="BS33" s="137"/>
      <c r="BV33" s="262">
        <v>3.2540160642570277</v>
      </c>
      <c r="BW33" s="136">
        <v>3.2509999999999999</v>
      </c>
      <c r="BX33" s="137">
        <v>0.54</v>
      </c>
      <c r="BY33" s="137">
        <v>0.54</v>
      </c>
      <c r="BZ33" s="137">
        <v>0</v>
      </c>
      <c r="CA33" s="137">
        <v>2.3274064967752799E-2</v>
      </c>
      <c r="CB33" s="137">
        <v>0</v>
      </c>
      <c r="CC33" s="258">
        <v>0</v>
      </c>
      <c r="CD33" s="258">
        <v>0.03</v>
      </c>
      <c r="CE33" s="258">
        <v>0.04</v>
      </c>
      <c r="CF33" s="258">
        <v>0</v>
      </c>
      <c r="CG33" s="258">
        <v>5.9999999999999995E-4</v>
      </c>
      <c r="CH33" s="258">
        <v>0</v>
      </c>
      <c r="CI33" s="258">
        <v>3.2109999999999999</v>
      </c>
      <c r="CJ33" s="258"/>
      <c r="CK33" s="258"/>
      <c r="CL33" s="258"/>
      <c r="CM33" s="258"/>
    </row>
    <row r="34" spans="1:91" x14ac:dyDescent="0.25">
      <c r="A34" s="723"/>
      <c r="B34" s="723"/>
      <c r="D34" s="31">
        <f t="shared" si="41"/>
        <v>37575</v>
      </c>
      <c r="F34" s="28">
        <f t="shared" si="12"/>
        <v>15600</v>
      </c>
      <c r="G34" s="28">
        <f t="shared" si="13"/>
        <v>0</v>
      </c>
      <c r="H34" s="52">
        <f t="shared" si="14"/>
        <v>3.2540160642570277</v>
      </c>
      <c r="I34" s="52">
        <f t="shared" si="15"/>
        <v>3.2509999999999999</v>
      </c>
      <c r="K34" s="52">
        <f t="shared" si="42"/>
        <v>0</v>
      </c>
      <c r="L34" s="135">
        <f t="shared" si="43"/>
        <v>0</v>
      </c>
      <c r="N34" s="131">
        <f t="shared" si="44"/>
        <v>0.54</v>
      </c>
      <c r="O34" s="131">
        <f t="shared" si="45"/>
        <v>0.54</v>
      </c>
      <c r="P34" s="55">
        <f t="shared" si="46"/>
        <v>0</v>
      </c>
      <c r="Q34" s="135">
        <f>_xll.xSPRDOPT(I34,H34,AQ34,0,O34,N34,P34,D34-$G$5,1,0)*AH34*AU34</f>
        <v>0</v>
      </c>
      <c r="R34" s="135"/>
      <c r="S34" s="181">
        <f>_xll.xSPRDOPT(I34,H34,AQ34,AT34,O34,N34,P34,D34-$G$5,1,2)*AF34*(F34/(1-AR34))*AH34</f>
        <v>0</v>
      </c>
      <c r="T34" s="181">
        <f>_xll.xSPRDOPT(I34,H34,AQ34,AT34,O34,N34,P34,D34-$G$5,1,1)*AF34*F34*AH34</f>
        <v>0</v>
      </c>
      <c r="U34" s="135"/>
      <c r="V34" s="146">
        <f t="shared" si="16"/>
        <v>0</v>
      </c>
      <c r="W34" s="146"/>
      <c r="X34" s="338">
        <f t="shared" si="17"/>
        <v>0</v>
      </c>
      <c r="Y34" s="338">
        <f t="shared" si="18"/>
        <v>0</v>
      </c>
      <c r="Z34" s="338">
        <f t="shared" si="19"/>
        <v>0</v>
      </c>
      <c r="AA34" s="338">
        <f t="shared" si="20"/>
        <v>0</v>
      </c>
      <c r="AB34" s="338">
        <f t="shared" si="21"/>
        <v>0</v>
      </c>
      <c r="AC34" s="338">
        <f t="shared" si="22"/>
        <v>0</v>
      </c>
      <c r="AF34" s="138">
        <f t="shared" si="23"/>
        <v>0</v>
      </c>
      <c r="AG34" s="138">
        <f t="shared" si="24"/>
        <v>11</v>
      </c>
      <c r="AH34" s="138">
        <f t="shared" si="25"/>
        <v>0</v>
      </c>
      <c r="AI34" s="138">
        <f t="shared" si="47"/>
        <v>319</v>
      </c>
      <c r="AJ34" s="138">
        <f t="shared" si="26"/>
        <v>336</v>
      </c>
      <c r="AL34" s="136">
        <f t="shared" si="27"/>
        <v>3.2109999999999999</v>
      </c>
      <c r="AM34" s="258">
        <f t="shared" si="48"/>
        <v>0</v>
      </c>
      <c r="AN34" s="258">
        <f t="shared" si="28"/>
        <v>0.03</v>
      </c>
      <c r="AO34" s="258">
        <f t="shared" si="29"/>
        <v>0.04</v>
      </c>
      <c r="AP34" s="258">
        <f t="shared" si="30"/>
        <v>0</v>
      </c>
      <c r="AQ34" s="136">
        <f t="shared" si="31"/>
        <v>5.9999999999999995E-4</v>
      </c>
      <c r="AR34" s="137">
        <f t="shared" si="32"/>
        <v>4.0000000000000001E-3</v>
      </c>
      <c r="AS34" s="136">
        <f t="shared" si="49"/>
        <v>3.2409999999999997</v>
      </c>
      <c r="AT34" s="137">
        <f t="shared" si="33"/>
        <v>2.3274064967752799E-2</v>
      </c>
      <c r="AU34" s="137">
        <f t="shared" si="34"/>
        <v>0</v>
      </c>
      <c r="AV34" s="394">
        <f t="shared" si="50"/>
        <v>0</v>
      </c>
      <c r="AW34" s="137">
        <f t="shared" si="35"/>
        <v>0.54</v>
      </c>
      <c r="AX34" s="137">
        <f t="shared" si="36"/>
        <v>0.95</v>
      </c>
      <c r="AY34" s="137">
        <f t="shared" si="37"/>
        <v>0.85</v>
      </c>
      <c r="AZ34" s="137"/>
      <c r="BA34" s="264"/>
      <c r="BB34" s="258">
        <f t="shared" si="38"/>
        <v>0</v>
      </c>
      <c r="BC34" s="258">
        <f t="shared" si="39"/>
        <v>0</v>
      </c>
      <c r="BD34" s="137">
        <f t="shared" si="40"/>
        <v>0</v>
      </c>
      <c r="BE34" s="137">
        <f t="shared" si="40"/>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-0.45187663113673437</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0.92777993663970204</v>
      </c>
      <c r="BP34" s="137"/>
      <c r="BQ34" s="137"/>
      <c r="BR34" s="137"/>
      <c r="BS34" s="137"/>
      <c r="BV34" s="262">
        <v>3.2540160642570277</v>
      </c>
      <c r="BW34" s="136">
        <v>3.2509999999999999</v>
      </c>
      <c r="BX34" s="137">
        <v>0.54</v>
      </c>
      <c r="BY34" s="137">
        <v>0.54</v>
      </c>
      <c r="BZ34" s="137">
        <v>0</v>
      </c>
      <c r="CA34" s="137">
        <v>2.3274064967752799E-2</v>
      </c>
      <c r="CB34" s="137">
        <v>0</v>
      </c>
      <c r="CC34" s="258">
        <v>0</v>
      </c>
      <c r="CD34" s="258">
        <v>0.03</v>
      </c>
      <c r="CE34" s="258">
        <v>0.04</v>
      </c>
      <c r="CF34" s="258">
        <v>0</v>
      </c>
      <c r="CG34" s="258">
        <v>5.9999999999999995E-4</v>
      </c>
      <c r="CH34" s="258">
        <v>0</v>
      </c>
      <c r="CI34" s="258">
        <v>3.2109999999999999</v>
      </c>
      <c r="CJ34" s="258"/>
      <c r="CK34" s="258"/>
      <c r="CL34" s="258"/>
      <c r="CM34" s="258"/>
    </row>
    <row r="35" spans="1:91" x14ac:dyDescent="0.25">
      <c r="A35" s="723"/>
      <c r="B35" s="723"/>
      <c r="D35" s="31">
        <f t="shared" si="41"/>
        <v>37575</v>
      </c>
      <c r="F35" s="28">
        <f t="shared" si="12"/>
        <v>15600</v>
      </c>
      <c r="G35" s="28">
        <f t="shared" si="13"/>
        <v>0</v>
      </c>
      <c r="H35" s="52">
        <f t="shared" si="14"/>
        <v>3.2540160642570277</v>
      </c>
      <c r="I35" s="52">
        <f t="shared" si="15"/>
        <v>3.2509999999999999</v>
      </c>
      <c r="K35" s="52">
        <f t="shared" si="42"/>
        <v>0</v>
      </c>
      <c r="L35" s="135">
        <f t="shared" si="43"/>
        <v>0</v>
      </c>
      <c r="N35" s="131">
        <f t="shared" si="44"/>
        <v>0.54</v>
      </c>
      <c r="O35" s="131">
        <f t="shared" si="45"/>
        <v>0.54</v>
      </c>
      <c r="P35" s="55">
        <f t="shared" si="46"/>
        <v>0</v>
      </c>
      <c r="Q35" s="135">
        <f>_xll.xSPRDOPT(I35,H35,AQ35,0,O35,N35,P35,D35-$G$5,1,0)*AH35*AU35</f>
        <v>0</v>
      </c>
      <c r="R35" s="135"/>
      <c r="S35" s="181">
        <f>_xll.xSPRDOPT(I35,H35,AQ35,AT35,O35,N35,P35,D35-$G$5,1,2)*AF35*(F35/(1-AR35))*AH35</f>
        <v>0</v>
      </c>
      <c r="T35" s="181">
        <f>_xll.xSPRDOPT(I35,H35,AQ35,AT35,O35,N35,P35,D35-$G$5,1,1)*AF35*F35*AH35</f>
        <v>0</v>
      </c>
      <c r="U35" s="135"/>
      <c r="V35" s="146">
        <f t="shared" si="16"/>
        <v>0</v>
      </c>
      <c r="W35" s="146"/>
      <c r="X35" s="338">
        <f t="shared" si="17"/>
        <v>0</v>
      </c>
      <c r="Y35" s="338">
        <f t="shared" si="18"/>
        <v>0</v>
      </c>
      <c r="Z35" s="338">
        <f t="shared" si="19"/>
        <v>0</v>
      </c>
      <c r="AA35" s="338">
        <f t="shared" si="20"/>
        <v>0</v>
      </c>
      <c r="AB35" s="338">
        <f t="shared" si="21"/>
        <v>0</v>
      </c>
      <c r="AC35" s="338">
        <f t="shared" si="22"/>
        <v>0</v>
      </c>
      <c r="AF35" s="138">
        <f t="shared" si="23"/>
        <v>0</v>
      </c>
      <c r="AG35" s="138">
        <f t="shared" si="24"/>
        <v>11</v>
      </c>
      <c r="AH35" s="138">
        <f t="shared" si="25"/>
        <v>0</v>
      </c>
      <c r="AI35" s="138">
        <f t="shared" si="47"/>
        <v>319</v>
      </c>
      <c r="AJ35" s="138">
        <f t="shared" si="26"/>
        <v>336</v>
      </c>
      <c r="AL35" s="136">
        <f t="shared" si="27"/>
        <v>3.2109999999999999</v>
      </c>
      <c r="AM35" s="258">
        <f t="shared" si="48"/>
        <v>0</v>
      </c>
      <c r="AN35" s="258">
        <f t="shared" si="28"/>
        <v>0.03</v>
      </c>
      <c r="AO35" s="258">
        <f t="shared" si="29"/>
        <v>0.04</v>
      </c>
      <c r="AP35" s="258">
        <f t="shared" si="30"/>
        <v>0</v>
      </c>
      <c r="AQ35" s="136">
        <f t="shared" si="31"/>
        <v>5.9999999999999995E-4</v>
      </c>
      <c r="AR35" s="137">
        <f t="shared" si="32"/>
        <v>4.0000000000000001E-3</v>
      </c>
      <c r="AS35" s="136">
        <f t="shared" si="49"/>
        <v>3.2409999999999997</v>
      </c>
      <c r="AT35" s="137">
        <f t="shared" si="33"/>
        <v>2.3274064967752799E-2</v>
      </c>
      <c r="AU35" s="137">
        <f t="shared" si="34"/>
        <v>0</v>
      </c>
      <c r="AV35" s="394">
        <f t="shared" si="50"/>
        <v>0</v>
      </c>
      <c r="AW35" s="137">
        <f t="shared" si="35"/>
        <v>0.54</v>
      </c>
      <c r="AX35" s="137">
        <f t="shared" si="36"/>
        <v>0.95</v>
      </c>
      <c r="AY35" s="137">
        <f t="shared" si="37"/>
        <v>0.85</v>
      </c>
      <c r="AZ35" s="137"/>
      <c r="BA35" s="264"/>
      <c r="BB35" s="258">
        <f t="shared" si="38"/>
        <v>0</v>
      </c>
      <c r="BC35" s="258">
        <f t="shared" si="39"/>
        <v>0</v>
      </c>
      <c r="BD35" s="137">
        <f t="shared" si="40"/>
        <v>0</v>
      </c>
      <c r="BE35" s="137">
        <f t="shared" si="40"/>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-0.45187663113673437</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0.92777993663970204</v>
      </c>
      <c r="BP35" s="137"/>
      <c r="BQ35" s="137"/>
      <c r="BR35" s="137"/>
      <c r="BS35" s="137"/>
      <c r="BV35" s="262">
        <v>3.2540160642570277</v>
      </c>
      <c r="BW35" s="136">
        <v>3.2509999999999999</v>
      </c>
      <c r="BX35" s="137">
        <v>0.54</v>
      </c>
      <c r="BY35" s="137">
        <v>0.54</v>
      </c>
      <c r="BZ35" s="137">
        <v>0</v>
      </c>
      <c r="CA35" s="137">
        <v>2.3274064967752799E-2</v>
      </c>
      <c r="CB35" s="137">
        <v>0</v>
      </c>
      <c r="CC35" s="258">
        <v>0</v>
      </c>
      <c r="CD35" s="258">
        <v>0.03</v>
      </c>
      <c r="CE35" s="258">
        <v>0.04</v>
      </c>
      <c r="CF35" s="258">
        <v>0</v>
      </c>
      <c r="CG35" s="258">
        <v>5.9999999999999995E-4</v>
      </c>
      <c r="CH35" s="258">
        <v>0</v>
      </c>
      <c r="CI35" s="258">
        <v>3.2109999999999999</v>
      </c>
      <c r="CJ35" s="258"/>
      <c r="CK35" s="258"/>
      <c r="CL35" s="258"/>
      <c r="CM35" s="258"/>
    </row>
    <row r="36" spans="1:91" x14ac:dyDescent="0.25">
      <c r="A36" s="723"/>
      <c r="B36" s="723"/>
      <c r="D36" s="31">
        <f t="shared" si="41"/>
        <v>37575</v>
      </c>
      <c r="F36" s="28">
        <f t="shared" si="12"/>
        <v>15600</v>
      </c>
      <c r="G36" s="28">
        <f t="shared" si="13"/>
        <v>0</v>
      </c>
      <c r="H36" s="52">
        <f t="shared" si="14"/>
        <v>3.2540160642570277</v>
      </c>
      <c r="I36" s="52">
        <f t="shared" si="15"/>
        <v>3.2509999999999999</v>
      </c>
      <c r="K36" s="52">
        <f t="shared" si="42"/>
        <v>0</v>
      </c>
      <c r="L36" s="135">
        <f t="shared" si="43"/>
        <v>0</v>
      </c>
      <c r="N36" s="131">
        <f t="shared" si="44"/>
        <v>0.54</v>
      </c>
      <c r="O36" s="131">
        <f t="shared" si="45"/>
        <v>0.54</v>
      </c>
      <c r="P36" s="55">
        <f t="shared" si="46"/>
        <v>0</v>
      </c>
      <c r="Q36" s="135">
        <f>_xll.xSPRDOPT(I36,H36,AQ36,0,O36,N36,P36,D36-$G$5,1,0)*AH36*AU36</f>
        <v>0</v>
      </c>
      <c r="R36" s="135"/>
      <c r="S36" s="181">
        <f>_xll.xSPRDOPT(I36,H36,AQ36,AT36,O36,N36,P36,D36-$G$5,1,2)*AF36*(F36/(1-AR36))*AH36</f>
        <v>0</v>
      </c>
      <c r="T36" s="181">
        <f>_xll.xSPRDOPT(I36,H36,AQ36,AT36,O36,N36,P36,D36-$G$5,1,1)*AF36*F36*AH36</f>
        <v>0</v>
      </c>
      <c r="U36" s="135"/>
      <c r="V36" s="146">
        <f t="shared" si="16"/>
        <v>0</v>
      </c>
      <c r="W36" s="146"/>
      <c r="X36" s="338">
        <f t="shared" si="17"/>
        <v>0</v>
      </c>
      <c r="Y36" s="338">
        <f t="shared" si="18"/>
        <v>0</v>
      </c>
      <c r="Z36" s="338">
        <f t="shared" si="19"/>
        <v>0</v>
      </c>
      <c r="AA36" s="338">
        <f t="shared" si="20"/>
        <v>0</v>
      </c>
      <c r="AB36" s="338">
        <f t="shared" si="21"/>
        <v>0</v>
      </c>
      <c r="AC36" s="338">
        <f t="shared" si="22"/>
        <v>0</v>
      </c>
      <c r="AF36" s="138">
        <f t="shared" si="23"/>
        <v>0</v>
      </c>
      <c r="AG36" s="138">
        <f t="shared" si="24"/>
        <v>11</v>
      </c>
      <c r="AH36" s="138">
        <f t="shared" si="25"/>
        <v>0</v>
      </c>
      <c r="AI36" s="138">
        <f t="shared" si="47"/>
        <v>319</v>
      </c>
      <c r="AJ36" s="138">
        <f t="shared" si="26"/>
        <v>336</v>
      </c>
      <c r="AL36" s="136">
        <f t="shared" si="27"/>
        <v>3.2109999999999999</v>
      </c>
      <c r="AM36" s="258">
        <f t="shared" si="48"/>
        <v>0</v>
      </c>
      <c r="AN36" s="258">
        <f t="shared" si="28"/>
        <v>0.03</v>
      </c>
      <c r="AO36" s="258">
        <f t="shared" si="29"/>
        <v>0.04</v>
      </c>
      <c r="AP36" s="258">
        <f t="shared" si="30"/>
        <v>0</v>
      </c>
      <c r="AQ36" s="136">
        <f t="shared" si="31"/>
        <v>5.9999999999999995E-4</v>
      </c>
      <c r="AR36" s="137">
        <f t="shared" si="32"/>
        <v>4.0000000000000001E-3</v>
      </c>
      <c r="AS36" s="136">
        <f t="shared" si="49"/>
        <v>3.2409999999999997</v>
      </c>
      <c r="AT36" s="137">
        <f t="shared" si="33"/>
        <v>2.3274064967752799E-2</v>
      </c>
      <c r="AU36" s="137">
        <f t="shared" si="34"/>
        <v>0</v>
      </c>
      <c r="AV36" s="394">
        <f t="shared" si="50"/>
        <v>0</v>
      </c>
      <c r="AW36" s="137">
        <f t="shared" si="35"/>
        <v>0.54</v>
      </c>
      <c r="AX36" s="137">
        <f t="shared" si="36"/>
        <v>0.95</v>
      </c>
      <c r="AY36" s="137">
        <f t="shared" si="37"/>
        <v>0.85</v>
      </c>
      <c r="AZ36" s="137"/>
      <c r="BA36" s="264"/>
      <c r="BB36" s="258">
        <f t="shared" si="38"/>
        <v>0</v>
      </c>
      <c r="BC36" s="258">
        <f t="shared" si="39"/>
        <v>0</v>
      </c>
      <c r="BD36" s="137">
        <f t="shared" si="40"/>
        <v>0</v>
      </c>
      <c r="BE36" s="137">
        <f t="shared" si="40"/>
        <v>0</v>
      </c>
      <c r="BF36" s="137">
        <f>_xll.xSPRDOPT($BW36,$BV36,$CG36,0,$BY36,$BX36,$BZ36,$AJ36,1,4)*$CB36</f>
        <v>0</v>
      </c>
      <c r="BG36" s="137">
        <f>_xll.xSPRDOPT($BW36,$BV36,$CG36,0,$BY36,$BX36,$BZ36,$AJ36,1,3)*$CB36</f>
        <v>0</v>
      </c>
      <c r="BH36" s="137">
        <f>IF(OR(BF36&lt;&gt;0,BG36&lt;&gt;0),_xll.xSPRDOPT($BW36,$BV36,$CG36,0,$BY36,$BX36,$BZ36,$AJ36,1,12)*$CB36,0)</f>
        <v>0</v>
      </c>
      <c r="BI36" s="137">
        <f>_xll.xSPRDOPT($BW36,$BV36,$CG36,2*LN(1+CA36/2),$BY36,$BX36,$BZ36,$AJ36,1,9)</f>
        <v>-0.45187663113673437</v>
      </c>
      <c r="BJ36" s="137">
        <f>_xll.xSPRDOPT($BW36,$BV36,$CG36,0,$BY36,$BX36,$BZ36,$AJ36,1,6)*$CB36</f>
        <v>0</v>
      </c>
      <c r="BK36" s="137">
        <f>_xll.xSPRDOPT($BW36,$BV36,$CG36,0,$BY36,$BX36,$BZ36,$AJ36,1,5)*$CB36</f>
        <v>0</v>
      </c>
      <c r="BL36" s="137">
        <f>_xll.xSPRDOPT(BW36,BV36,CG36,0,BY36,BX36,BZ36,AJ36,1,2)*CB36</f>
        <v>0</v>
      </c>
      <c r="BM36" s="137">
        <f>_xll.xSPRDOPT(BW36,BV36,CG36,0,BY36,BX36,BZ36,AJ36,1,1)*CB36</f>
        <v>0</v>
      </c>
      <c r="BN36" s="137">
        <f>IF(AH36&lt;&gt;0,_xll.xSPRDOPT($BW36,$BV36,$CG36,2*LN(1+CA36/2),$BY36,$BX36,$BZ36,$AJ36,1,8)+(AJ36/365.25)*CH36/AH36,0)</f>
        <v>0</v>
      </c>
      <c r="BO36" s="137">
        <f>_xll.xSPRDOPT($BW36,$BV36,$CG36,0,$BY36,$BX36,$BZ36,$AJ36,1,0)</f>
        <v>0.92777993663970204</v>
      </c>
      <c r="BP36" s="137"/>
      <c r="BQ36" s="137"/>
      <c r="BR36" s="137"/>
      <c r="BS36" s="137"/>
      <c r="BV36" s="262">
        <v>3.2540160642570277</v>
      </c>
      <c r="BW36" s="136">
        <v>3.2509999999999999</v>
      </c>
      <c r="BX36" s="137">
        <v>0.54</v>
      </c>
      <c r="BY36" s="137">
        <v>0.54</v>
      </c>
      <c r="BZ36" s="137">
        <v>0</v>
      </c>
      <c r="CA36" s="137">
        <v>2.3274064967752799E-2</v>
      </c>
      <c r="CB36" s="137">
        <v>0</v>
      </c>
      <c r="CC36" s="258">
        <v>0</v>
      </c>
      <c r="CD36" s="258">
        <v>0.03</v>
      </c>
      <c r="CE36" s="258">
        <v>0.04</v>
      </c>
      <c r="CF36" s="258">
        <v>0</v>
      </c>
      <c r="CG36" s="258">
        <v>5.9999999999999995E-4</v>
      </c>
      <c r="CH36" s="258">
        <v>0</v>
      </c>
      <c r="CI36" s="258">
        <v>3.2109999999999999</v>
      </c>
      <c r="CJ36" s="258"/>
      <c r="CK36" s="258"/>
      <c r="CL36" s="258"/>
      <c r="CM36" s="258"/>
    </row>
    <row r="37" spans="1:91" x14ac:dyDescent="0.25">
      <c r="A37" s="726"/>
      <c r="B37" s="723"/>
      <c r="D37" s="31">
        <f t="shared" si="41"/>
        <v>37575</v>
      </c>
      <c r="F37" s="28">
        <f t="shared" si="12"/>
        <v>15600</v>
      </c>
      <c r="G37" s="28">
        <f t="shared" si="13"/>
        <v>0</v>
      </c>
      <c r="H37" s="52">
        <f t="shared" si="14"/>
        <v>3.2540160642570277</v>
      </c>
      <c r="I37" s="52">
        <f t="shared" si="15"/>
        <v>3.2509999999999999</v>
      </c>
      <c r="K37" s="52">
        <f t="shared" si="42"/>
        <v>0</v>
      </c>
      <c r="L37" s="135">
        <f t="shared" si="43"/>
        <v>0</v>
      </c>
      <c r="N37" s="131">
        <f t="shared" si="44"/>
        <v>0.54</v>
      </c>
      <c r="O37" s="131">
        <f t="shared" si="45"/>
        <v>0.54</v>
      </c>
      <c r="P37" s="55">
        <f t="shared" si="46"/>
        <v>0</v>
      </c>
      <c r="Q37" s="135">
        <f>_xll.xSPRDOPT(I37,H37,AQ37,0,O37,N37,P37,D37-$G$5,1,0)*AH37*AU37</f>
        <v>0</v>
      </c>
      <c r="R37" s="135"/>
      <c r="S37" s="181">
        <f>_xll.xSPRDOPT(I37,H37,AQ37,AT37,O37,N37,P37,D37-$G$5,1,2)*AF37*(F37/(1-AR37))*AH37</f>
        <v>0</v>
      </c>
      <c r="T37" s="181">
        <f>_xll.xSPRDOPT(I37,H37,AQ37,AT37,O37,N37,P37,D37-$G$5,1,1)*AF37*F37*AH37</f>
        <v>0</v>
      </c>
      <c r="U37" s="135"/>
      <c r="V37" s="146">
        <f t="shared" si="16"/>
        <v>0</v>
      </c>
      <c r="W37" s="146"/>
      <c r="X37" s="338">
        <f t="shared" si="17"/>
        <v>0</v>
      </c>
      <c r="Y37" s="338">
        <f t="shared" si="18"/>
        <v>0</v>
      </c>
      <c r="Z37" s="338">
        <f t="shared" si="19"/>
        <v>0</v>
      </c>
      <c r="AA37" s="338">
        <f t="shared" si="20"/>
        <v>0</v>
      </c>
      <c r="AB37" s="338">
        <f t="shared" si="21"/>
        <v>0</v>
      </c>
      <c r="AC37" s="338">
        <f t="shared" si="22"/>
        <v>0</v>
      </c>
      <c r="AF37" s="138">
        <f t="shared" si="23"/>
        <v>0</v>
      </c>
      <c r="AG37" s="138">
        <f t="shared" si="24"/>
        <v>11</v>
      </c>
      <c r="AH37" s="138">
        <f t="shared" si="25"/>
        <v>0</v>
      </c>
      <c r="AI37" s="138">
        <f t="shared" si="47"/>
        <v>319</v>
      </c>
      <c r="AJ37" s="138">
        <f t="shared" si="26"/>
        <v>336</v>
      </c>
      <c r="AL37" s="136">
        <f t="shared" si="27"/>
        <v>3.2109999999999999</v>
      </c>
      <c r="AM37" s="258">
        <f t="shared" si="48"/>
        <v>0</v>
      </c>
      <c r="AN37" s="258">
        <f t="shared" si="28"/>
        <v>0.03</v>
      </c>
      <c r="AO37" s="258">
        <f t="shared" si="29"/>
        <v>0.04</v>
      </c>
      <c r="AP37" s="258">
        <f t="shared" si="30"/>
        <v>0</v>
      </c>
      <c r="AQ37" s="136">
        <f t="shared" si="31"/>
        <v>5.9999999999999995E-4</v>
      </c>
      <c r="AR37" s="137">
        <f t="shared" si="32"/>
        <v>4.0000000000000001E-3</v>
      </c>
      <c r="AS37" s="136">
        <f t="shared" si="49"/>
        <v>3.2409999999999997</v>
      </c>
      <c r="AT37" s="137">
        <f t="shared" si="33"/>
        <v>2.3274064967752799E-2</v>
      </c>
      <c r="AU37" s="137">
        <f t="shared" si="34"/>
        <v>0</v>
      </c>
      <c r="AV37" s="394">
        <f t="shared" si="50"/>
        <v>0</v>
      </c>
      <c r="AW37" s="137">
        <f t="shared" si="35"/>
        <v>0.54</v>
      </c>
      <c r="AX37" s="137">
        <f t="shared" si="36"/>
        <v>0.95</v>
      </c>
      <c r="AY37" s="137">
        <f t="shared" si="37"/>
        <v>0.85</v>
      </c>
      <c r="AZ37" s="137"/>
      <c r="BA37" s="264"/>
      <c r="BB37" s="258">
        <f t="shared" si="38"/>
        <v>0</v>
      </c>
      <c r="BC37" s="258">
        <f t="shared" si="39"/>
        <v>0</v>
      </c>
      <c r="BD37" s="137">
        <f t="shared" si="40"/>
        <v>0</v>
      </c>
      <c r="BE37" s="137">
        <f t="shared" si="40"/>
        <v>0</v>
      </c>
      <c r="BF37" s="137">
        <f>_xll.xSPRDOPT($BW37,$BV37,$CG37,0,$BY37,$BX37,$BZ37,$AJ37,1,4)*$CB37</f>
        <v>0</v>
      </c>
      <c r="BG37" s="137">
        <f>_xll.xSPRDOPT($BW37,$BV37,$CG37,0,$BY37,$BX37,$BZ37,$AJ37,1,3)*$CB37</f>
        <v>0</v>
      </c>
      <c r="BH37" s="137">
        <f>IF(OR(BF37&lt;&gt;0,BG37&lt;&gt;0),_xll.xSPRDOPT($BW37,$BV37,$CG37,0,$BY37,$BX37,$BZ37,$AJ37,1,12)*$CB37,0)</f>
        <v>0</v>
      </c>
      <c r="BI37" s="137">
        <f>_xll.xSPRDOPT($BW37,$BV37,$CG37,2*LN(1+CA37/2),$BY37,$BX37,$BZ37,$AJ37,1,9)</f>
        <v>-0.45187663113673437</v>
      </c>
      <c r="BJ37" s="137">
        <f>_xll.xSPRDOPT($BW37,$BV37,$CG37,0,$BY37,$BX37,$BZ37,$AJ37,1,6)*$CB37</f>
        <v>0</v>
      </c>
      <c r="BK37" s="137">
        <f>_xll.xSPRDOPT($BW37,$BV37,$CG37,0,$BY37,$BX37,$BZ37,$AJ37,1,5)*$CB37</f>
        <v>0</v>
      </c>
      <c r="BL37" s="137">
        <f>_xll.xSPRDOPT(BW37,BV37,CG37,0,BY37,BX37,BZ37,AJ37,1,2)*CB37</f>
        <v>0</v>
      </c>
      <c r="BM37" s="137">
        <f>_xll.xSPRDOPT(BW37,BV37,CG37,0,BY37,BX37,BZ37,AJ37,1,1)*CB37</f>
        <v>0</v>
      </c>
      <c r="BN37" s="137">
        <f>IF(AH37&lt;&gt;0,_xll.xSPRDOPT($BW37,$BV37,$CG37,2*LN(1+CA37/2),$BY37,$BX37,$BZ37,$AJ37,1,8)+(AJ37/365.25)*CH37/AH37,0)</f>
        <v>0</v>
      </c>
      <c r="BO37" s="137">
        <f>_xll.xSPRDOPT($BW37,$BV37,$CG37,0,$BY37,$BX37,$BZ37,$AJ37,1,0)</f>
        <v>0.92777993663970204</v>
      </c>
      <c r="BP37" s="137"/>
      <c r="BQ37" s="137"/>
      <c r="BR37" s="137"/>
      <c r="BS37" s="137"/>
      <c r="BV37" s="262">
        <v>3.2540160642570277</v>
      </c>
      <c r="BW37" s="136">
        <v>3.2509999999999999</v>
      </c>
      <c r="BX37" s="137">
        <v>0.54</v>
      </c>
      <c r="BY37" s="137">
        <v>0.54</v>
      </c>
      <c r="BZ37" s="137">
        <v>0</v>
      </c>
      <c r="CA37" s="137">
        <v>2.3274064967752799E-2</v>
      </c>
      <c r="CB37" s="137">
        <v>0</v>
      </c>
      <c r="CC37" s="258">
        <v>0</v>
      </c>
      <c r="CD37" s="258">
        <v>0.03</v>
      </c>
      <c r="CE37" s="258">
        <v>0.04</v>
      </c>
      <c r="CF37" s="258">
        <v>0</v>
      </c>
      <c r="CG37" s="258">
        <v>5.9999999999999995E-4</v>
      </c>
      <c r="CH37" s="258">
        <v>0</v>
      </c>
      <c r="CI37" s="258">
        <v>3.2109999999999999</v>
      </c>
      <c r="CJ37" s="258"/>
      <c r="CK37" s="258"/>
      <c r="CL37" s="258"/>
      <c r="CM37" s="258"/>
    </row>
    <row r="38" spans="1:91" x14ac:dyDescent="0.25">
      <c r="A38" s="723"/>
      <c r="B38" s="723"/>
      <c r="D38" s="31">
        <f t="shared" si="41"/>
        <v>37575</v>
      </c>
      <c r="F38" s="28">
        <f t="shared" si="12"/>
        <v>15600</v>
      </c>
      <c r="G38" s="28">
        <f t="shared" si="13"/>
        <v>0</v>
      </c>
      <c r="H38" s="52">
        <f t="shared" si="14"/>
        <v>3.2540160642570277</v>
      </c>
      <c r="I38" s="52">
        <f t="shared" si="15"/>
        <v>3.2509999999999999</v>
      </c>
      <c r="K38" s="52">
        <f t="shared" si="42"/>
        <v>0</v>
      </c>
      <c r="L38" s="135">
        <f t="shared" si="43"/>
        <v>0</v>
      </c>
      <c r="N38" s="131">
        <f t="shared" si="44"/>
        <v>0.54</v>
      </c>
      <c r="O38" s="131">
        <f t="shared" si="45"/>
        <v>0.54</v>
      </c>
      <c r="P38" s="55">
        <f t="shared" si="46"/>
        <v>0</v>
      </c>
      <c r="Q38" s="135">
        <f>_xll.xSPRDOPT(I38,H38,AQ38,0,O38,N38,P38,D38-$G$5,1,0)*AH38*AU38</f>
        <v>0</v>
      </c>
      <c r="R38" s="135"/>
      <c r="S38" s="181">
        <f>_xll.xSPRDOPT(I38,H38,AQ38,AT38,O38,N38,P38,D38-$G$5,1,2)*AF38*(F38/(1-AR38))*AH38</f>
        <v>0</v>
      </c>
      <c r="T38" s="181">
        <f>_xll.xSPRDOPT(I38,H38,AQ38,AT38,O38,N38,P38,D38-$G$5,1,1)*AF38*F38*AH38</f>
        <v>0</v>
      </c>
      <c r="U38" s="135"/>
      <c r="V38" s="146">
        <f t="shared" si="16"/>
        <v>0</v>
      </c>
      <c r="W38" s="146"/>
      <c r="X38" s="338">
        <f t="shared" si="17"/>
        <v>0</v>
      </c>
      <c r="Y38" s="338">
        <f t="shared" si="18"/>
        <v>0</v>
      </c>
      <c r="Z38" s="338">
        <f t="shared" si="19"/>
        <v>0</v>
      </c>
      <c r="AA38" s="338">
        <f t="shared" si="20"/>
        <v>0</v>
      </c>
      <c r="AB38" s="338">
        <f t="shared" si="21"/>
        <v>0</v>
      </c>
      <c r="AC38" s="338">
        <f t="shared" si="22"/>
        <v>0</v>
      </c>
      <c r="AF38" s="138">
        <f t="shared" si="23"/>
        <v>0</v>
      </c>
      <c r="AG38" s="138">
        <f t="shared" si="24"/>
        <v>11</v>
      </c>
      <c r="AH38" s="138">
        <f t="shared" si="25"/>
        <v>0</v>
      </c>
      <c r="AI38" s="138">
        <f t="shared" si="47"/>
        <v>319</v>
      </c>
      <c r="AJ38" s="138">
        <f t="shared" si="26"/>
        <v>336</v>
      </c>
      <c r="AL38" s="136">
        <f t="shared" si="27"/>
        <v>3.2109999999999999</v>
      </c>
      <c r="AM38" s="258">
        <f t="shared" si="48"/>
        <v>0</v>
      </c>
      <c r="AN38" s="258">
        <f t="shared" si="28"/>
        <v>0.03</v>
      </c>
      <c r="AO38" s="258">
        <f t="shared" si="29"/>
        <v>0.04</v>
      </c>
      <c r="AP38" s="258">
        <f t="shared" si="30"/>
        <v>0</v>
      </c>
      <c r="AQ38" s="136">
        <f t="shared" si="31"/>
        <v>5.9999999999999995E-4</v>
      </c>
      <c r="AR38" s="137">
        <f t="shared" si="32"/>
        <v>4.0000000000000001E-3</v>
      </c>
      <c r="AS38" s="136">
        <f t="shared" si="49"/>
        <v>3.2409999999999997</v>
      </c>
      <c r="AT38" s="137">
        <f t="shared" si="33"/>
        <v>2.3274064967752799E-2</v>
      </c>
      <c r="AU38" s="137">
        <f t="shared" si="34"/>
        <v>0</v>
      </c>
      <c r="AV38" s="394">
        <f t="shared" si="50"/>
        <v>0</v>
      </c>
      <c r="AW38" s="137">
        <f t="shared" si="35"/>
        <v>0.54</v>
      </c>
      <c r="AX38" s="137">
        <f t="shared" si="36"/>
        <v>0.95</v>
      </c>
      <c r="AY38" s="137">
        <f t="shared" si="37"/>
        <v>0.85</v>
      </c>
      <c r="AZ38" s="137"/>
      <c r="BA38" s="264"/>
      <c r="BB38" s="258">
        <f t="shared" si="38"/>
        <v>0</v>
      </c>
      <c r="BC38" s="258">
        <f t="shared" si="39"/>
        <v>0</v>
      </c>
      <c r="BD38" s="137">
        <f t="shared" si="40"/>
        <v>0</v>
      </c>
      <c r="BE38" s="137">
        <f t="shared" si="40"/>
        <v>0</v>
      </c>
      <c r="BF38" s="137">
        <f>_xll.xSPRDOPT($BW38,$BV38,$CG38,0,$BY38,$BX38,$BZ38,$AJ38,1,4)*$CB38</f>
        <v>0</v>
      </c>
      <c r="BG38" s="137">
        <f>_xll.xSPRDOPT($BW38,$BV38,$CG38,0,$BY38,$BX38,$BZ38,$AJ38,1,3)*$CB38</f>
        <v>0</v>
      </c>
      <c r="BH38" s="137">
        <f>IF(OR(BF38&lt;&gt;0,BG38&lt;&gt;0),_xll.xSPRDOPT($BW38,$BV38,$CG38,0,$BY38,$BX38,$BZ38,$AJ38,1,12)*$CB38,0)</f>
        <v>0</v>
      </c>
      <c r="BI38" s="137">
        <f>_xll.xSPRDOPT($BW38,$BV38,$CG38,2*LN(1+CA38/2),$BY38,$BX38,$BZ38,$AJ38,1,9)</f>
        <v>-0.45187663113673437</v>
      </c>
      <c r="BJ38" s="137">
        <f>_xll.xSPRDOPT($BW38,$BV38,$CG38,0,$BY38,$BX38,$BZ38,$AJ38,1,6)*$CB38</f>
        <v>0</v>
      </c>
      <c r="BK38" s="137">
        <f>_xll.xSPRDOPT($BW38,$BV38,$CG38,0,$BY38,$BX38,$BZ38,$AJ38,1,5)*$CB38</f>
        <v>0</v>
      </c>
      <c r="BL38" s="137">
        <f>_xll.xSPRDOPT(BW38,BV38,CG38,0,BY38,BX38,BZ38,AJ38,1,2)*CB38</f>
        <v>0</v>
      </c>
      <c r="BM38" s="137">
        <f>_xll.xSPRDOPT(BW38,BV38,CG38,0,BY38,BX38,BZ38,AJ38,1,1)*CB38</f>
        <v>0</v>
      </c>
      <c r="BN38" s="137">
        <f>IF(AH38&lt;&gt;0,_xll.xSPRDOPT($BW38,$BV38,$CG38,2*LN(1+CA38/2),$BY38,$BX38,$BZ38,$AJ38,1,8)+(AJ38/365.25)*CH38/AH38,0)</f>
        <v>0</v>
      </c>
      <c r="BO38" s="137">
        <f>_xll.xSPRDOPT($BW38,$BV38,$CG38,0,$BY38,$BX38,$BZ38,$AJ38,1,0)</f>
        <v>0.92777993663970204</v>
      </c>
      <c r="BP38" s="137"/>
      <c r="BQ38" s="137"/>
      <c r="BR38" s="137"/>
      <c r="BS38" s="137"/>
      <c r="BV38" s="262">
        <v>3.2540160642570277</v>
      </c>
      <c r="BW38" s="136">
        <v>3.2509999999999999</v>
      </c>
      <c r="BX38" s="137">
        <v>0.54</v>
      </c>
      <c r="BY38" s="137">
        <v>0.54</v>
      </c>
      <c r="BZ38" s="137">
        <v>0</v>
      </c>
      <c r="CA38" s="137">
        <v>2.3274064967752799E-2</v>
      </c>
      <c r="CB38" s="137">
        <v>0</v>
      </c>
      <c r="CC38" s="258">
        <v>0</v>
      </c>
      <c r="CD38" s="258">
        <v>0.03</v>
      </c>
      <c r="CE38" s="258">
        <v>0.04</v>
      </c>
      <c r="CF38" s="258">
        <v>0</v>
      </c>
      <c r="CG38" s="258">
        <v>5.9999999999999995E-4</v>
      </c>
      <c r="CH38" s="258">
        <v>0</v>
      </c>
      <c r="CI38" s="258">
        <v>3.2109999999999999</v>
      </c>
      <c r="CJ38" s="258"/>
      <c r="CK38" s="258"/>
      <c r="CL38" s="258"/>
      <c r="CM38" s="258"/>
    </row>
    <row r="39" spans="1:91" x14ac:dyDescent="0.25">
      <c r="A39" s="723"/>
      <c r="B39" s="723"/>
      <c r="D39" s="31">
        <f t="shared" si="41"/>
        <v>37575</v>
      </c>
      <c r="F39" s="28">
        <f t="shared" si="12"/>
        <v>15600</v>
      </c>
      <c r="G39" s="28">
        <f t="shared" si="13"/>
        <v>0</v>
      </c>
      <c r="H39" s="52">
        <f t="shared" si="14"/>
        <v>3.2540160642570277</v>
      </c>
      <c r="I39" s="52">
        <f t="shared" si="15"/>
        <v>3.2509999999999999</v>
      </c>
      <c r="K39" s="52">
        <f t="shared" si="42"/>
        <v>0</v>
      </c>
      <c r="L39" s="135">
        <f t="shared" si="43"/>
        <v>0</v>
      </c>
      <c r="N39" s="131">
        <f t="shared" si="44"/>
        <v>0.54</v>
      </c>
      <c r="O39" s="131">
        <f t="shared" si="45"/>
        <v>0.54</v>
      </c>
      <c r="P39" s="55">
        <f t="shared" si="46"/>
        <v>0</v>
      </c>
      <c r="Q39" s="135">
        <f>_xll.xSPRDOPT(I39,H39,AQ39,0,O39,N39,P39,D39-$G$5,1,0)*AH39*AU39</f>
        <v>0</v>
      </c>
      <c r="R39" s="135"/>
      <c r="S39" s="181">
        <f>_xll.xSPRDOPT(I39,H39,AQ39,AT39,O39,N39,P39,D39-$G$5,1,2)*AF39*(F39/(1-AR39))*AH39</f>
        <v>0</v>
      </c>
      <c r="T39" s="181">
        <f>_xll.xSPRDOPT(I39,H39,AQ39,AT39,O39,N39,P39,D39-$G$5,1,1)*AF39*F39*AH39</f>
        <v>0</v>
      </c>
      <c r="U39" s="135"/>
      <c r="V39" s="146">
        <f t="shared" si="16"/>
        <v>0</v>
      </c>
      <c r="W39" s="146"/>
      <c r="X39" s="338">
        <f t="shared" si="17"/>
        <v>0</v>
      </c>
      <c r="Y39" s="338">
        <f t="shared" si="18"/>
        <v>0</v>
      </c>
      <c r="Z39" s="338">
        <f t="shared" si="19"/>
        <v>0</v>
      </c>
      <c r="AA39" s="338">
        <f t="shared" si="20"/>
        <v>0</v>
      </c>
      <c r="AB39" s="338">
        <f t="shared" si="21"/>
        <v>0</v>
      </c>
      <c r="AC39" s="338">
        <f t="shared" si="22"/>
        <v>0</v>
      </c>
      <c r="AF39" s="138">
        <f t="shared" si="23"/>
        <v>0</v>
      </c>
      <c r="AG39" s="138">
        <f t="shared" si="24"/>
        <v>11</v>
      </c>
      <c r="AH39" s="138">
        <f t="shared" si="25"/>
        <v>0</v>
      </c>
      <c r="AI39" s="138">
        <f t="shared" si="47"/>
        <v>319</v>
      </c>
      <c r="AJ39" s="138">
        <f t="shared" si="26"/>
        <v>336</v>
      </c>
      <c r="AL39" s="136">
        <f t="shared" si="27"/>
        <v>3.2109999999999999</v>
      </c>
      <c r="AM39" s="258">
        <f t="shared" si="48"/>
        <v>0</v>
      </c>
      <c r="AN39" s="258">
        <f t="shared" si="28"/>
        <v>0.03</v>
      </c>
      <c r="AO39" s="258">
        <f t="shared" si="29"/>
        <v>0.04</v>
      </c>
      <c r="AP39" s="258">
        <f t="shared" si="30"/>
        <v>0</v>
      </c>
      <c r="AQ39" s="136">
        <f t="shared" si="31"/>
        <v>5.9999999999999995E-4</v>
      </c>
      <c r="AR39" s="137">
        <f t="shared" si="32"/>
        <v>4.0000000000000001E-3</v>
      </c>
      <c r="AS39" s="136">
        <f t="shared" si="49"/>
        <v>3.2409999999999997</v>
      </c>
      <c r="AT39" s="137">
        <f t="shared" si="33"/>
        <v>2.3274064967752799E-2</v>
      </c>
      <c r="AU39" s="137">
        <f t="shared" si="34"/>
        <v>0</v>
      </c>
      <c r="AV39" s="394">
        <f t="shared" si="50"/>
        <v>0</v>
      </c>
      <c r="AW39" s="137">
        <f t="shared" si="35"/>
        <v>0.54</v>
      </c>
      <c r="AX39" s="137">
        <f t="shared" si="36"/>
        <v>0.95</v>
      </c>
      <c r="AY39" s="137">
        <f t="shared" si="37"/>
        <v>0.85</v>
      </c>
      <c r="AZ39" s="137"/>
      <c r="BA39" s="264"/>
      <c r="BB39" s="258">
        <f t="shared" si="38"/>
        <v>0</v>
      </c>
      <c r="BC39" s="258">
        <f t="shared" si="39"/>
        <v>0</v>
      </c>
      <c r="BD39" s="137">
        <f t="shared" si="40"/>
        <v>0</v>
      </c>
      <c r="BE39" s="137">
        <f t="shared" si="40"/>
        <v>0</v>
      </c>
      <c r="BF39" s="137">
        <f>_xll.xSPRDOPT($BW39,$BV39,$CG39,0,$BY39,$BX39,$BZ39,$AJ39,1,4)*$CB39</f>
        <v>0</v>
      </c>
      <c r="BG39" s="137">
        <f>_xll.xSPRDOPT($BW39,$BV39,$CG39,0,$BY39,$BX39,$BZ39,$AJ39,1,3)*$CB39</f>
        <v>0</v>
      </c>
      <c r="BH39" s="137">
        <f>IF(OR(BF39&lt;&gt;0,BG39&lt;&gt;0),_xll.xSPRDOPT($BW39,$BV39,$CG39,0,$BY39,$BX39,$BZ39,$AJ39,1,12)*$CB39,0)</f>
        <v>0</v>
      </c>
      <c r="BI39" s="137">
        <f>_xll.xSPRDOPT($BW39,$BV39,$CG39,2*LN(1+CA39/2),$BY39,$BX39,$BZ39,$AJ39,1,9)</f>
        <v>-0.45187663113673437</v>
      </c>
      <c r="BJ39" s="137">
        <f>_xll.xSPRDOPT($BW39,$BV39,$CG39,0,$BY39,$BX39,$BZ39,$AJ39,1,6)*$CB39</f>
        <v>0</v>
      </c>
      <c r="BK39" s="137">
        <f>_xll.xSPRDOPT($BW39,$BV39,$CG39,0,$BY39,$BX39,$BZ39,$AJ39,1,5)*$CB39</f>
        <v>0</v>
      </c>
      <c r="BL39" s="137">
        <f>_xll.xSPRDOPT(BW39,BV39,CG39,0,BY39,BX39,BZ39,AJ39,1,2)*CB39</f>
        <v>0</v>
      </c>
      <c r="BM39" s="137">
        <f>_xll.xSPRDOPT(BW39,BV39,CG39,0,BY39,BX39,BZ39,AJ39,1,1)*CB39</f>
        <v>0</v>
      </c>
      <c r="BN39" s="137">
        <f>IF(AH39&lt;&gt;0,_xll.xSPRDOPT($BW39,$BV39,$CG39,2*LN(1+CA39/2),$BY39,$BX39,$BZ39,$AJ39,1,8)+(AJ39/365.25)*CH39/AH39,0)</f>
        <v>0</v>
      </c>
      <c r="BO39" s="137">
        <f>_xll.xSPRDOPT($BW39,$BV39,$CG39,0,$BY39,$BX39,$BZ39,$AJ39,1,0)</f>
        <v>0.92777993663970204</v>
      </c>
      <c r="BP39" s="137"/>
      <c r="BQ39" s="137"/>
      <c r="BR39" s="137"/>
      <c r="BS39" s="137"/>
      <c r="BV39" s="262">
        <v>3.2540160642570277</v>
      </c>
      <c r="BW39" s="136">
        <v>3.2509999999999999</v>
      </c>
      <c r="BX39" s="137">
        <v>0.54</v>
      </c>
      <c r="BY39" s="137">
        <v>0.54</v>
      </c>
      <c r="BZ39" s="137">
        <v>0</v>
      </c>
      <c r="CA39" s="137">
        <v>2.3274064967752799E-2</v>
      </c>
      <c r="CB39" s="137">
        <v>0</v>
      </c>
      <c r="CC39" s="258">
        <v>0</v>
      </c>
      <c r="CD39" s="258">
        <v>0.03</v>
      </c>
      <c r="CE39" s="258">
        <v>0.04</v>
      </c>
      <c r="CF39" s="258">
        <v>0</v>
      </c>
      <c r="CG39" s="258">
        <v>5.9999999999999995E-4</v>
      </c>
      <c r="CH39" s="258">
        <v>0</v>
      </c>
      <c r="CI39" s="258">
        <v>3.2109999999999999</v>
      </c>
      <c r="CJ39" s="258"/>
      <c r="CK39" s="258"/>
      <c r="CL39" s="258"/>
      <c r="CM39" s="258"/>
    </row>
    <row r="40" spans="1:91" x14ac:dyDescent="0.25">
      <c r="A40" s="723"/>
      <c r="B40" s="723"/>
      <c r="D40" s="31">
        <f t="shared" si="41"/>
        <v>37575</v>
      </c>
      <c r="F40" s="28">
        <f t="shared" si="12"/>
        <v>15600</v>
      </c>
      <c r="G40" s="28">
        <f t="shared" si="13"/>
        <v>0</v>
      </c>
      <c r="H40" s="52">
        <f t="shared" si="14"/>
        <v>3.2540160642570277</v>
      </c>
      <c r="I40" s="52">
        <f t="shared" si="15"/>
        <v>3.2509999999999999</v>
      </c>
      <c r="K40" s="52">
        <f t="shared" si="42"/>
        <v>0</v>
      </c>
      <c r="L40" s="135">
        <f t="shared" si="43"/>
        <v>0</v>
      </c>
      <c r="N40" s="131">
        <f t="shared" si="44"/>
        <v>0.54</v>
      </c>
      <c r="O40" s="131">
        <f t="shared" si="45"/>
        <v>0.54</v>
      </c>
      <c r="P40" s="55">
        <f t="shared" si="46"/>
        <v>0</v>
      </c>
      <c r="Q40" s="135">
        <f>_xll.xSPRDOPT(I40,H40,AQ40,0,O40,N40,P40,D40-$G$5,1,0)*AH40*AU40</f>
        <v>0</v>
      </c>
      <c r="R40" s="135"/>
      <c r="S40" s="181">
        <f>_xll.xSPRDOPT(I40,H40,AQ40,AT40,O40,N40,P40,D40-$G$5,1,2)*AF40*(F40/(1-AR40))*AH40</f>
        <v>0</v>
      </c>
      <c r="T40" s="181">
        <f>_xll.xSPRDOPT(I40,H40,AQ40,AT40,O40,N40,P40,D40-$G$5,1,1)*AF40*F40*AH40</f>
        <v>0</v>
      </c>
      <c r="U40" s="135"/>
      <c r="V40" s="146">
        <f t="shared" si="16"/>
        <v>0</v>
      </c>
      <c r="W40" s="146"/>
      <c r="X40" s="338">
        <f t="shared" si="17"/>
        <v>0</v>
      </c>
      <c r="Y40" s="338">
        <f t="shared" si="18"/>
        <v>0</v>
      </c>
      <c r="Z40" s="338">
        <f t="shared" si="19"/>
        <v>0</v>
      </c>
      <c r="AA40" s="338">
        <f t="shared" si="20"/>
        <v>0</v>
      </c>
      <c r="AB40" s="338">
        <f t="shared" si="21"/>
        <v>0</v>
      </c>
      <c r="AC40" s="338">
        <f t="shared" si="22"/>
        <v>0</v>
      </c>
      <c r="AF40" s="138">
        <f t="shared" si="23"/>
        <v>0</v>
      </c>
      <c r="AG40" s="138">
        <f t="shared" si="24"/>
        <v>11</v>
      </c>
      <c r="AH40" s="138">
        <f t="shared" si="25"/>
        <v>0</v>
      </c>
      <c r="AI40" s="138">
        <f t="shared" si="47"/>
        <v>319</v>
      </c>
      <c r="AJ40" s="138">
        <f t="shared" si="26"/>
        <v>336</v>
      </c>
      <c r="AL40" s="136">
        <f t="shared" si="27"/>
        <v>3.2109999999999999</v>
      </c>
      <c r="AM40" s="258">
        <f t="shared" si="48"/>
        <v>0</v>
      </c>
      <c r="AN40" s="258">
        <f t="shared" si="28"/>
        <v>0.03</v>
      </c>
      <c r="AO40" s="258">
        <f t="shared" si="29"/>
        <v>0.04</v>
      </c>
      <c r="AP40" s="258">
        <f t="shared" si="30"/>
        <v>0</v>
      </c>
      <c r="AQ40" s="136">
        <f t="shared" si="31"/>
        <v>5.9999999999999995E-4</v>
      </c>
      <c r="AR40" s="137">
        <f t="shared" si="32"/>
        <v>4.0000000000000001E-3</v>
      </c>
      <c r="AS40" s="136">
        <f t="shared" si="49"/>
        <v>3.2409999999999997</v>
      </c>
      <c r="AT40" s="137">
        <f t="shared" si="33"/>
        <v>2.3274064967752799E-2</v>
      </c>
      <c r="AU40" s="137">
        <f t="shared" si="34"/>
        <v>0</v>
      </c>
      <c r="AV40" s="394">
        <f t="shared" si="50"/>
        <v>0</v>
      </c>
      <c r="AW40" s="137">
        <f t="shared" si="35"/>
        <v>0.54</v>
      </c>
      <c r="AX40" s="137">
        <f t="shared" si="36"/>
        <v>0.95</v>
      </c>
      <c r="AY40" s="137">
        <f t="shared" si="37"/>
        <v>0.85</v>
      </c>
      <c r="AZ40" s="137"/>
      <c r="BA40" s="264"/>
      <c r="BB40" s="258">
        <f t="shared" si="38"/>
        <v>0</v>
      </c>
      <c r="BC40" s="258">
        <f t="shared" si="39"/>
        <v>0</v>
      </c>
      <c r="BD40" s="137">
        <f t="shared" si="40"/>
        <v>0</v>
      </c>
      <c r="BE40" s="137">
        <f t="shared" si="40"/>
        <v>0</v>
      </c>
      <c r="BF40" s="137">
        <f>_xll.xSPRDOPT($BW40,$BV40,$CG40,0,$BY40,$BX40,$BZ40,$AJ40,1,4)*$CB40</f>
        <v>0</v>
      </c>
      <c r="BG40" s="137">
        <f>_xll.xSPRDOPT($BW40,$BV40,$CG40,0,$BY40,$BX40,$BZ40,$AJ40,1,3)*$CB40</f>
        <v>0</v>
      </c>
      <c r="BH40" s="137">
        <f>IF(OR(BF40&lt;&gt;0,BG40&lt;&gt;0),_xll.xSPRDOPT($BW40,$BV40,$CG40,0,$BY40,$BX40,$BZ40,$AJ40,1,12)*$CB40,0)</f>
        <v>0</v>
      </c>
      <c r="BI40" s="137">
        <f>_xll.xSPRDOPT($BW40,$BV40,$CG40,2*LN(1+CA40/2),$BY40,$BX40,$BZ40,$AJ40,1,9)</f>
        <v>-0.45187663113673437</v>
      </c>
      <c r="BJ40" s="137">
        <f>_xll.xSPRDOPT($BW40,$BV40,$CG40,0,$BY40,$BX40,$BZ40,$AJ40,1,6)*$CB40</f>
        <v>0</v>
      </c>
      <c r="BK40" s="137">
        <f>_xll.xSPRDOPT($BW40,$BV40,$CG40,0,$BY40,$BX40,$BZ40,$AJ40,1,5)*$CB40</f>
        <v>0</v>
      </c>
      <c r="BL40" s="137">
        <f>_xll.xSPRDOPT(BW40,BV40,CG40,0,BY40,BX40,BZ40,AJ40,1,2)*CB40</f>
        <v>0</v>
      </c>
      <c r="BM40" s="137">
        <f>_xll.xSPRDOPT(BW40,BV40,CG40,0,BY40,BX40,BZ40,AJ40,1,1)*CB40</f>
        <v>0</v>
      </c>
      <c r="BN40" s="137">
        <f>IF(AH40&lt;&gt;0,_xll.xSPRDOPT($BW40,$BV40,$CG40,2*LN(1+CA40/2),$BY40,$BX40,$BZ40,$AJ40,1,8)+(AJ40/365.25)*CH40/AH40,0)</f>
        <v>0</v>
      </c>
      <c r="BO40" s="137">
        <f>_xll.xSPRDOPT($BW40,$BV40,$CG40,0,$BY40,$BX40,$BZ40,$AJ40,1,0)</f>
        <v>0.92777993663970204</v>
      </c>
      <c r="BP40" s="137"/>
      <c r="BQ40" s="137"/>
      <c r="BR40" s="137"/>
      <c r="BS40" s="137"/>
      <c r="BV40" s="262">
        <v>3.2540160642570277</v>
      </c>
      <c r="BW40" s="136">
        <v>3.2509999999999999</v>
      </c>
      <c r="BX40" s="137">
        <v>0.54</v>
      </c>
      <c r="BY40" s="137">
        <v>0.54</v>
      </c>
      <c r="BZ40" s="137">
        <v>0</v>
      </c>
      <c r="CA40" s="137">
        <v>2.3274064967752799E-2</v>
      </c>
      <c r="CB40" s="137">
        <v>0</v>
      </c>
      <c r="CC40" s="258">
        <v>0</v>
      </c>
      <c r="CD40" s="258">
        <v>0.03</v>
      </c>
      <c r="CE40" s="258">
        <v>0.04</v>
      </c>
      <c r="CF40" s="258">
        <v>0</v>
      </c>
      <c r="CG40" s="258">
        <v>5.9999999999999995E-4</v>
      </c>
      <c r="CH40" s="258">
        <v>0</v>
      </c>
      <c r="CI40" s="258">
        <v>3.2109999999999999</v>
      </c>
      <c r="CJ40" s="258"/>
      <c r="CK40" s="258"/>
      <c r="CL40" s="258"/>
      <c r="CM40" s="258"/>
    </row>
    <row r="41" spans="1:91" x14ac:dyDescent="0.25">
      <c r="A41" s="723"/>
      <c r="B41" s="723"/>
      <c r="D41" s="31">
        <f t="shared" si="41"/>
        <v>37575</v>
      </c>
      <c r="F41" s="28">
        <f t="shared" si="12"/>
        <v>15600</v>
      </c>
      <c r="G41" s="28">
        <f t="shared" si="13"/>
        <v>0</v>
      </c>
      <c r="H41" s="52">
        <f t="shared" si="14"/>
        <v>3.2540160642570277</v>
      </c>
      <c r="I41" s="52">
        <f t="shared" si="15"/>
        <v>3.2509999999999999</v>
      </c>
      <c r="K41" s="52">
        <f t="shared" si="42"/>
        <v>0</v>
      </c>
      <c r="L41" s="135">
        <f t="shared" si="43"/>
        <v>0</v>
      </c>
      <c r="N41" s="131">
        <f t="shared" si="44"/>
        <v>0.54</v>
      </c>
      <c r="O41" s="131">
        <f t="shared" si="45"/>
        <v>0.54</v>
      </c>
      <c r="P41" s="55">
        <f t="shared" si="46"/>
        <v>0</v>
      </c>
      <c r="Q41" s="135">
        <f>_xll.xSPRDOPT(I41,H41,AQ41,0,O41,N41,P41,D41-$G$5,1,0)*AH41*AU41</f>
        <v>0</v>
      </c>
      <c r="R41" s="135"/>
      <c r="S41" s="181">
        <f>_xll.xSPRDOPT(I41,H41,AQ41,AT41,O41,N41,P41,D41-$G$5,1,2)*AF41*(F41/(1-AR41))*AH41</f>
        <v>0</v>
      </c>
      <c r="T41" s="181">
        <f>_xll.xSPRDOPT(I41,H41,AQ41,AT41,O41,N41,P41,D41-$G$5,1,1)*AF41*F41*AH41</f>
        <v>0</v>
      </c>
      <c r="U41" s="135"/>
      <c r="V41" s="146">
        <f t="shared" si="16"/>
        <v>0</v>
      </c>
      <c r="W41" s="146"/>
      <c r="X41" s="338">
        <f t="shared" si="17"/>
        <v>0</v>
      </c>
      <c r="Y41" s="338">
        <f t="shared" si="18"/>
        <v>0</v>
      </c>
      <c r="Z41" s="338">
        <f t="shared" si="19"/>
        <v>0</v>
      </c>
      <c r="AA41" s="338">
        <f t="shared" si="20"/>
        <v>0</v>
      </c>
      <c r="AB41" s="338">
        <f t="shared" si="21"/>
        <v>0</v>
      </c>
      <c r="AC41" s="338">
        <f t="shared" si="22"/>
        <v>0</v>
      </c>
      <c r="AF41" s="138">
        <f t="shared" si="23"/>
        <v>0</v>
      </c>
      <c r="AG41" s="138">
        <f t="shared" si="24"/>
        <v>11</v>
      </c>
      <c r="AH41" s="138">
        <f t="shared" si="25"/>
        <v>0</v>
      </c>
      <c r="AI41" s="138">
        <f t="shared" si="47"/>
        <v>319</v>
      </c>
      <c r="AJ41" s="138">
        <f t="shared" si="26"/>
        <v>336</v>
      </c>
      <c r="AL41" s="136">
        <f t="shared" si="27"/>
        <v>3.2109999999999999</v>
      </c>
      <c r="AM41" s="258">
        <f t="shared" si="48"/>
        <v>0</v>
      </c>
      <c r="AN41" s="258">
        <f t="shared" si="28"/>
        <v>0.03</v>
      </c>
      <c r="AO41" s="258">
        <f t="shared" si="29"/>
        <v>0.04</v>
      </c>
      <c r="AP41" s="258">
        <f t="shared" si="30"/>
        <v>0</v>
      </c>
      <c r="AQ41" s="136">
        <f t="shared" si="31"/>
        <v>5.9999999999999995E-4</v>
      </c>
      <c r="AR41" s="137">
        <f t="shared" si="32"/>
        <v>4.0000000000000001E-3</v>
      </c>
      <c r="AS41" s="136">
        <f t="shared" si="49"/>
        <v>3.2409999999999997</v>
      </c>
      <c r="AT41" s="137">
        <f t="shared" si="33"/>
        <v>2.3274064967752799E-2</v>
      </c>
      <c r="AU41" s="137">
        <f t="shared" si="34"/>
        <v>0</v>
      </c>
      <c r="AV41" s="394">
        <f t="shared" si="50"/>
        <v>0</v>
      </c>
      <c r="AW41" s="137">
        <f t="shared" si="35"/>
        <v>0.54</v>
      </c>
      <c r="AX41" s="137">
        <f t="shared" si="36"/>
        <v>0.95</v>
      </c>
      <c r="AY41" s="137">
        <f t="shared" si="37"/>
        <v>0.85</v>
      </c>
      <c r="AZ41" s="137"/>
      <c r="BA41" s="264"/>
      <c r="BB41" s="258">
        <f t="shared" si="38"/>
        <v>0</v>
      </c>
      <c r="BC41" s="258">
        <f t="shared" si="39"/>
        <v>0</v>
      </c>
      <c r="BD41" s="137">
        <f t="shared" si="40"/>
        <v>0</v>
      </c>
      <c r="BE41" s="137">
        <f t="shared" si="40"/>
        <v>0</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-0.45187663113673437</v>
      </c>
      <c r="BJ41" s="137">
        <f>_xll.xSPRDOPT($BW41,$BV41,$CG41,0,$BY41,$BX41,$BZ41,$AJ41,1,6)*$CB41</f>
        <v>0</v>
      </c>
      <c r="BK41" s="137">
        <f>_xll.xSPRDOPT($BW41,$BV41,$CG41,0,$BY41,$BX41,$BZ41,$AJ41,1,5)*$CB41</f>
        <v>0</v>
      </c>
      <c r="BL41" s="137">
        <f>_xll.xSPRDOPT(BW41,BV41,CG41,0,BY41,BX41,BZ41,AJ41,1,2)*CB41</f>
        <v>0</v>
      </c>
      <c r="BM41" s="137">
        <f>_xll.xSPRDOPT(BW41,BV41,CG41,0,BY41,BX41,BZ41,AJ41,1,1)*CB41</f>
        <v>0</v>
      </c>
      <c r="BN41" s="137">
        <f>IF(AH41&lt;&gt;0,_xll.xSPRDOPT($BW41,$BV41,$CG41,2*LN(1+CA41/2),$BY41,$BX41,$BZ41,$AJ41,1,8)+(AJ41/365.25)*CH41/AH41,0)</f>
        <v>0</v>
      </c>
      <c r="BO41" s="137">
        <f>_xll.xSPRDOPT($BW41,$BV41,$CG41,0,$BY41,$BX41,$BZ41,$AJ41,1,0)</f>
        <v>0.92777993663970204</v>
      </c>
      <c r="BP41" s="137"/>
      <c r="BQ41" s="137"/>
      <c r="BR41" s="137"/>
      <c r="BS41" s="137"/>
      <c r="BV41" s="262">
        <v>3.2540160642570277</v>
      </c>
      <c r="BW41" s="136">
        <v>3.2509999999999999</v>
      </c>
      <c r="BX41" s="137">
        <v>0.54</v>
      </c>
      <c r="BY41" s="137">
        <v>0.54</v>
      </c>
      <c r="BZ41" s="137">
        <v>0</v>
      </c>
      <c r="CA41" s="137">
        <v>2.3274064967752799E-2</v>
      </c>
      <c r="CB41" s="137">
        <v>0</v>
      </c>
      <c r="CC41" s="258">
        <v>0</v>
      </c>
      <c r="CD41" s="258">
        <v>0.03</v>
      </c>
      <c r="CE41" s="258">
        <v>0.04</v>
      </c>
      <c r="CF41" s="258">
        <v>0</v>
      </c>
      <c r="CG41" s="258">
        <v>5.9999999999999995E-4</v>
      </c>
      <c r="CH41" s="258">
        <v>0</v>
      </c>
      <c r="CI41" s="258">
        <v>3.2109999999999999</v>
      </c>
      <c r="CJ41" s="258"/>
      <c r="CK41" s="258"/>
      <c r="CL41" s="258"/>
      <c r="CM41" s="258"/>
    </row>
    <row r="42" spans="1:91" x14ac:dyDescent="0.25">
      <c r="A42" s="723"/>
      <c r="B42" s="723"/>
      <c r="D42" s="31">
        <f t="shared" si="41"/>
        <v>37575</v>
      </c>
      <c r="F42" s="28">
        <f t="shared" si="12"/>
        <v>15600</v>
      </c>
      <c r="G42" s="28">
        <f t="shared" si="13"/>
        <v>0</v>
      </c>
      <c r="H42" s="52">
        <f t="shared" si="14"/>
        <v>3.2540160642570277</v>
      </c>
      <c r="I42" s="52">
        <f t="shared" si="15"/>
        <v>3.2509999999999999</v>
      </c>
      <c r="K42" s="52">
        <f t="shared" si="42"/>
        <v>0</v>
      </c>
      <c r="L42" s="135">
        <f t="shared" si="43"/>
        <v>0</v>
      </c>
      <c r="N42" s="131">
        <f t="shared" si="44"/>
        <v>0.54</v>
      </c>
      <c r="O42" s="131">
        <f t="shared" si="45"/>
        <v>0.54</v>
      </c>
      <c r="P42" s="55">
        <f t="shared" si="46"/>
        <v>0</v>
      </c>
      <c r="Q42" s="135">
        <f>_xll.xSPRDOPT(I42,H42,AQ42,0,O42,N42,P42,D42-$G$5,1,0)*AH42*AU42</f>
        <v>0</v>
      </c>
      <c r="R42" s="135"/>
      <c r="S42" s="181">
        <f>_xll.xSPRDOPT(I42,H42,AQ42,AT42,O42,N42,P42,D42-$G$5,1,2)*AF42*(F42/(1-AR42))*AH42</f>
        <v>0</v>
      </c>
      <c r="T42" s="181">
        <f>_xll.xSPRDOPT(I42,H42,AQ42,AT42,O42,N42,P42,D42-$G$5,1,1)*AF42*F42*AH42</f>
        <v>0</v>
      </c>
      <c r="U42" s="135"/>
      <c r="V42" s="146">
        <f t="shared" si="16"/>
        <v>0</v>
      </c>
      <c r="W42" s="146"/>
      <c r="X42" s="338">
        <f t="shared" si="17"/>
        <v>0</v>
      </c>
      <c r="Y42" s="338">
        <f t="shared" si="18"/>
        <v>0</v>
      </c>
      <c r="Z42" s="338">
        <f t="shared" si="19"/>
        <v>0</v>
      </c>
      <c r="AA42" s="338">
        <f t="shared" si="20"/>
        <v>0</v>
      </c>
      <c r="AB42" s="338">
        <f t="shared" si="21"/>
        <v>0</v>
      </c>
      <c r="AC42" s="338">
        <f t="shared" si="22"/>
        <v>0</v>
      </c>
      <c r="AF42" s="138">
        <f t="shared" si="23"/>
        <v>0</v>
      </c>
      <c r="AG42" s="138">
        <f t="shared" si="24"/>
        <v>11</v>
      </c>
      <c r="AH42" s="138">
        <f t="shared" si="25"/>
        <v>0</v>
      </c>
      <c r="AI42" s="138">
        <f t="shared" si="47"/>
        <v>319</v>
      </c>
      <c r="AJ42" s="138">
        <f t="shared" si="26"/>
        <v>336</v>
      </c>
      <c r="AL42" s="136">
        <f t="shared" si="27"/>
        <v>3.2109999999999999</v>
      </c>
      <c r="AM42" s="258">
        <f t="shared" si="48"/>
        <v>0</v>
      </c>
      <c r="AN42" s="258">
        <f t="shared" si="28"/>
        <v>0.03</v>
      </c>
      <c r="AO42" s="258">
        <f t="shared" si="29"/>
        <v>0.04</v>
      </c>
      <c r="AP42" s="258">
        <f t="shared" si="30"/>
        <v>0</v>
      </c>
      <c r="AQ42" s="136">
        <f t="shared" si="31"/>
        <v>5.9999999999999995E-4</v>
      </c>
      <c r="AR42" s="137">
        <f t="shared" si="32"/>
        <v>4.0000000000000001E-3</v>
      </c>
      <c r="AS42" s="136">
        <f t="shared" si="49"/>
        <v>3.2409999999999997</v>
      </c>
      <c r="AT42" s="137">
        <f t="shared" si="33"/>
        <v>2.3274064967752799E-2</v>
      </c>
      <c r="AU42" s="137">
        <f t="shared" si="34"/>
        <v>0</v>
      </c>
      <c r="AV42" s="394">
        <f t="shared" si="50"/>
        <v>0</v>
      </c>
      <c r="AW42" s="137">
        <f t="shared" si="35"/>
        <v>0.54</v>
      </c>
      <c r="AX42" s="137">
        <f t="shared" si="36"/>
        <v>0.95</v>
      </c>
      <c r="AY42" s="137">
        <f t="shared" si="37"/>
        <v>0.85</v>
      </c>
      <c r="AZ42" s="137"/>
      <c r="BA42" s="264"/>
      <c r="BB42" s="258">
        <f t="shared" si="38"/>
        <v>0</v>
      </c>
      <c r="BC42" s="258">
        <f t="shared" si="39"/>
        <v>0</v>
      </c>
      <c r="BD42" s="137">
        <f t="shared" si="40"/>
        <v>0</v>
      </c>
      <c r="BE42" s="137">
        <f t="shared" si="40"/>
        <v>0</v>
      </c>
      <c r="BF42" s="137">
        <f>_xll.xSPRDOPT($BW42,$BV42,$CG42,0,$BY42,$BX42,$BZ42,$AJ42,1,4)*$CB42</f>
        <v>0</v>
      </c>
      <c r="BG42" s="137">
        <f>_xll.xSPRDOPT($BW42,$BV42,$CG42,0,$BY42,$BX42,$BZ42,$AJ42,1,3)*$CB42</f>
        <v>0</v>
      </c>
      <c r="BH42" s="137">
        <f>IF(OR(BF42&lt;&gt;0,BG42&lt;&gt;0),_xll.xSPRDOPT($BW42,$BV42,$CG42,0,$BY42,$BX42,$BZ42,$AJ42,1,12)*$CB42,0)</f>
        <v>0</v>
      </c>
      <c r="BI42" s="137">
        <f>_xll.xSPRDOPT($BW42,$BV42,$CG42,2*LN(1+CA42/2),$BY42,$BX42,$BZ42,$AJ42,1,9)</f>
        <v>-0.45187663113673437</v>
      </c>
      <c r="BJ42" s="137">
        <f>_xll.xSPRDOPT($BW42,$BV42,$CG42,0,$BY42,$BX42,$BZ42,$AJ42,1,6)*$CB42</f>
        <v>0</v>
      </c>
      <c r="BK42" s="137">
        <f>_xll.xSPRDOPT($BW42,$BV42,$CG42,0,$BY42,$BX42,$BZ42,$AJ42,1,5)*$CB42</f>
        <v>0</v>
      </c>
      <c r="BL42" s="137">
        <f>_xll.xSPRDOPT(BW42,BV42,CG42,0,BY42,BX42,BZ42,AJ42,1,2)*CB42</f>
        <v>0</v>
      </c>
      <c r="BM42" s="137">
        <f>_xll.xSPRDOPT(BW42,BV42,CG42,0,BY42,BX42,BZ42,AJ42,1,1)*CB42</f>
        <v>0</v>
      </c>
      <c r="BN42" s="137">
        <f>IF(AH42&lt;&gt;0,_xll.xSPRDOPT($BW42,$BV42,$CG42,2*LN(1+CA42/2),$BY42,$BX42,$BZ42,$AJ42,1,8)+(AJ42/365.25)*CH42/AH42,0)</f>
        <v>0</v>
      </c>
      <c r="BO42" s="137">
        <f>_xll.xSPRDOPT($BW42,$BV42,$CG42,0,$BY42,$BX42,$BZ42,$AJ42,1,0)</f>
        <v>0.92777993663970204</v>
      </c>
      <c r="BP42" s="137"/>
      <c r="BQ42" s="137"/>
      <c r="BR42" s="137"/>
      <c r="BS42" s="137"/>
      <c r="BV42" s="262">
        <v>3.2540160642570277</v>
      </c>
      <c r="BW42" s="136">
        <v>3.2509999999999999</v>
      </c>
      <c r="BX42" s="137">
        <v>0.54</v>
      </c>
      <c r="BY42" s="137">
        <v>0.54</v>
      </c>
      <c r="BZ42" s="137">
        <v>0</v>
      </c>
      <c r="CA42" s="137">
        <v>2.3274064967752799E-2</v>
      </c>
      <c r="CB42" s="137">
        <v>0</v>
      </c>
      <c r="CC42" s="258">
        <v>0</v>
      </c>
      <c r="CD42" s="258">
        <v>0.03</v>
      </c>
      <c r="CE42" s="258">
        <v>0.04</v>
      </c>
      <c r="CF42" s="258">
        <v>0</v>
      </c>
      <c r="CG42" s="258">
        <v>5.9999999999999995E-4</v>
      </c>
      <c r="CH42" s="258">
        <v>0</v>
      </c>
      <c r="CI42" s="258">
        <v>3.2109999999999999</v>
      </c>
      <c r="CJ42" s="258"/>
      <c r="CK42" s="258"/>
      <c r="CL42" s="258"/>
      <c r="CM42" s="258"/>
    </row>
    <row r="43" spans="1:91" x14ac:dyDescent="0.25">
      <c r="A43" s="723"/>
      <c r="B43" s="723"/>
      <c r="D43" s="31">
        <f t="shared" si="41"/>
        <v>37575</v>
      </c>
      <c r="F43" s="28">
        <f t="shared" si="12"/>
        <v>15600</v>
      </c>
      <c r="G43" s="28">
        <f t="shared" si="13"/>
        <v>0</v>
      </c>
      <c r="H43" s="52">
        <f t="shared" si="14"/>
        <v>3.2540160642570277</v>
      </c>
      <c r="I43" s="52">
        <f t="shared" si="15"/>
        <v>3.2509999999999999</v>
      </c>
      <c r="K43" s="52">
        <f t="shared" si="42"/>
        <v>0</v>
      </c>
      <c r="L43" s="135">
        <f t="shared" si="43"/>
        <v>0</v>
      </c>
      <c r="N43" s="131">
        <f t="shared" si="44"/>
        <v>0.54</v>
      </c>
      <c r="O43" s="131">
        <f t="shared" si="45"/>
        <v>0.54</v>
      </c>
      <c r="P43" s="55">
        <f t="shared" si="46"/>
        <v>0</v>
      </c>
      <c r="Q43" s="135">
        <f>_xll.xSPRDOPT(I43,H43,AQ43,0,O43,N43,P43,D43-$G$5,1,0)*AH43*AU43</f>
        <v>0</v>
      </c>
      <c r="R43" s="135"/>
      <c r="S43" s="181">
        <f>_xll.xSPRDOPT(I43,H43,AQ43,AT43,O43,N43,P43,D43-$G$5,1,2)*AF43*(F43/(1-AR43))*AH43</f>
        <v>0</v>
      </c>
      <c r="T43" s="181">
        <f>_xll.xSPRDOPT(I43,H43,AQ43,AT43,O43,N43,P43,D43-$G$5,1,1)*AF43*F43*AH43</f>
        <v>0</v>
      </c>
      <c r="U43" s="135"/>
      <c r="V43" s="146">
        <f t="shared" si="16"/>
        <v>0</v>
      </c>
      <c r="W43" s="146"/>
      <c r="X43" s="338">
        <f t="shared" si="17"/>
        <v>0</v>
      </c>
      <c r="Y43" s="338">
        <f t="shared" si="18"/>
        <v>0</v>
      </c>
      <c r="Z43" s="338">
        <f t="shared" si="19"/>
        <v>0</v>
      </c>
      <c r="AA43" s="338">
        <f t="shared" si="20"/>
        <v>0</v>
      </c>
      <c r="AB43" s="338">
        <f t="shared" si="21"/>
        <v>0</v>
      </c>
      <c r="AC43" s="338">
        <f t="shared" si="22"/>
        <v>0</v>
      </c>
      <c r="AF43" s="138">
        <f t="shared" si="23"/>
        <v>0</v>
      </c>
      <c r="AG43" s="138">
        <f t="shared" si="24"/>
        <v>11</v>
      </c>
      <c r="AH43" s="138">
        <f t="shared" si="25"/>
        <v>0</v>
      </c>
      <c r="AI43" s="138">
        <f t="shared" si="47"/>
        <v>319</v>
      </c>
      <c r="AJ43" s="138">
        <f t="shared" si="26"/>
        <v>336</v>
      </c>
      <c r="AL43" s="136">
        <f t="shared" si="27"/>
        <v>3.2109999999999999</v>
      </c>
      <c r="AM43" s="258">
        <f t="shared" si="48"/>
        <v>0</v>
      </c>
      <c r="AN43" s="258">
        <f t="shared" si="28"/>
        <v>0.03</v>
      </c>
      <c r="AO43" s="258">
        <f t="shared" si="29"/>
        <v>0.04</v>
      </c>
      <c r="AP43" s="258">
        <f t="shared" si="30"/>
        <v>0</v>
      </c>
      <c r="AQ43" s="136">
        <f t="shared" si="31"/>
        <v>5.9999999999999995E-4</v>
      </c>
      <c r="AR43" s="137">
        <f t="shared" si="32"/>
        <v>4.0000000000000001E-3</v>
      </c>
      <c r="AS43" s="136">
        <f t="shared" si="49"/>
        <v>3.2409999999999997</v>
      </c>
      <c r="AT43" s="137">
        <f t="shared" si="33"/>
        <v>2.3274064967752799E-2</v>
      </c>
      <c r="AU43" s="137">
        <f t="shared" si="34"/>
        <v>0</v>
      </c>
      <c r="AV43" s="394">
        <f t="shared" si="50"/>
        <v>0</v>
      </c>
      <c r="AW43" s="137">
        <f t="shared" si="35"/>
        <v>0.54</v>
      </c>
      <c r="AX43" s="137">
        <f t="shared" si="36"/>
        <v>0.95</v>
      </c>
      <c r="AY43" s="137">
        <f t="shared" si="37"/>
        <v>0.85</v>
      </c>
      <c r="AZ43" s="137"/>
      <c r="BA43" s="264"/>
      <c r="BB43" s="258">
        <f t="shared" si="38"/>
        <v>0</v>
      </c>
      <c r="BC43" s="258">
        <f t="shared" si="39"/>
        <v>0</v>
      </c>
      <c r="BD43" s="137">
        <f t="shared" si="40"/>
        <v>0</v>
      </c>
      <c r="BE43" s="137">
        <f t="shared" si="40"/>
        <v>0</v>
      </c>
      <c r="BF43" s="137">
        <f>_xll.xSPRDOPT($BW43,$BV43,$CG43,0,$BY43,$BX43,$BZ43,$AJ43,1,4)*$CB43</f>
        <v>0</v>
      </c>
      <c r="BG43" s="137">
        <f>_xll.xSPRDOPT($BW43,$BV43,$CG43,0,$BY43,$BX43,$BZ43,$AJ43,1,3)*$CB43</f>
        <v>0</v>
      </c>
      <c r="BH43" s="137">
        <f>IF(OR(BF43&lt;&gt;0,BG43&lt;&gt;0),_xll.xSPRDOPT($BW43,$BV43,$CG43,0,$BY43,$BX43,$BZ43,$AJ43,1,12)*$CB43,0)</f>
        <v>0</v>
      </c>
      <c r="BI43" s="137">
        <f>_xll.xSPRDOPT($BW43,$BV43,$CG43,2*LN(1+CA43/2),$BY43,$BX43,$BZ43,$AJ43,1,9)</f>
        <v>-0.45187663113673437</v>
      </c>
      <c r="BJ43" s="137">
        <f>_xll.xSPRDOPT($BW43,$BV43,$CG43,0,$BY43,$BX43,$BZ43,$AJ43,1,6)*$CB43</f>
        <v>0</v>
      </c>
      <c r="BK43" s="137">
        <f>_xll.xSPRDOPT($BW43,$BV43,$CG43,0,$BY43,$BX43,$BZ43,$AJ43,1,5)*$CB43</f>
        <v>0</v>
      </c>
      <c r="BL43" s="137">
        <f>_xll.xSPRDOPT(BW43,BV43,CG43,0,BY43,BX43,BZ43,AJ43,1,2)*CB43</f>
        <v>0</v>
      </c>
      <c r="BM43" s="137">
        <f>_xll.xSPRDOPT(BW43,BV43,CG43,0,BY43,BX43,BZ43,AJ43,1,1)*CB43</f>
        <v>0</v>
      </c>
      <c r="BN43" s="137">
        <f>IF(AH43&lt;&gt;0,_xll.xSPRDOPT($BW43,$BV43,$CG43,2*LN(1+CA43/2),$BY43,$BX43,$BZ43,$AJ43,1,8)+(AJ43/365.25)*CH43/AH43,0)</f>
        <v>0</v>
      </c>
      <c r="BO43" s="137">
        <f>_xll.xSPRDOPT($BW43,$BV43,$CG43,0,$BY43,$BX43,$BZ43,$AJ43,1,0)</f>
        <v>0.92777993663970204</v>
      </c>
      <c r="BP43" s="137"/>
      <c r="BQ43" s="137"/>
      <c r="BR43" s="137"/>
      <c r="BS43" s="137"/>
      <c r="BV43" s="262">
        <v>3.2540160642570277</v>
      </c>
      <c r="BW43" s="136">
        <v>3.2509999999999999</v>
      </c>
      <c r="BX43" s="137">
        <v>0.54</v>
      </c>
      <c r="BY43" s="137">
        <v>0.54</v>
      </c>
      <c r="BZ43" s="137">
        <v>0</v>
      </c>
      <c r="CA43" s="137">
        <v>2.3274064967752799E-2</v>
      </c>
      <c r="CB43" s="137">
        <v>0</v>
      </c>
      <c r="CC43" s="258">
        <v>0</v>
      </c>
      <c r="CD43" s="258">
        <v>0.03</v>
      </c>
      <c r="CE43" s="258">
        <v>0.04</v>
      </c>
      <c r="CF43" s="258">
        <v>0</v>
      </c>
      <c r="CG43" s="258">
        <v>5.9999999999999995E-4</v>
      </c>
      <c r="CH43" s="258">
        <v>0</v>
      </c>
      <c r="CI43" s="258">
        <v>3.2109999999999999</v>
      </c>
      <c r="CJ43" s="258"/>
      <c r="CK43" s="258"/>
      <c r="CL43" s="258"/>
      <c r="CM43" s="258"/>
    </row>
    <row r="44" spans="1:91" x14ac:dyDescent="0.25">
      <c r="A44" s="723"/>
      <c r="B44" s="723"/>
      <c r="D44" s="31">
        <f t="shared" si="41"/>
        <v>37575</v>
      </c>
      <c r="F44" s="28">
        <f t="shared" si="12"/>
        <v>15600</v>
      </c>
      <c r="G44" s="28">
        <f t="shared" si="13"/>
        <v>0</v>
      </c>
      <c r="H44" s="52">
        <f t="shared" si="14"/>
        <v>3.2540160642570277</v>
      </c>
      <c r="I44" s="52">
        <f t="shared" si="15"/>
        <v>3.2509999999999999</v>
      </c>
      <c r="K44" s="52">
        <f t="shared" si="42"/>
        <v>0</v>
      </c>
      <c r="L44" s="135">
        <f t="shared" si="43"/>
        <v>0</v>
      </c>
      <c r="N44" s="131">
        <f t="shared" si="44"/>
        <v>0.54</v>
      </c>
      <c r="O44" s="131">
        <f t="shared" si="45"/>
        <v>0.54</v>
      </c>
      <c r="P44" s="55">
        <f t="shared" si="46"/>
        <v>0</v>
      </c>
      <c r="Q44" s="135">
        <f>_xll.xSPRDOPT(I44,H44,AQ44,0,O44,N44,P44,D44-$G$5,1,0)*AH44*AU44</f>
        <v>0</v>
      </c>
      <c r="R44" s="135"/>
      <c r="S44" s="181">
        <f>_xll.xSPRDOPT(I44,H44,AQ44,AT44,O44,N44,P44,D44-$G$5,1,2)*AF44*(F44/(1-AR44))*AH44</f>
        <v>0</v>
      </c>
      <c r="T44" s="181">
        <f>_xll.xSPRDOPT(I44,H44,AQ44,AT44,O44,N44,P44,D44-$G$5,1,1)*AF44*F44*AH44</f>
        <v>0</v>
      </c>
      <c r="U44" s="135"/>
      <c r="V44" s="146">
        <f t="shared" si="16"/>
        <v>0</v>
      </c>
      <c r="W44" s="146"/>
      <c r="X44" s="338">
        <f t="shared" si="17"/>
        <v>0</v>
      </c>
      <c r="Y44" s="338">
        <f t="shared" si="18"/>
        <v>0</v>
      </c>
      <c r="Z44" s="338">
        <f t="shared" si="19"/>
        <v>0</v>
      </c>
      <c r="AA44" s="338">
        <f t="shared" si="20"/>
        <v>0</v>
      </c>
      <c r="AB44" s="338">
        <f t="shared" si="21"/>
        <v>0</v>
      </c>
      <c r="AC44" s="338">
        <f t="shared" si="22"/>
        <v>0</v>
      </c>
      <c r="AF44" s="138">
        <f t="shared" si="23"/>
        <v>0</v>
      </c>
      <c r="AG44" s="138">
        <f t="shared" si="24"/>
        <v>11</v>
      </c>
      <c r="AH44" s="138">
        <f t="shared" si="25"/>
        <v>0</v>
      </c>
      <c r="AI44" s="138">
        <f t="shared" si="47"/>
        <v>319</v>
      </c>
      <c r="AJ44" s="138">
        <f t="shared" si="26"/>
        <v>336</v>
      </c>
      <c r="AL44" s="136">
        <f t="shared" si="27"/>
        <v>3.2109999999999999</v>
      </c>
      <c r="AM44" s="258">
        <f t="shared" si="48"/>
        <v>0</v>
      </c>
      <c r="AN44" s="258">
        <f t="shared" si="28"/>
        <v>0.03</v>
      </c>
      <c r="AO44" s="258">
        <f t="shared" si="29"/>
        <v>0.04</v>
      </c>
      <c r="AP44" s="258">
        <f t="shared" si="30"/>
        <v>0</v>
      </c>
      <c r="AQ44" s="136">
        <f t="shared" si="31"/>
        <v>5.9999999999999995E-4</v>
      </c>
      <c r="AR44" s="137">
        <f t="shared" si="32"/>
        <v>4.0000000000000001E-3</v>
      </c>
      <c r="AS44" s="136">
        <f t="shared" si="49"/>
        <v>3.2409999999999997</v>
      </c>
      <c r="AT44" s="137">
        <f t="shared" si="33"/>
        <v>2.3274064967752799E-2</v>
      </c>
      <c r="AU44" s="137">
        <f t="shared" si="34"/>
        <v>0</v>
      </c>
      <c r="AV44" s="394">
        <f t="shared" si="50"/>
        <v>0</v>
      </c>
      <c r="AW44" s="137">
        <f t="shared" si="35"/>
        <v>0.54</v>
      </c>
      <c r="AX44" s="137">
        <f t="shared" si="36"/>
        <v>0.95</v>
      </c>
      <c r="AY44" s="137">
        <f t="shared" si="37"/>
        <v>0.85</v>
      </c>
      <c r="AZ44" s="137"/>
      <c r="BA44" s="264"/>
      <c r="BB44" s="258">
        <f t="shared" si="38"/>
        <v>0</v>
      </c>
      <c r="BC44" s="258">
        <f t="shared" si="39"/>
        <v>0</v>
      </c>
      <c r="BD44" s="137">
        <f t="shared" si="40"/>
        <v>0</v>
      </c>
      <c r="BE44" s="137">
        <f t="shared" si="40"/>
        <v>0</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-0.45187663113673437</v>
      </c>
      <c r="BJ44" s="137">
        <f>_xll.xSPRDOPT($BW44,$BV44,$CG44,0,$BY44,$BX44,$BZ44,$AJ44,1,6)*$CB44</f>
        <v>0</v>
      </c>
      <c r="BK44" s="137">
        <f>_xll.xSPRDOPT($BW44,$BV44,$CG44,0,$BY44,$BX44,$BZ44,$AJ44,1,5)*$CB44</f>
        <v>0</v>
      </c>
      <c r="BL44" s="137">
        <f>_xll.xSPRDOPT(BW44,BV44,CG44,0,BY44,BX44,BZ44,AJ44,1,2)*CB44</f>
        <v>0</v>
      </c>
      <c r="BM44" s="137">
        <f>_xll.xSPRDOPT(BW44,BV44,CG44,0,BY44,BX44,BZ44,AJ44,1,1)*CB44</f>
        <v>0</v>
      </c>
      <c r="BN44" s="137">
        <f>IF(AH44&lt;&gt;0,_xll.xSPRDOPT($BW44,$BV44,$CG44,2*LN(1+CA44/2),$BY44,$BX44,$BZ44,$AJ44,1,8)+(AJ44/365.25)*CH44/AH44,0)</f>
        <v>0</v>
      </c>
      <c r="BO44" s="137">
        <f>_xll.xSPRDOPT($BW44,$BV44,$CG44,0,$BY44,$BX44,$BZ44,$AJ44,1,0)</f>
        <v>0.92777993663970204</v>
      </c>
      <c r="BP44" s="137"/>
      <c r="BQ44" s="137"/>
      <c r="BR44" s="137"/>
      <c r="BS44" s="137"/>
      <c r="BV44" s="262">
        <v>3.2540160642570277</v>
      </c>
      <c r="BW44" s="136">
        <v>3.2509999999999999</v>
      </c>
      <c r="BX44" s="137">
        <v>0.54</v>
      </c>
      <c r="BY44" s="137">
        <v>0.54</v>
      </c>
      <c r="BZ44" s="137">
        <v>0</v>
      </c>
      <c r="CA44" s="137">
        <v>2.3274064967752799E-2</v>
      </c>
      <c r="CB44" s="137">
        <v>0</v>
      </c>
      <c r="CC44" s="258">
        <v>0</v>
      </c>
      <c r="CD44" s="258">
        <v>0.03</v>
      </c>
      <c r="CE44" s="258">
        <v>0.04</v>
      </c>
      <c r="CF44" s="258">
        <v>0</v>
      </c>
      <c r="CG44" s="258">
        <v>5.9999999999999995E-4</v>
      </c>
      <c r="CH44" s="258">
        <v>0</v>
      </c>
      <c r="CI44" s="258">
        <v>3.2109999999999999</v>
      </c>
      <c r="CJ44" s="258"/>
      <c r="CK44" s="258"/>
      <c r="CL44" s="258"/>
      <c r="CM44" s="258"/>
    </row>
    <row r="45" spans="1:91" x14ac:dyDescent="0.25">
      <c r="A45" s="723"/>
      <c r="B45" s="723"/>
      <c r="D45" s="31">
        <f t="shared" si="41"/>
        <v>37575</v>
      </c>
      <c r="F45" s="28">
        <f t="shared" si="12"/>
        <v>15600</v>
      </c>
      <c r="G45" s="28">
        <f t="shared" si="13"/>
        <v>0</v>
      </c>
      <c r="H45" s="52">
        <f t="shared" si="14"/>
        <v>3.2540160642570277</v>
      </c>
      <c r="I45" s="52">
        <f t="shared" si="15"/>
        <v>3.2509999999999999</v>
      </c>
      <c r="K45" s="52">
        <f t="shared" si="42"/>
        <v>0</v>
      </c>
      <c r="L45" s="135">
        <f t="shared" si="43"/>
        <v>0</v>
      </c>
      <c r="N45" s="131">
        <f t="shared" si="44"/>
        <v>0.54</v>
      </c>
      <c r="O45" s="131">
        <f t="shared" si="45"/>
        <v>0.54</v>
      </c>
      <c r="P45" s="55">
        <f t="shared" si="46"/>
        <v>0</v>
      </c>
      <c r="Q45" s="135">
        <f>_xll.xSPRDOPT(I45,H45,AQ45,0,O45,N45,P45,D45-$G$5,1,0)*AH45*AU45</f>
        <v>0</v>
      </c>
      <c r="R45" s="135"/>
      <c r="S45" s="181">
        <f>_xll.xSPRDOPT(I45,H45,AQ45,AT45,O45,N45,P45,D45-$G$5,1,2)*AF45*(F45/(1-AR45))*AH45</f>
        <v>0</v>
      </c>
      <c r="T45" s="181">
        <f>_xll.xSPRDOPT(I45,H45,AQ45,AT45,O45,N45,P45,D45-$G$5,1,1)*AF45*F45*AH45</f>
        <v>0</v>
      </c>
      <c r="U45" s="135"/>
      <c r="V45" s="146">
        <f t="shared" si="16"/>
        <v>0</v>
      </c>
      <c r="W45" s="146"/>
      <c r="X45" s="338">
        <f t="shared" si="17"/>
        <v>0</v>
      </c>
      <c r="Y45" s="338">
        <f t="shared" si="18"/>
        <v>0</v>
      </c>
      <c r="Z45" s="338">
        <f t="shared" si="19"/>
        <v>0</v>
      </c>
      <c r="AA45" s="338">
        <f t="shared" si="20"/>
        <v>0</v>
      </c>
      <c r="AB45" s="338">
        <f t="shared" si="21"/>
        <v>0</v>
      </c>
      <c r="AC45" s="338">
        <f t="shared" si="22"/>
        <v>0</v>
      </c>
      <c r="AF45" s="138">
        <f t="shared" si="23"/>
        <v>0</v>
      </c>
      <c r="AG45" s="138">
        <f t="shared" si="24"/>
        <v>11</v>
      </c>
      <c r="AH45" s="138">
        <f t="shared" si="25"/>
        <v>0</v>
      </c>
      <c r="AI45" s="138">
        <f t="shared" si="47"/>
        <v>319</v>
      </c>
      <c r="AJ45" s="138">
        <f t="shared" si="26"/>
        <v>336</v>
      </c>
      <c r="AL45" s="136">
        <f t="shared" si="27"/>
        <v>3.2109999999999999</v>
      </c>
      <c r="AM45" s="258">
        <f t="shared" si="48"/>
        <v>0</v>
      </c>
      <c r="AN45" s="258">
        <f t="shared" si="28"/>
        <v>0.03</v>
      </c>
      <c r="AO45" s="258">
        <f t="shared" si="29"/>
        <v>0.04</v>
      </c>
      <c r="AP45" s="258">
        <f t="shared" si="30"/>
        <v>0</v>
      </c>
      <c r="AQ45" s="136">
        <f t="shared" si="31"/>
        <v>5.9999999999999995E-4</v>
      </c>
      <c r="AR45" s="137">
        <f t="shared" si="32"/>
        <v>4.0000000000000001E-3</v>
      </c>
      <c r="AS45" s="136">
        <f t="shared" si="49"/>
        <v>3.2409999999999997</v>
      </c>
      <c r="AT45" s="137">
        <f t="shared" si="33"/>
        <v>2.3274064967752799E-2</v>
      </c>
      <c r="AU45" s="137">
        <f t="shared" si="34"/>
        <v>0</v>
      </c>
      <c r="AV45" s="394">
        <f t="shared" si="50"/>
        <v>0</v>
      </c>
      <c r="AW45" s="137">
        <f t="shared" si="35"/>
        <v>0.54</v>
      </c>
      <c r="AX45" s="137">
        <f t="shared" si="36"/>
        <v>0.95</v>
      </c>
      <c r="AY45" s="137">
        <f t="shared" si="37"/>
        <v>0.85</v>
      </c>
      <c r="AZ45" s="137"/>
      <c r="BA45" s="264"/>
      <c r="BB45" s="258">
        <f t="shared" si="38"/>
        <v>0</v>
      </c>
      <c r="BC45" s="258">
        <f t="shared" si="39"/>
        <v>0</v>
      </c>
      <c r="BD45" s="137">
        <f t="shared" si="40"/>
        <v>0</v>
      </c>
      <c r="BE45" s="137">
        <f t="shared" si="40"/>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-0.45187663113673437</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0.92777993663970204</v>
      </c>
      <c r="BP45" s="137"/>
      <c r="BQ45" s="137"/>
      <c r="BR45" s="137"/>
      <c r="BS45" s="137"/>
      <c r="BV45" s="262">
        <v>3.2540160642570277</v>
      </c>
      <c r="BW45" s="136">
        <v>3.2509999999999999</v>
      </c>
      <c r="BX45" s="137">
        <v>0.54</v>
      </c>
      <c r="BY45" s="137">
        <v>0.54</v>
      </c>
      <c r="BZ45" s="137">
        <v>0</v>
      </c>
      <c r="CA45" s="137">
        <v>2.3274064967752799E-2</v>
      </c>
      <c r="CB45" s="137">
        <v>0</v>
      </c>
      <c r="CC45" s="258">
        <v>0</v>
      </c>
      <c r="CD45" s="258">
        <v>0.03</v>
      </c>
      <c r="CE45" s="258">
        <v>0.04</v>
      </c>
      <c r="CF45" s="258">
        <v>0</v>
      </c>
      <c r="CG45" s="258">
        <v>5.9999999999999995E-4</v>
      </c>
      <c r="CH45" s="258">
        <v>0</v>
      </c>
      <c r="CI45" s="258">
        <v>3.2109999999999999</v>
      </c>
      <c r="CJ45" s="258"/>
      <c r="CK45" s="258"/>
      <c r="CL45" s="258"/>
      <c r="CM45" s="258"/>
    </row>
    <row r="46" spans="1:91" x14ac:dyDescent="0.25">
      <c r="A46" s="723"/>
      <c r="B46" s="723"/>
      <c r="D46" s="31">
        <f t="shared" si="41"/>
        <v>37575</v>
      </c>
      <c r="F46" s="28">
        <f t="shared" si="12"/>
        <v>15600</v>
      </c>
      <c r="G46" s="28">
        <f t="shared" si="13"/>
        <v>0</v>
      </c>
      <c r="H46" s="52">
        <f t="shared" si="14"/>
        <v>3.2540160642570277</v>
      </c>
      <c r="I46" s="52">
        <f t="shared" si="15"/>
        <v>3.2509999999999999</v>
      </c>
      <c r="K46" s="52">
        <f t="shared" si="42"/>
        <v>0</v>
      </c>
      <c r="L46" s="135">
        <f t="shared" si="43"/>
        <v>0</v>
      </c>
      <c r="N46" s="131">
        <f t="shared" si="44"/>
        <v>0.54</v>
      </c>
      <c r="O46" s="131">
        <f t="shared" si="45"/>
        <v>0.54</v>
      </c>
      <c r="P46" s="55">
        <f t="shared" si="46"/>
        <v>0</v>
      </c>
      <c r="Q46" s="135">
        <f>_xll.xSPRDOPT(I46,H46,AQ46,0,O46,N46,P46,D46-$G$5,1,0)*AH46*AU46</f>
        <v>0</v>
      </c>
      <c r="R46" s="135"/>
      <c r="S46" s="181">
        <f>_xll.xSPRDOPT(I46,H46,AQ46,AT46,O46,N46,P46,D46-$G$5,1,2)*AF46*(F46/(1-AR46))*AH46</f>
        <v>0</v>
      </c>
      <c r="T46" s="181">
        <f>_xll.xSPRDOPT(I46,H46,AQ46,AT46,O46,N46,P46,D46-$G$5,1,1)*AF46*F46*AH46</f>
        <v>0</v>
      </c>
      <c r="U46" s="135"/>
      <c r="V46" s="146">
        <f t="shared" si="16"/>
        <v>0</v>
      </c>
      <c r="W46" s="146"/>
      <c r="X46" s="338">
        <f t="shared" si="17"/>
        <v>0</v>
      </c>
      <c r="Y46" s="338">
        <f t="shared" si="18"/>
        <v>0</v>
      </c>
      <c r="Z46" s="338">
        <f t="shared" si="19"/>
        <v>0</v>
      </c>
      <c r="AA46" s="338">
        <f t="shared" si="20"/>
        <v>0</v>
      </c>
      <c r="AB46" s="338">
        <f t="shared" si="21"/>
        <v>0</v>
      </c>
      <c r="AC46" s="338">
        <f t="shared" si="22"/>
        <v>0</v>
      </c>
      <c r="AF46" s="138">
        <f t="shared" si="23"/>
        <v>0</v>
      </c>
      <c r="AG46" s="138">
        <f t="shared" si="24"/>
        <v>11</v>
      </c>
      <c r="AH46" s="138">
        <f t="shared" si="25"/>
        <v>0</v>
      </c>
      <c r="AI46" s="138">
        <f t="shared" si="47"/>
        <v>319</v>
      </c>
      <c r="AJ46" s="138">
        <f t="shared" si="26"/>
        <v>336</v>
      </c>
      <c r="AL46" s="136">
        <f t="shared" si="27"/>
        <v>3.2109999999999999</v>
      </c>
      <c r="AM46" s="258">
        <f t="shared" si="48"/>
        <v>0</v>
      </c>
      <c r="AN46" s="258">
        <f t="shared" si="28"/>
        <v>0.03</v>
      </c>
      <c r="AO46" s="258">
        <f t="shared" si="29"/>
        <v>0.04</v>
      </c>
      <c r="AP46" s="258">
        <f t="shared" si="30"/>
        <v>0</v>
      </c>
      <c r="AQ46" s="136">
        <f t="shared" si="31"/>
        <v>5.9999999999999995E-4</v>
      </c>
      <c r="AR46" s="137">
        <f t="shared" si="32"/>
        <v>4.0000000000000001E-3</v>
      </c>
      <c r="AS46" s="136">
        <f t="shared" si="49"/>
        <v>3.2409999999999997</v>
      </c>
      <c r="AT46" s="137">
        <f t="shared" si="33"/>
        <v>2.3274064967752799E-2</v>
      </c>
      <c r="AU46" s="137">
        <f t="shared" si="34"/>
        <v>0</v>
      </c>
      <c r="AV46" s="394">
        <f t="shared" si="50"/>
        <v>0</v>
      </c>
      <c r="AW46" s="137">
        <f t="shared" si="35"/>
        <v>0.54</v>
      </c>
      <c r="AX46" s="137">
        <f t="shared" si="36"/>
        <v>0.95</v>
      </c>
      <c r="AY46" s="137">
        <f t="shared" si="37"/>
        <v>0.85</v>
      </c>
      <c r="AZ46" s="137"/>
      <c r="BA46" s="264"/>
      <c r="BB46" s="258">
        <f t="shared" si="38"/>
        <v>0</v>
      </c>
      <c r="BC46" s="258">
        <f t="shared" si="39"/>
        <v>0</v>
      </c>
      <c r="BD46" s="137">
        <f t="shared" si="40"/>
        <v>0</v>
      </c>
      <c r="BE46" s="137">
        <f t="shared" si="40"/>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-0.45187663113673437</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0.92777993663970204</v>
      </c>
      <c r="BP46" s="137"/>
      <c r="BQ46" s="137"/>
      <c r="BR46" s="137"/>
      <c r="BS46" s="137"/>
      <c r="BV46" s="262">
        <v>3.2540160642570277</v>
      </c>
      <c r="BW46" s="136">
        <v>3.2509999999999999</v>
      </c>
      <c r="BX46" s="137">
        <v>0.54</v>
      </c>
      <c r="BY46" s="137">
        <v>0.54</v>
      </c>
      <c r="BZ46" s="137">
        <v>0</v>
      </c>
      <c r="CA46" s="137">
        <v>2.3274064967752799E-2</v>
      </c>
      <c r="CB46" s="137">
        <v>0</v>
      </c>
      <c r="CC46" s="258">
        <v>0</v>
      </c>
      <c r="CD46" s="258">
        <v>0.03</v>
      </c>
      <c r="CE46" s="258">
        <v>0.04</v>
      </c>
      <c r="CF46" s="258">
        <v>0</v>
      </c>
      <c r="CG46" s="258">
        <v>5.9999999999999995E-4</v>
      </c>
      <c r="CH46" s="258">
        <v>0</v>
      </c>
      <c r="CI46" s="258">
        <v>3.2109999999999999</v>
      </c>
      <c r="CJ46" s="258"/>
      <c r="CK46" s="258"/>
      <c r="CL46" s="258"/>
      <c r="CM46" s="258"/>
    </row>
    <row r="47" spans="1:91" x14ac:dyDescent="0.25">
      <c r="A47" s="723"/>
      <c r="B47" s="723"/>
      <c r="D47" s="31">
        <f t="shared" si="41"/>
        <v>37575</v>
      </c>
      <c r="F47" s="28">
        <f t="shared" si="12"/>
        <v>15600</v>
      </c>
      <c r="G47" s="28">
        <f t="shared" si="13"/>
        <v>0</v>
      </c>
      <c r="H47" s="52">
        <f t="shared" si="14"/>
        <v>3.2540160642570277</v>
      </c>
      <c r="I47" s="52">
        <f t="shared" si="15"/>
        <v>3.2509999999999999</v>
      </c>
      <c r="K47" s="52">
        <f t="shared" si="42"/>
        <v>0</v>
      </c>
      <c r="L47" s="135">
        <f t="shared" si="43"/>
        <v>0</v>
      </c>
      <c r="N47" s="131">
        <f t="shared" si="44"/>
        <v>0.54</v>
      </c>
      <c r="O47" s="131">
        <f t="shared" si="45"/>
        <v>0.54</v>
      </c>
      <c r="P47" s="55">
        <f t="shared" si="46"/>
        <v>0</v>
      </c>
      <c r="Q47" s="135">
        <f>_xll.xSPRDOPT(I47,H47,AQ47,0,O47,N47,P47,D47-$G$5,1,0)*AH47*AU47</f>
        <v>0</v>
      </c>
      <c r="R47" s="135"/>
      <c r="S47" s="181">
        <f>_xll.xSPRDOPT(I47,H47,AQ47,AT47,O47,N47,P47,D47-$G$5,1,2)*AF47*(F47/(1-AR47))*AH47</f>
        <v>0</v>
      </c>
      <c r="T47" s="181">
        <f>_xll.xSPRDOPT(I47,H47,AQ47,AT47,O47,N47,P47,D47-$G$5,1,1)*AF47*F47*AH47</f>
        <v>0</v>
      </c>
      <c r="U47" s="135"/>
      <c r="V47" s="146">
        <f t="shared" si="16"/>
        <v>0</v>
      </c>
      <c r="W47" s="146"/>
      <c r="X47" s="338">
        <f t="shared" si="17"/>
        <v>0</v>
      </c>
      <c r="Y47" s="338">
        <f t="shared" si="18"/>
        <v>0</v>
      </c>
      <c r="Z47" s="338">
        <f t="shared" si="19"/>
        <v>0</v>
      </c>
      <c r="AA47" s="338">
        <f t="shared" si="20"/>
        <v>0</v>
      </c>
      <c r="AB47" s="338">
        <f t="shared" si="21"/>
        <v>0</v>
      </c>
      <c r="AC47" s="338">
        <f t="shared" si="22"/>
        <v>0</v>
      </c>
      <c r="AF47" s="138">
        <f t="shared" si="23"/>
        <v>0</v>
      </c>
      <c r="AG47" s="138">
        <f t="shared" si="24"/>
        <v>11</v>
      </c>
      <c r="AH47" s="138">
        <f t="shared" si="25"/>
        <v>0</v>
      </c>
      <c r="AI47" s="138">
        <f t="shared" si="47"/>
        <v>319</v>
      </c>
      <c r="AJ47" s="138">
        <f t="shared" si="26"/>
        <v>336</v>
      </c>
      <c r="AL47" s="136">
        <f t="shared" si="27"/>
        <v>3.2109999999999999</v>
      </c>
      <c r="AM47" s="258">
        <f t="shared" si="48"/>
        <v>0</v>
      </c>
      <c r="AN47" s="258">
        <f t="shared" si="28"/>
        <v>0.03</v>
      </c>
      <c r="AO47" s="258">
        <f t="shared" si="29"/>
        <v>0.04</v>
      </c>
      <c r="AP47" s="258">
        <f t="shared" si="30"/>
        <v>0</v>
      </c>
      <c r="AQ47" s="136">
        <f t="shared" si="31"/>
        <v>5.9999999999999995E-4</v>
      </c>
      <c r="AR47" s="137">
        <f t="shared" si="32"/>
        <v>4.0000000000000001E-3</v>
      </c>
      <c r="AS47" s="136">
        <f t="shared" si="49"/>
        <v>3.2409999999999997</v>
      </c>
      <c r="AT47" s="137">
        <f t="shared" si="33"/>
        <v>2.3274064967752799E-2</v>
      </c>
      <c r="AU47" s="137">
        <f t="shared" si="34"/>
        <v>0</v>
      </c>
      <c r="AV47" s="394">
        <f t="shared" si="50"/>
        <v>0</v>
      </c>
      <c r="AW47" s="137">
        <f t="shared" si="35"/>
        <v>0.54</v>
      </c>
      <c r="AX47" s="137">
        <f t="shared" si="36"/>
        <v>0.95</v>
      </c>
      <c r="AY47" s="137">
        <f t="shared" si="37"/>
        <v>0.85</v>
      </c>
      <c r="AZ47" s="137"/>
      <c r="BA47" s="264"/>
      <c r="BB47" s="258">
        <f t="shared" si="38"/>
        <v>0</v>
      </c>
      <c r="BC47" s="258">
        <f t="shared" si="39"/>
        <v>0</v>
      </c>
      <c r="BD47" s="137">
        <f t="shared" si="40"/>
        <v>0</v>
      </c>
      <c r="BE47" s="137">
        <f t="shared" si="40"/>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-0.45187663113673437</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0.92777993663970204</v>
      </c>
      <c r="BP47" s="137"/>
      <c r="BQ47" s="137"/>
      <c r="BR47" s="137"/>
      <c r="BS47" s="137"/>
      <c r="BV47" s="262">
        <v>3.2540160642570277</v>
      </c>
      <c r="BW47" s="136">
        <v>3.2509999999999999</v>
      </c>
      <c r="BX47" s="137">
        <v>0.54</v>
      </c>
      <c r="BY47" s="137">
        <v>0.54</v>
      </c>
      <c r="BZ47" s="137">
        <v>0</v>
      </c>
      <c r="CA47" s="137">
        <v>2.3274064967752799E-2</v>
      </c>
      <c r="CB47" s="137">
        <v>0</v>
      </c>
      <c r="CC47" s="258">
        <v>0</v>
      </c>
      <c r="CD47" s="258">
        <v>0.03</v>
      </c>
      <c r="CE47" s="258">
        <v>0.04</v>
      </c>
      <c r="CF47" s="258">
        <v>0</v>
      </c>
      <c r="CG47" s="258">
        <v>5.9999999999999995E-4</v>
      </c>
      <c r="CH47" s="258">
        <v>0</v>
      </c>
      <c r="CI47" s="258">
        <v>3.2109999999999999</v>
      </c>
      <c r="CJ47" s="258"/>
      <c r="CK47" s="258"/>
      <c r="CL47" s="258"/>
      <c r="CM47" s="258"/>
    </row>
    <row r="48" spans="1:91" x14ac:dyDescent="0.25">
      <c r="A48" s="723"/>
      <c r="B48" s="723"/>
      <c r="D48" s="31">
        <f t="shared" si="41"/>
        <v>37575</v>
      </c>
      <c r="F48" s="28">
        <f t="shared" si="12"/>
        <v>15600</v>
      </c>
      <c r="G48" s="28">
        <f t="shared" si="13"/>
        <v>0</v>
      </c>
      <c r="H48" s="52">
        <f t="shared" si="14"/>
        <v>3.2540160642570277</v>
      </c>
      <c r="I48" s="52">
        <f t="shared" si="15"/>
        <v>3.2509999999999999</v>
      </c>
      <c r="K48" s="52">
        <f t="shared" si="42"/>
        <v>0</v>
      </c>
      <c r="L48" s="135">
        <f t="shared" si="43"/>
        <v>0</v>
      </c>
      <c r="N48" s="131">
        <f t="shared" si="44"/>
        <v>0.54</v>
      </c>
      <c r="O48" s="131">
        <f t="shared" si="45"/>
        <v>0.54</v>
      </c>
      <c r="P48" s="55">
        <f t="shared" si="46"/>
        <v>0</v>
      </c>
      <c r="Q48" s="135">
        <f>_xll.xSPRDOPT(I48,H48,AQ48,0,O48,N48,P48,D48-$G$5,1,0)*AH48*AU48</f>
        <v>0</v>
      </c>
      <c r="R48" s="135"/>
      <c r="S48" s="181">
        <f>_xll.xSPRDOPT(I48,H48,AQ48,AT48,O48,N48,P48,D48-$G$5,1,2)*AF48*(F48/(1-AR48))*AH48</f>
        <v>0</v>
      </c>
      <c r="T48" s="181">
        <f>_xll.xSPRDOPT(I48,H48,AQ48,AT48,O48,N48,P48,D48-$G$5,1,1)*AF48*F48*AH48</f>
        <v>0</v>
      </c>
      <c r="U48" s="135"/>
      <c r="V48" s="146">
        <f t="shared" si="16"/>
        <v>0</v>
      </c>
      <c r="W48" s="146"/>
      <c r="X48" s="338">
        <f t="shared" si="17"/>
        <v>0</v>
      </c>
      <c r="Y48" s="338">
        <f t="shared" si="18"/>
        <v>0</v>
      </c>
      <c r="Z48" s="338">
        <f t="shared" si="19"/>
        <v>0</v>
      </c>
      <c r="AA48" s="338">
        <f t="shared" si="20"/>
        <v>0</v>
      </c>
      <c r="AB48" s="338">
        <f t="shared" si="21"/>
        <v>0</v>
      </c>
      <c r="AC48" s="338">
        <f t="shared" si="22"/>
        <v>0</v>
      </c>
      <c r="AF48" s="138">
        <f t="shared" si="23"/>
        <v>0</v>
      </c>
      <c r="AG48" s="138">
        <f t="shared" si="24"/>
        <v>11</v>
      </c>
      <c r="AH48" s="138">
        <f t="shared" si="25"/>
        <v>0</v>
      </c>
      <c r="AI48" s="138">
        <f t="shared" si="47"/>
        <v>319</v>
      </c>
      <c r="AJ48" s="138">
        <f t="shared" si="26"/>
        <v>336</v>
      </c>
      <c r="AL48" s="136">
        <f t="shared" si="27"/>
        <v>3.2109999999999999</v>
      </c>
      <c r="AM48" s="258">
        <f t="shared" si="48"/>
        <v>0</v>
      </c>
      <c r="AN48" s="258">
        <f t="shared" si="28"/>
        <v>0.03</v>
      </c>
      <c r="AO48" s="258">
        <f t="shared" si="29"/>
        <v>0.04</v>
      </c>
      <c r="AP48" s="258">
        <f t="shared" si="30"/>
        <v>0</v>
      </c>
      <c r="AQ48" s="136">
        <f t="shared" si="31"/>
        <v>5.9999999999999995E-4</v>
      </c>
      <c r="AR48" s="137">
        <f t="shared" si="32"/>
        <v>4.0000000000000001E-3</v>
      </c>
      <c r="AS48" s="136">
        <f t="shared" si="49"/>
        <v>3.2409999999999997</v>
      </c>
      <c r="AT48" s="137">
        <f t="shared" si="33"/>
        <v>2.3274064967752799E-2</v>
      </c>
      <c r="AU48" s="137">
        <f t="shared" si="34"/>
        <v>0</v>
      </c>
      <c r="AV48" s="394">
        <f t="shared" si="50"/>
        <v>0</v>
      </c>
      <c r="AW48" s="137">
        <f t="shared" si="35"/>
        <v>0.54</v>
      </c>
      <c r="AX48" s="137">
        <f t="shared" si="36"/>
        <v>0.95</v>
      </c>
      <c r="AY48" s="137">
        <f t="shared" si="37"/>
        <v>0.85</v>
      </c>
      <c r="AZ48" s="137"/>
      <c r="BA48" s="264"/>
      <c r="BB48" s="258">
        <f t="shared" si="38"/>
        <v>0</v>
      </c>
      <c r="BC48" s="258">
        <f t="shared" si="39"/>
        <v>0</v>
      </c>
      <c r="BD48" s="137">
        <f t="shared" si="40"/>
        <v>0</v>
      </c>
      <c r="BE48" s="137">
        <f t="shared" si="40"/>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-0.45187663113673437</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0.92777993663970204</v>
      </c>
      <c r="BP48" s="137"/>
      <c r="BQ48" s="137"/>
      <c r="BR48" s="137"/>
      <c r="BS48" s="137"/>
      <c r="BV48" s="262">
        <v>3.2540160642570277</v>
      </c>
      <c r="BW48" s="136">
        <v>3.2509999999999999</v>
      </c>
      <c r="BX48" s="137">
        <v>0.54</v>
      </c>
      <c r="BY48" s="137">
        <v>0.54</v>
      </c>
      <c r="BZ48" s="137">
        <v>0</v>
      </c>
      <c r="CA48" s="137">
        <v>2.3274064967752799E-2</v>
      </c>
      <c r="CB48" s="137">
        <v>0</v>
      </c>
      <c r="CC48" s="258">
        <v>0</v>
      </c>
      <c r="CD48" s="258">
        <v>0.03</v>
      </c>
      <c r="CE48" s="258">
        <v>0.04</v>
      </c>
      <c r="CF48" s="258">
        <v>0</v>
      </c>
      <c r="CG48" s="258">
        <v>5.9999999999999995E-4</v>
      </c>
      <c r="CH48" s="258">
        <v>0</v>
      </c>
      <c r="CI48" s="258">
        <v>3.2109999999999999</v>
      </c>
      <c r="CJ48" s="258"/>
      <c r="CK48" s="258"/>
      <c r="CL48" s="258"/>
      <c r="CM48" s="258"/>
    </row>
    <row r="49" spans="1:91" x14ac:dyDescent="0.25">
      <c r="A49" s="723"/>
      <c r="B49" s="723"/>
      <c r="D49" s="31">
        <f t="shared" si="41"/>
        <v>37575</v>
      </c>
      <c r="F49" s="28">
        <f t="shared" si="12"/>
        <v>15600</v>
      </c>
      <c r="G49" s="28">
        <f t="shared" si="13"/>
        <v>0</v>
      </c>
      <c r="H49" s="52">
        <f t="shared" si="14"/>
        <v>3.2540160642570277</v>
      </c>
      <c r="I49" s="52">
        <f t="shared" si="15"/>
        <v>3.2509999999999999</v>
      </c>
      <c r="K49" s="52">
        <f t="shared" si="42"/>
        <v>0</v>
      </c>
      <c r="L49" s="135">
        <f t="shared" si="43"/>
        <v>0</v>
      </c>
      <c r="N49" s="131">
        <f t="shared" si="44"/>
        <v>0.54</v>
      </c>
      <c r="O49" s="131">
        <f t="shared" si="45"/>
        <v>0.54</v>
      </c>
      <c r="P49" s="55">
        <f t="shared" si="46"/>
        <v>0</v>
      </c>
      <c r="Q49" s="135">
        <f>_xll.xSPRDOPT(I49,H49,AQ49,0,O49,N49,P49,D49-$G$5,1,0)*AH49*AU49</f>
        <v>0</v>
      </c>
      <c r="R49" s="135"/>
      <c r="S49" s="181">
        <f>_xll.xSPRDOPT(I49,H49,AQ49,AT49,O49,N49,P49,D49-$G$5,1,2)*AF49*(F49/(1-AR49))*AH49</f>
        <v>0</v>
      </c>
      <c r="T49" s="181">
        <f>_xll.xSPRDOPT(I49,H49,AQ49,AT49,O49,N49,P49,D49-$G$5,1,1)*AF49*F49*AH49</f>
        <v>0</v>
      </c>
      <c r="U49" s="135"/>
      <c r="V49" s="146">
        <f t="shared" si="16"/>
        <v>0</v>
      </c>
      <c r="W49" s="146"/>
      <c r="X49" s="338">
        <f t="shared" si="17"/>
        <v>0</v>
      </c>
      <c r="Y49" s="338">
        <f t="shared" si="18"/>
        <v>0</v>
      </c>
      <c r="Z49" s="338">
        <f t="shared" si="19"/>
        <v>0</v>
      </c>
      <c r="AA49" s="338">
        <f t="shared" si="20"/>
        <v>0</v>
      </c>
      <c r="AB49" s="338">
        <f t="shared" si="21"/>
        <v>0</v>
      </c>
      <c r="AC49" s="338">
        <f t="shared" si="22"/>
        <v>0</v>
      </c>
      <c r="AF49" s="138">
        <f t="shared" si="23"/>
        <v>0</v>
      </c>
      <c r="AG49" s="138">
        <f t="shared" si="24"/>
        <v>11</v>
      </c>
      <c r="AH49" s="138">
        <f t="shared" si="25"/>
        <v>0</v>
      </c>
      <c r="AI49" s="138">
        <f t="shared" si="47"/>
        <v>319</v>
      </c>
      <c r="AJ49" s="138">
        <f t="shared" si="26"/>
        <v>336</v>
      </c>
      <c r="AL49" s="136">
        <f t="shared" si="27"/>
        <v>3.2109999999999999</v>
      </c>
      <c r="AM49" s="258">
        <f t="shared" si="48"/>
        <v>0</v>
      </c>
      <c r="AN49" s="258">
        <f t="shared" si="28"/>
        <v>0.03</v>
      </c>
      <c r="AO49" s="258">
        <f t="shared" si="29"/>
        <v>0.04</v>
      </c>
      <c r="AP49" s="258">
        <f t="shared" si="30"/>
        <v>0</v>
      </c>
      <c r="AQ49" s="136">
        <f t="shared" si="31"/>
        <v>5.9999999999999995E-4</v>
      </c>
      <c r="AR49" s="137">
        <f t="shared" si="32"/>
        <v>4.0000000000000001E-3</v>
      </c>
      <c r="AS49" s="136">
        <f t="shared" si="49"/>
        <v>3.2409999999999997</v>
      </c>
      <c r="AT49" s="137">
        <f t="shared" si="33"/>
        <v>2.3274064967752799E-2</v>
      </c>
      <c r="AU49" s="137">
        <f t="shared" si="34"/>
        <v>0</v>
      </c>
      <c r="AV49" s="394">
        <f t="shared" si="50"/>
        <v>0</v>
      </c>
      <c r="AW49" s="137">
        <f t="shared" si="35"/>
        <v>0.54</v>
      </c>
      <c r="AX49" s="137">
        <f t="shared" si="36"/>
        <v>0.95</v>
      </c>
      <c r="AY49" s="137">
        <f t="shared" si="37"/>
        <v>0.85</v>
      </c>
      <c r="AZ49" s="137"/>
      <c r="BA49" s="264"/>
      <c r="BB49" s="258">
        <f t="shared" si="38"/>
        <v>0</v>
      </c>
      <c r="BC49" s="258">
        <f t="shared" si="39"/>
        <v>0</v>
      </c>
      <c r="BD49" s="137">
        <f t="shared" si="40"/>
        <v>0</v>
      </c>
      <c r="BE49" s="137">
        <f t="shared" si="40"/>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-0.45187663113673437</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0.92777993663970204</v>
      </c>
      <c r="BP49" s="137"/>
      <c r="BQ49" s="137"/>
      <c r="BR49" s="137"/>
      <c r="BS49" s="137"/>
      <c r="BV49" s="262">
        <v>3.2540160642570277</v>
      </c>
      <c r="BW49" s="136">
        <v>3.2509999999999999</v>
      </c>
      <c r="BX49" s="137">
        <v>0.54</v>
      </c>
      <c r="BY49" s="137">
        <v>0.54</v>
      </c>
      <c r="BZ49" s="137">
        <v>0</v>
      </c>
      <c r="CA49" s="137">
        <v>2.3274064967752799E-2</v>
      </c>
      <c r="CB49" s="137">
        <v>0</v>
      </c>
      <c r="CC49" s="258">
        <v>0</v>
      </c>
      <c r="CD49" s="258">
        <v>0.03</v>
      </c>
      <c r="CE49" s="258">
        <v>0.04</v>
      </c>
      <c r="CF49" s="258">
        <v>0</v>
      </c>
      <c r="CG49" s="258">
        <v>5.9999999999999995E-4</v>
      </c>
      <c r="CH49" s="258">
        <v>0</v>
      </c>
      <c r="CI49" s="258">
        <v>3.2109999999999999</v>
      </c>
      <c r="CJ49" s="258"/>
      <c r="CK49" s="258"/>
      <c r="CL49" s="258"/>
      <c r="CM49" s="258"/>
    </row>
    <row r="50" spans="1:91" x14ac:dyDescent="0.25">
      <c r="A50" s="723"/>
      <c r="B50" s="723"/>
      <c r="D50" s="31">
        <f t="shared" si="41"/>
        <v>37575</v>
      </c>
      <c r="F50" s="28">
        <f t="shared" si="12"/>
        <v>15600</v>
      </c>
      <c r="G50" s="28">
        <f t="shared" si="13"/>
        <v>0</v>
      </c>
      <c r="H50" s="52">
        <f t="shared" si="14"/>
        <v>3.2540160642570277</v>
      </c>
      <c r="I50" s="52">
        <f t="shared" si="15"/>
        <v>3.2509999999999999</v>
      </c>
      <c r="K50" s="52">
        <f t="shared" si="42"/>
        <v>0</v>
      </c>
      <c r="L50" s="135">
        <f t="shared" si="43"/>
        <v>0</v>
      </c>
      <c r="N50" s="131">
        <f t="shared" si="44"/>
        <v>0.54</v>
      </c>
      <c r="O50" s="131">
        <f t="shared" si="45"/>
        <v>0.54</v>
      </c>
      <c r="P50" s="55">
        <f t="shared" si="46"/>
        <v>0</v>
      </c>
      <c r="Q50" s="135">
        <f>_xll.xSPRDOPT(I50,H50,AQ50,0,O50,N50,P50,D50-$G$5,1,0)*AH50*AU50</f>
        <v>0</v>
      </c>
      <c r="R50" s="135"/>
      <c r="S50" s="181">
        <f>_xll.xSPRDOPT(I50,H50,AQ50,AT50,O50,N50,P50,D50-$G$5,1,2)*AF50*(F50/(1-AR50))*AH50</f>
        <v>0</v>
      </c>
      <c r="T50" s="181">
        <f>_xll.xSPRDOPT(I50,H50,AQ50,AT50,O50,N50,P50,D50-$G$5,1,1)*AF50*F50*AH50</f>
        <v>0</v>
      </c>
      <c r="U50" s="135"/>
      <c r="V50" s="146">
        <f t="shared" si="16"/>
        <v>0</v>
      </c>
      <c r="W50" s="146"/>
      <c r="X50" s="338">
        <f t="shared" si="17"/>
        <v>0</v>
      </c>
      <c r="Y50" s="338">
        <f t="shared" si="18"/>
        <v>0</v>
      </c>
      <c r="Z50" s="338">
        <f t="shared" si="19"/>
        <v>0</v>
      </c>
      <c r="AA50" s="338">
        <f t="shared" si="20"/>
        <v>0</v>
      </c>
      <c r="AB50" s="338">
        <f t="shared" si="21"/>
        <v>0</v>
      </c>
      <c r="AC50" s="338">
        <f t="shared" si="22"/>
        <v>0</v>
      </c>
      <c r="AF50" s="138">
        <f t="shared" si="23"/>
        <v>0</v>
      </c>
      <c r="AG50" s="138">
        <f t="shared" si="24"/>
        <v>11</v>
      </c>
      <c r="AH50" s="138">
        <f t="shared" si="25"/>
        <v>0</v>
      </c>
      <c r="AI50" s="138">
        <f t="shared" si="47"/>
        <v>319</v>
      </c>
      <c r="AJ50" s="138">
        <f t="shared" si="26"/>
        <v>336</v>
      </c>
      <c r="AL50" s="136">
        <f t="shared" si="27"/>
        <v>3.2109999999999999</v>
      </c>
      <c r="AM50" s="258">
        <f t="shared" si="48"/>
        <v>0</v>
      </c>
      <c r="AN50" s="258">
        <f t="shared" si="28"/>
        <v>0.03</v>
      </c>
      <c r="AO50" s="258">
        <f t="shared" si="29"/>
        <v>0.04</v>
      </c>
      <c r="AP50" s="258">
        <f t="shared" si="30"/>
        <v>0</v>
      </c>
      <c r="AQ50" s="136">
        <f t="shared" si="31"/>
        <v>5.9999999999999995E-4</v>
      </c>
      <c r="AR50" s="137">
        <f t="shared" si="32"/>
        <v>4.0000000000000001E-3</v>
      </c>
      <c r="AS50" s="136">
        <f t="shared" si="49"/>
        <v>3.2409999999999997</v>
      </c>
      <c r="AT50" s="137">
        <f t="shared" si="33"/>
        <v>2.3274064967752799E-2</v>
      </c>
      <c r="AU50" s="137">
        <f t="shared" si="34"/>
        <v>0</v>
      </c>
      <c r="AV50" s="394">
        <f t="shared" si="50"/>
        <v>0</v>
      </c>
      <c r="AW50" s="137">
        <f t="shared" si="35"/>
        <v>0.54</v>
      </c>
      <c r="AX50" s="137">
        <f t="shared" si="36"/>
        <v>0.95</v>
      </c>
      <c r="AY50" s="137">
        <f t="shared" si="37"/>
        <v>0.85</v>
      </c>
      <c r="AZ50" s="137"/>
      <c r="BA50" s="264"/>
      <c r="BB50" s="258">
        <f t="shared" si="38"/>
        <v>0</v>
      </c>
      <c r="BC50" s="258">
        <f t="shared" si="39"/>
        <v>0</v>
      </c>
      <c r="BD50" s="137">
        <f t="shared" si="40"/>
        <v>0</v>
      </c>
      <c r="BE50" s="137">
        <f t="shared" si="40"/>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-0.45187663113673437</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0.92777993663970204</v>
      </c>
      <c r="BP50" s="137"/>
      <c r="BQ50" s="137"/>
      <c r="BR50" s="137"/>
      <c r="BS50" s="137"/>
      <c r="BV50" s="262">
        <v>3.2540160642570277</v>
      </c>
      <c r="BW50" s="136">
        <v>3.2509999999999999</v>
      </c>
      <c r="BX50" s="137">
        <v>0.54</v>
      </c>
      <c r="BY50" s="137">
        <v>0.54</v>
      </c>
      <c r="BZ50" s="137">
        <v>0</v>
      </c>
      <c r="CA50" s="137">
        <v>2.3274064967752799E-2</v>
      </c>
      <c r="CB50" s="137">
        <v>0</v>
      </c>
      <c r="CC50" s="258">
        <v>0</v>
      </c>
      <c r="CD50" s="258">
        <v>0.03</v>
      </c>
      <c r="CE50" s="258">
        <v>0.04</v>
      </c>
      <c r="CF50" s="258">
        <v>0</v>
      </c>
      <c r="CG50" s="258">
        <v>5.9999999999999995E-4</v>
      </c>
      <c r="CH50" s="258">
        <v>0</v>
      </c>
      <c r="CI50" s="258">
        <v>3.2109999999999999</v>
      </c>
      <c r="CJ50" s="258"/>
      <c r="CK50" s="258"/>
      <c r="CL50" s="258"/>
      <c r="CM50" s="258"/>
    </row>
    <row r="51" spans="1:91" x14ac:dyDescent="0.25">
      <c r="A51" s="723"/>
      <c r="B51" s="723"/>
      <c r="D51" s="31">
        <f t="shared" si="41"/>
        <v>37575</v>
      </c>
      <c r="F51" s="28">
        <f t="shared" si="12"/>
        <v>15600</v>
      </c>
      <c r="G51" s="28">
        <f t="shared" si="13"/>
        <v>0</v>
      </c>
      <c r="H51" s="52">
        <f t="shared" si="14"/>
        <v>3.2540160642570277</v>
      </c>
      <c r="I51" s="52">
        <f t="shared" si="15"/>
        <v>3.2509999999999999</v>
      </c>
      <c r="K51" s="52">
        <f t="shared" si="42"/>
        <v>0</v>
      </c>
      <c r="L51" s="135">
        <f t="shared" si="43"/>
        <v>0</v>
      </c>
      <c r="N51" s="131">
        <f t="shared" si="44"/>
        <v>0.54</v>
      </c>
      <c r="O51" s="131">
        <f t="shared" si="45"/>
        <v>0.54</v>
      </c>
      <c r="P51" s="55">
        <f t="shared" si="46"/>
        <v>0</v>
      </c>
      <c r="Q51" s="135">
        <f>_xll.xSPRDOPT(I51,H51,AQ51,0,O51,N51,P51,D51-$G$5,1,0)*AH51*AU51</f>
        <v>0</v>
      </c>
      <c r="R51" s="135"/>
      <c r="S51" s="181">
        <f>_xll.xSPRDOPT(I51,H51,AQ51,AT51,O51,N51,P51,D51-$G$5,1,2)*AF51*(F51/(1-AR51))*AH51</f>
        <v>0</v>
      </c>
      <c r="T51" s="181">
        <f>_xll.xSPRDOPT(I51,H51,AQ51,AT51,O51,N51,P51,D51-$G$5,1,1)*AF51*F51*AH51</f>
        <v>0</v>
      </c>
      <c r="U51" s="135"/>
      <c r="V51" s="146">
        <f t="shared" si="16"/>
        <v>0</v>
      </c>
      <c r="W51" s="146"/>
      <c r="X51" s="338">
        <f t="shared" si="17"/>
        <v>0</v>
      </c>
      <c r="Y51" s="338">
        <f t="shared" si="18"/>
        <v>0</v>
      </c>
      <c r="Z51" s="338">
        <f t="shared" si="19"/>
        <v>0</v>
      </c>
      <c r="AA51" s="338">
        <f t="shared" si="20"/>
        <v>0</v>
      </c>
      <c r="AB51" s="338">
        <f t="shared" si="21"/>
        <v>0</v>
      </c>
      <c r="AC51" s="338">
        <f t="shared" si="22"/>
        <v>0</v>
      </c>
      <c r="AF51" s="138">
        <f t="shared" si="23"/>
        <v>0</v>
      </c>
      <c r="AG51" s="138">
        <f t="shared" si="24"/>
        <v>11</v>
      </c>
      <c r="AH51" s="138">
        <f t="shared" si="25"/>
        <v>0</v>
      </c>
      <c r="AI51" s="138">
        <f t="shared" si="47"/>
        <v>319</v>
      </c>
      <c r="AJ51" s="138">
        <f t="shared" si="26"/>
        <v>336</v>
      </c>
      <c r="AL51" s="136">
        <f t="shared" si="27"/>
        <v>3.2109999999999999</v>
      </c>
      <c r="AM51" s="258">
        <f t="shared" si="48"/>
        <v>0</v>
      </c>
      <c r="AN51" s="258">
        <f t="shared" si="28"/>
        <v>0.03</v>
      </c>
      <c r="AO51" s="258">
        <f t="shared" si="29"/>
        <v>0.04</v>
      </c>
      <c r="AP51" s="258">
        <f t="shared" si="30"/>
        <v>0</v>
      </c>
      <c r="AQ51" s="136">
        <f t="shared" si="31"/>
        <v>5.9999999999999995E-4</v>
      </c>
      <c r="AR51" s="137">
        <f t="shared" si="32"/>
        <v>4.0000000000000001E-3</v>
      </c>
      <c r="AS51" s="136">
        <f t="shared" si="49"/>
        <v>3.2409999999999997</v>
      </c>
      <c r="AT51" s="137">
        <f t="shared" si="33"/>
        <v>2.3274064967752799E-2</v>
      </c>
      <c r="AU51" s="137">
        <f t="shared" si="34"/>
        <v>0</v>
      </c>
      <c r="AV51" s="394">
        <f t="shared" si="50"/>
        <v>0</v>
      </c>
      <c r="AW51" s="137">
        <f t="shared" si="35"/>
        <v>0.54</v>
      </c>
      <c r="AX51" s="137">
        <f t="shared" si="36"/>
        <v>0.95</v>
      </c>
      <c r="AY51" s="137">
        <f t="shared" si="37"/>
        <v>0.85</v>
      </c>
      <c r="AZ51" s="137"/>
      <c r="BA51" s="264"/>
      <c r="BB51" s="258">
        <f t="shared" si="38"/>
        <v>0</v>
      </c>
      <c r="BC51" s="258">
        <f t="shared" si="39"/>
        <v>0</v>
      </c>
      <c r="BD51" s="137">
        <f t="shared" si="40"/>
        <v>0</v>
      </c>
      <c r="BE51" s="137">
        <f t="shared" si="40"/>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-0.45187663113673437</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0.92777993663970204</v>
      </c>
      <c r="BP51" s="137"/>
      <c r="BQ51" s="137"/>
      <c r="BR51" s="137"/>
      <c r="BS51" s="137"/>
      <c r="BV51" s="262">
        <v>3.2540160642570277</v>
      </c>
      <c r="BW51" s="136">
        <v>3.2509999999999999</v>
      </c>
      <c r="BX51" s="137">
        <v>0.54</v>
      </c>
      <c r="BY51" s="137">
        <v>0.54</v>
      </c>
      <c r="BZ51" s="137">
        <v>0</v>
      </c>
      <c r="CA51" s="137">
        <v>2.3274064967752799E-2</v>
      </c>
      <c r="CB51" s="137">
        <v>0</v>
      </c>
      <c r="CC51" s="258">
        <v>0</v>
      </c>
      <c r="CD51" s="258">
        <v>0.03</v>
      </c>
      <c r="CE51" s="258">
        <v>0.04</v>
      </c>
      <c r="CF51" s="258">
        <v>0</v>
      </c>
      <c r="CG51" s="258">
        <v>5.9999999999999995E-4</v>
      </c>
      <c r="CH51" s="258">
        <v>0</v>
      </c>
      <c r="CI51" s="258">
        <v>3.2109999999999999</v>
      </c>
      <c r="CJ51" s="258"/>
      <c r="CK51" s="258"/>
      <c r="CL51" s="258"/>
      <c r="CM51" s="258"/>
    </row>
    <row r="52" spans="1:91" x14ac:dyDescent="0.25">
      <c r="A52" s="723"/>
      <c r="B52" s="723"/>
      <c r="D52" s="31">
        <f t="shared" si="41"/>
        <v>37575</v>
      </c>
      <c r="F52" s="28">
        <f t="shared" si="12"/>
        <v>15600</v>
      </c>
      <c r="G52" s="28">
        <f t="shared" si="13"/>
        <v>0</v>
      </c>
      <c r="H52" s="52">
        <f t="shared" si="14"/>
        <v>3.2540160642570277</v>
      </c>
      <c r="I52" s="52">
        <f t="shared" si="15"/>
        <v>3.2509999999999999</v>
      </c>
      <c r="K52" s="52">
        <f t="shared" si="42"/>
        <v>0</v>
      </c>
      <c r="L52" s="135">
        <f t="shared" si="43"/>
        <v>0</v>
      </c>
      <c r="N52" s="131">
        <f t="shared" si="44"/>
        <v>0.54</v>
      </c>
      <c r="O52" s="131">
        <f t="shared" si="45"/>
        <v>0.54</v>
      </c>
      <c r="P52" s="55">
        <f t="shared" si="46"/>
        <v>0</v>
      </c>
      <c r="Q52" s="135">
        <f>_xll.xSPRDOPT(I52,H52,AQ52,0,O52,N52,P52,D52-$G$5,1,0)*AH52*AU52</f>
        <v>0</v>
      </c>
      <c r="R52" s="135"/>
      <c r="S52" s="181">
        <f>_xll.xSPRDOPT(I52,H52,AQ52,AT52,O52,N52,P52,D52-$G$5,1,2)*AF52*(F52/(1-AR52))*AH52</f>
        <v>0</v>
      </c>
      <c r="T52" s="181">
        <f>_xll.xSPRDOPT(I52,H52,AQ52,AT52,O52,N52,P52,D52-$G$5,1,1)*AF52*F52*AH52</f>
        <v>0</v>
      </c>
      <c r="U52" s="135"/>
      <c r="V52" s="146">
        <f t="shared" si="16"/>
        <v>0</v>
      </c>
      <c r="W52" s="146"/>
      <c r="X52" s="338">
        <f t="shared" si="17"/>
        <v>0</v>
      </c>
      <c r="Y52" s="338">
        <f t="shared" si="18"/>
        <v>0</v>
      </c>
      <c r="Z52" s="338">
        <f t="shared" si="19"/>
        <v>0</v>
      </c>
      <c r="AA52" s="338">
        <f t="shared" si="20"/>
        <v>0</v>
      </c>
      <c r="AB52" s="338">
        <f t="shared" si="21"/>
        <v>0</v>
      </c>
      <c r="AC52" s="338">
        <f t="shared" si="22"/>
        <v>0</v>
      </c>
      <c r="AF52" s="138">
        <f t="shared" si="23"/>
        <v>0</v>
      </c>
      <c r="AG52" s="138">
        <f t="shared" si="24"/>
        <v>11</v>
      </c>
      <c r="AH52" s="138">
        <f t="shared" si="25"/>
        <v>0</v>
      </c>
      <c r="AI52" s="138">
        <f t="shared" si="47"/>
        <v>319</v>
      </c>
      <c r="AJ52" s="138">
        <f t="shared" si="26"/>
        <v>336</v>
      </c>
      <c r="AL52" s="136">
        <f t="shared" si="27"/>
        <v>3.2109999999999999</v>
      </c>
      <c r="AM52" s="258">
        <f t="shared" si="48"/>
        <v>0</v>
      </c>
      <c r="AN52" s="258">
        <f t="shared" si="28"/>
        <v>0.03</v>
      </c>
      <c r="AO52" s="258">
        <f t="shared" si="29"/>
        <v>0.04</v>
      </c>
      <c r="AP52" s="258">
        <f t="shared" si="30"/>
        <v>0</v>
      </c>
      <c r="AQ52" s="136">
        <f t="shared" si="31"/>
        <v>5.9999999999999995E-4</v>
      </c>
      <c r="AR52" s="137">
        <f t="shared" si="32"/>
        <v>4.0000000000000001E-3</v>
      </c>
      <c r="AS52" s="136">
        <f t="shared" si="49"/>
        <v>3.2409999999999997</v>
      </c>
      <c r="AT52" s="137">
        <f t="shared" si="33"/>
        <v>2.3274064967752799E-2</v>
      </c>
      <c r="AU52" s="137">
        <f t="shared" si="34"/>
        <v>0</v>
      </c>
      <c r="AV52" s="394">
        <f t="shared" si="50"/>
        <v>0</v>
      </c>
      <c r="AW52" s="137">
        <f t="shared" si="35"/>
        <v>0.54</v>
      </c>
      <c r="AX52" s="137">
        <f t="shared" si="36"/>
        <v>0.95</v>
      </c>
      <c r="AY52" s="137">
        <f t="shared" si="37"/>
        <v>0.85</v>
      </c>
      <c r="AZ52" s="137"/>
      <c r="BA52" s="264"/>
      <c r="BB52" s="258">
        <f t="shared" si="38"/>
        <v>0</v>
      </c>
      <c r="BC52" s="258">
        <f t="shared" si="39"/>
        <v>0</v>
      </c>
      <c r="BD52" s="137">
        <f t="shared" si="40"/>
        <v>0</v>
      </c>
      <c r="BE52" s="137">
        <f t="shared" si="40"/>
        <v>0</v>
      </c>
      <c r="BF52" s="137">
        <f>_xll.xSPRDOPT($BW52,$BV52,$CG52,0,$BY52,$BX52,$BZ52,$AJ52,1,4)*$CB52</f>
        <v>0</v>
      </c>
      <c r="BG52" s="137">
        <f>_xll.xSPRDOPT($BW52,$BV52,$CG52,0,$BY52,$BX52,$BZ52,$AJ52,1,3)*$CB52</f>
        <v>0</v>
      </c>
      <c r="BH52" s="137">
        <f>IF(OR(BF52&lt;&gt;0,BG52&lt;&gt;0),_xll.xSPRDOPT($BW52,$BV52,$CG52,0,$BY52,$BX52,$BZ52,$AJ52,1,12)*$CB52,0)</f>
        <v>0</v>
      </c>
      <c r="BI52" s="137">
        <f>_xll.xSPRDOPT($BW52,$BV52,$CG52,2*LN(1+CA52/2),$BY52,$BX52,$BZ52,$AJ52,1,9)</f>
        <v>-0.45187663113673437</v>
      </c>
      <c r="BJ52" s="137">
        <f>_xll.xSPRDOPT($BW52,$BV52,$CG52,0,$BY52,$BX52,$BZ52,$AJ52,1,6)*$CB52</f>
        <v>0</v>
      </c>
      <c r="BK52" s="137">
        <f>_xll.xSPRDOPT($BW52,$BV52,$CG52,0,$BY52,$BX52,$BZ52,$AJ52,1,5)*$CB52</f>
        <v>0</v>
      </c>
      <c r="BL52" s="137">
        <f>_xll.xSPRDOPT(BW52,BV52,CG52,0,BY52,BX52,BZ52,AJ52,1,2)*CB52</f>
        <v>0</v>
      </c>
      <c r="BM52" s="137">
        <f>_xll.xSPRDOPT(BW52,BV52,CG52,0,BY52,BX52,BZ52,AJ52,1,1)*CB52</f>
        <v>0</v>
      </c>
      <c r="BN52" s="137">
        <f>IF(AH52&lt;&gt;0,_xll.xSPRDOPT($BW52,$BV52,$CG52,2*LN(1+CA52/2),$BY52,$BX52,$BZ52,$AJ52,1,8)+(AJ52/365.25)*CH52/AH52,0)</f>
        <v>0</v>
      </c>
      <c r="BO52" s="137">
        <f>_xll.xSPRDOPT($BW52,$BV52,$CG52,0,$BY52,$BX52,$BZ52,$AJ52,1,0)</f>
        <v>0.92777993663970204</v>
      </c>
      <c r="BP52" s="137"/>
      <c r="BQ52" s="137"/>
      <c r="BR52" s="137"/>
      <c r="BS52" s="137"/>
      <c r="BV52" s="262">
        <v>3.2540160642570277</v>
      </c>
      <c r="BW52" s="136">
        <v>3.2509999999999999</v>
      </c>
      <c r="BX52" s="137">
        <v>0.54</v>
      </c>
      <c r="BY52" s="137">
        <v>0.54</v>
      </c>
      <c r="BZ52" s="137">
        <v>0</v>
      </c>
      <c r="CA52" s="137">
        <v>2.3274064967752799E-2</v>
      </c>
      <c r="CB52" s="137">
        <v>0</v>
      </c>
      <c r="CC52" s="258">
        <v>0</v>
      </c>
      <c r="CD52" s="258">
        <v>0.03</v>
      </c>
      <c r="CE52" s="258">
        <v>0.04</v>
      </c>
      <c r="CF52" s="258">
        <v>0</v>
      </c>
      <c r="CG52" s="258">
        <v>5.9999999999999995E-4</v>
      </c>
      <c r="CH52" s="258">
        <v>0</v>
      </c>
      <c r="CI52" s="258">
        <v>3.2109999999999999</v>
      </c>
      <c r="CJ52" s="258"/>
      <c r="CK52" s="258"/>
      <c r="CL52" s="258"/>
      <c r="CM52" s="258"/>
    </row>
    <row r="53" spans="1:91" x14ac:dyDescent="0.25">
      <c r="A53" s="723"/>
      <c r="B53" s="723"/>
      <c r="D53" s="31">
        <f t="shared" si="41"/>
        <v>37575</v>
      </c>
      <c r="F53" s="28">
        <f t="shared" si="12"/>
        <v>15600</v>
      </c>
      <c r="G53" s="28">
        <f t="shared" si="13"/>
        <v>0</v>
      </c>
      <c r="H53" s="52">
        <f t="shared" si="14"/>
        <v>3.2540160642570277</v>
      </c>
      <c r="I53" s="52">
        <f t="shared" si="15"/>
        <v>3.2509999999999999</v>
      </c>
      <c r="K53" s="52">
        <f t="shared" si="42"/>
        <v>0</v>
      </c>
      <c r="L53" s="135">
        <f t="shared" si="43"/>
        <v>0</v>
      </c>
      <c r="N53" s="131">
        <f t="shared" si="44"/>
        <v>0.54</v>
      </c>
      <c r="O53" s="131">
        <f t="shared" si="45"/>
        <v>0.54</v>
      </c>
      <c r="P53" s="55">
        <f t="shared" si="46"/>
        <v>0</v>
      </c>
      <c r="Q53" s="135">
        <f>_xll.xSPRDOPT(I53,H53,AQ53,0,O53,N53,P53,D53-$G$5,1,0)*AH53*AU53</f>
        <v>0</v>
      </c>
      <c r="R53" s="135"/>
      <c r="S53" s="181">
        <f>_xll.xSPRDOPT(I53,H53,AQ53,AT53,O53,N53,P53,D53-$G$5,1,2)*AF53*(F53/(1-AR53))*AH53</f>
        <v>0</v>
      </c>
      <c r="T53" s="181">
        <f>_xll.xSPRDOPT(I53,H53,AQ53,AT53,O53,N53,P53,D53-$G$5,1,1)*AF53*F53*AH53</f>
        <v>0</v>
      </c>
      <c r="U53" s="135"/>
      <c r="V53" s="146">
        <f t="shared" si="16"/>
        <v>0</v>
      </c>
      <c r="W53" s="146"/>
      <c r="X53" s="338">
        <f t="shared" si="17"/>
        <v>0</v>
      </c>
      <c r="Y53" s="338">
        <f t="shared" si="18"/>
        <v>0</v>
      </c>
      <c r="Z53" s="338">
        <f t="shared" si="19"/>
        <v>0</v>
      </c>
      <c r="AA53" s="338">
        <f t="shared" si="20"/>
        <v>0</v>
      </c>
      <c r="AB53" s="338">
        <f t="shared" si="21"/>
        <v>0</v>
      </c>
      <c r="AC53" s="338">
        <f t="shared" si="22"/>
        <v>0</v>
      </c>
      <c r="AF53" s="138">
        <f t="shared" si="23"/>
        <v>0</v>
      </c>
      <c r="AG53" s="138">
        <f t="shared" si="24"/>
        <v>11</v>
      </c>
      <c r="AH53" s="138">
        <f t="shared" si="25"/>
        <v>0</v>
      </c>
      <c r="AI53" s="138">
        <f t="shared" si="47"/>
        <v>319</v>
      </c>
      <c r="AJ53" s="138">
        <f t="shared" si="26"/>
        <v>336</v>
      </c>
      <c r="AL53" s="136">
        <f t="shared" si="27"/>
        <v>3.2109999999999999</v>
      </c>
      <c r="AM53" s="258">
        <f t="shared" si="48"/>
        <v>0</v>
      </c>
      <c r="AN53" s="258">
        <f t="shared" si="28"/>
        <v>0.03</v>
      </c>
      <c r="AO53" s="258">
        <f t="shared" si="29"/>
        <v>0.04</v>
      </c>
      <c r="AP53" s="258">
        <f t="shared" si="30"/>
        <v>0</v>
      </c>
      <c r="AQ53" s="136">
        <f t="shared" si="31"/>
        <v>5.9999999999999995E-4</v>
      </c>
      <c r="AR53" s="137">
        <f t="shared" si="32"/>
        <v>4.0000000000000001E-3</v>
      </c>
      <c r="AS53" s="136">
        <f t="shared" si="49"/>
        <v>3.2409999999999997</v>
      </c>
      <c r="AT53" s="137">
        <f t="shared" si="33"/>
        <v>2.3274064967752799E-2</v>
      </c>
      <c r="AU53" s="137">
        <f t="shared" si="34"/>
        <v>0</v>
      </c>
      <c r="AV53" s="394">
        <f t="shared" si="50"/>
        <v>0</v>
      </c>
      <c r="AW53" s="137">
        <f t="shared" si="35"/>
        <v>0.54</v>
      </c>
      <c r="AX53" s="137">
        <f t="shared" si="36"/>
        <v>0.95</v>
      </c>
      <c r="AY53" s="137">
        <f t="shared" si="37"/>
        <v>0.85</v>
      </c>
      <c r="AZ53" s="137"/>
      <c r="BA53" s="264"/>
      <c r="BB53" s="258">
        <f t="shared" si="38"/>
        <v>0</v>
      </c>
      <c r="BC53" s="258">
        <f t="shared" si="39"/>
        <v>0</v>
      </c>
      <c r="BD53" s="137">
        <f t="shared" si="40"/>
        <v>0</v>
      </c>
      <c r="BE53" s="137">
        <f t="shared" si="40"/>
        <v>0</v>
      </c>
      <c r="BF53" s="137">
        <f>_xll.xSPRDOPT($BW53,$BV53,$CG53,0,$BY53,$BX53,$BZ53,$AJ53,1,4)*$CB53</f>
        <v>0</v>
      </c>
      <c r="BG53" s="137">
        <f>_xll.xSPRDOPT($BW53,$BV53,$CG53,0,$BY53,$BX53,$BZ53,$AJ53,1,3)*$CB53</f>
        <v>0</v>
      </c>
      <c r="BH53" s="137">
        <f>IF(OR(BF53&lt;&gt;0,BG53&lt;&gt;0),_xll.xSPRDOPT($BW53,$BV53,$CG53,0,$BY53,$BX53,$BZ53,$AJ53,1,12)*$CB53,0)</f>
        <v>0</v>
      </c>
      <c r="BI53" s="137">
        <f>_xll.xSPRDOPT($BW53,$BV53,$CG53,2*LN(1+CA53/2),$BY53,$BX53,$BZ53,$AJ53,1,9)</f>
        <v>-0.45187663113673437</v>
      </c>
      <c r="BJ53" s="137">
        <f>_xll.xSPRDOPT($BW53,$BV53,$CG53,0,$BY53,$BX53,$BZ53,$AJ53,1,6)*$CB53</f>
        <v>0</v>
      </c>
      <c r="BK53" s="137">
        <f>_xll.xSPRDOPT($BW53,$BV53,$CG53,0,$BY53,$BX53,$BZ53,$AJ53,1,5)*$CB53</f>
        <v>0</v>
      </c>
      <c r="BL53" s="137">
        <f>_xll.xSPRDOPT(BW53,BV53,CG53,0,BY53,BX53,BZ53,AJ53,1,2)*CB53</f>
        <v>0</v>
      </c>
      <c r="BM53" s="137">
        <f>_xll.xSPRDOPT(BW53,BV53,CG53,0,BY53,BX53,BZ53,AJ53,1,1)*CB53</f>
        <v>0</v>
      </c>
      <c r="BN53" s="137">
        <f>IF(AH53&lt;&gt;0,_xll.xSPRDOPT($BW53,$BV53,$CG53,2*LN(1+CA53/2),$BY53,$BX53,$BZ53,$AJ53,1,8)+(AJ53/365.25)*CH53/AH53,0)</f>
        <v>0</v>
      </c>
      <c r="BO53" s="137">
        <f>_xll.xSPRDOPT($BW53,$BV53,$CG53,0,$BY53,$BX53,$BZ53,$AJ53,1,0)</f>
        <v>0.92777993663970204</v>
      </c>
      <c r="BP53" s="137"/>
      <c r="BQ53" s="137"/>
      <c r="BR53" s="137"/>
      <c r="BS53" s="137"/>
      <c r="BV53" s="262">
        <v>3.2540160642570277</v>
      </c>
      <c r="BW53" s="136">
        <v>3.2509999999999999</v>
      </c>
      <c r="BX53" s="137">
        <v>0.54</v>
      </c>
      <c r="BY53" s="137">
        <v>0.54</v>
      </c>
      <c r="BZ53" s="137">
        <v>0</v>
      </c>
      <c r="CA53" s="137">
        <v>2.3274064967752799E-2</v>
      </c>
      <c r="CB53" s="137">
        <v>0</v>
      </c>
      <c r="CC53" s="258">
        <v>0</v>
      </c>
      <c r="CD53" s="258">
        <v>0.03</v>
      </c>
      <c r="CE53" s="258">
        <v>0.04</v>
      </c>
      <c r="CF53" s="258">
        <v>0</v>
      </c>
      <c r="CG53" s="258">
        <v>5.9999999999999995E-4</v>
      </c>
      <c r="CH53" s="258">
        <v>0</v>
      </c>
      <c r="CI53" s="258">
        <v>3.2109999999999999</v>
      </c>
      <c r="CJ53" s="258"/>
      <c r="CK53" s="258"/>
      <c r="CL53" s="258"/>
      <c r="CM53" s="258"/>
    </row>
    <row r="54" spans="1:91" x14ac:dyDescent="0.25">
      <c r="A54" s="723"/>
      <c r="B54" s="723"/>
      <c r="D54" s="31">
        <f t="shared" si="41"/>
        <v>37575</v>
      </c>
      <c r="F54" s="28">
        <f t="shared" si="12"/>
        <v>15600</v>
      </c>
      <c r="G54" s="28">
        <f t="shared" si="13"/>
        <v>0</v>
      </c>
      <c r="H54" s="52">
        <f t="shared" si="14"/>
        <v>3.2540160642570277</v>
      </c>
      <c r="I54" s="52">
        <f t="shared" si="15"/>
        <v>3.2509999999999999</v>
      </c>
      <c r="K54" s="52">
        <f t="shared" si="42"/>
        <v>0</v>
      </c>
      <c r="L54" s="135">
        <f t="shared" si="43"/>
        <v>0</v>
      </c>
      <c r="N54" s="131">
        <f t="shared" si="44"/>
        <v>0.54</v>
      </c>
      <c r="O54" s="131">
        <f t="shared" si="45"/>
        <v>0.54</v>
      </c>
      <c r="P54" s="55">
        <f t="shared" si="46"/>
        <v>0</v>
      </c>
      <c r="Q54" s="135">
        <f>_xll.xSPRDOPT(I54,H54,AQ54,0,O54,N54,P54,D54-$G$5,1,0)*AH54*AU54</f>
        <v>0</v>
      </c>
      <c r="R54" s="135"/>
      <c r="S54" s="181">
        <f>_xll.xSPRDOPT(I54,H54,AQ54,AT54,O54,N54,P54,D54-$G$5,1,2)*AF54*(F54/(1-AR54))*AH54</f>
        <v>0</v>
      </c>
      <c r="T54" s="181">
        <f>_xll.xSPRDOPT(I54,H54,AQ54,AT54,O54,N54,P54,D54-$G$5,1,1)*AF54*F54*AH54</f>
        <v>0</v>
      </c>
      <c r="U54" s="135"/>
      <c r="V54" s="146">
        <f t="shared" si="16"/>
        <v>0</v>
      </c>
      <c r="W54" s="146"/>
      <c r="X54" s="338">
        <f t="shared" si="17"/>
        <v>0</v>
      </c>
      <c r="Y54" s="338">
        <f t="shared" si="18"/>
        <v>0</v>
      </c>
      <c r="Z54" s="338">
        <f t="shared" si="19"/>
        <v>0</v>
      </c>
      <c r="AA54" s="338">
        <f t="shared" si="20"/>
        <v>0</v>
      </c>
      <c r="AB54" s="338">
        <f t="shared" si="21"/>
        <v>0</v>
      </c>
      <c r="AC54" s="338">
        <f t="shared" si="22"/>
        <v>0</v>
      </c>
      <c r="AF54" s="138">
        <f t="shared" si="23"/>
        <v>0</v>
      </c>
      <c r="AG54" s="138">
        <f t="shared" si="24"/>
        <v>11</v>
      </c>
      <c r="AH54" s="138">
        <f t="shared" ref="AH54:AH85" si="51">(EOMONTH(D54,0)-EOMONTH(D54-DAY(D54),0))*AF54</f>
        <v>0</v>
      </c>
      <c r="AI54" s="138">
        <f t="shared" si="47"/>
        <v>319</v>
      </c>
      <c r="AJ54" s="138">
        <f t="shared" si="26"/>
        <v>336</v>
      </c>
      <c r="AL54" s="136">
        <f t="shared" si="27"/>
        <v>3.2109999999999999</v>
      </c>
      <c r="AM54" s="258">
        <f t="shared" si="48"/>
        <v>0</v>
      </c>
      <c r="AN54" s="258">
        <f t="shared" si="28"/>
        <v>0.03</v>
      </c>
      <c r="AO54" s="258">
        <f t="shared" si="29"/>
        <v>0.04</v>
      </c>
      <c r="AP54" s="258">
        <f t="shared" si="30"/>
        <v>0</v>
      </c>
      <c r="AQ54" s="136">
        <f t="shared" si="31"/>
        <v>5.9999999999999995E-4</v>
      </c>
      <c r="AR54" s="137">
        <f t="shared" si="32"/>
        <v>4.0000000000000001E-3</v>
      </c>
      <c r="AS54" s="136">
        <f t="shared" si="49"/>
        <v>3.2409999999999997</v>
      </c>
      <c r="AT54" s="137">
        <f t="shared" si="33"/>
        <v>2.3274064967752799E-2</v>
      </c>
      <c r="AU54" s="137">
        <f t="shared" si="34"/>
        <v>0</v>
      </c>
      <c r="AV54" s="394">
        <f t="shared" si="50"/>
        <v>0</v>
      </c>
      <c r="AW54" s="137">
        <f t="shared" si="35"/>
        <v>0.54</v>
      </c>
      <c r="AX54" s="137">
        <f t="shared" si="36"/>
        <v>0.95</v>
      </c>
      <c r="AY54" s="137">
        <f t="shared" si="37"/>
        <v>0.85</v>
      </c>
      <c r="AZ54" s="137"/>
      <c r="BA54" s="264"/>
      <c r="BB54" s="258">
        <f t="shared" si="38"/>
        <v>0</v>
      </c>
      <c r="BC54" s="258">
        <f t="shared" si="39"/>
        <v>0</v>
      </c>
      <c r="BD54" s="137">
        <f t="shared" ref="BD54:BE85" si="52">N54-BX54</f>
        <v>0</v>
      </c>
      <c r="BE54" s="137">
        <f t="shared" si="52"/>
        <v>0</v>
      </c>
      <c r="BF54" s="137">
        <f>_xll.xSPRDOPT($BW54,$BV54,$CG54,0,$BY54,$BX54,$BZ54,$AJ54,1,4)*$CB54</f>
        <v>0</v>
      </c>
      <c r="BG54" s="137">
        <f>_xll.xSPRDOPT($BW54,$BV54,$CG54,0,$BY54,$BX54,$BZ54,$AJ54,1,3)*$CB54</f>
        <v>0</v>
      </c>
      <c r="BH54" s="137">
        <f>IF(OR(BF54&lt;&gt;0,BG54&lt;&gt;0),_xll.xSPRDOPT($BW54,$BV54,$CG54,0,$BY54,$BX54,$BZ54,$AJ54,1,12)*$CB54,0)</f>
        <v>0</v>
      </c>
      <c r="BI54" s="137">
        <f>_xll.xSPRDOPT($BW54,$BV54,$CG54,2*LN(1+CA54/2),$BY54,$BX54,$BZ54,$AJ54,1,9)</f>
        <v>-0.45187663113673437</v>
      </c>
      <c r="BJ54" s="137">
        <f>_xll.xSPRDOPT($BW54,$BV54,$CG54,0,$BY54,$BX54,$BZ54,$AJ54,1,6)*$CB54</f>
        <v>0</v>
      </c>
      <c r="BK54" s="137">
        <f>_xll.xSPRDOPT($BW54,$BV54,$CG54,0,$BY54,$BX54,$BZ54,$AJ54,1,5)*$CB54</f>
        <v>0</v>
      </c>
      <c r="BL54" s="137">
        <f>_xll.xSPRDOPT(BW54,BV54,CG54,0,BY54,BX54,BZ54,AJ54,1,2)*CB54</f>
        <v>0</v>
      </c>
      <c r="BM54" s="137">
        <f>_xll.xSPRDOPT(BW54,BV54,CG54,0,BY54,BX54,BZ54,AJ54,1,1)*CB54</f>
        <v>0</v>
      </c>
      <c r="BN54" s="137">
        <f>IF(AH54&lt;&gt;0,_xll.xSPRDOPT($BW54,$BV54,$CG54,2*LN(1+CA54/2),$BY54,$BX54,$BZ54,$AJ54,1,8)+(AJ54/365.25)*CH54/AH54,0)</f>
        <v>0</v>
      </c>
      <c r="BO54" s="137">
        <f>_xll.xSPRDOPT($BW54,$BV54,$CG54,0,$BY54,$BX54,$BZ54,$AJ54,1,0)</f>
        <v>0.92777993663970204</v>
      </c>
      <c r="BP54" s="137"/>
      <c r="BQ54" s="137"/>
      <c r="BR54" s="137"/>
      <c r="BS54" s="137"/>
      <c r="BV54" s="262">
        <v>3.2540160642570277</v>
      </c>
      <c r="BW54" s="136">
        <v>3.2509999999999999</v>
      </c>
      <c r="BX54" s="137">
        <v>0.54</v>
      </c>
      <c r="BY54" s="137">
        <v>0.54</v>
      </c>
      <c r="BZ54" s="137">
        <v>0</v>
      </c>
      <c r="CA54" s="137">
        <v>2.3274064967752799E-2</v>
      </c>
      <c r="CB54" s="137">
        <v>0</v>
      </c>
      <c r="CC54" s="258">
        <v>0</v>
      </c>
      <c r="CD54" s="258">
        <v>0.03</v>
      </c>
      <c r="CE54" s="258">
        <v>0.04</v>
      </c>
      <c r="CF54" s="258">
        <v>0</v>
      </c>
      <c r="CG54" s="258">
        <v>5.9999999999999995E-4</v>
      </c>
      <c r="CH54" s="258">
        <v>0</v>
      </c>
      <c r="CI54" s="258">
        <v>3.2109999999999999</v>
      </c>
      <c r="CJ54" s="258"/>
      <c r="CK54" s="258"/>
      <c r="CL54" s="258"/>
      <c r="CM54" s="258"/>
    </row>
    <row r="55" spans="1:91" x14ac:dyDescent="0.25">
      <c r="A55" s="723"/>
      <c r="B55" s="723"/>
      <c r="D55" s="31">
        <f t="shared" si="41"/>
        <v>37575</v>
      </c>
      <c r="F55" s="28">
        <f t="shared" si="12"/>
        <v>15600</v>
      </c>
      <c r="G55" s="28">
        <f t="shared" si="13"/>
        <v>0</v>
      </c>
      <c r="H55" s="52">
        <f t="shared" si="14"/>
        <v>3.2540160642570277</v>
      </c>
      <c r="I55" s="52">
        <f t="shared" si="15"/>
        <v>3.2509999999999999</v>
      </c>
      <c r="K55" s="52">
        <f t="shared" si="42"/>
        <v>0</v>
      </c>
      <c r="L55" s="135">
        <f t="shared" si="43"/>
        <v>0</v>
      </c>
      <c r="N55" s="131">
        <f t="shared" si="44"/>
        <v>0.54</v>
      </c>
      <c r="O55" s="131">
        <f t="shared" si="45"/>
        <v>0.54</v>
      </c>
      <c r="P55" s="55">
        <f t="shared" si="46"/>
        <v>0</v>
      </c>
      <c r="Q55" s="135">
        <f>_xll.xSPRDOPT(I55,H55,AQ55,0,O55,N55,P55,D55-$G$5,1,0)*AH55*AU55</f>
        <v>0</v>
      </c>
      <c r="R55" s="135"/>
      <c r="S55" s="181">
        <f>_xll.xSPRDOPT(I55,H55,AQ55,AT55,O55,N55,P55,D55-$G$5,1,2)*AF55*(F55/(1-AR55))*AH55</f>
        <v>0</v>
      </c>
      <c r="T55" s="181">
        <f>_xll.xSPRDOPT(I55,H55,AQ55,AT55,O55,N55,P55,D55-$G$5,1,1)*AF55*F55*AH55</f>
        <v>0</v>
      </c>
      <c r="U55" s="135"/>
      <c r="V55" s="146">
        <f t="shared" si="16"/>
        <v>0</v>
      </c>
      <c r="W55" s="146"/>
      <c r="X55" s="338">
        <f t="shared" si="17"/>
        <v>0</v>
      </c>
      <c r="Y55" s="338">
        <f t="shared" si="18"/>
        <v>0</v>
      </c>
      <c r="Z55" s="338">
        <f t="shared" si="19"/>
        <v>0</v>
      </c>
      <c r="AA55" s="338">
        <f t="shared" si="20"/>
        <v>0</v>
      </c>
      <c r="AB55" s="338">
        <f t="shared" si="21"/>
        <v>0</v>
      </c>
      <c r="AC55" s="338">
        <f t="shared" si="22"/>
        <v>0</v>
      </c>
      <c r="AF55" s="138">
        <f t="shared" si="23"/>
        <v>0</v>
      </c>
      <c r="AG55" s="138">
        <f t="shared" si="24"/>
        <v>11</v>
      </c>
      <c r="AH55" s="138">
        <f t="shared" si="51"/>
        <v>0</v>
      </c>
      <c r="AI55" s="138">
        <f t="shared" si="47"/>
        <v>319</v>
      </c>
      <c r="AJ55" s="138">
        <f t="shared" si="26"/>
        <v>336</v>
      </c>
      <c r="AL55" s="136">
        <f t="shared" si="27"/>
        <v>3.2109999999999999</v>
      </c>
      <c r="AM55" s="258">
        <f t="shared" si="48"/>
        <v>0</v>
      </c>
      <c r="AN55" s="258">
        <f t="shared" si="28"/>
        <v>0.03</v>
      </c>
      <c r="AO55" s="258">
        <f t="shared" si="29"/>
        <v>0.04</v>
      </c>
      <c r="AP55" s="258">
        <f t="shared" si="30"/>
        <v>0</v>
      </c>
      <c r="AQ55" s="136">
        <f t="shared" si="31"/>
        <v>5.9999999999999995E-4</v>
      </c>
      <c r="AR55" s="137">
        <f t="shared" si="32"/>
        <v>4.0000000000000001E-3</v>
      </c>
      <c r="AS55" s="136">
        <f t="shared" si="49"/>
        <v>3.2409999999999997</v>
      </c>
      <c r="AT55" s="137">
        <f t="shared" si="33"/>
        <v>2.3274064967752799E-2</v>
      </c>
      <c r="AU55" s="137">
        <f t="shared" si="34"/>
        <v>0</v>
      </c>
      <c r="AV55" s="394">
        <f t="shared" si="50"/>
        <v>0</v>
      </c>
      <c r="AW55" s="137">
        <f t="shared" si="35"/>
        <v>0.54</v>
      </c>
      <c r="AX55" s="137">
        <f t="shared" si="36"/>
        <v>0.95</v>
      </c>
      <c r="AY55" s="137">
        <f t="shared" si="37"/>
        <v>0.85</v>
      </c>
      <c r="AZ55" s="137"/>
      <c r="BA55" s="264"/>
      <c r="BB55" s="258">
        <f t="shared" si="38"/>
        <v>0</v>
      </c>
      <c r="BC55" s="258">
        <f t="shared" si="39"/>
        <v>0</v>
      </c>
      <c r="BD55" s="137">
        <f t="shared" si="52"/>
        <v>0</v>
      </c>
      <c r="BE55" s="137">
        <f t="shared" si="52"/>
        <v>0</v>
      </c>
      <c r="BF55" s="137">
        <f>_xll.xSPRDOPT($BW55,$BV55,$CG55,0,$BY55,$BX55,$BZ55,$AJ55,1,4)*$CB55</f>
        <v>0</v>
      </c>
      <c r="BG55" s="137">
        <f>_xll.xSPRDOPT($BW55,$BV55,$CG55,0,$BY55,$BX55,$BZ55,$AJ55,1,3)*$CB55</f>
        <v>0</v>
      </c>
      <c r="BH55" s="137">
        <f>IF(OR(BF55&lt;&gt;0,BG55&lt;&gt;0),_xll.xSPRDOPT($BW55,$BV55,$CG55,0,$BY55,$BX55,$BZ55,$AJ55,1,12)*$CB55,0)</f>
        <v>0</v>
      </c>
      <c r="BI55" s="137">
        <f>_xll.xSPRDOPT($BW55,$BV55,$CG55,2*LN(1+CA55/2),$BY55,$BX55,$BZ55,$AJ55,1,9)</f>
        <v>-0.45187663113673437</v>
      </c>
      <c r="BJ55" s="137">
        <f>_xll.xSPRDOPT($BW55,$BV55,$CG55,0,$BY55,$BX55,$BZ55,$AJ55,1,6)*$CB55</f>
        <v>0</v>
      </c>
      <c r="BK55" s="137">
        <f>_xll.xSPRDOPT($BW55,$BV55,$CG55,0,$BY55,$BX55,$BZ55,$AJ55,1,5)*$CB55</f>
        <v>0</v>
      </c>
      <c r="BL55" s="137">
        <f>_xll.xSPRDOPT(BW55,BV55,CG55,0,BY55,BX55,BZ55,AJ55,1,2)*CB55</f>
        <v>0</v>
      </c>
      <c r="BM55" s="137">
        <f>_xll.xSPRDOPT(BW55,BV55,CG55,0,BY55,BX55,BZ55,AJ55,1,1)*CB55</f>
        <v>0</v>
      </c>
      <c r="BN55" s="137">
        <f>IF(AH55&lt;&gt;0,_xll.xSPRDOPT($BW55,$BV55,$CG55,2*LN(1+CA55/2),$BY55,$BX55,$BZ55,$AJ55,1,8)+(AJ55/365.25)*CH55/AH55,0)</f>
        <v>0</v>
      </c>
      <c r="BO55" s="137">
        <f>_xll.xSPRDOPT($BW55,$BV55,$CG55,0,$BY55,$BX55,$BZ55,$AJ55,1,0)</f>
        <v>0.92777993663970204</v>
      </c>
      <c r="BP55" s="137"/>
      <c r="BQ55" s="137"/>
      <c r="BR55" s="137"/>
      <c r="BS55" s="137"/>
      <c r="BV55" s="262">
        <v>3.2540160642570277</v>
      </c>
      <c r="BW55" s="136">
        <v>3.2509999999999999</v>
      </c>
      <c r="BX55" s="137">
        <v>0.54</v>
      </c>
      <c r="BY55" s="137">
        <v>0.54</v>
      </c>
      <c r="BZ55" s="137">
        <v>0</v>
      </c>
      <c r="CA55" s="137">
        <v>2.3274064967752799E-2</v>
      </c>
      <c r="CB55" s="137">
        <v>0</v>
      </c>
      <c r="CC55" s="258">
        <v>0</v>
      </c>
      <c r="CD55" s="258">
        <v>0.03</v>
      </c>
      <c r="CE55" s="258">
        <v>0.04</v>
      </c>
      <c r="CF55" s="258">
        <v>0</v>
      </c>
      <c r="CG55" s="258">
        <v>5.9999999999999995E-4</v>
      </c>
      <c r="CH55" s="258">
        <v>0</v>
      </c>
      <c r="CI55" s="258">
        <v>3.2109999999999999</v>
      </c>
      <c r="CJ55" s="258"/>
      <c r="CK55" s="258"/>
      <c r="CL55" s="258"/>
      <c r="CM55" s="258"/>
    </row>
    <row r="56" spans="1:91" x14ac:dyDescent="0.25">
      <c r="A56" s="723"/>
      <c r="B56" s="723"/>
      <c r="D56" s="31">
        <f t="shared" si="41"/>
        <v>37575</v>
      </c>
      <c r="F56" s="28">
        <f t="shared" si="12"/>
        <v>15600</v>
      </c>
      <c r="G56" s="28">
        <f t="shared" si="13"/>
        <v>0</v>
      </c>
      <c r="H56" s="52">
        <f t="shared" si="14"/>
        <v>3.2540160642570277</v>
      </c>
      <c r="I56" s="52">
        <f t="shared" si="15"/>
        <v>3.2509999999999999</v>
      </c>
      <c r="K56" s="52">
        <f t="shared" si="42"/>
        <v>0</v>
      </c>
      <c r="L56" s="135">
        <f t="shared" si="43"/>
        <v>0</v>
      </c>
      <c r="N56" s="131">
        <f t="shared" si="44"/>
        <v>0.54</v>
      </c>
      <c r="O56" s="131">
        <f t="shared" si="45"/>
        <v>0.54</v>
      </c>
      <c r="P56" s="55">
        <f t="shared" si="46"/>
        <v>0</v>
      </c>
      <c r="Q56" s="135">
        <f>_xll.xSPRDOPT(I56,H56,AQ56,0,O56,N56,P56,D56-$G$5,1,0)*AH56*AU56</f>
        <v>0</v>
      </c>
      <c r="R56" s="135"/>
      <c r="S56" s="181">
        <f>_xll.xSPRDOPT(I56,H56,AQ56,AT56,O56,N56,P56,D56-$G$5,1,2)*AF56*(F56/(1-AR56))*AH56</f>
        <v>0</v>
      </c>
      <c r="T56" s="181">
        <f>_xll.xSPRDOPT(I56,H56,AQ56,AT56,O56,N56,P56,D56-$G$5,1,1)*AF56*F56*AH56</f>
        <v>0</v>
      </c>
      <c r="U56" s="135"/>
      <c r="V56" s="146">
        <f t="shared" si="16"/>
        <v>0</v>
      </c>
      <c r="W56" s="146"/>
      <c r="X56" s="338">
        <f t="shared" si="17"/>
        <v>0</v>
      </c>
      <c r="Y56" s="338">
        <f t="shared" si="18"/>
        <v>0</v>
      </c>
      <c r="Z56" s="338">
        <f t="shared" si="19"/>
        <v>0</v>
      </c>
      <c r="AA56" s="338">
        <f t="shared" si="20"/>
        <v>0</v>
      </c>
      <c r="AB56" s="338">
        <f t="shared" si="21"/>
        <v>0</v>
      </c>
      <c r="AC56" s="338">
        <f t="shared" si="22"/>
        <v>0</v>
      </c>
      <c r="AF56" s="138">
        <f t="shared" si="23"/>
        <v>0</v>
      </c>
      <c r="AG56" s="138">
        <f t="shared" si="24"/>
        <v>11</v>
      </c>
      <c r="AH56" s="138">
        <f t="shared" si="51"/>
        <v>0</v>
      </c>
      <c r="AI56" s="138">
        <f t="shared" si="47"/>
        <v>319</v>
      </c>
      <c r="AJ56" s="138">
        <f t="shared" si="26"/>
        <v>336</v>
      </c>
      <c r="AL56" s="136">
        <f t="shared" si="27"/>
        <v>3.2109999999999999</v>
      </c>
      <c r="AM56" s="258">
        <f t="shared" si="48"/>
        <v>0</v>
      </c>
      <c r="AN56" s="258">
        <f t="shared" si="28"/>
        <v>0.03</v>
      </c>
      <c r="AO56" s="258">
        <f t="shared" si="29"/>
        <v>0.04</v>
      </c>
      <c r="AP56" s="258">
        <f t="shared" si="30"/>
        <v>0</v>
      </c>
      <c r="AQ56" s="136">
        <f t="shared" si="31"/>
        <v>5.9999999999999995E-4</v>
      </c>
      <c r="AR56" s="137">
        <f t="shared" si="32"/>
        <v>4.0000000000000001E-3</v>
      </c>
      <c r="AS56" s="136">
        <f t="shared" si="49"/>
        <v>3.2409999999999997</v>
      </c>
      <c r="AT56" s="137">
        <f t="shared" si="33"/>
        <v>2.3274064967752799E-2</v>
      </c>
      <c r="AU56" s="137">
        <f t="shared" si="34"/>
        <v>0</v>
      </c>
      <c r="AV56" s="394">
        <f t="shared" si="50"/>
        <v>0</v>
      </c>
      <c r="AW56" s="137">
        <f t="shared" si="35"/>
        <v>0.54</v>
      </c>
      <c r="AX56" s="137">
        <f t="shared" si="36"/>
        <v>0.95</v>
      </c>
      <c r="AY56" s="137">
        <f t="shared" si="37"/>
        <v>0.85</v>
      </c>
      <c r="AZ56" s="137"/>
      <c r="BA56" s="264"/>
      <c r="BB56" s="258">
        <f t="shared" si="38"/>
        <v>0</v>
      </c>
      <c r="BC56" s="258">
        <f t="shared" si="39"/>
        <v>0</v>
      </c>
      <c r="BD56" s="137">
        <f t="shared" si="52"/>
        <v>0</v>
      </c>
      <c r="BE56" s="137">
        <f t="shared" si="52"/>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-0.45187663113673437</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0.92777993663970204</v>
      </c>
      <c r="BP56" s="137"/>
      <c r="BQ56" s="137"/>
      <c r="BR56" s="137"/>
      <c r="BS56" s="137"/>
      <c r="BV56" s="262">
        <v>3.2540160642570277</v>
      </c>
      <c r="BW56" s="136">
        <v>3.2509999999999999</v>
      </c>
      <c r="BX56" s="137">
        <v>0.54</v>
      </c>
      <c r="BY56" s="137">
        <v>0.54</v>
      </c>
      <c r="BZ56" s="137">
        <v>0</v>
      </c>
      <c r="CA56" s="137">
        <v>2.3274064967752799E-2</v>
      </c>
      <c r="CB56" s="137">
        <v>0</v>
      </c>
      <c r="CC56" s="258">
        <v>0</v>
      </c>
      <c r="CD56" s="258">
        <v>0.03</v>
      </c>
      <c r="CE56" s="258">
        <v>0.04</v>
      </c>
      <c r="CF56" s="258">
        <v>0</v>
      </c>
      <c r="CG56" s="258">
        <v>5.9999999999999995E-4</v>
      </c>
      <c r="CH56" s="258">
        <v>0</v>
      </c>
      <c r="CI56" s="258">
        <v>3.2109999999999999</v>
      </c>
      <c r="CJ56" s="258"/>
      <c r="CK56" s="258"/>
      <c r="CL56" s="258"/>
      <c r="CM56" s="258"/>
    </row>
    <row r="57" spans="1:91" x14ac:dyDescent="0.25">
      <c r="A57" s="723"/>
      <c r="B57" s="723"/>
      <c r="D57" s="31">
        <f t="shared" si="41"/>
        <v>37575</v>
      </c>
      <c r="F57" s="28">
        <f t="shared" si="12"/>
        <v>15600</v>
      </c>
      <c r="G57" s="28">
        <f t="shared" si="13"/>
        <v>0</v>
      </c>
      <c r="H57" s="52">
        <f t="shared" si="14"/>
        <v>3.2540160642570277</v>
      </c>
      <c r="I57" s="52">
        <f t="shared" si="15"/>
        <v>3.2509999999999999</v>
      </c>
      <c r="K57" s="52">
        <f t="shared" si="42"/>
        <v>0</v>
      </c>
      <c r="L57" s="135">
        <f t="shared" si="43"/>
        <v>0</v>
      </c>
      <c r="N57" s="131">
        <f t="shared" si="44"/>
        <v>0.54</v>
      </c>
      <c r="O57" s="131">
        <f t="shared" si="45"/>
        <v>0.54</v>
      </c>
      <c r="P57" s="55">
        <f t="shared" si="46"/>
        <v>0</v>
      </c>
      <c r="Q57" s="135">
        <f>_xll.xSPRDOPT(I57,H57,AQ57,0,O57,N57,P57,D57-$G$5,1,0)*AH57*AU57</f>
        <v>0</v>
      </c>
      <c r="R57" s="135"/>
      <c r="S57" s="181">
        <f>_xll.xSPRDOPT(I57,H57,AQ57,AT57,O57,N57,P57,D57-$G$5,1,2)*AF57*(F57/(1-AR57))*AH57</f>
        <v>0</v>
      </c>
      <c r="T57" s="181">
        <f>_xll.xSPRDOPT(I57,H57,AQ57,AT57,O57,N57,P57,D57-$G$5,1,1)*AF57*F57*AH57</f>
        <v>0</v>
      </c>
      <c r="U57" s="135"/>
      <c r="V57" s="146">
        <f t="shared" si="16"/>
        <v>0</v>
      </c>
      <c r="W57" s="146"/>
      <c r="X57" s="338">
        <f t="shared" si="17"/>
        <v>0</v>
      </c>
      <c r="Y57" s="338">
        <f t="shared" si="18"/>
        <v>0</v>
      </c>
      <c r="Z57" s="338">
        <f t="shared" si="19"/>
        <v>0</v>
      </c>
      <c r="AA57" s="338">
        <f t="shared" si="20"/>
        <v>0</v>
      </c>
      <c r="AB57" s="338">
        <f t="shared" si="21"/>
        <v>0</v>
      </c>
      <c r="AC57" s="338">
        <f t="shared" si="22"/>
        <v>0</v>
      </c>
      <c r="AF57" s="138">
        <f t="shared" si="23"/>
        <v>0</v>
      </c>
      <c r="AG57" s="138">
        <f t="shared" si="24"/>
        <v>11</v>
      </c>
      <c r="AH57" s="138">
        <f t="shared" si="51"/>
        <v>0</v>
      </c>
      <c r="AI57" s="138">
        <f t="shared" si="47"/>
        <v>319</v>
      </c>
      <c r="AJ57" s="138">
        <f t="shared" si="26"/>
        <v>336</v>
      </c>
      <c r="AL57" s="136">
        <f t="shared" si="27"/>
        <v>3.2109999999999999</v>
      </c>
      <c r="AM57" s="258">
        <f t="shared" si="48"/>
        <v>0</v>
      </c>
      <c r="AN57" s="258">
        <f t="shared" si="28"/>
        <v>0.03</v>
      </c>
      <c r="AO57" s="258">
        <f t="shared" si="29"/>
        <v>0.04</v>
      </c>
      <c r="AP57" s="258">
        <f t="shared" si="30"/>
        <v>0</v>
      </c>
      <c r="AQ57" s="136">
        <f t="shared" si="31"/>
        <v>5.9999999999999995E-4</v>
      </c>
      <c r="AR57" s="137">
        <f t="shared" si="32"/>
        <v>4.0000000000000001E-3</v>
      </c>
      <c r="AS57" s="136">
        <f t="shared" si="49"/>
        <v>3.2409999999999997</v>
      </c>
      <c r="AT57" s="137">
        <f t="shared" si="33"/>
        <v>2.3274064967752799E-2</v>
      </c>
      <c r="AU57" s="137">
        <f t="shared" si="34"/>
        <v>0</v>
      </c>
      <c r="AV57" s="394">
        <f t="shared" si="50"/>
        <v>0</v>
      </c>
      <c r="AW57" s="137">
        <f t="shared" si="35"/>
        <v>0.54</v>
      </c>
      <c r="AX57" s="137">
        <f t="shared" si="36"/>
        <v>0.95</v>
      </c>
      <c r="AY57" s="137">
        <f t="shared" si="37"/>
        <v>0.85</v>
      </c>
      <c r="AZ57" s="137"/>
      <c r="BA57" s="264"/>
      <c r="BB57" s="258">
        <f t="shared" si="38"/>
        <v>0</v>
      </c>
      <c r="BC57" s="258">
        <f t="shared" si="39"/>
        <v>0</v>
      </c>
      <c r="BD57" s="137">
        <f t="shared" si="52"/>
        <v>0</v>
      </c>
      <c r="BE57" s="137">
        <f t="shared" si="52"/>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-0.45187663113673437</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0.92777993663970204</v>
      </c>
      <c r="BP57" s="137"/>
      <c r="BQ57" s="137"/>
      <c r="BR57" s="137"/>
      <c r="BS57" s="137"/>
      <c r="BV57" s="262">
        <v>3.2540160642570277</v>
      </c>
      <c r="BW57" s="136">
        <v>3.2509999999999999</v>
      </c>
      <c r="BX57" s="137">
        <v>0.54</v>
      </c>
      <c r="BY57" s="137">
        <v>0.54</v>
      </c>
      <c r="BZ57" s="137">
        <v>0</v>
      </c>
      <c r="CA57" s="137">
        <v>2.3274064967752799E-2</v>
      </c>
      <c r="CB57" s="137">
        <v>0</v>
      </c>
      <c r="CC57" s="258">
        <v>0</v>
      </c>
      <c r="CD57" s="258">
        <v>0.03</v>
      </c>
      <c r="CE57" s="258">
        <v>0.04</v>
      </c>
      <c r="CF57" s="258">
        <v>0</v>
      </c>
      <c r="CG57" s="258">
        <v>5.9999999999999995E-4</v>
      </c>
      <c r="CH57" s="258">
        <v>0</v>
      </c>
      <c r="CI57" s="258">
        <v>3.2109999999999999</v>
      </c>
      <c r="CJ57" s="258"/>
      <c r="CK57" s="258"/>
      <c r="CL57" s="258"/>
      <c r="CM57" s="258"/>
    </row>
    <row r="58" spans="1:91" x14ac:dyDescent="0.25">
      <c r="A58" s="723"/>
      <c r="B58" s="723"/>
      <c r="D58" s="31">
        <f t="shared" si="41"/>
        <v>37575</v>
      </c>
      <c r="F58" s="28">
        <f t="shared" si="12"/>
        <v>15600</v>
      </c>
      <c r="G58" s="28">
        <f t="shared" si="13"/>
        <v>0</v>
      </c>
      <c r="H58" s="52">
        <f t="shared" si="14"/>
        <v>3.2540160642570277</v>
      </c>
      <c r="I58" s="52">
        <f t="shared" si="15"/>
        <v>3.2509999999999999</v>
      </c>
      <c r="K58" s="52">
        <f t="shared" si="42"/>
        <v>0</v>
      </c>
      <c r="L58" s="135">
        <f t="shared" si="43"/>
        <v>0</v>
      </c>
      <c r="N58" s="131">
        <f t="shared" si="44"/>
        <v>0.54</v>
      </c>
      <c r="O58" s="131">
        <f t="shared" si="45"/>
        <v>0.54</v>
      </c>
      <c r="P58" s="55">
        <f t="shared" si="46"/>
        <v>0</v>
      </c>
      <c r="Q58" s="135">
        <f>_xll.xSPRDOPT(I58,H58,AQ58,0,O58,N58,P58,D58-$G$5,1,0)*AH58*AU58</f>
        <v>0</v>
      </c>
      <c r="R58" s="135"/>
      <c r="S58" s="181">
        <f>_xll.xSPRDOPT(I58,H58,AQ58,AT58,O58,N58,P58,D58-$G$5,1,2)*AF58*(F58/(1-AR58))*AH58</f>
        <v>0</v>
      </c>
      <c r="T58" s="181">
        <f>_xll.xSPRDOPT(I58,H58,AQ58,AT58,O58,N58,P58,D58-$G$5,1,1)*AF58*F58*AH58</f>
        <v>0</v>
      </c>
      <c r="U58" s="135"/>
      <c r="V58" s="146">
        <f t="shared" si="16"/>
        <v>0</v>
      </c>
      <c r="W58" s="146"/>
      <c r="X58" s="338">
        <f t="shared" si="17"/>
        <v>0</v>
      </c>
      <c r="Y58" s="338">
        <f t="shared" si="18"/>
        <v>0</v>
      </c>
      <c r="Z58" s="338">
        <f t="shared" si="19"/>
        <v>0</v>
      </c>
      <c r="AA58" s="338">
        <f t="shared" si="20"/>
        <v>0</v>
      </c>
      <c r="AB58" s="338">
        <f t="shared" si="21"/>
        <v>0</v>
      </c>
      <c r="AC58" s="338">
        <f t="shared" si="22"/>
        <v>0</v>
      </c>
      <c r="AF58" s="138">
        <f t="shared" si="23"/>
        <v>0</v>
      </c>
      <c r="AG58" s="138">
        <f t="shared" si="24"/>
        <v>11</v>
      </c>
      <c r="AH58" s="138">
        <f t="shared" si="51"/>
        <v>0</v>
      </c>
      <c r="AI58" s="138">
        <f t="shared" si="47"/>
        <v>319</v>
      </c>
      <c r="AJ58" s="138">
        <f t="shared" si="26"/>
        <v>336</v>
      </c>
      <c r="AL58" s="136">
        <f t="shared" si="27"/>
        <v>3.2109999999999999</v>
      </c>
      <c r="AM58" s="258">
        <f t="shared" si="48"/>
        <v>0</v>
      </c>
      <c r="AN58" s="258">
        <f t="shared" si="28"/>
        <v>0.03</v>
      </c>
      <c r="AO58" s="258">
        <f t="shared" si="29"/>
        <v>0.04</v>
      </c>
      <c r="AP58" s="258">
        <f t="shared" si="30"/>
        <v>0</v>
      </c>
      <c r="AQ58" s="136">
        <f t="shared" si="31"/>
        <v>5.9999999999999995E-4</v>
      </c>
      <c r="AR58" s="137">
        <f t="shared" si="32"/>
        <v>4.0000000000000001E-3</v>
      </c>
      <c r="AS58" s="136">
        <f t="shared" si="49"/>
        <v>3.2409999999999997</v>
      </c>
      <c r="AT58" s="137">
        <f t="shared" si="33"/>
        <v>2.3274064967752799E-2</v>
      </c>
      <c r="AU58" s="137">
        <f t="shared" si="34"/>
        <v>0</v>
      </c>
      <c r="AV58" s="394">
        <f t="shared" si="50"/>
        <v>0</v>
      </c>
      <c r="AW58" s="137">
        <f t="shared" si="35"/>
        <v>0.54</v>
      </c>
      <c r="AX58" s="137">
        <f t="shared" si="36"/>
        <v>0.95</v>
      </c>
      <c r="AY58" s="137">
        <f t="shared" si="37"/>
        <v>0.85</v>
      </c>
      <c r="AZ58" s="137"/>
      <c r="BA58" s="264"/>
      <c r="BB58" s="258">
        <f t="shared" si="38"/>
        <v>0</v>
      </c>
      <c r="BC58" s="258">
        <f t="shared" si="39"/>
        <v>0</v>
      </c>
      <c r="BD58" s="137">
        <f t="shared" si="52"/>
        <v>0</v>
      </c>
      <c r="BE58" s="137">
        <f t="shared" si="52"/>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-0.45187663113673437</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0.92777993663970204</v>
      </c>
      <c r="BP58" s="137"/>
      <c r="BQ58" s="137"/>
      <c r="BR58" s="137"/>
      <c r="BS58" s="137"/>
      <c r="BV58" s="262">
        <v>3.2540160642570277</v>
      </c>
      <c r="BW58" s="136">
        <v>3.2509999999999999</v>
      </c>
      <c r="BX58" s="137">
        <v>0.54</v>
      </c>
      <c r="BY58" s="137">
        <v>0.54</v>
      </c>
      <c r="BZ58" s="137">
        <v>0</v>
      </c>
      <c r="CA58" s="137">
        <v>2.3274064967752799E-2</v>
      </c>
      <c r="CB58" s="137">
        <v>0</v>
      </c>
      <c r="CC58" s="258">
        <v>0</v>
      </c>
      <c r="CD58" s="258">
        <v>0.03</v>
      </c>
      <c r="CE58" s="258">
        <v>0.04</v>
      </c>
      <c r="CF58" s="258">
        <v>0</v>
      </c>
      <c r="CG58" s="258">
        <v>5.9999999999999995E-4</v>
      </c>
      <c r="CH58" s="258">
        <v>0</v>
      </c>
      <c r="CI58" s="258">
        <v>3.2109999999999999</v>
      </c>
      <c r="CJ58" s="258"/>
      <c r="CK58" s="258"/>
      <c r="CL58" s="258"/>
      <c r="CM58" s="258"/>
    </row>
    <row r="59" spans="1:91" x14ac:dyDescent="0.25">
      <c r="A59" s="723"/>
      <c r="B59" s="723"/>
      <c r="D59" s="31">
        <f t="shared" si="41"/>
        <v>37575</v>
      </c>
      <c r="F59" s="28">
        <f t="shared" si="12"/>
        <v>15600</v>
      </c>
      <c r="G59" s="28">
        <f t="shared" si="13"/>
        <v>0</v>
      </c>
      <c r="H59" s="52">
        <f t="shared" si="14"/>
        <v>3.2540160642570277</v>
      </c>
      <c r="I59" s="52">
        <f t="shared" si="15"/>
        <v>3.2509999999999999</v>
      </c>
      <c r="K59" s="52">
        <f t="shared" si="42"/>
        <v>0</v>
      </c>
      <c r="L59" s="135">
        <f t="shared" si="43"/>
        <v>0</v>
      </c>
      <c r="N59" s="131">
        <f t="shared" si="44"/>
        <v>0.54</v>
      </c>
      <c r="O59" s="131">
        <f t="shared" si="45"/>
        <v>0.54</v>
      </c>
      <c r="P59" s="55">
        <f t="shared" si="46"/>
        <v>0</v>
      </c>
      <c r="Q59" s="135">
        <f>_xll.xSPRDOPT(I59,H59,AQ59,0,O59,N59,P59,D59-$G$5,1,0)*AH59*AU59</f>
        <v>0</v>
      </c>
      <c r="R59" s="135"/>
      <c r="S59" s="181">
        <f>_xll.xSPRDOPT(I59,H59,AQ59,AT59,O59,N59,P59,D59-$G$5,1,2)*AF59*(F59/(1-AR59))*AH59</f>
        <v>0</v>
      </c>
      <c r="T59" s="181">
        <f>_xll.xSPRDOPT(I59,H59,AQ59,AT59,O59,N59,P59,D59-$G$5,1,1)*AF59*F59*AH59</f>
        <v>0</v>
      </c>
      <c r="U59" s="135"/>
      <c r="V59" s="146">
        <f t="shared" si="16"/>
        <v>0</v>
      </c>
      <c r="W59" s="146"/>
      <c r="X59" s="338">
        <f t="shared" si="17"/>
        <v>0</v>
      </c>
      <c r="Y59" s="338">
        <f t="shared" si="18"/>
        <v>0</v>
      </c>
      <c r="Z59" s="338">
        <f t="shared" si="19"/>
        <v>0</v>
      </c>
      <c r="AA59" s="338">
        <f t="shared" si="20"/>
        <v>0</v>
      </c>
      <c r="AB59" s="338">
        <f t="shared" si="21"/>
        <v>0</v>
      </c>
      <c r="AC59" s="338">
        <f t="shared" si="22"/>
        <v>0</v>
      </c>
      <c r="AF59" s="138">
        <f t="shared" si="23"/>
        <v>0</v>
      </c>
      <c r="AG59" s="138">
        <f t="shared" si="24"/>
        <v>11</v>
      </c>
      <c r="AH59" s="138">
        <f t="shared" si="51"/>
        <v>0</v>
      </c>
      <c r="AI59" s="138">
        <f t="shared" si="47"/>
        <v>319</v>
      </c>
      <c r="AJ59" s="138">
        <f t="shared" si="26"/>
        <v>336</v>
      </c>
      <c r="AL59" s="136">
        <f t="shared" si="27"/>
        <v>3.2109999999999999</v>
      </c>
      <c r="AM59" s="258">
        <f t="shared" si="48"/>
        <v>0</v>
      </c>
      <c r="AN59" s="258">
        <f t="shared" si="28"/>
        <v>0.03</v>
      </c>
      <c r="AO59" s="258">
        <f t="shared" si="29"/>
        <v>0.04</v>
      </c>
      <c r="AP59" s="258">
        <f t="shared" si="30"/>
        <v>0</v>
      </c>
      <c r="AQ59" s="136">
        <f t="shared" si="31"/>
        <v>5.9999999999999995E-4</v>
      </c>
      <c r="AR59" s="137">
        <f t="shared" si="32"/>
        <v>4.0000000000000001E-3</v>
      </c>
      <c r="AS59" s="136">
        <f t="shared" si="49"/>
        <v>3.2409999999999997</v>
      </c>
      <c r="AT59" s="137">
        <f t="shared" si="33"/>
        <v>2.3274064967752799E-2</v>
      </c>
      <c r="AU59" s="137">
        <f t="shared" si="34"/>
        <v>0</v>
      </c>
      <c r="AV59" s="394">
        <f t="shared" si="50"/>
        <v>0</v>
      </c>
      <c r="AW59" s="137">
        <f t="shared" si="35"/>
        <v>0.54</v>
      </c>
      <c r="AX59" s="137">
        <f t="shared" si="36"/>
        <v>0.95</v>
      </c>
      <c r="AY59" s="137">
        <f t="shared" si="37"/>
        <v>0.85</v>
      </c>
      <c r="AZ59" s="137"/>
      <c r="BA59" s="264"/>
      <c r="BB59" s="258">
        <f t="shared" si="38"/>
        <v>0</v>
      </c>
      <c r="BC59" s="258">
        <f t="shared" si="39"/>
        <v>0</v>
      </c>
      <c r="BD59" s="137">
        <f t="shared" si="52"/>
        <v>0</v>
      </c>
      <c r="BE59" s="137">
        <f t="shared" si="52"/>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-0.45187663113673437</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0.92777993663970204</v>
      </c>
      <c r="BP59" s="137"/>
      <c r="BQ59" s="137"/>
      <c r="BR59" s="137"/>
      <c r="BS59" s="137"/>
      <c r="BV59" s="262">
        <v>3.2540160642570277</v>
      </c>
      <c r="BW59" s="136">
        <v>3.2509999999999999</v>
      </c>
      <c r="BX59" s="137">
        <v>0.54</v>
      </c>
      <c r="BY59" s="137">
        <v>0.54</v>
      </c>
      <c r="BZ59" s="137">
        <v>0</v>
      </c>
      <c r="CA59" s="137">
        <v>2.3274064967752799E-2</v>
      </c>
      <c r="CB59" s="137">
        <v>0</v>
      </c>
      <c r="CC59" s="258">
        <v>0</v>
      </c>
      <c r="CD59" s="258">
        <v>0.03</v>
      </c>
      <c r="CE59" s="258">
        <v>0.04</v>
      </c>
      <c r="CF59" s="258">
        <v>0</v>
      </c>
      <c r="CG59" s="258">
        <v>5.9999999999999995E-4</v>
      </c>
      <c r="CH59" s="258">
        <v>0</v>
      </c>
      <c r="CI59" s="258">
        <v>3.2109999999999999</v>
      </c>
      <c r="CJ59" s="258"/>
      <c r="CK59" s="258"/>
      <c r="CL59" s="258"/>
      <c r="CM59" s="258"/>
    </row>
    <row r="60" spans="1:91" x14ac:dyDescent="0.25">
      <c r="A60" s="723"/>
      <c r="B60" s="723"/>
      <c r="D60" s="31">
        <f t="shared" si="41"/>
        <v>37575</v>
      </c>
      <c r="F60" s="28">
        <f t="shared" si="12"/>
        <v>15600</v>
      </c>
      <c r="G60" s="28">
        <f t="shared" si="13"/>
        <v>0</v>
      </c>
      <c r="H60" s="52">
        <f t="shared" si="14"/>
        <v>3.2540160642570277</v>
      </c>
      <c r="I60" s="52">
        <f t="shared" si="15"/>
        <v>3.2509999999999999</v>
      </c>
      <c r="K60" s="52">
        <f t="shared" si="42"/>
        <v>0</v>
      </c>
      <c r="L60" s="135">
        <f t="shared" si="43"/>
        <v>0</v>
      </c>
      <c r="N60" s="131">
        <f t="shared" si="44"/>
        <v>0.54</v>
      </c>
      <c r="O60" s="131">
        <f t="shared" si="45"/>
        <v>0.54</v>
      </c>
      <c r="P60" s="55">
        <f t="shared" si="46"/>
        <v>0</v>
      </c>
      <c r="Q60" s="135">
        <f>_xll.xSPRDOPT(I60,H60,AQ60,0,O60,N60,P60,D60-$G$5,1,0)*AH60*AU60</f>
        <v>0</v>
      </c>
      <c r="R60" s="135"/>
      <c r="S60" s="181">
        <f>_xll.xSPRDOPT(I60,H60,AQ60,AT60,O60,N60,P60,D60-$G$5,1,2)*AF60*(F60/(1-AR60))*AH60</f>
        <v>0</v>
      </c>
      <c r="T60" s="181">
        <f>_xll.xSPRDOPT(I60,H60,AQ60,AT60,O60,N60,P60,D60-$G$5,1,1)*AF60*F60*AH60</f>
        <v>0</v>
      </c>
      <c r="U60" s="135"/>
      <c r="V60" s="146">
        <f t="shared" si="16"/>
        <v>0</v>
      </c>
      <c r="W60" s="146"/>
      <c r="X60" s="338">
        <f t="shared" si="17"/>
        <v>0</v>
      </c>
      <c r="Y60" s="338">
        <f t="shared" si="18"/>
        <v>0</v>
      </c>
      <c r="Z60" s="338">
        <f t="shared" si="19"/>
        <v>0</v>
      </c>
      <c r="AA60" s="338">
        <f t="shared" si="20"/>
        <v>0</v>
      </c>
      <c r="AB60" s="338">
        <f t="shared" si="21"/>
        <v>0</v>
      </c>
      <c r="AC60" s="338">
        <f t="shared" si="22"/>
        <v>0</v>
      </c>
      <c r="AF60" s="138">
        <f t="shared" si="23"/>
        <v>0</v>
      </c>
      <c r="AG60" s="138">
        <f t="shared" si="24"/>
        <v>11</v>
      </c>
      <c r="AH60" s="138">
        <f t="shared" si="51"/>
        <v>0</v>
      </c>
      <c r="AI60" s="138">
        <f t="shared" si="47"/>
        <v>319</v>
      </c>
      <c r="AJ60" s="138">
        <f t="shared" si="26"/>
        <v>336</v>
      </c>
      <c r="AL60" s="136">
        <f t="shared" si="27"/>
        <v>3.2109999999999999</v>
      </c>
      <c r="AM60" s="258">
        <f t="shared" si="48"/>
        <v>0</v>
      </c>
      <c r="AN60" s="258">
        <f t="shared" si="28"/>
        <v>0.03</v>
      </c>
      <c r="AO60" s="258">
        <f t="shared" si="29"/>
        <v>0.04</v>
      </c>
      <c r="AP60" s="258">
        <f t="shared" si="30"/>
        <v>0</v>
      </c>
      <c r="AQ60" s="136">
        <f t="shared" si="31"/>
        <v>5.9999999999999995E-4</v>
      </c>
      <c r="AR60" s="137">
        <f t="shared" si="32"/>
        <v>4.0000000000000001E-3</v>
      </c>
      <c r="AS60" s="136">
        <f t="shared" si="49"/>
        <v>3.2409999999999997</v>
      </c>
      <c r="AT60" s="137">
        <f t="shared" si="33"/>
        <v>2.3274064967752799E-2</v>
      </c>
      <c r="AU60" s="137">
        <f t="shared" si="34"/>
        <v>0</v>
      </c>
      <c r="AV60" s="394">
        <f t="shared" si="50"/>
        <v>0</v>
      </c>
      <c r="AW60" s="137">
        <f t="shared" si="35"/>
        <v>0.54</v>
      </c>
      <c r="AX60" s="137">
        <f t="shared" si="36"/>
        <v>0.95</v>
      </c>
      <c r="AY60" s="137">
        <f t="shared" si="37"/>
        <v>0.85</v>
      </c>
      <c r="AZ60" s="137"/>
      <c r="BA60" s="264"/>
      <c r="BB60" s="258">
        <f t="shared" si="38"/>
        <v>0</v>
      </c>
      <c r="BC60" s="258">
        <f t="shared" si="39"/>
        <v>0</v>
      </c>
      <c r="BD60" s="137">
        <f t="shared" si="52"/>
        <v>0</v>
      </c>
      <c r="BE60" s="137">
        <f t="shared" si="52"/>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-0.45187663113673437</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0.92777993663970204</v>
      </c>
      <c r="BP60" s="137"/>
      <c r="BQ60" s="137"/>
      <c r="BR60" s="137"/>
      <c r="BS60" s="137"/>
      <c r="BV60" s="262">
        <v>3.2540160642570277</v>
      </c>
      <c r="BW60" s="136">
        <v>3.2509999999999999</v>
      </c>
      <c r="BX60" s="137">
        <v>0.54</v>
      </c>
      <c r="BY60" s="137">
        <v>0.54</v>
      </c>
      <c r="BZ60" s="137">
        <v>0</v>
      </c>
      <c r="CA60" s="137">
        <v>2.3274064967752799E-2</v>
      </c>
      <c r="CB60" s="137">
        <v>0</v>
      </c>
      <c r="CC60" s="258">
        <v>0</v>
      </c>
      <c r="CD60" s="258">
        <v>0.03</v>
      </c>
      <c r="CE60" s="258">
        <v>0.04</v>
      </c>
      <c r="CF60" s="258">
        <v>0</v>
      </c>
      <c r="CG60" s="258">
        <v>5.9999999999999995E-4</v>
      </c>
      <c r="CH60" s="258">
        <v>0</v>
      </c>
      <c r="CI60" s="258">
        <v>3.2109999999999999</v>
      </c>
      <c r="CJ60" s="258"/>
      <c r="CK60" s="258"/>
      <c r="CL60" s="258"/>
      <c r="CM60" s="258"/>
    </row>
    <row r="61" spans="1:91" x14ac:dyDescent="0.25">
      <c r="A61" s="723"/>
      <c r="B61" s="723"/>
      <c r="D61" s="31">
        <f t="shared" si="41"/>
        <v>37575</v>
      </c>
      <c r="F61" s="28">
        <f t="shared" si="12"/>
        <v>15600</v>
      </c>
      <c r="G61" s="28">
        <f t="shared" si="13"/>
        <v>0</v>
      </c>
      <c r="H61" s="52">
        <f t="shared" si="14"/>
        <v>3.2540160642570277</v>
      </c>
      <c r="I61" s="52">
        <f t="shared" si="15"/>
        <v>3.2509999999999999</v>
      </c>
      <c r="K61" s="52">
        <f t="shared" si="42"/>
        <v>0</v>
      </c>
      <c r="L61" s="135">
        <f t="shared" si="43"/>
        <v>0</v>
      </c>
      <c r="N61" s="131">
        <f t="shared" si="44"/>
        <v>0.54</v>
      </c>
      <c r="O61" s="131">
        <f t="shared" si="45"/>
        <v>0.54</v>
      </c>
      <c r="P61" s="55">
        <f t="shared" si="46"/>
        <v>0</v>
      </c>
      <c r="Q61" s="135">
        <f>_xll.xSPRDOPT(I61,H61,AQ61,0,O61,N61,P61,D61-$G$5,1,0)*AH61*AU61</f>
        <v>0</v>
      </c>
      <c r="R61" s="135"/>
      <c r="S61" s="181">
        <f>_xll.xSPRDOPT(I61,H61,AQ61,AT61,O61,N61,P61,D61-$G$5,1,2)*AF61*(F61/(1-AR61))*AH61</f>
        <v>0</v>
      </c>
      <c r="T61" s="181">
        <f>_xll.xSPRDOPT(I61,H61,AQ61,AT61,O61,N61,P61,D61-$G$5,1,1)*AF61*F61*AH61</f>
        <v>0</v>
      </c>
      <c r="U61" s="135"/>
      <c r="V61" s="146">
        <f t="shared" si="16"/>
        <v>0</v>
      </c>
      <c r="W61" s="146"/>
      <c r="X61" s="338">
        <f t="shared" si="17"/>
        <v>0</v>
      </c>
      <c r="Y61" s="338">
        <f t="shared" si="18"/>
        <v>0</v>
      </c>
      <c r="Z61" s="338">
        <f t="shared" si="19"/>
        <v>0</v>
      </c>
      <c r="AA61" s="338">
        <f t="shared" si="20"/>
        <v>0</v>
      </c>
      <c r="AB61" s="338">
        <f t="shared" si="21"/>
        <v>0</v>
      </c>
      <c r="AC61" s="338">
        <f t="shared" si="22"/>
        <v>0</v>
      </c>
      <c r="AF61" s="138">
        <f t="shared" si="23"/>
        <v>0</v>
      </c>
      <c r="AG61" s="138">
        <f t="shared" si="24"/>
        <v>11</v>
      </c>
      <c r="AH61" s="138">
        <f t="shared" si="51"/>
        <v>0</v>
      </c>
      <c r="AI61" s="138">
        <f t="shared" si="47"/>
        <v>319</v>
      </c>
      <c r="AJ61" s="138">
        <f t="shared" si="26"/>
        <v>336</v>
      </c>
      <c r="AL61" s="136">
        <f t="shared" si="27"/>
        <v>3.2109999999999999</v>
      </c>
      <c r="AM61" s="258">
        <f t="shared" si="48"/>
        <v>0</v>
      </c>
      <c r="AN61" s="258">
        <f t="shared" si="28"/>
        <v>0.03</v>
      </c>
      <c r="AO61" s="258">
        <f t="shared" si="29"/>
        <v>0.04</v>
      </c>
      <c r="AP61" s="258">
        <f t="shared" si="30"/>
        <v>0</v>
      </c>
      <c r="AQ61" s="136">
        <f t="shared" si="31"/>
        <v>5.9999999999999995E-4</v>
      </c>
      <c r="AR61" s="137">
        <f t="shared" si="32"/>
        <v>4.0000000000000001E-3</v>
      </c>
      <c r="AS61" s="136">
        <f t="shared" si="49"/>
        <v>3.2409999999999997</v>
      </c>
      <c r="AT61" s="137">
        <f t="shared" si="33"/>
        <v>2.3274064967752799E-2</v>
      </c>
      <c r="AU61" s="137">
        <f t="shared" si="34"/>
        <v>0</v>
      </c>
      <c r="AV61" s="394">
        <f t="shared" si="50"/>
        <v>0</v>
      </c>
      <c r="AW61" s="137">
        <f t="shared" si="35"/>
        <v>0.54</v>
      </c>
      <c r="AX61" s="137">
        <f t="shared" si="36"/>
        <v>0.95</v>
      </c>
      <c r="AY61" s="137">
        <f t="shared" si="37"/>
        <v>0.85</v>
      </c>
      <c r="AZ61" s="137"/>
      <c r="BA61" s="264"/>
      <c r="BB61" s="258">
        <f t="shared" si="38"/>
        <v>0</v>
      </c>
      <c r="BC61" s="258">
        <f t="shared" si="39"/>
        <v>0</v>
      </c>
      <c r="BD61" s="137">
        <f t="shared" si="52"/>
        <v>0</v>
      </c>
      <c r="BE61" s="137">
        <f t="shared" si="52"/>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-0.45187663113673437</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0.92777993663970204</v>
      </c>
      <c r="BP61" s="137"/>
      <c r="BQ61" s="137"/>
      <c r="BR61" s="137"/>
      <c r="BS61" s="137"/>
      <c r="BV61" s="262">
        <v>3.2540160642570277</v>
      </c>
      <c r="BW61" s="136">
        <v>3.2509999999999999</v>
      </c>
      <c r="BX61" s="137">
        <v>0.54</v>
      </c>
      <c r="BY61" s="137">
        <v>0.54</v>
      </c>
      <c r="BZ61" s="137">
        <v>0</v>
      </c>
      <c r="CA61" s="137">
        <v>2.3274064967752799E-2</v>
      </c>
      <c r="CB61" s="137">
        <v>0</v>
      </c>
      <c r="CC61" s="258">
        <v>0</v>
      </c>
      <c r="CD61" s="258">
        <v>0.03</v>
      </c>
      <c r="CE61" s="258">
        <v>0.04</v>
      </c>
      <c r="CF61" s="258">
        <v>0</v>
      </c>
      <c r="CG61" s="258">
        <v>5.9999999999999995E-4</v>
      </c>
      <c r="CH61" s="258">
        <v>0</v>
      </c>
      <c r="CI61" s="258">
        <v>3.2109999999999999</v>
      </c>
      <c r="CJ61" s="258"/>
      <c r="CK61" s="258"/>
      <c r="CL61" s="258"/>
      <c r="CM61" s="258"/>
    </row>
    <row r="62" spans="1:91" x14ac:dyDescent="0.25">
      <c r="A62" s="723"/>
      <c r="B62" s="723"/>
      <c r="D62" s="31">
        <f t="shared" si="41"/>
        <v>37575</v>
      </c>
      <c r="F62" s="28">
        <f t="shared" si="12"/>
        <v>15600</v>
      </c>
      <c r="G62" s="28">
        <f t="shared" si="13"/>
        <v>0</v>
      </c>
      <c r="H62" s="52">
        <f t="shared" si="14"/>
        <v>3.2540160642570277</v>
      </c>
      <c r="I62" s="52">
        <f t="shared" si="15"/>
        <v>3.2509999999999999</v>
      </c>
      <c r="K62" s="52">
        <f t="shared" si="42"/>
        <v>0</v>
      </c>
      <c r="L62" s="135">
        <f t="shared" si="43"/>
        <v>0</v>
      </c>
      <c r="N62" s="131">
        <f t="shared" si="44"/>
        <v>0.54</v>
      </c>
      <c r="O62" s="131">
        <f t="shared" si="45"/>
        <v>0.54</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16"/>
        <v>0</v>
      </c>
      <c r="W62" s="146"/>
      <c r="X62" s="338">
        <f t="shared" si="17"/>
        <v>0</v>
      </c>
      <c r="Y62" s="338">
        <f t="shared" si="18"/>
        <v>0</v>
      </c>
      <c r="Z62" s="338">
        <f t="shared" si="19"/>
        <v>0</v>
      </c>
      <c r="AA62" s="338">
        <f t="shared" si="20"/>
        <v>0</v>
      </c>
      <c r="AB62" s="338">
        <f t="shared" si="21"/>
        <v>0</v>
      </c>
      <c r="AC62" s="338">
        <f t="shared" si="22"/>
        <v>0</v>
      </c>
      <c r="AF62" s="138">
        <f t="shared" si="23"/>
        <v>0</v>
      </c>
      <c r="AG62" s="138">
        <f t="shared" si="24"/>
        <v>11</v>
      </c>
      <c r="AH62" s="138">
        <f t="shared" si="51"/>
        <v>0</v>
      </c>
      <c r="AI62" s="138">
        <f t="shared" si="47"/>
        <v>319</v>
      </c>
      <c r="AJ62" s="138">
        <f t="shared" si="26"/>
        <v>336</v>
      </c>
      <c r="AL62" s="136">
        <f t="shared" si="27"/>
        <v>3.2109999999999999</v>
      </c>
      <c r="AM62" s="258">
        <f t="shared" si="48"/>
        <v>0</v>
      </c>
      <c r="AN62" s="258">
        <f t="shared" si="28"/>
        <v>0.03</v>
      </c>
      <c r="AO62" s="258">
        <f t="shared" si="29"/>
        <v>0.04</v>
      </c>
      <c r="AP62" s="258">
        <f t="shared" si="30"/>
        <v>0</v>
      </c>
      <c r="AQ62" s="136">
        <f t="shared" si="31"/>
        <v>5.9999999999999995E-4</v>
      </c>
      <c r="AR62" s="137">
        <f t="shared" si="32"/>
        <v>4.0000000000000001E-3</v>
      </c>
      <c r="AS62" s="136">
        <f t="shared" si="49"/>
        <v>3.2409999999999997</v>
      </c>
      <c r="AT62" s="137">
        <f t="shared" si="33"/>
        <v>2.3274064967752799E-2</v>
      </c>
      <c r="AU62" s="137">
        <f t="shared" si="34"/>
        <v>0</v>
      </c>
      <c r="AV62" s="394">
        <f t="shared" si="50"/>
        <v>0</v>
      </c>
      <c r="AW62" s="137">
        <f t="shared" si="35"/>
        <v>0.54</v>
      </c>
      <c r="AX62" s="137">
        <f t="shared" si="36"/>
        <v>0.95</v>
      </c>
      <c r="AY62" s="137">
        <f t="shared" si="37"/>
        <v>0.85</v>
      </c>
      <c r="AZ62" s="137"/>
      <c r="BA62" s="264"/>
      <c r="BB62" s="258">
        <f t="shared" si="38"/>
        <v>0</v>
      </c>
      <c r="BC62" s="258">
        <f t="shared" si="39"/>
        <v>0</v>
      </c>
      <c r="BD62" s="137">
        <f t="shared" si="52"/>
        <v>0</v>
      </c>
      <c r="BE62" s="137">
        <f t="shared" si="52"/>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-0.45187663113673437</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0.92777993663970204</v>
      </c>
      <c r="BP62" s="137"/>
      <c r="BQ62" s="137"/>
      <c r="BR62" s="137"/>
      <c r="BS62" s="137"/>
      <c r="BV62" s="262">
        <v>3.2540160642570277</v>
      </c>
      <c r="BW62" s="136">
        <v>3.2509999999999999</v>
      </c>
      <c r="BX62" s="137">
        <v>0.54</v>
      </c>
      <c r="BY62" s="137">
        <v>0.54</v>
      </c>
      <c r="BZ62" s="137">
        <v>0</v>
      </c>
      <c r="CA62" s="137">
        <v>2.3274064967752799E-2</v>
      </c>
      <c r="CB62" s="137">
        <v>0</v>
      </c>
      <c r="CC62" s="258">
        <v>0</v>
      </c>
      <c r="CD62" s="258">
        <v>0.03</v>
      </c>
      <c r="CE62" s="258">
        <v>0.04</v>
      </c>
      <c r="CF62" s="258">
        <v>0</v>
      </c>
      <c r="CG62" s="258">
        <v>5.9999999999999995E-4</v>
      </c>
      <c r="CH62" s="258">
        <v>0</v>
      </c>
      <c r="CI62" s="258">
        <v>3.2109999999999999</v>
      </c>
      <c r="CJ62" s="258"/>
      <c r="CK62" s="258"/>
      <c r="CL62" s="258"/>
      <c r="CM62" s="258"/>
    </row>
    <row r="63" spans="1:91" x14ac:dyDescent="0.25">
      <c r="A63" s="723"/>
      <c r="B63" s="723"/>
      <c r="D63" s="31">
        <f t="shared" si="41"/>
        <v>37575</v>
      </c>
      <c r="F63" s="28">
        <f t="shared" si="12"/>
        <v>15600</v>
      </c>
      <c r="G63" s="28">
        <f t="shared" si="13"/>
        <v>0</v>
      </c>
      <c r="H63" s="52">
        <f t="shared" si="14"/>
        <v>3.2540160642570277</v>
      </c>
      <c r="I63" s="52">
        <f t="shared" si="15"/>
        <v>3.2509999999999999</v>
      </c>
      <c r="K63" s="52">
        <f t="shared" si="42"/>
        <v>0</v>
      </c>
      <c r="L63" s="135">
        <f t="shared" si="43"/>
        <v>0</v>
      </c>
      <c r="N63" s="131">
        <f t="shared" si="44"/>
        <v>0.54</v>
      </c>
      <c r="O63" s="131">
        <f t="shared" si="45"/>
        <v>0.54</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16"/>
        <v>0</v>
      </c>
      <c r="W63" s="146"/>
      <c r="X63" s="338">
        <f t="shared" si="17"/>
        <v>0</v>
      </c>
      <c r="Y63" s="338">
        <f t="shared" si="18"/>
        <v>0</v>
      </c>
      <c r="Z63" s="338">
        <f t="shared" si="19"/>
        <v>0</v>
      </c>
      <c r="AA63" s="338">
        <f t="shared" si="20"/>
        <v>0</v>
      </c>
      <c r="AB63" s="338">
        <f t="shared" si="21"/>
        <v>0</v>
      </c>
      <c r="AC63" s="338">
        <f t="shared" si="22"/>
        <v>0</v>
      </c>
      <c r="AF63" s="138">
        <f t="shared" si="23"/>
        <v>0</v>
      </c>
      <c r="AG63" s="138">
        <f t="shared" si="24"/>
        <v>11</v>
      </c>
      <c r="AH63" s="138">
        <f t="shared" si="51"/>
        <v>0</v>
      </c>
      <c r="AI63" s="138">
        <f t="shared" si="47"/>
        <v>319</v>
      </c>
      <c r="AJ63" s="138">
        <f t="shared" si="26"/>
        <v>336</v>
      </c>
      <c r="AL63" s="136">
        <f t="shared" si="27"/>
        <v>3.2109999999999999</v>
      </c>
      <c r="AM63" s="258">
        <f t="shared" si="48"/>
        <v>0</v>
      </c>
      <c r="AN63" s="258">
        <f t="shared" si="28"/>
        <v>0.03</v>
      </c>
      <c r="AO63" s="258">
        <f t="shared" si="29"/>
        <v>0.04</v>
      </c>
      <c r="AP63" s="258">
        <f t="shared" si="30"/>
        <v>0</v>
      </c>
      <c r="AQ63" s="136">
        <f t="shared" si="31"/>
        <v>5.9999999999999995E-4</v>
      </c>
      <c r="AR63" s="137">
        <f t="shared" si="32"/>
        <v>4.0000000000000001E-3</v>
      </c>
      <c r="AS63" s="136">
        <f t="shared" si="49"/>
        <v>3.2409999999999997</v>
      </c>
      <c r="AT63" s="137">
        <f t="shared" si="33"/>
        <v>2.3274064967752799E-2</v>
      </c>
      <c r="AU63" s="137">
        <f t="shared" si="34"/>
        <v>0</v>
      </c>
      <c r="AV63" s="394">
        <f t="shared" si="50"/>
        <v>0</v>
      </c>
      <c r="AW63" s="137">
        <f t="shared" si="35"/>
        <v>0.54</v>
      </c>
      <c r="AX63" s="137">
        <f t="shared" si="36"/>
        <v>0.95</v>
      </c>
      <c r="AY63" s="137">
        <f t="shared" si="37"/>
        <v>0.85</v>
      </c>
      <c r="AZ63" s="137"/>
      <c r="BA63" s="264"/>
      <c r="BB63" s="258">
        <f t="shared" si="38"/>
        <v>0</v>
      </c>
      <c r="BC63" s="258">
        <f t="shared" si="39"/>
        <v>0</v>
      </c>
      <c r="BD63" s="137">
        <f t="shared" si="52"/>
        <v>0</v>
      </c>
      <c r="BE63" s="137">
        <f t="shared" si="52"/>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-0.45187663113673437</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0.92777993663970204</v>
      </c>
      <c r="BP63" s="137"/>
      <c r="BQ63" s="137"/>
      <c r="BR63" s="137"/>
      <c r="BS63" s="137"/>
      <c r="BV63" s="262">
        <v>3.2540160642570277</v>
      </c>
      <c r="BW63" s="136">
        <v>3.2509999999999999</v>
      </c>
      <c r="BX63" s="137">
        <v>0.54</v>
      </c>
      <c r="BY63" s="137">
        <v>0.54</v>
      </c>
      <c r="BZ63" s="137">
        <v>0</v>
      </c>
      <c r="CA63" s="137">
        <v>2.3274064967752799E-2</v>
      </c>
      <c r="CB63" s="137">
        <v>0</v>
      </c>
      <c r="CC63" s="258">
        <v>0</v>
      </c>
      <c r="CD63" s="258">
        <v>0.03</v>
      </c>
      <c r="CE63" s="258">
        <v>0.04</v>
      </c>
      <c r="CF63" s="258">
        <v>0</v>
      </c>
      <c r="CG63" s="258">
        <v>5.9999999999999995E-4</v>
      </c>
      <c r="CH63" s="258">
        <v>0</v>
      </c>
      <c r="CI63" s="258">
        <v>3.2109999999999999</v>
      </c>
      <c r="CJ63" s="258"/>
      <c r="CK63" s="258"/>
      <c r="CL63" s="258"/>
      <c r="CM63" s="258"/>
    </row>
    <row r="64" spans="1:91" x14ac:dyDescent="0.25">
      <c r="A64" s="723"/>
      <c r="B64" s="723"/>
      <c r="D64" s="31">
        <f t="shared" si="41"/>
        <v>37575</v>
      </c>
      <c r="F64" s="28">
        <f t="shared" si="12"/>
        <v>15600</v>
      </c>
      <c r="G64" s="28">
        <f t="shared" si="13"/>
        <v>0</v>
      </c>
      <c r="H64" s="52">
        <f t="shared" si="14"/>
        <v>3.2540160642570277</v>
      </c>
      <c r="I64" s="52">
        <f t="shared" si="15"/>
        <v>3.2509999999999999</v>
      </c>
      <c r="K64" s="52">
        <f t="shared" si="42"/>
        <v>0</v>
      </c>
      <c r="L64" s="135">
        <f t="shared" si="43"/>
        <v>0</v>
      </c>
      <c r="N64" s="131">
        <f t="shared" si="44"/>
        <v>0.54</v>
      </c>
      <c r="O64" s="131">
        <f t="shared" si="45"/>
        <v>0.54</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16"/>
        <v>0</v>
      </c>
      <c r="W64" s="146"/>
      <c r="X64" s="338">
        <f t="shared" si="17"/>
        <v>0</v>
      </c>
      <c r="Y64" s="338">
        <f t="shared" si="18"/>
        <v>0</v>
      </c>
      <c r="Z64" s="338">
        <f t="shared" si="19"/>
        <v>0</v>
      </c>
      <c r="AA64" s="338">
        <f t="shared" si="20"/>
        <v>0</v>
      </c>
      <c r="AB64" s="338">
        <f t="shared" si="21"/>
        <v>0</v>
      </c>
      <c r="AC64" s="338">
        <f t="shared" si="22"/>
        <v>0</v>
      </c>
      <c r="AF64" s="138">
        <f t="shared" si="23"/>
        <v>0</v>
      </c>
      <c r="AG64" s="138">
        <f t="shared" si="24"/>
        <v>11</v>
      </c>
      <c r="AH64" s="138">
        <f t="shared" si="51"/>
        <v>0</v>
      </c>
      <c r="AI64" s="138">
        <f t="shared" si="47"/>
        <v>319</v>
      </c>
      <c r="AJ64" s="138">
        <f t="shared" si="26"/>
        <v>336</v>
      </c>
      <c r="AL64" s="136">
        <f t="shared" si="27"/>
        <v>3.2109999999999999</v>
      </c>
      <c r="AM64" s="258">
        <f t="shared" si="48"/>
        <v>0</v>
      </c>
      <c r="AN64" s="258">
        <f t="shared" si="28"/>
        <v>0.03</v>
      </c>
      <c r="AO64" s="258">
        <f t="shared" si="29"/>
        <v>0.04</v>
      </c>
      <c r="AP64" s="258">
        <f t="shared" si="30"/>
        <v>0</v>
      </c>
      <c r="AQ64" s="136">
        <f t="shared" si="31"/>
        <v>5.9999999999999995E-4</v>
      </c>
      <c r="AR64" s="137">
        <f t="shared" si="32"/>
        <v>4.0000000000000001E-3</v>
      </c>
      <c r="AS64" s="136">
        <f t="shared" si="49"/>
        <v>3.2409999999999997</v>
      </c>
      <c r="AT64" s="137">
        <f t="shared" si="33"/>
        <v>2.3274064967752799E-2</v>
      </c>
      <c r="AU64" s="137">
        <f t="shared" si="34"/>
        <v>0</v>
      </c>
      <c r="AV64" s="394">
        <f t="shared" si="50"/>
        <v>0</v>
      </c>
      <c r="AW64" s="137">
        <f t="shared" si="35"/>
        <v>0.54</v>
      </c>
      <c r="AX64" s="137">
        <f t="shared" si="36"/>
        <v>0.95</v>
      </c>
      <c r="AY64" s="137">
        <f t="shared" si="37"/>
        <v>0.85</v>
      </c>
      <c r="AZ64" s="137"/>
      <c r="BA64" s="264"/>
      <c r="BB64" s="258">
        <f t="shared" si="38"/>
        <v>0</v>
      </c>
      <c r="BC64" s="258">
        <f t="shared" si="39"/>
        <v>0</v>
      </c>
      <c r="BD64" s="137">
        <f t="shared" si="52"/>
        <v>0</v>
      </c>
      <c r="BE64" s="137">
        <f t="shared" si="52"/>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-0.45187663113673437</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0.92777993663970204</v>
      </c>
      <c r="BP64" s="137"/>
      <c r="BQ64" s="137"/>
      <c r="BR64" s="137"/>
      <c r="BS64" s="137"/>
      <c r="BV64" s="262">
        <v>3.2540160642570277</v>
      </c>
      <c r="BW64" s="136">
        <v>3.2509999999999999</v>
      </c>
      <c r="BX64" s="137">
        <v>0.54</v>
      </c>
      <c r="BY64" s="137">
        <v>0.54</v>
      </c>
      <c r="BZ64" s="137">
        <v>0</v>
      </c>
      <c r="CA64" s="137">
        <v>2.3274064967752799E-2</v>
      </c>
      <c r="CB64" s="137">
        <v>0</v>
      </c>
      <c r="CC64" s="258">
        <v>0</v>
      </c>
      <c r="CD64" s="258">
        <v>0.03</v>
      </c>
      <c r="CE64" s="258">
        <v>0.04</v>
      </c>
      <c r="CF64" s="258">
        <v>0</v>
      </c>
      <c r="CG64" s="258">
        <v>5.9999999999999995E-4</v>
      </c>
      <c r="CH64" s="258">
        <v>0</v>
      </c>
      <c r="CI64" s="258">
        <v>3.2109999999999999</v>
      </c>
      <c r="CJ64" s="258"/>
      <c r="CK64" s="258"/>
      <c r="CL64" s="258"/>
      <c r="CM64" s="258"/>
    </row>
    <row r="65" spans="1:91" x14ac:dyDescent="0.25">
      <c r="A65" s="723"/>
      <c r="B65" s="723"/>
      <c r="D65" s="31">
        <f t="shared" si="41"/>
        <v>37575</v>
      </c>
      <c r="F65" s="28">
        <f t="shared" si="12"/>
        <v>15600</v>
      </c>
      <c r="G65" s="28">
        <f t="shared" si="13"/>
        <v>0</v>
      </c>
      <c r="H65" s="52">
        <f t="shared" si="14"/>
        <v>3.2540160642570277</v>
      </c>
      <c r="I65" s="52">
        <f t="shared" si="15"/>
        <v>3.2509999999999999</v>
      </c>
      <c r="K65" s="52">
        <f t="shared" si="42"/>
        <v>0</v>
      </c>
      <c r="L65" s="135">
        <f t="shared" si="43"/>
        <v>0</v>
      </c>
      <c r="N65" s="131">
        <f t="shared" si="44"/>
        <v>0.54</v>
      </c>
      <c r="O65" s="131">
        <f t="shared" si="45"/>
        <v>0.54</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16"/>
        <v>0</v>
      </c>
      <c r="W65" s="146"/>
      <c r="X65" s="338">
        <f t="shared" si="17"/>
        <v>0</v>
      </c>
      <c r="Y65" s="338">
        <f t="shared" si="18"/>
        <v>0</v>
      </c>
      <c r="Z65" s="338">
        <f t="shared" si="19"/>
        <v>0</v>
      </c>
      <c r="AA65" s="338">
        <f t="shared" si="20"/>
        <v>0</v>
      </c>
      <c r="AB65" s="338">
        <f t="shared" si="21"/>
        <v>0</v>
      </c>
      <c r="AC65" s="338">
        <f t="shared" si="22"/>
        <v>0</v>
      </c>
      <c r="AF65" s="138">
        <f t="shared" si="23"/>
        <v>0</v>
      </c>
      <c r="AG65" s="138">
        <f t="shared" si="24"/>
        <v>11</v>
      </c>
      <c r="AH65" s="138">
        <f t="shared" si="51"/>
        <v>0</v>
      </c>
      <c r="AI65" s="138">
        <f t="shared" si="47"/>
        <v>319</v>
      </c>
      <c r="AJ65" s="138">
        <f t="shared" si="26"/>
        <v>336</v>
      </c>
      <c r="AL65" s="136">
        <f t="shared" si="27"/>
        <v>3.2109999999999999</v>
      </c>
      <c r="AM65" s="258">
        <f t="shared" si="48"/>
        <v>0</v>
      </c>
      <c r="AN65" s="258">
        <f t="shared" si="28"/>
        <v>0.03</v>
      </c>
      <c r="AO65" s="258">
        <f t="shared" si="29"/>
        <v>0.04</v>
      </c>
      <c r="AP65" s="258">
        <f t="shared" si="30"/>
        <v>0</v>
      </c>
      <c r="AQ65" s="136">
        <f t="shared" si="31"/>
        <v>5.9999999999999995E-4</v>
      </c>
      <c r="AR65" s="137">
        <f t="shared" si="32"/>
        <v>4.0000000000000001E-3</v>
      </c>
      <c r="AS65" s="136">
        <f t="shared" si="49"/>
        <v>3.2409999999999997</v>
      </c>
      <c r="AT65" s="137">
        <f t="shared" si="33"/>
        <v>2.3274064967752799E-2</v>
      </c>
      <c r="AU65" s="137">
        <f t="shared" si="34"/>
        <v>0</v>
      </c>
      <c r="AV65" s="394">
        <f t="shared" si="50"/>
        <v>0</v>
      </c>
      <c r="AW65" s="137">
        <f t="shared" si="35"/>
        <v>0.54</v>
      </c>
      <c r="AX65" s="137">
        <f t="shared" si="36"/>
        <v>0.95</v>
      </c>
      <c r="AY65" s="137">
        <f t="shared" si="37"/>
        <v>0.85</v>
      </c>
      <c r="AZ65" s="137"/>
      <c r="BA65" s="264"/>
      <c r="BB65" s="258">
        <f t="shared" si="38"/>
        <v>0</v>
      </c>
      <c r="BC65" s="258">
        <f t="shared" si="39"/>
        <v>0</v>
      </c>
      <c r="BD65" s="137">
        <f t="shared" si="52"/>
        <v>0</v>
      </c>
      <c r="BE65" s="137">
        <f t="shared" si="52"/>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-0.45187663113673437</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0.92777993663970204</v>
      </c>
      <c r="BP65" s="137"/>
      <c r="BQ65" s="137"/>
      <c r="BR65" s="137"/>
      <c r="BS65" s="137"/>
      <c r="BV65" s="262">
        <v>3.2540160642570277</v>
      </c>
      <c r="BW65" s="136">
        <v>3.2509999999999999</v>
      </c>
      <c r="BX65" s="137">
        <v>0.54</v>
      </c>
      <c r="BY65" s="137">
        <v>0.54</v>
      </c>
      <c r="BZ65" s="137">
        <v>0</v>
      </c>
      <c r="CA65" s="137">
        <v>2.3274064967752799E-2</v>
      </c>
      <c r="CB65" s="137">
        <v>0</v>
      </c>
      <c r="CC65" s="258">
        <v>0</v>
      </c>
      <c r="CD65" s="258">
        <v>0.03</v>
      </c>
      <c r="CE65" s="258">
        <v>0.04</v>
      </c>
      <c r="CF65" s="258">
        <v>0</v>
      </c>
      <c r="CG65" s="258">
        <v>5.9999999999999995E-4</v>
      </c>
      <c r="CH65" s="258">
        <v>0</v>
      </c>
      <c r="CI65" s="258">
        <v>3.2109999999999999</v>
      </c>
      <c r="CJ65" s="258"/>
      <c r="CK65" s="258"/>
      <c r="CL65" s="258"/>
      <c r="CM65" s="258"/>
    </row>
    <row r="66" spans="1:91" x14ac:dyDescent="0.25">
      <c r="A66" s="723"/>
      <c r="B66" s="723"/>
      <c r="D66" s="31">
        <f t="shared" si="41"/>
        <v>37575</v>
      </c>
      <c r="F66" s="28">
        <f t="shared" si="12"/>
        <v>15600</v>
      </c>
      <c r="G66" s="28">
        <f t="shared" si="13"/>
        <v>0</v>
      </c>
      <c r="H66" s="52">
        <f t="shared" si="14"/>
        <v>3.2540160642570277</v>
      </c>
      <c r="I66" s="52">
        <f t="shared" si="15"/>
        <v>3.2509999999999999</v>
      </c>
      <c r="K66" s="52">
        <f t="shared" si="42"/>
        <v>0</v>
      </c>
      <c r="L66" s="135">
        <f t="shared" si="43"/>
        <v>0</v>
      </c>
      <c r="N66" s="131">
        <f t="shared" si="44"/>
        <v>0.54</v>
      </c>
      <c r="O66" s="131">
        <f t="shared" si="45"/>
        <v>0.54</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16"/>
        <v>0</v>
      </c>
      <c r="W66" s="146"/>
      <c r="X66" s="338">
        <f t="shared" si="17"/>
        <v>0</v>
      </c>
      <c r="Y66" s="338">
        <f t="shared" si="18"/>
        <v>0</v>
      </c>
      <c r="Z66" s="338">
        <f t="shared" si="19"/>
        <v>0</v>
      </c>
      <c r="AA66" s="338">
        <f t="shared" si="20"/>
        <v>0</v>
      </c>
      <c r="AB66" s="338">
        <f t="shared" si="21"/>
        <v>0</v>
      </c>
      <c r="AC66" s="338">
        <f t="shared" si="22"/>
        <v>0</v>
      </c>
      <c r="AF66" s="138">
        <f t="shared" si="23"/>
        <v>0</v>
      </c>
      <c r="AG66" s="138">
        <f t="shared" si="24"/>
        <v>11</v>
      </c>
      <c r="AH66" s="138">
        <f t="shared" si="51"/>
        <v>0</v>
      </c>
      <c r="AI66" s="138">
        <f t="shared" si="47"/>
        <v>319</v>
      </c>
      <c r="AJ66" s="138">
        <f t="shared" si="26"/>
        <v>336</v>
      </c>
      <c r="AL66" s="136">
        <f t="shared" si="27"/>
        <v>3.2109999999999999</v>
      </c>
      <c r="AM66" s="258">
        <f t="shared" si="48"/>
        <v>0</v>
      </c>
      <c r="AN66" s="258">
        <f t="shared" si="28"/>
        <v>0.03</v>
      </c>
      <c r="AO66" s="258">
        <f t="shared" si="29"/>
        <v>0.04</v>
      </c>
      <c r="AP66" s="258">
        <f t="shared" si="30"/>
        <v>0</v>
      </c>
      <c r="AQ66" s="136">
        <f t="shared" si="31"/>
        <v>5.9999999999999995E-4</v>
      </c>
      <c r="AR66" s="137">
        <f t="shared" si="32"/>
        <v>4.0000000000000001E-3</v>
      </c>
      <c r="AS66" s="136">
        <f t="shared" si="49"/>
        <v>3.2409999999999997</v>
      </c>
      <c r="AT66" s="137">
        <f t="shared" si="33"/>
        <v>2.3274064967752799E-2</v>
      </c>
      <c r="AU66" s="137">
        <f t="shared" si="34"/>
        <v>0</v>
      </c>
      <c r="AV66" s="394">
        <f t="shared" si="50"/>
        <v>0</v>
      </c>
      <c r="AW66" s="137">
        <f t="shared" si="35"/>
        <v>0.54</v>
      </c>
      <c r="AX66" s="137">
        <f t="shared" si="36"/>
        <v>0.95</v>
      </c>
      <c r="AY66" s="137">
        <f t="shared" si="37"/>
        <v>0.85</v>
      </c>
      <c r="AZ66" s="137"/>
      <c r="BA66" s="264"/>
      <c r="BB66" s="258">
        <f t="shared" si="38"/>
        <v>0</v>
      </c>
      <c r="BC66" s="258">
        <f t="shared" si="39"/>
        <v>0</v>
      </c>
      <c r="BD66" s="137">
        <f t="shared" si="52"/>
        <v>0</v>
      </c>
      <c r="BE66" s="137">
        <f t="shared" si="52"/>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-0.45187663113673437</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0.92777993663970204</v>
      </c>
      <c r="BP66" s="137"/>
      <c r="BQ66" s="137"/>
      <c r="BR66" s="137"/>
      <c r="BS66" s="137"/>
      <c r="BV66" s="262">
        <v>3.2540160642570277</v>
      </c>
      <c r="BW66" s="136">
        <v>3.2509999999999999</v>
      </c>
      <c r="BX66" s="137">
        <v>0.54</v>
      </c>
      <c r="BY66" s="137">
        <v>0.54</v>
      </c>
      <c r="BZ66" s="137">
        <v>0</v>
      </c>
      <c r="CA66" s="137">
        <v>2.3274064967752799E-2</v>
      </c>
      <c r="CB66" s="137">
        <v>0</v>
      </c>
      <c r="CC66" s="258">
        <v>0</v>
      </c>
      <c r="CD66" s="258">
        <v>0.03</v>
      </c>
      <c r="CE66" s="258">
        <v>0.04</v>
      </c>
      <c r="CF66" s="258">
        <v>0</v>
      </c>
      <c r="CG66" s="258">
        <v>5.9999999999999995E-4</v>
      </c>
      <c r="CH66" s="258">
        <v>0</v>
      </c>
      <c r="CI66" s="258">
        <v>3.2109999999999999</v>
      </c>
      <c r="CJ66" s="258"/>
      <c r="CK66" s="258"/>
      <c r="CL66" s="258"/>
      <c r="CM66" s="258"/>
    </row>
    <row r="67" spans="1:91" x14ac:dyDescent="0.25">
      <c r="A67" s="723"/>
      <c r="B67" s="723"/>
      <c r="D67" s="31">
        <f t="shared" si="41"/>
        <v>37575</v>
      </c>
      <c r="F67" s="28">
        <f t="shared" si="12"/>
        <v>15600</v>
      </c>
      <c r="G67" s="28">
        <f t="shared" si="13"/>
        <v>0</v>
      </c>
      <c r="H67" s="52">
        <f t="shared" si="14"/>
        <v>3.2540160642570277</v>
      </c>
      <c r="I67" s="52">
        <f t="shared" si="15"/>
        <v>3.2509999999999999</v>
      </c>
      <c r="K67" s="52">
        <f t="shared" si="42"/>
        <v>0</v>
      </c>
      <c r="L67" s="135">
        <f t="shared" si="43"/>
        <v>0</v>
      </c>
      <c r="N67" s="131">
        <f t="shared" si="44"/>
        <v>0.54</v>
      </c>
      <c r="O67" s="131">
        <f t="shared" si="45"/>
        <v>0.54</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16"/>
        <v>0</v>
      </c>
      <c r="W67" s="146"/>
      <c r="X67" s="338">
        <f t="shared" si="17"/>
        <v>0</v>
      </c>
      <c r="Y67" s="338">
        <f t="shared" si="18"/>
        <v>0</v>
      </c>
      <c r="Z67" s="338">
        <f t="shared" si="19"/>
        <v>0</v>
      </c>
      <c r="AA67" s="338">
        <f t="shared" si="20"/>
        <v>0</v>
      </c>
      <c r="AB67" s="338">
        <f t="shared" si="21"/>
        <v>0</v>
      </c>
      <c r="AC67" s="338">
        <f t="shared" si="22"/>
        <v>0</v>
      </c>
      <c r="AF67" s="138">
        <f t="shared" si="23"/>
        <v>0</v>
      </c>
      <c r="AG67" s="138">
        <f t="shared" si="24"/>
        <v>11</v>
      </c>
      <c r="AH67" s="138">
        <f t="shared" si="51"/>
        <v>0</v>
      </c>
      <c r="AI67" s="138">
        <f t="shared" si="47"/>
        <v>319</v>
      </c>
      <c r="AJ67" s="138">
        <f t="shared" si="26"/>
        <v>336</v>
      </c>
      <c r="AL67" s="136">
        <f t="shared" si="27"/>
        <v>3.2109999999999999</v>
      </c>
      <c r="AM67" s="258">
        <f t="shared" si="48"/>
        <v>0</v>
      </c>
      <c r="AN67" s="258">
        <f t="shared" si="28"/>
        <v>0.03</v>
      </c>
      <c r="AO67" s="258">
        <f t="shared" si="29"/>
        <v>0.04</v>
      </c>
      <c r="AP67" s="258">
        <f t="shared" si="30"/>
        <v>0</v>
      </c>
      <c r="AQ67" s="136">
        <f t="shared" si="31"/>
        <v>5.9999999999999995E-4</v>
      </c>
      <c r="AR67" s="137">
        <f t="shared" si="32"/>
        <v>4.0000000000000001E-3</v>
      </c>
      <c r="AS67" s="136">
        <f t="shared" si="49"/>
        <v>3.2409999999999997</v>
      </c>
      <c r="AT67" s="137">
        <f t="shared" si="33"/>
        <v>2.3274064967752799E-2</v>
      </c>
      <c r="AU67" s="137">
        <f t="shared" si="34"/>
        <v>0</v>
      </c>
      <c r="AV67" s="394">
        <f t="shared" si="50"/>
        <v>0</v>
      </c>
      <c r="AW67" s="137">
        <f t="shared" si="35"/>
        <v>0.54</v>
      </c>
      <c r="AX67" s="137">
        <f t="shared" si="36"/>
        <v>0.95</v>
      </c>
      <c r="AY67" s="137">
        <f t="shared" si="37"/>
        <v>0.85</v>
      </c>
      <c r="AZ67" s="137"/>
      <c r="BA67" s="264"/>
      <c r="BB67" s="258">
        <f t="shared" si="38"/>
        <v>0</v>
      </c>
      <c r="BC67" s="258">
        <f t="shared" si="39"/>
        <v>0</v>
      </c>
      <c r="BD67" s="137">
        <f t="shared" si="52"/>
        <v>0</v>
      </c>
      <c r="BE67" s="137">
        <f t="shared" si="52"/>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-0.45187663113673437</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0.92777993663970204</v>
      </c>
      <c r="BP67" s="137"/>
      <c r="BQ67" s="137"/>
      <c r="BR67" s="137"/>
      <c r="BS67" s="137"/>
      <c r="BV67" s="262">
        <v>3.2540160642570277</v>
      </c>
      <c r="BW67" s="136">
        <v>3.2509999999999999</v>
      </c>
      <c r="BX67" s="137">
        <v>0.54</v>
      </c>
      <c r="BY67" s="137">
        <v>0.54</v>
      </c>
      <c r="BZ67" s="137">
        <v>0</v>
      </c>
      <c r="CA67" s="137">
        <v>2.3274064967752799E-2</v>
      </c>
      <c r="CB67" s="137">
        <v>0</v>
      </c>
      <c r="CC67" s="258">
        <v>0</v>
      </c>
      <c r="CD67" s="258">
        <v>0.03</v>
      </c>
      <c r="CE67" s="258">
        <v>0.04</v>
      </c>
      <c r="CF67" s="258">
        <v>0</v>
      </c>
      <c r="CG67" s="258">
        <v>5.9999999999999995E-4</v>
      </c>
      <c r="CH67" s="258">
        <v>0</v>
      </c>
      <c r="CI67" s="258">
        <v>3.2109999999999999</v>
      </c>
      <c r="CJ67" s="258"/>
      <c r="CK67" s="258"/>
      <c r="CL67" s="258"/>
      <c r="CM67" s="258"/>
    </row>
    <row r="68" spans="1:91" x14ac:dyDescent="0.25">
      <c r="A68" s="723"/>
      <c r="B68" s="723"/>
      <c r="D68" s="31">
        <f t="shared" si="41"/>
        <v>37575</v>
      </c>
      <c r="F68" s="28">
        <f t="shared" si="12"/>
        <v>15600</v>
      </c>
      <c r="G68" s="28">
        <f t="shared" si="13"/>
        <v>0</v>
      </c>
      <c r="H68" s="52">
        <f t="shared" si="14"/>
        <v>3.2540160642570277</v>
      </c>
      <c r="I68" s="52">
        <f t="shared" si="15"/>
        <v>3.2509999999999999</v>
      </c>
      <c r="K68" s="52">
        <f t="shared" si="42"/>
        <v>0</v>
      </c>
      <c r="L68" s="135">
        <f t="shared" si="43"/>
        <v>0</v>
      </c>
      <c r="N68" s="131">
        <f t="shared" si="44"/>
        <v>0.54</v>
      </c>
      <c r="O68" s="131">
        <f t="shared" si="45"/>
        <v>0.54</v>
      </c>
      <c r="P68" s="55">
        <f t="shared" si="46"/>
        <v>0</v>
      </c>
      <c r="Q68" s="135">
        <f>_xll.xSPRDOPT(I68,H68,AQ68,0,O68,N68,P68,D68-$G$5,1,0)*AH68*AU68</f>
        <v>0</v>
      </c>
      <c r="R68" s="135"/>
      <c r="S68" s="181">
        <f>_xll.xSPRDOPT(I68,H68,AQ68,AT68,O68,N68,P68,D68-$G$5,1,2)*AF68*(F68/(1-AR68))*AH68</f>
        <v>0</v>
      </c>
      <c r="T68" s="181">
        <f>_xll.xSPRDOPT(I68,H68,AQ68,AT68,O68,N68,P68,D68-$G$5,1,1)*AF68*F68*AH68</f>
        <v>0</v>
      </c>
      <c r="U68" s="135"/>
      <c r="V68" s="146">
        <f t="shared" si="16"/>
        <v>0</v>
      </c>
      <c r="W68" s="146"/>
      <c r="X68" s="338">
        <f t="shared" si="17"/>
        <v>0</v>
      </c>
      <c r="Y68" s="338">
        <f t="shared" si="18"/>
        <v>0</v>
      </c>
      <c r="Z68" s="338">
        <f t="shared" si="19"/>
        <v>0</v>
      </c>
      <c r="AA68" s="338">
        <f t="shared" si="20"/>
        <v>0</v>
      </c>
      <c r="AB68" s="338">
        <f t="shared" si="21"/>
        <v>0</v>
      </c>
      <c r="AC68" s="338">
        <f t="shared" si="22"/>
        <v>0</v>
      </c>
      <c r="AF68" s="138">
        <f t="shared" si="23"/>
        <v>0</v>
      </c>
      <c r="AG68" s="138">
        <f t="shared" si="24"/>
        <v>11</v>
      </c>
      <c r="AH68" s="138">
        <f t="shared" si="51"/>
        <v>0</v>
      </c>
      <c r="AI68" s="138">
        <f t="shared" si="47"/>
        <v>319</v>
      </c>
      <c r="AJ68" s="138">
        <f t="shared" si="26"/>
        <v>336</v>
      </c>
      <c r="AL68" s="136">
        <f t="shared" si="27"/>
        <v>3.2109999999999999</v>
      </c>
      <c r="AM68" s="258">
        <f t="shared" si="48"/>
        <v>0</v>
      </c>
      <c r="AN68" s="258">
        <f t="shared" si="28"/>
        <v>0.03</v>
      </c>
      <c r="AO68" s="258">
        <f t="shared" si="29"/>
        <v>0.04</v>
      </c>
      <c r="AP68" s="258">
        <f t="shared" si="30"/>
        <v>0</v>
      </c>
      <c r="AQ68" s="136">
        <f t="shared" si="31"/>
        <v>5.9999999999999995E-4</v>
      </c>
      <c r="AR68" s="137">
        <f t="shared" si="32"/>
        <v>4.0000000000000001E-3</v>
      </c>
      <c r="AS68" s="136">
        <f t="shared" si="49"/>
        <v>3.2409999999999997</v>
      </c>
      <c r="AT68" s="137">
        <f t="shared" si="33"/>
        <v>2.3274064967752799E-2</v>
      </c>
      <c r="AU68" s="137">
        <f t="shared" si="34"/>
        <v>0</v>
      </c>
      <c r="AV68" s="394">
        <f t="shared" si="50"/>
        <v>0</v>
      </c>
      <c r="AW68" s="137">
        <f t="shared" si="35"/>
        <v>0.54</v>
      </c>
      <c r="AX68" s="137">
        <f t="shared" si="36"/>
        <v>0.95</v>
      </c>
      <c r="AY68" s="137">
        <f t="shared" si="37"/>
        <v>0.85</v>
      </c>
      <c r="AZ68" s="137"/>
      <c r="BA68" s="264"/>
      <c r="BB68" s="258">
        <f t="shared" si="38"/>
        <v>0</v>
      </c>
      <c r="BC68" s="258">
        <f t="shared" si="39"/>
        <v>0</v>
      </c>
      <c r="BD68" s="137">
        <f t="shared" si="52"/>
        <v>0</v>
      </c>
      <c r="BE68" s="137">
        <f t="shared" si="52"/>
        <v>0</v>
      </c>
      <c r="BF68" s="137">
        <f>_xll.xSPRDOPT($BW68,$BV68,$CG68,0,$BY68,$BX68,$BZ68,$AJ68,1,4)*$CB68</f>
        <v>0</v>
      </c>
      <c r="BG68" s="137">
        <f>_xll.xSPRDOPT($BW68,$BV68,$CG68,0,$BY68,$BX68,$BZ68,$AJ68,1,3)*$CB68</f>
        <v>0</v>
      </c>
      <c r="BH68" s="137">
        <f>IF(OR(BF68&lt;&gt;0,BG68&lt;&gt;0),_xll.xSPRDOPT($BW68,$BV68,$CG68,0,$BY68,$BX68,$BZ68,$AJ68,1,12)*$CB68,0)</f>
        <v>0</v>
      </c>
      <c r="BI68" s="137">
        <f>_xll.xSPRDOPT($BW68,$BV68,$CG68,2*LN(1+CA68/2),$BY68,$BX68,$BZ68,$AJ68,1,9)</f>
        <v>-0.45187663113673437</v>
      </c>
      <c r="BJ68" s="137">
        <f>_xll.xSPRDOPT($BW68,$BV68,$CG68,0,$BY68,$BX68,$BZ68,$AJ68,1,6)*$CB68</f>
        <v>0</v>
      </c>
      <c r="BK68" s="137">
        <f>_xll.xSPRDOPT($BW68,$BV68,$CG68,0,$BY68,$BX68,$BZ68,$AJ68,1,5)*$CB68</f>
        <v>0</v>
      </c>
      <c r="BL68" s="137">
        <f>_xll.xSPRDOPT(BW68,BV68,CG68,0,BY68,BX68,BZ68,AJ68,1,2)*CB68</f>
        <v>0</v>
      </c>
      <c r="BM68" s="137">
        <f>_xll.xSPRDOPT(BW68,BV68,CG68,0,BY68,BX68,BZ68,AJ68,1,1)*CB68</f>
        <v>0</v>
      </c>
      <c r="BN68" s="137">
        <f>IF(AH68&lt;&gt;0,_xll.xSPRDOPT($BW68,$BV68,$CG68,2*LN(1+CA68/2),$BY68,$BX68,$BZ68,$AJ68,1,8)+(AJ68/365.25)*CH68/AH68,0)</f>
        <v>0</v>
      </c>
      <c r="BO68" s="137">
        <f>_xll.xSPRDOPT($BW68,$BV68,$CG68,0,$BY68,$BX68,$BZ68,$AJ68,1,0)</f>
        <v>0.92777993663970204</v>
      </c>
      <c r="BP68" s="137"/>
      <c r="BQ68" s="137"/>
      <c r="BR68" s="137"/>
      <c r="BS68" s="137"/>
      <c r="BV68" s="262">
        <v>3.2540160642570277</v>
      </c>
      <c r="BW68" s="136">
        <v>3.2509999999999999</v>
      </c>
      <c r="BX68" s="137">
        <v>0.54</v>
      </c>
      <c r="BY68" s="137">
        <v>0.54</v>
      </c>
      <c r="BZ68" s="137">
        <v>0</v>
      </c>
      <c r="CA68" s="137">
        <v>2.3274064967752799E-2</v>
      </c>
      <c r="CB68" s="137">
        <v>0</v>
      </c>
      <c r="CC68" s="258">
        <v>0</v>
      </c>
      <c r="CD68" s="258">
        <v>0.03</v>
      </c>
      <c r="CE68" s="258">
        <v>0.04</v>
      </c>
      <c r="CF68" s="258">
        <v>0</v>
      </c>
      <c r="CG68" s="258">
        <v>5.9999999999999995E-4</v>
      </c>
      <c r="CH68" s="258">
        <v>0</v>
      </c>
      <c r="CI68" s="258">
        <v>3.2109999999999999</v>
      </c>
      <c r="CJ68" s="258"/>
      <c r="CK68" s="258"/>
      <c r="CL68" s="258"/>
      <c r="CM68" s="258"/>
    </row>
    <row r="69" spans="1:91" x14ac:dyDescent="0.25">
      <c r="A69" s="723"/>
      <c r="B69" s="723"/>
      <c r="D69" s="31">
        <f t="shared" si="41"/>
        <v>37575</v>
      </c>
      <c r="F69" s="28">
        <f t="shared" si="12"/>
        <v>15600</v>
      </c>
      <c r="G69" s="28">
        <f t="shared" si="13"/>
        <v>0</v>
      </c>
      <c r="H69" s="52">
        <f t="shared" si="14"/>
        <v>3.2540160642570277</v>
      </c>
      <c r="I69" s="52">
        <f t="shared" si="15"/>
        <v>3.2509999999999999</v>
      </c>
      <c r="K69" s="52">
        <f t="shared" si="42"/>
        <v>0</v>
      </c>
      <c r="L69" s="135">
        <f t="shared" si="43"/>
        <v>0</v>
      </c>
      <c r="N69" s="131">
        <f t="shared" si="44"/>
        <v>0.54</v>
      </c>
      <c r="O69" s="131">
        <f t="shared" si="45"/>
        <v>0.54</v>
      </c>
      <c r="P69" s="55">
        <f t="shared" si="46"/>
        <v>0</v>
      </c>
      <c r="Q69" s="135">
        <f>_xll.xSPRDOPT(I69,H69,AQ69,0,O69,N69,P69,D69-$G$5,1,0)*AH69*AU69</f>
        <v>0</v>
      </c>
      <c r="R69" s="135"/>
      <c r="S69" s="181">
        <f>_xll.xSPRDOPT(I69,H69,AQ69,AT69,O69,N69,P69,D69-$G$5,1,2)*AF69*(F69/(1-AR69))*AH69</f>
        <v>0</v>
      </c>
      <c r="T69" s="181">
        <f>_xll.xSPRDOPT(I69,H69,AQ69,AT69,O69,N69,P69,D69-$G$5,1,1)*AF69*F69*AH69</f>
        <v>0</v>
      </c>
      <c r="U69" s="135"/>
      <c r="V69" s="146">
        <f t="shared" si="16"/>
        <v>0</v>
      </c>
      <c r="W69" s="146"/>
      <c r="X69" s="338">
        <f t="shared" si="17"/>
        <v>0</v>
      </c>
      <c r="Y69" s="338">
        <f t="shared" si="18"/>
        <v>0</v>
      </c>
      <c r="Z69" s="338">
        <f t="shared" si="19"/>
        <v>0</v>
      </c>
      <c r="AA69" s="338">
        <f t="shared" si="20"/>
        <v>0</v>
      </c>
      <c r="AB69" s="338">
        <f t="shared" si="21"/>
        <v>0</v>
      </c>
      <c r="AC69" s="338">
        <f t="shared" si="22"/>
        <v>0</v>
      </c>
      <c r="AF69" s="138">
        <f t="shared" si="23"/>
        <v>0</v>
      </c>
      <c r="AG69" s="138">
        <f t="shared" si="24"/>
        <v>11</v>
      </c>
      <c r="AH69" s="138">
        <f t="shared" si="51"/>
        <v>0</v>
      </c>
      <c r="AI69" s="138">
        <f t="shared" si="47"/>
        <v>319</v>
      </c>
      <c r="AJ69" s="138">
        <f t="shared" si="26"/>
        <v>336</v>
      </c>
      <c r="AL69" s="136">
        <f t="shared" si="27"/>
        <v>3.2109999999999999</v>
      </c>
      <c r="AM69" s="258">
        <f t="shared" si="48"/>
        <v>0</v>
      </c>
      <c r="AN69" s="258">
        <f t="shared" si="28"/>
        <v>0.03</v>
      </c>
      <c r="AO69" s="258">
        <f t="shared" si="29"/>
        <v>0.04</v>
      </c>
      <c r="AP69" s="258">
        <f t="shared" si="30"/>
        <v>0</v>
      </c>
      <c r="AQ69" s="136">
        <f t="shared" si="31"/>
        <v>5.9999999999999995E-4</v>
      </c>
      <c r="AR69" s="137">
        <f t="shared" si="32"/>
        <v>4.0000000000000001E-3</v>
      </c>
      <c r="AS69" s="136">
        <f t="shared" si="49"/>
        <v>3.2409999999999997</v>
      </c>
      <c r="AT69" s="137">
        <f t="shared" si="33"/>
        <v>2.3274064967752799E-2</v>
      </c>
      <c r="AU69" s="137">
        <f t="shared" si="34"/>
        <v>0</v>
      </c>
      <c r="AV69" s="394">
        <f t="shared" si="50"/>
        <v>0</v>
      </c>
      <c r="AW69" s="137">
        <f t="shared" si="35"/>
        <v>0.54</v>
      </c>
      <c r="AX69" s="137">
        <f t="shared" si="36"/>
        <v>0.95</v>
      </c>
      <c r="AY69" s="137">
        <f t="shared" si="37"/>
        <v>0.85</v>
      </c>
      <c r="AZ69" s="137"/>
      <c r="BA69" s="264"/>
      <c r="BB69" s="258">
        <f t="shared" si="38"/>
        <v>0</v>
      </c>
      <c r="BC69" s="258">
        <f t="shared" si="39"/>
        <v>0</v>
      </c>
      <c r="BD69" s="137">
        <f t="shared" si="52"/>
        <v>0</v>
      </c>
      <c r="BE69" s="137">
        <f t="shared" si="52"/>
        <v>0</v>
      </c>
      <c r="BF69" s="137">
        <f>_xll.xSPRDOPT($BW69,$BV69,$CG69,0,$BY69,$BX69,$BZ69,$AJ69,1,4)*$CB69</f>
        <v>0</v>
      </c>
      <c r="BG69" s="137">
        <f>_xll.xSPRDOPT($BW69,$BV69,$CG69,0,$BY69,$BX69,$BZ69,$AJ69,1,3)*$CB69</f>
        <v>0</v>
      </c>
      <c r="BH69" s="137">
        <f>IF(OR(BF69&lt;&gt;0,BG69&lt;&gt;0),_xll.xSPRDOPT($BW69,$BV69,$CG69,0,$BY69,$BX69,$BZ69,$AJ69,1,12)*$CB69,0)</f>
        <v>0</v>
      </c>
      <c r="BI69" s="137">
        <f>_xll.xSPRDOPT($BW69,$BV69,$CG69,2*LN(1+CA69/2),$BY69,$BX69,$BZ69,$AJ69,1,9)</f>
        <v>-0.45187663113673437</v>
      </c>
      <c r="BJ69" s="137">
        <f>_xll.xSPRDOPT($BW69,$BV69,$CG69,0,$BY69,$BX69,$BZ69,$AJ69,1,6)*$CB69</f>
        <v>0</v>
      </c>
      <c r="BK69" s="137">
        <f>_xll.xSPRDOPT($BW69,$BV69,$CG69,0,$BY69,$BX69,$BZ69,$AJ69,1,5)*$CB69</f>
        <v>0</v>
      </c>
      <c r="BL69" s="137">
        <f>_xll.xSPRDOPT(BW69,BV69,CG69,0,BY69,BX69,BZ69,AJ69,1,2)*CB69</f>
        <v>0</v>
      </c>
      <c r="BM69" s="137">
        <f>_xll.xSPRDOPT(BW69,BV69,CG69,0,BY69,BX69,BZ69,AJ69,1,1)*CB69</f>
        <v>0</v>
      </c>
      <c r="BN69" s="137">
        <f>IF(AH69&lt;&gt;0,_xll.xSPRDOPT($BW69,$BV69,$CG69,2*LN(1+CA69/2),$BY69,$BX69,$BZ69,$AJ69,1,8)+(AJ69/365.25)*CH69/AH69,0)</f>
        <v>0</v>
      </c>
      <c r="BO69" s="137">
        <f>_xll.xSPRDOPT($BW69,$BV69,$CG69,0,$BY69,$BX69,$BZ69,$AJ69,1,0)</f>
        <v>0.92777993663970204</v>
      </c>
      <c r="BP69" s="137"/>
      <c r="BQ69" s="137"/>
      <c r="BR69" s="137"/>
      <c r="BS69" s="137"/>
      <c r="BV69" s="262">
        <v>3.2540160642570277</v>
      </c>
      <c r="BW69" s="136">
        <v>3.2509999999999999</v>
      </c>
      <c r="BX69" s="137">
        <v>0.54</v>
      </c>
      <c r="BY69" s="137">
        <v>0.54</v>
      </c>
      <c r="BZ69" s="137">
        <v>0</v>
      </c>
      <c r="CA69" s="137">
        <v>2.3274064967752799E-2</v>
      </c>
      <c r="CB69" s="137">
        <v>0</v>
      </c>
      <c r="CC69" s="258">
        <v>0</v>
      </c>
      <c r="CD69" s="258">
        <v>0.03</v>
      </c>
      <c r="CE69" s="258">
        <v>0.04</v>
      </c>
      <c r="CF69" s="258">
        <v>0</v>
      </c>
      <c r="CG69" s="258">
        <v>5.9999999999999995E-4</v>
      </c>
      <c r="CH69" s="258">
        <v>0</v>
      </c>
      <c r="CI69" s="258">
        <v>3.2109999999999999</v>
      </c>
      <c r="CJ69" s="258"/>
      <c r="CK69" s="258"/>
      <c r="CL69" s="258"/>
      <c r="CM69" s="258"/>
    </row>
    <row r="70" spans="1:91" x14ac:dyDescent="0.25">
      <c r="A70" s="723"/>
      <c r="B70" s="723"/>
      <c r="D70" s="31">
        <f t="shared" si="41"/>
        <v>37575</v>
      </c>
      <c r="F70" s="28">
        <f t="shared" si="12"/>
        <v>15600</v>
      </c>
      <c r="G70" s="28">
        <f t="shared" si="13"/>
        <v>0</v>
      </c>
      <c r="H70" s="52">
        <f t="shared" si="14"/>
        <v>3.2540160642570277</v>
      </c>
      <c r="I70" s="52">
        <f t="shared" si="15"/>
        <v>3.2509999999999999</v>
      </c>
      <c r="K70" s="52">
        <f t="shared" si="42"/>
        <v>0</v>
      </c>
      <c r="L70" s="135">
        <f t="shared" si="43"/>
        <v>0</v>
      </c>
      <c r="N70" s="131">
        <f t="shared" si="44"/>
        <v>0.54</v>
      </c>
      <c r="O70" s="131">
        <f t="shared" si="45"/>
        <v>0.54</v>
      </c>
      <c r="P70" s="55">
        <f t="shared" si="46"/>
        <v>0</v>
      </c>
      <c r="Q70" s="135">
        <f>_xll.xSPRDOPT(I70,H70,AQ70,0,O70,N70,P70,D70-$G$5,1,0)*AH70*AU70</f>
        <v>0</v>
      </c>
      <c r="R70" s="135"/>
      <c r="S70" s="181">
        <f>_xll.xSPRDOPT(I70,H70,AQ70,AT70,O70,N70,P70,D70-$G$5,1,2)*AF70*(F70/(1-AR70))*AH70</f>
        <v>0</v>
      </c>
      <c r="T70" s="181">
        <f>_xll.xSPRDOPT(I70,H70,AQ70,AT70,O70,N70,P70,D70-$G$5,1,1)*AF70*F70*AH70</f>
        <v>0</v>
      </c>
      <c r="U70" s="135"/>
      <c r="V70" s="146">
        <f t="shared" si="16"/>
        <v>0</v>
      </c>
      <c r="W70" s="146"/>
      <c r="X70" s="338">
        <f t="shared" si="17"/>
        <v>0</v>
      </c>
      <c r="Y70" s="338">
        <f t="shared" si="18"/>
        <v>0</v>
      </c>
      <c r="Z70" s="338">
        <f t="shared" si="19"/>
        <v>0</v>
      </c>
      <c r="AA70" s="338">
        <f t="shared" si="20"/>
        <v>0</v>
      </c>
      <c r="AB70" s="338">
        <f t="shared" si="21"/>
        <v>0</v>
      </c>
      <c r="AC70" s="338">
        <f t="shared" si="22"/>
        <v>0</v>
      </c>
      <c r="AF70" s="138">
        <f t="shared" si="23"/>
        <v>0</v>
      </c>
      <c r="AG70" s="138">
        <f t="shared" si="24"/>
        <v>11</v>
      </c>
      <c r="AH70" s="138">
        <f t="shared" si="51"/>
        <v>0</v>
      </c>
      <c r="AI70" s="138">
        <f t="shared" si="47"/>
        <v>319</v>
      </c>
      <c r="AJ70" s="138">
        <f t="shared" si="26"/>
        <v>336</v>
      </c>
      <c r="AL70" s="136">
        <f t="shared" si="27"/>
        <v>3.2109999999999999</v>
      </c>
      <c r="AM70" s="258">
        <f t="shared" si="48"/>
        <v>0</v>
      </c>
      <c r="AN70" s="258">
        <f t="shared" si="28"/>
        <v>0.03</v>
      </c>
      <c r="AO70" s="258">
        <f t="shared" si="29"/>
        <v>0.04</v>
      </c>
      <c r="AP70" s="258">
        <f t="shared" si="30"/>
        <v>0</v>
      </c>
      <c r="AQ70" s="136">
        <f t="shared" si="31"/>
        <v>5.9999999999999995E-4</v>
      </c>
      <c r="AR70" s="137">
        <f t="shared" si="32"/>
        <v>4.0000000000000001E-3</v>
      </c>
      <c r="AS70" s="136">
        <f t="shared" si="49"/>
        <v>3.2409999999999997</v>
      </c>
      <c r="AT70" s="137">
        <f t="shared" si="33"/>
        <v>2.3274064967752799E-2</v>
      </c>
      <c r="AU70" s="137">
        <f t="shared" si="34"/>
        <v>0</v>
      </c>
      <c r="AV70" s="394">
        <f t="shared" si="50"/>
        <v>0</v>
      </c>
      <c r="AW70" s="137">
        <f t="shared" si="35"/>
        <v>0.54</v>
      </c>
      <c r="AX70" s="137">
        <f t="shared" si="36"/>
        <v>0.95</v>
      </c>
      <c r="AY70" s="137">
        <f t="shared" si="37"/>
        <v>0.85</v>
      </c>
      <c r="AZ70" s="137"/>
      <c r="BA70" s="264"/>
      <c r="BB70" s="258">
        <f t="shared" si="38"/>
        <v>0</v>
      </c>
      <c r="BC70" s="258">
        <f t="shared" si="39"/>
        <v>0</v>
      </c>
      <c r="BD70" s="137">
        <f t="shared" si="52"/>
        <v>0</v>
      </c>
      <c r="BE70" s="137">
        <f t="shared" si="52"/>
        <v>0</v>
      </c>
      <c r="BF70" s="137">
        <f>_xll.xSPRDOPT($BW70,$BV70,$CG70,0,$BY70,$BX70,$BZ70,$AJ70,1,4)*$CB70</f>
        <v>0</v>
      </c>
      <c r="BG70" s="137">
        <f>_xll.xSPRDOPT($BW70,$BV70,$CG70,0,$BY70,$BX70,$BZ70,$AJ70,1,3)*$CB70</f>
        <v>0</v>
      </c>
      <c r="BH70" s="137">
        <f>IF(OR(BF70&lt;&gt;0,BG70&lt;&gt;0),_xll.xSPRDOPT($BW70,$BV70,$CG70,0,$BY70,$BX70,$BZ70,$AJ70,1,12)*$CB70,0)</f>
        <v>0</v>
      </c>
      <c r="BI70" s="137">
        <f>_xll.xSPRDOPT($BW70,$BV70,$CG70,2*LN(1+CA70/2),$BY70,$BX70,$BZ70,$AJ70,1,9)</f>
        <v>-0.45187663113673437</v>
      </c>
      <c r="BJ70" s="137">
        <f>_xll.xSPRDOPT($BW70,$BV70,$CG70,0,$BY70,$BX70,$BZ70,$AJ70,1,6)*$CB70</f>
        <v>0</v>
      </c>
      <c r="BK70" s="137">
        <f>_xll.xSPRDOPT($BW70,$BV70,$CG70,0,$BY70,$BX70,$BZ70,$AJ70,1,5)*$CB70</f>
        <v>0</v>
      </c>
      <c r="BL70" s="137">
        <f>_xll.xSPRDOPT(BW70,BV70,CG70,0,BY70,BX70,BZ70,AJ70,1,2)*CB70</f>
        <v>0</v>
      </c>
      <c r="BM70" s="137">
        <f>_xll.xSPRDOPT(BW70,BV70,CG70,0,BY70,BX70,BZ70,AJ70,1,1)*CB70</f>
        <v>0</v>
      </c>
      <c r="BN70" s="137">
        <f>IF(AH70&lt;&gt;0,_xll.xSPRDOPT($BW70,$BV70,$CG70,2*LN(1+CA70/2),$BY70,$BX70,$BZ70,$AJ70,1,8)+(AJ70/365.25)*CH70/AH70,0)</f>
        <v>0</v>
      </c>
      <c r="BO70" s="137">
        <f>_xll.xSPRDOPT($BW70,$BV70,$CG70,0,$BY70,$BX70,$BZ70,$AJ70,1,0)</f>
        <v>0.92777993663970204</v>
      </c>
      <c r="BP70" s="137"/>
      <c r="BQ70" s="137"/>
      <c r="BR70" s="137"/>
      <c r="BS70" s="137"/>
      <c r="BV70" s="262">
        <v>3.2540160642570277</v>
      </c>
      <c r="BW70" s="136">
        <v>3.2509999999999999</v>
      </c>
      <c r="BX70" s="137">
        <v>0.54</v>
      </c>
      <c r="BY70" s="137">
        <v>0.54</v>
      </c>
      <c r="BZ70" s="137">
        <v>0</v>
      </c>
      <c r="CA70" s="137">
        <v>2.3274064967752799E-2</v>
      </c>
      <c r="CB70" s="137">
        <v>0</v>
      </c>
      <c r="CC70" s="258">
        <v>0</v>
      </c>
      <c r="CD70" s="258">
        <v>0.03</v>
      </c>
      <c r="CE70" s="258">
        <v>0.04</v>
      </c>
      <c r="CF70" s="258">
        <v>0</v>
      </c>
      <c r="CG70" s="258">
        <v>5.9999999999999995E-4</v>
      </c>
      <c r="CH70" s="258">
        <v>0</v>
      </c>
      <c r="CI70" s="258">
        <v>3.2109999999999999</v>
      </c>
      <c r="CJ70" s="258"/>
      <c r="CK70" s="258"/>
      <c r="CL70" s="258"/>
      <c r="CM70" s="258"/>
    </row>
    <row r="71" spans="1:91" x14ac:dyDescent="0.25">
      <c r="A71" s="723"/>
      <c r="B71" s="723"/>
      <c r="D71" s="31">
        <f t="shared" si="41"/>
        <v>37575</v>
      </c>
      <c r="F71" s="28">
        <f t="shared" si="12"/>
        <v>15600</v>
      </c>
      <c r="G71" s="28">
        <f t="shared" si="13"/>
        <v>0</v>
      </c>
      <c r="H71" s="52">
        <f t="shared" si="14"/>
        <v>3.2540160642570277</v>
      </c>
      <c r="I71" s="52">
        <f t="shared" si="15"/>
        <v>3.2509999999999999</v>
      </c>
      <c r="K71" s="52">
        <f t="shared" si="42"/>
        <v>0</v>
      </c>
      <c r="L71" s="135">
        <f t="shared" si="43"/>
        <v>0</v>
      </c>
      <c r="N71" s="131">
        <f t="shared" si="44"/>
        <v>0.54</v>
      </c>
      <c r="O71" s="131">
        <f t="shared" si="45"/>
        <v>0.54</v>
      </c>
      <c r="P71" s="55">
        <f t="shared" si="46"/>
        <v>0</v>
      </c>
      <c r="Q71" s="135">
        <f>_xll.xSPRDOPT(I71,H71,AQ71,0,O71,N71,P71,D71-$G$5,1,0)*AH71*AU71</f>
        <v>0</v>
      </c>
      <c r="R71" s="135"/>
      <c r="S71" s="181">
        <f>_xll.xSPRDOPT(I71,H71,AQ71,AT71,O71,N71,P71,D71-$G$5,1,2)*AF71*(F71/(1-AR71))*AH71</f>
        <v>0</v>
      </c>
      <c r="T71" s="181">
        <f>_xll.xSPRDOPT(I71,H71,AQ71,AT71,O71,N71,P71,D71-$G$5,1,1)*AF71*F71*AH71</f>
        <v>0</v>
      </c>
      <c r="U71" s="135"/>
      <c r="V71" s="146">
        <f t="shared" si="16"/>
        <v>0</v>
      </c>
      <c r="W71" s="146"/>
      <c r="X71" s="338">
        <f t="shared" si="17"/>
        <v>0</v>
      </c>
      <c r="Y71" s="338">
        <f t="shared" si="18"/>
        <v>0</v>
      </c>
      <c r="Z71" s="338">
        <f t="shared" si="19"/>
        <v>0</v>
      </c>
      <c r="AA71" s="338">
        <f t="shared" si="20"/>
        <v>0</v>
      </c>
      <c r="AB71" s="338">
        <f t="shared" si="21"/>
        <v>0</v>
      </c>
      <c r="AC71" s="338">
        <f t="shared" si="22"/>
        <v>0</v>
      </c>
      <c r="AF71" s="138">
        <f t="shared" si="23"/>
        <v>0</v>
      </c>
      <c r="AG71" s="138">
        <f t="shared" si="24"/>
        <v>11</v>
      </c>
      <c r="AH71" s="138">
        <f t="shared" si="51"/>
        <v>0</v>
      </c>
      <c r="AI71" s="138">
        <f t="shared" si="47"/>
        <v>319</v>
      </c>
      <c r="AJ71" s="138">
        <f t="shared" si="26"/>
        <v>336</v>
      </c>
      <c r="AL71" s="136">
        <f t="shared" si="27"/>
        <v>3.2109999999999999</v>
      </c>
      <c r="AM71" s="258">
        <f t="shared" si="48"/>
        <v>0</v>
      </c>
      <c r="AN71" s="258">
        <f t="shared" si="28"/>
        <v>0.03</v>
      </c>
      <c r="AO71" s="258">
        <f t="shared" si="29"/>
        <v>0.04</v>
      </c>
      <c r="AP71" s="258">
        <f t="shared" si="30"/>
        <v>0</v>
      </c>
      <c r="AQ71" s="136">
        <f t="shared" si="31"/>
        <v>5.9999999999999995E-4</v>
      </c>
      <c r="AR71" s="137">
        <f t="shared" si="32"/>
        <v>4.0000000000000001E-3</v>
      </c>
      <c r="AS71" s="136">
        <f t="shared" si="49"/>
        <v>3.2409999999999997</v>
      </c>
      <c r="AT71" s="137">
        <f t="shared" si="33"/>
        <v>2.3274064967752799E-2</v>
      </c>
      <c r="AU71" s="137">
        <f t="shared" si="34"/>
        <v>0</v>
      </c>
      <c r="AV71" s="394">
        <f t="shared" si="50"/>
        <v>0</v>
      </c>
      <c r="AW71" s="137">
        <f t="shared" si="35"/>
        <v>0.54</v>
      </c>
      <c r="AX71" s="137">
        <f t="shared" si="36"/>
        <v>0.95</v>
      </c>
      <c r="AY71" s="137">
        <f t="shared" si="37"/>
        <v>0.85</v>
      </c>
      <c r="AZ71" s="137"/>
      <c r="BA71" s="264"/>
      <c r="BB71" s="258">
        <f t="shared" si="38"/>
        <v>0</v>
      </c>
      <c r="BC71" s="258">
        <f t="shared" si="39"/>
        <v>0</v>
      </c>
      <c r="BD71" s="137">
        <f t="shared" si="52"/>
        <v>0</v>
      </c>
      <c r="BE71" s="137">
        <f t="shared" si="52"/>
        <v>0</v>
      </c>
      <c r="BF71" s="137">
        <f>_xll.xSPRDOPT($BW71,$BV71,$CG71,0,$BY71,$BX71,$BZ71,$AJ71,1,4)*$CB71</f>
        <v>0</v>
      </c>
      <c r="BG71" s="137">
        <f>_xll.xSPRDOPT($BW71,$BV71,$CG71,0,$BY71,$BX71,$BZ71,$AJ71,1,3)*$CB71</f>
        <v>0</v>
      </c>
      <c r="BH71" s="137">
        <f>IF(OR(BF71&lt;&gt;0,BG71&lt;&gt;0),_xll.xSPRDOPT($BW71,$BV71,$CG71,0,$BY71,$BX71,$BZ71,$AJ71,1,12)*$CB71,0)</f>
        <v>0</v>
      </c>
      <c r="BI71" s="137">
        <f>_xll.xSPRDOPT($BW71,$BV71,$CG71,2*LN(1+CA71/2),$BY71,$BX71,$BZ71,$AJ71,1,9)</f>
        <v>-0.45187663113673437</v>
      </c>
      <c r="BJ71" s="137">
        <f>_xll.xSPRDOPT($BW71,$BV71,$CG71,0,$BY71,$BX71,$BZ71,$AJ71,1,6)*$CB71</f>
        <v>0</v>
      </c>
      <c r="BK71" s="137">
        <f>_xll.xSPRDOPT($BW71,$BV71,$CG71,0,$BY71,$BX71,$BZ71,$AJ71,1,5)*$CB71</f>
        <v>0</v>
      </c>
      <c r="BL71" s="137">
        <f>_xll.xSPRDOPT(BW71,BV71,CG71,0,BY71,BX71,BZ71,AJ71,1,2)*CB71</f>
        <v>0</v>
      </c>
      <c r="BM71" s="137">
        <f>_xll.xSPRDOPT(BW71,BV71,CG71,0,BY71,BX71,BZ71,AJ71,1,1)*CB71</f>
        <v>0</v>
      </c>
      <c r="BN71" s="137">
        <f>IF(AH71&lt;&gt;0,_xll.xSPRDOPT($BW71,$BV71,$CG71,2*LN(1+CA71/2),$BY71,$BX71,$BZ71,$AJ71,1,8)+(AJ71/365.25)*CH71/AH71,0)</f>
        <v>0</v>
      </c>
      <c r="BO71" s="137">
        <f>_xll.xSPRDOPT($BW71,$BV71,$CG71,0,$BY71,$BX71,$BZ71,$AJ71,1,0)</f>
        <v>0.92777993663970204</v>
      </c>
      <c r="BP71" s="137"/>
      <c r="BQ71" s="137"/>
      <c r="BR71" s="137"/>
      <c r="BS71" s="137"/>
      <c r="BV71" s="262">
        <v>3.2540160642570277</v>
      </c>
      <c r="BW71" s="136">
        <v>3.2509999999999999</v>
      </c>
      <c r="BX71" s="137">
        <v>0.54</v>
      </c>
      <c r="BY71" s="137">
        <v>0.54</v>
      </c>
      <c r="BZ71" s="137">
        <v>0</v>
      </c>
      <c r="CA71" s="137">
        <v>2.3274064967752799E-2</v>
      </c>
      <c r="CB71" s="137">
        <v>0</v>
      </c>
      <c r="CC71" s="258">
        <v>0</v>
      </c>
      <c r="CD71" s="258">
        <v>0.03</v>
      </c>
      <c r="CE71" s="258">
        <v>0.04</v>
      </c>
      <c r="CF71" s="258">
        <v>0</v>
      </c>
      <c r="CG71" s="258">
        <v>5.9999999999999995E-4</v>
      </c>
      <c r="CH71" s="258">
        <v>0</v>
      </c>
      <c r="CI71" s="258">
        <v>3.2109999999999999</v>
      </c>
      <c r="CJ71" s="258"/>
      <c r="CK71" s="258"/>
      <c r="CL71" s="258"/>
      <c r="CM71" s="258"/>
    </row>
    <row r="72" spans="1:91" x14ac:dyDescent="0.25">
      <c r="A72" s="723"/>
      <c r="B72" s="723"/>
      <c r="D72" s="31">
        <f t="shared" si="41"/>
        <v>37575</v>
      </c>
      <c r="F72" s="28">
        <f t="shared" si="12"/>
        <v>15600</v>
      </c>
      <c r="G72" s="28">
        <f t="shared" si="13"/>
        <v>0</v>
      </c>
      <c r="H72" s="52">
        <f t="shared" si="14"/>
        <v>3.2540160642570277</v>
      </c>
      <c r="I72" s="52">
        <f t="shared" si="15"/>
        <v>3.2509999999999999</v>
      </c>
      <c r="K72" s="52">
        <f t="shared" si="42"/>
        <v>0</v>
      </c>
      <c r="L72" s="135">
        <f t="shared" si="43"/>
        <v>0</v>
      </c>
      <c r="N72" s="131">
        <f t="shared" si="44"/>
        <v>0.54</v>
      </c>
      <c r="O72" s="131">
        <f t="shared" si="45"/>
        <v>0.54</v>
      </c>
      <c r="P72" s="55">
        <f t="shared" si="46"/>
        <v>0</v>
      </c>
      <c r="Q72" s="135">
        <f>_xll.xSPRDOPT(I72,H72,AQ72,0,O72,N72,P72,D72-$G$5,1,0)*AH72*AU72</f>
        <v>0</v>
      </c>
      <c r="R72" s="135"/>
      <c r="S72" s="181">
        <f>_xll.xSPRDOPT(I72,H72,AQ72,AT72,O72,N72,P72,D72-$G$5,1,2)*AF72*(F72/(1-AR72))*AH72</f>
        <v>0</v>
      </c>
      <c r="T72" s="181">
        <f>_xll.xSPRDOPT(I72,H72,AQ72,AT72,O72,N72,P72,D72-$G$5,1,1)*AF72*F72*AH72</f>
        <v>0</v>
      </c>
      <c r="U72" s="135"/>
      <c r="V72" s="146">
        <f t="shared" si="16"/>
        <v>0</v>
      </c>
      <c r="W72" s="146"/>
      <c r="X72" s="338">
        <f t="shared" si="17"/>
        <v>0</v>
      </c>
      <c r="Y72" s="338">
        <f t="shared" si="18"/>
        <v>0</v>
      </c>
      <c r="Z72" s="338">
        <f t="shared" si="19"/>
        <v>0</v>
      </c>
      <c r="AA72" s="338">
        <f t="shared" si="20"/>
        <v>0</v>
      </c>
      <c r="AB72" s="338">
        <f t="shared" si="21"/>
        <v>0</v>
      </c>
      <c r="AC72" s="338">
        <f t="shared" si="22"/>
        <v>0</v>
      </c>
      <c r="AF72" s="138">
        <f t="shared" si="23"/>
        <v>0</v>
      </c>
      <c r="AG72" s="138">
        <f t="shared" si="24"/>
        <v>11</v>
      </c>
      <c r="AH72" s="138">
        <f t="shared" si="51"/>
        <v>0</v>
      </c>
      <c r="AI72" s="138">
        <f t="shared" si="47"/>
        <v>319</v>
      </c>
      <c r="AJ72" s="138">
        <f t="shared" si="26"/>
        <v>336</v>
      </c>
      <c r="AL72" s="136">
        <f t="shared" si="27"/>
        <v>3.2109999999999999</v>
      </c>
      <c r="AM72" s="258">
        <f t="shared" si="48"/>
        <v>0</v>
      </c>
      <c r="AN72" s="258">
        <f t="shared" si="28"/>
        <v>0.03</v>
      </c>
      <c r="AO72" s="258">
        <f t="shared" si="29"/>
        <v>0.04</v>
      </c>
      <c r="AP72" s="258">
        <f t="shared" si="30"/>
        <v>0</v>
      </c>
      <c r="AQ72" s="136">
        <f t="shared" si="31"/>
        <v>5.9999999999999995E-4</v>
      </c>
      <c r="AR72" s="137">
        <f t="shared" si="32"/>
        <v>4.0000000000000001E-3</v>
      </c>
      <c r="AS72" s="136">
        <f t="shared" si="49"/>
        <v>3.2409999999999997</v>
      </c>
      <c r="AT72" s="137">
        <f t="shared" si="33"/>
        <v>2.3274064967752799E-2</v>
      </c>
      <c r="AU72" s="137">
        <f t="shared" si="34"/>
        <v>0</v>
      </c>
      <c r="AV72" s="394">
        <f t="shared" si="50"/>
        <v>0</v>
      </c>
      <c r="AW72" s="137">
        <f t="shared" si="35"/>
        <v>0.54</v>
      </c>
      <c r="AX72" s="137">
        <f t="shared" si="36"/>
        <v>0.95</v>
      </c>
      <c r="AY72" s="137">
        <f t="shared" si="37"/>
        <v>0.85</v>
      </c>
      <c r="AZ72" s="137"/>
      <c r="BA72" s="264"/>
      <c r="BB72" s="258">
        <f t="shared" si="38"/>
        <v>0</v>
      </c>
      <c r="BC72" s="258">
        <f t="shared" si="39"/>
        <v>0</v>
      </c>
      <c r="BD72" s="137">
        <f t="shared" si="52"/>
        <v>0</v>
      </c>
      <c r="BE72" s="137">
        <f t="shared" si="52"/>
        <v>0</v>
      </c>
      <c r="BF72" s="137">
        <f>_xll.xSPRDOPT($BW72,$BV72,$CG72,0,$BY72,$BX72,$BZ72,$AJ72,1,4)*$CB72</f>
        <v>0</v>
      </c>
      <c r="BG72" s="137">
        <f>_xll.xSPRDOPT($BW72,$BV72,$CG72,0,$BY72,$BX72,$BZ72,$AJ72,1,3)*$CB72</f>
        <v>0</v>
      </c>
      <c r="BH72" s="137">
        <f>IF(OR(BF72&lt;&gt;0,BG72&lt;&gt;0),_xll.xSPRDOPT($BW72,$BV72,$CG72,0,$BY72,$BX72,$BZ72,$AJ72,1,12)*$CB72,0)</f>
        <v>0</v>
      </c>
      <c r="BI72" s="137">
        <f>_xll.xSPRDOPT($BW72,$BV72,$CG72,2*LN(1+CA72/2),$BY72,$BX72,$BZ72,$AJ72,1,9)</f>
        <v>-0.45187663113673437</v>
      </c>
      <c r="BJ72" s="137">
        <f>_xll.xSPRDOPT($BW72,$BV72,$CG72,0,$BY72,$BX72,$BZ72,$AJ72,1,6)*$CB72</f>
        <v>0</v>
      </c>
      <c r="BK72" s="137">
        <f>_xll.xSPRDOPT($BW72,$BV72,$CG72,0,$BY72,$BX72,$BZ72,$AJ72,1,5)*$CB72</f>
        <v>0</v>
      </c>
      <c r="BL72" s="137">
        <f>_xll.xSPRDOPT(BW72,BV72,CG72,0,BY72,BX72,BZ72,AJ72,1,2)*CB72</f>
        <v>0</v>
      </c>
      <c r="BM72" s="137">
        <f>_xll.xSPRDOPT(BW72,BV72,CG72,0,BY72,BX72,BZ72,AJ72,1,1)*CB72</f>
        <v>0</v>
      </c>
      <c r="BN72" s="137">
        <f>IF(AH72&lt;&gt;0,_xll.xSPRDOPT($BW72,$BV72,$CG72,2*LN(1+CA72/2),$BY72,$BX72,$BZ72,$AJ72,1,8)+(AJ72/365.25)*CH72/AH72,0)</f>
        <v>0</v>
      </c>
      <c r="BO72" s="137">
        <f>_xll.xSPRDOPT($BW72,$BV72,$CG72,0,$BY72,$BX72,$BZ72,$AJ72,1,0)</f>
        <v>0.92777993663970204</v>
      </c>
      <c r="BP72" s="137"/>
      <c r="BQ72" s="137"/>
      <c r="BR72" s="137"/>
      <c r="BS72" s="137"/>
      <c r="BV72" s="262">
        <v>3.2540160642570277</v>
      </c>
      <c r="BW72" s="136">
        <v>3.2509999999999999</v>
      </c>
      <c r="BX72" s="137">
        <v>0.54</v>
      </c>
      <c r="BY72" s="137">
        <v>0.54</v>
      </c>
      <c r="BZ72" s="137">
        <v>0</v>
      </c>
      <c r="CA72" s="137">
        <v>2.3274064967752799E-2</v>
      </c>
      <c r="CB72" s="137">
        <v>0</v>
      </c>
      <c r="CC72" s="258">
        <v>0</v>
      </c>
      <c r="CD72" s="258">
        <v>0.03</v>
      </c>
      <c r="CE72" s="258">
        <v>0.04</v>
      </c>
      <c r="CF72" s="258">
        <v>0</v>
      </c>
      <c r="CG72" s="258">
        <v>5.9999999999999995E-4</v>
      </c>
      <c r="CH72" s="258">
        <v>0</v>
      </c>
      <c r="CI72" s="258">
        <v>3.2109999999999999</v>
      </c>
      <c r="CJ72" s="258"/>
      <c r="CK72" s="258"/>
      <c r="CL72" s="258"/>
      <c r="CM72" s="258"/>
    </row>
    <row r="73" spans="1:91" x14ac:dyDescent="0.25">
      <c r="A73" s="723"/>
      <c r="B73" s="723"/>
      <c r="D73" s="31">
        <f t="shared" si="41"/>
        <v>37575</v>
      </c>
      <c r="F73" s="28">
        <f t="shared" si="12"/>
        <v>15600</v>
      </c>
      <c r="G73" s="28">
        <f t="shared" si="13"/>
        <v>0</v>
      </c>
      <c r="H73" s="52">
        <f t="shared" si="14"/>
        <v>3.2540160642570277</v>
      </c>
      <c r="I73" s="52">
        <f t="shared" si="15"/>
        <v>3.2509999999999999</v>
      </c>
      <c r="K73" s="52">
        <f t="shared" si="42"/>
        <v>0</v>
      </c>
      <c r="L73" s="135">
        <f t="shared" si="43"/>
        <v>0</v>
      </c>
      <c r="N73" s="131">
        <f t="shared" si="44"/>
        <v>0.54</v>
      </c>
      <c r="O73" s="131">
        <f t="shared" si="45"/>
        <v>0.54</v>
      </c>
      <c r="P73" s="55">
        <f t="shared" si="46"/>
        <v>0</v>
      </c>
      <c r="Q73" s="135">
        <f>_xll.xSPRDOPT(I73,H73,AQ73,0,O73,N73,P73,D73-$G$5,1,0)*AH73*AU73</f>
        <v>0</v>
      </c>
      <c r="R73" s="135"/>
      <c r="S73" s="181">
        <f>_xll.xSPRDOPT(I73,H73,AQ73,AT73,O73,N73,P73,D73-$G$5,1,2)*AF73*(F73/(1-AR73))*AH73</f>
        <v>0</v>
      </c>
      <c r="T73" s="181">
        <f>_xll.xSPRDOPT(I73,H73,AQ73,AT73,O73,N73,P73,D73-$G$5,1,1)*AF73*F73*AH73</f>
        <v>0</v>
      </c>
      <c r="U73" s="135"/>
      <c r="V73" s="146">
        <f t="shared" si="16"/>
        <v>0</v>
      </c>
      <c r="W73" s="146"/>
      <c r="X73" s="338">
        <f t="shared" si="17"/>
        <v>0</v>
      </c>
      <c r="Y73" s="338">
        <f t="shared" si="18"/>
        <v>0</v>
      </c>
      <c r="Z73" s="338">
        <f t="shared" si="19"/>
        <v>0</v>
      </c>
      <c r="AA73" s="338">
        <f t="shared" si="20"/>
        <v>0</v>
      </c>
      <c r="AB73" s="338">
        <f t="shared" si="21"/>
        <v>0</v>
      </c>
      <c r="AC73" s="338">
        <f t="shared" si="22"/>
        <v>0</v>
      </c>
      <c r="AF73" s="138">
        <f t="shared" si="23"/>
        <v>0</v>
      </c>
      <c r="AG73" s="138">
        <f t="shared" si="24"/>
        <v>11</v>
      </c>
      <c r="AH73" s="138">
        <f t="shared" si="51"/>
        <v>0</v>
      </c>
      <c r="AI73" s="138">
        <f t="shared" si="47"/>
        <v>319</v>
      </c>
      <c r="AJ73" s="138">
        <f t="shared" si="26"/>
        <v>336</v>
      </c>
      <c r="AL73" s="136">
        <f t="shared" si="27"/>
        <v>3.2109999999999999</v>
      </c>
      <c r="AM73" s="258">
        <f t="shared" si="48"/>
        <v>0</v>
      </c>
      <c r="AN73" s="258">
        <f t="shared" si="28"/>
        <v>0.03</v>
      </c>
      <c r="AO73" s="258">
        <f t="shared" si="29"/>
        <v>0.04</v>
      </c>
      <c r="AP73" s="258">
        <f t="shared" si="30"/>
        <v>0</v>
      </c>
      <c r="AQ73" s="136">
        <f t="shared" si="31"/>
        <v>5.9999999999999995E-4</v>
      </c>
      <c r="AR73" s="137">
        <f t="shared" si="32"/>
        <v>4.0000000000000001E-3</v>
      </c>
      <c r="AS73" s="136">
        <f t="shared" si="49"/>
        <v>3.2409999999999997</v>
      </c>
      <c r="AT73" s="137">
        <f t="shared" si="33"/>
        <v>2.3274064967752799E-2</v>
      </c>
      <c r="AU73" s="137">
        <f t="shared" si="34"/>
        <v>0</v>
      </c>
      <c r="AV73" s="394">
        <f t="shared" si="50"/>
        <v>0</v>
      </c>
      <c r="AW73" s="137">
        <f t="shared" si="35"/>
        <v>0.54</v>
      </c>
      <c r="AX73" s="137">
        <f t="shared" si="36"/>
        <v>0.95</v>
      </c>
      <c r="AY73" s="137">
        <f t="shared" si="37"/>
        <v>0.85</v>
      </c>
      <c r="AZ73" s="137"/>
      <c r="BA73" s="264"/>
      <c r="BB73" s="258">
        <f t="shared" si="38"/>
        <v>0</v>
      </c>
      <c r="BC73" s="258">
        <f t="shared" si="39"/>
        <v>0</v>
      </c>
      <c r="BD73" s="137">
        <f t="shared" si="52"/>
        <v>0</v>
      </c>
      <c r="BE73" s="137">
        <f t="shared" si="52"/>
        <v>0</v>
      </c>
      <c r="BF73" s="137">
        <f>_xll.xSPRDOPT($BW73,$BV73,$CG73,0,$BY73,$BX73,$BZ73,$AJ73,1,4)*$CB73</f>
        <v>0</v>
      </c>
      <c r="BG73" s="137">
        <f>_xll.xSPRDOPT($BW73,$BV73,$CG73,0,$BY73,$BX73,$BZ73,$AJ73,1,3)*$CB73</f>
        <v>0</v>
      </c>
      <c r="BH73" s="137">
        <f>IF(OR(BF73&lt;&gt;0,BG73&lt;&gt;0),_xll.xSPRDOPT($BW73,$BV73,$CG73,0,$BY73,$BX73,$BZ73,$AJ73,1,12)*$CB73,0)</f>
        <v>0</v>
      </c>
      <c r="BI73" s="137">
        <f>_xll.xSPRDOPT($BW73,$BV73,$CG73,2*LN(1+CA73/2),$BY73,$BX73,$BZ73,$AJ73,1,9)</f>
        <v>-0.45187663113673437</v>
      </c>
      <c r="BJ73" s="137">
        <f>_xll.xSPRDOPT($BW73,$BV73,$CG73,0,$BY73,$BX73,$BZ73,$AJ73,1,6)*$CB73</f>
        <v>0</v>
      </c>
      <c r="BK73" s="137">
        <f>_xll.xSPRDOPT($BW73,$BV73,$CG73,0,$BY73,$BX73,$BZ73,$AJ73,1,5)*$CB73</f>
        <v>0</v>
      </c>
      <c r="BL73" s="137">
        <f>_xll.xSPRDOPT(BW73,BV73,CG73,0,BY73,BX73,BZ73,AJ73,1,2)*CB73</f>
        <v>0</v>
      </c>
      <c r="BM73" s="137">
        <f>_xll.xSPRDOPT(BW73,BV73,CG73,0,BY73,BX73,BZ73,AJ73,1,1)*CB73</f>
        <v>0</v>
      </c>
      <c r="BN73" s="137">
        <f>IF(AH73&lt;&gt;0,_xll.xSPRDOPT($BW73,$BV73,$CG73,2*LN(1+CA73/2),$BY73,$BX73,$BZ73,$AJ73,1,8)+(AJ73/365.25)*CH73/AH73,0)</f>
        <v>0</v>
      </c>
      <c r="BO73" s="137">
        <f>_xll.xSPRDOPT($BW73,$BV73,$CG73,0,$BY73,$BX73,$BZ73,$AJ73,1,0)</f>
        <v>0.92777993663970204</v>
      </c>
      <c r="BP73" s="137"/>
      <c r="BQ73" s="137"/>
      <c r="BR73" s="137"/>
      <c r="BS73" s="137"/>
      <c r="BV73" s="262">
        <v>3.2540160642570277</v>
      </c>
      <c r="BW73" s="136">
        <v>3.2509999999999999</v>
      </c>
      <c r="BX73" s="137">
        <v>0.54</v>
      </c>
      <c r="BY73" s="137">
        <v>0.54</v>
      </c>
      <c r="BZ73" s="137">
        <v>0</v>
      </c>
      <c r="CA73" s="137">
        <v>2.3274064967752799E-2</v>
      </c>
      <c r="CB73" s="137">
        <v>0</v>
      </c>
      <c r="CC73" s="258">
        <v>0</v>
      </c>
      <c r="CD73" s="258">
        <v>0.03</v>
      </c>
      <c r="CE73" s="258">
        <v>0.04</v>
      </c>
      <c r="CF73" s="258">
        <v>0</v>
      </c>
      <c r="CG73" s="258">
        <v>5.9999999999999995E-4</v>
      </c>
      <c r="CH73" s="258">
        <v>0</v>
      </c>
      <c r="CI73" s="258">
        <v>3.2109999999999999</v>
      </c>
      <c r="CJ73" s="258"/>
      <c r="CK73" s="258"/>
      <c r="CL73" s="258"/>
      <c r="CM73" s="258"/>
    </row>
    <row r="74" spans="1:91" x14ac:dyDescent="0.25">
      <c r="A74" s="723"/>
      <c r="B74" s="723"/>
      <c r="D74" s="31">
        <f t="shared" si="41"/>
        <v>37575</v>
      </c>
      <c r="F74" s="28">
        <f t="shared" si="12"/>
        <v>15600</v>
      </c>
      <c r="G74" s="28">
        <f t="shared" si="13"/>
        <v>0</v>
      </c>
      <c r="H74" s="52">
        <f t="shared" si="14"/>
        <v>3.2540160642570277</v>
      </c>
      <c r="I74" s="52">
        <f t="shared" si="15"/>
        <v>3.2509999999999999</v>
      </c>
      <c r="K74" s="52">
        <f t="shared" si="42"/>
        <v>0</v>
      </c>
      <c r="L74" s="135">
        <f t="shared" si="43"/>
        <v>0</v>
      </c>
      <c r="N74" s="131">
        <f t="shared" si="44"/>
        <v>0.54</v>
      </c>
      <c r="O74" s="131">
        <f t="shared" si="45"/>
        <v>0.54</v>
      </c>
      <c r="P74" s="55">
        <f t="shared" si="46"/>
        <v>0</v>
      </c>
      <c r="Q74" s="135">
        <f>_xll.xSPRDOPT(I74,H74,AQ74,0,O74,N74,P74,D74-$G$5,1,0)*AH74*AU74</f>
        <v>0</v>
      </c>
      <c r="R74" s="135"/>
      <c r="S74" s="181">
        <f>_xll.xSPRDOPT(I74,H74,AQ74,AT74,O74,N74,P74,D74-$G$5,1,2)*AF74*(F74/(1-AR74))*AH74</f>
        <v>0</v>
      </c>
      <c r="T74" s="181">
        <f>_xll.xSPRDOPT(I74,H74,AQ74,AT74,O74,N74,P74,D74-$G$5,1,1)*AF74*F74*AH74</f>
        <v>0</v>
      </c>
      <c r="U74" s="135"/>
      <c r="V74" s="146">
        <f t="shared" si="16"/>
        <v>0</v>
      </c>
      <c r="W74" s="146"/>
      <c r="X74" s="338">
        <f t="shared" si="17"/>
        <v>0</v>
      </c>
      <c r="Y74" s="338">
        <f t="shared" si="18"/>
        <v>0</v>
      </c>
      <c r="Z74" s="338">
        <f t="shared" si="19"/>
        <v>0</v>
      </c>
      <c r="AA74" s="338">
        <f t="shared" si="20"/>
        <v>0</v>
      </c>
      <c r="AB74" s="338">
        <f t="shared" si="21"/>
        <v>0</v>
      </c>
      <c r="AC74" s="338">
        <f t="shared" si="22"/>
        <v>0</v>
      </c>
      <c r="AF74" s="138">
        <f t="shared" si="23"/>
        <v>0</v>
      </c>
      <c r="AG74" s="138">
        <f t="shared" si="24"/>
        <v>11</v>
      </c>
      <c r="AH74" s="138">
        <f t="shared" si="51"/>
        <v>0</v>
      </c>
      <c r="AI74" s="138">
        <f t="shared" si="47"/>
        <v>319</v>
      </c>
      <c r="AJ74" s="138">
        <f t="shared" si="26"/>
        <v>336</v>
      </c>
      <c r="AL74" s="136">
        <f t="shared" si="27"/>
        <v>3.2109999999999999</v>
      </c>
      <c r="AM74" s="258">
        <f t="shared" si="48"/>
        <v>0</v>
      </c>
      <c r="AN74" s="258">
        <f t="shared" si="28"/>
        <v>0.03</v>
      </c>
      <c r="AO74" s="258">
        <f t="shared" si="29"/>
        <v>0.04</v>
      </c>
      <c r="AP74" s="258">
        <f t="shared" si="30"/>
        <v>0</v>
      </c>
      <c r="AQ74" s="136">
        <f t="shared" si="31"/>
        <v>5.9999999999999995E-4</v>
      </c>
      <c r="AR74" s="137">
        <f t="shared" si="32"/>
        <v>4.0000000000000001E-3</v>
      </c>
      <c r="AS74" s="136">
        <f t="shared" si="49"/>
        <v>3.2409999999999997</v>
      </c>
      <c r="AT74" s="137">
        <f t="shared" si="33"/>
        <v>2.3274064967752799E-2</v>
      </c>
      <c r="AU74" s="137">
        <f t="shared" si="34"/>
        <v>0</v>
      </c>
      <c r="AV74" s="394">
        <f t="shared" si="50"/>
        <v>0</v>
      </c>
      <c r="AW74" s="137">
        <f t="shared" si="35"/>
        <v>0.54</v>
      </c>
      <c r="AX74" s="137">
        <f t="shared" si="36"/>
        <v>0.95</v>
      </c>
      <c r="AY74" s="137">
        <f t="shared" si="37"/>
        <v>0.85</v>
      </c>
      <c r="AZ74" s="137"/>
      <c r="BA74" s="264"/>
      <c r="BB74" s="258">
        <f t="shared" si="38"/>
        <v>0</v>
      </c>
      <c r="BC74" s="258">
        <f t="shared" si="39"/>
        <v>0</v>
      </c>
      <c r="BD74" s="137">
        <f t="shared" si="52"/>
        <v>0</v>
      </c>
      <c r="BE74" s="137">
        <f t="shared" si="52"/>
        <v>0</v>
      </c>
      <c r="BF74" s="137">
        <f>_xll.xSPRDOPT($BW74,$BV74,$CG74,0,$BY74,$BX74,$BZ74,$AJ74,1,4)*$CB74</f>
        <v>0</v>
      </c>
      <c r="BG74" s="137">
        <f>_xll.xSPRDOPT($BW74,$BV74,$CG74,0,$BY74,$BX74,$BZ74,$AJ74,1,3)*$CB74</f>
        <v>0</v>
      </c>
      <c r="BH74" s="137">
        <f>IF(OR(BF74&lt;&gt;0,BG74&lt;&gt;0),_xll.xSPRDOPT($BW74,$BV74,$CG74,0,$BY74,$BX74,$BZ74,$AJ74,1,12)*$CB74,0)</f>
        <v>0</v>
      </c>
      <c r="BI74" s="137">
        <f>_xll.xSPRDOPT($BW74,$BV74,$CG74,2*LN(1+CA74/2),$BY74,$BX74,$BZ74,$AJ74,1,9)</f>
        <v>-0.45187663113673437</v>
      </c>
      <c r="BJ74" s="137">
        <f>_xll.xSPRDOPT($BW74,$BV74,$CG74,0,$BY74,$BX74,$BZ74,$AJ74,1,6)*$CB74</f>
        <v>0</v>
      </c>
      <c r="BK74" s="137">
        <f>_xll.xSPRDOPT($BW74,$BV74,$CG74,0,$BY74,$BX74,$BZ74,$AJ74,1,5)*$CB74</f>
        <v>0</v>
      </c>
      <c r="BL74" s="137">
        <f>_xll.xSPRDOPT(BW74,BV74,CG74,0,BY74,BX74,BZ74,AJ74,1,2)*CB74</f>
        <v>0</v>
      </c>
      <c r="BM74" s="137">
        <f>_xll.xSPRDOPT(BW74,BV74,CG74,0,BY74,BX74,BZ74,AJ74,1,1)*CB74</f>
        <v>0</v>
      </c>
      <c r="BN74" s="137">
        <f>IF(AH74&lt;&gt;0,_xll.xSPRDOPT($BW74,$BV74,$CG74,2*LN(1+CA74/2),$BY74,$BX74,$BZ74,$AJ74,1,8)+(AJ74/365.25)*CH74/AH74,0)</f>
        <v>0</v>
      </c>
      <c r="BO74" s="137">
        <f>_xll.xSPRDOPT($BW74,$BV74,$CG74,0,$BY74,$BX74,$BZ74,$AJ74,1,0)</f>
        <v>0.92777993663970204</v>
      </c>
      <c r="BP74" s="137"/>
      <c r="BQ74" s="137"/>
      <c r="BR74" s="137"/>
      <c r="BS74" s="137"/>
      <c r="BV74" s="262">
        <v>3.2540160642570277</v>
      </c>
      <c r="BW74" s="136">
        <v>3.2509999999999999</v>
      </c>
      <c r="BX74" s="137">
        <v>0.54</v>
      </c>
      <c r="BY74" s="137">
        <v>0.54</v>
      </c>
      <c r="BZ74" s="137">
        <v>0</v>
      </c>
      <c r="CA74" s="137">
        <v>2.3274064967752799E-2</v>
      </c>
      <c r="CB74" s="137">
        <v>0</v>
      </c>
      <c r="CC74" s="258">
        <v>0</v>
      </c>
      <c r="CD74" s="258">
        <v>0.03</v>
      </c>
      <c r="CE74" s="258">
        <v>0.04</v>
      </c>
      <c r="CF74" s="258">
        <v>0</v>
      </c>
      <c r="CG74" s="258">
        <v>5.9999999999999995E-4</v>
      </c>
      <c r="CH74" s="258">
        <v>0</v>
      </c>
      <c r="CI74" s="258">
        <v>3.2109999999999999</v>
      </c>
      <c r="CJ74" s="258"/>
      <c r="CK74" s="258"/>
      <c r="CL74" s="258"/>
      <c r="CM74" s="258"/>
    </row>
    <row r="75" spans="1:91" x14ac:dyDescent="0.25">
      <c r="A75" s="723"/>
      <c r="B75" s="723"/>
      <c r="D75" s="31">
        <f t="shared" si="41"/>
        <v>37575</v>
      </c>
      <c r="F75" s="28">
        <f t="shared" si="12"/>
        <v>15600</v>
      </c>
      <c r="G75" s="28">
        <f t="shared" si="13"/>
        <v>0</v>
      </c>
      <c r="H75" s="52">
        <f t="shared" si="14"/>
        <v>3.2540160642570277</v>
      </c>
      <c r="I75" s="52">
        <f t="shared" si="15"/>
        <v>3.2509999999999999</v>
      </c>
      <c r="K75" s="52">
        <f t="shared" si="42"/>
        <v>0</v>
      </c>
      <c r="L75" s="135">
        <f t="shared" si="43"/>
        <v>0</v>
      </c>
      <c r="N75" s="131">
        <f t="shared" si="44"/>
        <v>0.54</v>
      </c>
      <c r="O75" s="131">
        <f t="shared" si="45"/>
        <v>0.54</v>
      </c>
      <c r="P75" s="55">
        <f t="shared" si="46"/>
        <v>0</v>
      </c>
      <c r="Q75" s="135">
        <f>_xll.xSPRDOPT(I75,H75,AQ75,0,O75,N75,P75,D75-$G$5,1,0)*AH75*AU75</f>
        <v>0</v>
      </c>
      <c r="R75" s="135"/>
      <c r="S75" s="181">
        <f>_xll.xSPRDOPT(I75,H75,AQ75,AT75,O75,N75,P75,D75-$G$5,1,2)*AF75*(F75/(1-AR75))*AH75</f>
        <v>0</v>
      </c>
      <c r="T75" s="181">
        <f>_xll.xSPRDOPT(I75,H75,AQ75,AT75,O75,N75,P75,D75-$G$5,1,1)*AF75*F75*AH75</f>
        <v>0</v>
      </c>
      <c r="U75" s="135"/>
      <c r="V75" s="146">
        <f t="shared" si="16"/>
        <v>0</v>
      </c>
      <c r="W75" s="146"/>
      <c r="X75" s="338">
        <f t="shared" si="17"/>
        <v>0</v>
      </c>
      <c r="Y75" s="338">
        <f t="shared" si="18"/>
        <v>0</v>
      </c>
      <c r="Z75" s="338">
        <f t="shared" si="19"/>
        <v>0</v>
      </c>
      <c r="AA75" s="338">
        <f t="shared" si="20"/>
        <v>0</v>
      </c>
      <c r="AB75" s="338">
        <f t="shared" si="21"/>
        <v>0</v>
      </c>
      <c r="AC75" s="338">
        <f t="shared" si="22"/>
        <v>0</v>
      </c>
      <c r="AF75" s="138">
        <f t="shared" si="23"/>
        <v>0</v>
      </c>
      <c r="AG75" s="138">
        <f t="shared" si="24"/>
        <v>11</v>
      </c>
      <c r="AH75" s="138">
        <f t="shared" si="51"/>
        <v>0</v>
      </c>
      <c r="AI75" s="138">
        <f t="shared" si="47"/>
        <v>319</v>
      </c>
      <c r="AJ75" s="138">
        <f t="shared" si="26"/>
        <v>336</v>
      </c>
      <c r="AL75" s="136">
        <f t="shared" si="27"/>
        <v>3.2109999999999999</v>
      </c>
      <c r="AM75" s="258">
        <f t="shared" si="48"/>
        <v>0</v>
      </c>
      <c r="AN75" s="258">
        <f t="shared" si="28"/>
        <v>0.03</v>
      </c>
      <c r="AO75" s="258">
        <f t="shared" si="29"/>
        <v>0.04</v>
      </c>
      <c r="AP75" s="258">
        <f t="shared" si="30"/>
        <v>0</v>
      </c>
      <c r="AQ75" s="136">
        <f t="shared" si="31"/>
        <v>5.9999999999999995E-4</v>
      </c>
      <c r="AR75" s="137">
        <f t="shared" si="32"/>
        <v>4.0000000000000001E-3</v>
      </c>
      <c r="AS75" s="136">
        <f t="shared" si="49"/>
        <v>3.2409999999999997</v>
      </c>
      <c r="AT75" s="137">
        <f t="shared" si="33"/>
        <v>2.3274064967752799E-2</v>
      </c>
      <c r="AU75" s="137">
        <f t="shared" si="34"/>
        <v>0</v>
      </c>
      <c r="AV75" s="394">
        <f t="shared" si="50"/>
        <v>0</v>
      </c>
      <c r="AW75" s="137">
        <f t="shared" si="35"/>
        <v>0.54</v>
      </c>
      <c r="AX75" s="137">
        <f t="shared" si="36"/>
        <v>0.95</v>
      </c>
      <c r="AY75" s="137">
        <f t="shared" si="37"/>
        <v>0.85</v>
      </c>
      <c r="AZ75" s="137"/>
      <c r="BA75" s="264"/>
      <c r="BB75" s="258">
        <f t="shared" si="38"/>
        <v>0</v>
      </c>
      <c r="BC75" s="258">
        <f t="shared" si="39"/>
        <v>0</v>
      </c>
      <c r="BD75" s="137">
        <f t="shared" si="52"/>
        <v>0</v>
      </c>
      <c r="BE75" s="137">
        <f t="shared" si="52"/>
        <v>0</v>
      </c>
      <c r="BF75" s="137">
        <f>_xll.xSPRDOPT($BW75,$BV75,$CG75,0,$BY75,$BX75,$BZ75,$AJ75,1,4)*$CB75</f>
        <v>0</v>
      </c>
      <c r="BG75" s="137">
        <f>_xll.xSPRDOPT($BW75,$BV75,$CG75,0,$BY75,$BX75,$BZ75,$AJ75,1,3)*$CB75</f>
        <v>0</v>
      </c>
      <c r="BH75" s="137">
        <f>IF(OR(BF75&lt;&gt;0,BG75&lt;&gt;0),_xll.xSPRDOPT($BW75,$BV75,$CG75,0,$BY75,$BX75,$BZ75,$AJ75,1,12)*$CB75,0)</f>
        <v>0</v>
      </c>
      <c r="BI75" s="137">
        <f>_xll.xSPRDOPT($BW75,$BV75,$CG75,2*LN(1+CA75/2),$BY75,$BX75,$BZ75,$AJ75,1,9)</f>
        <v>-0.45187663113673437</v>
      </c>
      <c r="BJ75" s="137">
        <f>_xll.xSPRDOPT($BW75,$BV75,$CG75,0,$BY75,$BX75,$BZ75,$AJ75,1,6)*$CB75</f>
        <v>0</v>
      </c>
      <c r="BK75" s="137">
        <f>_xll.xSPRDOPT($BW75,$BV75,$CG75,0,$BY75,$BX75,$BZ75,$AJ75,1,5)*$CB75</f>
        <v>0</v>
      </c>
      <c r="BL75" s="137">
        <f>_xll.xSPRDOPT(BW75,BV75,CG75,0,BY75,BX75,BZ75,AJ75,1,2)*CB75</f>
        <v>0</v>
      </c>
      <c r="BM75" s="137">
        <f>_xll.xSPRDOPT(BW75,BV75,CG75,0,BY75,BX75,BZ75,AJ75,1,1)*CB75</f>
        <v>0</v>
      </c>
      <c r="BN75" s="137">
        <f>IF(AH75&lt;&gt;0,_xll.xSPRDOPT($BW75,$BV75,$CG75,2*LN(1+CA75/2),$BY75,$BX75,$BZ75,$AJ75,1,8)+(AJ75/365.25)*CH75/AH75,0)</f>
        <v>0</v>
      </c>
      <c r="BO75" s="137">
        <f>_xll.xSPRDOPT($BW75,$BV75,$CG75,0,$BY75,$BX75,$BZ75,$AJ75,1,0)</f>
        <v>0.92777993663970204</v>
      </c>
      <c r="BP75" s="137"/>
      <c r="BQ75" s="137"/>
      <c r="BR75" s="137"/>
      <c r="BS75" s="137"/>
      <c r="BV75" s="262">
        <v>3.2540160642570277</v>
      </c>
      <c r="BW75" s="136">
        <v>3.2509999999999999</v>
      </c>
      <c r="BX75" s="137">
        <v>0.54</v>
      </c>
      <c r="BY75" s="137">
        <v>0.54</v>
      </c>
      <c r="BZ75" s="137">
        <v>0</v>
      </c>
      <c r="CA75" s="137">
        <v>2.3274064967752799E-2</v>
      </c>
      <c r="CB75" s="137">
        <v>0</v>
      </c>
      <c r="CC75" s="258">
        <v>0</v>
      </c>
      <c r="CD75" s="258">
        <v>0.03</v>
      </c>
      <c r="CE75" s="258">
        <v>0.04</v>
      </c>
      <c r="CF75" s="258">
        <v>0</v>
      </c>
      <c r="CG75" s="258">
        <v>5.9999999999999995E-4</v>
      </c>
      <c r="CH75" s="258">
        <v>0</v>
      </c>
      <c r="CI75" s="258">
        <v>3.2109999999999999</v>
      </c>
      <c r="CJ75" s="258"/>
      <c r="CK75" s="258"/>
      <c r="CL75" s="258"/>
      <c r="CM75" s="258"/>
    </row>
    <row r="76" spans="1:91" x14ac:dyDescent="0.25">
      <c r="A76" s="723"/>
      <c r="B76" s="723"/>
      <c r="D76" s="31">
        <f t="shared" si="41"/>
        <v>37575</v>
      </c>
      <c r="F76" s="28">
        <f t="shared" si="12"/>
        <v>15600</v>
      </c>
      <c r="G76" s="28">
        <f t="shared" si="13"/>
        <v>0</v>
      </c>
      <c r="H76" s="52">
        <f t="shared" si="14"/>
        <v>3.2540160642570277</v>
      </c>
      <c r="I76" s="52">
        <f t="shared" si="15"/>
        <v>3.2509999999999999</v>
      </c>
      <c r="K76" s="52">
        <f t="shared" si="42"/>
        <v>0</v>
      </c>
      <c r="L76" s="135">
        <f t="shared" si="43"/>
        <v>0</v>
      </c>
      <c r="N76" s="131">
        <f t="shared" si="44"/>
        <v>0.54</v>
      </c>
      <c r="O76" s="131">
        <f t="shared" si="45"/>
        <v>0.54</v>
      </c>
      <c r="P76" s="55">
        <f t="shared" si="46"/>
        <v>0</v>
      </c>
      <c r="Q76" s="135">
        <f>_xll.xSPRDOPT(I76,H76,AQ76,0,O76,N76,P76,D76-$G$5,1,0)*AH76*AU76</f>
        <v>0</v>
      </c>
      <c r="R76" s="135"/>
      <c r="S76" s="181">
        <f>_xll.xSPRDOPT(I76,H76,AQ76,AT76,O76,N76,P76,D76-$G$5,1,2)*AF76*(F76/(1-AR76))*AH76</f>
        <v>0</v>
      </c>
      <c r="T76" s="181">
        <f>_xll.xSPRDOPT(I76,H76,AQ76,AT76,O76,N76,P76,D76-$G$5,1,1)*AF76*F76*AH76</f>
        <v>0</v>
      </c>
      <c r="U76" s="135"/>
      <c r="V76" s="146">
        <f t="shared" si="16"/>
        <v>0</v>
      </c>
      <c r="W76" s="146"/>
      <c r="X76" s="338">
        <f t="shared" si="17"/>
        <v>0</v>
      </c>
      <c r="Y76" s="338">
        <f t="shared" si="18"/>
        <v>0</v>
      </c>
      <c r="Z76" s="338">
        <f t="shared" si="19"/>
        <v>0</v>
      </c>
      <c r="AA76" s="338">
        <f t="shared" si="20"/>
        <v>0</v>
      </c>
      <c r="AB76" s="338">
        <f t="shared" si="21"/>
        <v>0</v>
      </c>
      <c r="AC76" s="338">
        <f t="shared" si="22"/>
        <v>0</v>
      </c>
      <c r="AF76" s="138">
        <f t="shared" si="23"/>
        <v>0</v>
      </c>
      <c r="AG76" s="138">
        <f t="shared" si="24"/>
        <v>11</v>
      </c>
      <c r="AH76" s="138">
        <f t="shared" si="51"/>
        <v>0</v>
      </c>
      <c r="AI76" s="138">
        <f t="shared" si="47"/>
        <v>319</v>
      </c>
      <c r="AJ76" s="138">
        <f t="shared" si="26"/>
        <v>336</v>
      </c>
      <c r="AL76" s="136">
        <f t="shared" si="27"/>
        <v>3.2109999999999999</v>
      </c>
      <c r="AM76" s="258">
        <f t="shared" si="48"/>
        <v>0</v>
      </c>
      <c r="AN76" s="258">
        <f t="shared" si="28"/>
        <v>0.03</v>
      </c>
      <c r="AO76" s="258">
        <f t="shared" si="29"/>
        <v>0.04</v>
      </c>
      <c r="AP76" s="258">
        <f t="shared" si="30"/>
        <v>0</v>
      </c>
      <c r="AQ76" s="136">
        <f t="shared" si="31"/>
        <v>5.9999999999999995E-4</v>
      </c>
      <c r="AR76" s="137">
        <f t="shared" si="32"/>
        <v>4.0000000000000001E-3</v>
      </c>
      <c r="AS76" s="136">
        <f t="shared" si="49"/>
        <v>3.2409999999999997</v>
      </c>
      <c r="AT76" s="137">
        <f t="shared" si="33"/>
        <v>2.3274064967752799E-2</v>
      </c>
      <c r="AU76" s="137">
        <f t="shared" si="34"/>
        <v>0</v>
      </c>
      <c r="AV76" s="394">
        <f t="shared" si="50"/>
        <v>0</v>
      </c>
      <c r="AW76" s="137">
        <f t="shared" si="35"/>
        <v>0.54</v>
      </c>
      <c r="AX76" s="137">
        <f t="shared" si="36"/>
        <v>0.95</v>
      </c>
      <c r="AY76" s="137">
        <f t="shared" si="37"/>
        <v>0.85</v>
      </c>
      <c r="AZ76" s="137"/>
      <c r="BA76" s="264"/>
      <c r="BB76" s="258">
        <f t="shared" si="38"/>
        <v>0</v>
      </c>
      <c r="BC76" s="258">
        <f t="shared" si="39"/>
        <v>0</v>
      </c>
      <c r="BD76" s="137">
        <f t="shared" si="52"/>
        <v>0</v>
      </c>
      <c r="BE76" s="137">
        <f t="shared" si="52"/>
        <v>0</v>
      </c>
      <c r="BF76" s="137">
        <f>_xll.xSPRDOPT($BW76,$BV76,$CG76,0,$BY76,$BX76,$BZ76,$AJ76,1,4)*$CB76</f>
        <v>0</v>
      </c>
      <c r="BG76" s="137">
        <f>_xll.xSPRDOPT($BW76,$BV76,$CG76,0,$BY76,$BX76,$BZ76,$AJ76,1,3)*$CB76</f>
        <v>0</v>
      </c>
      <c r="BH76" s="137">
        <f>IF(OR(BF76&lt;&gt;0,BG76&lt;&gt;0),_xll.xSPRDOPT($BW76,$BV76,$CG76,0,$BY76,$BX76,$BZ76,$AJ76,1,12)*$CB76,0)</f>
        <v>0</v>
      </c>
      <c r="BI76" s="137">
        <f>_xll.xSPRDOPT($BW76,$BV76,$CG76,2*LN(1+CA76/2),$BY76,$BX76,$BZ76,$AJ76,1,9)</f>
        <v>-0.45187663113673437</v>
      </c>
      <c r="BJ76" s="137">
        <f>_xll.xSPRDOPT($BW76,$BV76,$CG76,0,$BY76,$BX76,$BZ76,$AJ76,1,6)*$CB76</f>
        <v>0</v>
      </c>
      <c r="BK76" s="137">
        <f>_xll.xSPRDOPT($BW76,$BV76,$CG76,0,$BY76,$BX76,$BZ76,$AJ76,1,5)*$CB76</f>
        <v>0</v>
      </c>
      <c r="BL76" s="137">
        <f>_xll.xSPRDOPT(BW76,BV76,CG76,0,BY76,BX76,BZ76,AJ76,1,2)*CB76</f>
        <v>0</v>
      </c>
      <c r="BM76" s="137">
        <f>_xll.xSPRDOPT(BW76,BV76,CG76,0,BY76,BX76,BZ76,AJ76,1,1)*CB76</f>
        <v>0</v>
      </c>
      <c r="BN76" s="137">
        <f>IF(AH76&lt;&gt;0,_xll.xSPRDOPT($BW76,$BV76,$CG76,2*LN(1+CA76/2),$BY76,$BX76,$BZ76,$AJ76,1,8)+(AJ76/365.25)*CH76/AH76,0)</f>
        <v>0</v>
      </c>
      <c r="BO76" s="137">
        <f>_xll.xSPRDOPT($BW76,$BV76,$CG76,0,$BY76,$BX76,$BZ76,$AJ76,1,0)</f>
        <v>0.92777993663970204</v>
      </c>
      <c r="BP76" s="137"/>
      <c r="BQ76" s="137"/>
      <c r="BR76" s="137"/>
      <c r="BS76" s="137"/>
      <c r="BV76" s="262">
        <v>3.2540160642570277</v>
      </c>
      <c r="BW76" s="136">
        <v>3.2509999999999999</v>
      </c>
      <c r="BX76" s="137">
        <v>0.54</v>
      </c>
      <c r="BY76" s="137">
        <v>0.54</v>
      </c>
      <c r="BZ76" s="137">
        <v>0</v>
      </c>
      <c r="CA76" s="137">
        <v>2.3274064967752799E-2</v>
      </c>
      <c r="CB76" s="137">
        <v>0</v>
      </c>
      <c r="CC76" s="258">
        <v>0</v>
      </c>
      <c r="CD76" s="258">
        <v>0.03</v>
      </c>
      <c r="CE76" s="258">
        <v>0.04</v>
      </c>
      <c r="CF76" s="258">
        <v>0</v>
      </c>
      <c r="CG76" s="258">
        <v>5.9999999999999995E-4</v>
      </c>
      <c r="CH76" s="258">
        <v>0</v>
      </c>
      <c r="CI76" s="258">
        <v>3.2109999999999999</v>
      </c>
      <c r="CJ76" s="258"/>
      <c r="CK76" s="258"/>
      <c r="CL76" s="258"/>
      <c r="CM76" s="258"/>
    </row>
    <row r="77" spans="1:91" x14ac:dyDescent="0.25">
      <c r="A77" s="723"/>
      <c r="B77" s="723"/>
      <c r="D77" s="31">
        <f t="shared" si="41"/>
        <v>37575</v>
      </c>
      <c r="F77" s="28">
        <f t="shared" si="12"/>
        <v>15600</v>
      </c>
      <c r="G77" s="28">
        <f t="shared" si="13"/>
        <v>0</v>
      </c>
      <c r="H77" s="52">
        <f t="shared" si="14"/>
        <v>3.2540160642570277</v>
      </c>
      <c r="I77" s="52">
        <f t="shared" si="15"/>
        <v>3.2509999999999999</v>
      </c>
      <c r="K77" s="52">
        <f t="shared" si="42"/>
        <v>0</v>
      </c>
      <c r="L77" s="135">
        <f t="shared" si="43"/>
        <v>0</v>
      </c>
      <c r="N77" s="131">
        <f t="shared" si="44"/>
        <v>0.54</v>
      </c>
      <c r="O77" s="131">
        <f t="shared" si="45"/>
        <v>0.54</v>
      </c>
      <c r="P77" s="55">
        <f t="shared" si="46"/>
        <v>0</v>
      </c>
      <c r="Q77" s="135">
        <f>_xll.xSPRDOPT(I77,H77,AQ77,0,O77,N77,P77,D77-$G$5,1,0)*AH77*AU77</f>
        <v>0</v>
      </c>
      <c r="R77" s="135"/>
      <c r="S77" s="181">
        <f>_xll.xSPRDOPT(I77,H77,AQ77,AT77,O77,N77,P77,D77-$G$5,1,2)*AF77*(F77/(1-AR77))*AH77</f>
        <v>0</v>
      </c>
      <c r="T77" s="181">
        <f>_xll.xSPRDOPT(I77,H77,AQ77,AT77,O77,N77,P77,D77-$G$5,1,1)*AF77*F77*AH77</f>
        <v>0</v>
      </c>
      <c r="U77" s="135"/>
      <c r="V77" s="146">
        <f t="shared" si="16"/>
        <v>0</v>
      </c>
      <c r="W77" s="146"/>
      <c r="X77" s="338">
        <f t="shared" si="17"/>
        <v>0</v>
      </c>
      <c r="Y77" s="338">
        <f t="shared" si="18"/>
        <v>0</v>
      </c>
      <c r="Z77" s="338">
        <f t="shared" si="19"/>
        <v>0</v>
      </c>
      <c r="AA77" s="338">
        <f t="shared" si="20"/>
        <v>0</v>
      </c>
      <c r="AB77" s="338">
        <f t="shared" si="21"/>
        <v>0</v>
      </c>
      <c r="AC77" s="338">
        <f t="shared" si="22"/>
        <v>0</v>
      </c>
      <c r="AF77" s="138">
        <f t="shared" si="23"/>
        <v>0</v>
      </c>
      <c r="AG77" s="138">
        <f t="shared" si="24"/>
        <v>11</v>
      </c>
      <c r="AH77" s="138">
        <f t="shared" si="51"/>
        <v>0</v>
      </c>
      <c r="AI77" s="138">
        <f t="shared" si="47"/>
        <v>319</v>
      </c>
      <c r="AJ77" s="138">
        <f t="shared" si="26"/>
        <v>336</v>
      </c>
      <c r="AL77" s="136">
        <f t="shared" si="27"/>
        <v>3.2109999999999999</v>
      </c>
      <c r="AM77" s="258">
        <f t="shared" si="48"/>
        <v>0</v>
      </c>
      <c r="AN77" s="258">
        <f t="shared" si="28"/>
        <v>0.03</v>
      </c>
      <c r="AO77" s="258">
        <f t="shared" si="29"/>
        <v>0.04</v>
      </c>
      <c r="AP77" s="258">
        <f t="shared" si="30"/>
        <v>0</v>
      </c>
      <c r="AQ77" s="136">
        <f t="shared" si="31"/>
        <v>5.9999999999999995E-4</v>
      </c>
      <c r="AR77" s="137">
        <f t="shared" si="32"/>
        <v>4.0000000000000001E-3</v>
      </c>
      <c r="AS77" s="136">
        <f t="shared" si="49"/>
        <v>3.2409999999999997</v>
      </c>
      <c r="AT77" s="137">
        <f t="shared" si="33"/>
        <v>2.3274064967752799E-2</v>
      </c>
      <c r="AU77" s="137">
        <f t="shared" si="34"/>
        <v>0</v>
      </c>
      <c r="AV77" s="394">
        <f t="shared" si="50"/>
        <v>0</v>
      </c>
      <c r="AW77" s="137">
        <f t="shared" si="35"/>
        <v>0.54</v>
      </c>
      <c r="AX77" s="137">
        <f t="shared" si="36"/>
        <v>0.95</v>
      </c>
      <c r="AY77" s="137">
        <f t="shared" si="37"/>
        <v>0.85</v>
      </c>
      <c r="AZ77" s="137"/>
      <c r="BA77" s="264"/>
      <c r="BB77" s="258">
        <f t="shared" si="38"/>
        <v>0</v>
      </c>
      <c r="BC77" s="258">
        <f t="shared" si="39"/>
        <v>0</v>
      </c>
      <c r="BD77" s="137">
        <f t="shared" si="52"/>
        <v>0</v>
      </c>
      <c r="BE77" s="137">
        <f t="shared" si="52"/>
        <v>0</v>
      </c>
      <c r="BF77" s="137">
        <f>_xll.xSPRDOPT($BW77,$BV77,$CG77,0,$BY77,$BX77,$BZ77,$AJ77,1,4)*$CB77</f>
        <v>0</v>
      </c>
      <c r="BG77" s="137">
        <f>_xll.xSPRDOPT($BW77,$BV77,$CG77,0,$BY77,$BX77,$BZ77,$AJ77,1,3)*$CB77</f>
        <v>0</v>
      </c>
      <c r="BH77" s="137">
        <f>IF(OR(BF77&lt;&gt;0,BG77&lt;&gt;0),_xll.xSPRDOPT($BW77,$BV77,$CG77,0,$BY77,$BX77,$BZ77,$AJ77,1,12)*$CB77,0)</f>
        <v>0</v>
      </c>
      <c r="BI77" s="137">
        <f>_xll.xSPRDOPT($BW77,$BV77,$CG77,2*LN(1+CA77/2),$BY77,$BX77,$BZ77,$AJ77,1,9)</f>
        <v>-0.45187663113673437</v>
      </c>
      <c r="BJ77" s="137">
        <f>_xll.xSPRDOPT($BW77,$BV77,$CG77,0,$BY77,$BX77,$BZ77,$AJ77,1,6)*$CB77</f>
        <v>0</v>
      </c>
      <c r="BK77" s="137">
        <f>_xll.xSPRDOPT($BW77,$BV77,$CG77,0,$BY77,$BX77,$BZ77,$AJ77,1,5)*$CB77</f>
        <v>0</v>
      </c>
      <c r="BL77" s="137">
        <f>_xll.xSPRDOPT(BW77,BV77,CG77,0,BY77,BX77,BZ77,AJ77,1,2)*CB77</f>
        <v>0</v>
      </c>
      <c r="BM77" s="137">
        <f>_xll.xSPRDOPT(BW77,BV77,CG77,0,BY77,BX77,BZ77,AJ77,1,1)*CB77</f>
        <v>0</v>
      </c>
      <c r="BN77" s="137">
        <f>IF(AH77&lt;&gt;0,_xll.xSPRDOPT($BW77,$BV77,$CG77,2*LN(1+CA77/2),$BY77,$BX77,$BZ77,$AJ77,1,8)+(AJ77/365.25)*CH77/AH77,0)</f>
        <v>0</v>
      </c>
      <c r="BO77" s="137">
        <f>_xll.xSPRDOPT($BW77,$BV77,$CG77,0,$BY77,$BX77,$BZ77,$AJ77,1,0)</f>
        <v>0.92777993663970204</v>
      </c>
      <c r="BP77" s="137"/>
      <c r="BQ77" s="137"/>
      <c r="BR77" s="137"/>
      <c r="BS77" s="137"/>
      <c r="BV77" s="262">
        <v>3.2540160642570277</v>
      </c>
      <c r="BW77" s="136">
        <v>3.2509999999999999</v>
      </c>
      <c r="BX77" s="137">
        <v>0.54</v>
      </c>
      <c r="BY77" s="137">
        <v>0.54</v>
      </c>
      <c r="BZ77" s="137">
        <v>0</v>
      </c>
      <c r="CA77" s="137">
        <v>2.3274064967752799E-2</v>
      </c>
      <c r="CB77" s="137">
        <v>0</v>
      </c>
      <c r="CC77" s="258">
        <v>0</v>
      </c>
      <c r="CD77" s="258">
        <v>0.03</v>
      </c>
      <c r="CE77" s="258">
        <v>0.04</v>
      </c>
      <c r="CF77" s="258">
        <v>0</v>
      </c>
      <c r="CG77" s="258">
        <v>5.9999999999999995E-4</v>
      </c>
      <c r="CH77" s="258">
        <v>0</v>
      </c>
      <c r="CI77" s="258">
        <v>3.2109999999999999</v>
      </c>
      <c r="CJ77" s="258"/>
      <c r="CK77" s="258"/>
      <c r="CL77" s="258"/>
      <c r="CM77" s="258"/>
    </row>
    <row r="78" spans="1:91" x14ac:dyDescent="0.25">
      <c r="A78" s="723"/>
      <c r="B78" s="723"/>
      <c r="D78" s="31">
        <f t="shared" si="41"/>
        <v>37575</v>
      </c>
      <c r="F78" s="28">
        <f t="shared" si="12"/>
        <v>15600</v>
      </c>
      <c r="G78" s="28">
        <f t="shared" si="13"/>
        <v>0</v>
      </c>
      <c r="H78" s="52">
        <f t="shared" si="14"/>
        <v>3.2540160642570277</v>
      </c>
      <c r="I78" s="52">
        <f t="shared" si="15"/>
        <v>3.2509999999999999</v>
      </c>
      <c r="K78" s="52">
        <f t="shared" si="42"/>
        <v>0</v>
      </c>
      <c r="L78" s="135">
        <f t="shared" si="43"/>
        <v>0</v>
      </c>
      <c r="N78" s="131">
        <f t="shared" si="44"/>
        <v>0.54</v>
      </c>
      <c r="O78" s="131">
        <f t="shared" si="45"/>
        <v>0.54</v>
      </c>
      <c r="P78" s="55">
        <f t="shared" si="46"/>
        <v>0</v>
      </c>
      <c r="Q78" s="135">
        <f>_xll.xSPRDOPT(I78,H78,AQ78,0,O78,N78,P78,D78-$G$5,1,0)*AH78*AU78</f>
        <v>0</v>
      </c>
      <c r="R78" s="135"/>
      <c r="S78" s="181">
        <f>_xll.xSPRDOPT(I78,H78,AQ78,AT78,O78,N78,P78,D78-$G$5,1,2)*AF78*(F78/(1-AR78))*AH78</f>
        <v>0</v>
      </c>
      <c r="T78" s="181">
        <f>_xll.xSPRDOPT(I78,H78,AQ78,AT78,O78,N78,P78,D78-$G$5,1,1)*AF78*F78*AH78</f>
        <v>0</v>
      </c>
      <c r="U78" s="135"/>
      <c r="V78" s="146">
        <f t="shared" si="16"/>
        <v>0</v>
      </c>
      <c r="W78" s="146"/>
      <c r="X78" s="338">
        <f t="shared" si="17"/>
        <v>0</v>
      </c>
      <c r="Y78" s="338">
        <f t="shared" si="18"/>
        <v>0</v>
      </c>
      <c r="Z78" s="338">
        <f t="shared" si="19"/>
        <v>0</v>
      </c>
      <c r="AA78" s="338">
        <f t="shared" si="20"/>
        <v>0</v>
      </c>
      <c r="AB78" s="338">
        <f t="shared" si="21"/>
        <v>0</v>
      </c>
      <c r="AC78" s="338">
        <f t="shared" si="22"/>
        <v>0</v>
      </c>
      <c r="AF78" s="138">
        <f t="shared" si="23"/>
        <v>0</v>
      </c>
      <c r="AG78" s="138">
        <f t="shared" si="24"/>
        <v>11</v>
      </c>
      <c r="AH78" s="138">
        <f t="shared" si="51"/>
        <v>0</v>
      </c>
      <c r="AI78" s="138">
        <f t="shared" si="47"/>
        <v>319</v>
      </c>
      <c r="AJ78" s="138">
        <f t="shared" si="26"/>
        <v>336</v>
      </c>
      <c r="AL78" s="136">
        <f t="shared" si="27"/>
        <v>3.2109999999999999</v>
      </c>
      <c r="AM78" s="258">
        <f t="shared" si="48"/>
        <v>0</v>
      </c>
      <c r="AN78" s="258">
        <f t="shared" si="28"/>
        <v>0.03</v>
      </c>
      <c r="AO78" s="258">
        <f t="shared" si="29"/>
        <v>0.04</v>
      </c>
      <c r="AP78" s="258">
        <f t="shared" si="30"/>
        <v>0</v>
      </c>
      <c r="AQ78" s="136">
        <f t="shared" si="31"/>
        <v>5.9999999999999995E-4</v>
      </c>
      <c r="AR78" s="137">
        <f t="shared" si="32"/>
        <v>4.0000000000000001E-3</v>
      </c>
      <c r="AS78" s="136">
        <f t="shared" si="49"/>
        <v>3.2409999999999997</v>
      </c>
      <c r="AT78" s="137">
        <f t="shared" si="33"/>
        <v>2.3274064967752799E-2</v>
      </c>
      <c r="AU78" s="137">
        <f t="shared" si="34"/>
        <v>0</v>
      </c>
      <c r="AV78" s="394">
        <f t="shared" si="50"/>
        <v>0</v>
      </c>
      <c r="AW78" s="137">
        <f t="shared" si="35"/>
        <v>0.54</v>
      </c>
      <c r="AX78" s="137">
        <f t="shared" si="36"/>
        <v>0.95</v>
      </c>
      <c r="AY78" s="137">
        <f t="shared" si="37"/>
        <v>0.85</v>
      </c>
      <c r="AZ78" s="137"/>
      <c r="BA78" s="264"/>
      <c r="BB78" s="258">
        <f t="shared" si="38"/>
        <v>0</v>
      </c>
      <c r="BC78" s="258">
        <f t="shared" si="39"/>
        <v>0</v>
      </c>
      <c r="BD78" s="137">
        <f t="shared" si="52"/>
        <v>0</v>
      </c>
      <c r="BE78" s="137">
        <f t="shared" si="52"/>
        <v>0</v>
      </c>
      <c r="BF78" s="137">
        <f>_xll.xSPRDOPT($BW78,$BV78,$CG78,0,$BY78,$BX78,$BZ78,$AJ78,1,4)*$CB78</f>
        <v>0</v>
      </c>
      <c r="BG78" s="137">
        <f>_xll.xSPRDOPT($BW78,$BV78,$CG78,0,$BY78,$BX78,$BZ78,$AJ78,1,3)*$CB78</f>
        <v>0</v>
      </c>
      <c r="BH78" s="137">
        <f>IF(OR(BF78&lt;&gt;0,BG78&lt;&gt;0),_xll.xSPRDOPT($BW78,$BV78,$CG78,0,$BY78,$BX78,$BZ78,$AJ78,1,12)*$CB78,0)</f>
        <v>0</v>
      </c>
      <c r="BI78" s="137">
        <f>_xll.xSPRDOPT($BW78,$BV78,$CG78,2*LN(1+CA78/2),$BY78,$BX78,$BZ78,$AJ78,1,9)</f>
        <v>-0.45187663113673437</v>
      </c>
      <c r="BJ78" s="137">
        <f>_xll.xSPRDOPT($BW78,$BV78,$CG78,0,$BY78,$BX78,$BZ78,$AJ78,1,6)*$CB78</f>
        <v>0</v>
      </c>
      <c r="BK78" s="137">
        <f>_xll.xSPRDOPT($BW78,$BV78,$CG78,0,$BY78,$BX78,$BZ78,$AJ78,1,5)*$CB78</f>
        <v>0</v>
      </c>
      <c r="BL78" s="137">
        <f>_xll.xSPRDOPT(BW78,BV78,CG78,0,BY78,BX78,BZ78,AJ78,1,2)*CB78</f>
        <v>0</v>
      </c>
      <c r="BM78" s="137">
        <f>_xll.xSPRDOPT(BW78,BV78,CG78,0,BY78,BX78,BZ78,AJ78,1,1)*CB78</f>
        <v>0</v>
      </c>
      <c r="BN78" s="137">
        <f>IF(AH78&lt;&gt;0,_xll.xSPRDOPT($BW78,$BV78,$CG78,2*LN(1+CA78/2),$BY78,$BX78,$BZ78,$AJ78,1,8)+(AJ78/365.25)*CH78/AH78,0)</f>
        <v>0</v>
      </c>
      <c r="BO78" s="137">
        <f>_xll.xSPRDOPT($BW78,$BV78,$CG78,0,$BY78,$BX78,$BZ78,$AJ78,1,0)</f>
        <v>0.92777993663970204</v>
      </c>
      <c r="BP78" s="137"/>
      <c r="BQ78" s="137"/>
      <c r="BR78" s="137"/>
      <c r="BS78" s="137"/>
      <c r="BV78" s="262">
        <v>3.2540160642570277</v>
      </c>
      <c r="BW78" s="136">
        <v>3.2509999999999999</v>
      </c>
      <c r="BX78" s="137">
        <v>0.54</v>
      </c>
      <c r="BY78" s="137">
        <v>0.54</v>
      </c>
      <c r="BZ78" s="137">
        <v>0</v>
      </c>
      <c r="CA78" s="137">
        <v>2.3274064967752799E-2</v>
      </c>
      <c r="CB78" s="137">
        <v>0</v>
      </c>
      <c r="CC78" s="258">
        <v>0</v>
      </c>
      <c r="CD78" s="258">
        <v>0.03</v>
      </c>
      <c r="CE78" s="258">
        <v>0.04</v>
      </c>
      <c r="CF78" s="258">
        <v>0</v>
      </c>
      <c r="CG78" s="258">
        <v>5.9999999999999995E-4</v>
      </c>
      <c r="CH78" s="258">
        <v>0</v>
      </c>
      <c r="CI78" s="258">
        <v>3.2109999999999999</v>
      </c>
      <c r="CJ78" s="258"/>
      <c r="CK78" s="258"/>
      <c r="CL78" s="258"/>
      <c r="CM78" s="258"/>
    </row>
    <row r="79" spans="1:91" x14ac:dyDescent="0.25">
      <c r="A79" s="723"/>
      <c r="B79" s="723"/>
      <c r="D79" s="31">
        <f t="shared" si="41"/>
        <v>37575</v>
      </c>
      <c r="F79" s="28">
        <f t="shared" si="12"/>
        <v>15600</v>
      </c>
      <c r="G79" s="28">
        <f t="shared" si="13"/>
        <v>0</v>
      </c>
      <c r="H79" s="52">
        <f t="shared" si="14"/>
        <v>3.2540160642570277</v>
      </c>
      <c r="I79" s="52">
        <f t="shared" si="15"/>
        <v>3.2509999999999999</v>
      </c>
      <c r="K79" s="52">
        <f t="shared" si="42"/>
        <v>0</v>
      </c>
      <c r="L79" s="135">
        <f t="shared" si="43"/>
        <v>0</v>
      </c>
      <c r="N79" s="131">
        <f t="shared" si="44"/>
        <v>0.54</v>
      </c>
      <c r="O79" s="131">
        <f t="shared" si="45"/>
        <v>0.54</v>
      </c>
      <c r="P79" s="55">
        <f t="shared" si="46"/>
        <v>0</v>
      </c>
      <c r="Q79" s="135">
        <f>_xll.xSPRDOPT(I79,H79,AQ79,0,O79,N79,P79,D79-$G$5,1,0)*AH79*AU79</f>
        <v>0</v>
      </c>
      <c r="R79" s="135"/>
      <c r="S79" s="181">
        <f>_xll.xSPRDOPT(I79,H79,AQ79,AT79,O79,N79,P79,D79-$G$5,1,2)*AF79*(F79/(1-AR79))*AH79</f>
        <v>0</v>
      </c>
      <c r="T79" s="181">
        <f>_xll.xSPRDOPT(I79,H79,AQ79,AT79,O79,N79,P79,D79-$G$5,1,1)*AF79*F79*AH79</f>
        <v>0</v>
      </c>
      <c r="U79" s="135"/>
      <c r="V79" s="146">
        <f t="shared" si="16"/>
        <v>0</v>
      </c>
      <c r="W79" s="146"/>
      <c r="X79" s="338">
        <f t="shared" si="17"/>
        <v>0</v>
      </c>
      <c r="Y79" s="338">
        <f t="shared" si="18"/>
        <v>0</v>
      </c>
      <c r="Z79" s="338">
        <f t="shared" si="19"/>
        <v>0</v>
      </c>
      <c r="AA79" s="338">
        <f t="shared" si="20"/>
        <v>0</v>
      </c>
      <c r="AB79" s="338">
        <f t="shared" si="21"/>
        <v>0</v>
      </c>
      <c r="AC79" s="338">
        <f t="shared" si="22"/>
        <v>0</v>
      </c>
      <c r="AF79" s="138">
        <f t="shared" si="23"/>
        <v>0</v>
      </c>
      <c r="AG79" s="138">
        <f t="shared" si="24"/>
        <v>11</v>
      </c>
      <c r="AH79" s="138">
        <f t="shared" si="51"/>
        <v>0</v>
      </c>
      <c r="AI79" s="138">
        <f t="shared" si="47"/>
        <v>319</v>
      </c>
      <c r="AJ79" s="138">
        <f t="shared" si="26"/>
        <v>336</v>
      </c>
      <c r="AL79" s="136">
        <f t="shared" si="27"/>
        <v>3.2109999999999999</v>
      </c>
      <c r="AM79" s="258">
        <f t="shared" si="48"/>
        <v>0</v>
      </c>
      <c r="AN79" s="258">
        <f t="shared" si="28"/>
        <v>0.03</v>
      </c>
      <c r="AO79" s="258">
        <f t="shared" si="29"/>
        <v>0.04</v>
      </c>
      <c r="AP79" s="258">
        <f t="shared" si="30"/>
        <v>0</v>
      </c>
      <c r="AQ79" s="136">
        <f t="shared" si="31"/>
        <v>5.9999999999999995E-4</v>
      </c>
      <c r="AR79" s="137">
        <f t="shared" si="32"/>
        <v>4.0000000000000001E-3</v>
      </c>
      <c r="AS79" s="136">
        <f t="shared" si="49"/>
        <v>3.2409999999999997</v>
      </c>
      <c r="AT79" s="137">
        <f t="shared" si="33"/>
        <v>2.3274064967752799E-2</v>
      </c>
      <c r="AU79" s="137">
        <f t="shared" si="34"/>
        <v>0</v>
      </c>
      <c r="AV79" s="394">
        <f t="shared" si="50"/>
        <v>0</v>
      </c>
      <c r="AW79" s="137">
        <f t="shared" si="35"/>
        <v>0.54</v>
      </c>
      <c r="AX79" s="137">
        <f t="shared" si="36"/>
        <v>0.95</v>
      </c>
      <c r="AY79" s="137">
        <f t="shared" si="37"/>
        <v>0.85</v>
      </c>
      <c r="AZ79" s="137"/>
      <c r="BA79" s="264"/>
      <c r="BB79" s="258">
        <f t="shared" si="38"/>
        <v>0</v>
      </c>
      <c r="BC79" s="258">
        <f t="shared" si="39"/>
        <v>0</v>
      </c>
      <c r="BD79" s="137">
        <f t="shared" si="52"/>
        <v>0</v>
      </c>
      <c r="BE79" s="137">
        <f t="shared" si="52"/>
        <v>0</v>
      </c>
      <c r="BF79" s="137">
        <f>_xll.xSPRDOPT($BW79,$BV79,$CG79,0,$BY79,$BX79,$BZ79,$AJ79,1,4)*$CB79</f>
        <v>0</v>
      </c>
      <c r="BG79" s="137">
        <f>_xll.xSPRDOPT($BW79,$BV79,$CG79,0,$BY79,$BX79,$BZ79,$AJ79,1,3)*$CB79</f>
        <v>0</v>
      </c>
      <c r="BH79" s="137">
        <f>IF(OR(BF79&lt;&gt;0,BG79&lt;&gt;0),_xll.xSPRDOPT($BW79,$BV79,$CG79,0,$BY79,$BX79,$BZ79,$AJ79,1,12)*$CB79,0)</f>
        <v>0</v>
      </c>
      <c r="BI79" s="137">
        <f>_xll.xSPRDOPT($BW79,$BV79,$CG79,2*LN(1+CA79/2),$BY79,$BX79,$BZ79,$AJ79,1,9)</f>
        <v>-0.45187663113673437</v>
      </c>
      <c r="BJ79" s="137">
        <f>_xll.xSPRDOPT($BW79,$BV79,$CG79,0,$BY79,$BX79,$BZ79,$AJ79,1,6)*$CB79</f>
        <v>0</v>
      </c>
      <c r="BK79" s="137">
        <f>_xll.xSPRDOPT($BW79,$BV79,$CG79,0,$BY79,$BX79,$BZ79,$AJ79,1,5)*$CB79</f>
        <v>0</v>
      </c>
      <c r="BL79" s="137">
        <f>_xll.xSPRDOPT(BW79,BV79,CG79,0,BY79,BX79,BZ79,AJ79,1,2)*CB79</f>
        <v>0</v>
      </c>
      <c r="BM79" s="137">
        <f>_xll.xSPRDOPT(BW79,BV79,CG79,0,BY79,BX79,BZ79,AJ79,1,1)*CB79</f>
        <v>0</v>
      </c>
      <c r="BN79" s="137">
        <f>IF(AH79&lt;&gt;0,_xll.xSPRDOPT($BW79,$BV79,$CG79,2*LN(1+CA79/2),$BY79,$BX79,$BZ79,$AJ79,1,8)+(AJ79/365.25)*CH79/AH79,0)</f>
        <v>0</v>
      </c>
      <c r="BO79" s="137">
        <f>_xll.xSPRDOPT($BW79,$BV79,$CG79,0,$BY79,$BX79,$BZ79,$AJ79,1,0)</f>
        <v>0.92777993663970204</v>
      </c>
      <c r="BP79" s="137"/>
      <c r="BQ79" s="137"/>
      <c r="BR79" s="137"/>
      <c r="BS79" s="137"/>
      <c r="BV79" s="262">
        <v>3.2540160642570277</v>
      </c>
      <c r="BW79" s="136">
        <v>3.2509999999999999</v>
      </c>
      <c r="BX79" s="137">
        <v>0.54</v>
      </c>
      <c r="BY79" s="137">
        <v>0.54</v>
      </c>
      <c r="BZ79" s="137">
        <v>0</v>
      </c>
      <c r="CA79" s="137">
        <v>2.3274064967752799E-2</v>
      </c>
      <c r="CB79" s="137">
        <v>0</v>
      </c>
      <c r="CC79" s="258">
        <v>0</v>
      </c>
      <c r="CD79" s="258">
        <v>0.03</v>
      </c>
      <c r="CE79" s="258">
        <v>0.04</v>
      </c>
      <c r="CF79" s="258">
        <v>0</v>
      </c>
      <c r="CG79" s="258">
        <v>5.9999999999999995E-4</v>
      </c>
      <c r="CH79" s="258">
        <v>0</v>
      </c>
      <c r="CI79" s="258">
        <v>3.2109999999999999</v>
      </c>
      <c r="CJ79" s="258"/>
      <c r="CK79" s="258"/>
      <c r="CL79" s="258"/>
      <c r="CM79" s="258"/>
    </row>
    <row r="80" spans="1:91" x14ac:dyDescent="0.25">
      <c r="A80" s="723"/>
      <c r="B80" s="723"/>
      <c r="D80" s="31">
        <f t="shared" si="41"/>
        <v>37575</v>
      </c>
      <c r="F80" s="28">
        <f t="shared" si="12"/>
        <v>15600</v>
      </c>
      <c r="G80" s="28">
        <f t="shared" si="13"/>
        <v>0</v>
      </c>
      <c r="H80" s="52">
        <f t="shared" si="14"/>
        <v>3.2540160642570277</v>
      </c>
      <c r="I80" s="52">
        <f t="shared" si="15"/>
        <v>3.2509999999999999</v>
      </c>
      <c r="K80" s="52">
        <f t="shared" si="42"/>
        <v>0</v>
      </c>
      <c r="L80" s="135">
        <f t="shared" si="43"/>
        <v>0</v>
      </c>
      <c r="N80" s="131">
        <f t="shared" si="44"/>
        <v>0.54</v>
      </c>
      <c r="O80" s="131">
        <f t="shared" si="45"/>
        <v>0.54</v>
      </c>
      <c r="P80" s="55">
        <f t="shared" si="46"/>
        <v>0</v>
      </c>
      <c r="Q80" s="135">
        <f>_xll.xSPRDOPT(I80,H80,AQ80,0,O80,N80,P80,D80-$G$5,1,0)*AH80*AU80</f>
        <v>0</v>
      </c>
      <c r="R80" s="135"/>
      <c r="S80" s="181">
        <f>_xll.xSPRDOPT(I80,H80,AQ80,AT80,O80,N80,P80,D80-$G$5,1,2)*AF80*(F80/(1-AR80))*AH80</f>
        <v>0</v>
      </c>
      <c r="T80" s="181">
        <f>_xll.xSPRDOPT(I80,H80,AQ80,AT80,O80,N80,P80,D80-$G$5,1,1)*AF80*F80*AH80</f>
        <v>0</v>
      </c>
      <c r="U80" s="135"/>
      <c r="V80" s="146">
        <f t="shared" si="16"/>
        <v>0</v>
      </c>
      <c r="W80" s="146"/>
      <c r="X80" s="338">
        <f t="shared" si="17"/>
        <v>0</v>
      </c>
      <c r="Y80" s="338">
        <f t="shared" si="18"/>
        <v>0</v>
      </c>
      <c r="Z80" s="338">
        <f t="shared" si="19"/>
        <v>0</v>
      </c>
      <c r="AA80" s="338">
        <f t="shared" si="20"/>
        <v>0</v>
      </c>
      <c r="AB80" s="338">
        <f t="shared" si="21"/>
        <v>0</v>
      </c>
      <c r="AC80" s="338">
        <f t="shared" si="22"/>
        <v>0</v>
      </c>
      <c r="AF80" s="138">
        <f t="shared" si="23"/>
        <v>0</v>
      </c>
      <c r="AG80" s="138">
        <f t="shared" si="24"/>
        <v>11</v>
      </c>
      <c r="AH80" s="138">
        <f t="shared" si="51"/>
        <v>0</v>
      </c>
      <c r="AI80" s="138">
        <f t="shared" si="47"/>
        <v>319</v>
      </c>
      <c r="AJ80" s="138">
        <f t="shared" si="26"/>
        <v>336</v>
      </c>
      <c r="AL80" s="136">
        <f t="shared" si="27"/>
        <v>3.2109999999999999</v>
      </c>
      <c r="AM80" s="258">
        <f t="shared" si="48"/>
        <v>0</v>
      </c>
      <c r="AN80" s="258">
        <f t="shared" si="28"/>
        <v>0.03</v>
      </c>
      <c r="AO80" s="258">
        <f t="shared" si="29"/>
        <v>0.04</v>
      </c>
      <c r="AP80" s="258">
        <f t="shared" si="30"/>
        <v>0</v>
      </c>
      <c r="AQ80" s="136">
        <f t="shared" si="31"/>
        <v>5.9999999999999995E-4</v>
      </c>
      <c r="AR80" s="137">
        <f t="shared" si="32"/>
        <v>4.0000000000000001E-3</v>
      </c>
      <c r="AS80" s="136">
        <f t="shared" si="49"/>
        <v>3.2409999999999997</v>
      </c>
      <c r="AT80" s="137">
        <f t="shared" si="33"/>
        <v>2.3274064967752799E-2</v>
      </c>
      <c r="AU80" s="137">
        <f t="shared" si="34"/>
        <v>0</v>
      </c>
      <c r="AV80" s="394">
        <f t="shared" si="50"/>
        <v>0</v>
      </c>
      <c r="AW80" s="137">
        <f t="shared" si="35"/>
        <v>0.54</v>
      </c>
      <c r="AX80" s="137">
        <f t="shared" si="36"/>
        <v>0.95</v>
      </c>
      <c r="AY80" s="137">
        <f t="shared" si="37"/>
        <v>0.85</v>
      </c>
      <c r="AZ80" s="137"/>
      <c r="BA80" s="264"/>
      <c r="BB80" s="258">
        <f t="shared" si="38"/>
        <v>0</v>
      </c>
      <c r="BC80" s="258">
        <f t="shared" si="39"/>
        <v>0</v>
      </c>
      <c r="BD80" s="137">
        <f t="shared" si="52"/>
        <v>0</v>
      </c>
      <c r="BE80" s="137">
        <f t="shared" si="52"/>
        <v>0</v>
      </c>
      <c r="BF80" s="137">
        <f>_xll.xSPRDOPT($BW80,$BV80,$CG80,0,$BY80,$BX80,$BZ80,$AJ80,1,4)*$CB80</f>
        <v>0</v>
      </c>
      <c r="BG80" s="137">
        <f>_xll.xSPRDOPT($BW80,$BV80,$CG80,0,$BY80,$BX80,$BZ80,$AJ80,1,3)*$CB80</f>
        <v>0</v>
      </c>
      <c r="BH80" s="137">
        <f>IF(OR(BF80&lt;&gt;0,BG80&lt;&gt;0),_xll.xSPRDOPT($BW80,$BV80,$CG80,0,$BY80,$BX80,$BZ80,$AJ80,1,12)*$CB80,0)</f>
        <v>0</v>
      </c>
      <c r="BI80" s="137">
        <f>_xll.xSPRDOPT($BW80,$BV80,$CG80,2*LN(1+CA80/2),$BY80,$BX80,$BZ80,$AJ80,1,9)</f>
        <v>-0.45187663113673437</v>
      </c>
      <c r="BJ80" s="137">
        <f>_xll.xSPRDOPT($BW80,$BV80,$CG80,0,$BY80,$BX80,$BZ80,$AJ80,1,6)*$CB80</f>
        <v>0</v>
      </c>
      <c r="BK80" s="137">
        <f>_xll.xSPRDOPT($BW80,$BV80,$CG80,0,$BY80,$BX80,$BZ80,$AJ80,1,5)*$CB80</f>
        <v>0</v>
      </c>
      <c r="BL80" s="137">
        <f>_xll.xSPRDOPT(BW80,BV80,CG80,0,BY80,BX80,BZ80,AJ80,1,2)*CB80</f>
        <v>0</v>
      </c>
      <c r="BM80" s="137">
        <f>_xll.xSPRDOPT(BW80,BV80,CG80,0,BY80,BX80,BZ80,AJ80,1,1)*CB80</f>
        <v>0</v>
      </c>
      <c r="BN80" s="137">
        <f>IF(AH80&lt;&gt;0,_xll.xSPRDOPT($BW80,$BV80,$CG80,2*LN(1+CA80/2),$BY80,$BX80,$BZ80,$AJ80,1,8)+(AJ80/365.25)*CH80/AH80,0)</f>
        <v>0</v>
      </c>
      <c r="BO80" s="137">
        <f>_xll.xSPRDOPT($BW80,$BV80,$CG80,0,$BY80,$BX80,$BZ80,$AJ80,1,0)</f>
        <v>0.92777993663970204</v>
      </c>
      <c r="BP80" s="137"/>
      <c r="BQ80" s="137"/>
      <c r="BR80" s="137"/>
      <c r="BS80" s="137"/>
      <c r="BV80" s="262">
        <v>3.2540160642570277</v>
      </c>
      <c r="BW80" s="136">
        <v>3.2509999999999999</v>
      </c>
      <c r="BX80" s="137">
        <v>0.54</v>
      </c>
      <c r="BY80" s="137">
        <v>0.54</v>
      </c>
      <c r="BZ80" s="137">
        <v>0</v>
      </c>
      <c r="CA80" s="137">
        <v>2.3274064967752799E-2</v>
      </c>
      <c r="CB80" s="137">
        <v>0</v>
      </c>
      <c r="CC80" s="258">
        <v>0</v>
      </c>
      <c r="CD80" s="258">
        <v>0.03</v>
      </c>
      <c r="CE80" s="258">
        <v>0.04</v>
      </c>
      <c r="CF80" s="258">
        <v>0</v>
      </c>
      <c r="CG80" s="258">
        <v>5.9999999999999995E-4</v>
      </c>
      <c r="CH80" s="258">
        <v>0</v>
      </c>
      <c r="CI80" s="258">
        <v>3.2109999999999999</v>
      </c>
      <c r="CJ80" s="258"/>
      <c r="CK80" s="258"/>
      <c r="CL80" s="258"/>
      <c r="CM80" s="258"/>
    </row>
    <row r="81" spans="1:91" x14ac:dyDescent="0.25">
      <c r="A81" s="723"/>
      <c r="B81" s="723"/>
      <c r="D81" s="31">
        <f t="shared" si="41"/>
        <v>37575</v>
      </c>
      <c r="F81" s="28">
        <f t="shared" si="12"/>
        <v>15600</v>
      </c>
      <c r="G81" s="28">
        <f t="shared" si="13"/>
        <v>0</v>
      </c>
      <c r="H81" s="52">
        <f t="shared" si="14"/>
        <v>3.2540160642570277</v>
      </c>
      <c r="I81" s="52">
        <f t="shared" si="15"/>
        <v>3.2509999999999999</v>
      </c>
      <c r="K81" s="52">
        <f t="shared" si="42"/>
        <v>0</v>
      </c>
      <c r="L81" s="135">
        <f t="shared" si="43"/>
        <v>0</v>
      </c>
      <c r="N81" s="131">
        <f t="shared" si="44"/>
        <v>0.54</v>
      </c>
      <c r="O81" s="131">
        <f t="shared" si="45"/>
        <v>0.54</v>
      </c>
      <c r="P81" s="55">
        <f t="shared" si="46"/>
        <v>0</v>
      </c>
      <c r="Q81" s="135">
        <f>_xll.xSPRDOPT(I81,H81,AQ81,0,O81,N81,P81,D81-$G$5,1,0)*AH81*AU81</f>
        <v>0</v>
      </c>
      <c r="R81" s="135"/>
      <c r="S81" s="181">
        <f>_xll.xSPRDOPT(I81,H81,AQ81,AT81,O81,N81,P81,D81-$G$5,1,2)*AF81*(F81/(1-AR81))*AH81</f>
        <v>0</v>
      </c>
      <c r="T81" s="181">
        <f>_xll.xSPRDOPT(I81,H81,AQ81,AT81,O81,N81,P81,D81-$G$5,1,1)*AF81*F81*AH81</f>
        <v>0</v>
      </c>
      <c r="U81" s="135"/>
      <c r="V81" s="146">
        <f t="shared" si="16"/>
        <v>0</v>
      </c>
      <c r="W81" s="146"/>
      <c r="X81" s="338">
        <f t="shared" si="17"/>
        <v>0</v>
      </c>
      <c r="Y81" s="338">
        <f t="shared" si="18"/>
        <v>0</v>
      </c>
      <c r="Z81" s="338">
        <f t="shared" si="19"/>
        <v>0</v>
      </c>
      <c r="AA81" s="338">
        <f t="shared" si="20"/>
        <v>0</v>
      </c>
      <c r="AB81" s="338">
        <f t="shared" si="21"/>
        <v>0</v>
      </c>
      <c r="AC81" s="338">
        <f t="shared" si="22"/>
        <v>0</v>
      </c>
      <c r="AF81" s="138">
        <f t="shared" si="23"/>
        <v>0</v>
      </c>
      <c r="AG81" s="138">
        <f t="shared" si="24"/>
        <v>11</v>
      </c>
      <c r="AH81" s="138">
        <f t="shared" si="51"/>
        <v>0</v>
      </c>
      <c r="AI81" s="138">
        <f t="shared" si="47"/>
        <v>319</v>
      </c>
      <c r="AJ81" s="138">
        <f t="shared" si="26"/>
        <v>336</v>
      </c>
      <c r="AL81" s="136">
        <f t="shared" si="27"/>
        <v>3.2109999999999999</v>
      </c>
      <c r="AM81" s="258">
        <f t="shared" si="48"/>
        <v>0</v>
      </c>
      <c r="AN81" s="258">
        <f t="shared" si="28"/>
        <v>0.03</v>
      </c>
      <c r="AO81" s="258">
        <f t="shared" si="29"/>
        <v>0.04</v>
      </c>
      <c r="AP81" s="258">
        <f t="shared" si="30"/>
        <v>0</v>
      </c>
      <c r="AQ81" s="136">
        <f t="shared" si="31"/>
        <v>5.9999999999999995E-4</v>
      </c>
      <c r="AR81" s="137">
        <f t="shared" si="32"/>
        <v>4.0000000000000001E-3</v>
      </c>
      <c r="AS81" s="136">
        <f t="shared" si="49"/>
        <v>3.2409999999999997</v>
      </c>
      <c r="AT81" s="137">
        <f t="shared" si="33"/>
        <v>2.3274064967752799E-2</v>
      </c>
      <c r="AU81" s="137">
        <f t="shared" si="34"/>
        <v>0</v>
      </c>
      <c r="AV81" s="394">
        <f t="shared" si="50"/>
        <v>0</v>
      </c>
      <c r="AW81" s="137">
        <f t="shared" si="35"/>
        <v>0.54</v>
      </c>
      <c r="AX81" s="137">
        <f t="shared" si="36"/>
        <v>0.95</v>
      </c>
      <c r="AY81" s="137">
        <f t="shared" si="37"/>
        <v>0.85</v>
      </c>
      <c r="AZ81" s="137"/>
      <c r="BA81" s="264"/>
      <c r="BB81" s="258">
        <f t="shared" si="38"/>
        <v>0</v>
      </c>
      <c r="BC81" s="258">
        <f t="shared" si="39"/>
        <v>0</v>
      </c>
      <c r="BD81" s="137">
        <f t="shared" si="52"/>
        <v>0</v>
      </c>
      <c r="BE81" s="137">
        <f t="shared" si="52"/>
        <v>0</v>
      </c>
      <c r="BF81" s="137">
        <f>_xll.xSPRDOPT($BW81,$BV81,$CG81,0,$BY81,$BX81,$BZ81,$AJ81,1,4)*$CB81</f>
        <v>0</v>
      </c>
      <c r="BG81" s="137">
        <f>_xll.xSPRDOPT($BW81,$BV81,$CG81,0,$BY81,$BX81,$BZ81,$AJ81,1,3)*$CB81</f>
        <v>0</v>
      </c>
      <c r="BH81" s="137">
        <f>IF(OR(BF81&lt;&gt;0,BG81&lt;&gt;0),_xll.xSPRDOPT($BW81,$BV81,$CG81,0,$BY81,$BX81,$BZ81,$AJ81,1,12)*$CB81,0)</f>
        <v>0</v>
      </c>
      <c r="BI81" s="137">
        <f>_xll.xSPRDOPT($BW81,$BV81,$CG81,2*LN(1+CA81/2),$BY81,$BX81,$BZ81,$AJ81,1,9)</f>
        <v>-0.45187663113673437</v>
      </c>
      <c r="BJ81" s="137">
        <f>_xll.xSPRDOPT($BW81,$BV81,$CG81,0,$BY81,$BX81,$BZ81,$AJ81,1,6)*$CB81</f>
        <v>0</v>
      </c>
      <c r="BK81" s="137">
        <f>_xll.xSPRDOPT($BW81,$BV81,$CG81,0,$BY81,$BX81,$BZ81,$AJ81,1,5)*$CB81</f>
        <v>0</v>
      </c>
      <c r="BL81" s="137">
        <f>_xll.xSPRDOPT(BW81,BV81,CG81,0,BY81,BX81,BZ81,AJ81,1,2)*CB81</f>
        <v>0</v>
      </c>
      <c r="BM81" s="137">
        <f>_xll.xSPRDOPT(BW81,BV81,CG81,0,BY81,BX81,BZ81,AJ81,1,1)*CB81</f>
        <v>0</v>
      </c>
      <c r="BN81" s="137">
        <f>IF(AH81&lt;&gt;0,_xll.xSPRDOPT($BW81,$BV81,$CG81,2*LN(1+CA81/2),$BY81,$BX81,$BZ81,$AJ81,1,8)+(AJ81/365.25)*CH81/AH81,0)</f>
        <v>0</v>
      </c>
      <c r="BO81" s="137">
        <f>_xll.xSPRDOPT($BW81,$BV81,$CG81,0,$BY81,$BX81,$BZ81,$AJ81,1,0)</f>
        <v>0.92777993663970204</v>
      </c>
      <c r="BP81" s="137"/>
      <c r="BQ81" s="137"/>
      <c r="BR81" s="137"/>
      <c r="BS81" s="137"/>
      <c r="BV81" s="262">
        <v>3.2540160642570277</v>
      </c>
      <c r="BW81" s="136">
        <v>3.2509999999999999</v>
      </c>
      <c r="BX81" s="137">
        <v>0.54</v>
      </c>
      <c r="BY81" s="137">
        <v>0.54</v>
      </c>
      <c r="BZ81" s="137">
        <v>0</v>
      </c>
      <c r="CA81" s="137">
        <v>2.3274064967752799E-2</v>
      </c>
      <c r="CB81" s="137">
        <v>0</v>
      </c>
      <c r="CC81" s="258">
        <v>0</v>
      </c>
      <c r="CD81" s="258">
        <v>0.03</v>
      </c>
      <c r="CE81" s="258">
        <v>0.04</v>
      </c>
      <c r="CF81" s="258">
        <v>0</v>
      </c>
      <c r="CG81" s="258">
        <v>5.9999999999999995E-4</v>
      </c>
      <c r="CH81" s="258">
        <v>0</v>
      </c>
      <c r="CI81" s="258">
        <v>3.2109999999999999</v>
      </c>
      <c r="CJ81" s="258"/>
      <c r="CK81" s="258"/>
      <c r="CL81" s="258"/>
      <c r="CM81" s="258"/>
    </row>
    <row r="82" spans="1:91" x14ac:dyDescent="0.25">
      <c r="A82" s="723"/>
      <c r="B82" s="723"/>
      <c r="D82" s="31">
        <f t="shared" si="41"/>
        <v>37575</v>
      </c>
      <c r="F82" s="28">
        <f t="shared" si="12"/>
        <v>15600</v>
      </c>
      <c r="G82" s="28">
        <f t="shared" si="13"/>
        <v>0</v>
      </c>
      <c r="H82" s="52">
        <f t="shared" si="14"/>
        <v>3.2540160642570277</v>
      </c>
      <c r="I82" s="52">
        <f t="shared" si="15"/>
        <v>3.2509999999999999</v>
      </c>
      <c r="K82" s="52">
        <f t="shared" si="42"/>
        <v>0</v>
      </c>
      <c r="L82" s="135">
        <f t="shared" si="43"/>
        <v>0</v>
      </c>
      <c r="N82" s="131">
        <f t="shared" si="44"/>
        <v>0.54</v>
      </c>
      <c r="O82" s="131">
        <f t="shared" si="45"/>
        <v>0.54</v>
      </c>
      <c r="P82" s="55">
        <f t="shared" si="46"/>
        <v>0</v>
      </c>
      <c r="Q82" s="135">
        <f>_xll.xSPRDOPT(I82,H82,AQ82,0,O82,N82,P82,D82-$G$5,1,0)*AH82*AU82</f>
        <v>0</v>
      </c>
      <c r="R82" s="135"/>
      <c r="S82" s="181">
        <f>_xll.xSPRDOPT(I82,H82,AQ82,AT82,O82,N82,P82,D82-$G$5,1,2)*AF82*(F82/(1-AR82))*AH82</f>
        <v>0</v>
      </c>
      <c r="T82" s="181">
        <f>_xll.xSPRDOPT(I82,H82,AQ82,AT82,O82,N82,P82,D82-$G$5,1,1)*AF82*F82*AH82</f>
        <v>0</v>
      </c>
      <c r="U82" s="135"/>
      <c r="V82" s="146">
        <f t="shared" si="16"/>
        <v>0</v>
      </c>
      <c r="W82" s="146"/>
      <c r="X82" s="338">
        <f t="shared" si="17"/>
        <v>0</v>
      </c>
      <c r="Y82" s="338">
        <f t="shared" si="18"/>
        <v>0</v>
      </c>
      <c r="Z82" s="338">
        <f t="shared" si="19"/>
        <v>0</v>
      </c>
      <c r="AA82" s="338">
        <f t="shared" si="20"/>
        <v>0</v>
      </c>
      <c r="AB82" s="338">
        <f t="shared" si="21"/>
        <v>0</v>
      </c>
      <c r="AC82" s="338">
        <f t="shared" si="22"/>
        <v>0</v>
      </c>
      <c r="AF82" s="138">
        <f t="shared" si="23"/>
        <v>0</v>
      </c>
      <c r="AG82" s="138">
        <f t="shared" si="24"/>
        <v>11</v>
      </c>
      <c r="AH82" s="138">
        <f t="shared" si="51"/>
        <v>0</v>
      </c>
      <c r="AI82" s="138">
        <f t="shared" si="47"/>
        <v>319</v>
      </c>
      <c r="AJ82" s="138">
        <f t="shared" si="26"/>
        <v>336</v>
      </c>
      <c r="AL82" s="136">
        <f t="shared" si="27"/>
        <v>3.2109999999999999</v>
      </c>
      <c r="AM82" s="258">
        <f t="shared" si="48"/>
        <v>0</v>
      </c>
      <c r="AN82" s="258">
        <f t="shared" si="28"/>
        <v>0.03</v>
      </c>
      <c r="AO82" s="258">
        <f t="shared" si="29"/>
        <v>0.04</v>
      </c>
      <c r="AP82" s="258">
        <f t="shared" si="30"/>
        <v>0</v>
      </c>
      <c r="AQ82" s="136">
        <f t="shared" si="31"/>
        <v>5.9999999999999995E-4</v>
      </c>
      <c r="AR82" s="137">
        <f t="shared" si="32"/>
        <v>4.0000000000000001E-3</v>
      </c>
      <c r="AS82" s="136">
        <f t="shared" si="49"/>
        <v>3.2409999999999997</v>
      </c>
      <c r="AT82" s="137">
        <f t="shared" si="33"/>
        <v>2.3274064967752799E-2</v>
      </c>
      <c r="AU82" s="137">
        <f t="shared" si="34"/>
        <v>0</v>
      </c>
      <c r="AV82" s="394">
        <f t="shared" si="50"/>
        <v>0</v>
      </c>
      <c r="AW82" s="137">
        <f t="shared" si="35"/>
        <v>0.54</v>
      </c>
      <c r="AX82" s="137">
        <f t="shared" si="36"/>
        <v>0.95</v>
      </c>
      <c r="AY82" s="137">
        <f t="shared" si="37"/>
        <v>0.85</v>
      </c>
      <c r="AZ82" s="137"/>
      <c r="BA82" s="264"/>
      <c r="BB82" s="258">
        <f t="shared" si="38"/>
        <v>0</v>
      </c>
      <c r="BC82" s="258">
        <f t="shared" si="39"/>
        <v>0</v>
      </c>
      <c r="BD82" s="137">
        <f t="shared" si="52"/>
        <v>0</v>
      </c>
      <c r="BE82" s="137">
        <f t="shared" si="52"/>
        <v>0</v>
      </c>
      <c r="BF82" s="137">
        <f>_xll.xSPRDOPT($BW82,$BV82,$CG82,0,$BY82,$BX82,$BZ82,$AJ82,1,4)*$CB82</f>
        <v>0</v>
      </c>
      <c r="BG82" s="137">
        <f>_xll.xSPRDOPT($BW82,$BV82,$CG82,0,$BY82,$BX82,$BZ82,$AJ82,1,3)*$CB82</f>
        <v>0</v>
      </c>
      <c r="BH82" s="137">
        <f>IF(OR(BF82&lt;&gt;0,BG82&lt;&gt;0),_xll.xSPRDOPT($BW82,$BV82,$CG82,0,$BY82,$BX82,$BZ82,$AJ82,1,12)*$CB82,0)</f>
        <v>0</v>
      </c>
      <c r="BI82" s="137">
        <f>_xll.xSPRDOPT($BW82,$BV82,$CG82,2*LN(1+CA82/2),$BY82,$BX82,$BZ82,$AJ82,1,9)</f>
        <v>-0.45187663113673437</v>
      </c>
      <c r="BJ82" s="137">
        <f>_xll.xSPRDOPT($BW82,$BV82,$CG82,0,$BY82,$BX82,$BZ82,$AJ82,1,6)*$CB82</f>
        <v>0</v>
      </c>
      <c r="BK82" s="137">
        <f>_xll.xSPRDOPT($BW82,$BV82,$CG82,0,$BY82,$BX82,$BZ82,$AJ82,1,5)*$CB82</f>
        <v>0</v>
      </c>
      <c r="BL82" s="137">
        <f>_xll.xSPRDOPT(BW82,BV82,CG82,0,BY82,BX82,BZ82,AJ82,1,2)*CB82</f>
        <v>0</v>
      </c>
      <c r="BM82" s="137">
        <f>_xll.xSPRDOPT(BW82,BV82,CG82,0,BY82,BX82,BZ82,AJ82,1,1)*CB82</f>
        <v>0</v>
      </c>
      <c r="BN82" s="137">
        <f>IF(AH82&lt;&gt;0,_xll.xSPRDOPT($BW82,$BV82,$CG82,2*LN(1+CA82/2),$BY82,$BX82,$BZ82,$AJ82,1,8)+(AJ82/365.25)*CH82/AH82,0)</f>
        <v>0</v>
      </c>
      <c r="BO82" s="137">
        <f>_xll.xSPRDOPT($BW82,$BV82,$CG82,0,$BY82,$BX82,$BZ82,$AJ82,1,0)</f>
        <v>0.92777993663970204</v>
      </c>
      <c r="BP82" s="137"/>
      <c r="BQ82" s="137"/>
      <c r="BR82" s="137"/>
      <c r="BS82" s="137"/>
      <c r="BV82" s="262">
        <v>3.2540160642570277</v>
      </c>
      <c r="BW82" s="136">
        <v>3.2509999999999999</v>
      </c>
      <c r="BX82" s="137">
        <v>0.54</v>
      </c>
      <c r="BY82" s="137">
        <v>0.54</v>
      </c>
      <c r="BZ82" s="137">
        <v>0</v>
      </c>
      <c r="CA82" s="137">
        <v>2.3274064967752799E-2</v>
      </c>
      <c r="CB82" s="137">
        <v>0</v>
      </c>
      <c r="CC82" s="258">
        <v>0</v>
      </c>
      <c r="CD82" s="258">
        <v>0.03</v>
      </c>
      <c r="CE82" s="258">
        <v>0.04</v>
      </c>
      <c r="CF82" s="258">
        <v>0</v>
      </c>
      <c r="CG82" s="258">
        <v>5.9999999999999995E-4</v>
      </c>
      <c r="CH82" s="258">
        <v>0</v>
      </c>
      <c r="CI82" s="258">
        <v>3.2109999999999999</v>
      </c>
      <c r="CJ82" s="258"/>
      <c r="CK82" s="258"/>
      <c r="CL82" s="258"/>
      <c r="CM82" s="258"/>
    </row>
    <row r="83" spans="1:91" x14ac:dyDescent="0.25">
      <c r="A83" s="723"/>
      <c r="B83" s="723"/>
      <c r="D83" s="31">
        <f t="shared" si="41"/>
        <v>37575</v>
      </c>
      <c r="F83" s="28">
        <f t="shared" si="12"/>
        <v>15600</v>
      </c>
      <c r="G83" s="28">
        <f t="shared" si="13"/>
        <v>0</v>
      </c>
      <c r="H83" s="52">
        <f t="shared" si="14"/>
        <v>3.2540160642570277</v>
      </c>
      <c r="I83" s="52">
        <f t="shared" si="15"/>
        <v>3.2509999999999999</v>
      </c>
      <c r="K83" s="52">
        <f t="shared" si="42"/>
        <v>0</v>
      </c>
      <c r="L83" s="135">
        <f t="shared" si="43"/>
        <v>0</v>
      </c>
      <c r="N83" s="131">
        <f t="shared" si="44"/>
        <v>0.54</v>
      </c>
      <c r="O83" s="131">
        <f t="shared" si="45"/>
        <v>0.54</v>
      </c>
      <c r="P83" s="55">
        <f t="shared" si="46"/>
        <v>0</v>
      </c>
      <c r="Q83" s="135">
        <f>_xll.xSPRDOPT(I83,H83,AQ83,0,O83,N83,P83,D83-$G$5,1,0)*AH83*AU83</f>
        <v>0</v>
      </c>
      <c r="R83" s="135"/>
      <c r="S83" s="181">
        <f>_xll.xSPRDOPT(I83,H83,AQ83,AT83,O83,N83,P83,D83-$G$5,1,2)*AF83*(F83/(1-AR83))*AH83</f>
        <v>0</v>
      </c>
      <c r="T83" s="181">
        <f>_xll.xSPRDOPT(I83,H83,AQ83,AT83,O83,N83,P83,D83-$G$5,1,1)*AF83*F83*AH83</f>
        <v>0</v>
      </c>
      <c r="U83" s="135"/>
      <c r="V83" s="146">
        <f t="shared" si="16"/>
        <v>0</v>
      </c>
      <c r="W83" s="146"/>
      <c r="X83" s="338">
        <f t="shared" si="17"/>
        <v>0</v>
      </c>
      <c r="Y83" s="338">
        <f t="shared" si="18"/>
        <v>0</v>
      </c>
      <c r="Z83" s="338">
        <f t="shared" si="19"/>
        <v>0</v>
      </c>
      <c r="AA83" s="338">
        <f t="shared" si="20"/>
        <v>0</v>
      </c>
      <c r="AB83" s="338">
        <f t="shared" si="21"/>
        <v>0</v>
      </c>
      <c r="AC83" s="338">
        <f t="shared" si="22"/>
        <v>0</v>
      </c>
      <c r="AF83" s="138">
        <f t="shared" si="23"/>
        <v>0</v>
      </c>
      <c r="AG83" s="138">
        <f t="shared" si="24"/>
        <v>11</v>
      </c>
      <c r="AH83" s="138">
        <f t="shared" si="51"/>
        <v>0</v>
      </c>
      <c r="AI83" s="138">
        <f t="shared" si="47"/>
        <v>319</v>
      </c>
      <c r="AJ83" s="138">
        <f t="shared" si="26"/>
        <v>336</v>
      </c>
      <c r="AL83" s="136">
        <f t="shared" si="27"/>
        <v>3.2109999999999999</v>
      </c>
      <c r="AM83" s="258">
        <f t="shared" si="48"/>
        <v>0</v>
      </c>
      <c r="AN83" s="258">
        <f t="shared" si="28"/>
        <v>0.03</v>
      </c>
      <c r="AO83" s="258">
        <f t="shared" si="29"/>
        <v>0.04</v>
      </c>
      <c r="AP83" s="258">
        <f t="shared" si="30"/>
        <v>0</v>
      </c>
      <c r="AQ83" s="136">
        <f t="shared" si="31"/>
        <v>5.9999999999999995E-4</v>
      </c>
      <c r="AR83" s="137">
        <f t="shared" si="32"/>
        <v>4.0000000000000001E-3</v>
      </c>
      <c r="AS83" s="136">
        <f t="shared" si="49"/>
        <v>3.2409999999999997</v>
      </c>
      <c r="AT83" s="137">
        <f t="shared" si="33"/>
        <v>2.3274064967752799E-2</v>
      </c>
      <c r="AU83" s="137">
        <f t="shared" si="34"/>
        <v>0</v>
      </c>
      <c r="AV83" s="394">
        <f t="shared" si="50"/>
        <v>0</v>
      </c>
      <c r="AW83" s="137">
        <f t="shared" si="35"/>
        <v>0.54</v>
      </c>
      <c r="AX83" s="137">
        <f t="shared" si="36"/>
        <v>0.95</v>
      </c>
      <c r="AY83" s="137">
        <f t="shared" si="37"/>
        <v>0.85</v>
      </c>
      <c r="AZ83" s="137"/>
      <c r="BA83" s="264"/>
      <c r="BB83" s="258">
        <f t="shared" si="38"/>
        <v>0</v>
      </c>
      <c r="BC83" s="258">
        <f t="shared" si="39"/>
        <v>0</v>
      </c>
      <c r="BD83" s="137">
        <f t="shared" si="52"/>
        <v>0</v>
      </c>
      <c r="BE83" s="137">
        <f t="shared" si="5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-0.45187663113673437</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0.92777993663970204</v>
      </c>
      <c r="BP83" s="137"/>
      <c r="BQ83" s="137"/>
      <c r="BR83" s="137"/>
      <c r="BS83" s="137"/>
      <c r="BV83" s="262">
        <v>3.2540160642570277</v>
      </c>
      <c r="BW83" s="136">
        <v>3.2509999999999999</v>
      </c>
      <c r="BX83" s="137">
        <v>0.54</v>
      </c>
      <c r="BY83" s="137">
        <v>0.54</v>
      </c>
      <c r="BZ83" s="137">
        <v>0</v>
      </c>
      <c r="CA83" s="137">
        <v>2.3274064967752799E-2</v>
      </c>
      <c r="CB83" s="137">
        <v>0</v>
      </c>
      <c r="CC83" s="258">
        <v>0</v>
      </c>
      <c r="CD83" s="258">
        <v>0.03</v>
      </c>
      <c r="CE83" s="258">
        <v>0.04</v>
      </c>
      <c r="CF83" s="258">
        <v>0</v>
      </c>
      <c r="CG83" s="258">
        <v>5.9999999999999995E-4</v>
      </c>
      <c r="CH83" s="258">
        <v>0</v>
      </c>
      <c r="CI83" s="258">
        <v>3.2109999999999999</v>
      </c>
      <c r="CJ83" s="258"/>
      <c r="CK83" s="258"/>
      <c r="CL83" s="258"/>
      <c r="CM83" s="258"/>
    </row>
    <row r="84" spans="1:91" x14ac:dyDescent="0.25">
      <c r="A84" s="723"/>
      <c r="B84" s="723"/>
      <c r="D84" s="31">
        <f t="shared" si="41"/>
        <v>37575</v>
      </c>
      <c r="F84" s="28">
        <f t="shared" si="12"/>
        <v>15600</v>
      </c>
      <c r="G84" s="28">
        <f t="shared" si="13"/>
        <v>0</v>
      </c>
      <c r="H84" s="52">
        <f t="shared" si="14"/>
        <v>3.2540160642570277</v>
      </c>
      <c r="I84" s="52">
        <f t="shared" si="15"/>
        <v>3.2509999999999999</v>
      </c>
      <c r="K84" s="52">
        <f t="shared" si="42"/>
        <v>0</v>
      </c>
      <c r="L84" s="135">
        <f t="shared" si="43"/>
        <v>0</v>
      </c>
      <c r="N84" s="131">
        <f t="shared" si="44"/>
        <v>0.54</v>
      </c>
      <c r="O84" s="131">
        <f t="shared" si="45"/>
        <v>0.54</v>
      </c>
      <c r="P84" s="55">
        <f t="shared" si="46"/>
        <v>0</v>
      </c>
      <c r="Q84" s="135">
        <f>_xll.xSPRDOPT(I84,H84,AQ84,0,O84,N84,P84,D84-$G$5,1,0)*AH84*AU84</f>
        <v>0</v>
      </c>
      <c r="R84" s="135"/>
      <c r="S84" s="181">
        <f>_xll.xSPRDOPT(I84,H84,AQ84,AT84,O84,N84,P84,D84-$G$5,1,2)*AF84*(F84/(1-AR84))*AH84</f>
        <v>0</v>
      </c>
      <c r="T84" s="181">
        <f>_xll.xSPRDOPT(I84,H84,AQ84,AT84,O84,N84,P84,D84-$G$5,1,1)*AF84*F84*AH84</f>
        <v>0</v>
      </c>
      <c r="U84" s="135"/>
      <c r="V84" s="146">
        <f t="shared" si="16"/>
        <v>0</v>
      </c>
      <c r="W84" s="146"/>
      <c r="X84" s="338">
        <f t="shared" si="17"/>
        <v>0</v>
      </c>
      <c r="Y84" s="338">
        <f t="shared" si="18"/>
        <v>0</v>
      </c>
      <c r="Z84" s="338">
        <f t="shared" si="19"/>
        <v>0</v>
      </c>
      <c r="AA84" s="338">
        <f t="shared" si="20"/>
        <v>0</v>
      </c>
      <c r="AB84" s="338">
        <f t="shared" si="21"/>
        <v>0</v>
      </c>
      <c r="AC84" s="338">
        <f t="shared" si="22"/>
        <v>0</v>
      </c>
      <c r="AF84" s="138">
        <f t="shared" si="23"/>
        <v>0</v>
      </c>
      <c r="AG84" s="138">
        <f t="shared" si="24"/>
        <v>11</v>
      </c>
      <c r="AH84" s="138">
        <f t="shared" si="51"/>
        <v>0</v>
      </c>
      <c r="AI84" s="138">
        <f t="shared" si="47"/>
        <v>319</v>
      </c>
      <c r="AJ84" s="138">
        <f t="shared" si="26"/>
        <v>336</v>
      </c>
      <c r="AL84" s="136">
        <f t="shared" si="27"/>
        <v>3.2109999999999999</v>
      </c>
      <c r="AM84" s="258">
        <f t="shared" si="48"/>
        <v>0</v>
      </c>
      <c r="AN84" s="258">
        <f t="shared" si="28"/>
        <v>0.03</v>
      </c>
      <c r="AO84" s="258">
        <f t="shared" si="29"/>
        <v>0.04</v>
      </c>
      <c r="AP84" s="258">
        <f t="shared" si="30"/>
        <v>0</v>
      </c>
      <c r="AQ84" s="136">
        <f t="shared" si="31"/>
        <v>5.9999999999999995E-4</v>
      </c>
      <c r="AR84" s="137">
        <f t="shared" si="32"/>
        <v>4.0000000000000001E-3</v>
      </c>
      <c r="AS84" s="136">
        <f t="shared" si="49"/>
        <v>3.2409999999999997</v>
      </c>
      <c r="AT84" s="137">
        <f t="shared" si="33"/>
        <v>2.3274064967752799E-2</v>
      </c>
      <c r="AU84" s="137">
        <f t="shared" si="34"/>
        <v>0</v>
      </c>
      <c r="AV84" s="394">
        <f t="shared" si="50"/>
        <v>0</v>
      </c>
      <c r="AW84" s="137">
        <f t="shared" si="35"/>
        <v>0.54</v>
      </c>
      <c r="AX84" s="137">
        <f t="shared" si="36"/>
        <v>0.95</v>
      </c>
      <c r="AY84" s="137">
        <f t="shared" si="37"/>
        <v>0.85</v>
      </c>
      <c r="AZ84" s="137"/>
      <c r="BA84" s="264"/>
      <c r="BB84" s="258">
        <f t="shared" si="38"/>
        <v>0</v>
      </c>
      <c r="BC84" s="258">
        <f t="shared" si="39"/>
        <v>0</v>
      </c>
      <c r="BD84" s="137">
        <f t="shared" si="52"/>
        <v>0</v>
      </c>
      <c r="BE84" s="137">
        <f t="shared" si="5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-0.45187663113673437</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0.92777993663970204</v>
      </c>
      <c r="BP84" s="137"/>
      <c r="BQ84" s="137"/>
      <c r="BR84" s="137"/>
      <c r="BS84" s="137"/>
      <c r="BV84" s="262">
        <v>3.2540160642570277</v>
      </c>
      <c r="BW84" s="136">
        <v>3.2509999999999999</v>
      </c>
      <c r="BX84" s="137">
        <v>0.54</v>
      </c>
      <c r="BY84" s="137">
        <v>0.54</v>
      </c>
      <c r="BZ84" s="137">
        <v>0</v>
      </c>
      <c r="CA84" s="137">
        <v>2.3274064967752799E-2</v>
      </c>
      <c r="CB84" s="137">
        <v>0</v>
      </c>
      <c r="CC84" s="258">
        <v>0</v>
      </c>
      <c r="CD84" s="258">
        <v>0.03</v>
      </c>
      <c r="CE84" s="258">
        <v>0.04</v>
      </c>
      <c r="CF84" s="258">
        <v>0</v>
      </c>
      <c r="CG84" s="258">
        <v>5.9999999999999995E-4</v>
      </c>
      <c r="CH84" s="258">
        <v>0</v>
      </c>
      <c r="CI84" s="258">
        <v>3.2109999999999999</v>
      </c>
      <c r="CJ84" s="258"/>
      <c r="CK84" s="258"/>
      <c r="CL84" s="258"/>
      <c r="CM84" s="258"/>
    </row>
    <row r="85" spans="1:91" x14ac:dyDescent="0.25">
      <c r="A85" s="723"/>
      <c r="B85" s="723"/>
      <c r="D85" s="31">
        <f t="shared" si="41"/>
        <v>37575</v>
      </c>
      <c r="F85" s="28">
        <f t="shared" si="12"/>
        <v>15600</v>
      </c>
      <c r="G85" s="28">
        <f t="shared" si="13"/>
        <v>0</v>
      </c>
      <c r="H85" s="52">
        <f t="shared" si="14"/>
        <v>3.2540160642570277</v>
      </c>
      <c r="I85" s="52">
        <f t="shared" si="15"/>
        <v>3.2509999999999999</v>
      </c>
      <c r="K85" s="52">
        <f t="shared" si="42"/>
        <v>0</v>
      </c>
      <c r="L85" s="135">
        <f t="shared" si="43"/>
        <v>0</v>
      </c>
      <c r="N85" s="131">
        <f t="shared" si="44"/>
        <v>0.54</v>
      </c>
      <c r="O85" s="131">
        <f t="shared" si="45"/>
        <v>0.54</v>
      </c>
      <c r="P85" s="55">
        <f t="shared" si="46"/>
        <v>0</v>
      </c>
      <c r="Q85" s="135">
        <f>_xll.xSPRDOPT(I85,H85,AQ85,0,O85,N85,P85,D85-$G$5,1,0)*AH85*AU85</f>
        <v>0</v>
      </c>
      <c r="R85" s="135"/>
      <c r="S85" s="181">
        <f>_xll.xSPRDOPT(I85,H85,AQ85,AT85,O85,N85,P85,D85-$G$5,1,2)*AF85*(F85/(1-AR85))*AH85</f>
        <v>0</v>
      </c>
      <c r="T85" s="181">
        <f>_xll.xSPRDOPT(I85,H85,AQ85,AT85,O85,N85,P85,D85-$G$5,1,1)*AF85*F85*AH85</f>
        <v>0</v>
      </c>
      <c r="U85" s="135"/>
      <c r="V85" s="146">
        <f t="shared" si="16"/>
        <v>0</v>
      </c>
      <c r="W85" s="146"/>
      <c r="X85" s="338">
        <f t="shared" si="17"/>
        <v>0</v>
      </c>
      <c r="Y85" s="338">
        <f t="shared" si="18"/>
        <v>0</v>
      </c>
      <c r="Z85" s="338">
        <f t="shared" si="19"/>
        <v>0</v>
      </c>
      <c r="AA85" s="338">
        <f t="shared" si="20"/>
        <v>0</v>
      </c>
      <c r="AB85" s="338">
        <f t="shared" si="21"/>
        <v>0</v>
      </c>
      <c r="AC85" s="338">
        <f t="shared" si="22"/>
        <v>0</v>
      </c>
      <c r="AF85" s="138">
        <f t="shared" si="23"/>
        <v>0</v>
      </c>
      <c r="AG85" s="138">
        <f t="shared" si="24"/>
        <v>11</v>
      </c>
      <c r="AH85" s="138">
        <f t="shared" si="51"/>
        <v>0</v>
      </c>
      <c r="AI85" s="138">
        <f t="shared" si="47"/>
        <v>319</v>
      </c>
      <c r="AJ85" s="138">
        <f t="shared" si="26"/>
        <v>336</v>
      </c>
      <c r="AL85" s="136">
        <f t="shared" si="27"/>
        <v>3.2109999999999999</v>
      </c>
      <c r="AM85" s="258">
        <f t="shared" si="48"/>
        <v>0</v>
      </c>
      <c r="AN85" s="258">
        <f t="shared" si="28"/>
        <v>0.03</v>
      </c>
      <c r="AO85" s="258">
        <f t="shared" si="29"/>
        <v>0.04</v>
      </c>
      <c r="AP85" s="258">
        <f t="shared" si="30"/>
        <v>0</v>
      </c>
      <c r="AQ85" s="136">
        <f t="shared" si="31"/>
        <v>5.9999999999999995E-4</v>
      </c>
      <c r="AR85" s="137">
        <f t="shared" si="32"/>
        <v>4.0000000000000001E-3</v>
      </c>
      <c r="AS85" s="136">
        <f t="shared" si="49"/>
        <v>3.2409999999999997</v>
      </c>
      <c r="AT85" s="137">
        <f t="shared" si="33"/>
        <v>2.3274064967752799E-2</v>
      </c>
      <c r="AU85" s="137">
        <f t="shared" si="34"/>
        <v>0</v>
      </c>
      <c r="AV85" s="394">
        <f t="shared" si="50"/>
        <v>0</v>
      </c>
      <c r="AW85" s="137">
        <f t="shared" si="35"/>
        <v>0.54</v>
      </c>
      <c r="AX85" s="137">
        <f t="shared" si="36"/>
        <v>0.95</v>
      </c>
      <c r="AY85" s="137">
        <f t="shared" si="37"/>
        <v>0.85</v>
      </c>
      <c r="AZ85" s="137"/>
      <c r="BA85" s="264"/>
      <c r="BB85" s="258">
        <f t="shared" si="38"/>
        <v>0</v>
      </c>
      <c r="BC85" s="258">
        <f t="shared" si="39"/>
        <v>0</v>
      </c>
      <c r="BD85" s="137">
        <f t="shared" si="52"/>
        <v>0</v>
      </c>
      <c r="BE85" s="137">
        <f t="shared" si="5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-0.45187663113673437</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0.92777993663970204</v>
      </c>
      <c r="BP85" s="137"/>
      <c r="BQ85" s="137"/>
      <c r="BR85" s="137"/>
      <c r="BS85" s="137"/>
      <c r="BV85" s="262">
        <v>3.2540160642570277</v>
      </c>
      <c r="BW85" s="136">
        <v>3.2509999999999999</v>
      </c>
      <c r="BX85" s="137">
        <v>0.54</v>
      </c>
      <c r="BY85" s="137">
        <v>0.54</v>
      </c>
      <c r="BZ85" s="137">
        <v>0</v>
      </c>
      <c r="CA85" s="137">
        <v>2.3274064967752799E-2</v>
      </c>
      <c r="CB85" s="137">
        <v>0</v>
      </c>
      <c r="CC85" s="258">
        <v>0</v>
      </c>
      <c r="CD85" s="258">
        <v>0.03</v>
      </c>
      <c r="CE85" s="258">
        <v>0.04</v>
      </c>
      <c r="CF85" s="258">
        <v>0</v>
      </c>
      <c r="CG85" s="258">
        <v>5.9999999999999995E-4</v>
      </c>
      <c r="CH85" s="258">
        <v>0</v>
      </c>
      <c r="CI85" s="258">
        <v>3.2109999999999999</v>
      </c>
      <c r="CJ85" s="258"/>
      <c r="CK85" s="258"/>
      <c r="CL85" s="258"/>
      <c r="CM85" s="258"/>
    </row>
    <row r="86" spans="1:91" x14ac:dyDescent="0.25">
      <c r="A86" s="723"/>
      <c r="B86" s="723"/>
      <c r="D86" s="31">
        <f t="shared" si="41"/>
        <v>37575</v>
      </c>
      <c r="F86" s="28">
        <f t="shared" ref="F86:F117" si="53">VLOOKUP(AG86,$AL$4:$AS$15,2)</f>
        <v>15600</v>
      </c>
      <c r="G86" s="28">
        <f t="shared" ref="G86:G117" si="54">F86*$AU86</f>
        <v>0</v>
      </c>
      <c r="H86" s="52">
        <f t="shared" ref="H86:H117" si="55">(AL86+AM86+AN86)/(1-(AR86))</f>
        <v>3.2540160642570277</v>
      </c>
      <c r="I86" s="52">
        <f t="shared" ref="I86:I117" si="56">(AL86+AO86+AP86)</f>
        <v>3.2509999999999999</v>
      </c>
      <c r="K86" s="52">
        <f t="shared" si="42"/>
        <v>0</v>
      </c>
      <c r="L86" s="135">
        <f t="shared" si="43"/>
        <v>0</v>
      </c>
      <c r="N86" s="131">
        <f t="shared" si="44"/>
        <v>0.54</v>
      </c>
      <c r="O86" s="131">
        <f t="shared" si="45"/>
        <v>0.54</v>
      </c>
      <c r="P86" s="55">
        <f t="shared" si="46"/>
        <v>0</v>
      </c>
      <c r="Q86" s="135">
        <f>_xll.xSPRDOPT(I86,H86,AQ86,0,O86,N86,P86,D86-$G$5,1,0)*AH86*AU86</f>
        <v>0</v>
      </c>
      <c r="R86" s="135"/>
      <c r="S86" s="181">
        <f>_xll.xSPRDOPT(I86,H86,AQ86,AT86,O86,N86,P86,D86-$G$5,1,2)*AF86*(F86/(1-AR86))*AH86</f>
        <v>0</v>
      </c>
      <c r="T86" s="181">
        <f>_xll.xSPRDOPT(I86,H86,AQ86,AT86,O86,N86,P86,D86-$G$5,1,1)*AF86*F86*AH86</f>
        <v>0</v>
      </c>
      <c r="U86" s="135"/>
      <c r="V86" s="146">
        <f t="shared" ref="V86:V117" si="57">VLOOKUP($AG86,$AL$4:$AS$15,8)*AH86*AU86</f>
        <v>0</v>
      </c>
      <c r="W86" s="146"/>
      <c r="X86" s="338">
        <f t="shared" ref="X86:X117" si="58">((BM86*BC86)+(BL86*BB86))*AH86*F86</f>
        <v>0</v>
      </c>
      <c r="Y86" s="338">
        <f t="shared" si="18"/>
        <v>0</v>
      </c>
      <c r="Z86" s="338">
        <f t="shared" si="19"/>
        <v>0</v>
      </c>
      <c r="AA86" s="338">
        <f t="shared" si="20"/>
        <v>0</v>
      </c>
      <c r="AB86" s="338">
        <f t="shared" ref="AB86:AB117" si="59">BN86*(AT86-CA86)*F86*AH86</f>
        <v>0</v>
      </c>
      <c r="AC86" s="338">
        <f t="shared" ref="AC86:AC117" si="60">BO86*CB86*F86*AH86*CA86*($G$5-$BV$5)/365.25</f>
        <v>0</v>
      </c>
      <c r="AF86" s="138">
        <f t="shared" ref="AF86:AF117" si="61">IF(AND(D86&gt;=$G$7,D86&lt;=$G$8),1,0)</f>
        <v>0</v>
      </c>
      <c r="AG86" s="138">
        <f t="shared" ref="AG86:AG117" si="62">MONTH(D86)</f>
        <v>11</v>
      </c>
      <c r="AH86" s="138">
        <f t="shared" ref="AH86:AH117" si="63">(EOMONTH(D86,0)-EOMONTH(D86-DAY(D86),0))*AF86</f>
        <v>0</v>
      </c>
      <c r="AI86" s="138">
        <f t="shared" si="47"/>
        <v>319</v>
      </c>
      <c r="AJ86" s="138">
        <f t="shared" ref="AJ86:AJ117" si="64">D86-$BV$5</f>
        <v>336</v>
      </c>
      <c r="AL86" s="136">
        <f t="shared" si="27"/>
        <v>3.2109999999999999</v>
      </c>
      <c r="AM86" s="258">
        <f t="shared" si="48"/>
        <v>0</v>
      </c>
      <c r="AN86" s="258">
        <f t="shared" si="28"/>
        <v>0.03</v>
      </c>
      <c r="AO86" s="258">
        <f t="shared" si="29"/>
        <v>0.04</v>
      </c>
      <c r="AP86" s="258">
        <f t="shared" si="30"/>
        <v>0</v>
      </c>
      <c r="AQ86" s="136">
        <f t="shared" ref="AQ86:AQ117" si="65">VLOOKUP($AG86,$AL$4:$AS$15,3)+VLOOKUP($AG86,$AL$4:$AS$15,5)+($AH$10*VLOOKUP(D86,GRITable,2))</f>
        <v>5.9999999999999995E-4</v>
      </c>
      <c r="AR86" s="137">
        <f t="shared" si="32"/>
        <v>4.0000000000000001E-3</v>
      </c>
      <c r="AS86" s="136">
        <f t="shared" si="49"/>
        <v>3.2409999999999997</v>
      </c>
      <c r="AT86" s="137">
        <f t="shared" ref="AT86:AT117" si="66">VLOOKUP(D86,CurveTbl,$AK$6)</f>
        <v>2.3274064967752799E-2</v>
      </c>
      <c r="AU86" s="137">
        <f t="shared" si="34"/>
        <v>0</v>
      </c>
      <c r="AV86" s="394">
        <f t="shared" si="50"/>
        <v>0</v>
      </c>
      <c r="AW86" s="137">
        <f t="shared" si="35"/>
        <v>0.54</v>
      </c>
      <c r="AX86" s="137">
        <f t="shared" si="36"/>
        <v>0.95</v>
      </c>
      <c r="AY86" s="137">
        <f t="shared" si="37"/>
        <v>0.85</v>
      </c>
      <c r="AZ86" s="137"/>
      <c r="BA86" s="264"/>
      <c r="BB86" s="258">
        <f t="shared" si="38"/>
        <v>0</v>
      </c>
      <c r="BC86" s="258">
        <f t="shared" ref="BC86:BC117" si="67">I86-BW86</f>
        <v>0</v>
      </c>
      <c r="BD86" s="137">
        <f t="shared" ref="BD86:BE117" si="68">N86-BX86</f>
        <v>0</v>
      </c>
      <c r="BE86" s="137">
        <f t="shared" si="68"/>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-0.45187663113673437</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0.92777993663970204</v>
      </c>
      <c r="BP86" s="137"/>
      <c r="BQ86" s="137"/>
      <c r="BR86" s="137"/>
      <c r="BS86" s="137"/>
      <c r="BV86" s="262">
        <v>3.2540160642570277</v>
      </c>
      <c r="BW86" s="136">
        <v>3.2509999999999999</v>
      </c>
      <c r="BX86" s="137">
        <v>0.54</v>
      </c>
      <c r="BY86" s="137">
        <v>0.54</v>
      </c>
      <c r="BZ86" s="137">
        <v>0</v>
      </c>
      <c r="CA86" s="137">
        <v>2.3274064967752799E-2</v>
      </c>
      <c r="CB86" s="137">
        <v>0</v>
      </c>
      <c r="CC86" s="258">
        <v>0</v>
      </c>
      <c r="CD86" s="258">
        <v>0.03</v>
      </c>
      <c r="CE86" s="258">
        <v>0.04</v>
      </c>
      <c r="CF86" s="258">
        <v>0</v>
      </c>
      <c r="CG86" s="258">
        <v>5.9999999999999995E-4</v>
      </c>
      <c r="CH86" s="258">
        <v>0</v>
      </c>
      <c r="CI86" s="258">
        <v>3.2109999999999999</v>
      </c>
      <c r="CJ86" s="258"/>
      <c r="CK86" s="258"/>
      <c r="CL86" s="258"/>
      <c r="CM86" s="258"/>
    </row>
    <row r="87" spans="1:91" x14ac:dyDescent="0.25">
      <c r="A87" s="723"/>
      <c r="B87" s="723"/>
      <c r="D87" s="31">
        <f t="shared" ref="D87:D117" si="69">D86+AH86</f>
        <v>37575</v>
      </c>
      <c r="F87" s="28">
        <f t="shared" si="53"/>
        <v>15600</v>
      </c>
      <c r="G87" s="28">
        <f t="shared" si="54"/>
        <v>0</v>
      </c>
      <c r="H87" s="52">
        <f t="shared" si="55"/>
        <v>3.2540160642570277</v>
      </c>
      <c r="I87" s="52">
        <f t="shared" si="56"/>
        <v>3.2509999999999999</v>
      </c>
      <c r="K87" s="52">
        <f t="shared" ref="K87:K117" si="70">MAX(((I87-H87)-AQ87)*AU87*AH87,0)</f>
        <v>0</v>
      </c>
      <c r="L87" s="135">
        <f t="shared" ref="L87:L117" si="71">MAX(Q87-K87,0)</f>
        <v>0</v>
      </c>
      <c r="N87" s="131">
        <f t="shared" ref="N87:N117" si="72">SQRT(($AX87^2*($AH87/2)+$AW87^2*$AI87)/(($AH87/2)+$AI87))</f>
        <v>0.54</v>
      </c>
      <c r="O87" s="131">
        <f t="shared" ref="O87:O117" si="73">SQRT(($AY87^2*($AH87/2)+$AW87^2*$AI87)/(($AH87/2)+$AI87))</f>
        <v>0.54</v>
      </c>
      <c r="P87" s="55">
        <f t="shared" ref="P87:P117" si="74">(VLOOKUP(AI87,CorrelationTwo,2)*(AW87^2)*AI87+VLOOKUP(D87,CorrelationOne,$AK$9)*AX87*AY87*(AH87/2))/((AI87+(AH87/2))*O87*N87)*AF87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7"/>
        <v>0</v>
      </c>
      <c r="W87" s="146"/>
      <c r="X87" s="338">
        <f t="shared" si="58"/>
        <v>0</v>
      </c>
      <c r="Y87" s="338">
        <f t="shared" si="18"/>
        <v>0</v>
      </c>
      <c r="Z87" s="338">
        <f t="shared" si="19"/>
        <v>0</v>
      </c>
      <c r="AA87" s="338">
        <f t="shared" si="20"/>
        <v>0</v>
      </c>
      <c r="AB87" s="338">
        <f t="shared" si="59"/>
        <v>0</v>
      </c>
      <c r="AC87" s="338">
        <f t="shared" si="60"/>
        <v>0</v>
      </c>
      <c r="AF87" s="138">
        <f t="shared" si="61"/>
        <v>0</v>
      </c>
      <c r="AG87" s="138">
        <f t="shared" si="62"/>
        <v>11</v>
      </c>
      <c r="AH87" s="138">
        <f t="shared" si="63"/>
        <v>0</v>
      </c>
      <c r="AI87" s="138">
        <f t="shared" ref="AI87:AI117" si="75">AI86+AH86</f>
        <v>319</v>
      </c>
      <c r="AJ87" s="138">
        <f t="shared" si="64"/>
        <v>336</v>
      </c>
      <c r="AL87" s="136">
        <f t="shared" si="27"/>
        <v>3.2109999999999999</v>
      </c>
      <c r="AM87" s="258">
        <f t="shared" si="48"/>
        <v>0</v>
      </c>
      <c r="AN87" s="258">
        <f t="shared" si="28"/>
        <v>0.03</v>
      </c>
      <c r="AO87" s="258">
        <f t="shared" si="29"/>
        <v>0.04</v>
      </c>
      <c r="AP87" s="258">
        <f t="shared" si="30"/>
        <v>0</v>
      </c>
      <c r="AQ87" s="136">
        <f t="shared" si="65"/>
        <v>5.9999999999999995E-4</v>
      </c>
      <c r="AR87" s="137">
        <f t="shared" si="32"/>
        <v>4.0000000000000001E-3</v>
      </c>
      <c r="AS87" s="136">
        <f t="shared" ref="AS87:AS117" si="76">(AL87+AM87+AN87)</f>
        <v>3.2409999999999997</v>
      </c>
      <c r="AT87" s="137">
        <f t="shared" si="66"/>
        <v>2.3274064967752799E-2</v>
      </c>
      <c r="AU87" s="137">
        <f t="shared" si="34"/>
        <v>0</v>
      </c>
      <c r="AV87" s="394">
        <f t="shared" ref="AV87:AV117" si="77">ROUND((F87/(1-AR87))-F87,0)*AF87*AH87*AU87</f>
        <v>0</v>
      </c>
      <c r="AW87" s="137">
        <f t="shared" si="35"/>
        <v>0.54</v>
      </c>
      <c r="AX87" s="137">
        <f t="shared" si="36"/>
        <v>0.95</v>
      </c>
      <c r="AY87" s="137">
        <f t="shared" si="37"/>
        <v>0.85</v>
      </c>
      <c r="AZ87" s="137"/>
      <c r="BA87" s="264"/>
      <c r="BB87" s="258">
        <f t="shared" si="38"/>
        <v>0</v>
      </c>
      <c r="BC87" s="258">
        <f t="shared" si="67"/>
        <v>0</v>
      </c>
      <c r="BD87" s="137">
        <f t="shared" si="68"/>
        <v>0</v>
      </c>
      <c r="BE87" s="137">
        <f t="shared" si="68"/>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-0.45187663113673437</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0.92777993663970204</v>
      </c>
      <c r="BP87" s="137"/>
      <c r="BQ87" s="137"/>
      <c r="BR87" s="137"/>
      <c r="BS87" s="137"/>
      <c r="BV87" s="262">
        <v>3.2540160642570277</v>
      </c>
      <c r="BW87" s="136">
        <v>3.2509999999999999</v>
      </c>
      <c r="BX87" s="137">
        <v>0.54</v>
      </c>
      <c r="BY87" s="137">
        <v>0.54</v>
      </c>
      <c r="BZ87" s="137">
        <v>0</v>
      </c>
      <c r="CA87" s="137">
        <v>2.3274064967752799E-2</v>
      </c>
      <c r="CB87" s="137">
        <v>0</v>
      </c>
      <c r="CC87" s="258">
        <v>0</v>
      </c>
      <c r="CD87" s="258">
        <v>0.03</v>
      </c>
      <c r="CE87" s="258">
        <v>0.04</v>
      </c>
      <c r="CF87" s="258">
        <v>0</v>
      </c>
      <c r="CG87" s="258">
        <v>5.9999999999999995E-4</v>
      </c>
      <c r="CH87" s="258">
        <v>0</v>
      </c>
      <c r="CI87" s="258">
        <v>3.2109999999999999</v>
      </c>
      <c r="CJ87" s="258"/>
      <c r="CK87" s="258"/>
      <c r="CL87" s="258"/>
      <c r="CM87" s="258"/>
    </row>
    <row r="88" spans="1:91" x14ac:dyDescent="0.25">
      <c r="A88" s="723"/>
      <c r="B88" s="723"/>
      <c r="D88" s="31">
        <f t="shared" si="69"/>
        <v>37575</v>
      </c>
      <c r="F88" s="28">
        <f t="shared" si="53"/>
        <v>15600</v>
      </c>
      <c r="G88" s="28">
        <f t="shared" si="54"/>
        <v>0</v>
      </c>
      <c r="H88" s="52">
        <f t="shared" si="55"/>
        <v>3.2540160642570277</v>
      </c>
      <c r="I88" s="52">
        <f t="shared" si="56"/>
        <v>3.2509999999999999</v>
      </c>
      <c r="K88" s="52">
        <f t="shared" si="70"/>
        <v>0</v>
      </c>
      <c r="L88" s="135">
        <f t="shared" si="71"/>
        <v>0</v>
      </c>
      <c r="N88" s="131">
        <f t="shared" si="72"/>
        <v>0.54</v>
      </c>
      <c r="O88" s="131">
        <f t="shared" si="73"/>
        <v>0.54</v>
      </c>
      <c r="P88" s="55">
        <f t="shared" si="74"/>
        <v>0</v>
      </c>
      <c r="Q88" s="135">
        <f>_xll.xSPRDOPT(I88,H88,AQ88,0,O88,N88,P88,D88-$G$5,1,0)*AH88*AU88</f>
        <v>0</v>
      </c>
      <c r="R88" s="135"/>
      <c r="S88" s="181">
        <f>_xll.xSPRDOPT(I88,H88,AQ88,AT88,O88,N88,P88,D88-$G$5,1,2)*AF88*(F88/(1-AR88))*AH88</f>
        <v>0</v>
      </c>
      <c r="T88" s="181">
        <f>_xll.xSPRDOPT(I88,H88,AQ88,AT88,O88,N88,P88,D88-$G$5,1,1)*AF88*F88*AH88</f>
        <v>0</v>
      </c>
      <c r="U88" s="135"/>
      <c r="V88" s="146">
        <f t="shared" si="57"/>
        <v>0</v>
      </c>
      <c r="W88" s="146"/>
      <c r="X88" s="338">
        <f t="shared" si="58"/>
        <v>0</v>
      </c>
      <c r="Y88" s="338">
        <f t="shared" si="18"/>
        <v>0</v>
      </c>
      <c r="Z88" s="338">
        <f t="shared" si="19"/>
        <v>0</v>
      </c>
      <c r="AA88" s="338">
        <f t="shared" si="20"/>
        <v>0</v>
      </c>
      <c r="AB88" s="338">
        <f t="shared" si="59"/>
        <v>0</v>
      </c>
      <c r="AC88" s="338">
        <f t="shared" si="60"/>
        <v>0</v>
      </c>
      <c r="AF88" s="138">
        <f t="shared" si="61"/>
        <v>0</v>
      </c>
      <c r="AG88" s="138">
        <f t="shared" si="62"/>
        <v>11</v>
      </c>
      <c r="AH88" s="138">
        <f t="shared" si="63"/>
        <v>0</v>
      </c>
      <c r="AI88" s="138">
        <f t="shared" si="75"/>
        <v>319</v>
      </c>
      <c r="AJ88" s="138">
        <f t="shared" si="64"/>
        <v>336</v>
      </c>
      <c r="AL88" s="136">
        <f t="shared" si="27"/>
        <v>3.2109999999999999</v>
      </c>
      <c r="AM88" s="258">
        <f t="shared" si="48"/>
        <v>0</v>
      </c>
      <c r="AN88" s="258">
        <f t="shared" si="28"/>
        <v>0.03</v>
      </c>
      <c r="AO88" s="258">
        <f t="shared" si="29"/>
        <v>0.04</v>
      </c>
      <c r="AP88" s="258">
        <f t="shared" si="30"/>
        <v>0</v>
      </c>
      <c r="AQ88" s="136">
        <f t="shared" si="65"/>
        <v>5.9999999999999995E-4</v>
      </c>
      <c r="AR88" s="137">
        <f t="shared" si="32"/>
        <v>4.0000000000000001E-3</v>
      </c>
      <c r="AS88" s="136">
        <f t="shared" si="76"/>
        <v>3.2409999999999997</v>
      </c>
      <c r="AT88" s="137">
        <f t="shared" si="66"/>
        <v>2.3274064967752799E-2</v>
      </c>
      <c r="AU88" s="137">
        <f t="shared" si="34"/>
        <v>0</v>
      </c>
      <c r="AV88" s="394">
        <f t="shared" si="77"/>
        <v>0</v>
      </c>
      <c r="AW88" s="137">
        <f t="shared" si="35"/>
        <v>0.54</v>
      </c>
      <c r="AX88" s="137">
        <f t="shared" si="36"/>
        <v>0.95</v>
      </c>
      <c r="AY88" s="137">
        <f t="shared" si="37"/>
        <v>0.85</v>
      </c>
      <c r="AZ88" s="137"/>
      <c r="BA88" s="264"/>
      <c r="BB88" s="258">
        <f t="shared" si="38"/>
        <v>0</v>
      </c>
      <c r="BC88" s="258">
        <f t="shared" si="67"/>
        <v>0</v>
      </c>
      <c r="BD88" s="137">
        <f t="shared" si="68"/>
        <v>0</v>
      </c>
      <c r="BE88" s="137">
        <f t="shared" si="68"/>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-0.45187663113673437</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0.92777993663970204</v>
      </c>
      <c r="BP88" s="137"/>
      <c r="BQ88" s="137"/>
      <c r="BR88" s="137"/>
      <c r="BS88" s="137"/>
      <c r="BV88" s="262">
        <v>3.2540160642570277</v>
      </c>
      <c r="BW88" s="136">
        <v>3.2509999999999999</v>
      </c>
      <c r="BX88" s="137">
        <v>0.54</v>
      </c>
      <c r="BY88" s="137">
        <v>0.54</v>
      </c>
      <c r="BZ88" s="137">
        <v>0</v>
      </c>
      <c r="CA88" s="137">
        <v>2.3274064967752799E-2</v>
      </c>
      <c r="CB88" s="137">
        <v>0</v>
      </c>
      <c r="CC88" s="258">
        <v>0</v>
      </c>
      <c r="CD88" s="258">
        <v>0.03</v>
      </c>
      <c r="CE88" s="258">
        <v>0.04</v>
      </c>
      <c r="CF88" s="258">
        <v>0</v>
      </c>
      <c r="CG88" s="258">
        <v>5.9999999999999995E-4</v>
      </c>
      <c r="CH88" s="258">
        <v>0</v>
      </c>
      <c r="CI88" s="258">
        <v>3.2109999999999999</v>
      </c>
      <c r="CJ88" s="258"/>
      <c r="CK88" s="258"/>
      <c r="CL88" s="258"/>
      <c r="CM88" s="258"/>
    </row>
    <row r="89" spans="1:91" x14ac:dyDescent="0.25">
      <c r="A89" s="723"/>
      <c r="B89" s="723"/>
      <c r="D89" s="31">
        <f t="shared" si="69"/>
        <v>37575</v>
      </c>
      <c r="F89" s="28">
        <f t="shared" si="53"/>
        <v>15600</v>
      </c>
      <c r="G89" s="28">
        <f t="shared" si="54"/>
        <v>0</v>
      </c>
      <c r="H89" s="52">
        <f t="shared" si="55"/>
        <v>3.2540160642570277</v>
      </c>
      <c r="I89" s="52">
        <f t="shared" si="56"/>
        <v>3.2509999999999999</v>
      </c>
      <c r="K89" s="52">
        <f t="shared" si="70"/>
        <v>0</v>
      </c>
      <c r="L89" s="135">
        <f t="shared" si="71"/>
        <v>0</v>
      </c>
      <c r="N89" s="131">
        <f t="shared" si="72"/>
        <v>0.54</v>
      </c>
      <c r="O89" s="131">
        <f t="shared" si="73"/>
        <v>0.54</v>
      </c>
      <c r="P89" s="55">
        <f t="shared" si="74"/>
        <v>0</v>
      </c>
      <c r="Q89" s="135">
        <f>_xll.xSPRDOPT(I89,H89,AQ89,0,O89,N89,P89,D89-$G$5,1,0)*AH89*AU89</f>
        <v>0</v>
      </c>
      <c r="R89" s="135"/>
      <c r="S89" s="181">
        <f>_xll.xSPRDOPT(I89,H89,AQ89,AT89,O89,N89,P89,D89-$G$5,1,2)*AF89*(F89/(1-AR89))*AH89</f>
        <v>0</v>
      </c>
      <c r="T89" s="181">
        <f>_xll.xSPRDOPT(I89,H89,AQ89,AT89,O89,N89,P89,D89-$G$5,1,1)*AF89*F89*AH89</f>
        <v>0</v>
      </c>
      <c r="U89" s="135"/>
      <c r="V89" s="146">
        <f t="shared" si="57"/>
        <v>0</v>
      </c>
      <c r="W89" s="146"/>
      <c r="X89" s="338">
        <f t="shared" si="58"/>
        <v>0</v>
      </c>
      <c r="Y89" s="338">
        <f t="shared" si="18"/>
        <v>0</v>
      </c>
      <c r="Z89" s="338">
        <f t="shared" si="19"/>
        <v>0</v>
      </c>
      <c r="AA89" s="338">
        <f t="shared" si="20"/>
        <v>0</v>
      </c>
      <c r="AB89" s="338">
        <f t="shared" si="59"/>
        <v>0</v>
      </c>
      <c r="AC89" s="338">
        <f t="shared" si="60"/>
        <v>0</v>
      </c>
      <c r="AF89" s="138">
        <f t="shared" si="61"/>
        <v>0</v>
      </c>
      <c r="AG89" s="138">
        <f t="shared" si="62"/>
        <v>11</v>
      </c>
      <c r="AH89" s="138">
        <f t="shared" si="63"/>
        <v>0</v>
      </c>
      <c r="AI89" s="138">
        <f t="shared" si="75"/>
        <v>319</v>
      </c>
      <c r="AJ89" s="138">
        <f t="shared" si="64"/>
        <v>336</v>
      </c>
      <c r="AL89" s="136">
        <f t="shared" si="27"/>
        <v>3.2109999999999999</v>
      </c>
      <c r="AM89" s="258">
        <f t="shared" si="48"/>
        <v>0</v>
      </c>
      <c r="AN89" s="258">
        <f t="shared" si="28"/>
        <v>0.03</v>
      </c>
      <c r="AO89" s="258">
        <f t="shared" si="29"/>
        <v>0.04</v>
      </c>
      <c r="AP89" s="258">
        <f t="shared" si="30"/>
        <v>0</v>
      </c>
      <c r="AQ89" s="136">
        <f t="shared" si="65"/>
        <v>5.9999999999999995E-4</v>
      </c>
      <c r="AR89" s="137">
        <f t="shared" si="32"/>
        <v>4.0000000000000001E-3</v>
      </c>
      <c r="AS89" s="136">
        <f t="shared" si="76"/>
        <v>3.2409999999999997</v>
      </c>
      <c r="AT89" s="137">
        <f t="shared" si="66"/>
        <v>2.3274064967752799E-2</v>
      </c>
      <c r="AU89" s="137">
        <f t="shared" si="34"/>
        <v>0</v>
      </c>
      <c r="AV89" s="394">
        <f t="shared" si="77"/>
        <v>0</v>
      </c>
      <c r="AW89" s="137">
        <f t="shared" si="35"/>
        <v>0.54</v>
      </c>
      <c r="AX89" s="137">
        <f t="shared" si="36"/>
        <v>0.95</v>
      </c>
      <c r="AY89" s="137">
        <f t="shared" si="37"/>
        <v>0.85</v>
      </c>
      <c r="AZ89" s="137"/>
      <c r="BA89" s="264"/>
      <c r="BB89" s="258">
        <f t="shared" si="38"/>
        <v>0</v>
      </c>
      <c r="BC89" s="258">
        <f t="shared" si="67"/>
        <v>0</v>
      </c>
      <c r="BD89" s="137">
        <f t="shared" si="68"/>
        <v>0</v>
      </c>
      <c r="BE89" s="137">
        <f t="shared" si="68"/>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-0.45187663113673437</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0.92777993663970204</v>
      </c>
      <c r="BP89" s="137"/>
      <c r="BQ89" s="137"/>
      <c r="BR89" s="137"/>
      <c r="BS89" s="137"/>
      <c r="BV89" s="262">
        <v>3.2540160642570277</v>
      </c>
      <c r="BW89" s="136">
        <v>3.2509999999999999</v>
      </c>
      <c r="BX89" s="137">
        <v>0.54</v>
      </c>
      <c r="BY89" s="137">
        <v>0.54</v>
      </c>
      <c r="BZ89" s="137">
        <v>0</v>
      </c>
      <c r="CA89" s="137">
        <v>2.3274064967752799E-2</v>
      </c>
      <c r="CB89" s="137">
        <v>0</v>
      </c>
      <c r="CC89" s="258">
        <v>0</v>
      </c>
      <c r="CD89" s="258">
        <v>0.03</v>
      </c>
      <c r="CE89" s="258">
        <v>0.04</v>
      </c>
      <c r="CF89" s="258">
        <v>0</v>
      </c>
      <c r="CG89" s="258">
        <v>5.9999999999999995E-4</v>
      </c>
      <c r="CH89" s="258">
        <v>0</v>
      </c>
      <c r="CI89" s="258">
        <v>3.2109999999999999</v>
      </c>
      <c r="CJ89" s="258"/>
      <c r="CK89" s="258"/>
      <c r="CL89" s="258"/>
      <c r="CM89" s="258"/>
    </row>
    <row r="90" spans="1:91" x14ac:dyDescent="0.25">
      <c r="A90" s="723"/>
      <c r="B90" s="723"/>
      <c r="D90" s="31">
        <f t="shared" si="69"/>
        <v>37575</v>
      </c>
      <c r="F90" s="28">
        <f t="shared" si="53"/>
        <v>15600</v>
      </c>
      <c r="G90" s="28">
        <f t="shared" si="54"/>
        <v>0</v>
      </c>
      <c r="H90" s="52">
        <f t="shared" si="55"/>
        <v>3.2540160642570277</v>
      </c>
      <c r="I90" s="52">
        <f t="shared" si="56"/>
        <v>3.2509999999999999</v>
      </c>
      <c r="K90" s="52">
        <f t="shared" si="70"/>
        <v>0</v>
      </c>
      <c r="L90" s="135">
        <f t="shared" si="71"/>
        <v>0</v>
      </c>
      <c r="N90" s="131">
        <f t="shared" si="72"/>
        <v>0.54</v>
      </c>
      <c r="O90" s="131">
        <f t="shared" si="73"/>
        <v>0.54</v>
      </c>
      <c r="P90" s="55">
        <f t="shared" si="74"/>
        <v>0</v>
      </c>
      <c r="Q90" s="135">
        <f>_xll.xSPRDOPT(I90,H90,AQ90,0,O90,N90,P90,D90-$G$5,1,0)*AH90*AU90</f>
        <v>0</v>
      </c>
      <c r="R90" s="135"/>
      <c r="S90" s="181">
        <f>_xll.xSPRDOPT(I90,H90,AQ90,AT90,O90,N90,P90,D90-$G$5,1,2)*AF90*(F90/(1-AR90))*AH90</f>
        <v>0</v>
      </c>
      <c r="T90" s="181">
        <f>_xll.xSPRDOPT(I90,H90,AQ90,AT90,O90,N90,P90,D90-$G$5,1,1)*AF90*F90*AH90</f>
        <v>0</v>
      </c>
      <c r="U90" s="135"/>
      <c r="V90" s="146">
        <f t="shared" si="57"/>
        <v>0</v>
      </c>
      <c r="W90" s="146"/>
      <c r="X90" s="338">
        <f t="shared" si="58"/>
        <v>0</v>
      </c>
      <c r="Y90" s="338">
        <f t="shared" si="18"/>
        <v>0</v>
      </c>
      <c r="Z90" s="338">
        <f t="shared" si="19"/>
        <v>0</v>
      </c>
      <c r="AA90" s="338">
        <f t="shared" si="20"/>
        <v>0</v>
      </c>
      <c r="AB90" s="338">
        <f t="shared" si="59"/>
        <v>0</v>
      </c>
      <c r="AC90" s="338">
        <f t="shared" si="60"/>
        <v>0</v>
      </c>
      <c r="AF90" s="138">
        <f t="shared" si="61"/>
        <v>0</v>
      </c>
      <c r="AG90" s="138">
        <f t="shared" si="62"/>
        <v>11</v>
      </c>
      <c r="AH90" s="138">
        <f t="shared" si="63"/>
        <v>0</v>
      </c>
      <c r="AI90" s="138">
        <f t="shared" si="75"/>
        <v>319</v>
      </c>
      <c r="AJ90" s="138">
        <f t="shared" si="64"/>
        <v>336</v>
      </c>
      <c r="AL90" s="136">
        <f t="shared" si="27"/>
        <v>3.2109999999999999</v>
      </c>
      <c r="AM90" s="258">
        <f t="shared" si="48"/>
        <v>0</v>
      </c>
      <c r="AN90" s="258">
        <f t="shared" si="28"/>
        <v>0.03</v>
      </c>
      <c r="AO90" s="258">
        <f t="shared" si="29"/>
        <v>0.04</v>
      </c>
      <c r="AP90" s="258">
        <f t="shared" si="30"/>
        <v>0</v>
      </c>
      <c r="AQ90" s="136">
        <f t="shared" si="65"/>
        <v>5.9999999999999995E-4</v>
      </c>
      <c r="AR90" s="137">
        <f t="shared" si="32"/>
        <v>4.0000000000000001E-3</v>
      </c>
      <c r="AS90" s="136">
        <f t="shared" si="76"/>
        <v>3.2409999999999997</v>
      </c>
      <c r="AT90" s="137">
        <f t="shared" si="66"/>
        <v>2.3274064967752799E-2</v>
      </c>
      <c r="AU90" s="137">
        <f t="shared" si="34"/>
        <v>0</v>
      </c>
      <c r="AV90" s="394">
        <f t="shared" si="77"/>
        <v>0</v>
      </c>
      <c r="AW90" s="137">
        <f t="shared" si="35"/>
        <v>0.54</v>
      </c>
      <c r="AX90" s="137">
        <f t="shared" si="36"/>
        <v>0.95</v>
      </c>
      <c r="AY90" s="137">
        <f t="shared" si="37"/>
        <v>0.85</v>
      </c>
      <c r="AZ90" s="137"/>
      <c r="BA90" s="264"/>
      <c r="BB90" s="258">
        <f t="shared" si="38"/>
        <v>0</v>
      </c>
      <c r="BC90" s="258">
        <f t="shared" si="67"/>
        <v>0</v>
      </c>
      <c r="BD90" s="137">
        <f t="shared" si="68"/>
        <v>0</v>
      </c>
      <c r="BE90" s="137">
        <f t="shared" si="68"/>
        <v>0</v>
      </c>
      <c r="BF90" s="137">
        <f>_xll.xSPRDOPT($BW90,$BV90,$CG90,0,$BY90,$BX90,$BZ90,$AJ90,1,4)*$CB90</f>
        <v>0</v>
      </c>
      <c r="BG90" s="137">
        <f>_xll.xSPRDOPT($BW90,$BV90,$CG90,0,$BY90,$BX90,$BZ90,$AJ90,1,3)*$CB90</f>
        <v>0</v>
      </c>
      <c r="BH90" s="137">
        <f>IF(OR(BF90&lt;&gt;0,BG90&lt;&gt;0),_xll.xSPRDOPT($BW90,$BV90,$CG90,0,$BY90,$BX90,$BZ90,$AJ90,1,12)*$CB90,0)</f>
        <v>0</v>
      </c>
      <c r="BI90" s="137">
        <f>_xll.xSPRDOPT($BW90,$BV90,$CG90,2*LN(1+CA90/2),$BY90,$BX90,$BZ90,$AJ90,1,9)</f>
        <v>-0.45187663113673437</v>
      </c>
      <c r="BJ90" s="137">
        <f>_xll.xSPRDOPT($BW90,$BV90,$CG90,0,$BY90,$BX90,$BZ90,$AJ90,1,6)*$CB90</f>
        <v>0</v>
      </c>
      <c r="BK90" s="137">
        <f>_xll.xSPRDOPT($BW90,$BV90,$CG90,0,$BY90,$BX90,$BZ90,$AJ90,1,5)*$CB90</f>
        <v>0</v>
      </c>
      <c r="BL90" s="137">
        <f>_xll.xSPRDOPT(BW90,BV90,CG90,0,BY90,BX90,BZ90,AJ90,1,2)*CB90</f>
        <v>0</v>
      </c>
      <c r="BM90" s="137">
        <f>_xll.xSPRDOPT(BW90,BV90,CG90,0,BY90,BX90,BZ90,AJ90,1,1)*CB90</f>
        <v>0</v>
      </c>
      <c r="BN90" s="137">
        <f>IF(AH90&lt;&gt;0,_xll.xSPRDOPT($BW90,$BV90,$CG90,2*LN(1+CA90/2),$BY90,$BX90,$BZ90,$AJ90,1,8)+(AJ90/365.25)*CH90/AH90,0)</f>
        <v>0</v>
      </c>
      <c r="BO90" s="137">
        <f>_xll.xSPRDOPT($BW90,$BV90,$CG90,0,$BY90,$BX90,$BZ90,$AJ90,1,0)</f>
        <v>0.92777993663970204</v>
      </c>
      <c r="BP90" s="137"/>
      <c r="BQ90" s="137"/>
      <c r="BR90" s="137"/>
      <c r="BS90" s="137"/>
      <c r="BV90" s="262">
        <v>3.2540160642570277</v>
      </c>
      <c r="BW90" s="136">
        <v>3.2509999999999999</v>
      </c>
      <c r="BX90" s="137">
        <v>0.54</v>
      </c>
      <c r="BY90" s="137">
        <v>0.54</v>
      </c>
      <c r="BZ90" s="137">
        <v>0</v>
      </c>
      <c r="CA90" s="137">
        <v>2.3274064967752799E-2</v>
      </c>
      <c r="CB90" s="137">
        <v>0</v>
      </c>
      <c r="CC90" s="258">
        <v>0</v>
      </c>
      <c r="CD90" s="258">
        <v>0.03</v>
      </c>
      <c r="CE90" s="258">
        <v>0.04</v>
      </c>
      <c r="CF90" s="258">
        <v>0</v>
      </c>
      <c r="CG90" s="258">
        <v>5.9999999999999995E-4</v>
      </c>
      <c r="CH90" s="258">
        <v>0</v>
      </c>
      <c r="CI90" s="258">
        <v>3.2109999999999999</v>
      </c>
      <c r="CJ90" s="258"/>
      <c r="CK90" s="258"/>
      <c r="CL90" s="258"/>
      <c r="CM90" s="258"/>
    </row>
    <row r="91" spans="1:91" x14ac:dyDescent="0.25">
      <c r="A91" s="723"/>
      <c r="B91" s="723"/>
      <c r="D91" s="31">
        <f t="shared" si="69"/>
        <v>37575</v>
      </c>
      <c r="F91" s="28">
        <f t="shared" si="53"/>
        <v>15600</v>
      </c>
      <c r="G91" s="28">
        <f t="shared" si="54"/>
        <v>0</v>
      </c>
      <c r="H91" s="52">
        <f t="shared" si="55"/>
        <v>3.2540160642570277</v>
      </c>
      <c r="I91" s="52">
        <f t="shared" si="56"/>
        <v>3.2509999999999999</v>
      </c>
      <c r="K91" s="52">
        <f t="shared" si="70"/>
        <v>0</v>
      </c>
      <c r="L91" s="135">
        <f t="shared" si="71"/>
        <v>0</v>
      </c>
      <c r="N91" s="131">
        <f t="shared" si="72"/>
        <v>0.54</v>
      </c>
      <c r="O91" s="131">
        <f t="shared" si="73"/>
        <v>0.54</v>
      </c>
      <c r="P91" s="55">
        <f t="shared" si="74"/>
        <v>0</v>
      </c>
      <c r="Q91" s="135">
        <f>_xll.xSPRDOPT(I91,H91,AQ91,0,O91,N91,P91,D91-$G$5,1,0)*AH91*AU91</f>
        <v>0</v>
      </c>
      <c r="R91" s="135"/>
      <c r="S91" s="181">
        <f>_xll.xSPRDOPT(I91,H91,AQ91,AT91,O91,N91,P91,D91-$G$5,1,2)*AF91*(F91/(1-AR91))*AH91</f>
        <v>0</v>
      </c>
      <c r="T91" s="181">
        <f>_xll.xSPRDOPT(I91,H91,AQ91,AT91,O91,N91,P91,D91-$G$5,1,1)*AF91*F91*AH91</f>
        <v>0</v>
      </c>
      <c r="U91" s="135"/>
      <c r="V91" s="146">
        <f t="shared" si="57"/>
        <v>0</v>
      </c>
      <c r="W91" s="146"/>
      <c r="X91" s="338">
        <f t="shared" si="58"/>
        <v>0</v>
      </c>
      <c r="Y91" s="338">
        <f t="shared" si="18"/>
        <v>0</v>
      </c>
      <c r="Z91" s="338">
        <f t="shared" si="19"/>
        <v>0</v>
      </c>
      <c r="AA91" s="338">
        <f t="shared" si="20"/>
        <v>0</v>
      </c>
      <c r="AB91" s="338">
        <f t="shared" si="59"/>
        <v>0</v>
      </c>
      <c r="AC91" s="338">
        <f t="shared" si="60"/>
        <v>0</v>
      </c>
      <c r="AF91" s="138">
        <f t="shared" si="61"/>
        <v>0</v>
      </c>
      <c r="AG91" s="138">
        <f t="shared" si="62"/>
        <v>11</v>
      </c>
      <c r="AH91" s="138">
        <f t="shared" si="63"/>
        <v>0</v>
      </c>
      <c r="AI91" s="138">
        <f t="shared" si="75"/>
        <v>319</v>
      </c>
      <c r="AJ91" s="138">
        <f t="shared" si="64"/>
        <v>336</v>
      </c>
      <c r="AL91" s="136">
        <f t="shared" si="27"/>
        <v>3.2109999999999999</v>
      </c>
      <c r="AM91" s="258">
        <f t="shared" si="48"/>
        <v>0</v>
      </c>
      <c r="AN91" s="258">
        <f t="shared" si="28"/>
        <v>0.03</v>
      </c>
      <c r="AO91" s="258">
        <f t="shared" si="29"/>
        <v>0.04</v>
      </c>
      <c r="AP91" s="258">
        <f t="shared" si="30"/>
        <v>0</v>
      </c>
      <c r="AQ91" s="136">
        <f t="shared" si="65"/>
        <v>5.9999999999999995E-4</v>
      </c>
      <c r="AR91" s="137">
        <f t="shared" si="32"/>
        <v>4.0000000000000001E-3</v>
      </c>
      <c r="AS91" s="136">
        <f t="shared" si="76"/>
        <v>3.2409999999999997</v>
      </c>
      <c r="AT91" s="137">
        <f t="shared" si="66"/>
        <v>2.3274064967752799E-2</v>
      </c>
      <c r="AU91" s="137">
        <f t="shared" si="34"/>
        <v>0</v>
      </c>
      <c r="AV91" s="394">
        <f t="shared" si="77"/>
        <v>0</v>
      </c>
      <c r="AW91" s="137">
        <f t="shared" si="35"/>
        <v>0.54</v>
      </c>
      <c r="AX91" s="137">
        <f t="shared" si="36"/>
        <v>0.95</v>
      </c>
      <c r="AY91" s="137">
        <f t="shared" si="37"/>
        <v>0.85</v>
      </c>
      <c r="AZ91" s="137"/>
      <c r="BA91" s="264"/>
      <c r="BB91" s="258">
        <f t="shared" si="38"/>
        <v>0</v>
      </c>
      <c r="BC91" s="258">
        <f t="shared" si="67"/>
        <v>0</v>
      </c>
      <c r="BD91" s="137">
        <f t="shared" si="68"/>
        <v>0</v>
      </c>
      <c r="BE91" s="137">
        <f t="shared" si="68"/>
        <v>0</v>
      </c>
      <c r="BF91" s="137">
        <f>_xll.xSPRDOPT($BW91,$BV91,$CG91,0,$BY91,$BX91,$BZ91,$AJ91,1,4)*$CB91</f>
        <v>0</v>
      </c>
      <c r="BG91" s="137">
        <f>_xll.xSPRDOPT($BW91,$BV91,$CG91,0,$BY91,$BX91,$BZ91,$AJ91,1,3)*$CB91</f>
        <v>0</v>
      </c>
      <c r="BH91" s="137">
        <f>IF(OR(BF91&lt;&gt;0,BG91&lt;&gt;0),_xll.xSPRDOPT($BW91,$BV91,$CG91,0,$BY91,$BX91,$BZ91,$AJ91,1,12)*$CB91,0)</f>
        <v>0</v>
      </c>
      <c r="BI91" s="137">
        <f>_xll.xSPRDOPT($BW91,$BV91,$CG91,2*LN(1+CA91/2),$BY91,$BX91,$BZ91,$AJ91,1,9)</f>
        <v>-0.45187663113673437</v>
      </c>
      <c r="BJ91" s="137">
        <f>_xll.xSPRDOPT($BW91,$BV91,$CG91,0,$BY91,$BX91,$BZ91,$AJ91,1,6)*$CB91</f>
        <v>0</v>
      </c>
      <c r="BK91" s="137">
        <f>_xll.xSPRDOPT($BW91,$BV91,$CG91,0,$BY91,$BX91,$BZ91,$AJ91,1,5)*$CB91</f>
        <v>0</v>
      </c>
      <c r="BL91" s="137">
        <f>_xll.xSPRDOPT(BW91,BV91,CG91,0,BY91,BX91,BZ91,AJ91,1,2)*CB91</f>
        <v>0</v>
      </c>
      <c r="BM91" s="137">
        <f>_xll.xSPRDOPT(BW91,BV91,CG91,0,BY91,BX91,BZ91,AJ91,1,1)*CB91</f>
        <v>0</v>
      </c>
      <c r="BN91" s="137">
        <f>IF(AH91&lt;&gt;0,_xll.xSPRDOPT($BW91,$BV91,$CG91,2*LN(1+CA91/2),$BY91,$BX91,$BZ91,$AJ91,1,8)+(AJ91/365.25)*CH91/AH91,0)</f>
        <v>0</v>
      </c>
      <c r="BO91" s="137">
        <f>_xll.xSPRDOPT($BW91,$BV91,$CG91,0,$BY91,$BX91,$BZ91,$AJ91,1,0)</f>
        <v>0.92777993663970204</v>
      </c>
      <c r="BP91" s="137"/>
      <c r="BQ91" s="137"/>
      <c r="BR91" s="137"/>
      <c r="BS91" s="137"/>
      <c r="BV91" s="262">
        <v>3.2540160642570277</v>
      </c>
      <c r="BW91" s="136">
        <v>3.2509999999999999</v>
      </c>
      <c r="BX91" s="137">
        <v>0.54</v>
      </c>
      <c r="BY91" s="137">
        <v>0.54</v>
      </c>
      <c r="BZ91" s="137">
        <v>0</v>
      </c>
      <c r="CA91" s="137">
        <v>2.3274064967752799E-2</v>
      </c>
      <c r="CB91" s="137">
        <v>0</v>
      </c>
      <c r="CC91" s="258">
        <v>0</v>
      </c>
      <c r="CD91" s="258">
        <v>0.03</v>
      </c>
      <c r="CE91" s="258">
        <v>0.04</v>
      </c>
      <c r="CF91" s="258">
        <v>0</v>
      </c>
      <c r="CG91" s="258">
        <v>5.9999999999999995E-4</v>
      </c>
      <c r="CH91" s="258">
        <v>0</v>
      </c>
      <c r="CI91" s="258">
        <v>3.2109999999999999</v>
      </c>
      <c r="CJ91" s="258"/>
      <c r="CK91" s="258"/>
      <c r="CL91" s="258"/>
      <c r="CM91" s="258"/>
    </row>
    <row r="92" spans="1:91" x14ac:dyDescent="0.25">
      <c r="A92" s="723"/>
      <c r="B92" s="723"/>
      <c r="D92" s="31">
        <f t="shared" si="69"/>
        <v>37575</v>
      </c>
      <c r="F92" s="28">
        <f t="shared" si="53"/>
        <v>15600</v>
      </c>
      <c r="G92" s="28">
        <f t="shared" si="54"/>
        <v>0</v>
      </c>
      <c r="H92" s="52">
        <f t="shared" si="55"/>
        <v>3.2540160642570277</v>
      </c>
      <c r="I92" s="52">
        <f t="shared" si="56"/>
        <v>3.2509999999999999</v>
      </c>
      <c r="K92" s="52">
        <f t="shared" si="70"/>
        <v>0</v>
      </c>
      <c r="L92" s="135">
        <f t="shared" si="71"/>
        <v>0</v>
      </c>
      <c r="N92" s="131">
        <f t="shared" si="72"/>
        <v>0.54</v>
      </c>
      <c r="O92" s="131">
        <f t="shared" si="73"/>
        <v>0.54</v>
      </c>
      <c r="P92" s="55">
        <f t="shared" si="74"/>
        <v>0</v>
      </c>
      <c r="Q92" s="135">
        <f>_xll.xSPRDOPT(I92,H92,AQ92,0,O92,N92,P92,D92-$G$5,1,0)*AH92*AU92</f>
        <v>0</v>
      </c>
      <c r="R92" s="135"/>
      <c r="S92" s="181">
        <f>_xll.xSPRDOPT(I92,H92,AQ92,AT92,O92,N92,P92,D92-$G$5,1,2)*AF92*(F92/(1-AR92))*AH92</f>
        <v>0</v>
      </c>
      <c r="T92" s="181">
        <f>_xll.xSPRDOPT(I92,H92,AQ92,AT92,O92,N92,P92,D92-$G$5,1,1)*AF92*F92*AH92</f>
        <v>0</v>
      </c>
      <c r="U92" s="135"/>
      <c r="V92" s="146">
        <f t="shared" si="57"/>
        <v>0</v>
      </c>
      <c r="W92" s="146"/>
      <c r="X92" s="338">
        <f t="shared" si="58"/>
        <v>0</v>
      </c>
      <c r="Y92" s="338">
        <f t="shared" si="18"/>
        <v>0</v>
      </c>
      <c r="Z92" s="338">
        <f t="shared" si="19"/>
        <v>0</v>
      </c>
      <c r="AA92" s="338">
        <f t="shared" si="20"/>
        <v>0</v>
      </c>
      <c r="AB92" s="338">
        <f t="shared" si="59"/>
        <v>0</v>
      </c>
      <c r="AC92" s="338">
        <f t="shared" si="60"/>
        <v>0</v>
      </c>
      <c r="AF92" s="138">
        <f t="shared" si="61"/>
        <v>0</v>
      </c>
      <c r="AG92" s="138">
        <f t="shared" si="62"/>
        <v>11</v>
      </c>
      <c r="AH92" s="138">
        <f t="shared" si="63"/>
        <v>0</v>
      </c>
      <c r="AI92" s="138">
        <f t="shared" si="75"/>
        <v>319</v>
      </c>
      <c r="AJ92" s="138">
        <f t="shared" si="64"/>
        <v>336</v>
      </c>
      <c r="AL92" s="136">
        <f t="shared" si="27"/>
        <v>3.2109999999999999</v>
      </c>
      <c r="AM92" s="258">
        <f t="shared" si="48"/>
        <v>0</v>
      </c>
      <c r="AN92" s="258">
        <f t="shared" si="28"/>
        <v>0.03</v>
      </c>
      <c r="AO92" s="258">
        <f t="shared" si="29"/>
        <v>0.04</v>
      </c>
      <c r="AP92" s="258">
        <f t="shared" si="30"/>
        <v>0</v>
      </c>
      <c r="AQ92" s="136">
        <f t="shared" si="65"/>
        <v>5.9999999999999995E-4</v>
      </c>
      <c r="AR92" s="137">
        <f t="shared" si="32"/>
        <v>4.0000000000000001E-3</v>
      </c>
      <c r="AS92" s="136">
        <f t="shared" si="76"/>
        <v>3.2409999999999997</v>
      </c>
      <c r="AT92" s="137">
        <f t="shared" si="66"/>
        <v>2.3274064967752799E-2</v>
      </c>
      <c r="AU92" s="137">
        <f t="shared" si="34"/>
        <v>0</v>
      </c>
      <c r="AV92" s="394">
        <f t="shared" si="77"/>
        <v>0</v>
      </c>
      <c r="AW92" s="137">
        <f t="shared" si="35"/>
        <v>0.54</v>
      </c>
      <c r="AX92" s="137">
        <f t="shared" si="36"/>
        <v>0.95</v>
      </c>
      <c r="AY92" s="137">
        <f t="shared" si="37"/>
        <v>0.85</v>
      </c>
      <c r="AZ92" s="137"/>
      <c r="BA92" s="264"/>
      <c r="BB92" s="258">
        <f t="shared" si="38"/>
        <v>0</v>
      </c>
      <c r="BC92" s="258">
        <f t="shared" si="67"/>
        <v>0</v>
      </c>
      <c r="BD92" s="137">
        <f t="shared" si="68"/>
        <v>0</v>
      </c>
      <c r="BE92" s="137">
        <f t="shared" si="68"/>
        <v>0</v>
      </c>
      <c r="BF92" s="137">
        <f>_xll.xSPRDOPT($BW92,$BV92,$CG92,0,$BY92,$BX92,$BZ92,$AJ92,1,4)*$CB92</f>
        <v>0</v>
      </c>
      <c r="BG92" s="137">
        <f>_xll.xSPRDOPT($BW92,$BV92,$CG92,0,$BY92,$BX92,$BZ92,$AJ92,1,3)*$CB92</f>
        <v>0</v>
      </c>
      <c r="BH92" s="137">
        <f>IF(OR(BF92&lt;&gt;0,BG92&lt;&gt;0),_xll.xSPRDOPT($BW92,$BV92,$CG92,0,$BY92,$BX92,$BZ92,$AJ92,1,12)*$CB92,0)</f>
        <v>0</v>
      </c>
      <c r="BI92" s="137">
        <f>_xll.xSPRDOPT($BW92,$BV92,$CG92,2*LN(1+CA92/2),$BY92,$BX92,$BZ92,$AJ92,1,9)</f>
        <v>-0.45187663113673437</v>
      </c>
      <c r="BJ92" s="137">
        <f>_xll.xSPRDOPT($BW92,$BV92,$CG92,0,$BY92,$BX92,$BZ92,$AJ92,1,6)*$CB92</f>
        <v>0</v>
      </c>
      <c r="BK92" s="137">
        <f>_xll.xSPRDOPT($BW92,$BV92,$CG92,0,$BY92,$BX92,$BZ92,$AJ92,1,5)*$CB92</f>
        <v>0</v>
      </c>
      <c r="BL92" s="137">
        <f>_xll.xSPRDOPT(BW92,BV92,CG92,0,BY92,BX92,BZ92,AJ92,1,2)*CB92</f>
        <v>0</v>
      </c>
      <c r="BM92" s="137">
        <f>_xll.xSPRDOPT(BW92,BV92,CG92,0,BY92,BX92,BZ92,AJ92,1,1)*CB92</f>
        <v>0</v>
      </c>
      <c r="BN92" s="137">
        <f>IF(AH92&lt;&gt;0,_xll.xSPRDOPT($BW92,$BV92,$CG92,2*LN(1+CA92/2),$BY92,$BX92,$BZ92,$AJ92,1,8)+(AJ92/365.25)*CH92/AH92,0)</f>
        <v>0</v>
      </c>
      <c r="BO92" s="137">
        <f>_xll.xSPRDOPT($BW92,$BV92,$CG92,0,$BY92,$BX92,$BZ92,$AJ92,1,0)</f>
        <v>0.92777993663970204</v>
      </c>
      <c r="BP92" s="137"/>
      <c r="BQ92" s="137"/>
      <c r="BR92" s="137"/>
      <c r="BS92" s="137"/>
      <c r="BV92" s="262">
        <v>3.2540160642570277</v>
      </c>
      <c r="BW92" s="136">
        <v>3.2509999999999999</v>
      </c>
      <c r="BX92" s="137">
        <v>0.54</v>
      </c>
      <c r="BY92" s="137">
        <v>0.54</v>
      </c>
      <c r="BZ92" s="137">
        <v>0</v>
      </c>
      <c r="CA92" s="137">
        <v>2.3274064967752799E-2</v>
      </c>
      <c r="CB92" s="137">
        <v>0</v>
      </c>
      <c r="CC92" s="258">
        <v>0</v>
      </c>
      <c r="CD92" s="258">
        <v>0.03</v>
      </c>
      <c r="CE92" s="258">
        <v>0.04</v>
      </c>
      <c r="CF92" s="258">
        <v>0</v>
      </c>
      <c r="CG92" s="258">
        <v>5.9999999999999995E-4</v>
      </c>
      <c r="CH92" s="258">
        <v>0</v>
      </c>
      <c r="CI92" s="258">
        <v>3.2109999999999999</v>
      </c>
      <c r="CJ92" s="258"/>
      <c r="CK92" s="258"/>
      <c r="CL92" s="258"/>
      <c r="CM92" s="258"/>
    </row>
    <row r="93" spans="1:91" x14ac:dyDescent="0.25">
      <c r="A93" s="723"/>
      <c r="B93" s="723"/>
      <c r="D93" s="31">
        <f t="shared" si="69"/>
        <v>37575</v>
      </c>
      <c r="F93" s="28">
        <f t="shared" si="53"/>
        <v>15600</v>
      </c>
      <c r="G93" s="28">
        <f t="shared" si="54"/>
        <v>0</v>
      </c>
      <c r="H93" s="52">
        <f t="shared" si="55"/>
        <v>3.2540160642570277</v>
      </c>
      <c r="I93" s="52">
        <f t="shared" si="56"/>
        <v>3.2509999999999999</v>
      </c>
      <c r="K93" s="52">
        <f t="shared" si="70"/>
        <v>0</v>
      </c>
      <c r="L93" s="135">
        <f t="shared" si="71"/>
        <v>0</v>
      </c>
      <c r="N93" s="131">
        <f t="shared" si="72"/>
        <v>0.54</v>
      </c>
      <c r="O93" s="131">
        <f t="shared" si="73"/>
        <v>0.54</v>
      </c>
      <c r="P93" s="55">
        <f t="shared" si="74"/>
        <v>0</v>
      </c>
      <c r="Q93" s="135">
        <f>_xll.xSPRDOPT(I93,H93,AQ93,0,O93,N93,P93,D93-$G$5,1,0)*AH93*AU93</f>
        <v>0</v>
      </c>
      <c r="R93" s="135"/>
      <c r="S93" s="181">
        <f>_xll.xSPRDOPT(I93,H93,AQ93,AT93,O93,N93,P93,D93-$G$5,1,2)*AF93*(F93/(1-AR93))*AH93</f>
        <v>0</v>
      </c>
      <c r="T93" s="181">
        <f>_xll.xSPRDOPT(I93,H93,AQ93,AT93,O93,N93,P93,D93-$G$5,1,1)*AF93*F93*AH93</f>
        <v>0</v>
      </c>
      <c r="U93" s="135"/>
      <c r="V93" s="146">
        <f t="shared" si="57"/>
        <v>0</v>
      </c>
      <c r="W93" s="146"/>
      <c r="X93" s="338">
        <f t="shared" si="58"/>
        <v>0</v>
      </c>
      <c r="Y93" s="338">
        <f t="shared" si="18"/>
        <v>0</v>
      </c>
      <c r="Z93" s="338">
        <f t="shared" si="19"/>
        <v>0</v>
      </c>
      <c r="AA93" s="338">
        <f t="shared" si="20"/>
        <v>0</v>
      </c>
      <c r="AB93" s="338">
        <f t="shared" si="59"/>
        <v>0</v>
      </c>
      <c r="AC93" s="338">
        <f t="shared" si="60"/>
        <v>0</v>
      </c>
      <c r="AF93" s="138">
        <f t="shared" si="61"/>
        <v>0</v>
      </c>
      <c r="AG93" s="138">
        <f t="shared" si="62"/>
        <v>11</v>
      </c>
      <c r="AH93" s="138">
        <f t="shared" si="63"/>
        <v>0</v>
      </c>
      <c r="AI93" s="138">
        <f t="shared" si="75"/>
        <v>319</v>
      </c>
      <c r="AJ93" s="138">
        <f t="shared" si="64"/>
        <v>336</v>
      </c>
      <c r="AL93" s="136">
        <f t="shared" si="27"/>
        <v>3.2109999999999999</v>
      </c>
      <c r="AM93" s="258">
        <f t="shared" si="48"/>
        <v>0</v>
      </c>
      <c r="AN93" s="258">
        <f t="shared" si="28"/>
        <v>0.03</v>
      </c>
      <c r="AO93" s="258">
        <f t="shared" si="29"/>
        <v>0.04</v>
      </c>
      <c r="AP93" s="258">
        <f t="shared" si="30"/>
        <v>0</v>
      </c>
      <c r="AQ93" s="136">
        <f t="shared" si="65"/>
        <v>5.9999999999999995E-4</v>
      </c>
      <c r="AR93" s="137">
        <f t="shared" si="32"/>
        <v>4.0000000000000001E-3</v>
      </c>
      <c r="AS93" s="136">
        <f t="shared" si="76"/>
        <v>3.2409999999999997</v>
      </c>
      <c r="AT93" s="137">
        <f t="shared" si="66"/>
        <v>2.3274064967752799E-2</v>
      </c>
      <c r="AU93" s="137">
        <f t="shared" si="34"/>
        <v>0</v>
      </c>
      <c r="AV93" s="394">
        <f t="shared" si="77"/>
        <v>0</v>
      </c>
      <c r="AW93" s="137">
        <f t="shared" si="35"/>
        <v>0.54</v>
      </c>
      <c r="AX93" s="137">
        <f t="shared" si="36"/>
        <v>0.95</v>
      </c>
      <c r="AY93" s="137">
        <f t="shared" si="37"/>
        <v>0.85</v>
      </c>
      <c r="AZ93" s="137"/>
      <c r="BA93" s="264"/>
      <c r="BB93" s="258">
        <f t="shared" si="38"/>
        <v>0</v>
      </c>
      <c r="BC93" s="258">
        <f t="shared" si="67"/>
        <v>0</v>
      </c>
      <c r="BD93" s="137">
        <f t="shared" si="68"/>
        <v>0</v>
      </c>
      <c r="BE93" s="137">
        <f t="shared" si="68"/>
        <v>0</v>
      </c>
      <c r="BF93" s="137">
        <f>_xll.xSPRDOPT($BW93,$BV93,$CG93,0,$BY93,$BX93,$BZ93,$AJ93,1,4)*$CB93</f>
        <v>0</v>
      </c>
      <c r="BG93" s="137">
        <f>_xll.xSPRDOPT($BW93,$BV93,$CG93,0,$BY93,$BX93,$BZ93,$AJ93,1,3)*$CB93</f>
        <v>0</v>
      </c>
      <c r="BH93" s="137">
        <f>IF(OR(BF93&lt;&gt;0,BG93&lt;&gt;0),_xll.xSPRDOPT($BW93,$BV93,$CG93,0,$BY93,$BX93,$BZ93,$AJ93,1,12)*$CB93,0)</f>
        <v>0</v>
      </c>
      <c r="BI93" s="137">
        <f>_xll.xSPRDOPT($BW93,$BV93,$CG93,2*LN(1+CA93/2),$BY93,$BX93,$BZ93,$AJ93,1,9)</f>
        <v>-0.45187663113673437</v>
      </c>
      <c r="BJ93" s="137">
        <f>_xll.xSPRDOPT($BW93,$BV93,$CG93,0,$BY93,$BX93,$BZ93,$AJ93,1,6)*$CB93</f>
        <v>0</v>
      </c>
      <c r="BK93" s="137">
        <f>_xll.xSPRDOPT($BW93,$BV93,$CG93,0,$BY93,$BX93,$BZ93,$AJ93,1,5)*$CB93</f>
        <v>0</v>
      </c>
      <c r="BL93" s="137">
        <f>_xll.xSPRDOPT(BW93,BV93,CG93,0,BY93,BX93,BZ93,AJ93,1,2)*CB93</f>
        <v>0</v>
      </c>
      <c r="BM93" s="137">
        <f>_xll.xSPRDOPT(BW93,BV93,CG93,0,BY93,BX93,BZ93,AJ93,1,1)*CB93</f>
        <v>0</v>
      </c>
      <c r="BN93" s="137">
        <f>IF(AH93&lt;&gt;0,_xll.xSPRDOPT($BW93,$BV93,$CG93,2*LN(1+CA93/2),$BY93,$BX93,$BZ93,$AJ93,1,8)+(AJ93/365.25)*CH93/AH93,0)</f>
        <v>0</v>
      </c>
      <c r="BO93" s="137">
        <f>_xll.xSPRDOPT($BW93,$BV93,$CG93,0,$BY93,$BX93,$BZ93,$AJ93,1,0)</f>
        <v>0.92777993663970204</v>
      </c>
      <c r="BP93" s="137"/>
      <c r="BQ93" s="137"/>
      <c r="BR93" s="137"/>
      <c r="BS93" s="137"/>
      <c r="BV93" s="262">
        <v>3.2540160642570277</v>
      </c>
      <c r="BW93" s="136">
        <v>3.2509999999999999</v>
      </c>
      <c r="BX93" s="137">
        <v>0.54</v>
      </c>
      <c r="BY93" s="137">
        <v>0.54</v>
      </c>
      <c r="BZ93" s="137">
        <v>0</v>
      </c>
      <c r="CA93" s="137">
        <v>2.3274064967752799E-2</v>
      </c>
      <c r="CB93" s="137">
        <v>0</v>
      </c>
      <c r="CC93" s="258">
        <v>0</v>
      </c>
      <c r="CD93" s="258">
        <v>0.03</v>
      </c>
      <c r="CE93" s="258">
        <v>0.04</v>
      </c>
      <c r="CF93" s="258">
        <v>0</v>
      </c>
      <c r="CG93" s="258">
        <v>5.9999999999999995E-4</v>
      </c>
      <c r="CH93" s="258">
        <v>0</v>
      </c>
      <c r="CI93" s="258">
        <v>3.2109999999999999</v>
      </c>
      <c r="CJ93" s="258"/>
      <c r="CK93" s="258"/>
      <c r="CL93" s="258"/>
      <c r="CM93" s="258"/>
    </row>
    <row r="94" spans="1:91" x14ac:dyDescent="0.25">
      <c r="A94" s="723"/>
      <c r="B94" s="723"/>
      <c r="D94" s="31">
        <f t="shared" si="69"/>
        <v>37575</v>
      </c>
      <c r="F94" s="28">
        <f t="shared" si="53"/>
        <v>15600</v>
      </c>
      <c r="G94" s="28">
        <f t="shared" si="54"/>
        <v>0</v>
      </c>
      <c r="H94" s="52">
        <f t="shared" si="55"/>
        <v>3.2540160642570277</v>
      </c>
      <c r="I94" s="52">
        <f t="shared" si="56"/>
        <v>3.2509999999999999</v>
      </c>
      <c r="K94" s="52">
        <f t="shared" si="70"/>
        <v>0</v>
      </c>
      <c r="L94" s="135">
        <f t="shared" si="71"/>
        <v>0</v>
      </c>
      <c r="N94" s="131">
        <f t="shared" si="72"/>
        <v>0.54</v>
      </c>
      <c r="O94" s="131">
        <f t="shared" si="73"/>
        <v>0.54</v>
      </c>
      <c r="P94" s="55">
        <f t="shared" si="74"/>
        <v>0</v>
      </c>
      <c r="Q94" s="135">
        <f>_xll.xSPRDOPT(I94,H94,AQ94,0,O94,N94,P94,D94-$G$5,1,0)*AH94*AU94</f>
        <v>0</v>
      </c>
      <c r="R94" s="135"/>
      <c r="S94" s="181">
        <f>_xll.xSPRDOPT(I94,H94,AQ94,AT94,O94,N94,P94,D94-$G$5,1,2)*AF94*(F94/(1-AR94))*AH94</f>
        <v>0</v>
      </c>
      <c r="T94" s="181">
        <f>_xll.xSPRDOPT(I94,H94,AQ94,AT94,O94,N94,P94,D94-$G$5,1,1)*AF94*F94*AH94</f>
        <v>0</v>
      </c>
      <c r="U94" s="135"/>
      <c r="V94" s="146">
        <f t="shared" si="57"/>
        <v>0</v>
      </c>
      <c r="W94" s="146"/>
      <c r="X94" s="338">
        <f t="shared" si="58"/>
        <v>0</v>
      </c>
      <c r="Y94" s="338">
        <f t="shared" si="18"/>
        <v>0</v>
      </c>
      <c r="Z94" s="338">
        <f t="shared" si="19"/>
        <v>0</v>
      </c>
      <c r="AA94" s="338">
        <f t="shared" si="20"/>
        <v>0</v>
      </c>
      <c r="AB94" s="338">
        <f t="shared" si="59"/>
        <v>0</v>
      </c>
      <c r="AC94" s="338">
        <f t="shared" si="60"/>
        <v>0</v>
      </c>
      <c r="AF94" s="138">
        <f t="shared" si="61"/>
        <v>0</v>
      </c>
      <c r="AG94" s="138">
        <f t="shared" si="62"/>
        <v>11</v>
      </c>
      <c r="AH94" s="138">
        <f t="shared" si="63"/>
        <v>0</v>
      </c>
      <c r="AI94" s="138">
        <f t="shared" si="75"/>
        <v>319</v>
      </c>
      <c r="AJ94" s="138">
        <f t="shared" si="64"/>
        <v>336</v>
      </c>
      <c r="AL94" s="136">
        <f t="shared" si="27"/>
        <v>3.2109999999999999</v>
      </c>
      <c r="AM94" s="258">
        <f t="shared" si="48"/>
        <v>0</v>
      </c>
      <c r="AN94" s="258">
        <f t="shared" si="28"/>
        <v>0.03</v>
      </c>
      <c r="AO94" s="258">
        <f t="shared" si="29"/>
        <v>0.04</v>
      </c>
      <c r="AP94" s="258">
        <f t="shared" si="30"/>
        <v>0</v>
      </c>
      <c r="AQ94" s="136">
        <f t="shared" si="65"/>
        <v>5.9999999999999995E-4</v>
      </c>
      <c r="AR94" s="137">
        <f t="shared" si="32"/>
        <v>4.0000000000000001E-3</v>
      </c>
      <c r="AS94" s="136">
        <f t="shared" si="76"/>
        <v>3.2409999999999997</v>
      </c>
      <c r="AT94" s="137">
        <f t="shared" si="66"/>
        <v>2.3274064967752799E-2</v>
      </c>
      <c r="AU94" s="137">
        <f t="shared" si="34"/>
        <v>0</v>
      </c>
      <c r="AV94" s="394">
        <f t="shared" si="77"/>
        <v>0</v>
      </c>
      <c r="AW94" s="137">
        <f t="shared" si="35"/>
        <v>0.54</v>
      </c>
      <c r="AX94" s="137">
        <f t="shared" si="36"/>
        <v>0.95</v>
      </c>
      <c r="AY94" s="137">
        <f t="shared" si="37"/>
        <v>0.85</v>
      </c>
      <c r="AZ94" s="137"/>
      <c r="BA94" s="264"/>
      <c r="BB94" s="258">
        <f t="shared" si="38"/>
        <v>0</v>
      </c>
      <c r="BC94" s="258">
        <f t="shared" si="67"/>
        <v>0</v>
      </c>
      <c r="BD94" s="137">
        <f t="shared" si="68"/>
        <v>0</v>
      </c>
      <c r="BE94" s="137">
        <f t="shared" si="68"/>
        <v>0</v>
      </c>
      <c r="BF94" s="137">
        <f>_xll.xSPRDOPT($BW94,$BV94,$CG94,0,$BY94,$BX94,$BZ94,$AJ94,1,4)*$CB94</f>
        <v>0</v>
      </c>
      <c r="BG94" s="137">
        <f>_xll.xSPRDOPT($BW94,$BV94,$CG94,0,$BY94,$BX94,$BZ94,$AJ94,1,3)*$CB94</f>
        <v>0</v>
      </c>
      <c r="BH94" s="137">
        <f>IF(OR(BF94&lt;&gt;0,BG94&lt;&gt;0),_xll.xSPRDOPT($BW94,$BV94,$CG94,0,$BY94,$BX94,$BZ94,$AJ94,1,12)*$CB94,0)</f>
        <v>0</v>
      </c>
      <c r="BI94" s="137">
        <f>_xll.xSPRDOPT($BW94,$BV94,$CG94,2*LN(1+CA94/2),$BY94,$BX94,$BZ94,$AJ94,1,9)</f>
        <v>-0.45187663113673437</v>
      </c>
      <c r="BJ94" s="137">
        <f>_xll.xSPRDOPT($BW94,$BV94,$CG94,0,$BY94,$BX94,$BZ94,$AJ94,1,6)*$CB94</f>
        <v>0</v>
      </c>
      <c r="BK94" s="137">
        <f>_xll.xSPRDOPT($BW94,$BV94,$CG94,0,$BY94,$BX94,$BZ94,$AJ94,1,5)*$CB94</f>
        <v>0</v>
      </c>
      <c r="BL94" s="137">
        <f>_xll.xSPRDOPT(BW94,BV94,CG94,0,BY94,BX94,BZ94,AJ94,1,2)*CB94</f>
        <v>0</v>
      </c>
      <c r="BM94" s="137">
        <f>_xll.xSPRDOPT(BW94,BV94,CG94,0,BY94,BX94,BZ94,AJ94,1,1)*CB94</f>
        <v>0</v>
      </c>
      <c r="BN94" s="137">
        <f>IF(AH94&lt;&gt;0,_xll.xSPRDOPT($BW94,$BV94,$CG94,2*LN(1+CA94/2),$BY94,$BX94,$BZ94,$AJ94,1,8)+(AJ94/365.25)*CH94/AH94,0)</f>
        <v>0</v>
      </c>
      <c r="BO94" s="137">
        <f>_xll.xSPRDOPT($BW94,$BV94,$CG94,0,$BY94,$BX94,$BZ94,$AJ94,1,0)</f>
        <v>0.92777993663970204</v>
      </c>
      <c r="BP94" s="137"/>
      <c r="BQ94" s="137"/>
      <c r="BR94" s="137"/>
      <c r="BS94" s="137"/>
      <c r="BV94" s="262">
        <v>3.2540160642570277</v>
      </c>
      <c r="BW94" s="136">
        <v>3.2509999999999999</v>
      </c>
      <c r="BX94" s="137">
        <v>0.54</v>
      </c>
      <c r="BY94" s="137">
        <v>0.54</v>
      </c>
      <c r="BZ94" s="137">
        <v>0</v>
      </c>
      <c r="CA94" s="137">
        <v>2.3274064967752799E-2</v>
      </c>
      <c r="CB94" s="137">
        <v>0</v>
      </c>
      <c r="CC94" s="258">
        <v>0</v>
      </c>
      <c r="CD94" s="258">
        <v>0.03</v>
      </c>
      <c r="CE94" s="258">
        <v>0.04</v>
      </c>
      <c r="CF94" s="258">
        <v>0</v>
      </c>
      <c r="CG94" s="258">
        <v>5.9999999999999995E-4</v>
      </c>
      <c r="CH94" s="258">
        <v>0</v>
      </c>
      <c r="CI94" s="258">
        <v>3.2109999999999999</v>
      </c>
      <c r="CJ94" s="258"/>
      <c r="CK94" s="258"/>
      <c r="CL94" s="258"/>
      <c r="CM94" s="258"/>
    </row>
    <row r="95" spans="1:91" x14ac:dyDescent="0.25">
      <c r="A95" s="723"/>
      <c r="B95" s="723"/>
      <c r="D95" s="31">
        <f t="shared" si="69"/>
        <v>37575</v>
      </c>
      <c r="F95" s="28">
        <f t="shared" si="53"/>
        <v>15600</v>
      </c>
      <c r="G95" s="28">
        <f t="shared" si="54"/>
        <v>0</v>
      </c>
      <c r="H95" s="52">
        <f t="shared" si="55"/>
        <v>3.2540160642570277</v>
      </c>
      <c r="I95" s="52">
        <f t="shared" si="56"/>
        <v>3.2509999999999999</v>
      </c>
      <c r="K95" s="52">
        <f t="shared" si="70"/>
        <v>0</v>
      </c>
      <c r="L95" s="135">
        <f t="shared" si="71"/>
        <v>0</v>
      </c>
      <c r="N95" s="131">
        <f t="shared" si="72"/>
        <v>0.54</v>
      </c>
      <c r="O95" s="131">
        <f t="shared" si="73"/>
        <v>0.54</v>
      </c>
      <c r="P95" s="55">
        <f t="shared" si="74"/>
        <v>0</v>
      </c>
      <c r="Q95" s="135">
        <f>_xll.xSPRDOPT(I95,H95,AQ95,0,O95,N95,P95,D95-$G$5,1,0)*AH95*AU95</f>
        <v>0</v>
      </c>
      <c r="R95" s="135"/>
      <c r="S95" s="181">
        <f>_xll.xSPRDOPT(I95,H95,AQ95,AT95,O95,N95,P95,D95-$G$5,1,2)*AF95*(F95/(1-AR95))*AH95</f>
        <v>0</v>
      </c>
      <c r="T95" s="181">
        <f>_xll.xSPRDOPT(I95,H95,AQ95,AT95,O95,N95,P95,D95-$G$5,1,1)*AF95*F95*AH95</f>
        <v>0</v>
      </c>
      <c r="U95" s="135"/>
      <c r="V95" s="146">
        <f t="shared" si="57"/>
        <v>0</v>
      </c>
      <c r="W95" s="146"/>
      <c r="X95" s="338">
        <f t="shared" si="58"/>
        <v>0</v>
      </c>
      <c r="Y95" s="338">
        <f t="shared" si="18"/>
        <v>0</v>
      </c>
      <c r="Z95" s="338">
        <f t="shared" si="19"/>
        <v>0</v>
      </c>
      <c r="AA95" s="338">
        <f t="shared" si="20"/>
        <v>0</v>
      </c>
      <c r="AB95" s="338">
        <f t="shared" si="59"/>
        <v>0</v>
      </c>
      <c r="AC95" s="338">
        <f t="shared" si="60"/>
        <v>0</v>
      </c>
      <c r="AF95" s="138">
        <f t="shared" si="61"/>
        <v>0</v>
      </c>
      <c r="AG95" s="138">
        <f t="shared" si="62"/>
        <v>11</v>
      </c>
      <c r="AH95" s="138">
        <f t="shared" si="63"/>
        <v>0</v>
      </c>
      <c r="AI95" s="138">
        <f t="shared" si="75"/>
        <v>319</v>
      </c>
      <c r="AJ95" s="138">
        <f t="shared" si="64"/>
        <v>336</v>
      </c>
      <c r="AL95" s="136">
        <f t="shared" si="27"/>
        <v>3.2109999999999999</v>
      </c>
      <c r="AM95" s="258">
        <f t="shared" si="48"/>
        <v>0</v>
      </c>
      <c r="AN95" s="258">
        <f t="shared" si="28"/>
        <v>0.03</v>
      </c>
      <c r="AO95" s="258">
        <f t="shared" si="29"/>
        <v>0.04</v>
      </c>
      <c r="AP95" s="258">
        <f t="shared" si="30"/>
        <v>0</v>
      </c>
      <c r="AQ95" s="136">
        <f t="shared" si="65"/>
        <v>5.9999999999999995E-4</v>
      </c>
      <c r="AR95" s="137">
        <f t="shared" si="32"/>
        <v>4.0000000000000001E-3</v>
      </c>
      <c r="AS95" s="136">
        <f t="shared" si="76"/>
        <v>3.2409999999999997</v>
      </c>
      <c r="AT95" s="137">
        <f t="shared" si="66"/>
        <v>2.3274064967752799E-2</v>
      </c>
      <c r="AU95" s="137">
        <f t="shared" si="34"/>
        <v>0</v>
      </c>
      <c r="AV95" s="394">
        <f t="shared" si="77"/>
        <v>0</v>
      </c>
      <c r="AW95" s="137">
        <f t="shared" si="35"/>
        <v>0.54</v>
      </c>
      <c r="AX95" s="137">
        <f t="shared" si="36"/>
        <v>0.95</v>
      </c>
      <c r="AY95" s="137">
        <f t="shared" si="37"/>
        <v>0.85</v>
      </c>
      <c r="AZ95" s="137"/>
      <c r="BA95" s="264"/>
      <c r="BB95" s="258">
        <f t="shared" si="38"/>
        <v>0</v>
      </c>
      <c r="BC95" s="258">
        <f t="shared" si="67"/>
        <v>0</v>
      </c>
      <c r="BD95" s="137">
        <f t="shared" si="68"/>
        <v>0</v>
      </c>
      <c r="BE95" s="137">
        <f t="shared" si="68"/>
        <v>0</v>
      </c>
      <c r="BF95" s="137">
        <f>_xll.xSPRDOPT($BW95,$BV95,$CG95,0,$BY95,$BX95,$BZ95,$AJ95,1,4)*$CB95</f>
        <v>0</v>
      </c>
      <c r="BG95" s="137">
        <f>_xll.xSPRDOPT($BW95,$BV95,$CG95,0,$BY95,$BX95,$BZ95,$AJ95,1,3)*$CB95</f>
        <v>0</v>
      </c>
      <c r="BH95" s="137">
        <f>IF(OR(BF95&lt;&gt;0,BG95&lt;&gt;0),_xll.xSPRDOPT($BW95,$BV95,$CG95,0,$BY95,$BX95,$BZ95,$AJ95,1,12)*$CB95,0)</f>
        <v>0</v>
      </c>
      <c r="BI95" s="137">
        <f>_xll.xSPRDOPT($BW95,$BV95,$CG95,2*LN(1+CA95/2),$BY95,$BX95,$BZ95,$AJ95,1,9)</f>
        <v>-0.45187663113673437</v>
      </c>
      <c r="BJ95" s="137">
        <f>_xll.xSPRDOPT($BW95,$BV95,$CG95,0,$BY95,$BX95,$BZ95,$AJ95,1,6)*$CB95</f>
        <v>0</v>
      </c>
      <c r="BK95" s="137">
        <f>_xll.xSPRDOPT($BW95,$BV95,$CG95,0,$BY95,$BX95,$BZ95,$AJ95,1,5)*$CB95</f>
        <v>0</v>
      </c>
      <c r="BL95" s="137">
        <f>_xll.xSPRDOPT(BW95,BV95,CG95,0,BY95,BX95,BZ95,AJ95,1,2)*CB95</f>
        <v>0</v>
      </c>
      <c r="BM95" s="137">
        <f>_xll.xSPRDOPT(BW95,BV95,CG95,0,BY95,BX95,BZ95,AJ95,1,1)*CB95</f>
        <v>0</v>
      </c>
      <c r="BN95" s="137">
        <f>IF(AH95&lt;&gt;0,_xll.xSPRDOPT($BW95,$BV95,$CG95,2*LN(1+CA95/2),$BY95,$BX95,$BZ95,$AJ95,1,8)+(AJ95/365.25)*CH95/AH95,0)</f>
        <v>0</v>
      </c>
      <c r="BO95" s="137">
        <f>_xll.xSPRDOPT($BW95,$BV95,$CG95,0,$BY95,$BX95,$BZ95,$AJ95,1,0)</f>
        <v>0.92777993663970204</v>
      </c>
      <c r="BP95" s="137"/>
      <c r="BQ95" s="137"/>
      <c r="BR95" s="137"/>
      <c r="BS95" s="137"/>
      <c r="BV95" s="262">
        <v>3.2540160642570277</v>
      </c>
      <c r="BW95" s="136">
        <v>3.2509999999999999</v>
      </c>
      <c r="BX95" s="137">
        <v>0.54</v>
      </c>
      <c r="BY95" s="137">
        <v>0.54</v>
      </c>
      <c r="BZ95" s="137">
        <v>0</v>
      </c>
      <c r="CA95" s="137">
        <v>2.3274064967752799E-2</v>
      </c>
      <c r="CB95" s="137">
        <v>0</v>
      </c>
      <c r="CC95" s="258">
        <v>0</v>
      </c>
      <c r="CD95" s="258">
        <v>0.03</v>
      </c>
      <c r="CE95" s="258">
        <v>0.04</v>
      </c>
      <c r="CF95" s="258">
        <v>0</v>
      </c>
      <c r="CG95" s="258">
        <v>5.9999999999999995E-4</v>
      </c>
      <c r="CH95" s="258">
        <v>0</v>
      </c>
      <c r="CI95" s="258">
        <v>3.2109999999999999</v>
      </c>
      <c r="CJ95" s="258"/>
      <c r="CK95" s="258"/>
      <c r="CL95" s="258"/>
      <c r="CM95" s="258"/>
    </row>
    <row r="96" spans="1:91" x14ac:dyDescent="0.25">
      <c r="A96" s="723"/>
      <c r="B96" s="723"/>
      <c r="D96" s="31">
        <f t="shared" si="69"/>
        <v>37575</v>
      </c>
      <c r="F96" s="28">
        <f t="shared" si="53"/>
        <v>15600</v>
      </c>
      <c r="G96" s="28">
        <f t="shared" si="54"/>
        <v>0</v>
      </c>
      <c r="H96" s="52">
        <f t="shared" si="55"/>
        <v>3.2540160642570277</v>
      </c>
      <c r="I96" s="52">
        <f t="shared" si="56"/>
        <v>3.2509999999999999</v>
      </c>
      <c r="K96" s="52">
        <f t="shared" si="70"/>
        <v>0</v>
      </c>
      <c r="L96" s="135">
        <f t="shared" si="71"/>
        <v>0</v>
      </c>
      <c r="N96" s="131">
        <f t="shared" si="72"/>
        <v>0.54</v>
      </c>
      <c r="O96" s="131">
        <f t="shared" si="73"/>
        <v>0.54</v>
      </c>
      <c r="P96" s="55">
        <f t="shared" si="74"/>
        <v>0</v>
      </c>
      <c r="Q96" s="135">
        <f>_xll.xSPRDOPT(I96,H96,AQ96,0,O96,N96,P96,D96-$G$5,1,0)*AH96*AU96</f>
        <v>0</v>
      </c>
      <c r="R96" s="135"/>
      <c r="S96" s="181">
        <f>_xll.xSPRDOPT(I96,H96,AQ96,AT96,O96,N96,P96,D96-$G$5,1,2)*AF96*(F96/(1-AR96))*AH96</f>
        <v>0</v>
      </c>
      <c r="T96" s="181">
        <f>_xll.xSPRDOPT(I96,H96,AQ96,AT96,O96,N96,P96,D96-$G$5,1,1)*AF96*F96*AH96</f>
        <v>0</v>
      </c>
      <c r="U96" s="135"/>
      <c r="V96" s="146">
        <f t="shared" si="57"/>
        <v>0</v>
      </c>
      <c r="W96" s="146"/>
      <c r="X96" s="338">
        <f t="shared" si="58"/>
        <v>0</v>
      </c>
      <c r="Y96" s="338">
        <f t="shared" si="18"/>
        <v>0</v>
      </c>
      <c r="Z96" s="338">
        <f t="shared" si="19"/>
        <v>0</v>
      </c>
      <c r="AA96" s="338">
        <f t="shared" si="20"/>
        <v>0</v>
      </c>
      <c r="AB96" s="338">
        <f t="shared" si="59"/>
        <v>0</v>
      </c>
      <c r="AC96" s="338">
        <f t="shared" si="60"/>
        <v>0</v>
      </c>
      <c r="AF96" s="138">
        <f t="shared" si="61"/>
        <v>0</v>
      </c>
      <c r="AG96" s="138">
        <f t="shared" si="62"/>
        <v>11</v>
      </c>
      <c r="AH96" s="138">
        <f t="shared" si="63"/>
        <v>0</v>
      </c>
      <c r="AI96" s="138">
        <f t="shared" si="75"/>
        <v>319</v>
      </c>
      <c r="AJ96" s="138">
        <f t="shared" si="64"/>
        <v>336</v>
      </c>
      <c r="AL96" s="136">
        <f t="shared" si="27"/>
        <v>3.2109999999999999</v>
      </c>
      <c r="AM96" s="258">
        <f t="shared" si="48"/>
        <v>0</v>
      </c>
      <c r="AN96" s="258">
        <f t="shared" si="28"/>
        <v>0.03</v>
      </c>
      <c r="AO96" s="258">
        <f t="shared" si="29"/>
        <v>0.04</v>
      </c>
      <c r="AP96" s="258">
        <f t="shared" si="30"/>
        <v>0</v>
      </c>
      <c r="AQ96" s="136">
        <f t="shared" si="65"/>
        <v>5.9999999999999995E-4</v>
      </c>
      <c r="AR96" s="137">
        <f t="shared" si="32"/>
        <v>4.0000000000000001E-3</v>
      </c>
      <c r="AS96" s="136">
        <f t="shared" si="76"/>
        <v>3.2409999999999997</v>
      </c>
      <c r="AT96" s="137">
        <f t="shared" si="66"/>
        <v>2.3274064967752799E-2</v>
      </c>
      <c r="AU96" s="137">
        <f t="shared" si="34"/>
        <v>0</v>
      </c>
      <c r="AV96" s="394">
        <f t="shared" si="77"/>
        <v>0</v>
      </c>
      <c r="AW96" s="137">
        <f t="shared" si="35"/>
        <v>0.54</v>
      </c>
      <c r="AX96" s="137">
        <f t="shared" si="36"/>
        <v>0.95</v>
      </c>
      <c r="AY96" s="137">
        <f t="shared" si="37"/>
        <v>0.85</v>
      </c>
      <c r="AZ96" s="137"/>
      <c r="BA96" s="264"/>
      <c r="BB96" s="258">
        <f t="shared" si="38"/>
        <v>0</v>
      </c>
      <c r="BC96" s="258">
        <f t="shared" si="67"/>
        <v>0</v>
      </c>
      <c r="BD96" s="137">
        <f t="shared" si="68"/>
        <v>0</v>
      </c>
      <c r="BE96" s="137">
        <f t="shared" si="68"/>
        <v>0</v>
      </c>
      <c r="BF96" s="137">
        <f>_xll.xSPRDOPT($BW96,$BV96,$CG96,0,$BY96,$BX96,$BZ96,$AJ96,1,4)*$CB96</f>
        <v>0</v>
      </c>
      <c r="BG96" s="137">
        <f>_xll.xSPRDOPT($BW96,$BV96,$CG96,0,$BY96,$BX96,$BZ96,$AJ96,1,3)*$CB96</f>
        <v>0</v>
      </c>
      <c r="BH96" s="137">
        <f>IF(OR(BF96&lt;&gt;0,BG96&lt;&gt;0),_xll.xSPRDOPT($BW96,$BV96,$CG96,0,$BY96,$BX96,$BZ96,$AJ96,1,12)*$CB96,0)</f>
        <v>0</v>
      </c>
      <c r="BI96" s="137">
        <f>_xll.xSPRDOPT($BW96,$BV96,$CG96,2*LN(1+CA96/2),$BY96,$BX96,$BZ96,$AJ96,1,9)</f>
        <v>-0.45187663113673437</v>
      </c>
      <c r="BJ96" s="137">
        <f>_xll.xSPRDOPT($BW96,$BV96,$CG96,0,$BY96,$BX96,$BZ96,$AJ96,1,6)*$CB96</f>
        <v>0</v>
      </c>
      <c r="BK96" s="137">
        <f>_xll.xSPRDOPT($BW96,$BV96,$CG96,0,$BY96,$BX96,$BZ96,$AJ96,1,5)*$CB96</f>
        <v>0</v>
      </c>
      <c r="BL96" s="137">
        <f>_xll.xSPRDOPT(BW96,BV96,CG96,0,BY96,BX96,BZ96,AJ96,1,2)*CB96</f>
        <v>0</v>
      </c>
      <c r="BM96" s="137">
        <f>_xll.xSPRDOPT(BW96,BV96,CG96,0,BY96,BX96,BZ96,AJ96,1,1)*CB96</f>
        <v>0</v>
      </c>
      <c r="BN96" s="137">
        <f>IF(AH96&lt;&gt;0,_xll.xSPRDOPT($BW96,$BV96,$CG96,2*LN(1+CA96/2),$BY96,$BX96,$BZ96,$AJ96,1,8)+(AJ96/365.25)*CH96/AH96,0)</f>
        <v>0</v>
      </c>
      <c r="BO96" s="137">
        <f>_xll.xSPRDOPT($BW96,$BV96,$CG96,0,$BY96,$BX96,$BZ96,$AJ96,1,0)</f>
        <v>0.92777993663970204</v>
      </c>
      <c r="BP96" s="137"/>
      <c r="BQ96" s="137"/>
      <c r="BR96" s="137"/>
      <c r="BS96" s="137"/>
      <c r="BV96" s="262">
        <v>3.2540160642570277</v>
      </c>
      <c r="BW96" s="136">
        <v>3.2509999999999999</v>
      </c>
      <c r="BX96" s="137">
        <v>0.54</v>
      </c>
      <c r="BY96" s="137">
        <v>0.54</v>
      </c>
      <c r="BZ96" s="137">
        <v>0</v>
      </c>
      <c r="CA96" s="137">
        <v>2.3274064967752799E-2</v>
      </c>
      <c r="CB96" s="137">
        <v>0</v>
      </c>
      <c r="CC96" s="258">
        <v>0</v>
      </c>
      <c r="CD96" s="258">
        <v>0.03</v>
      </c>
      <c r="CE96" s="258">
        <v>0.04</v>
      </c>
      <c r="CF96" s="258">
        <v>0</v>
      </c>
      <c r="CG96" s="258">
        <v>5.9999999999999995E-4</v>
      </c>
      <c r="CH96" s="258">
        <v>0</v>
      </c>
      <c r="CI96" s="258">
        <v>3.2109999999999999</v>
      </c>
      <c r="CJ96" s="258"/>
      <c r="CK96" s="258"/>
      <c r="CL96" s="258"/>
      <c r="CM96" s="258"/>
    </row>
    <row r="97" spans="1:91" x14ac:dyDescent="0.25">
      <c r="A97" s="723"/>
      <c r="B97" s="723"/>
      <c r="D97" s="31">
        <f t="shared" si="69"/>
        <v>37575</v>
      </c>
      <c r="F97" s="28">
        <f t="shared" si="53"/>
        <v>15600</v>
      </c>
      <c r="G97" s="28">
        <f t="shared" si="54"/>
        <v>0</v>
      </c>
      <c r="H97" s="52">
        <f t="shared" si="55"/>
        <v>3.2540160642570277</v>
      </c>
      <c r="I97" s="52">
        <f t="shared" si="56"/>
        <v>3.2509999999999999</v>
      </c>
      <c r="K97" s="52">
        <f t="shared" si="70"/>
        <v>0</v>
      </c>
      <c r="L97" s="135">
        <f t="shared" si="71"/>
        <v>0</v>
      </c>
      <c r="N97" s="131">
        <f t="shared" si="72"/>
        <v>0.54</v>
      </c>
      <c r="O97" s="131">
        <f t="shared" si="73"/>
        <v>0.54</v>
      </c>
      <c r="P97" s="55">
        <f t="shared" si="74"/>
        <v>0</v>
      </c>
      <c r="Q97" s="135">
        <f>_xll.xSPRDOPT(I97,H97,AQ97,0,O97,N97,P97,D97-$G$5,1,0)*AH97*AU97</f>
        <v>0</v>
      </c>
      <c r="R97" s="135"/>
      <c r="S97" s="181">
        <f>_xll.xSPRDOPT(I97,H97,AQ97,AT97,O97,N97,P97,D97-$G$5,1,2)*AF97*(F97/(1-AR97))*AH97</f>
        <v>0</v>
      </c>
      <c r="T97" s="181">
        <f>_xll.xSPRDOPT(I97,H97,AQ97,AT97,O97,N97,P97,D97-$G$5,1,1)*AF97*F97*AH97</f>
        <v>0</v>
      </c>
      <c r="U97" s="135"/>
      <c r="V97" s="146">
        <f t="shared" si="57"/>
        <v>0</v>
      </c>
      <c r="W97" s="146"/>
      <c r="X97" s="338">
        <f t="shared" si="58"/>
        <v>0</v>
      </c>
      <c r="Y97" s="338">
        <f t="shared" si="18"/>
        <v>0</v>
      </c>
      <c r="Z97" s="338">
        <f t="shared" si="19"/>
        <v>0</v>
      </c>
      <c r="AA97" s="338">
        <f t="shared" si="20"/>
        <v>0</v>
      </c>
      <c r="AB97" s="338">
        <f t="shared" si="59"/>
        <v>0</v>
      </c>
      <c r="AC97" s="338">
        <f t="shared" si="60"/>
        <v>0</v>
      </c>
      <c r="AF97" s="138">
        <f t="shared" si="61"/>
        <v>0</v>
      </c>
      <c r="AG97" s="138">
        <f t="shared" si="62"/>
        <v>11</v>
      </c>
      <c r="AH97" s="138">
        <f t="shared" si="63"/>
        <v>0</v>
      </c>
      <c r="AI97" s="138">
        <f t="shared" si="75"/>
        <v>319</v>
      </c>
      <c r="AJ97" s="138">
        <f t="shared" si="64"/>
        <v>336</v>
      </c>
      <c r="AL97" s="136">
        <f t="shared" si="27"/>
        <v>3.2109999999999999</v>
      </c>
      <c r="AM97" s="258">
        <f t="shared" si="48"/>
        <v>0</v>
      </c>
      <c r="AN97" s="258">
        <f t="shared" si="28"/>
        <v>0.03</v>
      </c>
      <c r="AO97" s="258">
        <f t="shared" si="29"/>
        <v>0.04</v>
      </c>
      <c r="AP97" s="258">
        <f t="shared" si="30"/>
        <v>0</v>
      </c>
      <c r="AQ97" s="136">
        <f t="shared" si="65"/>
        <v>5.9999999999999995E-4</v>
      </c>
      <c r="AR97" s="137">
        <f t="shared" si="32"/>
        <v>4.0000000000000001E-3</v>
      </c>
      <c r="AS97" s="136">
        <f t="shared" si="76"/>
        <v>3.2409999999999997</v>
      </c>
      <c r="AT97" s="137">
        <f t="shared" si="66"/>
        <v>2.3274064967752799E-2</v>
      </c>
      <c r="AU97" s="137">
        <f t="shared" si="34"/>
        <v>0</v>
      </c>
      <c r="AV97" s="394">
        <f t="shared" si="77"/>
        <v>0</v>
      </c>
      <c r="AW97" s="137">
        <f t="shared" si="35"/>
        <v>0.54</v>
      </c>
      <c r="AX97" s="137">
        <f t="shared" si="36"/>
        <v>0.95</v>
      </c>
      <c r="AY97" s="137">
        <f t="shared" si="37"/>
        <v>0.85</v>
      </c>
      <c r="AZ97" s="137"/>
      <c r="BA97" s="264"/>
      <c r="BB97" s="258">
        <f t="shared" si="38"/>
        <v>0</v>
      </c>
      <c r="BC97" s="258">
        <f t="shared" si="67"/>
        <v>0</v>
      </c>
      <c r="BD97" s="137">
        <f t="shared" si="68"/>
        <v>0</v>
      </c>
      <c r="BE97" s="137">
        <f t="shared" si="68"/>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-0.45187663113673437</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0.92777993663970204</v>
      </c>
      <c r="BP97" s="137"/>
      <c r="BQ97" s="137"/>
      <c r="BR97" s="137"/>
      <c r="BS97" s="137"/>
      <c r="BV97" s="262">
        <v>3.2540160642570277</v>
      </c>
      <c r="BW97" s="136">
        <v>3.2509999999999999</v>
      </c>
      <c r="BX97" s="137">
        <v>0.54</v>
      </c>
      <c r="BY97" s="137">
        <v>0.54</v>
      </c>
      <c r="BZ97" s="137">
        <v>0</v>
      </c>
      <c r="CA97" s="137">
        <v>2.3274064967752799E-2</v>
      </c>
      <c r="CB97" s="137">
        <v>0</v>
      </c>
      <c r="CC97" s="258">
        <v>0</v>
      </c>
      <c r="CD97" s="258">
        <v>0.03</v>
      </c>
      <c r="CE97" s="258">
        <v>0.04</v>
      </c>
      <c r="CF97" s="258">
        <v>0</v>
      </c>
      <c r="CG97" s="258">
        <v>5.9999999999999995E-4</v>
      </c>
      <c r="CH97" s="258">
        <v>0</v>
      </c>
      <c r="CI97" s="258">
        <v>3.2109999999999999</v>
      </c>
      <c r="CJ97" s="258"/>
      <c r="CK97" s="258"/>
      <c r="CL97" s="258"/>
      <c r="CM97" s="258"/>
    </row>
    <row r="98" spans="1:91" x14ac:dyDescent="0.25">
      <c r="A98" s="723"/>
      <c r="B98" s="723"/>
      <c r="D98" s="31">
        <f t="shared" si="69"/>
        <v>37575</v>
      </c>
      <c r="F98" s="28">
        <f t="shared" si="53"/>
        <v>15600</v>
      </c>
      <c r="G98" s="28">
        <f t="shared" si="54"/>
        <v>0</v>
      </c>
      <c r="H98" s="52">
        <f t="shared" si="55"/>
        <v>3.2540160642570277</v>
      </c>
      <c r="I98" s="52">
        <f t="shared" si="56"/>
        <v>3.2509999999999999</v>
      </c>
      <c r="K98" s="52">
        <f t="shared" si="70"/>
        <v>0</v>
      </c>
      <c r="L98" s="135">
        <f t="shared" si="71"/>
        <v>0</v>
      </c>
      <c r="N98" s="131">
        <f t="shared" si="72"/>
        <v>0.54</v>
      </c>
      <c r="O98" s="131">
        <f t="shared" si="73"/>
        <v>0.54</v>
      </c>
      <c r="P98" s="55">
        <f t="shared" si="74"/>
        <v>0</v>
      </c>
      <c r="Q98" s="135">
        <f>_xll.xSPRDOPT(I98,H98,AQ98,0,O98,N98,P98,D98-$G$5,1,0)*AH98*AU98</f>
        <v>0</v>
      </c>
      <c r="R98" s="135"/>
      <c r="S98" s="181">
        <f>_xll.xSPRDOPT(I98,H98,AQ98,AT98,O98,N98,P98,D98-$G$5,1,2)*AF98*(F98/(1-AR98))*AH98</f>
        <v>0</v>
      </c>
      <c r="T98" s="181">
        <f>_xll.xSPRDOPT(I98,H98,AQ98,AT98,O98,N98,P98,D98-$G$5,1,1)*AF98*F98*AH98</f>
        <v>0</v>
      </c>
      <c r="U98" s="135"/>
      <c r="V98" s="146">
        <f t="shared" si="57"/>
        <v>0</v>
      </c>
      <c r="W98" s="146"/>
      <c r="X98" s="338">
        <f t="shared" si="58"/>
        <v>0</v>
      </c>
      <c r="Y98" s="338">
        <f t="shared" si="18"/>
        <v>0</v>
      </c>
      <c r="Z98" s="338">
        <f t="shared" si="19"/>
        <v>0</v>
      </c>
      <c r="AA98" s="338">
        <f t="shared" si="20"/>
        <v>0</v>
      </c>
      <c r="AB98" s="338">
        <f t="shared" si="59"/>
        <v>0</v>
      </c>
      <c r="AC98" s="338">
        <f t="shared" si="60"/>
        <v>0</v>
      </c>
      <c r="AF98" s="138">
        <f t="shared" si="61"/>
        <v>0</v>
      </c>
      <c r="AG98" s="138">
        <f t="shared" si="62"/>
        <v>11</v>
      </c>
      <c r="AH98" s="138">
        <f t="shared" si="63"/>
        <v>0</v>
      </c>
      <c r="AI98" s="138">
        <f t="shared" si="75"/>
        <v>319</v>
      </c>
      <c r="AJ98" s="138">
        <f t="shared" si="64"/>
        <v>336</v>
      </c>
      <c r="AL98" s="136">
        <f t="shared" si="27"/>
        <v>3.2109999999999999</v>
      </c>
      <c r="AM98" s="258">
        <f t="shared" si="48"/>
        <v>0</v>
      </c>
      <c r="AN98" s="258">
        <f t="shared" si="28"/>
        <v>0.03</v>
      </c>
      <c r="AO98" s="258">
        <f t="shared" si="29"/>
        <v>0.04</v>
      </c>
      <c r="AP98" s="258">
        <f t="shared" si="30"/>
        <v>0</v>
      </c>
      <c r="AQ98" s="136">
        <f t="shared" si="65"/>
        <v>5.9999999999999995E-4</v>
      </c>
      <c r="AR98" s="137">
        <f t="shared" si="32"/>
        <v>4.0000000000000001E-3</v>
      </c>
      <c r="AS98" s="136">
        <f t="shared" si="76"/>
        <v>3.2409999999999997</v>
      </c>
      <c r="AT98" s="137">
        <f t="shared" si="66"/>
        <v>2.3274064967752799E-2</v>
      </c>
      <c r="AU98" s="137">
        <f t="shared" si="34"/>
        <v>0</v>
      </c>
      <c r="AV98" s="394">
        <f t="shared" si="77"/>
        <v>0</v>
      </c>
      <c r="AW98" s="137">
        <f t="shared" si="35"/>
        <v>0.54</v>
      </c>
      <c r="AX98" s="137">
        <f t="shared" si="36"/>
        <v>0.95</v>
      </c>
      <c r="AY98" s="137">
        <f t="shared" si="37"/>
        <v>0.85</v>
      </c>
      <c r="AZ98" s="137"/>
      <c r="BA98" s="264"/>
      <c r="BB98" s="258">
        <f t="shared" si="38"/>
        <v>0</v>
      </c>
      <c r="BC98" s="258">
        <f t="shared" si="67"/>
        <v>0</v>
      </c>
      <c r="BD98" s="137">
        <f t="shared" si="68"/>
        <v>0</v>
      </c>
      <c r="BE98" s="137">
        <f t="shared" si="68"/>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-0.45187663113673437</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0.92777993663970204</v>
      </c>
      <c r="BP98" s="137"/>
      <c r="BQ98" s="137"/>
      <c r="BR98" s="137"/>
      <c r="BS98" s="137"/>
      <c r="BV98" s="262">
        <v>3.2540160642570277</v>
      </c>
      <c r="BW98" s="136">
        <v>3.2509999999999999</v>
      </c>
      <c r="BX98" s="137">
        <v>0.54</v>
      </c>
      <c r="BY98" s="137">
        <v>0.54</v>
      </c>
      <c r="BZ98" s="137">
        <v>0</v>
      </c>
      <c r="CA98" s="137">
        <v>2.3274064967752799E-2</v>
      </c>
      <c r="CB98" s="137">
        <v>0</v>
      </c>
      <c r="CC98" s="258">
        <v>0</v>
      </c>
      <c r="CD98" s="258">
        <v>0.03</v>
      </c>
      <c r="CE98" s="258">
        <v>0.04</v>
      </c>
      <c r="CF98" s="258">
        <v>0</v>
      </c>
      <c r="CG98" s="258">
        <v>5.9999999999999995E-4</v>
      </c>
      <c r="CH98" s="258">
        <v>0</v>
      </c>
      <c r="CI98" s="258">
        <v>3.2109999999999999</v>
      </c>
      <c r="CJ98" s="258"/>
      <c r="CK98" s="258"/>
      <c r="CL98" s="258"/>
      <c r="CM98" s="258"/>
    </row>
    <row r="99" spans="1:91" x14ac:dyDescent="0.25">
      <c r="A99" s="723"/>
      <c r="B99" s="723"/>
      <c r="D99" s="31">
        <f t="shared" si="69"/>
        <v>37575</v>
      </c>
      <c r="F99" s="28">
        <f t="shared" si="53"/>
        <v>15600</v>
      </c>
      <c r="G99" s="28">
        <f t="shared" si="54"/>
        <v>0</v>
      </c>
      <c r="H99" s="52">
        <f t="shared" si="55"/>
        <v>3.2540160642570277</v>
      </c>
      <c r="I99" s="52">
        <f t="shared" si="56"/>
        <v>3.2509999999999999</v>
      </c>
      <c r="K99" s="52">
        <f t="shared" si="70"/>
        <v>0</v>
      </c>
      <c r="L99" s="135">
        <f t="shared" si="71"/>
        <v>0</v>
      </c>
      <c r="N99" s="131">
        <f t="shared" si="72"/>
        <v>0.54</v>
      </c>
      <c r="O99" s="131">
        <f t="shared" si="73"/>
        <v>0.54</v>
      </c>
      <c r="P99" s="55">
        <f t="shared" si="74"/>
        <v>0</v>
      </c>
      <c r="Q99" s="135">
        <f>_xll.xSPRDOPT(I99,H99,AQ99,0,O99,N99,P99,D99-$G$5,1,0)*AH99*AU99</f>
        <v>0</v>
      </c>
      <c r="R99" s="135"/>
      <c r="S99" s="181">
        <f>_xll.xSPRDOPT(I99,H99,AQ99,AT99,O99,N99,P99,D99-$G$5,1,2)*AF99*(F99/(1-AR99))*AH99</f>
        <v>0</v>
      </c>
      <c r="T99" s="181">
        <f>_xll.xSPRDOPT(I99,H99,AQ99,AT99,O99,N99,P99,D99-$G$5,1,1)*AF99*F99*AH99</f>
        <v>0</v>
      </c>
      <c r="U99" s="135"/>
      <c r="V99" s="146">
        <f t="shared" si="57"/>
        <v>0</v>
      </c>
      <c r="W99" s="146"/>
      <c r="X99" s="338">
        <f t="shared" si="58"/>
        <v>0</v>
      </c>
      <c r="Y99" s="338">
        <f t="shared" si="18"/>
        <v>0</v>
      </c>
      <c r="Z99" s="338">
        <f t="shared" si="19"/>
        <v>0</v>
      </c>
      <c r="AA99" s="338">
        <f t="shared" si="20"/>
        <v>0</v>
      </c>
      <c r="AB99" s="338">
        <f t="shared" si="59"/>
        <v>0</v>
      </c>
      <c r="AC99" s="338">
        <f t="shared" si="60"/>
        <v>0</v>
      </c>
      <c r="AF99" s="138">
        <f t="shared" si="61"/>
        <v>0</v>
      </c>
      <c r="AG99" s="138">
        <f t="shared" si="62"/>
        <v>11</v>
      </c>
      <c r="AH99" s="138">
        <f t="shared" si="63"/>
        <v>0</v>
      </c>
      <c r="AI99" s="138">
        <f t="shared" si="75"/>
        <v>319</v>
      </c>
      <c r="AJ99" s="138">
        <f t="shared" si="64"/>
        <v>336</v>
      </c>
      <c r="AL99" s="136">
        <f t="shared" si="27"/>
        <v>3.2109999999999999</v>
      </c>
      <c r="AM99" s="258">
        <f t="shared" si="48"/>
        <v>0</v>
      </c>
      <c r="AN99" s="258">
        <f t="shared" si="28"/>
        <v>0.03</v>
      </c>
      <c r="AO99" s="258">
        <f t="shared" si="29"/>
        <v>0.04</v>
      </c>
      <c r="AP99" s="258">
        <f t="shared" si="30"/>
        <v>0</v>
      </c>
      <c r="AQ99" s="136">
        <f t="shared" si="65"/>
        <v>5.9999999999999995E-4</v>
      </c>
      <c r="AR99" s="137">
        <f t="shared" si="32"/>
        <v>4.0000000000000001E-3</v>
      </c>
      <c r="AS99" s="136">
        <f t="shared" si="76"/>
        <v>3.2409999999999997</v>
      </c>
      <c r="AT99" s="137">
        <f t="shared" si="66"/>
        <v>2.3274064967752799E-2</v>
      </c>
      <c r="AU99" s="137">
        <f t="shared" si="34"/>
        <v>0</v>
      </c>
      <c r="AV99" s="394">
        <f t="shared" si="77"/>
        <v>0</v>
      </c>
      <c r="AW99" s="137">
        <f t="shared" si="35"/>
        <v>0.54</v>
      </c>
      <c r="AX99" s="137">
        <f t="shared" si="36"/>
        <v>0.95</v>
      </c>
      <c r="AY99" s="137">
        <f t="shared" si="37"/>
        <v>0.85</v>
      </c>
      <c r="AZ99" s="137"/>
      <c r="BA99" s="264"/>
      <c r="BB99" s="258">
        <f t="shared" si="38"/>
        <v>0</v>
      </c>
      <c r="BC99" s="258">
        <f t="shared" si="67"/>
        <v>0</v>
      </c>
      <c r="BD99" s="137">
        <f t="shared" si="68"/>
        <v>0</v>
      </c>
      <c r="BE99" s="137">
        <f t="shared" si="68"/>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-0.45187663113673437</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0.92777993663970204</v>
      </c>
      <c r="BP99" s="137"/>
      <c r="BQ99" s="137"/>
      <c r="BR99" s="137"/>
      <c r="BS99" s="137"/>
      <c r="BV99" s="262">
        <v>3.2540160642570277</v>
      </c>
      <c r="BW99" s="136">
        <v>3.2509999999999999</v>
      </c>
      <c r="BX99" s="137">
        <v>0.54</v>
      </c>
      <c r="BY99" s="137">
        <v>0.54</v>
      </c>
      <c r="BZ99" s="137">
        <v>0</v>
      </c>
      <c r="CA99" s="137">
        <v>2.3274064967752799E-2</v>
      </c>
      <c r="CB99" s="137">
        <v>0</v>
      </c>
      <c r="CC99" s="258">
        <v>0</v>
      </c>
      <c r="CD99" s="258">
        <v>0.03</v>
      </c>
      <c r="CE99" s="258">
        <v>0.04</v>
      </c>
      <c r="CF99" s="258">
        <v>0</v>
      </c>
      <c r="CG99" s="258">
        <v>5.9999999999999995E-4</v>
      </c>
      <c r="CH99" s="258">
        <v>0</v>
      </c>
      <c r="CI99" s="258">
        <v>3.2109999999999999</v>
      </c>
      <c r="CJ99" s="258"/>
      <c r="CK99" s="258"/>
      <c r="CL99" s="258"/>
      <c r="CM99" s="258"/>
    </row>
    <row r="100" spans="1:91" x14ac:dyDescent="0.25">
      <c r="A100" s="723"/>
      <c r="B100" s="723"/>
      <c r="D100" s="31">
        <f t="shared" si="69"/>
        <v>37575</v>
      </c>
      <c r="F100" s="28">
        <f t="shared" si="53"/>
        <v>15600</v>
      </c>
      <c r="G100" s="28">
        <f t="shared" si="54"/>
        <v>0</v>
      </c>
      <c r="H100" s="52">
        <f t="shared" si="55"/>
        <v>3.2540160642570277</v>
      </c>
      <c r="I100" s="52">
        <f t="shared" si="56"/>
        <v>3.2509999999999999</v>
      </c>
      <c r="K100" s="52">
        <f t="shared" si="70"/>
        <v>0</v>
      </c>
      <c r="L100" s="135">
        <f t="shared" si="71"/>
        <v>0</v>
      </c>
      <c r="N100" s="131">
        <f t="shared" si="72"/>
        <v>0.54</v>
      </c>
      <c r="O100" s="131">
        <f t="shared" si="73"/>
        <v>0.54</v>
      </c>
      <c r="P100" s="55">
        <f t="shared" si="74"/>
        <v>0</v>
      </c>
      <c r="Q100" s="135">
        <f>_xll.xSPRDOPT(I100,H100,AQ100,0,O100,N100,P100,D100-$G$5,1,0)*AH100*AU100</f>
        <v>0</v>
      </c>
      <c r="R100" s="135"/>
      <c r="S100" s="181">
        <f>_xll.xSPRDOPT(I100,H100,AQ100,AT100,O100,N100,P100,D100-$G$5,1,2)*AF100*(F100/(1-AR100))*AH100</f>
        <v>0</v>
      </c>
      <c r="T100" s="181">
        <f>_xll.xSPRDOPT(I100,H100,AQ100,AT100,O100,N100,P100,D100-$G$5,1,1)*AF100*F100*AH100</f>
        <v>0</v>
      </c>
      <c r="U100" s="135"/>
      <c r="V100" s="146">
        <f t="shared" si="57"/>
        <v>0</v>
      </c>
      <c r="W100" s="146"/>
      <c r="X100" s="338">
        <f t="shared" si="58"/>
        <v>0</v>
      </c>
      <c r="Y100" s="338">
        <f t="shared" si="18"/>
        <v>0</v>
      </c>
      <c r="Z100" s="338">
        <f t="shared" si="19"/>
        <v>0</v>
      </c>
      <c r="AA100" s="338">
        <f t="shared" si="20"/>
        <v>0</v>
      </c>
      <c r="AB100" s="338">
        <f t="shared" si="59"/>
        <v>0</v>
      </c>
      <c r="AC100" s="338">
        <f t="shared" si="60"/>
        <v>0</v>
      </c>
      <c r="AF100" s="138">
        <f t="shared" si="61"/>
        <v>0</v>
      </c>
      <c r="AG100" s="138">
        <f t="shared" si="62"/>
        <v>11</v>
      </c>
      <c r="AH100" s="138">
        <f t="shared" si="63"/>
        <v>0</v>
      </c>
      <c r="AI100" s="138">
        <f t="shared" si="75"/>
        <v>319</v>
      </c>
      <c r="AJ100" s="138">
        <f t="shared" si="64"/>
        <v>336</v>
      </c>
      <c r="AL100" s="136">
        <f t="shared" si="27"/>
        <v>3.2109999999999999</v>
      </c>
      <c r="AM100" s="258">
        <f t="shared" si="48"/>
        <v>0</v>
      </c>
      <c r="AN100" s="258">
        <f t="shared" si="28"/>
        <v>0.03</v>
      </c>
      <c r="AO100" s="258">
        <f t="shared" si="29"/>
        <v>0.04</v>
      </c>
      <c r="AP100" s="258">
        <f t="shared" si="30"/>
        <v>0</v>
      </c>
      <c r="AQ100" s="136">
        <f t="shared" si="65"/>
        <v>5.9999999999999995E-4</v>
      </c>
      <c r="AR100" s="137">
        <f t="shared" si="32"/>
        <v>4.0000000000000001E-3</v>
      </c>
      <c r="AS100" s="136">
        <f t="shared" si="76"/>
        <v>3.2409999999999997</v>
      </c>
      <c r="AT100" s="137">
        <f t="shared" si="66"/>
        <v>2.3274064967752799E-2</v>
      </c>
      <c r="AU100" s="137">
        <f t="shared" si="34"/>
        <v>0</v>
      </c>
      <c r="AV100" s="394">
        <f t="shared" si="77"/>
        <v>0</v>
      </c>
      <c r="AW100" s="137">
        <f t="shared" si="35"/>
        <v>0.54</v>
      </c>
      <c r="AX100" s="137">
        <f t="shared" si="36"/>
        <v>0.95</v>
      </c>
      <c r="AY100" s="137">
        <f t="shared" si="37"/>
        <v>0.85</v>
      </c>
      <c r="AZ100" s="137"/>
      <c r="BA100" s="264"/>
      <c r="BB100" s="258">
        <f t="shared" si="38"/>
        <v>0</v>
      </c>
      <c r="BC100" s="258">
        <f t="shared" si="67"/>
        <v>0</v>
      </c>
      <c r="BD100" s="137">
        <f t="shared" si="68"/>
        <v>0</v>
      </c>
      <c r="BE100" s="137">
        <f t="shared" si="68"/>
        <v>0</v>
      </c>
      <c r="BF100" s="137">
        <f>_xll.xSPRDOPT($BW100,$BV100,$CG100,0,$BY100,$BX100,$BZ100,$AJ100,1,4)*$CB100</f>
        <v>0</v>
      </c>
      <c r="BG100" s="137">
        <f>_xll.xSPRDOPT($BW100,$BV100,$CG100,0,$BY100,$BX100,$BZ100,$AJ100,1,3)*$CB100</f>
        <v>0</v>
      </c>
      <c r="BH100" s="137">
        <f>IF(OR(BF100&lt;&gt;0,BG100&lt;&gt;0),_xll.xSPRDOPT($BW100,$BV100,$CG100,0,$BY100,$BX100,$BZ100,$AJ100,1,12)*$CB100,0)</f>
        <v>0</v>
      </c>
      <c r="BI100" s="137">
        <f>_xll.xSPRDOPT($BW100,$BV100,$CG100,2*LN(1+CA100/2),$BY100,$BX100,$BZ100,$AJ100,1,9)</f>
        <v>-0.45187663113673437</v>
      </c>
      <c r="BJ100" s="137">
        <f>_xll.xSPRDOPT($BW100,$BV100,$CG100,0,$BY100,$BX100,$BZ100,$AJ100,1,6)*$CB100</f>
        <v>0</v>
      </c>
      <c r="BK100" s="137">
        <f>_xll.xSPRDOPT($BW100,$BV100,$CG100,0,$BY100,$BX100,$BZ100,$AJ100,1,5)*$CB100</f>
        <v>0</v>
      </c>
      <c r="BL100" s="137">
        <f>_xll.xSPRDOPT(BW100,BV100,CG100,0,BY100,BX100,BZ100,AJ100,1,2)*CB100</f>
        <v>0</v>
      </c>
      <c r="BM100" s="137">
        <f>_xll.xSPRDOPT(BW100,BV100,CG100,0,BY100,BX100,BZ100,AJ100,1,1)*CB100</f>
        <v>0</v>
      </c>
      <c r="BN100" s="137">
        <f>IF(AH100&lt;&gt;0,_xll.xSPRDOPT($BW100,$BV100,$CG100,2*LN(1+CA100/2),$BY100,$BX100,$BZ100,$AJ100,1,8)+(AJ100/365.25)*CH100/AH100,0)</f>
        <v>0</v>
      </c>
      <c r="BO100" s="137">
        <f>_xll.xSPRDOPT($BW100,$BV100,$CG100,0,$BY100,$BX100,$BZ100,$AJ100,1,0)</f>
        <v>0.92777993663970204</v>
      </c>
      <c r="BP100" s="137"/>
      <c r="BQ100" s="137"/>
      <c r="BR100" s="137"/>
      <c r="BS100" s="137"/>
      <c r="BV100" s="262">
        <v>3.2540160642570277</v>
      </c>
      <c r="BW100" s="136">
        <v>3.2509999999999999</v>
      </c>
      <c r="BX100" s="137">
        <v>0.54</v>
      </c>
      <c r="BY100" s="137">
        <v>0.54</v>
      </c>
      <c r="BZ100" s="137">
        <v>0</v>
      </c>
      <c r="CA100" s="137">
        <v>2.3274064967752799E-2</v>
      </c>
      <c r="CB100" s="137">
        <v>0</v>
      </c>
      <c r="CC100" s="258">
        <v>0</v>
      </c>
      <c r="CD100" s="258">
        <v>0.03</v>
      </c>
      <c r="CE100" s="258">
        <v>0.04</v>
      </c>
      <c r="CF100" s="258">
        <v>0</v>
      </c>
      <c r="CG100" s="258">
        <v>5.9999999999999995E-4</v>
      </c>
      <c r="CH100" s="258">
        <v>0</v>
      </c>
      <c r="CI100" s="258">
        <v>3.2109999999999999</v>
      </c>
      <c r="CJ100" s="258"/>
      <c r="CK100" s="258"/>
      <c r="CL100" s="258"/>
      <c r="CM100" s="258"/>
    </row>
    <row r="101" spans="1:91" x14ac:dyDescent="0.25">
      <c r="A101" s="723"/>
      <c r="B101" s="723"/>
      <c r="D101" s="31">
        <f t="shared" si="69"/>
        <v>37575</v>
      </c>
      <c r="F101" s="28">
        <f t="shared" si="53"/>
        <v>15600</v>
      </c>
      <c r="G101" s="28">
        <f t="shared" si="54"/>
        <v>0</v>
      </c>
      <c r="H101" s="52">
        <f t="shared" si="55"/>
        <v>3.2540160642570277</v>
      </c>
      <c r="I101" s="52">
        <f t="shared" si="56"/>
        <v>3.2509999999999999</v>
      </c>
      <c r="K101" s="52">
        <f t="shared" si="70"/>
        <v>0</v>
      </c>
      <c r="L101" s="135">
        <f t="shared" si="71"/>
        <v>0</v>
      </c>
      <c r="N101" s="131">
        <f t="shared" si="72"/>
        <v>0.54</v>
      </c>
      <c r="O101" s="131">
        <f t="shared" si="73"/>
        <v>0.54</v>
      </c>
      <c r="P101" s="55">
        <f t="shared" si="74"/>
        <v>0</v>
      </c>
      <c r="Q101" s="135">
        <f>_xll.xSPRDOPT(I101,H101,AQ101,0,O101,N101,P101,D101-$G$5,1,0)*AH101*AU101</f>
        <v>0</v>
      </c>
      <c r="R101" s="135"/>
      <c r="S101" s="181">
        <f>_xll.xSPRDOPT(I101,H101,AQ101,AT101,O101,N101,P101,D101-$G$5,1,2)*AF101*(F101/(1-AR101))*AH101</f>
        <v>0</v>
      </c>
      <c r="T101" s="181">
        <f>_xll.xSPRDOPT(I101,H101,AQ101,AT101,O101,N101,P101,D101-$G$5,1,1)*AF101*F101*AH101</f>
        <v>0</v>
      </c>
      <c r="U101" s="135"/>
      <c r="V101" s="146">
        <f t="shared" si="57"/>
        <v>0</v>
      </c>
      <c r="W101" s="146"/>
      <c r="X101" s="338">
        <f t="shared" si="58"/>
        <v>0</v>
      </c>
      <c r="Y101" s="338">
        <f t="shared" si="18"/>
        <v>0</v>
      </c>
      <c r="Z101" s="338">
        <f t="shared" si="19"/>
        <v>0</v>
      </c>
      <c r="AA101" s="338">
        <f t="shared" si="20"/>
        <v>0</v>
      </c>
      <c r="AB101" s="338">
        <f t="shared" si="59"/>
        <v>0</v>
      </c>
      <c r="AC101" s="338">
        <f t="shared" si="60"/>
        <v>0</v>
      </c>
      <c r="AF101" s="138">
        <f t="shared" si="61"/>
        <v>0</v>
      </c>
      <c r="AG101" s="138">
        <f t="shared" si="62"/>
        <v>11</v>
      </c>
      <c r="AH101" s="138">
        <f t="shared" si="63"/>
        <v>0</v>
      </c>
      <c r="AI101" s="138">
        <f t="shared" si="75"/>
        <v>319</v>
      </c>
      <c r="AJ101" s="138">
        <f t="shared" si="64"/>
        <v>336</v>
      </c>
      <c r="AL101" s="136">
        <f t="shared" si="27"/>
        <v>3.2109999999999999</v>
      </c>
      <c r="AM101" s="258">
        <f t="shared" si="48"/>
        <v>0</v>
      </c>
      <c r="AN101" s="258">
        <f t="shared" si="28"/>
        <v>0.03</v>
      </c>
      <c r="AO101" s="258">
        <f t="shared" si="29"/>
        <v>0.04</v>
      </c>
      <c r="AP101" s="258">
        <f t="shared" si="30"/>
        <v>0</v>
      </c>
      <c r="AQ101" s="136">
        <f t="shared" si="65"/>
        <v>5.9999999999999995E-4</v>
      </c>
      <c r="AR101" s="137">
        <f t="shared" si="32"/>
        <v>4.0000000000000001E-3</v>
      </c>
      <c r="AS101" s="136">
        <f t="shared" si="76"/>
        <v>3.2409999999999997</v>
      </c>
      <c r="AT101" s="137">
        <f t="shared" si="66"/>
        <v>2.3274064967752799E-2</v>
      </c>
      <c r="AU101" s="137">
        <f t="shared" si="34"/>
        <v>0</v>
      </c>
      <c r="AV101" s="394">
        <f t="shared" si="77"/>
        <v>0</v>
      </c>
      <c r="AW101" s="137">
        <f t="shared" si="35"/>
        <v>0.54</v>
      </c>
      <c r="AX101" s="137">
        <f t="shared" si="36"/>
        <v>0.95</v>
      </c>
      <c r="AY101" s="137">
        <f t="shared" si="37"/>
        <v>0.85</v>
      </c>
      <c r="AZ101" s="137"/>
      <c r="BA101" s="264"/>
      <c r="BB101" s="258">
        <f t="shared" si="38"/>
        <v>0</v>
      </c>
      <c r="BC101" s="258">
        <f t="shared" si="67"/>
        <v>0</v>
      </c>
      <c r="BD101" s="137">
        <f t="shared" si="68"/>
        <v>0</v>
      </c>
      <c r="BE101" s="137">
        <f t="shared" si="68"/>
        <v>0</v>
      </c>
      <c r="BF101" s="137">
        <f>_xll.xSPRDOPT($BW101,$BV101,$CG101,0,$BY101,$BX101,$BZ101,$AJ101,1,4)*$CB101</f>
        <v>0</v>
      </c>
      <c r="BG101" s="137">
        <f>_xll.xSPRDOPT($BW101,$BV101,$CG101,0,$BY101,$BX101,$BZ101,$AJ101,1,3)*$CB101</f>
        <v>0</v>
      </c>
      <c r="BH101" s="137">
        <f>IF(OR(BF101&lt;&gt;0,BG101&lt;&gt;0),_xll.xSPRDOPT($BW101,$BV101,$CG101,0,$BY101,$BX101,$BZ101,$AJ101,1,12)*$CB101,0)</f>
        <v>0</v>
      </c>
      <c r="BI101" s="137">
        <f>_xll.xSPRDOPT($BW101,$BV101,$CG101,2*LN(1+CA101/2),$BY101,$BX101,$BZ101,$AJ101,1,9)</f>
        <v>-0.45187663113673437</v>
      </c>
      <c r="BJ101" s="137">
        <f>_xll.xSPRDOPT($BW101,$BV101,$CG101,0,$BY101,$BX101,$BZ101,$AJ101,1,6)*$CB101</f>
        <v>0</v>
      </c>
      <c r="BK101" s="137">
        <f>_xll.xSPRDOPT($BW101,$BV101,$CG101,0,$BY101,$BX101,$BZ101,$AJ101,1,5)*$CB101</f>
        <v>0</v>
      </c>
      <c r="BL101" s="137">
        <f>_xll.xSPRDOPT(BW101,BV101,CG101,0,BY101,BX101,BZ101,AJ101,1,2)*CB101</f>
        <v>0</v>
      </c>
      <c r="BM101" s="137">
        <f>_xll.xSPRDOPT(BW101,BV101,CG101,0,BY101,BX101,BZ101,AJ101,1,1)*CB101</f>
        <v>0</v>
      </c>
      <c r="BN101" s="137">
        <f>IF(AH101&lt;&gt;0,_xll.xSPRDOPT($BW101,$BV101,$CG101,2*LN(1+CA101/2),$BY101,$BX101,$BZ101,$AJ101,1,8)+(AJ101/365.25)*CH101/AH101,0)</f>
        <v>0</v>
      </c>
      <c r="BO101" s="137">
        <f>_xll.xSPRDOPT($BW101,$BV101,$CG101,0,$BY101,$BX101,$BZ101,$AJ101,1,0)</f>
        <v>0.92777993663970204</v>
      </c>
      <c r="BP101" s="137"/>
      <c r="BQ101" s="137"/>
      <c r="BR101" s="137"/>
      <c r="BS101" s="137"/>
      <c r="BV101" s="262">
        <v>3.2540160642570277</v>
      </c>
      <c r="BW101" s="136">
        <v>3.2509999999999999</v>
      </c>
      <c r="BX101" s="137">
        <v>0.54</v>
      </c>
      <c r="BY101" s="137">
        <v>0.54</v>
      </c>
      <c r="BZ101" s="137">
        <v>0</v>
      </c>
      <c r="CA101" s="137">
        <v>2.3274064967752799E-2</v>
      </c>
      <c r="CB101" s="137">
        <v>0</v>
      </c>
      <c r="CC101" s="258">
        <v>0</v>
      </c>
      <c r="CD101" s="258">
        <v>0.03</v>
      </c>
      <c r="CE101" s="258">
        <v>0.04</v>
      </c>
      <c r="CF101" s="258">
        <v>0</v>
      </c>
      <c r="CG101" s="258">
        <v>5.9999999999999995E-4</v>
      </c>
      <c r="CH101" s="258">
        <v>0</v>
      </c>
      <c r="CI101" s="258">
        <v>3.2109999999999999</v>
      </c>
      <c r="CJ101" s="258"/>
      <c r="CK101" s="258"/>
      <c r="CL101" s="258"/>
      <c r="CM101" s="258"/>
    </row>
    <row r="102" spans="1:91" x14ac:dyDescent="0.25">
      <c r="A102" s="723"/>
      <c r="B102" s="723"/>
      <c r="D102" s="31">
        <f t="shared" si="69"/>
        <v>37575</v>
      </c>
      <c r="F102" s="28">
        <f t="shared" si="53"/>
        <v>15600</v>
      </c>
      <c r="G102" s="28">
        <f t="shared" si="54"/>
        <v>0</v>
      </c>
      <c r="H102" s="52">
        <f t="shared" si="55"/>
        <v>3.2540160642570277</v>
      </c>
      <c r="I102" s="52">
        <f t="shared" si="56"/>
        <v>3.2509999999999999</v>
      </c>
      <c r="K102" s="52">
        <f t="shared" si="70"/>
        <v>0</v>
      </c>
      <c r="L102" s="135">
        <f t="shared" si="71"/>
        <v>0</v>
      </c>
      <c r="N102" s="131">
        <f t="shared" si="72"/>
        <v>0.54</v>
      </c>
      <c r="O102" s="131">
        <f t="shared" si="73"/>
        <v>0.54</v>
      </c>
      <c r="P102" s="55">
        <f t="shared" si="74"/>
        <v>0</v>
      </c>
      <c r="Q102" s="135">
        <f>_xll.xSPRDOPT(I102,H102,AQ102,0,O102,N102,P102,D102-$G$5,1,0)*AH102*AU102</f>
        <v>0</v>
      </c>
      <c r="R102" s="135"/>
      <c r="S102" s="181">
        <f>_xll.xSPRDOPT(I102,H102,AQ102,AT102,O102,N102,P102,D102-$G$5,1,2)*AF102*(F102/(1-AR102))*AH102</f>
        <v>0</v>
      </c>
      <c r="T102" s="181">
        <f>_xll.xSPRDOPT(I102,H102,AQ102,AT102,O102,N102,P102,D102-$G$5,1,1)*AF102*F102*AH102</f>
        <v>0</v>
      </c>
      <c r="U102" s="135"/>
      <c r="V102" s="146">
        <f t="shared" si="57"/>
        <v>0</v>
      </c>
      <c r="W102" s="146"/>
      <c r="X102" s="338">
        <f t="shared" si="58"/>
        <v>0</v>
      </c>
      <c r="Y102" s="338">
        <f t="shared" si="18"/>
        <v>0</v>
      </c>
      <c r="Z102" s="338">
        <f t="shared" si="19"/>
        <v>0</v>
      </c>
      <c r="AA102" s="338">
        <f t="shared" si="20"/>
        <v>0</v>
      </c>
      <c r="AB102" s="338">
        <f t="shared" si="59"/>
        <v>0</v>
      </c>
      <c r="AC102" s="338">
        <f t="shared" si="60"/>
        <v>0</v>
      </c>
      <c r="AF102" s="138">
        <f t="shared" si="61"/>
        <v>0</v>
      </c>
      <c r="AG102" s="138">
        <f t="shared" si="62"/>
        <v>11</v>
      </c>
      <c r="AH102" s="138">
        <f t="shared" si="63"/>
        <v>0</v>
      </c>
      <c r="AI102" s="138">
        <f t="shared" si="75"/>
        <v>319</v>
      </c>
      <c r="AJ102" s="138">
        <f t="shared" si="64"/>
        <v>336</v>
      </c>
      <c r="AL102" s="136">
        <f t="shared" si="27"/>
        <v>3.2109999999999999</v>
      </c>
      <c r="AM102" s="258">
        <f t="shared" si="48"/>
        <v>0</v>
      </c>
      <c r="AN102" s="258">
        <f t="shared" si="28"/>
        <v>0.03</v>
      </c>
      <c r="AO102" s="258">
        <f t="shared" si="29"/>
        <v>0.04</v>
      </c>
      <c r="AP102" s="258">
        <f t="shared" si="30"/>
        <v>0</v>
      </c>
      <c r="AQ102" s="136">
        <f t="shared" si="65"/>
        <v>5.9999999999999995E-4</v>
      </c>
      <c r="AR102" s="137">
        <f t="shared" si="32"/>
        <v>4.0000000000000001E-3</v>
      </c>
      <c r="AS102" s="136">
        <f t="shared" si="76"/>
        <v>3.2409999999999997</v>
      </c>
      <c r="AT102" s="137">
        <f t="shared" si="66"/>
        <v>2.3274064967752799E-2</v>
      </c>
      <c r="AU102" s="137">
        <f t="shared" si="34"/>
        <v>0</v>
      </c>
      <c r="AV102" s="394">
        <f t="shared" si="77"/>
        <v>0</v>
      </c>
      <c r="AW102" s="137">
        <f t="shared" si="35"/>
        <v>0.54</v>
      </c>
      <c r="AX102" s="137">
        <f t="shared" si="36"/>
        <v>0.95</v>
      </c>
      <c r="AY102" s="137">
        <f t="shared" si="37"/>
        <v>0.85</v>
      </c>
      <c r="AZ102" s="137"/>
      <c r="BA102" s="264"/>
      <c r="BB102" s="258">
        <f t="shared" si="38"/>
        <v>0</v>
      </c>
      <c r="BC102" s="258">
        <f t="shared" si="67"/>
        <v>0</v>
      </c>
      <c r="BD102" s="137">
        <f t="shared" si="68"/>
        <v>0</v>
      </c>
      <c r="BE102" s="137">
        <f t="shared" si="68"/>
        <v>0</v>
      </c>
      <c r="BF102" s="137">
        <f>_xll.xSPRDOPT($BW102,$BV102,$CG102,0,$BY102,$BX102,$BZ102,$AJ102,1,4)*$CB102</f>
        <v>0</v>
      </c>
      <c r="BG102" s="137">
        <f>_xll.xSPRDOPT($BW102,$BV102,$CG102,0,$BY102,$BX102,$BZ102,$AJ102,1,3)*$CB102</f>
        <v>0</v>
      </c>
      <c r="BH102" s="137">
        <f>IF(OR(BF102&lt;&gt;0,BG102&lt;&gt;0),_xll.xSPRDOPT($BW102,$BV102,$CG102,0,$BY102,$BX102,$BZ102,$AJ102,1,12)*$CB102,0)</f>
        <v>0</v>
      </c>
      <c r="BI102" s="137">
        <f>_xll.xSPRDOPT($BW102,$BV102,$CG102,2*LN(1+CA102/2),$BY102,$BX102,$BZ102,$AJ102,1,9)</f>
        <v>-0.45187663113673437</v>
      </c>
      <c r="BJ102" s="137">
        <f>_xll.xSPRDOPT($BW102,$BV102,$CG102,0,$BY102,$BX102,$BZ102,$AJ102,1,6)*$CB102</f>
        <v>0</v>
      </c>
      <c r="BK102" s="137">
        <f>_xll.xSPRDOPT($BW102,$BV102,$CG102,0,$BY102,$BX102,$BZ102,$AJ102,1,5)*$CB102</f>
        <v>0</v>
      </c>
      <c r="BL102" s="137">
        <f>_xll.xSPRDOPT(BW102,BV102,CG102,0,BY102,BX102,BZ102,AJ102,1,2)*CB102</f>
        <v>0</v>
      </c>
      <c r="BM102" s="137">
        <f>_xll.xSPRDOPT(BW102,BV102,CG102,0,BY102,BX102,BZ102,AJ102,1,1)*CB102</f>
        <v>0</v>
      </c>
      <c r="BN102" s="137">
        <f>IF(AH102&lt;&gt;0,_xll.xSPRDOPT($BW102,$BV102,$CG102,2*LN(1+CA102/2),$BY102,$BX102,$BZ102,$AJ102,1,8)+(AJ102/365.25)*CH102/AH102,0)</f>
        <v>0</v>
      </c>
      <c r="BO102" s="137">
        <f>_xll.xSPRDOPT($BW102,$BV102,$CG102,0,$BY102,$BX102,$BZ102,$AJ102,1,0)</f>
        <v>0.92777993663970204</v>
      </c>
      <c r="BP102" s="137"/>
      <c r="BQ102" s="137"/>
      <c r="BR102" s="137"/>
      <c r="BS102" s="137"/>
      <c r="BV102" s="262">
        <v>3.2540160642570277</v>
      </c>
      <c r="BW102" s="136">
        <v>3.2509999999999999</v>
      </c>
      <c r="BX102" s="137">
        <v>0.54</v>
      </c>
      <c r="BY102" s="137">
        <v>0.54</v>
      </c>
      <c r="BZ102" s="137">
        <v>0</v>
      </c>
      <c r="CA102" s="137">
        <v>2.3274064967752799E-2</v>
      </c>
      <c r="CB102" s="137">
        <v>0</v>
      </c>
      <c r="CC102" s="258">
        <v>0</v>
      </c>
      <c r="CD102" s="258">
        <v>0.03</v>
      </c>
      <c r="CE102" s="258">
        <v>0.04</v>
      </c>
      <c r="CF102" s="258">
        <v>0</v>
      </c>
      <c r="CG102" s="258">
        <v>5.9999999999999995E-4</v>
      </c>
      <c r="CH102" s="258">
        <v>0</v>
      </c>
      <c r="CI102" s="258">
        <v>3.2109999999999999</v>
      </c>
      <c r="CJ102" s="258"/>
      <c r="CK102" s="258"/>
      <c r="CL102" s="258"/>
      <c r="CM102" s="258"/>
    </row>
    <row r="103" spans="1:91" x14ac:dyDescent="0.25">
      <c r="A103" s="723"/>
      <c r="B103" s="723"/>
      <c r="D103" s="31">
        <f t="shared" si="69"/>
        <v>37575</v>
      </c>
      <c r="F103" s="28">
        <f t="shared" si="53"/>
        <v>15600</v>
      </c>
      <c r="G103" s="28">
        <f t="shared" si="54"/>
        <v>0</v>
      </c>
      <c r="H103" s="52">
        <f t="shared" si="55"/>
        <v>3.2540160642570277</v>
      </c>
      <c r="I103" s="52">
        <f t="shared" si="56"/>
        <v>3.2509999999999999</v>
      </c>
      <c r="K103" s="52">
        <f t="shared" si="70"/>
        <v>0</v>
      </c>
      <c r="L103" s="135">
        <f t="shared" si="71"/>
        <v>0</v>
      </c>
      <c r="N103" s="131">
        <f t="shared" si="72"/>
        <v>0.54</v>
      </c>
      <c r="O103" s="131">
        <f t="shared" si="73"/>
        <v>0.54</v>
      </c>
      <c r="P103" s="55">
        <f t="shared" si="74"/>
        <v>0</v>
      </c>
      <c r="Q103" s="135">
        <f>_xll.xSPRDOPT(I103,H103,AQ103,0,O103,N103,P103,D103-$G$5,1,0)*AH103*AU103</f>
        <v>0</v>
      </c>
      <c r="R103" s="135"/>
      <c r="S103" s="181">
        <f>_xll.xSPRDOPT(I103,H103,AQ103,AT103,O103,N103,P103,D103-$G$5,1,2)*AF103*(F103/(1-AR103))*AH103</f>
        <v>0</v>
      </c>
      <c r="T103" s="181">
        <f>_xll.xSPRDOPT(I103,H103,AQ103,AT103,O103,N103,P103,D103-$G$5,1,1)*AF103*F103*AH103</f>
        <v>0</v>
      </c>
      <c r="U103" s="135"/>
      <c r="V103" s="146">
        <f t="shared" si="57"/>
        <v>0</v>
      </c>
      <c r="W103" s="146"/>
      <c r="X103" s="338">
        <f t="shared" si="58"/>
        <v>0</v>
      </c>
      <c r="Y103" s="338">
        <f t="shared" si="18"/>
        <v>0</v>
      </c>
      <c r="Z103" s="338">
        <f t="shared" si="19"/>
        <v>0</v>
      </c>
      <c r="AA103" s="338">
        <f t="shared" si="20"/>
        <v>0</v>
      </c>
      <c r="AB103" s="338">
        <f t="shared" si="59"/>
        <v>0</v>
      </c>
      <c r="AC103" s="338">
        <f t="shared" si="60"/>
        <v>0</v>
      </c>
      <c r="AF103" s="138">
        <f t="shared" si="61"/>
        <v>0</v>
      </c>
      <c r="AG103" s="138">
        <f t="shared" si="62"/>
        <v>11</v>
      </c>
      <c r="AH103" s="138">
        <f t="shared" si="63"/>
        <v>0</v>
      </c>
      <c r="AI103" s="138">
        <f t="shared" si="75"/>
        <v>319</v>
      </c>
      <c r="AJ103" s="138">
        <f t="shared" si="64"/>
        <v>336</v>
      </c>
      <c r="AL103" s="136">
        <f t="shared" si="27"/>
        <v>3.2109999999999999</v>
      </c>
      <c r="AM103" s="258">
        <f t="shared" si="48"/>
        <v>0</v>
      </c>
      <c r="AN103" s="258">
        <f t="shared" si="28"/>
        <v>0.03</v>
      </c>
      <c r="AO103" s="258">
        <f t="shared" si="29"/>
        <v>0.04</v>
      </c>
      <c r="AP103" s="258">
        <f t="shared" si="30"/>
        <v>0</v>
      </c>
      <c r="AQ103" s="136">
        <f t="shared" si="65"/>
        <v>5.9999999999999995E-4</v>
      </c>
      <c r="AR103" s="137">
        <f t="shared" si="32"/>
        <v>4.0000000000000001E-3</v>
      </c>
      <c r="AS103" s="136">
        <f t="shared" si="76"/>
        <v>3.2409999999999997</v>
      </c>
      <c r="AT103" s="137">
        <f t="shared" si="66"/>
        <v>2.3274064967752799E-2</v>
      </c>
      <c r="AU103" s="137">
        <f t="shared" si="34"/>
        <v>0</v>
      </c>
      <c r="AV103" s="394">
        <f t="shared" si="77"/>
        <v>0</v>
      </c>
      <c r="AW103" s="137">
        <f t="shared" si="35"/>
        <v>0.54</v>
      </c>
      <c r="AX103" s="137">
        <f t="shared" si="36"/>
        <v>0.95</v>
      </c>
      <c r="AY103" s="137">
        <f t="shared" si="37"/>
        <v>0.85</v>
      </c>
      <c r="AZ103" s="137"/>
      <c r="BA103" s="264"/>
      <c r="BB103" s="258">
        <f t="shared" si="38"/>
        <v>0</v>
      </c>
      <c r="BC103" s="258">
        <f t="shared" si="67"/>
        <v>0</v>
      </c>
      <c r="BD103" s="137">
        <f t="shared" si="68"/>
        <v>0</v>
      </c>
      <c r="BE103" s="137">
        <f t="shared" si="68"/>
        <v>0</v>
      </c>
      <c r="BF103" s="137">
        <f>_xll.xSPRDOPT($BW103,$BV103,$CG103,0,$BY103,$BX103,$BZ103,$AJ103,1,4)*$CB103</f>
        <v>0</v>
      </c>
      <c r="BG103" s="137">
        <f>_xll.xSPRDOPT($BW103,$BV103,$CG103,0,$BY103,$BX103,$BZ103,$AJ103,1,3)*$CB103</f>
        <v>0</v>
      </c>
      <c r="BH103" s="137">
        <f>IF(OR(BF103&lt;&gt;0,BG103&lt;&gt;0),_xll.xSPRDOPT($BW103,$BV103,$CG103,0,$BY103,$BX103,$BZ103,$AJ103,1,12)*$CB103,0)</f>
        <v>0</v>
      </c>
      <c r="BI103" s="137">
        <f>_xll.xSPRDOPT($BW103,$BV103,$CG103,2*LN(1+CA103/2),$BY103,$BX103,$BZ103,$AJ103,1,9)</f>
        <v>-0.45187663113673437</v>
      </c>
      <c r="BJ103" s="137">
        <f>_xll.xSPRDOPT($BW103,$BV103,$CG103,0,$BY103,$BX103,$BZ103,$AJ103,1,6)*$CB103</f>
        <v>0</v>
      </c>
      <c r="BK103" s="137">
        <f>_xll.xSPRDOPT($BW103,$BV103,$CG103,0,$BY103,$BX103,$BZ103,$AJ103,1,5)*$CB103</f>
        <v>0</v>
      </c>
      <c r="BL103" s="137">
        <f>_xll.xSPRDOPT(BW103,BV103,CG103,0,BY103,BX103,BZ103,AJ103,1,2)*CB103</f>
        <v>0</v>
      </c>
      <c r="BM103" s="137">
        <f>_xll.xSPRDOPT(BW103,BV103,CG103,0,BY103,BX103,BZ103,AJ103,1,1)*CB103</f>
        <v>0</v>
      </c>
      <c r="BN103" s="137">
        <f>IF(AH103&lt;&gt;0,_xll.xSPRDOPT($BW103,$BV103,$CG103,2*LN(1+CA103/2),$BY103,$BX103,$BZ103,$AJ103,1,8)+(AJ103/365.25)*CH103/AH103,0)</f>
        <v>0</v>
      </c>
      <c r="BO103" s="137">
        <f>_xll.xSPRDOPT($BW103,$BV103,$CG103,0,$BY103,$BX103,$BZ103,$AJ103,1,0)</f>
        <v>0.92777993663970204</v>
      </c>
      <c r="BP103" s="137"/>
      <c r="BQ103" s="137"/>
      <c r="BR103" s="137"/>
      <c r="BS103" s="137"/>
      <c r="BV103" s="262">
        <v>3.2540160642570277</v>
      </c>
      <c r="BW103" s="136">
        <v>3.2509999999999999</v>
      </c>
      <c r="BX103" s="137">
        <v>0.54</v>
      </c>
      <c r="BY103" s="137">
        <v>0.54</v>
      </c>
      <c r="BZ103" s="137">
        <v>0</v>
      </c>
      <c r="CA103" s="137">
        <v>2.3274064967752799E-2</v>
      </c>
      <c r="CB103" s="137">
        <v>0</v>
      </c>
      <c r="CC103" s="258">
        <v>0</v>
      </c>
      <c r="CD103" s="258">
        <v>0.03</v>
      </c>
      <c r="CE103" s="258">
        <v>0.04</v>
      </c>
      <c r="CF103" s="258">
        <v>0</v>
      </c>
      <c r="CG103" s="258">
        <v>5.9999999999999995E-4</v>
      </c>
      <c r="CH103" s="258">
        <v>0</v>
      </c>
      <c r="CI103" s="258">
        <v>3.2109999999999999</v>
      </c>
      <c r="CJ103" s="258"/>
      <c r="CK103" s="258"/>
      <c r="CL103" s="258"/>
      <c r="CM103" s="258"/>
    </row>
    <row r="104" spans="1:91" x14ac:dyDescent="0.25">
      <c r="A104" s="723"/>
      <c r="B104" s="723"/>
      <c r="D104" s="31">
        <f t="shared" si="69"/>
        <v>37575</v>
      </c>
      <c r="F104" s="28">
        <f t="shared" si="53"/>
        <v>15600</v>
      </c>
      <c r="G104" s="28">
        <f t="shared" si="54"/>
        <v>0</v>
      </c>
      <c r="H104" s="52">
        <f t="shared" si="55"/>
        <v>3.2540160642570277</v>
      </c>
      <c r="I104" s="52">
        <f t="shared" si="56"/>
        <v>3.2509999999999999</v>
      </c>
      <c r="K104" s="52">
        <f t="shared" si="70"/>
        <v>0</v>
      </c>
      <c r="L104" s="135">
        <f t="shared" si="71"/>
        <v>0</v>
      </c>
      <c r="N104" s="131">
        <f t="shared" si="72"/>
        <v>0.54</v>
      </c>
      <c r="O104" s="131">
        <f t="shared" si="73"/>
        <v>0.54</v>
      </c>
      <c r="P104" s="55">
        <f t="shared" si="74"/>
        <v>0</v>
      </c>
      <c r="Q104" s="135">
        <f>_xll.xSPRDOPT(I104,H104,AQ104,0,O104,N104,P104,D104-$G$5,1,0)*AH104*AU104</f>
        <v>0</v>
      </c>
      <c r="R104" s="135"/>
      <c r="S104" s="181">
        <f>_xll.xSPRDOPT(I104,H104,AQ104,AT104,O104,N104,P104,D104-$G$5,1,2)*AF104*(F104/(1-AR104))*AH104</f>
        <v>0</v>
      </c>
      <c r="T104" s="181">
        <f>_xll.xSPRDOPT(I104,H104,AQ104,AT104,O104,N104,P104,D104-$G$5,1,1)*AF104*F104*AH104</f>
        <v>0</v>
      </c>
      <c r="U104" s="135"/>
      <c r="V104" s="146">
        <f t="shared" si="57"/>
        <v>0</v>
      </c>
      <c r="W104" s="146"/>
      <c r="X104" s="338">
        <f t="shared" si="58"/>
        <v>0</v>
      </c>
      <c r="Y104" s="338">
        <f t="shared" si="18"/>
        <v>0</v>
      </c>
      <c r="Z104" s="338">
        <f t="shared" si="19"/>
        <v>0</v>
      </c>
      <c r="AA104" s="338">
        <f t="shared" si="20"/>
        <v>0</v>
      </c>
      <c r="AB104" s="338">
        <f t="shared" si="59"/>
        <v>0</v>
      </c>
      <c r="AC104" s="338">
        <f t="shared" si="60"/>
        <v>0</v>
      </c>
      <c r="AF104" s="138">
        <f t="shared" si="61"/>
        <v>0</v>
      </c>
      <c r="AG104" s="138">
        <f t="shared" si="62"/>
        <v>11</v>
      </c>
      <c r="AH104" s="138">
        <f t="shared" si="63"/>
        <v>0</v>
      </c>
      <c r="AI104" s="138">
        <f t="shared" si="75"/>
        <v>319</v>
      </c>
      <c r="AJ104" s="138">
        <f t="shared" si="64"/>
        <v>336</v>
      </c>
      <c r="AL104" s="136">
        <f t="shared" si="27"/>
        <v>3.2109999999999999</v>
      </c>
      <c r="AM104" s="258">
        <f t="shared" si="48"/>
        <v>0</v>
      </c>
      <c r="AN104" s="258">
        <f t="shared" si="28"/>
        <v>0.03</v>
      </c>
      <c r="AO104" s="258">
        <f t="shared" si="29"/>
        <v>0.04</v>
      </c>
      <c r="AP104" s="258">
        <f t="shared" si="30"/>
        <v>0</v>
      </c>
      <c r="AQ104" s="136">
        <f t="shared" si="65"/>
        <v>5.9999999999999995E-4</v>
      </c>
      <c r="AR104" s="137">
        <f t="shared" si="32"/>
        <v>4.0000000000000001E-3</v>
      </c>
      <c r="AS104" s="136">
        <f t="shared" si="76"/>
        <v>3.2409999999999997</v>
      </c>
      <c r="AT104" s="137">
        <f t="shared" si="66"/>
        <v>2.3274064967752799E-2</v>
      </c>
      <c r="AU104" s="137">
        <f t="shared" si="34"/>
        <v>0</v>
      </c>
      <c r="AV104" s="394">
        <f t="shared" si="77"/>
        <v>0</v>
      </c>
      <c r="AW104" s="137">
        <f t="shared" si="35"/>
        <v>0.54</v>
      </c>
      <c r="AX104" s="137">
        <f t="shared" si="36"/>
        <v>0.95</v>
      </c>
      <c r="AY104" s="137">
        <f t="shared" si="37"/>
        <v>0.85</v>
      </c>
      <c r="AZ104" s="137"/>
      <c r="BA104" s="264"/>
      <c r="BB104" s="258">
        <f t="shared" si="38"/>
        <v>0</v>
      </c>
      <c r="BC104" s="258">
        <f t="shared" si="67"/>
        <v>0</v>
      </c>
      <c r="BD104" s="137">
        <f t="shared" si="68"/>
        <v>0</v>
      </c>
      <c r="BE104" s="137">
        <f t="shared" si="68"/>
        <v>0</v>
      </c>
      <c r="BF104" s="137">
        <f>_xll.xSPRDOPT($BW104,$BV104,$CG104,0,$BY104,$BX104,$BZ104,$AJ104,1,4)*$CB104</f>
        <v>0</v>
      </c>
      <c r="BG104" s="137">
        <f>_xll.xSPRDOPT($BW104,$BV104,$CG104,0,$BY104,$BX104,$BZ104,$AJ104,1,3)*$CB104</f>
        <v>0</v>
      </c>
      <c r="BH104" s="137">
        <f>IF(OR(BF104&lt;&gt;0,BG104&lt;&gt;0),_xll.xSPRDOPT($BW104,$BV104,$CG104,0,$BY104,$BX104,$BZ104,$AJ104,1,12)*$CB104,0)</f>
        <v>0</v>
      </c>
      <c r="BI104" s="137">
        <f>_xll.xSPRDOPT($BW104,$BV104,$CG104,2*LN(1+CA104/2),$BY104,$BX104,$BZ104,$AJ104,1,9)</f>
        <v>-0.45187663113673437</v>
      </c>
      <c r="BJ104" s="137">
        <f>_xll.xSPRDOPT($BW104,$BV104,$CG104,0,$BY104,$BX104,$BZ104,$AJ104,1,6)*$CB104</f>
        <v>0</v>
      </c>
      <c r="BK104" s="137">
        <f>_xll.xSPRDOPT($BW104,$BV104,$CG104,0,$BY104,$BX104,$BZ104,$AJ104,1,5)*$CB104</f>
        <v>0</v>
      </c>
      <c r="BL104" s="137">
        <f>_xll.xSPRDOPT(BW104,BV104,CG104,0,BY104,BX104,BZ104,AJ104,1,2)*CB104</f>
        <v>0</v>
      </c>
      <c r="BM104" s="137">
        <f>_xll.xSPRDOPT(BW104,BV104,CG104,0,BY104,BX104,BZ104,AJ104,1,1)*CB104</f>
        <v>0</v>
      </c>
      <c r="BN104" s="137">
        <f>IF(AH104&lt;&gt;0,_xll.xSPRDOPT($BW104,$BV104,$CG104,2*LN(1+CA104/2),$BY104,$BX104,$BZ104,$AJ104,1,8)+(AJ104/365.25)*CH104/AH104,0)</f>
        <v>0</v>
      </c>
      <c r="BO104" s="137">
        <f>_xll.xSPRDOPT($BW104,$BV104,$CG104,0,$BY104,$BX104,$BZ104,$AJ104,1,0)</f>
        <v>0.92777993663970204</v>
      </c>
      <c r="BP104" s="137"/>
      <c r="BQ104" s="137"/>
      <c r="BR104" s="137"/>
      <c r="BS104" s="137"/>
      <c r="BV104" s="262">
        <v>3.2540160642570277</v>
      </c>
      <c r="BW104" s="136">
        <v>3.2509999999999999</v>
      </c>
      <c r="BX104" s="137">
        <v>0.54</v>
      </c>
      <c r="BY104" s="137">
        <v>0.54</v>
      </c>
      <c r="BZ104" s="137">
        <v>0</v>
      </c>
      <c r="CA104" s="137">
        <v>2.3274064967752799E-2</v>
      </c>
      <c r="CB104" s="137">
        <v>0</v>
      </c>
      <c r="CC104" s="258">
        <v>0</v>
      </c>
      <c r="CD104" s="258">
        <v>0.03</v>
      </c>
      <c r="CE104" s="258">
        <v>0.04</v>
      </c>
      <c r="CF104" s="258">
        <v>0</v>
      </c>
      <c r="CG104" s="258">
        <v>5.9999999999999995E-4</v>
      </c>
      <c r="CH104" s="258">
        <v>0</v>
      </c>
      <c r="CI104" s="258">
        <v>3.2109999999999999</v>
      </c>
      <c r="CJ104" s="258"/>
      <c r="CK104" s="258"/>
      <c r="CL104" s="258"/>
      <c r="CM104" s="258"/>
    </row>
    <row r="105" spans="1:91" x14ac:dyDescent="0.25">
      <c r="A105" s="723"/>
      <c r="B105" s="723"/>
      <c r="D105" s="31">
        <f t="shared" si="69"/>
        <v>37575</v>
      </c>
      <c r="F105" s="28">
        <f t="shared" si="53"/>
        <v>15600</v>
      </c>
      <c r="G105" s="28">
        <f t="shared" si="54"/>
        <v>0</v>
      </c>
      <c r="H105" s="52">
        <f t="shared" si="55"/>
        <v>3.2540160642570277</v>
      </c>
      <c r="I105" s="52">
        <f t="shared" si="56"/>
        <v>3.2509999999999999</v>
      </c>
      <c r="K105" s="52">
        <f t="shared" si="70"/>
        <v>0</v>
      </c>
      <c r="L105" s="135">
        <f t="shared" si="71"/>
        <v>0</v>
      </c>
      <c r="N105" s="131">
        <f t="shared" si="72"/>
        <v>0.54</v>
      </c>
      <c r="O105" s="131">
        <f t="shared" si="73"/>
        <v>0.54</v>
      </c>
      <c r="P105" s="55">
        <f t="shared" si="74"/>
        <v>0</v>
      </c>
      <c r="Q105" s="135">
        <f>_xll.xSPRDOPT(I105,H105,AQ105,0,O105,N105,P105,D105-$G$5,1,0)*AH105*AU105</f>
        <v>0</v>
      </c>
      <c r="R105" s="135"/>
      <c r="S105" s="181">
        <f>_xll.xSPRDOPT(I105,H105,AQ105,AT105,O105,N105,P105,D105-$G$5,1,2)*AF105*(F105/(1-AR105))*AH105</f>
        <v>0</v>
      </c>
      <c r="T105" s="181">
        <f>_xll.xSPRDOPT(I105,H105,AQ105,AT105,O105,N105,P105,D105-$G$5,1,1)*AF105*F105*AH105</f>
        <v>0</v>
      </c>
      <c r="U105" s="135"/>
      <c r="V105" s="146">
        <f t="shared" si="57"/>
        <v>0</v>
      </c>
      <c r="W105" s="146"/>
      <c r="X105" s="338">
        <f t="shared" si="58"/>
        <v>0</v>
      </c>
      <c r="Y105" s="338">
        <f t="shared" si="18"/>
        <v>0</v>
      </c>
      <c r="Z105" s="338">
        <f t="shared" si="19"/>
        <v>0</v>
      </c>
      <c r="AA105" s="338">
        <f t="shared" si="20"/>
        <v>0</v>
      </c>
      <c r="AB105" s="338">
        <f t="shared" si="59"/>
        <v>0</v>
      </c>
      <c r="AC105" s="338">
        <f t="shared" si="60"/>
        <v>0</v>
      </c>
      <c r="AF105" s="138">
        <f t="shared" si="61"/>
        <v>0</v>
      </c>
      <c r="AG105" s="138">
        <f t="shared" si="62"/>
        <v>11</v>
      </c>
      <c r="AH105" s="138">
        <f t="shared" si="63"/>
        <v>0</v>
      </c>
      <c r="AI105" s="138">
        <f t="shared" si="75"/>
        <v>319</v>
      </c>
      <c r="AJ105" s="138">
        <f t="shared" si="64"/>
        <v>336</v>
      </c>
      <c r="AL105" s="136">
        <f t="shared" si="27"/>
        <v>3.2109999999999999</v>
      </c>
      <c r="AM105" s="258">
        <f t="shared" si="48"/>
        <v>0</v>
      </c>
      <c r="AN105" s="258">
        <f t="shared" si="28"/>
        <v>0.03</v>
      </c>
      <c r="AO105" s="258">
        <f t="shared" si="29"/>
        <v>0.04</v>
      </c>
      <c r="AP105" s="258">
        <f t="shared" si="30"/>
        <v>0</v>
      </c>
      <c r="AQ105" s="136">
        <f t="shared" si="65"/>
        <v>5.9999999999999995E-4</v>
      </c>
      <c r="AR105" s="137">
        <f t="shared" si="32"/>
        <v>4.0000000000000001E-3</v>
      </c>
      <c r="AS105" s="136">
        <f t="shared" si="76"/>
        <v>3.2409999999999997</v>
      </c>
      <c r="AT105" s="137">
        <f t="shared" si="66"/>
        <v>2.3274064967752799E-2</v>
      </c>
      <c r="AU105" s="137">
        <f t="shared" si="34"/>
        <v>0</v>
      </c>
      <c r="AV105" s="394">
        <f t="shared" si="77"/>
        <v>0</v>
      </c>
      <c r="AW105" s="137">
        <f t="shared" si="35"/>
        <v>0.54</v>
      </c>
      <c r="AX105" s="137">
        <f t="shared" si="36"/>
        <v>0.95</v>
      </c>
      <c r="AY105" s="137">
        <f t="shared" si="37"/>
        <v>0.85</v>
      </c>
      <c r="AZ105" s="137"/>
      <c r="BA105" s="264"/>
      <c r="BB105" s="258">
        <f t="shared" si="38"/>
        <v>0</v>
      </c>
      <c r="BC105" s="258">
        <f t="shared" si="67"/>
        <v>0</v>
      </c>
      <c r="BD105" s="137">
        <f t="shared" si="68"/>
        <v>0</v>
      </c>
      <c r="BE105" s="137">
        <f t="shared" si="68"/>
        <v>0</v>
      </c>
      <c r="BF105" s="137">
        <f>_xll.xSPRDOPT($BW105,$BV105,$CG105,0,$BY105,$BX105,$BZ105,$AJ105,1,4)*$CB105</f>
        <v>0</v>
      </c>
      <c r="BG105" s="137">
        <f>_xll.xSPRDOPT($BW105,$BV105,$CG105,0,$BY105,$BX105,$BZ105,$AJ105,1,3)*$CB105</f>
        <v>0</v>
      </c>
      <c r="BH105" s="137">
        <f>IF(OR(BF105&lt;&gt;0,BG105&lt;&gt;0),_xll.xSPRDOPT($BW105,$BV105,$CG105,0,$BY105,$BX105,$BZ105,$AJ105,1,12)*$CB105,0)</f>
        <v>0</v>
      </c>
      <c r="BI105" s="137">
        <f>_xll.xSPRDOPT($BW105,$BV105,$CG105,2*LN(1+CA105/2),$BY105,$BX105,$BZ105,$AJ105,1,9)</f>
        <v>-0.45187663113673437</v>
      </c>
      <c r="BJ105" s="137">
        <f>_xll.xSPRDOPT($BW105,$BV105,$CG105,0,$BY105,$BX105,$BZ105,$AJ105,1,6)*$CB105</f>
        <v>0</v>
      </c>
      <c r="BK105" s="137">
        <f>_xll.xSPRDOPT($BW105,$BV105,$CG105,0,$BY105,$BX105,$BZ105,$AJ105,1,5)*$CB105</f>
        <v>0</v>
      </c>
      <c r="BL105" s="137">
        <f>_xll.xSPRDOPT(BW105,BV105,CG105,0,BY105,BX105,BZ105,AJ105,1,2)*CB105</f>
        <v>0</v>
      </c>
      <c r="BM105" s="137">
        <f>_xll.xSPRDOPT(BW105,BV105,CG105,0,BY105,BX105,BZ105,AJ105,1,1)*CB105</f>
        <v>0</v>
      </c>
      <c r="BN105" s="137">
        <f>IF(AH105&lt;&gt;0,_xll.xSPRDOPT($BW105,$BV105,$CG105,2*LN(1+CA105/2),$BY105,$BX105,$BZ105,$AJ105,1,8)+(AJ105/365.25)*CH105/AH105,0)</f>
        <v>0</v>
      </c>
      <c r="BO105" s="137">
        <f>_xll.xSPRDOPT($BW105,$BV105,$CG105,0,$BY105,$BX105,$BZ105,$AJ105,1,0)</f>
        <v>0.92777993663970204</v>
      </c>
      <c r="BP105" s="137"/>
      <c r="BQ105" s="137"/>
      <c r="BR105" s="137"/>
      <c r="BS105" s="137"/>
      <c r="BV105" s="262">
        <v>3.2540160642570277</v>
      </c>
      <c r="BW105" s="136">
        <v>3.2509999999999999</v>
      </c>
      <c r="BX105" s="137">
        <v>0.54</v>
      </c>
      <c r="BY105" s="137">
        <v>0.54</v>
      </c>
      <c r="BZ105" s="137">
        <v>0</v>
      </c>
      <c r="CA105" s="137">
        <v>2.3274064967752799E-2</v>
      </c>
      <c r="CB105" s="137">
        <v>0</v>
      </c>
      <c r="CC105" s="258">
        <v>0</v>
      </c>
      <c r="CD105" s="258">
        <v>0.03</v>
      </c>
      <c r="CE105" s="258">
        <v>0.04</v>
      </c>
      <c r="CF105" s="258">
        <v>0</v>
      </c>
      <c r="CG105" s="258">
        <v>5.9999999999999995E-4</v>
      </c>
      <c r="CH105" s="258">
        <v>0</v>
      </c>
      <c r="CI105" s="258">
        <v>3.2109999999999999</v>
      </c>
      <c r="CJ105" s="258"/>
      <c r="CK105" s="258"/>
      <c r="CL105" s="258"/>
      <c r="CM105" s="258"/>
    </row>
    <row r="106" spans="1:91" x14ac:dyDescent="0.25">
      <c r="A106" s="723"/>
      <c r="B106" s="723"/>
      <c r="D106" s="31">
        <f t="shared" si="69"/>
        <v>37575</v>
      </c>
      <c r="F106" s="28">
        <f t="shared" si="53"/>
        <v>15600</v>
      </c>
      <c r="G106" s="28">
        <f t="shared" si="54"/>
        <v>0</v>
      </c>
      <c r="H106" s="52">
        <f t="shared" si="55"/>
        <v>3.2540160642570277</v>
      </c>
      <c r="I106" s="52">
        <f t="shared" si="56"/>
        <v>3.2509999999999999</v>
      </c>
      <c r="K106" s="52">
        <f t="shared" si="70"/>
        <v>0</v>
      </c>
      <c r="L106" s="135">
        <f t="shared" si="71"/>
        <v>0</v>
      </c>
      <c r="N106" s="131">
        <f t="shared" si="72"/>
        <v>0.54</v>
      </c>
      <c r="O106" s="131">
        <f t="shared" si="73"/>
        <v>0.54</v>
      </c>
      <c r="P106" s="55">
        <f t="shared" si="74"/>
        <v>0</v>
      </c>
      <c r="Q106" s="135">
        <f>_xll.xSPRDOPT(I106,H106,AQ106,0,O106,N106,P106,D106-$G$5,1,0)*AH106*AU106</f>
        <v>0</v>
      </c>
      <c r="R106" s="135"/>
      <c r="S106" s="181">
        <f>_xll.xSPRDOPT(I106,H106,AQ106,AT106,O106,N106,P106,D106-$G$5,1,2)*AF106*(F106/(1-AR106))*AH106</f>
        <v>0</v>
      </c>
      <c r="T106" s="181">
        <f>_xll.xSPRDOPT(I106,H106,AQ106,AT106,O106,N106,P106,D106-$G$5,1,1)*AF106*F106*AH106</f>
        <v>0</v>
      </c>
      <c r="U106" s="135"/>
      <c r="V106" s="146">
        <f t="shared" si="57"/>
        <v>0</v>
      </c>
      <c r="W106" s="146"/>
      <c r="X106" s="338">
        <f t="shared" si="58"/>
        <v>0</v>
      </c>
      <c r="Y106" s="338">
        <f t="shared" si="18"/>
        <v>0</v>
      </c>
      <c r="Z106" s="338">
        <f t="shared" si="19"/>
        <v>0</v>
      </c>
      <c r="AA106" s="338">
        <f t="shared" si="20"/>
        <v>0</v>
      </c>
      <c r="AB106" s="338">
        <f t="shared" si="59"/>
        <v>0</v>
      </c>
      <c r="AC106" s="338">
        <f t="shared" si="60"/>
        <v>0</v>
      </c>
      <c r="AF106" s="138">
        <f t="shared" si="61"/>
        <v>0</v>
      </c>
      <c r="AG106" s="138">
        <f t="shared" si="62"/>
        <v>11</v>
      </c>
      <c r="AH106" s="138">
        <f t="shared" si="63"/>
        <v>0</v>
      </c>
      <c r="AI106" s="138">
        <f t="shared" si="75"/>
        <v>319</v>
      </c>
      <c r="AJ106" s="138">
        <f t="shared" si="64"/>
        <v>336</v>
      </c>
      <c r="AL106" s="136">
        <f t="shared" si="27"/>
        <v>3.2109999999999999</v>
      </c>
      <c r="AM106" s="258">
        <f t="shared" si="48"/>
        <v>0</v>
      </c>
      <c r="AN106" s="258">
        <f t="shared" si="28"/>
        <v>0.03</v>
      </c>
      <c r="AO106" s="258">
        <f t="shared" si="29"/>
        <v>0.04</v>
      </c>
      <c r="AP106" s="258">
        <f t="shared" si="30"/>
        <v>0</v>
      </c>
      <c r="AQ106" s="136">
        <f t="shared" si="65"/>
        <v>5.9999999999999995E-4</v>
      </c>
      <c r="AR106" s="137">
        <f t="shared" si="32"/>
        <v>4.0000000000000001E-3</v>
      </c>
      <c r="AS106" s="136">
        <f t="shared" si="76"/>
        <v>3.2409999999999997</v>
      </c>
      <c r="AT106" s="137">
        <f t="shared" si="66"/>
        <v>2.3274064967752799E-2</v>
      </c>
      <c r="AU106" s="137">
        <f t="shared" si="34"/>
        <v>0</v>
      </c>
      <c r="AV106" s="394">
        <f t="shared" si="77"/>
        <v>0</v>
      </c>
      <c r="AW106" s="137">
        <f t="shared" si="35"/>
        <v>0.54</v>
      </c>
      <c r="AX106" s="137">
        <f t="shared" si="36"/>
        <v>0.95</v>
      </c>
      <c r="AY106" s="137">
        <f t="shared" si="37"/>
        <v>0.85</v>
      </c>
      <c r="AZ106" s="137"/>
      <c r="BA106" s="264"/>
      <c r="BB106" s="258">
        <f t="shared" si="38"/>
        <v>0</v>
      </c>
      <c r="BC106" s="258">
        <f t="shared" si="67"/>
        <v>0</v>
      </c>
      <c r="BD106" s="137">
        <f t="shared" si="68"/>
        <v>0</v>
      </c>
      <c r="BE106" s="137">
        <f t="shared" si="68"/>
        <v>0</v>
      </c>
      <c r="BF106" s="137">
        <f>_xll.xSPRDOPT($BW106,$BV106,$CG106,0,$BY106,$BX106,$BZ106,$AJ106,1,4)*$CB106</f>
        <v>0</v>
      </c>
      <c r="BG106" s="137">
        <f>_xll.xSPRDOPT($BW106,$BV106,$CG106,0,$BY106,$BX106,$BZ106,$AJ106,1,3)*$CB106</f>
        <v>0</v>
      </c>
      <c r="BH106" s="137">
        <f>IF(OR(BF106&lt;&gt;0,BG106&lt;&gt;0),_xll.xSPRDOPT($BW106,$BV106,$CG106,0,$BY106,$BX106,$BZ106,$AJ106,1,12)*$CB106,0)</f>
        <v>0</v>
      </c>
      <c r="BI106" s="137">
        <f>_xll.xSPRDOPT($BW106,$BV106,$CG106,2*LN(1+CA106/2),$BY106,$BX106,$BZ106,$AJ106,1,9)</f>
        <v>-0.45187663113673437</v>
      </c>
      <c r="BJ106" s="137">
        <f>_xll.xSPRDOPT($BW106,$BV106,$CG106,0,$BY106,$BX106,$BZ106,$AJ106,1,6)*$CB106</f>
        <v>0</v>
      </c>
      <c r="BK106" s="137">
        <f>_xll.xSPRDOPT($BW106,$BV106,$CG106,0,$BY106,$BX106,$BZ106,$AJ106,1,5)*$CB106</f>
        <v>0</v>
      </c>
      <c r="BL106" s="137">
        <f>_xll.xSPRDOPT(BW106,BV106,CG106,0,BY106,BX106,BZ106,AJ106,1,2)*CB106</f>
        <v>0</v>
      </c>
      <c r="BM106" s="137">
        <f>_xll.xSPRDOPT(BW106,BV106,CG106,0,BY106,BX106,BZ106,AJ106,1,1)*CB106</f>
        <v>0</v>
      </c>
      <c r="BN106" s="137">
        <f>IF(AH106&lt;&gt;0,_xll.xSPRDOPT($BW106,$BV106,$CG106,2*LN(1+CA106/2),$BY106,$BX106,$BZ106,$AJ106,1,8)+(AJ106/365.25)*CH106/AH106,0)</f>
        <v>0</v>
      </c>
      <c r="BO106" s="137">
        <f>_xll.xSPRDOPT($BW106,$BV106,$CG106,0,$BY106,$BX106,$BZ106,$AJ106,1,0)</f>
        <v>0.92777993663970204</v>
      </c>
      <c r="BP106" s="137"/>
      <c r="BQ106" s="137"/>
      <c r="BR106" s="137"/>
      <c r="BS106" s="137"/>
      <c r="BV106" s="262">
        <v>3.2540160642570277</v>
      </c>
      <c r="BW106" s="136">
        <v>3.2509999999999999</v>
      </c>
      <c r="BX106" s="137">
        <v>0.54</v>
      </c>
      <c r="BY106" s="137">
        <v>0.54</v>
      </c>
      <c r="BZ106" s="137">
        <v>0</v>
      </c>
      <c r="CA106" s="137">
        <v>2.3274064967752799E-2</v>
      </c>
      <c r="CB106" s="137">
        <v>0</v>
      </c>
      <c r="CC106" s="258">
        <v>0</v>
      </c>
      <c r="CD106" s="258">
        <v>0.03</v>
      </c>
      <c r="CE106" s="258">
        <v>0.04</v>
      </c>
      <c r="CF106" s="258">
        <v>0</v>
      </c>
      <c r="CG106" s="258">
        <v>5.9999999999999995E-4</v>
      </c>
      <c r="CH106" s="258">
        <v>0</v>
      </c>
      <c r="CI106" s="258">
        <v>3.2109999999999999</v>
      </c>
      <c r="CJ106" s="258"/>
      <c r="CK106" s="258"/>
      <c r="CL106" s="258"/>
      <c r="CM106" s="258"/>
    </row>
    <row r="107" spans="1:91" x14ac:dyDescent="0.25">
      <c r="A107" s="723"/>
      <c r="B107" s="723"/>
      <c r="D107" s="31">
        <f t="shared" si="69"/>
        <v>37575</v>
      </c>
      <c r="F107" s="28">
        <f t="shared" si="53"/>
        <v>15600</v>
      </c>
      <c r="G107" s="28">
        <f t="shared" si="54"/>
        <v>0</v>
      </c>
      <c r="H107" s="52">
        <f t="shared" si="55"/>
        <v>3.2540160642570277</v>
      </c>
      <c r="I107" s="52">
        <f t="shared" si="56"/>
        <v>3.2509999999999999</v>
      </c>
      <c r="K107" s="52">
        <f t="shared" si="70"/>
        <v>0</v>
      </c>
      <c r="L107" s="135">
        <f t="shared" si="71"/>
        <v>0</v>
      </c>
      <c r="N107" s="131">
        <f t="shared" si="72"/>
        <v>0.54</v>
      </c>
      <c r="O107" s="131">
        <f t="shared" si="73"/>
        <v>0.54</v>
      </c>
      <c r="P107" s="55">
        <f t="shared" si="74"/>
        <v>0</v>
      </c>
      <c r="Q107" s="135">
        <f>_xll.xSPRDOPT(I107,H107,AQ107,0,O107,N107,P107,D107-$G$5,1,0)*AH107*AU107</f>
        <v>0</v>
      </c>
      <c r="R107" s="135"/>
      <c r="S107" s="181">
        <f>_xll.xSPRDOPT(I107,H107,AQ107,AT107,O107,N107,P107,D107-$G$5,1,2)*AF107*(F107/(1-AR107))*AH107</f>
        <v>0</v>
      </c>
      <c r="T107" s="181">
        <f>_xll.xSPRDOPT(I107,H107,AQ107,AT107,O107,N107,P107,D107-$G$5,1,1)*AF107*F107*AH107</f>
        <v>0</v>
      </c>
      <c r="U107" s="135"/>
      <c r="V107" s="146">
        <f t="shared" si="57"/>
        <v>0</v>
      </c>
      <c r="W107" s="146"/>
      <c r="X107" s="338">
        <f t="shared" si="58"/>
        <v>0</v>
      </c>
      <c r="Y107" s="338">
        <f t="shared" si="18"/>
        <v>0</v>
      </c>
      <c r="Z107" s="338">
        <f t="shared" si="19"/>
        <v>0</v>
      </c>
      <c r="AA107" s="338">
        <f t="shared" si="20"/>
        <v>0</v>
      </c>
      <c r="AB107" s="338">
        <f t="shared" si="59"/>
        <v>0</v>
      </c>
      <c r="AC107" s="338">
        <f t="shared" si="60"/>
        <v>0</v>
      </c>
      <c r="AF107" s="138">
        <f t="shared" si="61"/>
        <v>0</v>
      </c>
      <c r="AG107" s="138">
        <f t="shared" si="62"/>
        <v>11</v>
      </c>
      <c r="AH107" s="138">
        <f t="shared" si="63"/>
        <v>0</v>
      </c>
      <c r="AI107" s="138">
        <f t="shared" si="75"/>
        <v>319</v>
      </c>
      <c r="AJ107" s="138">
        <f t="shared" si="64"/>
        <v>336</v>
      </c>
      <c r="AL107" s="136">
        <f t="shared" si="27"/>
        <v>3.2109999999999999</v>
      </c>
      <c r="AM107" s="258">
        <f t="shared" si="48"/>
        <v>0</v>
      </c>
      <c r="AN107" s="258">
        <f t="shared" si="28"/>
        <v>0.03</v>
      </c>
      <c r="AO107" s="258">
        <f t="shared" si="29"/>
        <v>0.04</v>
      </c>
      <c r="AP107" s="258">
        <f t="shared" si="30"/>
        <v>0</v>
      </c>
      <c r="AQ107" s="136">
        <f t="shared" si="65"/>
        <v>5.9999999999999995E-4</v>
      </c>
      <c r="AR107" s="137">
        <f t="shared" si="32"/>
        <v>4.0000000000000001E-3</v>
      </c>
      <c r="AS107" s="136">
        <f t="shared" si="76"/>
        <v>3.2409999999999997</v>
      </c>
      <c r="AT107" s="137">
        <f t="shared" si="66"/>
        <v>2.3274064967752799E-2</v>
      </c>
      <c r="AU107" s="137">
        <f t="shared" si="34"/>
        <v>0</v>
      </c>
      <c r="AV107" s="394">
        <f t="shared" si="77"/>
        <v>0</v>
      </c>
      <c r="AW107" s="137">
        <f t="shared" si="35"/>
        <v>0.54</v>
      </c>
      <c r="AX107" s="137">
        <f t="shared" si="36"/>
        <v>0.95</v>
      </c>
      <c r="AY107" s="137">
        <f t="shared" si="37"/>
        <v>0.85</v>
      </c>
      <c r="AZ107" s="137"/>
      <c r="BA107" s="264"/>
      <c r="BB107" s="258">
        <f t="shared" si="38"/>
        <v>0</v>
      </c>
      <c r="BC107" s="258">
        <f t="shared" si="67"/>
        <v>0</v>
      </c>
      <c r="BD107" s="137">
        <f t="shared" si="68"/>
        <v>0</v>
      </c>
      <c r="BE107" s="137">
        <f t="shared" si="68"/>
        <v>0</v>
      </c>
      <c r="BF107" s="137">
        <f>_xll.xSPRDOPT($BW107,$BV107,$CG107,0,$BY107,$BX107,$BZ107,$AJ107,1,4)*$CB107</f>
        <v>0</v>
      </c>
      <c r="BG107" s="137">
        <f>_xll.xSPRDOPT($BW107,$BV107,$CG107,0,$BY107,$BX107,$BZ107,$AJ107,1,3)*$CB107</f>
        <v>0</v>
      </c>
      <c r="BH107" s="137">
        <f>IF(OR(BF107&lt;&gt;0,BG107&lt;&gt;0),_xll.xSPRDOPT($BW107,$BV107,$CG107,0,$BY107,$BX107,$BZ107,$AJ107,1,12)*$CB107,0)</f>
        <v>0</v>
      </c>
      <c r="BI107" s="137">
        <f>_xll.xSPRDOPT($BW107,$BV107,$CG107,2*LN(1+CA107/2),$BY107,$BX107,$BZ107,$AJ107,1,9)</f>
        <v>-0.45187663113673437</v>
      </c>
      <c r="BJ107" s="137">
        <f>_xll.xSPRDOPT($BW107,$BV107,$CG107,0,$BY107,$BX107,$BZ107,$AJ107,1,6)*$CB107</f>
        <v>0</v>
      </c>
      <c r="BK107" s="137">
        <f>_xll.xSPRDOPT($BW107,$BV107,$CG107,0,$BY107,$BX107,$BZ107,$AJ107,1,5)*$CB107</f>
        <v>0</v>
      </c>
      <c r="BL107" s="137">
        <f>_xll.xSPRDOPT(BW107,BV107,CG107,0,BY107,BX107,BZ107,AJ107,1,2)*CB107</f>
        <v>0</v>
      </c>
      <c r="BM107" s="137">
        <f>_xll.xSPRDOPT(BW107,BV107,CG107,0,BY107,BX107,BZ107,AJ107,1,1)*CB107</f>
        <v>0</v>
      </c>
      <c r="BN107" s="137">
        <f>IF(AH107&lt;&gt;0,_xll.xSPRDOPT($BW107,$BV107,$CG107,2*LN(1+CA107/2),$BY107,$BX107,$BZ107,$AJ107,1,8)+(AJ107/365.25)*CH107/AH107,0)</f>
        <v>0</v>
      </c>
      <c r="BO107" s="137">
        <f>_xll.xSPRDOPT($BW107,$BV107,$CG107,0,$BY107,$BX107,$BZ107,$AJ107,1,0)</f>
        <v>0.92777993663970204</v>
      </c>
      <c r="BP107" s="137"/>
      <c r="BQ107" s="137"/>
      <c r="BR107" s="137"/>
      <c r="BS107" s="137"/>
      <c r="BV107" s="262">
        <v>3.2540160642570277</v>
      </c>
      <c r="BW107" s="136">
        <v>3.2509999999999999</v>
      </c>
      <c r="BX107" s="137">
        <v>0.54</v>
      </c>
      <c r="BY107" s="137">
        <v>0.54</v>
      </c>
      <c r="BZ107" s="137">
        <v>0</v>
      </c>
      <c r="CA107" s="137">
        <v>2.3274064967752799E-2</v>
      </c>
      <c r="CB107" s="137">
        <v>0</v>
      </c>
      <c r="CC107" s="258">
        <v>0</v>
      </c>
      <c r="CD107" s="258">
        <v>0.03</v>
      </c>
      <c r="CE107" s="258">
        <v>0.04</v>
      </c>
      <c r="CF107" s="258">
        <v>0</v>
      </c>
      <c r="CG107" s="258">
        <v>5.9999999999999995E-4</v>
      </c>
      <c r="CH107" s="258">
        <v>0</v>
      </c>
      <c r="CI107" s="258">
        <v>3.2109999999999999</v>
      </c>
      <c r="CJ107" s="258"/>
      <c r="CK107" s="258"/>
      <c r="CL107" s="258"/>
      <c r="CM107" s="258"/>
    </row>
    <row r="108" spans="1:91" x14ac:dyDescent="0.25">
      <c r="A108" s="723"/>
      <c r="B108" s="723"/>
      <c r="D108" s="31">
        <f t="shared" si="69"/>
        <v>37575</v>
      </c>
      <c r="F108" s="28">
        <f t="shared" si="53"/>
        <v>15600</v>
      </c>
      <c r="G108" s="28">
        <f t="shared" si="54"/>
        <v>0</v>
      </c>
      <c r="H108" s="52">
        <f t="shared" si="55"/>
        <v>3.2540160642570277</v>
      </c>
      <c r="I108" s="52">
        <f t="shared" si="56"/>
        <v>3.2509999999999999</v>
      </c>
      <c r="K108" s="52">
        <f t="shared" si="70"/>
        <v>0</v>
      </c>
      <c r="L108" s="135">
        <f t="shared" si="71"/>
        <v>0</v>
      </c>
      <c r="N108" s="131">
        <f t="shared" si="72"/>
        <v>0.54</v>
      </c>
      <c r="O108" s="131">
        <f t="shared" si="73"/>
        <v>0.54</v>
      </c>
      <c r="P108" s="55">
        <f t="shared" si="74"/>
        <v>0</v>
      </c>
      <c r="Q108" s="135">
        <f>_xll.xSPRDOPT(I108,H108,AQ108,0,O108,N108,P108,D108-$G$5,1,0)*AH108*AU108</f>
        <v>0</v>
      </c>
      <c r="R108" s="135"/>
      <c r="S108" s="181">
        <f>_xll.xSPRDOPT(I108,H108,AQ108,AT108,O108,N108,P108,D108-$G$5,1,2)*AF108*(F108/(1-AR108))*AH108</f>
        <v>0</v>
      </c>
      <c r="T108" s="181">
        <f>_xll.xSPRDOPT(I108,H108,AQ108,AT108,O108,N108,P108,D108-$G$5,1,1)*AF108*F108*AH108</f>
        <v>0</v>
      </c>
      <c r="U108" s="135"/>
      <c r="V108" s="146">
        <f t="shared" si="57"/>
        <v>0</v>
      </c>
      <c r="W108" s="146"/>
      <c r="X108" s="338">
        <f t="shared" si="58"/>
        <v>0</v>
      </c>
      <c r="Y108" s="338">
        <f t="shared" si="18"/>
        <v>0</v>
      </c>
      <c r="Z108" s="338">
        <f t="shared" si="19"/>
        <v>0</v>
      </c>
      <c r="AA108" s="338">
        <f t="shared" si="20"/>
        <v>0</v>
      </c>
      <c r="AB108" s="338">
        <f t="shared" si="59"/>
        <v>0</v>
      </c>
      <c r="AC108" s="338">
        <f t="shared" si="60"/>
        <v>0</v>
      </c>
      <c r="AF108" s="138">
        <f t="shared" si="61"/>
        <v>0</v>
      </c>
      <c r="AG108" s="138">
        <f t="shared" si="62"/>
        <v>11</v>
      </c>
      <c r="AH108" s="138">
        <f t="shared" si="63"/>
        <v>0</v>
      </c>
      <c r="AI108" s="138">
        <f t="shared" si="75"/>
        <v>319</v>
      </c>
      <c r="AJ108" s="138">
        <f t="shared" si="64"/>
        <v>336</v>
      </c>
      <c r="AL108" s="136">
        <f t="shared" si="27"/>
        <v>3.2109999999999999</v>
      </c>
      <c r="AM108" s="258">
        <f t="shared" si="48"/>
        <v>0</v>
      </c>
      <c r="AN108" s="258">
        <f t="shared" si="28"/>
        <v>0.03</v>
      </c>
      <c r="AO108" s="258">
        <f t="shared" si="29"/>
        <v>0.04</v>
      </c>
      <c r="AP108" s="258">
        <f t="shared" si="30"/>
        <v>0</v>
      </c>
      <c r="AQ108" s="136">
        <f t="shared" si="65"/>
        <v>5.9999999999999995E-4</v>
      </c>
      <c r="AR108" s="137">
        <f t="shared" si="32"/>
        <v>4.0000000000000001E-3</v>
      </c>
      <c r="AS108" s="136">
        <f t="shared" si="76"/>
        <v>3.2409999999999997</v>
      </c>
      <c r="AT108" s="137">
        <f t="shared" si="66"/>
        <v>2.3274064967752799E-2</v>
      </c>
      <c r="AU108" s="137">
        <f t="shared" si="34"/>
        <v>0</v>
      </c>
      <c r="AV108" s="394">
        <f t="shared" si="77"/>
        <v>0</v>
      </c>
      <c r="AW108" s="137">
        <f t="shared" si="35"/>
        <v>0.54</v>
      </c>
      <c r="AX108" s="137">
        <f t="shared" si="36"/>
        <v>0.95</v>
      </c>
      <c r="AY108" s="137">
        <f t="shared" si="37"/>
        <v>0.85</v>
      </c>
      <c r="AZ108" s="137"/>
      <c r="BA108" s="264"/>
      <c r="BB108" s="258">
        <f t="shared" si="38"/>
        <v>0</v>
      </c>
      <c r="BC108" s="258">
        <f t="shared" si="67"/>
        <v>0</v>
      </c>
      <c r="BD108" s="137">
        <f t="shared" si="68"/>
        <v>0</v>
      </c>
      <c r="BE108" s="137">
        <f t="shared" si="68"/>
        <v>0</v>
      </c>
      <c r="BF108" s="137">
        <f>_xll.xSPRDOPT($BW108,$BV108,$CG108,0,$BY108,$BX108,$BZ108,$AJ108,1,4)*$CB108</f>
        <v>0</v>
      </c>
      <c r="BG108" s="137">
        <f>_xll.xSPRDOPT($BW108,$BV108,$CG108,0,$BY108,$BX108,$BZ108,$AJ108,1,3)*$CB108</f>
        <v>0</v>
      </c>
      <c r="BH108" s="137">
        <f>IF(OR(BF108&lt;&gt;0,BG108&lt;&gt;0),_xll.xSPRDOPT($BW108,$BV108,$CG108,0,$BY108,$BX108,$BZ108,$AJ108,1,12)*$CB108,0)</f>
        <v>0</v>
      </c>
      <c r="BI108" s="137">
        <f>_xll.xSPRDOPT($BW108,$BV108,$CG108,2*LN(1+CA108/2),$BY108,$BX108,$BZ108,$AJ108,1,9)</f>
        <v>-0.45187663113673437</v>
      </c>
      <c r="BJ108" s="137">
        <f>_xll.xSPRDOPT($BW108,$BV108,$CG108,0,$BY108,$BX108,$BZ108,$AJ108,1,6)*$CB108</f>
        <v>0</v>
      </c>
      <c r="BK108" s="137">
        <f>_xll.xSPRDOPT($BW108,$BV108,$CG108,0,$BY108,$BX108,$BZ108,$AJ108,1,5)*$CB108</f>
        <v>0</v>
      </c>
      <c r="BL108" s="137">
        <f>_xll.xSPRDOPT(BW108,BV108,CG108,0,BY108,BX108,BZ108,AJ108,1,2)*CB108</f>
        <v>0</v>
      </c>
      <c r="BM108" s="137">
        <f>_xll.xSPRDOPT(BW108,BV108,CG108,0,BY108,BX108,BZ108,AJ108,1,1)*CB108</f>
        <v>0</v>
      </c>
      <c r="BN108" s="137">
        <f>IF(AH108&lt;&gt;0,_xll.xSPRDOPT($BW108,$BV108,$CG108,2*LN(1+CA108/2),$BY108,$BX108,$BZ108,$AJ108,1,8)+(AJ108/365.25)*CH108/AH108,0)</f>
        <v>0</v>
      </c>
      <c r="BO108" s="137">
        <f>_xll.xSPRDOPT($BW108,$BV108,$CG108,0,$BY108,$BX108,$BZ108,$AJ108,1,0)</f>
        <v>0.92777993663970204</v>
      </c>
      <c r="BP108" s="137"/>
      <c r="BQ108" s="137"/>
      <c r="BR108" s="137"/>
      <c r="BS108" s="137"/>
      <c r="BV108" s="262">
        <v>3.2540160642570277</v>
      </c>
      <c r="BW108" s="136">
        <v>3.2509999999999999</v>
      </c>
      <c r="BX108" s="137">
        <v>0.54</v>
      </c>
      <c r="BY108" s="137">
        <v>0.54</v>
      </c>
      <c r="BZ108" s="137">
        <v>0</v>
      </c>
      <c r="CA108" s="137">
        <v>2.3274064967752799E-2</v>
      </c>
      <c r="CB108" s="137">
        <v>0</v>
      </c>
      <c r="CC108" s="258">
        <v>0</v>
      </c>
      <c r="CD108" s="258">
        <v>0.03</v>
      </c>
      <c r="CE108" s="258">
        <v>0.04</v>
      </c>
      <c r="CF108" s="258">
        <v>0</v>
      </c>
      <c r="CG108" s="258">
        <v>5.9999999999999995E-4</v>
      </c>
      <c r="CH108" s="258">
        <v>0</v>
      </c>
      <c r="CI108" s="258">
        <v>3.2109999999999999</v>
      </c>
      <c r="CJ108" s="258"/>
      <c r="CK108" s="258"/>
      <c r="CL108" s="258"/>
      <c r="CM108" s="258"/>
    </row>
    <row r="109" spans="1:91" x14ac:dyDescent="0.25">
      <c r="A109" s="723"/>
      <c r="B109" s="723"/>
      <c r="D109" s="31">
        <f t="shared" si="69"/>
        <v>37575</v>
      </c>
      <c r="F109" s="28">
        <f t="shared" si="53"/>
        <v>15600</v>
      </c>
      <c r="G109" s="28">
        <f t="shared" si="54"/>
        <v>0</v>
      </c>
      <c r="H109" s="52">
        <f t="shared" si="55"/>
        <v>3.2540160642570277</v>
      </c>
      <c r="I109" s="52">
        <f t="shared" si="56"/>
        <v>3.2509999999999999</v>
      </c>
      <c r="K109" s="52">
        <f t="shared" si="70"/>
        <v>0</v>
      </c>
      <c r="L109" s="135">
        <f t="shared" si="71"/>
        <v>0</v>
      </c>
      <c r="N109" s="131">
        <f t="shared" si="72"/>
        <v>0.54</v>
      </c>
      <c r="O109" s="131">
        <f t="shared" si="73"/>
        <v>0.54</v>
      </c>
      <c r="P109" s="55">
        <f t="shared" si="74"/>
        <v>0</v>
      </c>
      <c r="Q109" s="135">
        <f>_xll.xSPRDOPT(I109,H109,AQ109,0,O109,N109,P109,D109-$G$5,1,0)*AH109*AU109</f>
        <v>0</v>
      </c>
      <c r="R109" s="135"/>
      <c r="S109" s="181">
        <f>_xll.xSPRDOPT(I109,H109,AQ109,AT109,O109,N109,P109,D109-$G$5,1,2)*AF109*(F109/(1-AR109))*AH109</f>
        <v>0</v>
      </c>
      <c r="T109" s="181">
        <f>_xll.xSPRDOPT(I109,H109,AQ109,AT109,O109,N109,P109,D109-$G$5,1,1)*AF109*F109*AH109</f>
        <v>0</v>
      </c>
      <c r="U109" s="135"/>
      <c r="V109" s="146">
        <f t="shared" si="57"/>
        <v>0</v>
      </c>
      <c r="W109" s="146"/>
      <c r="X109" s="338">
        <f t="shared" si="58"/>
        <v>0</v>
      </c>
      <c r="Y109" s="338">
        <f t="shared" si="18"/>
        <v>0</v>
      </c>
      <c r="Z109" s="338">
        <f t="shared" si="19"/>
        <v>0</v>
      </c>
      <c r="AA109" s="338">
        <f t="shared" si="20"/>
        <v>0</v>
      </c>
      <c r="AB109" s="338">
        <f t="shared" si="59"/>
        <v>0</v>
      </c>
      <c r="AC109" s="338">
        <f t="shared" si="60"/>
        <v>0</v>
      </c>
      <c r="AF109" s="138">
        <f t="shared" si="61"/>
        <v>0</v>
      </c>
      <c r="AG109" s="138">
        <f t="shared" si="62"/>
        <v>11</v>
      </c>
      <c r="AH109" s="138">
        <f t="shared" si="63"/>
        <v>0</v>
      </c>
      <c r="AI109" s="138">
        <f t="shared" si="75"/>
        <v>319</v>
      </c>
      <c r="AJ109" s="138">
        <f t="shared" si="64"/>
        <v>336</v>
      </c>
      <c r="AL109" s="136">
        <f t="shared" si="27"/>
        <v>3.2109999999999999</v>
      </c>
      <c r="AM109" s="258">
        <f t="shared" si="48"/>
        <v>0</v>
      </c>
      <c r="AN109" s="258">
        <f t="shared" si="28"/>
        <v>0.03</v>
      </c>
      <c r="AO109" s="258">
        <f t="shared" si="29"/>
        <v>0.04</v>
      </c>
      <c r="AP109" s="258">
        <f t="shared" si="30"/>
        <v>0</v>
      </c>
      <c r="AQ109" s="136">
        <f t="shared" si="65"/>
        <v>5.9999999999999995E-4</v>
      </c>
      <c r="AR109" s="137">
        <f t="shared" si="32"/>
        <v>4.0000000000000001E-3</v>
      </c>
      <c r="AS109" s="136">
        <f t="shared" si="76"/>
        <v>3.2409999999999997</v>
      </c>
      <c r="AT109" s="137">
        <f t="shared" si="66"/>
        <v>2.3274064967752799E-2</v>
      </c>
      <c r="AU109" s="137">
        <f t="shared" si="34"/>
        <v>0</v>
      </c>
      <c r="AV109" s="394">
        <f t="shared" si="77"/>
        <v>0</v>
      </c>
      <c r="AW109" s="137">
        <f t="shared" si="35"/>
        <v>0.54</v>
      </c>
      <c r="AX109" s="137">
        <f t="shared" si="36"/>
        <v>0.95</v>
      </c>
      <c r="AY109" s="137">
        <f t="shared" si="37"/>
        <v>0.85</v>
      </c>
      <c r="AZ109" s="137"/>
      <c r="BA109" s="264"/>
      <c r="BB109" s="258">
        <f t="shared" si="38"/>
        <v>0</v>
      </c>
      <c r="BC109" s="258">
        <f t="shared" si="67"/>
        <v>0</v>
      </c>
      <c r="BD109" s="137">
        <f t="shared" si="68"/>
        <v>0</v>
      </c>
      <c r="BE109" s="137">
        <f t="shared" si="68"/>
        <v>0</v>
      </c>
      <c r="BF109" s="137">
        <f>_xll.xSPRDOPT($BW109,$BV109,$CG109,0,$BY109,$BX109,$BZ109,$AJ109,1,4)*$CB109</f>
        <v>0</v>
      </c>
      <c r="BG109" s="137">
        <f>_xll.xSPRDOPT($BW109,$BV109,$CG109,0,$BY109,$BX109,$BZ109,$AJ109,1,3)*$CB109</f>
        <v>0</v>
      </c>
      <c r="BH109" s="137">
        <f>IF(OR(BF109&lt;&gt;0,BG109&lt;&gt;0),_xll.xSPRDOPT($BW109,$BV109,$CG109,0,$BY109,$BX109,$BZ109,$AJ109,1,12)*$CB109,0)</f>
        <v>0</v>
      </c>
      <c r="BI109" s="137">
        <f>_xll.xSPRDOPT($BW109,$BV109,$CG109,2*LN(1+CA109/2),$BY109,$BX109,$BZ109,$AJ109,1,9)</f>
        <v>-0.45187663113673437</v>
      </c>
      <c r="BJ109" s="137">
        <f>_xll.xSPRDOPT($BW109,$BV109,$CG109,0,$BY109,$BX109,$BZ109,$AJ109,1,6)*$CB109</f>
        <v>0</v>
      </c>
      <c r="BK109" s="137">
        <f>_xll.xSPRDOPT($BW109,$BV109,$CG109,0,$BY109,$BX109,$BZ109,$AJ109,1,5)*$CB109</f>
        <v>0</v>
      </c>
      <c r="BL109" s="137">
        <f>_xll.xSPRDOPT(BW109,BV109,CG109,0,BY109,BX109,BZ109,AJ109,1,2)*CB109</f>
        <v>0</v>
      </c>
      <c r="BM109" s="137">
        <f>_xll.xSPRDOPT(BW109,BV109,CG109,0,BY109,BX109,BZ109,AJ109,1,1)*CB109</f>
        <v>0</v>
      </c>
      <c r="BN109" s="137">
        <f>IF(AH109&lt;&gt;0,_xll.xSPRDOPT($BW109,$BV109,$CG109,2*LN(1+CA109/2),$BY109,$BX109,$BZ109,$AJ109,1,8)+(AJ109/365.25)*CH109/AH109,0)</f>
        <v>0</v>
      </c>
      <c r="BO109" s="137">
        <f>_xll.xSPRDOPT($BW109,$BV109,$CG109,0,$BY109,$BX109,$BZ109,$AJ109,1,0)</f>
        <v>0.92777993663970204</v>
      </c>
      <c r="BP109" s="137"/>
      <c r="BQ109" s="137"/>
      <c r="BR109" s="137"/>
      <c r="BS109" s="137"/>
      <c r="BV109" s="262">
        <v>3.2540160642570277</v>
      </c>
      <c r="BW109" s="136">
        <v>3.2509999999999999</v>
      </c>
      <c r="BX109" s="137">
        <v>0.54</v>
      </c>
      <c r="BY109" s="137">
        <v>0.54</v>
      </c>
      <c r="BZ109" s="137">
        <v>0</v>
      </c>
      <c r="CA109" s="137">
        <v>2.3274064967752799E-2</v>
      </c>
      <c r="CB109" s="137">
        <v>0</v>
      </c>
      <c r="CC109" s="258">
        <v>0</v>
      </c>
      <c r="CD109" s="258">
        <v>0.03</v>
      </c>
      <c r="CE109" s="258">
        <v>0.04</v>
      </c>
      <c r="CF109" s="258">
        <v>0</v>
      </c>
      <c r="CG109" s="258">
        <v>5.9999999999999995E-4</v>
      </c>
      <c r="CH109" s="258">
        <v>0</v>
      </c>
      <c r="CI109" s="258">
        <v>3.2109999999999999</v>
      </c>
      <c r="CJ109" s="258"/>
      <c r="CK109" s="258"/>
      <c r="CL109" s="258"/>
      <c r="CM109" s="258"/>
    </row>
    <row r="110" spans="1:91" x14ac:dyDescent="0.25">
      <c r="A110" s="723"/>
      <c r="B110" s="723"/>
      <c r="D110" s="31">
        <f t="shared" si="69"/>
        <v>37575</v>
      </c>
      <c r="F110" s="28">
        <f t="shared" si="53"/>
        <v>15600</v>
      </c>
      <c r="G110" s="28">
        <f t="shared" si="54"/>
        <v>0</v>
      </c>
      <c r="H110" s="52">
        <f t="shared" si="55"/>
        <v>3.2540160642570277</v>
      </c>
      <c r="I110" s="52">
        <f t="shared" si="56"/>
        <v>3.2509999999999999</v>
      </c>
      <c r="K110" s="52">
        <f t="shared" si="70"/>
        <v>0</v>
      </c>
      <c r="L110" s="135">
        <f t="shared" si="71"/>
        <v>0</v>
      </c>
      <c r="N110" s="131">
        <f t="shared" si="72"/>
        <v>0.54</v>
      </c>
      <c r="O110" s="131">
        <f t="shared" si="73"/>
        <v>0.54</v>
      </c>
      <c r="P110" s="55">
        <f t="shared" si="74"/>
        <v>0</v>
      </c>
      <c r="Q110" s="135">
        <f>_xll.xSPRDOPT(I110,H110,AQ110,0,O110,N110,P110,D110-$G$5,1,0)*AH110*AU110</f>
        <v>0</v>
      </c>
      <c r="R110" s="135"/>
      <c r="S110" s="181">
        <f>_xll.xSPRDOPT(I110,H110,AQ110,AT110,O110,N110,P110,D110-$G$5,1,2)*AF110*(F110/(1-AR110))*AH110</f>
        <v>0</v>
      </c>
      <c r="T110" s="181">
        <f>_xll.xSPRDOPT(I110,H110,AQ110,AT110,O110,N110,P110,D110-$G$5,1,1)*AF110*F110*AH110</f>
        <v>0</v>
      </c>
      <c r="U110" s="135"/>
      <c r="V110" s="146">
        <f t="shared" si="57"/>
        <v>0</v>
      </c>
      <c r="W110" s="146"/>
      <c r="X110" s="338">
        <f t="shared" si="58"/>
        <v>0</v>
      </c>
      <c r="Y110" s="338">
        <f t="shared" si="18"/>
        <v>0</v>
      </c>
      <c r="Z110" s="338">
        <f t="shared" si="19"/>
        <v>0</v>
      </c>
      <c r="AA110" s="338">
        <f t="shared" si="20"/>
        <v>0</v>
      </c>
      <c r="AB110" s="338">
        <f t="shared" si="59"/>
        <v>0</v>
      </c>
      <c r="AC110" s="338">
        <f t="shared" si="60"/>
        <v>0</v>
      </c>
      <c r="AF110" s="138">
        <f t="shared" si="61"/>
        <v>0</v>
      </c>
      <c r="AG110" s="138">
        <f t="shared" si="62"/>
        <v>11</v>
      </c>
      <c r="AH110" s="138">
        <f t="shared" si="63"/>
        <v>0</v>
      </c>
      <c r="AI110" s="138">
        <f t="shared" si="75"/>
        <v>319</v>
      </c>
      <c r="AJ110" s="138">
        <f t="shared" si="64"/>
        <v>336</v>
      </c>
      <c r="AL110" s="136">
        <f t="shared" si="27"/>
        <v>3.2109999999999999</v>
      </c>
      <c r="AM110" s="258">
        <f t="shared" si="48"/>
        <v>0</v>
      </c>
      <c r="AN110" s="258">
        <f t="shared" si="28"/>
        <v>0.03</v>
      </c>
      <c r="AO110" s="258">
        <f t="shared" si="29"/>
        <v>0.04</v>
      </c>
      <c r="AP110" s="258">
        <f t="shared" si="30"/>
        <v>0</v>
      </c>
      <c r="AQ110" s="136">
        <f t="shared" si="65"/>
        <v>5.9999999999999995E-4</v>
      </c>
      <c r="AR110" s="137">
        <f t="shared" si="32"/>
        <v>4.0000000000000001E-3</v>
      </c>
      <c r="AS110" s="136">
        <f t="shared" si="76"/>
        <v>3.2409999999999997</v>
      </c>
      <c r="AT110" s="137">
        <f t="shared" si="66"/>
        <v>2.3274064967752799E-2</v>
      </c>
      <c r="AU110" s="137">
        <f t="shared" si="34"/>
        <v>0</v>
      </c>
      <c r="AV110" s="394">
        <f t="shared" si="77"/>
        <v>0</v>
      </c>
      <c r="AW110" s="137">
        <f t="shared" si="35"/>
        <v>0.54</v>
      </c>
      <c r="AX110" s="137">
        <f t="shared" si="36"/>
        <v>0.95</v>
      </c>
      <c r="AY110" s="137">
        <f t="shared" si="37"/>
        <v>0.85</v>
      </c>
      <c r="AZ110" s="137"/>
      <c r="BA110" s="264"/>
      <c r="BB110" s="258">
        <f t="shared" si="38"/>
        <v>0</v>
      </c>
      <c r="BC110" s="258">
        <f t="shared" si="67"/>
        <v>0</v>
      </c>
      <c r="BD110" s="137">
        <f t="shared" si="68"/>
        <v>0</v>
      </c>
      <c r="BE110" s="137">
        <f t="shared" si="68"/>
        <v>0</v>
      </c>
      <c r="BF110" s="137">
        <f>_xll.xSPRDOPT($BW110,$BV110,$CG110,0,$BY110,$BX110,$BZ110,$AJ110,1,4)*$CB110</f>
        <v>0</v>
      </c>
      <c r="BG110" s="137">
        <f>_xll.xSPRDOPT($BW110,$BV110,$CG110,0,$BY110,$BX110,$BZ110,$AJ110,1,3)*$CB110</f>
        <v>0</v>
      </c>
      <c r="BH110" s="137">
        <f>IF(OR(BF110&lt;&gt;0,BG110&lt;&gt;0),_xll.xSPRDOPT($BW110,$BV110,$CG110,0,$BY110,$BX110,$BZ110,$AJ110,1,12)*$CB110,0)</f>
        <v>0</v>
      </c>
      <c r="BI110" s="137">
        <f>_xll.xSPRDOPT($BW110,$BV110,$CG110,2*LN(1+CA110/2),$BY110,$BX110,$BZ110,$AJ110,1,9)</f>
        <v>-0.45187663113673437</v>
      </c>
      <c r="BJ110" s="137">
        <f>_xll.xSPRDOPT($BW110,$BV110,$CG110,0,$BY110,$BX110,$BZ110,$AJ110,1,6)*$CB110</f>
        <v>0</v>
      </c>
      <c r="BK110" s="137">
        <f>_xll.xSPRDOPT($BW110,$BV110,$CG110,0,$BY110,$BX110,$BZ110,$AJ110,1,5)*$CB110</f>
        <v>0</v>
      </c>
      <c r="BL110" s="137">
        <f>_xll.xSPRDOPT(BW110,BV110,CG110,0,BY110,BX110,BZ110,AJ110,1,2)*CB110</f>
        <v>0</v>
      </c>
      <c r="BM110" s="137">
        <f>_xll.xSPRDOPT(BW110,BV110,CG110,0,BY110,BX110,BZ110,AJ110,1,1)*CB110</f>
        <v>0</v>
      </c>
      <c r="BN110" s="137">
        <f>IF(AH110&lt;&gt;0,_xll.xSPRDOPT($BW110,$BV110,$CG110,2*LN(1+CA110/2),$BY110,$BX110,$BZ110,$AJ110,1,8)+(AJ110/365.25)*CH110/AH110,0)</f>
        <v>0</v>
      </c>
      <c r="BO110" s="137">
        <f>_xll.xSPRDOPT($BW110,$BV110,$CG110,0,$BY110,$BX110,$BZ110,$AJ110,1,0)</f>
        <v>0.92777993663970204</v>
      </c>
      <c r="BP110" s="137"/>
      <c r="BQ110" s="137"/>
      <c r="BR110" s="137"/>
      <c r="BS110" s="137"/>
      <c r="BV110" s="262">
        <v>3.2540160642570277</v>
      </c>
      <c r="BW110" s="136">
        <v>3.2509999999999999</v>
      </c>
      <c r="BX110" s="137">
        <v>0.54</v>
      </c>
      <c r="BY110" s="137">
        <v>0.54</v>
      </c>
      <c r="BZ110" s="137">
        <v>0</v>
      </c>
      <c r="CA110" s="137">
        <v>2.3274064967752799E-2</v>
      </c>
      <c r="CB110" s="137">
        <v>0</v>
      </c>
      <c r="CC110" s="258">
        <v>0</v>
      </c>
      <c r="CD110" s="258">
        <v>0.03</v>
      </c>
      <c r="CE110" s="258">
        <v>0.04</v>
      </c>
      <c r="CF110" s="258">
        <v>0</v>
      </c>
      <c r="CG110" s="258">
        <v>5.9999999999999995E-4</v>
      </c>
      <c r="CH110" s="258">
        <v>0</v>
      </c>
      <c r="CI110" s="258">
        <v>3.2109999999999999</v>
      </c>
      <c r="CJ110" s="258"/>
      <c r="CK110" s="258"/>
      <c r="CL110" s="258"/>
      <c r="CM110" s="258"/>
    </row>
    <row r="111" spans="1:91" x14ac:dyDescent="0.25">
      <c r="A111" s="723"/>
      <c r="B111" s="723"/>
      <c r="D111" s="31">
        <f t="shared" si="69"/>
        <v>37575</v>
      </c>
      <c r="F111" s="28">
        <f t="shared" si="53"/>
        <v>15600</v>
      </c>
      <c r="G111" s="28">
        <f t="shared" si="54"/>
        <v>0</v>
      </c>
      <c r="H111" s="52">
        <f t="shared" si="55"/>
        <v>3.2540160642570277</v>
      </c>
      <c r="I111" s="52">
        <f t="shared" si="56"/>
        <v>3.2509999999999999</v>
      </c>
      <c r="K111" s="52">
        <f t="shared" si="70"/>
        <v>0</v>
      </c>
      <c r="L111" s="135">
        <f t="shared" si="71"/>
        <v>0</v>
      </c>
      <c r="N111" s="131">
        <f t="shared" si="72"/>
        <v>0.54</v>
      </c>
      <c r="O111" s="131">
        <f t="shared" si="73"/>
        <v>0.54</v>
      </c>
      <c r="P111" s="55">
        <f t="shared" si="74"/>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57"/>
        <v>0</v>
      </c>
      <c r="W111" s="146"/>
      <c r="X111" s="338">
        <f t="shared" si="58"/>
        <v>0</v>
      </c>
      <c r="Y111" s="338">
        <f t="shared" si="18"/>
        <v>0</v>
      </c>
      <c r="Z111" s="338">
        <f t="shared" si="19"/>
        <v>0</v>
      </c>
      <c r="AA111" s="338">
        <f t="shared" si="20"/>
        <v>0</v>
      </c>
      <c r="AB111" s="338">
        <f t="shared" si="59"/>
        <v>0</v>
      </c>
      <c r="AC111" s="338">
        <f t="shared" si="60"/>
        <v>0</v>
      </c>
      <c r="AF111" s="138">
        <f t="shared" si="61"/>
        <v>0</v>
      </c>
      <c r="AG111" s="138">
        <f t="shared" si="62"/>
        <v>11</v>
      </c>
      <c r="AH111" s="138">
        <f t="shared" si="63"/>
        <v>0</v>
      </c>
      <c r="AI111" s="138">
        <f t="shared" si="75"/>
        <v>319</v>
      </c>
      <c r="AJ111" s="138">
        <f t="shared" si="64"/>
        <v>336</v>
      </c>
      <c r="AL111" s="136">
        <f t="shared" si="27"/>
        <v>3.2109999999999999</v>
      </c>
      <c r="AM111" s="258">
        <f t="shared" si="48"/>
        <v>0</v>
      </c>
      <c r="AN111" s="258">
        <f t="shared" si="28"/>
        <v>0.03</v>
      </c>
      <c r="AO111" s="258">
        <f t="shared" si="29"/>
        <v>0.04</v>
      </c>
      <c r="AP111" s="258">
        <f t="shared" si="30"/>
        <v>0</v>
      </c>
      <c r="AQ111" s="136">
        <f t="shared" si="65"/>
        <v>5.9999999999999995E-4</v>
      </c>
      <c r="AR111" s="137">
        <f t="shared" si="32"/>
        <v>4.0000000000000001E-3</v>
      </c>
      <c r="AS111" s="136">
        <f t="shared" si="76"/>
        <v>3.2409999999999997</v>
      </c>
      <c r="AT111" s="137">
        <f t="shared" si="66"/>
        <v>2.3274064967752799E-2</v>
      </c>
      <c r="AU111" s="137">
        <f t="shared" si="34"/>
        <v>0</v>
      </c>
      <c r="AV111" s="394">
        <f t="shared" si="77"/>
        <v>0</v>
      </c>
      <c r="AW111" s="137">
        <f t="shared" si="35"/>
        <v>0.54</v>
      </c>
      <c r="AX111" s="137">
        <f t="shared" si="36"/>
        <v>0.95</v>
      </c>
      <c r="AY111" s="137">
        <f t="shared" si="37"/>
        <v>0.85</v>
      </c>
      <c r="AZ111" s="137"/>
      <c r="BA111" s="264"/>
      <c r="BB111" s="258">
        <f t="shared" si="38"/>
        <v>0</v>
      </c>
      <c r="BC111" s="258">
        <f t="shared" si="67"/>
        <v>0</v>
      </c>
      <c r="BD111" s="137">
        <f t="shared" si="68"/>
        <v>0</v>
      </c>
      <c r="BE111" s="137">
        <f t="shared" si="68"/>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-0.45187663113673437</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0.92777993663970204</v>
      </c>
      <c r="BP111" s="137"/>
      <c r="BQ111" s="137"/>
      <c r="BR111" s="137"/>
      <c r="BS111" s="137"/>
      <c r="BV111" s="262">
        <v>3.2540160642570277</v>
      </c>
      <c r="BW111" s="136">
        <v>3.2509999999999999</v>
      </c>
      <c r="BX111" s="137">
        <v>0.54</v>
      </c>
      <c r="BY111" s="137">
        <v>0.54</v>
      </c>
      <c r="BZ111" s="137">
        <v>0</v>
      </c>
      <c r="CA111" s="137">
        <v>2.3274064967752799E-2</v>
      </c>
      <c r="CB111" s="137">
        <v>0</v>
      </c>
      <c r="CC111" s="258">
        <v>0</v>
      </c>
      <c r="CD111" s="258">
        <v>0.03</v>
      </c>
      <c r="CE111" s="258">
        <v>0.04</v>
      </c>
      <c r="CF111" s="258">
        <v>0</v>
      </c>
      <c r="CG111" s="258">
        <v>5.9999999999999995E-4</v>
      </c>
      <c r="CH111" s="258">
        <v>0</v>
      </c>
      <c r="CI111" s="258">
        <v>3.2109999999999999</v>
      </c>
      <c r="CJ111" s="258"/>
      <c r="CK111" s="258"/>
      <c r="CL111" s="258"/>
      <c r="CM111" s="258"/>
    </row>
    <row r="112" spans="1:91" x14ac:dyDescent="0.25">
      <c r="A112" s="723"/>
      <c r="B112" s="723"/>
      <c r="D112" s="31">
        <f t="shared" si="69"/>
        <v>37575</v>
      </c>
      <c r="F112" s="28">
        <f t="shared" si="53"/>
        <v>15600</v>
      </c>
      <c r="G112" s="28">
        <f t="shared" si="54"/>
        <v>0</v>
      </c>
      <c r="H112" s="52">
        <f t="shared" si="55"/>
        <v>3.2540160642570277</v>
      </c>
      <c r="I112" s="52">
        <f t="shared" si="56"/>
        <v>3.2509999999999999</v>
      </c>
      <c r="K112" s="52">
        <f t="shared" si="70"/>
        <v>0</v>
      </c>
      <c r="L112" s="135">
        <f t="shared" si="71"/>
        <v>0</v>
      </c>
      <c r="N112" s="131">
        <f t="shared" si="72"/>
        <v>0.54</v>
      </c>
      <c r="O112" s="131">
        <f t="shared" si="73"/>
        <v>0.54</v>
      </c>
      <c r="P112" s="55">
        <f t="shared" si="74"/>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57"/>
        <v>0</v>
      </c>
      <c r="W112" s="146"/>
      <c r="X112" s="338">
        <f t="shared" si="58"/>
        <v>0</v>
      </c>
      <c r="Y112" s="338">
        <f t="shared" si="18"/>
        <v>0</v>
      </c>
      <c r="Z112" s="338">
        <f t="shared" si="19"/>
        <v>0</v>
      </c>
      <c r="AA112" s="338">
        <f t="shared" si="20"/>
        <v>0</v>
      </c>
      <c r="AB112" s="338">
        <f t="shared" si="59"/>
        <v>0</v>
      </c>
      <c r="AC112" s="338">
        <f t="shared" si="60"/>
        <v>0</v>
      </c>
      <c r="AF112" s="138">
        <f t="shared" si="61"/>
        <v>0</v>
      </c>
      <c r="AG112" s="138">
        <f t="shared" si="62"/>
        <v>11</v>
      </c>
      <c r="AH112" s="138">
        <f t="shared" si="63"/>
        <v>0</v>
      </c>
      <c r="AI112" s="138">
        <f t="shared" si="75"/>
        <v>319</v>
      </c>
      <c r="AJ112" s="138">
        <f t="shared" si="64"/>
        <v>336</v>
      </c>
      <c r="AL112" s="136">
        <f t="shared" si="27"/>
        <v>3.2109999999999999</v>
      </c>
      <c r="AM112" s="258">
        <f t="shared" si="48"/>
        <v>0</v>
      </c>
      <c r="AN112" s="258">
        <f t="shared" si="28"/>
        <v>0.03</v>
      </c>
      <c r="AO112" s="258">
        <f t="shared" si="29"/>
        <v>0.04</v>
      </c>
      <c r="AP112" s="258">
        <f t="shared" si="30"/>
        <v>0</v>
      </c>
      <c r="AQ112" s="136">
        <f t="shared" si="65"/>
        <v>5.9999999999999995E-4</v>
      </c>
      <c r="AR112" s="137">
        <f t="shared" si="32"/>
        <v>4.0000000000000001E-3</v>
      </c>
      <c r="AS112" s="136">
        <f t="shared" si="76"/>
        <v>3.2409999999999997</v>
      </c>
      <c r="AT112" s="137">
        <f t="shared" si="66"/>
        <v>2.3274064967752799E-2</v>
      </c>
      <c r="AU112" s="137">
        <f t="shared" si="34"/>
        <v>0</v>
      </c>
      <c r="AV112" s="394">
        <f t="shared" si="77"/>
        <v>0</v>
      </c>
      <c r="AW112" s="137">
        <f t="shared" si="35"/>
        <v>0.54</v>
      </c>
      <c r="AX112" s="137">
        <f t="shared" si="36"/>
        <v>0.95</v>
      </c>
      <c r="AY112" s="137">
        <f t="shared" si="37"/>
        <v>0.85</v>
      </c>
      <c r="AZ112" s="137"/>
      <c r="BA112" s="264"/>
      <c r="BB112" s="258">
        <f t="shared" si="38"/>
        <v>0</v>
      </c>
      <c r="BC112" s="258">
        <f t="shared" si="67"/>
        <v>0</v>
      </c>
      <c r="BD112" s="137">
        <f t="shared" si="68"/>
        <v>0</v>
      </c>
      <c r="BE112" s="137">
        <f t="shared" si="68"/>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-0.45187663113673437</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0.92777993663970204</v>
      </c>
      <c r="BP112" s="137"/>
      <c r="BQ112" s="137"/>
      <c r="BR112" s="137"/>
      <c r="BS112" s="137"/>
      <c r="BV112" s="262">
        <v>3.2540160642570277</v>
      </c>
      <c r="BW112" s="136">
        <v>3.2509999999999999</v>
      </c>
      <c r="BX112" s="137">
        <v>0.54</v>
      </c>
      <c r="BY112" s="137">
        <v>0.54</v>
      </c>
      <c r="BZ112" s="137">
        <v>0</v>
      </c>
      <c r="CA112" s="137">
        <v>2.3274064967752799E-2</v>
      </c>
      <c r="CB112" s="137">
        <v>0</v>
      </c>
      <c r="CC112" s="258">
        <v>0</v>
      </c>
      <c r="CD112" s="258">
        <v>0.03</v>
      </c>
      <c r="CE112" s="258">
        <v>0.04</v>
      </c>
      <c r="CF112" s="258">
        <v>0</v>
      </c>
      <c r="CG112" s="258">
        <v>5.9999999999999995E-4</v>
      </c>
      <c r="CH112" s="258">
        <v>0</v>
      </c>
      <c r="CI112" s="258">
        <v>3.2109999999999999</v>
      </c>
      <c r="CJ112" s="258"/>
      <c r="CK112" s="258"/>
      <c r="CL112" s="258"/>
      <c r="CM112" s="258"/>
    </row>
    <row r="113" spans="1:91" x14ac:dyDescent="0.25">
      <c r="A113" s="723"/>
      <c r="B113" s="723"/>
      <c r="D113" s="31">
        <f t="shared" si="69"/>
        <v>37575</v>
      </c>
      <c r="F113" s="28">
        <f t="shared" si="53"/>
        <v>15600</v>
      </c>
      <c r="G113" s="28">
        <f t="shared" si="54"/>
        <v>0</v>
      </c>
      <c r="H113" s="52">
        <f t="shared" si="55"/>
        <v>3.2540160642570277</v>
      </c>
      <c r="I113" s="52">
        <f t="shared" si="56"/>
        <v>3.2509999999999999</v>
      </c>
      <c r="K113" s="52">
        <f t="shared" si="70"/>
        <v>0</v>
      </c>
      <c r="L113" s="135">
        <f t="shared" si="71"/>
        <v>0</v>
      </c>
      <c r="N113" s="131">
        <f t="shared" si="72"/>
        <v>0.54</v>
      </c>
      <c r="O113" s="131">
        <f t="shared" si="73"/>
        <v>0.54</v>
      </c>
      <c r="P113" s="55">
        <f t="shared" si="74"/>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57"/>
        <v>0</v>
      </c>
      <c r="W113" s="146"/>
      <c r="X113" s="338">
        <f t="shared" si="58"/>
        <v>0</v>
      </c>
      <c r="Y113" s="338">
        <f t="shared" si="18"/>
        <v>0</v>
      </c>
      <c r="Z113" s="338">
        <f t="shared" si="19"/>
        <v>0</v>
      </c>
      <c r="AA113" s="338">
        <f t="shared" si="20"/>
        <v>0</v>
      </c>
      <c r="AB113" s="338">
        <f t="shared" si="59"/>
        <v>0</v>
      </c>
      <c r="AC113" s="338">
        <f t="shared" si="60"/>
        <v>0</v>
      </c>
      <c r="AF113" s="138">
        <f t="shared" si="61"/>
        <v>0</v>
      </c>
      <c r="AG113" s="138">
        <f t="shared" si="62"/>
        <v>11</v>
      </c>
      <c r="AH113" s="138">
        <f t="shared" si="63"/>
        <v>0</v>
      </c>
      <c r="AI113" s="138">
        <f t="shared" si="75"/>
        <v>319</v>
      </c>
      <c r="AJ113" s="138">
        <f t="shared" si="64"/>
        <v>336</v>
      </c>
      <c r="AL113" s="136">
        <f t="shared" si="27"/>
        <v>3.2109999999999999</v>
      </c>
      <c r="AM113" s="258">
        <f t="shared" si="48"/>
        <v>0</v>
      </c>
      <c r="AN113" s="258">
        <f t="shared" si="28"/>
        <v>0.03</v>
      </c>
      <c r="AO113" s="258">
        <f t="shared" si="29"/>
        <v>0.04</v>
      </c>
      <c r="AP113" s="258">
        <f t="shared" si="30"/>
        <v>0</v>
      </c>
      <c r="AQ113" s="136">
        <f t="shared" si="65"/>
        <v>5.9999999999999995E-4</v>
      </c>
      <c r="AR113" s="137">
        <f t="shared" si="32"/>
        <v>4.0000000000000001E-3</v>
      </c>
      <c r="AS113" s="136">
        <f t="shared" si="76"/>
        <v>3.2409999999999997</v>
      </c>
      <c r="AT113" s="137">
        <f t="shared" si="66"/>
        <v>2.3274064967752799E-2</v>
      </c>
      <c r="AU113" s="137">
        <f t="shared" si="34"/>
        <v>0</v>
      </c>
      <c r="AV113" s="394">
        <f t="shared" si="77"/>
        <v>0</v>
      </c>
      <c r="AW113" s="137">
        <f t="shared" si="35"/>
        <v>0.54</v>
      </c>
      <c r="AX113" s="137">
        <f t="shared" si="36"/>
        <v>0.95</v>
      </c>
      <c r="AY113" s="137">
        <f t="shared" si="37"/>
        <v>0.85</v>
      </c>
      <c r="AZ113" s="137"/>
      <c r="BA113" s="264"/>
      <c r="BB113" s="258">
        <f t="shared" si="38"/>
        <v>0</v>
      </c>
      <c r="BC113" s="258">
        <f t="shared" si="67"/>
        <v>0</v>
      </c>
      <c r="BD113" s="137">
        <f t="shared" si="68"/>
        <v>0</v>
      </c>
      <c r="BE113" s="137">
        <f t="shared" si="68"/>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-0.45187663113673437</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0.92777993663970204</v>
      </c>
      <c r="BP113" s="137"/>
      <c r="BQ113" s="137"/>
      <c r="BR113" s="137"/>
      <c r="BS113" s="137"/>
      <c r="BV113" s="262">
        <v>3.2540160642570277</v>
      </c>
      <c r="BW113" s="136">
        <v>3.2509999999999999</v>
      </c>
      <c r="BX113" s="137">
        <v>0.54</v>
      </c>
      <c r="BY113" s="137">
        <v>0.54</v>
      </c>
      <c r="BZ113" s="137">
        <v>0</v>
      </c>
      <c r="CA113" s="137">
        <v>2.3274064967752799E-2</v>
      </c>
      <c r="CB113" s="137">
        <v>0</v>
      </c>
      <c r="CC113" s="258">
        <v>0</v>
      </c>
      <c r="CD113" s="258">
        <v>0.03</v>
      </c>
      <c r="CE113" s="258">
        <v>0.04</v>
      </c>
      <c r="CF113" s="258">
        <v>0</v>
      </c>
      <c r="CG113" s="258">
        <v>5.9999999999999995E-4</v>
      </c>
      <c r="CH113" s="258">
        <v>0</v>
      </c>
      <c r="CI113" s="258">
        <v>3.2109999999999999</v>
      </c>
      <c r="CJ113" s="258"/>
      <c r="CK113" s="258"/>
      <c r="CL113" s="258"/>
      <c r="CM113" s="258"/>
    </row>
    <row r="114" spans="1:91" x14ac:dyDescent="0.25">
      <c r="A114" s="723"/>
      <c r="B114" s="723"/>
      <c r="D114" s="31">
        <f t="shared" si="69"/>
        <v>37575</v>
      </c>
      <c r="F114" s="28">
        <f t="shared" si="53"/>
        <v>15600</v>
      </c>
      <c r="G114" s="28">
        <f t="shared" si="54"/>
        <v>0</v>
      </c>
      <c r="H114" s="52">
        <f t="shared" si="55"/>
        <v>3.2540160642570277</v>
      </c>
      <c r="I114" s="52">
        <f t="shared" si="56"/>
        <v>3.2509999999999999</v>
      </c>
      <c r="K114" s="52">
        <f t="shared" si="70"/>
        <v>0</v>
      </c>
      <c r="L114" s="135">
        <f t="shared" si="71"/>
        <v>0</v>
      </c>
      <c r="N114" s="131">
        <f t="shared" si="72"/>
        <v>0.54</v>
      </c>
      <c r="O114" s="131">
        <f t="shared" si="73"/>
        <v>0.54</v>
      </c>
      <c r="P114" s="55">
        <f t="shared" si="74"/>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57"/>
        <v>0</v>
      </c>
      <c r="W114" s="146"/>
      <c r="X114" s="338">
        <f t="shared" si="58"/>
        <v>0</v>
      </c>
      <c r="Y114" s="338">
        <f t="shared" si="18"/>
        <v>0</v>
      </c>
      <c r="Z114" s="338">
        <f t="shared" si="19"/>
        <v>0</v>
      </c>
      <c r="AA114" s="338">
        <f t="shared" si="20"/>
        <v>0</v>
      </c>
      <c r="AB114" s="338">
        <f t="shared" si="59"/>
        <v>0</v>
      </c>
      <c r="AC114" s="338">
        <f t="shared" si="60"/>
        <v>0</v>
      </c>
      <c r="AF114" s="138">
        <f t="shared" si="61"/>
        <v>0</v>
      </c>
      <c r="AG114" s="138">
        <f t="shared" si="62"/>
        <v>11</v>
      </c>
      <c r="AH114" s="138">
        <f t="shared" si="63"/>
        <v>0</v>
      </c>
      <c r="AI114" s="138">
        <f t="shared" si="75"/>
        <v>319</v>
      </c>
      <c r="AJ114" s="138">
        <f t="shared" si="64"/>
        <v>336</v>
      </c>
      <c r="AL114" s="136">
        <f t="shared" si="27"/>
        <v>3.2109999999999999</v>
      </c>
      <c r="AM114" s="258">
        <f t="shared" si="48"/>
        <v>0</v>
      </c>
      <c r="AN114" s="258">
        <f t="shared" si="28"/>
        <v>0.03</v>
      </c>
      <c r="AO114" s="258">
        <f t="shared" si="29"/>
        <v>0.04</v>
      </c>
      <c r="AP114" s="258">
        <f t="shared" si="30"/>
        <v>0</v>
      </c>
      <c r="AQ114" s="136">
        <f t="shared" si="65"/>
        <v>5.9999999999999995E-4</v>
      </c>
      <c r="AR114" s="137">
        <f t="shared" si="32"/>
        <v>4.0000000000000001E-3</v>
      </c>
      <c r="AS114" s="136">
        <f t="shared" si="76"/>
        <v>3.2409999999999997</v>
      </c>
      <c r="AT114" s="137">
        <f t="shared" si="66"/>
        <v>2.3274064967752799E-2</v>
      </c>
      <c r="AU114" s="137">
        <f t="shared" si="34"/>
        <v>0</v>
      </c>
      <c r="AV114" s="394">
        <f t="shared" si="77"/>
        <v>0</v>
      </c>
      <c r="AW114" s="137">
        <f t="shared" si="35"/>
        <v>0.54</v>
      </c>
      <c r="AX114" s="137">
        <f t="shared" si="36"/>
        <v>0.95</v>
      </c>
      <c r="AY114" s="137">
        <f t="shared" si="37"/>
        <v>0.85</v>
      </c>
      <c r="AZ114" s="137"/>
      <c r="BA114" s="264"/>
      <c r="BB114" s="258">
        <f t="shared" si="38"/>
        <v>0</v>
      </c>
      <c r="BC114" s="258">
        <f t="shared" si="67"/>
        <v>0</v>
      </c>
      <c r="BD114" s="137">
        <f t="shared" si="68"/>
        <v>0</v>
      </c>
      <c r="BE114" s="137">
        <f t="shared" si="68"/>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-0.45187663113673437</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0.92777993663970204</v>
      </c>
      <c r="BP114" s="137"/>
      <c r="BQ114" s="137"/>
      <c r="BR114" s="137"/>
      <c r="BS114" s="137"/>
      <c r="BV114" s="262">
        <v>3.2540160642570277</v>
      </c>
      <c r="BW114" s="136">
        <v>3.2509999999999999</v>
      </c>
      <c r="BX114" s="137">
        <v>0.54</v>
      </c>
      <c r="BY114" s="137">
        <v>0.54</v>
      </c>
      <c r="BZ114" s="137">
        <v>0</v>
      </c>
      <c r="CA114" s="137">
        <v>2.3274064967752799E-2</v>
      </c>
      <c r="CB114" s="137">
        <v>0</v>
      </c>
      <c r="CC114" s="258">
        <v>0</v>
      </c>
      <c r="CD114" s="258">
        <v>0.03</v>
      </c>
      <c r="CE114" s="258">
        <v>0.04</v>
      </c>
      <c r="CF114" s="258">
        <v>0</v>
      </c>
      <c r="CG114" s="258">
        <v>5.9999999999999995E-4</v>
      </c>
      <c r="CH114" s="258">
        <v>0</v>
      </c>
      <c r="CI114" s="258">
        <v>3.2109999999999999</v>
      </c>
      <c r="CJ114" s="258"/>
      <c r="CK114" s="258"/>
      <c r="CL114" s="258"/>
      <c r="CM114" s="258"/>
    </row>
    <row r="115" spans="1:91" x14ac:dyDescent="0.25">
      <c r="A115" s="723"/>
      <c r="B115" s="723"/>
      <c r="D115" s="31">
        <f t="shared" si="69"/>
        <v>37575</v>
      </c>
      <c r="F115" s="28">
        <f t="shared" si="53"/>
        <v>15600</v>
      </c>
      <c r="G115" s="28">
        <f t="shared" si="54"/>
        <v>0</v>
      </c>
      <c r="H115" s="52">
        <f t="shared" si="55"/>
        <v>3.2540160642570277</v>
      </c>
      <c r="I115" s="52">
        <f t="shared" si="56"/>
        <v>3.2509999999999999</v>
      </c>
      <c r="K115" s="52">
        <f t="shared" si="70"/>
        <v>0</v>
      </c>
      <c r="L115" s="135">
        <f t="shared" si="71"/>
        <v>0</v>
      </c>
      <c r="N115" s="131">
        <f t="shared" si="72"/>
        <v>0.54</v>
      </c>
      <c r="O115" s="131">
        <f t="shared" si="73"/>
        <v>0.54</v>
      </c>
      <c r="P115" s="55">
        <f t="shared" si="74"/>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57"/>
        <v>0</v>
      </c>
      <c r="W115" s="146"/>
      <c r="X115" s="338">
        <f t="shared" si="58"/>
        <v>0</v>
      </c>
      <c r="Y115" s="338">
        <f t="shared" si="18"/>
        <v>0</v>
      </c>
      <c r="Z115" s="338">
        <f t="shared" si="19"/>
        <v>0</v>
      </c>
      <c r="AA115" s="338">
        <f t="shared" si="20"/>
        <v>0</v>
      </c>
      <c r="AB115" s="338">
        <f t="shared" si="59"/>
        <v>0</v>
      </c>
      <c r="AC115" s="338">
        <f t="shared" si="60"/>
        <v>0</v>
      </c>
      <c r="AF115" s="138">
        <f t="shared" si="61"/>
        <v>0</v>
      </c>
      <c r="AG115" s="138">
        <f t="shared" si="62"/>
        <v>11</v>
      </c>
      <c r="AH115" s="138">
        <f t="shared" si="63"/>
        <v>0</v>
      </c>
      <c r="AI115" s="138">
        <f t="shared" si="75"/>
        <v>319</v>
      </c>
      <c r="AJ115" s="138">
        <f t="shared" si="64"/>
        <v>336</v>
      </c>
      <c r="AL115" s="136">
        <f t="shared" si="27"/>
        <v>3.2109999999999999</v>
      </c>
      <c r="AM115" s="258">
        <f t="shared" si="48"/>
        <v>0</v>
      </c>
      <c r="AN115" s="258">
        <f t="shared" si="28"/>
        <v>0.03</v>
      </c>
      <c r="AO115" s="258">
        <f t="shared" si="29"/>
        <v>0.04</v>
      </c>
      <c r="AP115" s="258">
        <f t="shared" si="30"/>
        <v>0</v>
      </c>
      <c r="AQ115" s="136">
        <f t="shared" si="65"/>
        <v>5.9999999999999995E-4</v>
      </c>
      <c r="AR115" s="137">
        <f t="shared" si="32"/>
        <v>4.0000000000000001E-3</v>
      </c>
      <c r="AS115" s="136">
        <f t="shared" si="76"/>
        <v>3.2409999999999997</v>
      </c>
      <c r="AT115" s="137">
        <f t="shared" si="66"/>
        <v>2.3274064967752799E-2</v>
      </c>
      <c r="AU115" s="137">
        <f t="shared" si="34"/>
        <v>0</v>
      </c>
      <c r="AV115" s="394">
        <f t="shared" si="77"/>
        <v>0</v>
      </c>
      <c r="AW115" s="137">
        <f t="shared" si="35"/>
        <v>0.54</v>
      </c>
      <c r="AX115" s="137">
        <f t="shared" si="36"/>
        <v>0.95</v>
      </c>
      <c r="AY115" s="137">
        <f t="shared" si="37"/>
        <v>0.85</v>
      </c>
      <c r="AZ115" s="137"/>
      <c r="BA115" s="264"/>
      <c r="BB115" s="258">
        <f t="shared" si="38"/>
        <v>0</v>
      </c>
      <c r="BC115" s="258">
        <f t="shared" si="67"/>
        <v>0</v>
      </c>
      <c r="BD115" s="137">
        <f t="shared" si="68"/>
        <v>0</v>
      </c>
      <c r="BE115" s="137">
        <f t="shared" si="68"/>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-0.45187663113673437</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0.92777993663970204</v>
      </c>
      <c r="BP115" s="137"/>
      <c r="BQ115" s="137"/>
      <c r="BR115" s="137"/>
      <c r="BS115" s="137"/>
      <c r="BV115" s="262">
        <v>3.2540160642570277</v>
      </c>
      <c r="BW115" s="136">
        <v>3.2509999999999999</v>
      </c>
      <c r="BX115" s="137">
        <v>0.54</v>
      </c>
      <c r="BY115" s="137">
        <v>0.54</v>
      </c>
      <c r="BZ115" s="137">
        <v>0</v>
      </c>
      <c r="CA115" s="137">
        <v>2.3274064967752799E-2</v>
      </c>
      <c r="CB115" s="137">
        <v>0</v>
      </c>
      <c r="CC115" s="258">
        <v>0</v>
      </c>
      <c r="CD115" s="258">
        <v>0.03</v>
      </c>
      <c r="CE115" s="258">
        <v>0.04</v>
      </c>
      <c r="CF115" s="258">
        <v>0</v>
      </c>
      <c r="CG115" s="258">
        <v>5.9999999999999995E-4</v>
      </c>
      <c r="CH115" s="258">
        <v>0</v>
      </c>
      <c r="CI115" s="258">
        <v>3.2109999999999999</v>
      </c>
      <c r="CJ115" s="258"/>
      <c r="CK115" s="258"/>
      <c r="CL115" s="258"/>
      <c r="CM115" s="258"/>
    </row>
    <row r="116" spans="1:91" x14ac:dyDescent="0.25">
      <c r="A116" s="723"/>
      <c r="B116" s="723"/>
      <c r="D116" s="31">
        <f t="shared" si="69"/>
        <v>37575</v>
      </c>
      <c r="F116" s="28">
        <f t="shared" si="53"/>
        <v>15600</v>
      </c>
      <c r="G116" s="28">
        <f t="shared" si="54"/>
        <v>0</v>
      </c>
      <c r="H116" s="52">
        <f t="shared" si="55"/>
        <v>3.2540160642570277</v>
      </c>
      <c r="I116" s="52">
        <f t="shared" si="56"/>
        <v>3.2509999999999999</v>
      </c>
      <c r="K116" s="52">
        <f t="shared" si="70"/>
        <v>0</v>
      </c>
      <c r="L116" s="135">
        <f t="shared" si="71"/>
        <v>0</v>
      </c>
      <c r="N116" s="131">
        <f t="shared" si="72"/>
        <v>0.54</v>
      </c>
      <c r="O116" s="131">
        <f t="shared" si="73"/>
        <v>0.54</v>
      </c>
      <c r="P116" s="55">
        <f t="shared" si="74"/>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57"/>
        <v>0</v>
      </c>
      <c r="W116" s="146"/>
      <c r="X116" s="338">
        <f t="shared" si="58"/>
        <v>0</v>
      </c>
      <c r="Y116" s="338">
        <f t="shared" si="18"/>
        <v>0</v>
      </c>
      <c r="Z116" s="338">
        <f t="shared" si="19"/>
        <v>0</v>
      </c>
      <c r="AA116" s="338">
        <f t="shared" si="20"/>
        <v>0</v>
      </c>
      <c r="AB116" s="338">
        <f t="shared" si="59"/>
        <v>0</v>
      </c>
      <c r="AC116" s="338">
        <f t="shared" si="60"/>
        <v>0</v>
      </c>
      <c r="AF116" s="138">
        <f t="shared" si="61"/>
        <v>0</v>
      </c>
      <c r="AG116" s="138">
        <f t="shared" si="62"/>
        <v>11</v>
      </c>
      <c r="AH116" s="138">
        <f t="shared" si="63"/>
        <v>0</v>
      </c>
      <c r="AI116" s="138">
        <f t="shared" si="75"/>
        <v>319</v>
      </c>
      <c r="AJ116" s="138">
        <f t="shared" si="64"/>
        <v>336</v>
      </c>
      <c r="AL116" s="136">
        <f t="shared" si="27"/>
        <v>3.2109999999999999</v>
      </c>
      <c r="AM116" s="258">
        <f t="shared" si="48"/>
        <v>0</v>
      </c>
      <c r="AN116" s="258">
        <f t="shared" si="28"/>
        <v>0.03</v>
      </c>
      <c r="AO116" s="258">
        <f t="shared" si="29"/>
        <v>0.04</v>
      </c>
      <c r="AP116" s="258">
        <f t="shared" si="30"/>
        <v>0</v>
      </c>
      <c r="AQ116" s="136">
        <f t="shared" si="65"/>
        <v>5.9999999999999995E-4</v>
      </c>
      <c r="AR116" s="137">
        <f t="shared" si="32"/>
        <v>4.0000000000000001E-3</v>
      </c>
      <c r="AS116" s="136">
        <f t="shared" si="76"/>
        <v>3.2409999999999997</v>
      </c>
      <c r="AT116" s="137">
        <f t="shared" si="66"/>
        <v>2.3274064967752799E-2</v>
      </c>
      <c r="AU116" s="137">
        <f t="shared" si="34"/>
        <v>0</v>
      </c>
      <c r="AV116" s="394">
        <f t="shared" si="77"/>
        <v>0</v>
      </c>
      <c r="AW116" s="137">
        <f t="shared" si="35"/>
        <v>0.54</v>
      </c>
      <c r="AX116" s="137">
        <f t="shared" si="36"/>
        <v>0.95</v>
      </c>
      <c r="AY116" s="137">
        <f t="shared" si="37"/>
        <v>0.85</v>
      </c>
      <c r="AZ116" s="137"/>
      <c r="BA116" s="264"/>
      <c r="BB116" s="258">
        <f t="shared" si="38"/>
        <v>0</v>
      </c>
      <c r="BC116" s="258">
        <f t="shared" si="67"/>
        <v>0</v>
      </c>
      <c r="BD116" s="137">
        <f t="shared" si="68"/>
        <v>0</v>
      </c>
      <c r="BE116" s="137">
        <f t="shared" si="6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-0.45187663113673437</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0.92777993663970204</v>
      </c>
      <c r="BP116" s="137"/>
      <c r="BQ116" s="137"/>
      <c r="BR116" s="137"/>
      <c r="BS116" s="137"/>
      <c r="BV116" s="262">
        <v>3.2540160642570277</v>
      </c>
      <c r="BW116" s="136">
        <v>3.2509999999999999</v>
      </c>
      <c r="BX116" s="137">
        <v>0.54</v>
      </c>
      <c r="BY116" s="137">
        <v>0.54</v>
      </c>
      <c r="BZ116" s="137">
        <v>0</v>
      </c>
      <c r="CA116" s="137">
        <v>2.3274064967752799E-2</v>
      </c>
      <c r="CB116" s="137">
        <v>0</v>
      </c>
      <c r="CC116" s="258">
        <v>0</v>
      </c>
      <c r="CD116" s="258">
        <v>0.03</v>
      </c>
      <c r="CE116" s="258">
        <v>0.04</v>
      </c>
      <c r="CF116" s="258">
        <v>0</v>
      </c>
      <c r="CG116" s="258">
        <v>5.9999999999999995E-4</v>
      </c>
      <c r="CH116" s="258">
        <v>0</v>
      </c>
      <c r="CI116" s="258">
        <v>3.2109999999999999</v>
      </c>
      <c r="CJ116" s="258"/>
      <c r="CK116" s="258"/>
      <c r="CL116" s="258"/>
      <c r="CM116" s="258"/>
    </row>
    <row r="117" spans="1:91" x14ac:dyDescent="0.25">
      <c r="A117" s="723"/>
      <c r="B117" s="723"/>
      <c r="D117" s="31">
        <f t="shared" si="69"/>
        <v>37575</v>
      </c>
      <c r="F117" s="28">
        <f t="shared" si="53"/>
        <v>15600</v>
      </c>
      <c r="G117" s="28">
        <f t="shared" si="54"/>
        <v>0</v>
      </c>
      <c r="H117" s="52">
        <f t="shared" si="55"/>
        <v>3.2540160642570277</v>
      </c>
      <c r="I117" s="52">
        <f t="shared" si="56"/>
        <v>3.2509999999999999</v>
      </c>
      <c r="K117" s="52">
        <f t="shared" si="70"/>
        <v>0</v>
      </c>
      <c r="L117" s="135">
        <f t="shared" si="71"/>
        <v>0</v>
      </c>
      <c r="N117" s="131">
        <f t="shared" si="72"/>
        <v>0.54</v>
      </c>
      <c r="O117" s="131">
        <f t="shared" si="73"/>
        <v>0.54</v>
      </c>
      <c r="P117" s="55">
        <f t="shared" si="74"/>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57"/>
        <v>0</v>
      </c>
      <c r="W117" s="146"/>
      <c r="X117" s="338">
        <f t="shared" si="58"/>
        <v>0</v>
      </c>
      <c r="Y117" s="338">
        <f t="shared" si="18"/>
        <v>0</v>
      </c>
      <c r="Z117" s="338">
        <f t="shared" si="19"/>
        <v>0</v>
      </c>
      <c r="AA117" s="338">
        <f t="shared" si="20"/>
        <v>0</v>
      </c>
      <c r="AB117" s="338">
        <f t="shared" si="59"/>
        <v>0</v>
      </c>
      <c r="AC117" s="338">
        <f t="shared" si="60"/>
        <v>0</v>
      </c>
      <c r="AF117" s="138">
        <f t="shared" si="61"/>
        <v>0</v>
      </c>
      <c r="AG117" s="138">
        <f t="shared" si="62"/>
        <v>11</v>
      </c>
      <c r="AH117" s="138">
        <f t="shared" si="63"/>
        <v>0</v>
      </c>
      <c r="AI117" s="138">
        <f t="shared" si="75"/>
        <v>319</v>
      </c>
      <c r="AJ117" s="138">
        <f t="shared" si="64"/>
        <v>336</v>
      </c>
      <c r="AL117" s="136">
        <f t="shared" si="27"/>
        <v>3.2109999999999999</v>
      </c>
      <c r="AM117" s="258">
        <f t="shared" si="48"/>
        <v>0</v>
      </c>
      <c r="AN117" s="258">
        <f t="shared" si="28"/>
        <v>0.03</v>
      </c>
      <c r="AO117" s="258">
        <f t="shared" si="29"/>
        <v>0.04</v>
      </c>
      <c r="AP117" s="258">
        <f t="shared" si="30"/>
        <v>0</v>
      </c>
      <c r="AQ117" s="136">
        <f t="shared" si="65"/>
        <v>5.9999999999999995E-4</v>
      </c>
      <c r="AR117" s="137">
        <f t="shared" si="32"/>
        <v>4.0000000000000001E-3</v>
      </c>
      <c r="AS117" s="136">
        <f t="shared" si="76"/>
        <v>3.2409999999999997</v>
      </c>
      <c r="AT117" s="137">
        <f t="shared" si="66"/>
        <v>2.3274064967752799E-2</v>
      </c>
      <c r="AU117" s="137">
        <f t="shared" si="34"/>
        <v>0</v>
      </c>
      <c r="AV117" s="394">
        <f t="shared" si="77"/>
        <v>0</v>
      </c>
      <c r="AW117" s="137">
        <f t="shared" si="35"/>
        <v>0.54</v>
      </c>
      <c r="AX117" s="137">
        <f t="shared" si="36"/>
        <v>0.95</v>
      </c>
      <c r="AY117" s="137">
        <f t="shared" si="37"/>
        <v>0.85</v>
      </c>
      <c r="AZ117" s="137"/>
      <c r="BA117" s="264"/>
      <c r="BB117" s="258">
        <f t="shared" si="38"/>
        <v>0</v>
      </c>
      <c r="BC117" s="258">
        <f t="shared" si="67"/>
        <v>0</v>
      </c>
      <c r="BD117" s="137">
        <f t="shared" si="68"/>
        <v>0</v>
      </c>
      <c r="BE117" s="137">
        <f t="shared" si="6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-0.45187663113673437</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0.92777993663970204</v>
      </c>
      <c r="BP117" s="137"/>
      <c r="BQ117" s="137"/>
      <c r="BR117" s="137"/>
      <c r="BS117" s="137"/>
      <c r="BV117" s="262">
        <v>3.2540160642570277</v>
      </c>
      <c r="BW117" s="136">
        <v>3.2509999999999999</v>
      </c>
      <c r="BX117" s="137">
        <v>0.54</v>
      </c>
      <c r="BY117" s="137">
        <v>0.54</v>
      </c>
      <c r="BZ117" s="137">
        <v>0</v>
      </c>
      <c r="CA117" s="137">
        <v>2.3274064967752799E-2</v>
      </c>
      <c r="CB117" s="137">
        <v>0</v>
      </c>
      <c r="CC117" s="258">
        <v>0</v>
      </c>
      <c r="CD117" s="258">
        <v>0.03</v>
      </c>
      <c r="CE117" s="258">
        <v>0.04</v>
      </c>
      <c r="CF117" s="258">
        <v>0</v>
      </c>
      <c r="CG117" s="258">
        <v>5.9999999999999995E-4</v>
      </c>
      <c r="CH117" s="258">
        <v>0</v>
      </c>
      <c r="CI117" s="258">
        <v>3.2109999999999999</v>
      </c>
      <c r="CJ117" s="258"/>
      <c r="CK117" s="258"/>
      <c r="CL117" s="258"/>
      <c r="CM117" s="258"/>
    </row>
    <row r="118" spans="1:91" x14ac:dyDescent="0.25">
      <c r="A118" s="723"/>
      <c r="B118" s="723"/>
    </row>
    <row r="119" spans="1:91" x14ac:dyDescent="0.25">
      <c r="A119" s="723"/>
      <c r="B119" s="723"/>
    </row>
    <row r="120" spans="1:91" x14ac:dyDescent="0.25">
      <c r="A120" s="723"/>
      <c r="B120" s="723"/>
    </row>
    <row r="121" spans="1:91" x14ac:dyDescent="0.25">
      <c r="A121" s="723"/>
      <c r="B121" s="723"/>
    </row>
    <row r="122" spans="1:91" x14ac:dyDescent="0.25">
      <c r="A122" s="723"/>
      <c r="B122" s="723"/>
    </row>
    <row r="123" spans="1:91" x14ac:dyDescent="0.25">
      <c r="A123" s="723"/>
      <c r="B123" s="723"/>
    </row>
    <row r="124" spans="1:91" x14ac:dyDescent="0.25">
      <c r="A124" s="723"/>
      <c r="B124" s="723"/>
    </row>
    <row r="125" spans="1:91" x14ac:dyDescent="0.25">
      <c r="A125" s="723"/>
      <c r="B125" s="723"/>
    </row>
    <row r="126" spans="1:91" x14ac:dyDescent="0.25">
      <c r="A126" s="723"/>
      <c r="B126" s="723"/>
    </row>
    <row r="127" spans="1:91" x14ac:dyDescent="0.25">
      <c r="A127" s="723"/>
      <c r="B127" s="723"/>
    </row>
    <row r="128" spans="1:91" x14ac:dyDescent="0.25">
      <c r="A128" s="723"/>
      <c r="B128" s="723"/>
    </row>
    <row r="129" spans="1:2" x14ac:dyDescent="0.25">
      <c r="A129" s="723"/>
      <c r="B129" s="723"/>
    </row>
  </sheetData>
  <sheetCalcPr fullCalcOnLoad="1"/>
  <mergeCells count="133">
    <mergeCell ref="A123:B123"/>
    <mergeCell ref="A124:B124"/>
    <mergeCell ref="A129:B129"/>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C27"/>
    <mergeCell ref="A28:B28"/>
    <mergeCell ref="A29:B29"/>
    <mergeCell ref="A30:B30"/>
    <mergeCell ref="A31:B31"/>
    <mergeCell ref="A32:B32"/>
    <mergeCell ref="AO20:AP20"/>
    <mergeCell ref="A22:B22"/>
    <mergeCell ref="A23:B23"/>
    <mergeCell ref="A24:B24"/>
    <mergeCell ref="A25:B25"/>
    <mergeCell ref="A26:B26"/>
    <mergeCell ref="L15:M15"/>
    <mergeCell ref="L16:M16"/>
    <mergeCell ref="L17:M17"/>
    <mergeCell ref="L18:M18"/>
    <mergeCell ref="L19:M19"/>
    <mergeCell ref="AM20:AN20"/>
    <mergeCell ref="D10:H10"/>
    <mergeCell ref="L10:M10"/>
    <mergeCell ref="L11:M11"/>
    <mergeCell ref="L12:M12"/>
    <mergeCell ref="L13:M13"/>
    <mergeCell ref="L14:M14"/>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6369"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6370"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X129"/>
  <sheetViews>
    <sheetView topLeftCell="AK2" workbookViewId="0">
      <selection activeCell="CI21" sqref="CI21:CI117"/>
    </sheetView>
  </sheetViews>
  <sheetFormatPr defaultColWidth="9.109375" defaultRowHeight="13.2" x14ac:dyDescent="0.25"/>
  <cols>
    <col min="1" max="3" width="3.6640625" style="29" customWidth="1"/>
    <col min="4" max="4" width="15.6640625" style="31" customWidth="1"/>
    <col min="5" max="5" width="3.6640625" style="31" customWidth="1"/>
    <col min="6" max="7" width="15.6640625" style="28" customWidth="1"/>
    <col min="8" max="9" width="15.6640625" style="52" customWidth="1"/>
    <col min="10" max="10" width="3.6640625" style="29" customWidth="1"/>
    <col min="11" max="11" width="17.109375" style="29" customWidth="1"/>
    <col min="12" max="12" width="17.88671875" style="29" customWidth="1"/>
    <col min="13" max="13" width="3.6640625" style="29" customWidth="1"/>
    <col min="14" max="15" width="15.6640625" style="29" customWidth="1"/>
    <col min="16" max="16" width="15.6640625" style="28" customWidth="1"/>
    <col min="17" max="17" width="16.44140625" style="30" customWidth="1"/>
    <col min="18" max="18" width="3.6640625" style="30" customWidth="1"/>
    <col min="19" max="19" width="19.88671875" style="181" customWidth="1"/>
    <col min="20" max="20" width="15.6640625" style="181" customWidth="1"/>
    <col min="21" max="21" width="3.6640625" style="30" customWidth="1"/>
    <col min="22" max="22" width="15.6640625" style="30" customWidth="1"/>
    <col min="23" max="23" width="3.6640625" style="30" customWidth="1"/>
    <col min="24" max="24" width="15.6640625" style="30" customWidth="1"/>
    <col min="25" max="29" width="15.6640625" style="334" customWidth="1"/>
    <col min="30" max="30" width="3.6640625" style="143" customWidth="1"/>
    <col min="31" max="31" width="3.6640625" style="147" customWidth="1"/>
    <col min="32" max="36" width="11.6640625" style="34" customWidth="1"/>
    <col min="37" max="37" width="11.6640625" style="136" customWidth="1"/>
    <col min="38" max="40" width="10.6640625" style="136" customWidth="1"/>
    <col min="41" max="41" width="10.6640625" style="137" customWidth="1"/>
    <col min="42" max="46" width="10.6640625" style="136" customWidth="1"/>
    <col min="47" max="47" width="10.6640625" style="137" customWidth="1"/>
    <col min="48" max="49" width="10.6640625" style="55" customWidth="1"/>
    <col min="50" max="51" width="11" style="55" customWidth="1"/>
    <col min="52" max="52" width="3.6640625" style="55" customWidth="1"/>
    <col min="53" max="53" width="3.6640625" style="263" customWidth="1"/>
    <col min="54" max="71" width="15.6640625" style="55" customWidth="1"/>
    <col min="72" max="72" width="3.6640625" style="29" customWidth="1"/>
    <col min="73" max="73" width="3.6640625" style="191" customWidth="1"/>
    <col min="74" max="74" width="15.6640625" style="147" customWidth="1"/>
    <col min="75" max="91" width="15.6640625" style="29" customWidth="1"/>
    <col min="92" max="16384" width="9.109375" style="29"/>
  </cols>
  <sheetData>
    <row r="1" spans="1:102" ht="16.2" thickBot="1" x14ac:dyDescent="0.35">
      <c r="A1" s="180" t="s">
        <v>195</v>
      </c>
      <c r="D1" s="249" t="s">
        <v>187</v>
      </c>
      <c r="F1" s="708" t="str">
        <f>GetPipeName($AH$12,$AH$13)</f>
        <v>NBPL</v>
      </c>
      <c r="G1" s="709"/>
      <c r="L1" s="710" t="s">
        <v>152</v>
      </c>
      <c r="M1" s="711"/>
      <c r="N1" s="711"/>
      <c r="O1" s="711"/>
      <c r="P1" s="712"/>
      <c r="Q1" s="29"/>
      <c r="AE1" s="715" t="s">
        <v>153</v>
      </c>
      <c r="AF1" s="716"/>
      <c r="AG1" s="716"/>
      <c r="AH1" s="716"/>
      <c r="AI1" s="716"/>
      <c r="AJ1" s="716"/>
      <c r="AK1" s="717"/>
      <c r="AV1" s="138" t="str">
        <f ca="1">MID(CELL("filename",A1),FIND("]",CELL("filename",A1))+1,LEN(CELL("filename",A1))-FIND("]",CELL("filename",A1)))</f>
        <v>LongTerm108</v>
      </c>
      <c r="BA1" s="715" t="s">
        <v>213</v>
      </c>
      <c r="BB1" s="716"/>
      <c r="BC1" s="716"/>
      <c r="BD1" s="716"/>
      <c r="BE1" s="716"/>
      <c r="BF1" s="716"/>
      <c r="BG1" s="716"/>
      <c r="BH1" s="717"/>
      <c r="BU1" s="715" t="s">
        <v>162</v>
      </c>
      <c r="BV1" s="716"/>
      <c r="BW1" s="716"/>
      <c r="BX1" s="716"/>
      <c r="BY1" s="716"/>
      <c r="BZ1" s="716"/>
      <c r="CA1" s="716"/>
      <c r="CB1" s="717"/>
    </row>
    <row r="2" spans="1:102" ht="16.2" thickBot="1" x14ac:dyDescent="0.35">
      <c r="A2" s="269" t="str">
        <f>ADDRESS(ROW($L$3),COLUMN($L$3))</f>
        <v>$L$3</v>
      </c>
      <c r="D2" s="165">
        <v>108</v>
      </c>
      <c r="F2" s="178" t="str">
        <f>GetRcptPoint($AH$12,$AH$13)</f>
        <v>Ventura</v>
      </c>
      <c r="G2" s="179" t="str">
        <f>GetDelPoint($AH$12,$AH$13)</f>
        <v>Harper</v>
      </c>
      <c r="L2" s="52"/>
      <c r="N2" s="31">
        <f>TodayDate</f>
        <v>37242</v>
      </c>
      <c r="O2" s="31">
        <v>37239</v>
      </c>
      <c r="P2" s="29"/>
      <c r="Q2" s="29"/>
      <c r="AL2" s="138">
        <v>1</v>
      </c>
      <c r="AM2" s="138">
        <v>2</v>
      </c>
      <c r="AN2" s="138">
        <v>3</v>
      </c>
      <c r="AO2" s="138">
        <v>4</v>
      </c>
      <c r="AP2" s="138">
        <v>5</v>
      </c>
      <c r="AQ2" s="138">
        <v>6</v>
      </c>
      <c r="AR2" s="138">
        <v>7</v>
      </c>
      <c r="AS2" s="138">
        <v>8</v>
      </c>
      <c r="AT2" s="138">
        <v>9</v>
      </c>
      <c r="AV2" s="339" t="str">
        <f>ADDRESS(ROW($F$22),COLUMN($F$22))</f>
        <v>$F$22</v>
      </c>
      <c r="AW2" s="138" t="str">
        <f ca="1">GetEnd($AV$1,AV2)</f>
        <v>$F$117</v>
      </c>
      <c r="AX2" s="339" t="str">
        <f>ADDRESS(ROW($G$22),COLUMN($G$22))</f>
        <v>$G$22</v>
      </c>
      <c r="AY2" s="138" t="str">
        <f ca="1">GetEnd($AV$1,AX2)</f>
        <v>$G$117</v>
      </c>
      <c r="BV2" s="286" t="s">
        <v>233</v>
      </c>
      <c r="BW2" s="285" t="str">
        <f>ADDRESS(ROW($H$21),COLUMN($H$21))</f>
        <v>$H$21</v>
      </c>
      <c r="BX2" s="285" t="str">
        <f>ADDRESS(ROW($BV$21),COLUMN($BV$21))</f>
        <v>$BV$21</v>
      </c>
      <c r="BY2" s="285" t="str">
        <f>ADDRESS(ROW($I$21),COLUMN($I$21))</f>
        <v>$I$21</v>
      </c>
      <c r="BZ2" s="285" t="str">
        <f>ADDRESS(ROW($BW$21),COLUMN($BW$21))</f>
        <v>$BW$21</v>
      </c>
      <c r="CA2" s="285" t="str">
        <f>ADDRESS(ROW($N$21),COLUMN($N$21))</f>
        <v>$N$21</v>
      </c>
      <c r="CB2" s="285" t="str">
        <f>ADDRESS(ROW($BX$21),COLUMN($BX$21))</f>
        <v>$BX$21</v>
      </c>
      <c r="CC2" s="285" t="str">
        <f>ADDRESS(ROW($O$21),COLUMN($O$21))</f>
        <v>$O$21</v>
      </c>
      <c r="CD2" s="285" t="str">
        <f>ADDRESS(ROW($BY$21),COLUMN($BY$21))</f>
        <v>$BY$21</v>
      </c>
      <c r="CE2" s="285" t="str">
        <f>ADDRESS(ROW($P$21),COLUMN($P$21))</f>
        <v>$P$21</v>
      </c>
      <c r="CF2" s="285" t="str">
        <f>ADDRESS(ROW($BZ$21),COLUMN($BZ$21))</f>
        <v>$BZ$21</v>
      </c>
      <c r="CG2" s="285" t="str">
        <f>ADDRESS(ROW($AT$21),COLUMN($AT$21))</f>
        <v>$AT$21</v>
      </c>
      <c r="CH2" s="285" t="str">
        <f>ADDRESS(ROW($CA$21),COLUMN($CA$21))</f>
        <v>$CA$21</v>
      </c>
      <c r="CI2" s="285" t="str">
        <f>ADDRESS(ROW($AU$21),COLUMN($AU$21))</f>
        <v>$AU$21</v>
      </c>
      <c r="CJ2" s="285" t="str">
        <f>ADDRESS(ROW($CB$21),COLUMN($CB$21))</f>
        <v>$CB$21</v>
      </c>
      <c r="CK2" s="285" t="str">
        <f>ADDRESS(ROW($AM$21),COLUMN($AM$21))</f>
        <v>$AM$21</v>
      </c>
      <c r="CL2" s="285" t="str">
        <f>ADDRESS(ROW($CC$21),COLUMN($CC$21))</f>
        <v>$CC$21</v>
      </c>
      <c r="CM2" s="285" t="str">
        <f>ADDRESS(ROW($AN$21),COLUMN($AN$21))</f>
        <v>$AN$21</v>
      </c>
      <c r="CN2" s="285" t="str">
        <f>ADDRESS(ROW($CD$21),COLUMN($CD$21))</f>
        <v>$CD$21</v>
      </c>
      <c r="CO2" s="285" t="str">
        <f>ADDRESS(ROW($AO$21),COLUMN($AO$21))</f>
        <v>$AO$21</v>
      </c>
      <c r="CP2" s="285" t="str">
        <f>ADDRESS(ROW($CE$21),COLUMN($CE$21))</f>
        <v>$CE$21</v>
      </c>
      <c r="CQ2" s="285" t="str">
        <f>ADDRESS(ROW($AP$21),COLUMN($AP$21))</f>
        <v>$AP$21</v>
      </c>
      <c r="CR2" s="285" t="str">
        <f>ADDRESS(ROW($CF$21),COLUMN($CF$21))</f>
        <v>$CF$21</v>
      </c>
      <c r="CS2" s="285" t="str">
        <f>ADDRESS(ROW($AQ$21),COLUMN($AQ$21))</f>
        <v>$AQ$21</v>
      </c>
      <c r="CT2" s="285" t="str">
        <f>ADDRESS(ROW($CG$21),COLUMN($CG$21))</f>
        <v>$CG$21</v>
      </c>
      <c r="CU2" s="285" t="str">
        <f>ADDRESS(ROW($V$21),COLUMN($V$21))</f>
        <v>$V$21</v>
      </c>
      <c r="CV2" s="285" t="str">
        <f>ADDRESS(ROW($CH$21),COLUMN($CH$21))</f>
        <v>$CH$21</v>
      </c>
      <c r="CW2" s="285" t="str">
        <f>ADDRESS(ROW($AL$21),COLUMN($AL$21))</f>
        <v>$AL$21</v>
      </c>
      <c r="CX2" s="285" t="str">
        <f>ADDRESS(ROW($CI$21),COLUMN($CI$21))</f>
        <v>$CI$21</v>
      </c>
    </row>
    <row r="3" spans="1:102" x14ac:dyDescent="0.25">
      <c r="A3" s="269" t="str">
        <f>ADDRESS(ROW($D$22),COLUMN($D$22))</f>
        <v>$D$22</v>
      </c>
      <c r="L3" s="713"/>
      <c r="M3" s="714"/>
      <c r="N3" s="163" t="s">
        <v>28</v>
      </c>
      <c r="O3" s="164" t="s">
        <v>150</v>
      </c>
      <c r="P3" s="255" t="s">
        <v>151</v>
      </c>
      <c r="AF3" s="28"/>
      <c r="AG3" s="103" t="s">
        <v>31</v>
      </c>
      <c r="AH3" s="106">
        <f>GetRcptBasisCol($AH$12,$AH$13)</f>
        <v>20</v>
      </c>
      <c r="AI3" s="29"/>
      <c r="AJ3" s="103" t="s">
        <v>73</v>
      </c>
      <c r="AK3" s="106" t="str">
        <f>NymexCurve</f>
        <v>Nymex Mid</v>
      </c>
      <c r="AL3" s="32" t="s">
        <v>36</v>
      </c>
      <c r="AM3" s="49" t="s">
        <v>10</v>
      </c>
      <c r="AN3" s="54" t="s">
        <v>11</v>
      </c>
      <c r="AO3" s="56" t="s">
        <v>12</v>
      </c>
      <c r="AP3" s="54" t="s">
        <v>17</v>
      </c>
      <c r="AQ3" s="54" t="s">
        <v>42</v>
      </c>
      <c r="AR3" s="53" t="s">
        <v>43</v>
      </c>
      <c r="AS3" s="364" t="s">
        <v>13</v>
      </c>
      <c r="AT3" s="33" t="s">
        <v>39</v>
      </c>
      <c r="AV3" s="339" t="str">
        <f>ADDRESS(ROW($AF$22),COLUMN($AF$22))</f>
        <v>$AF$22</v>
      </c>
      <c r="AW3" s="138" t="str">
        <f ca="1">GetEnd($AV$1,AV3)</f>
        <v>$AF$117</v>
      </c>
      <c r="AX3" s="339" t="str">
        <f>ADDRESS(ROW($AH$22),COLUMN($AH$22))</f>
        <v>$AH$22</v>
      </c>
      <c r="AY3" s="138" t="str">
        <f ca="1">GetEnd($AV$1,AX3)</f>
        <v>$AH$117</v>
      </c>
    </row>
    <row r="4" spans="1:102" x14ac:dyDescent="0.25">
      <c r="A4" s="269" t="str">
        <f>ADDRESS(ROW($S$22),COLUMN($S$22))</f>
        <v>$S$22</v>
      </c>
      <c r="L4" s="721" t="s">
        <v>201</v>
      </c>
      <c r="M4" s="722"/>
      <c r="N4" s="352">
        <f ca="1">SUMPRODUCT(INDIRECT(CONCATENATE(AV4,":",AW4)),INDIRECT(CONCATENATE($AV$2,":",$AW$2)),INDIRECT(CONCATENATE($AV$3,":",$AW$3)))</f>
        <v>613083.14763156464</v>
      </c>
      <c r="O4" s="352">
        <v>612947.31000000006</v>
      </c>
      <c r="P4" s="354">
        <f ca="1">N4-O4</f>
        <v>135.83763156458735</v>
      </c>
      <c r="S4" s="427" t="s">
        <v>635</v>
      </c>
      <c r="T4" s="422">
        <f ca="1">SUMPRODUCT(INDIRECT(CONCATENATE(V4,":",W4)),INDIRECT(CONCATENATE(AV2,":",AW2)),INDIRECT(CONCATENATE(AV3,":",AW3)))</f>
        <v>251339.25123064886</v>
      </c>
      <c r="V4" s="30" t="str">
        <f>ADDRESS(ROW(K22),COLUMN(K22))</f>
        <v>$K$22</v>
      </c>
      <c r="W4" s="30" t="str">
        <f ca="1">GetEnd($AV$1,V4)</f>
        <v>$K$117</v>
      </c>
      <c r="AF4" s="28"/>
      <c r="AG4" s="103" t="s">
        <v>32</v>
      </c>
      <c r="AH4" s="104">
        <f>GetRcptIndexCol($AH$12,$AH$13)</f>
        <v>21</v>
      </c>
      <c r="AI4" s="29"/>
      <c r="AJ4" s="103" t="s">
        <v>72</v>
      </c>
      <c r="AK4" s="104">
        <f>GetNymexCol(AK3)</f>
        <v>3</v>
      </c>
      <c r="AL4" s="34">
        <v>1</v>
      </c>
      <c r="AM4" s="45">
        <f>GetVolume($AH$12,$AH$13,AT4)</f>
        <v>27600</v>
      </c>
      <c r="AN4" s="46">
        <f>GetCommodity($AH$12,$AH$13,AT4)</f>
        <v>5.9999999999999995E-4</v>
      </c>
      <c r="AO4" s="47">
        <f>GetFuelRate($AH$12,$AH$13,AT4)</f>
        <v>4.0000000000000001E-3</v>
      </c>
      <c r="AP4" s="46">
        <f t="shared" ref="AP4:AP15" si="0">GetSurcharge($AH$12,$AH$13,$AT4)</f>
        <v>0</v>
      </c>
      <c r="AQ4" s="46">
        <f t="shared" ref="AQ4:AQ15" si="1">GetRcptIndexAdj($AH$12,$AH$13,$AT4)</f>
        <v>0</v>
      </c>
      <c r="AR4" s="132">
        <f t="shared" ref="AR4:AR15" si="2">GetDelIndexAdj($AH$12,$AH$13,$AT4)</f>
        <v>0</v>
      </c>
      <c r="AS4" s="48">
        <f t="shared" ref="AS4:AS15" si="3">GetDemandRate($AH$12,$AH$13,$AT4)</f>
        <v>0.05</v>
      </c>
      <c r="AT4" s="35">
        <f>gettier($AH$12,$AH$13,AL4)</f>
        <v>1</v>
      </c>
      <c r="AV4" s="339" t="str">
        <f>ADDRESS(ROW($Q$22),COLUMN($Q$22))</f>
        <v>$Q$22</v>
      </c>
      <c r="AW4" s="138" t="str">
        <f ca="1">GetEnd($AV$1,AV4)</f>
        <v>$Q$117</v>
      </c>
      <c r="AX4" s="339" t="str">
        <f>ADDRESS(ROW($K$22),COLUMN($K$22))</f>
        <v>$K$22</v>
      </c>
      <c r="AY4" s="138" t="str">
        <f ca="1">GetEnd($AV$1,AX4)</f>
        <v>$K$117</v>
      </c>
      <c r="BV4" s="267" t="s">
        <v>150</v>
      </c>
    </row>
    <row r="5" spans="1:102" x14ac:dyDescent="0.25">
      <c r="A5" s="269" t="str">
        <f>ADDRESS(ROW($S$20),COLUMN($S$20))</f>
        <v>$S$20</v>
      </c>
      <c r="F5" s="186" t="s">
        <v>160</v>
      </c>
      <c r="G5" s="188">
        <f>TodayDate</f>
        <v>37242</v>
      </c>
      <c r="L5" s="706" t="s">
        <v>13</v>
      </c>
      <c r="M5" s="707"/>
      <c r="N5" s="352">
        <f ca="1">SUMPRODUCT(INDIRECT(CONCATENATE(AV5,":",AW5)),INDIRECT(CONCATENATE($AV$2,":",$AW$2)),INDIRECT(CONCATENATE($AV$3,":",$AW$3)))</f>
        <v>484105.62760724686</v>
      </c>
      <c r="O5" s="352">
        <v>483993.17</v>
      </c>
      <c r="P5" s="355">
        <f ca="1">N5-O5</f>
        <v>112.45760724687716</v>
      </c>
      <c r="S5" s="428" t="s">
        <v>636</v>
      </c>
      <c r="T5" s="423">
        <f ca="1">SUMPRODUCT(INDIRECT(CONCATENATE(V5,":",W5)),INDIRECT(CONCATENATE(AV2,":",AW2)),INDIRECT(CONCATENATE(AV3,":",AW3)))</f>
        <v>361743.89640091569</v>
      </c>
      <c r="V5" s="30" t="str">
        <f>ADDRESS(ROW(L22),COLUMN(L22))</f>
        <v>$L$22</v>
      </c>
      <c r="W5" s="30" t="str">
        <f ca="1">GetEnd($AV$1,V5)</f>
        <v>$L$117</v>
      </c>
      <c r="AF5" s="28"/>
      <c r="AG5" s="103" t="s">
        <v>33</v>
      </c>
      <c r="AH5" s="104">
        <f>GetDelBasisCol($AH$12,$AH$13)</f>
        <v>122</v>
      </c>
      <c r="AI5" s="29"/>
      <c r="AJ5" s="103" t="s">
        <v>77</v>
      </c>
      <c r="AK5" s="104" t="str">
        <f>LiborCurve</f>
        <v>Libor AA</v>
      </c>
      <c r="AL5" s="34">
        <v>2</v>
      </c>
      <c r="AM5" s="37">
        <f t="shared" ref="AM5:AM15" si="4">GetVolume($AH$12,$AH$13,AT5)</f>
        <v>27600</v>
      </c>
      <c r="AN5" s="38">
        <f t="shared" ref="AN5:AN15" si="5">GetCommodity($AH$12,$AH$13,AT5)</f>
        <v>5.9999999999999995E-4</v>
      </c>
      <c r="AO5" s="39">
        <f t="shared" ref="AO5:AO15" si="6">GetFuelRate($AH$12,$AH$13,AT5)</f>
        <v>4.0000000000000001E-3</v>
      </c>
      <c r="AP5" s="38">
        <f t="shared" si="0"/>
        <v>0</v>
      </c>
      <c r="AQ5" s="38">
        <f t="shared" si="1"/>
        <v>0</v>
      </c>
      <c r="AR5" s="133">
        <f t="shared" si="2"/>
        <v>0</v>
      </c>
      <c r="AS5" s="40">
        <f t="shared" si="3"/>
        <v>0.05</v>
      </c>
      <c r="AT5" s="35">
        <f t="shared" ref="AT5:AT15" si="7">gettier($AH$12,$AH$13,AL5)</f>
        <v>1</v>
      </c>
      <c r="AV5" s="339" t="str">
        <f>ADDRESS(ROW($V$22),COLUMN($V$22))</f>
        <v>$V$22</v>
      </c>
      <c r="AW5" s="138" t="str">
        <f ca="1">GetEnd($AV$1,AV5)</f>
        <v>$V$117</v>
      </c>
      <c r="AX5" s="339" t="str">
        <f>ADDRESS(ROW($L$22),COLUMN($L$22))</f>
        <v>$L$22</v>
      </c>
      <c r="AY5" s="138" t="str">
        <f ca="1">GetEnd($AV$1,AX5)</f>
        <v>$L$117</v>
      </c>
      <c r="BV5" s="266">
        <f>O2</f>
        <v>37239</v>
      </c>
    </row>
    <row r="6" spans="1:102" x14ac:dyDescent="0.25">
      <c r="A6" s="269" t="str">
        <f>ADDRESS(ROW($BW$2),COLUMN($BW$2))</f>
        <v>$BW$2</v>
      </c>
      <c r="F6" s="187"/>
      <c r="G6" s="187"/>
      <c r="L6" s="704" t="s">
        <v>149</v>
      </c>
      <c r="M6" s="705"/>
      <c r="N6" s="356">
        <f ca="1">N4-N5</f>
        <v>128977.52002431778</v>
      </c>
      <c r="O6" s="357">
        <v>128954.14</v>
      </c>
      <c r="P6" s="358">
        <f ca="1">N6-O6</f>
        <v>23.380024317782954</v>
      </c>
      <c r="S6" s="428" t="s">
        <v>637</v>
      </c>
      <c r="T6" s="424">
        <f ca="1">SUMPRODUCT(INDIRECT(CONCATENATE(V6,":",W6)),INDIRECT(CONCATENATE(AV3,":",AW3)),INDIRECT(CONCATENATE(AX3,":",AY3)))</f>
        <v>9682112.5521449372</v>
      </c>
      <c r="V6" s="30" t="str">
        <f>ADDRESS(ROW(G22),COLUMN(G22))</f>
        <v>$G$22</v>
      </c>
      <c r="W6" s="30" t="str">
        <f ca="1">GetEnd($AV$1,V6)</f>
        <v>$G$117</v>
      </c>
      <c r="AF6" s="28"/>
      <c r="AG6" s="103" t="s">
        <v>34</v>
      </c>
      <c r="AH6" s="104">
        <f>GetDelIndexCol($AH$12,$AH$13)</f>
        <v>123</v>
      </c>
      <c r="AI6" s="29"/>
      <c r="AJ6" s="103" t="s">
        <v>79</v>
      </c>
      <c r="AK6" s="104">
        <f>GetLiborCol(AK5)</f>
        <v>4</v>
      </c>
      <c r="AL6" s="34">
        <v>3</v>
      </c>
      <c r="AM6" s="37">
        <f t="shared" si="4"/>
        <v>27600</v>
      </c>
      <c r="AN6" s="38">
        <f t="shared" si="5"/>
        <v>5.9999999999999995E-4</v>
      </c>
      <c r="AO6" s="39">
        <f t="shared" si="6"/>
        <v>4.0000000000000001E-3</v>
      </c>
      <c r="AP6" s="38">
        <f t="shared" si="0"/>
        <v>0</v>
      </c>
      <c r="AQ6" s="38">
        <f t="shared" si="1"/>
        <v>0</v>
      </c>
      <c r="AR6" s="133">
        <f t="shared" si="2"/>
        <v>0</v>
      </c>
      <c r="AS6" s="40">
        <f t="shared" si="3"/>
        <v>0.05</v>
      </c>
      <c r="AT6" s="35">
        <f t="shared" si="7"/>
        <v>1</v>
      </c>
      <c r="AX6" s="339"/>
      <c r="AY6" s="138"/>
    </row>
    <row r="7" spans="1:102" x14ac:dyDescent="0.25">
      <c r="A7" s="269" t="str">
        <f>ADDRESS(ROW($AH$12),COLUMN($AH$12))</f>
        <v>$AH$12</v>
      </c>
      <c r="F7" s="186" t="s">
        <v>25</v>
      </c>
      <c r="G7" s="189">
        <f>GetMonthStart($AH$12,$AH$13,G5)</f>
        <v>37561</v>
      </c>
      <c r="L7" s="706" t="s">
        <v>625</v>
      </c>
      <c r="M7" s="707"/>
      <c r="N7" s="352">
        <f t="array" aca="1" ref="N7" ca="1">SUM((INDIRECT(CONCATENATE(AV7,":",AW7))-INDIRECT(CONCATENATE(AX18,":",AY18)))*INDIRECT(CONCATENATE(AX7,":",AY7))*INDIRECT(CONCATENATE(AV3,":",AW3)))</f>
        <v>0</v>
      </c>
      <c r="O7" s="421">
        <v>1315.45</v>
      </c>
      <c r="P7" s="355">
        <f ca="1">N7</f>
        <v>0</v>
      </c>
      <c r="S7" s="428" t="s">
        <v>638</v>
      </c>
      <c r="T7" s="425">
        <f ca="1">T5/T6</f>
        <v>3.7362083373093651E-2</v>
      </c>
      <c r="AF7" s="28"/>
      <c r="AG7" s="103" t="s">
        <v>76</v>
      </c>
      <c r="AH7" s="104">
        <f>GetRcptOmicronCol($AH$12,$AH$13)</f>
        <v>10</v>
      </c>
      <c r="AI7" s="29"/>
      <c r="AJ7" s="103" t="s">
        <v>80</v>
      </c>
      <c r="AK7" s="104" t="str">
        <f>Configuration!$D$8</f>
        <v>Nymex Vol</v>
      </c>
      <c r="AL7" s="34">
        <v>4</v>
      </c>
      <c r="AM7" s="37">
        <f t="shared" si="4"/>
        <v>27600</v>
      </c>
      <c r="AN7" s="38">
        <f t="shared" si="5"/>
        <v>5.9999999999999995E-4</v>
      </c>
      <c r="AO7" s="39">
        <f t="shared" si="6"/>
        <v>4.0000000000000001E-3</v>
      </c>
      <c r="AP7" s="38">
        <f t="shared" si="0"/>
        <v>0</v>
      </c>
      <c r="AQ7" s="38">
        <f t="shared" si="1"/>
        <v>0</v>
      </c>
      <c r="AR7" s="133">
        <f t="shared" si="2"/>
        <v>0</v>
      </c>
      <c r="AS7" s="40">
        <f t="shared" si="3"/>
        <v>0.05</v>
      </c>
      <c r="AT7" s="35">
        <f t="shared" si="7"/>
        <v>1</v>
      </c>
      <c r="AU7" s="361" t="s">
        <v>574</v>
      </c>
      <c r="AV7" s="339" t="str">
        <f>ADDRESS(ROW($AL$22),COLUMN($AL$22))</f>
        <v>$AL$22</v>
      </c>
      <c r="AW7" s="138" t="str">
        <f ca="1">GetEnd($AV$1,AV7)</f>
        <v>$AL$117</v>
      </c>
      <c r="AX7" s="339" t="str">
        <f>ADDRESS(ROW($AV$22),COLUMN($AV$22))</f>
        <v>$AV$22</v>
      </c>
      <c r="AY7" s="138" t="str">
        <f t="shared" ref="AY7:AY13" ca="1" si="8">GetEnd($AV$1,AX7)</f>
        <v>$AV$117</v>
      </c>
    </row>
    <row r="8" spans="1:102" x14ac:dyDescent="0.25">
      <c r="A8" s="270" t="s">
        <v>224</v>
      </c>
      <c r="F8" s="186" t="s">
        <v>26</v>
      </c>
      <c r="G8" s="190">
        <f>GetMonthEnd($AH$12,$AH$13)</f>
        <v>37925</v>
      </c>
      <c r="L8" s="706" t="s">
        <v>626</v>
      </c>
      <c r="M8" s="707"/>
      <c r="N8" s="352">
        <f t="array" aca="1" ref="N8" ca="1">SUM(((INDIRECT(AX14)-INDIRECT(AY16))-(INDIRECT(AX15)-INDIRECT(AY14)))*INDIRECT(CONCATENATE(AX2,":",AY2))*INDIRECT(CONCATENATE(AV3,":",AW3))*INDIRECT(CONCATENATE(AX3,":",AY3)))</f>
        <v>0</v>
      </c>
      <c r="O8" s="421">
        <v>0</v>
      </c>
      <c r="P8" s="355">
        <f ca="1">N8</f>
        <v>0</v>
      </c>
      <c r="S8" s="429" t="s">
        <v>639</v>
      </c>
      <c r="T8" s="426">
        <f ca="1">Y8/Z8</f>
        <v>0.99744156234324366</v>
      </c>
      <c r="V8" s="30" t="str">
        <f>ADDRESS(ROW(P22),COLUMN(P22))</f>
        <v>$P$22</v>
      </c>
      <c r="W8" s="30" t="str">
        <f ca="1">GetEnd($AV$1,V8)</f>
        <v>$P$117</v>
      </c>
      <c r="Y8" s="334">
        <f ca="1">SUMIF(INDIRECT(CONCATENATE(V8,":",W8)),"&gt;0",INDIRECT(CONCATENATE(V8,":",W8)))</f>
        <v>11.969298748118923</v>
      </c>
      <c r="Z8" s="334">
        <f ca="1">COUNTIF(INDIRECT(CONCATENATE(V8,":",W8)),"&gt;0")</f>
        <v>12</v>
      </c>
      <c r="AF8" s="28"/>
      <c r="AG8" s="103" t="s">
        <v>75</v>
      </c>
      <c r="AH8" s="105">
        <f>GetDelOmicronCol($AH$12,$AH$13)</f>
        <v>16</v>
      </c>
      <c r="AI8" s="29"/>
      <c r="AJ8" s="103" t="s">
        <v>81</v>
      </c>
      <c r="AK8" s="104">
        <f>GetNGOmicronCol(AK7)</f>
        <v>5</v>
      </c>
      <c r="AL8" s="34">
        <v>5</v>
      </c>
      <c r="AM8" s="37">
        <f t="shared" si="4"/>
        <v>27600</v>
      </c>
      <c r="AN8" s="38">
        <f t="shared" si="5"/>
        <v>5.9999999999999995E-4</v>
      </c>
      <c r="AO8" s="39">
        <f t="shared" si="6"/>
        <v>4.0000000000000001E-3</v>
      </c>
      <c r="AP8" s="38">
        <f t="shared" si="0"/>
        <v>0</v>
      </c>
      <c r="AQ8" s="38">
        <f t="shared" si="1"/>
        <v>0</v>
      </c>
      <c r="AR8" s="133">
        <f t="shared" si="2"/>
        <v>0</v>
      </c>
      <c r="AS8" s="40">
        <f t="shared" si="3"/>
        <v>0.05</v>
      </c>
      <c r="AT8" s="35">
        <f t="shared" si="7"/>
        <v>1</v>
      </c>
      <c r="AU8" s="362" t="s">
        <v>575</v>
      </c>
      <c r="AV8" s="339" t="str">
        <f>ADDRESS(ROW($AM$22),COLUMN($AM$22))</f>
        <v>$AM$22</v>
      </c>
      <c r="AW8" s="138" t="str">
        <f ca="1">GetEnd($AV$1,AV8)</f>
        <v>$AM$117</v>
      </c>
      <c r="AX8" s="339" t="str">
        <f>ADDRESS(ROW($AO$22),COLUMN($AO$22))</f>
        <v>$AO$22</v>
      </c>
      <c r="AY8" s="138" t="str">
        <f t="shared" ca="1" si="8"/>
        <v>$AO$117</v>
      </c>
    </row>
    <row r="9" spans="1:102" x14ac:dyDescent="0.25">
      <c r="A9" s="270" t="s">
        <v>224</v>
      </c>
      <c r="L9" s="706" t="s">
        <v>627</v>
      </c>
      <c r="M9" s="707"/>
      <c r="N9" s="352">
        <f t="array" aca="1" ref="N9" ca="1">SUM(((INDIRECT(AX16)-INDIRECT(AY17))-(INDIRECT(AX17)-INDIRECT(AY15)))*INDIRECT(CONCATENATE(AX2,":",AY2))*INDIRECT(CONCATENATE(AV3,":",AW3))*INDIRECT(CONCATENATE(AX3,":",AY3)))</f>
        <v>0</v>
      </c>
      <c r="O9" s="421">
        <v>0</v>
      </c>
      <c r="P9" s="355">
        <f ca="1">N9</f>
        <v>0</v>
      </c>
      <c r="AF9" s="28"/>
      <c r="AG9" s="52"/>
      <c r="AH9" s="52"/>
      <c r="AI9" s="29"/>
      <c r="AJ9" s="103" t="s">
        <v>139</v>
      </c>
      <c r="AK9" s="105">
        <f>GetCorrelCol($AH$12,$AH$13)</f>
        <v>4</v>
      </c>
      <c r="AL9" s="34">
        <v>6</v>
      </c>
      <c r="AM9" s="37">
        <f t="shared" si="4"/>
        <v>27600</v>
      </c>
      <c r="AN9" s="38">
        <f t="shared" si="5"/>
        <v>5.9999999999999995E-4</v>
      </c>
      <c r="AO9" s="39">
        <f t="shared" si="6"/>
        <v>4.0000000000000001E-3</v>
      </c>
      <c r="AP9" s="38">
        <f t="shared" si="0"/>
        <v>0</v>
      </c>
      <c r="AQ9" s="38">
        <f t="shared" si="1"/>
        <v>0</v>
      </c>
      <c r="AR9" s="133">
        <f t="shared" si="2"/>
        <v>0</v>
      </c>
      <c r="AS9" s="40">
        <f t="shared" si="3"/>
        <v>0.05</v>
      </c>
      <c r="AT9" s="35">
        <f t="shared" si="7"/>
        <v>1</v>
      </c>
      <c r="AU9" s="361" t="s">
        <v>578</v>
      </c>
      <c r="AV9" s="339" t="str">
        <f>ADDRESS(ROW($AN$22),COLUMN($AN$22))</f>
        <v>$AN$22</v>
      </c>
      <c r="AW9" s="138" t="str">
        <f ca="1">GetEnd($AV$1,AV9)</f>
        <v>$AN$117</v>
      </c>
      <c r="AX9" s="339" t="str">
        <f>ADDRESS(ROW($AP$22),COLUMN($AP$22))</f>
        <v>$AP$22</v>
      </c>
      <c r="AY9" s="138" t="str">
        <f t="shared" ca="1" si="8"/>
        <v>$AP$117</v>
      </c>
    </row>
    <row r="10" spans="1:102" x14ac:dyDescent="0.25">
      <c r="A10" s="270" t="s">
        <v>224</v>
      </c>
      <c r="D10" s="718" t="s">
        <v>154</v>
      </c>
      <c r="E10" s="719"/>
      <c r="F10" s="719"/>
      <c r="G10" s="719"/>
      <c r="H10" s="720"/>
      <c r="L10" s="706" t="s">
        <v>628</v>
      </c>
      <c r="M10" s="707"/>
      <c r="N10" s="352">
        <f ca="1">-SUMPRODUCT(INDIRECT(CONCATENATE(AV10,":",AW10)),INDIRECT(CONCATENATE($AX$7,":",$AY$7)),INDIRECT(CONCATENATE($AV$3,":",$AW$3)))</f>
        <v>-125347.80581651782</v>
      </c>
      <c r="O10" s="352">
        <v>-125318.79</v>
      </c>
      <c r="P10" s="355">
        <f t="shared" ref="P10:P19" ca="1" si="9">N10-O10</f>
        <v>-29.01581651782908</v>
      </c>
      <c r="AF10" s="28"/>
      <c r="AG10" s="103" t="s">
        <v>142</v>
      </c>
      <c r="AH10" s="119" t="b">
        <f>GetGRIFactor($AH$12,$AH$13)</f>
        <v>0</v>
      </c>
      <c r="AI10" s="29"/>
      <c r="AJ10" s="29"/>
      <c r="AK10" s="29"/>
      <c r="AL10" s="34">
        <v>7</v>
      </c>
      <c r="AM10" s="37">
        <f t="shared" si="4"/>
        <v>27600</v>
      </c>
      <c r="AN10" s="38">
        <f t="shared" si="5"/>
        <v>5.9999999999999995E-4</v>
      </c>
      <c r="AO10" s="39">
        <f t="shared" si="6"/>
        <v>4.0000000000000001E-3</v>
      </c>
      <c r="AP10" s="38">
        <f t="shared" si="0"/>
        <v>0</v>
      </c>
      <c r="AQ10" s="38">
        <f t="shared" si="1"/>
        <v>0</v>
      </c>
      <c r="AR10" s="133">
        <f t="shared" si="2"/>
        <v>0</v>
      </c>
      <c r="AS10" s="40">
        <f t="shared" si="3"/>
        <v>0.05</v>
      </c>
      <c r="AT10" s="35">
        <f t="shared" si="7"/>
        <v>1</v>
      </c>
      <c r="AU10" s="361" t="s">
        <v>577</v>
      </c>
      <c r="AV10" s="339" t="str">
        <f>ADDRESS(ROW($AS$22),COLUMN($AS$22))</f>
        <v>$AS$22</v>
      </c>
      <c r="AW10" s="138" t="str">
        <f ca="1">GetEnd($AV$1,AV10)</f>
        <v>$AS$117</v>
      </c>
      <c r="AX10" s="339" t="str">
        <f>ADDRESS(ROW($CC$22),COLUMN($CC$22))</f>
        <v>$CC$22</v>
      </c>
      <c r="AY10" s="138" t="str">
        <f t="shared" ca="1" si="8"/>
        <v>$CC$117</v>
      </c>
    </row>
    <row r="11" spans="1:102" x14ac:dyDescent="0.25">
      <c r="A11" s="270" t="s">
        <v>224</v>
      </c>
      <c r="D11" s="166" t="str">
        <f>IF(ISERROR($AH$13),"Check Contract Index to make sure it is valid","")</f>
        <v/>
      </c>
      <c r="E11" s="167"/>
      <c r="F11" s="168"/>
      <c r="G11" s="168"/>
      <c r="H11" s="169"/>
      <c r="L11" s="704" t="s">
        <v>629</v>
      </c>
      <c r="M11" s="705"/>
      <c r="N11" s="356">
        <f ca="1">-SUMPRODUCT(INDIRECT(CONCATENATE(AV11,":",AW11)),INDIRECT(CONCATENATE($AV$2,":",$AW$2)),INDIRECT(CONCATENATE($AV$3,":",$AW$3)),INDIRECT(CONCATENATE(AX3,":",AY3)))</f>
        <v>-6044.3999999999987</v>
      </c>
      <c r="O11" s="357">
        <v>-6044.4</v>
      </c>
      <c r="P11" s="358">
        <f t="shared" ca="1" si="9"/>
        <v>0</v>
      </c>
      <c r="AL11" s="34">
        <v>8</v>
      </c>
      <c r="AM11" s="37">
        <f t="shared" si="4"/>
        <v>27600</v>
      </c>
      <c r="AN11" s="38">
        <f t="shared" si="5"/>
        <v>5.9999999999999995E-4</v>
      </c>
      <c r="AO11" s="39">
        <f t="shared" si="6"/>
        <v>4.0000000000000001E-3</v>
      </c>
      <c r="AP11" s="38">
        <f t="shared" si="0"/>
        <v>0</v>
      </c>
      <c r="AQ11" s="38">
        <f t="shared" si="1"/>
        <v>0</v>
      </c>
      <c r="AR11" s="133">
        <f t="shared" si="2"/>
        <v>0</v>
      </c>
      <c r="AS11" s="40">
        <f t="shared" si="3"/>
        <v>0.05</v>
      </c>
      <c r="AT11" s="35">
        <f t="shared" si="7"/>
        <v>1</v>
      </c>
      <c r="AU11" s="361" t="s">
        <v>579</v>
      </c>
      <c r="AV11" s="339" t="str">
        <f>ADDRESS(ROW($AQ$22),COLUMN($AQ$22))</f>
        <v>$AQ$22</v>
      </c>
      <c r="AW11" s="138" t="str">
        <f ca="1">GetEnd($AV$1,AV11)</f>
        <v>$AQ$117</v>
      </c>
      <c r="AX11" s="339" t="str">
        <f>ADDRESS(ROW($CD$22),COLUMN($CD$22))</f>
        <v>$CD$22</v>
      </c>
      <c r="AY11" s="138" t="str">
        <f t="shared" ca="1" si="8"/>
        <v>$CD$117</v>
      </c>
    </row>
    <row r="12" spans="1:102" x14ac:dyDescent="0.25">
      <c r="A12" s="270" t="s">
        <v>224</v>
      </c>
      <c r="D12" s="170" t="str">
        <f>IF(OR(AH3="#VALUE#",AH4="#VALUE#",AH5="#VALUE#",AH6="#VALUE#",AH7="#VALUE#",AH8="#VALUE#"),"Check to make sure all curves are valid in input table","")</f>
        <v/>
      </c>
      <c r="E12" s="171"/>
      <c r="F12" s="172"/>
      <c r="G12" s="172"/>
      <c r="H12" s="173"/>
      <c r="L12" s="706" t="s">
        <v>271</v>
      </c>
      <c r="M12" s="707"/>
      <c r="N12" s="352">
        <f t="shared" ref="N12:N17" ca="1" si="10">SUM(INDIRECT(CONCATENATE(AV12,":",AW12)))</f>
        <v>0</v>
      </c>
      <c r="O12" s="352">
        <v>4038.41</v>
      </c>
      <c r="P12" s="355">
        <f t="shared" ca="1" si="9"/>
        <v>-4038.41</v>
      </c>
      <c r="AG12" s="248" t="s">
        <v>185</v>
      </c>
      <c r="AH12" s="119" t="str">
        <f>GetDBPage($D$2)</f>
        <v>Contract DB (Central)</v>
      </c>
      <c r="AL12" s="34">
        <v>9</v>
      </c>
      <c r="AM12" s="37">
        <f t="shared" si="4"/>
        <v>27600</v>
      </c>
      <c r="AN12" s="38">
        <f t="shared" si="5"/>
        <v>5.9999999999999995E-4</v>
      </c>
      <c r="AO12" s="39">
        <f t="shared" si="6"/>
        <v>4.0000000000000001E-3</v>
      </c>
      <c r="AP12" s="38">
        <f t="shared" si="0"/>
        <v>0</v>
      </c>
      <c r="AQ12" s="38">
        <f t="shared" si="1"/>
        <v>0</v>
      </c>
      <c r="AR12" s="133">
        <f t="shared" si="2"/>
        <v>0</v>
      </c>
      <c r="AS12" s="40">
        <f t="shared" si="3"/>
        <v>0.05</v>
      </c>
      <c r="AT12" s="35">
        <f t="shared" si="7"/>
        <v>1</v>
      </c>
      <c r="AU12" s="361" t="s">
        <v>271</v>
      </c>
      <c r="AV12" s="339" t="str">
        <f>ADDRESS(ROW($X$22),COLUMN($X$22))</f>
        <v>$X$22</v>
      </c>
      <c r="AW12" s="138" t="str">
        <f t="shared" ref="AW12:AW17" ca="1" si="11">GetEnd($AV$1,AV12)</f>
        <v>$X$117</v>
      </c>
      <c r="AX12" s="339" t="str">
        <f>ADDRESS(ROW($CE$22),COLUMN($CE$22))</f>
        <v>$CE$22</v>
      </c>
      <c r="AY12" s="138" t="str">
        <f t="shared" ca="1" si="8"/>
        <v>$CE$117</v>
      </c>
    </row>
    <row r="13" spans="1:102" x14ac:dyDescent="0.25">
      <c r="A13" s="270" t="s">
        <v>224</v>
      </c>
      <c r="D13" s="170"/>
      <c r="E13" s="171"/>
      <c r="F13" s="172"/>
      <c r="G13" s="172"/>
      <c r="H13" s="173"/>
      <c r="L13" s="706" t="s">
        <v>155</v>
      </c>
      <c r="M13" s="707"/>
      <c r="N13" s="352">
        <f t="shared" ca="1" si="10"/>
        <v>0</v>
      </c>
      <c r="O13" s="352">
        <v>3.11</v>
      </c>
      <c r="P13" s="355">
        <f t="shared" ca="1" si="9"/>
        <v>-3.11</v>
      </c>
      <c r="AG13" s="248" t="s">
        <v>186</v>
      </c>
      <c r="AH13" s="119">
        <f>GetRecNdx($AH$12,$D$2)</f>
        <v>7</v>
      </c>
      <c r="AL13" s="34">
        <v>10</v>
      </c>
      <c r="AM13" s="37">
        <f t="shared" si="4"/>
        <v>27600</v>
      </c>
      <c r="AN13" s="38">
        <f t="shared" si="5"/>
        <v>5.9999999999999995E-4</v>
      </c>
      <c r="AO13" s="39">
        <f t="shared" si="6"/>
        <v>4.0000000000000001E-3</v>
      </c>
      <c r="AP13" s="38">
        <f t="shared" si="0"/>
        <v>0</v>
      </c>
      <c r="AQ13" s="38">
        <f t="shared" si="1"/>
        <v>0</v>
      </c>
      <c r="AR13" s="133">
        <f t="shared" si="2"/>
        <v>0</v>
      </c>
      <c r="AS13" s="40">
        <f t="shared" si="3"/>
        <v>0.05</v>
      </c>
      <c r="AT13" s="35">
        <f t="shared" si="7"/>
        <v>1</v>
      </c>
      <c r="AU13" s="361" t="s">
        <v>155</v>
      </c>
      <c r="AV13" s="339" t="str">
        <f>ADDRESS(ROW($Y$22),COLUMN($Y$22))</f>
        <v>$Y$22</v>
      </c>
      <c r="AW13" s="138" t="str">
        <f t="shared" ca="1" si="11"/>
        <v>$Y$117</v>
      </c>
      <c r="AX13" s="339" t="str">
        <f>ADDRESS(ROW($CF$22),COLUMN($CF$22))</f>
        <v>$CF$22</v>
      </c>
      <c r="AY13" s="138" t="str">
        <f t="shared" ca="1" si="8"/>
        <v>$CF$117</v>
      </c>
    </row>
    <row r="14" spans="1:102" x14ac:dyDescent="0.25">
      <c r="A14" s="270" t="s">
        <v>224</v>
      </c>
      <c r="D14" s="170"/>
      <c r="E14" s="171"/>
      <c r="F14" s="172"/>
      <c r="G14" s="172"/>
      <c r="H14" s="173"/>
      <c r="K14" s="185"/>
      <c r="L14" s="706" t="s">
        <v>156</v>
      </c>
      <c r="M14" s="707"/>
      <c r="N14" s="352">
        <f t="shared" ca="1" si="10"/>
        <v>-1391.1382755904488</v>
      </c>
      <c r="O14" s="352">
        <v>-457.95</v>
      </c>
      <c r="P14" s="355">
        <f t="shared" ca="1" si="9"/>
        <v>-933.18827559044871</v>
      </c>
      <c r="S14" s="181">
        <f>F22/(1-AR22)*AH22*AU22</f>
        <v>813970.90678888129</v>
      </c>
      <c r="T14" s="181">
        <f>F22*AH22*AU22</f>
        <v>810715.02316172584</v>
      </c>
      <c r="AL14" s="34">
        <v>11</v>
      </c>
      <c r="AM14" s="37">
        <f t="shared" si="4"/>
        <v>27600</v>
      </c>
      <c r="AN14" s="38">
        <f t="shared" si="5"/>
        <v>5.9999999999999995E-4</v>
      </c>
      <c r="AO14" s="39">
        <f t="shared" si="6"/>
        <v>4.0000000000000001E-3</v>
      </c>
      <c r="AP14" s="38">
        <f t="shared" si="0"/>
        <v>0</v>
      </c>
      <c r="AQ14" s="38">
        <f t="shared" si="1"/>
        <v>0</v>
      </c>
      <c r="AR14" s="133">
        <f t="shared" si="2"/>
        <v>0</v>
      </c>
      <c r="AS14" s="40">
        <f t="shared" si="3"/>
        <v>0.05</v>
      </c>
      <c r="AT14" s="35">
        <f t="shared" si="7"/>
        <v>1</v>
      </c>
      <c r="AU14" s="361" t="s">
        <v>156</v>
      </c>
      <c r="AV14" s="339" t="str">
        <f>ADDRESS(ROW($Z$22),COLUMN($Z$22))</f>
        <v>$Z$22</v>
      </c>
      <c r="AW14" s="138" t="str">
        <f t="shared" ca="1" si="11"/>
        <v>$Z$117</v>
      </c>
      <c r="AX14" s="353" t="str">
        <f ca="1">CONCATENATE(AX8,":",AY8)</f>
        <v>$AO$22:$AO$117</v>
      </c>
      <c r="AY14" s="353" t="str">
        <f ca="1">CONCATENATE(AX10,":",AY10)</f>
        <v>$CC$22:$CC$117</v>
      </c>
    </row>
    <row r="15" spans="1:102" ht="13.8" thickBot="1" x14ac:dyDescent="0.3">
      <c r="A15" s="270" t="s">
        <v>224</v>
      </c>
      <c r="D15" s="170"/>
      <c r="E15" s="171"/>
      <c r="F15" s="172"/>
      <c r="G15" s="172"/>
      <c r="H15" s="173"/>
      <c r="L15" s="706" t="s">
        <v>157</v>
      </c>
      <c r="M15" s="707"/>
      <c r="N15" s="352">
        <f t="shared" ca="1" si="10"/>
        <v>162.21597796837128</v>
      </c>
      <c r="O15" s="352">
        <v>3818.74</v>
      </c>
      <c r="P15" s="355">
        <f t="shared" ca="1" si="9"/>
        <v>-3656.5240220316286</v>
      </c>
      <c r="AL15" s="34">
        <v>12</v>
      </c>
      <c r="AM15" s="41">
        <f t="shared" si="4"/>
        <v>27600</v>
      </c>
      <c r="AN15" s="42">
        <f t="shared" si="5"/>
        <v>5.9999999999999995E-4</v>
      </c>
      <c r="AO15" s="43">
        <f t="shared" si="6"/>
        <v>4.0000000000000001E-3</v>
      </c>
      <c r="AP15" s="42">
        <f t="shared" si="0"/>
        <v>0</v>
      </c>
      <c r="AQ15" s="42">
        <f t="shared" si="1"/>
        <v>0</v>
      </c>
      <c r="AR15" s="134">
        <f t="shared" si="2"/>
        <v>0</v>
      </c>
      <c r="AS15" s="44">
        <f t="shared" si="3"/>
        <v>0.05</v>
      </c>
      <c r="AT15" s="35">
        <f t="shared" si="7"/>
        <v>1</v>
      </c>
      <c r="AU15" s="363" t="s">
        <v>157</v>
      </c>
      <c r="AV15" s="339" t="str">
        <f>ADDRESS(ROW($AA$22),COLUMN($AA$22))</f>
        <v>$AA$22</v>
      </c>
      <c r="AW15" s="138" t="str">
        <f t="shared" ca="1" si="11"/>
        <v>$AA$117</v>
      </c>
      <c r="AX15" s="353" t="str">
        <f ca="1">CONCATENATE(AV8,":",AW8)</f>
        <v>$AM$22:$AM$117</v>
      </c>
      <c r="AY15" s="353" t="str">
        <f ca="1">CONCATENATE(AX11,":",AY11)</f>
        <v>$CD$22:$CD$117</v>
      </c>
    </row>
    <row r="16" spans="1:102" x14ac:dyDescent="0.25">
      <c r="D16" s="174"/>
      <c r="E16" s="175"/>
      <c r="F16" s="176"/>
      <c r="G16" s="176"/>
      <c r="H16" s="177"/>
      <c r="L16" s="706" t="s">
        <v>158</v>
      </c>
      <c r="M16" s="707"/>
      <c r="N16" s="352">
        <f t="shared" ca="1" si="10"/>
        <v>0</v>
      </c>
      <c r="O16" s="352">
        <v>-64.31</v>
      </c>
      <c r="P16" s="355">
        <f t="shared" ca="1" si="9"/>
        <v>64.31</v>
      </c>
      <c r="AU16" s="361" t="s">
        <v>158</v>
      </c>
      <c r="AV16" s="339" t="str">
        <f>ADDRESS(ROW($AB$22),COLUMN($AB$22))</f>
        <v>$AB$22</v>
      </c>
      <c r="AW16" s="138" t="str">
        <f t="shared" ca="1" si="11"/>
        <v>$AB$117</v>
      </c>
      <c r="AX16" s="353" t="str">
        <f ca="1">CONCATENATE(AX9,":",AY9)</f>
        <v>$AP$22:$AP$117</v>
      </c>
      <c r="AY16" s="353" t="str">
        <f ca="1">CONCATENATE(AX12,":",AY12)</f>
        <v>$CE$22:$CE$117</v>
      </c>
    </row>
    <row r="17" spans="1:91" x14ac:dyDescent="0.25">
      <c r="D17" s="171"/>
      <c r="E17" s="171"/>
      <c r="F17" s="172"/>
      <c r="G17" s="172"/>
      <c r="H17" s="172"/>
      <c r="L17" s="704" t="s">
        <v>211</v>
      </c>
      <c r="M17" s="705"/>
      <c r="N17" s="356">
        <f t="shared" ca="1" si="10"/>
        <v>141.0332267661627</v>
      </c>
      <c r="O17" s="357">
        <v>45.96</v>
      </c>
      <c r="P17" s="358">
        <f t="shared" ca="1" si="9"/>
        <v>95.073226766162691</v>
      </c>
      <c r="AU17" s="361" t="s">
        <v>211</v>
      </c>
      <c r="AV17" s="339" t="str">
        <f>ADDRESS(ROW($AC$22),COLUMN($AC$22))</f>
        <v>$AC$22</v>
      </c>
      <c r="AW17" s="138" t="str">
        <f t="shared" ca="1" si="11"/>
        <v>$AC$117</v>
      </c>
      <c r="AX17" s="353" t="str">
        <f ca="1">CONCATENATE(AV9,":",AW9)</f>
        <v>$AN$22:$AN$117</v>
      </c>
      <c r="AY17" s="353" t="str">
        <f ca="1">CONCATENATE(AX13,":",AY13)</f>
        <v>$CF$22:$CF$117</v>
      </c>
    </row>
    <row r="18" spans="1:91" x14ac:dyDescent="0.25">
      <c r="D18" s="171"/>
      <c r="E18" s="171"/>
      <c r="F18" s="172"/>
      <c r="G18" s="172"/>
      <c r="H18" s="172"/>
      <c r="L18" s="706" t="s">
        <v>623</v>
      </c>
      <c r="M18" s="707"/>
      <c r="N18" s="352">
        <f ca="1">SUMPRODUCT(INDIRECT(CONCATENATE(AX4,":",AY4)),INDIRECT(CONCATENATE($AV$2,":",$AW$2)),INDIRECT(CONCATENATE($AV$3,":",$AW$3)))</f>
        <v>251339.25123064886</v>
      </c>
      <c r="O18" s="352">
        <v>251278.94</v>
      </c>
      <c r="P18" s="355">
        <f t="shared" ca="1" si="9"/>
        <v>60.311230648861965</v>
      </c>
      <c r="AU18" s="361"/>
      <c r="AV18" s="339"/>
      <c r="AW18" s="138"/>
      <c r="AX18" s="339" t="str">
        <f>ADDRESS(ROW($CI$22),COLUMN($CI$22))</f>
        <v>$CI$22</v>
      </c>
      <c r="AY18" s="138" t="str">
        <f ca="1">GetEnd($AV$1,AX18)</f>
        <v>$CI$117</v>
      </c>
    </row>
    <row r="19" spans="1:91" x14ac:dyDescent="0.25">
      <c r="D19" s="171"/>
      <c r="E19" s="171"/>
      <c r="F19" s="172"/>
      <c r="G19" s="172"/>
      <c r="H19" s="172"/>
      <c r="L19" s="724" t="s">
        <v>624</v>
      </c>
      <c r="M19" s="725"/>
      <c r="N19" s="359">
        <f ca="1">SUMPRODUCT(INDIRECT(CONCATENATE(AX5,":",AY5)),INDIRECT(CONCATENATE($AV$2,":",$AW$2)),INDIRECT(CONCATENATE($AV$3,":",$AW$3)))</f>
        <v>361743.89640091569</v>
      </c>
      <c r="O19" s="359">
        <v>361668.37</v>
      </c>
      <c r="P19" s="360">
        <f t="shared" ca="1" si="9"/>
        <v>75.526400915696286</v>
      </c>
      <c r="AU19" s="361"/>
      <c r="AV19" s="339"/>
      <c r="AW19" s="138"/>
    </row>
    <row r="20" spans="1:91" ht="14.25" customHeight="1" x14ac:dyDescent="0.25">
      <c r="D20" s="265"/>
      <c r="E20" s="156"/>
      <c r="F20" s="157"/>
      <c r="G20" s="157"/>
      <c r="H20" s="148"/>
      <c r="I20" s="148"/>
      <c r="J20" s="147"/>
      <c r="K20" s="147"/>
      <c r="L20" s="147"/>
      <c r="M20" s="147"/>
      <c r="N20" s="147"/>
      <c r="O20" s="147"/>
      <c r="P20" s="157"/>
      <c r="Q20" s="158"/>
      <c r="R20" s="158"/>
      <c r="S20" s="182" t="str">
        <f>GetRcptBasis($AH$12,$AH$13)</f>
        <v>IF-NNG/VENT Basis Mid</v>
      </c>
      <c r="T20" s="182" t="str">
        <f>GetDelBasis($AH$12,$AH$13)</f>
        <v>IF-HARPER Basis Mid</v>
      </c>
      <c r="U20" s="158"/>
      <c r="V20" s="158"/>
      <c r="W20" s="158"/>
      <c r="X20" s="158"/>
      <c r="Y20" s="335"/>
      <c r="Z20" s="335"/>
      <c r="AA20" s="335"/>
      <c r="AB20" s="335"/>
      <c r="AC20" s="335"/>
      <c r="AI20" s="138"/>
      <c r="AM20" s="702" t="str">
        <f>GetRcptPoint($AH$12,$AH$13)</f>
        <v>Ventura</v>
      </c>
      <c r="AN20" s="703"/>
      <c r="AO20" s="702" t="str">
        <f>GetDelPoint($AH$12,$AH$13)</f>
        <v>Harper</v>
      </c>
      <c r="AP20" s="703"/>
      <c r="AQ20" s="137"/>
      <c r="AS20" s="137"/>
      <c r="AU20" s="136" t="s">
        <v>576</v>
      </c>
      <c r="AV20" s="353">
        <f ca="1">SUMPRODUCT(INDIRECT(CONCATENATE(AV8,":",AW8)),INDIRECT(CONCATENATE($AV$2,":",$AW$2)),INDIRECT(CONCATENATE($AV$3,":",$AW$3)),INDIRECT(CONCATENATE(AX3,":",AY3)))</f>
        <v>-490452</v>
      </c>
      <c r="AW20" s="353">
        <f ca="1">SUMPRODUCT(INDIRECT(CONCATENATE(AX8,":",AY8)),INDIRECT(CONCATENATE($AV$2,":",$AW$2)),INDIRECT(CONCATENATE($AV$3,":",$AW$3)),INDIRECT(CONCATENATE(AX3,":",AY3)))</f>
        <v>30222</v>
      </c>
      <c r="AX20" s="353">
        <f ca="1">SUMPRODUCT(INDIRECT(CONCATENATE(AV9,":",AW9)),INDIRECT(CONCATENATE($AV$2,":",$AW$2)),INDIRECT(CONCATENATE($AV$3,":",$AW$3)),INDIRECT(CONCATENATE(AX3,":",AY3)))</f>
        <v>125028</v>
      </c>
      <c r="AY20" s="353">
        <f ca="1">SUMPRODUCT(INDIRECT(CONCATENATE(AX9,":",AY9)),INDIRECT(CONCATENATE($AV$2,":",$AW$2)),INDIRECT(CONCATENATE($AV$3,":",$AW$3)),INDIRECT(CONCATENATE(AX3,":",AY3)))</f>
        <v>0</v>
      </c>
    </row>
    <row r="21" spans="1:91" s="36" customFormat="1" ht="39.6" x14ac:dyDescent="0.25">
      <c r="D21" s="161" t="s">
        <v>159</v>
      </c>
      <c r="E21" s="28"/>
      <c r="F21" s="162" t="s">
        <v>10</v>
      </c>
      <c r="G21" s="149" t="s">
        <v>46</v>
      </c>
      <c r="H21" s="150" t="s">
        <v>29</v>
      </c>
      <c r="I21" s="151" t="s">
        <v>30</v>
      </c>
      <c r="J21" s="29"/>
      <c r="K21" s="152" t="s">
        <v>607</v>
      </c>
      <c r="L21" s="154" t="s">
        <v>608</v>
      </c>
      <c r="M21" s="29"/>
      <c r="N21" s="152" t="s">
        <v>146</v>
      </c>
      <c r="O21" s="153" t="s">
        <v>145</v>
      </c>
      <c r="P21" s="160" t="s">
        <v>86</v>
      </c>
      <c r="Q21" s="155" t="s">
        <v>609</v>
      </c>
      <c r="R21" s="29"/>
      <c r="S21" s="183" t="s">
        <v>3</v>
      </c>
      <c r="T21" s="184" t="s">
        <v>4</v>
      </c>
      <c r="U21" s="30"/>
      <c r="V21" s="159" t="s">
        <v>13</v>
      </c>
      <c r="W21" s="144"/>
      <c r="X21" s="336" t="s">
        <v>560</v>
      </c>
      <c r="Y21" s="336" t="s">
        <v>561</v>
      </c>
      <c r="Z21" s="337" t="s">
        <v>562</v>
      </c>
      <c r="AA21" s="337" t="s">
        <v>563</v>
      </c>
      <c r="AB21" s="337" t="s">
        <v>564</v>
      </c>
      <c r="AC21" s="336" t="s">
        <v>565</v>
      </c>
      <c r="AD21" s="144"/>
      <c r="AE21" s="260"/>
      <c r="AF21" s="139" t="s">
        <v>148</v>
      </c>
      <c r="AG21" s="139" t="s">
        <v>36</v>
      </c>
      <c r="AH21" s="139" t="s">
        <v>35</v>
      </c>
      <c r="AI21" s="139" t="s">
        <v>161</v>
      </c>
      <c r="AJ21" s="139" t="s">
        <v>559</v>
      </c>
      <c r="AL21" s="141" t="s">
        <v>41</v>
      </c>
      <c r="AM21" s="141" t="s">
        <v>188</v>
      </c>
      <c r="AN21" s="141" t="s">
        <v>189</v>
      </c>
      <c r="AO21" s="141" t="s">
        <v>191</v>
      </c>
      <c r="AP21" s="141" t="s">
        <v>192</v>
      </c>
      <c r="AQ21" s="141" t="s">
        <v>147</v>
      </c>
      <c r="AR21" s="142" t="s">
        <v>12</v>
      </c>
      <c r="AS21" s="141" t="s">
        <v>580</v>
      </c>
      <c r="AT21" s="142" t="s">
        <v>44</v>
      </c>
      <c r="AU21" s="142" t="s">
        <v>45</v>
      </c>
      <c r="AV21" s="140" t="s">
        <v>630</v>
      </c>
      <c r="AW21" s="142" t="s">
        <v>82</v>
      </c>
      <c r="AX21" s="142" t="s">
        <v>83</v>
      </c>
      <c r="AY21" s="142" t="s">
        <v>84</v>
      </c>
      <c r="AZ21" s="142"/>
      <c r="BA21" s="259"/>
      <c r="BB21" s="142" t="s">
        <v>215</v>
      </c>
      <c r="BC21" s="142" t="s">
        <v>216</v>
      </c>
      <c r="BD21" s="142" t="s">
        <v>222</v>
      </c>
      <c r="BE21" s="142" t="s">
        <v>223</v>
      </c>
      <c r="BF21" s="142" t="s">
        <v>217</v>
      </c>
      <c r="BG21" s="142" t="s">
        <v>218</v>
      </c>
      <c r="BH21" s="142" t="s">
        <v>214</v>
      </c>
      <c r="BI21" s="142" t="s">
        <v>219</v>
      </c>
      <c r="BJ21" s="142" t="s">
        <v>220</v>
      </c>
      <c r="BK21" s="142" t="s">
        <v>221</v>
      </c>
      <c r="BL21" s="142" t="s">
        <v>270</v>
      </c>
      <c r="BM21" s="142" t="s">
        <v>269</v>
      </c>
      <c r="BN21" s="142" t="s">
        <v>158</v>
      </c>
      <c r="BO21" s="142" t="s">
        <v>211</v>
      </c>
      <c r="BP21" s="142"/>
      <c r="BQ21" s="142"/>
      <c r="BR21" s="142"/>
      <c r="BS21" s="142"/>
      <c r="BU21" s="192"/>
      <c r="BV21" s="261" t="s">
        <v>29</v>
      </c>
      <c r="BW21" s="142" t="s">
        <v>30</v>
      </c>
      <c r="BX21" s="142" t="s">
        <v>146</v>
      </c>
      <c r="BY21" s="142" t="s">
        <v>145</v>
      </c>
      <c r="BZ21" s="142" t="s">
        <v>86</v>
      </c>
      <c r="CA21" s="142" t="s">
        <v>44</v>
      </c>
      <c r="CB21" s="142" t="s">
        <v>45</v>
      </c>
      <c r="CC21" s="287" t="s">
        <v>188</v>
      </c>
      <c r="CD21" s="287" t="s">
        <v>189</v>
      </c>
      <c r="CE21" s="287" t="s">
        <v>191</v>
      </c>
      <c r="CF21" s="287" t="s">
        <v>192</v>
      </c>
      <c r="CG21" s="287" t="s">
        <v>147</v>
      </c>
      <c r="CH21" s="287" t="s">
        <v>13</v>
      </c>
      <c r="CI21" s="287" t="s">
        <v>41</v>
      </c>
      <c r="CJ21" s="141"/>
      <c r="CK21" s="141"/>
      <c r="CL21" s="141"/>
      <c r="CM21" s="141"/>
    </row>
    <row r="22" spans="1:91" x14ac:dyDescent="0.25">
      <c r="A22" s="723"/>
      <c r="B22" s="723"/>
      <c r="D22" s="31">
        <f>G7+OffsetDays</f>
        <v>37575</v>
      </c>
      <c r="F22" s="28">
        <f t="shared" ref="F22:F85" si="12">VLOOKUP(AG22,$AL$4:$AS$15,2)</f>
        <v>27600</v>
      </c>
      <c r="G22" s="28">
        <f t="shared" ref="G22:G85" si="13">F22*$AU22</f>
        <v>27023.834105390863</v>
      </c>
      <c r="H22" s="52">
        <f t="shared" ref="H22:H85" si="14">(AL22+AM22+AN22)/(1-(AR22))</f>
        <v>3.2540160642570277</v>
      </c>
      <c r="I22" s="52">
        <f t="shared" ref="I22:I85" si="15">(AL22+AO22+AP22)</f>
        <v>3.2509999999999999</v>
      </c>
      <c r="K22" s="52">
        <f>MAX(((I22-H22)-AQ22)*AU22*AH22,0)</f>
        <v>0</v>
      </c>
      <c r="L22" s="135">
        <f>MAX(Q22-K22,0)</f>
        <v>1.6776852820974189</v>
      </c>
      <c r="N22" s="131">
        <f>SQRT(($AX22^2*($AH22/2)+$AW22^2*$AI22)/(($AH22/2)+$AI22))</f>
        <v>0.56483238995521046</v>
      </c>
      <c r="O22" s="131">
        <f>SQRT(($AY22^2*($AH22/2)+$AW22^2*$AI22)/(($AH22/2)+$AI22))</f>
        <v>0.55763051961597798</v>
      </c>
      <c r="P22" s="55">
        <f>(VLOOKUP(AI22,CorrelationTwo,2)*(AW22^2)*AI22+VLOOKUP(D22,CorrelationOne,$AK$9)*AX22*AY22*(AH22/2))/((AI22+(AH22/2))*O22*N22)*AF22</f>
        <v>0.9964909373122427</v>
      </c>
      <c r="Q22" s="135">
        <f>_xll.xSPRDOPT(I22,H22,AQ22,0,O22,N22,P22,D22-$G$5,1,0)*AH22*AU22</f>
        <v>1.6776852820974189</v>
      </c>
      <c r="R22" s="135"/>
      <c r="S22" s="181">
        <f>_xll.xSPRDOPT(I22,H22,AQ22,AT22,O22,N22,P22,D22-$G$5,1,2)*AF22*(F22/(1-AR22))*AH22</f>
        <v>-391621.29480708489</v>
      </c>
      <c r="T22" s="181">
        <f>_xll.xSPRDOPT(I22,H22,AQ22,AT22,O22,N22,P22,D22-$G$5,1,1)*AF22*F22*AH22</f>
        <v>404736.0722563102</v>
      </c>
      <c r="U22" s="135"/>
      <c r="V22" s="146">
        <f t="shared" ref="V22:V85" si="16">VLOOKUP($AG22,$AL$4:$AS$15,8)*AH22*AU22</f>
        <v>1.4686866361625468</v>
      </c>
      <c r="W22" s="146"/>
      <c r="X22" s="338">
        <f t="shared" ref="X22:X85" si="17">((BM22*BC22)+(BL22*BB22))*AH22*F22</f>
        <v>0</v>
      </c>
      <c r="Y22" s="338">
        <f t="shared" ref="Y22:Y117" si="18">($F22*$AH22)*((($BG22/2)*($BC22)^2)+(($BF22/2)*($BB22)^2)+($BH22*$BC22*$BB22))</f>
        <v>0</v>
      </c>
      <c r="Z22" s="338">
        <f t="shared" ref="Z22:Z117" si="19">($BI22*$F22*$AH22*($G$5-$BV$5))/365.25</f>
        <v>-204.25774965379327</v>
      </c>
      <c r="AA22" s="338">
        <f t="shared" ref="AA22:AA117" si="20">(($BK22*$BE22)+($BJ22*$BD22))*$F22*$AH22*$AF22</f>
        <v>24.653634532095317</v>
      </c>
      <c r="AB22" s="338">
        <f t="shared" ref="AB22:AB85" si="21">BN22*(AT22-CA22)*F22*AH22</f>
        <v>0</v>
      </c>
      <c r="AC22" s="338">
        <f t="shared" ref="AC22:AC85" si="22">BO22*CB22*F22*AH22*CA22*($G$5-$BV$5)/365.25</f>
        <v>8.8500618004447507</v>
      </c>
      <c r="AF22" s="138">
        <f t="shared" ref="AF22:AF85" si="23">IF(AND(D22&gt;=$G$7,D22&lt;=$G$8),1,0)</f>
        <v>1</v>
      </c>
      <c r="AG22" s="138">
        <f t="shared" ref="AG22:AG85" si="24">MONTH(D22)</f>
        <v>11</v>
      </c>
      <c r="AH22" s="138">
        <f t="shared" ref="AH22:AH53" si="25">(EOMONTH(D22,0)-EOMONTH(D22-DAY(D22),0))*AF22</f>
        <v>30</v>
      </c>
      <c r="AI22" s="138">
        <f>MAX(0,(D22-DAY(D22))-$G$5+1)</f>
        <v>319</v>
      </c>
      <c r="AJ22" s="138">
        <f t="shared" ref="AJ22:AJ85" si="26">D22-$BV$5</f>
        <v>336</v>
      </c>
      <c r="AL22" s="136">
        <f t="shared" ref="AL22:AL117" si="27">VLOOKUP($D22,CurveTbl,$AK$4)</f>
        <v>3.2109999999999999</v>
      </c>
      <c r="AM22" s="258">
        <f>VLOOKUP($D22,CurveTbl,$AH$3)</f>
        <v>0</v>
      </c>
      <c r="AN22" s="258">
        <f t="shared" ref="AN22:AN117" si="28">VLOOKUP($D22,CurveTbl,$AH$4)+VLOOKUP($AG22,$AL$3:$AS$15,6)</f>
        <v>0.03</v>
      </c>
      <c r="AO22" s="258">
        <f t="shared" ref="AO22:AO117" si="29">VLOOKUP($D22,CurveTbl,$AH$5)</f>
        <v>0.04</v>
      </c>
      <c r="AP22" s="258">
        <f t="shared" ref="AP22:AP117" si="30">VLOOKUP($D22,CurveTbl,$AH$6)+VLOOKUP($AG22,$AL$3:$AS$15,7)</f>
        <v>0</v>
      </c>
      <c r="AQ22" s="136">
        <f t="shared" ref="AQ22:AQ85" si="31">VLOOKUP($AG22,$AL$4:$AS$15,3)+VLOOKUP($AG22,$AL$4:$AS$15,5)+($AH$10*VLOOKUP(D22,GRITable,2))</f>
        <v>5.9999999999999995E-4</v>
      </c>
      <c r="AR22" s="137">
        <f t="shared" ref="AR22:AR117" si="32">VLOOKUP($AG22,$AL$4:$AS$15,4)</f>
        <v>4.0000000000000001E-3</v>
      </c>
      <c r="AS22" s="136">
        <f>(AL22+AM22+AN22)</f>
        <v>3.2409999999999997</v>
      </c>
      <c r="AT22" s="137">
        <f t="shared" ref="AT22:AT85" si="33">VLOOKUP(D22,CurveTbl,$AK$6)</f>
        <v>2.3274064967752799E-2</v>
      </c>
      <c r="AU22" s="137">
        <f t="shared" ref="AU22:AU117" si="34">(1+$AT22/2)^(-2*($D22-$G$5)/365.25)*$AF22</f>
        <v>0.97912442410836453</v>
      </c>
      <c r="AV22" s="394">
        <f>ROUND((F22/(1-AR22))-F22,0)*AF22*AH22*AU22</f>
        <v>3260.4843322808538</v>
      </c>
      <c r="AW22" s="137">
        <f t="shared" ref="AW22:AW117" si="35">VLOOKUP($D22,CurveTbl,$AK$8)</f>
        <v>0.54</v>
      </c>
      <c r="AX22" s="137">
        <f t="shared" ref="AX22:AX117" si="36">VLOOKUP($D22,CurveTbl,$AH$7)</f>
        <v>0.95</v>
      </c>
      <c r="AY22" s="137">
        <f t="shared" ref="AY22:AY117" si="37">VLOOKUP($D22,CurveTbl,$AH$8)</f>
        <v>0.85</v>
      </c>
      <c r="AZ22" s="137"/>
      <c r="BA22" s="264"/>
      <c r="BB22" s="258">
        <f t="shared" ref="BB22:BB117" si="38">$H22-$BV22</f>
        <v>0</v>
      </c>
      <c r="BC22" s="258">
        <f t="shared" ref="BC22:BC85" si="39">I22-BW22</f>
        <v>0</v>
      </c>
      <c r="BD22" s="137">
        <f t="shared" ref="BD22:BE53" si="40">N22-BX22</f>
        <v>2.1624188755753337E-4</v>
      </c>
      <c r="BE22" s="137">
        <f t="shared" si="40"/>
        <v>1.5448854150035274E-4</v>
      </c>
      <c r="BF22" s="137">
        <f>_xll.xSPRDOPT($BW22,$BV22,$CG22,0,$BY22,$BX22,$BZ22,$AJ22,1,4)*$CB22</f>
        <v>2.6402887740415992</v>
      </c>
      <c r="BG22" s="137">
        <f>_xll.xSPRDOPT($BW22,$BV22,$CG22,0,$BY22,$BX22,$BZ22,$AJ22,1,3)*$CB22</f>
        <v>2.6461652599389893</v>
      </c>
      <c r="BH22" s="137">
        <f>IF(OR(BF22&lt;&gt;0,BG22&lt;&gt;0),_xll.xSPRDOPT($BW22,$BV22,$CG22,0,$BY22,$BX22,$BZ22,$AJ22,1,12)*$CB22,0)</f>
        <v>-2.6432249735155788</v>
      </c>
      <c r="BI22" s="137">
        <f>_xll.xSPRDOPT($BW22,$BV22,$CG22,2*LN(1+CA22/2),$BY22,$BX22,$BZ22,$AJ22,1,9)</f>
        <v>-3.0034276594624796E-2</v>
      </c>
      <c r="BJ22" s="137">
        <f>_xll.xSPRDOPT($BW22,$BV22,$CG22,0,$BY22,$BX22,$BZ22,$AJ22,1,6)*$CB22</f>
        <v>0.23090138354350578</v>
      </c>
      <c r="BK22" s="137">
        <f>_xll.xSPRDOPT($BW22,$BV22,$CG22,0,$BY22,$BX22,$BZ22,$AJ22,1,5)*$CB22</f>
        <v>-0.13046682872959467</v>
      </c>
      <c r="BL22" s="137">
        <f>_xll.xSPRDOPT(BW22,BV22,CG22,0,BY22,BX22,BZ22,AJ22,1,2)*CB22</f>
        <v>-0.47104887797205414</v>
      </c>
      <c r="BM22" s="137">
        <f>_xll.xSPRDOPT(BW22,BV22,CG22,0,BY22,BX22,BZ22,AJ22,1,1)*CB22</f>
        <v>0.48877891045654126</v>
      </c>
      <c r="BN22" s="137">
        <f>IF(AH22&lt;&gt;0,_xll.xSPRDOPT($BW22,$BV22,$CG22,2*LN(1+CA22/2),$BY22,$BX22,$BZ22,$AJ22,1,8)+(AJ22/365.25)*CH22/AH22,0)</f>
        <v>-6.4082118019984993E-3</v>
      </c>
      <c r="BO22" s="137">
        <f>_xll.xSPRDOPT($BW22,$BV22,$CG22,0,$BY22,$BX22,$BZ22,$AJ22,1,0)</f>
        <v>5.7115943024671614E-2</v>
      </c>
      <c r="BP22" s="137"/>
      <c r="BQ22" s="137"/>
      <c r="BR22" s="137"/>
      <c r="BS22" s="137"/>
      <c r="BV22" s="262">
        <v>3.2540160642570277</v>
      </c>
      <c r="BW22" s="136">
        <v>3.2509999999999999</v>
      </c>
      <c r="BX22" s="137">
        <v>0.56461614806765292</v>
      </c>
      <c r="BY22" s="137">
        <v>0.55747603107447763</v>
      </c>
      <c r="BZ22" s="137">
        <v>0.99651920570355157</v>
      </c>
      <c r="CA22" s="137">
        <v>2.3274064967752799E-2</v>
      </c>
      <c r="CB22" s="137">
        <v>0.97893835036076038</v>
      </c>
      <c r="CC22" s="258">
        <v>0</v>
      </c>
      <c r="CD22" s="258">
        <v>0.03</v>
      </c>
      <c r="CE22" s="258">
        <v>0.04</v>
      </c>
      <c r="CF22" s="258">
        <v>0</v>
      </c>
      <c r="CG22" s="258">
        <v>5.9999999999999995E-4</v>
      </c>
      <c r="CH22" s="258">
        <v>1.4684075255411406</v>
      </c>
      <c r="CI22" s="258">
        <v>3.2109999999999999</v>
      </c>
      <c r="CJ22" s="258"/>
      <c r="CK22" s="258"/>
      <c r="CL22" s="258"/>
      <c r="CM22" s="258"/>
    </row>
    <row r="23" spans="1:91" x14ac:dyDescent="0.25">
      <c r="A23" s="723"/>
      <c r="B23" s="723"/>
      <c r="D23" s="31">
        <f t="shared" ref="D23:D86" si="41">D22+AH22</f>
        <v>37605</v>
      </c>
      <c r="F23" s="28">
        <f t="shared" si="12"/>
        <v>27600</v>
      </c>
      <c r="G23" s="28">
        <f t="shared" si="13"/>
        <v>26950.382095156521</v>
      </c>
      <c r="H23" s="52">
        <f t="shared" si="14"/>
        <v>3.4196787148594376</v>
      </c>
      <c r="I23" s="52">
        <f t="shared" si="15"/>
        <v>3.4409999999999998</v>
      </c>
      <c r="K23" s="52">
        <f t="shared" ref="K23:K86" si="42">MAX(((I23-H23)-AQ23)*AU23*AH23,0)</f>
        <v>0.62724069250963943</v>
      </c>
      <c r="L23" s="135">
        <f t="shared" ref="L23:L86" si="43">MAX(Q23-K23,0)</f>
        <v>1.97665950715608</v>
      </c>
      <c r="N23" s="131">
        <f t="shared" ref="N23:N86" si="44">SQRT(($AX23^2*($AH23/2)+$AW23^2*$AI23)/(($AH23/2)+$AI23))</f>
        <v>0.58346770939036086</v>
      </c>
      <c r="O23" s="131">
        <f t="shared" ref="O23:O86" si="45">SQRT(($AY23^2*($AH23/2)+$AW23^2*$AI23)/(($AH23/2)+$AI23))</f>
        <v>0.57917009354464755</v>
      </c>
      <c r="P23" s="55">
        <f t="shared" ref="P23:P86" si="46">(VLOOKUP(AI23,CorrelationTwo,2)*(AW23^2)*AI23+VLOOKUP(D23,CorrelationOne,$AK$9)*AX23*AY23*(AH23/2))/((AI23+(AH23/2))*O23*N23)*AF23</f>
        <v>0.99552862532048636</v>
      </c>
      <c r="Q23" s="135">
        <f>_xll.xSPRDOPT(I23,H23,AQ23,0,O23,N23,P23,D23-$G$5,1,0)*AH23*AU23</f>
        <v>2.6039001996657194</v>
      </c>
      <c r="R23" s="135"/>
      <c r="S23" s="181">
        <f>_xll.xSPRDOPT(I23,H23,AQ23,AT23,O23,N23,P23,D23-$G$5,1,2)*AF23*(F23/(1-AR23))*AH23</f>
        <v>-446894.65504883014</v>
      </c>
      <c r="T23" s="181">
        <f>_xll.xSPRDOPT(I23,H23,AQ23,AT23,O23,N23,P23,D23-$G$5,1,1)*AF23*F23*AH23</f>
        <v>463313.52820131497</v>
      </c>
      <c r="U23" s="135"/>
      <c r="V23" s="146">
        <f t="shared" si="16"/>
        <v>1.5135178350540801</v>
      </c>
      <c r="W23" s="146"/>
      <c r="X23" s="338">
        <f t="shared" si="17"/>
        <v>0</v>
      </c>
      <c r="Y23" s="338">
        <f t="shared" si="18"/>
        <v>0</v>
      </c>
      <c r="Z23" s="338">
        <f t="shared" si="19"/>
        <v>-241.70511407705607</v>
      </c>
      <c r="AA23" s="338">
        <f t="shared" si="20"/>
        <v>37.568257206254323</v>
      </c>
      <c r="AB23" s="338">
        <f t="shared" si="21"/>
        <v>0</v>
      </c>
      <c r="AC23" s="338">
        <f t="shared" si="22"/>
        <v>14.229325367758801</v>
      </c>
      <c r="AF23" s="138">
        <f t="shared" si="23"/>
        <v>1</v>
      </c>
      <c r="AG23" s="138">
        <f t="shared" si="24"/>
        <v>12</v>
      </c>
      <c r="AH23" s="138">
        <f t="shared" si="25"/>
        <v>31</v>
      </c>
      <c r="AI23" s="138">
        <f t="shared" ref="AI23:AI86" si="47">AI22+AH22</f>
        <v>349</v>
      </c>
      <c r="AJ23" s="138">
        <f t="shared" si="26"/>
        <v>366</v>
      </c>
      <c r="AL23" s="136">
        <f t="shared" si="27"/>
        <v>3.371</v>
      </c>
      <c r="AM23" s="258">
        <f t="shared" ref="AM23:AM117" si="48">VLOOKUP($D23,CurveTbl,$AH$3)</f>
        <v>5.0000000000000001E-3</v>
      </c>
      <c r="AN23" s="258">
        <f t="shared" si="28"/>
        <v>0.03</v>
      </c>
      <c r="AO23" s="258">
        <f t="shared" si="29"/>
        <v>7.0000000000000007E-2</v>
      </c>
      <c r="AP23" s="258">
        <f t="shared" si="30"/>
        <v>0</v>
      </c>
      <c r="AQ23" s="136">
        <f t="shared" si="31"/>
        <v>5.9999999999999995E-4</v>
      </c>
      <c r="AR23" s="137">
        <f t="shared" si="32"/>
        <v>4.0000000000000001E-3</v>
      </c>
      <c r="AS23" s="136">
        <f t="shared" ref="AS23:AS86" si="49">(AL23+AM23+AN23)</f>
        <v>3.4059999999999997</v>
      </c>
      <c r="AT23" s="137">
        <f t="shared" si="33"/>
        <v>2.4110098358835999E-2</v>
      </c>
      <c r="AU23" s="137">
        <f t="shared" si="34"/>
        <v>0.97646311938972907</v>
      </c>
      <c r="AV23" s="394">
        <f t="shared" ref="AV23:AV86" si="50">ROUND((F23/(1-AR23))-F23,0)*AF23*AH23*AU23</f>
        <v>3360.0095938200579</v>
      </c>
      <c r="AW23" s="137">
        <f t="shared" si="35"/>
        <v>0.54</v>
      </c>
      <c r="AX23" s="137">
        <f t="shared" si="36"/>
        <v>1.2</v>
      </c>
      <c r="AY23" s="137">
        <f t="shared" si="37"/>
        <v>1.1499999999999999</v>
      </c>
      <c r="AZ23" s="137"/>
      <c r="BA23" s="264"/>
      <c r="BB23" s="258">
        <f t="shared" si="38"/>
        <v>0</v>
      </c>
      <c r="BC23" s="258">
        <f t="shared" si="39"/>
        <v>0</v>
      </c>
      <c r="BD23" s="137">
        <f t="shared" si="40"/>
        <v>3.4172097332341167E-4</v>
      </c>
      <c r="BE23" s="137">
        <f t="shared" si="40"/>
        <v>3.0902553746003925E-4</v>
      </c>
      <c r="BF23" s="137">
        <f>_xll.xSPRDOPT($BW23,$BV23,$CG23,0,$BY23,$BX23,$BZ23,$AJ23,1,4)*$CB23</f>
        <v>2.0649423727348659</v>
      </c>
      <c r="BG23" s="137">
        <f>_xll.xSPRDOPT($BW23,$BV23,$CG23,0,$BY23,$BX23,$BZ23,$AJ23,1,3)*$CB23</f>
        <v>2.0401415754676515</v>
      </c>
      <c r="BH23" s="137">
        <f>IF(OR(BF23&lt;&gt;0,BG23&lt;&gt;0),_xll.xSPRDOPT($BW23,$BV23,$CG23,0,$BY23,$BX23,$BZ23,$AJ23,1,12)*$CB23,0)</f>
        <v>-2.0525036910039183</v>
      </c>
      <c r="BI23" s="137">
        <f>_xll.xSPRDOPT($BW23,$BV23,$CG23,2*LN(1+CA23/2),$BY23,$BX23,$BZ23,$AJ23,1,9)</f>
        <v>-3.4394106637308998E-2</v>
      </c>
      <c r="BJ23" s="137">
        <f>_xll.xSPRDOPT($BW23,$BV23,$CG23,0,$BY23,$BX23,$BZ23,$AJ23,1,6)*$CB23</f>
        <v>0.16296753472762746</v>
      </c>
      <c r="BK23" s="137">
        <f>_xll.xSPRDOPT($BW23,$BV23,$CG23,0,$BY23,$BX23,$BZ23,$AJ23,1,5)*$CB23</f>
        <v>-3.8122271940867328E-2</v>
      </c>
      <c r="BL23" s="137">
        <f>_xll.xSPRDOPT(BW23,BV23,CG23,0,BY23,BX23,BZ23,AJ23,1,2)*CB23</f>
        <v>-0.52019923269039059</v>
      </c>
      <c r="BM23" s="137">
        <f>_xll.xSPRDOPT(BW23,BV23,CG23,0,BY23,BX23,BZ23,AJ23,1,1)*CB23</f>
        <v>0.54147761867802602</v>
      </c>
      <c r="BN23" s="137">
        <f>IF(AH23&lt;&gt;0,_xll.xSPRDOPT($BW23,$BV23,$CG23,2*LN(1+CA23/2),$BY23,$BX23,$BZ23,$AJ23,1,8)+(AJ23/365.25)*CH23/AH23,0)</f>
        <v>-3.5240146732998051E-2</v>
      </c>
      <c r="BO23" s="137">
        <f>_xll.xSPRDOPT($BW23,$BV23,$CG23,0,$BY23,$BX23,$BZ23,$AJ23,1,0)</f>
        <v>8.6022719084403496E-2</v>
      </c>
      <c r="BP23" s="137"/>
      <c r="BQ23" s="137"/>
      <c r="BR23" s="137"/>
      <c r="BS23" s="137"/>
      <c r="BV23" s="262">
        <v>3.4196787148594376</v>
      </c>
      <c r="BW23" s="136">
        <v>3.4409999999999998</v>
      </c>
      <c r="BX23" s="137">
        <v>0.58312598841703744</v>
      </c>
      <c r="BY23" s="137">
        <v>0.57886106800718751</v>
      </c>
      <c r="BZ23" s="137">
        <v>0.99555996712720607</v>
      </c>
      <c r="CA23" s="137">
        <v>2.4110098358835999E-2</v>
      </c>
      <c r="CB23" s="137">
        <v>0.97627092599980836</v>
      </c>
      <c r="CC23" s="258">
        <v>5.0000000000000001E-3</v>
      </c>
      <c r="CD23" s="258">
        <v>0.03</v>
      </c>
      <c r="CE23" s="258">
        <v>7.0000000000000007E-2</v>
      </c>
      <c r="CF23" s="258">
        <v>0</v>
      </c>
      <c r="CG23" s="258">
        <v>5.9999999999999995E-4</v>
      </c>
      <c r="CH23" s="258">
        <v>1.5132199352997029</v>
      </c>
      <c r="CI23" s="258">
        <v>3.371</v>
      </c>
      <c r="CJ23" s="258"/>
      <c r="CK23" s="258"/>
      <c r="CL23" s="258"/>
      <c r="CM23" s="258"/>
    </row>
    <row r="24" spans="1:91" x14ac:dyDescent="0.25">
      <c r="A24" s="723"/>
      <c r="B24" s="723"/>
      <c r="D24" s="31">
        <f t="shared" si="41"/>
        <v>37636</v>
      </c>
      <c r="F24" s="28">
        <f t="shared" si="12"/>
        <v>27600</v>
      </c>
      <c r="G24" s="28">
        <f t="shared" si="13"/>
        <v>26869.025671966738</v>
      </c>
      <c r="H24" s="52">
        <f t="shared" si="14"/>
        <v>3.5150602409638552</v>
      </c>
      <c r="I24" s="52">
        <f t="shared" si="15"/>
        <v>3.536</v>
      </c>
      <c r="K24" s="52">
        <f t="shared" si="42"/>
        <v>0.61383314271078293</v>
      </c>
      <c r="L24" s="135">
        <f t="shared" si="43"/>
        <v>2.0961814616853047</v>
      </c>
      <c r="N24" s="131">
        <f t="shared" si="44"/>
        <v>0.58040991007805343</v>
      </c>
      <c r="O24" s="131">
        <f t="shared" si="45"/>
        <v>0.57632730332360438</v>
      </c>
      <c r="P24" s="55">
        <f t="shared" si="46"/>
        <v>0.99562729469721922</v>
      </c>
      <c r="Q24" s="135">
        <f>_xll.xSPRDOPT(I24,H24,AQ24,0,O24,N24,P24,D24-$G$5,1,0)*AH24*AU24</f>
        <v>2.7100146043960875</v>
      </c>
      <c r="R24" s="135"/>
      <c r="S24" s="181">
        <f>_xll.xSPRDOPT(I24,H24,AQ24,AT24,O24,N24,P24,D24-$G$5,1,2)*AF24*(F24/(1-AR24))*AH24</f>
        <v>-442820.25751309539</v>
      </c>
      <c r="T24" s="181">
        <f>_xll.xSPRDOPT(I24,H24,AQ24,AT24,O24,N24,P24,D24-$G$5,1,1)*AF24*F24*AH24</f>
        <v>459665.31901225424</v>
      </c>
      <c r="U24" s="135"/>
      <c r="V24" s="146">
        <f t="shared" si="16"/>
        <v>1.5089489054908858</v>
      </c>
      <c r="W24" s="146"/>
      <c r="X24" s="338">
        <f t="shared" si="17"/>
        <v>0</v>
      </c>
      <c r="Y24" s="338">
        <f t="shared" si="18"/>
        <v>0</v>
      </c>
      <c r="Z24" s="338">
        <f t="shared" si="19"/>
        <v>-232.59266575532385</v>
      </c>
      <c r="AA24" s="338">
        <f t="shared" si="20"/>
        <v>36.046511928401266</v>
      </c>
      <c r="AB24" s="338">
        <f t="shared" si="21"/>
        <v>0</v>
      </c>
      <c r="AC24" s="338">
        <f t="shared" si="22"/>
        <v>15.379261315706444</v>
      </c>
      <c r="AF24" s="138">
        <f t="shared" si="23"/>
        <v>1</v>
      </c>
      <c r="AG24" s="138">
        <f t="shared" si="24"/>
        <v>1</v>
      </c>
      <c r="AH24" s="138">
        <f t="shared" si="25"/>
        <v>31</v>
      </c>
      <c r="AI24" s="138">
        <f t="shared" si="47"/>
        <v>380</v>
      </c>
      <c r="AJ24" s="138">
        <f t="shared" si="26"/>
        <v>397</v>
      </c>
      <c r="AL24" s="136">
        <f t="shared" si="27"/>
        <v>3.4460000000000002</v>
      </c>
      <c r="AM24" s="258">
        <f t="shared" si="48"/>
        <v>2.5000000000000001E-2</v>
      </c>
      <c r="AN24" s="258">
        <f t="shared" si="28"/>
        <v>0.03</v>
      </c>
      <c r="AO24" s="258">
        <f t="shared" si="29"/>
        <v>0.09</v>
      </c>
      <c r="AP24" s="258">
        <f t="shared" si="30"/>
        <v>0</v>
      </c>
      <c r="AQ24" s="136">
        <f t="shared" si="31"/>
        <v>5.9999999999999995E-4</v>
      </c>
      <c r="AR24" s="137">
        <f t="shared" si="32"/>
        <v>4.0000000000000001E-3</v>
      </c>
      <c r="AS24" s="136">
        <f t="shared" si="49"/>
        <v>3.5009999999999999</v>
      </c>
      <c r="AT24" s="137">
        <f t="shared" si="33"/>
        <v>2.50384261928196E-2</v>
      </c>
      <c r="AU24" s="137">
        <f t="shared" si="34"/>
        <v>0.97351542289734561</v>
      </c>
      <c r="AV24" s="394">
        <f t="shared" si="50"/>
        <v>3349.8665701897662</v>
      </c>
      <c r="AW24" s="137">
        <f t="shared" si="35"/>
        <v>0.53749999999999998</v>
      </c>
      <c r="AX24" s="137">
        <f t="shared" si="36"/>
        <v>1.23</v>
      </c>
      <c r="AY24" s="137">
        <f t="shared" si="37"/>
        <v>1.18</v>
      </c>
      <c r="AZ24" s="137"/>
      <c r="BA24" s="264"/>
      <c r="BB24" s="258">
        <f t="shared" si="38"/>
        <v>0</v>
      </c>
      <c r="BC24" s="258">
        <f t="shared" si="39"/>
        <v>0</v>
      </c>
      <c r="BD24" s="137">
        <f t="shared" si="40"/>
        <v>3.1117805404756727E-4</v>
      </c>
      <c r="BE24" s="137">
        <f t="shared" si="40"/>
        <v>2.8252396234673682E-4</v>
      </c>
      <c r="BF24" s="137">
        <f>_xll.xSPRDOPT($BW24,$BV24,$CG24,0,$BY24,$BX24,$BZ24,$AJ24,1,4)*$CB24</f>
        <v>1.9555567914943799</v>
      </c>
      <c r="BG24" s="137">
        <f>_xll.xSPRDOPT($BW24,$BV24,$CG24,0,$BY24,$BX24,$BZ24,$AJ24,1,3)*$CB24</f>
        <v>1.9331187835558012</v>
      </c>
      <c r="BH24" s="137">
        <f>IF(OR(BF24&lt;&gt;0,BG24&lt;&gt;0),_xll.xSPRDOPT($BW24,$BV24,$CG24,0,$BY24,$BX24,$BZ24,$AJ24,1,12)*$CB24,0)</f>
        <v>-1.9443046815392278</v>
      </c>
      <c r="BI24" s="137">
        <f>_xll.xSPRDOPT($BW24,$BV24,$CG24,2*LN(1+CA24/2),$BY24,$BX24,$BZ24,$AJ24,1,9)</f>
        <v>-3.3097425263803971E-2</v>
      </c>
      <c r="BJ24" s="137">
        <f>_xll.xSPRDOPT($BW24,$BV24,$CG24,0,$BY24,$BX24,$BZ24,$AJ24,1,6)*$CB24</f>
        <v>0.16964099421080428</v>
      </c>
      <c r="BK24" s="137">
        <f>_xll.xSPRDOPT($BW24,$BV24,$CG24,0,$BY24,$BX24,$BZ24,$AJ24,1,5)*$CB24</f>
        <v>-3.7725849105486327E-2</v>
      </c>
      <c r="BL24" s="137">
        <f>_xll.xSPRDOPT(BW24,BV24,CG24,0,BY24,BX24,BZ24,AJ24,1,2)*CB24</f>
        <v>-0.51546536430847867</v>
      </c>
      <c r="BM24" s="137">
        <f>_xll.xSPRDOPT(BW24,BV24,CG24,0,BY24,BX24,BZ24,AJ24,1,1)*CB24</f>
        <v>0.53722311150302338</v>
      </c>
      <c r="BN24" s="137">
        <f>IF(AH24&lt;&gt;0,_xll.xSPRDOPT($BW24,$BV24,$CG24,2*LN(1+CA24/2),$BY24,$BX24,$BZ24,$AJ24,1,8)+(AJ24/365.25)*CH24/AH24,0)</f>
        <v>-4.2104539720230594E-2</v>
      </c>
      <c r="BO24" s="137">
        <f>_xll.xSPRDOPT($BW24,$BV24,$CG24,0,$BY24,$BX24,$BZ24,$AJ24,1,0)</f>
        <v>8.9799220472150484E-2</v>
      </c>
      <c r="BP24" s="137"/>
      <c r="BQ24" s="137"/>
      <c r="BR24" s="137"/>
      <c r="BS24" s="137"/>
      <c r="BV24" s="262">
        <v>3.5150602409638552</v>
      </c>
      <c r="BW24" s="136">
        <v>3.536</v>
      </c>
      <c r="BX24" s="137">
        <v>0.58009873202400586</v>
      </c>
      <c r="BY24" s="137">
        <v>0.57604477936125764</v>
      </c>
      <c r="BZ24" s="137">
        <v>0.99565559476111032</v>
      </c>
      <c r="CA24" s="137">
        <v>2.50384261928196E-2</v>
      </c>
      <c r="CB24" s="137">
        <v>0.97331647833327972</v>
      </c>
      <c r="CC24" s="258">
        <v>2.5000000000000001E-2</v>
      </c>
      <c r="CD24" s="258">
        <v>0.03</v>
      </c>
      <c r="CE24" s="258">
        <v>0.09</v>
      </c>
      <c r="CF24" s="258">
        <v>0</v>
      </c>
      <c r="CG24" s="258">
        <v>5.9999999999999995E-4</v>
      </c>
      <c r="CH24" s="258">
        <v>1.5086405414165835</v>
      </c>
      <c r="CI24" s="258">
        <v>3.4460000000000002</v>
      </c>
      <c r="CJ24" s="258"/>
      <c r="CK24" s="258"/>
      <c r="CL24" s="258"/>
      <c r="CM24" s="258"/>
    </row>
    <row r="25" spans="1:91" x14ac:dyDescent="0.25">
      <c r="A25" s="723"/>
      <c r="B25" s="723"/>
      <c r="D25" s="31">
        <f t="shared" si="41"/>
        <v>37667</v>
      </c>
      <c r="F25" s="28">
        <f t="shared" si="12"/>
        <v>27600</v>
      </c>
      <c r="G25" s="28">
        <f t="shared" si="13"/>
        <v>26781.351521971497</v>
      </c>
      <c r="H25" s="52">
        <f t="shared" si="14"/>
        <v>3.4347389558232928</v>
      </c>
      <c r="I25" s="52">
        <f t="shared" si="15"/>
        <v>3.4510000000000001</v>
      </c>
      <c r="K25" s="52">
        <f t="shared" si="42"/>
        <v>0.42550253696850049</v>
      </c>
      <c r="L25" s="135">
        <f t="shared" si="43"/>
        <v>1.7956955268031769</v>
      </c>
      <c r="N25" s="131">
        <f t="shared" si="44"/>
        <v>0.56473610443025402</v>
      </c>
      <c r="O25" s="131">
        <f t="shared" si="45"/>
        <v>0.56121070542386564</v>
      </c>
      <c r="P25" s="55">
        <f t="shared" si="46"/>
        <v>0.99611835498852885</v>
      </c>
      <c r="Q25" s="135">
        <f>_xll.xSPRDOPT(I25,H25,AQ25,0,O25,N25,P25,D25-$G$5,1,0)*AH25*AU25</f>
        <v>2.2211980637716775</v>
      </c>
      <c r="R25" s="135"/>
      <c r="S25" s="181">
        <f>_xll.xSPRDOPT(I25,H25,AQ25,AT25,O25,N25,P25,D25-$G$5,1,2)*AF25*(F25/(1-AR25))*AH25</f>
        <v>-393776.69944704499</v>
      </c>
      <c r="T25" s="181">
        <f>_xll.xSPRDOPT(I25,H25,AQ25,AT25,O25,N25,P25,D25-$G$5,1,1)*AF25*F25*AH25</f>
        <v>408186.26014151325</v>
      </c>
      <c r="U25" s="135"/>
      <c r="V25" s="146">
        <f t="shared" si="16"/>
        <v>1.3584743525637717</v>
      </c>
      <c r="W25" s="146"/>
      <c r="X25" s="338">
        <f t="shared" si="17"/>
        <v>0</v>
      </c>
      <c r="Y25" s="338">
        <f t="shared" si="18"/>
        <v>0</v>
      </c>
      <c r="Z25" s="338">
        <f t="shared" si="19"/>
        <v>-179.76989463965859</v>
      </c>
      <c r="AA25" s="338">
        <f t="shared" si="20"/>
        <v>25.1977686777748</v>
      </c>
      <c r="AB25" s="338">
        <f t="shared" si="21"/>
        <v>0</v>
      </c>
      <c r="AC25" s="338">
        <f t="shared" si="22"/>
        <v>13.11170698823291</v>
      </c>
      <c r="AF25" s="138">
        <f t="shared" si="23"/>
        <v>1</v>
      </c>
      <c r="AG25" s="138">
        <f t="shared" si="24"/>
        <v>2</v>
      </c>
      <c r="AH25" s="138">
        <f t="shared" si="25"/>
        <v>28</v>
      </c>
      <c r="AI25" s="138">
        <f t="shared" si="47"/>
        <v>411</v>
      </c>
      <c r="AJ25" s="138">
        <f t="shared" si="26"/>
        <v>428</v>
      </c>
      <c r="AL25" s="136">
        <f t="shared" si="27"/>
        <v>3.371</v>
      </c>
      <c r="AM25" s="258">
        <f t="shared" si="48"/>
        <v>0.02</v>
      </c>
      <c r="AN25" s="258">
        <f t="shared" si="28"/>
        <v>0.03</v>
      </c>
      <c r="AO25" s="258">
        <f t="shared" si="29"/>
        <v>0.08</v>
      </c>
      <c r="AP25" s="258">
        <f t="shared" si="30"/>
        <v>0</v>
      </c>
      <c r="AQ25" s="136">
        <f t="shared" si="31"/>
        <v>5.9999999999999995E-4</v>
      </c>
      <c r="AR25" s="137">
        <f t="shared" si="32"/>
        <v>4.0000000000000001E-3</v>
      </c>
      <c r="AS25" s="136">
        <f t="shared" si="49"/>
        <v>3.4209999999999998</v>
      </c>
      <c r="AT25" s="137">
        <f t="shared" si="33"/>
        <v>2.6044986419747399E-2</v>
      </c>
      <c r="AU25" s="137">
        <f t="shared" si="34"/>
        <v>0.97033882325983689</v>
      </c>
      <c r="AV25" s="394">
        <f t="shared" si="50"/>
        <v>3015.8130626915731</v>
      </c>
      <c r="AW25" s="137">
        <f t="shared" si="35"/>
        <v>0.52749999999999997</v>
      </c>
      <c r="AX25" s="137">
        <f t="shared" si="36"/>
        <v>1.23</v>
      </c>
      <c r="AY25" s="137">
        <f t="shared" si="37"/>
        <v>1.18</v>
      </c>
      <c r="AZ25" s="137"/>
      <c r="BA25" s="264"/>
      <c r="BB25" s="258">
        <f t="shared" si="38"/>
        <v>0</v>
      </c>
      <c r="BC25" s="258">
        <f t="shared" si="39"/>
        <v>0</v>
      </c>
      <c r="BD25" s="137">
        <f t="shared" si="40"/>
        <v>2.524525639673314E-4</v>
      </c>
      <c r="BE25" s="137">
        <f t="shared" si="40"/>
        <v>2.2924009791358557E-4</v>
      </c>
      <c r="BF25" s="137">
        <f>_xll.xSPRDOPT($BW25,$BV25,$CG25,0,$BY25,$BX25,$BZ25,$AJ25,1,4)*$CB25</f>
        <v>2.0971855542470239</v>
      </c>
      <c r="BG25" s="137">
        <f>_xll.xSPRDOPT($BW25,$BV25,$CG25,0,$BY25,$BX25,$BZ25,$AJ25,1,3)*$CB25</f>
        <v>2.0781896314306114</v>
      </c>
      <c r="BH25" s="137">
        <f>IF(OR(BF25&lt;&gt;0,BG25&lt;&gt;0),_xll.xSPRDOPT($BW25,$BV25,$CG25,0,$BY25,$BX25,$BZ25,$AJ25,1,12)*$CB25,0)</f>
        <v>-2.0876653406771655</v>
      </c>
      <c r="BI25" s="137">
        <f>_xll.xSPRDOPT($BW25,$BV25,$CG25,2*LN(1+CA25/2),$BY25,$BX25,$BZ25,$AJ25,1,9)</f>
        <v>-2.8321667536721575E-2</v>
      </c>
      <c r="BJ25" s="137">
        <f>_xll.xSPRDOPT($BW25,$BV25,$CG25,0,$BY25,$BX25,$BZ25,$AJ25,1,6)*$CB25</f>
        <v>0.1614635112880686</v>
      </c>
      <c r="BK25" s="137">
        <f>_xll.xSPRDOPT($BW25,$BV25,$CG25,0,$BY25,$BX25,$BZ25,$AJ25,1,5)*$CB25</f>
        <v>-3.5578719236377482E-2</v>
      </c>
      <c r="BL25" s="137">
        <f>_xll.xSPRDOPT(BW25,BV25,CG25,0,BY25,BX25,BZ25,AJ25,1,2)*CB25</f>
        <v>-0.50749865377828374</v>
      </c>
      <c r="BM25" s="137">
        <f>_xll.xSPRDOPT(BW25,BV25,CG25,0,BY25,BX25,BZ25,AJ25,1,1)*CB25</f>
        <v>0.52818239732778516</v>
      </c>
      <c r="BN25" s="137">
        <f>IF(AH25&lt;&gt;0,_xll.xSPRDOPT($BW25,$BV25,$CG25,2*LN(1+CA25/2),$BY25,$BX25,$BZ25,$AJ25,1,8)+(AJ25/365.25)*CH25/AH25,0)</f>
        <v>-3.6097320051708522E-2</v>
      </c>
      <c r="BO25" s="137">
        <f>_xll.xSPRDOPT($BW25,$BV25,$CG25,0,$BY25,$BX25,$BZ25,$AJ25,1,0)</f>
        <v>8.1753405769663598E-2</v>
      </c>
      <c r="BP25" s="137"/>
      <c r="BQ25" s="137"/>
      <c r="BR25" s="137"/>
      <c r="BS25" s="137"/>
      <c r="BV25" s="262">
        <v>3.4347389558232928</v>
      </c>
      <c r="BW25" s="136">
        <v>3.4510000000000001</v>
      </c>
      <c r="BX25" s="137">
        <v>0.56448365186628668</v>
      </c>
      <c r="BY25" s="137">
        <v>0.56098146532595206</v>
      </c>
      <c r="BZ25" s="137">
        <v>0.99614214316447303</v>
      </c>
      <c r="CA25" s="137">
        <v>2.6044986419747399E-2</v>
      </c>
      <c r="CB25" s="137">
        <v>0.97013260845196225</v>
      </c>
      <c r="CC25" s="258">
        <v>0.02</v>
      </c>
      <c r="CD25" s="258">
        <v>0.03</v>
      </c>
      <c r="CE25" s="258">
        <v>0.08</v>
      </c>
      <c r="CF25" s="258">
        <v>0</v>
      </c>
      <c r="CG25" s="258">
        <v>5.9999999999999995E-4</v>
      </c>
      <c r="CH25" s="258">
        <v>1.3581856518327473</v>
      </c>
      <c r="CI25" s="258">
        <v>3.371</v>
      </c>
      <c r="CJ25" s="258"/>
      <c r="CK25" s="258"/>
      <c r="CL25" s="258"/>
      <c r="CM25" s="258"/>
    </row>
    <row r="26" spans="1:91" x14ac:dyDescent="0.25">
      <c r="A26" s="723"/>
      <c r="B26" s="723"/>
      <c r="D26" s="31">
        <f t="shared" si="41"/>
        <v>37695</v>
      </c>
      <c r="F26" s="28">
        <f t="shared" si="12"/>
        <v>27600</v>
      </c>
      <c r="G26" s="28">
        <f t="shared" si="13"/>
        <v>26698.55019226595</v>
      </c>
      <c r="H26" s="52">
        <f t="shared" si="14"/>
        <v>3.3242971887550201</v>
      </c>
      <c r="I26" s="52">
        <f t="shared" si="15"/>
        <v>3.3560000000000003</v>
      </c>
      <c r="K26" s="52">
        <f t="shared" si="42"/>
        <v>0.93269561527119593</v>
      </c>
      <c r="L26" s="135">
        <f t="shared" si="43"/>
        <v>1.3826096990967387</v>
      </c>
      <c r="N26" s="131">
        <f t="shared" si="44"/>
        <v>0.50896699400854961</v>
      </c>
      <c r="O26" s="131">
        <f t="shared" si="45"/>
        <v>0.50303598357381651</v>
      </c>
      <c r="P26" s="55">
        <f t="shared" si="46"/>
        <v>0.9968322335309554</v>
      </c>
      <c r="Q26" s="135">
        <f>_xll.xSPRDOPT(I26,H26,AQ26,0,O26,N26,P26,D26-$G$5,1,0)*AH26*AU26</f>
        <v>2.3153053143679347</v>
      </c>
      <c r="R26" s="135"/>
      <c r="S26" s="181">
        <f>_xll.xSPRDOPT(I26,H26,AQ26,AT26,O26,N26,P26,D26-$G$5,1,2)*AF26*(F26/(1-AR26))*AH26</f>
        <v>-475649.15283422824</v>
      </c>
      <c r="T26" s="181">
        <f>_xll.xSPRDOPT(I26,H26,AQ26,AT26,O26,N26,P26,D26-$G$5,1,1)*AF26*F26*AH26</f>
        <v>488398.87883362785</v>
      </c>
      <c r="U26" s="135"/>
      <c r="V26" s="146">
        <f t="shared" si="16"/>
        <v>1.4993751013772545</v>
      </c>
      <c r="W26" s="146"/>
      <c r="X26" s="338">
        <f t="shared" si="17"/>
        <v>0</v>
      </c>
      <c r="Y26" s="338">
        <f t="shared" si="18"/>
        <v>0</v>
      </c>
      <c r="Z26" s="338">
        <f t="shared" si="19"/>
        <v>-146.86217826028758</v>
      </c>
      <c r="AA26" s="338">
        <f t="shared" si="20"/>
        <v>17.736193862057906</v>
      </c>
      <c r="AB26" s="338">
        <f t="shared" si="21"/>
        <v>0</v>
      </c>
      <c r="AC26" s="338">
        <f t="shared" si="22"/>
        <v>14.144315545396049</v>
      </c>
      <c r="AF26" s="138">
        <f t="shared" si="23"/>
        <v>1</v>
      </c>
      <c r="AG26" s="138">
        <f t="shared" si="24"/>
        <v>3</v>
      </c>
      <c r="AH26" s="138">
        <f t="shared" si="25"/>
        <v>31</v>
      </c>
      <c r="AI26" s="138">
        <f t="shared" si="47"/>
        <v>439</v>
      </c>
      <c r="AJ26" s="138">
        <f t="shared" si="26"/>
        <v>456</v>
      </c>
      <c r="AL26" s="136">
        <f t="shared" si="27"/>
        <v>3.2810000000000001</v>
      </c>
      <c r="AM26" s="258">
        <f t="shared" si="48"/>
        <v>0</v>
      </c>
      <c r="AN26" s="258">
        <f t="shared" si="28"/>
        <v>0.03</v>
      </c>
      <c r="AO26" s="258">
        <f t="shared" si="29"/>
        <v>7.4999999999999997E-2</v>
      </c>
      <c r="AP26" s="258">
        <f t="shared" si="30"/>
        <v>0</v>
      </c>
      <c r="AQ26" s="136">
        <f t="shared" si="31"/>
        <v>5.9999999999999995E-4</v>
      </c>
      <c r="AR26" s="137">
        <f t="shared" si="32"/>
        <v>4.0000000000000001E-3</v>
      </c>
      <c r="AS26" s="136">
        <f t="shared" si="49"/>
        <v>3.3109999999999999</v>
      </c>
      <c r="AT26" s="137">
        <f t="shared" si="33"/>
        <v>2.6954137886657601E-2</v>
      </c>
      <c r="AU26" s="137">
        <f t="shared" si="34"/>
        <v>0.96733877508209964</v>
      </c>
      <c r="AV26" s="394">
        <f t="shared" si="50"/>
        <v>3328.612725057505</v>
      </c>
      <c r="AW26" s="137">
        <f t="shared" si="35"/>
        <v>0.48749999999999999</v>
      </c>
      <c r="AX26" s="137">
        <f t="shared" si="36"/>
        <v>0.93</v>
      </c>
      <c r="AY26" s="137">
        <f t="shared" si="37"/>
        <v>0.83</v>
      </c>
      <c r="AZ26" s="137"/>
      <c r="BA26" s="264"/>
      <c r="BB26" s="258">
        <f t="shared" si="38"/>
        <v>0</v>
      </c>
      <c r="BC26" s="258">
        <f t="shared" si="39"/>
        <v>0</v>
      </c>
      <c r="BD26" s="137">
        <f t="shared" si="40"/>
        <v>1.3781722370664884E-4</v>
      </c>
      <c r="BE26" s="137">
        <f t="shared" si="40"/>
        <v>1.0031212319616678E-4</v>
      </c>
      <c r="BF26" s="137">
        <f>_xll.xSPRDOPT($BW26,$BV26,$CG26,0,$BY26,$BX26,$BZ26,$AJ26,1,4)*$CB26</f>
        <v>2.5181572083333297</v>
      </c>
      <c r="BG26" s="137">
        <f>_xll.xSPRDOPT($BW26,$BV26,$CG26,0,$BY26,$BX26,$BZ26,$AJ26,1,3)*$CB26</f>
        <v>2.4716765276254158</v>
      </c>
      <c r="BH26" s="137">
        <f>IF(OR(BF26&lt;&gt;0,BG26&lt;&gt;0),_xll.xSPRDOPT($BW26,$BV26,$CG26,0,$BY26,$BX26,$BZ26,$AJ26,1,12)*$CB26,0)</f>
        <v>-2.4948082362607646</v>
      </c>
      <c r="BI26" s="137">
        <f>_xll.xSPRDOPT($BW26,$BV26,$CG26,2*LN(1+CA26/2),$BY26,$BX26,$BZ26,$AJ26,1,9)</f>
        <v>-2.0898165267870514E-2</v>
      </c>
      <c r="BJ26" s="137">
        <f>_xll.xSPRDOPT($BW26,$BV26,$CG26,0,$BY26,$BX26,$BZ26,$AJ26,1,6)*$CB26</f>
        <v>0.2567105206944108</v>
      </c>
      <c r="BK26" s="137">
        <f>_xll.xSPRDOPT($BW26,$BV26,$CG26,0,$BY26,$BX26,$BZ26,$AJ26,1,5)*$CB26</f>
        <v>-0.1460400941422107</v>
      </c>
      <c r="BL26" s="137">
        <f>_xll.xSPRDOPT(BW26,BV26,CG26,0,BY26,BX26,BZ26,AJ26,1,2)*CB26</f>
        <v>-0.55370189158411887</v>
      </c>
      <c r="BM26" s="137">
        <f>_xll.xSPRDOPT(BW26,BV26,CG26,0,BY26,BX26,BZ26,AJ26,1,1)*CB26</f>
        <v>0.57082734418327707</v>
      </c>
      <c r="BN26" s="137">
        <f>IF(AH26&lt;&gt;0,_xll.xSPRDOPT($BW26,$BV26,$CG26,2*LN(1+CA26/2),$BY26,$BX26,$BZ26,$AJ26,1,8)+(AJ26/365.25)*CH26/AH26,0)</f>
        <v>-3.2853428162740346E-2</v>
      </c>
      <c r="BO26" s="137">
        <f>_xll.xSPRDOPT($BW26,$BV26,$CG26,0,$BY26,$BX26,$BZ26,$AJ26,1,0)</f>
        <v>7.7209651856841935E-2</v>
      </c>
      <c r="BP26" s="137"/>
      <c r="BQ26" s="137"/>
      <c r="BR26" s="137"/>
      <c r="BS26" s="137"/>
      <c r="BV26" s="262">
        <v>3.3242971887550201</v>
      </c>
      <c r="BW26" s="136">
        <v>3.3560000000000003</v>
      </c>
      <c r="BX26" s="137">
        <v>0.50882917678484296</v>
      </c>
      <c r="BY26" s="137">
        <v>0.50293567145062035</v>
      </c>
      <c r="BZ26" s="137">
        <v>0.99685110975702862</v>
      </c>
      <c r="CA26" s="137">
        <v>2.6954137886657601E-2</v>
      </c>
      <c r="CB26" s="137">
        <v>0.96712607036861076</v>
      </c>
      <c r="CC26" s="258">
        <v>0</v>
      </c>
      <c r="CD26" s="258">
        <v>0.03</v>
      </c>
      <c r="CE26" s="258">
        <v>7.4999999999999997E-2</v>
      </c>
      <c r="CF26" s="258">
        <v>0</v>
      </c>
      <c r="CG26" s="258">
        <v>5.9999999999999995E-4</v>
      </c>
      <c r="CH26" s="258">
        <v>1.4990454090713468</v>
      </c>
      <c r="CI26" s="258">
        <v>3.2810000000000001</v>
      </c>
      <c r="CJ26" s="258"/>
      <c r="CK26" s="258"/>
      <c r="CL26" s="258"/>
      <c r="CM26" s="258"/>
    </row>
    <row r="27" spans="1:91" x14ac:dyDescent="0.25">
      <c r="A27" s="726"/>
      <c r="B27" s="726"/>
      <c r="C27" s="726"/>
      <c r="D27" s="31">
        <f t="shared" si="41"/>
        <v>37726</v>
      </c>
      <c r="F27" s="28">
        <f t="shared" si="12"/>
        <v>27600</v>
      </c>
      <c r="G27" s="28">
        <f t="shared" si="13"/>
        <v>26602.440019168083</v>
      </c>
      <c r="H27" s="52">
        <f t="shared" si="14"/>
        <v>3.0481927710843375</v>
      </c>
      <c r="I27" s="52">
        <f t="shared" si="15"/>
        <v>3.081</v>
      </c>
      <c r="K27" s="52">
        <f t="shared" si="42"/>
        <v>0.93129442979622423</v>
      </c>
      <c r="L27" s="135">
        <f t="shared" si="43"/>
        <v>0.39062806611181178</v>
      </c>
      <c r="N27" s="131">
        <f t="shared" si="44"/>
        <v>0.39068915452558645</v>
      </c>
      <c r="O27" s="131">
        <f t="shared" si="45"/>
        <v>0.39068915452558645</v>
      </c>
      <c r="P27" s="55">
        <f t="shared" si="46"/>
        <v>0.9988328967108524</v>
      </c>
      <c r="Q27" s="135">
        <f>_xll.xSPRDOPT(I27,H27,AQ27,0,O27,N27,P27,D27-$G$5,1,0)*AH27*AU27</f>
        <v>1.321922495908036</v>
      </c>
      <c r="R27" s="135"/>
      <c r="S27" s="181">
        <f>_xll.xSPRDOPT(I27,H27,AQ27,AT27,O27,N27,P27,D27-$G$5,1,2)*AF27*(F27/(1-AR27))*AH27</f>
        <v>-546191.31073679193</v>
      </c>
      <c r="T27" s="181">
        <f>_xll.xSPRDOPT(I27,H27,AQ27,AT27,O27,N27,P27,D27-$G$5,1,1)*AF27*F27*AH27</f>
        <v>550159.17342404404</v>
      </c>
      <c r="U27" s="135"/>
      <c r="V27" s="146">
        <f t="shared" si="16"/>
        <v>1.4457847836504394</v>
      </c>
      <c r="W27" s="146"/>
      <c r="X27" s="338">
        <f t="shared" si="17"/>
        <v>0</v>
      </c>
      <c r="Y27" s="338">
        <f t="shared" si="18"/>
        <v>0</v>
      </c>
      <c r="Z27" s="338">
        <f t="shared" si="19"/>
        <v>-49.752609150448009</v>
      </c>
      <c r="AA27" s="338">
        <f t="shared" si="20"/>
        <v>0.94239910880694988</v>
      </c>
      <c r="AB27" s="338">
        <f t="shared" si="21"/>
        <v>0</v>
      </c>
      <c r="AC27" s="338">
        <f t="shared" si="22"/>
        <v>8.3813172163160949</v>
      </c>
      <c r="AF27" s="138">
        <f t="shared" si="23"/>
        <v>1</v>
      </c>
      <c r="AG27" s="138">
        <f t="shared" si="24"/>
        <v>4</v>
      </c>
      <c r="AH27" s="138">
        <f t="shared" si="25"/>
        <v>30</v>
      </c>
      <c r="AI27" s="138">
        <f t="shared" si="47"/>
        <v>470</v>
      </c>
      <c r="AJ27" s="138">
        <f t="shared" si="26"/>
        <v>487</v>
      </c>
      <c r="AL27" s="136">
        <f t="shared" si="27"/>
        <v>3.1259999999999999</v>
      </c>
      <c r="AM27" s="258">
        <f t="shared" si="48"/>
        <v>-0.09</v>
      </c>
      <c r="AN27" s="258">
        <f t="shared" si="28"/>
        <v>0</v>
      </c>
      <c r="AO27" s="258">
        <f t="shared" si="29"/>
        <v>-4.4999999999999998E-2</v>
      </c>
      <c r="AP27" s="258">
        <f t="shared" si="30"/>
        <v>0</v>
      </c>
      <c r="AQ27" s="136">
        <f t="shared" si="31"/>
        <v>5.9999999999999995E-4</v>
      </c>
      <c r="AR27" s="137">
        <f t="shared" si="32"/>
        <v>4.0000000000000001E-3</v>
      </c>
      <c r="AS27" s="136">
        <f t="shared" si="49"/>
        <v>3.036</v>
      </c>
      <c r="AT27" s="137">
        <f t="shared" si="33"/>
        <v>2.79745964320606E-2</v>
      </c>
      <c r="AU27" s="137">
        <f t="shared" si="34"/>
        <v>0.96385652243362618</v>
      </c>
      <c r="AV27" s="394">
        <f t="shared" si="50"/>
        <v>3209.6422197039751</v>
      </c>
      <c r="AW27" s="137">
        <f t="shared" si="35"/>
        <v>0.38750000000000001</v>
      </c>
      <c r="AX27" s="137">
        <f t="shared" si="36"/>
        <v>0.48</v>
      </c>
      <c r="AY27" s="137">
        <f t="shared" si="37"/>
        <v>0.48</v>
      </c>
      <c r="AZ27" s="137"/>
      <c r="BA27" s="264"/>
      <c r="BB27" s="258">
        <f t="shared" si="38"/>
        <v>0</v>
      </c>
      <c r="BC27" s="258">
        <f t="shared" si="39"/>
        <v>0</v>
      </c>
      <c r="BD27" s="137">
        <f t="shared" si="40"/>
        <v>1.9525927436481183E-5</v>
      </c>
      <c r="BE27" s="137">
        <f t="shared" si="40"/>
        <v>1.9525927436481183E-5</v>
      </c>
      <c r="BF27" s="137">
        <f>_xll.xSPRDOPT($BW27,$BV27,$CG27,0,$BY27,$BX27,$BZ27,$AJ27,1,4)*$CB27</f>
        <v>5.1899243867861138</v>
      </c>
      <c r="BG27" s="137">
        <f>_xll.xSPRDOPT($BW27,$BV27,$CG27,0,$BY27,$BX27,$BZ27,$AJ27,1,3)*$CB27</f>
        <v>5.0819772722112786</v>
      </c>
      <c r="BH27" s="137">
        <f>IF(OR(BF27&lt;&gt;0,BG27&lt;&gt;0),_xll.xSPRDOPT($BW27,$BV27,$CG27,0,$BY27,$BX27,$BZ27,$AJ27,1,12)*$CB27,0)</f>
        <v>-5.1356747965661249</v>
      </c>
      <c r="BI27" s="137">
        <f>_xll.xSPRDOPT($BW27,$BV27,$CG27,2*LN(1+CA27/2),$BY27,$BX27,$BZ27,$AJ27,1,9)</f>
        <v>-7.3156765266510215E-3</v>
      </c>
      <c r="BJ27" s="137">
        <f>_xll.xSPRDOPT($BW27,$BV27,$CG27,0,$BY27,$BX27,$BZ27,$AJ27,1,6)*$CB27</f>
        <v>2.4218937762261531E-2</v>
      </c>
      <c r="BK27" s="137">
        <f>_xll.xSPRDOPT($BW27,$BV27,$CG27,0,$BY27,$BX27,$BZ27,$AJ27,1,5)*$CB27</f>
        <v>3.4070901662273986E-2</v>
      </c>
      <c r="BL27" s="137">
        <f>_xll.xSPRDOPT(BW27,BV27,CG27,0,BY27,BX27,BZ27,AJ27,1,2)*CB27</f>
        <v>-0.65703049069047526</v>
      </c>
      <c r="BM27" s="137">
        <f>_xll.xSPRDOPT(BW27,BV27,CG27,0,BY27,BX27,BZ27,AJ27,1,1)*CB27</f>
        <v>0.66446147175679549</v>
      </c>
      <c r="BN27" s="137">
        <f>IF(AH27&lt;&gt;0,_xll.xSPRDOPT($BW27,$BV27,$CG27,2*LN(1+CA27/2),$BY27,$BX27,$BZ27,$AJ27,1,8)+(AJ27/365.25)*CH27/AH27,0)</f>
        <v>5.5035399033054669E-3</v>
      </c>
      <c r="BO27" s="137">
        <f>_xll.xSPRDOPT($BW27,$BV27,$CG27,0,$BY27,$BX27,$BZ27,$AJ27,1,0)</f>
        <v>4.5716585630946417E-2</v>
      </c>
      <c r="BP27" s="137"/>
      <c r="BQ27" s="137"/>
      <c r="BR27" s="137"/>
      <c r="BS27" s="137"/>
      <c r="BV27" s="262">
        <v>3.0481927710843375</v>
      </c>
      <c r="BW27" s="136">
        <v>3.081</v>
      </c>
      <c r="BX27" s="137">
        <v>0.39066962859814997</v>
      </c>
      <c r="BY27" s="137">
        <v>0.39066962859814997</v>
      </c>
      <c r="BZ27" s="137">
        <v>0.99883995557526639</v>
      </c>
      <c r="CA27" s="137">
        <v>2.79745964320606E-2</v>
      </c>
      <c r="CB27" s="137">
        <v>0.96363661599031902</v>
      </c>
      <c r="CC27" s="258">
        <v>-0.09</v>
      </c>
      <c r="CD27" s="258">
        <v>0</v>
      </c>
      <c r="CE27" s="258">
        <v>-4.4999999999999998E-2</v>
      </c>
      <c r="CF27" s="258">
        <v>0</v>
      </c>
      <c r="CG27" s="258">
        <v>5.9999999999999995E-4</v>
      </c>
      <c r="CH27" s="258">
        <v>1.4454549239854786</v>
      </c>
      <c r="CI27" s="258">
        <v>3.1259999999999999</v>
      </c>
      <c r="CJ27" s="258"/>
      <c r="CK27" s="258"/>
      <c r="CL27" s="258"/>
      <c r="CM27" s="258"/>
    </row>
    <row r="28" spans="1:91" x14ac:dyDescent="0.25">
      <c r="A28" s="723"/>
      <c r="B28" s="723"/>
      <c r="D28" s="31">
        <f t="shared" si="41"/>
        <v>37756</v>
      </c>
      <c r="F28" s="28">
        <f t="shared" si="12"/>
        <v>27600</v>
      </c>
      <c r="G28" s="28">
        <f t="shared" si="13"/>
        <v>26505.426612357052</v>
      </c>
      <c r="H28" s="52">
        <f t="shared" si="14"/>
        <v>3.0491967871485941</v>
      </c>
      <c r="I28" s="52">
        <f t="shared" si="15"/>
        <v>3.0819999999999999</v>
      </c>
      <c r="K28" s="52">
        <f t="shared" si="42"/>
        <v>0.95870857762197481</v>
      </c>
      <c r="L28" s="135">
        <f t="shared" si="43"/>
        <v>0.52291835900669636</v>
      </c>
      <c r="N28" s="131">
        <f t="shared" si="44"/>
        <v>0.3761805213924197</v>
      </c>
      <c r="O28" s="131">
        <f t="shared" si="45"/>
        <v>0.37819335449616648</v>
      </c>
      <c r="P28" s="55">
        <f t="shared" si="46"/>
        <v>0.99840590025323617</v>
      </c>
      <c r="Q28" s="135">
        <f>_xll.xSPRDOPT(I28,H28,AQ28,0,O28,N28,P28,D28-$G$5,1,0)*AH28*AU28</f>
        <v>1.4816269366286712</v>
      </c>
      <c r="R28" s="135"/>
      <c r="S28" s="181">
        <f>_xll.xSPRDOPT(I28,H28,AQ28,AT28,O28,N28,P28,D28-$G$5,1,2)*AF28*(F28/(1-AR28))*AH28</f>
        <v>-540885.66916869069</v>
      </c>
      <c r="T28" s="181">
        <f>_xll.xSPRDOPT(I28,H28,AQ28,AT28,O28,N28,P28,D28-$G$5,1,1)*AF28*F28*AH28</f>
        <v>546355.7099079726</v>
      </c>
      <c r="U28" s="135"/>
      <c r="V28" s="146">
        <f t="shared" si="16"/>
        <v>1.4885293930852692</v>
      </c>
      <c r="W28" s="146"/>
      <c r="X28" s="338">
        <f t="shared" si="17"/>
        <v>0</v>
      </c>
      <c r="Y28" s="338">
        <f t="shared" si="18"/>
        <v>0</v>
      </c>
      <c r="Z28" s="338">
        <f t="shared" si="19"/>
        <v>-58.262733084834096</v>
      </c>
      <c r="AA28" s="338">
        <f t="shared" si="20"/>
        <v>2.8841179268243615</v>
      </c>
      <c r="AB28" s="338">
        <f t="shared" si="21"/>
        <v>0</v>
      </c>
      <c r="AC28" s="338">
        <f t="shared" si="22"/>
        <v>9.7257870947925973</v>
      </c>
      <c r="AF28" s="138">
        <f t="shared" si="23"/>
        <v>1</v>
      </c>
      <c r="AG28" s="138">
        <f t="shared" si="24"/>
        <v>5</v>
      </c>
      <c r="AH28" s="138">
        <f t="shared" si="25"/>
        <v>31</v>
      </c>
      <c r="AI28" s="138">
        <f t="shared" si="47"/>
        <v>500</v>
      </c>
      <c r="AJ28" s="138">
        <f t="shared" si="26"/>
        <v>517</v>
      </c>
      <c r="AL28" s="136">
        <f t="shared" si="27"/>
        <v>3.1269999999999998</v>
      </c>
      <c r="AM28" s="258">
        <f t="shared" si="48"/>
        <v>-0.09</v>
      </c>
      <c r="AN28" s="258">
        <f t="shared" si="28"/>
        <v>0</v>
      </c>
      <c r="AO28" s="258">
        <f t="shared" si="29"/>
        <v>-4.4999999999999998E-2</v>
      </c>
      <c r="AP28" s="258">
        <f t="shared" si="30"/>
        <v>0</v>
      </c>
      <c r="AQ28" s="136">
        <f t="shared" si="31"/>
        <v>5.9999999999999995E-4</v>
      </c>
      <c r="AR28" s="137">
        <f t="shared" si="32"/>
        <v>4.0000000000000001E-3</v>
      </c>
      <c r="AS28" s="136">
        <f t="shared" si="49"/>
        <v>3.0369999999999999</v>
      </c>
      <c r="AT28" s="137">
        <f t="shared" si="33"/>
        <v>2.8963180076380102E-2</v>
      </c>
      <c r="AU28" s="137">
        <f t="shared" si="34"/>
        <v>0.96034154392598015</v>
      </c>
      <c r="AV28" s="394">
        <f t="shared" si="50"/>
        <v>3304.5352526492975</v>
      </c>
      <c r="AW28" s="137">
        <f t="shared" si="35"/>
        <v>0.3725</v>
      </c>
      <c r="AX28" s="137">
        <f t="shared" si="36"/>
        <v>0.48</v>
      </c>
      <c r="AY28" s="137">
        <f t="shared" si="37"/>
        <v>0.53</v>
      </c>
      <c r="AZ28" s="137"/>
      <c r="BA28" s="264"/>
      <c r="BB28" s="258">
        <f t="shared" si="38"/>
        <v>0</v>
      </c>
      <c r="BC28" s="258">
        <f t="shared" si="39"/>
        <v>0</v>
      </c>
      <c r="BD28" s="137">
        <f t="shared" si="40"/>
        <v>2.1191627312566741E-5</v>
      </c>
      <c r="BE28" s="137">
        <f t="shared" si="40"/>
        <v>3.26947616066664E-5</v>
      </c>
      <c r="BF28" s="137">
        <f>_xll.xSPRDOPT($BW28,$BV28,$CG28,0,$BY28,$BX28,$BZ28,$AJ28,1,4)*$CB28</f>
        <v>4.5653131931977846</v>
      </c>
      <c r="BG28" s="137">
        <f>_xll.xSPRDOPT($BW28,$BV28,$CG28,0,$BY28,$BX28,$BZ28,$AJ28,1,3)*$CB28</f>
        <v>4.470428569838111</v>
      </c>
      <c r="BH28" s="137">
        <f>IF(OR(BF28&lt;&gt;0,BG28&lt;&gt;0),_xll.xSPRDOPT($BW28,$BV28,$CG28,0,$BY28,$BX28,$BZ28,$AJ28,1,12)*$CB28,0)</f>
        <v>-4.5176266231269429</v>
      </c>
      <c r="BI28" s="137">
        <f>_xll.xSPRDOPT($BW28,$BV28,$CG28,2*LN(1+CA28/2),$BY28,$BX28,$BZ28,$AJ28,1,9)</f>
        <v>-8.290658897941271E-3</v>
      </c>
      <c r="BJ28" s="137">
        <f>_xll.xSPRDOPT($BW28,$BV28,$CG28,0,$BY28,$BX28,$BZ28,$AJ28,1,6)*$CB28</f>
        <v>-8.8736076753679727E-2</v>
      </c>
      <c r="BK28" s="137">
        <f>_xll.xSPRDOPT($BW28,$BV28,$CG28,0,$BY28,$BX28,$BZ28,$AJ28,1,5)*$CB28</f>
        <v>0.16061697430775379</v>
      </c>
      <c r="BL28" s="137">
        <f>_xll.xSPRDOPT(BW28,BV28,CG28,0,BY28,BX28,BZ28,AJ28,1,2)*CB28</f>
        <v>-0.62967656418517004</v>
      </c>
      <c r="BM28" s="137">
        <f>_xll.xSPRDOPT(BW28,BV28,CG28,0,BY28,BX28,BZ28,AJ28,1,1)*CB28</f>
        <v>0.63859905951086382</v>
      </c>
      <c r="BN28" s="137">
        <f>IF(AH28&lt;&gt;0,_xll.xSPRDOPT($BW28,$BV28,$CG28,2*LN(1+CA28/2),$BY28,$BX28,$BZ28,$AJ28,1,8)+(AJ28/365.25)*CH28/AH28,0)</f>
        <v>3.1476506800011406E-4</v>
      </c>
      <c r="BO28" s="137">
        <f>_xll.xSPRDOPT($BW28,$BV28,$CG28,0,$BY28,$BX28,$BZ28,$AJ28,1,0)</f>
        <v>4.9768386927543887E-2</v>
      </c>
      <c r="BP28" s="137"/>
      <c r="BQ28" s="137"/>
      <c r="BR28" s="137"/>
      <c r="BS28" s="137"/>
      <c r="BV28" s="262">
        <v>3.0491967871485941</v>
      </c>
      <c r="BW28" s="136">
        <v>3.0819999999999999</v>
      </c>
      <c r="BX28" s="137">
        <v>0.37615932976510713</v>
      </c>
      <c r="BY28" s="137">
        <v>0.37816065973455981</v>
      </c>
      <c r="BZ28" s="137">
        <v>0.99841481736077353</v>
      </c>
      <c r="CA28" s="137">
        <v>2.8963180076380102E-2</v>
      </c>
      <c r="CB28" s="137">
        <v>0.96011475289275328</v>
      </c>
      <c r="CC28" s="258">
        <v>-0.09</v>
      </c>
      <c r="CD28" s="258">
        <v>0</v>
      </c>
      <c r="CE28" s="258">
        <v>-4.4999999999999998E-2</v>
      </c>
      <c r="CF28" s="258">
        <v>0</v>
      </c>
      <c r="CG28" s="258">
        <v>5.9999999999999995E-4</v>
      </c>
      <c r="CH28" s="258">
        <v>1.4881778669837675</v>
      </c>
      <c r="CI28" s="258">
        <v>3.1269999999999998</v>
      </c>
      <c r="CJ28" s="258"/>
      <c r="CK28" s="258"/>
      <c r="CL28" s="258"/>
      <c r="CM28" s="258"/>
    </row>
    <row r="29" spans="1:91" x14ac:dyDescent="0.25">
      <c r="A29" s="723"/>
      <c r="B29" s="723"/>
      <c r="D29" s="31">
        <f t="shared" si="41"/>
        <v>37787</v>
      </c>
      <c r="F29" s="28">
        <f t="shared" si="12"/>
        <v>27600</v>
      </c>
      <c r="G29" s="28">
        <f t="shared" si="13"/>
        <v>26401.129381267961</v>
      </c>
      <c r="H29" s="52">
        <f t="shared" si="14"/>
        <v>3.0843373493975905</v>
      </c>
      <c r="I29" s="52">
        <f t="shared" si="15"/>
        <v>3.117</v>
      </c>
      <c r="K29" s="52">
        <f t="shared" si="42"/>
        <v>0.9200980291963059</v>
      </c>
      <c r="L29" s="135">
        <f t="shared" si="43"/>
        <v>0.50177135086924407</v>
      </c>
      <c r="N29" s="131">
        <f t="shared" si="44"/>
        <v>0.37586425134556289</v>
      </c>
      <c r="O29" s="131">
        <f t="shared" si="45"/>
        <v>0.37770530586281559</v>
      </c>
      <c r="P29" s="55">
        <f t="shared" si="46"/>
        <v>0.99853928893461608</v>
      </c>
      <c r="Q29" s="135">
        <f>_xll.xSPRDOPT(I29,H29,AQ29,0,O29,N29,P29,D29-$G$5,1,0)*AH29*AU29</f>
        <v>1.42186938006555</v>
      </c>
      <c r="R29" s="135"/>
      <c r="S29" s="181">
        <f>_xll.xSPRDOPT(I29,H29,AQ29,AT29,O29,N29,P29,D29-$G$5,1,2)*AF29*(F29/(1-AR29))*AH29</f>
        <v>-521428.75896878314</v>
      </c>
      <c r="T29" s="181">
        <f>_xll.xSPRDOPT(I29,H29,AQ29,AT29,O29,N29,P29,D29-$G$5,1,1)*AF29*F29*AH29</f>
        <v>526585.15180135495</v>
      </c>
      <c r="U29" s="135"/>
      <c r="V29" s="146">
        <f t="shared" si="16"/>
        <v>1.4348439881123891</v>
      </c>
      <c r="W29" s="146"/>
      <c r="X29" s="338">
        <f t="shared" si="17"/>
        <v>0</v>
      </c>
      <c r="Y29" s="338">
        <f t="shared" si="18"/>
        <v>0</v>
      </c>
      <c r="Z29" s="338">
        <f t="shared" si="19"/>
        <v>-51.896797943644934</v>
      </c>
      <c r="AA29" s="338">
        <f t="shared" si="20"/>
        <v>2.3984384304931825</v>
      </c>
      <c r="AB29" s="338">
        <f t="shared" si="21"/>
        <v>0</v>
      </c>
      <c r="AC29" s="338">
        <f t="shared" si="22"/>
        <v>9.662619079387694</v>
      </c>
      <c r="AF29" s="138">
        <f t="shared" si="23"/>
        <v>1</v>
      </c>
      <c r="AG29" s="138">
        <f t="shared" si="24"/>
        <v>6</v>
      </c>
      <c r="AH29" s="138">
        <f t="shared" si="25"/>
        <v>30</v>
      </c>
      <c r="AI29" s="138">
        <f t="shared" si="47"/>
        <v>531</v>
      </c>
      <c r="AJ29" s="138">
        <f t="shared" si="26"/>
        <v>548</v>
      </c>
      <c r="AL29" s="136">
        <f t="shared" si="27"/>
        <v>3.1619999999999999</v>
      </c>
      <c r="AM29" s="258">
        <f t="shared" si="48"/>
        <v>-0.09</v>
      </c>
      <c r="AN29" s="258">
        <f t="shared" si="28"/>
        <v>0</v>
      </c>
      <c r="AO29" s="258">
        <f t="shared" si="29"/>
        <v>-4.4999999999999998E-2</v>
      </c>
      <c r="AP29" s="258">
        <f t="shared" si="30"/>
        <v>0</v>
      </c>
      <c r="AQ29" s="136">
        <f t="shared" si="31"/>
        <v>5.9999999999999995E-4</v>
      </c>
      <c r="AR29" s="137">
        <f t="shared" si="32"/>
        <v>4.0000000000000001E-3</v>
      </c>
      <c r="AS29" s="136">
        <f t="shared" si="49"/>
        <v>3.0720000000000001</v>
      </c>
      <c r="AT29" s="137">
        <f t="shared" si="33"/>
        <v>2.99847168551968E-2</v>
      </c>
      <c r="AU29" s="137">
        <f t="shared" si="34"/>
        <v>0.95656265874159274</v>
      </c>
      <c r="AV29" s="394">
        <f t="shared" si="50"/>
        <v>3185.3536536095039</v>
      </c>
      <c r="AW29" s="137">
        <f t="shared" si="35"/>
        <v>0.3725</v>
      </c>
      <c r="AX29" s="137">
        <f t="shared" si="36"/>
        <v>0.48</v>
      </c>
      <c r="AY29" s="137">
        <f t="shared" si="37"/>
        <v>0.53</v>
      </c>
      <c r="AZ29" s="137"/>
      <c r="BA29" s="264"/>
      <c r="BB29" s="258">
        <f t="shared" si="38"/>
        <v>0</v>
      </c>
      <c r="BC29" s="258">
        <f t="shared" si="39"/>
        <v>0</v>
      </c>
      <c r="BD29" s="137">
        <f t="shared" si="40"/>
        <v>1.8302058320429637E-5</v>
      </c>
      <c r="BE29" s="137">
        <f t="shared" si="40"/>
        <v>2.8249349723397099E-5</v>
      </c>
      <c r="BF29" s="137">
        <f>_xll.xSPRDOPT($BW29,$BV29,$CG29,0,$BY29,$BX29,$BZ29,$AJ29,1,4)*$CB29</f>
        <v>4.5669305319976488</v>
      </c>
      <c r="BG29" s="137">
        <f>_xll.xSPRDOPT($BW29,$BV29,$CG29,0,$BY29,$BX29,$BZ29,$AJ29,1,3)*$CB29</f>
        <v>4.4734800034542541</v>
      </c>
      <c r="BH29" s="137">
        <f>IF(OR(BF29&lt;&gt;0,BG29&lt;&gt;0),_xll.xSPRDOPT($BW29,$BV29,$CG29,0,$BY29,$BX29,$BZ29,$AJ29,1,12)*$CB29,0)</f>
        <v>-4.5199686798095238</v>
      </c>
      <c r="BI29" s="137">
        <f>_xll.xSPRDOPT($BW29,$BV29,$CG29,2*LN(1+CA29/2),$BY29,$BX29,$BZ29,$AJ29,1,9)</f>
        <v>-7.6309603256506887E-3</v>
      </c>
      <c r="BJ29" s="137">
        <f>_xll.xSPRDOPT($BW29,$BV29,$CG29,0,$BY29,$BX29,$BZ29,$AJ29,1,6)*$CB29</f>
        <v>-8.8418943974663156E-2</v>
      </c>
      <c r="BK29" s="137">
        <f>_xll.xSPRDOPT($BW29,$BV29,$CG29,0,$BY29,$BX29,$BZ29,$AJ29,1,5)*$CB29</f>
        <v>0.15982362371487471</v>
      </c>
      <c r="BL29" s="137">
        <f>_xll.xSPRDOPT(BW29,BV29,CG29,0,BY29,BX29,BZ29,AJ29,1,2)*CB29</f>
        <v>-0.62728010053836092</v>
      </c>
      <c r="BM29" s="137">
        <f>_xll.xSPRDOPT(BW29,BV29,CG29,0,BY29,BX29,BZ29,AJ29,1,1)*CB29</f>
        <v>0.6360274250140161</v>
      </c>
      <c r="BN29" s="137">
        <f>IF(AH29&lt;&gt;0,_xll.xSPRDOPT($BW29,$BV29,$CG29,2*LN(1+CA29/2),$BY29,$BX29,$BZ29,$AJ29,1,8)+(AJ29/365.25)*CH29/AH29,0)</f>
        <v>6.4851394919868133E-4</v>
      </c>
      <c r="BO29" s="137">
        <f>_xll.xSPRDOPT($BW29,$BV29,$CG29,0,$BY29,$BX29,$BZ29,$AJ29,1,0)</f>
        <v>4.9548017386146455E-2</v>
      </c>
      <c r="BP29" s="137"/>
      <c r="BQ29" s="137"/>
      <c r="BR29" s="137"/>
      <c r="BS29" s="137"/>
      <c r="BV29" s="262">
        <v>3.0843373493975905</v>
      </c>
      <c r="BW29" s="136">
        <v>3.117</v>
      </c>
      <c r="BX29" s="137">
        <v>0.37584594928724246</v>
      </c>
      <c r="BY29" s="137">
        <v>0.37767705651309219</v>
      </c>
      <c r="BZ29" s="137">
        <v>0.99854702812921137</v>
      </c>
      <c r="CA29" s="137">
        <v>2.99847168551968E-2</v>
      </c>
      <c r="CB29" s="137">
        <v>0.95632885259143241</v>
      </c>
      <c r="CC29" s="258">
        <v>-0.09</v>
      </c>
      <c r="CD29" s="258">
        <v>0</v>
      </c>
      <c r="CE29" s="258">
        <v>-4.4999999999999998E-2</v>
      </c>
      <c r="CF29" s="258">
        <v>0</v>
      </c>
      <c r="CG29" s="258">
        <v>5.9999999999999995E-4</v>
      </c>
      <c r="CH29" s="258">
        <v>1.4344932788871487</v>
      </c>
      <c r="CI29" s="258">
        <v>3.1619999999999999</v>
      </c>
      <c r="CJ29" s="258"/>
      <c r="CK29" s="258"/>
      <c r="CL29" s="258"/>
      <c r="CM29" s="258"/>
    </row>
    <row r="30" spans="1:91" x14ac:dyDescent="0.25">
      <c r="A30" s="723"/>
      <c r="B30" s="723"/>
      <c r="D30" s="31">
        <f t="shared" si="41"/>
        <v>37817</v>
      </c>
      <c r="F30" s="28">
        <f t="shared" si="12"/>
        <v>27600</v>
      </c>
      <c r="G30" s="28">
        <f t="shared" si="13"/>
        <v>26296.65544683253</v>
      </c>
      <c r="H30" s="52">
        <f t="shared" si="14"/>
        <v>3.1265060240963858</v>
      </c>
      <c r="I30" s="52">
        <f t="shared" si="15"/>
        <v>3.1590000000000003</v>
      </c>
      <c r="K30" s="52">
        <f t="shared" si="42"/>
        <v>0.94202361413676783</v>
      </c>
      <c r="L30" s="135">
        <f t="shared" si="43"/>
        <v>0.61625510375158254</v>
      </c>
      <c r="N30" s="131">
        <f t="shared" si="44"/>
        <v>0.37759499646180722</v>
      </c>
      <c r="O30" s="131">
        <f t="shared" si="45"/>
        <v>0.37956577246742684</v>
      </c>
      <c r="P30" s="55">
        <f t="shared" si="46"/>
        <v>0.99833739670661004</v>
      </c>
      <c r="Q30" s="135">
        <f>_xll.xSPRDOPT(I30,H30,AQ30,0,O30,N30,P30,D30-$G$5,1,0)*AH30*AU30</f>
        <v>1.5582787178883504</v>
      </c>
      <c r="R30" s="135"/>
      <c r="S30" s="181">
        <f>_xll.xSPRDOPT(I30,H30,AQ30,AT30,O30,N30,P30,D30-$G$5,1,2)*AF30*(F30/(1-AR30))*AH30</f>
        <v>-522611.94617544854</v>
      </c>
      <c r="T30" s="181">
        <f>_xll.xSPRDOPT(I30,H30,AQ30,AT30,O30,N30,P30,D30-$G$5,1,1)*AF30*F30*AH30</f>
        <v>528873.92170308682</v>
      </c>
      <c r="U30" s="135"/>
      <c r="V30" s="146">
        <f t="shared" si="16"/>
        <v>1.4768049254561748</v>
      </c>
      <c r="W30" s="146"/>
      <c r="X30" s="338">
        <f t="shared" si="17"/>
        <v>0</v>
      </c>
      <c r="Y30" s="338">
        <f t="shared" si="18"/>
        <v>0</v>
      </c>
      <c r="Z30" s="338">
        <f t="shared" si="19"/>
        <v>-57.294130735529677</v>
      </c>
      <c r="AA30" s="338">
        <f t="shared" si="20"/>
        <v>3.2680015571544412</v>
      </c>
      <c r="AB30" s="338">
        <f t="shared" si="21"/>
        <v>0</v>
      </c>
      <c r="AC30" s="338">
        <f t="shared" si="22"/>
        <v>10.935847456359092</v>
      </c>
      <c r="AF30" s="138">
        <f t="shared" si="23"/>
        <v>1</v>
      </c>
      <c r="AG30" s="138">
        <f t="shared" si="24"/>
        <v>7</v>
      </c>
      <c r="AH30" s="138">
        <f t="shared" si="25"/>
        <v>31</v>
      </c>
      <c r="AI30" s="138">
        <f t="shared" si="47"/>
        <v>561</v>
      </c>
      <c r="AJ30" s="138">
        <f t="shared" si="26"/>
        <v>578</v>
      </c>
      <c r="AL30" s="136">
        <f t="shared" si="27"/>
        <v>3.2040000000000002</v>
      </c>
      <c r="AM30" s="258">
        <f t="shared" si="48"/>
        <v>-0.09</v>
      </c>
      <c r="AN30" s="258">
        <f t="shared" si="28"/>
        <v>0</v>
      </c>
      <c r="AO30" s="258">
        <f t="shared" si="29"/>
        <v>-4.4999999999999998E-2</v>
      </c>
      <c r="AP30" s="258">
        <f t="shared" si="30"/>
        <v>0</v>
      </c>
      <c r="AQ30" s="136">
        <f t="shared" si="31"/>
        <v>5.9999999999999995E-4</v>
      </c>
      <c r="AR30" s="137">
        <f t="shared" si="32"/>
        <v>4.0000000000000001E-3</v>
      </c>
      <c r="AS30" s="136">
        <f t="shared" si="49"/>
        <v>3.1140000000000003</v>
      </c>
      <c r="AT30" s="137">
        <f t="shared" si="33"/>
        <v>3.0965279300479799E-2</v>
      </c>
      <c r="AU30" s="137">
        <f t="shared" si="34"/>
        <v>0.9527773712620482</v>
      </c>
      <c r="AV30" s="394">
        <f t="shared" si="50"/>
        <v>3278.5069345127081</v>
      </c>
      <c r="AW30" s="137">
        <f t="shared" si="35"/>
        <v>0.3725</v>
      </c>
      <c r="AX30" s="137">
        <f t="shared" si="36"/>
        <v>0.53</v>
      </c>
      <c r="AY30" s="137">
        <f t="shared" si="37"/>
        <v>0.57999999999999996</v>
      </c>
      <c r="AZ30" s="137"/>
      <c r="BA30" s="264"/>
      <c r="BB30" s="258">
        <f t="shared" si="38"/>
        <v>0</v>
      </c>
      <c r="BC30" s="258">
        <f t="shared" si="39"/>
        <v>0</v>
      </c>
      <c r="BD30" s="137">
        <f t="shared" si="40"/>
        <v>2.6199126392512095E-5</v>
      </c>
      <c r="BE30" s="137">
        <f t="shared" si="40"/>
        <v>3.6239899198153847E-5</v>
      </c>
      <c r="BF30" s="137">
        <f>_xll.xSPRDOPT($BW30,$BV30,$CG30,0,$BY30,$BX30,$BZ30,$AJ30,1,4)*$CB30</f>
        <v>4.1476125649622437</v>
      </c>
      <c r="BG30" s="137">
        <f>_xll.xSPRDOPT($BW30,$BV30,$CG30,0,$BY30,$BX30,$BZ30,$AJ30,1,3)*$CB30</f>
        <v>4.0643010748641091</v>
      </c>
      <c r="BH30" s="137">
        <f>IF(OR(BF30&lt;&gt;0,BG30&lt;&gt;0),_xll.xSPRDOPT($BW30,$BV30,$CG30,0,$BY30,$BX30,$BZ30,$AJ30,1,12)*$CB30,0)</f>
        <v>-4.105748556493408</v>
      </c>
      <c r="BI30" s="137">
        <f>_xll.xSPRDOPT($BW30,$BV30,$CG30,2*LN(1+CA30/2),$BY30,$BX30,$BZ30,$AJ30,1,9)</f>
        <v>-8.1528289119340083E-3</v>
      </c>
      <c r="BJ30" s="137">
        <f>_xll.xSPRDOPT($BW30,$BV30,$CG30,0,$BY30,$BX30,$BZ30,$AJ30,1,6)*$CB30</f>
        <v>-9.0221164486443725E-2</v>
      </c>
      <c r="BK30" s="137">
        <f>_xll.xSPRDOPT($BW30,$BV30,$CG30,0,$BY30,$BX30,$BZ30,$AJ30,1,5)*$CB30</f>
        <v>0.17062021391917367</v>
      </c>
      <c r="BL30" s="137">
        <f>_xll.xSPRDOPT(BW30,BV30,CG30,0,BY30,BX30,BZ30,AJ30,1,2)*CB30</f>
        <v>-0.60844292104620645</v>
      </c>
      <c r="BM30" s="137">
        <f>_xll.xSPRDOPT(BW30,BV30,CG30,0,BY30,BX30,BZ30,AJ30,1,1)*CB30</f>
        <v>0.61820624374174049</v>
      </c>
      <c r="BN30" s="137">
        <f>IF(AH30&lt;&gt;0,_xll.xSPRDOPT($BW30,$BV30,$CG30,2*LN(1+CA30/2),$BY30,$BX30,$BZ30,$AJ30,1,8)+(AJ30/365.25)*CH30/AH30,0)</f>
        <v>-4.158327362816655E-3</v>
      </c>
      <c r="BO30" s="137">
        <f>_xll.xSPRDOPT($BW30,$BV30,$CG30,0,$BY30,$BX30,$BZ30,$AJ30,1,0)</f>
        <v>5.275866673565572E-2</v>
      </c>
      <c r="BP30" s="137"/>
      <c r="BQ30" s="137"/>
      <c r="BR30" s="137"/>
      <c r="BS30" s="137"/>
      <c r="BV30" s="262">
        <v>3.1265060240963858</v>
      </c>
      <c r="BW30" s="136">
        <v>3.1590000000000003</v>
      </c>
      <c r="BX30" s="137">
        <v>0.37756879733541471</v>
      </c>
      <c r="BY30" s="137">
        <v>0.37952953256822869</v>
      </c>
      <c r="BZ30" s="137">
        <v>0.99834566350305831</v>
      </c>
      <c r="CA30" s="137">
        <v>3.0965279300479799E-2</v>
      </c>
      <c r="CB30" s="137">
        <v>0.95253693379797033</v>
      </c>
      <c r="CC30" s="258">
        <v>-0.09</v>
      </c>
      <c r="CD30" s="258">
        <v>0</v>
      </c>
      <c r="CE30" s="258">
        <v>-4.4999999999999998E-2</v>
      </c>
      <c r="CF30" s="258">
        <v>0</v>
      </c>
      <c r="CG30" s="258">
        <v>5.9999999999999995E-4</v>
      </c>
      <c r="CH30" s="258">
        <v>1.4764322473868541</v>
      </c>
      <c r="CI30" s="258">
        <v>3.2040000000000002</v>
      </c>
      <c r="CJ30" s="258"/>
      <c r="CK30" s="258"/>
      <c r="CL30" s="258"/>
      <c r="CM30" s="258"/>
    </row>
    <row r="31" spans="1:91" x14ac:dyDescent="0.25">
      <c r="A31" s="723"/>
      <c r="B31" s="723"/>
      <c r="D31" s="31">
        <f t="shared" si="41"/>
        <v>37848</v>
      </c>
      <c r="F31" s="28">
        <f t="shared" si="12"/>
        <v>27600</v>
      </c>
      <c r="G31" s="28">
        <f t="shared" si="13"/>
        <v>26185.279095345861</v>
      </c>
      <c r="H31" s="52">
        <f t="shared" si="14"/>
        <v>3.168674698795181</v>
      </c>
      <c r="I31" s="52">
        <f t="shared" si="15"/>
        <v>3.2010000000000001</v>
      </c>
      <c r="K31" s="52">
        <f t="shared" si="42"/>
        <v>0.93307289345634237</v>
      </c>
      <c r="L31" s="135">
        <f t="shared" si="43"/>
        <v>0.70370638338290958</v>
      </c>
      <c r="N31" s="131">
        <f t="shared" si="44"/>
        <v>0.37920840226144648</v>
      </c>
      <c r="O31" s="131">
        <f t="shared" si="45"/>
        <v>0.38123828997735254</v>
      </c>
      <c r="P31" s="55">
        <f t="shared" si="46"/>
        <v>0.99818144078301874</v>
      </c>
      <c r="Q31" s="135">
        <f>_xll.xSPRDOPT(I31,H31,AQ31,0,O31,N31,P31,D31-$G$5,1,0)*AH31*AU31</f>
        <v>1.636779276839252</v>
      </c>
      <c r="R31" s="135"/>
      <c r="S31" s="181">
        <f>_xll.xSPRDOPT(I31,H31,AQ31,AT31,O31,N31,P31,D31-$G$5,1,2)*AF31*(F31/(1-AR31))*AH31</f>
        <v>-509902.4394642149</v>
      </c>
      <c r="T31" s="181">
        <f>_xll.xSPRDOPT(I31,H31,AQ31,AT31,O31,N31,P31,D31-$G$5,1,1)*AF31*F31*AH31</f>
        <v>516934.53434620047</v>
      </c>
      <c r="U31" s="135"/>
      <c r="V31" s="146">
        <f t="shared" si="16"/>
        <v>1.4705500941226841</v>
      </c>
      <c r="W31" s="146"/>
      <c r="X31" s="338">
        <f t="shared" si="17"/>
        <v>0</v>
      </c>
      <c r="Y31" s="338">
        <f t="shared" si="18"/>
        <v>0</v>
      </c>
      <c r="Z31" s="338">
        <f t="shared" si="19"/>
        <v>-59.423455292290107</v>
      </c>
      <c r="AA31" s="338">
        <f t="shared" si="20"/>
        <v>3.9522888176660467</v>
      </c>
      <c r="AB31" s="338">
        <f t="shared" si="21"/>
        <v>0</v>
      </c>
      <c r="AC31" s="338">
        <f t="shared" si="22"/>
        <v>11.858283083969203</v>
      </c>
      <c r="AF31" s="138">
        <f t="shared" si="23"/>
        <v>1</v>
      </c>
      <c r="AG31" s="138">
        <f t="shared" si="24"/>
        <v>8</v>
      </c>
      <c r="AH31" s="138">
        <f t="shared" si="25"/>
        <v>31</v>
      </c>
      <c r="AI31" s="138">
        <f t="shared" si="47"/>
        <v>592</v>
      </c>
      <c r="AJ31" s="138">
        <f t="shared" si="26"/>
        <v>609</v>
      </c>
      <c r="AL31" s="136">
        <f t="shared" si="27"/>
        <v>3.246</v>
      </c>
      <c r="AM31" s="258">
        <f t="shared" si="48"/>
        <v>-0.09</v>
      </c>
      <c r="AN31" s="258">
        <f t="shared" si="28"/>
        <v>0</v>
      </c>
      <c r="AO31" s="258">
        <f t="shared" si="29"/>
        <v>-4.4999999999999998E-2</v>
      </c>
      <c r="AP31" s="258">
        <f t="shared" si="30"/>
        <v>0</v>
      </c>
      <c r="AQ31" s="136">
        <f t="shared" si="31"/>
        <v>5.9999999999999995E-4</v>
      </c>
      <c r="AR31" s="137">
        <f t="shared" si="32"/>
        <v>4.0000000000000001E-3</v>
      </c>
      <c r="AS31" s="136">
        <f t="shared" si="49"/>
        <v>3.1560000000000001</v>
      </c>
      <c r="AT31" s="137">
        <f t="shared" si="33"/>
        <v>3.1967083332272501E-2</v>
      </c>
      <c r="AU31" s="137">
        <f t="shared" si="34"/>
        <v>0.94874199620818334</v>
      </c>
      <c r="AV31" s="394">
        <f t="shared" si="50"/>
        <v>3264.6212089523588</v>
      </c>
      <c r="AW31" s="137">
        <f t="shared" si="35"/>
        <v>0.3725</v>
      </c>
      <c r="AX31" s="137">
        <f t="shared" si="36"/>
        <v>0.57999999999999996</v>
      </c>
      <c r="AY31" s="137">
        <f t="shared" si="37"/>
        <v>0.63</v>
      </c>
      <c r="AZ31" s="137"/>
      <c r="BA31" s="264"/>
      <c r="BB31" s="258">
        <f t="shared" si="38"/>
        <v>0</v>
      </c>
      <c r="BC31" s="258">
        <f t="shared" si="39"/>
        <v>0</v>
      </c>
      <c r="BD31" s="137">
        <f t="shared" si="40"/>
        <v>3.2674943976684911E-5</v>
      </c>
      <c r="BE31" s="137">
        <f t="shared" si="40"/>
        <v>4.245025350635423E-5</v>
      </c>
      <c r="BF31" s="137">
        <f>_xll.xSPRDOPT($BW31,$BV31,$CG31,0,$BY31,$BX31,$BZ31,$AJ31,1,4)*$CB31</f>
        <v>3.8235671184071696</v>
      </c>
      <c r="BG31" s="137">
        <f>_xll.xSPRDOPT($BW31,$BV31,$CG31,0,$BY31,$BX31,$BZ31,$AJ31,1,3)*$CB31</f>
        <v>3.7481644531574103</v>
      </c>
      <c r="BH31" s="137">
        <f>IF(OR(BF31&lt;&gt;0,BG31&lt;&gt;0),_xll.xSPRDOPT($BW31,$BV31,$CG31,0,$BY31,$BX31,$BZ31,$AJ31,1,12)*$CB31,0)</f>
        <v>-3.7856795453294669</v>
      </c>
      <c r="BI31" s="137">
        <f>_xll.xSPRDOPT($BW31,$BV31,$CG31,2*LN(1+CA31/2),$BY31,$BX31,$BZ31,$AJ31,1,9)</f>
        <v>-8.4558271176207577E-3</v>
      </c>
      <c r="BJ31" s="137">
        <f>_xll.xSPRDOPT($BW31,$BV31,$CG31,0,$BY31,$BX31,$BZ31,$AJ31,1,6)*$CB31</f>
        <v>-8.9791084527616055E-2</v>
      </c>
      <c r="BK31" s="137">
        <f>_xll.xSPRDOPT($BW31,$BV31,$CG31,0,$BY31,$BX31,$BZ31,$AJ31,1,5)*$CB31</f>
        <v>0.17793149454653076</v>
      </c>
      <c r="BL31" s="137">
        <f>_xll.xSPRDOPT(BW31,BV31,CG31,0,BY31,BX31,BZ31,AJ31,1,2)*CB31</f>
        <v>-0.59366863668045333</v>
      </c>
      <c r="BM31" s="137">
        <f>_xll.xSPRDOPT(BW31,BV31,CG31,0,BY31,BX31,BZ31,AJ31,1,1)*CB31</f>
        <v>0.60427313350714296</v>
      </c>
      <c r="BN31" s="137">
        <f>IF(AH31&lt;&gt;0,_xll.xSPRDOPT($BW31,$BV31,$CG31,2*LN(1+CA31/2),$BY31,$BX31,$BZ31,$AJ31,1,8)+(AJ31/365.25)*CH31/AH31,0)</f>
        <v>-8.9387386809118979E-3</v>
      </c>
      <c r="BO31" s="137">
        <f>_xll.xSPRDOPT($BW31,$BV31,$CG31,0,$BY31,$BX31,$BZ31,$AJ31,1,0)</f>
        <v>5.5652156470425443E-2</v>
      </c>
      <c r="BP31" s="137"/>
      <c r="BQ31" s="137"/>
      <c r="BR31" s="137"/>
      <c r="BS31" s="137"/>
      <c r="BV31" s="262">
        <v>3.168674698795181</v>
      </c>
      <c r="BW31" s="136">
        <v>3.2010000000000001</v>
      </c>
      <c r="BX31" s="137">
        <v>0.37917572731746979</v>
      </c>
      <c r="BY31" s="137">
        <v>0.38119583972384619</v>
      </c>
      <c r="BZ31" s="137">
        <v>0.99818995280275136</v>
      </c>
      <c r="CA31" s="137">
        <v>3.1967083332272501E-2</v>
      </c>
      <c r="CB31" s="137">
        <v>0.94849489337827508</v>
      </c>
      <c r="CC31" s="258">
        <v>-0.09</v>
      </c>
      <c r="CD31" s="258">
        <v>0</v>
      </c>
      <c r="CE31" s="258">
        <v>-4.4999999999999998E-2</v>
      </c>
      <c r="CF31" s="258">
        <v>0</v>
      </c>
      <c r="CG31" s="258">
        <v>5.9999999999999995E-4</v>
      </c>
      <c r="CH31" s="258">
        <v>1.4701670847363264</v>
      </c>
      <c r="CI31" s="258">
        <v>3.246</v>
      </c>
      <c r="CJ31" s="258"/>
      <c r="CK31" s="258"/>
      <c r="CL31" s="258"/>
      <c r="CM31" s="258"/>
    </row>
    <row r="32" spans="1:91" x14ac:dyDescent="0.25">
      <c r="A32" s="723"/>
      <c r="B32" s="723"/>
      <c r="D32" s="31">
        <f t="shared" si="41"/>
        <v>37879</v>
      </c>
      <c r="F32" s="28">
        <f t="shared" si="12"/>
        <v>27600</v>
      </c>
      <c r="G32" s="28">
        <f t="shared" si="13"/>
        <v>26070.031573754099</v>
      </c>
      <c r="H32" s="52">
        <f t="shared" si="14"/>
        <v>3.1636546184738958</v>
      </c>
      <c r="I32" s="52">
        <f t="shared" si="15"/>
        <v>3.1960000000000002</v>
      </c>
      <c r="K32" s="52">
        <f t="shared" si="42"/>
        <v>0.89956858555044561</v>
      </c>
      <c r="L32" s="135">
        <f t="shared" si="43"/>
        <v>0.66029399829952284</v>
      </c>
      <c r="N32" s="131">
        <f t="shared" si="44"/>
        <v>0.3762850500238793</v>
      </c>
      <c r="O32" s="131">
        <f t="shared" si="45"/>
        <v>0.37817040162415777</v>
      </c>
      <c r="P32" s="55">
        <f t="shared" si="46"/>
        <v>0.99829666626367708</v>
      </c>
      <c r="Q32" s="135">
        <f>_xll.xSPRDOPT(I32,H32,AQ32,0,O32,N32,P32,D32-$G$5,1,0)*AH32*AU32</f>
        <v>1.5598625838499685</v>
      </c>
      <c r="R32" s="135"/>
      <c r="S32" s="181">
        <f>_xll.xSPRDOPT(I32,H32,AQ32,AT32,O32,N32,P32,D32-$G$5,1,2)*AF32*(F32/(1-AR32))*AH32</f>
        <v>-493154.99236239522</v>
      </c>
      <c r="T32" s="181">
        <f>_xll.xSPRDOPT(I32,H32,AQ32,AT32,O32,N32,P32,D32-$G$5,1,1)*AF32*F32*AH32</f>
        <v>499766.22496641392</v>
      </c>
      <c r="U32" s="135"/>
      <c r="V32" s="146">
        <f t="shared" si="16"/>
        <v>1.4168495420518532</v>
      </c>
      <c r="W32" s="146"/>
      <c r="X32" s="338">
        <f t="shared" si="17"/>
        <v>0</v>
      </c>
      <c r="Y32" s="338">
        <f t="shared" si="18"/>
        <v>0</v>
      </c>
      <c r="Z32" s="338">
        <f t="shared" si="19"/>
        <v>-52.438763382641476</v>
      </c>
      <c r="AA32" s="338">
        <f t="shared" si="20"/>
        <v>3.3534039582585304</v>
      </c>
      <c r="AB32" s="338">
        <f t="shared" si="21"/>
        <v>0</v>
      </c>
      <c r="AC32" s="338">
        <f t="shared" si="22"/>
        <v>11.655076394315437</v>
      </c>
      <c r="AF32" s="138">
        <f t="shared" si="23"/>
        <v>1</v>
      </c>
      <c r="AG32" s="138">
        <f t="shared" si="24"/>
        <v>9</v>
      </c>
      <c r="AH32" s="138">
        <f t="shared" si="25"/>
        <v>30</v>
      </c>
      <c r="AI32" s="138">
        <f t="shared" si="47"/>
        <v>623</v>
      </c>
      <c r="AJ32" s="138">
        <f t="shared" si="26"/>
        <v>640</v>
      </c>
      <c r="AL32" s="136">
        <f t="shared" si="27"/>
        <v>3.2410000000000001</v>
      </c>
      <c r="AM32" s="258">
        <f t="shared" si="48"/>
        <v>-0.09</v>
      </c>
      <c r="AN32" s="258">
        <f t="shared" si="28"/>
        <v>0</v>
      </c>
      <c r="AO32" s="258">
        <f t="shared" si="29"/>
        <v>-4.4999999999999998E-2</v>
      </c>
      <c r="AP32" s="258">
        <f t="shared" si="30"/>
        <v>0</v>
      </c>
      <c r="AQ32" s="136">
        <f t="shared" si="31"/>
        <v>5.9999999999999995E-4</v>
      </c>
      <c r="AR32" s="137">
        <f t="shared" si="32"/>
        <v>4.0000000000000001E-3</v>
      </c>
      <c r="AS32" s="136">
        <f t="shared" si="49"/>
        <v>3.1510000000000002</v>
      </c>
      <c r="AT32" s="137">
        <f t="shared" si="33"/>
        <v>3.2968887702129003E-2</v>
      </c>
      <c r="AU32" s="137">
        <f t="shared" si="34"/>
        <v>0.94456636136790217</v>
      </c>
      <c r="AV32" s="394">
        <f t="shared" si="50"/>
        <v>3145.4059833551141</v>
      </c>
      <c r="AW32" s="137">
        <f t="shared" si="35"/>
        <v>0.37</v>
      </c>
      <c r="AX32" s="137">
        <f t="shared" si="36"/>
        <v>0.57999999999999996</v>
      </c>
      <c r="AY32" s="137">
        <f t="shared" si="37"/>
        <v>0.63</v>
      </c>
      <c r="AZ32" s="137"/>
      <c r="BA32" s="264"/>
      <c r="BB32" s="258">
        <f t="shared" si="38"/>
        <v>0</v>
      </c>
      <c r="BC32" s="258">
        <f t="shared" si="39"/>
        <v>0</v>
      </c>
      <c r="BD32" s="137">
        <f t="shared" si="40"/>
        <v>2.9170681815626764E-5</v>
      </c>
      <c r="BE32" s="137">
        <f t="shared" si="40"/>
        <v>3.782782267369722E-5</v>
      </c>
      <c r="BF32" s="137">
        <f>_xll.xSPRDOPT($BW32,$BV32,$CG32,0,$BY32,$BX32,$BZ32,$AJ32,1,4)*$CB32</f>
        <v>3.8660145359477274</v>
      </c>
      <c r="BG32" s="137">
        <f>_xll.xSPRDOPT($BW32,$BV32,$CG32,0,$BY32,$BX32,$BZ32,$AJ32,1,3)*$CB32</f>
        <v>3.7896081363047185</v>
      </c>
      <c r="BH32" s="137">
        <f>IF(OR(BF32&lt;&gt;0,BG32&lt;&gt;0),_xll.xSPRDOPT($BW32,$BV32,$CG32,0,$BY32,$BX32,$BZ32,$AJ32,1,12)*$CB32,0)</f>
        <v>-3.8276225036385836</v>
      </c>
      <c r="BI32" s="137">
        <f>_xll.xSPRDOPT($BW32,$BV32,$CG32,2*LN(1+CA32/2),$BY32,$BX32,$BZ32,$AJ32,1,9)</f>
        <v>-7.7106514998026565E-3</v>
      </c>
      <c r="BJ32" s="137">
        <f>_xll.xSPRDOPT($BW32,$BV32,$CG32,0,$BY32,$BX32,$BZ32,$AJ32,1,6)*$CB32</f>
        <v>-8.8659354554006697E-2</v>
      </c>
      <c r="BK32" s="137">
        <f>_xll.xSPRDOPT($BW32,$BV32,$CG32,0,$BY32,$BX32,$BZ32,$AJ32,1,5)*$CB32</f>
        <v>0.17543326930084249</v>
      </c>
      <c r="BL32" s="137">
        <f>_xll.xSPRDOPT(BW32,BV32,CG32,0,BY32,BX32,BZ32,AJ32,1,2)*CB32</f>
        <v>-0.5933337190449185</v>
      </c>
      <c r="BM32" s="137">
        <f>_xll.xSPRDOPT(BW32,BV32,CG32,0,BY32,BX32,BZ32,AJ32,1,1)*CB32</f>
        <v>0.6037028084511854</v>
      </c>
      <c r="BN32" s="137">
        <f>IF(AH32&lt;&gt;0,_xll.xSPRDOPT($BW32,$BV32,$CG32,2*LN(1+CA32/2),$BY32,$BX32,$BZ32,$AJ32,1,8)+(AJ32/365.25)*CH32/AH32,0)</f>
        <v>-8.3510027641037765E-3</v>
      </c>
      <c r="BO32" s="137">
        <f>_xll.xSPRDOPT($BW32,$BV32,$CG32,0,$BY32,$BX32,$BZ32,$AJ32,1,0)</f>
        <v>5.504699701083296E-2</v>
      </c>
      <c r="BP32" s="137"/>
      <c r="BQ32" s="137"/>
      <c r="BR32" s="137"/>
      <c r="BS32" s="137"/>
      <c r="BV32" s="262">
        <v>3.1636546184738958</v>
      </c>
      <c r="BW32" s="136">
        <v>3.1960000000000002</v>
      </c>
      <c r="BX32" s="137">
        <v>0.37625587934206367</v>
      </c>
      <c r="BY32" s="137">
        <v>0.37813257380148407</v>
      </c>
      <c r="BZ32" s="137">
        <v>0.99830428113794611</v>
      </c>
      <c r="CA32" s="137">
        <v>3.2968887702129003E-2</v>
      </c>
      <c r="CB32" s="137">
        <v>0.94431270003290391</v>
      </c>
      <c r="CC32" s="258">
        <v>-0.09</v>
      </c>
      <c r="CD32" s="258">
        <v>0</v>
      </c>
      <c r="CE32" s="258">
        <v>-4.4999999999999998E-2</v>
      </c>
      <c r="CF32" s="258">
        <v>0</v>
      </c>
      <c r="CG32" s="258">
        <v>5.9999999999999995E-4</v>
      </c>
      <c r="CH32" s="258">
        <v>1.416469050049356</v>
      </c>
      <c r="CI32" s="258">
        <v>3.2410000000000001</v>
      </c>
      <c r="CJ32" s="258"/>
      <c r="CK32" s="258"/>
      <c r="CL32" s="258"/>
      <c r="CM32" s="258"/>
    </row>
    <row r="33" spans="1:91" x14ac:dyDescent="0.25">
      <c r="A33" s="723"/>
      <c r="B33" s="723"/>
      <c r="D33" s="31">
        <f t="shared" si="41"/>
        <v>37909</v>
      </c>
      <c r="F33" s="28">
        <f t="shared" si="12"/>
        <v>27600</v>
      </c>
      <c r="G33" s="28">
        <f t="shared" si="13"/>
        <v>25956.347245504523</v>
      </c>
      <c r="H33" s="52">
        <f t="shared" si="14"/>
        <v>3.1897590361445785</v>
      </c>
      <c r="I33" s="52">
        <f t="shared" si="15"/>
        <v>3.222</v>
      </c>
      <c r="K33" s="52">
        <f t="shared" si="42"/>
        <v>0.9224564925879396</v>
      </c>
      <c r="L33" s="135">
        <f t="shared" si="43"/>
        <v>0.78225817481617044</v>
      </c>
      <c r="N33" s="131">
        <f t="shared" si="44"/>
        <v>0.3804492507364664</v>
      </c>
      <c r="O33" s="131">
        <f t="shared" si="45"/>
        <v>0.38243997040692113</v>
      </c>
      <c r="P33" s="55">
        <f t="shared" si="46"/>
        <v>0.99810771261748243</v>
      </c>
      <c r="Q33" s="135">
        <f>_xll.xSPRDOPT(I33,H33,AQ33,0,O33,N33,P33,D33-$G$5,1,0)*AH33*AU33</f>
        <v>1.70471466740411</v>
      </c>
      <c r="R33" s="135"/>
      <c r="S33" s="181">
        <f>_xll.xSPRDOPT(I33,H33,AQ33,AT33,O33,N33,P33,D33-$G$5,1,2)*AF33*(F33/(1-AR33))*AH33</f>
        <v>-497132.19803604123</v>
      </c>
      <c r="T33" s="181">
        <f>_xll.xSPRDOPT(I33,H33,AQ33,AT33,O33,N33,P33,D33-$G$5,1,1)*AF33*F33*AH33</f>
        <v>504874.72958986677</v>
      </c>
      <c r="U33" s="135"/>
      <c r="V33" s="146">
        <f t="shared" si="16"/>
        <v>1.4576934141497104</v>
      </c>
      <c r="W33" s="146"/>
      <c r="X33" s="338">
        <f t="shared" si="17"/>
        <v>0</v>
      </c>
      <c r="Y33" s="338">
        <f t="shared" si="18"/>
        <v>0</v>
      </c>
      <c r="Z33" s="338">
        <f t="shared" si="19"/>
        <v>-56.882183614940871</v>
      </c>
      <c r="AA33" s="338">
        <f t="shared" si="20"/>
        <v>4.2149619625841606</v>
      </c>
      <c r="AB33" s="338">
        <f t="shared" si="21"/>
        <v>0</v>
      </c>
      <c r="AC33" s="338">
        <f t="shared" si="22"/>
        <v>13.099625423483634</v>
      </c>
      <c r="AF33" s="138">
        <f t="shared" si="23"/>
        <v>1</v>
      </c>
      <c r="AG33" s="138">
        <f t="shared" si="24"/>
        <v>10</v>
      </c>
      <c r="AH33" s="138">
        <f t="shared" si="25"/>
        <v>31</v>
      </c>
      <c r="AI33" s="138">
        <f t="shared" si="47"/>
        <v>653</v>
      </c>
      <c r="AJ33" s="138">
        <f t="shared" si="26"/>
        <v>670</v>
      </c>
      <c r="AL33" s="136">
        <f t="shared" si="27"/>
        <v>3.2669999999999999</v>
      </c>
      <c r="AM33" s="258">
        <f t="shared" si="48"/>
        <v>-0.09</v>
      </c>
      <c r="AN33" s="258">
        <f t="shared" si="28"/>
        <v>0</v>
      </c>
      <c r="AO33" s="258">
        <f t="shared" si="29"/>
        <v>-4.4999999999999998E-2</v>
      </c>
      <c r="AP33" s="258">
        <f t="shared" si="30"/>
        <v>0</v>
      </c>
      <c r="AQ33" s="136">
        <f t="shared" si="31"/>
        <v>5.9999999999999995E-4</v>
      </c>
      <c r="AR33" s="137">
        <f t="shared" si="32"/>
        <v>4.0000000000000001E-3</v>
      </c>
      <c r="AS33" s="136">
        <f t="shared" si="49"/>
        <v>3.177</v>
      </c>
      <c r="AT33" s="137">
        <f t="shared" si="33"/>
        <v>3.3906701822071103E-2</v>
      </c>
      <c r="AU33" s="137">
        <f t="shared" si="34"/>
        <v>0.94044736396755513</v>
      </c>
      <c r="AV33" s="394">
        <f t="shared" si="50"/>
        <v>3236.0793794123574</v>
      </c>
      <c r="AW33" s="137">
        <f t="shared" si="35"/>
        <v>0.3725</v>
      </c>
      <c r="AX33" s="137">
        <f t="shared" si="36"/>
        <v>0.63</v>
      </c>
      <c r="AY33" s="137">
        <f t="shared" si="37"/>
        <v>0.68</v>
      </c>
      <c r="AZ33" s="137"/>
      <c r="BA33" s="264"/>
      <c r="BB33" s="258">
        <f t="shared" si="38"/>
        <v>0</v>
      </c>
      <c r="BC33" s="258">
        <f t="shared" si="39"/>
        <v>0</v>
      </c>
      <c r="BD33" s="137">
        <f t="shared" si="40"/>
        <v>3.5144750946347614E-5</v>
      </c>
      <c r="BE33" s="137">
        <f t="shared" si="40"/>
        <v>4.3833320035158163E-5</v>
      </c>
      <c r="BF33" s="137">
        <f>_xll.xSPRDOPT($BW33,$BV33,$CG33,0,$BY33,$BX33,$BZ33,$AJ33,1,4)*$CB33</f>
        <v>3.5371847845543014</v>
      </c>
      <c r="BG33" s="137">
        <f>_xll.xSPRDOPT($BW33,$BV33,$CG33,0,$BY33,$BX33,$BZ33,$AJ33,1,3)*$CB33</f>
        <v>3.4680641663017808</v>
      </c>
      <c r="BH33" s="137">
        <f>IF(OR(BF33&lt;&gt;0,BG33&lt;&gt;0),_xll.xSPRDOPT($BW33,$BV33,$CG33,0,$BY33,$BX33,$BZ33,$AJ33,1,12)*$CB33,0)</f>
        <v>-3.5024542318589691</v>
      </c>
      <c r="BI33" s="137">
        <f>_xll.xSPRDOPT($BW33,$BV33,$CG33,2*LN(1+CA33/2),$BY33,$BX33,$BZ33,$AJ33,1,9)</f>
        <v>-8.0942097418408732E-3</v>
      </c>
      <c r="BJ33" s="137">
        <f>_xll.xSPRDOPT($BW33,$BV33,$CG33,0,$BY33,$BX33,$BZ33,$AJ33,1,6)*$CB33</f>
        <v>-8.8055354248053289E-2</v>
      </c>
      <c r="BK33" s="137">
        <f>_xll.xSPRDOPT($BW33,$BV33,$CG33,0,$BY33,$BX33,$BZ33,$AJ33,1,5)*$CB33</f>
        <v>0.18298879693642894</v>
      </c>
      <c r="BL33" s="137">
        <f>_xll.xSPRDOPT(BW33,BV33,CG33,0,BY33,BX33,BZ33,AJ33,1,2)*CB33</f>
        <v>-0.57884925507424545</v>
      </c>
      <c r="BM33" s="137">
        <f>_xll.xSPRDOPT(BW33,BV33,CG33,0,BY33,BX33,BZ33,AJ33,1,1)*CB33</f>
        <v>0.59022545549800454</v>
      </c>
      <c r="BN33" s="137">
        <f>IF(AH33&lt;&gt;0,_xll.xSPRDOPT($BW33,$BV33,$CG33,2*LN(1+CA33/2),$BY33,$BX33,$BZ33,$AJ33,1,8)+(AJ33/365.25)*CH33/AH33,0)</f>
        <v>-1.4613266755615514E-2</v>
      </c>
      <c r="BO33" s="137">
        <f>_xll.xSPRDOPT($BW33,$BV33,$CG33,0,$BY33,$BX33,$BZ33,$AJ33,1,0)</f>
        <v>5.8473214004934354E-2</v>
      </c>
      <c r="BP33" s="137"/>
      <c r="BQ33" s="137"/>
      <c r="BR33" s="137"/>
      <c r="BS33" s="137"/>
      <c r="BV33" s="262">
        <v>3.1897590361445785</v>
      </c>
      <c r="BW33" s="136">
        <v>3.222</v>
      </c>
      <c r="BX33" s="137">
        <v>0.38041410598552006</v>
      </c>
      <c r="BY33" s="137">
        <v>0.38239613708688597</v>
      </c>
      <c r="BZ33" s="137">
        <v>0.99811571883279926</v>
      </c>
      <c r="CA33" s="137">
        <v>3.3906701822071103E-2</v>
      </c>
      <c r="CB33" s="137">
        <v>0.94018768577798628</v>
      </c>
      <c r="CC33" s="258">
        <v>-0.09</v>
      </c>
      <c r="CD33" s="258">
        <v>0</v>
      </c>
      <c r="CE33" s="258">
        <v>-4.4999999999999998E-2</v>
      </c>
      <c r="CF33" s="258">
        <v>0</v>
      </c>
      <c r="CG33" s="258">
        <v>5.9999999999999995E-4</v>
      </c>
      <c r="CH33" s="258">
        <v>1.4572909129558789</v>
      </c>
      <c r="CI33" s="258">
        <v>3.2669999999999999</v>
      </c>
      <c r="CJ33" s="258"/>
      <c r="CK33" s="258"/>
      <c r="CL33" s="258"/>
      <c r="CM33" s="258"/>
    </row>
    <row r="34" spans="1:91" x14ac:dyDescent="0.25">
      <c r="A34" s="723"/>
      <c r="B34" s="723"/>
      <c r="D34" s="31">
        <f t="shared" si="41"/>
        <v>37940</v>
      </c>
      <c r="F34" s="28">
        <f t="shared" si="12"/>
        <v>27600</v>
      </c>
      <c r="G34" s="28">
        <f t="shared" si="13"/>
        <v>0</v>
      </c>
      <c r="H34" s="52">
        <f t="shared" si="14"/>
        <v>3.4457831325301203</v>
      </c>
      <c r="I34" s="52">
        <f t="shared" si="15"/>
        <v>3.4670000000000001</v>
      </c>
      <c r="K34" s="52">
        <f t="shared" si="42"/>
        <v>0</v>
      </c>
      <c r="L34" s="135">
        <f t="shared" si="43"/>
        <v>0</v>
      </c>
      <c r="N34" s="131">
        <f t="shared" si="44"/>
        <v>0.37</v>
      </c>
      <c r="O34" s="131">
        <f t="shared" si="45"/>
        <v>0.37</v>
      </c>
      <c r="P34" s="55">
        <f t="shared" si="46"/>
        <v>0</v>
      </c>
      <c r="Q34" s="135">
        <f>_xll.xSPRDOPT(I34,H34,AQ34,0,O34,N34,P34,D34-$G$5,1,0)*AH34*AU34</f>
        <v>0</v>
      </c>
      <c r="R34" s="135"/>
      <c r="S34" s="181">
        <f>_xll.xSPRDOPT(I34,H34,AQ34,AT34,O34,N34,P34,D34-$G$5,1,2)*AF34*(F34/(1-AR34))*AH34</f>
        <v>0</v>
      </c>
      <c r="T34" s="181">
        <f>_xll.xSPRDOPT(I34,H34,AQ34,AT34,O34,N34,P34,D34-$G$5,1,1)*AF34*F34*AH34</f>
        <v>0</v>
      </c>
      <c r="U34" s="135"/>
      <c r="V34" s="146">
        <f t="shared" si="16"/>
        <v>0</v>
      </c>
      <c r="W34" s="146"/>
      <c r="X34" s="338">
        <f t="shared" si="17"/>
        <v>0</v>
      </c>
      <c r="Y34" s="338">
        <f t="shared" si="18"/>
        <v>0</v>
      </c>
      <c r="Z34" s="338">
        <f t="shared" si="19"/>
        <v>0</v>
      </c>
      <c r="AA34" s="338">
        <f t="shared" si="20"/>
        <v>0</v>
      </c>
      <c r="AB34" s="338">
        <f t="shared" si="21"/>
        <v>0</v>
      </c>
      <c r="AC34" s="338">
        <f t="shared" si="22"/>
        <v>0</v>
      </c>
      <c r="AF34" s="138">
        <f t="shared" si="23"/>
        <v>0</v>
      </c>
      <c r="AG34" s="138">
        <f t="shared" si="24"/>
        <v>11</v>
      </c>
      <c r="AH34" s="138">
        <f t="shared" si="25"/>
        <v>0</v>
      </c>
      <c r="AI34" s="138">
        <f t="shared" si="47"/>
        <v>684</v>
      </c>
      <c r="AJ34" s="138">
        <f t="shared" si="26"/>
        <v>701</v>
      </c>
      <c r="AL34" s="136">
        <f t="shared" si="27"/>
        <v>3.4020000000000001</v>
      </c>
      <c r="AM34" s="258">
        <f t="shared" si="48"/>
        <v>0</v>
      </c>
      <c r="AN34" s="258">
        <f t="shared" si="28"/>
        <v>0.03</v>
      </c>
      <c r="AO34" s="258">
        <f t="shared" si="29"/>
        <v>6.5000000000000002E-2</v>
      </c>
      <c r="AP34" s="258">
        <f t="shared" si="30"/>
        <v>0</v>
      </c>
      <c r="AQ34" s="136">
        <f t="shared" si="31"/>
        <v>5.9999999999999995E-4</v>
      </c>
      <c r="AR34" s="137">
        <f t="shared" si="32"/>
        <v>4.0000000000000001E-3</v>
      </c>
      <c r="AS34" s="136">
        <f t="shared" si="49"/>
        <v>3.4319999999999999</v>
      </c>
      <c r="AT34" s="137">
        <f t="shared" si="33"/>
        <v>3.4836153967131397E-2</v>
      </c>
      <c r="AU34" s="137">
        <f t="shared" si="34"/>
        <v>0</v>
      </c>
      <c r="AV34" s="394">
        <f t="shared" si="50"/>
        <v>0</v>
      </c>
      <c r="AW34" s="137">
        <f t="shared" si="35"/>
        <v>0.37</v>
      </c>
      <c r="AX34" s="137">
        <f t="shared" si="36"/>
        <v>0.93</v>
      </c>
      <c r="AY34" s="137">
        <f t="shared" si="37"/>
        <v>0.83</v>
      </c>
      <c r="AZ34" s="137"/>
      <c r="BA34" s="264"/>
      <c r="BB34" s="258">
        <f t="shared" si="38"/>
        <v>0</v>
      </c>
      <c r="BC34" s="258">
        <f t="shared" si="39"/>
        <v>0</v>
      </c>
      <c r="BD34" s="137">
        <f t="shared" si="40"/>
        <v>0</v>
      </c>
      <c r="BE34" s="137">
        <f t="shared" si="40"/>
        <v>0</v>
      </c>
      <c r="BF34" s="137">
        <f>_xll.xSPRDOPT($BW34,$BV34,$CG34,0,$BY34,$BX34,$BZ34,$AJ34,1,4)*$CB34</f>
        <v>0</v>
      </c>
      <c r="BG34" s="137">
        <f>_xll.xSPRDOPT($BW34,$BV34,$CG34,0,$BY34,$BX34,$BZ34,$AJ34,1,3)*$CB34</f>
        <v>0</v>
      </c>
      <c r="BH34" s="137">
        <f>IF(OR(BF34&lt;&gt;0,BG34&lt;&gt;0),_xll.xSPRDOPT($BW34,$BV34,$CG34,0,$BY34,$BX34,$BZ34,$AJ34,1,12)*$CB34,0)</f>
        <v>0</v>
      </c>
      <c r="BI34" s="137">
        <f>_xll.xSPRDOPT($BW34,$BV34,$CG34,2*LN(1+CA34/2),$BY34,$BX34,$BZ34,$AJ34,1,9)</f>
        <v>-0.1962573973095959</v>
      </c>
      <c r="BJ34" s="137">
        <f>_xll.xSPRDOPT($BW34,$BV34,$CG34,0,$BY34,$BX34,$BZ34,$AJ34,1,6)*$CB34</f>
        <v>0</v>
      </c>
      <c r="BK34" s="137">
        <f>_xll.xSPRDOPT($BW34,$BV34,$CG34,0,$BY34,$BX34,$BZ34,$AJ34,1,5)*$CB34</f>
        <v>0</v>
      </c>
      <c r="BL34" s="137">
        <f>_xll.xSPRDOPT(BW34,BV34,CG34,0,BY34,BX34,BZ34,AJ34,1,2)*CB34</f>
        <v>0</v>
      </c>
      <c r="BM34" s="137">
        <f>_xll.xSPRDOPT(BW34,BV34,CG34,0,BY34,BX34,BZ34,AJ34,1,1)*CB34</f>
        <v>0</v>
      </c>
      <c r="BN34" s="137">
        <f>IF(AH34&lt;&gt;0,_xll.xSPRDOPT($BW34,$BV34,$CG34,2*LN(1+CA34/2),$BY34,$BX34,$BZ34,$AJ34,1,8)+(AJ34/365.25)*CH34/AH34,0)</f>
        <v>0</v>
      </c>
      <c r="BO34" s="137">
        <f>_xll.xSPRDOPT($BW34,$BV34,$CG34,0,$BY34,$BX34,$BZ34,$AJ34,1,0)</f>
        <v>0.98844982808400417</v>
      </c>
      <c r="BP34" s="137"/>
      <c r="BQ34" s="137"/>
      <c r="BR34" s="137"/>
      <c r="BS34" s="137"/>
      <c r="BV34" s="262">
        <v>3.4457831325301203</v>
      </c>
      <c r="BW34" s="136">
        <v>3.4670000000000001</v>
      </c>
      <c r="BX34" s="137">
        <v>0.37</v>
      </c>
      <c r="BY34" s="137">
        <v>0.37</v>
      </c>
      <c r="BZ34" s="137">
        <v>0</v>
      </c>
      <c r="CA34" s="137">
        <v>3.4836153967131397E-2</v>
      </c>
      <c r="CB34" s="137">
        <v>0</v>
      </c>
      <c r="CC34" s="258">
        <v>0</v>
      </c>
      <c r="CD34" s="258">
        <v>0.03</v>
      </c>
      <c r="CE34" s="258">
        <v>6.5000000000000002E-2</v>
      </c>
      <c r="CF34" s="258">
        <v>0</v>
      </c>
      <c r="CG34" s="258">
        <v>5.9999999999999995E-4</v>
      </c>
      <c r="CH34" s="258">
        <v>0</v>
      </c>
      <c r="CI34" s="258">
        <v>3.4020000000000001</v>
      </c>
      <c r="CJ34" s="258"/>
      <c r="CK34" s="258"/>
      <c r="CL34" s="258"/>
      <c r="CM34" s="258"/>
    </row>
    <row r="35" spans="1:91" x14ac:dyDescent="0.25">
      <c r="A35" s="723"/>
      <c r="B35" s="723"/>
      <c r="D35" s="31">
        <f t="shared" si="41"/>
        <v>37940</v>
      </c>
      <c r="F35" s="28">
        <f t="shared" si="12"/>
        <v>27600</v>
      </c>
      <c r="G35" s="28">
        <f t="shared" si="13"/>
        <v>0</v>
      </c>
      <c r="H35" s="52">
        <f t="shared" si="14"/>
        <v>3.4457831325301203</v>
      </c>
      <c r="I35" s="52">
        <f t="shared" si="15"/>
        <v>3.4670000000000001</v>
      </c>
      <c r="K35" s="52">
        <f t="shared" si="42"/>
        <v>0</v>
      </c>
      <c r="L35" s="135">
        <f t="shared" si="43"/>
        <v>0</v>
      </c>
      <c r="N35" s="131">
        <f t="shared" si="44"/>
        <v>0.37</v>
      </c>
      <c r="O35" s="131">
        <f t="shared" si="45"/>
        <v>0.37</v>
      </c>
      <c r="P35" s="55">
        <f t="shared" si="46"/>
        <v>0</v>
      </c>
      <c r="Q35" s="135">
        <f>_xll.xSPRDOPT(I35,H35,AQ35,0,O35,N35,P35,D35-$G$5,1,0)*AH35*AU35</f>
        <v>0</v>
      </c>
      <c r="R35" s="135"/>
      <c r="S35" s="181">
        <f>_xll.xSPRDOPT(I35,H35,AQ35,AT35,O35,N35,P35,D35-$G$5,1,2)*AF35*(F35/(1-AR35))*AH35</f>
        <v>0</v>
      </c>
      <c r="T35" s="181">
        <f>_xll.xSPRDOPT(I35,H35,AQ35,AT35,O35,N35,P35,D35-$G$5,1,1)*AF35*F35*AH35</f>
        <v>0</v>
      </c>
      <c r="U35" s="135"/>
      <c r="V35" s="146">
        <f t="shared" si="16"/>
        <v>0</v>
      </c>
      <c r="W35" s="146"/>
      <c r="X35" s="338">
        <f t="shared" si="17"/>
        <v>0</v>
      </c>
      <c r="Y35" s="338">
        <f t="shared" si="18"/>
        <v>0</v>
      </c>
      <c r="Z35" s="338">
        <f t="shared" si="19"/>
        <v>0</v>
      </c>
      <c r="AA35" s="338">
        <f t="shared" si="20"/>
        <v>0</v>
      </c>
      <c r="AB35" s="338">
        <f t="shared" si="21"/>
        <v>0</v>
      </c>
      <c r="AC35" s="338">
        <f t="shared" si="22"/>
        <v>0</v>
      </c>
      <c r="AF35" s="138">
        <f t="shared" si="23"/>
        <v>0</v>
      </c>
      <c r="AG35" s="138">
        <f t="shared" si="24"/>
        <v>11</v>
      </c>
      <c r="AH35" s="138">
        <f t="shared" si="25"/>
        <v>0</v>
      </c>
      <c r="AI35" s="138">
        <f t="shared" si="47"/>
        <v>684</v>
      </c>
      <c r="AJ35" s="138">
        <f t="shared" si="26"/>
        <v>701</v>
      </c>
      <c r="AL35" s="136">
        <f t="shared" si="27"/>
        <v>3.4020000000000001</v>
      </c>
      <c r="AM35" s="258">
        <f t="shared" si="48"/>
        <v>0</v>
      </c>
      <c r="AN35" s="258">
        <f t="shared" si="28"/>
        <v>0.03</v>
      </c>
      <c r="AO35" s="258">
        <f t="shared" si="29"/>
        <v>6.5000000000000002E-2</v>
      </c>
      <c r="AP35" s="258">
        <f t="shared" si="30"/>
        <v>0</v>
      </c>
      <c r="AQ35" s="136">
        <f t="shared" si="31"/>
        <v>5.9999999999999995E-4</v>
      </c>
      <c r="AR35" s="137">
        <f t="shared" si="32"/>
        <v>4.0000000000000001E-3</v>
      </c>
      <c r="AS35" s="136">
        <f t="shared" si="49"/>
        <v>3.4319999999999999</v>
      </c>
      <c r="AT35" s="137">
        <f t="shared" si="33"/>
        <v>3.4836153967131397E-2</v>
      </c>
      <c r="AU35" s="137">
        <f t="shared" si="34"/>
        <v>0</v>
      </c>
      <c r="AV35" s="394">
        <f t="shared" si="50"/>
        <v>0</v>
      </c>
      <c r="AW35" s="137">
        <f t="shared" si="35"/>
        <v>0.37</v>
      </c>
      <c r="AX35" s="137">
        <f t="shared" si="36"/>
        <v>0.93</v>
      </c>
      <c r="AY35" s="137">
        <f t="shared" si="37"/>
        <v>0.83</v>
      </c>
      <c r="AZ35" s="137"/>
      <c r="BA35" s="264"/>
      <c r="BB35" s="258">
        <f t="shared" si="38"/>
        <v>0</v>
      </c>
      <c r="BC35" s="258">
        <f t="shared" si="39"/>
        <v>0</v>
      </c>
      <c r="BD35" s="137">
        <f t="shared" si="40"/>
        <v>0</v>
      </c>
      <c r="BE35" s="137">
        <f t="shared" si="40"/>
        <v>0</v>
      </c>
      <c r="BF35" s="137">
        <f>_xll.xSPRDOPT($BW35,$BV35,$CG35,0,$BY35,$BX35,$BZ35,$AJ35,1,4)*$CB35</f>
        <v>0</v>
      </c>
      <c r="BG35" s="137">
        <f>_xll.xSPRDOPT($BW35,$BV35,$CG35,0,$BY35,$BX35,$BZ35,$AJ35,1,3)*$CB35</f>
        <v>0</v>
      </c>
      <c r="BH35" s="137">
        <f>IF(OR(BF35&lt;&gt;0,BG35&lt;&gt;0),_xll.xSPRDOPT($BW35,$BV35,$CG35,0,$BY35,$BX35,$BZ35,$AJ35,1,12)*$CB35,0)</f>
        <v>0</v>
      </c>
      <c r="BI35" s="137">
        <f>_xll.xSPRDOPT($BW35,$BV35,$CG35,2*LN(1+CA35/2),$BY35,$BX35,$BZ35,$AJ35,1,9)</f>
        <v>-0.1962573973095959</v>
      </c>
      <c r="BJ35" s="137">
        <f>_xll.xSPRDOPT($BW35,$BV35,$CG35,0,$BY35,$BX35,$BZ35,$AJ35,1,6)*$CB35</f>
        <v>0</v>
      </c>
      <c r="BK35" s="137">
        <f>_xll.xSPRDOPT($BW35,$BV35,$CG35,0,$BY35,$BX35,$BZ35,$AJ35,1,5)*$CB35</f>
        <v>0</v>
      </c>
      <c r="BL35" s="137">
        <f>_xll.xSPRDOPT(BW35,BV35,CG35,0,BY35,BX35,BZ35,AJ35,1,2)*CB35</f>
        <v>0</v>
      </c>
      <c r="BM35" s="137">
        <f>_xll.xSPRDOPT(BW35,BV35,CG35,0,BY35,BX35,BZ35,AJ35,1,1)*CB35</f>
        <v>0</v>
      </c>
      <c r="BN35" s="137">
        <f>IF(AH35&lt;&gt;0,_xll.xSPRDOPT($BW35,$BV35,$CG35,2*LN(1+CA35/2),$BY35,$BX35,$BZ35,$AJ35,1,8)+(AJ35/365.25)*CH35/AH35,0)</f>
        <v>0</v>
      </c>
      <c r="BO35" s="137">
        <f>_xll.xSPRDOPT($BW35,$BV35,$CG35,0,$BY35,$BX35,$BZ35,$AJ35,1,0)</f>
        <v>0.98844982808400417</v>
      </c>
      <c r="BP35" s="137"/>
      <c r="BQ35" s="137"/>
      <c r="BR35" s="137"/>
      <c r="BS35" s="137"/>
      <c r="BV35" s="262">
        <v>3.4457831325301203</v>
      </c>
      <c r="BW35" s="136">
        <v>3.4670000000000001</v>
      </c>
      <c r="BX35" s="137">
        <v>0.37</v>
      </c>
      <c r="BY35" s="137">
        <v>0.37</v>
      </c>
      <c r="BZ35" s="137">
        <v>0</v>
      </c>
      <c r="CA35" s="137">
        <v>3.4836153967131397E-2</v>
      </c>
      <c r="CB35" s="137">
        <v>0</v>
      </c>
      <c r="CC35" s="258">
        <v>0</v>
      </c>
      <c r="CD35" s="258">
        <v>0.03</v>
      </c>
      <c r="CE35" s="258">
        <v>6.5000000000000002E-2</v>
      </c>
      <c r="CF35" s="258">
        <v>0</v>
      </c>
      <c r="CG35" s="258">
        <v>5.9999999999999995E-4</v>
      </c>
      <c r="CH35" s="258">
        <v>0</v>
      </c>
      <c r="CI35" s="258">
        <v>3.4020000000000001</v>
      </c>
      <c r="CJ35" s="258"/>
      <c r="CK35" s="258"/>
      <c r="CL35" s="258"/>
      <c r="CM35" s="258"/>
    </row>
    <row r="36" spans="1:91" x14ac:dyDescent="0.25">
      <c r="A36" s="723"/>
      <c r="B36" s="723"/>
      <c r="D36" s="31">
        <f t="shared" si="41"/>
        <v>37940</v>
      </c>
      <c r="F36" s="28">
        <f t="shared" si="12"/>
        <v>27600</v>
      </c>
      <c r="G36" s="28">
        <f t="shared" si="13"/>
        <v>0</v>
      </c>
      <c r="H36" s="52">
        <f t="shared" si="14"/>
        <v>3.4457831325301203</v>
      </c>
      <c r="I36" s="52">
        <f t="shared" si="15"/>
        <v>3.4670000000000001</v>
      </c>
      <c r="K36" s="52">
        <f t="shared" si="42"/>
        <v>0</v>
      </c>
      <c r="L36" s="135">
        <f t="shared" si="43"/>
        <v>0</v>
      </c>
      <c r="N36" s="131">
        <f t="shared" si="44"/>
        <v>0.37</v>
      </c>
      <c r="O36" s="131">
        <f t="shared" si="45"/>
        <v>0.37</v>
      </c>
      <c r="P36" s="55">
        <f t="shared" si="46"/>
        <v>0</v>
      </c>
      <c r="Q36" s="135">
        <f>_xll.xSPRDOPT(I36,H36,AQ36,0,O36,N36,P36,D36-$G$5,1,0)*AH36*AU36</f>
        <v>0</v>
      </c>
      <c r="R36" s="135"/>
      <c r="S36" s="181">
        <f>_xll.xSPRDOPT(I36,H36,AQ36,AT36,O36,N36,P36,D36-$G$5,1,2)*AF36*(F36/(1-AR36))*AH36</f>
        <v>0</v>
      </c>
      <c r="T36" s="181">
        <f>_xll.xSPRDOPT(I36,H36,AQ36,AT36,O36,N36,P36,D36-$G$5,1,1)*AF36*F36*AH36</f>
        <v>0</v>
      </c>
      <c r="U36" s="135"/>
      <c r="V36" s="146">
        <f t="shared" si="16"/>
        <v>0</v>
      </c>
      <c r="W36" s="146"/>
      <c r="X36" s="338">
        <f t="shared" si="17"/>
        <v>0</v>
      </c>
      <c r="Y36" s="338">
        <f t="shared" si="18"/>
        <v>0</v>
      </c>
      <c r="Z36" s="338">
        <f t="shared" si="19"/>
        <v>0</v>
      </c>
      <c r="AA36" s="338">
        <f t="shared" si="20"/>
        <v>0</v>
      </c>
      <c r="AB36" s="338">
        <f t="shared" si="21"/>
        <v>0</v>
      </c>
      <c r="AC36" s="338">
        <f t="shared" si="22"/>
        <v>0</v>
      </c>
      <c r="AF36" s="138">
        <f t="shared" si="23"/>
        <v>0</v>
      </c>
      <c r="AG36" s="138">
        <f t="shared" si="24"/>
        <v>11</v>
      </c>
      <c r="AH36" s="138">
        <f t="shared" si="25"/>
        <v>0</v>
      </c>
      <c r="AI36" s="138">
        <f t="shared" si="47"/>
        <v>684</v>
      </c>
      <c r="AJ36" s="138">
        <f t="shared" si="26"/>
        <v>701</v>
      </c>
      <c r="AL36" s="136">
        <f t="shared" si="27"/>
        <v>3.4020000000000001</v>
      </c>
      <c r="AM36" s="258">
        <f t="shared" si="48"/>
        <v>0</v>
      </c>
      <c r="AN36" s="258">
        <f t="shared" si="28"/>
        <v>0.03</v>
      </c>
      <c r="AO36" s="258">
        <f t="shared" si="29"/>
        <v>6.5000000000000002E-2</v>
      </c>
      <c r="AP36" s="258">
        <f t="shared" si="30"/>
        <v>0</v>
      </c>
      <c r="AQ36" s="136">
        <f t="shared" si="31"/>
        <v>5.9999999999999995E-4</v>
      </c>
      <c r="AR36" s="137">
        <f t="shared" si="32"/>
        <v>4.0000000000000001E-3</v>
      </c>
      <c r="AS36" s="136">
        <f t="shared" si="49"/>
        <v>3.4319999999999999</v>
      </c>
      <c r="AT36" s="137">
        <f t="shared" si="33"/>
        <v>3.4836153967131397E-2</v>
      </c>
      <c r="AU36" s="137">
        <f t="shared" si="34"/>
        <v>0</v>
      </c>
      <c r="AV36" s="394">
        <f t="shared" si="50"/>
        <v>0</v>
      </c>
      <c r="AW36" s="137">
        <f t="shared" si="35"/>
        <v>0.37</v>
      </c>
      <c r="AX36" s="137">
        <f t="shared" si="36"/>
        <v>0.93</v>
      </c>
      <c r="AY36" s="137">
        <f t="shared" si="37"/>
        <v>0.83</v>
      </c>
      <c r="AZ36" s="137"/>
      <c r="BA36" s="264"/>
      <c r="BB36" s="258">
        <f t="shared" si="38"/>
        <v>0</v>
      </c>
      <c r="BC36" s="258">
        <f t="shared" si="39"/>
        <v>0</v>
      </c>
      <c r="BD36" s="137">
        <f t="shared" si="40"/>
        <v>0</v>
      </c>
      <c r="BE36" s="137">
        <f t="shared" si="40"/>
        <v>0</v>
      </c>
      <c r="BF36" s="137">
        <f>_xll.xSPRDOPT($BW36,$BV36,$CG36,0,$BY36,$BX36,$BZ36,$AJ36,1,4)*$CB36</f>
        <v>0</v>
      </c>
      <c r="BG36" s="137">
        <f>_xll.xSPRDOPT($BW36,$BV36,$CG36,0,$BY36,$BX36,$BZ36,$AJ36,1,3)*$CB36</f>
        <v>0</v>
      </c>
      <c r="BH36" s="137">
        <f>IF(OR(BF36&lt;&gt;0,BG36&lt;&gt;0),_xll.xSPRDOPT($BW36,$BV36,$CG36,0,$BY36,$BX36,$BZ36,$AJ36,1,12)*$CB36,0)</f>
        <v>0</v>
      </c>
      <c r="BI36" s="137">
        <f>_xll.xSPRDOPT($BW36,$BV36,$CG36,2*LN(1+CA36/2),$BY36,$BX36,$BZ36,$AJ36,1,9)</f>
        <v>-0.1962573973095959</v>
      </c>
      <c r="BJ36" s="137">
        <f>_xll.xSPRDOPT($BW36,$BV36,$CG36,0,$BY36,$BX36,$BZ36,$AJ36,1,6)*$CB36</f>
        <v>0</v>
      </c>
      <c r="BK36" s="137">
        <f>_xll.xSPRDOPT($BW36,$BV36,$CG36,0,$BY36,$BX36,$BZ36,$AJ36,1,5)*$CB36</f>
        <v>0</v>
      </c>
      <c r="BL36" s="137">
        <f>_xll.xSPRDOPT(BW36,BV36,CG36,0,BY36,BX36,BZ36,AJ36,1,2)*CB36</f>
        <v>0</v>
      </c>
      <c r="BM36" s="137">
        <f>_xll.xSPRDOPT(BW36,BV36,CG36,0,BY36,BX36,BZ36,AJ36,1,1)*CB36</f>
        <v>0</v>
      </c>
      <c r="BN36" s="137">
        <f>IF(AH36&lt;&gt;0,_xll.xSPRDOPT($BW36,$BV36,$CG36,2*LN(1+CA36/2),$BY36,$BX36,$BZ36,$AJ36,1,8)+(AJ36/365.25)*CH36/AH36,0)</f>
        <v>0</v>
      </c>
      <c r="BO36" s="137">
        <f>_xll.xSPRDOPT($BW36,$BV36,$CG36,0,$BY36,$BX36,$BZ36,$AJ36,1,0)</f>
        <v>0.98844982808400417</v>
      </c>
      <c r="BP36" s="137"/>
      <c r="BQ36" s="137"/>
      <c r="BR36" s="137"/>
      <c r="BS36" s="137"/>
      <c r="BV36" s="262">
        <v>3.4457831325301203</v>
      </c>
      <c r="BW36" s="136">
        <v>3.4670000000000001</v>
      </c>
      <c r="BX36" s="137">
        <v>0.37</v>
      </c>
      <c r="BY36" s="137">
        <v>0.37</v>
      </c>
      <c r="BZ36" s="137">
        <v>0</v>
      </c>
      <c r="CA36" s="137">
        <v>3.4836153967131397E-2</v>
      </c>
      <c r="CB36" s="137">
        <v>0</v>
      </c>
      <c r="CC36" s="258">
        <v>0</v>
      </c>
      <c r="CD36" s="258">
        <v>0.03</v>
      </c>
      <c r="CE36" s="258">
        <v>6.5000000000000002E-2</v>
      </c>
      <c r="CF36" s="258">
        <v>0</v>
      </c>
      <c r="CG36" s="258">
        <v>5.9999999999999995E-4</v>
      </c>
      <c r="CH36" s="258">
        <v>0</v>
      </c>
      <c r="CI36" s="258">
        <v>3.4020000000000001</v>
      </c>
      <c r="CJ36" s="258"/>
      <c r="CK36" s="258"/>
      <c r="CL36" s="258"/>
      <c r="CM36" s="258"/>
    </row>
    <row r="37" spans="1:91" x14ac:dyDescent="0.25">
      <c r="A37" s="726"/>
      <c r="B37" s="723"/>
      <c r="D37" s="31">
        <f t="shared" si="41"/>
        <v>37940</v>
      </c>
      <c r="F37" s="28">
        <f t="shared" si="12"/>
        <v>27600</v>
      </c>
      <c r="G37" s="28">
        <f t="shared" si="13"/>
        <v>0</v>
      </c>
      <c r="H37" s="52">
        <f t="shared" si="14"/>
        <v>3.4457831325301203</v>
      </c>
      <c r="I37" s="52">
        <f t="shared" si="15"/>
        <v>3.4670000000000001</v>
      </c>
      <c r="K37" s="52">
        <f t="shared" si="42"/>
        <v>0</v>
      </c>
      <c r="L37" s="135">
        <f t="shared" si="43"/>
        <v>0</v>
      </c>
      <c r="N37" s="131">
        <f t="shared" si="44"/>
        <v>0.37</v>
      </c>
      <c r="O37" s="131">
        <f t="shared" si="45"/>
        <v>0.37</v>
      </c>
      <c r="P37" s="55">
        <f t="shared" si="46"/>
        <v>0</v>
      </c>
      <c r="Q37" s="135">
        <f>_xll.xSPRDOPT(I37,H37,AQ37,0,O37,N37,P37,D37-$G$5,1,0)*AH37*AU37</f>
        <v>0</v>
      </c>
      <c r="R37" s="135"/>
      <c r="S37" s="181">
        <f>_xll.xSPRDOPT(I37,H37,AQ37,AT37,O37,N37,P37,D37-$G$5,1,2)*AF37*(F37/(1-AR37))*AH37</f>
        <v>0</v>
      </c>
      <c r="T37" s="181">
        <f>_xll.xSPRDOPT(I37,H37,AQ37,AT37,O37,N37,P37,D37-$G$5,1,1)*AF37*F37*AH37</f>
        <v>0</v>
      </c>
      <c r="U37" s="135"/>
      <c r="V37" s="146">
        <f t="shared" si="16"/>
        <v>0</v>
      </c>
      <c r="W37" s="146"/>
      <c r="X37" s="338">
        <f t="shared" si="17"/>
        <v>0</v>
      </c>
      <c r="Y37" s="338">
        <f t="shared" si="18"/>
        <v>0</v>
      </c>
      <c r="Z37" s="338">
        <f t="shared" si="19"/>
        <v>0</v>
      </c>
      <c r="AA37" s="338">
        <f t="shared" si="20"/>
        <v>0</v>
      </c>
      <c r="AB37" s="338">
        <f t="shared" si="21"/>
        <v>0</v>
      </c>
      <c r="AC37" s="338">
        <f t="shared" si="22"/>
        <v>0</v>
      </c>
      <c r="AF37" s="138">
        <f t="shared" si="23"/>
        <v>0</v>
      </c>
      <c r="AG37" s="138">
        <f t="shared" si="24"/>
        <v>11</v>
      </c>
      <c r="AH37" s="138">
        <f t="shared" si="25"/>
        <v>0</v>
      </c>
      <c r="AI37" s="138">
        <f t="shared" si="47"/>
        <v>684</v>
      </c>
      <c r="AJ37" s="138">
        <f t="shared" si="26"/>
        <v>701</v>
      </c>
      <c r="AL37" s="136">
        <f t="shared" si="27"/>
        <v>3.4020000000000001</v>
      </c>
      <c r="AM37" s="258">
        <f t="shared" si="48"/>
        <v>0</v>
      </c>
      <c r="AN37" s="258">
        <f t="shared" si="28"/>
        <v>0.03</v>
      </c>
      <c r="AO37" s="258">
        <f t="shared" si="29"/>
        <v>6.5000000000000002E-2</v>
      </c>
      <c r="AP37" s="258">
        <f t="shared" si="30"/>
        <v>0</v>
      </c>
      <c r="AQ37" s="136">
        <f t="shared" si="31"/>
        <v>5.9999999999999995E-4</v>
      </c>
      <c r="AR37" s="137">
        <f t="shared" si="32"/>
        <v>4.0000000000000001E-3</v>
      </c>
      <c r="AS37" s="136">
        <f t="shared" si="49"/>
        <v>3.4319999999999999</v>
      </c>
      <c r="AT37" s="137">
        <f t="shared" si="33"/>
        <v>3.4836153967131397E-2</v>
      </c>
      <c r="AU37" s="137">
        <f t="shared" si="34"/>
        <v>0</v>
      </c>
      <c r="AV37" s="394">
        <f t="shared" si="50"/>
        <v>0</v>
      </c>
      <c r="AW37" s="137">
        <f t="shared" si="35"/>
        <v>0.37</v>
      </c>
      <c r="AX37" s="137">
        <f t="shared" si="36"/>
        <v>0.93</v>
      </c>
      <c r="AY37" s="137">
        <f t="shared" si="37"/>
        <v>0.83</v>
      </c>
      <c r="AZ37" s="137"/>
      <c r="BA37" s="264"/>
      <c r="BB37" s="258">
        <f t="shared" si="38"/>
        <v>0</v>
      </c>
      <c r="BC37" s="258">
        <f t="shared" si="39"/>
        <v>0</v>
      </c>
      <c r="BD37" s="137">
        <f t="shared" si="40"/>
        <v>0</v>
      </c>
      <c r="BE37" s="137">
        <f t="shared" si="40"/>
        <v>0</v>
      </c>
      <c r="BF37" s="137">
        <f>_xll.xSPRDOPT($BW37,$BV37,$CG37,0,$BY37,$BX37,$BZ37,$AJ37,1,4)*$CB37</f>
        <v>0</v>
      </c>
      <c r="BG37" s="137">
        <f>_xll.xSPRDOPT($BW37,$BV37,$CG37,0,$BY37,$BX37,$BZ37,$AJ37,1,3)*$CB37</f>
        <v>0</v>
      </c>
      <c r="BH37" s="137">
        <f>IF(OR(BF37&lt;&gt;0,BG37&lt;&gt;0),_xll.xSPRDOPT($BW37,$BV37,$CG37,0,$BY37,$BX37,$BZ37,$AJ37,1,12)*$CB37,0)</f>
        <v>0</v>
      </c>
      <c r="BI37" s="137">
        <f>_xll.xSPRDOPT($BW37,$BV37,$CG37,2*LN(1+CA37/2),$BY37,$BX37,$BZ37,$AJ37,1,9)</f>
        <v>-0.1962573973095959</v>
      </c>
      <c r="BJ37" s="137">
        <f>_xll.xSPRDOPT($BW37,$BV37,$CG37,0,$BY37,$BX37,$BZ37,$AJ37,1,6)*$CB37</f>
        <v>0</v>
      </c>
      <c r="BK37" s="137">
        <f>_xll.xSPRDOPT($BW37,$BV37,$CG37,0,$BY37,$BX37,$BZ37,$AJ37,1,5)*$CB37</f>
        <v>0</v>
      </c>
      <c r="BL37" s="137">
        <f>_xll.xSPRDOPT(BW37,BV37,CG37,0,BY37,BX37,BZ37,AJ37,1,2)*CB37</f>
        <v>0</v>
      </c>
      <c r="BM37" s="137">
        <f>_xll.xSPRDOPT(BW37,BV37,CG37,0,BY37,BX37,BZ37,AJ37,1,1)*CB37</f>
        <v>0</v>
      </c>
      <c r="BN37" s="137">
        <f>IF(AH37&lt;&gt;0,_xll.xSPRDOPT($BW37,$BV37,$CG37,2*LN(1+CA37/2),$BY37,$BX37,$BZ37,$AJ37,1,8)+(AJ37/365.25)*CH37/AH37,0)</f>
        <v>0</v>
      </c>
      <c r="BO37" s="137">
        <f>_xll.xSPRDOPT($BW37,$BV37,$CG37,0,$BY37,$BX37,$BZ37,$AJ37,1,0)</f>
        <v>0.98844982808400417</v>
      </c>
      <c r="BP37" s="137"/>
      <c r="BQ37" s="137"/>
      <c r="BR37" s="137"/>
      <c r="BS37" s="137"/>
      <c r="BV37" s="262">
        <v>3.4457831325301203</v>
      </c>
      <c r="BW37" s="136">
        <v>3.4670000000000001</v>
      </c>
      <c r="BX37" s="137">
        <v>0.37</v>
      </c>
      <c r="BY37" s="137">
        <v>0.37</v>
      </c>
      <c r="BZ37" s="137">
        <v>0</v>
      </c>
      <c r="CA37" s="137">
        <v>3.4836153967131397E-2</v>
      </c>
      <c r="CB37" s="137">
        <v>0</v>
      </c>
      <c r="CC37" s="258">
        <v>0</v>
      </c>
      <c r="CD37" s="258">
        <v>0.03</v>
      </c>
      <c r="CE37" s="258">
        <v>6.5000000000000002E-2</v>
      </c>
      <c r="CF37" s="258">
        <v>0</v>
      </c>
      <c r="CG37" s="258">
        <v>5.9999999999999995E-4</v>
      </c>
      <c r="CH37" s="258">
        <v>0</v>
      </c>
      <c r="CI37" s="258">
        <v>3.4020000000000001</v>
      </c>
      <c r="CJ37" s="258"/>
      <c r="CK37" s="258"/>
      <c r="CL37" s="258"/>
      <c r="CM37" s="258"/>
    </row>
    <row r="38" spans="1:91" x14ac:dyDescent="0.25">
      <c r="A38" s="723"/>
      <c r="B38" s="723"/>
      <c r="D38" s="31">
        <f t="shared" si="41"/>
        <v>37940</v>
      </c>
      <c r="F38" s="28">
        <f t="shared" si="12"/>
        <v>27600</v>
      </c>
      <c r="G38" s="28">
        <f t="shared" si="13"/>
        <v>0</v>
      </c>
      <c r="H38" s="52">
        <f t="shared" si="14"/>
        <v>3.4457831325301203</v>
      </c>
      <c r="I38" s="52">
        <f t="shared" si="15"/>
        <v>3.4670000000000001</v>
      </c>
      <c r="K38" s="52">
        <f t="shared" si="42"/>
        <v>0</v>
      </c>
      <c r="L38" s="135">
        <f t="shared" si="43"/>
        <v>0</v>
      </c>
      <c r="N38" s="131">
        <f t="shared" si="44"/>
        <v>0.37</v>
      </c>
      <c r="O38" s="131">
        <f t="shared" si="45"/>
        <v>0.37</v>
      </c>
      <c r="P38" s="55">
        <f t="shared" si="46"/>
        <v>0</v>
      </c>
      <c r="Q38" s="135">
        <f>_xll.xSPRDOPT(I38,H38,AQ38,0,O38,N38,P38,D38-$G$5,1,0)*AH38*AU38</f>
        <v>0</v>
      </c>
      <c r="R38" s="135"/>
      <c r="S38" s="181">
        <f>_xll.xSPRDOPT(I38,H38,AQ38,AT38,O38,N38,P38,D38-$G$5,1,2)*AF38*(F38/(1-AR38))*AH38</f>
        <v>0</v>
      </c>
      <c r="T38" s="181">
        <f>_xll.xSPRDOPT(I38,H38,AQ38,AT38,O38,N38,P38,D38-$G$5,1,1)*AF38*F38*AH38</f>
        <v>0</v>
      </c>
      <c r="U38" s="135"/>
      <c r="V38" s="146">
        <f t="shared" si="16"/>
        <v>0</v>
      </c>
      <c r="W38" s="146"/>
      <c r="X38" s="338">
        <f t="shared" si="17"/>
        <v>0</v>
      </c>
      <c r="Y38" s="338">
        <f t="shared" si="18"/>
        <v>0</v>
      </c>
      <c r="Z38" s="338">
        <f t="shared" si="19"/>
        <v>0</v>
      </c>
      <c r="AA38" s="338">
        <f t="shared" si="20"/>
        <v>0</v>
      </c>
      <c r="AB38" s="338">
        <f t="shared" si="21"/>
        <v>0</v>
      </c>
      <c r="AC38" s="338">
        <f t="shared" si="22"/>
        <v>0</v>
      </c>
      <c r="AF38" s="138">
        <f t="shared" si="23"/>
        <v>0</v>
      </c>
      <c r="AG38" s="138">
        <f t="shared" si="24"/>
        <v>11</v>
      </c>
      <c r="AH38" s="138">
        <f t="shared" si="25"/>
        <v>0</v>
      </c>
      <c r="AI38" s="138">
        <f t="shared" si="47"/>
        <v>684</v>
      </c>
      <c r="AJ38" s="138">
        <f t="shared" si="26"/>
        <v>701</v>
      </c>
      <c r="AL38" s="136">
        <f t="shared" si="27"/>
        <v>3.4020000000000001</v>
      </c>
      <c r="AM38" s="258">
        <f t="shared" si="48"/>
        <v>0</v>
      </c>
      <c r="AN38" s="258">
        <f t="shared" si="28"/>
        <v>0.03</v>
      </c>
      <c r="AO38" s="258">
        <f t="shared" si="29"/>
        <v>6.5000000000000002E-2</v>
      </c>
      <c r="AP38" s="258">
        <f t="shared" si="30"/>
        <v>0</v>
      </c>
      <c r="AQ38" s="136">
        <f t="shared" si="31"/>
        <v>5.9999999999999995E-4</v>
      </c>
      <c r="AR38" s="137">
        <f t="shared" si="32"/>
        <v>4.0000000000000001E-3</v>
      </c>
      <c r="AS38" s="136">
        <f t="shared" si="49"/>
        <v>3.4319999999999999</v>
      </c>
      <c r="AT38" s="137">
        <f t="shared" si="33"/>
        <v>3.4836153967131397E-2</v>
      </c>
      <c r="AU38" s="137">
        <f t="shared" si="34"/>
        <v>0</v>
      </c>
      <c r="AV38" s="394">
        <f t="shared" si="50"/>
        <v>0</v>
      </c>
      <c r="AW38" s="137">
        <f t="shared" si="35"/>
        <v>0.37</v>
      </c>
      <c r="AX38" s="137">
        <f t="shared" si="36"/>
        <v>0.93</v>
      </c>
      <c r="AY38" s="137">
        <f t="shared" si="37"/>
        <v>0.83</v>
      </c>
      <c r="AZ38" s="137"/>
      <c r="BA38" s="264"/>
      <c r="BB38" s="258">
        <f t="shared" si="38"/>
        <v>0</v>
      </c>
      <c r="BC38" s="258">
        <f t="shared" si="39"/>
        <v>0</v>
      </c>
      <c r="BD38" s="137">
        <f t="shared" si="40"/>
        <v>0</v>
      </c>
      <c r="BE38" s="137">
        <f t="shared" si="40"/>
        <v>0</v>
      </c>
      <c r="BF38" s="137">
        <f>_xll.xSPRDOPT($BW38,$BV38,$CG38,0,$BY38,$BX38,$BZ38,$AJ38,1,4)*$CB38</f>
        <v>0</v>
      </c>
      <c r="BG38" s="137">
        <f>_xll.xSPRDOPT($BW38,$BV38,$CG38,0,$BY38,$BX38,$BZ38,$AJ38,1,3)*$CB38</f>
        <v>0</v>
      </c>
      <c r="BH38" s="137">
        <f>IF(OR(BF38&lt;&gt;0,BG38&lt;&gt;0),_xll.xSPRDOPT($BW38,$BV38,$CG38,0,$BY38,$BX38,$BZ38,$AJ38,1,12)*$CB38,0)</f>
        <v>0</v>
      </c>
      <c r="BI38" s="137">
        <f>_xll.xSPRDOPT($BW38,$BV38,$CG38,2*LN(1+CA38/2),$BY38,$BX38,$BZ38,$AJ38,1,9)</f>
        <v>-0.1962573973095959</v>
      </c>
      <c r="BJ38" s="137">
        <f>_xll.xSPRDOPT($BW38,$BV38,$CG38,0,$BY38,$BX38,$BZ38,$AJ38,1,6)*$CB38</f>
        <v>0</v>
      </c>
      <c r="BK38" s="137">
        <f>_xll.xSPRDOPT($BW38,$BV38,$CG38,0,$BY38,$BX38,$BZ38,$AJ38,1,5)*$CB38</f>
        <v>0</v>
      </c>
      <c r="BL38" s="137">
        <f>_xll.xSPRDOPT(BW38,BV38,CG38,0,BY38,BX38,BZ38,AJ38,1,2)*CB38</f>
        <v>0</v>
      </c>
      <c r="BM38" s="137">
        <f>_xll.xSPRDOPT(BW38,BV38,CG38,0,BY38,BX38,BZ38,AJ38,1,1)*CB38</f>
        <v>0</v>
      </c>
      <c r="BN38" s="137">
        <f>IF(AH38&lt;&gt;0,_xll.xSPRDOPT($BW38,$BV38,$CG38,2*LN(1+CA38/2),$BY38,$BX38,$BZ38,$AJ38,1,8)+(AJ38/365.25)*CH38/AH38,0)</f>
        <v>0</v>
      </c>
      <c r="BO38" s="137">
        <f>_xll.xSPRDOPT($BW38,$BV38,$CG38,0,$BY38,$BX38,$BZ38,$AJ38,1,0)</f>
        <v>0.98844982808400417</v>
      </c>
      <c r="BP38" s="137"/>
      <c r="BQ38" s="137"/>
      <c r="BR38" s="137"/>
      <c r="BS38" s="137"/>
      <c r="BV38" s="262">
        <v>3.4457831325301203</v>
      </c>
      <c r="BW38" s="136">
        <v>3.4670000000000001</v>
      </c>
      <c r="BX38" s="137">
        <v>0.37</v>
      </c>
      <c r="BY38" s="137">
        <v>0.37</v>
      </c>
      <c r="BZ38" s="137">
        <v>0</v>
      </c>
      <c r="CA38" s="137">
        <v>3.4836153967131397E-2</v>
      </c>
      <c r="CB38" s="137">
        <v>0</v>
      </c>
      <c r="CC38" s="258">
        <v>0</v>
      </c>
      <c r="CD38" s="258">
        <v>0.03</v>
      </c>
      <c r="CE38" s="258">
        <v>6.5000000000000002E-2</v>
      </c>
      <c r="CF38" s="258">
        <v>0</v>
      </c>
      <c r="CG38" s="258">
        <v>5.9999999999999995E-4</v>
      </c>
      <c r="CH38" s="258">
        <v>0</v>
      </c>
      <c r="CI38" s="258">
        <v>3.4020000000000001</v>
      </c>
      <c r="CJ38" s="258"/>
      <c r="CK38" s="258"/>
      <c r="CL38" s="258"/>
      <c r="CM38" s="258"/>
    </row>
    <row r="39" spans="1:91" x14ac:dyDescent="0.25">
      <c r="A39" s="723"/>
      <c r="B39" s="723"/>
      <c r="D39" s="31">
        <f t="shared" si="41"/>
        <v>37940</v>
      </c>
      <c r="F39" s="28">
        <f t="shared" si="12"/>
        <v>27600</v>
      </c>
      <c r="G39" s="28">
        <f t="shared" si="13"/>
        <v>0</v>
      </c>
      <c r="H39" s="52">
        <f t="shared" si="14"/>
        <v>3.4457831325301203</v>
      </c>
      <c r="I39" s="52">
        <f t="shared" si="15"/>
        <v>3.4670000000000001</v>
      </c>
      <c r="K39" s="52">
        <f t="shared" si="42"/>
        <v>0</v>
      </c>
      <c r="L39" s="135">
        <f t="shared" si="43"/>
        <v>0</v>
      </c>
      <c r="N39" s="131">
        <f t="shared" si="44"/>
        <v>0.37</v>
      </c>
      <c r="O39" s="131">
        <f t="shared" si="45"/>
        <v>0.37</v>
      </c>
      <c r="P39" s="55">
        <f t="shared" si="46"/>
        <v>0</v>
      </c>
      <c r="Q39" s="135">
        <f>_xll.xSPRDOPT(I39,H39,AQ39,0,O39,N39,P39,D39-$G$5,1,0)*AH39*AU39</f>
        <v>0</v>
      </c>
      <c r="R39" s="135"/>
      <c r="S39" s="181">
        <f>_xll.xSPRDOPT(I39,H39,AQ39,AT39,O39,N39,P39,D39-$G$5,1,2)*AF39*(F39/(1-AR39))*AH39</f>
        <v>0</v>
      </c>
      <c r="T39" s="181">
        <f>_xll.xSPRDOPT(I39,H39,AQ39,AT39,O39,N39,P39,D39-$G$5,1,1)*AF39*F39*AH39</f>
        <v>0</v>
      </c>
      <c r="U39" s="135"/>
      <c r="V39" s="146">
        <f t="shared" si="16"/>
        <v>0</v>
      </c>
      <c r="W39" s="146"/>
      <c r="X39" s="338">
        <f t="shared" si="17"/>
        <v>0</v>
      </c>
      <c r="Y39" s="338">
        <f t="shared" si="18"/>
        <v>0</v>
      </c>
      <c r="Z39" s="338">
        <f t="shared" si="19"/>
        <v>0</v>
      </c>
      <c r="AA39" s="338">
        <f t="shared" si="20"/>
        <v>0</v>
      </c>
      <c r="AB39" s="338">
        <f t="shared" si="21"/>
        <v>0</v>
      </c>
      <c r="AC39" s="338">
        <f t="shared" si="22"/>
        <v>0</v>
      </c>
      <c r="AF39" s="138">
        <f t="shared" si="23"/>
        <v>0</v>
      </c>
      <c r="AG39" s="138">
        <f t="shared" si="24"/>
        <v>11</v>
      </c>
      <c r="AH39" s="138">
        <f t="shared" si="25"/>
        <v>0</v>
      </c>
      <c r="AI39" s="138">
        <f t="shared" si="47"/>
        <v>684</v>
      </c>
      <c r="AJ39" s="138">
        <f t="shared" si="26"/>
        <v>701</v>
      </c>
      <c r="AL39" s="136">
        <f t="shared" si="27"/>
        <v>3.4020000000000001</v>
      </c>
      <c r="AM39" s="258">
        <f t="shared" si="48"/>
        <v>0</v>
      </c>
      <c r="AN39" s="258">
        <f t="shared" si="28"/>
        <v>0.03</v>
      </c>
      <c r="AO39" s="258">
        <f t="shared" si="29"/>
        <v>6.5000000000000002E-2</v>
      </c>
      <c r="AP39" s="258">
        <f t="shared" si="30"/>
        <v>0</v>
      </c>
      <c r="AQ39" s="136">
        <f t="shared" si="31"/>
        <v>5.9999999999999995E-4</v>
      </c>
      <c r="AR39" s="137">
        <f t="shared" si="32"/>
        <v>4.0000000000000001E-3</v>
      </c>
      <c r="AS39" s="136">
        <f t="shared" si="49"/>
        <v>3.4319999999999999</v>
      </c>
      <c r="AT39" s="137">
        <f t="shared" si="33"/>
        <v>3.4836153967131397E-2</v>
      </c>
      <c r="AU39" s="137">
        <f t="shared" si="34"/>
        <v>0</v>
      </c>
      <c r="AV39" s="394">
        <f t="shared" si="50"/>
        <v>0</v>
      </c>
      <c r="AW39" s="137">
        <f t="shared" si="35"/>
        <v>0.37</v>
      </c>
      <c r="AX39" s="137">
        <f t="shared" si="36"/>
        <v>0.93</v>
      </c>
      <c r="AY39" s="137">
        <f t="shared" si="37"/>
        <v>0.83</v>
      </c>
      <c r="AZ39" s="137"/>
      <c r="BA39" s="264"/>
      <c r="BB39" s="258">
        <f t="shared" si="38"/>
        <v>0</v>
      </c>
      <c r="BC39" s="258">
        <f t="shared" si="39"/>
        <v>0</v>
      </c>
      <c r="BD39" s="137">
        <f t="shared" si="40"/>
        <v>0</v>
      </c>
      <c r="BE39" s="137">
        <f t="shared" si="40"/>
        <v>0</v>
      </c>
      <c r="BF39" s="137">
        <f>_xll.xSPRDOPT($BW39,$BV39,$CG39,0,$BY39,$BX39,$BZ39,$AJ39,1,4)*$CB39</f>
        <v>0</v>
      </c>
      <c r="BG39" s="137">
        <f>_xll.xSPRDOPT($BW39,$BV39,$CG39,0,$BY39,$BX39,$BZ39,$AJ39,1,3)*$CB39</f>
        <v>0</v>
      </c>
      <c r="BH39" s="137">
        <f>IF(OR(BF39&lt;&gt;0,BG39&lt;&gt;0),_xll.xSPRDOPT($BW39,$BV39,$CG39,0,$BY39,$BX39,$BZ39,$AJ39,1,12)*$CB39,0)</f>
        <v>0</v>
      </c>
      <c r="BI39" s="137">
        <f>_xll.xSPRDOPT($BW39,$BV39,$CG39,2*LN(1+CA39/2),$BY39,$BX39,$BZ39,$AJ39,1,9)</f>
        <v>-0.1962573973095959</v>
      </c>
      <c r="BJ39" s="137">
        <f>_xll.xSPRDOPT($BW39,$BV39,$CG39,0,$BY39,$BX39,$BZ39,$AJ39,1,6)*$CB39</f>
        <v>0</v>
      </c>
      <c r="BK39" s="137">
        <f>_xll.xSPRDOPT($BW39,$BV39,$CG39,0,$BY39,$BX39,$BZ39,$AJ39,1,5)*$CB39</f>
        <v>0</v>
      </c>
      <c r="BL39" s="137">
        <f>_xll.xSPRDOPT(BW39,BV39,CG39,0,BY39,BX39,BZ39,AJ39,1,2)*CB39</f>
        <v>0</v>
      </c>
      <c r="BM39" s="137">
        <f>_xll.xSPRDOPT(BW39,BV39,CG39,0,BY39,BX39,BZ39,AJ39,1,1)*CB39</f>
        <v>0</v>
      </c>
      <c r="BN39" s="137">
        <f>IF(AH39&lt;&gt;0,_xll.xSPRDOPT($BW39,$BV39,$CG39,2*LN(1+CA39/2),$BY39,$BX39,$BZ39,$AJ39,1,8)+(AJ39/365.25)*CH39/AH39,0)</f>
        <v>0</v>
      </c>
      <c r="BO39" s="137">
        <f>_xll.xSPRDOPT($BW39,$BV39,$CG39,0,$BY39,$BX39,$BZ39,$AJ39,1,0)</f>
        <v>0.98844982808400417</v>
      </c>
      <c r="BP39" s="137"/>
      <c r="BQ39" s="137"/>
      <c r="BR39" s="137"/>
      <c r="BS39" s="137"/>
      <c r="BV39" s="262">
        <v>3.4457831325301203</v>
      </c>
      <c r="BW39" s="136">
        <v>3.4670000000000001</v>
      </c>
      <c r="BX39" s="137">
        <v>0.37</v>
      </c>
      <c r="BY39" s="137">
        <v>0.37</v>
      </c>
      <c r="BZ39" s="137">
        <v>0</v>
      </c>
      <c r="CA39" s="137">
        <v>3.4836153967131397E-2</v>
      </c>
      <c r="CB39" s="137">
        <v>0</v>
      </c>
      <c r="CC39" s="258">
        <v>0</v>
      </c>
      <c r="CD39" s="258">
        <v>0.03</v>
      </c>
      <c r="CE39" s="258">
        <v>6.5000000000000002E-2</v>
      </c>
      <c r="CF39" s="258">
        <v>0</v>
      </c>
      <c r="CG39" s="258">
        <v>5.9999999999999995E-4</v>
      </c>
      <c r="CH39" s="258">
        <v>0</v>
      </c>
      <c r="CI39" s="258">
        <v>3.4020000000000001</v>
      </c>
      <c r="CJ39" s="258"/>
      <c r="CK39" s="258"/>
      <c r="CL39" s="258"/>
      <c r="CM39" s="258"/>
    </row>
    <row r="40" spans="1:91" x14ac:dyDescent="0.25">
      <c r="A40" s="723"/>
      <c r="B40" s="723"/>
      <c r="D40" s="31">
        <f t="shared" si="41"/>
        <v>37940</v>
      </c>
      <c r="F40" s="28">
        <f t="shared" si="12"/>
        <v>27600</v>
      </c>
      <c r="G40" s="28">
        <f t="shared" si="13"/>
        <v>0</v>
      </c>
      <c r="H40" s="52">
        <f t="shared" si="14"/>
        <v>3.4457831325301203</v>
      </c>
      <c r="I40" s="52">
        <f t="shared" si="15"/>
        <v>3.4670000000000001</v>
      </c>
      <c r="K40" s="52">
        <f t="shared" si="42"/>
        <v>0</v>
      </c>
      <c r="L40" s="135">
        <f t="shared" si="43"/>
        <v>0</v>
      </c>
      <c r="N40" s="131">
        <f t="shared" si="44"/>
        <v>0.37</v>
      </c>
      <c r="O40" s="131">
        <f t="shared" si="45"/>
        <v>0.37</v>
      </c>
      <c r="P40" s="55">
        <f t="shared" si="46"/>
        <v>0</v>
      </c>
      <c r="Q40" s="135">
        <f>_xll.xSPRDOPT(I40,H40,AQ40,0,O40,N40,P40,D40-$G$5,1,0)*AH40*AU40</f>
        <v>0</v>
      </c>
      <c r="R40" s="135"/>
      <c r="S40" s="181">
        <f>_xll.xSPRDOPT(I40,H40,AQ40,AT40,O40,N40,P40,D40-$G$5,1,2)*AF40*(F40/(1-AR40))*AH40</f>
        <v>0</v>
      </c>
      <c r="T40" s="181">
        <f>_xll.xSPRDOPT(I40,H40,AQ40,AT40,O40,N40,P40,D40-$G$5,1,1)*AF40*F40*AH40</f>
        <v>0</v>
      </c>
      <c r="U40" s="135"/>
      <c r="V40" s="146">
        <f t="shared" si="16"/>
        <v>0</v>
      </c>
      <c r="W40" s="146"/>
      <c r="X40" s="338">
        <f t="shared" si="17"/>
        <v>0</v>
      </c>
      <c r="Y40" s="338">
        <f t="shared" si="18"/>
        <v>0</v>
      </c>
      <c r="Z40" s="338">
        <f t="shared" si="19"/>
        <v>0</v>
      </c>
      <c r="AA40" s="338">
        <f t="shared" si="20"/>
        <v>0</v>
      </c>
      <c r="AB40" s="338">
        <f t="shared" si="21"/>
        <v>0</v>
      </c>
      <c r="AC40" s="338">
        <f t="shared" si="22"/>
        <v>0</v>
      </c>
      <c r="AF40" s="138">
        <f t="shared" si="23"/>
        <v>0</v>
      </c>
      <c r="AG40" s="138">
        <f t="shared" si="24"/>
        <v>11</v>
      </c>
      <c r="AH40" s="138">
        <f t="shared" si="25"/>
        <v>0</v>
      </c>
      <c r="AI40" s="138">
        <f t="shared" si="47"/>
        <v>684</v>
      </c>
      <c r="AJ40" s="138">
        <f t="shared" si="26"/>
        <v>701</v>
      </c>
      <c r="AL40" s="136">
        <f t="shared" si="27"/>
        <v>3.4020000000000001</v>
      </c>
      <c r="AM40" s="258">
        <f t="shared" si="48"/>
        <v>0</v>
      </c>
      <c r="AN40" s="258">
        <f t="shared" si="28"/>
        <v>0.03</v>
      </c>
      <c r="AO40" s="258">
        <f t="shared" si="29"/>
        <v>6.5000000000000002E-2</v>
      </c>
      <c r="AP40" s="258">
        <f t="shared" si="30"/>
        <v>0</v>
      </c>
      <c r="AQ40" s="136">
        <f t="shared" si="31"/>
        <v>5.9999999999999995E-4</v>
      </c>
      <c r="AR40" s="137">
        <f t="shared" si="32"/>
        <v>4.0000000000000001E-3</v>
      </c>
      <c r="AS40" s="136">
        <f t="shared" si="49"/>
        <v>3.4319999999999999</v>
      </c>
      <c r="AT40" s="137">
        <f t="shared" si="33"/>
        <v>3.4836153967131397E-2</v>
      </c>
      <c r="AU40" s="137">
        <f t="shared" si="34"/>
        <v>0</v>
      </c>
      <c r="AV40" s="394">
        <f t="shared" si="50"/>
        <v>0</v>
      </c>
      <c r="AW40" s="137">
        <f t="shared" si="35"/>
        <v>0.37</v>
      </c>
      <c r="AX40" s="137">
        <f t="shared" si="36"/>
        <v>0.93</v>
      </c>
      <c r="AY40" s="137">
        <f t="shared" si="37"/>
        <v>0.83</v>
      </c>
      <c r="AZ40" s="137"/>
      <c r="BA40" s="264"/>
      <c r="BB40" s="258">
        <f t="shared" si="38"/>
        <v>0</v>
      </c>
      <c r="BC40" s="258">
        <f t="shared" si="39"/>
        <v>0</v>
      </c>
      <c r="BD40" s="137">
        <f t="shared" si="40"/>
        <v>0</v>
      </c>
      <c r="BE40" s="137">
        <f t="shared" si="40"/>
        <v>0</v>
      </c>
      <c r="BF40" s="137">
        <f>_xll.xSPRDOPT($BW40,$BV40,$CG40,0,$BY40,$BX40,$BZ40,$AJ40,1,4)*$CB40</f>
        <v>0</v>
      </c>
      <c r="BG40" s="137">
        <f>_xll.xSPRDOPT($BW40,$BV40,$CG40,0,$BY40,$BX40,$BZ40,$AJ40,1,3)*$CB40</f>
        <v>0</v>
      </c>
      <c r="BH40" s="137">
        <f>IF(OR(BF40&lt;&gt;0,BG40&lt;&gt;0),_xll.xSPRDOPT($BW40,$BV40,$CG40,0,$BY40,$BX40,$BZ40,$AJ40,1,12)*$CB40,0)</f>
        <v>0</v>
      </c>
      <c r="BI40" s="137">
        <f>_xll.xSPRDOPT($BW40,$BV40,$CG40,2*LN(1+CA40/2),$BY40,$BX40,$BZ40,$AJ40,1,9)</f>
        <v>-0.1962573973095959</v>
      </c>
      <c r="BJ40" s="137">
        <f>_xll.xSPRDOPT($BW40,$BV40,$CG40,0,$BY40,$BX40,$BZ40,$AJ40,1,6)*$CB40</f>
        <v>0</v>
      </c>
      <c r="BK40" s="137">
        <f>_xll.xSPRDOPT($BW40,$BV40,$CG40,0,$BY40,$BX40,$BZ40,$AJ40,1,5)*$CB40</f>
        <v>0</v>
      </c>
      <c r="BL40" s="137">
        <f>_xll.xSPRDOPT(BW40,BV40,CG40,0,BY40,BX40,BZ40,AJ40,1,2)*CB40</f>
        <v>0</v>
      </c>
      <c r="BM40" s="137">
        <f>_xll.xSPRDOPT(BW40,BV40,CG40,0,BY40,BX40,BZ40,AJ40,1,1)*CB40</f>
        <v>0</v>
      </c>
      <c r="BN40" s="137">
        <f>IF(AH40&lt;&gt;0,_xll.xSPRDOPT($BW40,$BV40,$CG40,2*LN(1+CA40/2),$BY40,$BX40,$BZ40,$AJ40,1,8)+(AJ40/365.25)*CH40/AH40,0)</f>
        <v>0</v>
      </c>
      <c r="BO40" s="137">
        <f>_xll.xSPRDOPT($BW40,$BV40,$CG40,0,$BY40,$BX40,$BZ40,$AJ40,1,0)</f>
        <v>0.98844982808400417</v>
      </c>
      <c r="BP40" s="137"/>
      <c r="BQ40" s="137"/>
      <c r="BR40" s="137"/>
      <c r="BS40" s="137"/>
      <c r="BV40" s="262">
        <v>3.4457831325301203</v>
      </c>
      <c r="BW40" s="136">
        <v>3.4670000000000001</v>
      </c>
      <c r="BX40" s="137">
        <v>0.37</v>
      </c>
      <c r="BY40" s="137">
        <v>0.37</v>
      </c>
      <c r="BZ40" s="137">
        <v>0</v>
      </c>
      <c r="CA40" s="137">
        <v>3.4836153967131397E-2</v>
      </c>
      <c r="CB40" s="137">
        <v>0</v>
      </c>
      <c r="CC40" s="258">
        <v>0</v>
      </c>
      <c r="CD40" s="258">
        <v>0.03</v>
      </c>
      <c r="CE40" s="258">
        <v>6.5000000000000002E-2</v>
      </c>
      <c r="CF40" s="258">
        <v>0</v>
      </c>
      <c r="CG40" s="258">
        <v>5.9999999999999995E-4</v>
      </c>
      <c r="CH40" s="258">
        <v>0</v>
      </c>
      <c r="CI40" s="258">
        <v>3.4020000000000001</v>
      </c>
      <c r="CJ40" s="258"/>
      <c r="CK40" s="258"/>
      <c r="CL40" s="258"/>
      <c r="CM40" s="258"/>
    </row>
    <row r="41" spans="1:91" x14ac:dyDescent="0.25">
      <c r="A41" s="723"/>
      <c r="B41" s="723"/>
      <c r="D41" s="31">
        <f t="shared" si="41"/>
        <v>37940</v>
      </c>
      <c r="F41" s="28">
        <f t="shared" si="12"/>
        <v>27600</v>
      </c>
      <c r="G41" s="28">
        <f t="shared" si="13"/>
        <v>0</v>
      </c>
      <c r="H41" s="52">
        <f t="shared" si="14"/>
        <v>3.4457831325301203</v>
      </c>
      <c r="I41" s="52">
        <f t="shared" si="15"/>
        <v>3.4670000000000001</v>
      </c>
      <c r="K41" s="52">
        <f t="shared" si="42"/>
        <v>0</v>
      </c>
      <c r="L41" s="135">
        <f t="shared" si="43"/>
        <v>0</v>
      </c>
      <c r="N41" s="131">
        <f t="shared" si="44"/>
        <v>0.37</v>
      </c>
      <c r="O41" s="131">
        <f t="shared" si="45"/>
        <v>0.37</v>
      </c>
      <c r="P41" s="55">
        <f t="shared" si="46"/>
        <v>0</v>
      </c>
      <c r="Q41" s="135">
        <f>_xll.xSPRDOPT(I41,H41,AQ41,0,O41,N41,P41,D41-$G$5,1,0)*AH41*AU41</f>
        <v>0</v>
      </c>
      <c r="R41" s="135"/>
      <c r="S41" s="181">
        <f>_xll.xSPRDOPT(I41,H41,AQ41,AT41,O41,N41,P41,D41-$G$5,1,2)*AF41*(F41/(1-AR41))*AH41</f>
        <v>0</v>
      </c>
      <c r="T41" s="181">
        <f>_xll.xSPRDOPT(I41,H41,AQ41,AT41,O41,N41,P41,D41-$G$5,1,1)*AF41*F41*AH41</f>
        <v>0</v>
      </c>
      <c r="U41" s="135"/>
      <c r="V41" s="146">
        <f t="shared" si="16"/>
        <v>0</v>
      </c>
      <c r="W41" s="146"/>
      <c r="X41" s="338">
        <f t="shared" si="17"/>
        <v>0</v>
      </c>
      <c r="Y41" s="338">
        <f t="shared" si="18"/>
        <v>0</v>
      </c>
      <c r="Z41" s="338">
        <f t="shared" si="19"/>
        <v>0</v>
      </c>
      <c r="AA41" s="338">
        <f t="shared" si="20"/>
        <v>0</v>
      </c>
      <c r="AB41" s="338">
        <f t="shared" si="21"/>
        <v>0</v>
      </c>
      <c r="AC41" s="338">
        <f t="shared" si="22"/>
        <v>0</v>
      </c>
      <c r="AF41" s="138">
        <f t="shared" si="23"/>
        <v>0</v>
      </c>
      <c r="AG41" s="138">
        <f t="shared" si="24"/>
        <v>11</v>
      </c>
      <c r="AH41" s="138">
        <f t="shared" si="25"/>
        <v>0</v>
      </c>
      <c r="AI41" s="138">
        <f t="shared" si="47"/>
        <v>684</v>
      </c>
      <c r="AJ41" s="138">
        <f t="shared" si="26"/>
        <v>701</v>
      </c>
      <c r="AL41" s="136">
        <f t="shared" si="27"/>
        <v>3.4020000000000001</v>
      </c>
      <c r="AM41" s="258">
        <f t="shared" si="48"/>
        <v>0</v>
      </c>
      <c r="AN41" s="258">
        <f t="shared" si="28"/>
        <v>0.03</v>
      </c>
      <c r="AO41" s="258">
        <f t="shared" si="29"/>
        <v>6.5000000000000002E-2</v>
      </c>
      <c r="AP41" s="258">
        <f t="shared" si="30"/>
        <v>0</v>
      </c>
      <c r="AQ41" s="136">
        <f t="shared" si="31"/>
        <v>5.9999999999999995E-4</v>
      </c>
      <c r="AR41" s="137">
        <f t="shared" si="32"/>
        <v>4.0000000000000001E-3</v>
      </c>
      <c r="AS41" s="136">
        <f t="shared" si="49"/>
        <v>3.4319999999999999</v>
      </c>
      <c r="AT41" s="137">
        <f t="shared" si="33"/>
        <v>3.4836153967131397E-2</v>
      </c>
      <c r="AU41" s="137">
        <f t="shared" si="34"/>
        <v>0</v>
      </c>
      <c r="AV41" s="394">
        <f t="shared" si="50"/>
        <v>0</v>
      </c>
      <c r="AW41" s="137">
        <f t="shared" si="35"/>
        <v>0.37</v>
      </c>
      <c r="AX41" s="137">
        <f t="shared" si="36"/>
        <v>0.93</v>
      </c>
      <c r="AY41" s="137">
        <f t="shared" si="37"/>
        <v>0.83</v>
      </c>
      <c r="AZ41" s="137"/>
      <c r="BA41" s="264"/>
      <c r="BB41" s="258">
        <f t="shared" si="38"/>
        <v>0</v>
      </c>
      <c r="BC41" s="258">
        <f t="shared" si="39"/>
        <v>0</v>
      </c>
      <c r="BD41" s="137">
        <f t="shared" si="40"/>
        <v>0</v>
      </c>
      <c r="BE41" s="137">
        <f t="shared" si="40"/>
        <v>0</v>
      </c>
      <c r="BF41" s="137">
        <f>_xll.xSPRDOPT($BW41,$BV41,$CG41,0,$BY41,$BX41,$BZ41,$AJ41,1,4)*$CB41</f>
        <v>0</v>
      </c>
      <c r="BG41" s="137">
        <f>_xll.xSPRDOPT($BW41,$BV41,$CG41,0,$BY41,$BX41,$BZ41,$AJ41,1,3)*$CB41</f>
        <v>0</v>
      </c>
      <c r="BH41" s="137">
        <f>IF(OR(BF41&lt;&gt;0,BG41&lt;&gt;0),_xll.xSPRDOPT($BW41,$BV41,$CG41,0,$BY41,$BX41,$BZ41,$AJ41,1,12)*$CB41,0)</f>
        <v>0</v>
      </c>
      <c r="BI41" s="137">
        <f>_xll.xSPRDOPT($BW41,$BV41,$CG41,2*LN(1+CA41/2),$BY41,$BX41,$BZ41,$AJ41,1,9)</f>
        <v>-0.1962573973095959</v>
      </c>
      <c r="BJ41" s="137">
        <f>_xll.xSPRDOPT($BW41,$BV41,$CG41,0,$BY41,$BX41,$BZ41,$AJ41,1,6)*$CB41</f>
        <v>0</v>
      </c>
      <c r="BK41" s="137">
        <f>_xll.xSPRDOPT($BW41,$BV41,$CG41,0,$BY41,$BX41,$BZ41,$AJ41,1,5)*$CB41</f>
        <v>0</v>
      </c>
      <c r="BL41" s="137">
        <f>_xll.xSPRDOPT(BW41,BV41,CG41,0,BY41,BX41,BZ41,AJ41,1,2)*CB41</f>
        <v>0</v>
      </c>
      <c r="BM41" s="137">
        <f>_xll.xSPRDOPT(BW41,BV41,CG41,0,BY41,BX41,BZ41,AJ41,1,1)*CB41</f>
        <v>0</v>
      </c>
      <c r="BN41" s="137">
        <f>IF(AH41&lt;&gt;0,_xll.xSPRDOPT($BW41,$BV41,$CG41,2*LN(1+CA41/2),$BY41,$BX41,$BZ41,$AJ41,1,8)+(AJ41/365.25)*CH41/AH41,0)</f>
        <v>0</v>
      </c>
      <c r="BO41" s="137">
        <f>_xll.xSPRDOPT($BW41,$BV41,$CG41,0,$BY41,$BX41,$BZ41,$AJ41,1,0)</f>
        <v>0.98844982808400417</v>
      </c>
      <c r="BP41" s="137"/>
      <c r="BQ41" s="137"/>
      <c r="BR41" s="137"/>
      <c r="BS41" s="137"/>
      <c r="BV41" s="262">
        <v>3.4457831325301203</v>
      </c>
      <c r="BW41" s="136">
        <v>3.4670000000000001</v>
      </c>
      <c r="BX41" s="137">
        <v>0.37</v>
      </c>
      <c r="BY41" s="137">
        <v>0.37</v>
      </c>
      <c r="BZ41" s="137">
        <v>0</v>
      </c>
      <c r="CA41" s="137">
        <v>3.4836153967131397E-2</v>
      </c>
      <c r="CB41" s="137">
        <v>0</v>
      </c>
      <c r="CC41" s="258">
        <v>0</v>
      </c>
      <c r="CD41" s="258">
        <v>0.03</v>
      </c>
      <c r="CE41" s="258">
        <v>6.5000000000000002E-2</v>
      </c>
      <c r="CF41" s="258">
        <v>0</v>
      </c>
      <c r="CG41" s="258">
        <v>5.9999999999999995E-4</v>
      </c>
      <c r="CH41" s="258">
        <v>0</v>
      </c>
      <c r="CI41" s="258">
        <v>3.4020000000000001</v>
      </c>
      <c r="CJ41" s="258"/>
      <c r="CK41" s="258"/>
      <c r="CL41" s="258"/>
      <c r="CM41" s="258"/>
    </row>
    <row r="42" spans="1:91" x14ac:dyDescent="0.25">
      <c r="A42" s="723"/>
      <c r="B42" s="723"/>
      <c r="D42" s="31">
        <f t="shared" si="41"/>
        <v>37940</v>
      </c>
      <c r="F42" s="28">
        <f t="shared" si="12"/>
        <v>27600</v>
      </c>
      <c r="G42" s="28">
        <f t="shared" si="13"/>
        <v>0</v>
      </c>
      <c r="H42" s="52">
        <f t="shared" si="14"/>
        <v>3.4457831325301203</v>
      </c>
      <c r="I42" s="52">
        <f t="shared" si="15"/>
        <v>3.4670000000000001</v>
      </c>
      <c r="K42" s="52">
        <f t="shared" si="42"/>
        <v>0</v>
      </c>
      <c r="L42" s="135">
        <f t="shared" si="43"/>
        <v>0</v>
      </c>
      <c r="N42" s="131">
        <f t="shared" si="44"/>
        <v>0.37</v>
      </c>
      <c r="O42" s="131">
        <f t="shared" si="45"/>
        <v>0.37</v>
      </c>
      <c r="P42" s="55">
        <f t="shared" si="46"/>
        <v>0</v>
      </c>
      <c r="Q42" s="135">
        <f>_xll.xSPRDOPT(I42,H42,AQ42,0,O42,N42,P42,D42-$G$5,1,0)*AH42*AU42</f>
        <v>0</v>
      </c>
      <c r="R42" s="135"/>
      <c r="S42" s="181">
        <f>_xll.xSPRDOPT(I42,H42,AQ42,AT42,O42,N42,P42,D42-$G$5,1,2)*AF42*(F42/(1-AR42))*AH42</f>
        <v>0</v>
      </c>
      <c r="T42" s="181">
        <f>_xll.xSPRDOPT(I42,H42,AQ42,AT42,O42,N42,P42,D42-$G$5,1,1)*AF42*F42*AH42</f>
        <v>0</v>
      </c>
      <c r="U42" s="135"/>
      <c r="V42" s="146">
        <f t="shared" si="16"/>
        <v>0</v>
      </c>
      <c r="W42" s="146"/>
      <c r="X42" s="338">
        <f t="shared" si="17"/>
        <v>0</v>
      </c>
      <c r="Y42" s="338">
        <f t="shared" si="18"/>
        <v>0</v>
      </c>
      <c r="Z42" s="338">
        <f t="shared" si="19"/>
        <v>0</v>
      </c>
      <c r="AA42" s="338">
        <f t="shared" si="20"/>
        <v>0</v>
      </c>
      <c r="AB42" s="338">
        <f t="shared" si="21"/>
        <v>0</v>
      </c>
      <c r="AC42" s="338">
        <f t="shared" si="22"/>
        <v>0</v>
      </c>
      <c r="AF42" s="138">
        <f t="shared" si="23"/>
        <v>0</v>
      </c>
      <c r="AG42" s="138">
        <f t="shared" si="24"/>
        <v>11</v>
      </c>
      <c r="AH42" s="138">
        <f t="shared" si="25"/>
        <v>0</v>
      </c>
      <c r="AI42" s="138">
        <f t="shared" si="47"/>
        <v>684</v>
      </c>
      <c r="AJ42" s="138">
        <f t="shared" si="26"/>
        <v>701</v>
      </c>
      <c r="AL42" s="136">
        <f t="shared" si="27"/>
        <v>3.4020000000000001</v>
      </c>
      <c r="AM42" s="258">
        <f t="shared" si="48"/>
        <v>0</v>
      </c>
      <c r="AN42" s="258">
        <f t="shared" si="28"/>
        <v>0.03</v>
      </c>
      <c r="AO42" s="258">
        <f t="shared" si="29"/>
        <v>6.5000000000000002E-2</v>
      </c>
      <c r="AP42" s="258">
        <f t="shared" si="30"/>
        <v>0</v>
      </c>
      <c r="AQ42" s="136">
        <f t="shared" si="31"/>
        <v>5.9999999999999995E-4</v>
      </c>
      <c r="AR42" s="137">
        <f t="shared" si="32"/>
        <v>4.0000000000000001E-3</v>
      </c>
      <c r="AS42" s="136">
        <f t="shared" si="49"/>
        <v>3.4319999999999999</v>
      </c>
      <c r="AT42" s="137">
        <f t="shared" si="33"/>
        <v>3.4836153967131397E-2</v>
      </c>
      <c r="AU42" s="137">
        <f t="shared" si="34"/>
        <v>0</v>
      </c>
      <c r="AV42" s="394">
        <f t="shared" si="50"/>
        <v>0</v>
      </c>
      <c r="AW42" s="137">
        <f t="shared" si="35"/>
        <v>0.37</v>
      </c>
      <c r="AX42" s="137">
        <f t="shared" si="36"/>
        <v>0.93</v>
      </c>
      <c r="AY42" s="137">
        <f t="shared" si="37"/>
        <v>0.83</v>
      </c>
      <c r="AZ42" s="137"/>
      <c r="BA42" s="264"/>
      <c r="BB42" s="258">
        <f t="shared" si="38"/>
        <v>0</v>
      </c>
      <c r="BC42" s="258">
        <f t="shared" si="39"/>
        <v>0</v>
      </c>
      <c r="BD42" s="137">
        <f t="shared" si="40"/>
        <v>0</v>
      </c>
      <c r="BE42" s="137">
        <f t="shared" si="40"/>
        <v>0</v>
      </c>
      <c r="BF42" s="137">
        <f>_xll.xSPRDOPT($BW42,$BV42,$CG42,0,$BY42,$BX42,$BZ42,$AJ42,1,4)*$CB42</f>
        <v>0</v>
      </c>
      <c r="BG42" s="137">
        <f>_xll.xSPRDOPT($BW42,$BV42,$CG42,0,$BY42,$BX42,$BZ42,$AJ42,1,3)*$CB42</f>
        <v>0</v>
      </c>
      <c r="BH42" s="137">
        <f>IF(OR(BF42&lt;&gt;0,BG42&lt;&gt;0),_xll.xSPRDOPT($BW42,$BV42,$CG42,0,$BY42,$BX42,$BZ42,$AJ42,1,12)*$CB42,0)</f>
        <v>0</v>
      </c>
      <c r="BI42" s="137">
        <f>_xll.xSPRDOPT($BW42,$BV42,$CG42,2*LN(1+CA42/2),$BY42,$BX42,$BZ42,$AJ42,1,9)</f>
        <v>-0.1962573973095959</v>
      </c>
      <c r="BJ42" s="137">
        <f>_xll.xSPRDOPT($BW42,$BV42,$CG42,0,$BY42,$BX42,$BZ42,$AJ42,1,6)*$CB42</f>
        <v>0</v>
      </c>
      <c r="BK42" s="137">
        <f>_xll.xSPRDOPT($BW42,$BV42,$CG42,0,$BY42,$BX42,$BZ42,$AJ42,1,5)*$CB42</f>
        <v>0</v>
      </c>
      <c r="BL42" s="137">
        <f>_xll.xSPRDOPT(BW42,BV42,CG42,0,BY42,BX42,BZ42,AJ42,1,2)*CB42</f>
        <v>0</v>
      </c>
      <c r="BM42" s="137">
        <f>_xll.xSPRDOPT(BW42,BV42,CG42,0,BY42,BX42,BZ42,AJ42,1,1)*CB42</f>
        <v>0</v>
      </c>
      <c r="BN42" s="137">
        <f>IF(AH42&lt;&gt;0,_xll.xSPRDOPT($BW42,$BV42,$CG42,2*LN(1+CA42/2),$BY42,$BX42,$BZ42,$AJ42,1,8)+(AJ42/365.25)*CH42/AH42,0)</f>
        <v>0</v>
      </c>
      <c r="BO42" s="137">
        <f>_xll.xSPRDOPT($BW42,$BV42,$CG42,0,$BY42,$BX42,$BZ42,$AJ42,1,0)</f>
        <v>0.98844982808400417</v>
      </c>
      <c r="BP42" s="137"/>
      <c r="BQ42" s="137"/>
      <c r="BR42" s="137"/>
      <c r="BS42" s="137"/>
      <c r="BV42" s="262">
        <v>3.4457831325301203</v>
      </c>
      <c r="BW42" s="136">
        <v>3.4670000000000001</v>
      </c>
      <c r="BX42" s="137">
        <v>0.37</v>
      </c>
      <c r="BY42" s="137">
        <v>0.37</v>
      </c>
      <c r="BZ42" s="137">
        <v>0</v>
      </c>
      <c r="CA42" s="137">
        <v>3.4836153967131397E-2</v>
      </c>
      <c r="CB42" s="137">
        <v>0</v>
      </c>
      <c r="CC42" s="258">
        <v>0</v>
      </c>
      <c r="CD42" s="258">
        <v>0.03</v>
      </c>
      <c r="CE42" s="258">
        <v>6.5000000000000002E-2</v>
      </c>
      <c r="CF42" s="258">
        <v>0</v>
      </c>
      <c r="CG42" s="258">
        <v>5.9999999999999995E-4</v>
      </c>
      <c r="CH42" s="258">
        <v>0</v>
      </c>
      <c r="CI42" s="258">
        <v>3.4020000000000001</v>
      </c>
      <c r="CJ42" s="258"/>
      <c r="CK42" s="258"/>
      <c r="CL42" s="258"/>
      <c r="CM42" s="258"/>
    </row>
    <row r="43" spans="1:91" x14ac:dyDescent="0.25">
      <c r="A43" s="723"/>
      <c r="B43" s="723"/>
      <c r="D43" s="31">
        <f t="shared" si="41"/>
        <v>37940</v>
      </c>
      <c r="F43" s="28">
        <f t="shared" si="12"/>
        <v>27600</v>
      </c>
      <c r="G43" s="28">
        <f t="shared" si="13"/>
        <v>0</v>
      </c>
      <c r="H43" s="52">
        <f t="shared" si="14"/>
        <v>3.4457831325301203</v>
      </c>
      <c r="I43" s="52">
        <f t="shared" si="15"/>
        <v>3.4670000000000001</v>
      </c>
      <c r="K43" s="52">
        <f t="shared" si="42"/>
        <v>0</v>
      </c>
      <c r="L43" s="135">
        <f t="shared" si="43"/>
        <v>0</v>
      </c>
      <c r="N43" s="131">
        <f t="shared" si="44"/>
        <v>0.37</v>
      </c>
      <c r="O43" s="131">
        <f t="shared" si="45"/>
        <v>0.37</v>
      </c>
      <c r="P43" s="55">
        <f t="shared" si="46"/>
        <v>0</v>
      </c>
      <c r="Q43" s="135">
        <f>_xll.xSPRDOPT(I43,H43,AQ43,0,O43,N43,P43,D43-$G$5,1,0)*AH43*AU43</f>
        <v>0</v>
      </c>
      <c r="R43" s="135"/>
      <c r="S43" s="181">
        <f>_xll.xSPRDOPT(I43,H43,AQ43,AT43,O43,N43,P43,D43-$G$5,1,2)*AF43*(F43/(1-AR43))*AH43</f>
        <v>0</v>
      </c>
      <c r="T43" s="181">
        <f>_xll.xSPRDOPT(I43,H43,AQ43,AT43,O43,N43,P43,D43-$G$5,1,1)*AF43*F43*AH43</f>
        <v>0</v>
      </c>
      <c r="U43" s="135"/>
      <c r="V43" s="146">
        <f t="shared" si="16"/>
        <v>0</v>
      </c>
      <c r="W43" s="146"/>
      <c r="X43" s="338">
        <f t="shared" si="17"/>
        <v>0</v>
      </c>
      <c r="Y43" s="338">
        <f t="shared" si="18"/>
        <v>0</v>
      </c>
      <c r="Z43" s="338">
        <f t="shared" si="19"/>
        <v>0</v>
      </c>
      <c r="AA43" s="338">
        <f t="shared" si="20"/>
        <v>0</v>
      </c>
      <c r="AB43" s="338">
        <f t="shared" si="21"/>
        <v>0</v>
      </c>
      <c r="AC43" s="338">
        <f t="shared" si="22"/>
        <v>0</v>
      </c>
      <c r="AF43" s="138">
        <f t="shared" si="23"/>
        <v>0</v>
      </c>
      <c r="AG43" s="138">
        <f t="shared" si="24"/>
        <v>11</v>
      </c>
      <c r="AH43" s="138">
        <f t="shared" si="25"/>
        <v>0</v>
      </c>
      <c r="AI43" s="138">
        <f t="shared" si="47"/>
        <v>684</v>
      </c>
      <c r="AJ43" s="138">
        <f t="shared" si="26"/>
        <v>701</v>
      </c>
      <c r="AL43" s="136">
        <f t="shared" si="27"/>
        <v>3.4020000000000001</v>
      </c>
      <c r="AM43" s="258">
        <f t="shared" si="48"/>
        <v>0</v>
      </c>
      <c r="AN43" s="258">
        <f t="shared" si="28"/>
        <v>0.03</v>
      </c>
      <c r="AO43" s="258">
        <f t="shared" si="29"/>
        <v>6.5000000000000002E-2</v>
      </c>
      <c r="AP43" s="258">
        <f t="shared" si="30"/>
        <v>0</v>
      </c>
      <c r="AQ43" s="136">
        <f t="shared" si="31"/>
        <v>5.9999999999999995E-4</v>
      </c>
      <c r="AR43" s="137">
        <f t="shared" si="32"/>
        <v>4.0000000000000001E-3</v>
      </c>
      <c r="AS43" s="136">
        <f t="shared" si="49"/>
        <v>3.4319999999999999</v>
      </c>
      <c r="AT43" s="137">
        <f t="shared" si="33"/>
        <v>3.4836153967131397E-2</v>
      </c>
      <c r="AU43" s="137">
        <f t="shared" si="34"/>
        <v>0</v>
      </c>
      <c r="AV43" s="394">
        <f t="shared" si="50"/>
        <v>0</v>
      </c>
      <c r="AW43" s="137">
        <f t="shared" si="35"/>
        <v>0.37</v>
      </c>
      <c r="AX43" s="137">
        <f t="shared" si="36"/>
        <v>0.93</v>
      </c>
      <c r="AY43" s="137">
        <f t="shared" si="37"/>
        <v>0.83</v>
      </c>
      <c r="AZ43" s="137"/>
      <c r="BA43" s="264"/>
      <c r="BB43" s="258">
        <f t="shared" si="38"/>
        <v>0</v>
      </c>
      <c r="BC43" s="258">
        <f t="shared" si="39"/>
        <v>0</v>
      </c>
      <c r="BD43" s="137">
        <f t="shared" si="40"/>
        <v>0</v>
      </c>
      <c r="BE43" s="137">
        <f t="shared" si="40"/>
        <v>0</v>
      </c>
      <c r="BF43" s="137">
        <f>_xll.xSPRDOPT($BW43,$BV43,$CG43,0,$BY43,$BX43,$BZ43,$AJ43,1,4)*$CB43</f>
        <v>0</v>
      </c>
      <c r="BG43" s="137">
        <f>_xll.xSPRDOPT($BW43,$BV43,$CG43,0,$BY43,$BX43,$BZ43,$AJ43,1,3)*$CB43</f>
        <v>0</v>
      </c>
      <c r="BH43" s="137">
        <f>IF(OR(BF43&lt;&gt;0,BG43&lt;&gt;0),_xll.xSPRDOPT($BW43,$BV43,$CG43,0,$BY43,$BX43,$BZ43,$AJ43,1,12)*$CB43,0)</f>
        <v>0</v>
      </c>
      <c r="BI43" s="137">
        <f>_xll.xSPRDOPT($BW43,$BV43,$CG43,2*LN(1+CA43/2),$BY43,$BX43,$BZ43,$AJ43,1,9)</f>
        <v>-0.1962573973095959</v>
      </c>
      <c r="BJ43" s="137">
        <f>_xll.xSPRDOPT($BW43,$BV43,$CG43,0,$BY43,$BX43,$BZ43,$AJ43,1,6)*$CB43</f>
        <v>0</v>
      </c>
      <c r="BK43" s="137">
        <f>_xll.xSPRDOPT($BW43,$BV43,$CG43,0,$BY43,$BX43,$BZ43,$AJ43,1,5)*$CB43</f>
        <v>0</v>
      </c>
      <c r="BL43" s="137">
        <f>_xll.xSPRDOPT(BW43,BV43,CG43,0,BY43,BX43,BZ43,AJ43,1,2)*CB43</f>
        <v>0</v>
      </c>
      <c r="BM43" s="137">
        <f>_xll.xSPRDOPT(BW43,BV43,CG43,0,BY43,BX43,BZ43,AJ43,1,1)*CB43</f>
        <v>0</v>
      </c>
      <c r="BN43" s="137">
        <f>IF(AH43&lt;&gt;0,_xll.xSPRDOPT($BW43,$BV43,$CG43,2*LN(1+CA43/2),$BY43,$BX43,$BZ43,$AJ43,1,8)+(AJ43/365.25)*CH43/AH43,0)</f>
        <v>0</v>
      </c>
      <c r="BO43" s="137">
        <f>_xll.xSPRDOPT($BW43,$BV43,$CG43,0,$BY43,$BX43,$BZ43,$AJ43,1,0)</f>
        <v>0.98844982808400417</v>
      </c>
      <c r="BP43" s="137"/>
      <c r="BQ43" s="137"/>
      <c r="BR43" s="137"/>
      <c r="BS43" s="137"/>
      <c r="BV43" s="262">
        <v>3.4457831325301203</v>
      </c>
      <c r="BW43" s="136">
        <v>3.4670000000000001</v>
      </c>
      <c r="BX43" s="137">
        <v>0.37</v>
      </c>
      <c r="BY43" s="137">
        <v>0.37</v>
      </c>
      <c r="BZ43" s="137">
        <v>0</v>
      </c>
      <c r="CA43" s="137">
        <v>3.4836153967131397E-2</v>
      </c>
      <c r="CB43" s="137">
        <v>0</v>
      </c>
      <c r="CC43" s="258">
        <v>0</v>
      </c>
      <c r="CD43" s="258">
        <v>0.03</v>
      </c>
      <c r="CE43" s="258">
        <v>6.5000000000000002E-2</v>
      </c>
      <c r="CF43" s="258">
        <v>0</v>
      </c>
      <c r="CG43" s="258">
        <v>5.9999999999999995E-4</v>
      </c>
      <c r="CH43" s="258">
        <v>0</v>
      </c>
      <c r="CI43" s="258">
        <v>3.4020000000000001</v>
      </c>
      <c r="CJ43" s="258"/>
      <c r="CK43" s="258"/>
      <c r="CL43" s="258"/>
      <c r="CM43" s="258"/>
    </row>
    <row r="44" spans="1:91" x14ac:dyDescent="0.25">
      <c r="A44" s="723"/>
      <c r="B44" s="723"/>
      <c r="D44" s="31">
        <f t="shared" si="41"/>
        <v>37940</v>
      </c>
      <c r="F44" s="28">
        <f t="shared" si="12"/>
        <v>27600</v>
      </c>
      <c r="G44" s="28">
        <f t="shared" si="13"/>
        <v>0</v>
      </c>
      <c r="H44" s="52">
        <f t="shared" si="14"/>
        <v>3.4457831325301203</v>
      </c>
      <c r="I44" s="52">
        <f t="shared" si="15"/>
        <v>3.4670000000000001</v>
      </c>
      <c r="K44" s="52">
        <f t="shared" si="42"/>
        <v>0</v>
      </c>
      <c r="L44" s="135">
        <f t="shared" si="43"/>
        <v>0</v>
      </c>
      <c r="N44" s="131">
        <f t="shared" si="44"/>
        <v>0.37</v>
      </c>
      <c r="O44" s="131">
        <f t="shared" si="45"/>
        <v>0.37</v>
      </c>
      <c r="P44" s="55">
        <f t="shared" si="46"/>
        <v>0</v>
      </c>
      <c r="Q44" s="135">
        <f>_xll.xSPRDOPT(I44,H44,AQ44,0,O44,N44,P44,D44-$G$5,1,0)*AH44*AU44</f>
        <v>0</v>
      </c>
      <c r="R44" s="135"/>
      <c r="S44" s="181">
        <f>_xll.xSPRDOPT(I44,H44,AQ44,AT44,O44,N44,P44,D44-$G$5,1,2)*AF44*(F44/(1-AR44))*AH44</f>
        <v>0</v>
      </c>
      <c r="T44" s="181">
        <f>_xll.xSPRDOPT(I44,H44,AQ44,AT44,O44,N44,P44,D44-$G$5,1,1)*AF44*F44*AH44</f>
        <v>0</v>
      </c>
      <c r="U44" s="135"/>
      <c r="V44" s="146">
        <f t="shared" si="16"/>
        <v>0</v>
      </c>
      <c r="W44" s="146"/>
      <c r="X44" s="338">
        <f t="shared" si="17"/>
        <v>0</v>
      </c>
      <c r="Y44" s="338">
        <f t="shared" si="18"/>
        <v>0</v>
      </c>
      <c r="Z44" s="338">
        <f t="shared" si="19"/>
        <v>0</v>
      </c>
      <c r="AA44" s="338">
        <f t="shared" si="20"/>
        <v>0</v>
      </c>
      <c r="AB44" s="338">
        <f t="shared" si="21"/>
        <v>0</v>
      </c>
      <c r="AC44" s="338">
        <f t="shared" si="22"/>
        <v>0</v>
      </c>
      <c r="AF44" s="138">
        <f t="shared" si="23"/>
        <v>0</v>
      </c>
      <c r="AG44" s="138">
        <f t="shared" si="24"/>
        <v>11</v>
      </c>
      <c r="AH44" s="138">
        <f t="shared" si="25"/>
        <v>0</v>
      </c>
      <c r="AI44" s="138">
        <f t="shared" si="47"/>
        <v>684</v>
      </c>
      <c r="AJ44" s="138">
        <f t="shared" si="26"/>
        <v>701</v>
      </c>
      <c r="AL44" s="136">
        <f t="shared" si="27"/>
        <v>3.4020000000000001</v>
      </c>
      <c r="AM44" s="258">
        <f t="shared" si="48"/>
        <v>0</v>
      </c>
      <c r="AN44" s="258">
        <f t="shared" si="28"/>
        <v>0.03</v>
      </c>
      <c r="AO44" s="258">
        <f t="shared" si="29"/>
        <v>6.5000000000000002E-2</v>
      </c>
      <c r="AP44" s="258">
        <f t="shared" si="30"/>
        <v>0</v>
      </c>
      <c r="AQ44" s="136">
        <f t="shared" si="31"/>
        <v>5.9999999999999995E-4</v>
      </c>
      <c r="AR44" s="137">
        <f t="shared" si="32"/>
        <v>4.0000000000000001E-3</v>
      </c>
      <c r="AS44" s="136">
        <f t="shared" si="49"/>
        <v>3.4319999999999999</v>
      </c>
      <c r="AT44" s="137">
        <f t="shared" si="33"/>
        <v>3.4836153967131397E-2</v>
      </c>
      <c r="AU44" s="137">
        <f t="shared" si="34"/>
        <v>0</v>
      </c>
      <c r="AV44" s="394">
        <f t="shared" si="50"/>
        <v>0</v>
      </c>
      <c r="AW44" s="137">
        <f t="shared" si="35"/>
        <v>0.37</v>
      </c>
      <c r="AX44" s="137">
        <f t="shared" si="36"/>
        <v>0.93</v>
      </c>
      <c r="AY44" s="137">
        <f t="shared" si="37"/>
        <v>0.83</v>
      </c>
      <c r="AZ44" s="137"/>
      <c r="BA44" s="264"/>
      <c r="BB44" s="258">
        <f t="shared" si="38"/>
        <v>0</v>
      </c>
      <c r="BC44" s="258">
        <f t="shared" si="39"/>
        <v>0</v>
      </c>
      <c r="BD44" s="137">
        <f t="shared" si="40"/>
        <v>0</v>
      </c>
      <c r="BE44" s="137">
        <f t="shared" si="40"/>
        <v>0</v>
      </c>
      <c r="BF44" s="137">
        <f>_xll.xSPRDOPT($BW44,$BV44,$CG44,0,$BY44,$BX44,$BZ44,$AJ44,1,4)*$CB44</f>
        <v>0</v>
      </c>
      <c r="BG44" s="137">
        <f>_xll.xSPRDOPT($BW44,$BV44,$CG44,0,$BY44,$BX44,$BZ44,$AJ44,1,3)*$CB44</f>
        <v>0</v>
      </c>
      <c r="BH44" s="137">
        <f>IF(OR(BF44&lt;&gt;0,BG44&lt;&gt;0),_xll.xSPRDOPT($BW44,$BV44,$CG44,0,$BY44,$BX44,$BZ44,$AJ44,1,12)*$CB44,0)</f>
        <v>0</v>
      </c>
      <c r="BI44" s="137">
        <f>_xll.xSPRDOPT($BW44,$BV44,$CG44,2*LN(1+CA44/2),$BY44,$BX44,$BZ44,$AJ44,1,9)</f>
        <v>-0.1962573973095959</v>
      </c>
      <c r="BJ44" s="137">
        <f>_xll.xSPRDOPT($BW44,$BV44,$CG44,0,$BY44,$BX44,$BZ44,$AJ44,1,6)*$CB44</f>
        <v>0</v>
      </c>
      <c r="BK44" s="137">
        <f>_xll.xSPRDOPT($BW44,$BV44,$CG44,0,$BY44,$BX44,$BZ44,$AJ44,1,5)*$CB44</f>
        <v>0</v>
      </c>
      <c r="BL44" s="137">
        <f>_xll.xSPRDOPT(BW44,BV44,CG44,0,BY44,BX44,BZ44,AJ44,1,2)*CB44</f>
        <v>0</v>
      </c>
      <c r="BM44" s="137">
        <f>_xll.xSPRDOPT(BW44,BV44,CG44,0,BY44,BX44,BZ44,AJ44,1,1)*CB44</f>
        <v>0</v>
      </c>
      <c r="BN44" s="137">
        <f>IF(AH44&lt;&gt;0,_xll.xSPRDOPT($BW44,$BV44,$CG44,2*LN(1+CA44/2),$BY44,$BX44,$BZ44,$AJ44,1,8)+(AJ44/365.25)*CH44/AH44,0)</f>
        <v>0</v>
      </c>
      <c r="BO44" s="137">
        <f>_xll.xSPRDOPT($BW44,$BV44,$CG44,0,$BY44,$BX44,$BZ44,$AJ44,1,0)</f>
        <v>0.98844982808400417</v>
      </c>
      <c r="BP44" s="137"/>
      <c r="BQ44" s="137"/>
      <c r="BR44" s="137"/>
      <c r="BS44" s="137"/>
      <c r="BV44" s="262">
        <v>3.4457831325301203</v>
      </c>
      <c r="BW44" s="136">
        <v>3.4670000000000001</v>
      </c>
      <c r="BX44" s="137">
        <v>0.37</v>
      </c>
      <c r="BY44" s="137">
        <v>0.37</v>
      </c>
      <c r="BZ44" s="137">
        <v>0</v>
      </c>
      <c r="CA44" s="137">
        <v>3.4836153967131397E-2</v>
      </c>
      <c r="CB44" s="137">
        <v>0</v>
      </c>
      <c r="CC44" s="258">
        <v>0</v>
      </c>
      <c r="CD44" s="258">
        <v>0.03</v>
      </c>
      <c r="CE44" s="258">
        <v>6.5000000000000002E-2</v>
      </c>
      <c r="CF44" s="258">
        <v>0</v>
      </c>
      <c r="CG44" s="258">
        <v>5.9999999999999995E-4</v>
      </c>
      <c r="CH44" s="258">
        <v>0</v>
      </c>
      <c r="CI44" s="258">
        <v>3.4020000000000001</v>
      </c>
      <c r="CJ44" s="258"/>
      <c r="CK44" s="258"/>
      <c r="CL44" s="258"/>
      <c r="CM44" s="258"/>
    </row>
    <row r="45" spans="1:91" x14ac:dyDescent="0.25">
      <c r="A45" s="723"/>
      <c r="B45" s="723"/>
      <c r="D45" s="31">
        <f t="shared" si="41"/>
        <v>37940</v>
      </c>
      <c r="F45" s="28">
        <f t="shared" si="12"/>
        <v>27600</v>
      </c>
      <c r="G45" s="28">
        <f t="shared" si="13"/>
        <v>0</v>
      </c>
      <c r="H45" s="52">
        <f t="shared" si="14"/>
        <v>3.4457831325301203</v>
      </c>
      <c r="I45" s="52">
        <f t="shared" si="15"/>
        <v>3.4670000000000001</v>
      </c>
      <c r="K45" s="52">
        <f t="shared" si="42"/>
        <v>0</v>
      </c>
      <c r="L45" s="135">
        <f t="shared" si="43"/>
        <v>0</v>
      </c>
      <c r="N45" s="131">
        <f t="shared" si="44"/>
        <v>0.37</v>
      </c>
      <c r="O45" s="131">
        <f t="shared" si="45"/>
        <v>0.37</v>
      </c>
      <c r="P45" s="55">
        <f t="shared" si="46"/>
        <v>0</v>
      </c>
      <c r="Q45" s="135">
        <f>_xll.xSPRDOPT(I45,H45,AQ45,0,O45,N45,P45,D45-$G$5,1,0)*AH45*AU45</f>
        <v>0</v>
      </c>
      <c r="R45" s="135"/>
      <c r="S45" s="181">
        <f>_xll.xSPRDOPT(I45,H45,AQ45,AT45,O45,N45,P45,D45-$G$5,1,2)*AF45*(F45/(1-AR45))*AH45</f>
        <v>0</v>
      </c>
      <c r="T45" s="181">
        <f>_xll.xSPRDOPT(I45,H45,AQ45,AT45,O45,N45,P45,D45-$G$5,1,1)*AF45*F45*AH45</f>
        <v>0</v>
      </c>
      <c r="U45" s="135"/>
      <c r="V45" s="146">
        <f t="shared" si="16"/>
        <v>0</v>
      </c>
      <c r="W45" s="146"/>
      <c r="X45" s="338">
        <f t="shared" si="17"/>
        <v>0</v>
      </c>
      <c r="Y45" s="338">
        <f t="shared" si="18"/>
        <v>0</v>
      </c>
      <c r="Z45" s="338">
        <f t="shared" si="19"/>
        <v>0</v>
      </c>
      <c r="AA45" s="338">
        <f t="shared" si="20"/>
        <v>0</v>
      </c>
      <c r="AB45" s="338">
        <f t="shared" si="21"/>
        <v>0</v>
      </c>
      <c r="AC45" s="338">
        <f t="shared" si="22"/>
        <v>0</v>
      </c>
      <c r="AF45" s="138">
        <f t="shared" si="23"/>
        <v>0</v>
      </c>
      <c r="AG45" s="138">
        <f t="shared" si="24"/>
        <v>11</v>
      </c>
      <c r="AH45" s="138">
        <f t="shared" si="25"/>
        <v>0</v>
      </c>
      <c r="AI45" s="138">
        <f t="shared" si="47"/>
        <v>684</v>
      </c>
      <c r="AJ45" s="138">
        <f t="shared" si="26"/>
        <v>701</v>
      </c>
      <c r="AL45" s="136">
        <f t="shared" si="27"/>
        <v>3.4020000000000001</v>
      </c>
      <c r="AM45" s="258">
        <f t="shared" si="48"/>
        <v>0</v>
      </c>
      <c r="AN45" s="258">
        <f t="shared" si="28"/>
        <v>0.03</v>
      </c>
      <c r="AO45" s="258">
        <f t="shared" si="29"/>
        <v>6.5000000000000002E-2</v>
      </c>
      <c r="AP45" s="258">
        <f t="shared" si="30"/>
        <v>0</v>
      </c>
      <c r="AQ45" s="136">
        <f t="shared" si="31"/>
        <v>5.9999999999999995E-4</v>
      </c>
      <c r="AR45" s="137">
        <f t="shared" si="32"/>
        <v>4.0000000000000001E-3</v>
      </c>
      <c r="AS45" s="136">
        <f t="shared" si="49"/>
        <v>3.4319999999999999</v>
      </c>
      <c r="AT45" s="137">
        <f t="shared" si="33"/>
        <v>3.4836153967131397E-2</v>
      </c>
      <c r="AU45" s="137">
        <f t="shared" si="34"/>
        <v>0</v>
      </c>
      <c r="AV45" s="394">
        <f t="shared" si="50"/>
        <v>0</v>
      </c>
      <c r="AW45" s="137">
        <f t="shared" si="35"/>
        <v>0.37</v>
      </c>
      <c r="AX45" s="137">
        <f t="shared" si="36"/>
        <v>0.93</v>
      </c>
      <c r="AY45" s="137">
        <f t="shared" si="37"/>
        <v>0.83</v>
      </c>
      <c r="AZ45" s="137"/>
      <c r="BA45" s="264"/>
      <c r="BB45" s="258">
        <f t="shared" si="38"/>
        <v>0</v>
      </c>
      <c r="BC45" s="258">
        <f t="shared" si="39"/>
        <v>0</v>
      </c>
      <c r="BD45" s="137">
        <f t="shared" si="40"/>
        <v>0</v>
      </c>
      <c r="BE45" s="137">
        <f t="shared" si="40"/>
        <v>0</v>
      </c>
      <c r="BF45" s="137">
        <f>_xll.xSPRDOPT($BW45,$BV45,$CG45,0,$BY45,$BX45,$BZ45,$AJ45,1,4)*$CB45</f>
        <v>0</v>
      </c>
      <c r="BG45" s="137">
        <f>_xll.xSPRDOPT($BW45,$BV45,$CG45,0,$BY45,$BX45,$BZ45,$AJ45,1,3)*$CB45</f>
        <v>0</v>
      </c>
      <c r="BH45" s="137">
        <f>IF(OR(BF45&lt;&gt;0,BG45&lt;&gt;0),_xll.xSPRDOPT($BW45,$BV45,$CG45,0,$BY45,$BX45,$BZ45,$AJ45,1,12)*$CB45,0)</f>
        <v>0</v>
      </c>
      <c r="BI45" s="137">
        <f>_xll.xSPRDOPT($BW45,$BV45,$CG45,2*LN(1+CA45/2),$BY45,$BX45,$BZ45,$AJ45,1,9)</f>
        <v>-0.1962573973095959</v>
      </c>
      <c r="BJ45" s="137">
        <f>_xll.xSPRDOPT($BW45,$BV45,$CG45,0,$BY45,$BX45,$BZ45,$AJ45,1,6)*$CB45</f>
        <v>0</v>
      </c>
      <c r="BK45" s="137">
        <f>_xll.xSPRDOPT($BW45,$BV45,$CG45,0,$BY45,$BX45,$BZ45,$AJ45,1,5)*$CB45</f>
        <v>0</v>
      </c>
      <c r="BL45" s="137">
        <f>_xll.xSPRDOPT(BW45,BV45,CG45,0,BY45,BX45,BZ45,AJ45,1,2)*CB45</f>
        <v>0</v>
      </c>
      <c r="BM45" s="137">
        <f>_xll.xSPRDOPT(BW45,BV45,CG45,0,BY45,BX45,BZ45,AJ45,1,1)*CB45</f>
        <v>0</v>
      </c>
      <c r="BN45" s="137">
        <f>IF(AH45&lt;&gt;0,_xll.xSPRDOPT($BW45,$BV45,$CG45,2*LN(1+CA45/2),$BY45,$BX45,$BZ45,$AJ45,1,8)+(AJ45/365.25)*CH45/AH45,0)</f>
        <v>0</v>
      </c>
      <c r="BO45" s="137">
        <f>_xll.xSPRDOPT($BW45,$BV45,$CG45,0,$BY45,$BX45,$BZ45,$AJ45,1,0)</f>
        <v>0.98844982808400417</v>
      </c>
      <c r="BP45" s="137"/>
      <c r="BQ45" s="137"/>
      <c r="BR45" s="137"/>
      <c r="BS45" s="137"/>
      <c r="BV45" s="262">
        <v>3.4457831325301203</v>
      </c>
      <c r="BW45" s="136">
        <v>3.4670000000000001</v>
      </c>
      <c r="BX45" s="137">
        <v>0.37</v>
      </c>
      <c r="BY45" s="137">
        <v>0.37</v>
      </c>
      <c r="BZ45" s="137">
        <v>0</v>
      </c>
      <c r="CA45" s="137">
        <v>3.4836153967131397E-2</v>
      </c>
      <c r="CB45" s="137">
        <v>0</v>
      </c>
      <c r="CC45" s="258">
        <v>0</v>
      </c>
      <c r="CD45" s="258">
        <v>0.03</v>
      </c>
      <c r="CE45" s="258">
        <v>6.5000000000000002E-2</v>
      </c>
      <c r="CF45" s="258">
        <v>0</v>
      </c>
      <c r="CG45" s="258">
        <v>5.9999999999999995E-4</v>
      </c>
      <c r="CH45" s="258">
        <v>0</v>
      </c>
      <c r="CI45" s="258">
        <v>3.4020000000000001</v>
      </c>
      <c r="CJ45" s="258"/>
      <c r="CK45" s="258"/>
      <c r="CL45" s="258"/>
      <c r="CM45" s="258"/>
    </row>
    <row r="46" spans="1:91" x14ac:dyDescent="0.25">
      <c r="A46" s="723"/>
      <c r="B46" s="723"/>
      <c r="D46" s="31">
        <f t="shared" si="41"/>
        <v>37940</v>
      </c>
      <c r="F46" s="28">
        <f t="shared" si="12"/>
        <v>27600</v>
      </c>
      <c r="G46" s="28">
        <f t="shared" si="13"/>
        <v>0</v>
      </c>
      <c r="H46" s="52">
        <f t="shared" si="14"/>
        <v>3.4457831325301203</v>
      </c>
      <c r="I46" s="52">
        <f t="shared" si="15"/>
        <v>3.4670000000000001</v>
      </c>
      <c r="K46" s="52">
        <f t="shared" si="42"/>
        <v>0</v>
      </c>
      <c r="L46" s="135">
        <f t="shared" si="43"/>
        <v>0</v>
      </c>
      <c r="N46" s="131">
        <f t="shared" si="44"/>
        <v>0.37</v>
      </c>
      <c r="O46" s="131">
        <f t="shared" si="45"/>
        <v>0.37</v>
      </c>
      <c r="P46" s="55">
        <f t="shared" si="46"/>
        <v>0</v>
      </c>
      <c r="Q46" s="135">
        <f>_xll.xSPRDOPT(I46,H46,AQ46,0,O46,N46,P46,D46-$G$5,1,0)*AH46*AU46</f>
        <v>0</v>
      </c>
      <c r="R46" s="135"/>
      <c r="S46" s="181">
        <f>_xll.xSPRDOPT(I46,H46,AQ46,AT46,O46,N46,P46,D46-$G$5,1,2)*AF46*(F46/(1-AR46))*AH46</f>
        <v>0</v>
      </c>
      <c r="T46" s="181">
        <f>_xll.xSPRDOPT(I46,H46,AQ46,AT46,O46,N46,P46,D46-$G$5,1,1)*AF46*F46*AH46</f>
        <v>0</v>
      </c>
      <c r="U46" s="135"/>
      <c r="V46" s="146">
        <f t="shared" si="16"/>
        <v>0</v>
      </c>
      <c r="W46" s="146"/>
      <c r="X46" s="338">
        <f t="shared" si="17"/>
        <v>0</v>
      </c>
      <c r="Y46" s="338">
        <f t="shared" si="18"/>
        <v>0</v>
      </c>
      <c r="Z46" s="338">
        <f t="shared" si="19"/>
        <v>0</v>
      </c>
      <c r="AA46" s="338">
        <f t="shared" si="20"/>
        <v>0</v>
      </c>
      <c r="AB46" s="338">
        <f t="shared" si="21"/>
        <v>0</v>
      </c>
      <c r="AC46" s="338">
        <f t="shared" si="22"/>
        <v>0</v>
      </c>
      <c r="AF46" s="138">
        <f t="shared" si="23"/>
        <v>0</v>
      </c>
      <c r="AG46" s="138">
        <f t="shared" si="24"/>
        <v>11</v>
      </c>
      <c r="AH46" s="138">
        <f t="shared" si="25"/>
        <v>0</v>
      </c>
      <c r="AI46" s="138">
        <f t="shared" si="47"/>
        <v>684</v>
      </c>
      <c r="AJ46" s="138">
        <f t="shared" si="26"/>
        <v>701</v>
      </c>
      <c r="AL46" s="136">
        <f t="shared" si="27"/>
        <v>3.4020000000000001</v>
      </c>
      <c r="AM46" s="258">
        <f t="shared" si="48"/>
        <v>0</v>
      </c>
      <c r="AN46" s="258">
        <f t="shared" si="28"/>
        <v>0.03</v>
      </c>
      <c r="AO46" s="258">
        <f t="shared" si="29"/>
        <v>6.5000000000000002E-2</v>
      </c>
      <c r="AP46" s="258">
        <f t="shared" si="30"/>
        <v>0</v>
      </c>
      <c r="AQ46" s="136">
        <f t="shared" si="31"/>
        <v>5.9999999999999995E-4</v>
      </c>
      <c r="AR46" s="137">
        <f t="shared" si="32"/>
        <v>4.0000000000000001E-3</v>
      </c>
      <c r="AS46" s="136">
        <f t="shared" si="49"/>
        <v>3.4319999999999999</v>
      </c>
      <c r="AT46" s="137">
        <f t="shared" si="33"/>
        <v>3.4836153967131397E-2</v>
      </c>
      <c r="AU46" s="137">
        <f t="shared" si="34"/>
        <v>0</v>
      </c>
      <c r="AV46" s="394">
        <f t="shared" si="50"/>
        <v>0</v>
      </c>
      <c r="AW46" s="137">
        <f t="shared" si="35"/>
        <v>0.37</v>
      </c>
      <c r="AX46" s="137">
        <f t="shared" si="36"/>
        <v>0.93</v>
      </c>
      <c r="AY46" s="137">
        <f t="shared" si="37"/>
        <v>0.83</v>
      </c>
      <c r="AZ46" s="137"/>
      <c r="BA46" s="264"/>
      <c r="BB46" s="258">
        <f t="shared" si="38"/>
        <v>0</v>
      </c>
      <c r="BC46" s="258">
        <f t="shared" si="39"/>
        <v>0</v>
      </c>
      <c r="BD46" s="137">
        <f t="shared" si="40"/>
        <v>0</v>
      </c>
      <c r="BE46" s="137">
        <f t="shared" si="40"/>
        <v>0</v>
      </c>
      <c r="BF46" s="137">
        <f>_xll.xSPRDOPT($BW46,$BV46,$CG46,0,$BY46,$BX46,$BZ46,$AJ46,1,4)*$CB46</f>
        <v>0</v>
      </c>
      <c r="BG46" s="137">
        <f>_xll.xSPRDOPT($BW46,$BV46,$CG46,0,$BY46,$BX46,$BZ46,$AJ46,1,3)*$CB46</f>
        <v>0</v>
      </c>
      <c r="BH46" s="137">
        <f>IF(OR(BF46&lt;&gt;0,BG46&lt;&gt;0),_xll.xSPRDOPT($BW46,$BV46,$CG46,0,$BY46,$BX46,$BZ46,$AJ46,1,12)*$CB46,0)</f>
        <v>0</v>
      </c>
      <c r="BI46" s="137">
        <f>_xll.xSPRDOPT($BW46,$BV46,$CG46,2*LN(1+CA46/2),$BY46,$BX46,$BZ46,$AJ46,1,9)</f>
        <v>-0.1962573973095959</v>
      </c>
      <c r="BJ46" s="137">
        <f>_xll.xSPRDOPT($BW46,$BV46,$CG46,0,$BY46,$BX46,$BZ46,$AJ46,1,6)*$CB46</f>
        <v>0</v>
      </c>
      <c r="BK46" s="137">
        <f>_xll.xSPRDOPT($BW46,$BV46,$CG46,0,$BY46,$BX46,$BZ46,$AJ46,1,5)*$CB46</f>
        <v>0</v>
      </c>
      <c r="BL46" s="137">
        <f>_xll.xSPRDOPT(BW46,BV46,CG46,0,BY46,BX46,BZ46,AJ46,1,2)*CB46</f>
        <v>0</v>
      </c>
      <c r="BM46" s="137">
        <f>_xll.xSPRDOPT(BW46,BV46,CG46,0,BY46,BX46,BZ46,AJ46,1,1)*CB46</f>
        <v>0</v>
      </c>
      <c r="BN46" s="137">
        <f>IF(AH46&lt;&gt;0,_xll.xSPRDOPT($BW46,$BV46,$CG46,2*LN(1+CA46/2),$BY46,$BX46,$BZ46,$AJ46,1,8)+(AJ46/365.25)*CH46/AH46,0)</f>
        <v>0</v>
      </c>
      <c r="BO46" s="137">
        <f>_xll.xSPRDOPT($BW46,$BV46,$CG46,0,$BY46,$BX46,$BZ46,$AJ46,1,0)</f>
        <v>0.98844982808400417</v>
      </c>
      <c r="BP46" s="137"/>
      <c r="BQ46" s="137"/>
      <c r="BR46" s="137"/>
      <c r="BS46" s="137"/>
      <c r="BV46" s="262">
        <v>3.4457831325301203</v>
      </c>
      <c r="BW46" s="136">
        <v>3.4670000000000001</v>
      </c>
      <c r="BX46" s="137">
        <v>0.37</v>
      </c>
      <c r="BY46" s="137">
        <v>0.37</v>
      </c>
      <c r="BZ46" s="137">
        <v>0</v>
      </c>
      <c r="CA46" s="137">
        <v>3.4836153967131397E-2</v>
      </c>
      <c r="CB46" s="137">
        <v>0</v>
      </c>
      <c r="CC46" s="258">
        <v>0</v>
      </c>
      <c r="CD46" s="258">
        <v>0.03</v>
      </c>
      <c r="CE46" s="258">
        <v>6.5000000000000002E-2</v>
      </c>
      <c r="CF46" s="258">
        <v>0</v>
      </c>
      <c r="CG46" s="258">
        <v>5.9999999999999995E-4</v>
      </c>
      <c r="CH46" s="258">
        <v>0</v>
      </c>
      <c r="CI46" s="258">
        <v>3.4020000000000001</v>
      </c>
      <c r="CJ46" s="258"/>
      <c r="CK46" s="258"/>
      <c r="CL46" s="258"/>
      <c r="CM46" s="258"/>
    </row>
    <row r="47" spans="1:91" x14ac:dyDescent="0.25">
      <c r="A47" s="723"/>
      <c r="B47" s="723"/>
      <c r="D47" s="31">
        <f t="shared" si="41"/>
        <v>37940</v>
      </c>
      <c r="F47" s="28">
        <f t="shared" si="12"/>
        <v>27600</v>
      </c>
      <c r="G47" s="28">
        <f t="shared" si="13"/>
        <v>0</v>
      </c>
      <c r="H47" s="52">
        <f t="shared" si="14"/>
        <v>3.4457831325301203</v>
      </c>
      <c r="I47" s="52">
        <f t="shared" si="15"/>
        <v>3.4670000000000001</v>
      </c>
      <c r="K47" s="52">
        <f t="shared" si="42"/>
        <v>0</v>
      </c>
      <c r="L47" s="135">
        <f t="shared" si="43"/>
        <v>0</v>
      </c>
      <c r="N47" s="131">
        <f t="shared" si="44"/>
        <v>0.37</v>
      </c>
      <c r="O47" s="131">
        <f t="shared" si="45"/>
        <v>0.37</v>
      </c>
      <c r="P47" s="55">
        <f t="shared" si="46"/>
        <v>0</v>
      </c>
      <c r="Q47" s="135">
        <f>_xll.xSPRDOPT(I47,H47,AQ47,0,O47,N47,P47,D47-$G$5,1,0)*AH47*AU47</f>
        <v>0</v>
      </c>
      <c r="R47" s="135"/>
      <c r="S47" s="181">
        <f>_xll.xSPRDOPT(I47,H47,AQ47,AT47,O47,N47,P47,D47-$G$5,1,2)*AF47*(F47/(1-AR47))*AH47</f>
        <v>0</v>
      </c>
      <c r="T47" s="181">
        <f>_xll.xSPRDOPT(I47,H47,AQ47,AT47,O47,N47,P47,D47-$G$5,1,1)*AF47*F47*AH47</f>
        <v>0</v>
      </c>
      <c r="U47" s="135"/>
      <c r="V47" s="146">
        <f t="shared" si="16"/>
        <v>0</v>
      </c>
      <c r="W47" s="146"/>
      <c r="X47" s="338">
        <f t="shared" si="17"/>
        <v>0</v>
      </c>
      <c r="Y47" s="338">
        <f t="shared" si="18"/>
        <v>0</v>
      </c>
      <c r="Z47" s="338">
        <f t="shared" si="19"/>
        <v>0</v>
      </c>
      <c r="AA47" s="338">
        <f t="shared" si="20"/>
        <v>0</v>
      </c>
      <c r="AB47" s="338">
        <f t="shared" si="21"/>
        <v>0</v>
      </c>
      <c r="AC47" s="338">
        <f t="shared" si="22"/>
        <v>0</v>
      </c>
      <c r="AF47" s="138">
        <f t="shared" si="23"/>
        <v>0</v>
      </c>
      <c r="AG47" s="138">
        <f t="shared" si="24"/>
        <v>11</v>
      </c>
      <c r="AH47" s="138">
        <f t="shared" si="25"/>
        <v>0</v>
      </c>
      <c r="AI47" s="138">
        <f t="shared" si="47"/>
        <v>684</v>
      </c>
      <c r="AJ47" s="138">
        <f t="shared" si="26"/>
        <v>701</v>
      </c>
      <c r="AL47" s="136">
        <f t="shared" si="27"/>
        <v>3.4020000000000001</v>
      </c>
      <c r="AM47" s="258">
        <f t="shared" si="48"/>
        <v>0</v>
      </c>
      <c r="AN47" s="258">
        <f t="shared" si="28"/>
        <v>0.03</v>
      </c>
      <c r="AO47" s="258">
        <f t="shared" si="29"/>
        <v>6.5000000000000002E-2</v>
      </c>
      <c r="AP47" s="258">
        <f t="shared" si="30"/>
        <v>0</v>
      </c>
      <c r="AQ47" s="136">
        <f t="shared" si="31"/>
        <v>5.9999999999999995E-4</v>
      </c>
      <c r="AR47" s="137">
        <f t="shared" si="32"/>
        <v>4.0000000000000001E-3</v>
      </c>
      <c r="AS47" s="136">
        <f t="shared" si="49"/>
        <v>3.4319999999999999</v>
      </c>
      <c r="AT47" s="137">
        <f t="shared" si="33"/>
        <v>3.4836153967131397E-2</v>
      </c>
      <c r="AU47" s="137">
        <f t="shared" si="34"/>
        <v>0</v>
      </c>
      <c r="AV47" s="394">
        <f t="shared" si="50"/>
        <v>0</v>
      </c>
      <c r="AW47" s="137">
        <f t="shared" si="35"/>
        <v>0.37</v>
      </c>
      <c r="AX47" s="137">
        <f t="shared" si="36"/>
        <v>0.93</v>
      </c>
      <c r="AY47" s="137">
        <f t="shared" si="37"/>
        <v>0.83</v>
      </c>
      <c r="AZ47" s="137"/>
      <c r="BA47" s="264"/>
      <c r="BB47" s="258">
        <f t="shared" si="38"/>
        <v>0</v>
      </c>
      <c r="BC47" s="258">
        <f t="shared" si="39"/>
        <v>0</v>
      </c>
      <c r="BD47" s="137">
        <f t="shared" si="40"/>
        <v>0</v>
      </c>
      <c r="BE47" s="137">
        <f t="shared" si="40"/>
        <v>0</v>
      </c>
      <c r="BF47" s="137">
        <f>_xll.xSPRDOPT($BW47,$BV47,$CG47,0,$BY47,$BX47,$BZ47,$AJ47,1,4)*$CB47</f>
        <v>0</v>
      </c>
      <c r="BG47" s="137">
        <f>_xll.xSPRDOPT($BW47,$BV47,$CG47,0,$BY47,$BX47,$BZ47,$AJ47,1,3)*$CB47</f>
        <v>0</v>
      </c>
      <c r="BH47" s="137">
        <f>IF(OR(BF47&lt;&gt;0,BG47&lt;&gt;0),_xll.xSPRDOPT($BW47,$BV47,$CG47,0,$BY47,$BX47,$BZ47,$AJ47,1,12)*$CB47,0)</f>
        <v>0</v>
      </c>
      <c r="BI47" s="137">
        <f>_xll.xSPRDOPT($BW47,$BV47,$CG47,2*LN(1+CA47/2),$BY47,$BX47,$BZ47,$AJ47,1,9)</f>
        <v>-0.1962573973095959</v>
      </c>
      <c r="BJ47" s="137">
        <f>_xll.xSPRDOPT($BW47,$BV47,$CG47,0,$BY47,$BX47,$BZ47,$AJ47,1,6)*$CB47</f>
        <v>0</v>
      </c>
      <c r="BK47" s="137">
        <f>_xll.xSPRDOPT($BW47,$BV47,$CG47,0,$BY47,$BX47,$BZ47,$AJ47,1,5)*$CB47</f>
        <v>0</v>
      </c>
      <c r="BL47" s="137">
        <f>_xll.xSPRDOPT(BW47,BV47,CG47,0,BY47,BX47,BZ47,AJ47,1,2)*CB47</f>
        <v>0</v>
      </c>
      <c r="BM47" s="137">
        <f>_xll.xSPRDOPT(BW47,BV47,CG47,0,BY47,BX47,BZ47,AJ47,1,1)*CB47</f>
        <v>0</v>
      </c>
      <c r="BN47" s="137">
        <f>IF(AH47&lt;&gt;0,_xll.xSPRDOPT($BW47,$BV47,$CG47,2*LN(1+CA47/2),$BY47,$BX47,$BZ47,$AJ47,1,8)+(AJ47/365.25)*CH47/AH47,0)</f>
        <v>0</v>
      </c>
      <c r="BO47" s="137">
        <f>_xll.xSPRDOPT($BW47,$BV47,$CG47,0,$BY47,$BX47,$BZ47,$AJ47,1,0)</f>
        <v>0.98844982808400417</v>
      </c>
      <c r="BP47" s="137"/>
      <c r="BQ47" s="137"/>
      <c r="BR47" s="137"/>
      <c r="BS47" s="137"/>
      <c r="BV47" s="262">
        <v>3.4457831325301203</v>
      </c>
      <c r="BW47" s="136">
        <v>3.4670000000000001</v>
      </c>
      <c r="BX47" s="137">
        <v>0.37</v>
      </c>
      <c r="BY47" s="137">
        <v>0.37</v>
      </c>
      <c r="BZ47" s="137">
        <v>0</v>
      </c>
      <c r="CA47" s="137">
        <v>3.4836153967131397E-2</v>
      </c>
      <c r="CB47" s="137">
        <v>0</v>
      </c>
      <c r="CC47" s="258">
        <v>0</v>
      </c>
      <c r="CD47" s="258">
        <v>0.03</v>
      </c>
      <c r="CE47" s="258">
        <v>6.5000000000000002E-2</v>
      </c>
      <c r="CF47" s="258">
        <v>0</v>
      </c>
      <c r="CG47" s="258">
        <v>5.9999999999999995E-4</v>
      </c>
      <c r="CH47" s="258">
        <v>0</v>
      </c>
      <c r="CI47" s="258">
        <v>3.4020000000000001</v>
      </c>
      <c r="CJ47" s="258"/>
      <c r="CK47" s="258"/>
      <c r="CL47" s="258"/>
      <c r="CM47" s="258"/>
    </row>
    <row r="48" spans="1:91" x14ac:dyDescent="0.25">
      <c r="A48" s="723"/>
      <c r="B48" s="723"/>
      <c r="D48" s="31">
        <f t="shared" si="41"/>
        <v>37940</v>
      </c>
      <c r="F48" s="28">
        <f t="shared" si="12"/>
        <v>27600</v>
      </c>
      <c r="G48" s="28">
        <f t="shared" si="13"/>
        <v>0</v>
      </c>
      <c r="H48" s="52">
        <f t="shared" si="14"/>
        <v>3.4457831325301203</v>
      </c>
      <c r="I48" s="52">
        <f t="shared" si="15"/>
        <v>3.4670000000000001</v>
      </c>
      <c r="K48" s="52">
        <f t="shared" si="42"/>
        <v>0</v>
      </c>
      <c r="L48" s="135">
        <f t="shared" si="43"/>
        <v>0</v>
      </c>
      <c r="N48" s="131">
        <f t="shared" si="44"/>
        <v>0.37</v>
      </c>
      <c r="O48" s="131">
        <f t="shared" si="45"/>
        <v>0.37</v>
      </c>
      <c r="P48" s="55">
        <f t="shared" si="46"/>
        <v>0</v>
      </c>
      <c r="Q48" s="135">
        <f>_xll.xSPRDOPT(I48,H48,AQ48,0,O48,N48,P48,D48-$G$5,1,0)*AH48*AU48</f>
        <v>0</v>
      </c>
      <c r="R48" s="135"/>
      <c r="S48" s="181">
        <f>_xll.xSPRDOPT(I48,H48,AQ48,AT48,O48,N48,P48,D48-$G$5,1,2)*AF48*(F48/(1-AR48))*AH48</f>
        <v>0</v>
      </c>
      <c r="T48" s="181">
        <f>_xll.xSPRDOPT(I48,H48,AQ48,AT48,O48,N48,P48,D48-$G$5,1,1)*AF48*F48*AH48</f>
        <v>0</v>
      </c>
      <c r="U48" s="135"/>
      <c r="V48" s="146">
        <f t="shared" si="16"/>
        <v>0</v>
      </c>
      <c r="W48" s="146"/>
      <c r="X48" s="338">
        <f t="shared" si="17"/>
        <v>0</v>
      </c>
      <c r="Y48" s="338">
        <f t="shared" si="18"/>
        <v>0</v>
      </c>
      <c r="Z48" s="338">
        <f t="shared" si="19"/>
        <v>0</v>
      </c>
      <c r="AA48" s="338">
        <f t="shared" si="20"/>
        <v>0</v>
      </c>
      <c r="AB48" s="338">
        <f t="shared" si="21"/>
        <v>0</v>
      </c>
      <c r="AC48" s="338">
        <f t="shared" si="22"/>
        <v>0</v>
      </c>
      <c r="AF48" s="138">
        <f t="shared" si="23"/>
        <v>0</v>
      </c>
      <c r="AG48" s="138">
        <f t="shared" si="24"/>
        <v>11</v>
      </c>
      <c r="AH48" s="138">
        <f t="shared" si="25"/>
        <v>0</v>
      </c>
      <c r="AI48" s="138">
        <f t="shared" si="47"/>
        <v>684</v>
      </c>
      <c r="AJ48" s="138">
        <f t="shared" si="26"/>
        <v>701</v>
      </c>
      <c r="AL48" s="136">
        <f t="shared" si="27"/>
        <v>3.4020000000000001</v>
      </c>
      <c r="AM48" s="258">
        <f t="shared" si="48"/>
        <v>0</v>
      </c>
      <c r="AN48" s="258">
        <f t="shared" si="28"/>
        <v>0.03</v>
      </c>
      <c r="AO48" s="258">
        <f t="shared" si="29"/>
        <v>6.5000000000000002E-2</v>
      </c>
      <c r="AP48" s="258">
        <f t="shared" si="30"/>
        <v>0</v>
      </c>
      <c r="AQ48" s="136">
        <f t="shared" si="31"/>
        <v>5.9999999999999995E-4</v>
      </c>
      <c r="AR48" s="137">
        <f t="shared" si="32"/>
        <v>4.0000000000000001E-3</v>
      </c>
      <c r="AS48" s="136">
        <f t="shared" si="49"/>
        <v>3.4319999999999999</v>
      </c>
      <c r="AT48" s="137">
        <f t="shared" si="33"/>
        <v>3.4836153967131397E-2</v>
      </c>
      <c r="AU48" s="137">
        <f t="shared" si="34"/>
        <v>0</v>
      </c>
      <c r="AV48" s="394">
        <f t="shared" si="50"/>
        <v>0</v>
      </c>
      <c r="AW48" s="137">
        <f t="shared" si="35"/>
        <v>0.37</v>
      </c>
      <c r="AX48" s="137">
        <f t="shared" si="36"/>
        <v>0.93</v>
      </c>
      <c r="AY48" s="137">
        <f t="shared" si="37"/>
        <v>0.83</v>
      </c>
      <c r="AZ48" s="137"/>
      <c r="BA48" s="264"/>
      <c r="BB48" s="258">
        <f t="shared" si="38"/>
        <v>0</v>
      </c>
      <c r="BC48" s="258">
        <f t="shared" si="39"/>
        <v>0</v>
      </c>
      <c r="BD48" s="137">
        <f t="shared" si="40"/>
        <v>0</v>
      </c>
      <c r="BE48" s="137">
        <f t="shared" si="40"/>
        <v>0</v>
      </c>
      <c r="BF48" s="137">
        <f>_xll.xSPRDOPT($BW48,$BV48,$CG48,0,$BY48,$BX48,$BZ48,$AJ48,1,4)*$CB48</f>
        <v>0</v>
      </c>
      <c r="BG48" s="137">
        <f>_xll.xSPRDOPT($BW48,$BV48,$CG48,0,$BY48,$BX48,$BZ48,$AJ48,1,3)*$CB48</f>
        <v>0</v>
      </c>
      <c r="BH48" s="137">
        <f>IF(OR(BF48&lt;&gt;0,BG48&lt;&gt;0),_xll.xSPRDOPT($BW48,$BV48,$CG48,0,$BY48,$BX48,$BZ48,$AJ48,1,12)*$CB48,0)</f>
        <v>0</v>
      </c>
      <c r="BI48" s="137">
        <f>_xll.xSPRDOPT($BW48,$BV48,$CG48,2*LN(1+CA48/2),$BY48,$BX48,$BZ48,$AJ48,1,9)</f>
        <v>-0.1962573973095959</v>
      </c>
      <c r="BJ48" s="137">
        <f>_xll.xSPRDOPT($BW48,$BV48,$CG48,0,$BY48,$BX48,$BZ48,$AJ48,1,6)*$CB48</f>
        <v>0</v>
      </c>
      <c r="BK48" s="137">
        <f>_xll.xSPRDOPT($BW48,$BV48,$CG48,0,$BY48,$BX48,$BZ48,$AJ48,1,5)*$CB48</f>
        <v>0</v>
      </c>
      <c r="BL48" s="137">
        <f>_xll.xSPRDOPT(BW48,BV48,CG48,0,BY48,BX48,BZ48,AJ48,1,2)*CB48</f>
        <v>0</v>
      </c>
      <c r="BM48" s="137">
        <f>_xll.xSPRDOPT(BW48,BV48,CG48,0,BY48,BX48,BZ48,AJ48,1,1)*CB48</f>
        <v>0</v>
      </c>
      <c r="BN48" s="137">
        <f>IF(AH48&lt;&gt;0,_xll.xSPRDOPT($BW48,$BV48,$CG48,2*LN(1+CA48/2),$BY48,$BX48,$BZ48,$AJ48,1,8)+(AJ48/365.25)*CH48/AH48,0)</f>
        <v>0</v>
      </c>
      <c r="BO48" s="137">
        <f>_xll.xSPRDOPT($BW48,$BV48,$CG48,0,$BY48,$BX48,$BZ48,$AJ48,1,0)</f>
        <v>0.98844982808400417</v>
      </c>
      <c r="BP48" s="137"/>
      <c r="BQ48" s="137"/>
      <c r="BR48" s="137"/>
      <c r="BS48" s="137"/>
      <c r="BV48" s="262">
        <v>3.4457831325301203</v>
      </c>
      <c r="BW48" s="136">
        <v>3.4670000000000001</v>
      </c>
      <c r="BX48" s="137">
        <v>0.37</v>
      </c>
      <c r="BY48" s="137">
        <v>0.37</v>
      </c>
      <c r="BZ48" s="137">
        <v>0</v>
      </c>
      <c r="CA48" s="137">
        <v>3.4836153967131397E-2</v>
      </c>
      <c r="CB48" s="137">
        <v>0</v>
      </c>
      <c r="CC48" s="258">
        <v>0</v>
      </c>
      <c r="CD48" s="258">
        <v>0.03</v>
      </c>
      <c r="CE48" s="258">
        <v>6.5000000000000002E-2</v>
      </c>
      <c r="CF48" s="258">
        <v>0</v>
      </c>
      <c r="CG48" s="258">
        <v>5.9999999999999995E-4</v>
      </c>
      <c r="CH48" s="258">
        <v>0</v>
      </c>
      <c r="CI48" s="258">
        <v>3.4020000000000001</v>
      </c>
      <c r="CJ48" s="258"/>
      <c r="CK48" s="258"/>
      <c r="CL48" s="258"/>
      <c r="CM48" s="258"/>
    </row>
    <row r="49" spans="1:91" x14ac:dyDescent="0.25">
      <c r="A49" s="723"/>
      <c r="B49" s="723"/>
      <c r="D49" s="31">
        <f t="shared" si="41"/>
        <v>37940</v>
      </c>
      <c r="F49" s="28">
        <f t="shared" si="12"/>
        <v>27600</v>
      </c>
      <c r="G49" s="28">
        <f t="shared" si="13"/>
        <v>0</v>
      </c>
      <c r="H49" s="52">
        <f t="shared" si="14"/>
        <v>3.4457831325301203</v>
      </c>
      <c r="I49" s="52">
        <f t="shared" si="15"/>
        <v>3.4670000000000001</v>
      </c>
      <c r="K49" s="52">
        <f t="shared" si="42"/>
        <v>0</v>
      </c>
      <c r="L49" s="135">
        <f t="shared" si="43"/>
        <v>0</v>
      </c>
      <c r="N49" s="131">
        <f t="shared" si="44"/>
        <v>0.37</v>
      </c>
      <c r="O49" s="131">
        <f t="shared" si="45"/>
        <v>0.37</v>
      </c>
      <c r="P49" s="55">
        <f t="shared" si="46"/>
        <v>0</v>
      </c>
      <c r="Q49" s="135">
        <f>_xll.xSPRDOPT(I49,H49,AQ49,0,O49,N49,P49,D49-$G$5,1,0)*AH49*AU49</f>
        <v>0</v>
      </c>
      <c r="R49" s="135"/>
      <c r="S49" s="181">
        <f>_xll.xSPRDOPT(I49,H49,AQ49,AT49,O49,N49,P49,D49-$G$5,1,2)*AF49*(F49/(1-AR49))*AH49</f>
        <v>0</v>
      </c>
      <c r="T49" s="181">
        <f>_xll.xSPRDOPT(I49,H49,AQ49,AT49,O49,N49,P49,D49-$G$5,1,1)*AF49*F49*AH49</f>
        <v>0</v>
      </c>
      <c r="U49" s="135"/>
      <c r="V49" s="146">
        <f t="shared" si="16"/>
        <v>0</v>
      </c>
      <c r="W49" s="146"/>
      <c r="X49" s="338">
        <f t="shared" si="17"/>
        <v>0</v>
      </c>
      <c r="Y49" s="338">
        <f t="shared" si="18"/>
        <v>0</v>
      </c>
      <c r="Z49" s="338">
        <f t="shared" si="19"/>
        <v>0</v>
      </c>
      <c r="AA49" s="338">
        <f t="shared" si="20"/>
        <v>0</v>
      </c>
      <c r="AB49" s="338">
        <f t="shared" si="21"/>
        <v>0</v>
      </c>
      <c r="AC49" s="338">
        <f t="shared" si="22"/>
        <v>0</v>
      </c>
      <c r="AF49" s="138">
        <f t="shared" si="23"/>
        <v>0</v>
      </c>
      <c r="AG49" s="138">
        <f t="shared" si="24"/>
        <v>11</v>
      </c>
      <c r="AH49" s="138">
        <f t="shared" si="25"/>
        <v>0</v>
      </c>
      <c r="AI49" s="138">
        <f t="shared" si="47"/>
        <v>684</v>
      </c>
      <c r="AJ49" s="138">
        <f t="shared" si="26"/>
        <v>701</v>
      </c>
      <c r="AL49" s="136">
        <f t="shared" si="27"/>
        <v>3.4020000000000001</v>
      </c>
      <c r="AM49" s="258">
        <f t="shared" si="48"/>
        <v>0</v>
      </c>
      <c r="AN49" s="258">
        <f t="shared" si="28"/>
        <v>0.03</v>
      </c>
      <c r="AO49" s="258">
        <f t="shared" si="29"/>
        <v>6.5000000000000002E-2</v>
      </c>
      <c r="AP49" s="258">
        <f t="shared" si="30"/>
        <v>0</v>
      </c>
      <c r="AQ49" s="136">
        <f t="shared" si="31"/>
        <v>5.9999999999999995E-4</v>
      </c>
      <c r="AR49" s="137">
        <f t="shared" si="32"/>
        <v>4.0000000000000001E-3</v>
      </c>
      <c r="AS49" s="136">
        <f t="shared" si="49"/>
        <v>3.4319999999999999</v>
      </c>
      <c r="AT49" s="137">
        <f t="shared" si="33"/>
        <v>3.4836153967131397E-2</v>
      </c>
      <c r="AU49" s="137">
        <f t="shared" si="34"/>
        <v>0</v>
      </c>
      <c r="AV49" s="394">
        <f t="shared" si="50"/>
        <v>0</v>
      </c>
      <c r="AW49" s="137">
        <f t="shared" si="35"/>
        <v>0.37</v>
      </c>
      <c r="AX49" s="137">
        <f t="shared" si="36"/>
        <v>0.93</v>
      </c>
      <c r="AY49" s="137">
        <f t="shared" si="37"/>
        <v>0.83</v>
      </c>
      <c r="AZ49" s="137"/>
      <c r="BA49" s="264"/>
      <c r="BB49" s="258">
        <f t="shared" si="38"/>
        <v>0</v>
      </c>
      <c r="BC49" s="258">
        <f t="shared" si="39"/>
        <v>0</v>
      </c>
      <c r="BD49" s="137">
        <f t="shared" si="40"/>
        <v>0</v>
      </c>
      <c r="BE49" s="137">
        <f t="shared" si="40"/>
        <v>0</v>
      </c>
      <c r="BF49" s="137">
        <f>_xll.xSPRDOPT($BW49,$BV49,$CG49,0,$BY49,$BX49,$BZ49,$AJ49,1,4)*$CB49</f>
        <v>0</v>
      </c>
      <c r="BG49" s="137">
        <f>_xll.xSPRDOPT($BW49,$BV49,$CG49,0,$BY49,$BX49,$BZ49,$AJ49,1,3)*$CB49</f>
        <v>0</v>
      </c>
      <c r="BH49" s="137">
        <f>IF(OR(BF49&lt;&gt;0,BG49&lt;&gt;0),_xll.xSPRDOPT($BW49,$BV49,$CG49,0,$BY49,$BX49,$BZ49,$AJ49,1,12)*$CB49,0)</f>
        <v>0</v>
      </c>
      <c r="BI49" s="137">
        <f>_xll.xSPRDOPT($BW49,$BV49,$CG49,2*LN(1+CA49/2),$BY49,$BX49,$BZ49,$AJ49,1,9)</f>
        <v>-0.1962573973095959</v>
      </c>
      <c r="BJ49" s="137">
        <f>_xll.xSPRDOPT($BW49,$BV49,$CG49,0,$BY49,$BX49,$BZ49,$AJ49,1,6)*$CB49</f>
        <v>0</v>
      </c>
      <c r="BK49" s="137">
        <f>_xll.xSPRDOPT($BW49,$BV49,$CG49,0,$BY49,$BX49,$BZ49,$AJ49,1,5)*$CB49</f>
        <v>0</v>
      </c>
      <c r="BL49" s="137">
        <f>_xll.xSPRDOPT(BW49,BV49,CG49,0,BY49,BX49,BZ49,AJ49,1,2)*CB49</f>
        <v>0</v>
      </c>
      <c r="BM49" s="137">
        <f>_xll.xSPRDOPT(BW49,BV49,CG49,0,BY49,BX49,BZ49,AJ49,1,1)*CB49</f>
        <v>0</v>
      </c>
      <c r="BN49" s="137">
        <f>IF(AH49&lt;&gt;0,_xll.xSPRDOPT($BW49,$BV49,$CG49,2*LN(1+CA49/2),$BY49,$BX49,$BZ49,$AJ49,1,8)+(AJ49/365.25)*CH49/AH49,0)</f>
        <v>0</v>
      </c>
      <c r="BO49" s="137">
        <f>_xll.xSPRDOPT($BW49,$BV49,$CG49,0,$BY49,$BX49,$BZ49,$AJ49,1,0)</f>
        <v>0.98844982808400417</v>
      </c>
      <c r="BP49" s="137"/>
      <c r="BQ49" s="137"/>
      <c r="BR49" s="137"/>
      <c r="BS49" s="137"/>
      <c r="BV49" s="262">
        <v>3.4457831325301203</v>
      </c>
      <c r="BW49" s="136">
        <v>3.4670000000000001</v>
      </c>
      <c r="BX49" s="137">
        <v>0.37</v>
      </c>
      <c r="BY49" s="137">
        <v>0.37</v>
      </c>
      <c r="BZ49" s="137">
        <v>0</v>
      </c>
      <c r="CA49" s="137">
        <v>3.4836153967131397E-2</v>
      </c>
      <c r="CB49" s="137">
        <v>0</v>
      </c>
      <c r="CC49" s="258">
        <v>0</v>
      </c>
      <c r="CD49" s="258">
        <v>0.03</v>
      </c>
      <c r="CE49" s="258">
        <v>6.5000000000000002E-2</v>
      </c>
      <c r="CF49" s="258">
        <v>0</v>
      </c>
      <c r="CG49" s="258">
        <v>5.9999999999999995E-4</v>
      </c>
      <c r="CH49" s="258">
        <v>0</v>
      </c>
      <c r="CI49" s="258">
        <v>3.4020000000000001</v>
      </c>
      <c r="CJ49" s="258"/>
      <c r="CK49" s="258"/>
      <c r="CL49" s="258"/>
      <c r="CM49" s="258"/>
    </row>
    <row r="50" spans="1:91" x14ac:dyDescent="0.25">
      <c r="A50" s="723"/>
      <c r="B50" s="723"/>
      <c r="D50" s="31">
        <f t="shared" si="41"/>
        <v>37940</v>
      </c>
      <c r="F50" s="28">
        <f t="shared" si="12"/>
        <v>27600</v>
      </c>
      <c r="G50" s="28">
        <f t="shared" si="13"/>
        <v>0</v>
      </c>
      <c r="H50" s="52">
        <f t="shared" si="14"/>
        <v>3.4457831325301203</v>
      </c>
      <c r="I50" s="52">
        <f t="shared" si="15"/>
        <v>3.4670000000000001</v>
      </c>
      <c r="K50" s="52">
        <f t="shared" si="42"/>
        <v>0</v>
      </c>
      <c r="L50" s="135">
        <f t="shared" si="43"/>
        <v>0</v>
      </c>
      <c r="N50" s="131">
        <f t="shared" si="44"/>
        <v>0.37</v>
      </c>
      <c r="O50" s="131">
        <f t="shared" si="45"/>
        <v>0.37</v>
      </c>
      <c r="P50" s="55">
        <f t="shared" si="46"/>
        <v>0</v>
      </c>
      <c r="Q50" s="135">
        <f>_xll.xSPRDOPT(I50,H50,AQ50,0,O50,N50,P50,D50-$G$5,1,0)*AH50*AU50</f>
        <v>0</v>
      </c>
      <c r="R50" s="135"/>
      <c r="S50" s="181">
        <f>_xll.xSPRDOPT(I50,H50,AQ50,AT50,O50,N50,P50,D50-$G$5,1,2)*AF50*(F50/(1-AR50))*AH50</f>
        <v>0</v>
      </c>
      <c r="T50" s="181">
        <f>_xll.xSPRDOPT(I50,H50,AQ50,AT50,O50,N50,P50,D50-$G$5,1,1)*AF50*F50*AH50</f>
        <v>0</v>
      </c>
      <c r="U50" s="135"/>
      <c r="V50" s="146">
        <f t="shared" si="16"/>
        <v>0</v>
      </c>
      <c r="W50" s="146"/>
      <c r="X50" s="338">
        <f t="shared" si="17"/>
        <v>0</v>
      </c>
      <c r="Y50" s="338">
        <f t="shared" si="18"/>
        <v>0</v>
      </c>
      <c r="Z50" s="338">
        <f t="shared" si="19"/>
        <v>0</v>
      </c>
      <c r="AA50" s="338">
        <f t="shared" si="20"/>
        <v>0</v>
      </c>
      <c r="AB50" s="338">
        <f t="shared" si="21"/>
        <v>0</v>
      </c>
      <c r="AC50" s="338">
        <f t="shared" si="22"/>
        <v>0</v>
      </c>
      <c r="AF50" s="138">
        <f t="shared" si="23"/>
        <v>0</v>
      </c>
      <c r="AG50" s="138">
        <f t="shared" si="24"/>
        <v>11</v>
      </c>
      <c r="AH50" s="138">
        <f t="shared" si="25"/>
        <v>0</v>
      </c>
      <c r="AI50" s="138">
        <f t="shared" si="47"/>
        <v>684</v>
      </c>
      <c r="AJ50" s="138">
        <f t="shared" si="26"/>
        <v>701</v>
      </c>
      <c r="AL50" s="136">
        <f t="shared" si="27"/>
        <v>3.4020000000000001</v>
      </c>
      <c r="AM50" s="258">
        <f t="shared" si="48"/>
        <v>0</v>
      </c>
      <c r="AN50" s="258">
        <f t="shared" si="28"/>
        <v>0.03</v>
      </c>
      <c r="AO50" s="258">
        <f t="shared" si="29"/>
        <v>6.5000000000000002E-2</v>
      </c>
      <c r="AP50" s="258">
        <f t="shared" si="30"/>
        <v>0</v>
      </c>
      <c r="AQ50" s="136">
        <f t="shared" si="31"/>
        <v>5.9999999999999995E-4</v>
      </c>
      <c r="AR50" s="137">
        <f t="shared" si="32"/>
        <v>4.0000000000000001E-3</v>
      </c>
      <c r="AS50" s="136">
        <f t="shared" si="49"/>
        <v>3.4319999999999999</v>
      </c>
      <c r="AT50" s="137">
        <f t="shared" si="33"/>
        <v>3.4836153967131397E-2</v>
      </c>
      <c r="AU50" s="137">
        <f t="shared" si="34"/>
        <v>0</v>
      </c>
      <c r="AV50" s="394">
        <f t="shared" si="50"/>
        <v>0</v>
      </c>
      <c r="AW50" s="137">
        <f t="shared" si="35"/>
        <v>0.37</v>
      </c>
      <c r="AX50" s="137">
        <f t="shared" si="36"/>
        <v>0.93</v>
      </c>
      <c r="AY50" s="137">
        <f t="shared" si="37"/>
        <v>0.83</v>
      </c>
      <c r="AZ50" s="137"/>
      <c r="BA50" s="264"/>
      <c r="BB50" s="258">
        <f t="shared" si="38"/>
        <v>0</v>
      </c>
      <c r="BC50" s="258">
        <f t="shared" si="39"/>
        <v>0</v>
      </c>
      <c r="BD50" s="137">
        <f t="shared" si="40"/>
        <v>0</v>
      </c>
      <c r="BE50" s="137">
        <f t="shared" si="40"/>
        <v>0</v>
      </c>
      <c r="BF50" s="137">
        <f>_xll.xSPRDOPT($BW50,$BV50,$CG50,0,$BY50,$BX50,$BZ50,$AJ50,1,4)*$CB50</f>
        <v>0</v>
      </c>
      <c r="BG50" s="137">
        <f>_xll.xSPRDOPT($BW50,$BV50,$CG50,0,$BY50,$BX50,$BZ50,$AJ50,1,3)*$CB50</f>
        <v>0</v>
      </c>
      <c r="BH50" s="137">
        <f>IF(OR(BF50&lt;&gt;0,BG50&lt;&gt;0),_xll.xSPRDOPT($BW50,$BV50,$CG50,0,$BY50,$BX50,$BZ50,$AJ50,1,12)*$CB50,0)</f>
        <v>0</v>
      </c>
      <c r="BI50" s="137">
        <f>_xll.xSPRDOPT($BW50,$BV50,$CG50,2*LN(1+CA50/2),$BY50,$BX50,$BZ50,$AJ50,1,9)</f>
        <v>-0.1962573973095959</v>
      </c>
      <c r="BJ50" s="137">
        <f>_xll.xSPRDOPT($BW50,$BV50,$CG50,0,$BY50,$BX50,$BZ50,$AJ50,1,6)*$CB50</f>
        <v>0</v>
      </c>
      <c r="BK50" s="137">
        <f>_xll.xSPRDOPT($BW50,$BV50,$CG50,0,$BY50,$BX50,$BZ50,$AJ50,1,5)*$CB50</f>
        <v>0</v>
      </c>
      <c r="BL50" s="137">
        <f>_xll.xSPRDOPT(BW50,BV50,CG50,0,BY50,BX50,BZ50,AJ50,1,2)*CB50</f>
        <v>0</v>
      </c>
      <c r="BM50" s="137">
        <f>_xll.xSPRDOPT(BW50,BV50,CG50,0,BY50,BX50,BZ50,AJ50,1,1)*CB50</f>
        <v>0</v>
      </c>
      <c r="BN50" s="137">
        <f>IF(AH50&lt;&gt;0,_xll.xSPRDOPT($BW50,$BV50,$CG50,2*LN(1+CA50/2),$BY50,$BX50,$BZ50,$AJ50,1,8)+(AJ50/365.25)*CH50/AH50,0)</f>
        <v>0</v>
      </c>
      <c r="BO50" s="137">
        <f>_xll.xSPRDOPT($BW50,$BV50,$CG50,0,$BY50,$BX50,$BZ50,$AJ50,1,0)</f>
        <v>0.98844982808400417</v>
      </c>
      <c r="BP50" s="137"/>
      <c r="BQ50" s="137"/>
      <c r="BR50" s="137"/>
      <c r="BS50" s="137"/>
      <c r="BV50" s="262">
        <v>3.4457831325301203</v>
      </c>
      <c r="BW50" s="136">
        <v>3.4670000000000001</v>
      </c>
      <c r="BX50" s="137">
        <v>0.37</v>
      </c>
      <c r="BY50" s="137">
        <v>0.37</v>
      </c>
      <c r="BZ50" s="137">
        <v>0</v>
      </c>
      <c r="CA50" s="137">
        <v>3.4836153967131397E-2</v>
      </c>
      <c r="CB50" s="137">
        <v>0</v>
      </c>
      <c r="CC50" s="258">
        <v>0</v>
      </c>
      <c r="CD50" s="258">
        <v>0.03</v>
      </c>
      <c r="CE50" s="258">
        <v>6.5000000000000002E-2</v>
      </c>
      <c r="CF50" s="258">
        <v>0</v>
      </c>
      <c r="CG50" s="258">
        <v>5.9999999999999995E-4</v>
      </c>
      <c r="CH50" s="258">
        <v>0</v>
      </c>
      <c r="CI50" s="258">
        <v>3.4020000000000001</v>
      </c>
      <c r="CJ50" s="258"/>
      <c r="CK50" s="258"/>
      <c r="CL50" s="258"/>
      <c r="CM50" s="258"/>
    </row>
    <row r="51" spans="1:91" x14ac:dyDescent="0.25">
      <c r="A51" s="723"/>
      <c r="B51" s="723"/>
      <c r="D51" s="31">
        <f t="shared" si="41"/>
        <v>37940</v>
      </c>
      <c r="F51" s="28">
        <f t="shared" si="12"/>
        <v>27600</v>
      </c>
      <c r="G51" s="28">
        <f t="shared" si="13"/>
        <v>0</v>
      </c>
      <c r="H51" s="52">
        <f t="shared" si="14"/>
        <v>3.4457831325301203</v>
      </c>
      <c r="I51" s="52">
        <f t="shared" si="15"/>
        <v>3.4670000000000001</v>
      </c>
      <c r="K51" s="52">
        <f t="shared" si="42"/>
        <v>0</v>
      </c>
      <c r="L51" s="135">
        <f t="shared" si="43"/>
        <v>0</v>
      </c>
      <c r="N51" s="131">
        <f t="shared" si="44"/>
        <v>0.37</v>
      </c>
      <c r="O51" s="131">
        <f t="shared" si="45"/>
        <v>0.37</v>
      </c>
      <c r="P51" s="55">
        <f t="shared" si="46"/>
        <v>0</v>
      </c>
      <c r="Q51" s="135">
        <f>_xll.xSPRDOPT(I51,H51,AQ51,0,O51,N51,P51,D51-$G$5,1,0)*AH51*AU51</f>
        <v>0</v>
      </c>
      <c r="R51" s="135"/>
      <c r="S51" s="181">
        <f>_xll.xSPRDOPT(I51,H51,AQ51,AT51,O51,N51,P51,D51-$G$5,1,2)*AF51*(F51/(1-AR51))*AH51</f>
        <v>0</v>
      </c>
      <c r="T51" s="181">
        <f>_xll.xSPRDOPT(I51,H51,AQ51,AT51,O51,N51,P51,D51-$G$5,1,1)*AF51*F51*AH51</f>
        <v>0</v>
      </c>
      <c r="U51" s="135"/>
      <c r="V51" s="146">
        <f t="shared" si="16"/>
        <v>0</v>
      </c>
      <c r="W51" s="146"/>
      <c r="X51" s="338">
        <f t="shared" si="17"/>
        <v>0</v>
      </c>
      <c r="Y51" s="338">
        <f t="shared" si="18"/>
        <v>0</v>
      </c>
      <c r="Z51" s="338">
        <f t="shared" si="19"/>
        <v>0</v>
      </c>
      <c r="AA51" s="338">
        <f t="shared" si="20"/>
        <v>0</v>
      </c>
      <c r="AB51" s="338">
        <f t="shared" si="21"/>
        <v>0</v>
      </c>
      <c r="AC51" s="338">
        <f t="shared" si="22"/>
        <v>0</v>
      </c>
      <c r="AF51" s="138">
        <f t="shared" si="23"/>
        <v>0</v>
      </c>
      <c r="AG51" s="138">
        <f t="shared" si="24"/>
        <v>11</v>
      </c>
      <c r="AH51" s="138">
        <f t="shared" si="25"/>
        <v>0</v>
      </c>
      <c r="AI51" s="138">
        <f t="shared" si="47"/>
        <v>684</v>
      </c>
      <c r="AJ51" s="138">
        <f t="shared" si="26"/>
        <v>701</v>
      </c>
      <c r="AL51" s="136">
        <f t="shared" si="27"/>
        <v>3.4020000000000001</v>
      </c>
      <c r="AM51" s="258">
        <f t="shared" si="48"/>
        <v>0</v>
      </c>
      <c r="AN51" s="258">
        <f t="shared" si="28"/>
        <v>0.03</v>
      </c>
      <c r="AO51" s="258">
        <f t="shared" si="29"/>
        <v>6.5000000000000002E-2</v>
      </c>
      <c r="AP51" s="258">
        <f t="shared" si="30"/>
        <v>0</v>
      </c>
      <c r="AQ51" s="136">
        <f t="shared" si="31"/>
        <v>5.9999999999999995E-4</v>
      </c>
      <c r="AR51" s="137">
        <f t="shared" si="32"/>
        <v>4.0000000000000001E-3</v>
      </c>
      <c r="AS51" s="136">
        <f t="shared" si="49"/>
        <v>3.4319999999999999</v>
      </c>
      <c r="AT51" s="137">
        <f t="shared" si="33"/>
        <v>3.4836153967131397E-2</v>
      </c>
      <c r="AU51" s="137">
        <f t="shared" si="34"/>
        <v>0</v>
      </c>
      <c r="AV51" s="394">
        <f t="shared" si="50"/>
        <v>0</v>
      </c>
      <c r="AW51" s="137">
        <f t="shared" si="35"/>
        <v>0.37</v>
      </c>
      <c r="AX51" s="137">
        <f t="shared" si="36"/>
        <v>0.93</v>
      </c>
      <c r="AY51" s="137">
        <f t="shared" si="37"/>
        <v>0.83</v>
      </c>
      <c r="AZ51" s="137"/>
      <c r="BA51" s="264"/>
      <c r="BB51" s="258">
        <f t="shared" si="38"/>
        <v>0</v>
      </c>
      <c r="BC51" s="258">
        <f t="shared" si="39"/>
        <v>0</v>
      </c>
      <c r="BD51" s="137">
        <f t="shared" si="40"/>
        <v>0</v>
      </c>
      <c r="BE51" s="137">
        <f t="shared" si="40"/>
        <v>0</v>
      </c>
      <c r="BF51" s="137">
        <f>_xll.xSPRDOPT($BW51,$BV51,$CG51,0,$BY51,$BX51,$BZ51,$AJ51,1,4)*$CB51</f>
        <v>0</v>
      </c>
      <c r="BG51" s="137">
        <f>_xll.xSPRDOPT($BW51,$BV51,$CG51,0,$BY51,$BX51,$BZ51,$AJ51,1,3)*$CB51</f>
        <v>0</v>
      </c>
      <c r="BH51" s="137">
        <f>IF(OR(BF51&lt;&gt;0,BG51&lt;&gt;0),_xll.xSPRDOPT($BW51,$BV51,$CG51,0,$BY51,$BX51,$BZ51,$AJ51,1,12)*$CB51,0)</f>
        <v>0</v>
      </c>
      <c r="BI51" s="137">
        <f>_xll.xSPRDOPT($BW51,$BV51,$CG51,2*LN(1+CA51/2),$BY51,$BX51,$BZ51,$AJ51,1,9)</f>
        <v>-0.1962573973095959</v>
      </c>
      <c r="BJ51" s="137">
        <f>_xll.xSPRDOPT($BW51,$BV51,$CG51,0,$BY51,$BX51,$BZ51,$AJ51,1,6)*$CB51</f>
        <v>0</v>
      </c>
      <c r="BK51" s="137">
        <f>_xll.xSPRDOPT($BW51,$BV51,$CG51,0,$BY51,$BX51,$BZ51,$AJ51,1,5)*$CB51</f>
        <v>0</v>
      </c>
      <c r="BL51" s="137">
        <f>_xll.xSPRDOPT(BW51,BV51,CG51,0,BY51,BX51,BZ51,AJ51,1,2)*CB51</f>
        <v>0</v>
      </c>
      <c r="BM51" s="137">
        <f>_xll.xSPRDOPT(BW51,BV51,CG51,0,BY51,BX51,BZ51,AJ51,1,1)*CB51</f>
        <v>0</v>
      </c>
      <c r="BN51" s="137">
        <f>IF(AH51&lt;&gt;0,_xll.xSPRDOPT($BW51,$BV51,$CG51,2*LN(1+CA51/2),$BY51,$BX51,$BZ51,$AJ51,1,8)+(AJ51/365.25)*CH51/AH51,0)</f>
        <v>0</v>
      </c>
      <c r="BO51" s="137">
        <f>_xll.xSPRDOPT($BW51,$BV51,$CG51,0,$BY51,$BX51,$BZ51,$AJ51,1,0)</f>
        <v>0.98844982808400417</v>
      </c>
      <c r="BP51" s="137"/>
      <c r="BQ51" s="137"/>
      <c r="BR51" s="137"/>
      <c r="BS51" s="137"/>
      <c r="BV51" s="262">
        <v>3.4457831325301203</v>
      </c>
      <c r="BW51" s="136">
        <v>3.4670000000000001</v>
      </c>
      <c r="BX51" s="137">
        <v>0.37</v>
      </c>
      <c r="BY51" s="137">
        <v>0.37</v>
      </c>
      <c r="BZ51" s="137">
        <v>0</v>
      </c>
      <c r="CA51" s="137">
        <v>3.4836153967131397E-2</v>
      </c>
      <c r="CB51" s="137">
        <v>0</v>
      </c>
      <c r="CC51" s="258">
        <v>0</v>
      </c>
      <c r="CD51" s="258">
        <v>0.03</v>
      </c>
      <c r="CE51" s="258">
        <v>6.5000000000000002E-2</v>
      </c>
      <c r="CF51" s="258">
        <v>0</v>
      </c>
      <c r="CG51" s="258">
        <v>5.9999999999999995E-4</v>
      </c>
      <c r="CH51" s="258">
        <v>0</v>
      </c>
      <c r="CI51" s="258">
        <v>3.4020000000000001</v>
      </c>
      <c r="CJ51" s="258"/>
      <c r="CK51" s="258"/>
      <c r="CL51" s="258"/>
      <c r="CM51" s="258"/>
    </row>
    <row r="52" spans="1:91" x14ac:dyDescent="0.25">
      <c r="A52" s="723"/>
      <c r="B52" s="723"/>
      <c r="D52" s="31">
        <f t="shared" si="41"/>
        <v>37940</v>
      </c>
      <c r="F52" s="28">
        <f t="shared" si="12"/>
        <v>27600</v>
      </c>
      <c r="G52" s="28">
        <f t="shared" si="13"/>
        <v>0</v>
      </c>
      <c r="H52" s="52">
        <f t="shared" si="14"/>
        <v>3.4457831325301203</v>
      </c>
      <c r="I52" s="52">
        <f t="shared" si="15"/>
        <v>3.4670000000000001</v>
      </c>
      <c r="K52" s="52">
        <f t="shared" si="42"/>
        <v>0</v>
      </c>
      <c r="L52" s="135">
        <f t="shared" si="43"/>
        <v>0</v>
      </c>
      <c r="N52" s="131">
        <f t="shared" si="44"/>
        <v>0.37</v>
      </c>
      <c r="O52" s="131">
        <f t="shared" si="45"/>
        <v>0.37</v>
      </c>
      <c r="P52" s="55">
        <f t="shared" si="46"/>
        <v>0</v>
      </c>
      <c r="Q52" s="135">
        <f>_xll.xSPRDOPT(I52,H52,AQ52,0,O52,N52,P52,D52-$G$5,1,0)*AH52*AU52</f>
        <v>0</v>
      </c>
      <c r="R52" s="135"/>
      <c r="S52" s="181">
        <f>_xll.xSPRDOPT(I52,H52,AQ52,AT52,O52,N52,P52,D52-$G$5,1,2)*AF52*(F52/(1-AR52))*AH52</f>
        <v>0</v>
      </c>
      <c r="T52" s="181">
        <f>_xll.xSPRDOPT(I52,H52,AQ52,AT52,O52,N52,P52,D52-$G$5,1,1)*AF52*F52*AH52</f>
        <v>0</v>
      </c>
      <c r="U52" s="135"/>
      <c r="V52" s="146">
        <f t="shared" si="16"/>
        <v>0</v>
      </c>
      <c r="W52" s="146"/>
      <c r="X52" s="338">
        <f t="shared" si="17"/>
        <v>0</v>
      </c>
      <c r="Y52" s="338">
        <f t="shared" si="18"/>
        <v>0</v>
      </c>
      <c r="Z52" s="338">
        <f t="shared" si="19"/>
        <v>0</v>
      </c>
      <c r="AA52" s="338">
        <f t="shared" si="20"/>
        <v>0</v>
      </c>
      <c r="AB52" s="338">
        <f t="shared" si="21"/>
        <v>0</v>
      </c>
      <c r="AC52" s="338">
        <f t="shared" si="22"/>
        <v>0</v>
      </c>
      <c r="AF52" s="138">
        <f t="shared" si="23"/>
        <v>0</v>
      </c>
      <c r="AG52" s="138">
        <f t="shared" si="24"/>
        <v>11</v>
      </c>
      <c r="AH52" s="138">
        <f t="shared" si="25"/>
        <v>0</v>
      </c>
      <c r="AI52" s="138">
        <f t="shared" si="47"/>
        <v>684</v>
      </c>
      <c r="AJ52" s="138">
        <f t="shared" si="26"/>
        <v>701</v>
      </c>
      <c r="AL52" s="136">
        <f t="shared" si="27"/>
        <v>3.4020000000000001</v>
      </c>
      <c r="AM52" s="258">
        <f t="shared" si="48"/>
        <v>0</v>
      </c>
      <c r="AN52" s="258">
        <f t="shared" si="28"/>
        <v>0.03</v>
      </c>
      <c r="AO52" s="258">
        <f t="shared" si="29"/>
        <v>6.5000000000000002E-2</v>
      </c>
      <c r="AP52" s="258">
        <f t="shared" si="30"/>
        <v>0</v>
      </c>
      <c r="AQ52" s="136">
        <f t="shared" si="31"/>
        <v>5.9999999999999995E-4</v>
      </c>
      <c r="AR52" s="137">
        <f t="shared" si="32"/>
        <v>4.0000000000000001E-3</v>
      </c>
      <c r="AS52" s="136">
        <f t="shared" si="49"/>
        <v>3.4319999999999999</v>
      </c>
      <c r="AT52" s="137">
        <f t="shared" si="33"/>
        <v>3.4836153967131397E-2</v>
      </c>
      <c r="AU52" s="137">
        <f t="shared" si="34"/>
        <v>0</v>
      </c>
      <c r="AV52" s="394">
        <f t="shared" si="50"/>
        <v>0</v>
      </c>
      <c r="AW52" s="137">
        <f t="shared" si="35"/>
        <v>0.37</v>
      </c>
      <c r="AX52" s="137">
        <f t="shared" si="36"/>
        <v>0.93</v>
      </c>
      <c r="AY52" s="137">
        <f t="shared" si="37"/>
        <v>0.83</v>
      </c>
      <c r="AZ52" s="137"/>
      <c r="BA52" s="264"/>
      <c r="BB52" s="258">
        <f t="shared" si="38"/>
        <v>0</v>
      </c>
      <c r="BC52" s="258">
        <f t="shared" si="39"/>
        <v>0</v>
      </c>
      <c r="BD52" s="137">
        <f t="shared" si="40"/>
        <v>0</v>
      </c>
      <c r="BE52" s="137">
        <f t="shared" si="40"/>
        <v>0</v>
      </c>
      <c r="BF52" s="137">
        <f>_xll.xSPRDOPT($BW52,$BV52,$CG52,0,$BY52,$BX52,$BZ52,$AJ52,1,4)*$CB52</f>
        <v>0</v>
      </c>
      <c r="BG52" s="137">
        <f>_xll.xSPRDOPT($BW52,$BV52,$CG52,0,$BY52,$BX52,$BZ52,$AJ52,1,3)*$CB52</f>
        <v>0</v>
      </c>
      <c r="BH52" s="137">
        <f>IF(OR(BF52&lt;&gt;0,BG52&lt;&gt;0),_xll.xSPRDOPT($BW52,$BV52,$CG52,0,$BY52,$BX52,$BZ52,$AJ52,1,12)*$CB52,0)</f>
        <v>0</v>
      </c>
      <c r="BI52" s="137">
        <f>_xll.xSPRDOPT($BW52,$BV52,$CG52,2*LN(1+CA52/2),$BY52,$BX52,$BZ52,$AJ52,1,9)</f>
        <v>-0.1962573973095959</v>
      </c>
      <c r="BJ52" s="137">
        <f>_xll.xSPRDOPT($BW52,$BV52,$CG52,0,$BY52,$BX52,$BZ52,$AJ52,1,6)*$CB52</f>
        <v>0</v>
      </c>
      <c r="BK52" s="137">
        <f>_xll.xSPRDOPT($BW52,$BV52,$CG52,0,$BY52,$BX52,$BZ52,$AJ52,1,5)*$CB52</f>
        <v>0</v>
      </c>
      <c r="BL52" s="137">
        <f>_xll.xSPRDOPT(BW52,BV52,CG52,0,BY52,BX52,BZ52,AJ52,1,2)*CB52</f>
        <v>0</v>
      </c>
      <c r="BM52" s="137">
        <f>_xll.xSPRDOPT(BW52,BV52,CG52,0,BY52,BX52,BZ52,AJ52,1,1)*CB52</f>
        <v>0</v>
      </c>
      <c r="BN52" s="137">
        <f>IF(AH52&lt;&gt;0,_xll.xSPRDOPT($BW52,$BV52,$CG52,2*LN(1+CA52/2),$BY52,$BX52,$BZ52,$AJ52,1,8)+(AJ52/365.25)*CH52/AH52,0)</f>
        <v>0</v>
      </c>
      <c r="BO52" s="137">
        <f>_xll.xSPRDOPT($BW52,$BV52,$CG52,0,$BY52,$BX52,$BZ52,$AJ52,1,0)</f>
        <v>0.98844982808400417</v>
      </c>
      <c r="BP52" s="137"/>
      <c r="BQ52" s="137"/>
      <c r="BR52" s="137"/>
      <c r="BS52" s="137"/>
      <c r="BV52" s="262">
        <v>3.4457831325301203</v>
      </c>
      <c r="BW52" s="136">
        <v>3.4670000000000001</v>
      </c>
      <c r="BX52" s="137">
        <v>0.37</v>
      </c>
      <c r="BY52" s="137">
        <v>0.37</v>
      </c>
      <c r="BZ52" s="137">
        <v>0</v>
      </c>
      <c r="CA52" s="137">
        <v>3.4836153967131397E-2</v>
      </c>
      <c r="CB52" s="137">
        <v>0</v>
      </c>
      <c r="CC52" s="258">
        <v>0</v>
      </c>
      <c r="CD52" s="258">
        <v>0.03</v>
      </c>
      <c r="CE52" s="258">
        <v>6.5000000000000002E-2</v>
      </c>
      <c r="CF52" s="258">
        <v>0</v>
      </c>
      <c r="CG52" s="258">
        <v>5.9999999999999995E-4</v>
      </c>
      <c r="CH52" s="258">
        <v>0</v>
      </c>
      <c r="CI52" s="258">
        <v>3.4020000000000001</v>
      </c>
      <c r="CJ52" s="258"/>
      <c r="CK52" s="258"/>
      <c r="CL52" s="258"/>
      <c r="CM52" s="258"/>
    </row>
    <row r="53" spans="1:91" x14ac:dyDescent="0.25">
      <c r="A53" s="723"/>
      <c r="B53" s="723"/>
      <c r="D53" s="31">
        <f t="shared" si="41"/>
        <v>37940</v>
      </c>
      <c r="F53" s="28">
        <f t="shared" si="12"/>
        <v>27600</v>
      </c>
      <c r="G53" s="28">
        <f t="shared" si="13"/>
        <v>0</v>
      </c>
      <c r="H53" s="52">
        <f t="shared" si="14"/>
        <v>3.4457831325301203</v>
      </c>
      <c r="I53" s="52">
        <f t="shared" si="15"/>
        <v>3.4670000000000001</v>
      </c>
      <c r="K53" s="52">
        <f t="shared" si="42"/>
        <v>0</v>
      </c>
      <c r="L53" s="135">
        <f t="shared" si="43"/>
        <v>0</v>
      </c>
      <c r="N53" s="131">
        <f t="shared" si="44"/>
        <v>0.37</v>
      </c>
      <c r="O53" s="131">
        <f t="shared" si="45"/>
        <v>0.37</v>
      </c>
      <c r="P53" s="55">
        <f t="shared" si="46"/>
        <v>0</v>
      </c>
      <c r="Q53" s="135">
        <f>_xll.xSPRDOPT(I53,H53,AQ53,0,O53,N53,P53,D53-$G$5,1,0)*AH53*AU53</f>
        <v>0</v>
      </c>
      <c r="R53" s="135"/>
      <c r="S53" s="181">
        <f>_xll.xSPRDOPT(I53,H53,AQ53,AT53,O53,N53,P53,D53-$G$5,1,2)*AF53*(F53/(1-AR53))*AH53</f>
        <v>0</v>
      </c>
      <c r="T53" s="181">
        <f>_xll.xSPRDOPT(I53,H53,AQ53,AT53,O53,N53,P53,D53-$G$5,1,1)*AF53*F53*AH53</f>
        <v>0</v>
      </c>
      <c r="U53" s="135"/>
      <c r="V53" s="146">
        <f t="shared" si="16"/>
        <v>0</v>
      </c>
      <c r="W53" s="146"/>
      <c r="X53" s="338">
        <f t="shared" si="17"/>
        <v>0</v>
      </c>
      <c r="Y53" s="338">
        <f t="shared" si="18"/>
        <v>0</v>
      </c>
      <c r="Z53" s="338">
        <f t="shared" si="19"/>
        <v>0</v>
      </c>
      <c r="AA53" s="338">
        <f t="shared" si="20"/>
        <v>0</v>
      </c>
      <c r="AB53" s="338">
        <f t="shared" si="21"/>
        <v>0</v>
      </c>
      <c r="AC53" s="338">
        <f t="shared" si="22"/>
        <v>0</v>
      </c>
      <c r="AF53" s="138">
        <f t="shared" si="23"/>
        <v>0</v>
      </c>
      <c r="AG53" s="138">
        <f t="shared" si="24"/>
        <v>11</v>
      </c>
      <c r="AH53" s="138">
        <f t="shared" si="25"/>
        <v>0</v>
      </c>
      <c r="AI53" s="138">
        <f t="shared" si="47"/>
        <v>684</v>
      </c>
      <c r="AJ53" s="138">
        <f t="shared" si="26"/>
        <v>701</v>
      </c>
      <c r="AL53" s="136">
        <f t="shared" si="27"/>
        <v>3.4020000000000001</v>
      </c>
      <c r="AM53" s="258">
        <f t="shared" si="48"/>
        <v>0</v>
      </c>
      <c r="AN53" s="258">
        <f t="shared" si="28"/>
        <v>0.03</v>
      </c>
      <c r="AO53" s="258">
        <f t="shared" si="29"/>
        <v>6.5000000000000002E-2</v>
      </c>
      <c r="AP53" s="258">
        <f t="shared" si="30"/>
        <v>0</v>
      </c>
      <c r="AQ53" s="136">
        <f t="shared" si="31"/>
        <v>5.9999999999999995E-4</v>
      </c>
      <c r="AR53" s="137">
        <f t="shared" si="32"/>
        <v>4.0000000000000001E-3</v>
      </c>
      <c r="AS53" s="136">
        <f t="shared" si="49"/>
        <v>3.4319999999999999</v>
      </c>
      <c r="AT53" s="137">
        <f t="shared" si="33"/>
        <v>3.4836153967131397E-2</v>
      </c>
      <c r="AU53" s="137">
        <f t="shared" si="34"/>
        <v>0</v>
      </c>
      <c r="AV53" s="394">
        <f t="shared" si="50"/>
        <v>0</v>
      </c>
      <c r="AW53" s="137">
        <f t="shared" si="35"/>
        <v>0.37</v>
      </c>
      <c r="AX53" s="137">
        <f t="shared" si="36"/>
        <v>0.93</v>
      </c>
      <c r="AY53" s="137">
        <f t="shared" si="37"/>
        <v>0.83</v>
      </c>
      <c r="AZ53" s="137"/>
      <c r="BA53" s="264"/>
      <c r="BB53" s="258">
        <f t="shared" si="38"/>
        <v>0</v>
      </c>
      <c r="BC53" s="258">
        <f t="shared" si="39"/>
        <v>0</v>
      </c>
      <c r="BD53" s="137">
        <f t="shared" si="40"/>
        <v>0</v>
      </c>
      <c r="BE53" s="137">
        <f t="shared" si="40"/>
        <v>0</v>
      </c>
      <c r="BF53" s="137">
        <f>_xll.xSPRDOPT($BW53,$BV53,$CG53,0,$BY53,$BX53,$BZ53,$AJ53,1,4)*$CB53</f>
        <v>0</v>
      </c>
      <c r="BG53" s="137">
        <f>_xll.xSPRDOPT($BW53,$BV53,$CG53,0,$BY53,$BX53,$BZ53,$AJ53,1,3)*$CB53</f>
        <v>0</v>
      </c>
      <c r="BH53" s="137">
        <f>IF(OR(BF53&lt;&gt;0,BG53&lt;&gt;0),_xll.xSPRDOPT($BW53,$BV53,$CG53,0,$BY53,$BX53,$BZ53,$AJ53,1,12)*$CB53,0)</f>
        <v>0</v>
      </c>
      <c r="BI53" s="137">
        <f>_xll.xSPRDOPT($BW53,$BV53,$CG53,2*LN(1+CA53/2),$BY53,$BX53,$BZ53,$AJ53,1,9)</f>
        <v>-0.1962573973095959</v>
      </c>
      <c r="BJ53" s="137">
        <f>_xll.xSPRDOPT($BW53,$BV53,$CG53,0,$BY53,$BX53,$BZ53,$AJ53,1,6)*$CB53</f>
        <v>0</v>
      </c>
      <c r="BK53" s="137">
        <f>_xll.xSPRDOPT($BW53,$BV53,$CG53,0,$BY53,$BX53,$BZ53,$AJ53,1,5)*$CB53</f>
        <v>0</v>
      </c>
      <c r="BL53" s="137">
        <f>_xll.xSPRDOPT(BW53,BV53,CG53,0,BY53,BX53,BZ53,AJ53,1,2)*CB53</f>
        <v>0</v>
      </c>
      <c r="BM53" s="137">
        <f>_xll.xSPRDOPT(BW53,BV53,CG53,0,BY53,BX53,BZ53,AJ53,1,1)*CB53</f>
        <v>0</v>
      </c>
      <c r="BN53" s="137">
        <f>IF(AH53&lt;&gt;0,_xll.xSPRDOPT($BW53,$BV53,$CG53,2*LN(1+CA53/2),$BY53,$BX53,$BZ53,$AJ53,1,8)+(AJ53/365.25)*CH53/AH53,0)</f>
        <v>0</v>
      </c>
      <c r="BO53" s="137">
        <f>_xll.xSPRDOPT($BW53,$BV53,$CG53,0,$BY53,$BX53,$BZ53,$AJ53,1,0)</f>
        <v>0.98844982808400417</v>
      </c>
      <c r="BP53" s="137"/>
      <c r="BQ53" s="137"/>
      <c r="BR53" s="137"/>
      <c r="BS53" s="137"/>
      <c r="BV53" s="262">
        <v>3.4457831325301203</v>
      </c>
      <c r="BW53" s="136">
        <v>3.4670000000000001</v>
      </c>
      <c r="BX53" s="137">
        <v>0.37</v>
      </c>
      <c r="BY53" s="137">
        <v>0.37</v>
      </c>
      <c r="BZ53" s="137">
        <v>0</v>
      </c>
      <c r="CA53" s="137">
        <v>3.4836153967131397E-2</v>
      </c>
      <c r="CB53" s="137">
        <v>0</v>
      </c>
      <c r="CC53" s="258">
        <v>0</v>
      </c>
      <c r="CD53" s="258">
        <v>0.03</v>
      </c>
      <c r="CE53" s="258">
        <v>6.5000000000000002E-2</v>
      </c>
      <c r="CF53" s="258">
        <v>0</v>
      </c>
      <c r="CG53" s="258">
        <v>5.9999999999999995E-4</v>
      </c>
      <c r="CH53" s="258">
        <v>0</v>
      </c>
      <c r="CI53" s="258">
        <v>3.4020000000000001</v>
      </c>
      <c r="CJ53" s="258"/>
      <c r="CK53" s="258"/>
      <c r="CL53" s="258"/>
      <c r="CM53" s="258"/>
    </row>
    <row r="54" spans="1:91" x14ac:dyDescent="0.25">
      <c r="A54" s="723"/>
      <c r="B54" s="723"/>
      <c r="D54" s="31">
        <f t="shared" si="41"/>
        <v>37940</v>
      </c>
      <c r="F54" s="28">
        <f t="shared" si="12"/>
        <v>27600</v>
      </c>
      <c r="G54" s="28">
        <f t="shared" si="13"/>
        <v>0</v>
      </c>
      <c r="H54" s="52">
        <f t="shared" si="14"/>
        <v>3.4457831325301203</v>
      </c>
      <c r="I54" s="52">
        <f t="shared" si="15"/>
        <v>3.4670000000000001</v>
      </c>
      <c r="K54" s="52">
        <f t="shared" si="42"/>
        <v>0</v>
      </c>
      <c r="L54" s="135">
        <f t="shared" si="43"/>
        <v>0</v>
      </c>
      <c r="N54" s="131">
        <f t="shared" si="44"/>
        <v>0.37</v>
      </c>
      <c r="O54" s="131">
        <f t="shared" si="45"/>
        <v>0.37</v>
      </c>
      <c r="P54" s="55">
        <f t="shared" si="46"/>
        <v>0</v>
      </c>
      <c r="Q54" s="135">
        <f>_xll.xSPRDOPT(I54,H54,AQ54,0,O54,N54,P54,D54-$G$5,1,0)*AH54*AU54</f>
        <v>0</v>
      </c>
      <c r="R54" s="135"/>
      <c r="S54" s="181">
        <f>_xll.xSPRDOPT(I54,H54,AQ54,AT54,O54,N54,P54,D54-$G$5,1,2)*AF54*(F54/(1-AR54))*AH54</f>
        <v>0</v>
      </c>
      <c r="T54" s="181">
        <f>_xll.xSPRDOPT(I54,H54,AQ54,AT54,O54,N54,P54,D54-$G$5,1,1)*AF54*F54*AH54</f>
        <v>0</v>
      </c>
      <c r="U54" s="135"/>
      <c r="V54" s="146">
        <f t="shared" si="16"/>
        <v>0</v>
      </c>
      <c r="W54" s="146"/>
      <c r="X54" s="338">
        <f t="shared" si="17"/>
        <v>0</v>
      </c>
      <c r="Y54" s="338">
        <f t="shared" si="18"/>
        <v>0</v>
      </c>
      <c r="Z54" s="338">
        <f t="shared" si="19"/>
        <v>0</v>
      </c>
      <c r="AA54" s="338">
        <f t="shared" si="20"/>
        <v>0</v>
      </c>
      <c r="AB54" s="338">
        <f t="shared" si="21"/>
        <v>0</v>
      </c>
      <c r="AC54" s="338">
        <f t="shared" si="22"/>
        <v>0</v>
      </c>
      <c r="AF54" s="138">
        <f t="shared" si="23"/>
        <v>0</v>
      </c>
      <c r="AG54" s="138">
        <f t="shared" si="24"/>
        <v>11</v>
      </c>
      <c r="AH54" s="138">
        <f t="shared" ref="AH54:AH85" si="51">(EOMONTH(D54,0)-EOMONTH(D54-DAY(D54),0))*AF54</f>
        <v>0</v>
      </c>
      <c r="AI54" s="138">
        <f t="shared" si="47"/>
        <v>684</v>
      </c>
      <c r="AJ54" s="138">
        <f t="shared" si="26"/>
        <v>701</v>
      </c>
      <c r="AL54" s="136">
        <f t="shared" si="27"/>
        <v>3.4020000000000001</v>
      </c>
      <c r="AM54" s="258">
        <f t="shared" si="48"/>
        <v>0</v>
      </c>
      <c r="AN54" s="258">
        <f t="shared" si="28"/>
        <v>0.03</v>
      </c>
      <c r="AO54" s="258">
        <f t="shared" si="29"/>
        <v>6.5000000000000002E-2</v>
      </c>
      <c r="AP54" s="258">
        <f t="shared" si="30"/>
        <v>0</v>
      </c>
      <c r="AQ54" s="136">
        <f t="shared" si="31"/>
        <v>5.9999999999999995E-4</v>
      </c>
      <c r="AR54" s="137">
        <f t="shared" si="32"/>
        <v>4.0000000000000001E-3</v>
      </c>
      <c r="AS54" s="136">
        <f t="shared" si="49"/>
        <v>3.4319999999999999</v>
      </c>
      <c r="AT54" s="137">
        <f t="shared" si="33"/>
        <v>3.4836153967131397E-2</v>
      </c>
      <c r="AU54" s="137">
        <f t="shared" si="34"/>
        <v>0</v>
      </c>
      <c r="AV54" s="394">
        <f t="shared" si="50"/>
        <v>0</v>
      </c>
      <c r="AW54" s="137">
        <f t="shared" si="35"/>
        <v>0.37</v>
      </c>
      <c r="AX54" s="137">
        <f t="shared" si="36"/>
        <v>0.93</v>
      </c>
      <c r="AY54" s="137">
        <f t="shared" si="37"/>
        <v>0.83</v>
      </c>
      <c r="AZ54" s="137"/>
      <c r="BA54" s="264"/>
      <c r="BB54" s="258">
        <f t="shared" si="38"/>
        <v>0</v>
      </c>
      <c r="BC54" s="258">
        <f t="shared" si="39"/>
        <v>0</v>
      </c>
      <c r="BD54" s="137">
        <f t="shared" ref="BD54:BE85" si="52">N54-BX54</f>
        <v>0</v>
      </c>
      <c r="BE54" s="137">
        <f t="shared" si="52"/>
        <v>0</v>
      </c>
      <c r="BF54" s="137">
        <f>_xll.xSPRDOPT($BW54,$BV54,$CG54,0,$BY54,$BX54,$BZ54,$AJ54,1,4)*$CB54</f>
        <v>0</v>
      </c>
      <c r="BG54" s="137">
        <f>_xll.xSPRDOPT($BW54,$BV54,$CG54,0,$BY54,$BX54,$BZ54,$AJ54,1,3)*$CB54</f>
        <v>0</v>
      </c>
      <c r="BH54" s="137">
        <f>IF(OR(BF54&lt;&gt;0,BG54&lt;&gt;0),_xll.xSPRDOPT($BW54,$BV54,$CG54,0,$BY54,$BX54,$BZ54,$AJ54,1,12)*$CB54,0)</f>
        <v>0</v>
      </c>
      <c r="BI54" s="137">
        <f>_xll.xSPRDOPT($BW54,$BV54,$CG54,2*LN(1+CA54/2),$BY54,$BX54,$BZ54,$AJ54,1,9)</f>
        <v>-0.1962573973095959</v>
      </c>
      <c r="BJ54" s="137">
        <f>_xll.xSPRDOPT($BW54,$BV54,$CG54,0,$BY54,$BX54,$BZ54,$AJ54,1,6)*$CB54</f>
        <v>0</v>
      </c>
      <c r="BK54" s="137">
        <f>_xll.xSPRDOPT($BW54,$BV54,$CG54,0,$BY54,$BX54,$BZ54,$AJ54,1,5)*$CB54</f>
        <v>0</v>
      </c>
      <c r="BL54" s="137">
        <f>_xll.xSPRDOPT(BW54,BV54,CG54,0,BY54,BX54,BZ54,AJ54,1,2)*CB54</f>
        <v>0</v>
      </c>
      <c r="BM54" s="137">
        <f>_xll.xSPRDOPT(BW54,BV54,CG54,0,BY54,BX54,BZ54,AJ54,1,1)*CB54</f>
        <v>0</v>
      </c>
      <c r="BN54" s="137">
        <f>IF(AH54&lt;&gt;0,_xll.xSPRDOPT($BW54,$BV54,$CG54,2*LN(1+CA54/2),$BY54,$BX54,$BZ54,$AJ54,1,8)+(AJ54/365.25)*CH54/AH54,0)</f>
        <v>0</v>
      </c>
      <c r="BO54" s="137">
        <f>_xll.xSPRDOPT($BW54,$BV54,$CG54,0,$BY54,$BX54,$BZ54,$AJ54,1,0)</f>
        <v>0.98844982808400417</v>
      </c>
      <c r="BP54" s="137"/>
      <c r="BQ54" s="137"/>
      <c r="BR54" s="137"/>
      <c r="BS54" s="137"/>
      <c r="BV54" s="262">
        <v>3.4457831325301203</v>
      </c>
      <c r="BW54" s="136">
        <v>3.4670000000000001</v>
      </c>
      <c r="BX54" s="137">
        <v>0.37</v>
      </c>
      <c r="BY54" s="137">
        <v>0.37</v>
      </c>
      <c r="BZ54" s="137">
        <v>0</v>
      </c>
      <c r="CA54" s="137">
        <v>3.4836153967131397E-2</v>
      </c>
      <c r="CB54" s="137">
        <v>0</v>
      </c>
      <c r="CC54" s="258">
        <v>0</v>
      </c>
      <c r="CD54" s="258">
        <v>0.03</v>
      </c>
      <c r="CE54" s="258">
        <v>6.5000000000000002E-2</v>
      </c>
      <c r="CF54" s="258">
        <v>0</v>
      </c>
      <c r="CG54" s="258">
        <v>5.9999999999999995E-4</v>
      </c>
      <c r="CH54" s="258">
        <v>0</v>
      </c>
      <c r="CI54" s="258">
        <v>3.4020000000000001</v>
      </c>
      <c r="CJ54" s="258"/>
      <c r="CK54" s="258"/>
      <c r="CL54" s="258"/>
      <c r="CM54" s="258"/>
    </row>
    <row r="55" spans="1:91" x14ac:dyDescent="0.25">
      <c r="A55" s="723"/>
      <c r="B55" s="723"/>
      <c r="D55" s="31">
        <f t="shared" si="41"/>
        <v>37940</v>
      </c>
      <c r="F55" s="28">
        <f t="shared" si="12"/>
        <v>27600</v>
      </c>
      <c r="G55" s="28">
        <f t="shared" si="13"/>
        <v>0</v>
      </c>
      <c r="H55" s="52">
        <f t="shared" si="14"/>
        <v>3.4457831325301203</v>
      </c>
      <c r="I55" s="52">
        <f t="shared" si="15"/>
        <v>3.4670000000000001</v>
      </c>
      <c r="K55" s="52">
        <f t="shared" si="42"/>
        <v>0</v>
      </c>
      <c r="L55" s="135">
        <f t="shared" si="43"/>
        <v>0</v>
      </c>
      <c r="N55" s="131">
        <f t="shared" si="44"/>
        <v>0.37</v>
      </c>
      <c r="O55" s="131">
        <f t="shared" si="45"/>
        <v>0.37</v>
      </c>
      <c r="P55" s="55">
        <f t="shared" si="46"/>
        <v>0</v>
      </c>
      <c r="Q55" s="135">
        <f>_xll.xSPRDOPT(I55,H55,AQ55,0,O55,N55,P55,D55-$G$5,1,0)*AH55*AU55</f>
        <v>0</v>
      </c>
      <c r="R55" s="135"/>
      <c r="S55" s="181">
        <f>_xll.xSPRDOPT(I55,H55,AQ55,AT55,O55,N55,P55,D55-$G$5,1,2)*AF55*(F55/(1-AR55))*AH55</f>
        <v>0</v>
      </c>
      <c r="T55" s="181">
        <f>_xll.xSPRDOPT(I55,H55,AQ55,AT55,O55,N55,P55,D55-$G$5,1,1)*AF55*F55*AH55</f>
        <v>0</v>
      </c>
      <c r="U55" s="135"/>
      <c r="V55" s="146">
        <f t="shared" si="16"/>
        <v>0</v>
      </c>
      <c r="W55" s="146"/>
      <c r="X55" s="338">
        <f t="shared" si="17"/>
        <v>0</v>
      </c>
      <c r="Y55" s="338">
        <f t="shared" si="18"/>
        <v>0</v>
      </c>
      <c r="Z55" s="338">
        <f t="shared" si="19"/>
        <v>0</v>
      </c>
      <c r="AA55" s="338">
        <f t="shared" si="20"/>
        <v>0</v>
      </c>
      <c r="AB55" s="338">
        <f t="shared" si="21"/>
        <v>0</v>
      </c>
      <c r="AC55" s="338">
        <f t="shared" si="22"/>
        <v>0</v>
      </c>
      <c r="AF55" s="138">
        <f t="shared" si="23"/>
        <v>0</v>
      </c>
      <c r="AG55" s="138">
        <f t="shared" si="24"/>
        <v>11</v>
      </c>
      <c r="AH55" s="138">
        <f t="shared" si="51"/>
        <v>0</v>
      </c>
      <c r="AI55" s="138">
        <f t="shared" si="47"/>
        <v>684</v>
      </c>
      <c r="AJ55" s="138">
        <f t="shared" si="26"/>
        <v>701</v>
      </c>
      <c r="AL55" s="136">
        <f t="shared" si="27"/>
        <v>3.4020000000000001</v>
      </c>
      <c r="AM55" s="258">
        <f t="shared" si="48"/>
        <v>0</v>
      </c>
      <c r="AN55" s="258">
        <f t="shared" si="28"/>
        <v>0.03</v>
      </c>
      <c r="AO55" s="258">
        <f t="shared" si="29"/>
        <v>6.5000000000000002E-2</v>
      </c>
      <c r="AP55" s="258">
        <f t="shared" si="30"/>
        <v>0</v>
      </c>
      <c r="AQ55" s="136">
        <f t="shared" si="31"/>
        <v>5.9999999999999995E-4</v>
      </c>
      <c r="AR55" s="137">
        <f t="shared" si="32"/>
        <v>4.0000000000000001E-3</v>
      </c>
      <c r="AS55" s="136">
        <f t="shared" si="49"/>
        <v>3.4319999999999999</v>
      </c>
      <c r="AT55" s="137">
        <f t="shared" si="33"/>
        <v>3.4836153967131397E-2</v>
      </c>
      <c r="AU55" s="137">
        <f t="shared" si="34"/>
        <v>0</v>
      </c>
      <c r="AV55" s="394">
        <f t="shared" si="50"/>
        <v>0</v>
      </c>
      <c r="AW55" s="137">
        <f t="shared" si="35"/>
        <v>0.37</v>
      </c>
      <c r="AX55" s="137">
        <f t="shared" si="36"/>
        <v>0.93</v>
      </c>
      <c r="AY55" s="137">
        <f t="shared" si="37"/>
        <v>0.83</v>
      </c>
      <c r="AZ55" s="137"/>
      <c r="BA55" s="264"/>
      <c r="BB55" s="258">
        <f t="shared" si="38"/>
        <v>0</v>
      </c>
      <c r="BC55" s="258">
        <f t="shared" si="39"/>
        <v>0</v>
      </c>
      <c r="BD55" s="137">
        <f t="shared" si="52"/>
        <v>0</v>
      </c>
      <c r="BE55" s="137">
        <f t="shared" si="52"/>
        <v>0</v>
      </c>
      <c r="BF55" s="137">
        <f>_xll.xSPRDOPT($BW55,$BV55,$CG55,0,$BY55,$BX55,$BZ55,$AJ55,1,4)*$CB55</f>
        <v>0</v>
      </c>
      <c r="BG55" s="137">
        <f>_xll.xSPRDOPT($BW55,$BV55,$CG55,0,$BY55,$BX55,$BZ55,$AJ55,1,3)*$CB55</f>
        <v>0</v>
      </c>
      <c r="BH55" s="137">
        <f>IF(OR(BF55&lt;&gt;0,BG55&lt;&gt;0),_xll.xSPRDOPT($BW55,$BV55,$CG55,0,$BY55,$BX55,$BZ55,$AJ55,1,12)*$CB55,0)</f>
        <v>0</v>
      </c>
      <c r="BI55" s="137">
        <f>_xll.xSPRDOPT($BW55,$BV55,$CG55,2*LN(1+CA55/2),$BY55,$BX55,$BZ55,$AJ55,1,9)</f>
        <v>-0.1962573973095959</v>
      </c>
      <c r="BJ55" s="137">
        <f>_xll.xSPRDOPT($BW55,$BV55,$CG55,0,$BY55,$BX55,$BZ55,$AJ55,1,6)*$CB55</f>
        <v>0</v>
      </c>
      <c r="BK55" s="137">
        <f>_xll.xSPRDOPT($BW55,$BV55,$CG55,0,$BY55,$BX55,$BZ55,$AJ55,1,5)*$CB55</f>
        <v>0</v>
      </c>
      <c r="BL55" s="137">
        <f>_xll.xSPRDOPT(BW55,BV55,CG55,0,BY55,BX55,BZ55,AJ55,1,2)*CB55</f>
        <v>0</v>
      </c>
      <c r="BM55" s="137">
        <f>_xll.xSPRDOPT(BW55,BV55,CG55,0,BY55,BX55,BZ55,AJ55,1,1)*CB55</f>
        <v>0</v>
      </c>
      <c r="BN55" s="137">
        <f>IF(AH55&lt;&gt;0,_xll.xSPRDOPT($BW55,$BV55,$CG55,2*LN(1+CA55/2),$BY55,$BX55,$BZ55,$AJ55,1,8)+(AJ55/365.25)*CH55/AH55,0)</f>
        <v>0</v>
      </c>
      <c r="BO55" s="137">
        <f>_xll.xSPRDOPT($BW55,$BV55,$CG55,0,$BY55,$BX55,$BZ55,$AJ55,1,0)</f>
        <v>0.98844982808400417</v>
      </c>
      <c r="BP55" s="137"/>
      <c r="BQ55" s="137"/>
      <c r="BR55" s="137"/>
      <c r="BS55" s="137"/>
      <c r="BV55" s="262">
        <v>3.4457831325301203</v>
      </c>
      <c r="BW55" s="136">
        <v>3.4670000000000001</v>
      </c>
      <c r="BX55" s="137">
        <v>0.37</v>
      </c>
      <c r="BY55" s="137">
        <v>0.37</v>
      </c>
      <c r="BZ55" s="137">
        <v>0</v>
      </c>
      <c r="CA55" s="137">
        <v>3.4836153967131397E-2</v>
      </c>
      <c r="CB55" s="137">
        <v>0</v>
      </c>
      <c r="CC55" s="258">
        <v>0</v>
      </c>
      <c r="CD55" s="258">
        <v>0.03</v>
      </c>
      <c r="CE55" s="258">
        <v>6.5000000000000002E-2</v>
      </c>
      <c r="CF55" s="258">
        <v>0</v>
      </c>
      <c r="CG55" s="258">
        <v>5.9999999999999995E-4</v>
      </c>
      <c r="CH55" s="258">
        <v>0</v>
      </c>
      <c r="CI55" s="258">
        <v>3.4020000000000001</v>
      </c>
      <c r="CJ55" s="258"/>
      <c r="CK55" s="258"/>
      <c r="CL55" s="258"/>
      <c r="CM55" s="258"/>
    </row>
    <row r="56" spans="1:91" x14ac:dyDescent="0.25">
      <c r="A56" s="723"/>
      <c r="B56" s="723"/>
      <c r="D56" s="31">
        <f t="shared" si="41"/>
        <v>37940</v>
      </c>
      <c r="F56" s="28">
        <f t="shared" si="12"/>
        <v>27600</v>
      </c>
      <c r="G56" s="28">
        <f t="shared" si="13"/>
        <v>0</v>
      </c>
      <c r="H56" s="52">
        <f t="shared" si="14"/>
        <v>3.4457831325301203</v>
      </c>
      <c r="I56" s="52">
        <f t="shared" si="15"/>
        <v>3.4670000000000001</v>
      </c>
      <c r="K56" s="52">
        <f t="shared" si="42"/>
        <v>0</v>
      </c>
      <c r="L56" s="135">
        <f t="shared" si="43"/>
        <v>0</v>
      </c>
      <c r="N56" s="131">
        <f t="shared" si="44"/>
        <v>0.37</v>
      </c>
      <c r="O56" s="131">
        <f t="shared" si="45"/>
        <v>0.37</v>
      </c>
      <c r="P56" s="55">
        <f t="shared" si="46"/>
        <v>0</v>
      </c>
      <c r="Q56" s="135">
        <f>_xll.xSPRDOPT(I56,H56,AQ56,0,O56,N56,P56,D56-$G$5,1,0)*AH56*AU56</f>
        <v>0</v>
      </c>
      <c r="R56" s="135"/>
      <c r="S56" s="181">
        <f>_xll.xSPRDOPT(I56,H56,AQ56,AT56,O56,N56,P56,D56-$G$5,1,2)*AF56*(F56/(1-AR56))*AH56</f>
        <v>0</v>
      </c>
      <c r="T56" s="181">
        <f>_xll.xSPRDOPT(I56,H56,AQ56,AT56,O56,N56,P56,D56-$G$5,1,1)*AF56*F56*AH56</f>
        <v>0</v>
      </c>
      <c r="U56" s="135"/>
      <c r="V56" s="146">
        <f t="shared" si="16"/>
        <v>0</v>
      </c>
      <c r="W56" s="146"/>
      <c r="X56" s="338">
        <f t="shared" si="17"/>
        <v>0</v>
      </c>
      <c r="Y56" s="338">
        <f t="shared" si="18"/>
        <v>0</v>
      </c>
      <c r="Z56" s="338">
        <f t="shared" si="19"/>
        <v>0</v>
      </c>
      <c r="AA56" s="338">
        <f t="shared" si="20"/>
        <v>0</v>
      </c>
      <c r="AB56" s="338">
        <f t="shared" si="21"/>
        <v>0</v>
      </c>
      <c r="AC56" s="338">
        <f t="shared" si="22"/>
        <v>0</v>
      </c>
      <c r="AF56" s="138">
        <f t="shared" si="23"/>
        <v>0</v>
      </c>
      <c r="AG56" s="138">
        <f t="shared" si="24"/>
        <v>11</v>
      </c>
      <c r="AH56" s="138">
        <f t="shared" si="51"/>
        <v>0</v>
      </c>
      <c r="AI56" s="138">
        <f t="shared" si="47"/>
        <v>684</v>
      </c>
      <c r="AJ56" s="138">
        <f t="shared" si="26"/>
        <v>701</v>
      </c>
      <c r="AL56" s="136">
        <f t="shared" si="27"/>
        <v>3.4020000000000001</v>
      </c>
      <c r="AM56" s="258">
        <f t="shared" si="48"/>
        <v>0</v>
      </c>
      <c r="AN56" s="258">
        <f t="shared" si="28"/>
        <v>0.03</v>
      </c>
      <c r="AO56" s="258">
        <f t="shared" si="29"/>
        <v>6.5000000000000002E-2</v>
      </c>
      <c r="AP56" s="258">
        <f t="shared" si="30"/>
        <v>0</v>
      </c>
      <c r="AQ56" s="136">
        <f t="shared" si="31"/>
        <v>5.9999999999999995E-4</v>
      </c>
      <c r="AR56" s="137">
        <f t="shared" si="32"/>
        <v>4.0000000000000001E-3</v>
      </c>
      <c r="AS56" s="136">
        <f t="shared" si="49"/>
        <v>3.4319999999999999</v>
      </c>
      <c r="AT56" s="137">
        <f t="shared" si="33"/>
        <v>3.4836153967131397E-2</v>
      </c>
      <c r="AU56" s="137">
        <f t="shared" si="34"/>
        <v>0</v>
      </c>
      <c r="AV56" s="394">
        <f t="shared" si="50"/>
        <v>0</v>
      </c>
      <c r="AW56" s="137">
        <f t="shared" si="35"/>
        <v>0.37</v>
      </c>
      <c r="AX56" s="137">
        <f t="shared" si="36"/>
        <v>0.93</v>
      </c>
      <c r="AY56" s="137">
        <f t="shared" si="37"/>
        <v>0.83</v>
      </c>
      <c r="AZ56" s="137"/>
      <c r="BA56" s="264"/>
      <c r="BB56" s="258">
        <f t="shared" si="38"/>
        <v>0</v>
      </c>
      <c r="BC56" s="258">
        <f t="shared" si="39"/>
        <v>0</v>
      </c>
      <c r="BD56" s="137">
        <f t="shared" si="52"/>
        <v>0</v>
      </c>
      <c r="BE56" s="137">
        <f t="shared" si="52"/>
        <v>0</v>
      </c>
      <c r="BF56" s="137">
        <f>_xll.xSPRDOPT($BW56,$BV56,$CG56,0,$BY56,$BX56,$BZ56,$AJ56,1,4)*$CB56</f>
        <v>0</v>
      </c>
      <c r="BG56" s="137">
        <f>_xll.xSPRDOPT($BW56,$BV56,$CG56,0,$BY56,$BX56,$BZ56,$AJ56,1,3)*$CB56</f>
        <v>0</v>
      </c>
      <c r="BH56" s="137">
        <f>IF(OR(BF56&lt;&gt;0,BG56&lt;&gt;0),_xll.xSPRDOPT($BW56,$BV56,$CG56,0,$BY56,$BX56,$BZ56,$AJ56,1,12)*$CB56,0)</f>
        <v>0</v>
      </c>
      <c r="BI56" s="137">
        <f>_xll.xSPRDOPT($BW56,$BV56,$CG56,2*LN(1+CA56/2),$BY56,$BX56,$BZ56,$AJ56,1,9)</f>
        <v>-0.1962573973095959</v>
      </c>
      <c r="BJ56" s="137">
        <f>_xll.xSPRDOPT($BW56,$BV56,$CG56,0,$BY56,$BX56,$BZ56,$AJ56,1,6)*$CB56</f>
        <v>0</v>
      </c>
      <c r="BK56" s="137">
        <f>_xll.xSPRDOPT($BW56,$BV56,$CG56,0,$BY56,$BX56,$BZ56,$AJ56,1,5)*$CB56</f>
        <v>0</v>
      </c>
      <c r="BL56" s="137">
        <f>_xll.xSPRDOPT(BW56,BV56,CG56,0,BY56,BX56,BZ56,AJ56,1,2)*CB56</f>
        <v>0</v>
      </c>
      <c r="BM56" s="137">
        <f>_xll.xSPRDOPT(BW56,BV56,CG56,0,BY56,BX56,BZ56,AJ56,1,1)*CB56</f>
        <v>0</v>
      </c>
      <c r="BN56" s="137">
        <f>IF(AH56&lt;&gt;0,_xll.xSPRDOPT($BW56,$BV56,$CG56,2*LN(1+CA56/2),$BY56,$BX56,$BZ56,$AJ56,1,8)+(AJ56/365.25)*CH56/AH56,0)</f>
        <v>0</v>
      </c>
      <c r="BO56" s="137">
        <f>_xll.xSPRDOPT($BW56,$BV56,$CG56,0,$BY56,$BX56,$BZ56,$AJ56,1,0)</f>
        <v>0.98844982808400417</v>
      </c>
      <c r="BP56" s="137"/>
      <c r="BQ56" s="137"/>
      <c r="BR56" s="137"/>
      <c r="BS56" s="137"/>
      <c r="BV56" s="262">
        <v>3.4457831325301203</v>
      </c>
      <c r="BW56" s="136">
        <v>3.4670000000000001</v>
      </c>
      <c r="BX56" s="137">
        <v>0.37</v>
      </c>
      <c r="BY56" s="137">
        <v>0.37</v>
      </c>
      <c r="BZ56" s="137">
        <v>0</v>
      </c>
      <c r="CA56" s="137">
        <v>3.4836153967131397E-2</v>
      </c>
      <c r="CB56" s="137">
        <v>0</v>
      </c>
      <c r="CC56" s="258">
        <v>0</v>
      </c>
      <c r="CD56" s="258">
        <v>0.03</v>
      </c>
      <c r="CE56" s="258">
        <v>6.5000000000000002E-2</v>
      </c>
      <c r="CF56" s="258">
        <v>0</v>
      </c>
      <c r="CG56" s="258">
        <v>5.9999999999999995E-4</v>
      </c>
      <c r="CH56" s="258">
        <v>0</v>
      </c>
      <c r="CI56" s="258">
        <v>3.4020000000000001</v>
      </c>
      <c r="CJ56" s="258"/>
      <c r="CK56" s="258"/>
      <c r="CL56" s="258"/>
      <c r="CM56" s="258"/>
    </row>
    <row r="57" spans="1:91" x14ac:dyDescent="0.25">
      <c r="A57" s="723"/>
      <c r="B57" s="723"/>
      <c r="D57" s="31">
        <f t="shared" si="41"/>
        <v>37940</v>
      </c>
      <c r="F57" s="28">
        <f t="shared" si="12"/>
        <v>27600</v>
      </c>
      <c r="G57" s="28">
        <f t="shared" si="13"/>
        <v>0</v>
      </c>
      <c r="H57" s="52">
        <f t="shared" si="14"/>
        <v>3.4457831325301203</v>
      </c>
      <c r="I57" s="52">
        <f t="shared" si="15"/>
        <v>3.4670000000000001</v>
      </c>
      <c r="K57" s="52">
        <f t="shared" si="42"/>
        <v>0</v>
      </c>
      <c r="L57" s="135">
        <f t="shared" si="43"/>
        <v>0</v>
      </c>
      <c r="N57" s="131">
        <f t="shared" si="44"/>
        <v>0.37</v>
      </c>
      <c r="O57" s="131">
        <f t="shared" si="45"/>
        <v>0.37</v>
      </c>
      <c r="P57" s="55">
        <f t="shared" si="46"/>
        <v>0</v>
      </c>
      <c r="Q57" s="135">
        <f>_xll.xSPRDOPT(I57,H57,AQ57,0,O57,N57,P57,D57-$G$5,1,0)*AH57*AU57</f>
        <v>0</v>
      </c>
      <c r="R57" s="135"/>
      <c r="S57" s="181">
        <f>_xll.xSPRDOPT(I57,H57,AQ57,AT57,O57,N57,P57,D57-$G$5,1,2)*AF57*(F57/(1-AR57))*AH57</f>
        <v>0</v>
      </c>
      <c r="T57" s="181">
        <f>_xll.xSPRDOPT(I57,H57,AQ57,AT57,O57,N57,P57,D57-$G$5,1,1)*AF57*F57*AH57</f>
        <v>0</v>
      </c>
      <c r="U57" s="135"/>
      <c r="V57" s="146">
        <f t="shared" si="16"/>
        <v>0</v>
      </c>
      <c r="W57" s="146"/>
      <c r="X57" s="338">
        <f t="shared" si="17"/>
        <v>0</v>
      </c>
      <c r="Y57" s="338">
        <f t="shared" si="18"/>
        <v>0</v>
      </c>
      <c r="Z57" s="338">
        <f t="shared" si="19"/>
        <v>0</v>
      </c>
      <c r="AA57" s="338">
        <f t="shared" si="20"/>
        <v>0</v>
      </c>
      <c r="AB57" s="338">
        <f t="shared" si="21"/>
        <v>0</v>
      </c>
      <c r="AC57" s="338">
        <f t="shared" si="22"/>
        <v>0</v>
      </c>
      <c r="AF57" s="138">
        <f t="shared" si="23"/>
        <v>0</v>
      </c>
      <c r="AG57" s="138">
        <f t="shared" si="24"/>
        <v>11</v>
      </c>
      <c r="AH57" s="138">
        <f t="shared" si="51"/>
        <v>0</v>
      </c>
      <c r="AI57" s="138">
        <f t="shared" si="47"/>
        <v>684</v>
      </c>
      <c r="AJ57" s="138">
        <f t="shared" si="26"/>
        <v>701</v>
      </c>
      <c r="AL57" s="136">
        <f t="shared" si="27"/>
        <v>3.4020000000000001</v>
      </c>
      <c r="AM57" s="258">
        <f t="shared" si="48"/>
        <v>0</v>
      </c>
      <c r="AN57" s="258">
        <f t="shared" si="28"/>
        <v>0.03</v>
      </c>
      <c r="AO57" s="258">
        <f t="shared" si="29"/>
        <v>6.5000000000000002E-2</v>
      </c>
      <c r="AP57" s="258">
        <f t="shared" si="30"/>
        <v>0</v>
      </c>
      <c r="AQ57" s="136">
        <f t="shared" si="31"/>
        <v>5.9999999999999995E-4</v>
      </c>
      <c r="AR57" s="137">
        <f t="shared" si="32"/>
        <v>4.0000000000000001E-3</v>
      </c>
      <c r="AS57" s="136">
        <f t="shared" si="49"/>
        <v>3.4319999999999999</v>
      </c>
      <c r="AT57" s="137">
        <f t="shared" si="33"/>
        <v>3.4836153967131397E-2</v>
      </c>
      <c r="AU57" s="137">
        <f t="shared" si="34"/>
        <v>0</v>
      </c>
      <c r="AV57" s="394">
        <f t="shared" si="50"/>
        <v>0</v>
      </c>
      <c r="AW57" s="137">
        <f t="shared" si="35"/>
        <v>0.37</v>
      </c>
      <c r="AX57" s="137">
        <f t="shared" si="36"/>
        <v>0.93</v>
      </c>
      <c r="AY57" s="137">
        <f t="shared" si="37"/>
        <v>0.83</v>
      </c>
      <c r="AZ57" s="137"/>
      <c r="BA57" s="264"/>
      <c r="BB57" s="258">
        <f t="shared" si="38"/>
        <v>0</v>
      </c>
      <c r="BC57" s="258">
        <f t="shared" si="39"/>
        <v>0</v>
      </c>
      <c r="BD57" s="137">
        <f t="shared" si="52"/>
        <v>0</v>
      </c>
      <c r="BE57" s="137">
        <f t="shared" si="52"/>
        <v>0</v>
      </c>
      <c r="BF57" s="137">
        <f>_xll.xSPRDOPT($BW57,$BV57,$CG57,0,$BY57,$BX57,$BZ57,$AJ57,1,4)*$CB57</f>
        <v>0</v>
      </c>
      <c r="BG57" s="137">
        <f>_xll.xSPRDOPT($BW57,$BV57,$CG57,0,$BY57,$BX57,$BZ57,$AJ57,1,3)*$CB57</f>
        <v>0</v>
      </c>
      <c r="BH57" s="137">
        <f>IF(OR(BF57&lt;&gt;0,BG57&lt;&gt;0),_xll.xSPRDOPT($BW57,$BV57,$CG57,0,$BY57,$BX57,$BZ57,$AJ57,1,12)*$CB57,0)</f>
        <v>0</v>
      </c>
      <c r="BI57" s="137">
        <f>_xll.xSPRDOPT($BW57,$BV57,$CG57,2*LN(1+CA57/2),$BY57,$BX57,$BZ57,$AJ57,1,9)</f>
        <v>-0.1962573973095959</v>
      </c>
      <c r="BJ57" s="137">
        <f>_xll.xSPRDOPT($BW57,$BV57,$CG57,0,$BY57,$BX57,$BZ57,$AJ57,1,6)*$CB57</f>
        <v>0</v>
      </c>
      <c r="BK57" s="137">
        <f>_xll.xSPRDOPT($BW57,$BV57,$CG57,0,$BY57,$BX57,$BZ57,$AJ57,1,5)*$CB57</f>
        <v>0</v>
      </c>
      <c r="BL57" s="137">
        <f>_xll.xSPRDOPT(BW57,BV57,CG57,0,BY57,BX57,BZ57,AJ57,1,2)*CB57</f>
        <v>0</v>
      </c>
      <c r="BM57" s="137">
        <f>_xll.xSPRDOPT(BW57,BV57,CG57,0,BY57,BX57,BZ57,AJ57,1,1)*CB57</f>
        <v>0</v>
      </c>
      <c r="BN57" s="137">
        <f>IF(AH57&lt;&gt;0,_xll.xSPRDOPT($BW57,$BV57,$CG57,2*LN(1+CA57/2),$BY57,$BX57,$BZ57,$AJ57,1,8)+(AJ57/365.25)*CH57/AH57,0)</f>
        <v>0</v>
      </c>
      <c r="BO57" s="137">
        <f>_xll.xSPRDOPT($BW57,$BV57,$CG57,0,$BY57,$BX57,$BZ57,$AJ57,1,0)</f>
        <v>0.98844982808400417</v>
      </c>
      <c r="BP57" s="137"/>
      <c r="BQ57" s="137"/>
      <c r="BR57" s="137"/>
      <c r="BS57" s="137"/>
      <c r="BV57" s="262">
        <v>3.4457831325301203</v>
      </c>
      <c r="BW57" s="136">
        <v>3.4670000000000001</v>
      </c>
      <c r="BX57" s="137">
        <v>0.37</v>
      </c>
      <c r="BY57" s="137">
        <v>0.37</v>
      </c>
      <c r="BZ57" s="137">
        <v>0</v>
      </c>
      <c r="CA57" s="137">
        <v>3.4836153967131397E-2</v>
      </c>
      <c r="CB57" s="137">
        <v>0</v>
      </c>
      <c r="CC57" s="258">
        <v>0</v>
      </c>
      <c r="CD57" s="258">
        <v>0.03</v>
      </c>
      <c r="CE57" s="258">
        <v>6.5000000000000002E-2</v>
      </c>
      <c r="CF57" s="258">
        <v>0</v>
      </c>
      <c r="CG57" s="258">
        <v>5.9999999999999995E-4</v>
      </c>
      <c r="CH57" s="258">
        <v>0</v>
      </c>
      <c r="CI57" s="258">
        <v>3.4020000000000001</v>
      </c>
      <c r="CJ57" s="258"/>
      <c r="CK57" s="258"/>
      <c r="CL57" s="258"/>
      <c r="CM57" s="258"/>
    </row>
    <row r="58" spans="1:91" x14ac:dyDescent="0.25">
      <c r="A58" s="723"/>
      <c r="B58" s="723"/>
      <c r="D58" s="31">
        <f t="shared" si="41"/>
        <v>37940</v>
      </c>
      <c r="F58" s="28">
        <f t="shared" si="12"/>
        <v>27600</v>
      </c>
      <c r="G58" s="28">
        <f t="shared" si="13"/>
        <v>0</v>
      </c>
      <c r="H58" s="52">
        <f t="shared" si="14"/>
        <v>3.4457831325301203</v>
      </c>
      <c r="I58" s="52">
        <f t="shared" si="15"/>
        <v>3.4670000000000001</v>
      </c>
      <c r="K58" s="52">
        <f t="shared" si="42"/>
        <v>0</v>
      </c>
      <c r="L58" s="135">
        <f t="shared" si="43"/>
        <v>0</v>
      </c>
      <c r="N58" s="131">
        <f t="shared" si="44"/>
        <v>0.37</v>
      </c>
      <c r="O58" s="131">
        <f t="shared" si="45"/>
        <v>0.37</v>
      </c>
      <c r="P58" s="55">
        <f t="shared" si="46"/>
        <v>0</v>
      </c>
      <c r="Q58" s="135">
        <f>_xll.xSPRDOPT(I58,H58,AQ58,0,O58,N58,P58,D58-$G$5,1,0)*AH58*AU58</f>
        <v>0</v>
      </c>
      <c r="R58" s="135"/>
      <c r="S58" s="181">
        <f>_xll.xSPRDOPT(I58,H58,AQ58,AT58,O58,N58,P58,D58-$G$5,1,2)*AF58*(F58/(1-AR58))*AH58</f>
        <v>0</v>
      </c>
      <c r="T58" s="181">
        <f>_xll.xSPRDOPT(I58,H58,AQ58,AT58,O58,N58,P58,D58-$G$5,1,1)*AF58*F58*AH58</f>
        <v>0</v>
      </c>
      <c r="U58" s="135"/>
      <c r="V58" s="146">
        <f t="shared" si="16"/>
        <v>0</v>
      </c>
      <c r="W58" s="146"/>
      <c r="X58" s="338">
        <f t="shared" si="17"/>
        <v>0</v>
      </c>
      <c r="Y58" s="338">
        <f t="shared" si="18"/>
        <v>0</v>
      </c>
      <c r="Z58" s="338">
        <f t="shared" si="19"/>
        <v>0</v>
      </c>
      <c r="AA58" s="338">
        <f t="shared" si="20"/>
        <v>0</v>
      </c>
      <c r="AB58" s="338">
        <f t="shared" si="21"/>
        <v>0</v>
      </c>
      <c r="AC58" s="338">
        <f t="shared" si="22"/>
        <v>0</v>
      </c>
      <c r="AF58" s="138">
        <f t="shared" si="23"/>
        <v>0</v>
      </c>
      <c r="AG58" s="138">
        <f t="shared" si="24"/>
        <v>11</v>
      </c>
      <c r="AH58" s="138">
        <f t="shared" si="51"/>
        <v>0</v>
      </c>
      <c r="AI58" s="138">
        <f t="shared" si="47"/>
        <v>684</v>
      </c>
      <c r="AJ58" s="138">
        <f t="shared" si="26"/>
        <v>701</v>
      </c>
      <c r="AL58" s="136">
        <f t="shared" si="27"/>
        <v>3.4020000000000001</v>
      </c>
      <c r="AM58" s="258">
        <f t="shared" si="48"/>
        <v>0</v>
      </c>
      <c r="AN58" s="258">
        <f t="shared" si="28"/>
        <v>0.03</v>
      </c>
      <c r="AO58" s="258">
        <f t="shared" si="29"/>
        <v>6.5000000000000002E-2</v>
      </c>
      <c r="AP58" s="258">
        <f t="shared" si="30"/>
        <v>0</v>
      </c>
      <c r="AQ58" s="136">
        <f t="shared" si="31"/>
        <v>5.9999999999999995E-4</v>
      </c>
      <c r="AR58" s="137">
        <f t="shared" si="32"/>
        <v>4.0000000000000001E-3</v>
      </c>
      <c r="AS58" s="136">
        <f t="shared" si="49"/>
        <v>3.4319999999999999</v>
      </c>
      <c r="AT58" s="137">
        <f t="shared" si="33"/>
        <v>3.4836153967131397E-2</v>
      </c>
      <c r="AU58" s="137">
        <f t="shared" si="34"/>
        <v>0</v>
      </c>
      <c r="AV58" s="394">
        <f t="shared" si="50"/>
        <v>0</v>
      </c>
      <c r="AW58" s="137">
        <f t="shared" si="35"/>
        <v>0.37</v>
      </c>
      <c r="AX58" s="137">
        <f t="shared" si="36"/>
        <v>0.93</v>
      </c>
      <c r="AY58" s="137">
        <f t="shared" si="37"/>
        <v>0.83</v>
      </c>
      <c r="AZ58" s="137"/>
      <c r="BA58" s="264"/>
      <c r="BB58" s="258">
        <f t="shared" si="38"/>
        <v>0</v>
      </c>
      <c r="BC58" s="258">
        <f t="shared" si="39"/>
        <v>0</v>
      </c>
      <c r="BD58" s="137">
        <f t="shared" si="52"/>
        <v>0</v>
      </c>
      <c r="BE58" s="137">
        <f t="shared" si="52"/>
        <v>0</v>
      </c>
      <c r="BF58" s="137">
        <f>_xll.xSPRDOPT($BW58,$BV58,$CG58,0,$BY58,$BX58,$BZ58,$AJ58,1,4)*$CB58</f>
        <v>0</v>
      </c>
      <c r="BG58" s="137">
        <f>_xll.xSPRDOPT($BW58,$BV58,$CG58,0,$BY58,$BX58,$BZ58,$AJ58,1,3)*$CB58</f>
        <v>0</v>
      </c>
      <c r="BH58" s="137">
        <f>IF(OR(BF58&lt;&gt;0,BG58&lt;&gt;0),_xll.xSPRDOPT($BW58,$BV58,$CG58,0,$BY58,$BX58,$BZ58,$AJ58,1,12)*$CB58,0)</f>
        <v>0</v>
      </c>
      <c r="BI58" s="137">
        <f>_xll.xSPRDOPT($BW58,$BV58,$CG58,2*LN(1+CA58/2),$BY58,$BX58,$BZ58,$AJ58,1,9)</f>
        <v>-0.1962573973095959</v>
      </c>
      <c r="BJ58" s="137">
        <f>_xll.xSPRDOPT($BW58,$BV58,$CG58,0,$BY58,$BX58,$BZ58,$AJ58,1,6)*$CB58</f>
        <v>0</v>
      </c>
      <c r="BK58" s="137">
        <f>_xll.xSPRDOPT($BW58,$BV58,$CG58,0,$BY58,$BX58,$BZ58,$AJ58,1,5)*$CB58</f>
        <v>0</v>
      </c>
      <c r="BL58" s="137">
        <f>_xll.xSPRDOPT(BW58,BV58,CG58,0,BY58,BX58,BZ58,AJ58,1,2)*CB58</f>
        <v>0</v>
      </c>
      <c r="BM58" s="137">
        <f>_xll.xSPRDOPT(BW58,BV58,CG58,0,BY58,BX58,BZ58,AJ58,1,1)*CB58</f>
        <v>0</v>
      </c>
      <c r="BN58" s="137">
        <f>IF(AH58&lt;&gt;0,_xll.xSPRDOPT($BW58,$BV58,$CG58,2*LN(1+CA58/2),$BY58,$BX58,$BZ58,$AJ58,1,8)+(AJ58/365.25)*CH58/AH58,0)</f>
        <v>0</v>
      </c>
      <c r="BO58" s="137">
        <f>_xll.xSPRDOPT($BW58,$BV58,$CG58,0,$BY58,$BX58,$BZ58,$AJ58,1,0)</f>
        <v>0.98844982808400417</v>
      </c>
      <c r="BP58" s="137"/>
      <c r="BQ58" s="137"/>
      <c r="BR58" s="137"/>
      <c r="BS58" s="137"/>
      <c r="BV58" s="262">
        <v>3.4457831325301203</v>
      </c>
      <c r="BW58" s="136">
        <v>3.4670000000000001</v>
      </c>
      <c r="BX58" s="137">
        <v>0.37</v>
      </c>
      <c r="BY58" s="137">
        <v>0.37</v>
      </c>
      <c r="BZ58" s="137">
        <v>0</v>
      </c>
      <c r="CA58" s="137">
        <v>3.4836153967131397E-2</v>
      </c>
      <c r="CB58" s="137">
        <v>0</v>
      </c>
      <c r="CC58" s="258">
        <v>0</v>
      </c>
      <c r="CD58" s="258">
        <v>0.03</v>
      </c>
      <c r="CE58" s="258">
        <v>6.5000000000000002E-2</v>
      </c>
      <c r="CF58" s="258">
        <v>0</v>
      </c>
      <c r="CG58" s="258">
        <v>5.9999999999999995E-4</v>
      </c>
      <c r="CH58" s="258">
        <v>0</v>
      </c>
      <c r="CI58" s="258">
        <v>3.4020000000000001</v>
      </c>
      <c r="CJ58" s="258"/>
      <c r="CK58" s="258"/>
      <c r="CL58" s="258"/>
      <c r="CM58" s="258"/>
    </row>
    <row r="59" spans="1:91" x14ac:dyDescent="0.25">
      <c r="A59" s="723"/>
      <c r="B59" s="723"/>
      <c r="D59" s="31">
        <f t="shared" si="41"/>
        <v>37940</v>
      </c>
      <c r="F59" s="28">
        <f t="shared" si="12"/>
        <v>27600</v>
      </c>
      <c r="G59" s="28">
        <f t="shared" si="13"/>
        <v>0</v>
      </c>
      <c r="H59" s="52">
        <f t="shared" si="14"/>
        <v>3.4457831325301203</v>
      </c>
      <c r="I59" s="52">
        <f t="shared" si="15"/>
        <v>3.4670000000000001</v>
      </c>
      <c r="K59" s="52">
        <f t="shared" si="42"/>
        <v>0</v>
      </c>
      <c r="L59" s="135">
        <f t="shared" si="43"/>
        <v>0</v>
      </c>
      <c r="N59" s="131">
        <f t="shared" si="44"/>
        <v>0.37</v>
      </c>
      <c r="O59" s="131">
        <f t="shared" si="45"/>
        <v>0.37</v>
      </c>
      <c r="P59" s="55">
        <f t="shared" si="46"/>
        <v>0</v>
      </c>
      <c r="Q59" s="135">
        <f>_xll.xSPRDOPT(I59,H59,AQ59,0,O59,N59,P59,D59-$G$5,1,0)*AH59*AU59</f>
        <v>0</v>
      </c>
      <c r="R59" s="135"/>
      <c r="S59" s="181">
        <f>_xll.xSPRDOPT(I59,H59,AQ59,AT59,O59,N59,P59,D59-$G$5,1,2)*AF59*(F59/(1-AR59))*AH59</f>
        <v>0</v>
      </c>
      <c r="T59" s="181">
        <f>_xll.xSPRDOPT(I59,H59,AQ59,AT59,O59,N59,P59,D59-$G$5,1,1)*AF59*F59*AH59</f>
        <v>0</v>
      </c>
      <c r="U59" s="135"/>
      <c r="V59" s="146">
        <f t="shared" si="16"/>
        <v>0</v>
      </c>
      <c r="W59" s="146"/>
      <c r="X59" s="338">
        <f t="shared" si="17"/>
        <v>0</v>
      </c>
      <c r="Y59" s="338">
        <f t="shared" si="18"/>
        <v>0</v>
      </c>
      <c r="Z59" s="338">
        <f t="shared" si="19"/>
        <v>0</v>
      </c>
      <c r="AA59" s="338">
        <f t="shared" si="20"/>
        <v>0</v>
      </c>
      <c r="AB59" s="338">
        <f t="shared" si="21"/>
        <v>0</v>
      </c>
      <c r="AC59" s="338">
        <f t="shared" si="22"/>
        <v>0</v>
      </c>
      <c r="AF59" s="138">
        <f t="shared" si="23"/>
        <v>0</v>
      </c>
      <c r="AG59" s="138">
        <f t="shared" si="24"/>
        <v>11</v>
      </c>
      <c r="AH59" s="138">
        <f t="shared" si="51"/>
        <v>0</v>
      </c>
      <c r="AI59" s="138">
        <f t="shared" si="47"/>
        <v>684</v>
      </c>
      <c r="AJ59" s="138">
        <f t="shared" si="26"/>
        <v>701</v>
      </c>
      <c r="AL59" s="136">
        <f t="shared" si="27"/>
        <v>3.4020000000000001</v>
      </c>
      <c r="AM59" s="258">
        <f t="shared" si="48"/>
        <v>0</v>
      </c>
      <c r="AN59" s="258">
        <f t="shared" si="28"/>
        <v>0.03</v>
      </c>
      <c r="AO59" s="258">
        <f t="shared" si="29"/>
        <v>6.5000000000000002E-2</v>
      </c>
      <c r="AP59" s="258">
        <f t="shared" si="30"/>
        <v>0</v>
      </c>
      <c r="AQ59" s="136">
        <f t="shared" si="31"/>
        <v>5.9999999999999995E-4</v>
      </c>
      <c r="AR59" s="137">
        <f t="shared" si="32"/>
        <v>4.0000000000000001E-3</v>
      </c>
      <c r="AS59" s="136">
        <f t="shared" si="49"/>
        <v>3.4319999999999999</v>
      </c>
      <c r="AT59" s="137">
        <f t="shared" si="33"/>
        <v>3.4836153967131397E-2</v>
      </c>
      <c r="AU59" s="137">
        <f t="shared" si="34"/>
        <v>0</v>
      </c>
      <c r="AV59" s="394">
        <f t="shared" si="50"/>
        <v>0</v>
      </c>
      <c r="AW59" s="137">
        <f t="shared" si="35"/>
        <v>0.37</v>
      </c>
      <c r="AX59" s="137">
        <f t="shared" si="36"/>
        <v>0.93</v>
      </c>
      <c r="AY59" s="137">
        <f t="shared" si="37"/>
        <v>0.83</v>
      </c>
      <c r="AZ59" s="137"/>
      <c r="BA59" s="264"/>
      <c r="BB59" s="258">
        <f t="shared" si="38"/>
        <v>0</v>
      </c>
      <c r="BC59" s="258">
        <f t="shared" si="39"/>
        <v>0</v>
      </c>
      <c r="BD59" s="137">
        <f t="shared" si="52"/>
        <v>0</v>
      </c>
      <c r="BE59" s="137">
        <f t="shared" si="52"/>
        <v>0</v>
      </c>
      <c r="BF59" s="137">
        <f>_xll.xSPRDOPT($BW59,$BV59,$CG59,0,$BY59,$BX59,$BZ59,$AJ59,1,4)*$CB59</f>
        <v>0</v>
      </c>
      <c r="BG59" s="137">
        <f>_xll.xSPRDOPT($BW59,$BV59,$CG59,0,$BY59,$BX59,$BZ59,$AJ59,1,3)*$CB59</f>
        <v>0</v>
      </c>
      <c r="BH59" s="137">
        <f>IF(OR(BF59&lt;&gt;0,BG59&lt;&gt;0),_xll.xSPRDOPT($BW59,$BV59,$CG59,0,$BY59,$BX59,$BZ59,$AJ59,1,12)*$CB59,0)</f>
        <v>0</v>
      </c>
      <c r="BI59" s="137">
        <f>_xll.xSPRDOPT($BW59,$BV59,$CG59,2*LN(1+CA59/2),$BY59,$BX59,$BZ59,$AJ59,1,9)</f>
        <v>-0.1962573973095959</v>
      </c>
      <c r="BJ59" s="137">
        <f>_xll.xSPRDOPT($BW59,$BV59,$CG59,0,$BY59,$BX59,$BZ59,$AJ59,1,6)*$CB59</f>
        <v>0</v>
      </c>
      <c r="BK59" s="137">
        <f>_xll.xSPRDOPT($BW59,$BV59,$CG59,0,$BY59,$BX59,$BZ59,$AJ59,1,5)*$CB59</f>
        <v>0</v>
      </c>
      <c r="BL59" s="137">
        <f>_xll.xSPRDOPT(BW59,BV59,CG59,0,BY59,BX59,BZ59,AJ59,1,2)*CB59</f>
        <v>0</v>
      </c>
      <c r="BM59" s="137">
        <f>_xll.xSPRDOPT(BW59,BV59,CG59,0,BY59,BX59,BZ59,AJ59,1,1)*CB59</f>
        <v>0</v>
      </c>
      <c r="BN59" s="137">
        <f>IF(AH59&lt;&gt;0,_xll.xSPRDOPT($BW59,$BV59,$CG59,2*LN(1+CA59/2),$BY59,$BX59,$BZ59,$AJ59,1,8)+(AJ59/365.25)*CH59/AH59,0)</f>
        <v>0</v>
      </c>
      <c r="BO59" s="137">
        <f>_xll.xSPRDOPT($BW59,$BV59,$CG59,0,$BY59,$BX59,$BZ59,$AJ59,1,0)</f>
        <v>0.98844982808400417</v>
      </c>
      <c r="BP59" s="137"/>
      <c r="BQ59" s="137"/>
      <c r="BR59" s="137"/>
      <c r="BS59" s="137"/>
      <c r="BV59" s="262">
        <v>3.4457831325301203</v>
      </c>
      <c r="BW59" s="136">
        <v>3.4670000000000001</v>
      </c>
      <c r="BX59" s="137">
        <v>0.37</v>
      </c>
      <c r="BY59" s="137">
        <v>0.37</v>
      </c>
      <c r="BZ59" s="137">
        <v>0</v>
      </c>
      <c r="CA59" s="137">
        <v>3.4836153967131397E-2</v>
      </c>
      <c r="CB59" s="137">
        <v>0</v>
      </c>
      <c r="CC59" s="258">
        <v>0</v>
      </c>
      <c r="CD59" s="258">
        <v>0.03</v>
      </c>
      <c r="CE59" s="258">
        <v>6.5000000000000002E-2</v>
      </c>
      <c r="CF59" s="258">
        <v>0</v>
      </c>
      <c r="CG59" s="258">
        <v>5.9999999999999995E-4</v>
      </c>
      <c r="CH59" s="258">
        <v>0</v>
      </c>
      <c r="CI59" s="258">
        <v>3.4020000000000001</v>
      </c>
      <c r="CJ59" s="258"/>
      <c r="CK59" s="258"/>
      <c r="CL59" s="258"/>
      <c r="CM59" s="258"/>
    </row>
    <row r="60" spans="1:91" x14ac:dyDescent="0.25">
      <c r="A60" s="723"/>
      <c r="B60" s="723"/>
      <c r="D60" s="31">
        <f t="shared" si="41"/>
        <v>37940</v>
      </c>
      <c r="F60" s="28">
        <f t="shared" si="12"/>
        <v>27600</v>
      </c>
      <c r="G60" s="28">
        <f t="shared" si="13"/>
        <v>0</v>
      </c>
      <c r="H60" s="52">
        <f t="shared" si="14"/>
        <v>3.4457831325301203</v>
      </c>
      <c r="I60" s="52">
        <f t="shared" si="15"/>
        <v>3.4670000000000001</v>
      </c>
      <c r="K60" s="52">
        <f t="shared" si="42"/>
        <v>0</v>
      </c>
      <c r="L60" s="135">
        <f t="shared" si="43"/>
        <v>0</v>
      </c>
      <c r="N60" s="131">
        <f t="shared" si="44"/>
        <v>0.37</v>
      </c>
      <c r="O60" s="131">
        <f t="shared" si="45"/>
        <v>0.37</v>
      </c>
      <c r="P60" s="55">
        <f t="shared" si="46"/>
        <v>0</v>
      </c>
      <c r="Q60" s="135">
        <f>_xll.xSPRDOPT(I60,H60,AQ60,0,O60,N60,P60,D60-$G$5,1,0)*AH60*AU60</f>
        <v>0</v>
      </c>
      <c r="R60" s="135"/>
      <c r="S60" s="181">
        <f>_xll.xSPRDOPT(I60,H60,AQ60,AT60,O60,N60,P60,D60-$G$5,1,2)*AF60*(F60/(1-AR60))*AH60</f>
        <v>0</v>
      </c>
      <c r="T60" s="181">
        <f>_xll.xSPRDOPT(I60,H60,AQ60,AT60,O60,N60,P60,D60-$G$5,1,1)*AF60*F60*AH60</f>
        <v>0</v>
      </c>
      <c r="U60" s="135"/>
      <c r="V60" s="146">
        <f t="shared" si="16"/>
        <v>0</v>
      </c>
      <c r="W60" s="146"/>
      <c r="X60" s="338">
        <f t="shared" si="17"/>
        <v>0</v>
      </c>
      <c r="Y60" s="338">
        <f t="shared" si="18"/>
        <v>0</v>
      </c>
      <c r="Z60" s="338">
        <f t="shared" si="19"/>
        <v>0</v>
      </c>
      <c r="AA60" s="338">
        <f t="shared" si="20"/>
        <v>0</v>
      </c>
      <c r="AB60" s="338">
        <f t="shared" si="21"/>
        <v>0</v>
      </c>
      <c r="AC60" s="338">
        <f t="shared" si="22"/>
        <v>0</v>
      </c>
      <c r="AF60" s="138">
        <f t="shared" si="23"/>
        <v>0</v>
      </c>
      <c r="AG60" s="138">
        <f t="shared" si="24"/>
        <v>11</v>
      </c>
      <c r="AH60" s="138">
        <f t="shared" si="51"/>
        <v>0</v>
      </c>
      <c r="AI60" s="138">
        <f t="shared" si="47"/>
        <v>684</v>
      </c>
      <c r="AJ60" s="138">
        <f t="shared" si="26"/>
        <v>701</v>
      </c>
      <c r="AL60" s="136">
        <f t="shared" si="27"/>
        <v>3.4020000000000001</v>
      </c>
      <c r="AM60" s="258">
        <f t="shared" si="48"/>
        <v>0</v>
      </c>
      <c r="AN60" s="258">
        <f t="shared" si="28"/>
        <v>0.03</v>
      </c>
      <c r="AO60" s="258">
        <f t="shared" si="29"/>
        <v>6.5000000000000002E-2</v>
      </c>
      <c r="AP60" s="258">
        <f t="shared" si="30"/>
        <v>0</v>
      </c>
      <c r="AQ60" s="136">
        <f t="shared" si="31"/>
        <v>5.9999999999999995E-4</v>
      </c>
      <c r="AR60" s="137">
        <f t="shared" si="32"/>
        <v>4.0000000000000001E-3</v>
      </c>
      <c r="AS60" s="136">
        <f t="shared" si="49"/>
        <v>3.4319999999999999</v>
      </c>
      <c r="AT60" s="137">
        <f t="shared" si="33"/>
        <v>3.4836153967131397E-2</v>
      </c>
      <c r="AU60" s="137">
        <f t="shared" si="34"/>
        <v>0</v>
      </c>
      <c r="AV60" s="394">
        <f t="shared" si="50"/>
        <v>0</v>
      </c>
      <c r="AW60" s="137">
        <f t="shared" si="35"/>
        <v>0.37</v>
      </c>
      <c r="AX60" s="137">
        <f t="shared" si="36"/>
        <v>0.93</v>
      </c>
      <c r="AY60" s="137">
        <f t="shared" si="37"/>
        <v>0.83</v>
      </c>
      <c r="AZ60" s="137"/>
      <c r="BA60" s="264"/>
      <c r="BB60" s="258">
        <f t="shared" si="38"/>
        <v>0</v>
      </c>
      <c r="BC60" s="258">
        <f t="shared" si="39"/>
        <v>0</v>
      </c>
      <c r="BD60" s="137">
        <f t="shared" si="52"/>
        <v>0</v>
      </c>
      <c r="BE60" s="137">
        <f t="shared" si="52"/>
        <v>0</v>
      </c>
      <c r="BF60" s="137">
        <f>_xll.xSPRDOPT($BW60,$BV60,$CG60,0,$BY60,$BX60,$BZ60,$AJ60,1,4)*$CB60</f>
        <v>0</v>
      </c>
      <c r="BG60" s="137">
        <f>_xll.xSPRDOPT($BW60,$BV60,$CG60,0,$BY60,$BX60,$BZ60,$AJ60,1,3)*$CB60</f>
        <v>0</v>
      </c>
      <c r="BH60" s="137">
        <f>IF(OR(BF60&lt;&gt;0,BG60&lt;&gt;0),_xll.xSPRDOPT($BW60,$BV60,$CG60,0,$BY60,$BX60,$BZ60,$AJ60,1,12)*$CB60,0)</f>
        <v>0</v>
      </c>
      <c r="BI60" s="137">
        <f>_xll.xSPRDOPT($BW60,$BV60,$CG60,2*LN(1+CA60/2),$BY60,$BX60,$BZ60,$AJ60,1,9)</f>
        <v>-0.1962573973095959</v>
      </c>
      <c r="BJ60" s="137">
        <f>_xll.xSPRDOPT($BW60,$BV60,$CG60,0,$BY60,$BX60,$BZ60,$AJ60,1,6)*$CB60</f>
        <v>0</v>
      </c>
      <c r="BK60" s="137">
        <f>_xll.xSPRDOPT($BW60,$BV60,$CG60,0,$BY60,$BX60,$BZ60,$AJ60,1,5)*$CB60</f>
        <v>0</v>
      </c>
      <c r="BL60" s="137">
        <f>_xll.xSPRDOPT(BW60,BV60,CG60,0,BY60,BX60,BZ60,AJ60,1,2)*CB60</f>
        <v>0</v>
      </c>
      <c r="BM60" s="137">
        <f>_xll.xSPRDOPT(BW60,BV60,CG60,0,BY60,BX60,BZ60,AJ60,1,1)*CB60</f>
        <v>0</v>
      </c>
      <c r="BN60" s="137">
        <f>IF(AH60&lt;&gt;0,_xll.xSPRDOPT($BW60,$BV60,$CG60,2*LN(1+CA60/2),$BY60,$BX60,$BZ60,$AJ60,1,8)+(AJ60/365.25)*CH60/AH60,0)</f>
        <v>0</v>
      </c>
      <c r="BO60" s="137">
        <f>_xll.xSPRDOPT($BW60,$BV60,$CG60,0,$BY60,$BX60,$BZ60,$AJ60,1,0)</f>
        <v>0.98844982808400417</v>
      </c>
      <c r="BP60" s="137"/>
      <c r="BQ60" s="137"/>
      <c r="BR60" s="137"/>
      <c r="BS60" s="137"/>
      <c r="BV60" s="262">
        <v>3.4457831325301203</v>
      </c>
      <c r="BW60" s="136">
        <v>3.4670000000000001</v>
      </c>
      <c r="BX60" s="137">
        <v>0.37</v>
      </c>
      <c r="BY60" s="137">
        <v>0.37</v>
      </c>
      <c r="BZ60" s="137">
        <v>0</v>
      </c>
      <c r="CA60" s="137">
        <v>3.4836153967131397E-2</v>
      </c>
      <c r="CB60" s="137">
        <v>0</v>
      </c>
      <c r="CC60" s="258">
        <v>0</v>
      </c>
      <c r="CD60" s="258">
        <v>0.03</v>
      </c>
      <c r="CE60" s="258">
        <v>6.5000000000000002E-2</v>
      </c>
      <c r="CF60" s="258">
        <v>0</v>
      </c>
      <c r="CG60" s="258">
        <v>5.9999999999999995E-4</v>
      </c>
      <c r="CH60" s="258">
        <v>0</v>
      </c>
      <c r="CI60" s="258">
        <v>3.4020000000000001</v>
      </c>
      <c r="CJ60" s="258"/>
      <c r="CK60" s="258"/>
      <c r="CL60" s="258"/>
      <c r="CM60" s="258"/>
    </row>
    <row r="61" spans="1:91" x14ac:dyDescent="0.25">
      <c r="A61" s="723"/>
      <c r="B61" s="723"/>
      <c r="D61" s="31">
        <f t="shared" si="41"/>
        <v>37940</v>
      </c>
      <c r="F61" s="28">
        <f t="shared" si="12"/>
        <v>27600</v>
      </c>
      <c r="G61" s="28">
        <f t="shared" si="13"/>
        <v>0</v>
      </c>
      <c r="H61" s="52">
        <f t="shared" si="14"/>
        <v>3.4457831325301203</v>
      </c>
      <c r="I61" s="52">
        <f t="shared" si="15"/>
        <v>3.4670000000000001</v>
      </c>
      <c r="K61" s="52">
        <f t="shared" si="42"/>
        <v>0</v>
      </c>
      <c r="L61" s="135">
        <f t="shared" si="43"/>
        <v>0</v>
      </c>
      <c r="N61" s="131">
        <f t="shared" si="44"/>
        <v>0.37</v>
      </c>
      <c r="O61" s="131">
        <f t="shared" si="45"/>
        <v>0.37</v>
      </c>
      <c r="P61" s="55">
        <f t="shared" si="46"/>
        <v>0</v>
      </c>
      <c r="Q61" s="135">
        <f>_xll.xSPRDOPT(I61,H61,AQ61,0,O61,N61,P61,D61-$G$5,1,0)*AH61*AU61</f>
        <v>0</v>
      </c>
      <c r="R61" s="135"/>
      <c r="S61" s="181">
        <f>_xll.xSPRDOPT(I61,H61,AQ61,AT61,O61,N61,P61,D61-$G$5,1,2)*AF61*(F61/(1-AR61))*AH61</f>
        <v>0</v>
      </c>
      <c r="T61" s="181">
        <f>_xll.xSPRDOPT(I61,H61,AQ61,AT61,O61,N61,P61,D61-$G$5,1,1)*AF61*F61*AH61</f>
        <v>0</v>
      </c>
      <c r="U61" s="135"/>
      <c r="V61" s="146">
        <f t="shared" si="16"/>
        <v>0</v>
      </c>
      <c r="W61" s="146"/>
      <c r="X61" s="338">
        <f t="shared" si="17"/>
        <v>0</v>
      </c>
      <c r="Y61" s="338">
        <f t="shared" si="18"/>
        <v>0</v>
      </c>
      <c r="Z61" s="338">
        <f t="shared" si="19"/>
        <v>0</v>
      </c>
      <c r="AA61" s="338">
        <f t="shared" si="20"/>
        <v>0</v>
      </c>
      <c r="AB61" s="338">
        <f t="shared" si="21"/>
        <v>0</v>
      </c>
      <c r="AC61" s="338">
        <f t="shared" si="22"/>
        <v>0</v>
      </c>
      <c r="AF61" s="138">
        <f t="shared" si="23"/>
        <v>0</v>
      </c>
      <c r="AG61" s="138">
        <f t="shared" si="24"/>
        <v>11</v>
      </c>
      <c r="AH61" s="138">
        <f t="shared" si="51"/>
        <v>0</v>
      </c>
      <c r="AI61" s="138">
        <f t="shared" si="47"/>
        <v>684</v>
      </c>
      <c r="AJ61" s="138">
        <f t="shared" si="26"/>
        <v>701</v>
      </c>
      <c r="AL61" s="136">
        <f t="shared" si="27"/>
        <v>3.4020000000000001</v>
      </c>
      <c r="AM61" s="258">
        <f t="shared" si="48"/>
        <v>0</v>
      </c>
      <c r="AN61" s="258">
        <f t="shared" si="28"/>
        <v>0.03</v>
      </c>
      <c r="AO61" s="258">
        <f t="shared" si="29"/>
        <v>6.5000000000000002E-2</v>
      </c>
      <c r="AP61" s="258">
        <f t="shared" si="30"/>
        <v>0</v>
      </c>
      <c r="AQ61" s="136">
        <f t="shared" si="31"/>
        <v>5.9999999999999995E-4</v>
      </c>
      <c r="AR61" s="137">
        <f t="shared" si="32"/>
        <v>4.0000000000000001E-3</v>
      </c>
      <c r="AS61" s="136">
        <f t="shared" si="49"/>
        <v>3.4319999999999999</v>
      </c>
      <c r="AT61" s="137">
        <f t="shared" si="33"/>
        <v>3.4836153967131397E-2</v>
      </c>
      <c r="AU61" s="137">
        <f t="shared" si="34"/>
        <v>0</v>
      </c>
      <c r="AV61" s="394">
        <f t="shared" si="50"/>
        <v>0</v>
      </c>
      <c r="AW61" s="137">
        <f t="shared" si="35"/>
        <v>0.37</v>
      </c>
      <c r="AX61" s="137">
        <f t="shared" si="36"/>
        <v>0.93</v>
      </c>
      <c r="AY61" s="137">
        <f t="shared" si="37"/>
        <v>0.83</v>
      </c>
      <c r="AZ61" s="137"/>
      <c r="BA61" s="264"/>
      <c r="BB61" s="258">
        <f t="shared" si="38"/>
        <v>0</v>
      </c>
      <c r="BC61" s="258">
        <f t="shared" si="39"/>
        <v>0</v>
      </c>
      <c r="BD61" s="137">
        <f t="shared" si="52"/>
        <v>0</v>
      </c>
      <c r="BE61" s="137">
        <f t="shared" si="52"/>
        <v>0</v>
      </c>
      <c r="BF61" s="137">
        <f>_xll.xSPRDOPT($BW61,$BV61,$CG61,0,$BY61,$BX61,$BZ61,$AJ61,1,4)*$CB61</f>
        <v>0</v>
      </c>
      <c r="BG61" s="137">
        <f>_xll.xSPRDOPT($BW61,$BV61,$CG61,0,$BY61,$BX61,$BZ61,$AJ61,1,3)*$CB61</f>
        <v>0</v>
      </c>
      <c r="BH61" s="137">
        <f>IF(OR(BF61&lt;&gt;0,BG61&lt;&gt;0),_xll.xSPRDOPT($BW61,$BV61,$CG61,0,$BY61,$BX61,$BZ61,$AJ61,1,12)*$CB61,0)</f>
        <v>0</v>
      </c>
      <c r="BI61" s="137">
        <f>_xll.xSPRDOPT($BW61,$BV61,$CG61,2*LN(1+CA61/2),$BY61,$BX61,$BZ61,$AJ61,1,9)</f>
        <v>-0.1962573973095959</v>
      </c>
      <c r="BJ61" s="137">
        <f>_xll.xSPRDOPT($BW61,$BV61,$CG61,0,$BY61,$BX61,$BZ61,$AJ61,1,6)*$CB61</f>
        <v>0</v>
      </c>
      <c r="BK61" s="137">
        <f>_xll.xSPRDOPT($BW61,$BV61,$CG61,0,$BY61,$BX61,$BZ61,$AJ61,1,5)*$CB61</f>
        <v>0</v>
      </c>
      <c r="BL61" s="137">
        <f>_xll.xSPRDOPT(BW61,BV61,CG61,0,BY61,BX61,BZ61,AJ61,1,2)*CB61</f>
        <v>0</v>
      </c>
      <c r="BM61" s="137">
        <f>_xll.xSPRDOPT(BW61,BV61,CG61,0,BY61,BX61,BZ61,AJ61,1,1)*CB61</f>
        <v>0</v>
      </c>
      <c r="BN61" s="137">
        <f>IF(AH61&lt;&gt;0,_xll.xSPRDOPT($BW61,$BV61,$CG61,2*LN(1+CA61/2),$BY61,$BX61,$BZ61,$AJ61,1,8)+(AJ61/365.25)*CH61/AH61,0)</f>
        <v>0</v>
      </c>
      <c r="BO61" s="137">
        <f>_xll.xSPRDOPT($BW61,$BV61,$CG61,0,$BY61,$BX61,$BZ61,$AJ61,1,0)</f>
        <v>0.98844982808400417</v>
      </c>
      <c r="BP61" s="137"/>
      <c r="BQ61" s="137"/>
      <c r="BR61" s="137"/>
      <c r="BS61" s="137"/>
      <c r="BV61" s="262">
        <v>3.4457831325301203</v>
      </c>
      <c r="BW61" s="136">
        <v>3.4670000000000001</v>
      </c>
      <c r="BX61" s="137">
        <v>0.37</v>
      </c>
      <c r="BY61" s="137">
        <v>0.37</v>
      </c>
      <c r="BZ61" s="137">
        <v>0</v>
      </c>
      <c r="CA61" s="137">
        <v>3.4836153967131397E-2</v>
      </c>
      <c r="CB61" s="137">
        <v>0</v>
      </c>
      <c r="CC61" s="258">
        <v>0</v>
      </c>
      <c r="CD61" s="258">
        <v>0.03</v>
      </c>
      <c r="CE61" s="258">
        <v>6.5000000000000002E-2</v>
      </c>
      <c r="CF61" s="258">
        <v>0</v>
      </c>
      <c r="CG61" s="258">
        <v>5.9999999999999995E-4</v>
      </c>
      <c r="CH61" s="258">
        <v>0</v>
      </c>
      <c r="CI61" s="258">
        <v>3.4020000000000001</v>
      </c>
      <c r="CJ61" s="258"/>
      <c r="CK61" s="258"/>
      <c r="CL61" s="258"/>
      <c r="CM61" s="258"/>
    </row>
    <row r="62" spans="1:91" x14ac:dyDescent="0.25">
      <c r="A62" s="723"/>
      <c r="B62" s="723"/>
      <c r="D62" s="31">
        <f t="shared" si="41"/>
        <v>37940</v>
      </c>
      <c r="F62" s="28">
        <f t="shared" si="12"/>
        <v>27600</v>
      </c>
      <c r="G62" s="28">
        <f t="shared" si="13"/>
        <v>0</v>
      </c>
      <c r="H62" s="52">
        <f t="shared" si="14"/>
        <v>3.4457831325301203</v>
      </c>
      <c r="I62" s="52">
        <f t="shared" si="15"/>
        <v>3.4670000000000001</v>
      </c>
      <c r="K62" s="52">
        <f t="shared" si="42"/>
        <v>0</v>
      </c>
      <c r="L62" s="135">
        <f t="shared" si="43"/>
        <v>0</v>
      </c>
      <c r="N62" s="131">
        <f t="shared" si="44"/>
        <v>0.37</v>
      </c>
      <c r="O62" s="131">
        <f t="shared" si="45"/>
        <v>0.37</v>
      </c>
      <c r="P62" s="55">
        <f t="shared" si="46"/>
        <v>0</v>
      </c>
      <c r="Q62" s="135">
        <f>_xll.xSPRDOPT(I62,H62,AQ62,0,O62,N62,P62,D62-$G$5,1,0)*AH62*AU62</f>
        <v>0</v>
      </c>
      <c r="R62" s="135"/>
      <c r="S62" s="181">
        <f>_xll.xSPRDOPT(I62,H62,AQ62,AT62,O62,N62,P62,D62-$G$5,1,2)*AF62*(F62/(1-AR62))*AH62</f>
        <v>0</v>
      </c>
      <c r="T62" s="181">
        <f>_xll.xSPRDOPT(I62,H62,AQ62,AT62,O62,N62,P62,D62-$G$5,1,1)*AF62*F62*AH62</f>
        <v>0</v>
      </c>
      <c r="U62" s="135"/>
      <c r="V62" s="146">
        <f t="shared" si="16"/>
        <v>0</v>
      </c>
      <c r="W62" s="146"/>
      <c r="X62" s="338">
        <f t="shared" si="17"/>
        <v>0</v>
      </c>
      <c r="Y62" s="338">
        <f t="shared" si="18"/>
        <v>0</v>
      </c>
      <c r="Z62" s="338">
        <f t="shared" si="19"/>
        <v>0</v>
      </c>
      <c r="AA62" s="338">
        <f t="shared" si="20"/>
        <v>0</v>
      </c>
      <c r="AB62" s="338">
        <f t="shared" si="21"/>
        <v>0</v>
      </c>
      <c r="AC62" s="338">
        <f t="shared" si="22"/>
        <v>0</v>
      </c>
      <c r="AF62" s="138">
        <f t="shared" si="23"/>
        <v>0</v>
      </c>
      <c r="AG62" s="138">
        <f t="shared" si="24"/>
        <v>11</v>
      </c>
      <c r="AH62" s="138">
        <f t="shared" si="51"/>
        <v>0</v>
      </c>
      <c r="AI62" s="138">
        <f t="shared" si="47"/>
        <v>684</v>
      </c>
      <c r="AJ62" s="138">
        <f t="shared" si="26"/>
        <v>701</v>
      </c>
      <c r="AL62" s="136">
        <f t="shared" si="27"/>
        <v>3.4020000000000001</v>
      </c>
      <c r="AM62" s="258">
        <f t="shared" si="48"/>
        <v>0</v>
      </c>
      <c r="AN62" s="258">
        <f t="shared" si="28"/>
        <v>0.03</v>
      </c>
      <c r="AO62" s="258">
        <f t="shared" si="29"/>
        <v>6.5000000000000002E-2</v>
      </c>
      <c r="AP62" s="258">
        <f t="shared" si="30"/>
        <v>0</v>
      </c>
      <c r="AQ62" s="136">
        <f t="shared" si="31"/>
        <v>5.9999999999999995E-4</v>
      </c>
      <c r="AR62" s="137">
        <f t="shared" si="32"/>
        <v>4.0000000000000001E-3</v>
      </c>
      <c r="AS62" s="136">
        <f t="shared" si="49"/>
        <v>3.4319999999999999</v>
      </c>
      <c r="AT62" s="137">
        <f t="shared" si="33"/>
        <v>3.4836153967131397E-2</v>
      </c>
      <c r="AU62" s="137">
        <f t="shared" si="34"/>
        <v>0</v>
      </c>
      <c r="AV62" s="394">
        <f t="shared" si="50"/>
        <v>0</v>
      </c>
      <c r="AW62" s="137">
        <f t="shared" si="35"/>
        <v>0.37</v>
      </c>
      <c r="AX62" s="137">
        <f t="shared" si="36"/>
        <v>0.93</v>
      </c>
      <c r="AY62" s="137">
        <f t="shared" si="37"/>
        <v>0.83</v>
      </c>
      <c r="AZ62" s="137"/>
      <c r="BA62" s="264"/>
      <c r="BB62" s="258">
        <f t="shared" si="38"/>
        <v>0</v>
      </c>
      <c r="BC62" s="258">
        <f t="shared" si="39"/>
        <v>0</v>
      </c>
      <c r="BD62" s="137">
        <f t="shared" si="52"/>
        <v>0</v>
      </c>
      <c r="BE62" s="137">
        <f t="shared" si="52"/>
        <v>0</v>
      </c>
      <c r="BF62" s="137">
        <f>_xll.xSPRDOPT($BW62,$BV62,$CG62,0,$BY62,$BX62,$BZ62,$AJ62,1,4)*$CB62</f>
        <v>0</v>
      </c>
      <c r="BG62" s="137">
        <f>_xll.xSPRDOPT($BW62,$BV62,$CG62,0,$BY62,$BX62,$BZ62,$AJ62,1,3)*$CB62</f>
        <v>0</v>
      </c>
      <c r="BH62" s="137">
        <f>IF(OR(BF62&lt;&gt;0,BG62&lt;&gt;0),_xll.xSPRDOPT($BW62,$BV62,$CG62,0,$BY62,$BX62,$BZ62,$AJ62,1,12)*$CB62,0)</f>
        <v>0</v>
      </c>
      <c r="BI62" s="137">
        <f>_xll.xSPRDOPT($BW62,$BV62,$CG62,2*LN(1+CA62/2),$BY62,$BX62,$BZ62,$AJ62,1,9)</f>
        <v>-0.1962573973095959</v>
      </c>
      <c r="BJ62" s="137">
        <f>_xll.xSPRDOPT($BW62,$BV62,$CG62,0,$BY62,$BX62,$BZ62,$AJ62,1,6)*$CB62</f>
        <v>0</v>
      </c>
      <c r="BK62" s="137">
        <f>_xll.xSPRDOPT($BW62,$BV62,$CG62,0,$BY62,$BX62,$BZ62,$AJ62,1,5)*$CB62</f>
        <v>0</v>
      </c>
      <c r="BL62" s="137">
        <f>_xll.xSPRDOPT(BW62,BV62,CG62,0,BY62,BX62,BZ62,AJ62,1,2)*CB62</f>
        <v>0</v>
      </c>
      <c r="BM62" s="137">
        <f>_xll.xSPRDOPT(BW62,BV62,CG62,0,BY62,BX62,BZ62,AJ62,1,1)*CB62</f>
        <v>0</v>
      </c>
      <c r="BN62" s="137">
        <f>IF(AH62&lt;&gt;0,_xll.xSPRDOPT($BW62,$BV62,$CG62,2*LN(1+CA62/2),$BY62,$BX62,$BZ62,$AJ62,1,8)+(AJ62/365.25)*CH62/AH62,0)</f>
        <v>0</v>
      </c>
      <c r="BO62" s="137">
        <f>_xll.xSPRDOPT($BW62,$BV62,$CG62,0,$BY62,$BX62,$BZ62,$AJ62,1,0)</f>
        <v>0.98844982808400417</v>
      </c>
      <c r="BP62" s="137"/>
      <c r="BQ62" s="137"/>
      <c r="BR62" s="137"/>
      <c r="BS62" s="137"/>
      <c r="BV62" s="262">
        <v>3.4457831325301203</v>
      </c>
      <c r="BW62" s="136">
        <v>3.4670000000000001</v>
      </c>
      <c r="BX62" s="137">
        <v>0.37</v>
      </c>
      <c r="BY62" s="137">
        <v>0.37</v>
      </c>
      <c r="BZ62" s="137">
        <v>0</v>
      </c>
      <c r="CA62" s="137">
        <v>3.4836153967131397E-2</v>
      </c>
      <c r="CB62" s="137">
        <v>0</v>
      </c>
      <c r="CC62" s="258">
        <v>0</v>
      </c>
      <c r="CD62" s="258">
        <v>0.03</v>
      </c>
      <c r="CE62" s="258">
        <v>6.5000000000000002E-2</v>
      </c>
      <c r="CF62" s="258">
        <v>0</v>
      </c>
      <c r="CG62" s="258">
        <v>5.9999999999999995E-4</v>
      </c>
      <c r="CH62" s="258">
        <v>0</v>
      </c>
      <c r="CI62" s="258">
        <v>3.4020000000000001</v>
      </c>
      <c r="CJ62" s="258"/>
      <c r="CK62" s="258"/>
      <c r="CL62" s="258"/>
      <c r="CM62" s="258"/>
    </row>
    <row r="63" spans="1:91" x14ac:dyDescent="0.25">
      <c r="A63" s="723"/>
      <c r="B63" s="723"/>
      <c r="D63" s="31">
        <f t="shared" si="41"/>
        <v>37940</v>
      </c>
      <c r="F63" s="28">
        <f t="shared" si="12"/>
        <v>27600</v>
      </c>
      <c r="G63" s="28">
        <f t="shared" si="13"/>
        <v>0</v>
      </c>
      <c r="H63" s="52">
        <f t="shared" si="14"/>
        <v>3.4457831325301203</v>
      </c>
      <c r="I63" s="52">
        <f t="shared" si="15"/>
        <v>3.4670000000000001</v>
      </c>
      <c r="K63" s="52">
        <f t="shared" si="42"/>
        <v>0</v>
      </c>
      <c r="L63" s="135">
        <f t="shared" si="43"/>
        <v>0</v>
      </c>
      <c r="N63" s="131">
        <f t="shared" si="44"/>
        <v>0.37</v>
      </c>
      <c r="O63" s="131">
        <f t="shared" si="45"/>
        <v>0.37</v>
      </c>
      <c r="P63" s="55">
        <f t="shared" si="46"/>
        <v>0</v>
      </c>
      <c r="Q63" s="135">
        <f>_xll.xSPRDOPT(I63,H63,AQ63,0,O63,N63,P63,D63-$G$5,1,0)*AH63*AU63</f>
        <v>0</v>
      </c>
      <c r="R63" s="135"/>
      <c r="S63" s="181">
        <f>_xll.xSPRDOPT(I63,H63,AQ63,AT63,O63,N63,P63,D63-$G$5,1,2)*AF63*(F63/(1-AR63))*AH63</f>
        <v>0</v>
      </c>
      <c r="T63" s="181">
        <f>_xll.xSPRDOPT(I63,H63,AQ63,AT63,O63,N63,P63,D63-$G$5,1,1)*AF63*F63*AH63</f>
        <v>0</v>
      </c>
      <c r="U63" s="135"/>
      <c r="V63" s="146">
        <f t="shared" si="16"/>
        <v>0</v>
      </c>
      <c r="W63" s="146"/>
      <c r="X63" s="338">
        <f t="shared" si="17"/>
        <v>0</v>
      </c>
      <c r="Y63" s="338">
        <f t="shared" si="18"/>
        <v>0</v>
      </c>
      <c r="Z63" s="338">
        <f t="shared" si="19"/>
        <v>0</v>
      </c>
      <c r="AA63" s="338">
        <f t="shared" si="20"/>
        <v>0</v>
      </c>
      <c r="AB63" s="338">
        <f t="shared" si="21"/>
        <v>0</v>
      </c>
      <c r="AC63" s="338">
        <f t="shared" si="22"/>
        <v>0</v>
      </c>
      <c r="AF63" s="138">
        <f t="shared" si="23"/>
        <v>0</v>
      </c>
      <c r="AG63" s="138">
        <f t="shared" si="24"/>
        <v>11</v>
      </c>
      <c r="AH63" s="138">
        <f t="shared" si="51"/>
        <v>0</v>
      </c>
      <c r="AI63" s="138">
        <f t="shared" si="47"/>
        <v>684</v>
      </c>
      <c r="AJ63" s="138">
        <f t="shared" si="26"/>
        <v>701</v>
      </c>
      <c r="AL63" s="136">
        <f t="shared" si="27"/>
        <v>3.4020000000000001</v>
      </c>
      <c r="AM63" s="258">
        <f t="shared" si="48"/>
        <v>0</v>
      </c>
      <c r="AN63" s="258">
        <f t="shared" si="28"/>
        <v>0.03</v>
      </c>
      <c r="AO63" s="258">
        <f t="shared" si="29"/>
        <v>6.5000000000000002E-2</v>
      </c>
      <c r="AP63" s="258">
        <f t="shared" si="30"/>
        <v>0</v>
      </c>
      <c r="AQ63" s="136">
        <f t="shared" si="31"/>
        <v>5.9999999999999995E-4</v>
      </c>
      <c r="AR63" s="137">
        <f t="shared" si="32"/>
        <v>4.0000000000000001E-3</v>
      </c>
      <c r="AS63" s="136">
        <f t="shared" si="49"/>
        <v>3.4319999999999999</v>
      </c>
      <c r="AT63" s="137">
        <f t="shared" si="33"/>
        <v>3.4836153967131397E-2</v>
      </c>
      <c r="AU63" s="137">
        <f t="shared" si="34"/>
        <v>0</v>
      </c>
      <c r="AV63" s="394">
        <f t="shared" si="50"/>
        <v>0</v>
      </c>
      <c r="AW63" s="137">
        <f t="shared" si="35"/>
        <v>0.37</v>
      </c>
      <c r="AX63" s="137">
        <f t="shared" si="36"/>
        <v>0.93</v>
      </c>
      <c r="AY63" s="137">
        <f t="shared" si="37"/>
        <v>0.83</v>
      </c>
      <c r="AZ63" s="137"/>
      <c r="BA63" s="264"/>
      <c r="BB63" s="258">
        <f t="shared" si="38"/>
        <v>0</v>
      </c>
      <c r="BC63" s="258">
        <f t="shared" si="39"/>
        <v>0</v>
      </c>
      <c r="BD63" s="137">
        <f t="shared" si="52"/>
        <v>0</v>
      </c>
      <c r="BE63" s="137">
        <f t="shared" si="52"/>
        <v>0</v>
      </c>
      <c r="BF63" s="137">
        <f>_xll.xSPRDOPT($BW63,$BV63,$CG63,0,$BY63,$BX63,$BZ63,$AJ63,1,4)*$CB63</f>
        <v>0</v>
      </c>
      <c r="BG63" s="137">
        <f>_xll.xSPRDOPT($BW63,$BV63,$CG63,0,$BY63,$BX63,$BZ63,$AJ63,1,3)*$CB63</f>
        <v>0</v>
      </c>
      <c r="BH63" s="137">
        <f>IF(OR(BF63&lt;&gt;0,BG63&lt;&gt;0),_xll.xSPRDOPT($BW63,$BV63,$CG63,0,$BY63,$BX63,$BZ63,$AJ63,1,12)*$CB63,0)</f>
        <v>0</v>
      </c>
      <c r="BI63" s="137">
        <f>_xll.xSPRDOPT($BW63,$BV63,$CG63,2*LN(1+CA63/2),$BY63,$BX63,$BZ63,$AJ63,1,9)</f>
        <v>-0.1962573973095959</v>
      </c>
      <c r="BJ63" s="137">
        <f>_xll.xSPRDOPT($BW63,$BV63,$CG63,0,$BY63,$BX63,$BZ63,$AJ63,1,6)*$CB63</f>
        <v>0</v>
      </c>
      <c r="BK63" s="137">
        <f>_xll.xSPRDOPT($BW63,$BV63,$CG63,0,$BY63,$BX63,$BZ63,$AJ63,1,5)*$CB63</f>
        <v>0</v>
      </c>
      <c r="BL63" s="137">
        <f>_xll.xSPRDOPT(BW63,BV63,CG63,0,BY63,BX63,BZ63,AJ63,1,2)*CB63</f>
        <v>0</v>
      </c>
      <c r="BM63" s="137">
        <f>_xll.xSPRDOPT(BW63,BV63,CG63,0,BY63,BX63,BZ63,AJ63,1,1)*CB63</f>
        <v>0</v>
      </c>
      <c r="BN63" s="137">
        <f>IF(AH63&lt;&gt;0,_xll.xSPRDOPT($BW63,$BV63,$CG63,2*LN(1+CA63/2),$BY63,$BX63,$BZ63,$AJ63,1,8)+(AJ63/365.25)*CH63/AH63,0)</f>
        <v>0</v>
      </c>
      <c r="BO63" s="137">
        <f>_xll.xSPRDOPT($BW63,$BV63,$CG63,0,$BY63,$BX63,$BZ63,$AJ63,1,0)</f>
        <v>0.98844982808400417</v>
      </c>
      <c r="BP63" s="137"/>
      <c r="BQ63" s="137"/>
      <c r="BR63" s="137"/>
      <c r="BS63" s="137"/>
      <c r="BV63" s="262">
        <v>3.4457831325301203</v>
      </c>
      <c r="BW63" s="136">
        <v>3.4670000000000001</v>
      </c>
      <c r="BX63" s="137">
        <v>0.37</v>
      </c>
      <c r="BY63" s="137">
        <v>0.37</v>
      </c>
      <c r="BZ63" s="137">
        <v>0</v>
      </c>
      <c r="CA63" s="137">
        <v>3.4836153967131397E-2</v>
      </c>
      <c r="CB63" s="137">
        <v>0</v>
      </c>
      <c r="CC63" s="258">
        <v>0</v>
      </c>
      <c r="CD63" s="258">
        <v>0.03</v>
      </c>
      <c r="CE63" s="258">
        <v>6.5000000000000002E-2</v>
      </c>
      <c r="CF63" s="258">
        <v>0</v>
      </c>
      <c r="CG63" s="258">
        <v>5.9999999999999995E-4</v>
      </c>
      <c r="CH63" s="258">
        <v>0</v>
      </c>
      <c r="CI63" s="258">
        <v>3.4020000000000001</v>
      </c>
      <c r="CJ63" s="258"/>
      <c r="CK63" s="258"/>
      <c r="CL63" s="258"/>
      <c r="CM63" s="258"/>
    </row>
    <row r="64" spans="1:91" x14ac:dyDescent="0.25">
      <c r="A64" s="723"/>
      <c r="B64" s="723"/>
      <c r="D64" s="31">
        <f t="shared" si="41"/>
        <v>37940</v>
      </c>
      <c r="F64" s="28">
        <f t="shared" si="12"/>
        <v>27600</v>
      </c>
      <c r="G64" s="28">
        <f t="shared" si="13"/>
        <v>0</v>
      </c>
      <c r="H64" s="52">
        <f t="shared" si="14"/>
        <v>3.4457831325301203</v>
      </c>
      <c r="I64" s="52">
        <f t="shared" si="15"/>
        <v>3.4670000000000001</v>
      </c>
      <c r="K64" s="52">
        <f t="shared" si="42"/>
        <v>0</v>
      </c>
      <c r="L64" s="135">
        <f t="shared" si="43"/>
        <v>0</v>
      </c>
      <c r="N64" s="131">
        <f t="shared" si="44"/>
        <v>0.37</v>
      </c>
      <c r="O64" s="131">
        <f t="shared" si="45"/>
        <v>0.37</v>
      </c>
      <c r="P64" s="55">
        <f t="shared" si="46"/>
        <v>0</v>
      </c>
      <c r="Q64" s="135">
        <f>_xll.xSPRDOPT(I64,H64,AQ64,0,O64,N64,P64,D64-$G$5,1,0)*AH64*AU64</f>
        <v>0</v>
      </c>
      <c r="R64" s="135"/>
      <c r="S64" s="181">
        <f>_xll.xSPRDOPT(I64,H64,AQ64,AT64,O64,N64,P64,D64-$G$5,1,2)*AF64*(F64/(1-AR64))*AH64</f>
        <v>0</v>
      </c>
      <c r="T64" s="181">
        <f>_xll.xSPRDOPT(I64,H64,AQ64,AT64,O64,N64,P64,D64-$G$5,1,1)*AF64*F64*AH64</f>
        <v>0</v>
      </c>
      <c r="U64" s="135"/>
      <c r="V64" s="146">
        <f t="shared" si="16"/>
        <v>0</v>
      </c>
      <c r="W64" s="146"/>
      <c r="X64" s="338">
        <f t="shared" si="17"/>
        <v>0</v>
      </c>
      <c r="Y64" s="338">
        <f t="shared" si="18"/>
        <v>0</v>
      </c>
      <c r="Z64" s="338">
        <f t="shared" si="19"/>
        <v>0</v>
      </c>
      <c r="AA64" s="338">
        <f t="shared" si="20"/>
        <v>0</v>
      </c>
      <c r="AB64" s="338">
        <f t="shared" si="21"/>
        <v>0</v>
      </c>
      <c r="AC64" s="338">
        <f t="shared" si="22"/>
        <v>0</v>
      </c>
      <c r="AF64" s="138">
        <f t="shared" si="23"/>
        <v>0</v>
      </c>
      <c r="AG64" s="138">
        <f t="shared" si="24"/>
        <v>11</v>
      </c>
      <c r="AH64" s="138">
        <f t="shared" si="51"/>
        <v>0</v>
      </c>
      <c r="AI64" s="138">
        <f t="shared" si="47"/>
        <v>684</v>
      </c>
      <c r="AJ64" s="138">
        <f t="shared" si="26"/>
        <v>701</v>
      </c>
      <c r="AL64" s="136">
        <f t="shared" si="27"/>
        <v>3.4020000000000001</v>
      </c>
      <c r="AM64" s="258">
        <f t="shared" si="48"/>
        <v>0</v>
      </c>
      <c r="AN64" s="258">
        <f t="shared" si="28"/>
        <v>0.03</v>
      </c>
      <c r="AO64" s="258">
        <f t="shared" si="29"/>
        <v>6.5000000000000002E-2</v>
      </c>
      <c r="AP64" s="258">
        <f t="shared" si="30"/>
        <v>0</v>
      </c>
      <c r="AQ64" s="136">
        <f t="shared" si="31"/>
        <v>5.9999999999999995E-4</v>
      </c>
      <c r="AR64" s="137">
        <f t="shared" si="32"/>
        <v>4.0000000000000001E-3</v>
      </c>
      <c r="AS64" s="136">
        <f t="shared" si="49"/>
        <v>3.4319999999999999</v>
      </c>
      <c r="AT64" s="137">
        <f t="shared" si="33"/>
        <v>3.4836153967131397E-2</v>
      </c>
      <c r="AU64" s="137">
        <f t="shared" si="34"/>
        <v>0</v>
      </c>
      <c r="AV64" s="394">
        <f t="shared" si="50"/>
        <v>0</v>
      </c>
      <c r="AW64" s="137">
        <f t="shared" si="35"/>
        <v>0.37</v>
      </c>
      <c r="AX64" s="137">
        <f t="shared" si="36"/>
        <v>0.93</v>
      </c>
      <c r="AY64" s="137">
        <f t="shared" si="37"/>
        <v>0.83</v>
      </c>
      <c r="AZ64" s="137"/>
      <c r="BA64" s="264"/>
      <c r="BB64" s="258">
        <f t="shared" si="38"/>
        <v>0</v>
      </c>
      <c r="BC64" s="258">
        <f t="shared" si="39"/>
        <v>0</v>
      </c>
      <c r="BD64" s="137">
        <f t="shared" si="52"/>
        <v>0</v>
      </c>
      <c r="BE64" s="137">
        <f t="shared" si="52"/>
        <v>0</v>
      </c>
      <c r="BF64" s="137">
        <f>_xll.xSPRDOPT($BW64,$BV64,$CG64,0,$BY64,$BX64,$BZ64,$AJ64,1,4)*$CB64</f>
        <v>0</v>
      </c>
      <c r="BG64" s="137">
        <f>_xll.xSPRDOPT($BW64,$BV64,$CG64,0,$BY64,$BX64,$BZ64,$AJ64,1,3)*$CB64</f>
        <v>0</v>
      </c>
      <c r="BH64" s="137">
        <f>IF(OR(BF64&lt;&gt;0,BG64&lt;&gt;0),_xll.xSPRDOPT($BW64,$BV64,$CG64,0,$BY64,$BX64,$BZ64,$AJ64,1,12)*$CB64,0)</f>
        <v>0</v>
      </c>
      <c r="BI64" s="137">
        <f>_xll.xSPRDOPT($BW64,$BV64,$CG64,2*LN(1+CA64/2),$BY64,$BX64,$BZ64,$AJ64,1,9)</f>
        <v>-0.1962573973095959</v>
      </c>
      <c r="BJ64" s="137">
        <f>_xll.xSPRDOPT($BW64,$BV64,$CG64,0,$BY64,$BX64,$BZ64,$AJ64,1,6)*$CB64</f>
        <v>0</v>
      </c>
      <c r="BK64" s="137">
        <f>_xll.xSPRDOPT($BW64,$BV64,$CG64,0,$BY64,$BX64,$BZ64,$AJ64,1,5)*$CB64</f>
        <v>0</v>
      </c>
      <c r="BL64" s="137">
        <f>_xll.xSPRDOPT(BW64,BV64,CG64,0,BY64,BX64,BZ64,AJ64,1,2)*CB64</f>
        <v>0</v>
      </c>
      <c r="BM64" s="137">
        <f>_xll.xSPRDOPT(BW64,BV64,CG64,0,BY64,BX64,BZ64,AJ64,1,1)*CB64</f>
        <v>0</v>
      </c>
      <c r="BN64" s="137">
        <f>IF(AH64&lt;&gt;0,_xll.xSPRDOPT($BW64,$BV64,$CG64,2*LN(1+CA64/2),$BY64,$BX64,$BZ64,$AJ64,1,8)+(AJ64/365.25)*CH64/AH64,0)</f>
        <v>0</v>
      </c>
      <c r="BO64" s="137">
        <f>_xll.xSPRDOPT($BW64,$BV64,$CG64,0,$BY64,$BX64,$BZ64,$AJ64,1,0)</f>
        <v>0.98844982808400417</v>
      </c>
      <c r="BP64" s="137"/>
      <c r="BQ64" s="137"/>
      <c r="BR64" s="137"/>
      <c r="BS64" s="137"/>
      <c r="BV64" s="262">
        <v>3.4457831325301203</v>
      </c>
      <c r="BW64" s="136">
        <v>3.4670000000000001</v>
      </c>
      <c r="BX64" s="137">
        <v>0.37</v>
      </c>
      <c r="BY64" s="137">
        <v>0.37</v>
      </c>
      <c r="BZ64" s="137">
        <v>0</v>
      </c>
      <c r="CA64" s="137">
        <v>3.4836153967131397E-2</v>
      </c>
      <c r="CB64" s="137">
        <v>0</v>
      </c>
      <c r="CC64" s="258">
        <v>0</v>
      </c>
      <c r="CD64" s="258">
        <v>0.03</v>
      </c>
      <c r="CE64" s="258">
        <v>6.5000000000000002E-2</v>
      </c>
      <c r="CF64" s="258">
        <v>0</v>
      </c>
      <c r="CG64" s="258">
        <v>5.9999999999999995E-4</v>
      </c>
      <c r="CH64" s="258">
        <v>0</v>
      </c>
      <c r="CI64" s="258">
        <v>3.4020000000000001</v>
      </c>
      <c r="CJ64" s="258"/>
      <c r="CK64" s="258"/>
      <c r="CL64" s="258"/>
      <c r="CM64" s="258"/>
    </row>
    <row r="65" spans="1:91" x14ac:dyDescent="0.25">
      <c r="A65" s="723"/>
      <c r="B65" s="723"/>
      <c r="D65" s="31">
        <f t="shared" si="41"/>
        <v>37940</v>
      </c>
      <c r="F65" s="28">
        <f t="shared" si="12"/>
        <v>27600</v>
      </c>
      <c r="G65" s="28">
        <f t="shared" si="13"/>
        <v>0</v>
      </c>
      <c r="H65" s="52">
        <f t="shared" si="14"/>
        <v>3.4457831325301203</v>
      </c>
      <c r="I65" s="52">
        <f t="shared" si="15"/>
        <v>3.4670000000000001</v>
      </c>
      <c r="K65" s="52">
        <f t="shared" si="42"/>
        <v>0</v>
      </c>
      <c r="L65" s="135">
        <f t="shared" si="43"/>
        <v>0</v>
      </c>
      <c r="N65" s="131">
        <f t="shared" si="44"/>
        <v>0.37</v>
      </c>
      <c r="O65" s="131">
        <f t="shared" si="45"/>
        <v>0.37</v>
      </c>
      <c r="P65" s="55">
        <f t="shared" si="46"/>
        <v>0</v>
      </c>
      <c r="Q65" s="135">
        <f>_xll.xSPRDOPT(I65,H65,AQ65,0,O65,N65,P65,D65-$G$5,1,0)*AH65*AU65</f>
        <v>0</v>
      </c>
      <c r="R65" s="135"/>
      <c r="S65" s="181">
        <f>_xll.xSPRDOPT(I65,H65,AQ65,AT65,O65,N65,P65,D65-$G$5,1,2)*AF65*(F65/(1-AR65))*AH65</f>
        <v>0</v>
      </c>
      <c r="T65" s="181">
        <f>_xll.xSPRDOPT(I65,H65,AQ65,AT65,O65,N65,P65,D65-$G$5,1,1)*AF65*F65*AH65</f>
        <v>0</v>
      </c>
      <c r="U65" s="135"/>
      <c r="V65" s="146">
        <f t="shared" si="16"/>
        <v>0</v>
      </c>
      <c r="W65" s="146"/>
      <c r="X65" s="338">
        <f t="shared" si="17"/>
        <v>0</v>
      </c>
      <c r="Y65" s="338">
        <f t="shared" si="18"/>
        <v>0</v>
      </c>
      <c r="Z65" s="338">
        <f t="shared" si="19"/>
        <v>0</v>
      </c>
      <c r="AA65" s="338">
        <f t="shared" si="20"/>
        <v>0</v>
      </c>
      <c r="AB65" s="338">
        <f t="shared" si="21"/>
        <v>0</v>
      </c>
      <c r="AC65" s="338">
        <f t="shared" si="22"/>
        <v>0</v>
      </c>
      <c r="AF65" s="138">
        <f t="shared" si="23"/>
        <v>0</v>
      </c>
      <c r="AG65" s="138">
        <f t="shared" si="24"/>
        <v>11</v>
      </c>
      <c r="AH65" s="138">
        <f t="shared" si="51"/>
        <v>0</v>
      </c>
      <c r="AI65" s="138">
        <f t="shared" si="47"/>
        <v>684</v>
      </c>
      <c r="AJ65" s="138">
        <f t="shared" si="26"/>
        <v>701</v>
      </c>
      <c r="AL65" s="136">
        <f t="shared" si="27"/>
        <v>3.4020000000000001</v>
      </c>
      <c r="AM65" s="258">
        <f t="shared" si="48"/>
        <v>0</v>
      </c>
      <c r="AN65" s="258">
        <f t="shared" si="28"/>
        <v>0.03</v>
      </c>
      <c r="AO65" s="258">
        <f t="shared" si="29"/>
        <v>6.5000000000000002E-2</v>
      </c>
      <c r="AP65" s="258">
        <f t="shared" si="30"/>
        <v>0</v>
      </c>
      <c r="AQ65" s="136">
        <f t="shared" si="31"/>
        <v>5.9999999999999995E-4</v>
      </c>
      <c r="AR65" s="137">
        <f t="shared" si="32"/>
        <v>4.0000000000000001E-3</v>
      </c>
      <c r="AS65" s="136">
        <f t="shared" si="49"/>
        <v>3.4319999999999999</v>
      </c>
      <c r="AT65" s="137">
        <f t="shared" si="33"/>
        <v>3.4836153967131397E-2</v>
      </c>
      <c r="AU65" s="137">
        <f t="shared" si="34"/>
        <v>0</v>
      </c>
      <c r="AV65" s="394">
        <f t="shared" si="50"/>
        <v>0</v>
      </c>
      <c r="AW65" s="137">
        <f t="shared" si="35"/>
        <v>0.37</v>
      </c>
      <c r="AX65" s="137">
        <f t="shared" si="36"/>
        <v>0.93</v>
      </c>
      <c r="AY65" s="137">
        <f t="shared" si="37"/>
        <v>0.83</v>
      </c>
      <c r="AZ65" s="137"/>
      <c r="BA65" s="264"/>
      <c r="BB65" s="258">
        <f t="shared" si="38"/>
        <v>0</v>
      </c>
      <c r="BC65" s="258">
        <f t="shared" si="39"/>
        <v>0</v>
      </c>
      <c r="BD65" s="137">
        <f t="shared" si="52"/>
        <v>0</v>
      </c>
      <c r="BE65" s="137">
        <f t="shared" si="52"/>
        <v>0</v>
      </c>
      <c r="BF65" s="137">
        <f>_xll.xSPRDOPT($BW65,$BV65,$CG65,0,$BY65,$BX65,$BZ65,$AJ65,1,4)*$CB65</f>
        <v>0</v>
      </c>
      <c r="BG65" s="137">
        <f>_xll.xSPRDOPT($BW65,$BV65,$CG65,0,$BY65,$BX65,$BZ65,$AJ65,1,3)*$CB65</f>
        <v>0</v>
      </c>
      <c r="BH65" s="137">
        <f>IF(OR(BF65&lt;&gt;0,BG65&lt;&gt;0),_xll.xSPRDOPT($BW65,$BV65,$CG65,0,$BY65,$BX65,$BZ65,$AJ65,1,12)*$CB65,0)</f>
        <v>0</v>
      </c>
      <c r="BI65" s="137">
        <f>_xll.xSPRDOPT($BW65,$BV65,$CG65,2*LN(1+CA65/2),$BY65,$BX65,$BZ65,$AJ65,1,9)</f>
        <v>-0.1962573973095959</v>
      </c>
      <c r="BJ65" s="137">
        <f>_xll.xSPRDOPT($BW65,$BV65,$CG65,0,$BY65,$BX65,$BZ65,$AJ65,1,6)*$CB65</f>
        <v>0</v>
      </c>
      <c r="BK65" s="137">
        <f>_xll.xSPRDOPT($BW65,$BV65,$CG65,0,$BY65,$BX65,$BZ65,$AJ65,1,5)*$CB65</f>
        <v>0</v>
      </c>
      <c r="BL65" s="137">
        <f>_xll.xSPRDOPT(BW65,BV65,CG65,0,BY65,BX65,BZ65,AJ65,1,2)*CB65</f>
        <v>0</v>
      </c>
      <c r="BM65" s="137">
        <f>_xll.xSPRDOPT(BW65,BV65,CG65,0,BY65,BX65,BZ65,AJ65,1,1)*CB65</f>
        <v>0</v>
      </c>
      <c r="BN65" s="137">
        <f>IF(AH65&lt;&gt;0,_xll.xSPRDOPT($BW65,$BV65,$CG65,2*LN(1+CA65/2),$BY65,$BX65,$BZ65,$AJ65,1,8)+(AJ65/365.25)*CH65/AH65,0)</f>
        <v>0</v>
      </c>
      <c r="BO65" s="137">
        <f>_xll.xSPRDOPT($BW65,$BV65,$CG65,0,$BY65,$BX65,$BZ65,$AJ65,1,0)</f>
        <v>0.98844982808400417</v>
      </c>
      <c r="BP65" s="137"/>
      <c r="BQ65" s="137"/>
      <c r="BR65" s="137"/>
      <c r="BS65" s="137"/>
      <c r="BV65" s="262">
        <v>3.4457831325301203</v>
      </c>
      <c r="BW65" s="136">
        <v>3.4670000000000001</v>
      </c>
      <c r="BX65" s="137">
        <v>0.37</v>
      </c>
      <c r="BY65" s="137">
        <v>0.37</v>
      </c>
      <c r="BZ65" s="137">
        <v>0</v>
      </c>
      <c r="CA65" s="137">
        <v>3.4836153967131397E-2</v>
      </c>
      <c r="CB65" s="137">
        <v>0</v>
      </c>
      <c r="CC65" s="258">
        <v>0</v>
      </c>
      <c r="CD65" s="258">
        <v>0.03</v>
      </c>
      <c r="CE65" s="258">
        <v>6.5000000000000002E-2</v>
      </c>
      <c r="CF65" s="258">
        <v>0</v>
      </c>
      <c r="CG65" s="258">
        <v>5.9999999999999995E-4</v>
      </c>
      <c r="CH65" s="258">
        <v>0</v>
      </c>
      <c r="CI65" s="258">
        <v>3.4020000000000001</v>
      </c>
      <c r="CJ65" s="258"/>
      <c r="CK65" s="258"/>
      <c r="CL65" s="258"/>
      <c r="CM65" s="258"/>
    </row>
    <row r="66" spans="1:91" x14ac:dyDescent="0.25">
      <c r="A66" s="723"/>
      <c r="B66" s="723"/>
      <c r="D66" s="31">
        <f t="shared" si="41"/>
        <v>37940</v>
      </c>
      <c r="F66" s="28">
        <f t="shared" si="12"/>
        <v>27600</v>
      </c>
      <c r="G66" s="28">
        <f t="shared" si="13"/>
        <v>0</v>
      </c>
      <c r="H66" s="52">
        <f t="shared" si="14"/>
        <v>3.4457831325301203</v>
      </c>
      <c r="I66" s="52">
        <f t="shared" si="15"/>
        <v>3.4670000000000001</v>
      </c>
      <c r="K66" s="52">
        <f t="shared" si="42"/>
        <v>0</v>
      </c>
      <c r="L66" s="135">
        <f t="shared" si="43"/>
        <v>0</v>
      </c>
      <c r="N66" s="131">
        <f t="shared" si="44"/>
        <v>0.37</v>
      </c>
      <c r="O66" s="131">
        <f t="shared" si="45"/>
        <v>0.37</v>
      </c>
      <c r="P66" s="55">
        <f t="shared" si="46"/>
        <v>0</v>
      </c>
      <c r="Q66" s="135">
        <f>_xll.xSPRDOPT(I66,H66,AQ66,0,O66,N66,P66,D66-$G$5,1,0)*AH66*AU66</f>
        <v>0</v>
      </c>
      <c r="R66" s="135"/>
      <c r="S66" s="181">
        <f>_xll.xSPRDOPT(I66,H66,AQ66,AT66,O66,N66,P66,D66-$G$5,1,2)*AF66*(F66/(1-AR66))*AH66</f>
        <v>0</v>
      </c>
      <c r="T66" s="181">
        <f>_xll.xSPRDOPT(I66,H66,AQ66,AT66,O66,N66,P66,D66-$G$5,1,1)*AF66*F66*AH66</f>
        <v>0</v>
      </c>
      <c r="U66" s="135"/>
      <c r="V66" s="146">
        <f t="shared" si="16"/>
        <v>0</v>
      </c>
      <c r="W66" s="146"/>
      <c r="X66" s="338">
        <f t="shared" si="17"/>
        <v>0</v>
      </c>
      <c r="Y66" s="338">
        <f t="shared" si="18"/>
        <v>0</v>
      </c>
      <c r="Z66" s="338">
        <f t="shared" si="19"/>
        <v>0</v>
      </c>
      <c r="AA66" s="338">
        <f t="shared" si="20"/>
        <v>0</v>
      </c>
      <c r="AB66" s="338">
        <f t="shared" si="21"/>
        <v>0</v>
      </c>
      <c r="AC66" s="338">
        <f t="shared" si="22"/>
        <v>0</v>
      </c>
      <c r="AF66" s="138">
        <f t="shared" si="23"/>
        <v>0</v>
      </c>
      <c r="AG66" s="138">
        <f t="shared" si="24"/>
        <v>11</v>
      </c>
      <c r="AH66" s="138">
        <f t="shared" si="51"/>
        <v>0</v>
      </c>
      <c r="AI66" s="138">
        <f t="shared" si="47"/>
        <v>684</v>
      </c>
      <c r="AJ66" s="138">
        <f t="shared" si="26"/>
        <v>701</v>
      </c>
      <c r="AL66" s="136">
        <f t="shared" si="27"/>
        <v>3.4020000000000001</v>
      </c>
      <c r="AM66" s="258">
        <f t="shared" si="48"/>
        <v>0</v>
      </c>
      <c r="AN66" s="258">
        <f t="shared" si="28"/>
        <v>0.03</v>
      </c>
      <c r="AO66" s="258">
        <f t="shared" si="29"/>
        <v>6.5000000000000002E-2</v>
      </c>
      <c r="AP66" s="258">
        <f t="shared" si="30"/>
        <v>0</v>
      </c>
      <c r="AQ66" s="136">
        <f t="shared" si="31"/>
        <v>5.9999999999999995E-4</v>
      </c>
      <c r="AR66" s="137">
        <f t="shared" si="32"/>
        <v>4.0000000000000001E-3</v>
      </c>
      <c r="AS66" s="136">
        <f t="shared" si="49"/>
        <v>3.4319999999999999</v>
      </c>
      <c r="AT66" s="137">
        <f t="shared" si="33"/>
        <v>3.4836153967131397E-2</v>
      </c>
      <c r="AU66" s="137">
        <f t="shared" si="34"/>
        <v>0</v>
      </c>
      <c r="AV66" s="394">
        <f t="shared" si="50"/>
        <v>0</v>
      </c>
      <c r="AW66" s="137">
        <f t="shared" si="35"/>
        <v>0.37</v>
      </c>
      <c r="AX66" s="137">
        <f t="shared" si="36"/>
        <v>0.93</v>
      </c>
      <c r="AY66" s="137">
        <f t="shared" si="37"/>
        <v>0.83</v>
      </c>
      <c r="AZ66" s="137"/>
      <c r="BA66" s="264"/>
      <c r="BB66" s="258">
        <f t="shared" si="38"/>
        <v>0</v>
      </c>
      <c r="BC66" s="258">
        <f t="shared" si="39"/>
        <v>0</v>
      </c>
      <c r="BD66" s="137">
        <f t="shared" si="52"/>
        <v>0</v>
      </c>
      <c r="BE66" s="137">
        <f t="shared" si="52"/>
        <v>0</v>
      </c>
      <c r="BF66" s="137">
        <f>_xll.xSPRDOPT($BW66,$BV66,$CG66,0,$BY66,$BX66,$BZ66,$AJ66,1,4)*$CB66</f>
        <v>0</v>
      </c>
      <c r="BG66" s="137">
        <f>_xll.xSPRDOPT($BW66,$BV66,$CG66,0,$BY66,$BX66,$BZ66,$AJ66,1,3)*$CB66</f>
        <v>0</v>
      </c>
      <c r="BH66" s="137">
        <f>IF(OR(BF66&lt;&gt;0,BG66&lt;&gt;0),_xll.xSPRDOPT($BW66,$BV66,$CG66,0,$BY66,$BX66,$BZ66,$AJ66,1,12)*$CB66,0)</f>
        <v>0</v>
      </c>
      <c r="BI66" s="137">
        <f>_xll.xSPRDOPT($BW66,$BV66,$CG66,2*LN(1+CA66/2),$BY66,$BX66,$BZ66,$AJ66,1,9)</f>
        <v>-0.1962573973095959</v>
      </c>
      <c r="BJ66" s="137">
        <f>_xll.xSPRDOPT($BW66,$BV66,$CG66,0,$BY66,$BX66,$BZ66,$AJ66,1,6)*$CB66</f>
        <v>0</v>
      </c>
      <c r="BK66" s="137">
        <f>_xll.xSPRDOPT($BW66,$BV66,$CG66,0,$BY66,$BX66,$BZ66,$AJ66,1,5)*$CB66</f>
        <v>0</v>
      </c>
      <c r="BL66" s="137">
        <f>_xll.xSPRDOPT(BW66,BV66,CG66,0,BY66,BX66,BZ66,AJ66,1,2)*CB66</f>
        <v>0</v>
      </c>
      <c r="BM66" s="137">
        <f>_xll.xSPRDOPT(BW66,BV66,CG66,0,BY66,BX66,BZ66,AJ66,1,1)*CB66</f>
        <v>0</v>
      </c>
      <c r="BN66" s="137">
        <f>IF(AH66&lt;&gt;0,_xll.xSPRDOPT($BW66,$BV66,$CG66,2*LN(1+CA66/2),$BY66,$BX66,$BZ66,$AJ66,1,8)+(AJ66/365.25)*CH66/AH66,0)</f>
        <v>0</v>
      </c>
      <c r="BO66" s="137">
        <f>_xll.xSPRDOPT($BW66,$BV66,$CG66,0,$BY66,$BX66,$BZ66,$AJ66,1,0)</f>
        <v>0.98844982808400417</v>
      </c>
      <c r="BP66" s="137"/>
      <c r="BQ66" s="137"/>
      <c r="BR66" s="137"/>
      <c r="BS66" s="137"/>
      <c r="BV66" s="262">
        <v>3.4457831325301203</v>
      </c>
      <c r="BW66" s="136">
        <v>3.4670000000000001</v>
      </c>
      <c r="BX66" s="137">
        <v>0.37</v>
      </c>
      <c r="BY66" s="137">
        <v>0.37</v>
      </c>
      <c r="BZ66" s="137">
        <v>0</v>
      </c>
      <c r="CA66" s="137">
        <v>3.4836153967131397E-2</v>
      </c>
      <c r="CB66" s="137">
        <v>0</v>
      </c>
      <c r="CC66" s="258">
        <v>0</v>
      </c>
      <c r="CD66" s="258">
        <v>0.03</v>
      </c>
      <c r="CE66" s="258">
        <v>6.5000000000000002E-2</v>
      </c>
      <c r="CF66" s="258">
        <v>0</v>
      </c>
      <c r="CG66" s="258">
        <v>5.9999999999999995E-4</v>
      </c>
      <c r="CH66" s="258">
        <v>0</v>
      </c>
      <c r="CI66" s="258">
        <v>3.4020000000000001</v>
      </c>
      <c r="CJ66" s="258"/>
      <c r="CK66" s="258"/>
      <c r="CL66" s="258"/>
      <c r="CM66" s="258"/>
    </row>
    <row r="67" spans="1:91" x14ac:dyDescent="0.25">
      <c r="A67" s="723"/>
      <c r="B67" s="723"/>
      <c r="D67" s="31">
        <f t="shared" si="41"/>
        <v>37940</v>
      </c>
      <c r="F67" s="28">
        <f t="shared" si="12"/>
        <v>27600</v>
      </c>
      <c r="G67" s="28">
        <f t="shared" si="13"/>
        <v>0</v>
      </c>
      <c r="H67" s="52">
        <f t="shared" si="14"/>
        <v>3.4457831325301203</v>
      </c>
      <c r="I67" s="52">
        <f t="shared" si="15"/>
        <v>3.4670000000000001</v>
      </c>
      <c r="K67" s="52">
        <f t="shared" si="42"/>
        <v>0</v>
      </c>
      <c r="L67" s="135">
        <f t="shared" si="43"/>
        <v>0</v>
      </c>
      <c r="N67" s="131">
        <f t="shared" si="44"/>
        <v>0.37</v>
      </c>
      <c r="O67" s="131">
        <f t="shared" si="45"/>
        <v>0.37</v>
      </c>
      <c r="P67" s="55">
        <f t="shared" si="46"/>
        <v>0</v>
      </c>
      <c r="Q67" s="135">
        <f>_xll.xSPRDOPT(I67,H67,AQ67,0,O67,N67,P67,D67-$G$5,1,0)*AH67*AU67</f>
        <v>0</v>
      </c>
      <c r="R67" s="135"/>
      <c r="S67" s="181">
        <f>_xll.xSPRDOPT(I67,H67,AQ67,AT67,O67,N67,P67,D67-$G$5,1,2)*AF67*(F67/(1-AR67))*AH67</f>
        <v>0</v>
      </c>
      <c r="T67" s="181">
        <f>_xll.xSPRDOPT(I67,H67,AQ67,AT67,O67,N67,P67,D67-$G$5,1,1)*AF67*F67*AH67</f>
        <v>0</v>
      </c>
      <c r="U67" s="135"/>
      <c r="V67" s="146">
        <f t="shared" si="16"/>
        <v>0</v>
      </c>
      <c r="W67" s="146"/>
      <c r="X67" s="338">
        <f t="shared" si="17"/>
        <v>0</v>
      </c>
      <c r="Y67" s="338">
        <f t="shared" si="18"/>
        <v>0</v>
      </c>
      <c r="Z67" s="338">
        <f t="shared" si="19"/>
        <v>0</v>
      </c>
      <c r="AA67" s="338">
        <f t="shared" si="20"/>
        <v>0</v>
      </c>
      <c r="AB67" s="338">
        <f t="shared" si="21"/>
        <v>0</v>
      </c>
      <c r="AC67" s="338">
        <f t="shared" si="22"/>
        <v>0</v>
      </c>
      <c r="AF67" s="138">
        <f t="shared" si="23"/>
        <v>0</v>
      </c>
      <c r="AG67" s="138">
        <f t="shared" si="24"/>
        <v>11</v>
      </c>
      <c r="AH67" s="138">
        <f t="shared" si="51"/>
        <v>0</v>
      </c>
      <c r="AI67" s="138">
        <f t="shared" si="47"/>
        <v>684</v>
      </c>
      <c r="AJ67" s="138">
        <f t="shared" si="26"/>
        <v>701</v>
      </c>
      <c r="AL67" s="136">
        <f t="shared" si="27"/>
        <v>3.4020000000000001</v>
      </c>
      <c r="AM67" s="258">
        <f t="shared" si="48"/>
        <v>0</v>
      </c>
      <c r="AN67" s="258">
        <f t="shared" si="28"/>
        <v>0.03</v>
      </c>
      <c r="AO67" s="258">
        <f t="shared" si="29"/>
        <v>6.5000000000000002E-2</v>
      </c>
      <c r="AP67" s="258">
        <f t="shared" si="30"/>
        <v>0</v>
      </c>
      <c r="AQ67" s="136">
        <f t="shared" si="31"/>
        <v>5.9999999999999995E-4</v>
      </c>
      <c r="AR67" s="137">
        <f t="shared" si="32"/>
        <v>4.0000000000000001E-3</v>
      </c>
      <c r="AS67" s="136">
        <f t="shared" si="49"/>
        <v>3.4319999999999999</v>
      </c>
      <c r="AT67" s="137">
        <f t="shared" si="33"/>
        <v>3.4836153967131397E-2</v>
      </c>
      <c r="AU67" s="137">
        <f t="shared" si="34"/>
        <v>0</v>
      </c>
      <c r="AV67" s="394">
        <f t="shared" si="50"/>
        <v>0</v>
      </c>
      <c r="AW67" s="137">
        <f t="shared" si="35"/>
        <v>0.37</v>
      </c>
      <c r="AX67" s="137">
        <f t="shared" si="36"/>
        <v>0.93</v>
      </c>
      <c r="AY67" s="137">
        <f t="shared" si="37"/>
        <v>0.83</v>
      </c>
      <c r="AZ67" s="137"/>
      <c r="BA67" s="264"/>
      <c r="BB67" s="258">
        <f t="shared" si="38"/>
        <v>0</v>
      </c>
      <c r="BC67" s="258">
        <f t="shared" si="39"/>
        <v>0</v>
      </c>
      <c r="BD67" s="137">
        <f t="shared" si="52"/>
        <v>0</v>
      </c>
      <c r="BE67" s="137">
        <f t="shared" si="52"/>
        <v>0</v>
      </c>
      <c r="BF67" s="137">
        <f>_xll.xSPRDOPT($BW67,$BV67,$CG67,0,$BY67,$BX67,$BZ67,$AJ67,1,4)*$CB67</f>
        <v>0</v>
      </c>
      <c r="BG67" s="137">
        <f>_xll.xSPRDOPT($BW67,$BV67,$CG67,0,$BY67,$BX67,$BZ67,$AJ67,1,3)*$CB67</f>
        <v>0</v>
      </c>
      <c r="BH67" s="137">
        <f>IF(OR(BF67&lt;&gt;0,BG67&lt;&gt;0),_xll.xSPRDOPT($BW67,$BV67,$CG67,0,$BY67,$BX67,$BZ67,$AJ67,1,12)*$CB67,0)</f>
        <v>0</v>
      </c>
      <c r="BI67" s="137">
        <f>_xll.xSPRDOPT($BW67,$BV67,$CG67,2*LN(1+CA67/2),$BY67,$BX67,$BZ67,$AJ67,1,9)</f>
        <v>-0.1962573973095959</v>
      </c>
      <c r="BJ67" s="137">
        <f>_xll.xSPRDOPT($BW67,$BV67,$CG67,0,$BY67,$BX67,$BZ67,$AJ67,1,6)*$CB67</f>
        <v>0</v>
      </c>
      <c r="BK67" s="137">
        <f>_xll.xSPRDOPT($BW67,$BV67,$CG67,0,$BY67,$BX67,$BZ67,$AJ67,1,5)*$CB67</f>
        <v>0</v>
      </c>
      <c r="BL67" s="137">
        <f>_xll.xSPRDOPT(BW67,BV67,CG67,0,BY67,BX67,BZ67,AJ67,1,2)*CB67</f>
        <v>0</v>
      </c>
      <c r="BM67" s="137">
        <f>_xll.xSPRDOPT(BW67,BV67,CG67,0,BY67,BX67,BZ67,AJ67,1,1)*CB67</f>
        <v>0</v>
      </c>
      <c r="BN67" s="137">
        <f>IF(AH67&lt;&gt;0,_xll.xSPRDOPT($BW67,$BV67,$CG67,2*LN(1+CA67/2),$BY67,$BX67,$BZ67,$AJ67,1,8)+(AJ67/365.25)*CH67/AH67,0)</f>
        <v>0</v>
      </c>
      <c r="BO67" s="137">
        <f>_xll.xSPRDOPT($BW67,$BV67,$CG67,0,$BY67,$BX67,$BZ67,$AJ67,1,0)</f>
        <v>0.98844982808400417</v>
      </c>
      <c r="BP67" s="137"/>
      <c r="BQ67" s="137"/>
      <c r="BR67" s="137"/>
      <c r="BS67" s="137"/>
      <c r="BV67" s="262">
        <v>3.4457831325301203</v>
      </c>
      <c r="BW67" s="136">
        <v>3.4670000000000001</v>
      </c>
      <c r="BX67" s="137">
        <v>0.37</v>
      </c>
      <c r="BY67" s="137">
        <v>0.37</v>
      </c>
      <c r="BZ67" s="137">
        <v>0</v>
      </c>
      <c r="CA67" s="137">
        <v>3.4836153967131397E-2</v>
      </c>
      <c r="CB67" s="137">
        <v>0</v>
      </c>
      <c r="CC67" s="258">
        <v>0</v>
      </c>
      <c r="CD67" s="258">
        <v>0.03</v>
      </c>
      <c r="CE67" s="258">
        <v>6.5000000000000002E-2</v>
      </c>
      <c r="CF67" s="258">
        <v>0</v>
      </c>
      <c r="CG67" s="258">
        <v>5.9999999999999995E-4</v>
      </c>
      <c r="CH67" s="258">
        <v>0</v>
      </c>
      <c r="CI67" s="258">
        <v>3.4020000000000001</v>
      </c>
      <c r="CJ67" s="258"/>
      <c r="CK67" s="258"/>
      <c r="CL67" s="258"/>
      <c r="CM67" s="258"/>
    </row>
    <row r="68" spans="1:91" x14ac:dyDescent="0.25">
      <c r="A68" s="723"/>
      <c r="B68" s="723"/>
      <c r="D68" s="31">
        <f t="shared" si="41"/>
        <v>37940</v>
      </c>
      <c r="F68" s="28">
        <f t="shared" si="12"/>
        <v>27600</v>
      </c>
      <c r="G68" s="28">
        <f t="shared" si="13"/>
        <v>0</v>
      </c>
      <c r="H68" s="52">
        <f t="shared" si="14"/>
        <v>3.4457831325301203</v>
      </c>
      <c r="I68" s="52">
        <f t="shared" si="15"/>
        <v>3.4670000000000001</v>
      </c>
      <c r="K68" s="52">
        <f t="shared" si="42"/>
        <v>0</v>
      </c>
      <c r="L68" s="135">
        <f t="shared" si="43"/>
        <v>0</v>
      </c>
      <c r="N68" s="131">
        <f t="shared" si="44"/>
        <v>0.37</v>
      </c>
      <c r="O68" s="131">
        <f t="shared" si="45"/>
        <v>0.37</v>
      </c>
      <c r="P68" s="55">
        <f t="shared" si="46"/>
        <v>0</v>
      </c>
      <c r="Q68" s="135">
        <f>_xll.xSPRDOPT(I68,H68,AQ68,0,O68,N68,P68,D68-$G$5,1,0)*AH68*AU68</f>
        <v>0</v>
      </c>
      <c r="R68" s="135"/>
      <c r="S68" s="181">
        <f>_xll.xSPRDOPT(I68,H68,AQ68,AT68,O68,N68,P68,D68-$G$5,1,2)*AF68*(F68/(1-AR68))*AH68</f>
        <v>0</v>
      </c>
      <c r="T68" s="181">
        <f>_xll.xSPRDOPT(I68,H68,AQ68,AT68,O68,N68,P68,D68-$G$5,1,1)*AF68*F68*AH68</f>
        <v>0</v>
      </c>
      <c r="U68" s="135"/>
      <c r="V68" s="146">
        <f t="shared" si="16"/>
        <v>0</v>
      </c>
      <c r="W68" s="146"/>
      <c r="X68" s="338">
        <f t="shared" si="17"/>
        <v>0</v>
      </c>
      <c r="Y68" s="338">
        <f t="shared" si="18"/>
        <v>0</v>
      </c>
      <c r="Z68" s="338">
        <f t="shared" si="19"/>
        <v>0</v>
      </c>
      <c r="AA68" s="338">
        <f t="shared" si="20"/>
        <v>0</v>
      </c>
      <c r="AB68" s="338">
        <f t="shared" si="21"/>
        <v>0</v>
      </c>
      <c r="AC68" s="338">
        <f t="shared" si="22"/>
        <v>0</v>
      </c>
      <c r="AF68" s="138">
        <f t="shared" si="23"/>
        <v>0</v>
      </c>
      <c r="AG68" s="138">
        <f t="shared" si="24"/>
        <v>11</v>
      </c>
      <c r="AH68" s="138">
        <f t="shared" si="51"/>
        <v>0</v>
      </c>
      <c r="AI68" s="138">
        <f t="shared" si="47"/>
        <v>684</v>
      </c>
      <c r="AJ68" s="138">
        <f t="shared" si="26"/>
        <v>701</v>
      </c>
      <c r="AL68" s="136">
        <f t="shared" si="27"/>
        <v>3.4020000000000001</v>
      </c>
      <c r="AM68" s="258">
        <f t="shared" si="48"/>
        <v>0</v>
      </c>
      <c r="AN68" s="258">
        <f t="shared" si="28"/>
        <v>0.03</v>
      </c>
      <c r="AO68" s="258">
        <f t="shared" si="29"/>
        <v>6.5000000000000002E-2</v>
      </c>
      <c r="AP68" s="258">
        <f t="shared" si="30"/>
        <v>0</v>
      </c>
      <c r="AQ68" s="136">
        <f t="shared" si="31"/>
        <v>5.9999999999999995E-4</v>
      </c>
      <c r="AR68" s="137">
        <f t="shared" si="32"/>
        <v>4.0000000000000001E-3</v>
      </c>
      <c r="AS68" s="136">
        <f t="shared" si="49"/>
        <v>3.4319999999999999</v>
      </c>
      <c r="AT68" s="137">
        <f t="shared" si="33"/>
        <v>3.4836153967131397E-2</v>
      </c>
      <c r="AU68" s="137">
        <f t="shared" si="34"/>
        <v>0</v>
      </c>
      <c r="AV68" s="394">
        <f t="shared" si="50"/>
        <v>0</v>
      </c>
      <c r="AW68" s="137">
        <f t="shared" si="35"/>
        <v>0.37</v>
      </c>
      <c r="AX68" s="137">
        <f t="shared" si="36"/>
        <v>0.93</v>
      </c>
      <c r="AY68" s="137">
        <f t="shared" si="37"/>
        <v>0.83</v>
      </c>
      <c r="AZ68" s="137"/>
      <c r="BA68" s="264"/>
      <c r="BB68" s="258">
        <f t="shared" si="38"/>
        <v>0</v>
      </c>
      <c r="BC68" s="258">
        <f t="shared" si="39"/>
        <v>0</v>
      </c>
      <c r="BD68" s="137">
        <f t="shared" si="52"/>
        <v>0</v>
      </c>
      <c r="BE68" s="137">
        <f t="shared" si="52"/>
        <v>0</v>
      </c>
      <c r="BF68" s="137">
        <f>_xll.xSPRDOPT($BW68,$BV68,$CG68,0,$BY68,$BX68,$BZ68,$AJ68,1,4)*$CB68</f>
        <v>0</v>
      </c>
      <c r="BG68" s="137">
        <f>_xll.xSPRDOPT($BW68,$BV68,$CG68,0,$BY68,$BX68,$BZ68,$AJ68,1,3)*$CB68</f>
        <v>0</v>
      </c>
      <c r="BH68" s="137">
        <f>IF(OR(BF68&lt;&gt;0,BG68&lt;&gt;0),_xll.xSPRDOPT($BW68,$BV68,$CG68,0,$BY68,$BX68,$BZ68,$AJ68,1,12)*$CB68,0)</f>
        <v>0</v>
      </c>
      <c r="BI68" s="137">
        <f>_xll.xSPRDOPT($BW68,$BV68,$CG68,2*LN(1+CA68/2),$BY68,$BX68,$BZ68,$AJ68,1,9)</f>
        <v>-0.1962573973095959</v>
      </c>
      <c r="BJ68" s="137">
        <f>_xll.xSPRDOPT($BW68,$BV68,$CG68,0,$BY68,$BX68,$BZ68,$AJ68,1,6)*$CB68</f>
        <v>0</v>
      </c>
      <c r="BK68" s="137">
        <f>_xll.xSPRDOPT($BW68,$BV68,$CG68,0,$BY68,$BX68,$BZ68,$AJ68,1,5)*$CB68</f>
        <v>0</v>
      </c>
      <c r="BL68" s="137">
        <f>_xll.xSPRDOPT(BW68,BV68,CG68,0,BY68,BX68,BZ68,AJ68,1,2)*CB68</f>
        <v>0</v>
      </c>
      <c r="BM68" s="137">
        <f>_xll.xSPRDOPT(BW68,BV68,CG68,0,BY68,BX68,BZ68,AJ68,1,1)*CB68</f>
        <v>0</v>
      </c>
      <c r="BN68" s="137">
        <f>IF(AH68&lt;&gt;0,_xll.xSPRDOPT($BW68,$BV68,$CG68,2*LN(1+CA68/2),$BY68,$BX68,$BZ68,$AJ68,1,8)+(AJ68/365.25)*CH68/AH68,0)</f>
        <v>0</v>
      </c>
      <c r="BO68" s="137">
        <f>_xll.xSPRDOPT($BW68,$BV68,$CG68,0,$BY68,$BX68,$BZ68,$AJ68,1,0)</f>
        <v>0.98844982808400417</v>
      </c>
      <c r="BP68" s="137"/>
      <c r="BQ68" s="137"/>
      <c r="BR68" s="137"/>
      <c r="BS68" s="137"/>
      <c r="BV68" s="262">
        <v>3.4457831325301203</v>
      </c>
      <c r="BW68" s="136">
        <v>3.4670000000000001</v>
      </c>
      <c r="BX68" s="137">
        <v>0.37</v>
      </c>
      <c r="BY68" s="137">
        <v>0.37</v>
      </c>
      <c r="BZ68" s="137">
        <v>0</v>
      </c>
      <c r="CA68" s="137">
        <v>3.4836153967131397E-2</v>
      </c>
      <c r="CB68" s="137">
        <v>0</v>
      </c>
      <c r="CC68" s="258">
        <v>0</v>
      </c>
      <c r="CD68" s="258">
        <v>0.03</v>
      </c>
      <c r="CE68" s="258">
        <v>6.5000000000000002E-2</v>
      </c>
      <c r="CF68" s="258">
        <v>0</v>
      </c>
      <c r="CG68" s="258">
        <v>5.9999999999999995E-4</v>
      </c>
      <c r="CH68" s="258">
        <v>0</v>
      </c>
      <c r="CI68" s="258">
        <v>3.4020000000000001</v>
      </c>
      <c r="CJ68" s="258"/>
      <c r="CK68" s="258"/>
      <c r="CL68" s="258"/>
      <c r="CM68" s="258"/>
    </row>
    <row r="69" spans="1:91" x14ac:dyDescent="0.25">
      <c r="A69" s="723"/>
      <c r="B69" s="723"/>
      <c r="D69" s="31">
        <f t="shared" si="41"/>
        <v>37940</v>
      </c>
      <c r="F69" s="28">
        <f t="shared" si="12"/>
        <v>27600</v>
      </c>
      <c r="G69" s="28">
        <f t="shared" si="13"/>
        <v>0</v>
      </c>
      <c r="H69" s="52">
        <f t="shared" si="14"/>
        <v>3.4457831325301203</v>
      </c>
      <c r="I69" s="52">
        <f t="shared" si="15"/>
        <v>3.4670000000000001</v>
      </c>
      <c r="K69" s="52">
        <f t="shared" si="42"/>
        <v>0</v>
      </c>
      <c r="L69" s="135">
        <f t="shared" si="43"/>
        <v>0</v>
      </c>
      <c r="N69" s="131">
        <f t="shared" si="44"/>
        <v>0.37</v>
      </c>
      <c r="O69" s="131">
        <f t="shared" si="45"/>
        <v>0.37</v>
      </c>
      <c r="P69" s="55">
        <f t="shared" si="46"/>
        <v>0</v>
      </c>
      <c r="Q69" s="135">
        <f>_xll.xSPRDOPT(I69,H69,AQ69,0,O69,N69,P69,D69-$G$5,1,0)*AH69*AU69</f>
        <v>0</v>
      </c>
      <c r="R69" s="135"/>
      <c r="S69" s="181">
        <f>_xll.xSPRDOPT(I69,H69,AQ69,AT69,O69,N69,P69,D69-$G$5,1,2)*AF69*(F69/(1-AR69))*AH69</f>
        <v>0</v>
      </c>
      <c r="T69" s="181">
        <f>_xll.xSPRDOPT(I69,H69,AQ69,AT69,O69,N69,P69,D69-$G$5,1,1)*AF69*F69*AH69</f>
        <v>0</v>
      </c>
      <c r="U69" s="135"/>
      <c r="V69" s="146">
        <f t="shared" si="16"/>
        <v>0</v>
      </c>
      <c r="W69" s="146"/>
      <c r="X69" s="338">
        <f t="shared" si="17"/>
        <v>0</v>
      </c>
      <c r="Y69" s="338">
        <f t="shared" si="18"/>
        <v>0</v>
      </c>
      <c r="Z69" s="338">
        <f t="shared" si="19"/>
        <v>0</v>
      </c>
      <c r="AA69" s="338">
        <f t="shared" si="20"/>
        <v>0</v>
      </c>
      <c r="AB69" s="338">
        <f t="shared" si="21"/>
        <v>0</v>
      </c>
      <c r="AC69" s="338">
        <f t="shared" si="22"/>
        <v>0</v>
      </c>
      <c r="AF69" s="138">
        <f t="shared" si="23"/>
        <v>0</v>
      </c>
      <c r="AG69" s="138">
        <f t="shared" si="24"/>
        <v>11</v>
      </c>
      <c r="AH69" s="138">
        <f t="shared" si="51"/>
        <v>0</v>
      </c>
      <c r="AI69" s="138">
        <f t="shared" si="47"/>
        <v>684</v>
      </c>
      <c r="AJ69" s="138">
        <f t="shared" si="26"/>
        <v>701</v>
      </c>
      <c r="AL69" s="136">
        <f t="shared" si="27"/>
        <v>3.4020000000000001</v>
      </c>
      <c r="AM69" s="258">
        <f t="shared" si="48"/>
        <v>0</v>
      </c>
      <c r="AN69" s="258">
        <f t="shared" si="28"/>
        <v>0.03</v>
      </c>
      <c r="AO69" s="258">
        <f t="shared" si="29"/>
        <v>6.5000000000000002E-2</v>
      </c>
      <c r="AP69" s="258">
        <f t="shared" si="30"/>
        <v>0</v>
      </c>
      <c r="AQ69" s="136">
        <f t="shared" si="31"/>
        <v>5.9999999999999995E-4</v>
      </c>
      <c r="AR69" s="137">
        <f t="shared" si="32"/>
        <v>4.0000000000000001E-3</v>
      </c>
      <c r="AS69" s="136">
        <f t="shared" si="49"/>
        <v>3.4319999999999999</v>
      </c>
      <c r="AT69" s="137">
        <f t="shared" si="33"/>
        <v>3.4836153967131397E-2</v>
      </c>
      <c r="AU69" s="137">
        <f t="shared" si="34"/>
        <v>0</v>
      </c>
      <c r="AV69" s="394">
        <f t="shared" si="50"/>
        <v>0</v>
      </c>
      <c r="AW69" s="137">
        <f t="shared" si="35"/>
        <v>0.37</v>
      </c>
      <c r="AX69" s="137">
        <f t="shared" si="36"/>
        <v>0.93</v>
      </c>
      <c r="AY69" s="137">
        <f t="shared" si="37"/>
        <v>0.83</v>
      </c>
      <c r="AZ69" s="137"/>
      <c r="BA69" s="264"/>
      <c r="BB69" s="258">
        <f t="shared" si="38"/>
        <v>0</v>
      </c>
      <c r="BC69" s="258">
        <f t="shared" si="39"/>
        <v>0</v>
      </c>
      <c r="BD69" s="137">
        <f t="shared" si="52"/>
        <v>0</v>
      </c>
      <c r="BE69" s="137">
        <f t="shared" si="52"/>
        <v>0</v>
      </c>
      <c r="BF69" s="137">
        <f>_xll.xSPRDOPT($BW69,$BV69,$CG69,0,$BY69,$BX69,$BZ69,$AJ69,1,4)*$CB69</f>
        <v>0</v>
      </c>
      <c r="BG69" s="137">
        <f>_xll.xSPRDOPT($BW69,$BV69,$CG69,0,$BY69,$BX69,$BZ69,$AJ69,1,3)*$CB69</f>
        <v>0</v>
      </c>
      <c r="BH69" s="137">
        <f>IF(OR(BF69&lt;&gt;0,BG69&lt;&gt;0),_xll.xSPRDOPT($BW69,$BV69,$CG69,0,$BY69,$BX69,$BZ69,$AJ69,1,12)*$CB69,0)</f>
        <v>0</v>
      </c>
      <c r="BI69" s="137">
        <f>_xll.xSPRDOPT($BW69,$BV69,$CG69,2*LN(1+CA69/2),$BY69,$BX69,$BZ69,$AJ69,1,9)</f>
        <v>-0.1962573973095959</v>
      </c>
      <c r="BJ69" s="137">
        <f>_xll.xSPRDOPT($BW69,$BV69,$CG69,0,$BY69,$BX69,$BZ69,$AJ69,1,6)*$CB69</f>
        <v>0</v>
      </c>
      <c r="BK69" s="137">
        <f>_xll.xSPRDOPT($BW69,$BV69,$CG69,0,$BY69,$BX69,$BZ69,$AJ69,1,5)*$CB69</f>
        <v>0</v>
      </c>
      <c r="BL69" s="137">
        <f>_xll.xSPRDOPT(BW69,BV69,CG69,0,BY69,BX69,BZ69,AJ69,1,2)*CB69</f>
        <v>0</v>
      </c>
      <c r="BM69" s="137">
        <f>_xll.xSPRDOPT(BW69,BV69,CG69,0,BY69,BX69,BZ69,AJ69,1,1)*CB69</f>
        <v>0</v>
      </c>
      <c r="BN69" s="137">
        <f>IF(AH69&lt;&gt;0,_xll.xSPRDOPT($BW69,$BV69,$CG69,2*LN(1+CA69/2),$BY69,$BX69,$BZ69,$AJ69,1,8)+(AJ69/365.25)*CH69/AH69,0)</f>
        <v>0</v>
      </c>
      <c r="BO69" s="137">
        <f>_xll.xSPRDOPT($BW69,$BV69,$CG69,0,$BY69,$BX69,$BZ69,$AJ69,1,0)</f>
        <v>0.98844982808400417</v>
      </c>
      <c r="BP69" s="137"/>
      <c r="BQ69" s="137"/>
      <c r="BR69" s="137"/>
      <c r="BS69" s="137"/>
      <c r="BV69" s="262">
        <v>3.4457831325301203</v>
      </c>
      <c r="BW69" s="136">
        <v>3.4670000000000001</v>
      </c>
      <c r="BX69" s="137">
        <v>0.37</v>
      </c>
      <c r="BY69" s="137">
        <v>0.37</v>
      </c>
      <c r="BZ69" s="137">
        <v>0</v>
      </c>
      <c r="CA69" s="137">
        <v>3.4836153967131397E-2</v>
      </c>
      <c r="CB69" s="137">
        <v>0</v>
      </c>
      <c r="CC69" s="258">
        <v>0</v>
      </c>
      <c r="CD69" s="258">
        <v>0.03</v>
      </c>
      <c r="CE69" s="258">
        <v>6.5000000000000002E-2</v>
      </c>
      <c r="CF69" s="258">
        <v>0</v>
      </c>
      <c r="CG69" s="258">
        <v>5.9999999999999995E-4</v>
      </c>
      <c r="CH69" s="258">
        <v>0</v>
      </c>
      <c r="CI69" s="258">
        <v>3.4020000000000001</v>
      </c>
      <c r="CJ69" s="258"/>
      <c r="CK69" s="258"/>
      <c r="CL69" s="258"/>
      <c r="CM69" s="258"/>
    </row>
    <row r="70" spans="1:91" x14ac:dyDescent="0.25">
      <c r="A70" s="723"/>
      <c r="B70" s="723"/>
      <c r="D70" s="31">
        <f t="shared" si="41"/>
        <v>37940</v>
      </c>
      <c r="F70" s="28">
        <f t="shared" si="12"/>
        <v>27600</v>
      </c>
      <c r="G70" s="28">
        <f t="shared" si="13"/>
        <v>0</v>
      </c>
      <c r="H70" s="52">
        <f t="shared" si="14"/>
        <v>3.4457831325301203</v>
      </c>
      <c r="I70" s="52">
        <f t="shared" si="15"/>
        <v>3.4670000000000001</v>
      </c>
      <c r="K70" s="52">
        <f t="shared" si="42"/>
        <v>0</v>
      </c>
      <c r="L70" s="135">
        <f t="shared" si="43"/>
        <v>0</v>
      </c>
      <c r="N70" s="131">
        <f t="shared" si="44"/>
        <v>0.37</v>
      </c>
      <c r="O70" s="131">
        <f t="shared" si="45"/>
        <v>0.37</v>
      </c>
      <c r="P70" s="55">
        <f t="shared" si="46"/>
        <v>0</v>
      </c>
      <c r="Q70" s="135">
        <f>_xll.xSPRDOPT(I70,H70,AQ70,0,O70,N70,P70,D70-$G$5,1,0)*AH70*AU70</f>
        <v>0</v>
      </c>
      <c r="R70" s="135"/>
      <c r="S70" s="181">
        <f>_xll.xSPRDOPT(I70,H70,AQ70,AT70,O70,N70,P70,D70-$G$5,1,2)*AF70*(F70/(1-AR70))*AH70</f>
        <v>0</v>
      </c>
      <c r="T70" s="181">
        <f>_xll.xSPRDOPT(I70,H70,AQ70,AT70,O70,N70,P70,D70-$G$5,1,1)*AF70*F70*AH70</f>
        <v>0</v>
      </c>
      <c r="U70" s="135"/>
      <c r="V70" s="146">
        <f t="shared" si="16"/>
        <v>0</v>
      </c>
      <c r="W70" s="146"/>
      <c r="X70" s="338">
        <f t="shared" si="17"/>
        <v>0</v>
      </c>
      <c r="Y70" s="338">
        <f t="shared" si="18"/>
        <v>0</v>
      </c>
      <c r="Z70" s="338">
        <f t="shared" si="19"/>
        <v>0</v>
      </c>
      <c r="AA70" s="338">
        <f t="shared" si="20"/>
        <v>0</v>
      </c>
      <c r="AB70" s="338">
        <f t="shared" si="21"/>
        <v>0</v>
      </c>
      <c r="AC70" s="338">
        <f t="shared" si="22"/>
        <v>0</v>
      </c>
      <c r="AF70" s="138">
        <f t="shared" si="23"/>
        <v>0</v>
      </c>
      <c r="AG70" s="138">
        <f t="shared" si="24"/>
        <v>11</v>
      </c>
      <c r="AH70" s="138">
        <f t="shared" si="51"/>
        <v>0</v>
      </c>
      <c r="AI70" s="138">
        <f t="shared" si="47"/>
        <v>684</v>
      </c>
      <c r="AJ70" s="138">
        <f t="shared" si="26"/>
        <v>701</v>
      </c>
      <c r="AL70" s="136">
        <f t="shared" si="27"/>
        <v>3.4020000000000001</v>
      </c>
      <c r="AM70" s="258">
        <f t="shared" si="48"/>
        <v>0</v>
      </c>
      <c r="AN70" s="258">
        <f t="shared" si="28"/>
        <v>0.03</v>
      </c>
      <c r="AO70" s="258">
        <f t="shared" si="29"/>
        <v>6.5000000000000002E-2</v>
      </c>
      <c r="AP70" s="258">
        <f t="shared" si="30"/>
        <v>0</v>
      </c>
      <c r="AQ70" s="136">
        <f t="shared" si="31"/>
        <v>5.9999999999999995E-4</v>
      </c>
      <c r="AR70" s="137">
        <f t="shared" si="32"/>
        <v>4.0000000000000001E-3</v>
      </c>
      <c r="AS70" s="136">
        <f t="shared" si="49"/>
        <v>3.4319999999999999</v>
      </c>
      <c r="AT70" s="137">
        <f t="shared" si="33"/>
        <v>3.4836153967131397E-2</v>
      </c>
      <c r="AU70" s="137">
        <f t="shared" si="34"/>
        <v>0</v>
      </c>
      <c r="AV70" s="394">
        <f t="shared" si="50"/>
        <v>0</v>
      </c>
      <c r="AW70" s="137">
        <f t="shared" si="35"/>
        <v>0.37</v>
      </c>
      <c r="AX70" s="137">
        <f t="shared" si="36"/>
        <v>0.93</v>
      </c>
      <c r="AY70" s="137">
        <f t="shared" si="37"/>
        <v>0.83</v>
      </c>
      <c r="AZ70" s="137"/>
      <c r="BA70" s="264"/>
      <c r="BB70" s="258">
        <f t="shared" si="38"/>
        <v>0</v>
      </c>
      <c r="BC70" s="258">
        <f t="shared" si="39"/>
        <v>0</v>
      </c>
      <c r="BD70" s="137">
        <f t="shared" si="52"/>
        <v>0</v>
      </c>
      <c r="BE70" s="137">
        <f t="shared" si="52"/>
        <v>0</v>
      </c>
      <c r="BF70" s="137">
        <f>_xll.xSPRDOPT($BW70,$BV70,$CG70,0,$BY70,$BX70,$BZ70,$AJ70,1,4)*$CB70</f>
        <v>0</v>
      </c>
      <c r="BG70" s="137">
        <f>_xll.xSPRDOPT($BW70,$BV70,$CG70,0,$BY70,$BX70,$BZ70,$AJ70,1,3)*$CB70</f>
        <v>0</v>
      </c>
      <c r="BH70" s="137">
        <f>IF(OR(BF70&lt;&gt;0,BG70&lt;&gt;0),_xll.xSPRDOPT($BW70,$BV70,$CG70,0,$BY70,$BX70,$BZ70,$AJ70,1,12)*$CB70,0)</f>
        <v>0</v>
      </c>
      <c r="BI70" s="137">
        <f>_xll.xSPRDOPT($BW70,$BV70,$CG70,2*LN(1+CA70/2),$BY70,$BX70,$BZ70,$AJ70,1,9)</f>
        <v>-0.1962573973095959</v>
      </c>
      <c r="BJ70" s="137">
        <f>_xll.xSPRDOPT($BW70,$BV70,$CG70,0,$BY70,$BX70,$BZ70,$AJ70,1,6)*$CB70</f>
        <v>0</v>
      </c>
      <c r="BK70" s="137">
        <f>_xll.xSPRDOPT($BW70,$BV70,$CG70,0,$BY70,$BX70,$BZ70,$AJ70,1,5)*$CB70</f>
        <v>0</v>
      </c>
      <c r="BL70" s="137">
        <f>_xll.xSPRDOPT(BW70,BV70,CG70,0,BY70,BX70,BZ70,AJ70,1,2)*CB70</f>
        <v>0</v>
      </c>
      <c r="BM70" s="137">
        <f>_xll.xSPRDOPT(BW70,BV70,CG70,0,BY70,BX70,BZ70,AJ70,1,1)*CB70</f>
        <v>0</v>
      </c>
      <c r="BN70" s="137">
        <f>IF(AH70&lt;&gt;0,_xll.xSPRDOPT($BW70,$BV70,$CG70,2*LN(1+CA70/2),$BY70,$BX70,$BZ70,$AJ70,1,8)+(AJ70/365.25)*CH70/AH70,0)</f>
        <v>0</v>
      </c>
      <c r="BO70" s="137">
        <f>_xll.xSPRDOPT($BW70,$BV70,$CG70,0,$BY70,$BX70,$BZ70,$AJ70,1,0)</f>
        <v>0.98844982808400417</v>
      </c>
      <c r="BP70" s="137"/>
      <c r="BQ70" s="137"/>
      <c r="BR70" s="137"/>
      <c r="BS70" s="137"/>
      <c r="BV70" s="262">
        <v>3.4457831325301203</v>
      </c>
      <c r="BW70" s="136">
        <v>3.4670000000000001</v>
      </c>
      <c r="BX70" s="137">
        <v>0.37</v>
      </c>
      <c r="BY70" s="137">
        <v>0.37</v>
      </c>
      <c r="BZ70" s="137">
        <v>0</v>
      </c>
      <c r="CA70" s="137">
        <v>3.4836153967131397E-2</v>
      </c>
      <c r="CB70" s="137">
        <v>0</v>
      </c>
      <c r="CC70" s="258">
        <v>0</v>
      </c>
      <c r="CD70" s="258">
        <v>0.03</v>
      </c>
      <c r="CE70" s="258">
        <v>6.5000000000000002E-2</v>
      </c>
      <c r="CF70" s="258">
        <v>0</v>
      </c>
      <c r="CG70" s="258">
        <v>5.9999999999999995E-4</v>
      </c>
      <c r="CH70" s="258">
        <v>0</v>
      </c>
      <c r="CI70" s="258">
        <v>3.4020000000000001</v>
      </c>
      <c r="CJ70" s="258"/>
      <c r="CK70" s="258"/>
      <c r="CL70" s="258"/>
      <c r="CM70" s="258"/>
    </row>
    <row r="71" spans="1:91" x14ac:dyDescent="0.25">
      <c r="A71" s="723"/>
      <c r="B71" s="723"/>
      <c r="D71" s="31">
        <f t="shared" si="41"/>
        <v>37940</v>
      </c>
      <c r="F71" s="28">
        <f t="shared" si="12"/>
        <v>27600</v>
      </c>
      <c r="G71" s="28">
        <f t="shared" si="13"/>
        <v>0</v>
      </c>
      <c r="H71" s="52">
        <f t="shared" si="14"/>
        <v>3.4457831325301203</v>
      </c>
      <c r="I71" s="52">
        <f t="shared" si="15"/>
        <v>3.4670000000000001</v>
      </c>
      <c r="K71" s="52">
        <f t="shared" si="42"/>
        <v>0</v>
      </c>
      <c r="L71" s="135">
        <f t="shared" si="43"/>
        <v>0</v>
      </c>
      <c r="N71" s="131">
        <f t="shared" si="44"/>
        <v>0.37</v>
      </c>
      <c r="O71" s="131">
        <f t="shared" si="45"/>
        <v>0.37</v>
      </c>
      <c r="P71" s="55">
        <f t="shared" si="46"/>
        <v>0</v>
      </c>
      <c r="Q71" s="135">
        <f>_xll.xSPRDOPT(I71,H71,AQ71,0,O71,N71,P71,D71-$G$5,1,0)*AH71*AU71</f>
        <v>0</v>
      </c>
      <c r="R71" s="135"/>
      <c r="S71" s="181">
        <f>_xll.xSPRDOPT(I71,H71,AQ71,AT71,O71,N71,P71,D71-$G$5,1,2)*AF71*(F71/(1-AR71))*AH71</f>
        <v>0</v>
      </c>
      <c r="T71" s="181">
        <f>_xll.xSPRDOPT(I71,H71,AQ71,AT71,O71,N71,P71,D71-$G$5,1,1)*AF71*F71*AH71</f>
        <v>0</v>
      </c>
      <c r="U71" s="135"/>
      <c r="V71" s="146">
        <f t="shared" si="16"/>
        <v>0</v>
      </c>
      <c r="W71" s="146"/>
      <c r="X71" s="338">
        <f t="shared" si="17"/>
        <v>0</v>
      </c>
      <c r="Y71" s="338">
        <f t="shared" si="18"/>
        <v>0</v>
      </c>
      <c r="Z71" s="338">
        <f t="shared" si="19"/>
        <v>0</v>
      </c>
      <c r="AA71" s="338">
        <f t="shared" si="20"/>
        <v>0</v>
      </c>
      <c r="AB71" s="338">
        <f t="shared" si="21"/>
        <v>0</v>
      </c>
      <c r="AC71" s="338">
        <f t="shared" si="22"/>
        <v>0</v>
      </c>
      <c r="AF71" s="138">
        <f t="shared" si="23"/>
        <v>0</v>
      </c>
      <c r="AG71" s="138">
        <f t="shared" si="24"/>
        <v>11</v>
      </c>
      <c r="AH71" s="138">
        <f t="shared" si="51"/>
        <v>0</v>
      </c>
      <c r="AI71" s="138">
        <f t="shared" si="47"/>
        <v>684</v>
      </c>
      <c r="AJ71" s="138">
        <f t="shared" si="26"/>
        <v>701</v>
      </c>
      <c r="AL71" s="136">
        <f t="shared" si="27"/>
        <v>3.4020000000000001</v>
      </c>
      <c r="AM71" s="258">
        <f t="shared" si="48"/>
        <v>0</v>
      </c>
      <c r="AN71" s="258">
        <f t="shared" si="28"/>
        <v>0.03</v>
      </c>
      <c r="AO71" s="258">
        <f t="shared" si="29"/>
        <v>6.5000000000000002E-2</v>
      </c>
      <c r="AP71" s="258">
        <f t="shared" si="30"/>
        <v>0</v>
      </c>
      <c r="AQ71" s="136">
        <f t="shared" si="31"/>
        <v>5.9999999999999995E-4</v>
      </c>
      <c r="AR71" s="137">
        <f t="shared" si="32"/>
        <v>4.0000000000000001E-3</v>
      </c>
      <c r="AS71" s="136">
        <f t="shared" si="49"/>
        <v>3.4319999999999999</v>
      </c>
      <c r="AT71" s="137">
        <f t="shared" si="33"/>
        <v>3.4836153967131397E-2</v>
      </c>
      <c r="AU71" s="137">
        <f t="shared" si="34"/>
        <v>0</v>
      </c>
      <c r="AV71" s="394">
        <f t="shared" si="50"/>
        <v>0</v>
      </c>
      <c r="AW71" s="137">
        <f t="shared" si="35"/>
        <v>0.37</v>
      </c>
      <c r="AX71" s="137">
        <f t="shared" si="36"/>
        <v>0.93</v>
      </c>
      <c r="AY71" s="137">
        <f t="shared" si="37"/>
        <v>0.83</v>
      </c>
      <c r="AZ71" s="137"/>
      <c r="BA71" s="264"/>
      <c r="BB71" s="258">
        <f t="shared" si="38"/>
        <v>0</v>
      </c>
      <c r="BC71" s="258">
        <f t="shared" si="39"/>
        <v>0</v>
      </c>
      <c r="BD71" s="137">
        <f t="shared" si="52"/>
        <v>0</v>
      </c>
      <c r="BE71" s="137">
        <f t="shared" si="52"/>
        <v>0</v>
      </c>
      <c r="BF71" s="137">
        <f>_xll.xSPRDOPT($BW71,$BV71,$CG71,0,$BY71,$BX71,$BZ71,$AJ71,1,4)*$CB71</f>
        <v>0</v>
      </c>
      <c r="BG71" s="137">
        <f>_xll.xSPRDOPT($BW71,$BV71,$CG71,0,$BY71,$BX71,$BZ71,$AJ71,1,3)*$CB71</f>
        <v>0</v>
      </c>
      <c r="BH71" s="137">
        <f>IF(OR(BF71&lt;&gt;0,BG71&lt;&gt;0),_xll.xSPRDOPT($BW71,$BV71,$CG71,0,$BY71,$BX71,$BZ71,$AJ71,1,12)*$CB71,0)</f>
        <v>0</v>
      </c>
      <c r="BI71" s="137">
        <f>_xll.xSPRDOPT($BW71,$BV71,$CG71,2*LN(1+CA71/2),$BY71,$BX71,$BZ71,$AJ71,1,9)</f>
        <v>-0.1962573973095959</v>
      </c>
      <c r="BJ71" s="137">
        <f>_xll.xSPRDOPT($BW71,$BV71,$CG71,0,$BY71,$BX71,$BZ71,$AJ71,1,6)*$CB71</f>
        <v>0</v>
      </c>
      <c r="BK71" s="137">
        <f>_xll.xSPRDOPT($BW71,$BV71,$CG71,0,$BY71,$BX71,$BZ71,$AJ71,1,5)*$CB71</f>
        <v>0</v>
      </c>
      <c r="BL71" s="137">
        <f>_xll.xSPRDOPT(BW71,BV71,CG71,0,BY71,BX71,BZ71,AJ71,1,2)*CB71</f>
        <v>0</v>
      </c>
      <c r="BM71" s="137">
        <f>_xll.xSPRDOPT(BW71,BV71,CG71,0,BY71,BX71,BZ71,AJ71,1,1)*CB71</f>
        <v>0</v>
      </c>
      <c r="BN71" s="137">
        <f>IF(AH71&lt;&gt;0,_xll.xSPRDOPT($BW71,$BV71,$CG71,2*LN(1+CA71/2),$BY71,$BX71,$BZ71,$AJ71,1,8)+(AJ71/365.25)*CH71/AH71,0)</f>
        <v>0</v>
      </c>
      <c r="BO71" s="137">
        <f>_xll.xSPRDOPT($BW71,$BV71,$CG71,0,$BY71,$BX71,$BZ71,$AJ71,1,0)</f>
        <v>0.98844982808400417</v>
      </c>
      <c r="BP71" s="137"/>
      <c r="BQ71" s="137"/>
      <c r="BR71" s="137"/>
      <c r="BS71" s="137"/>
      <c r="BV71" s="262">
        <v>3.4457831325301203</v>
      </c>
      <c r="BW71" s="136">
        <v>3.4670000000000001</v>
      </c>
      <c r="BX71" s="137">
        <v>0.37</v>
      </c>
      <c r="BY71" s="137">
        <v>0.37</v>
      </c>
      <c r="BZ71" s="137">
        <v>0</v>
      </c>
      <c r="CA71" s="137">
        <v>3.4836153967131397E-2</v>
      </c>
      <c r="CB71" s="137">
        <v>0</v>
      </c>
      <c r="CC71" s="258">
        <v>0</v>
      </c>
      <c r="CD71" s="258">
        <v>0.03</v>
      </c>
      <c r="CE71" s="258">
        <v>6.5000000000000002E-2</v>
      </c>
      <c r="CF71" s="258">
        <v>0</v>
      </c>
      <c r="CG71" s="258">
        <v>5.9999999999999995E-4</v>
      </c>
      <c r="CH71" s="258">
        <v>0</v>
      </c>
      <c r="CI71" s="258">
        <v>3.4020000000000001</v>
      </c>
      <c r="CJ71" s="258"/>
      <c r="CK71" s="258"/>
      <c r="CL71" s="258"/>
      <c r="CM71" s="258"/>
    </row>
    <row r="72" spans="1:91" x14ac:dyDescent="0.25">
      <c r="A72" s="723"/>
      <c r="B72" s="723"/>
      <c r="D72" s="31">
        <f t="shared" si="41"/>
        <v>37940</v>
      </c>
      <c r="F72" s="28">
        <f t="shared" si="12"/>
        <v>27600</v>
      </c>
      <c r="G72" s="28">
        <f t="shared" si="13"/>
        <v>0</v>
      </c>
      <c r="H72" s="52">
        <f t="shared" si="14"/>
        <v>3.4457831325301203</v>
      </c>
      <c r="I72" s="52">
        <f t="shared" si="15"/>
        <v>3.4670000000000001</v>
      </c>
      <c r="K72" s="52">
        <f t="shared" si="42"/>
        <v>0</v>
      </c>
      <c r="L72" s="135">
        <f t="shared" si="43"/>
        <v>0</v>
      </c>
      <c r="N72" s="131">
        <f t="shared" si="44"/>
        <v>0.37</v>
      </c>
      <c r="O72" s="131">
        <f t="shared" si="45"/>
        <v>0.37</v>
      </c>
      <c r="P72" s="55">
        <f t="shared" si="46"/>
        <v>0</v>
      </c>
      <c r="Q72" s="135">
        <f>_xll.xSPRDOPT(I72,H72,AQ72,0,O72,N72,P72,D72-$G$5,1,0)*AH72*AU72</f>
        <v>0</v>
      </c>
      <c r="R72" s="135"/>
      <c r="S72" s="181">
        <f>_xll.xSPRDOPT(I72,H72,AQ72,AT72,O72,N72,P72,D72-$G$5,1,2)*AF72*(F72/(1-AR72))*AH72</f>
        <v>0</v>
      </c>
      <c r="T72" s="181">
        <f>_xll.xSPRDOPT(I72,H72,AQ72,AT72,O72,N72,P72,D72-$G$5,1,1)*AF72*F72*AH72</f>
        <v>0</v>
      </c>
      <c r="U72" s="135"/>
      <c r="V72" s="146">
        <f t="shared" si="16"/>
        <v>0</v>
      </c>
      <c r="W72" s="146"/>
      <c r="X72" s="338">
        <f t="shared" si="17"/>
        <v>0</v>
      </c>
      <c r="Y72" s="338">
        <f t="shared" si="18"/>
        <v>0</v>
      </c>
      <c r="Z72" s="338">
        <f t="shared" si="19"/>
        <v>0</v>
      </c>
      <c r="AA72" s="338">
        <f t="shared" si="20"/>
        <v>0</v>
      </c>
      <c r="AB72" s="338">
        <f t="shared" si="21"/>
        <v>0</v>
      </c>
      <c r="AC72" s="338">
        <f t="shared" si="22"/>
        <v>0</v>
      </c>
      <c r="AF72" s="138">
        <f t="shared" si="23"/>
        <v>0</v>
      </c>
      <c r="AG72" s="138">
        <f t="shared" si="24"/>
        <v>11</v>
      </c>
      <c r="AH72" s="138">
        <f t="shared" si="51"/>
        <v>0</v>
      </c>
      <c r="AI72" s="138">
        <f t="shared" si="47"/>
        <v>684</v>
      </c>
      <c r="AJ72" s="138">
        <f t="shared" si="26"/>
        <v>701</v>
      </c>
      <c r="AL72" s="136">
        <f t="shared" si="27"/>
        <v>3.4020000000000001</v>
      </c>
      <c r="AM72" s="258">
        <f t="shared" si="48"/>
        <v>0</v>
      </c>
      <c r="AN72" s="258">
        <f t="shared" si="28"/>
        <v>0.03</v>
      </c>
      <c r="AO72" s="258">
        <f t="shared" si="29"/>
        <v>6.5000000000000002E-2</v>
      </c>
      <c r="AP72" s="258">
        <f t="shared" si="30"/>
        <v>0</v>
      </c>
      <c r="AQ72" s="136">
        <f t="shared" si="31"/>
        <v>5.9999999999999995E-4</v>
      </c>
      <c r="AR72" s="137">
        <f t="shared" si="32"/>
        <v>4.0000000000000001E-3</v>
      </c>
      <c r="AS72" s="136">
        <f t="shared" si="49"/>
        <v>3.4319999999999999</v>
      </c>
      <c r="AT72" s="137">
        <f t="shared" si="33"/>
        <v>3.4836153967131397E-2</v>
      </c>
      <c r="AU72" s="137">
        <f t="shared" si="34"/>
        <v>0</v>
      </c>
      <c r="AV72" s="394">
        <f t="shared" si="50"/>
        <v>0</v>
      </c>
      <c r="AW72" s="137">
        <f t="shared" si="35"/>
        <v>0.37</v>
      </c>
      <c r="AX72" s="137">
        <f t="shared" si="36"/>
        <v>0.93</v>
      </c>
      <c r="AY72" s="137">
        <f t="shared" si="37"/>
        <v>0.83</v>
      </c>
      <c r="AZ72" s="137"/>
      <c r="BA72" s="264"/>
      <c r="BB72" s="258">
        <f t="shared" si="38"/>
        <v>0</v>
      </c>
      <c r="BC72" s="258">
        <f t="shared" si="39"/>
        <v>0</v>
      </c>
      <c r="BD72" s="137">
        <f t="shared" si="52"/>
        <v>0</v>
      </c>
      <c r="BE72" s="137">
        <f t="shared" si="52"/>
        <v>0</v>
      </c>
      <c r="BF72" s="137">
        <f>_xll.xSPRDOPT($BW72,$BV72,$CG72,0,$BY72,$BX72,$BZ72,$AJ72,1,4)*$CB72</f>
        <v>0</v>
      </c>
      <c r="BG72" s="137">
        <f>_xll.xSPRDOPT($BW72,$BV72,$CG72,0,$BY72,$BX72,$BZ72,$AJ72,1,3)*$CB72</f>
        <v>0</v>
      </c>
      <c r="BH72" s="137">
        <f>IF(OR(BF72&lt;&gt;0,BG72&lt;&gt;0),_xll.xSPRDOPT($BW72,$BV72,$CG72,0,$BY72,$BX72,$BZ72,$AJ72,1,12)*$CB72,0)</f>
        <v>0</v>
      </c>
      <c r="BI72" s="137">
        <f>_xll.xSPRDOPT($BW72,$BV72,$CG72,2*LN(1+CA72/2),$BY72,$BX72,$BZ72,$AJ72,1,9)</f>
        <v>-0.1962573973095959</v>
      </c>
      <c r="BJ72" s="137">
        <f>_xll.xSPRDOPT($BW72,$BV72,$CG72,0,$BY72,$BX72,$BZ72,$AJ72,1,6)*$CB72</f>
        <v>0</v>
      </c>
      <c r="BK72" s="137">
        <f>_xll.xSPRDOPT($BW72,$BV72,$CG72,0,$BY72,$BX72,$BZ72,$AJ72,1,5)*$CB72</f>
        <v>0</v>
      </c>
      <c r="BL72" s="137">
        <f>_xll.xSPRDOPT(BW72,BV72,CG72,0,BY72,BX72,BZ72,AJ72,1,2)*CB72</f>
        <v>0</v>
      </c>
      <c r="BM72" s="137">
        <f>_xll.xSPRDOPT(BW72,BV72,CG72,0,BY72,BX72,BZ72,AJ72,1,1)*CB72</f>
        <v>0</v>
      </c>
      <c r="BN72" s="137">
        <f>IF(AH72&lt;&gt;0,_xll.xSPRDOPT($BW72,$BV72,$CG72,2*LN(1+CA72/2),$BY72,$BX72,$BZ72,$AJ72,1,8)+(AJ72/365.25)*CH72/AH72,0)</f>
        <v>0</v>
      </c>
      <c r="BO72" s="137">
        <f>_xll.xSPRDOPT($BW72,$BV72,$CG72,0,$BY72,$BX72,$BZ72,$AJ72,1,0)</f>
        <v>0.98844982808400417</v>
      </c>
      <c r="BP72" s="137"/>
      <c r="BQ72" s="137"/>
      <c r="BR72" s="137"/>
      <c r="BS72" s="137"/>
      <c r="BV72" s="262">
        <v>3.4457831325301203</v>
      </c>
      <c r="BW72" s="136">
        <v>3.4670000000000001</v>
      </c>
      <c r="BX72" s="137">
        <v>0.37</v>
      </c>
      <c r="BY72" s="137">
        <v>0.37</v>
      </c>
      <c r="BZ72" s="137">
        <v>0</v>
      </c>
      <c r="CA72" s="137">
        <v>3.4836153967131397E-2</v>
      </c>
      <c r="CB72" s="137">
        <v>0</v>
      </c>
      <c r="CC72" s="258">
        <v>0</v>
      </c>
      <c r="CD72" s="258">
        <v>0.03</v>
      </c>
      <c r="CE72" s="258">
        <v>6.5000000000000002E-2</v>
      </c>
      <c r="CF72" s="258">
        <v>0</v>
      </c>
      <c r="CG72" s="258">
        <v>5.9999999999999995E-4</v>
      </c>
      <c r="CH72" s="258">
        <v>0</v>
      </c>
      <c r="CI72" s="258">
        <v>3.4020000000000001</v>
      </c>
      <c r="CJ72" s="258"/>
      <c r="CK72" s="258"/>
      <c r="CL72" s="258"/>
      <c r="CM72" s="258"/>
    </row>
    <row r="73" spans="1:91" x14ac:dyDescent="0.25">
      <c r="A73" s="723"/>
      <c r="B73" s="723"/>
      <c r="D73" s="31">
        <f t="shared" si="41"/>
        <v>37940</v>
      </c>
      <c r="F73" s="28">
        <f t="shared" si="12"/>
        <v>27600</v>
      </c>
      <c r="G73" s="28">
        <f t="shared" si="13"/>
        <v>0</v>
      </c>
      <c r="H73" s="52">
        <f t="shared" si="14"/>
        <v>3.4457831325301203</v>
      </c>
      <c r="I73" s="52">
        <f t="shared" si="15"/>
        <v>3.4670000000000001</v>
      </c>
      <c r="K73" s="52">
        <f t="shared" si="42"/>
        <v>0</v>
      </c>
      <c r="L73" s="135">
        <f t="shared" si="43"/>
        <v>0</v>
      </c>
      <c r="N73" s="131">
        <f t="shared" si="44"/>
        <v>0.37</v>
      </c>
      <c r="O73" s="131">
        <f t="shared" si="45"/>
        <v>0.37</v>
      </c>
      <c r="P73" s="55">
        <f t="shared" si="46"/>
        <v>0</v>
      </c>
      <c r="Q73" s="135">
        <f>_xll.xSPRDOPT(I73,H73,AQ73,0,O73,N73,P73,D73-$G$5,1,0)*AH73*AU73</f>
        <v>0</v>
      </c>
      <c r="R73" s="135"/>
      <c r="S73" s="181">
        <f>_xll.xSPRDOPT(I73,H73,AQ73,AT73,O73,N73,P73,D73-$G$5,1,2)*AF73*(F73/(1-AR73))*AH73</f>
        <v>0</v>
      </c>
      <c r="T73" s="181">
        <f>_xll.xSPRDOPT(I73,H73,AQ73,AT73,O73,N73,P73,D73-$G$5,1,1)*AF73*F73*AH73</f>
        <v>0</v>
      </c>
      <c r="U73" s="135"/>
      <c r="V73" s="146">
        <f t="shared" si="16"/>
        <v>0</v>
      </c>
      <c r="W73" s="146"/>
      <c r="X73" s="338">
        <f t="shared" si="17"/>
        <v>0</v>
      </c>
      <c r="Y73" s="338">
        <f t="shared" si="18"/>
        <v>0</v>
      </c>
      <c r="Z73" s="338">
        <f t="shared" si="19"/>
        <v>0</v>
      </c>
      <c r="AA73" s="338">
        <f t="shared" si="20"/>
        <v>0</v>
      </c>
      <c r="AB73" s="338">
        <f t="shared" si="21"/>
        <v>0</v>
      </c>
      <c r="AC73" s="338">
        <f t="shared" si="22"/>
        <v>0</v>
      </c>
      <c r="AF73" s="138">
        <f t="shared" si="23"/>
        <v>0</v>
      </c>
      <c r="AG73" s="138">
        <f t="shared" si="24"/>
        <v>11</v>
      </c>
      <c r="AH73" s="138">
        <f t="shared" si="51"/>
        <v>0</v>
      </c>
      <c r="AI73" s="138">
        <f t="shared" si="47"/>
        <v>684</v>
      </c>
      <c r="AJ73" s="138">
        <f t="shared" si="26"/>
        <v>701</v>
      </c>
      <c r="AL73" s="136">
        <f t="shared" si="27"/>
        <v>3.4020000000000001</v>
      </c>
      <c r="AM73" s="258">
        <f t="shared" si="48"/>
        <v>0</v>
      </c>
      <c r="AN73" s="258">
        <f t="shared" si="28"/>
        <v>0.03</v>
      </c>
      <c r="AO73" s="258">
        <f t="shared" si="29"/>
        <v>6.5000000000000002E-2</v>
      </c>
      <c r="AP73" s="258">
        <f t="shared" si="30"/>
        <v>0</v>
      </c>
      <c r="AQ73" s="136">
        <f t="shared" si="31"/>
        <v>5.9999999999999995E-4</v>
      </c>
      <c r="AR73" s="137">
        <f t="shared" si="32"/>
        <v>4.0000000000000001E-3</v>
      </c>
      <c r="AS73" s="136">
        <f t="shared" si="49"/>
        <v>3.4319999999999999</v>
      </c>
      <c r="AT73" s="137">
        <f t="shared" si="33"/>
        <v>3.4836153967131397E-2</v>
      </c>
      <c r="AU73" s="137">
        <f t="shared" si="34"/>
        <v>0</v>
      </c>
      <c r="AV73" s="394">
        <f t="shared" si="50"/>
        <v>0</v>
      </c>
      <c r="AW73" s="137">
        <f t="shared" si="35"/>
        <v>0.37</v>
      </c>
      <c r="AX73" s="137">
        <f t="shared" si="36"/>
        <v>0.93</v>
      </c>
      <c r="AY73" s="137">
        <f t="shared" si="37"/>
        <v>0.83</v>
      </c>
      <c r="AZ73" s="137"/>
      <c r="BA73" s="264"/>
      <c r="BB73" s="258">
        <f t="shared" si="38"/>
        <v>0</v>
      </c>
      <c r="BC73" s="258">
        <f t="shared" si="39"/>
        <v>0</v>
      </c>
      <c r="BD73" s="137">
        <f t="shared" si="52"/>
        <v>0</v>
      </c>
      <c r="BE73" s="137">
        <f t="shared" si="52"/>
        <v>0</v>
      </c>
      <c r="BF73" s="137">
        <f>_xll.xSPRDOPT($BW73,$BV73,$CG73,0,$BY73,$BX73,$BZ73,$AJ73,1,4)*$CB73</f>
        <v>0</v>
      </c>
      <c r="BG73" s="137">
        <f>_xll.xSPRDOPT($BW73,$BV73,$CG73,0,$BY73,$BX73,$BZ73,$AJ73,1,3)*$CB73</f>
        <v>0</v>
      </c>
      <c r="BH73" s="137">
        <f>IF(OR(BF73&lt;&gt;0,BG73&lt;&gt;0),_xll.xSPRDOPT($BW73,$BV73,$CG73,0,$BY73,$BX73,$BZ73,$AJ73,1,12)*$CB73,0)</f>
        <v>0</v>
      </c>
      <c r="BI73" s="137">
        <f>_xll.xSPRDOPT($BW73,$BV73,$CG73,2*LN(1+CA73/2),$BY73,$BX73,$BZ73,$AJ73,1,9)</f>
        <v>-0.1962573973095959</v>
      </c>
      <c r="BJ73" s="137">
        <f>_xll.xSPRDOPT($BW73,$BV73,$CG73,0,$BY73,$BX73,$BZ73,$AJ73,1,6)*$CB73</f>
        <v>0</v>
      </c>
      <c r="BK73" s="137">
        <f>_xll.xSPRDOPT($BW73,$BV73,$CG73,0,$BY73,$BX73,$BZ73,$AJ73,1,5)*$CB73</f>
        <v>0</v>
      </c>
      <c r="BL73" s="137">
        <f>_xll.xSPRDOPT(BW73,BV73,CG73,0,BY73,BX73,BZ73,AJ73,1,2)*CB73</f>
        <v>0</v>
      </c>
      <c r="BM73" s="137">
        <f>_xll.xSPRDOPT(BW73,BV73,CG73,0,BY73,BX73,BZ73,AJ73,1,1)*CB73</f>
        <v>0</v>
      </c>
      <c r="BN73" s="137">
        <f>IF(AH73&lt;&gt;0,_xll.xSPRDOPT($BW73,$BV73,$CG73,2*LN(1+CA73/2),$BY73,$BX73,$BZ73,$AJ73,1,8)+(AJ73/365.25)*CH73/AH73,0)</f>
        <v>0</v>
      </c>
      <c r="BO73" s="137">
        <f>_xll.xSPRDOPT($BW73,$BV73,$CG73,0,$BY73,$BX73,$BZ73,$AJ73,1,0)</f>
        <v>0.98844982808400417</v>
      </c>
      <c r="BP73" s="137"/>
      <c r="BQ73" s="137"/>
      <c r="BR73" s="137"/>
      <c r="BS73" s="137"/>
      <c r="BV73" s="262">
        <v>3.4457831325301203</v>
      </c>
      <c r="BW73" s="136">
        <v>3.4670000000000001</v>
      </c>
      <c r="BX73" s="137">
        <v>0.37</v>
      </c>
      <c r="BY73" s="137">
        <v>0.37</v>
      </c>
      <c r="BZ73" s="137">
        <v>0</v>
      </c>
      <c r="CA73" s="137">
        <v>3.4836153967131397E-2</v>
      </c>
      <c r="CB73" s="137">
        <v>0</v>
      </c>
      <c r="CC73" s="258">
        <v>0</v>
      </c>
      <c r="CD73" s="258">
        <v>0.03</v>
      </c>
      <c r="CE73" s="258">
        <v>6.5000000000000002E-2</v>
      </c>
      <c r="CF73" s="258">
        <v>0</v>
      </c>
      <c r="CG73" s="258">
        <v>5.9999999999999995E-4</v>
      </c>
      <c r="CH73" s="258">
        <v>0</v>
      </c>
      <c r="CI73" s="258">
        <v>3.4020000000000001</v>
      </c>
      <c r="CJ73" s="258"/>
      <c r="CK73" s="258"/>
      <c r="CL73" s="258"/>
      <c r="CM73" s="258"/>
    </row>
    <row r="74" spans="1:91" x14ac:dyDescent="0.25">
      <c r="A74" s="723"/>
      <c r="B74" s="723"/>
      <c r="D74" s="31">
        <f t="shared" si="41"/>
        <v>37940</v>
      </c>
      <c r="F74" s="28">
        <f t="shared" si="12"/>
        <v>27600</v>
      </c>
      <c r="G74" s="28">
        <f t="shared" si="13"/>
        <v>0</v>
      </c>
      <c r="H74" s="52">
        <f t="shared" si="14"/>
        <v>3.4457831325301203</v>
      </c>
      <c r="I74" s="52">
        <f t="shared" si="15"/>
        <v>3.4670000000000001</v>
      </c>
      <c r="K74" s="52">
        <f t="shared" si="42"/>
        <v>0</v>
      </c>
      <c r="L74" s="135">
        <f t="shared" si="43"/>
        <v>0</v>
      </c>
      <c r="N74" s="131">
        <f t="shared" si="44"/>
        <v>0.37</v>
      </c>
      <c r="O74" s="131">
        <f t="shared" si="45"/>
        <v>0.37</v>
      </c>
      <c r="P74" s="55">
        <f t="shared" si="46"/>
        <v>0</v>
      </c>
      <c r="Q74" s="135">
        <f>_xll.xSPRDOPT(I74,H74,AQ74,0,O74,N74,P74,D74-$G$5,1,0)*AH74*AU74</f>
        <v>0</v>
      </c>
      <c r="R74" s="135"/>
      <c r="S74" s="181">
        <f>_xll.xSPRDOPT(I74,H74,AQ74,AT74,O74,N74,P74,D74-$G$5,1,2)*AF74*(F74/(1-AR74))*AH74</f>
        <v>0</v>
      </c>
      <c r="T74" s="181">
        <f>_xll.xSPRDOPT(I74,H74,AQ74,AT74,O74,N74,P74,D74-$G$5,1,1)*AF74*F74*AH74</f>
        <v>0</v>
      </c>
      <c r="U74" s="135"/>
      <c r="V74" s="146">
        <f t="shared" si="16"/>
        <v>0</v>
      </c>
      <c r="W74" s="146"/>
      <c r="X74" s="338">
        <f t="shared" si="17"/>
        <v>0</v>
      </c>
      <c r="Y74" s="338">
        <f t="shared" si="18"/>
        <v>0</v>
      </c>
      <c r="Z74" s="338">
        <f t="shared" si="19"/>
        <v>0</v>
      </c>
      <c r="AA74" s="338">
        <f t="shared" si="20"/>
        <v>0</v>
      </c>
      <c r="AB74" s="338">
        <f t="shared" si="21"/>
        <v>0</v>
      </c>
      <c r="AC74" s="338">
        <f t="shared" si="22"/>
        <v>0</v>
      </c>
      <c r="AF74" s="138">
        <f t="shared" si="23"/>
        <v>0</v>
      </c>
      <c r="AG74" s="138">
        <f t="shared" si="24"/>
        <v>11</v>
      </c>
      <c r="AH74" s="138">
        <f t="shared" si="51"/>
        <v>0</v>
      </c>
      <c r="AI74" s="138">
        <f t="shared" si="47"/>
        <v>684</v>
      </c>
      <c r="AJ74" s="138">
        <f t="shared" si="26"/>
        <v>701</v>
      </c>
      <c r="AL74" s="136">
        <f t="shared" si="27"/>
        <v>3.4020000000000001</v>
      </c>
      <c r="AM74" s="258">
        <f t="shared" si="48"/>
        <v>0</v>
      </c>
      <c r="AN74" s="258">
        <f t="shared" si="28"/>
        <v>0.03</v>
      </c>
      <c r="AO74" s="258">
        <f t="shared" si="29"/>
        <v>6.5000000000000002E-2</v>
      </c>
      <c r="AP74" s="258">
        <f t="shared" si="30"/>
        <v>0</v>
      </c>
      <c r="AQ74" s="136">
        <f t="shared" si="31"/>
        <v>5.9999999999999995E-4</v>
      </c>
      <c r="AR74" s="137">
        <f t="shared" si="32"/>
        <v>4.0000000000000001E-3</v>
      </c>
      <c r="AS74" s="136">
        <f t="shared" si="49"/>
        <v>3.4319999999999999</v>
      </c>
      <c r="AT74" s="137">
        <f t="shared" si="33"/>
        <v>3.4836153967131397E-2</v>
      </c>
      <c r="AU74" s="137">
        <f t="shared" si="34"/>
        <v>0</v>
      </c>
      <c r="AV74" s="394">
        <f t="shared" si="50"/>
        <v>0</v>
      </c>
      <c r="AW74" s="137">
        <f t="shared" si="35"/>
        <v>0.37</v>
      </c>
      <c r="AX74" s="137">
        <f t="shared" si="36"/>
        <v>0.93</v>
      </c>
      <c r="AY74" s="137">
        <f t="shared" si="37"/>
        <v>0.83</v>
      </c>
      <c r="AZ74" s="137"/>
      <c r="BA74" s="264"/>
      <c r="BB74" s="258">
        <f t="shared" si="38"/>
        <v>0</v>
      </c>
      <c r="BC74" s="258">
        <f t="shared" si="39"/>
        <v>0</v>
      </c>
      <c r="BD74" s="137">
        <f t="shared" si="52"/>
        <v>0</v>
      </c>
      <c r="BE74" s="137">
        <f t="shared" si="52"/>
        <v>0</v>
      </c>
      <c r="BF74" s="137">
        <f>_xll.xSPRDOPT($BW74,$BV74,$CG74,0,$BY74,$BX74,$BZ74,$AJ74,1,4)*$CB74</f>
        <v>0</v>
      </c>
      <c r="BG74" s="137">
        <f>_xll.xSPRDOPT($BW74,$BV74,$CG74,0,$BY74,$BX74,$BZ74,$AJ74,1,3)*$CB74</f>
        <v>0</v>
      </c>
      <c r="BH74" s="137">
        <f>IF(OR(BF74&lt;&gt;0,BG74&lt;&gt;0),_xll.xSPRDOPT($BW74,$BV74,$CG74,0,$BY74,$BX74,$BZ74,$AJ74,1,12)*$CB74,0)</f>
        <v>0</v>
      </c>
      <c r="BI74" s="137">
        <f>_xll.xSPRDOPT($BW74,$BV74,$CG74,2*LN(1+CA74/2),$BY74,$BX74,$BZ74,$AJ74,1,9)</f>
        <v>-0.1962573973095959</v>
      </c>
      <c r="BJ74" s="137">
        <f>_xll.xSPRDOPT($BW74,$BV74,$CG74,0,$BY74,$BX74,$BZ74,$AJ74,1,6)*$CB74</f>
        <v>0</v>
      </c>
      <c r="BK74" s="137">
        <f>_xll.xSPRDOPT($BW74,$BV74,$CG74,0,$BY74,$BX74,$BZ74,$AJ74,1,5)*$CB74</f>
        <v>0</v>
      </c>
      <c r="BL74" s="137">
        <f>_xll.xSPRDOPT(BW74,BV74,CG74,0,BY74,BX74,BZ74,AJ74,1,2)*CB74</f>
        <v>0</v>
      </c>
      <c r="BM74" s="137">
        <f>_xll.xSPRDOPT(BW74,BV74,CG74,0,BY74,BX74,BZ74,AJ74,1,1)*CB74</f>
        <v>0</v>
      </c>
      <c r="BN74" s="137">
        <f>IF(AH74&lt;&gt;0,_xll.xSPRDOPT($BW74,$BV74,$CG74,2*LN(1+CA74/2),$BY74,$BX74,$BZ74,$AJ74,1,8)+(AJ74/365.25)*CH74/AH74,0)</f>
        <v>0</v>
      </c>
      <c r="BO74" s="137">
        <f>_xll.xSPRDOPT($BW74,$BV74,$CG74,0,$BY74,$BX74,$BZ74,$AJ74,1,0)</f>
        <v>0.98844982808400417</v>
      </c>
      <c r="BP74" s="137"/>
      <c r="BQ74" s="137"/>
      <c r="BR74" s="137"/>
      <c r="BS74" s="137"/>
      <c r="BV74" s="262">
        <v>3.4457831325301203</v>
      </c>
      <c r="BW74" s="136">
        <v>3.4670000000000001</v>
      </c>
      <c r="BX74" s="137">
        <v>0.37</v>
      </c>
      <c r="BY74" s="137">
        <v>0.37</v>
      </c>
      <c r="BZ74" s="137">
        <v>0</v>
      </c>
      <c r="CA74" s="137">
        <v>3.4836153967131397E-2</v>
      </c>
      <c r="CB74" s="137">
        <v>0</v>
      </c>
      <c r="CC74" s="258">
        <v>0</v>
      </c>
      <c r="CD74" s="258">
        <v>0.03</v>
      </c>
      <c r="CE74" s="258">
        <v>6.5000000000000002E-2</v>
      </c>
      <c r="CF74" s="258">
        <v>0</v>
      </c>
      <c r="CG74" s="258">
        <v>5.9999999999999995E-4</v>
      </c>
      <c r="CH74" s="258">
        <v>0</v>
      </c>
      <c r="CI74" s="258">
        <v>3.4020000000000001</v>
      </c>
      <c r="CJ74" s="258"/>
      <c r="CK74" s="258"/>
      <c r="CL74" s="258"/>
      <c r="CM74" s="258"/>
    </row>
    <row r="75" spans="1:91" x14ac:dyDescent="0.25">
      <c r="A75" s="723"/>
      <c r="B75" s="723"/>
      <c r="D75" s="31">
        <f t="shared" si="41"/>
        <v>37940</v>
      </c>
      <c r="F75" s="28">
        <f t="shared" si="12"/>
        <v>27600</v>
      </c>
      <c r="G75" s="28">
        <f t="shared" si="13"/>
        <v>0</v>
      </c>
      <c r="H75" s="52">
        <f t="shared" si="14"/>
        <v>3.4457831325301203</v>
      </c>
      <c r="I75" s="52">
        <f t="shared" si="15"/>
        <v>3.4670000000000001</v>
      </c>
      <c r="K75" s="52">
        <f t="shared" si="42"/>
        <v>0</v>
      </c>
      <c r="L75" s="135">
        <f t="shared" si="43"/>
        <v>0</v>
      </c>
      <c r="N75" s="131">
        <f t="shared" si="44"/>
        <v>0.37</v>
      </c>
      <c r="O75" s="131">
        <f t="shared" si="45"/>
        <v>0.37</v>
      </c>
      <c r="P75" s="55">
        <f t="shared" si="46"/>
        <v>0</v>
      </c>
      <c r="Q75" s="135">
        <f>_xll.xSPRDOPT(I75,H75,AQ75,0,O75,N75,P75,D75-$G$5,1,0)*AH75*AU75</f>
        <v>0</v>
      </c>
      <c r="R75" s="135"/>
      <c r="S75" s="181">
        <f>_xll.xSPRDOPT(I75,H75,AQ75,AT75,O75,N75,P75,D75-$G$5,1,2)*AF75*(F75/(1-AR75))*AH75</f>
        <v>0</v>
      </c>
      <c r="T75" s="181">
        <f>_xll.xSPRDOPT(I75,H75,AQ75,AT75,O75,N75,P75,D75-$G$5,1,1)*AF75*F75*AH75</f>
        <v>0</v>
      </c>
      <c r="U75" s="135"/>
      <c r="V75" s="146">
        <f t="shared" si="16"/>
        <v>0</v>
      </c>
      <c r="W75" s="146"/>
      <c r="X75" s="338">
        <f t="shared" si="17"/>
        <v>0</v>
      </c>
      <c r="Y75" s="338">
        <f t="shared" si="18"/>
        <v>0</v>
      </c>
      <c r="Z75" s="338">
        <f t="shared" si="19"/>
        <v>0</v>
      </c>
      <c r="AA75" s="338">
        <f t="shared" si="20"/>
        <v>0</v>
      </c>
      <c r="AB75" s="338">
        <f t="shared" si="21"/>
        <v>0</v>
      </c>
      <c r="AC75" s="338">
        <f t="shared" si="22"/>
        <v>0</v>
      </c>
      <c r="AF75" s="138">
        <f t="shared" si="23"/>
        <v>0</v>
      </c>
      <c r="AG75" s="138">
        <f t="shared" si="24"/>
        <v>11</v>
      </c>
      <c r="AH75" s="138">
        <f t="shared" si="51"/>
        <v>0</v>
      </c>
      <c r="AI75" s="138">
        <f t="shared" si="47"/>
        <v>684</v>
      </c>
      <c r="AJ75" s="138">
        <f t="shared" si="26"/>
        <v>701</v>
      </c>
      <c r="AL75" s="136">
        <f t="shared" si="27"/>
        <v>3.4020000000000001</v>
      </c>
      <c r="AM75" s="258">
        <f t="shared" si="48"/>
        <v>0</v>
      </c>
      <c r="AN75" s="258">
        <f t="shared" si="28"/>
        <v>0.03</v>
      </c>
      <c r="AO75" s="258">
        <f t="shared" si="29"/>
        <v>6.5000000000000002E-2</v>
      </c>
      <c r="AP75" s="258">
        <f t="shared" si="30"/>
        <v>0</v>
      </c>
      <c r="AQ75" s="136">
        <f t="shared" si="31"/>
        <v>5.9999999999999995E-4</v>
      </c>
      <c r="AR75" s="137">
        <f t="shared" si="32"/>
        <v>4.0000000000000001E-3</v>
      </c>
      <c r="AS75" s="136">
        <f t="shared" si="49"/>
        <v>3.4319999999999999</v>
      </c>
      <c r="AT75" s="137">
        <f t="shared" si="33"/>
        <v>3.4836153967131397E-2</v>
      </c>
      <c r="AU75" s="137">
        <f t="shared" si="34"/>
        <v>0</v>
      </c>
      <c r="AV75" s="394">
        <f t="shared" si="50"/>
        <v>0</v>
      </c>
      <c r="AW75" s="137">
        <f t="shared" si="35"/>
        <v>0.37</v>
      </c>
      <c r="AX75" s="137">
        <f t="shared" si="36"/>
        <v>0.93</v>
      </c>
      <c r="AY75" s="137">
        <f t="shared" si="37"/>
        <v>0.83</v>
      </c>
      <c r="AZ75" s="137"/>
      <c r="BA75" s="264"/>
      <c r="BB75" s="258">
        <f t="shared" si="38"/>
        <v>0</v>
      </c>
      <c r="BC75" s="258">
        <f t="shared" si="39"/>
        <v>0</v>
      </c>
      <c r="BD75" s="137">
        <f t="shared" si="52"/>
        <v>0</v>
      </c>
      <c r="BE75" s="137">
        <f t="shared" si="52"/>
        <v>0</v>
      </c>
      <c r="BF75" s="137">
        <f>_xll.xSPRDOPT($BW75,$BV75,$CG75,0,$BY75,$BX75,$BZ75,$AJ75,1,4)*$CB75</f>
        <v>0</v>
      </c>
      <c r="BG75" s="137">
        <f>_xll.xSPRDOPT($BW75,$BV75,$CG75,0,$BY75,$BX75,$BZ75,$AJ75,1,3)*$CB75</f>
        <v>0</v>
      </c>
      <c r="BH75" s="137">
        <f>IF(OR(BF75&lt;&gt;0,BG75&lt;&gt;0),_xll.xSPRDOPT($BW75,$BV75,$CG75,0,$BY75,$BX75,$BZ75,$AJ75,1,12)*$CB75,0)</f>
        <v>0</v>
      </c>
      <c r="BI75" s="137">
        <f>_xll.xSPRDOPT($BW75,$BV75,$CG75,2*LN(1+CA75/2),$BY75,$BX75,$BZ75,$AJ75,1,9)</f>
        <v>-0.1962573973095959</v>
      </c>
      <c r="BJ75" s="137">
        <f>_xll.xSPRDOPT($BW75,$BV75,$CG75,0,$BY75,$BX75,$BZ75,$AJ75,1,6)*$CB75</f>
        <v>0</v>
      </c>
      <c r="BK75" s="137">
        <f>_xll.xSPRDOPT($BW75,$BV75,$CG75,0,$BY75,$BX75,$BZ75,$AJ75,1,5)*$CB75</f>
        <v>0</v>
      </c>
      <c r="BL75" s="137">
        <f>_xll.xSPRDOPT(BW75,BV75,CG75,0,BY75,BX75,BZ75,AJ75,1,2)*CB75</f>
        <v>0</v>
      </c>
      <c r="BM75" s="137">
        <f>_xll.xSPRDOPT(BW75,BV75,CG75,0,BY75,BX75,BZ75,AJ75,1,1)*CB75</f>
        <v>0</v>
      </c>
      <c r="BN75" s="137">
        <f>IF(AH75&lt;&gt;0,_xll.xSPRDOPT($BW75,$BV75,$CG75,2*LN(1+CA75/2),$BY75,$BX75,$BZ75,$AJ75,1,8)+(AJ75/365.25)*CH75/AH75,0)</f>
        <v>0</v>
      </c>
      <c r="BO75" s="137">
        <f>_xll.xSPRDOPT($BW75,$BV75,$CG75,0,$BY75,$BX75,$BZ75,$AJ75,1,0)</f>
        <v>0.98844982808400417</v>
      </c>
      <c r="BP75" s="137"/>
      <c r="BQ75" s="137"/>
      <c r="BR75" s="137"/>
      <c r="BS75" s="137"/>
      <c r="BV75" s="262">
        <v>3.4457831325301203</v>
      </c>
      <c r="BW75" s="136">
        <v>3.4670000000000001</v>
      </c>
      <c r="BX75" s="137">
        <v>0.37</v>
      </c>
      <c r="BY75" s="137">
        <v>0.37</v>
      </c>
      <c r="BZ75" s="137">
        <v>0</v>
      </c>
      <c r="CA75" s="137">
        <v>3.4836153967131397E-2</v>
      </c>
      <c r="CB75" s="137">
        <v>0</v>
      </c>
      <c r="CC75" s="258">
        <v>0</v>
      </c>
      <c r="CD75" s="258">
        <v>0.03</v>
      </c>
      <c r="CE75" s="258">
        <v>6.5000000000000002E-2</v>
      </c>
      <c r="CF75" s="258">
        <v>0</v>
      </c>
      <c r="CG75" s="258">
        <v>5.9999999999999995E-4</v>
      </c>
      <c r="CH75" s="258">
        <v>0</v>
      </c>
      <c r="CI75" s="258">
        <v>3.4020000000000001</v>
      </c>
      <c r="CJ75" s="258"/>
      <c r="CK75" s="258"/>
      <c r="CL75" s="258"/>
      <c r="CM75" s="258"/>
    </row>
    <row r="76" spans="1:91" x14ac:dyDescent="0.25">
      <c r="A76" s="723"/>
      <c r="B76" s="723"/>
      <c r="D76" s="31">
        <f t="shared" si="41"/>
        <v>37940</v>
      </c>
      <c r="F76" s="28">
        <f t="shared" si="12"/>
        <v>27600</v>
      </c>
      <c r="G76" s="28">
        <f t="shared" si="13"/>
        <v>0</v>
      </c>
      <c r="H76" s="52">
        <f t="shared" si="14"/>
        <v>3.4457831325301203</v>
      </c>
      <c r="I76" s="52">
        <f t="shared" si="15"/>
        <v>3.4670000000000001</v>
      </c>
      <c r="K76" s="52">
        <f t="shared" si="42"/>
        <v>0</v>
      </c>
      <c r="L76" s="135">
        <f t="shared" si="43"/>
        <v>0</v>
      </c>
      <c r="N76" s="131">
        <f t="shared" si="44"/>
        <v>0.37</v>
      </c>
      <c r="O76" s="131">
        <f t="shared" si="45"/>
        <v>0.37</v>
      </c>
      <c r="P76" s="55">
        <f t="shared" si="46"/>
        <v>0</v>
      </c>
      <c r="Q76" s="135">
        <f>_xll.xSPRDOPT(I76,H76,AQ76,0,O76,N76,P76,D76-$G$5,1,0)*AH76*AU76</f>
        <v>0</v>
      </c>
      <c r="R76" s="135"/>
      <c r="S76" s="181">
        <f>_xll.xSPRDOPT(I76,H76,AQ76,AT76,O76,N76,P76,D76-$G$5,1,2)*AF76*(F76/(1-AR76))*AH76</f>
        <v>0</v>
      </c>
      <c r="T76" s="181">
        <f>_xll.xSPRDOPT(I76,H76,AQ76,AT76,O76,N76,P76,D76-$G$5,1,1)*AF76*F76*AH76</f>
        <v>0</v>
      </c>
      <c r="U76" s="135"/>
      <c r="V76" s="146">
        <f t="shared" si="16"/>
        <v>0</v>
      </c>
      <c r="W76" s="146"/>
      <c r="X76" s="338">
        <f t="shared" si="17"/>
        <v>0</v>
      </c>
      <c r="Y76" s="338">
        <f t="shared" si="18"/>
        <v>0</v>
      </c>
      <c r="Z76" s="338">
        <f t="shared" si="19"/>
        <v>0</v>
      </c>
      <c r="AA76" s="338">
        <f t="shared" si="20"/>
        <v>0</v>
      </c>
      <c r="AB76" s="338">
        <f t="shared" si="21"/>
        <v>0</v>
      </c>
      <c r="AC76" s="338">
        <f t="shared" si="22"/>
        <v>0</v>
      </c>
      <c r="AF76" s="138">
        <f t="shared" si="23"/>
        <v>0</v>
      </c>
      <c r="AG76" s="138">
        <f t="shared" si="24"/>
        <v>11</v>
      </c>
      <c r="AH76" s="138">
        <f t="shared" si="51"/>
        <v>0</v>
      </c>
      <c r="AI76" s="138">
        <f t="shared" si="47"/>
        <v>684</v>
      </c>
      <c r="AJ76" s="138">
        <f t="shared" si="26"/>
        <v>701</v>
      </c>
      <c r="AL76" s="136">
        <f t="shared" si="27"/>
        <v>3.4020000000000001</v>
      </c>
      <c r="AM76" s="258">
        <f t="shared" si="48"/>
        <v>0</v>
      </c>
      <c r="AN76" s="258">
        <f t="shared" si="28"/>
        <v>0.03</v>
      </c>
      <c r="AO76" s="258">
        <f t="shared" si="29"/>
        <v>6.5000000000000002E-2</v>
      </c>
      <c r="AP76" s="258">
        <f t="shared" si="30"/>
        <v>0</v>
      </c>
      <c r="AQ76" s="136">
        <f t="shared" si="31"/>
        <v>5.9999999999999995E-4</v>
      </c>
      <c r="AR76" s="137">
        <f t="shared" si="32"/>
        <v>4.0000000000000001E-3</v>
      </c>
      <c r="AS76" s="136">
        <f t="shared" si="49"/>
        <v>3.4319999999999999</v>
      </c>
      <c r="AT76" s="137">
        <f t="shared" si="33"/>
        <v>3.4836153967131397E-2</v>
      </c>
      <c r="AU76" s="137">
        <f t="shared" si="34"/>
        <v>0</v>
      </c>
      <c r="AV76" s="394">
        <f t="shared" si="50"/>
        <v>0</v>
      </c>
      <c r="AW76" s="137">
        <f t="shared" si="35"/>
        <v>0.37</v>
      </c>
      <c r="AX76" s="137">
        <f t="shared" si="36"/>
        <v>0.93</v>
      </c>
      <c r="AY76" s="137">
        <f t="shared" si="37"/>
        <v>0.83</v>
      </c>
      <c r="AZ76" s="137"/>
      <c r="BA76" s="264"/>
      <c r="BB76" s="258">
        <f t="shared" si="38"/>
        <v>0</v>
      </c>
      <c r="BC76" s="258">
        <f t="shared" si="39"/>
        <v>0</v>
      </c>
      <c r="BD76" s="137">
        <f t="shared" si="52"/>
        <v>0</v>
      </c>
      <c r="BE76" s="137">
        <f t="shared" si="52"/>
        <v>0</v>
      </c>
      <c r="BF76" s="137">
        <f>_xll.xSPRDOPT($BW76,$BV76,$CG76,0,$BY76,$BX76,$BZ76,$AJ76,1,4)*$CB76</f>
        <v>0</v>
      </c>
      <c r="BG76" s="137">
        <f>_xll.xSPRDOPT($BW76,$BV76,$CG76,0,$BY76,$BX76,$BZ76,$AJ76,1,3)*$CB76</f>
        <v>0</v>
      </c>
      <c r="BH76" s="137">
        <f>IF(OR(BF76&lt;&gt;0,BG76&lt;&gt;0),_xll.xSPRDOPT($BW76,$BV76,$CG76,0,$BY76,$BX76,$BZ76,$AJ76,1,12)*$CB76,0)</f>
        <v>0</v>
      </c>
      <c r="BI76" s="137">
        <f>_xll.xSPRDOPT($BW76,$BV76,$CG76,2*LN(1+CA76/2),$BY76,$BX76,$BZ76,$AJ76,1,9)</f>
        <v>-0.1962573973095959</v>
      </c>
      <c r="BJ76" s="137">
        <f>_xll.xSPRDOPT($BW76,$BV76,$CG76,0,$BY76,$BX76,$BZ76,$AJ76,1,6)*$CB76</f>
        <v>0</v>
      </c>
      <c r="BK76" s="137">
        <f>_xll.xSPRDOPT($BW76,$BV76,$CG76,0,$BY76,$BX76,$BZ76,$AJ76,1,5)*$CB76</f>
        <v>0</v>
      </c>
      <c r="BL76" s="137">
        <f>_xll.xSPRDOPT(BW76,BV76,CG76,0,BY76,BX76,BZ76,AJ76,1,2)*CB76</f>
        <v>0</v>
      </c>
      <c r="BM76" s="137">
        <f>_xll.xSPRDOPT(BW76,BV76,CG76,0,BY76,BX76,BZ76,AJ76,1,1)*CB76</f>
        <v>0</v>
      </c>
      <c r="BN76" s="137">
        <f>IF(AH76&lt;&gt;0,_xll.xSPRDOPT($BW76,$BV76,$CG76,2*LN(1+CA76/2),$BY76,$BX76,$BZ76,$AJ76,1,8)+(AJ76/365.25)*CH76/AH76,0)</f>
        <v>0</v>
      </c>
      <c r="BO76" s="137">
        <f>_xll.xSPRDOPT($BW76,$BV76,$CG76,0,$BY76,$BX76,$BZ76,$AJ76,1,0)</f>
        <v>0.98844982808400417</v>
      </c>
      <c r="BP76" s="137"/>
      <c r="BQ76" s="137"/>
      <c r="BR76" s="137"/>
      <c r="BS76" s="137"/>
      <c r="BV76" s="262">
        <v>3.4457831325301203</v>
      </c>
      <c r="BW76" s="136">
        <v>3.4670000000000001</v>
      </c>
      <c r="BX76" s="137">
        <v>0.37</v>
      </c>
      <c r="BY76" s="137">
        <v>0.37</v>
      </c>
      <c r="BZ76" s="137">
        <v>0</v>
      </c>
      <c r="CA76" s="137">
        <v>3.4836153967131397E-2</v>
      </c>
      <c r="CB76" s="137">
        <v>0</v>
      </c>
      <c r="CC76" s="258">
        <v>0</v>
      </c>
      <c r="CD76" s="258">
        <v>0.03</v>
      </c>
      <c r="CE76" s="258">
        <v>6.5000000000000002E-2</v>
      </c>
      <c r="CF76" s="258">
        <v>0</v>
      </c>
      <c r="CG76" s="258">
        <v>5.9999999999999995E-4</v>
      </c>
      <c r="CH76" s="258">
        <v>0</v>
      </c>
      <c r="CI76" s="258">
        <v>3.4020000000000001</v>
      </c>
      <c r="CJ76" s="258"/>
      <c r="CK76" s="258"/>
      <c r="CL76" s="258"/>
      <c r="CM76" s="258"/>
    </row>
    <row r="77" spans="1:91" x14ac:dyDescent="0.25">
      <c r="A77" s="723"/>
      <c r="B77" s="723"/>
      <c r="D77" s="31">
        <f t="shared" si="41"/>
        <v>37940</v>
      </c>
      <c r="F77" s="28">
        <f t="shared" si="12"/>
        <v>27600</v>
      </c>
      <c r="G77" s="28">
        <f t="shared" si="13"/>
        <v>0</v>
      </c>
      <c r="H77" s="52">
        <f t="shared" si="14"/>
        <v>3.4457831325301203</v>
      </c>
      <c r="I77" s="52">
        <f t="shared" si="15"/>
        <v>3.4670000000000001</v>
      </c>
      <c r="K77" s="52">
        <f t="shared" si="42"/>
        <v>0</v>
      </c>
      <c r="L77" s="135">
        <f t="shared" si="43"/>
        <v>0</v>
      </c>
      <c r="N77" s="131">
        <f t="shared" si="44"/>
        <v>0.37</v>
      </c>
      <c r="O77" s="131">
        <f t="shared" si="45"/>
        <v>0.37</v>
      </c>
      <c r="P77" s="55">
        <f t="shared" si="46"/>
        <v>0</v>
      </c>
      <c r="Q77" s="135">
        <f>_xll.xSPRDOPT(I77,H77,AQ77,0,O77,N77,P77,D77-$G$5,1,0)*AH77*AU77</f>
        <v>0</v>
      </c>
      <c r="R77" s="135"/>
      <c r="S77" s="181">
        <f>_xll.xSPRDOPT(I77,H77,AQ77,AT77,O77,N77,P77,D77-$G$5,1,2)*AF77*(F77/(1-AR77))*AH77</f>
        <v>0</v>
      </c>
      <c r="T77" s="181">
        <f>_xll.xSPRDOPT(I77,H77,AQ77,AT77,O77,N77,P77,D77-$G$5,1,1)*AF77*F77*AH77</f>
        <v>0</v>
      </c>
      <c r="U77" s="135"/>
      <c r="V77" s="146">
        <f t="shared" si="16"/>
        <v>0</v>
      </c>
      <c r="W77" s="146"/>
      <c r="X77" s="338">
        <f t="shared" si="17"/>
        <v>0</v>
      </c>
      <c r="Y77" s="338">
        <f t="shared" si="18"/>
        <v>0</v>
      </c>
      <c r="Z77" s="338">
        <f t="shared" si="19"/>
        <v>0</v>
      </c>
      <c r="AA77" s="338">
        <f t="shared" si="20"/>
        <v>0</v>
      </c>
      <c r="AB77" s="338">
        <f t="shared" si="21"/>
        <v>0</v>
      </c>
      <c r="AC77" s="338">
        <f t="shared" si="22"/>
        <v>0</v>
      </c>
      <c r="AF77" s="138">
        <f t="shared" si="23"/>
        <v>0</v>
      </c>
      <c r="AG77" s="138">
        <f t="shared" si="24"/>
        <v>11</v>
      </c>
      <c r="AH77" s="138">
        <f t="shared" si="51"/>
        <v>0</v>
      </c>
      <c r="AI77" s="138">
        <f t="shared" si="47"/>
        <v>684</v>
      </c>
      <c r="AJ77" s="138">
        <f t="shared" si="26"/>
        <v>701</v>
      </c>
      <c r="AL77" s="136">
        <f t="shared" si="27"/>
        <v>3.4020000000000001</v>
      </c>
      <c r="AM77" s="258">
        <f t="shared" si="48"/>
        <v>0</v>
      </c>
      <c r="AN77" s="258">
        <f t="shared" si="28"/>
        <v>0.03</v>
      </c>
      <c r="AO77" s="258">
        <f t="shared" si="29"/>
        <v>6.5000000000000002E-2</v>
      </c>
      <c r="AP77" s="258">
        <f t="shared" si="30"/>
        <v>0</v>
      </c>
      <c r="AQ77" s="136">
        <f t="shared" si="31"/>
        <v>5.9999999999999995E-4</v>
      </c>
      <c r="AR77" s="137">
        <f t="shared" si="32"/>
        <v>4.0000000000000001E-3</v>
      </c>
      <c r="AS77" s="136">
        <f t="shared" si="49"/>
        <v>3.4319999999999999</v>
      </c>
      <c r="AT77" s="137">
        <f t="shared" si="33"/>
        <v>3.4836153967131397E-2</v>
      </c>
      <c r="AU77" s="137">
        <f t="shared" si="34"/>
        <v>0</v>
      </c>
      <c r="AV77" s="394">
        <f t="shared" si="50"/>
        <v>0</v>
      </c>
      <c r="AW77" s="137">
        <f t="shared" si="35"/>
        <v>0.37</v>
      </c>
      <c r="AX77" s="137">
        <f t="shared" si="36"/>
        <v>0.93</v>
      </c>
      <c r="AY77" s="137">
        <f t="shared" si="37"/>
        <v>0.83</v>
      </c>
      <c r="AZ77" s="137"/>
      <c r="BA77" s="264"/>
      <c r="BB77" s="258">
        <f t="shared" si="38"/>
        <v>0</v>
      </c>
      <c r="BC77" s="258">
        <f t="shared" si="39"/>
        <v>0</v>
      </c>
      <c r="BD77" s="137">
        <f t="shared" si="52"/>
        <v>0</v>
      </c>
      <c r="BE77" s="137">
        <f t="shared" si="52"/>
        <v>0</v>
      </c>
      <c r="BF77" s="137">
        <f>_xll.xSPRDOPT($BW77,$BV77,$CG77,0,$BY77,$BX77,$BZ77,$AJ77,1,4)*$CB77</f>
        <v>0</v>
      </c>
      <c r="BG77" s="137">
        <f>_xll.xSPRDOPT($BW77,$BV77,$CG77,0,$BY77,$BX77,$BZ77,$AJ77,1,3)*$CB77</f>
        <v>0</v>
      </c>
      <c r="BH77" s="137">
        <f>IF(OR(BF77&lt;&gt;0,BG77&lt;&gt;0),_xll.xSPRDOPT($BW77,$BV77,$CG77,0,$BY77,$BX77,$BZ77,$AJ77,1,12)*$CB77,0)</f>
        <v>0</v>
      </c>
      <c r="BI77" s="137">
        <f>_xll.xSPRDOPT($BW77,$BV77,$CG77,2*LN(1+CA77/2),$BY77,$BX77,$BZ77,$AJ77,1,9)</f>
        <v>-0.1962573973095959</v>
      </c>
      <c r="BJ77" s="137">
        <f>_xll.xSPRDOPT($BW77,$BV77,$CG77,0,$BY77,$BX77,$BZ77,$AJ77,1,6)*$CB77</f>
        <v>0</v>
      </c>
      <c r="BK77" s="137">
        <f>_xll.xSPRDOPT($BW77,$BV77,$CG77,0,$BY77,$BX77,$BZ77,$AJ77,1,5)*$CB77</f>
        <v>0</v>
      </c>
      <c r="BL77" s="137">
        <f>_xll.xSPRDOPT(BW77,BV77,CG77,0,BY77,BX77,BZ77,AJ77,1,2)*CB77</f>
        <v>0</v>
      </c>
      <c r="BM77" s="137">
        <f>_xll.xSPRDOPT(BW77,BV77,CG77,0,BY77,BX77,BZ77,AJ77,1,1)*CB77</f>
        <v>0</v>
      </c>
      <c r="BN77" s="137">
        <f>IF(AH77&lt;&gt;0,_xll.xSPRDOPT($BW77,$BV77,$CG77,2*LN(1+CA77/2),$BY77,$BX77,$BZ77,$AJ77,1,8)+(AJ77/365.25)*CH77/AH77,0)</f>
        <v>0</v>
      </c>
      <c r="BO77" s="137">
        <f>_xll.xSPRDOPT($BW77,$BV77,$CG77,0,$BY77,$BX77,$BZ77,$AJ77,1,0)</f>
        <v>0.98844982808400417</v>
      </c>
      <c r="BP77" s="137"/>
      <c r="BQ77" s="137"/>
      <c r="BR77" s="137"/>
      <c r="BS77" s="137"/>
      <c r="BV77" s="262">
        <v>3.4457831325301203</v>
      </c>
      <c r="BW77" s="136">
        <v>3.4670000000000001</v>
      </c>
      <c r="BX77" s="137">
        <v>0.37</v>
      </c>
      <c r="BY77" s="137">
        <v>0.37</v>
      </c>
      <c r="BZ77" s="137">
        <v>0</v>
      </c>
      <c r="CA77" s="137">
        <v>3.4836153967131397E-2</v>
      </c>
      <c r="CB77" s="137">
        <v>0</v>
      </c>
      <c r="CC77" s="258">
        <v>0</v>
      </c>
      <c r="CD77" s="258">
        <v>0.03</v>
      </c>
      <c r="CE77" s="258">
        <v>6.5000000000000002E-2</v>
      </c>
      <c r="CF77" s="258">
        <v>0</v>
      </c>
      <c r="CG77" s="258">
        <v>5.9999999999999995E-4</v>
      </c>
      <c r="CH77" s="258">
        <v>0</v>
      </c>
      <c r="CI77" s="258">
        <v>3.4020000000000001</v>
      </c>
      <c r="CJ77" s="258"/>
      <c r="CK77" s="258"/>
      <c r="CL77" s="258"/>
      <c r="CM77" s="258"/>
    </row>
    <row r="78" spans="1:91" x14ac:dyDescent="0.25">
      <c r="A78" s="723"/>
      <c r="B78" s="723"/>
      <c r="D78" s="31">
        <f t="shared" si="41"/>
        <v>37940</v>
      </c>
      <c r="F78" s="28">
        <f t="shared" si="12"/>
        <v>27600</v>
      </c>
      <c r="G78" s="28">
        <f t="shared" si="13"/>
        <v>0</v>
      </c>
      <c r="H78" s="52">
        <f t="shared" si="14"/>
        <v>3.4457831325301203</v>
      </c>
      <c r="I78" s="52">
        <f t="shared" si="15"/>
        <v>3.4670000000000001</v>
      </c>
      <c r="K78" s="52">
        <f t="shared" si="42"/>
        <v>0</v>
      </c>
      <c r="L78" s="135">
        <f t="shared" si="43"/>
        <v>0</v>
      </c>
      <c r="N78" s="131">
        <f t="shared" si="44"/>
        <v>0.37</v>
      </c>
      <c r="O78" s="131">
        <f t="shared" si="45"/>
        <v>0.37</v>
      </c>
      <c r="P78" s="55">
        <f t="shared" si="46"/>
        <v>0</v>
      </c>
      <c r="Q78" s="135">
        <f>_xll.xSPRDOPT(I78,H78,AQ78,0,O78,N78,P78,D78-$G$5,1,0)*AH78*AU78</f>
        <v>0</v>
      </c>
      <c r="R78" s="135"/>
      <c r="S78" s="181">
        <f>_xll.xSPRDOPT(I78,H78,AQ78,AT78,O78,N78,P78,D78-$G$5,1,2)*AF78*(F78/(1-AR78))*AH78</f>
        <v>0</v>
      </c>
      <c r="T78" s="181">
        <f>_xll.xSPRDOPT(I78,H78,AQ78,AT78,O78,N78,P78,D78-$G$5,1,1)*AF78*F78*AH78</f>
        <v>0</v>
      </c>
      <c r="U78" s="135"/>
      <c r="V78" s="146">
        <f t="shared" si="16"/>
        <v>0</v>
      </c>
      <c r="W78" s="146"/>
      <c r="X78" s="338">
        <f t="shared" si="17"/>
        <v>0</v>
      </c>
      <c r="Y78" s="338">
        <f t="shared" si="18"/>
        <v>0</v>
      </c>
      <c r="Z78" s="338">
        <f t="shared" si="19"/>
        <v>0</v>
      </c>
      <c r="AA78" s="338">
        <f t="shared" si="20"/>
        <v>0</v>
      </c>
      <c r="AB78" s="338">
        <f t="shared" si="21"/>
        <v>0</v>
      </c>
      <c r="AC78" s="338">
        <f t="shared" si="22"/>
        <v>0</v>
      </c>
      <c r="AF78" s="138">
        <f t="shared" si="23"/>
        <v>0</v>
      </c>
      <c r="AG78" s="138">
        <f t="shared" si="24"/>
        <v>11</v>
      </c>
      <c r="AH78" s="138">
        <f t="shared" si="51"/>
        <v>0</v>
      </c>
      <c r="AI78" s="138">
        <f t="shared" si="47"/>
        <v>684</v>
      </c>
      <c r="AJ78" s="138">
        <f t="shared" si="26"/>
        <v>701</v>
      </c>
      <c r="AL78" s="136">
        <f t="shared" si="27"/>
        <v>3.4020000000000001</v>
      </c>
      <c r="AM78" s="258">
        <f t="shared" si="48"/>
        <v>0</v>
      </c>
      <c r="AN78" s="258">
        <f t="shared" si="28"/>
        <v>0.03</v>
      </c>
      <c r="AO78" s="258">
        <f t="shared" si="29"/>
        <v>6.5000000000000002E-2</v>
      </c>
      <c r="AP78" s="258">
        <f t="shared" si="30"/>
        <v>0</v>
      </c>
      <c r="AQ78" s="136">
        <f t="shared" si="31"/>
        <v>5.9999999999999995E-4</v>
      </c>
      <c r="AR78" s="137">
        <f t="shared" si="32"/>
        <v>4.0000000000000001E-3</v>
      </c>
      <c r="AS78" s="136">
        <f t="shared" si="49"/>
        <v>3.4319999999999999</v>
      </c>
      <c r="AT78" s="137">
        <f t="shared" si="33"/>
        <v>3.4836153967131397E-2</v>
      </c>
      <c r="AU78" s="137">
        <f t="shared" si="34"/>
        <v>0</v>
      </c>
      <c r="AV78" s="394">
        <f t="shared" si="50"/>
        <v>0</v>
      </c>
      <c r="AW78" s="137">
        <f t="shared" si="35"/>
        <v>0.37</v>
      </c>
      <c r="AX78" s="137">
        <f t="shared" si="36"/>
        <v>0.93</v>
      </c>
      <c r="AY78" s="137">
        <f t="shared" si="37"/>
        <v>0.83</v>
      </c>
      <c r="AZ78" s="137"/>
      <c r="BA78" s="264"/>
      <c r="BB78" s="258">
        <f t="shared" si="38"/>
        <v>0</v>
      </c>
      <c r="BC78" s="258">
        <f t="shared" si="39"/>
        <v>0</v>
      </c>
      <c r="BD78" s="137">
        <f t="shared" si="52"/>
        <v>0</v>
      </c>
      <c r="BE78" s="137">
        <f t="shared" si="52"/>
        <v>0</v>
      </c>
      <c r="BF78" s="137">
        <f>_xll.xSPRDOPT($BW78,$BV78,$CG78,0,$BY78,$BX78,$BZ78,$AJ78,1,4)*$CB78</f>
        <v>0</v>
      </c>
      <c r="BG78" s="137">
        <f>_xll.xSPRDOPT($BW78,$BV78,$CG78,0,$BY78,$BX78,$BZ78,$AJ78,1,3)*$CB78</f>
        <v>0</v>
      </c>
      <c r="BH78" s="137">
        <f>IF(OR(BF78&lt;&gt;0,BG78&lt;&gt;0),_xll.xSPRDOPT($BW78,$BV78,$CG78,0,$BY78,$BX78,$BZ78,$AJ78,1,12)*$CB78,0)</f>
        <v>0</v>
      </c>
      <c r="BI78" s="137">
        <f>_xll.xSPRDOPT($BW78,$BV78,$CG78,2*LN(1+CA78/2),$BY78,$BX78,$BZ78,$AJ78,1,9)</f>
        <v>-0.1962573973095959</v>
      </c>
      <c r="BJ78" s="137">
        <f>_xll.xSPRDOPT($BW78,$BV78,$CG78,0,$BY78,$BX78,$BZ78,$AJ78,1,6)*$CB78</f>
        <v>0</v>
      </c>
      <c r="BK78" s="137">
        <f>_xll.xSPRDOPT($BW78,$BV78,$CG78,0,$BY78,$BX78,$BZ78,$AJ78,1,5)*$CB78</f>
        <v>0</v>
      </c>
      <c r="BL78" s="137">
        <f>_xll.xSPRDOPT(BW78,BV78,CG78,0,BY78,BX78,BZ78,AJ78,1,2)*CB78</f>
        <v>0</v>
      </c>
      <c r="BM78" s="137">
        <f>_xll.xSPRDOPT(BW78,BV78,CG78,0,BY78,BX78,BZ78,AJ78,1,1)*CB78</f>
        <v>0</v>
      </c>
      <c r="BN78" s="137">
        <f>IF(AH78&lt;&gt;0,_xll.xSPRDOPT($BW78,$BV78,$CG78,2*LN(1+CA78/2),$BY78,$BX78,$BZ78,$AJ78,1,8)+(AJ78/365.25)*CH78/AH78,0)</f>
        <v>0</v>
      </c>
      <c r="BO78" s="137">
        <f>_xll.xSPRDOPT($BW78,$BV78,$CG78,0,$BY78,$BX78,$BZ78,$AJ78,1,0)</f>
        <v>0.98844982808400417</v>
      </c>
      <c r="BP78" s="137"/>
      <c r="BQ78" s="137"/>
      <c r="BR78" s="137"/>
      <c r="BS78" s="137"/>
      <c r="BV78" s="262">
        <v>3.4457831325301203</v>
      </c>
      <c r="BW78" s="136">
        <v>3.4670000000000001</v>
      </c>
      <c r="BX78" s="137">
        <v>0.37</v>
      </c>
      <c r="BY78" s="137">
        <v>0.37</v>
      </c>
      <c r="BZ78" s="137">
        <v>0</v>
      </c>
      <c r="CA78" s="137">
        <v>3.4836153967131397E-2</v>
      </c>
      <c r="CB78" s="137">
        <v>0</v>
      </c>
      <c r="CC78" s="258">
        <v>0</v>
      </c>
      <c r="CD78" s="258">
        <v>0.03</v>
      </c>
      <c r="CE78" s="258">
        <v>6.5000000000000002E-2</v>
      </c>
      <c r="CF78" s="258">
        <v>0</v>
      </c>
      <c r="CG78" s="258">
        <v>5.9999999999999995E-4</v>
      </c>
      <c r="CH78" s="258">
        <v>0</v>
      </c>
      <c r="CI78" s="258">
        <v>3.4020000000000001</v>
      </c>
      <c r="CJ78" s="258"/>
      <c r="CK78" s="258"/>
      <c r="CL78" s="258"/>
      <c r="CM78" s="258"/>
    </row>
    <row r="79" spans="1:91" x14ac:dyDescent="0.25">
      <c r="A79" s="723"/>
      <c r="B79" s="723"/>
      <c r="D79" s="31">
        <f t="shared" si="41"/>
        <v>37940</v>
      </c>
      <c r="F79" s="28">
        <f t="shared" si="12"/>
        <v>27600</v>
      </c>
      <c r="G79" s="28">
        <f t="shared" si="13"/>
        <v>0</v>
      </c>
      <c r="H79" s="52">
        <f t="shared" si="14"/>
        <v>3.4457831325301203</v>
      </c>
      <c r="I79" s="52">
        <f t="shared" si="15"/>
        <v>3.4670000000000001</v>
      </c>
      <c r="K79" s="52">
        <f t="shared" si="42"/>
        <v>0</v>
      </c>
      <c r="L79" s="135">
        <f t="shared" si="43"/>
        <v>0</v>
      </c>
      <c r="N79" s="131">
        <f t="shared" si="44"/>
        <v>0.37</v>
      </c>
      <c r="O79" s="131">
        <f t="shared" si="45"/>
        <v>0.37</v>
      </c>
      <c r="P79" s="55">
        <f t="shared" si="46"/>
        <v>0</v>
      </c>
      <c r="Q79" s="135">
        <f>_xll.xSPRDOPT(I79,H79,AQ79,0,O79,N79,P79,D79-$G$5,1,0)*AH79*AU79</f>
        <v>0</v>
      </c>
      <c r="R79" s="135"/>
      <c r="S79" s="181">
        <f>_xll.xSPRDOPT(I79,H79,AQ79,AT79,O79,N79,P79,D79-$G$5,1,2)*AF79*(F79/(1-AR79))*AH79</f>
        <v>0</v>
      </c>
      <c r="T79" s="181">
        <f>_xll.xSPRDOPT(I79,H79,AQ79,AT79,O79,N79,P79,D79-$G$5,1,1)*AF79*F79*AH79</f>
        <v>0</v>
      </c>
      <c r="U79" s="135"/>
      <c r="V79" s="146">
        <f t="shared" si="16"/>
        <v>0</v>
      </c>
      <c r="W79" s="146"/>
      <c r="X79" s="338">
        <f t="shared" si="17"/>
        <v>0</v>
      </c>
      <c r="Y79" s="338">
        <f t="shared" si="18"/>
        <v>0</v>
      </c>
      <c r="Z79" s="338">
        <f t="shared" si="19"/>
        <v>0</v>
      </c>
      <c r="AA79" s="338">
        <f t="shared" si="20"/>
        <v>0</v>
      </c>
      <c r="AB79" s="338">
        <f t="shared" si="21"/>
        <v>0</v>
      </c>
      <c r="AC79" s="338">
        <f t="shared" si="22"/>
        <v>0</v>
      </c>
      <c r="AF79" s="138">
        <f t="shared" si="23"/>
        <v>0</v>
      </c>
      <c r="AG79" s="138">
        <f t="shared" si="24"/>
        <v>11</v>
      </c>
      <c r="AH79" s="138">
        <f t="shared" si="51"/>
        <v>0</v>
      </c>
      <c r="AI79" s="138">
        <f t="shared" si="47"/>
        <v>684</v>
      </c>
      <c r="AJ79" s="138">
        <f t="shared" si="26"/>
        <v>701</v>
      </c>
      <c r="AL79" s="136">
        <f t="shared" si="27"/>
        <v>3.4020000000000001</v>
      </c>
      <c r="AM79" s="258">
        <f t="shared" si="48"/>
        <v>0</v>
      </c>
      <c r="AN79" s="258">
        <f t="shared" si="28"/>
        <v>0.03</v>
      </c>
      <c r="AO79" s="258">
        <f t="shared" si="29"/>
        <v>6.5000000000000002E-2</v>
      </c>
      <c r="AP79" s="258">
        <f t="shared" si="30"/>
        <v>0</v>
      </c>
      <c r="AQ79" s="136">
        <f t="shared" si="31"/>
        <v>5.9999999999999995E-4</v>
      </c>
      <c r="AR79" s="137">
        <f t="shared" si="32"/>
        <v>4.0000000000000001E-3</v>
      </c>
      <c r="AS79" s="136">
        <f t="shared" si="49"/>
        <v>3.4319999999999999</v>
      </c>
      <c r="AT79" s="137">
        <f t="shared" si="33"/>
        <v>3.4836153967131397E-2</v>
      </c>
      <c r="AU79" s="137">
        <f t="shared" si="34"/>
        <v>0</v>
      </c>
      <c r="AV79" s="394">
        <f t="shared" si="50"/>
        <v>0</v>
      </c>
      <c r="AW79" s="137">
        <f t="shared" si="35"/>
        <v>0.37</v>
      </c>
      <c r="AX79" s="137">
        <f t="shared" si="36"/>
        <v>0.93</v>
      </c>
      <c r="AY79" s="137">
        <f t="shared" si="37"/>
        <v>0.83</v>
      </c>
      <c r="AZ79" s="137"/>
      <c r="BA79" s="264"/>
      <c r="BB79" s="258">
        <f t="shared" si="38"/>
        <v>0</v>
      </c>
      <c r="BC79" s="258">
        <f t="shared" si="39"/>
        <v>0</v>
      </c>
      <c r="BD79" s="137">
        <f t="shared" si="52"/>
        <v>0</v>
      </c>
      <c r="BE79" s="137">
        <f t="shared" si="52"/>
        <v>0</v>
      </c>
      <c r="BF79" s="137">
        <f>_xll.xSPRDOPT($BW79,$BV79,$CG79,0,$BY79,$BX79,$BZ79,$AJ79,1,4)*$CB79</f>
        <v>0</v>
      </c>
      <c r="BG79" s="137">
        <f>_xll.xSPRDOPT($BW79,$BV79,$CG79,0,$BY79,$BX79,$BZ79,$AJ79,1,3)*$CB79</f>
        <v>0</v>
      </c>
      <c r="BH79" s="137">
        <f>IF(OR(BF79&lt;&gt;0,BG79&lt;&gt;0),_xll.xSPRDOPT($BW79,$BV79,$CG79,0,$BY79,$BX79,$BZ79,$AJ79,1,12)*$CB79,0)</f>
        <v>0</v>
      </c>
      <c r="BI79" s="137">
        <f>_xll.xSPRDOPT($BW79,$BV79,$CG79,2*LN(1+CA79/2),$BY79,$BX79,$BZ79,$AJ79,1,9)</f>
        <v>-0.1962573973095959</v>
      </c>
      <c r="BJ79" s="137">
        <f>_xll.xSPRDOPT($BW79,$BV79,$CG79,0,$BY79,$BX79,$BZ79,$AJ79,1,6)*$CB79</f>
        <v>0</v>
      </c>
      <c r="BK79" s="137">
        <f>_xll.xSPRDOPT($BW79,$BV79,$CG79,0,$BY79,$BX79,$BZ79,$AJ79,1,5)*$CB79</f>
        <v>0</v>
      </c>
      <c r="BL79" s="137">
        <f>_xll.xSPRDOPT(BW79,BV79,CG79,0,BY79,BX79,BZ79,AJ79,1,2)*CB79</f>
        <v>0</v>
      </c>
      <c r="BM79" s="137">
        <f>_xll.xSPRDOPT(BW79,BV79,CG79,0,BY79,BX79,BZ79,AJ79,1,1)*CB79</f>
        <v>0</v>
      </c>
      <c r="BN79" s="137">
        <f>IF(AH79&lt;&gt;0,_xll.xSPRDOPT($BW79,$BV79,$CG79,2*LN(1+CA79/2),$BY79,$BX79,$BZ79,$AJ79,1,8)+(AJ79/365.25)*CH79/AH79,0)</f>
        <v>0</v>
      </c>
      <c r="BO79" s="137">
        <f>_xll.xSPRDOPT($BW79,$BV79,$CG79,0,$BY79,$BX79,$BZ79,$AJ79,1,0)</f>
        <v>0.98844982808400417</v>
      </c>
      <c r="BP79" s="137"/>
      <c r="BQ79" s="137"/>
      <c r="BR79" s="137"/>
      <c r="BS79" s="137"/>
      <c r="BV79" s="262">
        <v>3.4457831325301203</v>
      </c>
      <c r="BW79" s="136">
        <v>3.4670000000000001</v>
      </c>
      <c r="BX79" s="137">
        <v>0.37</v>
      </c>
      <c r="BY79" s="137">
        <v>0.37</v>
      </c>
      <c r="BZ79" s="137">
        <v>0</v>
      </c>
      <c r="CA79" s="137">
        <v>3.4836153967131397E-2</v>
      </c>
      <c r="CB79" s="137">
        <v>0</v>
      </c>
      <c r="CC79" s="258">
        <v>0</v>
      </c>
      <c r="CD79" s="258">
        <v>0.03</v>
      </c>
      <c r="CE79" s="258">
        <v>6.5000000000000002E-2</v>
      </c>
      <c r="CF79" s="258">
        <v>0</v>
      </c>
      <c r="CG79" s="258">
        <v>5.9999999999999995E-4</v>
      </c>
      <c r="CH79" s="258">
        <v>0</v>
      </c>
      <c r="CI79" s="258">
        <v>3.4020000000000001</v>
      </c>
      <c r="CJ79" s="258"/>
      <c r="CK79" s="258"/>
      <c r="CL79" s="258"/>
      <c r="CM79" s="258"/>
    </row>
    <row r="80" spans="1:91" x14ac:dyDescent="0.25">
      <c r="A80" s="723"/>
      <c r="B80" s="723"/>
      <c r="D80" s="31">
        <f t="shared" si="41"/>
        <v>37940</v>
      </c>
      <c r="F80" s="28">
        <f t="shared" si="12"/>
        <v>27600</v>
      </c>
      <c r="G80" s="28">
        <f t="shared" si="13"/>
        <v>0</v>
      </c>
      <c r="H80" s="52">
        <f t="shared" si="14"/>
        <v>3.4457831325301203</v>
      </c>
      <c r="I80" s="52">
        <f t="shared" si="15"/>
        <v>3.4670000000000001</v>
      </c>
      <c r="K80" s="52">
        <f t="shared" si="42"/>
        <v>0</v>
      </c>
      <c r="L80" s="135">
        <f t="shared" si="43"/>
        <v>0</v>
      </c>
      <c r="N80" s="131">
        <f t="shared" si="44"/>
        <v>0.37</v>
      </c>
      <c r="O80" s="131">
        <f t="shared" si="45"/>
        <v>0.37</v>
      </c>
      <c r="P80" s="55">
        <f t="shared" si="46"/>
        <v>0</v>
      </c>
      <c r="Q80" s="135">
        <f>_xll.xSPRDOPT(I80,H80,AQ80,0,O80,N80,P80,D80-$G$5,1,0)*AH80*AU80</f>
        <v>0</v>
      </c>
      <c r="R80" s="135"/>
      <c r="S80" s="181">
        <f>_xll.xSPRDOPT(I80,H80,AQ80,AT80,O80,N80,P80,D80-$G$5,1,2)*AF80*(F80/(1-AR80))*AH80</f>
        <v>0</v>
      </c>
      <c r="T80" s="181">
        <f>_xll.xSPRDOPT(I80,H80,AQ80,AT80,O80,N80,P80,D80-$G$5,1,1)*AF80*F80*AH80</f>
        <v>0</v>
      </c>
      <c r="U80" s="135"/>
      <c r="V80" s="146">
        <f t="shared" si="16"/>
        <v>0</v>
      </c>
      <c r="W80" s="146"/>
      <c r="X80" s="338">
        <f t="shared" si="17"/>
        <v>0</v>
      </c>
      <c r="Y80" s="338">
        <f t="shared" si="18"/>
        <v>0</v>
      </c>
      <c r="Z80" s="338">
        <f t="shared" si="19"/>
        <v>0</v>
      </c>
      <c r="AA80" s="338">
        <f t="shared" si="20"/>
        <v>0</v>
      </c>
      <c r="AB80" s="338">
        <f t="shared" si="21"/>
        <v>0</v>
      </c>
      <c r="AC80" s="338">
        <f t="shared" si="22"/>
        <v>0</v>
      </c>
      <c r="AF80" s="138">
        <f t="shared" si="23"/>
        <v>0</v>
      </c>
      <c r="AG80" s="138">
        <f t="shared" si="24"/>
        <v>11</v>
      </c>
      <c r="AH80" s="138">
        <f t="shared" si="51"/>
        <v>0</v>
      </c>
      <c r="AI80" s="138">
        <f t="shared" si="47"/>
        <v>684</v>
      </c>
      <c r="AJ80" s="138">
        <f t="shared" si="26"/>
        <v>701</v>
      </c>
      <c r="AL80" s="136">
        <f t="shared" si="27"/>
        <v>3.4020000000000001</v>
      </c>
      <c r="AM80" s="258">
        <f t="shared" si="48"/>
        <v>0</v>
      </c>
      <c r="AN80" s="258">
        <f t="shared" si="28"/>
        <v>0.03</v>
      </c>
      <c r="AO80" s="258">
        <f t="shared" si="29"/>
        <v>6.5000000000000002E-2</v>
      </c>
      <c r="AP80" s="258">
        <f t="shared" si="30"/>
        <v>0</v>
      </c>
      <c r="AQ80" s="136">
        <f t="shared" si="31"/>
        <v>5.9999999999999995E-4</v>
      </c>
      <c r="AR80" s="137">
        <f t="shared" si="32"/>
        <v>4.0000000000000001E-3</v>
      </c>
      <c r="AS80" s="136">
        <f t="shared" si="49"/>
        <v>3.4319999999999999</v>
      </c>
      <c r="AT80" s="137">
        <f t="shared" si="33"/>
        <v>3.4836153967131397E-2</v>
      </c>
      <c r="AU80" s="137">
        <f t="shared" si="34"/>
        <v>0</v>
      </c>
      <c r="AV80" s="394">
        <f t="shared" si="50"/>
        <v>0</v>
      </c>
      <c r="AW80" s="137">
        <f t="shared" si="35"/>
        <v>0.37</v>
      </c>
      <c r="AX80" s="137">
        <f t="shared" si="36"/>
        <v>0.93</v>
      </c>
      <c r="AY80" s="137">
        <f t="shared" si="37"/>
        <v>0.83</v>
      </c>
      <c r="AZ80" s="137"/>
      <c r="BA80" s="264"/>
      <c r="BB80" s="258">
        <f t="shared" si="38"/>
        <v>0</v>
      </c>
      <c r="BC80" s="258">
        <f t="shared" si="39"/>
        <v>0</v>
      </c>
      <c r="BD80" s="137">
        <f t="shared" si="52"/>
        <v>0</v>
      </c>
      <c r="BE80" s="137">
        <f t="shared" si="52"/>
        <v>0</v>
      </c>
      <c r="BF80" s="137">
        <f>_xll.xSPRDOPT($BW80,$BV80,$CG80,0,$BY80,$BX80,$BZ80,$AJ80,1,4)*$CB80</f>
        <v>0</v>
      </c>
      <c r="BG80" s="137">
        <f>_xll.xSPRDOPT($BW80,$BV80,$CG80,0,$BY80,$BX80,$BZ80,$AJ80,1,3)*$CB80</f>
        <v>0</v>
      </c>
      <c r="BH80" s="137">
        <f>IF(OR(BF80&lt;&gt;0,BG80&lt;&gt;0),_xll.xSPRDOPT($BW80,$BV80,$CG80,0,$BY80,$BX80,$BZ80,$AJ80,1,12)*$CB80,0)</f>
        <v>0</v>
      </c>
      <c r="BI80" s="137">
        <f>_xll.xSPRDOPT($BW80,$BV80,$CG80,2*LN(1+CA80/2),$BY80,$BX80,$BZ80,$AJ80,1,9)</f>
        <v>-0.1962573973095959</v>
      </c>
      <c r="BJ80" s="137">
        <f>_xll.xSPRDOPT($BW80,$BV80,$CG80,0,$BY80,$BX80,$BZ80,$AJ80,1,6)*$CB80</f>
        <v>0</v>
      </c>
      <c r="BK80" s="137">
        <f>_xll.xSPRDOPT($BW80,$BV80,$CG80,0,$BY80,$BX80,$BZ80,$AJ80,1,5)*$CB80</f>
        <v>0</v>
      </c>
      <c r="BL80" s="137">
        <f>_xll.xSPRDOPT(BW80,BV80,CG80,0,BY80,BX80,BZ80,AJ80,1,2)*CB80</f>
        <v>0</v>
      </c>
      <c r="BM80" s="137">
        <f>_xll.xSPRDOPT(BW80,BV80,CG80,0,BY80,BX80,BZ80,AJ80,1,1)*CB80</f>
        <v>0</v>
      </c>
      <c r="BN80" s="137">
        <f>IF(AH80&lt;&gt;0,_xll.xSPRDOPT($BW80,$BV80,$CG80,2*LN(1+CA80/2),$BY80,$BX80,$BZ80,$AJ80,1,8)+(AJ80/365.25)*CH80/AH80,0)</f>
        <v>0</v>
      </c>
      <c r="BO80" s="137">
        <f>_xll.xSPRDOPT($BW80,$BV80,$CG80,0,$BY80,$BX80,$BZ80,$AJ80,1,0)</f>
        <v>0.98844982808400417</v>
      </c>
      <c r="BP80" s="137"/>
      <c r="BQ80" s="137"/>
      <c r="BR80" s="137"/>
      <c r="BS80" s="137"/>
      <c r="BV80" s="262">
        <v>3.4457831325301203</v>
      </c>
      <c r="BW80" s="136">
        <v>3.4670000000000001</v>
      </c>
      <c r="BX80" s="137">
        <v>0.37</v>
      </c>
      <c r="BY80" s="137">
        <v>0.37</v>
      </c>
      <c r="BZ80" s="137">
        <v>0</v>
      </c>
      <c r="CA80" s="137">
        <v>3.4836153967131397E-2</v>
      </c>
      <c r="CB80" s="137">
        <v>0</v>
      </c>
      <c r="CC80" s="258">
        <v>0</v>
      </c>
      <c r="CD80" s="258">
        <v>0.03</v>
      </c>
      <c r="CE80" s="258">
        <v>6.5000000000000002E-2</v>
      </c>
      <c r="CF80" s="258">
        <v>0</v>
      </c>
      <c r="CG80" s="258">
        <v>5.9999999999999995E-4</v>
      </c>
      <c r="CH80" s="258">
        <v>0</v>
      </c>
      <c r="CI80" s="258">
        <v>3.4020000000000001</v>
      </c>
      <c r="CJ80" s="258"/>
      <c r="CK80" s="258"/>
      <c r="CL80" s="258"/>
      <c r="CM80" s="258"/>
    </row>
    <row r="81" spans="1:91" x14ac:dyDescent="0.25">
      <c r="A81" s="723"/>
      <c r="B81" s="723"/>
      <c r="D81" s="31">
        <f t="shared" si="41"/>
        <v>37940</v>
      </c>
      <c r="F81" s="28">
        <f t="shared" si="12"/>
        <v>27600</v>
      </c>
      <c r="G81" s="28">
        <f t="shared" si="13"/>
        <v>0</v>
      </c>
      <c r="H81" s="52">
        <f t="shared" si="14"/>
        <v>3.4457831325301203</v>
      </c>
      <c r="I81" s="52">
        <f t="shared" si="15"/>
        <v>3.4670000000000001</v>
      </c>
      <c r="K81" s="52">
        <f t="shared" si="42"/>
        <v>0</v>
      </c>
      <c r="L81" s="135">
        <f t="shared" si="43"/>
        <v>0</v>
      </c>
      <c r="N81" s="131">
        <f t="shared" si="44"/>
        <v>0.37</v>
      </c>
      <c r="O81" s="131">
        <f t="shared" si="45"/>
        <v>0.37</v>
      </c>
      <c r="P81" s="55">
        <f t="shared" si="46"/>
        <v>0</v>
      </c>
      <c r="Q81" s="135">
        <f>_xll.xSPRDOPT(I81,H81,AQ81,0,O81,N81,P81,D81-$G$5,1,0)*AH81*AU81</f>
        <v>0</v>
      </c>
      <c r="R81" s="135"/>
      <c r="S81" s="181">
        <f>_xll.xSPRDOPT(I81,H81,AQ81,AT81,O81,N81,P81,D81-$G$5,1,2)*AF81*(F81/(1-AR81))*AH81</f>
        <v>0</v>
      </c>
      <c r="T81" s="181">
        <f>_xll.xSPRDOPT(I81,H81,AQ81,AT81,O81,N81,P81,D81-$G$5,1,1)*AF81*F81*AH81</f>
        <v>0</v>
      </c>
      <c r="U81" s="135"/>
      <c r="V81" s="146">
        <f t="shared" si="16"/>
        <v>0</v>
      </c>
      <c r="W81" s="146"/>
      <c r="X81" s="338">
        <f t="shared" si="17"/>
        <v>0</v>
      </c>
      <c r="Y81" s="338">
        <f t="shared" si="18"/>
        <v>0</v>
      </c>
      <c r="Z81" s="338">
        <f t="shared" si="19"/>
        <v>0</v>
      </c>
      <c r="AA81" s="338">
        <f t="shared" si="20"/>
        <v>0</v>
      </c>
      <c r="AB81" s="338">
        <f t="shared" si="21"/>
        <v>0</v>
      </c>
      <c r="AC81" s="338">
        <f t="shared" si="22"/>
        <v>0</v>
      </c>
      <c r="AF81" s="138">
        <f t="shared" si="23"/>
        <v>0</v>
      </c>
      <c r="AG81" s="138">
        <f t="shared" si="24"/>
        <v>11</v>
      </c>
      <c r="AH81" s="138">
        <f t="shared" si="51"/>
        <v>0</v>
      </c>
      <c r="AI81" s="138">
        <f t="shared" si="47"/>
        <v>684</v>
      </c>
      <c r="AJ81" s="138">
        <f t="shared" si="26"/>
        <v>701</v>
      </c>
      <c r="AL81" s="136">
        <f t="shared" si="27"/>
        <v>3.4020000000000001</v>
      </c>
      <c r="AM81" s="258">
        <f t="shared" si="48"/>
        <v>0</v>
      </c>
      <c r="AN81" s="258">
        <f t="shared" si="28"/>
        <v>0.03</v>
      </c>
      <c r="AO81" s="258">
        <f t="shared" si="29"/>
        <v>6.5000000000000002E-2</v>
      </c>
      <c r="AP81" s="258">
        <f t="shared" si="30"/>
        <v>0</v>
      </c>
      <c r="AQ81" s="136">
        <f t="shared" si="31"/>
        <v>5.9999999999999995E-4</v>
      </c>
      <c r="AR81" s="137">
        <f t="shared" si="32"/>
        <v>4.0000000000000001E-3</v>
      </c>
      <c r="AS81" s="136">
        <f t="shared" si="49"/>
        <v>3.4319999999999999</v>
      </c>
      <c r="AT81" s="137">
        <f t="shared" si="33"/>
        <v>3.4836153967131397E-2</v>
      </c>
      <c r="AU81" s="137">
        <f t="shared" si="34"/>
        <v>0</v>
      </c>
      <c r="AV81" s="394">
        <f t="shared" si="50"/>
        <v>0</v>
      </c>
      <c r="AW81" s="137">
        <f t="shared" si="35"/>
        <v>0.37</v>
      </c>
      <c r="AX81" s="137">
        <f t="shared" si="36"/>
        <v>0.93</v>
      </c>
      <c r="AY81" s="137">
        <f t="shared" si="37"/>
        <v>0.83</v>
      </c>
      <c r="AZ81" s="137"/>
      <c r="BA81" s="264"/>
      <c r="BB81" s="258">
        <f t="shared" si="38"/>
        <v>0</v>
      </c>
      <c r="BC81" s="258">
        <f t="shared" si="39"/>
        <v>0</v>
      </c>
      <c r="BD81" s="137">
        <f t="shared" si="52"/>
        <v>0</v>
      </c>
      <c r="BE81" s="137">
        <f t="shared" si="52"/>
        <v>0</v>
      </c>
      <c r="BF81" s="137">
        <f>_xll.xSPRDOPT($BW81,$BV81,$CG81,0,$BY81,$BX81,$BZ81,$AJ81,1,4)*$CB81</f>
        <v>0</v>
      </c>
      <c r="BG81" s="137">
        <f>_xll.xSPRDOPT($BW81,$BV81,$CG81,0,$BY81,$BX81,$BZ81,$AJ81,1,3)*$CB81</f>
        <v>0</v>
      </c>
      <c r="BH81" s="137">
        <f>IF(OR(BF81&lt;&gt;0,BG81&lt;&gt;0),_xll.xSPRDOPT($BW81,$BV81,$CG81,0,$BY81,$BX81,$BZ81,$AJ81,1,12)*$CB81,0)</f>
        <v>0</v>
      </c>
      <c r="BI81" s="137">
        <f>_xll.xSPRDOPT($BW81,$BV81,$CG81,2*LN(1+CA81/2),$BY81,$BX81,$BZ81,$AJ81,1,9)</f>
        <v>-0.1962573973095959</v>
      </c>
      <c r="BJ81" s="137">
        <f>_xll.xSPRDOPT($BW81,$BV81,$CG81,0,$BY81,$BX81,$BZ81,$AJ81,1,6)*$CB81</f>
        <v>0</v>
      </c>
      <c r="BK81" s="137">
        <f>_xll.xSPRDOPT($BW81,$BV81,$CG81,0,$BY81,$BX81,$BZ81,$AJ81,1,5)*$CB81</f>
        <v>0</v>
      </c>
      <c r="BL81" s="137">
        <f>_xll.xSPRDOPT(BW81,BV81,CG81,0,BY81,BX81,BZ81,AJ81,1,2)*CB81</f>
        <v>0</v>
      </c>
      <c r="BM81" s="137">
        <f>_xll.xSPRDOPT(BW81,BV81,CG81,0,BY81,BX81,BZ81,AJ81,1,1)*CB81</f>
        <v>0</v>
      </c>
      <c r="BN81" s="137">
        <f>IF(AH81&lt;&gt;0,_xll.xSPRDOPT($BW81,$BV81,$CG81,2*LN(1+CA81/2),$BY81,$BX81,$BZ81,$AJ81,1,8)+(AJ81/365.25)*CH81/AH81,0)</f>
        <v>0</v>
      </c>
      <c r="BO81" s="137">
        <f>_xll.xSPRDOPT($BW81,$BV81,$CG81,0,$BY81,$BX81,$BZ81,$AJ81,1,0)</f>
        <v>0.98844982808400417</v>
      </c>
      <c r="BP81" s="137"/>
      <c r="BQ81" s="137"/>
      <c r="BR81" s="137"/>
      <c r="BS81" s="137"/>
      <c r="BV81" s="262">
        <v>3.4457831325301203</v>
      </c>
      <c r="BW81" s="136">
        <v>3.4670000000000001</v>
      </c>
      <c r="BX81" s="137">
        <v>0.37</v>
      </c>
      <c r="BY81" s="137">
        <v>0.37</v>
      </c>
      <c r="BZ81" s="137">
        <v>0</v>
      </c>
      <c r="CA81" s="137">
        <v>3.4836153967131397E-2</v>
      </c>
      <c r="CB81" s="137">
        <v>0</v>
      </c>
      <c r="CC81" s="258">
        <v>0</v>
      </c>
      <c r="CD81" s="258">
        <v>0.03</v>
      </c>
      <c r="CE81" s="258">
        <v>6.5000000000000002E-2</v>
      </c>
      <c r="CF81" s="258">
        <v>0</v>
      </c>
      <c r="CG81" s="258">
        <v>5.9999999999999995E-4</v>
      </c>
      <c r="CH81" s="258">
        <v>0</v>
      </c>
      <c r="CI81" s="258">
        <v>3.4020000000000001</v>
      </c>
      <c r="CJ81" s="258"/>
      <c r="CK81" s="258"/>
      <c r="CL81" s="258"/>
      <c r="CM81" s="258"/>
    </row>
    <row r="82" spans="1:91" x14ac:dyDescent="0.25">
      <c r="A82" s="723"/>
      <c r="B82" s="723"/>
      <c r="D82" s="31">
        <f t="shared" si="41"/>
        <v>37940</v>
      </c>
      <c r="F82" s="28">
        <f t="shared" si="12"/>
        <v>27600</v>
      </c>
      <c r="G82" s="28">
        <f t="shared" si="13"/>
        <v>0</v>
      </c>
      <c r="H82" s="52">
        <f t="shared" si="14"/>
        <v>3.4457831325301203</v>
      </c>
      <c r="I82" s="52">
        <f t="shared" si="15"/>
        <v>3.4670000000000001</v>
      </c>
      <c r="K82" s="52">
        <f t="shared" si="42"/>
        <v>0</v>
      </c>
      <c r="L82" s="135">
        <f t="shared" si="43"/>
        <v>0</v>
      </c>
      <c r="N82" s="131">
        <f t="shared" si="44"/>
        <v>0.37</v>
      </c>
      <c r="O82" s="131">
        <f t="shared" si="45"/>
        <v>0.37</v>
      </c>
      <c r="P82" s="55">
        <f t="shared" si="46"/>
        <v>0</v>
      </c>
      <c r="Q82" s="135">
        <f>_xll.xSPRDOPT(I82,H82,AQ82,0,O82,N82,P82,D82-$G$5,1,0)*AH82*AU82</f>
        <v>0</v>
      </c>
      <c r="R82" s="135"/>
      <c r="S82" s="181">
        <f>_xll.xSPRDOPT(I82,H82,AQ82,AT82,O82,N82,P82,D82-$G$5,1,2)*AF82*(F82/(1-AR82))*AH82</f>
        <v>0</v>
      </c>
      <c r="T82" s="181">
        <f>_xll.xSPRDOPT(I82,H82,AQ82,AT82,O82,N82,P82,D82-$G$5,1,1)*AF82*F82*AH82</f>
        <v>0</v>
      </c>
      <c r="U82" s="135"/>
      <c r="V82" s="146">
        <f t="shared" si="16"/>
        <v>0</v>
      </c>
      <c r="W82" s="146"/>
      <c r="X82" s="338">
        <f t="shared" si="17"/>
        <v>0</v>
      </c>
      <c r="Y82" s="338">
        <f t="shared" si="18"/>
        <v>0</v>
      </c>
      <c r="Z82" s="338">
        <f t="shared" si="19"/>
        <v>0</v>
      </c>
      <c r="AA82" s="338">
        <f t="shared" si="20"/>
        <v>0</v>
      </c>
      <c r="AB82" s="338">
        <f t="shared" si="21"/>
        <v>0</v>
      </c>
      <c r="AC82" s="338">
        <f t="shared" si="22"/>
        <v>0</v>
      </c>
      <c r="AF82" s="138">
        <f t="shared" si="23"/>
        <v>0</v>
      </c>
      <c r="AG82" s="138">
        <f t="shared" si="24"/>
        <v>11</v>
      </c>
      <c r="AH82" s="138">
        <f t="shared" si="51"/>
        <v>0</v>
      </c>
      <c r="AI82" s="138">
        <f t="shared" si="47"/>
        <v>684</v>
      </c>
      <c r="AJ82" s="138">
        <f t="shared" si="26"/>
        <v>701</v>
      </c>
      <c r="AL82" s="136">
        <f t="shared" si="27"/>
        <v>3.4020000000000001</v>
      </c>
      <c r="AM82" s="258">
        <f t="shared" si="48"/>
        <v>0</v>
      </c>
      <c r="AN82" s="258">
        <f t="shared" si="28"/>
        <v>0.03</v>
      </c>
      <c r="AO82" s="258">
        <f t="shared" si="29"/>
        <v>6.5000000000000002E-2</v>
      </c>
      <c r="AP82" s="258">
        <f t="shared" si="30"/>
        <v>0</v>
      </c>
      <c r="AQ82" s="136">
        <f t="shared" si="31"/>
        <v>5.9999999999999995E-4</v>
      </c>
      <c r="AR82" s="137">
        <f t="shared" si="32"/>
        <v>4.0000000000000001E-3</v>
      </c>
      <c r="AS82" s="136">
        <f t="shared" si="49"/>
        <v>3.4319999999999999</v>
      </c>
      <c r="AT82" s="137">
        <f t="shared" si="33"/>
        <v>3.4836153967131397E-2</v>
      </c>
      <c r="AU82" s="137">
        <f t="shared" si="34"/>
        <v>0</v>
      </c>
      <c r="AV82" s="394">
        <f t="shared" si="50"/>
        <v>0</v>
      </c>
      <c r="AW82" s="137">
        <f t="shared" si="35"/>
        <v>0.37</v>
      </c>
      <c r="AX82" s="137">
        <f t="shared" si="36"/>
        <v>0.93</v>
      </c>
      <c r="AY82" s="137">
        <f t="shared" si="37"/>
        <v>0.83</v>
      </c>
      <c r="AZ82" s="137"/>
      <c r="BA82" s="264"/>
      <c r="BB82" s="258">
        <f t="shared" si="38"/>
        <v>0</v>
      </c>
      <c r="BC82" s="258">
        <f t="shared" si="39"/>
        <v>0</v>
      </c>
      <c r="BD82" s="137">
        <f t="shared" si="52"/>
        <v>0</v>
      </c>
      <c r="BE82" s="137">
        <f t="shared" si="52"/>
        <v>0</v>
      </c>
      <c r="BF82" s="137">
        <f>_xll.xSPRDOPT($BW82,$BV82,$CG82,0,$BY82,$BX82,$BZ82,$AJ82,1,4)*$CB82</f>
        <v>0</v>
      </c>
      <c r="BG82" s="137">
        <f>_xll.xSPRDOPT($BW82,$BV82,$CG82,0,$BY82,$BX82,$BZ82,$AJ82,1,3)*$CB82</f>
        <v>0</v>
      </c>
      <c r="BH82" s="137">
        <f>IF(OR(BF82&lt;&gt;0,BG82&lt;&gt;0),_xll.xSPRDOPT($BW82,$BV82,$CG82,0,$BY82,$BX82,$BZ82,$AJ82,1,12)*$CB82,0)</f>
        <v>0</v>
      </c>
      <c r="BI82" s="137">
        <f>_xll.xSPRDOPT($BW82,$BV82,$CG82,2*LN(1+CA82/2),$BY82,$BX82,$BZ82,$AJ82,1,9)</f>
        <v>-0.1962573973095959</v>
      </c>
      <c r="BJ82" s="137">
        <f>_xll.xSPRDOPT($BW82,$BV82,$CG82,0,$BY82,$BX82,$BZ82,$AJ82,1,6)*$CB82</f>
        <v>0</v>
      </c>
      <c r="BK82" s="137">
        <f>_xll.xSPRDOPT($BW82,$BV82,$CG82,0,$BY82,$BX82,$BZ82,$AJ82,1,5)*$CB82</f>
        <v>0</v>
      </c>
      <c r="BL82" s="137">
        <f>_xll.xSPRDOPT(BW82,BV82,CG82,0,BY82,BX82,BZ82,AJ82,1,2)*CB82</f>
        <v>0</v>
      </c>
      <c r="BM82" s="137">
        <f>_xll.xSPRDOPT(BW82,BV82,CG82,0,BY82,BX82,BZ82,AJ82,1,1)*CB82</f>
        <v>0</v>
      </c>
      <c r="BN82" s="137">
        <f>IF(AH82&lt;&gt;0,_xll.xSPRDOPT($BW82,$BV82,$CG82,2*LN(1+CA82/2),$BY82,$BX82,$BZ82,$AJ82,1,8)+(AJ82/365.25)*CH82/AH82,0)</f>
        <v>0</v>
      </c>
      <c r="BO82" s="137">
        <f>_xll.xSPRDOPT($BW82,$BV82,$CG82,0,$BY82,$BX82,$BZ82,$AJ82,1,0)</f>
        <v>0.98844982808400417</v>
      </c>
      <c r="BP82" s="137"/>
      <c r="BQ82" s="137"/>
      <c r="BR82" s="137"/>
      <c r="BS82" s="137"/>
      <c r="BV82" s="262">
        <v>3.4457831325301203</v>
      </c>
      <c r="BW82" s="136">
        <v>3.4670000000000001</v>
      </c>
      <c r="BX82" s="137">
        <v>0.37</v>
      </c>
      <c r="BY82" s="137">
        <v>0.37</v>
      </c>
      <c r="BZ82" s="137">
        <v>0</v>
      </c>
      <c r="CA82" s="137">
        <v>3.4836153967131397E-2</v>
      </c>
      <c r="CB82" s="137">
        <v>0</v>
      </c>
      <c r="CC82" s="258">
        <v>0</v>
      </c>
      <c r="CD82" s="258">
        <v>0.03</v>
      </c>
      <c r="CE82" s="258">
        <v>6.5000000000000002E-2</v>
      </c>
      <c r="CF82" s="258">
        <v>0</v>
      </c>
      <c r="CG82" s="258">
        <v>5.9999999999999995E-4</v>
      </c>
      <c r="CH82" s="258">
        <v>0</v>
      </c>
      <c r="CI82" s="258">
        <v>3.4020000000000001</v>
      </c>
      <c r="CJ82" s="258"/>
      <c r="CK82" s="258"/>
      <c r="CL82" s="258"/>
      <c r="CM82" s="258"/>
    </row>
    <row r="83" spans="1:91" x14ac:dyDescent="0.25">
      <c r="A83" s="723"/>
      <c r="B83" s="723"/>
      <c r="D83" s="31">
        <f t="shared" si="41"/>
        <v>37940</v>
      </c>
      <c r="F83" s="28">
        <f t="shared" si="12"/>
        <v>27600</v>
      </c>
      <c r="G83" s="28">
        <f t="shared" si="13"/>
        <v>0</v>
      </c>
      <c r="H83" s="52">
        <f t="shared" si="14"/>
        <v>3.4457831325301203</v>
      </c>
      <c r="I83" s="52">
        <f t="shared" si="15"/>
        <v>3.4670000000000001</v>
      </c>
      <c r="K83" s="52">
        <f t="shared" si="42"/>
        <v>0</v>
      </c>
      <c r="L83" s="135">
        <f t="shared" si="43"/>
        <v>0</v>
      </c>
      <c r="N83" s="131">
        <f t="shared" si="44"/>
        <v>0.37</v>
      </c>
      <c r="O83" s="131">
        <f t="shared" si="45"/>
        <v>0.37</v>
      </c>
      <c r="P83" s="55">
        <f t="shared" si="46"/>
        <v>0</v>
      </c>
      <c r="Q83" s="135">
        <f>_xll.xSPRDOPT(I83,H83,AQ83,0,O83,N83,P83,D83-$G$5,1,0)*AH83*AU83</f>
        <v>0</v>
      </c>
      <c r="R83" s="135"/>
      <c r="S83" s="181">
        <f>_xll.xSPRDOPT(I83,H83,AQ83,AT83,O83,N83,P83,D83-$G$5,1,2)*AF83*(F83/(1-AR83))*AH83</f>
        <v>0</v>
      </c>
      <c r="T83" s="181">
        <f>_xll.xSPRDOPT(I83,H83,AQ83,AT83,O83,N83,P83,D83-$G$5,1,1)*AF83*F83*AH83</f>
        <v>0</v>
      </c>
      <c r="U83" s="135"/>
      <c r="V83" s="146">
        <f t="shared" si="16"/>
        <v>0</v>
      </c>
      <c r="W83" s="146"/>
      <c r="X83" s="338">
        <f t="shared" si="17"/>
        <v>0</v>
      </c>
      <c r="Y83" s="338">
        <f t="shared" si="18"/>
        <v>0</v>
      </c>
      <c r="Z83" s="338">
        <f t="shared" si="19"/>
        <v>0</v>
      </c>
      <c r="AA83" s="338">
        <f t="shared" si="20"/>
        <v>0</v>
      </c>
      <c r="AB83" s="338">
        <f t="shared" si="21"/>
        <v>0</v>
      </c>
      <c r="AC83" s="338">
        <f t="shared" si="22"/>
        <v>0</v>
      </c>
      <c r="AF83" s="138">
        <f t="shared" si="23"/>
        <v>0</v>
      </c>
      <c r="AG83" s="138">
        <f t="shared" si="24"/>
        <v>11</v>
      </c>
      <c r="AH83" s="138">
        <f t="shared" si="51"/>
        <v>0</v>
      </c>
      <c r="AI83" s="138">
        <f t="shared" si="47"/>
        <v>684</v>
      </c>
      <c r="AJ83" s="138">
        <f t="shared" si="26"/>
        <v>701</v>
      </c>
      <c r="AL83" s="136">
        <f t="shared" si="27"/>
        <v>3.4020000000000001</v>
      </c>
      <c r="AM83" s="258">
        <f t="shared" si="48"/>
        <v>0</v>
      </c>
      <c r="AN83" s="258">
        <f t="shared" si="28"/>
        <v>0.03</v>
      </c>
      <c r="AO83" s="258">
        <f t="shared" si="29"/>
        <v>6.5000000000000002E-2</v>
      </c>
      <c r="AP83" s="258">
        <f t="shared" si="30"/>
        <v>0</v>
      </c>
      <c r="AQ83" s="136">
        <f t="shared" si="31"/>
        <v>5.9999999999999995E-4</v>
      </c>
      <c r="AR83" s="137">
        <f t="shared" si="32"/>
        <v>4.0000000000000001E-3</v>
      </c>
      <c r="AS83" s="136">
        <f t="shared" si="49"/>
        <v>3.4319999999999999</v>
      </c>
      <c r="AT83" s="137">
        <f t="shared" si="33"/>
        <v>3.4836153967131397E-2</v>
      </c>
      <c r="AU83" s="137">
        <f t="shared" si="34"/>
        <v>0</v>
      </c>
      <c r="AV83" s="394">
        <f t="shared" si="50"/>
        <v>0</v>
      </c>
      <c r="AW83" s="137">
        <f t="shared" si="35"/>
        <v>0.37</v>
      </c>
      <c r="AX83" s="137">
        <f t="shared" si="36"/>
        <v>0.93</v>
      </c>
      <c r="AY83" s="137">
        <f t="shared" si="37"/>
        <v>0.83</v>
      </c>
      <c r="AZ83" s="137"/>
      <c r="BA83" s="264"/>
      <c r="BB83" s="258">
        <f t="shared" si="38"/>
        <v>0</v>
      </c>
      <c r="BC83" s="258">
        <f t="shared" si="39"/>
        <v>0</v>
      </c>
      <c r="BD83" s="137">
        <f t="shared" si="52"/>
        <v>0</v>
      </c>
      <c r="BE83" s="137">
        <f t="shared" si="52"/>
        <v>0</v>
      </c>
      <c r="BF83" s="137">
        <f>_xll.xSPRDOPT($BW83,$BV83,$CG83,0,$BY83,$BX83,$BZ83,$AJ83,1,4)*$CB83</f>
        <v>0</v>
      </c>
      <c r="BG83" s="137">
        <f>_xll.xSPRDOPT($BW83,$BV83,$CG83,0,$BY83,$BX83,$BZ83,$AJ83,1,3)*$CB83</f>
        <v>0</v>
      </c>
      <c r="BH83" s="137">
        <f>IF(OR(BF83&lt;&gt;0,BG83&lt;&gt;0),_xll.xSPRDOPT($BW83,$BV83,$CG83,0,$BY83,$BX83,$BZ83,$AJ83,1,12)*$CB83,0)</f>
        <v>0</v>
      </c>
      <c r="BI83" s="137">
        <f>_xll.xSPRDOPT($BW83,$BV83,$CG83,2*LN(1+CA83/2),$BY83,$BX83,$BZ83,$AJ83,1,9)</f>
        <v>-0.1962573973095959</v>
      </c>
      <c r="BJ83" s="137">
        <f>_xll.xSPRDOPT($BW83,$BV83,$CG83,0,$BY83,$BX83,$BZ83,$AJ83,1,6)*$CB83</f>
        <v>0</v>
      </c>
      <c r="BK83" s="137">
        <f>_xll.xSPRDOPT($BW83,$BV83,$CG83,0,$BY83,$BX83,$BZ83,$AJ83,1,5)*$CB83</f>
        <v>0</v>
      </c>
      <c r="BL83" s="137">
        <f>_xll.xSPRDOPT(BW83,BV83,CG83,0,BY83,BX83,BZ83,AJ83,1,2)*CB83</f>
        <v>0</v>
      </c>
      <c r="BM83" s="137">
        <f>_xll.xSPRDOPT(BW83,BV83,CG83,0,BY83,BX83,BZ83,AJ83,1,1)*CB83</f>
        <v>0</v>
      </c>
      <c r="BN83" s="137">
        <f>IF(AH83&lt;&gt;0,_xll.xSPRDOPT($BW83,$BV83,$CG83,2*LN(1+CA83/2),$BY83,$BX83,$BZ83,$AJ83,1,8)+(AJ83/365.25)*CH83/AH83,0)</f>
        <v>0</v>
      </c>
      <c r="BO83" s="137">
        <f>_xll.xSPRDOPT($BW83,$BV83,$CG83,0,$BY83,$BX83,$BZ83,$AJ83,1,0)</f>
        <v>0.98844982808400417</v>
      </c>
      <c r="BP83" s="137"/>
      <c r="BQ83" s="137"/>
      <c r="BR83" s="137"/>
      <c r="BS83" s="137"/>
      <c r="BV83" s="262">
        <v>3.4457831325301203</v>
      </c>
      <c r="BW83" s="136">
        <v>3.4670000000000001</v>
      </c>
      <c r="BX83" s="137">
        <v>0.37</v>
      </c>
      <c r="BY83" s="137">
        <v>0.37</v>
      </c>
      <c r="BZ83" s="137">
        <v>0</v>
      </c>
      <c r="CA83" s="137">
        <v>3.4836153967131397E-2</v>
      </c>
      <c r="CB83" s="137">
        <v>0</v>
      </c>
      <c r="CC83" s="258">
        <v>0</v>
      </c>
      <c r="CD83" s="258">
        <v>0.03</v>
      </c>
      <c r="CE83" s="258">
        <v>6.5000000000000002E-2</v>
      </c>
      <c r="CF83" s="258">
        <v>0</v>
      </c>
      <c r="CG83" s="258">
        <v>5.9999999999999995E-4</v>
      </c>
      <c r="CH83" s="258">
        <v>0</v>
      </c>
      <c r="CI83" s="258">
        <v>3.4020000000000001</v>
      </c>
      <c r="CJ83" s="258"/>
      <c r="CK83" s="258"/>
      <c r="CL83" s="258"/>
      <c r="CM83" s="258"/>
    </row>
    <row r="84" spans="1:91" x14ac:dyDescent="0.25">
      <c r="A84" s="723"/>
      <c r="B84" s="723"/>
      <c r="D84" s="31">
        <f t="shared" si="41"/>
        <v>37940</v>
      </c>
      <c r="F84" s="28">
        <f t="shared" si="12"/>
        <v>27600</v>
      </c>
      <c r="G84" s="28">
        <f t="shared" si="13"/>
        <v>0</v>
      </c>
      <c r="H84" s="52">
        <f t="shared" si="14"/>
        <v>3.4457831325301203</v>
      </c>
      <c r="I84" s="52">
        <f t="shared" si="15"/>
        <v>3.4670000000000001</v>
      </c>
      <c r="K84" s="52">
        <f t="shared" si="42"/>
        <v>0</v>
      </c>
      <c r="L84" s="135">
        <f t="shared" si="43"/>
        <v>0</v>
      </c>
      <c r="N84" s="131">
        <f t="shared" si="44"/>
        <v>0.37</v>
      </c>
      <c r="O84" s="131">
        <f t="shared" si="45"/>
        <v>0.37</v>
      </c>
      <c r="P84" s="55">
        <f t="shared" si="46"/>
        <v>0</v>
      </c>
      <c r="Q84" s="135">
        <f>_xll.xSPRDOPT(I84,H84,AQ84,0,O84,N84,P84,D84-$G$5,1,0)*AH84*AU84</f>
        <v>0</v>
      </c>
      <c r="R84" s="135"/>
      <c r="S84" s="181">
        <f>_xll.xSPRDOPT(I84,H84,AQ84,AT84,O84,N84,P84,D84-$G$5,1,2)*AF84*(F84/(1-AR84))*AH84</f>
        <v>0</v>
      </c>
      <c r="T84" s="181">
        <f>_xll.xSPRDOPT(I84,H84,AQ84,AT84,O84,N84,P84,D84-$G$5,1,1)*AF84*F84*AH84</f>
        <v>0</v>
      </c>
      <c r="U84" s="135"/>
      <c r="V84" s="146">
        <f t="shared" si="16"/>
        <v>0</v>
      </c>
      <c r="W84" s="146"/>
      <c r="X84" s="338">
        <f t="shared" si="17"/>
        <v>0</v>
      </c>
      <c r="Y84" s="338">
        <f t="shared" si="18"/>
        <v>0</v>
      </c>
      <c r="Z84" s="338">
        <f t="shared" si="19"/>
        <v>0</v>
      </c>
      <c r="AA84" s="338">
        <f t="shared" si="20"/>
        <v>0</v>
      </c>
      <c r="AB84" s="338">
        <f t="shared" si="21"/>
        <v>0</v>
      </c>
      <c r="AC84" s="338">
        <f t="shared" si="22"/>
        <v>0</v>
      </c>
      <c r="AF84" s="138">
        <f t="shared" si="23"/>
        <v>0</v>
      </c>
      <c r="AG84" s="138">
        <f t="shared" si="24"/>
        <v>11</v>
      </c>
      <c r="AH84" s="138">
        <f t="shared" si="51"/>
        <v>0</v>
      </c>
      <c r="AI84" s="138">
        <f t="shared" si="47"/>
        <v>684</v>
      </c>
      <c r="AJ84" s="138">
        <f t="shared" si="26"/>
        <v>701</v>
      </c>
      <c r="AL84" s="136">
        <f t="shared" si="27"/>
        <v>3.4020000000000001</v>
      </c>
      <c r="AM84" s="258">
        <f t="shared" si="48"/>
        <v>0</v>
      </c>
      <c r="AN84" s="258">
        <f t="shared" si="28"/>
        <v>0.03</v>
      </c>
      <c r="AO84" s="258">
        <f t="shared" si="29"/>
        <v>6.5000000000000002E-2</v>
      </c>
      <c r="AP84" s="258">
        <f t="shared" si="30"/>
        <v>0</v>
      </c>
      <c r="AQ84" s="136">
        <f t="shared" si="31"/>
        <v>5.9999999999999995E-4</v>
      </c>
      <c r="AR84" s="137">
        <f t="shared" si="32"/>
        <v>4.0000000000000001E-3</v>
      </c>
      <c r="AS84" s="136">
        <f t="shared" si="49"/>
        <v>3.4319999999999999</v>
      </c>
      <c r="AT84" s="137">
        <f t="shared" si="33"/>
        <v>3.4836153967131397E-2</v>
      </c>
      <c r="AU84" s="137">
        <f t="shared" si="34"/>
        <v>0</v>
      </c>
      <c r="AV84" s="394">
        <f t="shared" si="50"/>
        <v>0</v>
      </c>
      <c r="AW84" s="137">
        <f t="shared" si="35"/>
        <v>0.37</v>
      </c>
      <c r="AX84" s="137">
        <f t="shared" si="36"/>
        <v>0.93</v>
      </c>
      <c r="AY84" s="137">
        <f t="shared" si="37"/>
        <v>0.83</v>
      </c>
      <c r="AZ84" s="137"/>
      <c r="BA84" s="264"/>
      <c r="BB84" s="258">
        <f t="shared" si="38"/>
        <v>0</v>
      </c>
      <c r="BC84" s="258">
        <f t="shared" si="39"/>
        <v>0</v>
      </c>
      <c r="BD84" s="137">
        <f t="shared" si="52"/>
        <v>0</v>
      </c>
      <c r="BE84" s="137">
        <f t="shared" si="52"/>
        <v>0</v>
      </c>
      <c r="BF84" s="137">
        <f>_xll.xSPRDOPT($BW84,$BV84,$CG84,0,$BY84,$BX84,$BZ84,$AJ84,1,4)*$CB84</f>
        <v>0</v>
      </c>
      <c r="BG84" s="137">
        <f>_xll.xSPRDOPT($BW84,$BV84,$CG84,0,$BY84,$BX84,$BZ84,$AJ84,1,3)*$CB84</f>
        <v>0</v>
      </c>
      <c r="BH84" s="137">
        <f>IF(OR(BF84&lt;&gt;0,BG84&lt;&gt;0),_xll.xSPRDOPT($BW84,$BV84,$CG84,0,$BY84,$BX84,$BZ84,$AJ84,1,12)*$CB84,0)</f>
        <v>0</v>
      </c>
      <c r="BI84" s="137">
        <f>_xll.xSPRDOPT($BW84,$BV84,$CG84,2*LN(1+CA84/2),$BY84,$BX84,$BZ84,$AJ84,1,9)</f>
        <v>-0.1962573973095959</v>
      </c>
      <c r="BJ84" s="137">
        <f>_xll.xSPRDOPT($BW84,$BV84,$CG84,0,$BY84,$BX84,$BZ84,$AJ84,1,6)*$CB84</f>
        <v>0</v>
      </c>
      <c r="BK84" s="137">
        <f>_xll.xSPRDOPT($BW84,$BV84,$CG84,0,$BY84,$BX84,$BZ84,$AJ84,1,5)*$CB84</f>
        <v>0</v>
      </c>
      <c r="BL84" s="137">
        <f>_xll.xSPRDOPT(BW84,BV84,CG84,0,BY84,BX84,BZ84,AJ84,1,2)*CB84</f>
        <v>0</v>
      </c>
      <c r="BM84" s="137">
        <f>_xll.xSPRDOPT(BW84,BV84,CG84,0,BY84,BX84,BZ84,AJ84,1,1)*CB84</f>
        <v>0</v>
      </c>
      <c r="BN84" s="137">
        <f>IF(AH84&lt;&gt;0,_xll.xSPRDOPT($BW84,$BV84,$CG84,2*LN(1+CA84/2),$BY84,$BX84,$BZ84,$AJ84,1,8)+(AJ84/365.25)*CH84/AH84,0)</f>
        <v>0</v>
      </c>
      <c r="BO84" s="137">
        <f>_xll.xSPRDOPT($BW84,$BV84,$CG84,0,$BY84,$BX84,$BZ84,$AJ84,1,0)</f>
        <v>0.98844982808400417</v>
      </c>
      <c r="BP84" s="137"/>
      <c r="BQ84" s="137"/>
      <c r="BR84" s="137"/>
      <c r="BS84" s="137"/>
      <c r="BV84" s="262">
        <v>3.4457831325301203</v>
      </c>
      <c r="BW84" s="136">
        <v>3.4670000000000001</v>
      </c>
      <c r="BX84" s="137">
        <v>0.37</v>
      </c>
      <c r="BY84" s="137">
        <v>0.37</v>
      </c>
      <c r="BZ84" s="137">
        <v>0</v>
      </c>
      <c r="CA84" s="137">
        <v>3.4836153967131397E-2</v>
      </c>
      <c r="CB84" s="137">
        <v>0</v>
      </c>
      <c r="CC84" s="258">
        <v>0</v>
      </c>
      <c r="CD84" s="258">
        <v>0.03</v>
      </c>
      <c r="CE84" s="258">
        <v>6.5000000000000002E-2</v>
      </c>
      <c r="CF84" s="258">
        <v>0</v>
      </c>
      <c r="CG84" s="258">
        <v>5.9999999999999995E-4</v>
      </c>
      <c r="CH84" s="258">
        <v>0</v>
      </c>
      <c r="CI84" s="258">
        <v>3.4020000000000001</v>
      </c>
      <c r="CJ84" s="258"/>
      <c r="CK84" s="258"/>
      <c r="CL84" s="258"/>
      <c r="CM84" s="258"/>
    </row>
    <row r="85" spans="1:91" x14ac:dyDescent="0.25">
      <c r="A85" s="723"/>
      <c r="B85" s="723"/>
      <c r="D85" s="31">
        <f t="shared" si="41"/>
        <v>37940</v>
      </c>
      <c r="F85" s="28">
        <f t="shared" si="12"/>
        <v>27600</v>
      </c>
      <c r="G85" s="28">
        <f t="shared" si="13"/>
        <v>0</v>
      </c>
      <c r="H85" s="52">
        <f t="shared" si="14"/>
        <v>3.4457831325301203</v>
      </c>
      <c r="I85" s="52">
        <f t="shared" si="15"/>
        <v>3.4670000000000001</v>
      </c>
      <c r="K85" s="52">
        <f t="shared" si="42"/>
        <v>0</v>
      </c>
      <c r="L85" s="135">
        <f t="shared" si="43"/>
        <v>0</v>
      </c>
      <c r="N85" s="131">
        <f t="shared" si="44"/>
        <v>0.37</v>
      </c>
      <c r="O85" s="131">
        <f t="shared" si="45"/>
        <v>0.37</v>
      </c>
      <c r="P85" s="55">
        <f t="shared" si="46"/>
        <v>0</v>
      </c>
      <c r="Q85" s="135">
        <f>_xll.xSPRDOPT(I85,H85,AQ85,0,O85,N85,P85,D85-$G$5,1,0)*AH85*AU85</f>
        <v>0</v>
      </c>
      <c r="R85" s="135"/>
      <c r="S85" s="181">
        <f>_xll.xSPRDOPT(I85,H85,AQ85,AT85,O85,N85,P85,D85-$G$5,1,2)*AF85*(F85/(1-AR85))*AH85</f>
        <v>0</v>
      </c>
      <c r="T85" s="181">
        <f>_xll.xSPRDOPT(I85,H85,AQ85,AT85,O85,N85,P85,D85-$G$5,1,1)*AF85*F85*AH85</f>
        <v>0</v>
      </c>
      <c r="U85" s="135"/>
      <c r="V85" s="146">
        <f t="shared" si="16"/>
        <v>0</v>
      </c>
      <c r="W85" s="146"/>
      <c r="X85" s="338">
        <f t="shared" si="17"/>
        <v>0</v>
      </c>
      <c r="Y85" s="338">
        <f t="shared" si="18"/>
        <v>0</v>
      </c>
      <c r="Z85" s="338">
        <f t="shared" si="19"/>
        <v>0</v>
      </c>
      <c r="AA85" s="338">
        <f t="shared" si="20"/>
        <v>0</v>
      </c>
      <c r="AB85" s="338">
        <f t="shared" si="21"/>
        <v>0</v>
      </c>
      <c r="AC85" s="338">
        <f t="shared" si="22"/>
        <v>0</v>
      </c>
      <c r="AF85" s="138">
        <f t="shared" si="23"/>
        <v>0</v>
      </c>
      <c r="AG85" s="138">
        <f t="shared" si="24"/>
        <v>11</v>
      </c>
      <c r="AH85" s="138">
        <f t="shared" si="51"/>
        <v>0</v>
      </c>
      <c r="AI85" s="138">
        <f t="shared" si="47"/>
        <v>684</v>
      </c>
      <c r="AJ85" s="138">
        <f t="shared" si="26"/>
        <v>701</v>
      </c>
      <c r="AL85" s="136">
        <f t="shared" si="27"/>
        <v>3.4020000000000001</v>
      </c>
      <c r="AM85" s="258">
        <f t="shared" si="48"/>
        <v>0</v>
      </c>
      <c r="AN85" s="258">
        <f t="shared" si="28"/>
        <v>0.03</v>
      </c>
      <c r="AO85" s="258">
        <f t="shared" si="29"/>
        <v>6.5000000000000002E-2</v>
      </c>
      <c r="AP85" s="258">
        <f t="shared" si="30"/>
        <v>0</v>
      </c>
      <c r="AQ85" s="136">
        <f t="shared" si="31"/>
        <v>5.9999999999999995E-4</v>
      </c>
      <c r="AR85" s="137">
        <f t="shared" si="32"/>
        <v>4.0000000000000001E-3</v>
      </c>
      <c r="AS85" s="136">
        <f t="shared" si="49"/>
        <v>3.4319999999999999</v>
      </c>
      <c r="AT85" s="137">
        <f t="shared" si="33"/>
        <v>3.4836153967131397E-2</v>
      </c>
      <c r="AU85" s="137">
        <f t="shared" si="34"/>
        <v>0</v>
      </c>
      <c r="AV85" s="394">
        <f t="shared" si="50"/>
        <v>0</v>
      </c>
      <c r="AW85" s="137">
        <f t="shared" si="35"/>
        <v>0.37</v>
      </c>
      <c r="AX85" s="137">
        <f t="shared" si="36"/>
        <v>0.93</v>
      </c>
      <c r="AY85" s="137">
        <f t="shared" si="37"/>
        <v>0.83</v>
      </c>
      <c r="AZ85" s="137"/>
      <c r="BA85" s="264"/>
      <c r="BB85" s="258">
        <f t="shared" si="38"/>
        <v>0</v>
      </c>
      <c r="BC85" s="258">
        <f t="shared" si="39"/>
        <v>0</v>
      </c>
      <c r="BD85" s="137">
        <f t="shared" si="52"/>
        <v>0</v>
      </c>
      <c r="BE85" s="137">
        <f t="shared" si="52"/>
        <v>0</v>
      </c>
      <c r="BF85" s="137">
        <f>_xll.xSPRDOPT($BW85,$BV85,$CG85,0,$BY85,$BX85,$BZ85,$AJ85,1,4)*$CB85</f>
        <v>0</v>
      </c>
      <c r="BG85" s="137">
        <f>_xll.xSPRDOPT($BW85,$BV85,$CG85,0,$BY85,$BX85,$BZ85,$AJ85,1,3)*$CB85</f>
        <v>0</v>
      </c>
      <c r="BH85" s="137">
        <f>IF(OR(BF85&lt;&gt;0,BG85&lt;&gt;0),_xll.xSPRDOPT($BW85,$BV85,$CG85,0,$BY85,$BX85,$BZ85,$AJ85,1,12)*$CB85,0)</f>
        <v>0</v>
      </c>
      <c r="BI85" s="137">
        <f>_xll.xSPRDOPT($BW85,$BV85,$CG85,2*LN(1+CA85/2),$BY85,$BX85,$BZ85,$AJ85,1,9)</f>
        <v>-0.1962573973095959</v>
      </c>
      <c r="BJ85" s="137">
        <f>_xll.xSPRDOPT($BW85,$BV85,$CG85,0,$BY85,$BX85,$BZ85,$AJ85,1,6)*$CB85</f>
        <v>0</v>
      </c>
      <c r="BK85" s="137">
        <f>_xll.xSPRDOPT($BW85,$BV85,$CG85,0,$BY85,$BX85,$BZ85,$AJ85,1,5)*$CB85</f>
        <v>0</v>
      </c>
      <c r="BL85" s="137">
        <f>_xll.xSPRDOPT(BW85,BV85,CG85,0,BY85,BX85,BZ85,AJ85,1,2)*CB85</f>
        <v>0</v>
      </c>
      <c r="BM85" s="137">
        <f>_xll.xSPRDOPT(BW85,BV85,CG85,0,BY85,BX85,BZ85,AJ85,1,1)*CB85</f>
        <v>0</v>
      </c>
      <c r="BN85" s="137">
        <f>IF(AH85&lt;&gt;0,_xll.xSPRDOPT($BW85,$BV85,$CG85,2*LN(1+CA85/2),$BY85,$BX85,$BZ85,$AJ85,1,8)+(AJ85/365.25)*CH85/AH85,0)</f>
        <v>0</v>
      </c>
      <c r="BO85" s="137">
        <f>_xll.xSPRDOPT($BW85,$BV85,$CG85,0,$BY85,$BX85,$BZ85,$AJ85,1,0)</f>
        <v>0.98844982808400417</v>
      </c>
      <c r="BP85" s="137"/>
      <c r="BQ85" s="137"/>
      <c r="BR85" s="137"/>
      <c r="BS85" s="137"/>
      <c r="BV85" s="262">
        <v>3.4457831325301203</v>
      </c>
      <c r="BW85" s="136">
        <v>3.4670000000000001</v>
      </c>
      <c r="BX85" s="137">
        <v>0.37</v>
      </c>
      <c r="BY85" s="137">
        <v>0.37</v>
      </c>
      <c r="BZ85" s="137">
        <v>0</v>
      </c>
      <c r="CA85" s="137">
        <v>3.4836153967131397E-2</v>
      </c>
      <c r="CB85" s="137">
        <v>0</v>
      </c>
      <c r="CC85" s="258">
        <v>0</v>
      </c>
      <c r="CD85" s="258">
        <v>0.03</v>
      </c>
      <c r="CE85" s="258">
        <v>6.5000000000000002E-2</v>
      </c>
      <c r="CF85" s="258">
        <v>0</v>
      </c>
      <c r="CG85" s="258">
        <v>5.9999999999999995E-4</v>
      </c>
      <c r="CH85" s="258">
        <v>0</v>
      </c>
      <c r="CI85" s="258">
        <v>3.4020000000000001</v>
      </c>
      <c r="CJ85" s="258"/>
      <c r="CK85" s="258"/>
      <c r="CL85" s="258"/>
      <c r="CM85" s="258"/>
    </row>
    <row r="86" spans="1:91" x14ac:dyDescent="0.25">
      <c r="A86" s="723"/>
      <c r="B86" s="723"/>
      <c r="D86" s="31">
        <f t="shared" si="41"/>
        <v>37940</v>
      </c>
      <c r="F86" s="28">
        <f t="shared" ref="F86:F117" si="53">VLOOKUP(AG86,$AL$4:$AS$15,2)</f>
        <v>27600</v>
      </c>
      <c r="G86" s="28">
        <f t="shared" ref="G86:G117" si="54">F86*$AU86</f>
        <v>0</v>
      </c>
      <c r="H86" s="52">
        <f t="shared" ref="H86:H117" si="55">(AL86+AM86+AN86)/(1-(AR86))</f>
        <v>3.4457831325301203</v>
      </c>
      <c r="I86" s="52">
        <f t="shared" ref="I86:I117" si="56">(AL86+AO86+AP86)</f>
        <v>3.4670000000000001</v>
      </c>
      <c r="K86" s="52">
        <f t="shared" si="42"/>
        <v>0</v>
      </c>
      <c r="L86" s="135">
        <f t="shared" si="43"/>
        <v>0</v>
      </c>
      <c r="N86" s="131">
        <f t="shared" si="44"/>
        <v>0.37</v>
      </c>
      <c r="O86" s="131">
        <f t="shared" si="45"/>
        <v>0.37</v>
      </c>
      <c r="P86" s="55">
        <f t="shared" si="46"/>
        <v>0</v>
      </c>
      <c r="Q86" s="135">
        <f>_xll.xSPRDOPT(I86,H86,AQ86,0,O86,N86,P86,D86-$G$5,1,0)*AH86*AU86</f>
        <v>0</v>
      </c>
      <c r="R86" s="135"/>
      <c r="S86" s="181">
        <f>_xll.xSPRDOPT(I86,H86,AQ86,AT86,O86,N86,P86,D86-$G$5,1,2)*AF86*(F86/(1-AR86))*AH86</f>
        <v>0</v>
      </c>
      <c r="T86" s="181">
        <f>_xll.xSPRDOPT(I86,H86,AQ86,AT86,O86,N86,P86,D86-$G$5,1,1)*AF86*F86*AH86</f>
        <v>0</v>
      </c>
      <c r="U86" s="135"/>
      <c r="V86" s="146">
        <f t="shared" ref="V86:V117" si="57">VLOOKUP($AG86,$AL$4:$AS$15,8)*AH86*AU86</f>
        <v>0</v>
      </c>
      <c r="W86" s="146"/>
      <c r="X86" s="338">
        <f t="shared" ref="X86:X117" si="58">((BM86*BC86)+(BL86*BB86))*AH86*F86</f>
        <v>0</v>
      </c>
      <c r="Y86" s="338">
        <f t="shared" si="18"/>
        <v>0</v>
      </c>
      <c r="Z86" s="338">
        <f t="shared" si="19"/>
        <v>0</v>
      </c>
      <c r="AA86" s="338">
        <f t="shared" si="20"/>
        <v>0</v>
      </c>
      <c r="AB86" s="338">
        <f t="shared" ref="AB86:AB117" si="59">BN86*(AT86-CA86)*F86*AH86</f>
        <v>0</v>
      </c>
      <c r="AC86" s="338">
        <f t="shared" ref="AC86:AC117" si="60">BO86*CB86*F86*AH86*CA86*($G$5-$BV$5)/365.25</f>
        <v>0</v>
      </c>
      <c r="AF86" s="138">
        <f t="shared" ref="AF86:AF117" si="61">IF(AND(D86&gt;=$G$7,D86&lt;=$G$8),1,0)</f>
        <v>0</v>
      </c>
      <c r="AG86" s="138">
        <f t="shared" ref="AG86:AG117" si="62">MONTH(D86)</f>
        <v>11</v>
      </c>
      <c r="AH86" s="138">
        <f t="shared" ref="AH86:AH117" si="63">(EOMONTH(D86,0)-EOMONTH(D86-DAY(D86),0))*AF86</f>
        <v>0</v>
      </c>
      <c r="AI86" s="138">
        <f t="shared" si="47"/>
        <v>684</v>
      </c>
      <c r="AJ86" s="138">
        <f t="shared" ref="AJ86:AJ117" si="64">D86-$BV$5</f>
        <v>701</v>
      </c>
      <c r="AL86" s="136">
        <f t="shared" si="27"/>
        <v>3.4020000000000001</v>
      </c>
      <c r="AM86" s="258">
        <f t="shared" si="48"/>
        <v>0</v>
      </c>
      <c r="AN86" s="258">
        <f t="shared" si="28"/>
        <v>0.03</v>
      </c>
      <c r="AO86" s="258">
        <f t="shared" si="29"/>
        <v>6.5000000000000002E-2</v>
      </c>
      <c r="AP86" s="258">
        <f t="shared" si="30"/>
        <v>0</v>
      </c>
      <c r="AQ86" s="136">
        <f t="shared" ref="AQ86:AQ117" si="65">VLOOKUP($AG86,$AL$4:$AS$15,3)+VLOOKUP($AG86,$AL$4:$AS$15,5)+($AH$10*VLOOKUP(D86,GRITable,2))</f>
        <v>5.9999999999999995E-4</v>
      </c>
      <c r="AR86" s="137">
        <f t="shared" si="32"/>
        <v>4.0000000000000001E-3</v>
      </c>
      <c r="AS86" s="136">
        <f t="shared" si="49"/>
        <v>3.4319999999999999</v>
      </c>
      <c r="AT86" s="137">
        <f t="shared" ref="AT86:AT117" si="66">VLOOKUP(D86,CurveTbl,$AK$6)</f>
        <v>3.4836153967131397E-2</v>
      </c>
      <c r="AU86" s="137">
        <f t="shared" si="34"/>
        <v>0</v>
      </c>
      <c r="AV86" s="394">
        <f t="shared" si="50"/>
        <v>0</v>
      </c>
      <c r="AW86" s="137">
        <f t="shared" si="35"/>
        <v>0.37</v>
      </c>
      <c r="AX86" s="137">
        <f t="shared" si="36"/>
        <v>0.93</v>
      </c>
      <c r="AY86" s="137">
        <f t="shared" si="37"/>
        <v>0.83</v>
      </c>
      <c r="AZ86" s="137"/>
      <c r="BA86" s="264"/>
      <c r="BB86" s="258">
        <f t="shared" si="38"/>
        <v>0</v>
      </c>
      <c r="BC86" s="258">
        <f t="shared" ref="BC86:BC117" si="67">I86-BW86</f>
        <v>0</v>
      </c>
      <c r="BD86" s="137">
        <f t="shared" ref="BD86:BE117" si="68">N86-BX86</f>
        <v>0</v>
      </c>
      <c r="BE86" s="137">
        <f t="shared" si="68"/>
        <v>0</v>
      </c>
      <c r="BF86" s="137">
        <f>_xll.xSPRDOPT($BW86,$BV86,$CG86,0,$BY86,$BX86,$BZ86,$AJ86,1,4)*$CB86</f>
        <v>0</v>
      </c>
      <c r="BG86" s="137">
        <f>_xll.xSPRDOPT($BW86,$BV86,$CG86,0,$BY86,$BX86,$BZ86,$AJ86,1,3)*$CB86</f>
        <v>0</v>
      </c>
      <c r="BH86" s="137">
        <f>IF(OR(BF86&lt;&gt;0,BG86&lt;&gt;0),_xll.xSPRDOPT($BW86,$BV86,$CG86,0,$BY86,$BX86,$BZ86,$AJ86,1,12)*$CB86,0)</f>
        <v>0</v>
      </c>
      <c r="BI86" s="137">
        <f>_xll.xSPRDOPT($BW86,$BV86,$CG86,2*LN(1+CA86/2),$BY86,$BX86,$BZ86,$AJ86,1,9)</f>
        <v>-0.1962573973095959</v>
      </c>
      <c r="BJ86" s="137">
        <f>_xll.xSPRDOPT($BW86,$BV86,$CG86,0,$BY86,$BX86,$BZ86,$AJ86,1,6)*$CB86</f>
        <v>0</v>
      </c>
      <c r="BK86" s="137">
        <f>_xll.xSPRDOPT($BW86,$BV86,$CG86,0,$BY86,$BX86,$BZ86,$AJ86,1,5)*$CB86</f>
        <v>0</v>
      </c>
      <c r="BL86" s="137">
        <f>_xll.xSPRDOPT(BW86,BV86,CG86,0,BY86,BX86,BZ86,AJ86,1,2)*CB86</f>
        <v>0</v>
      </c>
      <c r="BM86" s="137">
        <f>_xll.xSPRDOPT(BW86,BV86,CG86,0,BY86,BX86,BZ86,AJ86,1,1)*CB86</f>
        <v>0</v>
      </c>
      <c r="BN86" s="137">
        <f>IF(AH86&lt;&gt;0,_xll.xSPRDOPT($BW86,$BV86,$CG86,2*LN(1+CA86/2),$BY86,$BX86,$BZ86,$AJ86,1,8)+(AJ86/365.25)*CH86/AH86,0)</f>
        <v>0</v>
      </c>
      <c r="BO86" s="137">
        <f>_xll.xSPRDOPT($BW86,$BV86,$CG86,0,$BY86,$BX86,$BZ86,$AJ86,1,0)</f>
        <v>0.98844982808400417</v>
      </c>
      <c r="BP86" s="137"/>
      <c r="BQ86" s="137"/>
      <c r="BR86" s="137"/>
      <c r="BS86" s="137"/>
      <c r="BV86" s="262">
        <v>3.4457831325301203</v>
      </c>
      <c r="BW86" s="136">
        <v>3.4670000000000001</v>
      </c>
      <c r="BX86" s="137">
        <v>0.37</v>
      </c>
      <c r="BY86" s="137">
        <v>0.37</v>
      </c>
      <c r="BZ86" s="137">
        <v>0</v>
      </c>
      <c r="CA86" s="137">
        <v>3.4836153967131397E-2</v>
      </c>
      <c r="CB86" s="137">
        <v>0</v>
      </c>
      <c r="CC86" s="258">
        <v>0</v>
      </c>
      <c r="CD86" s="258">
        <v>0.03</v>
      </c>
      <c r="CE86" s="258">
        <v>6.5000000000000002E-2</v>
      </c>
      <c r="CF86" s="258">
        <v>0</v>
      </c>
      <c r="CG86" s="258">
        <v>5.9999999999999995E-4</v>
      </c>
      <c r="CH86" s="258">
        <v>0</v>
      </c>
      <c r="CI86" s="258">
        <v>3.4020000000000001</v>
      </c>
      <c r="CJ86" s="258"/>
      <c r="CK86" s="258"/>
      <c r="CL86" s="258"/>
      <c r="CM86" s="258"/>
    </row>
    <row r="87" spans="1:91" x14ac:dyDescent="0.25">
      <c r="A87" s="723"/>
      <c r="B87" s="723"/>
      <c r="D87" s="31">
        <f t="shared" ref="D87:D117" si="69">D86+AH86</f>
        <v>37940</v>
      </c>
      <c r="F87" s="28">
        <f t="shared" si="53"/>
        <v>27600</v>
      </c>
      <c r="G87" s="28">
        <f t="shared" si="54"/>
        <v>0</v>
      </c>
      <c r="H87" s="52">
        <f t="shared" si="55"/>
        <v>3.4457831325301203</v>
      </c>
      <c r="I87" s="52">
        <f t="shared" si="56"/>
        <v>3.4670000000000001</v>
      </c>
      <c r="K87" s="52">
        <f t="shared" ref="K87:K117" si="70">MAX(((I87-H87)-AQ87)*AU87*AH87,0)</f>
        <v>0</v>
      </c>
      <c r="L87" s="135">
        <f t="shared" ref="L87:L117" si="71">MAX(Q87-K87,0)</f>
        <v>0</v>
      </c>
      <c r="N87" s="131">
        <f t="shared" ref="N87:N117" si="72">SQRT(($AX87^2*($AH87/2)+$AW87^2*$AI87)/(($AH87/2)+$AI87))</f>
        <v>0.37</v>
      </c>
      <c r="O87" s="131">
        <f t="shared" ref="O87:O117" si="73">SQRT(($AY87^2*($AH87/2)+$AW87^2*$AI87)/(($AH87/2)+$AI87))</f>
        <v>0.37</v>
      </c>
      <c r="P87" s="55">
        <f t="shared" ref="P87:P117" si="74">(VLOOKUP(AI87,CorrelationTwo,2)*(AW87^2)*AI87+VLOOKUP(D87,CorrelationOne,$AK$9)*AX87*AY87*(AH87/2))/((AI87+(AH87/2))*O87*N87)*AF87</f>
        <v>0</v>
      </c>
      <c r="Q87" s="135">
        <f>_xll.xSPRDOPT(I87,H87,AQ87,0,O87,N87,P87,D87-$G$5,1,0)*AH87*AU87</f>
        <v>0</v>
      </c>
      <c r="R87" s="135"/>
      <c r="S87" s="181">
        <f>_xll.xSPRDOPT(I87,H87,AQ87,AT87,O87,N87,P87,D87-$G$5,1,2)*AF87*(F87/(1-AR87))*AH87</f>
        <v>0</v>
      </c>
      <c r="T87" s="181">
        <f>_xll.xSPRDOPT(I87,H87,AQ87,AT87,O87,N87,P87,D87-$G$5,1,1)*AF87*F87*AH87</f>
        <v>0</v>
      </c>
      <c r="U87" s="135"/>
      <c r="V87" s="146">
        <f t="shared" si="57"/>
        <v>0</v>
      </c>
      <c r="W87" s="146"/>
      <c r="X87" s="338">
        <f t="shared" si="58"/>
        <v>0</v>
      </c>
      <c r="Y87" s="338">
        <f t="shared" si="18"/>
        <v>0</v>
      </c>
      <c r="Z87" s="338">
        <f t="shared" si="19"/>
        <v>0</v>
      </c>
      <c r="AA87" s="338">
        <f t="shared" si="20"/>
        <v>0</v>
      </c>
      <c r="AB87" s="338">
        <f t="shared" si="59"/>
        <v>0</v>
      </c>
      <c r="AC87" s="338">
        <f t="shared" si="60"/>
        <v>0</v>
      </c>
      <c r="AF87" s="138">
        <f t="shared" si="61"/>
        <v>0</v>
      </c>
      <c r="AG87" s="138">
        <f t="shared" si="62"/>
        <v>11</v>
      </c>
      <c r="AH87" s="138">
        <f t="shared" si="63"/>
        <v>0</v>
      </c>
      <c r="AI87" s="138">
        <f t="shared" ref="AI87:AI117" si="75">AI86+AH86</f>
        <v>684</v>
      </c>
      <c r="AJ87" s="138">
        <f t="shared" si="64"/>
        <v>701</v>
      </c>
      <c r="AL87" s="136">
        <f t="shared" si="27"/>
        <v>3.4020000000000001</v>
      </c>
      <c r="AM87" s="258">
        <f t="shared" si="48"/>
        <v>0</v>
      </c>
      <c r="AN87" s="258">
        <f t="shared" si="28"/>
        <v>0.03</v>
      </c>
      <c r="AO87" s="258">
        <f t="shared" si="29"/>
        <v>6.5000000000000002E-2</v>
      </c>
      <c r="AP87" s="258">
        <f t="shared" si="30"/>
        <v>0</v>
      </c>
      <c r="AQ87" s="136">
        <f t="shared" si="65"/>
        <v>5.9999999999999995E-4</v>
      </c>
      <c r="AR87" s="137">
        <f t="shared" si="32"/>
        <v>4.0000000000000001E-3</v>
      </c>
      <c r="AS87" s="136">
        <f t="shared" ref="AS87:AS117" si="76">(AL87+AM87+AN87)</f>
        <v>3.4319999999999999</v>
      </c>
      <c r="AT87" s="137">
        <f t="shared" si="66"/>
        <v>3.4836153967131397E-2</v>
      </c>
      <c r="AU87" s="137">
        <f t="shared" si="34"/>
        <v>0</v>
      </c>
      <c r="AV87" s="394">
        <f t="shared" ref="AV87:AV117" si="77">ROUND((F87/(1-AR87))-F87,0)*AF87*AH87*AU87</f>
        <v>0</v>
      </c>
      <c r="AW87" s="137">
        <f t="shared" si="35"/>
        <v>0.37</v>
      </c>
      <c r="AX87" s="137">
        <f t="shared" si="36"/>
        <v>0.93</v>
      </c>
      <c r="AY87" s="137">
        <f t="shared" si="37"/>
        <v>0.83</v>
      </c>
      <c r="AZ87" s="137"/>
      <c r="BA87" s="264"/>
      <c r="BB87" s="258">
        <f t="shared" si="38"/>
        <v>0</v>
      </c>
      <c r="BC87" s="258">
        <f t="shared" si="67"/>
        <v>0</v>
      </c>
      <c r="BD87" s="137">
        <f t="shared" si="68"/>
        <v>0</v>
      </c>
      <c r="BE87" s="137">
        <f t="shared" si="68"/>
        <v>0</v>
      </c>
      <c r="BF87" s="137">
        <f>_xll.xSPRDOPT($BW87,$BV87,$CG87,0,$BY87,$BX87,$BZ87,$AJ87,1,4)*$CB87</f>
        <v>0</v>
      </c>
      <c r="BG87" s="137">
        <f>_xll.xSPRDOPT($BW87,$BV87,$CG87,0,$BY87,$BX87,$BZ87,$AJ87,1,3)*$CB87</f>
        <v>0</v>
      </c>
      <c r="BH87" s="137">
        <f>IF(OR(BF87&lt;&gt;0,BG87&lt;&gt;0),_xll.xSPRDOPT($BW87,$BV87,$CG87,0,$BY87,$BX87,$BZ87,$AJ87,1,12)*$CB87,0)</f>
        <v>0</v>
      </c>
      <c r="BI87" s="137">
        <f>_xll.xSPRDOPT($BW87,$BV87,$CG87,2*LN(1+CA87/2),$BY87,$BX87,$BZ87,$AJ87,1,9)</f>
        <v>-0.1962573973095959</v>
      </c>
      <c r="BJ87" s="137">
        <f>_xll.xSPRDOPT($BW87,$BV87,$CG87,0,$BY87,$BX87,$BZ87,$AJ87,1,6)*$CB87</f>
        <v>0</v>
      </c>
      <c r="BK87" s="137">
        <f>_xll.xSPRDOPT($BW87,$BV87,$CG87,0,$BY87,$BX87,$BZ87,$AJ87,1,5)*$CB87</f>
        <v>0</v>
      </c>
      <c r="BL87" s="137">
        <f>_xll.xSPRDOPT(BW87,BV87,CG87,0,BY87,BX87,BZ87,AJ87,1,2)*CB87</f>
        <v>0</v>
      </c>
      <c r="BM87" s="137">
        <f>_xll.xSPRDOPT(BW87,BV87,CG87,0,BY87,BX87,BZ87,AJ87,1,1)*CB87</f>
        <v>0</v>
      </c>
      <c r="BN87" s="137">
        <f>IF(AH87&lt;&gt;0,_xll.xSPRDOPT($BW87,$BV87,$CG87,2*LN(1+CA87/2),$BY87,$BX87,$BZ87,$AJ87,1,8)+(AJ87/365.25)*CH87/AH87,0)</f>
        <v>0</v>
      </c>
      <c r="BO87" s="137">
        <f>_xll.xSPRDOPT($BW87,$BV87,$CG87,0,$BY87,$BX87,$BZ87,$AJ87,1,0)</f>
        <v>0.98844982808400417</v>
      </c>
      <c r="BP87" s="137"/>
      <c r="BQ87" s="137"/>
      <c r="BR87" s="137"/>
      <c r="BS87" s="137"/>
      <c r="BV87" s="262">
        <v>3.4457831325301203</v>
      </c>
      <c r="BW87" s="136">
        <v>3.4670000000000001</v>
      </c>
      <c r="BX87" s="137">
        <v>0.37</v>
      </c>
      <c r="BY87" s="137">
        <v>0.37</v>
      </c>
      <c r="BZ87" s="137">
        <v>0</v>
      </c>
      <c r="CA87" s="137">
        <v>3.4836153967131397E-2</v>
      </c>
      <c r="CB87" s="137">
        <v>0</v>
      </c>
      <c r="CC87" s="258">
        <v>0</v>
      </c>
      <c r="CD87" s="258">
        <v>0.03</v>
      </c>
      <c r="CE87" s="258">
        <v>6.5000000000000002E-2</v>
      </c>
      <c r="CF87" s="258">
        <v>0</v>
      </c>
      <c r="CG87" s="258">
        <v>5.9999999999999995E-4</v>
      </c>
      <c r="CH87" s="258">
        <v>0</v>
      </c>
      <c r="CI87" s="258">
        <v>3.4020000000000001</v>
      </c>
      <c r="CJ87" s="258"/>
      <c r="CK87" s="258"/>
      <c r="CL87" s="258"/>
      <c r="CM87" s="258"/>
    </row>
    <row r="88" spans="1:91" x14ac:dyDescent="0.25">
      <c r="A88" s="723"/>
      <c r="B88" s="723"/>
      <c r="D88" s="31">
        <f t="shared" si="69"/>
        <v>37940</v>
      </c>
      <c r="F88" s="28">
        <f t="shared" si="53"/>
        <v>27600</v>
      </c>
      <c r="G88" s="28">
        <f t="shared" si="54"/>
        <v>0</v>
      </c>
      <c r="H88" s="52">
        <f t="shared" si="55"/>
        <v>3.4457831325301203</v>
      </c>
      <c r="I88" s="52">
        <f t="shared" si="56"/>
        <v>3.4670000000000001</v>
      </c>
      <c r="K88" s="52">
        <f t="shared" si="70"/>
        <v>0</v>
      </c>
      <c r="L88" s="135">
        <f t="shared" si="71"/>
        <v>0</v>
      </c>
      <c r="N88" s="131">
        <f t="shared" si="72"/>
        <v>0.37</v>
      </c>
      <c r="O88" s="131">
        <f t="shared" si="73"/>
        <v>0.37</v>
      </c>
      <c r="P88" s="55">
        <f t="shared" si="74"/>
        <v>0</v>
      </c>
      <c r="Q88" s="135">
        <f>_xll.xSPRDOPT(I88,H88,AQ88,0,O88,N88,P88,D88-$G$5,1,0)*AH88*AU88</f>
        <v>0</v>
      </c>
      <c r="R88" s="135"/>
      <c r="S88" s="181">
        <f>_xll.xSPRDOPT(I88,H88,AQ88,AT88,O88,N88,P88,D88-$G$5,1,2)*AF88*(F88/(1-AR88))*AH88</f>
        <v>0</v>
      </c>
      <c r="T88" s="181">
        <f>_xll.xSPRDOPT(I88,H88,AQ88,AT88,O88,N88,P88,D88-$G$5,1,1)*AF88*F88*AH88</f>
        <v>0</v>
      </c>
      <c r="U88" s="135"/>
      <c r="V88" s="146">
        <f t="shared" si="57"/>
        <v>0</v>
      </c>
      <c r="W88" s="146"/>
      <c r="X88" s="338">
        <f t="shared" si="58"/>
        <v>0</v>
      </c>
      <c r="Y88" s="338">
        <f t="shared" si="18"/>
        <v>0</v>
      </c>
      <c r="Z88" s="338">
        <f t="shared" si="19"/>
        <v>0</v>
      </c>
      <c r="AA88" s="338">
        <f t="shared" si="20"/>
        <v>0</v>
      </c>
      <c r="AB88" s="338">
        <f t="shared" si="59"/>
        <v>0</v>
      </c>
      <c r="AC88" s="338">
        <f t="shared" si="60"/>
        <v>0</v>
      </c>
      <c r="AF88" s="138">
        <f t="shared" si="61"/>
        <v>0</v>
      </c>
      <c r="AG88" s="138">
        <f t="shared" si="62"/>
        <v>11</v>
      </c>
      <c r="AH88" s="138">
        <f t="shared" si="63"/>
        <v>0</v>
      </c>
      <c r="AI88" s="138">
        <f t="shared" si="75"/>
        <v>684</v>
      </c>
      <c r="AJ88" s="138">
        <f t="shared" si="64"/>
        <v>701</v>
      </c>
      <c r="AL88" s="136">
        <f t="shared" si="27"/>
        <v>3.4020000000000001</v>
      </c>
      <c r="AM88" s="258">
        <f t="shared" si="48"/>
        <v>0</v>
      </c>
      <c r="AN88" s="258">
        <f t="shared" si="28"/>
        <v>0.03</v>
      </c>
      <c r="AO88" s="258">
        <f t="shared" si="29"/>
        <v>6.5000000000000002E-2</v>
      </c>
      <c r="AP88" s="258">
        <f t="shared" si="30"/>
        <v>0</v>
      </c>
      <c r="AQ88" s="136">
        <f t="shared" si="65"/>
        <v>5.9999999999999995E-4</v>
      </c>
      <c r="AR88" s="137">
        <f t="shared" si="32"/>
        <v>4.0000000000000001E-3</v>
      </c>
      <c r="AS88" s="136">
        <f t="shared" si="76"/>
        <v>3.4319999999999999</v>
      </c>
      <c r="AT88" s="137">
        <f t="shared" si="66"/>
        <v>3.4836153967131397E-2</v>
      </c>
      <c r="AU88" s="137">
        <f t="shared" si="34"/>
        <v>0</v>
      </c>
      <c r="AV88" s="394">
        <f t="shared" si="77"/>
        <v>0</v>
      </c>
      <c r="AW88" s="137">
        <f t="shared" si="35"/>
        <v>0.37</v>
      </c>
      <c r="AX88" s="137">
        <f t="shared" si="36"/>
        <v>0.93</v>
      </c>
      <c r="AY88" s="137">
        <f t="shared" si="37"/>
        <v>0.83</v>
      </c>
      <c r="AZ88" s="137"/>
      <c r="BA88" s="264"/>
      <c r="BB88" s="258">
        <f t="shared" si="38"/>
        <v>0</v>
      </c>
      <c r="BC88" s="258">
        <f t="shared" si="67"/>
        <v>0</v>
      </c>
      <c r="BD88" s="137">
        <f t="shared" si="68"/>
        <v>0</v>
      </c>
      <c r="BE88" s="137">
        <f t="shared" si="68"/>
        <v>0</v>
      </c>
      <c r="BF88" s="137">
        <f>_xll.xSPRDOPT($BW88,$BV88,$CG88,0,$BY88,$BX88,$BZ88,$AJ88,1,4)*$CB88</f>
        <v>0</v>
      </c>
      <c r="BG88" s="137">
        <f>_xll.xSPRDOPT($BW88,$BV88,$CG88,0,$BY88,$BX88,$BZ88,$AJ88,1,3)*$CB88</f>
        <v>0</v>
      </c>
      <c r="BH88" s="137">
        <f>IF(OR(BF88&lt;&gt;0,BG88&lt;&gt;0),_xll.xSPRDOPT($BW88,$BV88,$CG88,0,$BY88,$BX88,$BZ88,$AJ88,1,12)*$CB88,0)</f>
        <v>0</v>
      </c>
      <c r="BI88" s="137">
        <f>_xll.xSPRDOPT($BW88,$BV88,$CG88,2*LN(1+CA88/2),$BY88,$BX88,$BZ88,$AJ88,1,9)</f>
        <v>-0.1962573973095959</v>
      </c>
      <c r="BJ88" s="137">
        <f>_xll.xSPRDOPT($BW88,$BV88,$CG88,0,$BY88,$BX88,$BZ88,$AJ88,1,6)*$CB88</f>
        <v>0</v>
      </c>
      <c r="BK88" s="137">
        <f>_xll.xSPRDOPT($BW88,$BV88,$CG88,0,$BY88,$BX88,$BZ88,$AJ88,1,5)*$CB88</f>
        <v>0</v>
      </c>
      <c r="BL88" s="137">
        <f>_xll.xSPRDOPT(BW88,BV88,CG88,0,BY88,BX88,BZ88,AJ88,1,2)*CB88</f>
        <v>0</v>
      </c>
      <c r="BM88" s="137">
        <f>_xll.xSPRDOPT(BW88,BV88,CG88,0,BY88,BX88,BZ88,AJ88,1,1)*CB88</f>
        <v>0</v>
      </c>
      <c r="BN88" s="137">
        <f>IF(AH88&lt;&gt;0,_xll.xSPRDOPT($BW88,$BV88,$CG88,2*LN(1+CA88/2),$BY88,$BX88,$BZ88,$AJ88,1,8)+(AJ88/365.25)*CH88/AH88,0)</f>
        <v>0</v>
      </c>
      <c r="BO88" s="137">
        <f>_xll.xSPRDOPT($BW88,$BV88,$CG88,0,$BY88,$BX88,$BZ88,$AJ88,1,0)</f>
        <v>0.98844982808400417</v>
      </c>
      <c r="BP88" s="137"/>
      <c r="BQ88" s="137"/>
      <c r="BR88" s="137"/>
      <c r="BS88" s="137"/>
      <c r="BV88" s="262">
        <v>3.4457831325301203</v>
      </c>
      <c r="BW88" s="136">
        <v>3.4670000000000001</v>
      </c>
      <c r="BX88" s="137">
        <v>0.37</v>
      </c>
      <c r="BY88" s="137">
        <v>0.37</v>
      </c>
      <c r="BZ88" s="137">
        <v>0</v>
      </c>
      <c r="CA88" s="137">
        <v>3.4836153967131397E-2</v>
      </c>
      <c r="CB88" s="137">
        <v>0</v>
      </c>
      <c r="CC88" s="258">
        <v>0</v>
      </c>
      <c r="CD88" s="258">
        <v>0.03</v>
      </c>
      <c r="CE88" s="258">
        <v>6.5000000000000002E-2</v>
      </c>
      <c r="CF88" s="258">
        <v>0</v>
      </c>
      <c r="CG88" s="258">
        <v>5.9999999999999995E-4</v>
      </c>
      <c r="CH88" s="258">
        <v>0</v>
      </c>
      <c r="CI88" s="258">
        <v>3.4020000000000001</v>
      </c>
      <c r="CJ88" s="258"/>
      <c r="CK88" s="258"/>
      <c r="CL88" s="258"/>
      <c r="CM88" s="258"/>
    </row>
    <row r="89" spans="1:91" x14ac:dyDescent="0.25">
      <c r="A89" s="723"/>
      <c r="B89" s="723"/>
      <c r="D89" s="31">
        <f t="shared" si="69"/>
        <v>37940</v>
      </c>
      <c r="F89" s="28">
        <f t="shared" si="53"/>
        <v>27600</v>
      </c>
      <c r="G89" s="28">
        <f t="shared" si="54"/>
        <v>0</v>
      </c>
      <c r="H89" s="52">
        <f t="shared" si="55"/>
        <v>3.4457831325301203</v>
      </c>
      <c r="I89" s="52">
        <f t="shared" si="56"/>
        <v>3.4670000000000001</v>
      </c>
      <c r="K89" s="52">
        <f t="shared" si="70"/>
        <v>0</v>
      </c>
      <c r="L89" s="135">
        <f t="shared" si="71"/>
        <v>0</v>
      </c>
      <c r="N89" s="131">
        <f t="shared" si="72"/>
        <v>0.37</v>
      </c>
      <c r="O89" s="131">
        <f t="shared" si="73"/>
        <v>0.37</v>
      </c>
      <c r="P89" s="55">
        <f t="shared" si="74"/>
        <v>0</v>
      </c>
      <c r="Q89" s="135">
        <f>_xll.xSPRDOPT(I89,H89,AQ89,0,O89,N89,P89,D89-$G$5,1,0)*AH89*AU89</f>
        <v>0</v>
      </c>
      <c r="R89" s="135"/>
      <c r="S89" s="181">
        <f>_xll.xSPRDOPT(I89,H89,AQ89,AT89,O89,N89,P89,D89-$G$5,1,2)*AF89*(F89/(1-AR89))*AH89</f>
        <v>0</v>
      </c>
      <c r="T89" s="181">
        <f>_xll.xSPRDOPT(I89,H89,AQ89,AT89,O89,N89,P89,D89-$G$5,1,1)*AF89*F89*AH89</f>
        <v>0</v>
      </c>
      <c r="U89" s="135"/>
      <c r="V89" s="146">
        <f t="shared" si="57"/>
        <v>0</v>
      </c>
      <c r="W89" s="146"/>
      <c r="X89" s="338">
        <f t="shared" si="58"/>
        <v>0</v>
      </c>
      <c r="Y89" s="338">
        <f t="shared" si="18"/>
        <v>0</v>
      </c>
      <c r="Z89" s="338">
        <f t="shared" si="19"/>
        <v>0</v>
      </c>
      <c r="AA89" s="338">
        <f t="shared" si="20"/>
        <v>0</v>
      </c>
      <c r="AB89" s="338">
        <f t="shared" si="59"/>
        <v>0</v>
      </c>
      <c r="AC89" s="338">
        <f t="shared" si="60"/>
        <v>0</v>
      </c>
      <c r="AF89" s="138">
        <f t="shared" si="61"/>
        <v>0</v>
      </c>
      <c r="AG89" s="138">
        <f t="shared" si="62"/>
        <v>11</v>
      </c>
      <c r="AH89" s="138">
        <f t="shared" si="63"/>
        <v>0</v>
      </c>
      <c r="AI89" s="138">
        <f t="shared" si="75"/>
        <v>684</v>
      </c>
      <c r="AJ89" s="138">
        <f t="shared" si="64"/>
        <v>701</v>
      </c>
      <c r="AL89" s="136">
        <f t="shared" si="27"/>
        <v>3.4020000000000001</v>
      </c>
      <c r="AM89" s="258">
        <f t="shared" si="48"/>
        <v>0</v>
      </c>
      <c r="AN89" s="258">
        <f t="shared" si="28"/>
        <v>0.03</v>
      </c>
      <c r="AO89" s="258">
        <f t="shared" si="29"/>
        <v>6.5000000000000002E-2</v>
      </c>
      <c r="AP89" s="258">
        <f t="shared" si="30"/>
        <v>0</v>
      </c>
      <c r="AQ89" s="136">
        <f t="shared" si="65"/>
        <v>5.9999999999999995E-4</v>
      </c>
      <c r="AR89" s="137">
        <f t="shared" si="32"/>
        <v>4.0000000000000001E-3</v>
      </c>
      <c r="AS89" s="136">
        <f t="shared" si="76"/>
        <v>3.4319999999999999</v>
      </c>
      <c r="AT89" s="137">
        <f t="shared" si="66"/>
        <v>3.4836153967131397E-2</v>
      </c>
      <c r="AU89" s="137">
        <f t="shared" si="34"/>
        <v>0</v>
      </c>
      <c r="AV89" s="394">
        <f t="shared" si="77"/>
        <v>0</v>
      </c>
      <c r="AW89" s="137">
        <f t="shared" si="35"/>
        <v>0.37</v>
      </c>
      <c r="AX89" s="137">
        <f t="shared" si="36"/>
        <v>0.93</v>
      </c>
      <c r="AY89" s="137">
        <f t="shared" si="37"/>
        <v>0.83</v>
      </c>
      <c r="AZ89" s="137"/>
      <c r="BA89" s="264"/>
      <c r="BB89" s="258">
        <f t="shared" si="38"/>
        <v>0</v>
      </c>
      <c r="BC89" s="258">
        <f t="shared" si="67"/>
        <v>0</v>
      </c>
      <c r="BD89" s="137">
        <f t="shared" si="68"/>
        <v>0</v>
      </c>
      <c r="BE89" s="137">
        <f t="shared" si="68"/>
        <v>0</v>
      </c>
      <c r="BF89" s="137">
        <f>_xll.xSPRDOPT($BW89,$BV89,$CG89,0,$BY89,$BX89,$BZ89,$AJ89,1,4)*$CB89</f>
        <v>0</v>
      </c>
      <c r="BG89" s="137">
        <f>_xll.xSPRDOPT($BW89,$BV89,$CG89,0,$BY89,$BX89,$BZ89,$AJ89,1,3)*$CB89</f>
        <v>0</v>
      </c>
      <c r="BH89" s="137">
        <f>IF(OR(BF89&lt;&gt;0,BG89&lt;&gt;0),_xll.xSPRDOPT($BW89,$BV89,$CG89,0,$BY89,$BX89,$BZ89,$AJ89,1,12)*$CB89,0)</f>
        <v>0</v>
      </c>
      <c r="BI89" s="137">
        <f>_xll.xSPRDOPT($BW89,$BV89,$CG89,2*LN(1+CA89/2),$BY89,$BX89,$BZ89,$AJ89,1,9)</f>
        <v>-0.1962573973095959</v>
      </c>
      <c r="BJ89" s="137">
        <f>_xll.xSPRDOPT($BW89,$BV89,$CG89,0,$BY89,$BX89,$BZ89,$AJ89,1,6)*$CB89</f>
        <v>0</v>
      </c>
      <c r="BK89" s="137">
        <f>_xll.xSPRDOPT($BW89,$BV89,$CG89,0,$BY89,$BX89,$BZ89,$AJ89,1,5)*$CB89</f>
        <v>0</v>
      </c>
      <c r="BL89" s="137">
        <f>_xll.xSPRDOPT(BW89,BV89,CG89,0,BY89,BX89,BZ89,AJ89,1,2)*CB89</f>
        <v>0</v>
      </c>
      <c r="BM89" s="137">
        <f>_xll.xSPRDOPT(BW89,BV89,CG89,0,BY89,BX89,BZ89,AJ89,1,1)*CB89</f>
        <v>0</v>
      </c>
      <c r="BN89" s="137">
        <f>IF(AH89&lt;&gt;0,_xll.xSPRDOPT($BW89,$BV89,$CG89,2*LN(1+CA89/2),$BY89,$BX89,$BZ89,$AJ89,1,8)+(AJ89/365.25)*CH89/AH89,0)</f>
        <v>0</v>
      </c>
      <c r="BO89" s="137">
        <f>_xll.xSPRDOPT($BW89,$BV89,$CG89,0,$BY89,$BX89,$BZ89,$AJ89,1,0)</f>
        <v>0.98844982808400417</v>
      </c>
      <c r="BP89" s="137"/>
      <c r="BQ89" s="137"/>
      <c r="BR89" s="137"/>
      <c r="BS89" s="137"/>
      <c r="BV89" s="262">
        <v>3.4457831325301203</v>
      </c>
      <c r="BW89" s="136">
        <v>3.4670000000000001</v>
      </c>
      <c r="BX89" s="137">
        <v>0.37</v>
      </c>
      <c r="BY89" s="137">
        <v>0.37</v>
      </c>
      <c r="BZ89" s="137">
        <v>0</v>
      </c>
      <c r="CA89" s="137">
        <v>3.4836153967131397E-2</v>
      </c>
      <c r="CB89" s="137">
        <v>0</v>
      </c>
      <c r="CC89" s="258">
        <v>0</v>
      </c>
      <c r="CD89" s="258">
        <v>0.03</v>
      </c>
      <c r="CE89" s="258">
        <v>6.5000000000000002E-2</v>
      </c>
      <c r="CF89" s="258">
        <v>0</v>
      </c>
      <c r="CG89" s="258">
        <v>5.9999999999999995E-4</v>
      </c>
      <c r="CH89" s="258">
        <v>0</v>
      </c>
      <c r="CI89" s="258">
        <v>3.4020000000000001</v>
      </c>
      <c r="CJ89" s="258"/>
      <c r="CK89" s="258"/>
      <c r="CL89" s="258"/>
      <c r="CM89" s="258"/>
    </row>
    <row r="90" spans="1:91" x14ac:dyDescent="0.25">
      <c r="A90" s="723"/>
      <c r="B90" s="723"/>
      <c r="D90" s="31">
        <f t="shared" si="69"/>
        <v>37940</v>
      </c>
      <c r="F90" s="28">
        <f t="shared" si="53"/>
        <v>27600</v>
      </c>
      <c r="G90" s="28">
        <f t="shared" si="54"/>
        <v>0</v>
      </c>
      <c r="H90" s="52">
        <f t="shared" si="55"/>
        <v>3.4457831325301203</v>
      </c>
      <c r="I90" s="52">
        <f t="shared" si="56"/>
        <v>3.4670000000000001</v>
      </c>
      <c r="K90" s="52">
        <f t="shared" si="70"/>
        <v>0</v>
      </c>
      <c r="L90" s="135">
        <f t="shared" si="71"/>
        <v>0</v>
      </c>
      <c r="N90" s="131">
        <f t="shared" si="72"/>
        <v>0.37</v>
      </c>
      <c r="O90" s="131">
        <f t="shared" si="73"/>
        <v>0.37</v>
      </c>
      <c r="P90" s="55">
        <f t="shared" si="74"/>
        <v>0</v>
      </c>
      <c r="Q90" s="135">
        <f>_xll.xSPRDOPT(I90,H90,AQ90,0,O90,N90,P90,D90-$G$5,1,0)*AH90*AU90</f>
        <v>0</v>
      </c>
      <c r="R90" s="135"/>
      <c r="S90" s="181">
        <f>_xll.xSPRDOPT(I90,H90,AQ90,AT90,O90,N90,P90,D90-$G$5,1,2)*AF90*(F90/(1-AR90))*AH90</f>
        <v>0</v>
      </c>
      <c r="T90" s="181">
        <f>_xll.xSPRDOPT(I90,H90,AQ90,AT90,O90,N90,P90,D90-$G$5,1,1)*AF90*F90*AH90</f>
        <v>0</v>
      </c>
      <c r="U90" s="135"/>
      <c r="V90" s="146">
        <f t="shared" si="57"/>
        <v>0</v>
      </c>
      <c r="W90" s="146"/>
      <c r="X90" s="338">
        <f t="shared" si="58"/>
        <v>0</v>
      </c>
      <c r="Y90" s="338">
        <f t="shared" si="18"/>
        <v>0</v>
      </c>
      <c r="Z90" s="338">
        <f t="shared" si="19"/>
        <v>0</v>
      </c>
      <c r="AA90" s="338">
        <f t="shared" si="20"/>
        <v>0</v>
      </c>
      <c r="AB90" s="338">
        <f t="shared" si="59"/>
        <v>0</v>
      </c>
      <c r="AC90" s="338">
        <f t="shared" si="60"/>
        <v>0</v>
      </c>
      <c r="AF90" s="138">
        <f t="shared" si="61"/>
        <v>0</v>
      </c>
      <c r="AG90" s="138">
        <f t="shared" si="62"/>
        <v>11</v>
      </c>
      <c r="AH90" s="138">
        <f t="shared" si="63"/>
        <v>0</v>
      </c>
      <c r="AI90" s="138">
        <f t="shared" si="75"/>
        <v>684</v>
      </c>
      <c r="AJ90" s="138">
        <f t="shared" si="64"/>
        <v>701</v>
      </c>
      <c r="AL90" s="136">
        <f t="shared" si="27"/>
        <v>3.4020000000000001</v>
      </c>
      <c r="AM90" s="258">
        <f t="shared" si="48"/>
        <v>0</v>
      </c>
      <c r="AN90" s="258">
        <f t="shared" si="28"/>
        <v>0.03</v>
      </c>
      <c r="AO90" s="258">
        <f t="shared" si="29"/>
        <v>6.5000000000000002E-2</v>
      </c>
      <c r="AP90" s="258">
        <f t="shared" si="30"/>
        <v>0</v>
      </c>
      <c r="AQ90" s="136">
        <f t="shared" si="65"/>
        <v>5.9999999999999995E-4</v>
      </c>
      <c r="AR90" s="137">
        <f t="shared" si="32"/>
        <v>4.0000000000000001E-3</v>
      </c>
      <c r="AS90" s="136">
        <f t="shared" si="76"/>
        <v>3.4319999999999999</v>
      </c>
      <c r="AT90" s="137">
        <f t="shared" si="66"/>
        <v>3.4836153967131397E-2</v>
      </c>
      <c r="AU90" s="137">
        <f t="shared" si="34"/>
        <v>0</v>
      </c>
      <c r="AV90" s="394">
        <f t="shared" si="77"/>
        <v>0</v>
      </c>
      <c r="AW90" s="137">
        <f t="shared" si="35"/>
        <v>0.37</v>
      </c>
      <c r="AX90" s="137">
        <f t="shared" si="36"/>
        <v>0.93</v>
      </c>
      <c r="AY90" s="137">
        <f t="shared" si="37"/>
        <v>0.83</v>
      </c>
      <c r="AZ90" s="137"/>
      <c r="BA90" s="264"/>
      <c r="BB90" s="258">
        <f t="shared" si="38"/>
        <v>0</v>
      </c>
      <c r="BC90" s="258">
        <f t="shared" si="67"/>
        <v>0</v>
      </c>
      <c r="BD90" s="137">
        <f t="shared" si="68"/>
        <v>0</v>
      </c>
      <c r="BE90" s="137">
        <f t="shared" si="68"/>
        <v>0</v>
      </c>
      <c r="BF90" s="137">
        <f>_xll.xSPRDOPT($BW90,$BV90,$CG90,0,$BY90,$BX90,$BZ90,$AJ90,1,4)*$CB90</f>
        <v>0</v>
      </c>
      <c r="BG90" s="137">
        <f>_xll.xSPRDOPT($BW90,$BV90,$CG90,0,$BY90,$BX90,$BZ90,$AJ90,1,3)*$CB90</f>
        <v>0</v>
      </c>
      <c r="BH90" s="137">
        <f>IF(OR(BF90&lt;&gt;0,BG90&lt;&gt;0),_xll.xSPRDOPT($BW90,$BV90,$CG90,0,$BY90,$BX90,$BZ90,$AJ90,1,12)*$CB90,0)</f>
        <v>0</v>
      </c>
      <c r="BI90" s="137">
        <f>_xll.xSPRDOPT($BW90,$BV90,$CG90,2*LN(1+CA90/2),$BY90,$BX90,$BZ90,$AJ90,1,9)</f>
        <v>-0.1962573973095959</v>
      </c>
      <c r="BJ90" s="137">
        <f>_xll.xSPRDOPT($BW90,$BV90,$CG90,0,$BY90,$BX90,$BZ90,$AJ90,1,6)*$CB90</f>
        <v>0</v>
      </c>
      <c r="BK90" s="137">
        <f>_xll.xSPRDOPT($BW90,$BV90,$CG90,0,$BY90,$BX90,$BZ90,$AJ90,1,5)*$CB90</f>
        <v>0</v>
      </c>
      <c r="BL90" s="137">
        <f>_xll.xSPRDOPT(BW90,BV90,CG90,0,BY90,BX90,BZ90,AJ90,1,2)*CB90</f>
        <v>0</v>
      </c>
      <c r="BM90" s="137">
        <f>_xll.xSPRDOPT(BW90,BV90,CG90,0,BY90,BX90,BZ90,AJ90,1,1)*CB90</f>
        <v>0</v>
      </c>
      <c r="BN90" s="137">
        <f>IF(AH90&lt;&gt;0,_xll.xSPRDOPT($BW90,$BV90,$CG90,2*LN(1+CA90/2),$BY90,$BX90,$BZ90,$AJ90,1,8)+(AJ90/365.25)*CH90/AH90,0)</f>
        <v>0</v>
      </c>
      <c r="BO90" s="137">
        <f>_xll.xSPRDOPT($BW90,$BV90,$CG90,0,$BY90,$BX90,$BZ90,$AJ90,1,0)</f>
        <v>0.98844982808400417</v>
      </c>
      <c r="BP90" s="137"/>
      <c r="BQ90" s="137"/>
      <c r="BR90" s="137"/>
      <c r="BS90" s="137"/>
      <c r="BV90" s="262">
        <v>3.4457831325301203</v>
      </c>
      <c r="BW90" s="136">
        <v>3.4670000000000001</v>
      </c>
      <c r="BX90" s="137">
        <v>0.37</v>
      </c>
      <c r="BY90" s="137">
        <v>0.37</v>
      </c>
      <c r="BZ90" s="137">
        <v>0</v>
      </c>
      <c r="CA90" s="137">
        <v>3.4836153967131397E-2</v>
      </c>
      <c r="CB90" s="137">
        <v>0</v>
      </c>
      <c r="CC90" s="258">
        <v>0</v>
      </c>
      <c r="CD90" s="258">
        <v>0.03</v>
      </c>
      <c r="CE90" s="258">
        <v>6.5000000000000002E-2</v>
      </c>
      <c r="CF90" s="258">
        <v>0</v>
      </c>
      <c r="CG90" s="258">
        <v>5.9999999999999995E-4</v>
      </c>
      <c r="CH90" s="258">
        <v>0</v>
      </c>
      <c r="CI90" s="258">
        <v>3.4020000000000001</v>
      </c>
      <c r="CJ90" s="258"/>
      <c r="CK90" s="258"/>
      <c r="CL90" s="258"/>
      <c r="CM90" s="258"/>
    </row>
    <row r="91" spans="1:91" x14ac:dyDescent="0.25">
      <c r="A91" s="723"/>
      <c r="B91" s="723"/>
      <c r="D91" s="31">
        <f t="shared" si="69"/>
        <v>37940</v>
      </c>
      <c r="F91" s="28">
        <f t="shared" si="53"/>
        <v>27600</v>
      </c>
      <c r="G91" s="28">
        <f t="shared" si="54"/>
        <v>0</v>
      </c>
      <c r="H91" s="52">
        <f t="shared" si="55"/>
        <v>3.4457831325301203</v>
      </c>
      <c r="I91" s="52">
        <f t="shared" si="56"/>
        <v>3.4670000000000001</v>
      </c>
      <c r="K91" s="52">
        <f t="shared" si="70"/>
        <v>0</v>
      </c>
      <c r="L91" s="135">
        <f t="shared" si="71"/>
        <v>0</v>
      </c>
      <c r="N91" s="131">
        <f t="shared" si="72"/>
        <v>0.37</v>
      </c>
      <c r="O91" s="131">
        <f t="shared" si="73"/>
        <v>0.37</v>
      </c>
      <c r="P91" s="55">
        <f t="shared" si="74"/>
        <v>0</v>
      </c>
      <c r="Q91" s="135">
        <f>_xll.xSPRDOPT(I91,H91,AQ91,0,O91,N91,P91,D91-$G$5,1,0)*AH91*AU91</f>
        <v>0</v>
      </c>
      <c r="R91" s="135"/>
      <c r="S91" s="181">
        <f>_xll.xSPRDOPT(I91,H91,AQ91,AT91,O91,N91,P91,D91-$G$5,1,2)*AF91*(F91/(1-AR91))*AH91</f>
        <v>0</v>
      </c>
      <c r="T91" s="181">
        <f>_xll.xSPRDOPT(I91,H91,AQ91,AT91,O91,N91,P91,D91-$G$5,1,1)*AF91*F91*AH91</f>
        <v>0</v>
      </c>
      <c r="U91" s="135"/>
      <c r="V91" s="146">
        <f t="shared" si="57"/>
        <v>0</v>
      </c>
      <c r="W91" s="146"/>
      <c r="X91" s="338">
        <f t="shared" si="58"/>
        <v>0</v>
      </c>
      <c r="Y91" s="338">
        <f t="shared" si="18"/>
        <v>0</v>
      </c>
      <c r="Z91" s="338">
        <f t="shared" si="19"/>
        <v>0</v>
      </c>
      <c r="AA91" s="338">
        <f t="shared" si="20"/>
        <v>0</v>
      </c>
      <c r="AB91" s="338">
        <f t="shared" si="59"/>
        <v>0</v>
      </c>
      <c r="AC91" s="338">
        <f t="shared" si="60"/>
        <v>0</v>
      </c>
      <c r="AF91" s="138">
        <f t="shared" si="61"/>
        <v>0</v>
      </c>
      <c r="AG91" s="138">
        <f t="shared" si="62"/>
        <v>11</v>
      </c>
      <c r="AH91" s="138">
        <f t="shared" si="63"/>
        <v>0</v>
      </c>
      <c r="AI91" s="138">
        <f t="shared" si="75"/>
        <v>684</v>
      </c>
      <c r="AJ91" s="138">
        <f t="shared" si="64"/>
        <v>701</v>
      </c>
      <c r="AL91" s="136">
        <f t="shared" si="27"/>
        <v>3.4020000000000001</v>
      </c>
      <c r="AM91" s="258">
        <f t="shared" si="48"/>
        <v>0</v>
      </c>
      <c r="AN91" s="258">
        <f t="shared" si="28"/>
        <v>0.03</v>
      </c>
      <c r="AO91" s="258">
        <f t="shared" si="29"/>
        <v>6.5000000000000002E-2</v>
      </c>
      <c r="AP91" s="258">
        <f t="shared" si="30"/>
        <v>0</v>
      </c>
      <c r="AQ91" s="136">
        <f t="shared" si="65"/>
        <v>5.9999999999999995E-4</v>
      </c>
      <c r="AR91" s="137">
        <f t="shared" si="32"/>
        <v>4.0000000000000001E-3</v>
      </c>
      <c r="AS91" s="136">
        <f t="shared" si="76"/>
        <v>3.4319999999999999</v>
      </c>
      <c r="AT91" s="137">
        <f t="shared" si="66"/>
        <v>3.4836153967131397E-2</v>
      </c>
      <c r="AU91" s="137">
        <f t="shared" si="34"/>
        <v>0</v>
      </c>
      <c r="AV91" s="394">
        <f t="shared" si="77"/>
        <v>0</v>
      </c>
      <c r="AW91" s="137">
        <f t="shared" si="35"/>
        <v>0.37</v>
      </c>
      <c r="AX91" s="137">
        <f t="shared" si="36"/>
        <v>0.93</v>
      </c>
      <c r="AY91" s="137">
        <f t="shared" si="37"/>
        <v>0.83</v>
      </c>
      <c r="AZ91" s="137"/>
      <c r="BA91" s="264"/>
      <c r="BB91" s="258">
        <f t="shared" si="38"/>
        <v>0</v>
      </c>
      <c r="BC91" s="258">
        <f t="shared" si="67"/>
        <v>0</v>
      </c>
      <c r="BD91" s="137">
        <f t="shared" si="68"/>
        <v>0</v>
      </c>
      <c r="BE91" s="137">
        <f t="shared" si="68"/>
        <v>0</v>
      </c>
      <c r="BF91" s="137">
        <f>_xll.xSPRDOPT($BW91,$BV91,$CG91,0,$BY91,$BX91,$BZ91,$AJ91,1,4)*$CB91</f>
        <v>0</v>
      </c>
      <c r="BG91" s="137">
        <f>_xll.xSPRDOPT($BW91,$BV91,$CG91,0,$BY91,$BX91,$BZ91,$AJ91,1,3)*$CB91</f>
        <v>0</v>
      </c>
      <c r="BH91" s="137">
        <f>IF(OR(BF91&lt;&gt;0,BG91&lt;&gt;0),_xll.xSPRDOPT($BW91,$BV91,$CG91,0,$BY91,$BX91,$BZ91,$AJ91,1,12)*$CB91,0)</f>
        <v>0</v>
      </c>
      <c r="BI91" s="137">
        <f>_xll.xSPRDOPT($BW91,$BV91,$CG91,2*LN(1+CA91/2),$BY91,$BX91,$BZ91,$AJ91,1,9)</f>
        <v>-0.1962573973095959</v>
      </c>
      <c r="BJ91" s="137">
        <f>_xll.xSPRDOPT($BW91,$BV91,$CG91,0,$BY91,$BX91,$BZ91,$AJ91,1,6)*$CB91</f>
        <v>0</v>
      </c>
      <c r="BK91" s="137">
        <f>_xll.xSPRDOPT($BW91,$BV91,$CG91,0,$BY91,$BX91,$BZ91,$AJ91,1,5)*$CB91</f>
        <v>0</v>
      </c>
      <c r="BL91" s="137">
        <f>_xll.xSPRDOPT(BW91,BV91,CG91,0,BY91,BX91,BZ91,AJ91,1,2)*CB91</f>
        <v>0</v>
      </c>
      <c r="BM91" s="137">
        <f>_xll.xSPRDOPT(BW91,BV91,CG91,0,BY91,BX91,BZ91,AJ91,1,1)*CB91</f>
        <v>0</v>
      </c>
      <c r="BN91" s="137">
        <f>IF(AH91&lt;&gt;0,_xll.xSPRDOPT($BW91,$BV91,$CG91,2*LN(1+CA91/2),$BY91,$BX91,$BZ91,$AJ91,1,8)+(AJ91/365.25)*CH91/AH91,0)</f>
        <v>0</v>
      </c>
      <c r="BO91" s="137">
        <f>_xll.xSPRDOPT($BW91,$BV91,$CG91,0,$BY91,$BX91,$BZ91,$AJ91,1,0)</f>
        <v>0.98844982808400417</v>
      </c>
      <c r="BP91" s="137"/>
      <c r="BQ91" s="137"/>
      <c r="BR91" s="137"/>
      <c r="BS91" s="137"/>
      <c r="BV91" s="262">
        <v>3.4457831325301203</v>
      </c>
      <c r="BW91" s="136">
        <v>3.4670000000000001</v>
      </c>
      <c r="BX91" s="137">
        <v>0.37</v>
      </c>
      <c r="BY91" s="137">
        <v>0.37</v>
      </c>
      <c r="BZ91" s="137">
        <v>0</v>
      </c>
      <c r="CA91" s="137">
        <v>3.4836153967131397E-2</v>
      </c>
      <c r="CB91" s="137">
        <v>0</v>
      </c>
      <c r="CC91" s="258">
        <v>0</v>
      </c>
      <c r="CD91" s="258">
        <v>0.03</v>
      </c>
      <c r="CE91" s="258">
        <v>6.5000000000000002E-2</v>
      </c>
      <c r="CF91" s="258">
        <v>0</v>
      </c>
      <c r="CG91" s="258">
        <v>5.9999999999999995E-4</v>
      </c>
      <c r="CH91" s="258">
        <v>0</v>
      </c>
      <c r="CI91" s="258">
        <v>3.4020000000000001</v>
      </c>
      <c r="CJ91" s="258"/>
      <c r="CK91" s="258"/>
      <c r="CL91" s="258"/>
      <c r="CM91" s="258"/>
    </row>
    <row r="92" spans="1:91" x14ac:dyDescent="0.25">
      <c r="A92" s="723"/>
      <c r="B92" s="723"/>
      <c r="D92" s="31">
        <f t="shared" si="69"/>
        <v>37940</v>
      </c>
      <c r="F92" s="28">
        <f t="shared" si="53"/>
        <v>27600</v>
      </c>
      <c r="G92" s="28">
        <f t="shared" si="54"/>
        <v>0</v>
      </c>
      <c r="H92" s="52">
        <f t="shared" si="55"/>
        <v>3.4457831325301203</v>
      </c>
      <c r="I92" s="52">
        <f t="shared" si="56"/>
        <v>3.4670000000000001</v>
      </c>
      <c r="K92" s="52">
        <f t="shared" si="70"/>
        <v>0</v>
      </c>
      <c r="L92" s="135">
        <f t="shared" si="71"/>
        <v>0</v>
      </c>
      <c r="N92" s="131">
        <f t="shared" si="72"/>
        <v>0.37</v>
      </c>
      <c r="O92" s="131">
        <f t="shared" si="73"/>
        <v>0.37</v>
      </c>
      <c r="P92" s="55">
        <f t="shared" si="74"/>
        <v>0</v>
      </c>
      <c r="Q92" s="135">
        <f>_xll.xSPRDOPT(I92,H92,AQ92,0,O92,N92,P92,D92-$G$5,1,0)*AH92*AU92</f>
        <v>0</v>
      </c>
      <c r="R92" s="135"/>
      <c r="S92" s="181">
        <f>_xll.xSPRDOPT(I92,H92,AQ92,AT92,O92,N92,P92,D92-$G$5,1,2)*AF92*(F92/(1-AR92))*AH92</f>
        <v>0</v>
      </c>
      <c r="T92" s="181">
        <f>_xll.xSPRDOPT(I92,H92,AQ92,AT92,O92,N92,P92,D92-$G$5,1,1)*AF92*F92*AH92</f>
        <v>0</v>
      </c>
      <c r="U92" s="135"/>
      <c r="V92" s="146">
        <f t="shared" si="57"/>
        <v>0</v>
      </c>
      <c r="W92" s="146"/>
      <c r="X92" s="338">
        <f t="shared" si="58"/>
        <v>0</v>
      </c>
      <c r="Y92" s="338">
        <f t="shared" si="18"/>
        <v>0</v>
      </c>
      <c r="Z92" s="338">
        <f t="shared" si="19"/>
        <v>0</v>
      </c>
      <c r="AA92" s="338">
        <f t="shared" si="20"/>
        <v>0</v>
      </c>
      <c r="AB92" s="338">
        <f t="shared" si="59"/>
        <v>0</v>
      </c>
      <c r="AC92" s="338">
        <f t="shared" si="60"/>
        <v>0</v>
      </c>
      <c r="AF92" s="138">
        <f t="shared" si="61"/>
        <v>0</v>
      </c>
      <c r="AG92" s="138">
        <f t="shared" si="62"/>
        <v>11</v>
      </c>
      <c r="AH92" s="138">
        <f t="shared" si="63"/>
        <v>0</v>
      </c>
      <c r="AI92" s="138">
        <f t="shared" si="75"/>
        <v>684</v>
      </c>
      <c r="AJ92" s="138">
        <f t="shared" si="64"/>
        <v>701</v>
      </c>
      <c r="AL92" s="136">
        <f t="shared" si="27"/>
        <v>3.4020000000000001</v>
      </c>
      <c r="AM92" s="258">
        <f t="shared" si="48"/>
        <v>0</v>
      </c>
      <c r="AN92" s="258">
        <f t="shared" si="28"/>
        <v>0.03</v>
      </c>
      <c r="AO92" s="258">
        <f t="shared" si="29"/>
        <v>6.5000000000000002E-2</v>
      </c>
      <c r="AP92" s="258">
        <f t="shared" si="30"/>
        <v>0</v>
      </c>
      <c r="AQ92" s="136">
        <f t="shared" si="65"/>
        <v>5.9999999999999995E-4</v>
      </c>
      <c r="AR92" s="137">
        <f t="shared" si="32"/>
        <v>4.0000000000000001E-3</v>
      </c>
      <c r="AS92" s="136">
        <f t="shared" si="76"/>
        <v>3.4319999999999999</v>
      </c>
      <c r="AT92" s="137">
        <f t="shared" si="66"/>
        <v>3.4836153967131397E-2</v>
      </c>
      <c r="AU92" s="137">
        <f t="shared" si="34"/>
        <v>0</v>
      </c>
      <c r="AV92" s="394">
        <f t="shared" si="77"/>
        <v>0</v>
      </c>
      <c r="AW92" s="137">
        <f t="shared" si="35"/>
        <v>0.37</v>
      </c>
      <c r="AX92" s="137">
        <f t="shared" si="36"/>
        <v>0.93</v>
      </c>
      <c r="AY92" s="137">
        <f t="shared" si="37"/>
        <v>0.83</v>
      </c>
      <c r="AZ92" s="137"/>
      <c r="BA92" s="264"/>
      <c r="BB92" s="258">
        <f t="shared" si="38"/>
        <v>0</v>
      </c>
      <c r="BC92" s="258">
        <f t="shared" si="67"/>
        <v>0</v>
      </c>
      <c r="BD92" s="137">
        <f t="shared" si="68"/>
        <v>0</v>
      </c>
      <c r="BE92" s="137">
        <f t="shared" si="68"/>
        <v>0</v>
      </c>
      <c r="BF92" s="137">
        <f>_xll.xSPRDOPT($BW92,$BV92,$CG92,0,$BY92,$BX92,$BZ92,$AJ92,1,4)*$CB92</f>
        <v>0</v>
      </c>
      <c r="BG92" s="137">
        <f>_xll.xSPRDOPT($BW92,$BV92,$CG92,0,$BY92,$BX92,$BZ92,$AJ92,1,3)*$CB92</f>
        <v>0</v>
      </c>
      <c r="BH92" s="137">
        <f>IF(OR(BF92&lt;&gt;0,BG92&lt;&gt;0),_xll.xSPRDOPT($BW92,$BV92,$CG92,0,$BY92,$BX92,$BZ92,$AJ92,1,12)*$CB92,0)</f>
        <v>0</v>
      </c>
      <c r="BI92" s="137">
        <f>_xll.xSPRDOPT($BW92,$BV92,$CG92,2*LN(1+CA92/2),$BY92,$BX92,$BZ92,$AJ92,1,9)</f>
        <v>-0.1962573973095959</v>
      </c>
      <c r="BJ92" s="137">
        <f>_xll.xSPRDOPT($BW92,$BV92,$CG92,0,$BY92,$BX92,$BZ92,$AJ92,1,6)*$CB92</f>
        <v>0</v>
      </c>
      <c r="BK92" s="137">
        <f>_xll.xSPRDOPT($BW92,$BV92,$CG92,0,$BY92,$BX92,$BZ92,$AJ92,1,5)*$CB92</f>
        <v>0</v>
      </c>
      <c r="BL92" s="137">
        <f>_xll.xSPRDOPT(BW92,BV92,CG92,0,BY92,BX92,BZ92,AJ92,1,2)*CB92</f>
        <v>0</v>
      </c>
      <c r="BM92" s="137">
        <f>_xll.xSPRDOPT(BW92,BV92,CG92,0,BY92,BX92,BZ92,AJ92,1,1)*CB92</f>
        <v>0</v>
      </c>
      <c r="BN92" s="137">
        <f>IF(AH92&lt;&gt;0,_xll.xSPRDOPT($BW92,$BV92,$CG92,2*LN(1+CA92/2),$BY92,$BX92,$BZ92,$AJ92,1,8)+(AJ92/365.25)*CH92/AH92,0)</f>
        <v>0</v>
      </c>
      <c r="BO92" s="137">
        <f>_xll.xSPRDOPT($BW92,$BV92,$CG92,0,$BY92,$BX92,$BZ92,$AJ92,1,0)</f>
        <v>0.98844982808400417</v>
      </c>
      <c r="BP92" s="137"/>
      <c r="BQ92" s="137"/>
      <c r="BR92" s="137"/>
      <c r="BS92" s="137"/>
      <c r="BV92" s="262">
        <v>3.4457831325301203</v>
      </c>
      <c r="BW92" s="136">
        <v>3.4670000000000001</v>
      </c>
      <c r="BX92" s="137">
        <v>0.37</v>
      </c>
      <c r="BY92" s="137">
        <v>0.37</v>
      </c>
      <c r="BZ92" s="137">
        <v>0</v>
      </c>
      <c r="CA92" s="137">
        <v>3.4836153967131397E-2</v>
      </c>
      <c r="CB92" s="137">
        <v>0</v>
      </c>
      <c r="CC92" s="258">
        <v>0</v>
      </c>
      <c r="CD92" s="258">
        <v>0.03</v>
      </c>
      <c r="CE92" s="258">
        <v>6.5000000000000002E-2</v>
      </c>
      <c r="CF92" s="258">
        <v>0</v>
      </c>
      <c r="CG92" s="258">
        <v>5.9999999999999995E-4</v>
      </c>
      <c r="CH92" s="258">
        <v>0</v>
      </c>
      <c r="CI92" s="258">
        <v>3.4020000000000001</v>
      </c>
      <c r="CJ92" s="258"/>
      <c r="CK92" s="258"/>
      <c r="CL92" s="258"/>
      <c r="CM92" s="258"/>
    </row>
    <row r="93" spans="1:91" x14ac:dyDescent="0.25">
      <c r="A93" s="723"/>
      <c r="B93" s="723"/>
      <c r="D93" s="31">
        <f t="shared" si="69"/>
        <v>37940</v>
      </c>
      <c r="F93" s="28">
        <f t="shared" si="53"/>
        <v>27600</v>
      </c>
      <c r="G93" s="28">
        <f t="shared" si="54"/>
        <v>0</v>
      </c>
      <c r="H93" s="52">
        <f t="shared" si="55"/>
        <v>3.4457831325301203</v>
      </c>
      <c r="I93" s="52">
        <f t="shared" si="56"/>
        <v>3.4670000000000001</v>
      </c>
      <c r="K93" s="52">
        <f t="shared" si="70"/>
        <v>0</v>
      </c>
      <c r="L93" s="135">
        <f t="shared" si="71"/>
        <v>0</v>
      </c>
      <c r="N93" s="131">
        <f t="shared" si="72"/>
        <v>0.37</v>
      </c>
      <c r="O93" s="131">
        <f t="shared" si="73"/>
        <v>0.37</v>
      </c>
      <c r="P93" s="55">
        <f t="shared" si="74"/>
        <v>0</v>
      </c>
      <c r="Q93" s="135">
        <f>_xll.xSPRDOPT(I93,H93,AQ93,0,O93,N93,P93,D93-$G$5,1,0)*AH93*AU93</f>
        <v>0</v>
      </c>
      <c r="R93" s="135"/>
      <c r="S93" s="181">
        <f>_xll.xSPRDOPT(I93,H93,AQ93,AT93,O93,N93,P93,D93-$G$5,1,2)*AF93*(F93/(1-AR93))*AH93</f>
        <v>0</v>
      </c>
      <c r="T93" s="181">
        <f>_xll.xSPRDOPT(I93,H93,AQ93,AT93,O93,N93,P93,D93-$G$5,1,1)*AF93*F93*AH93</f>
        <v>0</v>
      </c>
      <c r="U93" s="135"/>
      <c r="V93" s="146">
        <f t="shared" si="57"/>
        <v>0</v>
      </c>
      <c r="W93" s="146"/>
      <c r="X93" s="338">
        <f t="shared" si="58"/>
        <v>0</v>
      </c>
      <c r="Y93" s="338">
        <f t="shared" si="18"/>
        <v>0</v>
      </c>
      <c r="Z93" s="338">
        <f t="shared" si="19"/>
        <v>0</v>
      </c>
      <c r="AA93" s="338">
        <f t="shared" si="20"/>
        <v>0</v>
      </c>
      <c r="AB93" s="338">
        <f t="shared" si="59"/>
        <v>0</v>
      </c>
      <c r="AC93" s="338">
        <f t="shared" si="60"/>
        <v>0</v>
      </c>
      <c r="AF93" s="138">
        <f t="shared" si="61"/>
        <v>0</v>
      </c>
      <c r="AG93" s="138">
        <f t="shared" si="62"/>
        <v>11</v>
      </c>
      <c r="AH93" s="138">
        <f t="shared" si="63"/>
        <v>0</v>
      </c>
      <c r="AI93" s="138">
        <f t="shared" si="75"/>
        <v>684</v>
      </c>
      <c r="AJ93" s="138">
        <f t="shared" si="64"/>
        <v>701</v>
      </c>
      <c r="AL93" s="136">
        <f t="shared" si="27"/>
        <v>3.4020000000000001</v>
      </c>
      <c r="AM93" s="258">
        <f t="shared" si="48"/>
        <v>0</v>
      </c>
      <c r="AN93" s="258">
        <f t="shared" si="28"/>
        <v>0.03</v>
      </c>
      <c r="AO93" s="258">
        <f t="shared" si="29"/>
        <v>6.5000000000000002E-2</v>
      </c>
      <c r="AP93" s="258">
        <f t="shared" si="30"/>
        <v>0</v>
      </c>
      <c r="AQ93" s="136">
        <f t="shared" si="65"/>
        <v>5.9999999999999995E-4</v>
      </c>
      <c r="AR93" s="137">
        <f t="shared" si="32"/>
        <v>4.0000000000000001E-3</v>
      </c>
      <c r="AS93" s="136">
        <f t="shared" si="76"/>
        <v>3.4319999999999999</v>
      </c>
      <c r="AT93" s="137">
        <f t="shared" si="66"/>
        <v>3.4836153967131397E-2</v>
      </c>
      <c r="AU93" s="137">
        <f t="shared" si="34"/>
        <v>0</v>
      </c>
      <c r="AV93" s="394">
        <f t="shared" si="77"/>
        <v>0</v>
      </c>
      <c r="AW93" s="137">
        <f t="shared" si="35"/>
        <v>0.37</v>
      </c>
      <c r="AX93" s="137">
        <f t="shared" si="36"/>
        <v>0.93</v>
      </c>
      <c r="AY93" s="137">
        <f t="shared" si="37"/>
        <v>0.83</v>
      </c>
      <c r="AZ93" s="137"/>
      <c r="BA93" s="264"/>
      <c r="BB93" s="258">
        <f t="shared" si="38"/>
        <v>0</v>
      </c>
      <c r="BC93" s="258">
        <f t="shared" si="67"/>
        <v>0</v>
      </c>
      <c r="BD93" s="137">
        <f t="shared" si="68"/>
        <v>0</v>
      </c>
      <c r="BE93" s="137">
        <f t="shared" si="68"/>
        <v>0</v>
      </c>
      <c r="BF93" s="137">
        <f>_xll.xSPRDOPT($BW93,$BV93,$CG93,0,$BY93,$BX93,$BZ93,$AJ93,1,4)*$CB93</f>
        <v>0</v>
      </c>
      <c r="BG93" s="137">
        <f>_xll.xSPRDOPT($BW93,$BV93,$CG93,0,$BY93,$BX93,$BZ93,$AJ93,1,3)*$CB93</f>
        <v>0</v>
      </c>
      <c r="BH93" s="137">
        <f>IF(OR(BF93&lt;&gt;0,BG93&lt;&gt;0),_xll.xSPRDOPT($BW93,$BV93,$CG93,0,$BY93,$BX93,$BZ93,$AJ93,1,12)*$CB93,0)</f>
        <v>0</v>
      </c>
      <c r="BI93" s="137">
        <f>_xll.xSPRDOPT($BW93,$BV93,$CG93,2*LN(1+CA93/2),$BY93,$BX93,$BZ93,$AJ93,1,9)</f>
        <v>-0.1962573973095959</v>
      </c>
      <c r="BJ93" s="137">
        <f>_xll.xSPRDOPT($BW93,$BV93,$CG93,0,$BY93,$BX93,$BZ93,$AJ93,1,6)*$CB93</f>
        <v>0</v>
      </c>
      <c r="BK93" s="137">
        <f>_xll.xSPRDOPT($BW93,$BV93,$CG93,0,$BY93,$BX93,$BZ93,$AJ93,1,5)*$CB93</f>
        <v>0</v>
      </c>
      <c r="BL93" s="137">
        <f>_xll.xSPRDOPT(BW93,BV93,CG93,0,BY93,BX93,BZ93,AJ93,1,2)*CB93</f>
        <v>0</v>
      </c>
      <c r="BM93" s="137">
        <f>_xll.xSPRDOPT(BW93,BV93,CG93,0,BY93,BX93,BZ93,AJ93,1,1)*CB93</f>
        <v>0</v>
      </c>
      <c r="BN93" s="137">
        <f>IF(AH93&lt;&gt;0,_xll.xSPRDOPT($BW93,$BV93,$CG93,2*LN(1+CA93/2),$BY93,$BX93,$BZ93,$AJ93,1,8)+(AJ93/365.25)*CH93/AH93,0)</f>
        <v>0</v>
      </c>
      <c r="BO93" s="137">
        <f>_xll.xSPRDOPT($BW93,$BV93,$CG93,0,$BY93,$BX93,$BZ93,$AJ93,1,0)</f>
        <v>0.98844982808400417</v>
      </c>
      <c r="BP93" s="137"/>
      <c r="BQ93" s="137"/>
      <c r="BR93" s="137"/>
      <c r="BS93" s="137"/>
      <c r="BV93" s="262">
        <v>3.4457831325301203</v>
      </c>
      <c r="BW93" s="136">
        <v>3.4670000000000001</v>
      </c>
      <c r="BX93" s="137">
        <v>0.37</v>
      </c>
      <c r="BY93" s="137">
        <v>0.37</v>
      </c>
      <c r="BZ93" s="137">
        <v>0</v>
      </c>
      <c r="CA93" s="137">
        <v>3.4836153967131397E-2</v>
      </c>
      <c r="CB93" s="137">
        <v>0</v>
      </c>
      <c r="CC93" s="258">
        <v>0</v>
      </c>
      <c r="CD93" s="258">
        <v>0.03</v>
      </c>
      <c r="CE93" s="258">
        <v>6.5000000000000002E-2</v>
      </c>
      <c r="CF93" s="258">
        <v>0</v>
      </c>
      <c r="CG93" s="258">
        <v>5.9999999999999995E-4</v>
      </c>
      <c r="CH93" s="258">
        <v>0</v>
      </c>
      <c r="CI93" s="258">
        <v>3.4020000000000001</v>
      </c>
      <c r="CJ93" s="258"/>
      <c r="CK93" s="258"/>
      <c r="CL93" s="258"/>
      <c r="CM93" s="258"/>
    </row>
    <row r="94" spans="1:91" x14ac:dyDescent="0.25">
      <c r="A94" s="723"/>
      <c r="B94" s="723"/>
      <c r="D94" s="31">
        <f t="shared" si="69"/>
        <v>37940</v>
      </c>
      <c r="F94" s="28">
        <f t="shared" si="53"/>
        <v>27600</v>
      </c>
      <c r="G94" s="28">
        <f t="shared" si="54"/>
        <v>0</v>
      </c>
      <c r="H94" s="52">
        <f t="shared" si="55"/>
        <v>3.4457831325301203</v>
      </c>
      <c r="I94" s="52">
        <f t="shared" si="56"/>
        <v>3.4670000000000001</v>
      </c>
      <c r="K94" s="52">
        <f t="shared" si="70"/>
        <v>0</v>
      </c>
      <c r="L94" s="135">
        <f t="shared" si="71"/>
        <v>0</v>
      </c>
      <c r="N94" s="131">
        <f t="shared" si="72"/>
        <v>0.37</v>
      </c>
      <c r="O94" s="131">
        <f t="shared" si="73"/>
        <v>0.37</v>
      </c>
      <c r="P94" s="55">
        <f t="shared" si="74"/>
        <v>0</v>
      </c>
      <c r="Q94" s="135">
        <f>_xll.xSPRDOPT(I94,H94,AQ94,0,O94,N94,P94,D94-$G$5,1,0)*AH94*AU94</f>
        <v>0</v>
      </c>
      <c r="R94" s="135"/>
      <c r="S94" s="181">
        <f>_xll.xSPRDOPT(I94,H94,AQ94,AT94,O94,N94,P94,D94-$G$5,1,2)*AF94*(F94/(1-AR94))*AH94</f>
        <v>0</v>
      </c>
      <c r="T94" s="181">
        <f>_xll.xSPRDOPT(I94,H94,AQ94,AT94,O94,N94,P94,D94-$G$5,1,1)*AF94*F94*AH94</f>
        <v>0</v>
      </c>
      <c r="U94" s="135"/>
      <c r="V94" s="146">
        <f t="shared" si="57"/>
        <v>0</v>
      </c>
      <c r="W94" s="146"/>
      <c r="X94" s="338">
        <f t="shared" si="58"/>
        <v>0</v>
      </c>
      <c r="Y94" s="338">
        <f t="shared" si="18"/>
        <v>0</v>
      </c>
      <c r="Z94" s="338">
        <f t="shared" si="19"/>
        <v>0</v>
      </c>
      <c r="AA94" s="338">
        <f t="shared" si="20"/>
        <v>0</v>
      </c>
      <c r="AB94" s="338">
        <f t="shared" si="59"/>
        <v>0</v>
      </c>
      <c r="AC94" s="338">
        <f t="shared" si="60"/>
        <v>0</v>
      </c>
      <c r="AF94" s="138">
        <f t="shared" si="61"/>
        <v>0</v>
      </c>
      <c r="AG94" s="138">
        <f t="shared" si="62"/>
        <v>11</v>
      </c>
      <c r="AH94" s="138">
        <f t="shared" si="63"/>
        <v>0</v>
      </c>
      <c r="AI94" s="138">
        <f t="shared" si="75"/>
        <v>684</v>
      </c>
      <c r="AJ94" s="138">
        <f t="shared" si="64"/>
        <v>701</v>
      </c>
      <c r="AL94" s="136">
        <f t="shared" si="27"/>
        <v>3.4020000000000001</v>
      </c>
      <c r="AM94" s="258">
        <f t="shared" si="48"/>
        <v>0</v>
      </c>
      <c r="AN94" s="258">
        <f t="shared" si="28"/>
        <v>0.03</v>
      </c>
      <c r="AO94" s="258">
        <f t="shared" si="29"/>
        <v>6.5000000000000002E-2</v>
      </c>
      <c r="AP94" s="258">
        <f t="shared" si="30"/>
        <v>0</v>
      </c>
      <c r="AQ94" s="136">
        <f t="shared" si="65"/>
        <v>5.9999999999999995E-4</v>
      </c>
      <c r="AR94" s="137">
        <f t="shared" si="32"/>
        <v>4.0000000000000001E-3</v>
      </c>
      <c r="AS94" s="136">
        <f t="shared" si="76"/>
        <v>3.4319999999999999</v>
      </c>
      <c r="AT94" s="137">
        <f t="shared" si="66"/>
        <v>3.4836153967131397E-2</v>
      </c>
      <c r="AU94" s="137">
        <f t="shared" si="34"/>
        <v>0</v>
      </c>
      <c r="AV94" s="394">
        <f t="shared" si="77"/>
        <v>0</v>
      </c>
      <c r="AW94" s="137">
        <f t="shared" si="35"/>
        <v>0.37</v>
      </c>
      <c r="AX94" s="137">
        <f t="shared" si="36"/>
        <v>0.93</v>
      </c>
      <c r="AY94" s="137">
        <f t="shared" si="37"/>
        <v>0.83</v>
      </c>
      <c r="AZ94" s="137"/>
      <c r="BA94" s="264"/>
      <c r="BB94" s="258">
        <f t="shared" si="38"/>
        <v>0</v>
      </c>
      <c r="BC94" s="258">
        <f t="shared" si="67"/>
        <v>0</v>
      </c>
      <c r="BD94" s="137">
        <f t="shared" si="68"/>
        <v>0</v>
      </c>
      <c r="BE94" s="137">
        <f t="shared" si="68"/>
        <v>0</v>
      </c>
      <c r="BF94" s="137">
        <f>_xll.xSPRDOPT($BW94,$BV94,$CG94,0,$BY94,$BX94,$BZ94,$AJ94,1,4)*$CB94</f>
        <v>0</v>
      </c>
      <c r="BG94" s="137">
        <f>_xll.xSPRDOPT($BW94,$BV94,$CG94,0,$BY94,$BX94,$BZ94,$AJ94,1,3)*$CB94</f>
        <v>0</v>
      </c>
      <c r="BH94" s="137">
        <f>IF(OR(BF94&lt;&gt;0,BG94&lt;&gt;0),_xll.xSPRDOPT($BW94,$BV94,$CG94,0,$BY94,$BX94,$BZ94,$AJ94,1,12)*$CB94,0)</f>
        <v>0</v>
      </c>
      <c r="BI94" s="137">
        <f>_xll.xSPRDOPT($BW94,$BV94,$CG94,2*LN(1+CA94/2),$BY94,$BX94,$BZ94,$AJ94,1,9)</f>
        <v>-0.1962573973095959</v>
      </c>
      <c r="BJ94" s="137">
        <f>_xll.xSPRDOPT($BW94,$BV94,$CG94,0,$BY94,$BX94,$BZ94,$AJ94,1,6)*$CB94</f>
        <v>0</v>
      </c>
      <c r="BK94" s="137">
        <f>_xll.xSPRDOPT($BW94,$BV94,$CG94,0,$BY94,$BX94,$BZ94,$AJ94,1,5)*$CB94</f>
        <v>0</v>
      </c>
      <c r="BL94" s="137">
        <f>_xll.xSPRDOPT(BW94,BV94,CG94,0,BY94,BX94,BZ94,AJ94,1,2)*CB94</f>
        <v>0</v>
      </c>
      <c r="BM94" s="137">
        <f>_xll.xSPRDOPT(BW94,BV94,CG94,0,BY94,BX94,BZ94,AJ94,1,1)*CB94</f>
        <v>0</v>
      </c>
      <c r="BN94" s="137">
        <f>IF(AH94&lt;&gt;0,_xll.xSPRDOPT($BW94,$BV94,$CG94,2*LN(1+CA94/2),$BY94,$BX94,$BZ94,$AJ94,1,8)+(AJ94/365.25)*CH94/AH94,0)</f>
        <v>0</v>
      </c>
      <c r="BO94" s="137">
        <f>_xll.xSPRDOPT($BW94,$BV94,$CG94,0,$BY94,$BX94,$BZ94,$AJ94,1,0)</f>
        <v>0.98844982808400417</v>
      </c>
      <c r="BP94" s="137"/>
      <c r="BQ94" s="137"/>
      <c r="BR94" s="137"/>
      <c r="BS94" s="137"/>
      <c r="BV94" s="262">
        <v>3.4457831325301203</v>
      </c>
      <c r="BW94" s="136">
        <v>3.4670000000000001</v>
      </c>
      <c r="BX94" s="137">
        <v>0.37</v>
      </c>
      <c r="BY94" s="137">
        <v>0.37</v>
      </c>
      <c r="BZ94" s="137">
        <v>0</v>
      </c>
      <c r="CA94" s="137">
        <v>3.4836153967131397E-2</v>
      </c>
      <c r="CB94" s="137">
        <v>0</v>
      </c>
      <c r="CC94" s="258">
        <v>0</v>
      </c>
      <c r="CD94" s="258">
        <v>0.03</v>
      </c>
      <c r="CE94" s="258">
        <v>6.5000000000000002E-2</v>
      </c>
      <c r="CF94" s="258">
        <v>0</v>
      </c>
      <c r="CG94" s="258">
        <v>5.9999999999999995E-4</v>
      </c>
      <c r="CH94" s="258">
        <v>0</v>
      </c>
      <c r="CI94" s="258">
        <v>3.4020000000000001</v>
      </c>
      <c r="CJ94" s="258"/>
      <c r="CK94" s="258"/>
      <c r="CL94" s="258"/>
      <c r="CM94" s="258"/>
    </row>
    <row r="95" spans="1:91" x14ac:dyDescent="0.25">
      <c r="A95" s="723"/>
      <c r="B95" s="723"/>
      <c r="D95" s="31">
        <f t="shared" si="69"/>
        <v>37940</v>
      </c>
      <c r="F95" s="28">
        <f t="shared" si="53"/>
        <v>27600</v>
      </c>
      <c r="G95" s="28">
        <f t="shared" si="54"/>
        <v>0</v>
      </c>
      <c r="H95" s="52">
        <f t="shared" si="55"/>
        <v>3.4457831325301203</v>
      </c>
      <c r="I95" s="52">
        <f t="shared" si="56"/>
        <v>3.4670000000000001</v>
      </c>
      <c r="K95" s="52">
        <f t="shared" si="70"/>
        <v>0</v>
      </c>
      <c r="L95" s="135">
        <f t="shared" si="71"/>
        <v>0</v>
      </c>
      <c r="N95" s="131">
        <f t="shared" si="72"/>
        <v>0.37</v>
      </c>
      <c r="O95" s="131">
        <f t="shared" si="73"/>
        <v>0.37</v>
      </c>
      <c r="P95" s="55">
        <f t="shared" si="74"/>
        <v>0</v>
      </c>
      <c r="Q95" s="135">
        <f>_xll.xSPRDOPT(I95,H95,AQ95,0,O95,N95,P95,D95-$G$5,1,0)*AH95*AU95</f>
        <v>0</v>
      </c>
      <c r="R95" s="135"/>
      <c r="S95" s="181">
        <f>_xll.xSPRDOPT(I95,H95,AQ95,AT95,O95,N95,P95,D95-$G$5,1,2)*AF95*(F95/(1-AR95))*AH95</f>
        <v>0</v>
      </c>
      <c r="T95" s="181">
        <f>_xll.xSPRDOPT(I95,H95,AQ95,AT95,O95,N95,P95,D95-$G$5,1,1)*AF95*F95*AH95</f>
        <v>0</v>
      </c>
      <c r="U95" s="135"/>
      <c r="V95" s="146">
        <f t="shared" si="57"/>
        <v>0</v>
      </c>
      <c r="W95" s="146"/>
      <c r="X95" s="338">
        <f t="shared" si="58"/>
        <v>0</v>
      </c>
      <c r="Y95" s="338">
        <f t="shared" si="18"/>
        <v>0</v>
      </c>
      <c r="Z95" s="338">
        <f t="shared" si="19"/>
        <v>0</v>
      </c>
      <c r="AA95" s="338">
        <f t="shared" si="20"/>
        <v>0</v>
      </c>
      <c r="AB95" s="338">
        <f t="shared" si="59"/>
        <v>0</v>
      </c>
      <c r="AC95" s="338">
        <f t="shared" si="60"/>
        <v>0</v>
      </c>
      <c r="AF95" s="138">
        <f t="shared" si="61"/>
        <v>0</v>
      </c>
      <c r="AG95" s="138">
        <f t="shared" si="62"/>
        <v>11</v>
      </c>
      <c r="AH95" s="138">
        <f t="shared" si="63"/>
        <v>0</v>
      </c>
      <c r="AI95" s="138">
        <f t="shared" si="75"/>
        <v>684</v>
      </c>
      <c r="AJ95" s="138">
        <f t="shared" si="64"/>
        <v>701</v>
      </c>
      <c r="AL95" s="136">
        <f t="shared" si="27"/>
        <v>3.4020000000000001</v>
      </c>
      <c r="AM95" s="258">
        <f t="shared" si="48"/>
        <v>0</v>
      </c>
      <c r="AN95" s="258">
        <f t="shared" si="28"/>
        <v>0.03</v>
      </c>
      <c r="AO95" s="258">
        <f t="shared" si="29"/>
        <v>6.5000000000000002E-2</v>
      </c>
      <c r="AP95" s="258">
        <f t="shared" si="30"/>
        <v>0</v>
      </c>
      <c r="AQ95" s="136">
        <f t="shared" si="65"/>
        <v>5.9999999999999995E-4</v>
      </c>
      <c r="AR95" s="137">
        <f t="shared" si="32"/>
        <v>4.0000000000000001E-3</v>
      </c>
      <c r="AS95" s="136">
        <f t="shared" si="76"/>
        <v>3.4319999999999999</v>
      </c>
      <c r="AT95" s="137">
        <f t="shared" si="66"/>
        <v>3.4836153967131397E-2</v>
      </c>
      <c r="AU95" s="137">
        <f t="shared" si="34"/>
        <v>0</v>
      </c>
      <c r="AV95" s="394">
        <f t="shared" si="77"/>
        <v>0</v>
      </c>
      <c r="AW95" s="137">
        <f t="shared" si="35"/>
        <v>0.37</v>
      </c>
      <c r="AX95" s="137">
        <f t="shared" si="36"/>
        <v>0.93</v>
      </c>
      <c r="AY95" s="137">
        <f t="shared" si="37"/>
        <v>0.83</v>
      </c>
      <c r="AZ95" s="137"/>
      <c r="BA95" s="264"/>
      <c r="BB95" s="258">
        <f t="shared" si="38"/>
        <v>0</v>
      </c>
      <c r="BC95" s="258">
        <f t="shared" si="67"/>
        <v>0</v>
      </c>
      <c r="BD95" s="137">
        <f t="shared" si="68"/>
        <v>0</v>
      </c>
      <c r="BE95" s="137">
        <f t="shared" si="68"/>
        <v>0</v>
      </c>
      <c r="BF95" s="137">
        <f>_xll.xSPRDOPT($BW95,$BV95,$CG95,0,$BY95,$BX95,$BZ95,$AJ95,1,4)*$CB95</f>
        <v>0</v>
      </c>
      <c r="BG95" s="137">
        <f>_xll.xSPRDOPT($BW95,$BV95,$CG95,0,$BY95,$BX95,$BZ95,$AJ95,1,3)*$CB95</f>
        <v>0</v>
      </c>
      <c r="BH95" s="137">
        <f>IF(OR(BF95&lt;&gt;0,BG95&lt;&gt;0),_xll.xSPRDOPT($BW95,$BV95,$CG95,0,$BY95,$BX95,$BZ95,$AJ95,1,12)*$CB95,0)</f>
        <v>0</v>
      </c>
      <c r="BI95" s="137">
        <f>_xll.xSPRDOPT($BW95,$BV95,$CG95,2*LN(1+CA95/2),$BY95,$BX95,$BZ95,$AJ95,1,9)</f>
        <v>-0.1962573973095959</v>
      </c>
      <c r="BJ95" s="137">
        <f>_xll.xSPRDOPT($BW95,$BV95,$CG95,0,$BY95,$BX95,$BZ95,$AJ95,1,6)*$CB95</f>
        <v>0</v>
      </c>
      <c r="BK95" s="137">
        <f>_xll.xSPRDOPT($BW95,$BV95,$CG95,0,$BY95,$BX95,$BZ95,$AJ95,1,5)*$CB95</f>
        <v>0</v>
      </c>
      <c r="BL95" s="137">
        <f>_xll.xSPRDOPT(BW95,BV95,CG95,0,BY95,BX95,BZ95,AJ95,1,2)*CB95</f>
        <v>0</v>
      </c>
      <c r="BM95" s="137">
        <f>_xll.xSPRDOPT(BW95,BV95,CG95,0,BY95,BX95,BZ95,AJ95,1,1)*CB95</f>
        <v>0</v>
      </c>
      <c r="BN95" s="137">
        <f>IF(AH95&lt;&gt;0,_xll.xSPRDOPT($BW95,$BV95,$CG95,2*LN(1+CA95/2),$BY95,$BX95,$BZ95,$AJ95,1,8)+(AJ95/365.25)*CH95/AH95,0)</f>
        <v>0</v>
      </c>
      <c r="BO95" s="137">
        <f>_xll.xSPRDOPT($BW95,$BV95,$CG95,0,$BY95,$BX95,$BZ95,$AJ95,1,0)</f>
        <v>0.98844982808400417</v>
      </c>
      <c r="BP95" s="137"/>
      <c r="BQ95" s="137"/>
      <c r="BR95" s="137"/>
      <c r="BS95" s="137"/>
      <c r="BV95" s="262">
        <v>3.4457831325301203</v>
      </c>
      <c r="BW95" s="136">
        <v>3.4670000000000001</v>
      </c>
      <c r="BX95" s="137">
        <v>0.37</v>
      </c>
      <c r="BY95" s="137">
        <v>0.37</v>
      </c>
      <c r="BZ95" s="137">
        <v>0</v>
      </c>
      <c r="CA95" s="137">
        <v>3.4836153967131397E-2</v>
      </c>
      <c r="CB95" s="137">
        <v>0</v>
      </c>
      <c r="CC95" s="258">
        <v>0</v>
      </c>
      <c r="CD95" s="258">
        <v>0.03</v>
      </c>
      <c r="CE95" s="258">
        <v>6.5000000000000002E-2</v>
      </c>
      <c r="CF95" s="258">
        <v>0</v>
      </c>
      <c r="CG95" s="258">
        <v>5.9999999999999995E-4</v>
      </c>
      <c r="CH95" s="258">
        <v>0</v>
      </c>
      <c r="CI95" s="258">
        <v>3.4020000000000001</v>
      </c>
      <c r="CJ95" s="258"/>
      <c r="CK95" s="258"/>
      <c r="CL95" s="258"/>
      <c r="CM95" s="258"/>
    </row>
    <row r="96" spans="1:91" x14ac:dyDescent="0.25">
      <c r="A96" s="723"/>
      <c r="B96" s="723"/>
      <c r="D96" s="31">
        <f t="shared" si="69"/>
        <v>37940</v>
      </c>
      <c r="F96" s="28">
        <f t="shared" si="53"/>
        <v>27600</v>
      </c>
      <c r="G96" s="28">
        <f t="shared" si="54"/>
        <v>0</v>
      </c>
      <c r="H96" s="52">
        <f t="shared" si="55"/>
        <v>3.4457831325301203</v>
      </c>
      <c r="I96" s="52">
        <f t="shared" si="56"/>
        <v>3.4670000000000001</v>
      </c>
      <c r="K96" s="52">
        <f t="shared" si="70"/>
        <v>0</v>
      </c>
      <c r="L96" s="135">
        <f t="shared" si="71"/>
        <v>0</v>
      </c>
      <c r="N96" s="131">
        <f t="shared" si="72"/>
        <v>0.37</v>
      </c>
      <c r="O96" s="131">
        <f t="shared" si="73"/>
        <v>0.37</v>
      </c>
      <c r="P96" s="55">
        <f t="shared" si="74"/>
        <v>0</v>
      </c>
      <c r="Q96" s="135">
        <f>_xll.xSPRDOPT(I96,H96,AQ96,0,O96,N96,P96,D96-$G$5,1,0)*AH96*AU96</f>
        <v>0</v>
      </c>
      <c r="R96" s="135"/>
      <c r="S96" s="181">
        <f>_xll.xSPRDOPT(I96,H96,AQ96,AT96,O96,N96,P96,D96-$G$5,1,2)*AF96*(F96/(1-AR96))*AH96</f>
        <v>0</v>
      </c>
      <c r="T96" s="181">
        <f>_xll.xSPRDOPT(I96,H96,AQ96,AT96,O96,N96,P96,D96-$G$5,1,1)*AF96*F96*AH96</f>
        <v>0</v>
      </c>
      <c r="U96" s="135"/>
      <c r="V96" s="146">
        <f t="shared" si="57"/>
        <v>0</v>
      </c>
      <c r="W96" s="146"/>
      <c r="X96" s="338">
        <f t="shared" si="58"/>
        <v>0</v>
      </c>
      <c r="Y96" s="338">
        <f t="shared" si="18"/>
        <v>0</v>
      </c>
      <c r="Z96" s="338">
        <f t="shared" si="19"/>
        <v>0</v>
      </c>
      <c r="AA96" s="338">
        <f t="shared" si="20"/>
        <v>0</v>
      </c>
      <c r="AB96" s="338">
        <f t="shared" si="59"/>
        <v>0</v>
      </c>
      <c r="AC96" s="338">
        <f t="shared" si="60"/>
        <v>0</v>
      </c>
      <c r="AF96" s="138">
        <f t="shared" si="61"/>
        <v>0</v>
      </c>
      <c r="AG96" s="138">
        <f t="shared" si="62"/>
        <v>11</v>
      </c>
      <c r="AH96" s="138">
        <f t="shared" si="63"/>
        <v>0</v>
      </c>
      <c r="AI96" s="138">
        <f t="shared" si="75"/>
        <v>684</v>
      </c>
      <c r="AJ96" s="138">
        <f t="shared" si="64"/>
        <v>701</v>
      </c>
      <c r="AL96" s="136">
        <f t="shared" si="27"/>
        <v>3.4020000000000001</v>
      </c>
      <c r="AM96" s="258">
        <f t="shared" si="48"/>
        <v>0</v>
      </c>
      <c r="AN96" s="258">
        <f t="shared" si="28"/>
        <v>0.03</v>
      </c>
      <c r="AO96" s="258">
        <f t="shared" si="29"/>
        <v>6.5000000000000002E-2</v>
      </c>
      <c r="AP96" s="258">
        <f t="shared" si="30"/>
        <v>0</v>
      </c>
      <c r="AQ96" s="136">
        <f t="shared" si="65"/>
        <v>5.9999999999999995E-4</v>
      </c>
      <c r="AR96" s="137">
        <f t="shared" si="32"/>
        <v>4.0000000000000001E-3</v>
      </c>
      <c r="AS96" s="136">
        <f t="shared" si="76"/>
        <v>3.4319999999999999</v>
      </c>
      <c r="AT96" s="137">
        <f t="shared" si="66"/>
        <v>3.4836153967131397E-2</v>
      </c>
      <c r="AU96" s="137">
        <f t="shared" si="34"/>
        <v>0</v>
      </c>
      <c r="AV96" s="394">
        <f t="shared" si="77"/>
        <v>0</v>
      </c>
      <c r="AW96" s="137">
        <f t="shared" si="35"/>
        <v>0.37</v>
      </c>
      <c r="AX96" s="137">
        <f t="shared" si="36"/>
        <v>0.93</v>
      </c>
      <c r="AY96" s="137">
        <f t="shared" si="37"/>
        <v>0.83</v>
      </c>
      <c r="AZ96" s="137"/>
      <c r="BA96" s="264"/>
      <c r="BB96" s="258">
        <f t="shared" si="38"/>
        <v>0</v>
      </c>
      <c r="BC96" s="258">
        <f t="shared" si="67"/>
        <v>0</v>
      </c>
      <c r="BD96" s="137">
        <f t="shared" si="68"/>
        <v>0</v>
      </c>
      <c r="BE96" s="137">
        <f t="shared" si="68"/>
        <v>0</v>
      </c>
      <c r="BF96" s="137">
        <f>_xll.xSPRDOPT($BW96,$BV96,$CG96,0,$BY96,$BX96,$BZ96,$AJ96,1,4)*$CB96</f>
        <v>0</v>
      </c>
      <c r="BG96" s="137">
        <f>_xll.xSPRDOPT($BW96,$BV96,$CG96,0,$BY96,$BX96,$BZ96,$AJ96,1,3)*$CB96</f>
        <v>0</v>
      </c>
      <c r="BH96" s="137">
        <f>IF(OR(BF96&lt;&gt;0,BG96&lt;&gt;0),_xll.xSPRDOPT($BW96,$BV96,$CG96,0,$BY96,$BX96,$BZ96,$AJ96,1,12)*$CB96,0)</f>
        <v>0</v>
      </c>
      <c r="BI96" s="137">
        <f>_xll.xSPRDOPT($BW96,$BV96,$CG96,2*LN(1+CA96/2),$BY96,$BX96,$BZ96,$AJ96,1,9)</f>
        <v>-0.1962573973095959</v>
      </c>
      <c r="BJ96" s="137">
        <f>_xll.xSPRDOPT($BW96,$BV96,$CG96,0,$BY96,$BX96,$BZ96,$AJ96,1,6)*$CB96</f>
        <v>0</v>
      </c>
      <c r="BK96" s="137">
        <f>_xll.xSPRDOPT($BW96,$BV96,$CG96,0,$BY96,$BX96,$BZ96,$AJ96,1,5)*$CB96</f>
        <v>0</v>
      </c>
      <c r="BL96" s="137">
        <f>_xll.xSPRDOPT(BW96,BV96,CG96,0,BY96,BX96,BZ96,AJ96,1,2)*CB96</f>
        <v>0</v>
      </c>
      <c r="BM96" s="137">
        <f>_xll.xSPRDOPT(BW96,BV96,CG96,0,BY96,BX96,BZ96,AJ96,1,1)*CB96</f>
        <v>0</v>
      </c>
      <c r="BN96" s="137">
        <f>IF(AH96&lt;&gt;0,_xll.xSPRDOPT($BW96,$BV96,$CG96,2*LN(1+CA96/2),$BY96,$BX96,$BZ96,$AJ96,1,8)+(AJ96/365.25)*CH96/AH96,0)</f>
        <v>0</v>
      </c>
      <c r="BO96" s="137">
        <f>_xll.xSPRDOPT($BW96,$BV96,$CG96,0,$BY96,$BX96,$BZ96,$AJ96,1,0)</f>
        <v>0.98844982808400417</v>
      </c>
      <c r="BP96" s="137"/>
      <c r="BQ96" s="137"/>
      <c r="BR96" s="137"/>
      <c r="BS96" s="137"/>
      <c r="BV96" s="262">
        <v>3.4457831325301203</v>
      </c>
      <c r="BW96" s="136">
        <v>3.4670000000000001</v>
      </c>
      <c r="BX96" s="137">
        <v>0.37</v>
      </c>
      <c r="BY96" s="137">
        <v>0.37</v>
      </c>
      <c r="BZ96" s="137">
        <v>0</v>
      </c>
      <c r="CA96" s="137">
        <v>3.4836153967131397E-2</v>
      </c>
      <c r="CB96" s="137">
        <v>0</v>
      </c>
      <c r="CC96" s="258">
        <v>0</v>
      </c>
      <c r="CD96" s="258">
        <v>0.03</v>
      </c>
      <c r="CE96" s="258">
        <v>6.5000000000000002E-2</v>
      </c>
      <c r="CF96" s="258">
        <v>0</v>
      </c>
      <c r="CG96" s="258">
        <v>5.9999999999999995E-4</v>
      </c>
      <c r="CH96" s="258">
        <v>0</v>
      </c>
      <c r="CI96" s="258">
        <v>3.4020000000000001</v>
      </c>
      <c r="CJ96" s="258"/>
      <c r="CK96" s="258"/>
      <c r="CL96" s="258"/>
      <c r="CM96" s="258"/>
    </row>
    <row r="97" spans="1:91" x14ac:dyDescent="0.25">
      <c r="A97" s="723"/>
      <c r="B97" s="723"/>
      <c r="D97" s="31">
        <f t="shared" si="69"/>
        <v>37940</v>
      </c>
      <c r="F97" s="28">
        <f t="shared" si="53"/>
        <v>27600</v>
      </c>
      <c r="G97" s="28">
        <f t="shared" si="54"/>
        <v>0</v>
      </c>
      <c r="H97" s="52">
        <f t="shared" si="55"/>
        <v>3.4457831325301203</v>
      </c>
      <c r="I97" s="52">
        <f t="shared" si="56"/>
        <v>3.4670000000000001</v>
      </c>
      <c r="K97" s="52">
        <f t="shared" si="70"/>
        <v>0</v>
      </c>
      <c r="L97" s="135">
        <f t="shared" si="71"/>
        <v>0</v>
      </c>
      <c r="N97" s="131">
        <f t="shared" si="72"/>
        <v>0.37</v>
      </c>
      <c r="O97" s="131">
        <f t="shared" si="73"/>
        <v>0.37</v>
      </c>
      <c r="P97" s="55">
        <f t="shared" si="74"/>
        <v>0</v>
      </c>
      <c r="Q97" s="135">
        <f>_xll.xSPRDOPT(I97,H97,AQ97,0,O97,N97,P97,D97-$G$5,1,0)*AH97*AU97</f>
        <v>0</v>
      </c>
      <c r="R97" s="135"/>
      <c r="S97" s="181">
        <f>_xll.xSPRDOPT(I97,H97,AQ97,AT97,O97,N97,P97,D97-$G$5,1,2)*AF97*(F97/(1-AR97))*AH97</f>
        <v>0</v>
      </c>
      <c r="T97" s="181">
        <f>_xll.xSPRDOPT(I97,H97,AQ97,AT97,O97,N97,P97,D97-$G$5,1,1)*AF97*F97*AH97</f>
        <v>0</v>
      </c>
      <c r="U97" s="135"/>
      <c r="V97" s="146">
        <f t="shared" si="57"/>
        <v>0</v>
      </c>
      <c r="W97" s="146"/>
      <c r="X97" s="338">
        <f t="shared" si="58"/>
        <v>0</v>
      </c>
      <c r="Y97" s="338">
        <f t="shared" si="18"/>
        <v>0</v>
      </c>
      <c r="Z97" s="338">
        <f t="shared" si="19"/>
        <v>0</v>
      </c>
      <c r="AA97" s="338">
        <f t="shared" si="20"/>
        <v>0</v>
      </c>
      <c r="AB97" s="338">
        <f t="shared" si="59"/>
        <v>0</v>
      </c>
      <c r="AC97" s="338">
        <f t="shared" si="60"/>
        <v>0</v>
      </c>
      <c r="AF97" s="138">
        <f t="shared" si="61"/>
        <v>0</v>
      </c>
      <c r="AG97" s="138">
        <f t="shared" si="62"/>
        <v>11</v>
      </c>
      <c r="AH97" s="138">
        <f t="shared" si="63"/>
        <v>0</v>
      </c>
      <c r="AI97" s="138">
        <f t="shared" si="75"/>
        <v>684</v>
      </c>
      <c r="AJ97" s="138">
        <f t="shared" si="64"/>
        <v>701</v>
      </c>
      <c r="AL97" s="136">
        <f t="shared" si="27"/>
        <v>3.4020000000000001</v>
      </c>
      <c r="AM97" s="258">
        <f t="shared" si="48"/>
        <v>0</v>
      </c>
      <c r="AN97" s="258">
        <f t="shared" si="28"/>
        <v>0.03</v>
      </c>
      <c r="AO97" s="258">
        <f t="shared" si="29"/>
        <v>6.5000000000000002E-2</v>
      </c>
      <c r="AP97" s="258">
        <f t="shared" si="30"/>
        <v>0</v>
      </c>
      <c r="AQ97" s="136">
        <f t="shared" si="65"/>
        <v>5.9999999999999995E-4</v>
      </c>
      <c r="AR97" s="137">
        <f t="shared" si="32"/>
        <v>4.0000000000000001E-3</v>
      </c>
      <c r="AS97" s="136">
        <f t="shared" si="76"/>
        <v>3.4319999999999999</v>
      </c>
      <c r="AT97" s="137">
        <f t="shared" si="66"/>
        <v>3.4836153967131397E-2</v>
      </c>
      <c r="AU97" s="137">
        <f t="shared" si="34"/>
        <v>0</v>
      </c>
      <c r="AV97" s="394">
        <f t="shared" si="77"/>
        <v>0</v>
      </c>
      <c r="AW97" s="137">
        <f t="shared" si="35"/>
        <v>0.37</v>
      </c>
      <c r="AX97" s="137">
        <f t="shared" si="36"/>
        <v>0.93</v>
      </c>
      <c r="AY97" s="137">
        <f t="shared" si="37"/>
        <v>0.83</v>
      </c>
      <c r="AZ97" s="137"/>
      <c r="BA97" s="264"/>
      <c r="BB97" s="258">
        <f t="shared" si="38"/>
        <v>0</v>
      </c>
      <c r="BC97" s="258">
        <f t="shared" si="67"/>
        <v>0</v>
      </c>
      <c r="BD97" s="137">
        <f t="shared" si="68"/>
        <v>0</v>
      </c>
      <c r="BE97" s="137">
        <f t="shared" si="68"/>
        <v>0</v>
      </c>
      <c r="BF97" s="137">
        <f>_xll.xSPRDOPT($BW97,$BV97,$CG97,0,$BY97,$BX97,$BZ97,$AJ97,1,4)*$CB97</f>
        <v>0</v>
      </c>
      <c r="BG97" s="137">
        <f>_xll.xSPRDOPT($BW97,$BV97,$CG97,0,$BY97,$BX97,$BZ97,$AJ97,1,3)*$CB97</f>
        <v>0</v>
      </c>
      <c r="BH97" s="137">
        <f>IF(OR(BF97&lt;&gt;0,BG97&lt;&gt;0),_xll.xSPRDOPT($BW97,$BV97,$CG97,0,$BY97,$BX97,$BZ97,$AJ97,1,12)*$CB97,0)</f>
        <v>0</v>
      </c>
      <c r="BI97" s="137">
        <f>_xll.xSPRDOPT($BW97,$BV97,$CG97,2*LN(1+CA97/2),$BY97,$BX97,$BZ97,$AJ97,1,9)</f>
        <v>-0.1962573973095959</v>
      </c>
      <c r="BJ97" s="137">
        <f>_xll.xSPRDOPT($BW97,$BV97,$CG97,0,$BY97,$BX97,$BZ97,$AJ97,1,6)*$CB97</f>
        <v>0</v>
      </c>
      <c r="BK97" s="137">
        <f>_xll.xSPRDOPT($BW97,$BV97,$CG97,0,$BY97,$BX97,$BZ97,$AJ97,1,5)*$CB97</f>
        <v>0</v>
      </c>
      <c r="BL97" s="137">
        <f>_xll.xSPRDOPT(BW97,BV97,CG97,0,BY97,BX97,BZ97,AJ97,1,2)*CB97</f>
        <v>0</v>
      </c>
      <c r="BM97" s="137">
        <f>_xll.xSPRDOPT(BW97,BV97,CG97,0,BY97,BX97,BZ97,AJ97,1,1)*CB97</f>
        <v>0</v>
      </c>
      <c r="BN97" s="137">
        <f>IF(AH97&lt;&gt;0,_xll.xSPRDOPT($BW97,$BV97,$CG97,2*LN(1+CA97/2),$BY97,$BX97,$BZ97,$AJ97,1,8)+(AJ97/365.25)*CH97/AH97,0)</f>
        <v>0</v>
      </c>
      <c r="BO97" s="137">
        <f>_xll.xSPRDOPT($BW97,$BV97,$CG97,0,$BY97,$BX97,$BZ97,$AJ97,1,0)</f>
        <v>0.98844982808400417</v>
      </c>
      <c r="BP97" s="137"/>
      <c r="BQ97" s="137"/>
      <c r="BR97" s="137"/>
      <c r="BS97" s="137"/>
      <c r="BV97" s="262">
        <v>3.4457831325301203</v>
      </c>
      <c r="BW97" s="136">
        <v>3.4670000000000001</v>
      </c>
      <c r="BX97" s="137">
        <v>0.37</v>
      </c>
      <c r="BY97" s="137">
        <v>0.37</v>
      </c>
      <c r="BZ97" s="137">
        <v>0</v>
      </c>
      <c r="CA97" s="137">
        <v>3.4836153967131397E-2</v>
      </c>
      <c r="CB97" s="137">
        <v>0</v>
      </c>
      <c r="CC97" s="258">
        <v>0</v>
      </c>
      <c r="CD97" s="258">
        <v>0.03</v>
      </c>
      <c r="CE97" s="258">
        <v>6.5000000000000002E-2</v>
      </c>
      <c r="CF97" s="258">
        <v>0</v>
      </c>
      <c r="CG97" s="258">
        <v>5.9999999999999995E-4</v>
      </c>
      <c r="CH97" s="258">
        <v>0</v>
      </c>
      <c r="CI97" s="258">
        <v>3.4020000000000001</v>
      </c>
      <c r="CJ97" s="258"/>
      <c r="CK97" s="258"/>
      <c r="CL97" s="258"/>
      <c r="CM97" s="258"/>
    </row>
    <row r="98" spans="1:91" x14ac:dyDescent="0.25">
      <c r="A98" s="723"/>
      <c r="B98" s="723"/>
      <c r="D98" s="31">
        <f t="shared" si="69"/>
        <v>37940</v>
      </c>
      <c r="F98" s="28">
        <f t="shared" si="53"/>
        <v>27600</v>
      </c>
      <c r="G98" s="28">
        <f t="shared" si="54"/>
        <v>0</v>
      </c>
      <c r="H98" s="52">
        <f t="shared" si="55"/>
        <v>3.4457831325301203</v>
      </c>
      <c r="I98" s="52">
        <f t="shared" si="56"/>
        <v>3.4670000000000001</v>
      </c>
      <c r="K98" s="52">
        <f t="shared" si="70"/>
        <v>0</v>
      </c>
      <c r="L98" s="135">
        <f t="shared" si="71"/>
        <v>0</v>
      </c>
      <c r="N98" s="131">
        <f t="shared" si="72"/>
        <v>0.37</v>
      </c>
      <c r="O98" s="131">
        <f t="shared" si="73"/>
        <v>0.37</v>
      </c>
      <c r="P98" s="55">
        <f t="shared" si="74"/>
        <v>0</v>
      </c>
      <c r="Q98" s="135">
        <f>_xll.xSPRDOPT(I98,H98,AQ98,0,O98,N98,P98,D98-$G$5,1,0)*AH98*AU98</f>
        <v>0</v>
      </c>
      <c r="R98" s="135"/>
      <c r="S98" s="181">
        <f>_xll.xSPRDOPT(I98,H98,AQ98,AT98,O98,N98,P98,D98-$G$5,1,2)*AF98*(F98/(1-AR98))*AH98</f>
        <v>0</v>
      </c>
      <c r="T98" s="181">
        <f>_xll.xSPRDOPT(I98,H98,AQ98,AT98,O98,N98,P98,D98-$G$5,1,1)*AF98*F98*AH98</f>
        <v>0</v>
      </c>
      <c r="U98" s="135"/>
      <c r="V98" s="146">
        <f t="shared" si="57"/>
        <v>0</v>
      </c>
      <c r="W98" s="146"/>
      <c r="X98" s="338">
        <f t="shared" si="58"/>
        <v>0</v>
      </c>
      <c r="Y98" s="338">
        <f t="shared" si="18"/>
        <v>0</v>
      </c>
      <c r="Z98" s="338">
        <f t="shared" si="19"/>
        <v>0</v>
      </c>
      <c r="AA98" s="338">
        <f t="shared" si="20"/>
        <v>0</v>
      </c>
      <c r="AB98" s="338">
        <f t="shared" si="59"/>
        <v>0</v>
      </c>
      <c r="AC98" s="338">
        <f t="shared" si="60"/>
        <v>0</v>
      </c>
      <c r="AF98" s="138">
        <f t="shared" si="61"/>
        <v>0</v>
      </c>
      <c r="AG98" s="138">
        <f t="shared" si="62"/>
        <v>11</v>
      </c>
      <c r="AH98" s="138">
        <f t="shared" si="63"/>
        <v>0</v>
      </c>
      <c r="AI98" s="138">
        <f t="shared" si="75"/>
        <v>684</v>
      </c>
      <c r="AJ98" s="138">
        <f t="shared" si="64"/>
        <v>701</v>
      </c>
      <c r="AL98" s="136">
        <f t="shared" si="27"/>
        <v>3.4020000000000001</v>
      </c>
      <c r="AM98" s="258">
        <f t="shared" si="48"/>
        <v>0</v>
      </c>
      <c r="AN98" s="258">
        <f t="shared" si="28"/>
        <v>0.03</v>
      </c>
      <c r="AO98" s="258">
        <f t="shared" si="29"/>
        <v>6.5000000000000002E-2</v>
      </c>
      <c r="AP98" s="258">
        <f t="shared" si="30"/>
        <v>0</v>
      </c>
      <c r="AQ98" s="136">
        <f t="shared" si="65"/>
        <v>5.9999999999999995E-4</v>
      </c>
      <c r="AR98" s="137">
        <f t="shared" si="32"/>
        <v>4.0000000000000001E-3</v>
      </c>
      <c r="AS98" s="136">
        <f t="shared" si="76"/>
        <v>3.4319999999999999</v>
      </c>
      <c r="AT98" s="137">
        <f t="shared" si="66"/>
        <v>3.4836153967131397E-2</v>
      </c>
      <c r="AU98" s="137">
        <f t="shared" si="34"/>
        <v>0</v>
      </c>
      <c r="AV98" s="394">
        <f t="shared" si="77"/>
        <v>0</v>
      </c>
      <c r="AW98" s="137">
        <f t="shared" si="35"/>
        <v>0.37</v>
      </c>
      <c r="AX98" s="137">
        <f t="shared" si="36"/>
        <v>0.93</v>
      </c>
      <c r="AY98" s="137">
        <f t="shared" si="37"/>
        <v>0.83</v>
      </c>
      <c r="AZ98" s="137"/>
      <c r="BA98" s="264"/>
      <c r="BB98" s="258">
        <f t="shared" si="38"/>
        <v>0</v>
      </c>
      <c r="BC98" s="258">
        <f t="shared" si="67"/>
        <v>0</v>
      </c>
      <c r="BD98" s="137">
        <f t="shared" si="68"/>
        <v>0</v>
      </c>
      <c r="BE98" s="137">
        <f t="shared" si="68"/>
        <v>0</v>
      </c>
      <c r="BF98" s="137">
        <f>_xll.xSPRDOPT($BW98,$BV98,$CG98,0,$BY98,$BX98,$BZ98,$AJ98,1,4)*$CB98</f>
        <v>0</v>
      </c>
      <c r="BG98" s="137">
        <f>_xll.xSPRDOPT($BW98,$BV98,$CG98,0,$BY98,$BX98,$BZ98,$AJ98,1,3)*$CB98</f>
        <v>0</v>
      </c>
      <c r="BH98" s="137">
        <f>IF(OR(BF98&lt;&gt;0,BG98&lt;&gt;0),_xll.xSPRDOPT($BW98,$BV98,$CG98,0,$BY98,$BX98,$BZ98,$AJ98,1,12)*$CB98,0)</f>
        <v>0</v>
      </c>
      <c r="BI98" s="137">
        <f>_xll.xSPRDOPT($BW98,$BV98,$CG98,2*LN(1+CA98/2),$BY98,$BX98,$BZ98,$AJ98,1,9)</f>
        <v>-0.1962573973095959</v>
      </c>
      <c r="BJ98" s="137">
        <f>_xll.xSPRDOPT($BW98,$BV98,$CG98,0,$BY98,$BX98,$BZ98,$AJ98,1,6)*$CB98</f>
        <v>0</v>
      </c>
      <c r="BK98" s="137">
        <f>_xll.xSPRDOPT($BW98,$BV98,$CG98,0,$BY98,$BX98,$BZ98,$AJ98,1,5)*$CB98</f>
        <v>0</v>
      </c>
      <c r="BL98" s="137">
        <f>_xll.xSPRDOPT(BW98,BV98,CG98,0,BY98,BX98,BZ98,AJ98,1,2)*CB98</f>
        <v>0</v>
      </c>
      <c r="BM98" s="137">
        <f>_xll.xSPRDOPT(BW98,BV98,CG98,0,BY98,BX98,BZ98,AJ98,1,1)*CB98</f>
        <v>0</v>
      </c>
      <c r="BN98" s="137">
        <f>IF(AH98&lt;&gt;0,_xll.xSPRDOPT($BW98,$BV98,$CG98,2*LN(1+CA98/2),$BY98,$BX98,$BZ98,$AJ98,1,8)+(AJ98/365.25)*CH98/AH98,0)</f>
        <v>0</v>
      </c>
      <c r="BO98" s="137">
        <f>_xll.xSPRDOPT($BW98,$BV98,$CG98,0,$BY98,$BX98,$BZ98,$AJ98,1,0)</f>
        <v>0.98844982808400417</v>
      </c>
      <c r="BP98" s="137"/>
      <c r="BQ98" s="137"/>
      <c r="BR98" s="137"/>
      <c r="BS98" s="137"/>
      <c r="BV98" s="262">
        <v>3.4457831325301203</v>
      </c>
      <c r="BW98" s="136">
        <v>3.4670000000000001</v>
      </c>
      <c r="BX98" s="137">
        <v>0.37</v>
      </c>
      <c r="BY98" s="137">
        <v>0.37</v>
      </c>
      <c r="BZ98" s="137">
        <v>0</v>
      </c>
      <c r="CA98" s="137">
        <v>3.4836153967131397E-2</v>
      </c>
      <c r="CB98" s="137">
        <v>0</v>
      </c>
      <c r="CC98" s="258">
        <v>0</v>
      </c>
      <c r="CD98" s="258">
        <v>0.03</v>
      </c>
      <c r="CE98" s="258">
        <v>6.5000000000000002E-2</v>
      </c>
      <c r="CF98" s="258">
        <v>0</v>
      </c>
      <c r="CG98" s="258">
        <v>5.9999999999999995E-4</v>
      </c>
      <c r="CH98" s="258">
        <v>0</v>
      </c>
      <c r="CI98" s="258">
        <v>3.4020000000000001</v>
      </c>
      <c r="CJ98" s="258"/>
      <c r="CK98" s="258"/>
      <c r="CL98" s="258"/>
      <c r="CM98" s="258"/>
    </row>
    <row r="99" spans="1:91" x14ac:dyDescent="0.25">
      <c r="A99" s="723"/>
      <c r="B99" s="723"/>
      <c r="D99" s="31">
        <f t="shared" si="69"/>
        <v>37940</v>
      </c>
      <c r="F99" s="28">
        <f t="shared" si="53"/>
        <v>27600</v>
      </c>
      <c r="G99" s="28">
        <f t="shared" si="54"/>
        <v>0</v>
      </c>
      <c r="H99" s="52">
        <f t="shared" si="55"/>
        <v>3.4457831325301203</v>
      </c>
      <c r="I99" s="52">
        <f t="shared" si="56"/>
        <v>3.4670000000000001</v>
      </c>
      <c r="K99" s="52">
        <f t="shared" si="70"/>
        <v>0</v>
      </c>
      <c r="L99" s="135">
        <f t="shared" si="71"/>
        <v>0</v>
      </c>
      <c r="N99" s="131">
        <f t="shared" si="72"/>
        <v>0.37</v>
      </c>
      <c r="O99" s="131">
        <f t="shared" si="73"/>
        <v>0.37</v>
      </c>
      <c r="P99" s="55">
        <f t="shared" si="74"/>
        <v>0</v>
      </c>
      <c r="Q99" s="135">
        <f>_xll.xSPRDOPT(I99,H99,AQ99,0,O99,N99,P99,D99-$G$5,1,0)*AH99*AU99</f>
        <v>0</v>
      </c>
      <c r="R99" s="135"/>
      <c r="S99" s="181">
        <f>_xll.xSPRDOPT(I99,H99,AQ99,AT99,O99,N99,P99,D99-$G$5,1,2)*AF99*(F99/(1-AR99))*AH99</f>
        <v>0</v>
      </c>
      <c r="T99" s="181">
        <f>_xll.xSPRDOPT(I99,H99,AQ99,AT99,O99,N99,P99,D99-$G$5,1,1)*AF99*F99*AH99</f>
        <v>0</v>
      </c>
      <c r="U99" s="135"/>
      <c r="V99" s="146">
        <f t="shared" si="57"/>
        <v>0</v>
      </c>
      <c r="W99" s="146"/>
      <c r="X99" s="338">
        <f t="shared" si="58"/>
        <v>0</v>
      </c>
      <c r="Y99" s="338">
        <f t="shared" si="18"/>
        <v>0</v>
      </c>
      <c r="Z99" s="338">
        <f t="shared" si="19"/>
        <v>0</v>
      </c>
      <c r="AA99" s="338">
        <f t="shared" si="20"/>
        <v>0</v>
      </c>
      <c r="AB99" s="338">
        <f t="shared" si="59"/>
        <v>0</v>
      </c>
      <c r="AC99" s="338">
        <f t="shared" si="60"/>
        <v>0</v>
      </c>
      <c r="AF99" s="138">
        <f t="shared" si="61"/>
        <v>0</v>
      </c>
      <c r="AG99" s="138">
        <f t="shared" si="62"/>
        <v>11</v>
      </c>
      <c r="AH99" s="138">
        <f t="shared" si="63"/>
        <v>0</v>
      </c>
      <c r="AI99" s="138">
        <f t="shared" si="75"/>
        <v>684</v>
      </c>
      <c r="AJ99" s="138">
        <f t="shared" si="64"/>
        <v>701</v>
      </c>
      <c r="AL99" s="136">
        <f t="shared" si="27"/>
        <v>3.4020000000000001</v>
      </c>
      <c r="AM99" s="258">
        <f t="shared" si="48"/>
        <v>0</v>
      </c>
      <c r="AN99" s="258">
        <f t="shared" si="28"/>
        <v>0.03</v>
      </c>
      <c r="AO99" s="258">
        <f t="shared" si="29"/>
        <v>6.5000000000000002E-2</v>
      </c>
      <c r="AP99" s="258">
        <f t="shared" si="30"/>
        <v>0</v>
      </c>
      <c r="AQ99" s="136">
        <f t="shared" si="65"/>
        <v>5.9999999999999995E-4</v>
      </c>
      <c r="AR99" s="137">
        <f t="shared" si="32"/>
        <v>4.0000000000000001E-3</v>
      </c>
      <c r="AS99" s="136">
        <f t="shared" si="76"/>
        <v>3.4319999999999999</v>
      </c>
      <c r="AT99" s="137">
        <f t="shared" si="66"/>
        <v>3.4836153967131397E-2</v>
      </c>
      <c r="AU99" s="137">
        <f t="shared" si="34"/>
        <v>0</v>
      </c>
      <c r="AV99" s="394">
        <f t="shared" si="77"/>
        <v>0</v>
      </c>
      <c r="AW99" s="137">
        <f t="shared" si="35"/>
        <v>0.37</v>
      </c>
      <c r="AX99" s="137">
        <f t="shared" si="36"/>
        <v>0.93</v>
      </c>
      <c r="AY99" s="137">
        <f t="shared" si="37"/>
        <v>0.83</v>
      </c>
      <c r="AZ99" s="137"/>
      <c r="BA99" s="264"/>
      <c r="BB99" s="258">
        <f t="shared" si="38"/>
        <v>0</v>
      </c>
      <c r="BC99" s="258">
        <f t="shared" si="67"/>
        <v>0</v>
      </c>
      <c r="BD99" s="137">
        <f t="shared" si="68"/>
        <v>0</v>
      </c>
      <c r="BE99" s="137">
        <f t="shared" si="68"/>
        <v>0</v>
      </c>
      <c r="BF99" s="137">
        <f>_xll.xSPRDOPT($BW99,$BV99,$CG99,0,$BY99,$BX99,$BZ99,$AJ99,1,4)*$CB99</f>
        <v>0</v>
      </c>
      <c r="BG99" s="137">
        <f>_xll.xSPRDOPT($BW99,$BV99,$CG99,0,$BY99,$BX99,$BZ99,$AJ99,1,3)*$CB99</f>
        <v>0</v>
      </c>
      <c r="BH99" s="137">
        <f>IF(OR(BF99&lt;&gt;0,BG99&lt;&gt;0),_xll.xSPRDOPT($BW99,$BV99,$CG99,0,$BY99,$BX99,$BZ99,$AJ99,1,12)*$CB99,0)</f>
        <v>0</v>
      </c>
      <c r="BI99" s="137">
        <f>_xll.xSPRDOPT($BW99,$BV99,$CG99,2*LN(1+CA99/2),$BY99,$BX99,$BZ99,$AJ99,1,9)</f>
        <v>-0.1962573973095959</v>
      </c>
      <c r="BJ99" s="137">
        <f>_xll.xSPRDOPT($BW99,$BV99,$CG99,0,$BY99,$BX99,$BZ99,$AJ99,1,6)*$CB99</f>
        <v>0</v>
      </c>
      <c r="BK99" s="137">
        <f>_xll.xSPRDOPT($BW99,$BV99,$CG99,0,$BY99,$BX99,$BZ99,$AJ99,1,5)*$CB99</f>
        <v>0</v>
      </c>
      <c r="BL99" s="137">
        <f>_xll.xSPRDOPT(BW99,BV99,CG99,0,BY99,BX99,BZ99,AJ99,1,2)*CB99</f>
        <v>0</v>
      </c>
      <c r="BM99" s="137">
        <f>_xll.xSPRDOPT(BW99,BV99,CG99,0,BY99,BX99,BZ99,AJ99,1,1)*CB99</f>
        <v>0</v>
      </c>
      <c r="BN99" s="137">
        <f>IF(AH99&lt;&gt;0,_xll.xSPRDOPT($BW99,$BV99,$CG99,2*LN(1+CA99/2),$BY99,$BX99,$BZ99,$AJ99,1,8)+(AJ99/365.25)*CH99/AH99,0)</f>
        <v>0</v>
      </c>
      <c r="BO99" s="137">
        <f>_xll.xSPRDOPT($BW99,$BV99,$CG99,0,$BY99,$BX99,$BZ99,$AJ99,1,0)</f>
        <v>0.98844982808400417</v>
      </c>
      <c r="BP99" s="137"/>
      <c r="BQ99" s="137"/>
      <c r="BR99" s="137"/>
      <c r="BS99" s="137"/>
      <c r="BV99" s="262">
        <v>3.4457831325301203</v>
      </c>
      <c r="BW99" s="136">
        <v>3.4670000000000001</v>
      </c>
      <c r="BX99" s="137">
        <v>0.37</v>
      </c>
      <c r="BY99" s="137">
        <v>0.37</v>
      </c>
      <c r="BZ99" s="137">
        <v>0</v>
      </c>
      <c r="CA99" s="137">
        <v>3.4836153967131397E-2</v>
      </c>
      <c r="CB99" s="137">
        <v>0</v>
      </c>
      <c r="CC99" s="258">
        <v>0</v>
      </c>
      <c r="CD99" s="258">
        <v>0.03</v>
      </c>
      <c r="CE99" s="258">
        <v>6.5000000000000002E-2</v>
      </c>
      <c r="CF99" s="258">
        <v>0</v>
      </c>
      <c r="CG99" s="258">
        <v>5.9999999999999995E-4</v>
      </c>
      <c r="CH99" s="258">
        <v>0</v>
      </c>
      <c r="CI99" s="258">
        <v>3.4020000000000001</v>
      </c>
      <c r="CJ99" s="258"/>
      <c r="CK99" s="258"/>
      <c r="CL99" s="258"/>
      <c r="CM99" s="258"/>
    </row>
    <row r="100" spans="1:91" x14ac:dyDescent="0.25">
      <c r="A100" s="723"/>
      <c r="B100" s="723"/>
      <c r="D100" s="31">
        <f t="shared" si="69"/>
        <v>37940</v>
      </c>
      <c r="F100" s="28">
        <f t="shared" si="53"/>
        <v>27600</v>
      </c>
      <c r="G100" s="28">
        <f t="shared" si="54"/>
        <v>0</v>
      </c>
      <c r="H100" s="52">
        <f t="shared" si="55"/>
        <v>3.4457831325301203</v>
      </c>
      <c r="I100" s="52">
        <f t="shared" si="56"/>
        <v>3.4670000000000001</v>
      </c>
      <c r="K100" s="52">
        <f t="shared" si="70"/>
        <v>0</v>
      </c>
      <c r="L100" s="135">
        <f t="shared" si="71"/>
        <v>0</v>
      </c>
      <c r="N100" s="131">
        <f t="shared" si="72"/>
        <v>0.37</v>
      </c>
      <c r="O100" s="131">
        <f t="shared" si="73"/>
        <v>0.37</v>
      </c>
      <c r="P100" s="55">
        <f t="shared" si="74"/>
        <v>0</v>
      </c>
      <c r="Q100" s="135">
        <f>_xll.xSPRDOPT(I100,H100,AQ100,0,O100,N100,P100,D100-$G$5,1,0)*AH100*AU100</f>
        <v>0</v>
      </c>
      <c r="R100" s="135"/>
      <c r="S100" s="181">
        <f>_xll.xSPRDOPT(I100,H100,AQ100,AT100,O100,N100,P100,D100-$G$5,1,2)*AF100*(F100/(1-AR100))*AH100</f>
        <v>0</v>
      </c>
      <c r="T100" s="181">
        <f>_xll.xSPRDOPT(I100,H100,AQ100,AT100,O100,N100,P100,D100-$G$5,1,1)*AF100*F100*AH100</f>
        <v>0</v>
      </c>
      <c r="U100" s="135"/>
      <c r="V100" s="146">
        <f t="shared" si="57"/>
        <v>0</v>
      </c>
      <c r="W100" s="146"/>
      <c r="X100" s="338">
        <f t="shared" si="58"/>
        <v>0</v>
      </c>
      <c r="Y100" s="338">
        <f t="shared" si="18"/>
        <v>0</v>
      </c>
      <c r="Z100" s="338">
        <f t="shared" si="19"/>
        <v>0</v>
      </c>
      <c r="AA100" s="338">
        <f t="shared" si="20"/>
        <v>0</v>
      </c>
      <c r="AB100" s="338">
        <f t="shared" si="59"/>
        <v>0</v>
      </c>
      <c r="AC100" s="338">
        <f t="shared" si="60"/>
        <v>0</v>
      </c>
      <c r="AF100" s="138">
        <f t="shared" si="61"/>
        <v>0</v>
      </c>
      <c r="AG100" s="138">
        <f t="shared" si="62"/>
        <v>11</v>
      </c>
      <c r="AH100" s="138">
        <f t="shared" si="63"/>
        <v>0</v>
      </c>
      <c r="AI100" s="138">
        <f t="shared" si="75"/>
        <v>684</v>
      </c>
      <c r="AJ100" s="138">
        <f t="shared" si="64"/>
        <v>701</v>
      </c>
      <c r="AL100" s="136">
        <f t="shared" si="27"/>
        <v>3.4020000000000001</v>
      </c>
      <c r="AM100" s="258">
        <f t="shared" si="48"/>
        <v>0</v>
      </c>
      <c r="AN100" s="258">
        <f t="shared" si="28"/>
        <v>0.03</v>
      </c>
      <c r="AO100" s="258">
        <f t="shared" si="29"/>
        <v>6.5000000000000002E-2</v>
      </c>
      <c r="AP100" s="258">
        <f t="shared" si="30"/>
        <v>0</v>
      </c>
      <c r="AQ100" s="136">
        <f t="shared" si="65"/>
        <v>5.9999999999999995E-4</v>
      </c>
      <c r="AR100" s="137">
        <f t="shared" si="32"/>
        <v>4.0000000000000001E-3</v>
      </c>
      <c r="AS100" s="136">
        <f t="shared" si="76"/>
        <v>3.4319999999999999</v>
      </c>
      <c r="AT100" s="137">
        <f t="shared" si="66"/>
        <v>3.4836153967131397E-2</v>
      </c>
      <c r="AU100" s="137">
        <f t="shared" si="34"/>
        <v>0</v>
      </c>
      <c r="AV100" s="394">
        <f t="shared" si="77"/>
        <v>0</v>
      </c>
      <c r="AW100" s="137">
        <f t="shared" si="35"/>
        <v>0.37</v>
      </c>
      <c r="AX100" s="137">
        <f t="shared" si="36"/>
        <v>0.93</v>
      </c>
      <c r="AY100" s="137">
        <f t="shared" si="37"/>
        <v>0.83</v>
      </c>
      <c r="AZ100" s="137"/>
      <c r="BA100" s="264"/>
      <c r="BB100" s="258">
        <f t="shared" si="38"/>
        <v>0</v>
      </c>
      <c r="BC100" s="258">
        <f t="shared" si="67"/>
        <v>0</v>
      </c>
      <c r="BD100" s="137">
        <f t="shared" si="68"/>
        <v>0</v>
      </c>
      <c r="BE100" s="137">
        <f t="shared" si="68"/>
        <v>0</v>
      </c>
      <c r="BF100" s="137">
        <f>_xll.xSPRDOPT($BW100,$BV100,$CG100,0,$BY100,$BX100,$BZ100,$AJ100,1,4)*$CB100</f>
        <v>0</v>
      </c>
      <c r="BG100" s="137">
        <f>_xll.xSPRDOPT($BW100,$BV100,$CG100,0,$BY100,$BX100,$BZ100,$AJ100,1,3)*$CB100</f>
        <v>0</v>
      </c>
      <c r="BH100" s="137">
        <f>IF(OR(BF100&lt;&gt;0,BG100&lt;&gt;0),_xll.xSPRDOPT($BW100,$BV100,$CG100,0,$BY100,$BX100,$BZ100,$AJ100,1,12)*$CB100,0)</f>
        <v>0</v>
      </c>
      <c r="BI100" s="137">
        <f>_xll.xSPRDOPT($BW100,$BV100,$CG100,2*LN(1+CA100/2),$BY100,$BX100,$BZ100,$AJ100,1,9)</f>
        <v>-0.1962573973095959</v>
      </c>
      <c r="BJ100" s="137">
        <f>_xll.xSPRDOPT($BW100,$BV100,$CG100,0,$BY100,$BX100,$BZ100,$AJ100,1,6)*$CB100</f>
        <v>0</v>
      </c>
      <c r="BK100" s="137">
        <f>_xll.xSPRDOPT($BW100,$BV100,$CG100,0,$BY100,$BX100,$BZ100,$AJ100,1,5)*$CB100</f>
        <v>0</v>
      </c>
      <c r="BL100" s="137">
        <f>_xll.xSPRDOPT(BW100,BV100,CG100,0,BY100,BX100,BZ100,AJ100,1,2)*CB100</f>
        <v>0</v>
      </c>
      <c r="BM100" s="137">
        <f>_xll.xSPRDOPT(BW100,BV100,CG100,0,BY100,BX100,BZ100,AJ100,1,1)*CB100</f>
        <v>0</v>
      </c>
      <c r="BN100" s="137">
        <f>IF(AH100&lt;&gt;0,_xll.xSPRDOPT($BW100,$BV100,$CG100,2*LN(1+CA100/2),$BY100,$BX100,$BZ100,$AJ100,1,8)+(AJ100/365.25)*CH100/AH100,0)</f>
        <v>0</v>
      </c>
      <c r="BO100" s="137">
        <f>_xll.xSPRDOPT($BW100,$BV100,$CG100,0,$BY100,$BX100,$BZ100,$AJ100,1,0)</f>
        <v>0.98844982808400417</v>
      </c>
      <c r="BP100" s="137"/>
      <c r="BQ100" s="137"/>
      <c r="BR100" s="137"/>
      <c r="BS100" s="137"/>
      <c r="BV100" s="262">
        <v>3.4457831325301203</v>
      </c>
      <c r="BW100" s="136">
        <v>3.4670000000000001</v>
      </c>
      <c r="BX100" s="137">
        <v>0.37</v>
      </c>
      <c r="BY100" s="137">
        <v>0.37</v>
      </c>
      <c r="BZ100" s="137">
        <v>0</v>
      </c>
      <c r="CA100" s="137">
        <v>3.4836153967131397E-2</v>
      </c>
      <c r="CB100" s="137">
        <v>0</v>
      </c>
      <c r="CC100" s="258">
        <v>0</v>
      </c>
      <c r="CD100" s="258">
        <v>0.03</v>
      </c>
      <c r="CE100" s="258">
        <v>6.5000000000000002E-2</v>
      </c>
      <c r="CF100" s="258">
        <v>0</v>
      </c>
      <c r="CG100" s="258">
        <v>5.9999999999999995E-4</v>
      </c>
      <c r="CH100" s="258">
        <v>0</v>
      </c>
      <c r="CI100" s="258">
        <v>3.4020000000000001</v>
      </c>
      <c r="CJ100" s="258"/>
      <c r="CK100" s="258"/>
      <c r="CL100" s="258"/>
      <c r="CM100" s="258"/>
    </row>
    <row r="101" spans="1:91" x14ac:dyDescent="0.25">
      <c r="A101" s="723"/>
      <c r="B101" s="723"/>
      <c r="D101" s="31">
        <f t="shared" si="69"/>
        <v>37940</v>
      </c>
      <c r="F101" s="28">
        <f t="shared" si="53"/>
        <v>27600</v>
      </c>
      <c r="G101" s="28">
        <f t="shared" si="54"/>
        <v>0</v>
      </c>
      <c r="H101" s="52">
        <f t="shared" si="55"/>
        <v>3.4457831325301203</v>
      </c>
      <c r="I101" s="52">
        <f t="shared" si="56"/>
        <v>3.4670000000000001</v>
      </c>
      <c r="K101" s="52">
        <f t="shared" si="70"/>
        <v>0</v>
      </c>
      <c r="L101" s="135">
        <f t="shared" si="71"/>
        <v>0</v>
      </c>
      <c r="N101" s="131">
        <f t="shared" si="72"/>
        <v>0.37</v>
      </c>
      <c r="O101" s="131">
        <f t="shared" si="73"/>
        <v>0.37</v>
      </c>
      <c r="P101" s="55">
        <f t="shared" si="74"/>
        <v>0</v>
      </c>
      <c r="Q101" s="135">
        <f>_xll.xSPRDOPT(I101,H101,AQ101,0,O101,N101,P101,D101-$G$5,1,0)*AH101*AU101</f>
        <v>0</v>
      </c>
      <c r="R101" s="135"/>
      <c r="S101" s="181">
        <f>_xll.xSPRDOPT(I101,H101,AQ101,AT101,O101,N101,P101,D101-$G$5,1,2)*AF101*(F101/(1-AR101))*AH101</f>
        <v>0</v>
      </c>
      <c r="T101" s="181">
        <f>_xll.xSPRDOPT(I101,H101,AQ101,AT101,O101,N101,P101,D101-$G$5,1,1)*AF101*F101*AH101</f>
        <v>0</v>
      </c>
      <c r="U101" s="135"/>
      <c r="V101" s="146">
        <f t="shared" si="57"/>
        <v>0</v>
      </c>
      <c r="W101" s="146"/>
      <c r="X101" s="338">
        <f t="shared" si="58"/>
        <v>0</v>
      </c>
      <c r="Y101" s="338">
        <f t="shared" si="18"/>
        <v>0</v>
      </c>
      <c r="Z101" s="338">
        <f t="shared" si="19"/>
        <v>0</v>
      </c>
      <c r="AA101" s="338">
        <f t="shared" si="20"/>
        <v>0</v>
      </c>
      <c r="AB101" s="338">
        <f t="shared" si="59"/>
        <v>0</v>
      </c>
      <c r="AC101" s="338">
        <f t="shared" si="60"/>
        <v>0</v>
      </c>
      <c r="AF101" s="138">
        <f t="shared" si="61"/>
        <v>0</v>
      </c>
      <c r="AG101" s="138">
        <f t="shared" si="62"/>
        <v>11</v>
      </c>
      <c r="AH101" s="138">
        <f t="shared" si="63"/>
        <v>0</v>
      </c>
      <c r="AI101" s="138">
        <f t="shared" si="75"/>
        <v>684</v>
      </c>
      <c r="AJ101" s="138">
        <f t="shared" si="64"/>
        <v>701</v>
      </c>
      <c r="AL101" s="136">
        <f t="shared" si="27"/>
        <v>3.4020000000000001</v>
      </c>
      <c r="AM101" s="258">
        <f t="shared" si="48"/>
        <v>0</v>
      </c>
      <c r="AN101" s="258">
        <f t="shared" si="28"/>
        <v>0.03</v>
      </c>
      <c r="AO101" s="258">
        <f t="shared" si="29"/>
        <v>6.5000000000000002E-2</v>
      </c>
      <c r="AP101" s="258">
        <f t="shared" si="30"/>
        <v>0</v>
      </c>
      <c r="AQ101" s="136">
        <f t="shared" si="65"/>
        <v>5.9999999999999995E-4</v>
      </c>
      <c r="AR101" s="137">
        <f t="shared" si="32"/>
        <v>4.0000000000000001E-3</v>
      </c>
      <c r="AS101" s="136">
        <f t="shared" si="76"/>
        <v>3.4319999999999999</v>
      </c>
      <c r="AT101" s="137">
        <f t="shared" si="66"/>
        <v>3.4836153967131397E-2</v>
      </c>
      <c r="AU101" s="137">
        <f t="shared" si="34"/>
        <v>0</v>
      </c>
      <c r="AV101" s="394">
        <f t="shared" si="77"/>
        <v>0</v>
      </c>
      <c r="AW101" s="137">
        <f t="shared" si="35"/>
        <v>0.37</v>
      </c>
      <c r="AX101" s="137">
        <f t="shared" si="36"/>
        <v>0.93</v>
      </c>
      <c r="AY101" s="137">
        <f t="shared" si="37"/>
        <v>0.83</v>
      </c>
      <c r="AZ101" s="137"/>
      <c r="BA101" s="264"/>
      <c r="BB101" s="258">
        <f t="shared" si="38"/>
        <v>0</v>
      </c>
      <c r="BC101" s="258">
        <f t="shared" si="67"/>
        <v>0</v>
      </c>
      <c r="BD101" s="137">
        <f t="shared" si="68"/>
        <v>0</v>
      </c>
      <c r="BE101" s="137">
        <f t="shared" si="68"/>
        <v>0</v>
      </c>
      <c r="BF101" s="137">
        <f>_xll.xSPRDOPT($BW101,$BV101,$CG101,0,$BY101,$BX101,$BZ101,$AJ101,1,4)*$CB101</f>
        <v>0</v>
      </c>
      <c r="BG101" s="137">
        <f>_xll.xSPRDOPT($BW101,$BV101,$CG101,0,$BY101,$BX101,$BZ101,$AJ101,1,3)*$CB101</f>
        <v>0</v>
      </c>
      <c r="BH101" s="137">
        <f>IF(OR(BF101&lt;&gt;0,BG101&lt;&gt;0),_xll.xSPRDOPT($BW101,$BV101,$CG101,0,$BY101,$BX101,$BZ101,$AJ101,1,12)*$CB101,0)</f>
        <v>0</v>
      </c>
      <c r="BI101" s="137">
        <f>_xll.xSPRDOPT($BW101,$BV101,$CG101,2*LN(1+CA101/2),$BY101,$BX101,$BZ101,$AJ101,1,9)</f>
        <v>-0.1962573973095959</v>
      </c>
      <c r="BJ101" s="137">
        <f>_xll.xSPRDOPT($BW101,$BV101,$CG101,0,$BY101,$BX101,$BZ101,$AJ101,1,6)*$CB101</f>
        <v>0</v>
      </c>
      <c r="BK101" s="137">
        <f>_xll.xSPRDOPT($BW101,$BV101,$CG101,0,$BY101,$BX101,$BZ101,$AJ101,1,5)*$CB101</f>
        <v>0</v>
      </c>
      <c r="BL101" s="137">
        <f>_xll.xSPRDOPT(BW101,BV101,CG101,0,BY101,BX101,BZ101,AJ101,1,2)*CB101</f>
        <v>0</v>
      </c>
      <c r="BM101" s="137">
        <f>_xll.xSPRDOPT(BW101,BV101,CG101,0,BY101,BX101,BZ101,AJ101,1,1)*CB101</f>
        <v>0</v>
      </c>
      <c r="BN101" s="137">
        <f>IF(AH101&lt;&gt;0,_xll.xSPRDOPT($BW101,$BV101,$CG101,2*LN(1+CA101/2),$BY101,$BX101,$BZ101,$AJ101,1,8)+(AJ101/365.25)*CH101/AH101,0)</f>
        <v>0</v>
      </c>
      <c r="BO101" s="137">
        <f>_xll.xSPRDOPT($BW101,$BV101,$CG101,0,$BY101,$BX101,$BZ101,$AJ101,1,0)</f>
        <v>0.98844982808400417</v>
      </c>
      <c r="BP101" s="137"/>
      <c r="BQ101" s="137"/>
      <c r="BR101" s="137"/>
      <c r="BS101" s="137"/>
      <c r="BV101" s="262">
        <v>3.4457831325301203</v>
      </c>
      <c r="BW101" s="136">
        <v>3.4670000000000001</v>
      </c>
      <c r="BX101" s="137">
        <v>0.37</v>
      </c>
      <c r="BY101" s="137">
        <v>0.37</v>
      </c>
      <c r="BZ101" s="137">
        <v>0</v>
      </c>
      <c r="CA101" s="137">
        <v>3.4836153967131397E-2</v>
      </c>
      <c r="CB101" s="137">
        <v>0</v>
      </c>
      <c r="CC101" s="258">
        <v>0</v>
      </c>
      <c r="CD101" s="258">
        <v>0.03</v>
      </c>
      <c r="CE101" s="258">
        <v>6.5000000000000002E-2</v>
      </c>
      <c r="CF101" s="258">
        <v>0</v>
      </c>
      <c r="CG101" s="258">
        <v>5.9999999999999995E-4</v>
      </c>
      <c r="CH101" s="258">
        <v>0</v>
      </c>
      <c r="CI101" s="258">
        <v>3.4020000000000001</v>
      </c>
      <c r="CJ101" s="258"/>
      <c r="CK101" s="258"/>
      <c r="CL101" s="258"/>
      <c r="CM101" s="258"/>
    </row>
    <row r="102" spans="1:91" x14ac:dyDescent="0.25">
      <c r="A102" s="723"/>
      <c r="B102" s="723"/>
      <c r="D102" s="31">
        <f t="shared" si="69"/>
        <v>37940</v>
      </c>
      <c r="F102" s="28">
        <f t="shared" si="53"/>
        <v>27600</v>
      </c>
      <c r="G102" s="28">
        <f t="shared" si="54"/>
        <v>0</v>
      </c>
      <c r="H102" s="52">
        <f t="shared" si="55"/>
        <v>3.4457831325301203</v>
      </c>
      <c r="I102" s="52">
        <f t="shared" si="56"/>
        <v>3.4670000000000001</v>
      </c>
      <c r="K102" s="52">
        <f t="shared" si="70"/>
        <v>0</v>
      </c>
      <c r="L102" s="135">
        <f t="shared" si="71"/>
        <v>0</v>
      </c>
      <c r="N102" s="131">
        <f t="shared" si="72"/>
        <v>0.37</v>
      </c>
      <c r="O102" s="131">
        <f t="shared" si="73"/>
        <v>0.37</v>
      </c>
      <c r="P102" s="55">
        <f t="shared" si="74"/>
        <v>0</v>
      </c>
      <c r="Q102" s="135">
        <f>_xll.xSPRDOPT(I102,H102,AQ102,0,O102,N102,P102,D102-$G$5,1,0)*AH102*AU102</f>
        <v>0</v>
      </c>
      <c r="R102" s="135"/>
      <c r="S102" s="181">
        <f>_xll.xSPRDOPT(I102,H102,AQ102,AT102,O102,N102,P102,D102-$G$5,1,2)*AF102*(F102/(1-AR102))*AH102</f>
        <v>0</v>
      </c>
      <c r="T102" s="181">
        <f>_xll.xSPRDOPT(I102,H102,AQ102,AT102,O102,N102,P102,D102-$G$5,1,1)*AF102*F102*AH102</f>
        <v>0</v>
      </c>
      <c r="U102" s="135"/>
      <c r="V102" s="146">
        <f t="shared" si="57"/>
        <v>0</v>
      </c>
      <c r="W102" s="146"/>
      <c r="X102" s="338">
        <f t="shared" si="58"/>
        <v>0</v>
      </c>
      <c r="Y102" s="338">
        <f t="shared" si="18"/>
        <v>0</v>
      </c>
      <c r="Z102" s="338">
        <f t="shared" si="19"/>
        <v>0</v>
      </c>
      <c r="AA102" s="338">
        <f t="shared" si="20"/>
        <v>0</v>
      </c>
      <c r="AB102" s="338">
        <f t="shared" si="59"/>
        <v>0</v>
      </c>
      <c r="AC102" s="338">
        <f t="shared" si="60"/>
        <v>0</v>
      </c>
      <c r="AF102" s="138">
        <f t="shared" si="61"/>
        <v>0</v>
      </c>
      <c r="AG102" s="138">
        <f t="shared" si="62"/>
        <v>11</v>
      </c>
      <c r="AH102" s="138">
        <f t="shared" si="63"/>
        <v>0</v>
      </c>
      <c r="AI102" s="138">
        <f t="shared" si="75"/>
        <v>684</v>
      </c>
      <c r="AJ102" s="138">
        <f t="shared" si="64"/>
        <v>701</v>
      </c>
      <c r="AL102" s="136">
        <f t="shared" si="27"/>
        <v>3.4020000000000001</v>
      </c>
      <c r="AM102" s="258">
        <f t="shared" si="48"/>
        <v>0</v>
      </c>
      <c r="AN102" s="258">
        <f t="shared" si="28"/>
        <v>0.03</v>
      </c>
      <c r="AO102" s="258">
        <f t="shared" si="29"/>
        <v>6.5000000000000002E-2</v>
      </c>
      <c r="AP102" s="258">
        <f t="shared" si="30"/>
        <v>0</v>
      </c>
      <c r="AQ102" s="136">
        <f t="shared" si="65"/>
        <v>5.9999999999999995E-4</v>
      </c>
      <c r="AR102" s="137">
        <f t="shared" si="32"/>
        <v>4.0000000000000001E-3</v>
      </c>
      <c r="AS102" s="136">
        <f t="shared" si="76"/>
        <v>3.4319999999999999</v>
      </c>
      <c r="AT102" s="137">
        <f t="shared" si="66"/>
        <v>3.4836153967131397E-2</v>
      </c>
      <c r="AU102" s="137">
        <f t="shared" si="34"/>
        <v>0</v>
      </c>
      <c r="AV102" s="394">
        <f t="shared" si="77"/>
        <v>0</v>
      </c>
      <c r="AW102" s="137">
        <f t="shared" si="35"/>
        <v>0.37</v>
      </c>
      <c r="AX102" s="137">
        <f t="shared" si="36"/>
        <v>0.93</v>
      </c>
      <c r="AY102" s="137">
        <f t="shared" si="37"/>
        <v>0.83</v>
      </c>
      <c r="AZ102" s="137"/>
      <c r="BA102" s="264"/>
      <c r="BB102" s="258">
        <f t="shared" si="38"/>
        <v>0</v>
      </c>
      <c r="BC102" s="258">
        <f t="shared" si="67"/>
        <v>0</v>
      </c>
      <c r="BD102" s="137">
        <f t="shared" si="68"/>
        <v>0</v>
      </c>
      <c r="BE102" s="137">
        <f t="shared" si="68"/>
        <v>0</v>
      </c>
      <c r="BF102" s="137">
        <f>_xll.xSPRDOPT($BW102,$BV102,$CG102,0,$BY102,$BX102,$BZ102,$AJ102,1,4)*$CB102</f>
        <v>0</v>
      </c>
      <c r="BG102" s="137">
        <f>_xll.xSPRDOPT($BW102,$BV102,$CG102,0,$BY102,$BX102,$BZ102,$AJ102,1,3)*$CB102</f>
        <v>0</v>
      </c>
      <c r="BH102" s="137">
        <f>IF(OR(BF102&lt;&gt;0,BG102&lt;&gt;0),_xll.xSPRDOPT($BW102,$BV102,$CG102,0,$BY102,$BX102,$BZ102,$AJ102,1,12)*$CB102,0)</f>
        <v>0</v>
      </c>
      <c r="BI102" s="137">
        <f>_xll.xSPRDOPT($BW102,$BV102,$CG102,2*LN(1+CA102/2),$BY102,$BX102,$BZ102,$AJ102,1,9)</f>
        <v>-0.1962573973095959</v>
      </c>
      <c r="BJ102" s="137">
        <f>_xll.xSPRDOPT($BW102,$BV102,$CG102,0,$BY102,$BX102,$BZ102,$AJ102,1,6)*$CB102</f>
        <v>0</v>
      </c>
      <c r="BK102" s="137">
        <f>_xll.xSPRDOPT($BW102,$BV102,$CG102,0,$BY102,$BX102,$BZ102,$AJ102,1,5)*$CB102</f>
        <v>0</v>
      </c>
      <c r="BL102" s="137">
        <f>_xll.xSPRDOPT(BW102,BV102,CG102,0,BY102,BX102,BZ102,AJ102,1,2)*CB102</f>
        <v>0</v>
      </c>
      <c r="BM102" s="137">
        <f>_xll.xSPRDOPT(BW102,BV102,CG102,0,BY102,BX102,BZ102,AJ102,1,1)*CB102</f>
        <v>0</v>
      </c>
      <c r="BN102" s="137">
        <f>IF(AH102&lt;&gt;0,_xll.xSPRDOPT($BW102,$BV102,$CG102,2*LN(1+CA102/2),$BY102,$BX102,$BZ102,$AJ102,1,8)+(AJ102/365.25)*CH102/AH102,0)</f>
        <v>0</v>
      </c>
      <c r="BO102" s="137">
        <f>_xll.xSPRDOPT($BW102,$BV102,$CG102,0,$BY102,$BX102,$BZ102,$AJ102,1,0)</f>
        <v>0.98844982808400417</v>
      </c>
      <c r="BP102" s="137"/>
      <c r="BQ102" s="137"/>
      <c r="BR102" s="137"/>
      <c r="BS102" s="137"/>
      <c r="BV102" s="262">
        <v>3.4457831325301203</v>
      </c>
      <c r="BW102" s="136">
        <v>3.4670000000000001</v>
      </c>
      <c r="BX102" s="137">
        <v>0.37</v>
      </c>
      <c r="BY102" s="137">
        <v>0.37</v>
      </c>
      <c r="BZ102" s="137">
        <v>0</v>
      </c>
      <c r="CA102" s="137">
        <v>3.4836153967131397E-2</v>
      </c>
      <c r="CB102" s="137">
        <v>0</v>
      </c>
      <c r="CC102" s="258">
        <v>0</v>
      </c>
      <c r="CD102" s="258">
        <v>0.03</v>
      </c>
      <c r="CE102" s="258">
        <v>6.5000000000000002E-2</v>
      </c>
      <c r="CF102" s="258">
        <v>0</v>
      </c>
      <c r="CG102" s="258">
        <v>5.9999999999999995E-4</v>
      </c>
      <c r="CH102" s="258">
        <v>0</v>
      </c>
      <c r="CI102" s="258">
        <v>3.4020000000000001</v>
      </c>
      <c r="CJ102" s="258"/>
      <c r="CK102" s="258"/>
      <c r="CL102" s="258"/>
      <c r="CM102" s="258"/>
    </row>
    <row r="103" spans="1:91" x14ac:dyDescent="0.25">
      <c r="A103" s="723"/>
      <c r="B103" s="723"/>
      <c r="D103" s="31">
        <f t="shared" si="69"/>
        <v>37940</v>
      </c>
      <c r="F103" s="28">
        <f t="shared" si="53"/>
        <v>27600</v>
      </c>
      <c r="G103" s="28">
        <f t="shared" si="54"/>
        <v>0</v>
      </c>
      <c r="H103" s="52">
        <f t="shared" si="55"/>
        <v>3.4457831325301203</v>
      </c>
      <c r="I103" s="52">
        <f t="shared" si="56"/>
        <v>3.4670000000000001</v>
      </c>
      <c r="K103" s="52">
        <f t="shared" si="70"/>
        <v>0</v>
      </c>
      <c r="L103" s="135">
        <f t="shared" si="71"/>
        <v>0</v>
      </c>
      <c r="N103" s="131">
        <f t="shared" si="72"/>
        <v>0.37</v>
      </c>
      <c r="O103" s="131">
        <f t="shared" si="73"/>
        <v>0.37</v>
      </c>
      <c r="P103" s="55">
        <f t="shared" si="74"/>
        <v>0</v>
      </c>
      <c r="Q103" s="135">
        <f>_xll.xSPRDOPT(I103,H103,AQ103,0,O103,N103,P103,D103-$G$5,1,0)*AH103*AU103</f>
        <v>0</v>
      </c>
      <c r="R103" s="135"/>
      <c r="S103" s="181">
        <f>_xll.xSPRDOPT(I103,H103,AQ103,AT103,O103,N103,P103,D103-$G$5,1,2)*AF103*(F103/(1-AR103))*AH103</f>
        <v>0</v>
      </c>
      <c r="T103" s="181">
        <f>_xll.xSPRDOPT(I103,H103,AQ103,AT103,O103,N103,P103,D103-$G$5,1,1)*AF103*F103*AH103</f>
        <v>0</v>
      </c>
      <c r="U103" s="135"/>
      <c r="V103" s="146">
        <f t="shared" si="57"/>
        <v>0</v>
      </c>
      <c r="W103" s="146"/>
      <c r="X103" s="338">
        <f t="shared" si="58"/>
        <v>0</v>
      </c>
      <c r="Y103" s="338">
        <f t="shared" si="18"/>
        <v>0</v>
      </c>
      <c r="Z103" s="338">
        <f t="shared" si="19"/>
        <v>0</v>
      </c>
      <c r="AA103" s="338">
        <f t="shared" si="20"/>
        <v>0</v>
      </c>
      <c r="AB103" s="338">
        <f t="shared" si="59"/>
        <v>0</v>
      </c>
      <c r="AC103" s="338">
        <f t="shared" si="60"/>
        <v>0</v>
      </c>
      <c r="AF103" s="138">
        <f t="shared" si="61"/>
        <v>0</v>
      </c>
      <c r="AG103" s="138">
        <f t="shared" si="62"/>
        <v>11</v>
      </c>
      <c r="AH103" s="138">
        <f t="shared" si="63"/>
        <v>0</v>
      </c>
      <c r="AI103" s="138">
        <f t="shared" si="75"/>
        <v>684</v>
      </c>
      <c r="AJ103" s="138">
        <f t="shared" si="64"/>
        <v>701</v>
      </c>
      <c r="AL103" s="136">
        <f t="shared" si="27"/>
        <v>3.4020000000000001</v>
      </c>
      <c r="AM103" s="258">
        <f t="shared" si="48"/>
        <v>0</v>
      </c>
      <c r="AN103" s="258">
        <f t="shared" si="28"/>
        <v>0.03</v>
      </c>
      <c r="AO103" s="258">
        <f t="shared" si="29"/>
        <v>6.5000000000000002E-2</v>
      </c>
      <c r="AP103" s="258">
        <f t="shared" si="30"/>
        <v>0</v>
      </c>
      <c r="AQ103" s="136">
        <f t="shared" si="65"/>
        <v>5.9999999999999995E-4</v>
      </c>
      <c r="AR103" s="137">
        <f t="shared" si="32"/>
        <v>4.0000000000000001E-3</v>
      </c>
      <c r="AS103" s="136">
        <f t="shared" si="76"/>
        <v>3.4319999999999999</v>
      </c>
      <c r="AT103" s="137">
        <f t="shared" si="66"/>
        <v>3.4836153967131397E-2</v>
      </c>
      <c r="AU103" s="137">
        <f t="shared" si="34"/>
        <v>0</v>
      </c>
      <c r="AV103" s="394">
        <f t="shared" si="77"/>
        <v>0</v>
      </c>
      <c r="AW103" s="137">
        <f t="shared" si="35"/>
        <v>0.37</v>
      </c>
      <c r="AX103" s="137">
        <f t="shared" si="36"/>
        <v>0.93</v>
      </c>
      <c r="AY103" s="137">
        <f t="shared" si="37"/>
        <v>0.83</v>
      </c>
      <c r="AZ103" s="137"/>
      <c r="BA103" s="264"/>
      <c r="BB103" s="258">
        <f t="shared" si="38"/>
        <v>0</v>
      </c>
      <c r="BC103" s="258">
        <f t="shared" si="67"/>
        <v>0</v>
      </c>
      <c r="BD103" s="137">
        <f t="shared" si="68"/>
        <v>0</v>
      </c>
      <c r="BE103" s="137">
        <f t="shared" si="68"/>
        <v>0</v>
      </c>
      <c r="BF103" s="137">
        <f>_xll.xSPRDOPT($BW103,$BV103,$CG103,0,$BY103,$BX103,$BZ103,$AJ103,1,4)*$CB103</f>
        <v>0</v>
      </c>
      <c r="BG103" s="137">
        <f>_xll.xSPRDOPT($BW103,$BV103,$CG103,0,$BY103,$BX103,$BZ103,$AJ103,1,3)*$CB103</f>
        <v>0</v>
      </c>
      <c r="BH103" s="137">
        <f>IF(OR(BF103&lt;&gt;0,BG103&lt;&gt;0),_xll.xSPRDOPT($BW103,$BV103,$CG103,0,$BY103,$BX103,$BZ103,$AJ103,1,12)*$CB103,0)</f>
        <v>0</v>
      </c>
      <c r="BI103" s="137">
        <f>_xll.xSPRDOPT($BW103,$BV103,$CG103,2*LN(1+CA103/2),$BY103,$BX103,$BZ103,$AJ103,1,9)</f>
        <v>-0.1962573973095959</v>
      </c>
      <c r="BJ103" s="137">
        <f>_xll.xSPRDOPT($BW103,$BV103,$CG103,0,$BY103,$BX103,$BZ103,$AJ103,1,6)*$CB103</f>
        <v>0</v>
      </c>
      <c r="BK103" s="137">
        <f>_xll.xSPRDOPT($BW103,$BV103,$CG103,0,$BY103,$BX103,$BZ103,$AJ103,1,5)*$CB103</f>
        <v>0</v>
      </c>
      <c r="BL103" s="137">
        <f>_xll.xSPRDOPT(BW103,BV103,CG103,0,BY103,BX103,BZ103,AJ103,1,2)*CB103</f>
        <v>0</v>
      </c>
      <c r="BM103" s="137">
        <f>_xll.xSPRDOPT(BW103,BV103,CG103,0,BY103,BX103,BZ103,AJ103,1,1)*CB103</f>
        <v>0</v>
      </c>
      <c r="BN103" s="137">
        <f>IF(AH103&lt;&gt;0,_xll.xSPRDOPT($BW103,$BV103,$CG103,2*LN(1+CA103/2),$BY103,$BX103,$BZ103,$AJ103,1,8)+(AJ103/365.25)*CH103/AH103,0)</f>
        <v>0</v>
      </c>
      <c r="BO103" s="137">
        <f>_xll.xSPRDOPT($BW103,$BV103,$CG103,0,$BY103,$BX103,$BZ103,$AJ103,1,0)</f>
        <v>0.98844982808400417</v>
      </c>
      <c r="BP103" s="137"/>
      <c r="BQ103" s="137"/>
      <c r="BR103" s="137"/>
      <c r="BS103" s="137"/>
      <c r="BV103" s="262">
        <v>3.4457831325301203</v>
      </c>
      <c r="BW103" s="136">
        <v>3.4670000000000001</v>
      </c>
      <c r="BX103" s="137">
        <v>0.37</v>
      </c>
      <c r="BY103" s="137">
        <v>0.37</v>
      </c>
      <c r="BZ103" s="137">
        <v>0</v>
      </c>
      <c r="CA103" s="137">
        <v>3.4836153967131397E-2</v>
      </c>
      <c r="CB103" s="137">
        <v>0</v>
      </c>
      <c r="CC103" s="258">
        <v>0</v>
      </c>
      <c r="CD103" s="258">
        <v>0.03</v>
      </c>
      <c r="CE103" s="258">
        <v>6.5000000000000002E-2</v>
      </c>
      <c r="CF103" s="258">
        <v>0</v>
      </c>
      <c r="CG103" s="258">
        <v>5.9999999999999995E-4</v>
      </c>
      <c r="CH103" s="258">
        <v>0</v>
      </c>
      <c r="CI103" s="258">
        <v>3.4020000000000001</v>
      </c>
      <c r="CJ103" s="258"/>
      <c r="CK103" s="258"/>
      <c r="CL103" s="258"/>
      <c r="CM103" s="258"/>
    </row>
    <row r="104" spans="1:91" x14ac:dyDescent="0.25">
      <c r="A104" s="723"/>
      <c r="B104" s="723"/>
      <c r="D104" s="31">
        <f t="shared" si="69"/>
        <v>37940</v>
      </c>
      <c r="F104" s="28">
        <f t="shared" si="53"/>
        <v>27600</v>
      </c>
      <c r="G104" s="28">
        <f t="shared" si="54"/>
        <v>0</v>
      </c>
      <c r="H104" s="52">
        <f t="shared" si="55"/>
        <v>3.4457831325301203</v>
      </c>
      <c r="I104" s="52">
        <f t="shared" si="56"/>
        <v>3.4670000000000001</v>
      </c>
      <c r="K104" s="52">
        <f t="shared" si="70"/>
        <v>0</v>
      </c>
      <c r="L104" s="135">
        <f t="shared" si="71"/>
        <v>0</v>
      </c>
      <c r="N104" s="131">
        <f t="shared" si="72"/>
        <v>0.37</v>
      </c>
      <c r="O104" s="131">
        <f t="shared" si="73"/>
        <v>0.37</v>
      </c>
      <c r="P104" s="55">
        <f t="shared" si="74"/>
        <v>0</v>
      </c>
      <c r="Q104" s="135">
        <f>_xll.xSPRDOPT(I104,H104,AQ104,0,O104,N104,P104,D104-$G$5,1,0)*AH104*AU104</f>
        <v>0</v>
      </c>
      <c r="R104" s="135"/>
      <c r="S104" s="181">
        <f>_xll.xSPRDOPT(I104,H104,AQ104,AT104,O104,N104,P104,D104-$G$5,1,2)*AF104*(F104/(1-AR104))*AH104</f>
        <v>0</v>
      </c>
      <c r="T104" s="181">
        <f>_xll.xSPRDOPT(I104,H104,AQ104,AT104,O104,N104,P104,D104-$G$5,1,1)*AF104*F104*AH104</f>
        <v>0</v>
      </c>
      <c r="U104" s="135"/>
      <c r="V104" s="146">
        <f t="shared" si="57"/>
        <v>0</v>
      </c>
      <c r="W104" s="146"/>
      <c r="X104" s="338">
        <f t="shared" si="58"/>
        <v>0</v>
      </c>
      <c r="Y104" s="338">
        <f t="shared" si="18"/>
        <v>0</v>
      </c>
      <c r="Z104" s="338">
        <f t="shared" si="19"/>
        <v>0</v>
      </c>
      <c r="AA104" s="338">
        <f t="shared" si="20"/>
        <v>0</v>
      </c>
      <c r="AB104" s="338">
        <f t="shared" si="59"/>
        <v>0</v>
      </c>
      <c r="AC104" s="338">
        <f t="shared" si="60"/>
        <v>0</v>
      </c>
      <c r="AF104" s="138">
        <f t="shared" si="61"/>
        <v>0</v>
      </c>
      <c r="AG104" s="138">
        <f t="shared" si="62"/>
        <v>11</v>
      </c>
      <c r="AH104" s="138">
        <f t="shared" si="63"/>
        <v>0</v>
      </c>
      <c r="AI104" s="138">
        <f t="shared" si="75"/>
        <v>684</v>
      </c>
      <c r="AJ104" s="138">
        <f t="shared" si="64"/>
        <v>701</v>
      </c>
      <c r="AL104" s="136">
        <f t="shared" si="27"/>
        <v>3.4020000000000001</v>
      </c>
      <c r="AM104" s="258">
        <f t="shared" si="48"/>
        <v>0</v>
      </c>
      <c r="AN104" s="258">
        <f t="shared" si="28"/>
        <v>0.03</v>
      </c>
      <c r="AO104" s="258">
        <f t="shared" si="29"/>
        <v>6.5000000000000002E-2</v>
      </c>
      <c r="AP104" s="258">
        <f t="shared" si="30"/>
        <v>0</v>
      </c>
      <c r="AQ104" s="136">
        <f t="shared" si="65"/>
        <v>5.9999999999999995E-4</v>
      </c>
      <c r="AR104" s="137">
        <f t="shared" si="32"/>
        <v>4.0000000000000001E-3</v>
      </c>
      <c r="AS104" s="136">
        <f t="shared" si="76"/>
        <v>3.4319999999999999</v>
      </c>
      <c r="AT104" s="137">
        <f t="shared" si="66"/>
        <v>3.4836153967131397E-2</v>
      </c>
      <c r="AU104" s="137">
        <f t="shared" si="34"/>
        <v>0</v>
      </c>
      <c r="AV104" s="394">
        <f t="shared" si="77"/>
        <v>0</v>
      </c>
      <c r="AW104" s="137">
        <f t="shared" si="35"/>
        <v>0.37</v>
      </c>
      <c r="AX104" s="137">
        <f t="shared" si="36"/>
        <v>0.93</v>
      </c>
      <c r="AY104" s="137">
        <f t="shared" si="37"/>
        <v>0.83</v>
      </c>
      <c r="AZ104" s="137"/>
      <c r="BA104" s="264"/>
      <c r="BB104" s="258">
        <f t="shared" si="38"/>
        <v>0</v>
      </c>
      <c r="BC104" s="258">
        <f t="shared" si="67"/>
        <v>0</v>
      </c>
      <c r="BD104" s="137">
        <f t="shared" si="68"/>
        <v>0</v>
      </c>
      <c r="BE104" s="137">
        <f t="shared" si="68"/>
        <v>0</v>
      </c>
      <c r="BF104" s="137">
        <f>_xll.xSPRDOPT($BW104,$BV104,$CG104,0,$BY104,$BX104,$BZ104,$AJ104,1,4)*$CB104</f>
        <v>0</v>
      </c>
      <c r="BG104" s="137">
        <f>_xll.xSPRDOPT($BW104,$BV104,$CG104,0,$BY104,$BX104,$BZ104,$AJ104,1,3)*$CB104</f>
        <v>0</v>
      </c>
      <c r="BH104" s="137">
        <f>IF(OR(BF104&lt;&gt;0,BG104&lt;&gt;0),_xll.xSPRDOPT($BW104,$BV104,$CG104,0,$BY104,$BX104,$BZ104,$AJ104,1,12)*$CB104,0)</f>
        <v>0</v>
      </c>
      <c r="BI104" s="137">
        <f>_xll.xSPRDOPT($BW104,$BV104,$CG104,2*LN(1+CA104/2),$BY104,$BX104,$BZ104,$AJ104,1,9)</f>
        <v>-0.1962573973095959</v>
      </c>
      <c r="BJ104" s="137">
        <f>_xll.xSPRDOPT($BW104,$BV104,$CG104,0,$BY104,$BX104,$BZ104,$AJ104,1,6)*$CB104</f>
        <v>0</v>
      </c>
      <c r="BK104" s="137">
        <f>_xll.xSPRDOPT($BW104,$BV104,$CG104,0,$BY104,$BX104,$BZ104,$AJ104,1,5)*$CB104</f>
        <v>0</v>
      </c>
      <c r="BL104" s="137">
        <f>_xll.xSPRDOPT(BW104,BV104,CG104,0,BY104,BX104,BZ104,AJ104,1,2)*CB104</f>
        <v>0</v>
      </c>
      <c r="BM104" s="137">
        <f>_xll.xSPRDOPT(BW104,BV104,CG104,0,BY104,BX104,BZ104,AJ104,1,1)*CB104</f>
        <v>0</v>
      </c>
      <c r="BN104" s="137">
        <f>IF(AH104&lt;&gt;0,_xll.xSPRDOPT($BW104,$BV104,$CG104,2*LN(1+CA104/2),$BY104,$BX104,$BZ104,$AJ104,1,8)+(AJ104/365.25)*CH104/AH104,0)</f>
        <v>0</v>
      </c>
      <c r="BO104" s="137">
        <f>_xll.xSPRDOPT($BW104,$BV104,$CG104,0,$BY104,$BX104,$BZ104,$AJ104,1,0)</f>
        <v>0.98844982808400417</v>
      </c>
      <c r="BP104" s="137"/>
      <c r="BQ104" s="137"/>
      <c r="BR104" s="137"/>
      <c r="BS104" s="137"/>
      <c r="BV104" s="262">
        <v>3.4457831325301203</v>
      </c>
      <c r="BW104" s="136">
        <v>3.4670000000000001</v>
      </c>
      <c r="BX104" s="137">
        <v>0.37</v>
      </c>
      <c r="BY104" s="137">
        <v>0.37</v>
      </c>
      <c r="BZ104" s="137">
        <v>0</v>
      </c>
      <c r="CA104" s="137">
        <v>3.4836153967131397E-2</v>
      </c>
      <c r="CB104" s="137">
        <v>0</v>
      </c>
      <c r="CC104" s="258">
        <v>0</v>
      </c>
      <c r="CD104" s="258">
        <v>0.03</v>
      </c>
      <c r="CE104" s="258">
        <v>6.5000000000000002E-2</v>
      </c>
      <c r="CF104" s="258">
        <v>0</v>
      </c>
      <c r="CG104" s="258">
        <v>5.9999999999999995E-4</v>
      </c>
      <c r="CH104" s="258">
        <v>0</v>
      </c>
      <c r="CI104" s="258">
        <v>3.4020000000000001</v>
      </c>
      <c r="CJ104" s="258"/>
      <c r="CK104" s="258"/>
      <c r="CL104" s="258"/>
      <c r="CM104" s="258"/>
    </row>
    <row r="105" spans="1:91" x14ac:dyDescent="0.25">
      <c r="A105" s="723"/>
      <c r="B105" s="723"/>
      <c r="D105" s="31">
        <f t="shared" si="69"/>
        <v>37940</v>
      </c>
      <c r="F105" s="28">
        <f t="shared" si="53"/>
        <v>27600</v>
      </c>
      <c r="G105" s="28">
        <f t="shared" si="54"/>
        <v>0</v>
      </c>
      <c r="H105" s="52">
        <f t="shared" si="55"/>
        <v>3.4457831325301203</v>
      </c>
      <c r="I105" s="52">
        <f t="shared" si="56"/>
        <v>3.4670000000000001</v>
      </c>
      <c r="K105" s="52">
        <f t="shared" si="70"/>
        <v>0</v>
      </c>
      <c r="L105" s="135">
        <f t="shared" si="71"/>
        <v>0</v>
      </c>
      <c r="N105" s="131">
        <f t="shared" si="72"/>
        <v>0.37</v>
      </c>
      <c r="O105" s="131">
        <f t="shared" si="73"/>
        <v>0.37</v>
      </c>
      <c r="P105" s="55">
        <f t="shared" si="74"/>
        <v>0</v>
      </c>
      <c r="Q105" s="135">
        <f>_xll.xSPRDOPT(I105,H105,AQ105,0,O105,N105,P105,D105-$G$5,1,0)*AH105*AU105</f>
        <v>0</v>
      </c>
      <c r="R105" s="135"/>
      <c r="S105" s="181">
        <f>_xll.xSPRDOPT(I105,H105,AQ105,AT105,O105,N105,P105,D105-$G$5,1,2)*AF105*(F105/(1-AR105))*AH105</f>
        <v>0</v>
      </c>
      <c r="T105" s="181">
        <f>_xll.xSPRDOPT(I105,H105,AQ105,AT105,O105,N105,P105,D105-$G$5,1,1)*AF105*F105*AH105</f>
        <v>0</v>
      </c>
      <c r="U105" s="135"/>
      <c r="V105" s="146">
        <f t="shared" si="57"/>
        <v>0</v>
      </c>
      <c r="W105" s="146"/>
      <c r="X105" s="338">
        <f t="shared" si="58"/>
        <v>0</v>
      </c>
      <c r="Y105" s="338">
        <f t="shared" si="18"/>
        <v>0</v>
      </c>
      <c r="Z105" s="338">
        <f t="shared" si="19"/>
        <v>0</v>
      </c>
      <c r="AA105" s="338">
        <f t="shared" si="20"/>
        <v>0</v>
      </c>
      <c r="AB105" s="338">
        <f t="shared" si="59"/>
        <v>0</v>
      </c>
      <c r="AC105" s="338">
        <f t="shared" si="60"/>
        <v>0</v>
      </c>
      <c r="AF105" s="138">
        <f t="shared" si="61"/>
        <v>0</v>
      </c>
      <c r="AG105" s="138">
        <f t="shared" si="62"/>
        <v>11</v>
      </c>
      <c r="AH105" s="138">
        <f t="shared" si="63"/>
        <v>0</v>
      </c>
      <c r="AI105" s="138">
        <f t="shared" si="75"/>
        <v>684</v>
      </c>
      <c r="AJ105" s="138">
        <f t="shared" si="64"/>
        <v>701</v>
      </c>
      <c r="AL105" s="136">
        <f t="shared" si="27"/>
        <v>3.4020000000000001</v>
      </c>
      <c r="AM105" s="258">
        <f t="shared" si="48"/>
        <v>0</v>
      </c>
      <c r="AN105" s="258">
        <f t="shared" si="28"/>
        <v>0.03</v>
      </c>
      <c r="AO105" s="258">
        <f t="shared" si="29"/>
        <v>6.5000000000000002E-2</v>
      </c>
      <c r="AP105" s="258">
        <f t="shared" si="30"/>
        <v>0</v>
      </c>
      <c r="AQ105" s="136">
        <f t="shared" si="65"/>
        <v>5.9999999999999995E-4</v>
      </c>
      <c r="AR105" s="137">
        <f t="shared" si="32"/>
        <v>4.0000000000000001E-3</v>
      </c>
      <c r="AS105" s="136">
        <f t="shared" si="76"/>
        <v>3.4319999999999999</v>
      </c>
      <c r="AT105" s="137">
        <f t="shared" si="66"/>
        <v>3.4836153967131397E-2</v>
      </c>
      <c r="AU105" s="137">
        <f t="shared" si="34"/>
        <v>0</v>
      </c>
      <c r="AV105" s="394">
        <f t="shared" si="77"/>
        <v>0</v>
      </c>
      <c r="AW105" s="137">
        <f t="shared" si="35"/>
        <v>0.37</v>
      </c>
      <c r="AX105" s="137">
        <f t="shared" si="36"/>
        <v>0.93</v>
      </c>
      <c r="AY105" s="137">
        <f t="shared" si="37"/>
        <v>0.83</v>
      </c>
      <c r="AZ105" s="137"/>
      <c r="BA105" s="264"/>
      <c r="BB105" s="258">
        <f t="shared" si="38"/>
        <v>0</v>
      </c>
      <c r="BC105" s="258">
        <f t="shared" si="67"/>
        <v>0</v>
      </c>
      <c r="BD105" s="137">
        <f t="shared" si="68"/>
        <v>0</v>
      </c>
      <c r="BE105" s="137">
        <f t="shared" si="68"/>
        <v>0</v>
      </c>
      <c r="BF105" s="137">
        <f>_xll.xSPRDOPT($BW105,$BV105,$CG105,0,$BY105,$BX105,$BZ105,$AJ105,1,4)*$CB105</f>
        <v>0</v>
      </c>
      <c r="BG105" s="137">
        <f>_xll.xSPRDOPT($BW105,$BV105,$CG105,0,$BY105,$BX105,$BZ105,$AJ105,1,3)*$CB105</f>
        <v>0</v>
      </c>
      <c r="BH105" s="137">
        <f>IF(OR(BF105&lt;&gt;0,BG105&lt;&gt;0),_xll.xSPRDOPT($BW105,$BV105,$CG105,0,$BY105,$BX105,$BZ105,$AJ105,1,12)*$CB105,0)</f>
        <v>0</v>
      </c>
      <c r="BI105" s="137">
        <f>_xll.xSPRDOPT($BW105,$BV105,$CG105,2*LN(1+CA105/2),$BY105,$BX105,$BZ105,$AJ105,1,9)</f>
        <v>-0.1962573973095959</v>
      </c>
      <c r="BJ105" s="137">
        <f>_xll.xSPRDOPT($BW105,$BV105,$CG105,0,$BY105,$BX105,$BZ105,$AJ105,1,6)*$CB105</f>
        <v>0</v>
      </c>
      <c r="BK105" s="137">
        <f>_xll.xSPRDOPT($BW105,$BV105,$CG105,0,$BY105,$BX105,$BZ105,$AJ105,1,5)*$CB105</f>
        <v>0</v>
      </c>
      <c r="BL105" s="137">
        <f>_xll.xSPRDOPT(BW105,BV105,CG105,0,BY105,BX105,BZ105,AJ105,1,2)*CB105</f>
        <v>0</v>
      </c>
      <c r="BM105" s="137">
        <f>_xll.xSPRDOPT(BW105,BV105,CG105,0,BY105,BX105,BZ105,AJ105,1,1)*CB105</f>
        <v>0</v>
      </c>
      <c r="BN105" s="137">
        <f>IF(AH105&lt;&gt;0,_xll.xSPRDOPT($BW105,$BV105,$CG105,2*LN(1+CA105/2),$BY105,$BX105,$BZ105,$AJ105,1,8)+(AJ105/365.25)*CH105/AH105,0)</f>
        <v>0</v>
      </c>
      <c r="BO105" s="137">
        <f>_xll.xSPRDOPT($BW105,$BV105,$CG105,0,$BY105,$BX105,$BZ105,$AJ105,1,0)</f>
        <v>0.98844982808400417</v>
      </c>
      <c r="BP105" s="137"/>
      <c r="BQ105" s="137"/>
      <c r="BR105" s="137"/>
      <c r="BS105" s="137"/>
      <c r="BV105" s="262">
        <v>3.4457831325301203</v>
      </c>
      <c r="BW105" s="136">
        <v>3.4670000000000001</v>
      </c>
      <c r="BX105" s="137">
        <v>0.37</v>
      </c>
      <c r="BY105" s="137">
        <v>0.37</v>
      </c>
      <c r="BZ105" s="137">
        <v>0</v>
      </c>
      <c r="CA105" s="137">
        <v>3.4836153967131397E-2</v>
      </c>
      <c r="CB105" s="137">
        <v>0</v>
      </c>
      <c r="CC105" s="258">
        <v>0</v>
      </c>
      <c r="CD105" s="258">
        <v>0.03</v>
      </c>
      <c r="CE105" s="258">
        <v>6.5000000000000002E-2</v>
      </c>
      <c r="CF105" s="258">
        <v>0</v>
      </c>
      <c r="CG105" s="258">
        <v>5.9999999999999995E-4</v>
      </c>
      <c r="CH105" s="258">
        <v>0</v>
      </c>
      <c r="CI105" s="258">
        <v>3.4020000000000001</v>
      </c>
      <c r="CJ105" s="258"/>
      <c r="CK105" s="258"/>
      <c r="CL105" s="258"/>
      <c r="CM105" s="258"/>
    </row>
    <row r="106" spans="1:91" x14ac:dyDescent="0.25">
      <c r="A106" s="723"/>
      <c r="B106" s="723"/>
      <c r="D106" s="31">
        <f t="shared" si="69"/>
        <v>37940</v>
      </c>
      <c r="F106" s="28">
        <f t="shared" si="53"/>
        <v>27600</v>
      </c>
      <c r="G106" s="28">
        <f t="shared" si="54"/>
        <v>0</v>
      </c>
      <c r="H106" s="52">
        <f t="shared" si="55"/>
        <v>3.4457831325301203</v>
      </c>
      <c r="I106" s="52">
        <f t="shared" si="56"/>
        <v>3.4670000000000001</v>
      </c>
      <c r="K106" s="52">
        <f t="shared" si="70"/>
        <v>0</v>
      </c>
      <c r="L106" s="135">
        <f t="shared" si="71"/>
        <v>0</v>
      </c>
      <c r="N106" s="131">
        <f t="shared" si="72"/>
        <v>0.37</v>
      </c>
      <c r="O106" s="131">
        <f t="shared" si="73"/>
        <v>0.37</v>
      </c>
      <c r="P106" s="55">
        <f t="shared" si="74"/>
        <v>0</v>
      </c>
      <c r="Q106" s="135">
        <f>_xll.xSPRDOPT(I106,H106,AQ106,0,O106,N106,P106,D106-$G$5,1,0)*AH106*AU106</f>
        <v>0</v>
      </c>
      <c r="R106" s="135"/>
      <c r="S106" s="181">
        <f>_xll.xSPRDOPT(I106,H106,AQ106,AT106,O106,N106,P106,D106-$G$5,1,2)*AF106*(F106/(1-AR106))*AH106</f>
        <v>0</v>
      </c>
      <c r="T106" s="181">
        <f>_xll.xSPRDOPT(I106,H106,AQ106,AT106,O106,N106,P106,D106-$G$5,1,1)*AF106*F106*AH106</f>
        <v>0</v>
      </c>
      <c r="U106" s="135"/>
      <c r="V106" s="146">
        <f t="shared" si="57"/>
        <v>0</v>
      </c>
      <c r="W106" s="146"/>
      <c r="X106" s="338">
        <f t="shared" si="58"/>
        <v>0</v>
      </c>
      <c r="Y106" s="338">
        <f t="shared" si="18"/>
        <v>0</v>
      </c>
      <c r="Z106" s="338">
        <f t="shared" si="19"/>
        <v>0</v>
      </c>
      <c r="AA106" s="338">
        <f t="shared" si="20"/>
        <v>0</v>
      </c>
      <c r="AB106" s="338">
        <f t="shared" si="59"/>
        <v>0</v>
      </c>
      <c r="AC106" s="338">
        <f t="shared" si="60"/>
        <v>0</v>
      </c>
      <c r="AF106" s="138">
        <f t="shared" si="61"/>
        <v>0</v>
      </c>
      <c r="AG106" s="138">
        <f t="shared" si="62"/>
        <v>11</v>
      </c>
      <c r="AH106" s="138">
        <f t="shared" si="63"/>
        <v>0</v>
      </c>
      <c r="AI106" s="138">
        <f t="shared" si="75"/>
        <v>684</v>
      </c>
      <c r="AJ106" s="138">
        <f t="shared" si="64"/>
        <v>701</v>
      </c>
      <c r="AL106" s="136">
        <f t="shared" si="27"/>
        <v>3.4020000000000001</v>
      </c>
      <c r="AM106" s="258">
        <f t="shared" si="48"/>
        <v>0</v>
      </c>
      <c r="AN106" s="258">
        <f t="shared" si="28"/>
        <v>0.03</v>
      </c>
      <c r="AO106" s="258">
        <f t="shared" si="29"/>
        <v>6.5000000000000002E-2</v>
      </c>
      <c r="AP106" s="258">
        <f t="shared" si="30"/>
        <v>0</v>
      </c>
      <c r="AQ106" s="136">
        <f t="shared" si="65"/>
        <v>5.9999999999999995E-4</v>
      </c>
      <c r="AR106" s="137">
        <f t="shared" si="32"/>
        <v>4.0000000000000001E-3</v>
      </c>
      <c r="AS106" s="136">
        <f t="shared" si="76"/>
        <v>3.4319999999999999</v>
      </c>
      <c r="AT106" s="137">
        <f t="shared" si="66"/>
        <v>3.4836153967131397E-2</v>
      </c>
      <c r="AU106" s="137">
        <f t="shared" si="34"/>
        <v>0</v>
      </c>
      <c r="AV106" s="394">
        <f t="shared" si="77"/>
        <v>0</v>
      </c>
      <c r="AW106" s="137">
        <f t="shared" si="35"/>
        <v>0.37</v>
      </c>
      <c r="AX106" s="137">
        <f t="shared" si="36"/>
        <v>0.93</v>
      </c>
      <c r="AY106" s="137">
        <f t="shared" si="37"/>
        <v>0.83</v>
      </c>
      <c r="AZ106" s="137"/>
      <c r="BA106" s="264"/>
      <c r="BB106" s="258">
        <f t="shared" si="38"/>
        <v>0</v>
      </c>
      <c r="BC106" s="258">
        <f t="shared" si="67"/>
        <v>0</v>
      </c>
      <c r="BD106" s="137">
        <f t="shared" si="68"/>
        <v>0</v>
      </c>
      <c r="BE106" s="137">
        <f t="shared" si="68"/>
        <v>0</v>
      </c>
      <c r="BF106" s="137">
        <f>_xll.xSPRDOPT($BW106,$BV106,$CG106,0,$BY106,$BX106,$BZ106,$AJ106,1,4)*$CB106</f>
        <v>0</v>
      </c>
      <c r="BG106" s="137">
        <f>_xll.xSPRDOPT($BW106,$BV106,$CG106,0,$BY106,$BX106,$BZ106,$AJ106,1,3)*$CB106</f>
        <v>0</v>
      </c>
      <c r="BH106" s="137">
        <f>IF(OR(BF106&lt;&gt;0,BG106&lt;&gt;0),_xll.xSPRDOPT($BW106,$BV106,$CG106,0,$BY106,$BX106,$BZ106,$AJ106,1,12)*$CB106,0)</f>
        <v>0</v>
      </c>
      <c r="BI106" s="137">
        <f>_xll.xSPRDOPT($BW106,$BV106,$CG106,2*LN(1+CA106/2),$BY106,$BX106,$BZ106,$AJ106,1,9)</f>
        <v>-0.1962573973095959</v>
      </c>
      <c r="BJ106" s="137">
        <f>_xll.xSPRDOPT($BW106,$BV106,$CG106,0,$BY106,$BX106,$BZ106,$AJ106,1,6)*$CB106</f>
        <v>0</v>
      </c>
      <c r="BK106" s="137">
        <f>_xll.xSPRDOPT($BW106,$BV106,$CG106,0,$BY106,$BX106,$BZ106,$AJ106,1,5)*$CB106</f>
        <v>0</v>
      </c>
      <c r="BL106" s="137">
        <f>_xll.xSPRDOPT(BW106,BV106,CG106,0,BY106,BX106,BZ106,AJ106,1,2)*CB106</f>
        <v>0</v>
      </c>
      <c r="BM106" s="137">
        <f>_xll.xSPRDOPT(BW106,BV106,CG106,0,BY106,BX106,BZ106,AJ106,1,1)*CB106</f>
        <v>0</v>
      </c>
      <c r="BN106" s="137">
        <f>IF(AH106&lt;&gt;0,_xll.xSPRDOPT($BW106,$BV106,$CG106,2*LN(1+CA106/2),$BY106,$BX106,$BZ106,$AJ106,1,8)+(AJ106/365.25)*CH106/AH106,0)</f>
        <v>0</v>
      </c>
      <c r="BO106" s="137">
        <f>_xll.xSPRDOPT($BW106,$BV106,$CG106,0,$BY106,$BX106,$BZ106,$AJ106,1,0)</f>
        <v>0.98844982808400417</v>
      </c>
      <c r="BP106" s="137"/>
      <c r="BQ106" s="137"/>
      <c r="BR106" s="137"/>
      <c r="BS106" s="137"/>
      <c r="BV106" s="262">
        <v>3.4457831325301203</v>
      </c>
      <c r="BW106" s="136">
        <v>3.4670000000000001</v>
      </c>
      <c r="BX106" s="137">
        <v>0.37</v>
      </c>
      <c r="BY106" s="137">
        <v>0.37</v>
      </c>
      <c r="BZ106" s="137">
        <v>0</v>
      </c>
      <c r="CA106" s="137">
        <v>3.4836153967131397E-2</v>
      </c>
      <c r="CB106" s="137">
        <v>0</v>
      </c>
      <c r="CC106" s="258">
        <v>0</v>
      </c>
      <c r="CD106" s="258">
        <v>0.03</v>
      </c>
      <c r="CE106" s="258">
        <v>6.5000000000000002E-2</v>
      </c>
      <c r="CF106" s="258">
        <v>0</v>
      </c>
      <c r="CG106" s="258">
        <v>5.9999999999999995E-4</v>
      </c>
      <c r="CH106" s="258">
        <v>0</v>
      </c>
      <c r="CI106" s="258">
        <v>3.4020000000000001</v>
      </c>
      <c r="CJ106" s="258"/>
      <c r="CK106" s="258"/>
      <c r="CL106" s="258"/>
      <c r="CM106" s="258"/>
    </row>
    <row r="107" spans="1:91" x14ac:dyDescent="0.25">
      <c r="A107" s="723"/>
      <c r="B107" s="723"/>
      <c r="D107" s="31">
        <f t="shared" si="69"/>
        <v>37940</v>
      </c>
      <c r="F107" s="28">
        <f t="shared" si="53"/>
        <v>27600</v>
      </c>
      <c r="G107" s="28">
        <f t="shared" si="54"/>
        <v>0</v>
      </c>
      <c r="H107" s="52">
        <f t="shared" si="55"/>
        <v>3.4457831325301203</v>
      </c>
      <c r="I107" s="52">
        <f t="shared" si="56"/>
        <v>3.4670000000000001</v>
      </c>
      <c r="K107" s="52">
        <f t="shared" si="70"/>
        <v>0</v>
      </c>
      <c r="L107" s="135">
        <f t="shared" si="71"/>
        <v>0</v>
      </c>
      <c r="N107" s="131">
        <f t="shared" si="72"/>
        <v>0.37</v>
      </c>
      <c r="O107" s="131">
        <f t="shared" si="73"/>
        <v>0.37</v>
      </c>
      <c r="P107" s="55">
        <f t="shared" si="74"/>
        <v>0</v>
      </c>
      <c r="Q107" s="135">
        <f>_xll.xSPRDOPT(I107,H107,AQ107,0,O107,N107,P107,D107-$G$5,1,0)*AH107*AU107</f>
        <v>0</v>
      </c>
      <c r="R107" s="135"/>
      <c r="S107" s="181">
        <f>_xll.xSPRDOPT(I107,H107,AQ107,AT107,O107,N107,P107,D107-$G$5,1,2)*AF107*(F107/(1-AR107))*AH107</f>
        <v>0</v>
      </c>
      <c r="T107" s="181">
        <f>_xll.xSPRDOPT(I107,H107,AQ107,AT107,O107,N107,P107,D107-$G$5,1,1)*AF107*F107*AH107</f>
        <v>0</v>
      </c>
      <c r="U107" s="135"/>
      <c r="V107" s="146">
        <f t="shared" si="57"/>
        <v>0</v>
      </c>
      <c r="W107" s="146"/>
      <c r="X107" s="338">
        <f t="shared" si="58"/>
        <v>0</v>
      </c>
      <c r="Y107" s="338">
        <f t="shared" si="18"/>
        <v>0</v>
      </c>
      <c r="Z107" s="338">
        <f t="shared" si="19"/>
        <v>0</v>
      </c>
      <c r="AA107" s="338">
        <f t="shared" si="20"/>
        <v>0</v>
      </c>
      <c r="AB107" s="338">
        <f t="shared" si="59"/>
        <v>0</v>
      </c>
      <c r="AC107" s="338">
        <f t="shared" si="60"/>
        <v>0</v>
      </c>
      <c r="AF107" s="138">
        <f t="shared" si="61"/>
        <v>0</v>
      </c>
      <c r="AG107" s="138">
        <f t="shared" si="62"/>
        <v>11</v>
      </c>
      <c r="AH107" s="138">
        <f t="shared" si="63"/>
        <v>0</v>
      </c>
      <c r="AI107" s="138">
        <f t="shared" si="75"/>
        <v>684</v>
      </c>
      <c r="AJ107" s="138">
        <f t="shared" si="64"/>
        <v>701</v>
      </c>
      <c r="AL107" s="136">
        <f t="shared" si="27"/>
        <v>3.4020000000000001</v>
      </c>
      <c r="AM107" s="258">
        <f t="shared" si="48"/>
        <v>0</v>
      </c>
      <c r="AN107" s="258">
        <f t="shared" si="28"/>
        <v>0.03</v>
      </c>
      <c r="AO107" s="258">
        <f t="shared" si="29"/>
        <v>6.5000000000000002E-2</v>
      </c>
      <c r="AP107" s="258">
        <f t="shared" si="30"/>
        <v>0</v>
      </c>
      <c r="AQ107" s="136">
        <f t="shared" si="65"/>
        <v>5.9999999999999995E-4</v>
      </c>
      <c r="AR107" s="137">
        <f t="shared" si="32"/>
        <v>4.0000000000000001E-3</v>
      </c>
      <c r="AS107" s="136">
        <f t="shared" si="76"/>
        <v>3.4319999999999999</v>
      </c>
      <c r="AT107" s="137">
        <f t="shared" si="66"/>
        <v>3.4836153967131397E-2</v>
      </c>
      <c r="AU107" s="137">
        <f t="shared" si="34"/>
        <v>0</v>
      </c>
      <c r="AV107" s="394">
        <f t="shared" si="77"/>
        <v>0</v>
      </c>
      <c r="AW107" s="137">
        <f t="shared" si="35"/>
        <v>0.37</v>
      </c>
      <c r="AX107" s="137">
        <f t="shared" si="36"/>
        <v>0.93</v>
      </c>
      <c r="AY107" s="137">
        <f t="shared" si="37"/>
        <v>0.83</v>
      </c>
      <c r="AZ107" s="137"/>
      <c r="BA107" s="264"/>
      <c r="BB107" s="258">
        <f t="shared" si="38"/>
        <v>0</v>
      </c>
      <c r="BC107" s="258">
        <f t="shared" si="67"/>
        <v>0</v>
      </c>
      <c r="BD107" s="137">
        <f t="shared" si="68"/>
        <v>0</v>
      </c>
      <c r="BE107" s="137">
        <f t="shared" si="68"/>
        <v>0</v>
      </c>
      <c r="BF107" s="137">
        <f>_xll.xSPRDOPT($BW107,$BV107,$CG107,0,$BY107,$BX107,$BZ107,$AJ107,1,4)*$CB107</f>
        <v>0</v>
      </c>
      <c r="BG107" s="137">
        <f>_xll.xSPRDOPT($BW107,$BV107,$CG107,0,$BY107,$BX107,$BZ107,$AJ107,1,3)*$CB107</f>
        <v>0</v>
      </c>
      <c r="BH107" s="137">
        <f>IF(OR(BF107&lt;&gt;0,BG107&lt;&gt;0),_xll.xSPRDOPT($BW107,$BV107,$CG107,0,$BY107,$BX107,$BZ107,$AJ107,1,12)*$CB107,0)</f>
        <v>0</v>
      </c>
      <c r="BI107" s="137">
        <f>_xll.xSPRDOPT($BW107,$BV107,$CG107,2*LN(1+CA107/2),$BY107,$BX107,$BZ107,$AJ107,1,9)</f>
        <v>-0.1962573973095959</v>
      </c>
      <c r="BJ107" s="137">
        <f>_xll.xSPRDOPT($BW107,$BV107,$CG107,0,$BY107,$BX107,$BZ107,$AJ107,1,6)*$CB107</f>
        <v>0</v>
      </c>
      <c r="BK107" s="137">
        <f>_xll.xSPRDOPT($BW107,$BV107,$CG107,0,$BY107,$BX107,$BZ107,$AJ107,1,5)*$CB107</f>
        <v>0</v>
      </c>
      <c r="BL107" s="137">
        <f>_xll.xSPRDOPT(BW107,BV107,CG107,0,BY107,BX107,BZ107,AJ107,1,2)*CB107</f>
        <v>0</v>
      </c>
      <c r="BM107" s="137">
        <f>_xll.xSPRDOPT(BW107,BV107,CG107,0,BY107,BX107,BZ107,AJ107,1,1)*CB107</f>
        <v>0</v>
      </c>
      <c r="BN107" s="137">
        <f>IF(AH107&lt;&gt;0,_xll.xSPRDOPT($BW107,$BV107,$CG107,2*LN(1+CA107/2),$BY107,$BX107,$BZ107,$AJ107,1,8)+(AJ107/365.25)*CH107/AH107,0)</f>
        <v>0</v>
      </c>
      <c r="BO107" s="137">
        <f>_xll.xSPRDOPT($BW107,$BV107,$CG107,0,$BY107,$BX107,$BZ107,$AJ107,1,0)</f>
        <v>0.98844982808400417</v>
      </c>
      <c r="BP107" s="137"/>
      <c r="BQ107" s="137"/>
      <c r="BR107" s="137"/>
      <c r="BS107" s="137"/>
      <c r="BV107" s="262">
        <v>3.4457831325301203</v>
      </c>
      <c r="BW107" s="136">
        <v>3.4670000000000001</v>
      </c>
      <c r="BX107" s="137">
        <v>0.37</v>
      </c>
      <c r="BY107" s="137">
        <v>0.37</v>
      </c>
      <c r="BZ107" s="137">
        <v>0</v>
      </c>
      <c r="CA107" s="137">
        <v>3.4836153967131397E-2</v>
      </c>
      <c r="CB107" s="137">
        <v>0</v>
      </c>
      <c r="CC107" s="258">
        <v>0</v>
      </c>
      <c r="CD107" s="258">
        <v>0.03</v>
      </c>
      <c r="CE107" s="258">
        <v>6.5000000000000002E-2</v>
      </c>
      <c r="CF107" s="258">
        <v>0</v>
      </c>
      <c r="CG107" s="258">
        <v>5.9999999999999995E-4</v>
      </c>
      <c r="CH107" s="258">
        <v>0</v>
      </c>
      <c r="CI107" s="258">
        <v>3.4020000000000001</v>
      </c>
      <c r="CJ107" s="258"/>
      <c r="CK107" s="258"/>
      <c r="CL107" s="258"/>
      <c r="CM107" s="258"/>
    </row>
    <row r="108" spans="1:91" x14ac:dyDescent="0.25">
      <c r="A108" s="723"/>
      <c r="B108" s="723"/>
      <c r="D108" s="31">
        <f t="shared" si="69"/>
        <v>37940</v>
      </c>
      <c r="F108" s="28">
        <f t="shared" si="53"/>
        <v>27600</v>
      </c>
      <c r="G108" s="28">
        <f t="shared" si="54"/>
        <v>0</v>
      </c>
      <c r="H108" s="52">
        <f t="shared" si="55"/>
        <v>3.4457831325301203</v>
      </c>
      <c r="I108" s="52">
        <f t="shared" si="56"/>
        <v>3.4670000000000001</v>
      </c>
      <c r="K108" s="52">
        <f t="shared" si="70"/>
        <v>0</v>
      </c>
      <c r="L108" s="135">
        <f t="shared" si="71"/>
        <v>0</v>
      </c>
      <c r="N108" s="131">
        <f t="shared" si="72"/>
        <v>0.37</v>
      </c>
      <c r="O108" s="131">
        <f t="shared" si="73"/>
        <v>0.37</v>
      </c>
      <c r="P108" s="55">
        <f t="shared" si="74"/>
        <v>0</v>
      </c>
      <c r="Q108" s="135">
        <f>_xll.xSPRDOPT(I108,H108,AQ108,0,O108,N108,P108,D108-$G$5,1,0)*AH108*AU108</f>
        <v>0</v>
      </c>
      <c r="R108" s="135"/>
      <c r="S108" s="181">
        <f>_xll.xSPRDOPT(I108,H108,AQ108,AT108,O108,N108,P108,D108-$G$5,1,2)*AF108*(F108/(1-AR108))*AH108</f>
        <v>0</v>
      </c>
      <c r="T108" s="181">
        <f>_xll.xSPRDOPT(I108,H108,AQ108,AT108,O108,N108,P108,D108-$G$5,1,1)*AF108*F108*AH108</f>
        <v>0</v>
      </c>
      <c r="U108" s="135"/>
      <c r="V108" s="146">
        <f t="shared" si="57"/>
        <v>0</v>
      </c>
      <c r="W108" s="146"/>
      <c r="X108" s="338">
        <f t="shared" si="58"/>
        <v>0</v>
      </c>
      <c r="Y108" s="338">
        <f t="shared" si="18"/>
        <v>0</v>
      </c>
      <c r="Z108" s="338">
        <f t="shared" si="19"/>
        <v>0</v>
      </c>
      <c r="AA108" s="338">
        <f t="shared" si="20"/>
        <v>0</v>
      </c>
      <c r="AB108" s="338">
        <f t="shared" si="59"/>
        <v>0</v>
      </c>
      <c r="AC108" s="338">
        <f t="shared" si="60"/>
        <v>0</v>
      </c>
      <c r="AF108" s="138">
        <f t="shared" si="61"/>
        <v>0</v>
      </c>
      <c r="AG108" s="138">
        <f t="shared" si="62"/>
        <v>11</v>
      </c>
      <c r="AH108" s="138">
        <f t="shared" si="63"/>
        <v>0</v>
      </c>
      <c r="AI108" s="138">
        <f t="shared" si="75"/>
        <v>684</v>
      </c>
      <c r="AJ108" s="138">
        <f t="shared" si="64"/>
        <v>701</v>
      </c>
      <c r="AL108" s="136">
        <f t="shared" si="27"/>
        <v>3.4020000000000001</v>
      </c>
      <c r="AM108" s="258">
        <f t="shared" si="48"/>
        <v>0</v>
      </c>
      <c r="AN108" s="258">
        <f t="shared" si="28"/>
        <v>0.03</v>
      </c>
      <c r="AO108" s="258">
        <f t="shared" si="29"/>
        <v>6.5000000000000002E-2</v>
      </c>
      <c r="AP108" s="258">
        <f t="shared" si="30"/>
        <v>0</v>
      </c>
      <c r="AQ108" s="136">
        <f t="shared" si="65"/>
        <v>5.9999999999999995E-4</v>
      </c>
      <c r="AR108" s="137">
        <f t="shared" si="32"/>
        <v>4.0000000000000001E-3</v>
      </c>
      <c r="AS108" s="136">
        <f t="shared" si="76"/>
        <v>3.4319999999999999</v>
      </c>
      <c r="AT108" s="137">
        <f t="shared" si="66"/>
        <v>3.4836153967131397E-2</v>
      </c>
      <c r="AU108" s="137">
        <f t="shared" si="34"/>
        <v>0</v>
      </c>
      <c r="AV108" s="394">
        <f t="shared" si="77"/>
        <v>0</v>
      </c>
      <c r="AW108" s="137">
        <f t="shared" si="35"/>
        <v>0.37</v>
      </c>
      <c r="AX108" s="137">
        <f t="shared" si="36"/>
        <v>0.93</v>
      </c>
      <c r="AY108" s="137">
        <f t="shared" si="37"/>
        <v>0.83</v>
      </c>
      <c r="AZ108" s="137"/>
      <c r="BA108" s="264"/>
      <c r="BB108" s="258">
        <f t="shared" si="38"/>
        <v>0</v>
      </c>
      <c r="BC108" s="258">
        <f t="shared" si="67"/>
        <v>0</v>
      </c>
      <c r="BD108" s="137">
        <f t="shared" si="68"/>
        <v>0</v>
      </c>
      <c r="BE108" s="137">
        <f t="shared" si="68"/>
        <v>0</v>
      </c>
      <c r="BF108" s="137">
        <f>_xll.xSPRDOPT($BW108,$BV108,$CG108,0,$BY108,$BX108,$BZ108,$AJ108,1,4)*$CB108</f>
        <v>0</v>
      </c>
      <c r="BG108" s="137">
        <f>_xll.xSPRDOPT($BW108,$BV108,$CG108,0,$BY108,$BX108,$BZ108,$AJ108,1,3)*$CB108</f>
        <v>0</v>
      </c>
      <c r="BH108" s="137">
        <f>IF(OR(BF108&lt;&gt;0,BG108&lt;&gt;0),_xll.xSPRDOPT($BW108,$BV108,$CG108,0,$BY108,$BX108,$BZ108,$AJ108,1,12)*$CB108,0)</f>
        <v>0</v>
      </c>
      <c r="BI108" s="137">
        <f>_xll.xSPRDOPT($BW108,$BV108,$CG108,2*LN(1+CA108/2),$BY108,$BX108,$BZ108,$AJ108,1,9)</f>
        <v>-0.1962573973095959</v>
      </c>
      <c r="BJ108" s="137">
        <f>_xll.xSPRDOPT($BW108,$BV108,$CG108,0,$BY108,$BX108,$BZ108,$AJ108,1,6)*$CB108</f>
        <v>0</v>
      </c>
      <c r="BK108" s="137">
        <f>_xll.xSPRDOPT($BW108,$BV108,$CG108,0,$BY108,$BX108,$BZ108,$AJ108,1,5)*$CB108</f>
        <v>0</v>
      </c>
      <c r="BL108" s="137">
        <f>_xll.xSPRDOPT(BW108,BV108,CG108,0,BY108,BX108,BZ108,AJ108,1,2)*CB108</f>
        <v>0</v>
      </c>
      <c r="BM108" s="137">
        <f>_xll.xSPRDOPT(BW108,BV108,CG108,0,BY108,BX108,BZ108,AJ108,1,1)*CB108</f>
        <v>0</v>
      </c>
      <c r="BN108" s="137">
        <f>IF(AH108&lt;&gt;0,_xll.xSPRDOPT($BW108,$BV108,$CG108,2*LN(1+CA108/2),$BY108,$BX108,$BZ108,$AJ108,1,8)+(AJ108/365.25)*CH108/AH108,0)</f>
        <v>0</v>
      </c>
      <c r="BO108" s="137">
        <f>_xll.xSPRDOPT($BW108,$BV108,$CG108,0,$BY108,$BX108,$BZ108,$AJ108,1,0)</f>
        <v>0.98844982808400417</v>
      </c>
      <c r="BP108" s="137"/>
      <c r="BQ108" s="137"/>
      <c r="BR108" s="137"/>
      <c r="BS108" s="137"/>
      <c r="BV108" s="262">
        <v>3.4457831325301203</v>
      </c>
      <c r="BW108" s="136">
        <v>3.4670000000000001</v>
      </c>
      <c r="BX108" s="137">
        <v>0.37</v>
      </c>
      <c r="BY108" s="137">
        <v>0.37</v>
      </c>
      <c r="BZ108" s="137">
        <v>0</v>
      </c>
      <c r="CA108" s="137">
        <v>3.4836153967131397E-2</v>
      </c>
      <c r="CB108" s="137">
        <v>0</v>
      </c>
      <c r="CC108" s="258">
        <v>0</v>
      </c>
      <c r="CD108" s="258">
        <v>0.03</v>
      </c>
      <c r="CE108" s="258">
        <v>6.5000000000000002E-2</v>
      </c>
      <c r="CF108" s="258">
        <v>0</v>
      </c>
      <c r="CG108" s="258">
        <v>5.9999999999999995E-4</v>
      </c>
      <c r="CH108" s="258">
        <v>0</v>
      </c>
      <c r="CI108" s="258">
        <v>3.4020000000000001</v>
      </c>
      <c r="CJ108" s="258"/>
      <c r="CK108" s="258"/>
      <c r="CL108" s="258"/>
      <c r="CM108" s="258"/>
    </row>
    <row r="109" spans="1:91" x14ac:dyDescent="0.25">
      <c r="A109" s="723"/>
      <c r="B109" s="723"/>
      <c r="D109" s="31">
        <f t="shared" si="69"/>
        <v>37940</v>
      </c>
      <c r="F109" s="28">
        <f t="shared" si="53"/>
        <v>27600</v>
      </c>
      <c r="G109" s="28">
        <f t="shared" si="54"/>
        <v>0</v>
      </c>
      <c r="H109" s="52">
        <f t="shared" si="55"/>
        <v>3.4457831325301203</v>
      </c>
      <c r="I109" s="52">
        <f t="shared" si="56"/>
        <v>3.4670000000000001</v>
      </c>
      <c r="K109" s="52">
        <f t="shared" si="70"/>
        <v>0</v>
      </c>
      <c r="L109" s="135">
        <f t="shared" si="71"/>
        <v>0</v>
      </c>
      <c r="N109" s="131">
        <f t="shared" si="72"/>
        <v>0.37</v>
      </c>
      <c r="O109" s="131">
        <f t="shared" si="73"/>
        <v>0.37</v>
      </c>
      <c r="P109" s="55">
        <f t="shared" si="74"/>
        <v>0</v>
      </c>
      <c r="Q109" s="135">
        <f>_xll.xSPRDOPT(I109,H109,AQ109,0,O109,N109,P109,D109-$G$5,1,0)*AH109*AU109</f>
        <v>0</v>
      </c>
      <c r="R109" s="135"/>
      <c r="S109" s="181">
        <f>_xll.xSPRDOPT(I109,H109,AQ109,AT109,O109,N109,P109,D109-$G$5,1,2)*AF109*(F109/(1-AR109))*AH109</f>
        <v>0</v>
      </c>
      <c r="T109" s="181">
        <f>_xll.xSPRDOPT(I109,H109,AQ109,AT109,O109,N109,P109,D109-$G$5,1,1)*AF109*F109*AH109</f>
        <v>0</v>
      </c>
      <c r="U109" s="135"/>
      <c r="V109" s="146">
        <f t="shared" si="57"/>
        <v>0</v>
      </c>
      <c r="W109" s="146"/>
      <c r="X109" s="338">
        <f t="shared" si="58"/>
        <v>0</v>
      </c>
      <c r="Y109" s="338">
        <f t="shared" si="18"/>
        <v>0</v>
      </c>
      <c r="Z109" s="338">
        <f t="shared" si="19"/>
        <v>0</v>
      </c>
      <c r="AA109" s="338">
        <f t="shared" si="20"/>
        <v>0</v>
      </c>
      <c r="AB109" s="338">
        <f t="shared" si="59"/>
        <v>0</v>
      </c>
      <c r="AC109" s="338">
        <f t="shared" si="60"/>
        <v>0</v>
      </c>
      <c r="AF109" s="138">
        <f t="shared" si="61"/>
        <v>0</v>
      </c>
      <c r="AG109" s="138">
        <f t="shared" si="62"/>
        <v>11</v>
      </c>
      <c r="AH109" s="138">
        <f t="shared" si="63"/>
        <v>0</v>
      </c>
      <c r="AI109" s="138">
        <f t="shared" si="75"/>
        <v>684</v>
      </c>
      <c r="AJ109" s="138">
        <f t="shared" si="64"/>
        <v>701</v>
      </c>
      <c r="AL109" s="136">
        <f t="shared" si="27"/>
        <v>3.4020000000000001</v>
      </c>
      <c r="AM109" s="258">
        <f t="shared" si="48"/>
        <v>0</v>
      </c>
      <c r="AN109" s="258">
        <f t="shared" si="28"/>
        <v>0.03</v>
      </c>
      <c r="AO109" s="258">
        <f t="shared" si="29"/>
        <v>6.5000000000000002E-2</v>
      </c>
      <c r="AP109" s="258">
        <f t="shared" si="30"/>
        <v>0</v>
      </c>
      <c r="AQ109" s="136">
        <f t="shared" si="65"/>
        <v>5.9999999999999995E-4</v>
      </c>
      <c r="AR109" s="137">
        <f t="shared" si="32"/>
        <v>4.0000000000000001E-3</v>
      </c>
      <c r="AS109" s="136">
        <f t="shared" si="76"/>
        <v>3.4319999999999999</v>
      </c>
      <c r="AT109" s="137">
        <f t="shared" si="66"/>
        <v>3.4836153967131397E-2</v>
      </c>
      <c r="AU109" s="137">
        <f t="shared" si="34"/>
        <v>0</v>
      </c>
      <c r="AV109" s="394">
        <f t="shared" si="77"/>
        <v>0</v>
      </c>
      <c r="AW109" s="137">
        <f t="shared" si="35"/>
        <v>0.37</v>
      </c>
      <c r="AX109" s="137">
        <f t="shared" si="36"/>
        <v>0.93</v>
      </c>
      <c r="AY109" s="137">
        <f t="shared" si="37"/>
        <v>0.83</v>
      </c>
      <c r="AZ109" s="137"/>
      <c r="BA109" s="264"/>
      <c r="BB109" s="258">
        <f t="shared" si="38"/>
        <v>0</v>
      </c>
      <c r="BC109" s="258">
        <f t="shared" si="67"/>
        <v>0</v>
      </c>
      <c r="BD109" s="137">
        <f t="shared" si="68"/>
        <v>0</v>
      </c>
      <c r="BE109" s="137">
        <f t="shared" si="68"/>
        <v>0</v>
      </c>
      <c r="BF109" s="137">
        <f>_xll.xSPRDOPT($BW109,$BV109,$CG109,0,$BY109,$BX109,$BZ109,$AJ109,1,4)*$CB109</f>
        <v>0</v>
      </c>
      <c r="BG109" s="137">
        <f>_xll.xSPRDOPT($BW109,$BV109,$CG109,0,$BY109,$BX109,$BZ109,$AJ109,1,3)*$CB109</f>
        <v>0</v>
      </c>
      <c r="BH109" s="137">
        <f>IF(OR(BF109&lt;&gt;0,BG109&lt;&gt;0),_xll.xSPRDOPT($BW109,$BV109,$CG109,0,$BY109,$BX109,$BZ109,$AJ109,1,12)*$CB109,0)</f>
        <v>0</v>
      </c>
      <c r="BI109" s="137">
        <f>_xll.xSPRDOPT($BW109,$BV109,$CG109,2*LN(1+CA109/2),$BY109,$BX109,$BZ109,$AJ109,1,9)</f>
        <v>-0.1962573973095959</v>
      </c>
      <c r="BJ109" s="137">
        <f>_xll.xSPRDOPT($BW109,$BV109,$CG109,0,$BY109,$BX109,$BZ109,$AJ109,1,6)*$CB109</f>
        <v>0</v>
      </c>
      <c r="BK109" s="137">
        <f>_xll.xSPRDOPT($BW109,$BV109,$CG109,0,$BY109,$BX109,$BZ109,$AJ109,1,5)*$CB109</f>
        <v>0</v>
      </c>
      <c r="BL109" s="137">
        <f>_xll.xSPRDOPT(BW109,BV109,CG109,0,BY109,BX109,BZ109,AJ109,1,2)*CB109</f>
        <v>0</v>
      </c>
      <c r="BM109" s="137">
        <f>_xll.xSPRDOPT(BW109,BV109,CG109,0,BY109,BX109,BZ109,AJ109,1,1)*CB109</f>
        <v>0</v>
      </c>
      <c r="BN109" s="137">
        <f>IF(AH109&lt;&gt;0,_xll.xSPRDOPT($BW109,$BV109,$CG109,2*LN(1+CA109/2),$BY109,$BX109,$BZ109,$AJ109,1,8)+(AJ109/365.25)*CH109/AH109,0)</f>
        <v>0</v>
      </c>
      <c r="BO109" s="137">
        <f>_xll.xSPRDOPT($BW109,$BV109,$CG109,0,$BY109,$BX109,$BZ109,$AJ109,1,0)</f>
        <v>0.98844982808400417</v>
      </c>
      <c r="BP109" s="137"/>
      <c r="BQ109" s="137"/>
      <c r="BR109" s="137"/>
      <c r="BS109" s="137"/>
      <c r="BV109" s="262">
        <v>3.4457831325301203</v>
      </c>
      <c r="BW109" s="136">
        <v>3.4670000000000001</v>
      </c>
      <c r="BX109" s="137">
        <v>0.37</v>
      </c>
      <c r="BY109" s="137">
        <v>0.37</v>
      </c>
      <c r="BZ109" s="137">
        <v>0</v>
      </c>
      <c r="CA109" s="137">
        <v>3.4836153967131397E-2</v>
      </c>
      <c r="CB109" s="137">
        <v>0</v>
      </c>
      <c r="CC109" s="258">
        <v>0</v>
      </c>
      <c r="CD109" s="258">
        <v>0.03</v>
      </c>
      <c r="CE109" s="258">
        <v>6.5000000000000002E-2</v>
      </c>
      <c r="CF109" s="258">
        <v>0</v>
      </c>
      <c r="CG109" s="258">
        <v>5.9999999999999995E-4</v>
      </c>
      <c r="CH109" s="258">
        <v>0</v>
      </c>
      <c r="CI109" s="258">
        <v>3.4020000000000001</v>
      </c>
      <c r="CJ109" s="258"/>
      <c r="CK109" s="258"/>
      <c r="CL109" s="258"/>
      <c r="CM109" s="258"/>
    </row>
    <row r="110" spans="1:91" x14ac:dyDescent="0.25">
      <c r="A110" s="723"/>
      <c r="B110" s="723"/>
      <c r="D110" s="31">
        <f t="shared" si="69"/>
        <v>37940</v>
      </c>
      <c r="F110" s="28">
        <f t="shared" si="53"/>
        <v>27600</v>
      </c>
      <c r="G110" s="28">
        <f t="shared" si="54"/>
        <v>0</v>
      </c>
      <c r="H110" s="52">
        <f t="shared" si="55"/>
        <v>3.4457831325301203</v>
      </c>
      <c r="I110" s="52">
        <f t="shared" si="56"/>
        <v>3.4670000000000001</v>
      </c>
      <c r="K110" s="52">
        <f t="shared" si="70"/>
        <v>0</v>
      </c>
      <c r="L110" s="135">
        <f t="shared" si="71"/>
        <v>0</v>
      </c>
      <c r="N110" s="131">
        <f t="shared" si="72"/>
        <v>0.37</v>
      </c>
      <c r="O110" s="131">
        <f t="shared" si="73"/>
        <v>0.37</v>
      </c>
      <c r="P110" s="55">
        <f t="shared" si="74"/>
        <v>0</v>
      </c>
      <c r="Q110" s="135">
        <f>_xll.xSPRDOPT(I110,H110,AQ110,0,O110,N110,P110,D110-$G$5,1,0)*AH110*AU110</f>
        <v>0</v>
      </c>
      <c r="R110" s="135"/>
      <c r="S110" s="181">
        <f>_xll.xSPRDOPT(I110,H110,AQ110,AT110,O110,N110,P110,D110-$G$5,1,2)*AF110*(F110/(1-AR110))*AH110</f>
        <v>0</v>
      </c>
      <c r="T110" s="181">
        <f>_xll.xSPRDOPT(I110,H110,AQ110,AT110,O110,N110,P110,D110-$G$5,1,1)*AF110*F110*AH110</f>
        <v>0</v>
      </c>
      <c r="U110" s="135"/>
      <c r="V110" s="146">
        <f t="shared" si="57"/>
        <v>0</v>
      </c>
      <c r="W110" s="146"/>
      <c r="X110" s="338">
        <f t="shared" si="58"/>
        <v>0</v>
      </c>
      <c r="Y110" s="338">
        <f t="shared" si="18"/>
        <v>0</v>
      </c>
      <c r="Z110" s="338">
        <f t="shared" si="19"/>
        <v>0</v>
      </c>
      <c r="AA110" s="338">
        <f t="shared" si="20"/>
        <v>0</v>
      </c>
      <c r="AB110" s="338">
        <f t="shared" si="59"/>
        <v>0</v>
      </c>
      <c r="AC110" s="338">
        <f t="shared" si="60"/>
        <v>0</v>
      </c>
      <c r="AF110" s="138">
        <f t="shared" si="61"/>
        <v>0</v>
      </c>
      <c r="AG110" s="138">
        <f t="shared" si="62"/>
        <v>11</v>
      </c>
      <c r="AH110" s="138">
        <f t="shared" si="63"/>
        <v>0</v>
      </c>
      <c r="AI110" s="138">
        <f t="shared" si="75"/>
        <v>684</v>
      </c>
      <c r="AJ110" s="138">
        <f t="shared" si="64"/>
        <v>701</v>
      </c>
      <c r="AL110" s="136">
        <f t="shared" si="27"/>
        <v>3.4020000000000001</v>
      </c>
      <c r="AM110" s="258">
        <f t="shared" si="48"/>
        <v>0</v>
      </c>
      <c r="AN110" s="258">
        <f t="shared" si="28"/>
        <v>0.03</v>
      </c>
      <c r="AO110" s="258">
        <f t="shared" si="29"/>
        <v>6.5000000000000002E-2</v>
      </c>
      <c r="AP110" s="258">
        <f t="shared" si="30"/>
        <v>0</v>
      </c>
      <c r="AQ110" s="136">
        <f t="shared" si="65"/>
        <v>5.9999999999999995E-4</v>
      </c>
      <c r="AR110" s="137">
        <f t="shared" si="32"/>
        <v>4.0000000000000001E-3</v>
      </c>
      <c r="AS110" s="136">
        <f t="shared" si="76"/>
        <v>3.4319999999999999</v>
      </c>
      <c r="AT110" s="137">
        <f t="shared" si="66"/>
        <v>3.4836153967131397E-2</v>
      </c>
      <c r="AU110" s="137">
        <f t="shared" si="34"/>
        <v>0</v>
      </c>
      <c r="AV110" s="394">
        <f t="shared" si="77"/>
        <v>0</v>
      </c>
      <c r="AW110" s="137">
        <f t="shared" si="35"/>
        <v>0.37</v>
      </c>
      <c r="AX110" s="137">
        <f t="shared" si="36"/>
        <v>0.93</v>
      </c>
      <c r="AY110" s="137">
        <f t="shared" si="37"/>
        <v>0.83</v>
      </c>
      <c r="AZ110" s="137"/>
      <c r="BA110" s="264"/>
      <c r="BB110" s="258">
        <f t="shared" si="38"/>
        <v>0</v>
      </c>
      <c r="BC110" s="258">
        <f t="shared" si="67"/>
        <v>0</v>
      </c>
      <c r="BD110" s="137">
        <f t="shared" si="68"/>
        <v>0</v>
      </c>
      <c r="BE110" s="137">
        <f t="shared" si="68"/>
        <v>0</v>
      </c>
      <c r="BF110" s="137">
        <f>_xll.xSPRDOPT($BW110,$BV110,$CG110,0,$BY110,$BX110,$BZ110,$AJ110,1,4)*$CB110</f>
        <v>0</v>
      </c>
      <c r="BG110" s="137">
        <f>_xll.xSPRDOPT($BW110,$BV110,$CG110,0,$BY110,$BX110,$BZ110,$AJ110,1,3)*$CB110</f>
        <v>0</v>
      </c>
      <c r="BH110" s="137">
        <f>IF(OR(BF110&lt;&gt;0,BG110&lt;&gt;0),_xll.xSPRDOPT($BW110,$BV110,$CG110,0,$BY110,$BX110,$BZ110,$AJ110,1,12)*$CB110,0)</f>
        <v>0</v>
      </c>
      <c r="BI110" s="137">
        <f>_xll.xSPRDOPT($BW110,$BV110,$CG110,2*LN(1+CA110/2),$BY110,$BX110,$BZ110,$AJ110,1,9)</f>
        <v>-0.1962573973095959</v>
      </c>
      <c r="BJ110" s="137">
        <f>_xll.xSPRDOPT($BW110,$BV110,$CG110,0,$BY110,$BX110,$BZ110,$AJ110,1,6)*$CB110</f>
        <v>0</v>
      </c>
      <c r="BK110" s="137">
        <f>_xll.xSPRDOPT($BW110,$BV110,$CG110,0,$BY110,$BX110,$BZ110,$AJ110,1,5)*$CB110</f>
        <v>0</v>
      </c>
      <c r="BL110" s="137">
        <f>_xll.xSPRDOPT(BW110,BV110,CG110,0,BY110,BX110,BZ110,AJ110,1,2)*CB110</f>
        <v>0</v>
      </c>
      <c r="BM110" s="137">
        <f>_xll.xSPRDOPT(BW110,BV110,CG110,0,BY110,BX110,BZ110,AJ110,1,1)*CB110</f>
        <v>0</v>
      </c>
      <c r="BN110" s="137">
        <f>IF(AH110&lt;&gt;0,_xll.xSPRDOPT($BW110,$BV110,$CG110,2*LN(1+CA110/2),$BY110,$BX110,$BZ110,$AJ110,1,8)+(AJ110/365.25)*CH110/AH110,0)</f>
        <v>0</v>
      </c>
      <c r="BO110" s="137">
        <f>_xll.xSPRDOPT($BW110,$BV110,$CG110,0,$BY110,$BX110,$BZ110,$AJ110,1,0)</f>
        <v>0.98844982808400417</v>
      </c>
      <c r="BP110" s="137"/>
      <c r="BQ110" s="137"/>
      <c r="BR110" s="137"/>
      <c r="BS110" s="137"/>
      <c r="BV110" s="262">
        <v>3.4457831325301203</v>
      </c>
      <c r="BW110" s="136">
        <v>3.4670000000000001</v>
      </c>
      <c r="BX110" s="137">
        <v>0.37</v>
      </c>
      <c r="BY110" s="137">
        <v>0.37</v>
      </c>
      <c r="BZ110" s="137">
        <v>0</v>
      </c>
      <c r="CA110" s="137">
        <v>3.4836153967131397E-2</v>
      </c>
      <c r="CB110" s="137">
        <v>0</v>
      </c>
      <c r="CC110" s="258">
        <v>0</v>
      </c>
      <c r="CD110" s="258">
        <v>0.03</v>
      </c>
      <c r="CE110" s="258">
        <v>6.5000000000000002E-2</v>
      </c>
      <c r="CF110" s="258">
        <v>0</v>
      </c>
      <c r="CG110" s="258">
        <v>5.9999999999999995E-4</v>
      </c>
      <c r="CH110" s="258">
        <v>0</v>
      </c>
      <c r="CI110" s="258">
        <v>3.4020000000000001</v>
      </c>
      <c r="CJ110" s="258"/>
      <c r="CK110" s="258"/>
      <c r="CL110" s="258"/>
      <c r="CM110" s="258"/>
    </row>
    <row r="111" spans="1:91" x14ac:dyDescent="0.25">
      <c r="A111" s="723"/>
      <c r="B111" s="723"/>
      <c r="D111" s="31">
        <f t="shared" si="69"/>
        <v>37940</v>
      </c>
      <c r="F111" s="28">
        <f t="shared" si="53"/>
        <v>27600</v>
      </c>
      <c r="G111" s="28">
        <f t="shared" si="54"/>
        <v>0</v>
      </c>
      <c r="H111" s="52">
        <f t="shared" si="55"/>
        <v>3.4457831325301203</v>
      </c>
      <c r="I111" s="52">
        <f t="shared" si="56"/>
        <v>3.4670000000000001</v>
      </c>
      <c r="K111" s="52">
        <f t="shared" si="70"/>
        <v>0</v>
      </c>
      <c r="L111" s="135">
        <f t="shared" si="71"/>
        <v>0</v>
      </c>
      <c r="N111" s="131">
        <f t="shared" si="72"/>
        <v>0.37</v>
      </c>
      <c r="O111" s="131">
        <f t="shared" si="73"/>
        <v>0.37</v>
      </c>
      <c r="P111" s="55">
        <f t="shared" si="74"/>
        <v>0</v>
      </c>
      <c r="Q111" s="135">
        <f>_xll.xSPRDOPT(I111,H111,AQ111,0,O111,N111,P111,D111-$G$5,1,0)*AH111*AU111</f>
        <v>0</v>
      </c>
      <c r="R111" s="135"/>
      <c r="S111" s="181">
        <f>_xll.xSPRDOPT(I111,H111,AQ111,AT111,O111,N111,P111,D111-$G$5,1,2)*AF111*(F111/(1-AR111))*AH111</f>
        <v>0</v>
      </c>
      <c r="T111" s="181">
        <f>_xll.xSPRDOPT(I111,H111,AQ111,AT111,O111,N111,P111,D111-$G$5,1,1)*AF111*F111*AH111</f>
        <v>0</v>
      </c>
      <c r="U111" s="135"/>
      <c r="V111" s="146">
        <f t="shared" si="57"/>
        <v>0</v>
      </c>
      <c r="W111" s="146"/>
      <c r="X111" s="338">
        <f t="shared" si="58"/>
        <v>0</v>
      </c>
      <c r="Y111" s="338">
        <f t="shared" si="18"/>
        <v>0</v>
      </c>
      <c r="Z111" s="338">
        <f t="shared" si="19"/>
        <v>0</v>
      </c>
      <c r="AA111" s="338">
        <f t="shared" si="20"/>
        <v>0</v>
      </c>
      <c r="AB111" s="338">
        <f t="shared" si="59"/>
        <v>0</v>
      </c>
      <c r="AC111" s="338">
        <f t="shared" si="60"/>
        <v>0</v>
      </c>
      <c r="AF111" s="138">
        <f t="shared" si="61"/>
        <v>0</v>
      </c>
      <c r="AG111" s="138">
        <f t="shared" si="62"/>
        <v>11</v>
      </c>
      <c r="AH111" s="138">
        <f t="shared" si="63"/>
        <v>0</v>
      </c>
      <c r="AI111" s="138">
        <f t="shared" si="75"/>
        <v>684</v>
      </c>
      <c r="AJ111" s="138">
        <f t="shared" si="64"/>
        <v>701</v>
      </c>
      <c r="AL111" s="136">
        <f t="shared" si="27"/>
        <v>3.4020000000000001</v>
      </c>
      <c r="AM111" s="258">
        <f t="shared" si="48"/>
        <v>0</v>
      </c>
      <c r="AN111" s="258">
        <f t="shared" si="28"/>
        <v>0.03</v>
      </c>
      <c r="AO111" s="258">
        <f t="shared" si="29"/>
        <v>6.5000000000000002E-2</v>
      </c>
      <c r="AP111" s="258">
        <f t="shared" si="30"/>
        <v>0</v>
      </c>
      <c r="AQ111" s="136">
        <f t="shared" si="65"/>
        <v>5.9999999999999995E-4</v>
      </c>
      <c r="AR111" s="137">
        <f t="shared" si="32"/>
        <v>4.0000000000000001E-3</v>
      </c>
      <c r="AS111" s="136">
        <f t="shared" si="76"/>
        <v>3.4319999999999999</v>
      </c>
      <c r="AT111" s="137">
        <f t="shared" si="66"/>
        <v>3.4836153967131397E-2</v>
      </c>
      <c r="AU111" s="137">
        <f t="shared" si="34"/>
        <v>0</v>
      </c>
      <c r="AV111" s="394">
        <f t="shared" si="77"/>
        <v>0</v>
      </c>
      <c r="AW111" s="137">
        <f t="shared" si="35"/>
        <v>0.37</v>
      </c>
      <c r="AX111" s="137">
        <f t="shared" si="36"/>
        <v>0.93</v>
      </c>
      <c r="AY111" s="137">
        <f t="shared" si="37"/>
        <v>0.83</v>
      </c>
      <c r="AZ111" s="137"/>
      <c r="BA111" s="264"/>
      <c r="BB111" s="258">
        <f t="shared" si="38"/>
        <v>0</v>
      </c>
      <c r="BC111" s="258">
        <f t="shared" si="67"/>
        <v>0</v>
      </c>
      <c r="BD111" s="137">
        <f t="shared" si="68"/>
        <v>0</v>
      </c>
      <c r="BE111" s="137">
        <f t="shared" si="68"/>
        <v>0</v>
      </c>
      <c r="BF111" s="137">
        <f>_xll.xSPRDOPT($BW111,$BV111,$CG111,0,$BY111,$BX111,$BZ111,$AJ111,1,4)*$CB111</f>
        <v>0</v>
      </c>
      <c r="BG111" s="137">
        <f>_xll.xSPRDOPT($BW111,$BV111,$CG111,0,$BY111,$BX111,$BZ111,$AJ111,1,3)*$CB111</f>
        <v>0</v>
      </c>
      <c r="BH111" s="137">
        <f>IF(OR(BF111&lt;&gt;0,BG111&lt;&gt;0),_xll.xSPRDOPT($BW111,$BV111,$CG111,0,$BY111,$BX111,$BZ111,$AJ111,1,12)*$CB111,0)</f>
        <v>0</v>
      </c>
      <c r="BI111" s="137">
        <f>_xll.xSPRDOPT($BW111,$BV111,$CG111,2*LN(1+CA111/2),$BY111,$BX111,$BZ111,$AJ111,1,9)</f>
        <v>-0.1962573973095959</v>
      </c>
      <c r="BJ111" s="137">
        <f>_xll.xSPRDOPT($BW111,$BV111,$CG111,0,$BY111,$BX111,$BZ111,$AJ111,1,6)*$CB111</f>
        <v>0</v>
      </c>
      <c r="BK111" s="137">
        <f>_xll.xSPRDOPT($BW111,$BV111,$CG111,0,$BY111,$BX111,$BZ111,$AJ111,1,5)*$CB111</f>
        <v>0</v>
      </c>
      <c r="BL111" s="137">
        <f>_xll.xSPRDOPT(BW111,BV111,CG111,0,BY111,BX111,BZ111,AJ111,1,2)*CB111</f>
        <v>0</v>
      </c>
      <c r="BM111" s="137">
        <f>_xll.xSPRDOPT(BW111,BV111,CG111,0,BY111,BX111,BZ111,AJ111,1,1)*CB111</f>
        <v>0</v>
      </c>
      <c r="BN111" s="137">
        <f>IF(AH111&lt;&gt;0,_xll.xSPRDOPT($BW111,$BV111,$CG111,2*LN(1+CA111/2),$BY111,$BX111,$BZ111,$AJ111,1,8)+(AJ111/365.25)*CH111/AH111,0)</f>
        <v>0</v>
      </c>
      <c r="BO111" s="137">
        <f>_xll.xSPRDOPT($BW111,$BV111,$CG111,0,$BY111,$BX111,$BZ111,$AJ111,1,0)</f>
        <v>0.98844982808400417</v>
      </c>
      <c r="BP111" s="137"/>
      <c r="BQ111" s="137"/>
      <c r="BR111" s="137"/>
      <c r="BS111" s="137"/>
      <c r="BV111" s="262">
        <v>3.4457831325301203</v>
      </c>
      <c r="BW111" s="136">
        <v>3.4670000000000001</v>
      </c>
      <c r="BX111" s="137">
        <v>0.37</v>
      </c>
      <c r="BY111" s="137">
        <v>0.37</v>
      </c>
      <c r="BZ111" s="137">
        <v>0</v>
      </c>
      <c r="CA111" s="137">
        <v>3.4836153967131397E-2</v>
      </c>
      <c r="CB111" s="137">
        <v>0</v>
      </c>
      <c r="CC111" s="258">
        <v>0</v>
      </c>
      <c r="CD111" s="258">
        <v>0.03</v>
      </c>
      <c r="CE111" s="258">
        <v>6.5000000000000002E-2</v>
      </c>
      <c r="CF111" s="258">
        <v>0</v>
      </c>
      <c r="CG111" s="258">
        <v>5.9999999999999995E-4</v>
      </c>
      <c r="CH111" s="258">
        <v>0</v>
      </c>
      <c r="CI111" s="258">
        <v>3.4020000000000001</v>
      </c>
      <c r="CJ111" s="258"/>
      <c r="CK111" s="258"/>
      <c r="CL111" s="258"/>
      <c r="CM111" s="258"/>
    </row>
    <row r="112" spans="1:91" x14ac:dyDescent="0.25">
      <c r="A112" s="723"/>
      <c r="B112" s="723"/>
      <c r="D112" s="31">
        <f t="shared" si="69"/>
        <v>37940</v>
      </c>
      <c r="F112" s="28">
        <f t="shared" si="53"/>
        <v>27600</v>
      </c>
      <c r="G112" s="28">
        <f t="shared" si="54"/>
        <v>0</v>
      </c>
      <c r="H112" s="52">
        <f t="shared" si="55"/>
        <v>3.4457831325301203</v>
      </c>
      <c r="I112" s="52">
        <f t="shared" si="56"/>
        <v>3.4670000000000001</v>
      </c>
      <c r="K112" s="52">
        <f t="shared" si="70"/>
        <v>0</v>
      </c>
      <c r="L112" s="135">
        <f t="shared" si="71"/>
        <v>0</v>
      </c>
      <c r="N112" s="131">
        <f t="shared" si="72"/>
        <v>0.37</v>
      </c>
      <c r="O112" s="131">
        <f t="shared" si="73"/>
        <v>0.37</v>
      </c>
      <c r="P112" s="55">
        <f t="shared" si="74"/>
        <v>0</v>
      </c>
      <c r="Q112" s="135">
        <f>_xll.xSPRDOPT(I112,H112,AQ112,0,O112,N112,P112,D112-$G$5,1,0)*AH112*AU112</f>
        <v>0</v>
      </c>
      <c r="R112" s="135"/>
      <c r="S112" s="181">
        <f>_xll.xSPRDOPT(I112,H112,AQ112,AT112,O112,N112,P112,D112-$G$5,1,2)*AF112*(F112/(1-AR112))*AH112</f>
        <v>0</v>
      </c>
      <c r="T112" s="181">
        <f>_xll.xSPRDOPT(I112,H112,AQ112,AT112,O112,N112,P112,D112-$G$5,1,1)*AF112*F112*AH112</f>
        <v>0</v>
      </c>
      <c r="U112" s="135"/>
      <c r="V112" s="146">
        <f t="shared" si="57"/>
        <v>0</v>
      </c>
      <c r="W112" s="146"/>
      <c r="X112" s="338">
        <f t="shared" si="58"/>
        <v>0</v>
      </c>
      <c r="Y112" s="338">
        <f t="shared" si="18"/>
        <v>0</v>
      </c>
      <c r="Z112" s="338">
        <f t="shared" si="19"/>
        <v>0</v>
      </c>
      <c r="AA112" s="338">
        <f t="shared" si="20"/>
        <v>0</v>
      </c>
      <c r="AB112" s="338">
        <f t="shared" si="59"/>
        <v>0</v>
      </c>
      <c r="AC112" s="338">
        <f t="shared" si="60"/>
        <v>0</v>
      </c>
      <c r="AF112" s="138">
        <f t="shared" si="61"/>
        <v>0</v>
      </c>
      <c r="AG112" s="138">
        <f t="shared" si="62"/>
        <v>11</v>
      </c>
      <c r="AH112" s="138">
        <f t="shared" si="63"/>
        <v>0</v>
      </c>
      <c r="AI112" s="138">
        <f t="shared" si="75"/>
        <v>684</v>
      </c>
      <c r="AJ112" s="138">
        <f t="shared" si="64"/>
        <v>701</v>
      </c>
      <c r="AL112" s="136">
        <f t="shared" si="27"/>
        <v>3.4020000000000001</v>
      </c>
      <c r="AM112" s="258">
        <f t="shared" si="48"/>
        <v>0</v>
      </c>
      <c r="AN112" s="258">
        <f t="shared" si="28"/>
        <v>0.03</v>
      </c>
      <c r="AO112" s="258">
        <f t="shared" si="29"/>
        <v>6.5000000000000002E-2</v>
      </c>
      <c r="AP112" s="258">
        <f t="shared" si="30"/>
        <v>0</v>
      </c>
      <c r="AQ112" s="136">
        <f t="shared" si="65"/>
        <v>5.9999999999999995E-4</v>
      </c>
      <c r="AR112" s="137">
        <f t="shared" si="32"/>
        <v>4.0000000000000001E-3</v>
      </c>
      <c r="AS112" s="136">
        <f t="shared" si="76"/>
        <v>3.4319999999999999</v>
      </c>
      <c r="AT112" s="137">
        <f t="shared" si="66"/>
        <v>3.4836153967131397E-2</v>
      </c>
      <c r="AU112" s="137">
        <f t="shared" si="34"/>
        <v>0</v>
      </c>
      <c r="AV112" s="394">
        <f t="shared" si="77"/>
        <v>0</v>
      </c>
      <c r="AW112" s="137">
        <f t="shared" si="35"/>
        <v>0.37</v>
      </c>
      <c r="AX112" s="137">
        <f t="shared" si="36"/>
        <v>0.93</v>
      </c>
      <c r="AY112" s="137">
        <f t="shared" si="37"/>
        <v>0.83</v>
      </c>
      <c r="AZ112" s="137"/>
      <c r="BA112" s="264"/>
      <c r="BB112" s="258">
        <f t="shared" si="38"/>
        <v>0</v>
      </c>
      <c r="BC112" s="258">
        <f t="shared" si="67"/>
        <v>0</v>
      </c>
      <c r="BD112" s="137">
        <f t="shared" si="68"/>
        <v>0</v>
      </c>
      <c r="BE112" s="137">
        <f t="shared" si="68"/>
        <v>0</v>
      </c>
      <c r="BF112" s="137">
        <f>_xll.xSPRDOPT($BW112,$BV112,$CG112,0,$BY112,$BX112,$BZ112,$AJ112,1,4)*$CB112</f>
        <v>0</v>
      </c>
      <c r="BG112" s="137">
        <f>_xll.xSPRDOPT($BW112,$BV112,$CG112,0,$BY112,$BX112,$BZ112,$AJ112,1,3)*$CB112</f>
        <v>0</v>
      </c>
      <c r="BH112" s="137">
        <f>IF(OR(BF112&lt;&gt;0,BG112&lt;&gt;0),_xll.xSPRDOPT($BW112,$BV112,$CG112,0,$BY112,$BX112,$BZ112,$AJ112,1,12)*$CB112,0)</f>
        <v>0</v>
      </c>
      <c r="BI112" s="137">
        <f>_xll.xSPRDOPT($BW112,$BV112,$CG112,2*LN(1+CA112/2),$BY112,$BX112,$BZ112,$AJ112,1,9)</f>
        <v>-0.1962573973095959</v>
      </c>
      <c r="BJ112" s="137">
        <f>_xll.xSPRDOPT($BW112,$BV112,$CG112,0,$BY112,$BX112,$BZ112,$AJ112,1,6)*$CB112</f>
        <v>0</v>
      </c>
      <c r="BK112" s="137">
        <f>_xll.xSPRDOPT($BW112,$BV112,$CG112,0,$BY112,$BX112,$BZ112,$AJ112,1,5)*$CB112</f>
        <v>0</v>
      </c>
      <c r="BL112" s="137">
        <f>_xll.xSPRDOPT(BW112,BV112,CG112,0,BY112,BX112,BZ112,AJ112,1,2)*CB112</f>
        <v>0</v>
      </c>
      <c r="BM112" s="137">
        <f>_xll.xSPRDOPT(BW112,BV112,CG112,0,BY112,BX112,BZ112,AJ112,1,1)*CB112</f>
        <v>0</v>
      </c>
      <c r="BN112" s="137">
        <f>IF(AH112&lt;&gt;0,_xll.xSPRDOPT($BW112,$BV112,$CG112,2*LN(1+CA112/2),$BY112,$BX112,$BZ112,$AJ112,1,8)+(AJ112/365.25)*CH112/AH112,0)</f>
        <v>0</v>
      </c>
      <c r="BO112" s="137">
        <f>_xll.xSPRDOPT($BW112,$BV112,$CG112,0,$BY112,$BX112,$BZ112,$AJ112,1,0)</f>
        <v>0.98844982808400417</v>
      </c>
      <c r="BP112" s="137"/>
      <c r="BQ112" s="137"/>
      <c r="BR112" s="137"/>
      <c r="BS112" s="137"/>
      <c r="BV112" s="262">
        <v>3.4457831325301203</v>
      </c>
      <c r="BW112" s="136">
        <v>3.4670000000000001</v>
      </c>
      <c r="BX112" s="137">
        <v>0.37</v>
      </c>
      <c r="BY112" s="137">
        <v>0.37</v>
      </c>
      <c r="BZ112" s="137">
        <v>0</v>
      </c>
      <c r="CA112" s="137">
        <v>3.4836153967131397E-2</v>
      </c>
      <c r="CB112" s="137">
        <v>0</v>
      </c>
      <c r="CC112" s="258">
        <v>0</v>
      </c>
      <c r="CD112" s="258">
        <v>0.03</v>
      </c>
      <c r="CE112" s="258">
        <v>6.5000000000000002E-2</v>
      </c>
      <c r="CF112" s="258">
        <v>0</v>
      </c>
      <c r="CG112" s="258">
        <v>5.9999999999999995E-4</v>
      </c>
      <c r="CH112" s="258">
        <v>0</v>
      </c>
      <c r="CI112" s="258">
        <v>3.4020000000000001</v>
      </c>
      <c r="CJ112" s="258"/>
      <c r="CK112" s="258"/>
      <c r="CL112" s="258"/>
      <c r="CM112" s="258"/>
    </row>
    <row r="113" spans="1:91" x14ac:dyDescent="0.25">
      <c r="A113" s="723"/>
      <c r="B113" s="723"/>
      <c r="D113" s="31">
        <f t="shared" si="69"/>
        <v>37940</v>
      </c>
      <c r="F113" s="28">
        <f t="shared" si="53"/>
        <v>27600</v>
      </c>
      <c r="G113" s="28">
        <f t="shared" si="54"/>
        <v>0</v>
      </c>
      <c r="H113" s="52">
        <f t="shared" si="55"/>
        <v>3.4457831325301203</v>
      </c>
      <c r="I113" s="52">
        <f t="shared" si="56"/>
        <v>3.4670000000000001</v>
      </c>
      <c r="K113" s="52">
        <f t="shared" si="70"/>
        <v>0</v>
      </c>
      <c r="L113" s="135">
        <f t="shared" si="71"/>
        <v>0</v>
      </c>
      <c r="N113" s="131">
        <f t="shared" si="72"/>
        <v>0.37</v>
      </c>
      <c r="O113" s="131">
        <f t="shared" si="73"/>
        <v>0.37</v>
      </c>
      <c r="P113" s="55">
        <f t="shared" si="74"/>
        <v>0</v>
      </c>
      <c r="Q113" s="135">
        <f>_xll.xSPRDOPT(I113,H113,AQ113,0,O113,N113,P113,D113-$G$5,1,0)*AH113*AU113</f>
        <v>0</v>
      </c>
      <c r="R113" s="135"/>
      <c r="S113" s="181">
        <f>_xll.xSPRDOPT(I113,H113,AQ113,AT113,O113,N113,P113,D113-$G$5,1,2)*AF113*(F113/(1-AR113))*AH113</f>
        <v>0</v>
      </c>
      <c r="T113" s="181">
        <f>_xll.xSPRDOPT(I113,H113,AQ113,AT113,O113,N113,P113,D113-$G$5,1,1)*AF113*F113*AH113</f>
        <v>0</v>
      </c>
      <c r="U113" s="135"/>
      <c r="V113" s="146">
        <f t="shared" si="57"/>
        <v>0</v>
      </c>
      <c r="W113" s="146"/>
      <c r="X113" s="338">
        <f t="shared" si="58"/>
        <v>0</v>
      </c>
      <c r="Y113" s="338">
        <f t="shared" si="18"/>
        <v>0</v>
      </c>
      <c r="Z113" s="338">
        <f t="shared" si="19"/>
        <v>0</v>
      </c>
      <c r="AA113" s="338">
        <f t="shared" si="20"/>
        <v>0</v>
      </c>
      <c r="AB113" s="338">
        <f t="shared" si="59"/>
        <v>0</v>
      </c>
      <c r="AC113" s="338">
        <f t="shared" si="60"/>
        <v>0</v>
      </c>
      <c r="AF113" s="138">
        <f t="shared" si="61"/>
        <v>0</v>
      </c>
      <c r="AG113" s="138">
        <f t="shared" si="62"/>
        <v>11</v>
      </c>
      <c r="AH113" s="138">
        <f t="shared" si="63"/>
        <v>0</v>
      </c>
      <c r="AI113" s="138">
        <f t="shared" si="75"/>
        <v>684</v>
      </c>
      <c r="AJ113" s="138">
        <f t="shared" si="64"/>
        <v>701</v>
      </c>
      <c r="AL113" s="136">
        <f t="shared" si="27"/>
        <v>3.4020000000000001</v>
      </c>
      <c r="AM113" s="258">
        <f t="shared" si="48"/>
        <v>0</v>
      </c>
      <c r="AN113" s="258">
        <f t="shared" si="28"/>
        <v>0.03</v>
      </c>
      <c r="AO113" s="258">
        <f t="shared" si="29"/>
        <v>6.5000000000000002E-2</v>
      </c>
      <c r="AP113" s="258">
        <f t="shared" si="30"/>
        <v>0</v>
      </c>
      <c r="AQ113" s="136">
        <f t="shared" si="65"/>
        <v>5.9999999999999995E-4</v>
      </c>
      <c r="AR113" s="137">
        <f t="shared" si="32"/>
        <v>4.0000000000000001E-3</v>
      </c>
      <c r="AS113" s="136">
        <f t="shared" si="76"/>
        <v>3.4319999999999999</v>
      </c>
      <c r="AT113" s="137">
        <f t="shared" si="66"/>
        <v>3.4836153967131397E-2</v>
      </c>
      <c r="AU113" s="137">
        <f t="shared" si="34"/>
        <v>0</v>
      </c>
      <c r="AV113" s="394">
        <f t="shared" si="77"/>
        <v>0</v>
      </c>
      <c r="AW113" s="137">
        <f t="shared" si="35"/>
        <v>0.37</v>
      </c>
      <c r="AX113" s="137">
        <f t="shared" si="36"/>
        <v>0.93</v>
      </c>
      <c r="AY113" s="137">
        <f t="shared" si="37"/>
        <v>0.83</v>
      </c>
      <c r="AZ113" s="137"/>
      <c r="BA113" s="264"/>
      <c r="BB113" s="258">
        <f t="shared" si="38"/>
        <v>0</v>
      </c>
      <c r="BC113" s="258">
        <f t="shared" si="67"/>
        <v>0</v>
      </c>
      <c r="BD113" s="137">
        <f t="shared" si="68"/>
        <v>0</v>
      </c>
      <c r="BE113" s="137">
        <f t="shared" si="68"/>
        <v>0</v>
      </c>
      <c r="BF113" s="137">
        <f>_xll.xSPRDOPT($BW113,$BV113,$CG113,0,$BY113,$BX113,$BZ113,$AJ113,1,4)*$CB113</f>
        <v>0</v>
      </c>
      <c r="BG113" s="137">
        <f>_xll.xSPRDOPT($BW113,$BV113,$CG113,0,$BY113,$BX113,$BZ113,$AJ113,1,3)*$CB113</f>
        <v>0</v>
      </c>
      <c r="BH113" s="137">
        <f>IF(OR(BF113&lt;&gt;0,BG113&lt;&gt;0),_xll.xSPRDOPT($BW113,$BV113,$CG113,0,$BY113,$BX113,$BZ113,$AJ113,1,12)*$CB113,0)</f>
        <v>0</v>
      </c>
      <c r="BI113" s="137">
        <f>_xll.xSPRDOPT($BW113,$BV113,$CG113,2*LN(1+CA113/2),$BY113,$BX113,$BZ113,$AJ113,1,9)</f>
        <v>-0.1962573973095959</v>
      </c>
      <c r="BJ113" s="137">
        <f>_xll.xSPRDOPT($BW113,$BV113,$CG113,0,$BY113,$BX113,$BZ113,$AJ113,1,6)*$CB113</f>
        <v>0</v>
      </c>
      <c r="BK113" s="137">
        <f>_xll.xSPRDOPT($BW113,$BV113,$CG113,0,$BY113,$BX113,$BZ113,$AJ113,1,5)*$CB113</f>
        <v>0</v>
      </c>
      <c r="BL113" s="137">
        <f>_xll.xSPRDOPT(BW113,BV113,CG113,0,BY113,BX113,BZ113,AJ113,1,2)*CB113</f>
        <v>0</v>
      </c>
      <c r="BM113" s="137">
        <f>_xll.xSPRDOPT(BW113,BV113,CG113,0,BY113,BX113,BZ113,AJ113,1,1)*CB113</f>
        <v>0</v>
      </c>
      <c r="BN113" s="137">
        <f>IF(AH113&lt;&gt;0,_xll.xSPRDOPT($BW113,$BV113,$CG113,2*LN(1+CA113/2),$BY113,$BX113,$BZ113,$AJ113,1,8)+(AJ113/365.25)*CH113/AH113,0)</f>
        <v>0</v>
      </c>
      <c r="BO113" s="137">
        <f>_xll.xSPRDOPT($BW113,$BV113,$CG113,0,$BY113,$BX113,$BZ113,$AJ113,1,0)</f>
        <v>0.98844982808400417</v>
      </c>
      <c r="BP113" s="137"/>
      <c r="BQ113" s="137"/>
      <c r="BR113" s="137"/>
      <c r="BS113" s="137"/>
      <c r="BV113" s="262">
        <v>3.4457831325301203</v>
      </c>
      <c r="BW113" s="136">
        <v>3.4670000000000001</v>
      </c>
      <c r="BX113" s="137">
        <v>0.37</v>
      </c>
      <c r="BY113" s="137">
        <v>0.37</v>
      </c>
      <c r="BZ113" s="137">
        <v>0</v>
      </c>
      <c r="CA113" s="137">
        <v>3.4836153967131397E-2</v>
      </c>
      <c r="CB113" s="137">
        <v>0</v>
      </c>
      <c r="CC113" s="258">
        <v>0</v>
      </c>
      <c r="CD113" s="258">
        <v>0.03</v>
      </c>
      <c r="CE113" s="258">
        <v>6.5000000000000002E-2</v>
      </c>
      <c r="CF113" s="258">
        <v>0</v>
      </c>
      <c r="CG113" s="258">
        <v>5.9999999999999995E-4</v>
      </c>
      <c r="CH113" s="258">
        <v>0</v>
      </c>
      <c r="CI113" s="258">
        <v>3.4020000000000001</v>
      </c>
      <c r="CJ113" s="258"/>
      <c r="CK113" s="258"/>
      <c r="CL113" s="258"/>
      <c r="CM113" s="258"/>
    </row>
    <row r="114" spans="1:91" x14ac:dyDescent="0.25">
      <c r="A114" s="723"/>
      <c r="B114" s="723"/>
      <c r="D114" s="31">
        <f t="shared" si="69"/>
        <v>37940</v>
      </c>
      <c r="F114" s="28">
        <f t="shared" si="53"/>
        <v>27600</v>
      </c>
      <c r="G114" s="28">
        <f t="shared" si="54"/>
        <v>0</v>
      </c>
      <c r="H114" s="52">
        <f t="shared" si="55"/>
        <v>3.4457831325301203</v>
      </c>
      <c r="I114" s="52">
        <f t="shared" si="56"/>
        <v>3.4670000000000001</v>
      </c>
      <c r="K114" s="52">
        <f t="shared" si="70"/>
        <v>0</v>
      </c>
      <c r="L114" s="135">
        <f t="shared" si="71"/>
        <v>0</v>
      </c>
      <c r="N114" s="131">
        <f t="shared" si="72"/>
        <v>0.37</v>
      </c>
      <c r="O114" s="131">
        <f t="shared" si="73"/>
        <v>0.37</v>
      </c>
      <c r="P114" s="55">
        <f t="shared" si="74"/>
        <v>0</v>
      </c>
      <c r="Q114" s="135">
        <f>_xll.xSPRDOPT(I114,H114,AQ114,0,O114,N114,P114,D114-$G$5,1,0)*AH114*AU114</f>
        <v>0</v>
      </c>
      <c r="R114" s="135"/>
      <c r="S114" s="181">
        <f>_xll.xSPRDOPT(I114,H114,AQ114,AT114,O114,N114,P114,D114-$G$5,1,2)*AF114*(F114/(1-AR114))*AH114</f>
        <v>0</v>
      </c>
      <c r="T114" s="181">
        <f>_xll.xSPRDOPT(I114,H114,AQ114,AT114,O114,N114,P114,D114-$G$5,1,1)*AF114*F114*AH114</f>
        <v>0</v>
      </c>
      <c r="U114" s="135"/>
      <c r="V114" s="146">
        <f t="shared" si="57"/>
        <v>0</v>
      </c>
      <c r="W114" s="146"/>
      <c r="X114" s="338">
        <f t="shared" si="58"/>
        <v>0</v>
      </c>
      <c r="Y114" s="338">
        <f t="shared" si="18"/>
        <v>0</v>
      </c>
      <c r="Z114" s="338">
        <f t="shared" si="19"/>
        <v>0</v>
      </c>
      <c r="AA114" s="338">
        <f t="shared" si="20"/>
        <v>0</v>
      </c>
      <c r="AB114" s="338">
        <f t="shared" si="59"/>
        <v>0</v>
      </c>
      <c r="AC114" s="338">
        <f t="shared" si="60"/>
        <v>0</v>
      </c>
      <c r="AF114" s="138">
        <f t="shared" si="61"/>
        <v>0</v>
      </c>
      <c r="AG114" s="138">
        <f t="shared" si="62"/>
        <v>11</v>
      </c>
      <c r="AH114" s="138">
        <f t="shared" si="63"/>
        <v>0</v>
      </c>
      <c r="AI114" s="138">
        <f t="shared" si="75"/>
        <v>684</v>
      </c>
      <c r="AJ114" s="138">
        <f t="shared" si="64"/>
        <v>701</v>
      </c>
      <c r="AL114" s="136">
        <f t="shared" si="27"/>
        <v>3.4020000000000001</v>
      </c>
      <c r="AM114" s="258">
        <f t="shared" si="48"/>
        <v>0</v>
      </c>
      <c r="AN114" s="258">
        <f t="shared" si="28"/>
        <v>0.03</v>
      </c>
      <c r="AO114" s="258">
        <f t="shared" si="29"/>
        <v>6.5000000000000002E-2</v>
      </c>
      <c r="AP114" s="258">
        <f t="shared" si="30"/>
        <v>0</v>
      </c>
      <c r="AQ114" s="136">
        <f t="shared" si="65"/>
        <v>5.9999999999999995E-4</v>
      </c>
      <c r="AR114" s="137">
        <f t="shared" si="32"/>
        <v>4.0000000000000001E-3</v>
      </c>
      <c r="AS114" s="136">
        <f t="shared" si="76"/>
        <v>3.4319999999999999</v>
      </c>
      <c r="AT114" s="137">
        <f t="shared" si="66"/>
        <v>3.4836153967131397E-2</v>
      </c>
      <c r="AU114" s="137">
        <f t="shared" si="34"/>
        <v>0</v>
      </c>
      <c r="AV114" s="394">
        <f t="shared" si="77"/>
        <v>0</v>
      </c>
      <c r="AW114" s="137">
        <f t="shared" si="35"/>
        <v>0.37</v>
      </c>
      <c r="AX114" s="137">
        <f t="shared" si="36"/>
        <v>0.93</v>
      </c>
      <c r="AY114" s="137">
        <f t="shared" si="37"/>
        <v>0.83</v>
      </c>
      <c r="AZ114" s="137"/>
      <c r="BA114" s="264"/>
      <c r="BB114" s="258">
        <f t="shared" si="38"/>
        <v>0</v>
      </c>
      <c r="BC114" s="258">
        <f t="shared" si="67"/>
        <v>0</v>
      </c>
      <c r="BD114" s="137">
        <f t="shared" si="68"/>
        <v>0</v>
      </c>
      <c r="BE114" s="137">
        <f t="shared" si="68"/>
        <v>0</v>
      </c>
      <c r="BF114" s="137">
        <f>_xll.xSPRDOPT($BW114,$BV114,$CG114,0,$BY114,$BX114,$BZ114,$AJ114,1,4)*$CB114</f>
        <v>0</v>
      </c>
      <c r="BG114" s="137">
        <f>_xll.xSPRDOPT($BW114,$BV114,$CG114,0,$BY114,$BX114,$BZ114,$AJ114,1,3)*$CB114</f>
        <v>0</v>
      </c>
      <c r="BH114" s="137">
        <f>IF(OR(BF114&lt;&gt;0,BG114&lt;&gt;0),_xll.xSPRDOPT($BW114,$BV114,$CG114,0,$BY114,$BX114,$BZ114,$AJ114,1,12)*$CB114,0)</f>
        <v>0</v>
      </c>
      <c r="BI114" s="137">
        <f>_xll.xSPRDOPT($BW114,$BV114,$CG114,2*LN(1+CA114/2),$BY114,$BX114,$BZ114,$AJ114,1,9)</f>
        <v>-0.1962573973095959</v>
      </c>
      <c r="BJ114" s="137">
        <f>_xll.xSPRDOPT($BW114,$BV114,$CG114,0,$BY114,$BX114,$BZ114,$AJ114,1,6)*$CB114</f>
        <v>0</v>
      </c>
      <c r="BK114" s="137">
        <f>_xll.xSPRDOPT($BW114,$BV114,$CG114,0,$BY114,$BX114,$BZ114,$AJ114,1,5)*$CB114</f>
        <v>0</v>
      </c>
      <c r="BL114" s="137">
        <f>_xll.xSPRDOPT(BW114,BV114,CG114,0,BY114,BX114,BZ114,AJ114,1,2)*CB114</f>
        <v>0</v>
      </c>
      <c r="BM114" s="137">
        <f>_xll.xSPRDOPT(BW114,BV114,CG114,0,BY114,BX114,BZ114,AJ114,1,1)*CB114</f>
        <v>0</v>
      </c>
      <c r="BN114" s="137">
        <f>IF(AH114&lt;&gt;0,_xll.xSPRDOPT($BW114,$BV114,$CG114,2*LN(1+CA114/2),$BY114,$BX114,$BZ114,$AJ114,1,8)+(AJ114/365.25)*CH114/AH114,0)</f>
        <v>0</v>
      </c>
      <c r="BO114" s="137">
        <f>_xll.xSPRDOPT($BW114,$BV114,$CG114,0,$BY114,$BX114,$BZ114,$AJ114,1,0)</f>
        <v>0.98844982808400417</v>
      </c>
      <c r="BP114" s="137"/>
      <c r="BQ114" s="137"/>
      <c r="BR114" s="137"/>
      <c r="BS114" s="137"/>
      <c r="BV114" s="262">
        <v>3.4457831325301203</v>
      </c>
      <c r="BW114" s="136">
        <v>3.4670000000000001</v>
      </c>
      <c r="BX114" s="137">
        <v>0.37</v>
      </c>
      <c r="BY114" s="137">
        <v>0.37</v>
      </c>
      <c r="BZ114" s="137">
        <v>0</v>
      </c>
      <c r="CA114" s="137">
        <v>3.4836153967131397E-2</v>
      </c>
      <c r="CB114" s="137">
        <v>0</v>
      </c>
      <c r="CC114" s="258">
        <v>0</v>
      </c>
      <c r="CD114" s="258">
        <v>0.03</v>
      </c>
      <c r="CE114" s="258">
        <v>6.5000000000000002E-2</v>
      </c>
      <c r="CF114" s="258">
        <v>0</v>
      </c>
      <c r="CG114" s="258">
        <v>5.9999999999999995E-4</v>
      </c>
      <c r="CH114" s="258">
        <v>0</v>
      </c>
      <c r="CI114" s="258">
        <v>3.4020000000000001</v>
      </c>
      <c r="CJ114" s="258"/>
      <c r="CK114" s="258"/>
      <c r="CL114" s="258"/>
      <c r="CM114" s="258"/>
    </row>
    <row r="115" spans="1:91" x14ac:dyDescent="0.25">
      <c r="A115" s="723"/>
      <c r="B115" s="723"/>
      <c r="D115" s="31">
        <f t="shared" si="69"/>
        <v>37940</v>
      </c>
      <c r="F115" s="28">
        <f t="shared" si="53"/>
        <v>27600</v>
      </c>
      <c r="G115" s="28">
        <f t="shared" si="54"/>
        <v>0</v>
      </c>
      <c r="H115" s="52">
        <f t="shared" si="55"/>
        <v>3.4457831325301203</v>
      </c>
      <c r="I115" s="52">
        <f t="shared" si="56"/>
        <v>3.4670000000000001</v>
      </c>
      <c r="K115" s="52">
        <f t="shared" si="70"/>
        <v>0</v>
      </c>
      <c r="L115" s="135">
        <f t="shared" si="71"/>
        <v>0</v>
      </c>
      <c r="N115" s="131">
        <f t="shared" si="72"/>
        <v>0.37</v>
      </c>
      <c r="O115" s="131">
        <f t="shared" si="73"/>
        <v>0.37</v>
      </c>
      <c r="P115" s="55">
        <f t="shared" si="74"/>
        <v>0</v>
      </c>
      <c r="Q115" s="135">
        <f>_xll.xSPRDOPT(I115,H115,AQ115,0,O115,N115,P115,D115-$G$5,1,0)*AH115*AU115</f>
        <v>0</v>
      </c>
      <c r="R115" s="135"/>
      <c r="S115" s="181">
        <f>_xll.xSPRDOPT(I115,H115,AQ115,AT115,O115,N115,P115,D115-$G$5,1,2)*AF115*(F115/(1-AR115))*AH115</f>
        <v>0</v>
      </c>
      <c r="T115" s="181">
        <f>_xll.xSPRDOPT(I115,H115,AQ115,AT115,O115,N115,P115,D115-$G$5,1,1)*AF115*F115*AH115</f>
        <v>0</v>
      </c>
      <c r="U115" s="135"/>
      <c r="V115" s="146">
        <f t="shared" si="57"/>
        <v>0</v>
      </c>
      <c r="W115" s="146"/>
      <c r="X115" s="338">
        <f t="shared" si="58"/>
        <v>0</v>
      </c>
      <c r="Y115" s="338">
        <f t="shared" si="18"/>
        <v>0</v>
      </c>
      <c r="Z115" s="338">
        <f t="shared" si="19"/>
        <v>0</v>
      </c>
      <c r="AA115" s="338">
        <f t="shared" si="20"/>
        <v>0</v>
      </c>
      <c r="AB115" s="338">
        <f t="shared" si="59"/>
        <v>0</v>
      </c>
      <c r="AC115" s="338">
        <f t="shared" si="60"/>
        <v>0</v>
      </c>
      <c r="AF115" s="138">
        <f t="shared" si="61"/>
        <v>0</v>
      </c>
      <c r="AG115" s="138">
        <f t="shared" si="62"/>
        <v>11</v>
      </c>
      <c r="AH115" s="138">
        <f t="shared" si="63"/>
        <v>0</v>
      </c>
      <c r="AI115" s="138">
        <f t="shared" si="75"/>
        <v>684</v>
      </c>
      <c r="AJ115" s="138">
        <f t="shared" si="64"/>
        <v>701</v>
      </c>
      <c r="AL115" s="136">
        <f t="shared" si="27"/>
        <v>3.4020000000000001</v>
      </c>
      <c r="AM115" s="258">
        <f t="shared" si="48"/>
        <v>0</v>
      </c>
      <c r="AN115" s="258">
        <f t="shared" si="28"/>
        <v>0.03</v>
      </c>
      <c r="AO115" s="258">
        <f t="shared" si="29"/>
        <v>6.5000000000000002E-2</v>
      </c>
      <c r="AP115" s="258">
        <f t="shared" si="30"/>
        <v>0</v>
      </c>
      <c r="AQ115" s="136">
        <f t="shared" si="65"/>
        <v>5.9999999999999995E-4</v>
      </c>
      <c r="AR115" s="137">
        <f t="shared" si="32"/>
        <v>4.0000000000000001E-3</v>
      </c>
      <c r="AS115" s="136">
        <f t="shared" si="76"/>
        <v>3.4319999999999999</v>
      </c>
      <c r="AT115" s="137">
        <f t="shared" si="66"/>
        <v>3.4836153967131397E-2</v>
      </c>
      <c r="AU115" s="137">
        <f t="shared" si="34"/>
        <v>0</v>
      </c>
      <c r="AV115" s="394">
        <f t="shared" si="77"/>
        <v>0</v>
      </c>
      <c r="AW115" s="137">
        <f t="shared" si="35"/>
        <v>0.37</v>
      </c>
      <c r="AX115" s="137">
        <f t="shared" si="36"/>
        <v>0.93</v>
      </c>
      <c r="AY115" s="137">
        <f t="shared" si="37"/>
        <v>0.83</v>
      </c>
      <c r="AZ115" s="137"/>
      <c r="BA115" s="264"/>
      <c r="BB115" s="258">
        <f t="shared" si="38"/>
        <v>0</v>
      </c>
      <c r="BC115" s="258">
        <f t="shared" si="67"/>
        <v>0</v>
      </c>
      <c r="BD115" s="137">
        <f t="shared" si="68"/>
        <v>0</v>
      </c>
      <c r="BE115" s="137">
        <f t="shared" si="68"/>
        <v>0</v>
      </c>
      <c r="BF115" s="137">
        <f>_xll.xSPRDOPT($BW115,$BV115,$CG115,0,$BY115,$BX115,$BZ115,$AJ115,1,4)*$CB115</f>
        <v>0</v>
      </c>
      <c r="BG115" s="137">
        <f>_xll.xSPRDOPT($BW115,$BV115,$CG115,0,$BY115,$BX115,$BZ115,$AJ115,1,3)*$CB115</f>
        <v>0</v>
      </c>
      <c r="BH115" s="137">
        <f>IF(OR(BF115&lt;&gt;0,BG115&lt;&gt;0),_xll.xSPRDOPT($BW115,$BV115,$CG115,0,$BY115,$BX115,$BZ115,$AJ115,1,12)*$CB115,0)</f>
        <v>0</v>
      </c>
      <c r="BI115" s="137">
        <f>_xll.xSPRDOPT($BW115,$BV115,$CG115,2*LN(1+CA115/2),$BY115,$BX115,$BZ115,$AJ115,1,9)</f>
        <v>-0.1962573973095959</v>
      </c>
      <c r="BJ115" s="137">
        <f>_xll.xSPRDOPT($BW115,$BV115,$CG115,0,$BY115,$BX115,$BZ115,$AJ115,1,6)*$CB115</f>
        <v>0</v>
      </c>
      <c r="BK115" s="137">
        <f>_xll.xSPRDOPT($BW115,$BV115,$CG115,0,$BY115,$BX115,$BZ115,$AJ115,1,5)*$CB115</f>
        <v>0</v>
      </c>
      <c r="BL115" s="137">
        <f>_xll.xSPRDOPT(BW115,BV115,CG115,0,BY115,BX115,BZ115,AJ115,1,2)*CB115</f>
        <v>0</v>
      </c>
      <c r="BM115" s="137">
        <f>_xll.xSPRDOPT(BW115,BV115,CG115,0,BY115,BX115,BZ115,AJ115,1,1)*CB115</f>
        <v>0</v>
      </c>
      <c r="BN115" s="137">
        <f>IF(AH115&lt;&gt;0,_xll.xSPRDOPT($BW115,$BV115,$CG115,2*LN(1+CA115/2),$BY115,$BX115,$BZ115,$AJ115,1,8)+(AJ115/365.25)*CH115/AH115,0)</f>
        <v>0</v>
      </c>
      <c r="BO115" s="137">
        <f>_xll.xSPRDOPT($BW115,$BV115,$CG115,0,$BY115,$BX115,$BZ115,$AJ115,1,0)</f>
        <v>0.98844982808400417</v>
      </c>
      <c r="BP115" s="137"/>
      <c r="BQ115" s="137"/>
      <c r="BR115" s="137"/>
      <c r="BS115" s="137"/>
      <c r="BV115" s="262">
        <v>3.4457831325301203</v>
      </c>
      <c r="BW115" s="136">
        <v>3.4670000000000001</v>
      </c>
      <c r="BX115" s="137">
        <v>0.37</v>
      </c>
      <c r="BY115" s="137">
        <v>0.37</v>
      </c>
      <c r="BZ115" s="137">
        <v>0</v>
      </c>
      <c r="CA115" s="137">
        <v>3.4836153967131397E-2</v>
      </c>
      <c r="CB115" s="137">
        <v>0</v>
      </c>
      <c r="CC115" s="258">
        <v>0</v>
      </c>
      <c r="CD115" s="258">
        <v>0.03</v>
      </c>
      <c r="CE115" s="258">
        <v>6.5000000000000002E-2</v>
      </c>
      <c r="CF115" s="258">
        <v>0</v>
      </c>
      <c r="CG115" s="258">
        <v>5.9999999999999995E-4</v>
      </c>
      <c r="CH115" s="258">
        <v>0</v>
      </c>
      <c r="CI115" s="258">
        <v>3.4020000000000001</v>
      </c>
      <c r="CJ115" s="258"/>
      <c r="CK115" s="258"/>
      <c r="CL115" s="258"/>
      <c r="CM115" s="258"/>
    </row>
    <row r="116" spans="1:91" x14ac:dyDescent="0.25">
      <c r="A116" s="723"/>
      <c r="B116" s="723"/>
      <c r="D116" s="31">
        <f t="shared" si="69"/>
        <v>37940</v>
      </c>
      <c r="F116" s="28">
        <f t="shared" si="53"/>
        <v>27600</v>
      </c>
      <c r="G116" s="28">
        <f t="shared" si="54"/>
        <v>0</v>
      </c>
      <c r="H116" s="52">
        <f t="shared" si="55"/>
        <v>3.4457831325301203</v>
      </c>
      <c r="I116" s="52">
        <f t="shared" si="56"/>
        <v>3.4670000000000001</v>
      </c>
      <c r="K116" s="52">
        <f t="shared" si="70"/>
        <v>0</v>
      </c>
      <c r="L116" s="135">
        <f t="shared" si="71"/>
        <v>0</v>
      </c>
      <c r="N116" s="131">
        <f t="shared" si="72"/>
        <v>0.37</v>
      </c>
      <c r="O116" s="131">
        <f t="shared" si="73"/>
        <v>0.37</v>
      </c>
      <c r="P116" s="55">
        <f t="shared" si="74"/>
        <v>0</v>
      </c>
      <c r="Q116" s="135">
        <f>_xll.xSPRDOPT(I116,H116,AQ116,0,O116,N116,P116,D116-$G$5,1,0)*AH116*AU116</f>
        <v>0</v>
      </c>
      <c r="R116" s="135"/>
      <c r="S116" s="181">
        <f>_xll.xSPRDOPT(I116,H116,AQ116,AT116,O116,N116,P116,D116-$G$5,1,2)*AF116*(F116/(1-AR116))*AH116</f>
        <v>0</v>
      </c>
      <c r="T116" s="181">
        <f>_xll.xSPRDOPT(I116,H116,AQ116,AT116,O116,N116,P116,D116-$G$5,1,1)*AF116*F116*AH116</f>
        <v>0</v>
      </c>
      <c r="U116" s="135"/>
      <c r="V116" s="146">
        <f t="shared" si="57"/>
        <v>0</v>
      </c>
      <c r="W116" s="146"/>
      <c r="X116" s="338">
        <f t="shared" si="58"/>
        <v>0</v>
      </c>
      <c r="Y116" s="338">
        <f t="shared" si="18"/>
        <v>0</v>
      </c>
      <c r="Z116" s="338">
        <f t="shared" si="19"/>
        <v>0</v>
      </c>
      <c r="AA116" s="338">
        <f t="shared" si="20"/>
        <v>0</v>
      </c>
      <c r="AB116" s="338">
        <f t="shared" si="59"/>
        <v>0</v>
      </c>
      <c r="AC116" s="338">
        <f t="shared" si="60"/>
        <v>0</v>
      </c>
      <c r="AF116" s="138">
        <f t="shared" si="61"/>
        <v>0</v>
      </c>
      <c r="AG116" s="138">
        <f t="shared" si="62"/>
        <v>11</v>
      </c>
      <c r="AH116" s="138">
        <f t="shared" si="63"/>
        <v>0</v>
      </c>
      <c r="AI116" s="138">
        <f t="shared" si="75"/>
        <v>684</v>
      </c>
      <c r="AJ116" s="138">
        <f t="shared" si="64"/>
        <v>701</v>
      </c>
      <c r="AL116" s="136">
        <f t="shared" si="27"/>
        <v>3.4020000000000001</v>
      </c>
      <c r="AM116" s="258">
        <f t="shared" si="48"/>
        <v>0</v>
      </c>
      <c r="AN116" s="258">
        <f t="shared" si="28"/>
        <v>0.03</v>
      </c>
      <c r="AO116" s="258">
        <f t="shared" si="29"/>
        <v>6.5000000000000002E-2</v>
      </c>
      <c r="AP116" s="258">
        <f t="shared" si="30"/>
        <v>0</v>
      </c>
      <c r="AQ116" s="136">
        <f t="shared" si="65"/>
        <v>5.9999999999999995E-4</v>
      </c>
      <c r="AR116" s="137">
        <f t="shared" si="32"/>
        <v>4.0000000000000001E-3</v>
      </c>
      <c r="AS116" s="136">
        <f t="shared" si="76"/>
        <v>3.4319999999999999</v>
      </c>
      <c r="AT116" s="137">
        <f t="shared" si="66"/>
        <v>3.4836153967131397E-2</v>
      </c>
      <c r="AU116" s="137">
        <f t="shared" si="34"/>
        <v>0</v>
      </c>
      <c r="AV116" s="394">
        <f t="shared" si="77"/>
        <v>0</v>
      </c>
      <c r="AW116" s="137">
        <f t="shared" si="35"/>
        <v>0.37</v>
      </c>
      <c r="AX116" s="137">
        <f t="shared" si="36"/>
        <v>0.93</v>
      </c>
      <c r="AY116" s="137">
        <f t="shared" si="37"/>
        <v>0.83</v>
      </c>
      <c r="AZ116" s="137"/>
      <c r="BA116" s="264"/>
      <c r="BB116" s="258">
        <f t="shared" si="38"/>
        <v>0</v>
      </c>
      <c r="BC116" s="258">
        <f t="shared" si="67"/>
        <v>0</v>
      </c>
      <c r="BD116" s="137">
        <f t="shared" si="68"/>
        <v>0</v>
      </c>
      <c r="BE116" s="137">
        <f t="shared" si="68"/>
        <v>0</v>
      </c>
      <c r="BF116" s="137">
        <f>_xll.xSPRDOPT($BW116,$BV116,$CG116,0,$BY116,$BX116,$BZ116,$AJ116,1,4)*$CB116</f>
        <v>0</v>
      </c>
      <c r="BG116" s="137">
        <f>_xll.xSPRDOPT($BW116,$BV116,$CG116,0,$BY116,$BX116,$BZ116,$AJ116,1,3)*$CB116</f>
        <v>0</v>
      </c>
      <c r="BH116" s="137">
        <f>IF(OR(BF116&lt;&gt;0,BG116&lt;&gt;0),_xll.xSPRDOPT($BW116,$BV116,$CG116,0,$BY116,$BX116,$BZ116,$AJ116,1,12)*$CB116,0)</f>
        <v>0</v>
      </c>
      <c r="BI116" s="137">
        <f>_xll.xSPRDOPT($BW116,$BV116,$CG116,2*LN(1+CA116/2),$BY116,$BX116,$BZ116,$AJ116,1,9)</f>
        <v>-0.1962573973095959</v>
      </c>
      <c r="BJ116" s="137">
        <f>_xll.xSPRDOPT($BW116,$BV116,$CG116,0,$BY116,$BX116,$BZ116,$AJ116,1,6)*$CB116</f>
        <v>0</v>
      </c>
      <c r="BK116" s="137">
        <f>_xll.xSPRDOPT($BW116,$BV116,$CG116,0,$BY116,$BX116,$BZ116,$AJ116,1,5)*$CB116</f>
        <v>0</v>
      </c>
      <c r="BL116" s="137">
        <f>_xll.xSPRDOPT(BW116,BV116,CG116,0,BY116,BX116,BZ116,AJ116,1,2)*CB116</f>
        <v>0</v>
      </c>
      <c r="BM116" s="137">
        <f>_xll.xSPRDOPT(BW116,BV116,CG116,0,BY116,BX116,BZ116,AJ116,1,1)*CB116</f>
        <v>0</v>
      </c>
      <c r="BN116" s="137">
        <f>IF(AH116&lt;&gt;0,_xll.xSPRDOPT($BW116,$BV116,$CG116,2*LN(1+CA116/2),$BY116,$BX116,$BZ116,$AJ116,1,8)+(AJ116/365.25)*CH116/AH116,0)</f>
        <v>0</v>
      </c>
      <c r="BO116" s="137">
        <f>_xll.xSPRDOPT($BW116,$BV116,$CG116,0,$BY116,$BX116,$BZ116,$AJ116,1,0)</f>
        <v>0.98844982808400417</v>
      </c>
      <c r="BP116" s="137"/>
      <c r="BQ116" s="137"/>
      <c r="BR116" s="137"/>
      <c r="BS116" s="137"/>
      <c r="BV116" s="262">
        <v>3.4457831325301203</v>
      </c>
      <c r="BW116" s="136">
        <v>3.4670000000000001</v>
      </c>
      <c r="BX116" s="137">
        <v>0.37</v>
      </c>
      <c r="BY116" s="137">
        <v>0.37</v>
      </c>
      <c r="BZ116" s="137">
        <v>0</v>
      </c>
      <c r="CA116" s="137">
        <v>3.4836153967131397E-2</v>
      </c>
      <c r="CB116" s="137">
        <v>0</v>
      </c>
      <c r="CC116" s="258">
        <v>0</v>
      </c>
      <c r="CD116" s="258">
        <v>0.03</v>
      </c>
      <c r="CE116" s="258">
        <v>6.5000000000000002E-2</v>
      </c>
      <c r="CF116" s="258">
        <v>0</v>
      </c>
      <c r="CG116" s="258">
        <v>5.9999999999999995E-4</v>
      </c>
      <c r="CH116" s="258">
        <v>0</v>
      </c>
      <c r="CI116" s="258">
        <v>3.4020000000000001</v>
      </c>
      <c r="CJ116" s="258"/>
      <c r="CK116" s="258"/>
      <c r="CL116" s="258"/>
      <c r="CM116" s="258"/>
    </row>
    <row r="117" spans="1:91" x14ac:dyDescent="0.25">
      <c r="A117" s="723"/>
      <c r="B117" s="723"/>
      <c r="D117" s="31">
        <f t="shared" si="69"/>
        <v>37940</v>
      </c>
      <c r="F117" s="28">
        <f t="shared" si="53"/>
        <v>27600</v>
      </c>
      <c r="G117" s="28">
        <f t="shared" si="54"/>
        <v>0</v>
      </c>
      <c r="H117" s="52">
        <f t="shared" si="55"/>
        <v>3.4457831325301203</v>
      </c>
      <c r="I117" s="52">
        <f t="shared" si="56"/>
        <v>3.4670000000000001</v>
      </c>
      <c r="K117" s="52">
        <f t="shared" si="70"/>
        <v>0</v>
      </c>
      <c r="L117" s="135">
        <f t="shared" si="71"/>
        <v>0</v>
      </c>
      <c r="N117" s="131">
        <f t="shared" si="72"/>
        <v>0.37</v>
      </c>
      <c r="O117" s="131">
        <f t="shared" si="73"/>
        <v>0.37</v>
      </c>
      <c r="P117" s="55">
        <f t="shared" si="74"/>
        <v>0</v>
      </c>
      <c r="Q117" s="135">
        <f>_xll.xSPRDOPT(I117,H117,AQ117,0,O117,N117,P117,D117-$G$5,1,0)*AH117*AU117</f>
        <v>0</v>
      </c>
      <c r="R117" s="135"/>
      <c r="S117" s="181">
        <f>_xll.xSPRDOPT(I117,H117,AQ117,AT117,O117,N117,P117,D117-$G$5,1,2)*AF117*(F117/(1-AR117))*AH117</f>
        <v>0</v>
      </c>
      <c r="T117" s="181">
        <f>_xll.xSPRDOPT(I117,H117,AQ117,AT117,O117,N117,P117,D117-$G$5,1,1)*AF117*F117*AH117</f>
        <v>0</v>
      </c>
      <c r="U117" s="135"/>
      <c r="V117" s="146">
        <f t="shared" si="57"/>
        <v>0</v>
      </c>
      <c r="W117" s="146"/>
      <c r="X117" s="338">
        <f t="shared" si="58"/>
        <v>0</v>
      </c>
      <c r="Y117" s="338">
        <f t="shared" si="18"/>
        <v>0</v>
      </c>
      <c r="Z117" s="338">
        <f t="shared" si="19"/>
        <v>0</v>
      </c>
      <c r="AA117" s="338">
        <f t="shared" si="20"/>
        <v>0</v>
      </c>
      <c r="AB117" s="338">
        <f t="shared" si="59"/>
        <v>0</v>
      </c>
      <c r="AC117" s="338">
        <f t="shared" si="60"/>
        <v>0</v>
      </c>
      <c r="AF117" s="138">
        <f t="shared" si="61"/>
        <v>0</v>
      </c>
      <c r="AG117" s="138">
        <f t="shared" si="62"/>
        <v>11</v>
      </c>
      <c r="AH117" s="138">
        <f t="shared" si="63"/>
        <v>0</v>
      </c>
      <c r="AI117" s="138">
        <f t="shared" si="75"/>
        <v>684</v>
      </c>
      <c r="AJ117" s="138">
        <f t="shared" si="64"/>
        <v>701</v>
      </c>
      <c r="AL117" s="136">
        <f t="shared" si="27"/>
        <v>3.4020000000000001</v>
      </c>
      <c r="AM117" s="258">
        <f t="shared" si="48"/>
        <v>0</v>
      </c>
      <c r="AN117" s="258">
        <f t="shared" si="28"/>
        <v>0.03</v>
      </c>
      <c r="AO117" s="258">
        <f t="shared" si="29"/>
        <v>6.5000000000000002E-2</v>
      </c>
      <c r="AP117" s="258">
        <f t="shared" si="30"/>
        <v>0</v>
      </c>
      <c r="AQ117" s="136">
        <f t="shared" si="65"/>
        <v>5.9999999999999995E-4</v>
      </c>
      <c r="AR117" s="137">
        <f t="shared" si="32"/>
        <v>4.0000000000000001E-3</v>
      </c>
      <c r="AS117" s="136">
        <f t="shared" si="76"/>
        <v>3.4319999999999999</v>
      </c>
      <c r="AT117" s="137">
        <f t="shared" si="66"/>
        <v>3.4836153967131397E-2</v>
      </c>
      <c r="AU117" s="137">
        <f t="shared" si="34"/>
        <v>0</v>
      </c>
      <c r="AV117" s="394">
        <f t="shared" si="77"/>
        <v>0</v>
      </c>
      <c r="AW117" s="137">
        <f t="shared" si="35"/>
        <v>0.37</v>
      </c>
      <c r="AX117" s="137">
        <f t="shared" si="36"/>
        <v>0.93</v>
      </c>
      <c r="AY117" s="137">
        <f t="shared" si="37"/>
        <v>0.83</v>
      </c>
      <c r="AZ117" s="137"/>
      <c r="BA117" s="264"/>
      <c r="BB117" s="258">
        <f t="shared" si="38"/>
        <v>0</v>
      </c>
      <c r="BC117" s="258">
        <f t="shared" si="67"/>
        <v>0</v>
      </c>
      <c r="BD117" s="137">
        <f t="shared" si="68"/>
        <v>0</v>
      </c>
      <c r="BE117" s="137">
        <f t="shared" si="68"/>
        <v>0</v>
      </c>
      <c r="BF117" s="137">
        <f>_xll.xSPRDOPT($BW117,$BV117,$CG117,0,$BY117,$BX117,$BZ117,$AJ117,1,4)*$CB117</f>
        <v>0</v>
      </c>
      <c r="BG117" s="137">
        <f>_xll.xSPRDOPT($BW117,$BV117,$CG117,0,$BY117,$BX117,$BZ117,$AJ117,1,3)*$CB117</f>
        <v>0</v>
      </c>
      <c r="BH117" s="137">
        <f>IF(OR(BF117&lt;&gt;0,BG117&lt;&gt;0),_xll.xSPRDOPT($BW117,$BV117,$CG117,0,$BY117,$BX117,$BZ117,$AJ117,1,12)*$CB117,0)</f>
        <v>0</v>
      </c>
      <c r="BI117" s="137">
        <f>_xll.xSPRDOPT($BW117,$BV117,$CG117,2*LN(1+CA117/2),$BY117,$BX117,$BZ117,$AJ117,1,9)</f>
        <v>-0.1962573973095959</v>
      </c>
      <c r="BJ117" s="137">
        <f>_xll.xSPRDOPT($BW117,$BV117,$CG117,0,$BY117,$BX117,$BZ117,$AJ117,1,6)*$CB117</f>
        <v>0</v>
      </c>
      <c r="BK117" s="137">
        <f>_xll.xSPRDOPT($BW117,$BV117,$CG117,0,$BY117,$BX117,$BZ117,$AJ117,1,5)*$CB117</f>
        <v>0</v>
      </c>
      <c r="BL117" s="137">
        <f>_xll.xSPRDOPT(BW117,BV117,CG117,0,BY117,BX117,BZ117,AJ117,1,2)*CB117</f>
        <v>0</v>
      </c>
      <c r="BM117" s="137">
        <f>_xll.xSPRDOPT(BW117,BV117,CG117,0,BY117,BX117,BZ117,AJ117,1,1)*CB117</f>
        <v>0</v>
      </c>
      <c r="BN117" s="137">
        <f>IF(AH117&lt;&gt;0,_xll.xSPRDOPT($BW117,$BV117,$CG117,2*LN(1+CA117/2),$BY117,$BX117,$BZ117,$AJ117,1,8)+(AJ117/365.25)*CH117/AH117,0)</f>
        <v>0</v>
      </c>
      <c r="BO117" s="137">
        <f>_xll.xSPRDOPT($BW117,$BV117,$CG117,0,$BY117,$BX117,$BZ117,$AJ117,1,0)</f>
        <v>0.98844982808400417</v>
      </c>
      <c r="BP117" s="137"/>
      <c r="BQ117" s="137"/>
      <c r="BR117" s="137"/>
      <c r="BS117" s="137"/>
      <c r="BV117" s="262">
        <v>3.4457831325301203</v>
      </c>
      <c r="BW117" s="136">
        <v>3.4670000000000001</v>
      </c>
      <c r="BX117" s="137">
        <v>0.37</v>
      </c>
      <c r="BY117" s="137">
        <v>0.37</v>
      </c>
      <c r="BZ117" s="137">
        <v>0</v>
      </c>
      <c r="CA117" s="137">
        <v>3.4836153967131397E-2</v>
      </c>
      <c r="CB117" s="137">
        <v>0</v>
      </c>
      <c r="CC117" s="258">
        <v>0</v>
      </c>
      <c r="CD117" s="258">
        <v>0.03</v>
      </c>
      <c r="CE117" s="258">
        <v>6.5000000000000002E-2</v>
      </c>
      <c r="CF117" s="258">
        <v>0</v>
      </c>
      <c r="CG117" s="258">
        <v>5.9999999999999995E-4</v>
      </c>
      <c r="CH117" s="258">
        <v>0</v>
      </c>
      <c r="CI117" s="258">
        <v>3.4020000000000001</v>
      </c>
      <c r="CJ117" s="258"/>
      <c r="CK117" s="258"/>
      <c r="CL117" s="258"/>
      <c r="CM117" s="258"/>
    </row>
    <row r="118" spans="1:91" x14ac:dyDescent="0.25">
      <c r="A118" s="723"/>
      <c r="B118" s="723"/>
    </row>
    <row r="119" spans="1:91" x14ac:dyDescent="0.25">
      <c r="A119" s="723"/>
      <c r="B119" s="723"/>
    </row>
    <row r="120" spans="1:91" x14ac:dyDescent="0.25">
      <c r="A120" s="723"/>
      <c r="B120" s="723"/>
    </row>
    <row r="121" spans="1:91" x14ac:dyDescent="0.25">
      <c r="A121" s="723"/>
      <c r="B121" s="723"/>
    </row>
    <row r="122" spans="1:91" x14ac:dyDescent="0.25">
      <c r="A122" s="723"/>
      <c r="B122" s="723"/>
    </row>
    <row r="123" spans="1:91" x14ac:dyDescent="0.25">
      <c r="A123" s="723"/>
      <c r="B123" s="723"/>
    </row>
    <row r="124" spans="1:91" x14ac:dyDescent="0.25">
      <c r="A124" s="723"/>
      <c r="B124" s="723"/>
    </row>
    <row r="125" spans="1:91" x14ac:dyDescent="0.25">
      <c r="A125" s="723"/>
      <c r="B125" s="723"/>
    </row>
    <row r="126" spans="1:91" x14ac:dyDescent="0.25">
      <c r="A126" s="723"/>
      <c r="B126" s="723"/>
    </row>
    <row r="127" spans="1:91" x14ac:dyDescent="0.25">
      <c r="A127" s="723"/>
      <c r="B127" s="723"/>
    </row>
    <row r="128" spans="1:91" x14ac:dyDescent="0.25">
      <c r="A128" s="723"/>
      <c r="B128" s="723"/>
    </row>
    <row r="129" spans="1:2" x14ac:dyDescent="0.25">
      <c r="A129" s="723"/>
      <c r="B129" s="723"/>
    </row>
  </sheetData>
  <sheetCalcPr fullCalcOnLoad="1"/>
  <mergeCells count="133">
    <mergeCell ref="A123:B123"/>
    <mergeCell ref="A124:B124"/>
    <mergeCell ref="A129:B129"/>
    <mergeCell ref="A125:B125"/>
    <mergeCell ref="A126:B126"/>
    <mergeCell ref="A127:B127"/>
    <mergeCell ref="A128:B128"/>
    <mergeCell ref="A117:B117"/>
    <mergeCell ref="A118:B118"/>
    <mergeCell ref="A119:B119"/>
    <mergeCell ref="A120:B120"/>
    <mergeCell ref="A121:B121"/>
    <mergeCell ref="A122:B122"/>
    <mergeCell ref="A111:B111"/>
    <mergeCell ref="A112:B112"/>
    <mergeCell ref="A113:B113"/>
    <mergeCell ref="A114:B114"/>
    <mergeCell ref="A115:B115"/>
    <mergeCell ref="A116:B116"/>
    <mergeCell ref="A105:B105"/>
    <mergeCell ref="A106:B106"/>
    <mergeCell ref="A107:B107"/>
    <mergeCell ref="A108:B108"/>
    <mergeCell ref="A109:B109"/>
    <mergeCell ref="A110:B110"/>
    <mergeCell ref="A99:B99"/>
    <mergeCell ref="A100:B100"/>
    <mergeCell ref="A101:B101"/>
    <mergeCell ref="A102:B102"/>
    <mergeCell ref="A103:B103"/>
    <mergeCell ref="A104:B104"/>
    <mergeCell ref="A93:B93"/>
    <mergeCell ref="A94:B94"/>
    <mergeCell ref="A95:B95"/>
    <mergeCell ref="A96:B96"/>
    <mergeCell ref="A97:B97"/>
    <mergeCell ref="A98:B98"/>
    <mergeCell ref="A87:B87"/>
    <mergeCell ref="A88:B88"/>
    <mergeCell ref="A89:B89"/>
    <mergeCell ref="A90:B90"/>
    <mergeCell ref="A91:B91"/>
    <mergeCell ref="A92:B92"/>
    <mergeCell ref="A81:B81"/>
    <mergeCell ref="A82:B82"/>
    <mergeCell ref="A83:B83"/>
    <mergeCell ref="A84:B84"/>
    <mergeCell ref="A85:B85"/>
    <mergeCell ref="A86:B86"/>
    <mergeCell ref="A75:B75"/>
    <mergeCell ref="A76:B76"/>
    <mergeCell ref="A77:B77"/>
    <mergeCell ref="A78:B78"/>
    <mergeCell ref="A79:B79"/>
    <mergeCell ref="A80:B80"/>
    <mergeCell ref="A69:B69"/>
    <mergeCell ref="A70:B70"/>
    <mergeCell ref="A71:B71"/>
    <mergeCell ref="A72:B72"/>
    <mergeCell ref="A73:B73"/>
    <mergeCell ref="A74:B74"/>
    <mergeCell ref="A63:B63"/>
    <mergeCell ref="A64:B64"/>
    <mergeCell ref="A65:B65"/>
    <mergeCell ref="A66:B66"/>
    <mergeCell ref="A67:B67"/>
    <mergeCell ref="A68:B68"/>
    <mergeCell ref="A57:B57"/>
    <mergeCell ref="A58:B58"/>
    <mergeCell ref="A59:B59"/>
    <mergeCell ref="A60:B60"/>
    <mergeCell ref="A61:B61"/>
    <mergeCell ref="A62:B62"/>
    <mergeCell ref="A51:B51"/>
    <mergeCell ref="A52:B52"/>
    <mergeCell ref="A53:B53"/>
    <mergeCell ref="A54:B54"/>
    <mergeCell ref="A55:B55"/>
    <mergeCell ref="A56:B56"/>
    <mergeCell ref="A45:B45"/>
    <mergeCell ref="A46:B46"/>
    <mergeCell ref="A47:B47"/>
    <mergeCell ref="A48:B48"/>
    <mergeCell ref="A49:B49"/>
    <mergeCell ref="A50:B50"/>
    <mergeCell ref="A39:B39"/>
    <mergeCell ref="A40:B40"/>
    <mergeCell ref="A41:B41"/>
    <mergeCell ref="A42:B42"/>
    <mergeCell ref="A43:B43"/>
    <mergeCell ref="A44:B44"/>
    <mergeCell ref="A33:B33"/>
    <mergeCell ref="A34:B34"/>
    <mergeCell ref="A35:B35"/>
    <mergeCell ref="A36:B36"/>
    <mergeCell ref="A37:B37"/>
    <mergeCell ref="A38:B38"/>
    <mergeCell ref="A27:C27"/>
    <mergeCell ref="A28:B28"/>
    <mergeCell ref="A29:B29"/>
    <mergeCell ref="A30:B30"/>
    <mergeCell ref="A31:B31"/>
    <mergeCell ref="A32:B32"/>
    <mergeCell ref="AO20:AP20"/>
    <mergeCell ref="A22:B22"/>
    <mergeCell ref="A23:B23"/>
    <mergeCell ref="A24:B24"/>
    <mergeCell ref="A25:B25"/>
    <mergeCell ref="A26:B26"/>
    <mergeCell ref="L15:M15"/>
    <mergeCell ref="L16:M16"/>
    <mergeCell ref="L17:M17"/>
    <mergeCell ref="L18:M18"/>
    <mergeCell ref="L19:M19"/>
    <mergeCell ref="AM20:AN20"/>
    <mergeCell ref="D10:H10"/>
    <mergeCell ref="L10:M10"/>
    <mergeCell ref="L11:M11"/>
    <mergeCell ref="L12:M12"/>
    <mergeCell ref="L13:M13"/>
    <mergeCell ref="L14:M14"/>
    <mergeCell ref="L4:M4"/>
    <mergeCell ref="L5:M5"/>
    <mergeCell ref="L6:M6"/>
    <mergeCell ref="L7:M7"/>
    <mergeCell ref="L8:M8"/>
    <mergeCell ref="L9:M9"/>
    <mergeCell ref="F1:G1"/>
    <mergeCell ref="L1:P1"/>
    <mergeCell ref="AE1:AK1"/>
    <mergeCell ref="BA1:BH1"/>
    <mergeCell ref="BU1:CB1"/>
    <mergeCell ref="L3:M3"/>
  </mergeCells>
  <phoneticPr fontId="0" type="noConversion"/>
  <pageMargins left="0.75" right="0.75" top="1" bottom="1" header="0.5" footer="0.5"/>
  <headerFooter alignWithMargins="0"/>
  <drawing r:id="rId1"/>
  <legacyDrawing r:id="rId2"/>
  <mc:AlternateContent xmlns:mc="http://schemas.openxmlformats.org/markup-compatibility/2006">
    <mc:Choice Requires="x14">
      <controls>
        <mc:AlternateContent xmlns:mc="http://schemas.openxmlformats.org/markup-compatibility/2006">
          <mc:Choice Requires="x14">
            <control shapeId="187393" r:id="rId3" name="Button 1">
              <controlPr defaultSize="0" print="0" autoFill="0" autoPict="0" macro="[0]!Button74_Click">
                <anchor moveWithCells="1" sizeWithCells="1">
                  <from>
                    <xdr:col>3</xdr:col>
                    <xdr:colOff>0</xdr:colOff>
                    <xdr:row>3</xdr:row>
                    <xdr:rowOff>38100</xdr:rowOff>
                  </from>
                  <to>
                    <xdr:col>5</xdr:col>
                    <xdr:colOff>0</xdr:colOff>
                    <xdr:row>5</xdr:row>
                    <xdr:rowOff>60960</xdr:rowOff>
                  </to>
                </anchor>
              </controlPr>
            </control>
          </mc:Choice>
        </mc:AlternateContent>
        <mc:AlternateContent xmlns:mc="http://schemas.openxmlformats.org/markup-compatibility/2006">
          <mc:Choice Requires="x14">
            <control shapeId="187394" r:id="rId4" name="Button 2">
              <controlPr defaultSize="0" print="0" autoFill="0" autoPict="0" macro="[0]!Button8_Click">
                <anchor moveWithCells="1" sizeWithCells="1">
                  <from>
                    <xdr:col>3</xdr:col>
                    <xdr:colOff>0</xdr:colOff>
                    <xdr:row>5</xdr:row>
                    <xdr:rowOff>137160</xdr:rowOff>
                  </from>
                  <to>
                    <xdr:col>5</xdr:col>
                    <xdr:colOff>0</xdr:colOff>
                    <xdr:row>7</xdr:row>
                    <xdr:rowOff>144780</xdr:rowOff>
                  </to>
                </anchor>
              </controlPr>
            </control>
          </mc:Choice>
        </mc:AlternateContent>
      </controls>
    </mc:Choice>
  </mc:AlternateConten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C2:E49"/>
  <sheetViews>
    <sheetView zoomScale="80" workbookViewId="0">
      <selection activeCell="H23" sqref="H23"/>
    </sheetView>
  </sheetViews>
  <sheetFormatPr defaultColWidth="9.109375" defaultRowHeight="13.2" x14ac:dyDescent="0.25"/>
  <cols>
    <col min="1" max="2" width="3.6640625" style="92" customWidth="1"/>
    <col min="3" max="4" width="3.6640625" style="312" customWidth="1"/>
    <col min="5" max="5" width="100.6640625" style="92" customWidth="1"/>
    <col min="6" max="16384" width="9.109375" style="92"/>
  </cols>
  <sheetData>
    <row r="2" spans="3:5" x14ac:dyDescent="0.25">
      <c r="C2" s="307"/>
      <c r="D2" s="307"/>
      <c r="E2" s="308"/>
    </row>
    <row r="3" spans="3:5" x14ac:dyDescent="0.25">
      <c r="C3" s="736" t="s">
        <v>274</v>
      </c>
      <c r="D3" s="736"/>
      <c r="E3" s="736"/>
    </row>
    <row r="4" spans="3:5" x14ac:dyDescent="0.25">
      <c r="C4" s="737" t="s">
        <v>275</v>
      </c>
      <c r="D4" s="737"/>
      <c r="E4" s="737"/>
    </row>
    <row r="5" spans="3:5" x14ac:dyDescent="0.25">
      <c r="C5" s="307"/>
      <c r="D5" s="307"/>
      <c r="E5" s="308"/>
    </row>
    <row r="6" spans="3:5" x14ac:dyDescent="0.25">
      <c r="C6" s="736" t="s">
        <v>276</v>
      </c>
      <c r="D6" s="736"/>
      <c r="E6" s="736"/>
    </row>
    <row r="7" spans="3:5" x14ac:dyDescent="0.25">
      <c r="C7" s="737" t="s">
        <v>277</v>
      </c>
      <c r="D7" s="737"/>
      <c r="E7" s="737"/>
    </row>
    <row r="8" spans="3:5" x14ac:dyDescent="0.25">
      <c r="C8" s="737" t="s">
        <v>278</v>
      </c>
      <c r="D8" s="737"/>
      <c r="E8" s="737"/>
    </row>
    <row r="9" spans="3:5" x14ac:dyDescent="0.25">
      <c r="C9" s="737" t="s">
        <v>279</v>
      </c>
      <c r="D9" s="737"/>
      <c r="E9" s="737"/>
    </row>
    <row r="10" spans="3:5" x14ac:dyDescent="0.25">
      <c r="C10" s="307"/>
      <c r="D10" s="307"/>
      <c r="E10" s="308"/>
    </row>
    <row r="11" spans="3:5" x14ac:dyDescent="0.25">
      <c r="C11" s="736" t="s">
        <v>280</v>
      </c>
      <c r="D11" s="736"/>
      <c r="E11" s="736"/>
    </row>
    <row r="12" spans="3:5" x14ac:dyDescent="0.25">
      <c r="C12" s="738" t="s">
        <v>281</v>
      </c>
      <c r="D12" s="738"/>
      <c r="E12" s="738"/>
    </row>
    <row r="13" spans="3:5" ht="26.4" x14ac:dyDescent="0.25">
      <c r="C13" s="310"/>
      <c r="D13" s="310"/>
      <c r="E13" s="307" t="s">
        <v>282</v>
      </c>
    </row>
    <row r="14" spans="3:5" x14ac:dyDescent="0.25">
      <c r="C14" s="309"/>
      <c r="D14" s="309"/>
      <c r="E14" s="307"/>
    </row>
    <row r="15" spans="3:5" x14ac:dyDescent="0.25">
      <c r="C15" s="738" t="s">
        <v>283</v>
      </c>
      <c r="D15" s="738"/>
      <c r="E15" s="738"/>
    </row>
    <row r="16" spans="3:5" ht="39.6" x14ac:dyDescent="0.25">
      <c r="C16" s="307"/>
      <c r="D16" s="307"/>
      <c r="E16" s="307" t="s">
        <v>511</v>
      </c>
    </row>
    <row r="17" spans="3:5" x14ac:dyDescent="0.25">
      <c r="C17" s="737"/>
      <c r="D17" s="737"/>
      <c r="E17" s="737"/>
    </row>
    <row r="18" spans="3:5" x14ac:dyDescent="0.25">
      <c r="C18" s="738" t="s">
        <v>284</v>
      </c>
      <c r="D18" s="738"/>
      <c r="E18" s="738"/>
    </row>
    <row r="19" spans="3:5" ht="92.4" x14ac:dyDescent="0.25">
      <c r="C19" s="307"/>
      <c r="D19" s="307"/>
      <c r="E19" s="307" t="s">
        <v>512</v>
      </c>
    </row>
    <row r="20" spans="3:5" x14ac:dyDescent="0.25">
      <c r="C20" s="307"/>
      <c r="D20" s="307"/>
      <c r="E20" s="307"/>
    </row>
    <row r="21" spans="3:5" x14ac:dyDescent="0.25">
      <c r="C21" s="738" t="s">
        <v>285</v>
      </c>
      <c r="D21" s="738"/>
      <c r="E21" s="738"/>
    </row>
    <row r="22" spans="3:5" x14ac:dyDescent="0.25">
      <c r="C22" s="310"/>
      <c r="D22" s="310"/>
      <c r="E22" s="307" t="s">
        <v>286</v>
      </c>
    </row>
    <row r="23" spans="3:5" x14ac:dyDescent="0.25">
      <c r="C23" s="307"/>
      <c r="D23" s="307"/>
      <c r="E23" s="307"/>
    </row>
    <row r="24" spans="3:5" ht="12.75" customHeight="1" x14ac:dyDescent="0.25">
      <c r="C24" s="738" t="s">
        <v>287</v>
      </c>
      <c r="D24" s="738"/>
      <c r="E24" s="738"/>
    </row>
    <row r="25" spans="3:5" ht="26.4" x14ac:dyDescent="0.25">
      <c r="C25" s="310"/>
      <c r="D25" s="310"/>
      <c r="E25" s="311" t="s">
        <v>288</v>
      </c>
    </row>
    <row r="26" spans="3:5" x14ac:dyDescent="0.25">
      <c r="C26" s="737"/>
      <c r="D26" s="737"/>
      <c r="E26" s="737"/>
    </row>
    <row r="27" spans="3:5" ht="12.75" customHeight="1" x14ac:dyDescent="0.25">
      <c r="C27" s="738" t="s">
        <v>289</v>
      </c>
      <c r="D27" s="738"/>
      <c r="E27" s="738"/>
    </row>
    <row r="28" spans="3:5" ht="26.4" x14ac:dyDescent="0.25">
      <c r="C28" s="310"/>
      <c r="D28" s="310"/>
      <c r="E28" s="311" t="s">
        <v>290</v>
      </c>
    </row>
    <row r="29" spans="3:5" x14ac:dyDescent="0.25">
      <c r="C29" s="737"/>
      <c r="D29" s="737"/>
      <c r="E29" s="737"/>
    </row>
    <row r="30" spans="3:5" ht="12.75" customHeight="1" x14ac:dyDescent="0.25">
      <c r="C30" s="738" t="s">
        <v>291</v>
      </c>
      <c r="D30" s="738"/>
      <c r="E30" s="738"/>
    </row>
    <row r="31" spans="3:5" ht="26.4" x14ac:dyDescent="0.25">
      <c r="C31" s="310"/>
      <c r="D31" s="310"/>
      <c r="E31" s="311" t="s">
        <v>292</v>
      </c>
    </row>
    <row r="32" spans="3:5" x14ac:dyDescent="0.25">
      <c r="C32" s="737"/>
      <c r="D32" s="737"/>
      <c r="E32" s="737"/>
    </row>
    <row r="33" spans="3:5" ht="12.75" customHeight="1" x14ac:dyDescent="0.25">
      <c r="C33" s="736" t="s">
        <v>293</v>
      </c>
      <c r="D33" s="736"/>
      <c r="E33" s="736"/>
    </row>
    <row r="34" spans="3:5" x14ac:dyDescent="0.25">
      <c r="C34" s="738" t="s">
        <v>294</v>
      </c>
      <c r="D34" s="738"/>
      <c r="E34" s="738"/>
    </row>
    <row r="35" spans="3:5" x14ac:dyDescent="0.25">
      <c r="C35" s="310"/>
      <c r="D35" s="310"/>
      <c r="E35" s="311" t="s">
        <v>295</v>
      </c>
    </row>
    <row r="36" spans="3:5" x14ac:dyDescent="0.25">
      <c r="C36" s="310"/>
      <c r="D36" s="310"/>
      <c r="E36" s="311" t="s">
        <v>296</v>
      </c>
    </row>
    <row r="37" spans="3:5" ht="26.4" x14ac:dyDescent="0.25">
      <c r="C37" s="310"/>
      <c r="D37" s="310"/>
      <c r="E37" s="311" t="s">
        <v>297</v>
      </c>
    </row>
    <row r="38" spans="3:5" x14ac:dyDescent="0.25">
      <c r="C38" s="310"/>
      <c r="D38" s="310"/>
      <c r="E38" s="311" t="s">
        <v>298</v>
      </c>
    </row>
    <row r="39" spans="3:5" x14ac:dyDescent="0.25">
      <c r="C39" s="310"/>
      <c r="D39" s="310"/>
      <c r="E39" s="311" t="s">
        <v>299</v>
      </c>
    </row>
    <row r="40" spans="3:5" ht="52.8" x14ac:dyDescent="0.25">
      <c r="C40" s="310"/>
      <c r="D40" s="310"/>
      <c r="E40" s="311" t="s">
        <v>513</v>
      </c>
    </row>
    <row r="41" spans="3:5" ht="26.4" x14ac:dyDescent="0.25">
      <c r="C41" s="310"/>
      <c r="D41" s="310"/>
      <c r="E41" s="311" t="s">
        <v>300</v>
      </c>
    </row>
    <row r="42" spans="3:5" x14ac:dyDescent="0.25">
      <c r="C42" s="738" t="s">
        <v>301</v>
      </c>
      <c r="D42" s="738"/>
      <c r="E42" s="738"/>
    </row>
    <row r="43" spans="3:5" ht="38.25" customHeight="1" x14ac:dyDescent="0.25">
      <c r="C43" s="310"/>
      <c r="D43" s="310"/>
      <c r="E43" s="311" t="s">
        <v>302</v>
      </c>
    </row>
    <row r="44" spans="3:5" ht="52.8" x14ac:dyDescent="0.25">
      <c r="C44" s="310"/>
      <c r="D44" s="310"/>
      <c r="E44" s="311" t="s">
        <v>514</v>
      </c>
    </row>
    <row r="45" spans="3:5" x14ac:dyDescent="0.25">
      <c r="C45" s="310"/>
      <c r="D45" s="310"/>
      <c r="E45" s="311"/>
    </row>
    <row r="46" spans="3:5" x14ac:dyDescent="0.25">
      <c r="C46" s="310"/>
      <c r="D46" s="310"/>
      <c r="E46" s="311"/>
    </row>
    <row r="47" spans="3:5" x14ac:dyDescent="0.25">
      <c r="C47" s="310"/>
      <c r="D47" s="310"/>
      <c r="E47" s="311"/>
    </row>
    <row r="48" spans="3:5" x14ac:dyDescent="0.25">
      <c r="C48" s="310"/>
      <c r="D48" s="310"/>
      <c r="E48" s="311"/>
    </row>
    <row r="49" spans="3:5" x14ac:dyDescent="0.25">
      <c r="C49" s="310"/>
      <c r="D49" s="310"/>
      <c r="E49" s="311"/>
    </row>
  </sheetData>
  <mergeCells count="21">
    <mergeCell ref="C42:E42"/>
    <mergeCell ref="C30:E30"/>
    <mergeCell ref="C32:E32"/>
    <mergeCell ref="C33:E33"/>
    <mergeCell ref="C34:E34"/>
    <mergeCell ref="C11:E11"/>
    <mergeCell ref="C15:E15"/>
    <mergeCell ref="C12:E12"/>
    <mergeCell ref="C26:E26"/>
    <mergeCell ref="C27:E27"/>
    <mergeCell ref="C29:E29"/>
    <mergeCell ref="C17:E17"/>
    <mergeCell ref="C24:E24"/>
    <mergeCell ref="C18:E18"/>
    <mergeCell ref="C21:E21"/>
    <mergeCell ref="C3:E3"/>
    <mergeCell ref="C4:E4"/>
    <mergeCell ref="C6:E6"/>
    <mergeCell ref="C7:E7"/>
    <mergeCell ref="C8:E8"/>
    <mergeCell ref="C9:E9"/>
  </mergeCells>
  <phoneticPr fontId="0" type="noConversion"/>
  <pageMargins left="0.75" right="0.75" top="1" bottom="1" header="0.5" footer="0.5"/>
  <pageSetup orientation="portrait" r:id="rId1"/>
  <headerFooter alignWithMargins="0"/>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C3:L114"/>
  <sheetViews>
    <sheetView topLeftCell="A40" zoomScale="80" workbookViewId="0">
      <selection activeCell="D51" sqref="D51"/>
    </sheetView>
  </sheetViews>
  <sheetFormatPr defaultColWidth="9.109375" defaultRowHeight="13.2" x14ac:dyDescent="0.25"/>
  <cols>
    <col min="1" max="2" width="3.6640625" style="23" customWidth="1"/>
    <col min="3" max="3" width="35.6640625" style="23" customWidth="1"/>
    <col min="4" max="4" width="20.6640625" style="23" customWidth="1"/>
    <col min="5" max="6" width="3.6640625" style="23" customWidth="1"/>
    <col min="7" max="8" width="20.6640625" style="23" customWidth="1"/>
    <col min="9" max="10" width="3.6640625" style="23" customWidth="1"/>
    <col min="11" max="12" width="20.6640625" style="23" customWidth="1"/>
    <col min="13" max="14" width="3.6640625" style="23" customWidth="1"/>
    <col min="15" max="16" width="20.6640625" style="23" customWidth="1"/>
    <col min="17" max="16384" width="9.109375" style="23"/>
  </cols>
  <sheetData>
    <row r="3" spans="3:12" x14ac:dyDescent="0.25">
      <c r="C3" s="313"/>
      <c r="D3" s="314"/>
    </row>
    <row r="5" spans="3:12" x14ac:dyDescent="0.25">
      <c r="C5" s="739" t="s">
        <v>303</v>
      </c>
      <c r="D5" s="740"/>
      <c r="G5" s="739" t="s">
        <v>304</v>
      </c>
      <c r="H5" s="740"/>
      <c r="K5" s="739" t="s">
        <v>305</v>
      </c>
      <c r="L5" s="740"/>
    </row>
    <row r="6" spans="3:12" x14ac:dyDescent="0.25">
      <c r="C6" s="324" t="s">
        <v>306</v>
      </c>
      <c r="D6" s="324" t="s">
        <v>307</v>
      </c>
      <c r="E6" s="315"/>
      <c r="G6" s="324" t="s">
        <v>306</v>
      </c>
      <c r="H6" s="324" t="s">
        <v>307</v>
      </c>
      <c r="I6" s="315"/>
      <c r="K6" s="324" t="s">
        <v>306</v>
      </c>
      <c r="L6" s="324" t="s">
        <v>307</v>
      </c>
    </row>
    <row r="7" spans="3:12" x14ac:dyDescent="0.25">
      <c r="C7" s="316" t="s">
        <v>308</v>
      </c>
      <c r="D7" s="317" t="s">
        <v>40</v>
      </c>
      <c r="E7" s="317"/>
      <c r="G7" s="318" t="s">
        <v>309</v>
      </c>
      <c r="H7" s="23" t="s">
        <v>67</v>
      </c>
      <c r="K7" s="316" t="s">
        <v>310</v>
      </c>
      <c r="L7" s="317" t="s">
        <v>64</v>
      </c>
    </row>
    <row r="8" spans="3:12" x14ac:dyDescent="0.25">
      <c r="C8" s="316" t="s">
        <v>311</v>
      </c>
      <c r="D8" s="317" t="s">
        <v>61</v>
      </c>
      <c r="E8" s="317"/>
      <c r="G8" s="318" t="s">
        <v>312</v>
      </c>
      <c r="H8" s="23" t="s">
        <v>69</v>
      </c>
      <c r="K8" s="317" t="s">
        <v>313</v>
      </c>
      <c r="L8" s="317" t="s">
        <v>314</v>
      </c>
    </row>
    <row r="9" spans="3:12" x14ac:dyDescent="0.25">
      <c r="C9" s="319" t="s">
        <v>315</v>
      </c>
      <c r="D9" s="319" t="s">
        <v>316</v>
      </c>
      <c r="E9" s="319"/>
      <c r="G9" s="318" t="s">
        <v>317</v>
      </c>
      <c r="H9" s="23" t="s">
        <v>70</v>
      </c>
      <c r="K9" s="317" t="s">
        <v>318</v>
      </c>
      <c r="L9" s="317" t="s">
        <v>319</v>
      </c>
    </row>
    <row r="10" spans="3:12" x14ac:dyDescent="0.25">
      <c r="C10" s="318" t="s">
        <v>320</v>
      </c>
      <c r="D10" s="320" t="s">
        <v>112</v>
      </c>
      <c r="E10" s="320"/>
      <c r="G10" s="318" t="s">
        <v>321</v>
      </c>
      <c r="H10" s="23" t="s">
        <v>68</v>
      </c>
      <c r="K10" s="317" t="s">
        <v>322</v>
      </c>
      <c r="L10" s="317" t="s">
        <v>65</v>
      </c>
    </row>
    <row r="11" spans="3:12" x14ac:dyDescent="0.25">
      <c r="C11" s="319" t="s">
        <v>323</v>
      </c>
      <c r="D11" s="320" t="s">
        <v>324</v>
      </c>
      <c r="E11" s="320"/>
      <c r="G11" s="318" t="s">
        <v>325</v>
      </c>
      <c r="H11" s="23" t="s">
        <v>326</v>
      </c>
      <c r="K11" s="317" t="s">
        <v>327</v>
      </c>
      <c r="L11" s="317" t="s">
        <v>328</v>
      </c>
    </row>
    <row r="12" spans="3:12" x14ac:dyDescent="0.25">
      <c r="C12" s="318" t="s">
        <v>329</v>
      </c>
      <c r="D12" s="320" t="s">
        <v>330</v>
      </c>
      <c r="E12" s="320"/>
      <c r="K12" s="317" t="s">
        <v>331</v>
      </c>
      <c r="L12" s="317" t="s">
        <v>332</v>
      </c>
    </row>
    <row r="13" spans="3:12" x14ac:dyDescent="0.25">
      <c r="C13" s="318" t="s">
        <v>333</v>
      </c>
      <c r="D13" s="320" t="s">
        <v>334</v>
      </c>
      <c r="E13" s="320"/>
      <c r="K13" s="317" t="s">
        <v>335</v>
      </c>
      <c r="L13" s="317" t="s">
        <v>336</v>
      </c>
    </row>
    <row r="14" spans="3:12" x14ac:dyDescent="0.25">
      <c r="C14" s="318" t="s">
        <v>337</v>
      </c>
      <c r="D14" s="320" t="s">
        <v>21</v>
      </c>
      <c r="E14" s="321"/>
      <c r="K14" s="317" t="s">
        <v>338</v>
      </c>
      <c r="L14" s="317" t="s">
        <v>339</v>
      </c>
    </row>
    <row r="15" spans="3:12" x14ac:dyDescent="0.25">
      <c r="C15" s="318" t="s">
        <v>340</v>
      </c>
      <c r="D15" s="320" t="s">
        <v>113</v>
      </c>
      <c r="E15" s="320"/>
      <c r="K15" s="317" t="s">
        <v>341</v>
      </c>
      <c r="L15" s="317" t="s">
        <v>342</v>
      </c>
    </row>
    <row r="16" spans="3:12" x14ac:dyDescent="0.25">
      <c r="C16" s="318" t="s">
        <v>343</v>
      </c>
      <c r="D16" s="320" t="s">
        <v>111</v>
      </c>
      <c r="E16" s="320"/>
    </row>
    <row r="17" spans="3:7" x14ac:dyDescent="0.25">
      <c r="C17" s="318" t="s">
        <v>344</v>
      </c>
      <c r="D17" s="320" t="s">
        <v>90</v>
      </c>
      <c r="E17" s="320"/>
    </row>
    <row r="18" spans="3:7" x14ac:dyDescent="0.25">
      <c r="C18" s="318" t="s">
        <v>345</v>
      </c>
      <c r="D18" s="320" t="s">
        <v>346</v>
      </c>
      <c r="E18" s="320"/>
    </row>
    <row r="19" spans="3:7" x14ac:dyDescent="0.25">
      <c r="C19" s="318" t="s">
        <v>347</v>
      </c>
      <c r="D19" s="320" t="s">
        <v>348</v>
      </c>
      <c r="E19" s="320"/>
      <c r="G19" s="322"/>
    </row>
    <row r="20" spans="3:7" x14ac:dyDescent="0.25">
      <c r="C20" s="318" t="s">
        <v>349</v>
      </c>
      <c r="D20" s="320" t="s">
        <v>350</v>
      </c>
      <c r="E20" s="320"/>
    </row>
    <row r="21" spans="3:7" x14ac:dyDescent="0.25">
      <c r="C21" s="318" t="s">
        <v>351</v>
      </c>
      <c r="D21" s="320" t="s">
        <v>352</v>
      </c>
      <c r="E21" s="320"/>
    </row>
    <row r="22" spans="3:7" x14ac:dyDescent="0.25">
      <c r="C22" s="318" t="s">
        <v>353</v>
      </c>
      <c r="D22" s="320" t="s">
        <v>354</v>
      </c>
      <c r="E22" s="320"/>
    </row>
    <row r="23" spans="3:7" x14ac:dyDescent="0.25">
      <c r="C23" s="318" t="s">
        <v>355</v>
      </c>
      <c r="D23" s="320" t="s">
        <v>356</v>
      </c>
      <c r="E23" s="320"/>
    </row>
    <row r="24" spans="3:7" x14ac:dyDescent="0.25">
      <c r="C24" s="318" t="s">
        <v>357</v>
      </c>
      <c r="D24" s="320" t="s">
        <v>358</v>
      </c>
      <c r="E24" s="320"/>
    </row>
    <row r="25" spans="3:7" x14ac:dyDescent="0.25">
      <c r="C25" s="318" t="s">
        <v>359</v>
      </c>
      <c r="D25" s="320" t="s">
        <v>360</v>
      </c>
      <c r="E25" s="320"/>
    </row>
    <row r="26" spans="3:7" x14ac:dyDescent="0.25">
      <c r="C26" s="318" t="s">
        <v>361</v>
      </c>
      <c r="D26" s="320" t="s">
        <v>362</v>
      </c>
      <c r="E26" s="320"/>
    </row>
    <row r="27" spans="3:7" x14ac:dyDescent="0.25">
      <c r="C27" s="318" t="s">
        <v>363</v>
      </c>
      <c r="D27" s="320" t="s">
        <v>120</v>
      </c>
      <c r="E27" s="320"/>
    </row>
    <row r="28" spans="3:7" x14ac:dyDescent="0.25">
      <c r="C28" s="318" t="s">
        <v>364</v>
      </c>
      <c r="D28" s="320" t="s">
        <v>123</v>
      </c>
      <c r="E28" s="320"/>
    </row>
    <row r="29" spans="3:7" x14ac:dyDescent="0.25">
      <c r="C29" s="318" t="s">
        <v>365</v>
      </c>
      <c r="D29" s="318" t="s">
        <v>89</v>
      </c>
      <c r="E29" s="318"/>
    </row>
    <row r="30" spans="3:7" x14ac:dyDescent="0.25">
      <c r="C30" s="318" t="s">
        <v>366</v>
      </c>
      <c r="D30" s="320" t="s">
        <v>367</v>
      </c>
      <c r="E30" s="320"/>
    </row>
    <row r="31" spans="3:7" x14ac:dyDescent="0.25">
      <c r="C31" s="318" t="s">
        <v>368</v>
      </c>
      <c r="D31" s="320" t="s">
        <v>369</v>
      </c>
      <c r="E31" s="320"/>
    </row>
    <row r="32" spans="3:7" x14ac:dyDescent="0.25">
      <c r="C32" s="318" t="s">
        <v>370</v>
      </c>
      <c r="D32" s="320" t="s">
        <v>115</v>
      </c>
      <c r="E32" s="320"/>
    </row>
    <row r="33" spans="3:5" x14ac:dyDescent="0.25">
      <c r="C33" s="318" t="s">
        <v>371</v>
      </c>
      <c r="D33" s="320" t="s">
        <v>108</v>
      </c>
      <c r="E33" s="320"/>
    </row>
    <row r="34" spans="3:5" x14ac:dyDescent="0.25">
      <c r="C34" s="318" t="s">
        <v>372</v>
      </c>
      <c r="D34" s="320" t="s">
        <v>136</v>
      </c>
      <c r="E34" s="320"/>
    </row>
    <row r="35" spans="3:5" x14ac:dyDescent="0.25">
      <c r="C35" s="318" t="s">
        <v>373</v>
      </c>
      <c r="D35" s="320" t="s">
        <v>62</v>
      </c>
      <c r="E35" s="320"/>
    </row>
    <row r="36" spans="3:5" x14ac:dyDescent="0.25">
      <c r="C36" s="318" t="s">
        <v>374</v>
      </c>
      <c r="D36" s="320" t="s">
        <v>110</v>
      </c>
      <c r="E36" s="320"/>
    </row>
    <row r="37" spans="3:5" x14ac:dyDescent="0.25">
      <c r="C37" s="318" t="s">
        <v>375</v>
      </c>
      <c r="D37" s="320" t="s">
        <v>376</v>
      </c>
      <c r="E37" s="320"/>
    </row>
    <row r="38" spans="3:5" x14ac:dyDescent="0.25">
      <c r="C38" s="318" t="s">
        <v>377</v>
      </c>
      <c r="D38" s="320" t="s">
        <v>378</v>
      </c>
      <c r="E38" s="320"/>
    </row>
    <row r="39" spans="3:5" x14ac:dyDescent="0.25">
      <c r="C39" s="318" t="s">
        <v>379</v>
      </c>
      <c r="D39" s="320" t="s">
        <v>116</v>
      </c>
      <c r="E39" s="320"/>
    </row>
    <row r="40" spans="3:5" x14ac:dyDescent="0.25">
      <c r="C40" s="318" t="s">
        <v>380</v>
      </c>
      <c r="D40" s="320" t="s">
        <v>381</v>
      </c>
      <c r="E40" s="320"/>
    </row>
    <row r="41" spans="3:5" x14ac:dyDescent="0.25">
      <c r="C41" s="318" t="s">
        <v>382</v>
      </c>
      <c r="D41" s="320" t="s">
        <v>383</v>
      </c>
      <c r="E41" s="320"/>
    </row>
    <row r="42" spans="3:5" x14ac:dyDescent="0.25">
      <c r="C42" s="318" t="s">
        <v>384</v>
      </c>
      <c r="D42" s="320" t="s">
        <v>98</v>
      </c>
      <c r="E42" s="320"/>
    </row>
    <row r="43" spans="3:5" x14ac:dyDescent="0.25">
      <c r="C43" s="318" t="s">
        <v>385</v>
      </c>
      <c r="D43" s="318" t="s">
        <v>386</v>
      </c>
      <c r="E43" s="318"/>
    </row>
    <row r="44" spans="3:5" x14ac:dyDescent="0.25">
      <c r="C44" s="318" t="s">
        <v>387</v>
      </c>
      <c r="D44" s="320" t="s">
        <v>388</v>
      </c>
      <c r="E44" s="320"/>
    </row>
    <row r="45" spans="3:5" x14ac:dyDescent="0.25">
      <c r="C45" s="318" t="s">
        <v>389</v>
      </c>
      <c r="D45" s="318" t="s">
        <v>389</v>
      </c>
      <c r="E45" s="318"/>
    </row>
    <row r="46" spans="3:5" x14ac:dyDescent="0.25">
      <c r="C46" s="318" t="s">
        <v>130</v>
      </c>
      <c r="D46" s="318" t="s">
        <v>130</v>
      </c>
      <c r="E46" s="318"/>
    </row>
    <row r="47" spans="3:5" x14ac:dyDescent="0.25">
      <c r="C47" s="318" t="s">
        <v>390</v>
      </c>
      <c r="D47" s="320" t="s">
        <v>391</v>
      </c>
      <c r="E47" s="320"/>
    </row>
    <row r="48" spans="3:5" x14ac:dyDescent="0.25">
      <c r="C48" s="318" t="s">
        <v>392</v>
      </c>
      <c r="D48" s="320" t="s">
        <v>393</v>
      </c>
      <c r="E48" s="320"/>
    </row>
    <row r="49" spans="3:5" x14ac:dyDescent="0.25">
      <c r="C49" s="318" t="s">
        <v>394</v>
      </c>
      <c r="D49" s="320" t="s">
        <v>395</v>
      </c>
      <c r="E49" s="320"/>
    </row>
    <row r="50" spans="3:5" x14ac:dyDescent="0.25">
      <c r="C50" s="318" t="s">
        <v>396</v>
      </c>
      <c r="D50" s="320" t="s">
        <v>397</v>
      </c>
      <c r="E50" s="320"/>
    </row>
    <row r="51" spans="3:5" x14ac:dyDescent="0.25">
      <c r="C51" s="318" t="s">
        <v>398</v>
      </c>
      <c r="D51" s="320" t="s">
        <v>399</v>
      </c>
      <c r="E51" s="320"/>
    </row>
    <row r="52" spans="3:5" x14ac:dyDescent="0.25">
      <c r="C52" s="318" t="s">
        <v>400</v>
      </c>
      <c r="D52" s="320" t="s">
        <v>401</v>
      </c>
      <c r="E52" s="320"/>
    </row>
    <row r="53" spans="3:5" x14ac:dyDescent="0.25">
      <c r="C53" s="318" t="s">
        <v>402</v>
      </c>
      <c r="D53" s="320" t="s">
        <v>109</v>
      </c>
      <c r="E53" s="320"/>
    </row>
    <row r="54" spans="3:5" x14ac:dyDescent="0.25">
      <c r="C54" s="318" t="s">
        <v>403</v>
      </c>
      <c r="D54" s="319" t="s">
        <v>94</v>
      </c>
      <c r="E54" s="319"/>
    </row>
    <row r="55" spans="3:5" x14ac:dyDescent="0.25">
      <c r="C55" s="318" t="s">
        <v>404</v>
      </c>
      <c r="D55" s="319" t="s">
        <v>99</v>
      </c>
      <c r="E55" s="319"/>
    </row>
    <row r="56" spans="3:5" x14ac:dyDescent="0.25">
      <c r="C56" s="318" t="s">
        <v>405</v>
      </c>
      <c r="D56" s="319" t="s">
        <v>95</v>
      </c>
      <c r="E56" s="319"/>
    </row>
    <row r="57" spans="3:5" x14ac:dyDescent="0.25">
      <c r="C57" s="318" t="s">
        <v>406</v>
      </c>
      <c r="D57" s="319" t="s">
        <v>407</v>
      </c>
      <c r="E57" s="319"/>
    </row>
    <row r="58" spans="3:5" x14ac:dyDescent="0.25">
      <c r="C58" s="319" t="s">
        <v>408</v>
      </c>
      <c r="D58" s="320" t="s">
        <v>408</v>
      </c>
      <c r="E58" s="320"/>
    </row>
    <row r="59" spans="3:5" x14ac:dyDescent="0.25">
      <c r="C59" s="318" t="s">
        <v>409</v>
      </c>
      <c r="D59" s="320" t="s">
        <v>122</v>
      </c>
      <c r="E59" s="320"/>
    </row>
    <row r="60" spans="3:5" x14ac:dyDescent="0.25">
      <c r="C60" s="318" t="s">
        <v>410</v>
      </c>
      <c r="D60" s="320" t="s">
        <v>411</v>
      </c>
      <c r="E60" s="320"/>
    </row>
    <row r="61" spans="3:5" x14ac:dyDescent="0.25">
      <c r="C61" s="318" t="s">
        <v>412</v>
      </c>
      <c r="D61" s="320" t="s">
        <v>117</v>
      </c>
      <c r="E61" s="320"/>
    </row>
    <row r="62" spans="3:5" x14ac:dyDescent="0.25">
      <c r="C62" s="318" t="s">
        <v>413</v>
      </c>
      <c r="D62" s="320" t="s">
        <v>414</v>
      </c>
      <c r="E62" s="320"/>
    </row>
    <row r="63" spans="3:5" x14ac:dyDescent="0.25">
      <c r="C63" s="318" t="s">
        <v>415</v>
      </c>
      <c r="D63" s="320" t="s">
        <v>416</v>
      </c>
      <c r="E63" s="320"/>
    </row>
    <row r="64" spans="3:5" x14ac:dyDescent="0.25">
      <c r="C64" s="318" t="s">
        <v>417</v>
      </c>
      <c r="D64" s="318" t="s">
        <v>418</v>
      </c>
      <c r="E64" s="318"/>
    </row>
    <row r="65" spans="3:5" x14ac:dyDescent="0.25">
      <c r="C65" s="318" t="s">
        <v>419</v>
      </c>
      <c r="D65" s="320" t="s">
        <v>121</v>
      </c>
      <c r="E65" s="320"/>
    </row>
    <row r="66" spans="3:5" x14ac:dyDescent="0.25">
      <c r="C66" s="318" t="s">
        <v>420</v>
      </c>
      <c r="D66" s="320" t="s">
        <v>118</v>
      </c>
      <c r="E66" s="320"/>
    </row>
    <row r="67" spans="3:5" x14ac:dyDescent="0.25">
      <c r="C67" s="318" t="s">
        <v>421</v>
      </c>
      <c r="D67" s="320" t="s">
        <v>126</v>
      </c>
      <c r="E67" s="320"/>
    </row>
    <row r="68" spans="3:5" x14ac:dyDescent="0.25">
      <c r="C68" s="318" t="s">
        <v>422</v>
      </c>
      <c r="D68" s="320" t="s">
        <v>92</v>
      </c>
      <c r="E68" s="320"/>
    </row>
    <row r="69" spans="3:5" x14ac:dyDescent="0.25">
      <c r="C69" s="318" t="s">
        <v>423</v>
      </c>
      <c r="D69" s="320" t="s">
        <v>424</v>
      </c>
      <c r="E69" s="320"/>
    </row>
    <row r="70" spans="3:5" x14ac:dyDescent="0.25">
      <c r="C70" s="318" t="s">
        <v>425</v>
      </c>
      <c r="D70" s="320" t="s">
        <v>124</v>
      </c>
      <c r="E70" s="320"/>
    </row>
    <row r="71" spans="3:5" x14ac:dyDescent="0.25">
      <c r="C71" s="316" t="s">
        <v>426</v>
      </c>
      <c r="D71" s="317" t="s">
        <v>427</v>
      </c>
      <c r="E71" s="317"/>
    </row>
    <row r="72" spans="3:5" x14ac:dyDescent="0.25">
      <c r="C72" s="323" t="s">
        <v>428</v>
      </c>
      <c r="D72" s="316" t="s">
        <v>429</v>
      </c>
      <c r="E72" s="316"/>
    </row>
    <row r="73" spans="3:5" x14ac:dyDescent="0.25">
      <c r="C73" s="318" t="s">
        <v>430</v>
      </c>
      <c r="D73" s="320" t="s">
        <v>431</v>
      </c>
      <c r="E73" s="320"/>
    </row>
    <row r="74" spans="3:5" x14ac:dyDescent="0.25">
      <c r="C74" s="318" t="s">
        <v>432</v>
      </c>
      <c r="D74" s="320" t="s">
        <v>433</v>
      </c>
      <c r="E74" s="320"/>
    </row>
    <row r="75" spans="3:5" x14ac:dyDescent="0.25">
      <c r="C75" s="318" t="s">
        <v>434</v>
      </c>
      <c r="D75" s="320" t="s">
        <v>435</v>
      </c>
      <c r="E75" s="320"/>
    </row>
    <row r="76" spans="3:5" x14ac:dyDescent="0.25">
      <c r="C76" s="318" t="s">
        <v>436</v>
      </c>
      <c r="D76" s="320" t="s">
        <v>437</v>
      </c>
      <c r="E76" s="320"/>
    </row>
    <row r="77" spans="3:5" x14ac:dyDescent="0.25">
      <c r="C77" s="318" t="s">
        <v>438</v>
      </c>
      <c r="D77" s="320" t="s">
        <v>439</v>
      </c>
      <c r="E77" s="320"/>
    </row>
    <row r="78" spans="3:5" x14ac:dyDescent="0.25">
      <c r="C78" s="318" t="s">
        <v>440</v>
      </c>
      <c r="D78" s="320" t="s">
        <v>441</v>
      </c>
      <c r="E78" s="320"/>
    </row>
    <row r="79" spans="3:5" x14ac:dyDescent="0.25">
      <c r="C79" s="318" t="s">
        <v>442</v>
      </c>
      <c r="D79" s="320" t="s">
        <v>443</v>
      </c>
      <c r="E79" s="320"/>
    </row>
    <row r="80" spans="3:5" x14ac:dyDescent="0.25">
      <c r="C80" s="318" t="s">
        <v>444</v>
      </c>
      <c r="D80" s="320" t="s">
        <v>445</v>
      </c>
      <c r="E80" s="320"/>
    </row>
    <row r="81" spans="3:5" x14ac:dyDescent="0.25">
      <c r="C81" s="318" t="s">
        <v>446</v>
      </c>
      <c r="D81" s="320" t="s">
        <v>447</v>
      </c>
      <c r="E81" s="320"/>
    </row>
    <row r="82" spans="3:5" x14ac:dyDescent="0.25">
      <c r="C82" s="318" t="s">
        <v>448</v>
      </c>
      <c r="D82" s="320" t="s">
        <v>449</v>
      </c>
      <c r="E82" s="320"/>
    </row>
    <row r="83" spans="3:5" x14ac:dyDescent="0.25">
      <c r="C83" s="318" t="s">
        <v>450</v>
      </c>
      <c r="D83" s="320" t="s">
        <v>451</v>
      </c>
      <c r="E83" s="320"/>
    </row>
    <row r="84" spans="3:5" x14ac:dyDescent="0.25">
      <c r="C84" s="318" t="s">
        <v>452</v>
      </c>
      <c r="D84" s="320" t="s">
        <v>453</v>
      </c>
      <c r="E84" s="320"/>
    </row>
    <row r="85" spans="3:5" x14ac:dyDescent="0.25">
      <c r="C85" s="318" t="s">
        <v>454</v>
      </c>
      <c r="D85" s="320" t="s">
        <v>455</v>
      </c>
      <c r="E85" s="320"/>
    </row>
    <row r="86" spans="3:5" x14ac:dyDescent="0.25">
      <c r="C86" s="318" t="s">
        <v>456</v>
      </c>
      <c r="D86" s="320" t="s">
        <v>457</v>
      </c>
      <c r="E86" s="320"/>
    </row>
    <row r="87" spans="3:5" x14ac:dyDescent="0.25">
      <c r="C87" s="318" t="s">
        <v>458</v>
      </c>
      <c r="D87" s="320" t="s">
        <v>459</v>
      </c>
      <c r="E87" s="320"/>
    </row>
    <row r="88" spans="3:5" x14ac:dyDescent="0.25">
      <c r="C88" s="318" t="s">
        <v>460</v>
      </c>
      <c r="D88" s="320" t="s">
        <v>461</v>
      </c>
      <c r="E88" s="320"/>
    </row>
    <row r="89" spans="3:5" x14ac:dyDescent="0.25">
      <c r="C89" s="318" t="s">
        <v>462</v>
      </c>
      <c r="D89" s="320" t="s">
        <v>463</v>
      </c>
      <c r="E89" s="320"/>
    </row>
    <row r="90" spans="3:5" x14ac:dyDescent="0.25">
      <c r="C90" s="318" t="s">
        <v>464</v>
      </c>
      <c r="D90" s="320" t="s">
        <v>465</v>
      </c>
      <c r="E90" s="320"/>
    </row>
    <row r="91" spans="3:5" x14ac:dyDescent="0.25">
      <c r="C91" s="318" t="s">
        <v>466</v>
      </c>
      <c r="D91" s="320" t="s">
        <v>467</v>
      </c>
      <c r="E91" s="320"/>
    </row>
    <row r="92" spans="3:5" x14ac:dyDescent="0.25">
      <c r="C92" s="318" t="s">
        <v>468</v>
      </c>
      <c r="D92" s="320" t="s">
        <v>469</v>
      </c>
      <c r="E92" s="320"/>
    </row>
    <row r="93" spans="3:5" x14ac:dyDescent="0.25">
      <c r="C93" s="318" t="s">
        <v>470</v>
      </c>
      <c r="D93" s="320" t="s">
        <v>471</v>
      </c>
      <c r="E93" s="320"/>
    </row>
    <row r="94" spans="3:5" x14ac:dyDescent="0.25">
      <c r="C94" s="319" t="s">
        <v>472</v>
      </c>
      <c r="D94" s="320" t="s">
        <v>473</v>
      </c>
      <c r="E94" s="320"/>
    </row>
    <row r="95" spans="3:5" x14ac:dyDescent="0.25">
      <c r="C95" s="319" t="s">
        <v>474</v>
      </c>
      <c r="D95" s="320" t="s">
        <v>475</v>
      </c>
      <c r="E95" s="320"/>
    </row>
    <row r="96" spans="3:5" x14ac:dyDescent="0.25">
      <c r="C96" s="319" t="s">
        <v>476</v>
      </c>
      <c r="D96" s="320" t="s">
        <v>477</v>
      </c>
      <c r="E96" s="320"/>
    </row>
    <row r="97" spans="3:5" x14ac:dyDescent="0.25">
      <c r="C97" s="318" t="s">
        <v>478</v>
      </c>
      <c r="D97" s="320" t="s">
        <v>479</v>
      </c>
      <c r="E97" s="320"/>
    </row>
    <row r="98" spans="3:5" x14ac:dyDescent="0.25">
      <c r="C98" s="318" t="s">
        <v>480</v>
      </c>
      <c r="D98" s="320" t="s">
        <v>144</v>
      </c>
      <c r="E98" s="320"/>
    </row>
    <row r="99" spans="3:5" x14ac:dyDescent="0.25">
      <c r="C99" s="318" t="s">
        <v>481</v>
      </c>
      <c r="D99" s="320" t="s">
        <v>482</v>
      </c>
      <c r="E99" s="320"/>
    </row>
    <row r="100" spans="3:5" x14ac:dyDescent="0.25">
      <c r="C100" s="318" t="s">
        <v>483</v>
      </c>
      <c r="D100" s="320" t="s">
        <v>484</v>
      </c>
      <c r="E100" s="320"/>
    </row>
    <row r="101" spans="3:5" x14ac:dyDescent="0.25">
      <c r="C101" s="318" t="s">
        <v>485</v>
      </c>
      <c r="D101" s="320" t="s">
        <v>486</v>
      </c>
      <c r="E101" s="320"/>
    </row>
    <row r="102" spans="3:5" x14ac:dyDescent="0.25">
      <c r="C102" s="318" t="s">
        <v>487</v>
      </c>
      <c r="D102" s="320" t="s">
        <v>488</v>
      </c>
      <c r="E102" s="320"/>
    </row>
    <row r="103" spans="3:5" x14ac:dyDescent="0.25">
      <c r="C103" s="318" t="s">
        <v>489</v>
      </c>
      <c r="D103" s="320" t="s">
        <v>490</v>
      </c>
      <c r="E103" s="320"/>
    </row>
    <row r="104" spans="3:5" x14ac:dyDescent="0.25">
      <c r="C104" s="318" t="s">
        <v>491</v>
      </c>
      <c r="D104" s="320" t="s">
        <v>22</v>
      </c>
      <c r="E104" s="320"/>
    </row>
    <row r="105" spans="3:5" x14ac:dyDescent="0.25">
      <c r="C105" s="318" t="s">
        <v>492</v>
      </c>
      <c r="D105" s="320" t="s">
        <v>493</v>
      </c>
      <c r="E105" s="320"/>
    </row>
    <row r="106" spans="3:5" x14ac:dyDescent="0.25">
      <c r="C106" s="318" t="s">
        <v>494</v>
      </c>
      <c r="D106" s="320" t="s">
        <v>495</v>
      </c>
      <c r="E106" s="320"/>
    </row>
    <row r="107" spans="3:5" x14ac:dyDescent="0.25">
      <c r="C107" s="318" t="s">
        <v>496</v>
      </c>
      <c r="D107" s="320" t="s">
        <v>497</v>
      </c>
      <c r="E107" s="320"/>
    </row>
    <row r="108" spans="3:5" x14ac:dyDescent="0.25">
      <c r="C108" s="323" t="s">
        <v>498</v>
      </c>
      <c r="D108" s="317" t="s">
        <v>499</v>
      </c>
      <c r="E108" s="317"/>
    </row>
    <row r="109" spans="3:5" x14ac:dyDescent="0.25">
      <c r="C109" s="317" t="s">
        <v>500</v>
      </c>
      <c r="D109" s="317" t="s">
        <v>500</v>
      </c>
      <c r="E109" s="317"/>
    </row>
    <row r="110" spans="3:5" x14ac:dyDescent="0.25">
      <c r="C110" s="319" t="s">
        <v>501</v>
      </c>
      <c r="D110" s="320" t="s">
        <v>502</v>
      </c>
      <c r="E110" s="320"/>
    </row>
    <row r="111" spans="3:5" x14ac:dyDescent="0.25">
      <c r="C111" s="318" t="s">
        <v>503</v>
      </c>
      <c r="D111" s="320" t="s">
        <v>504</v>
      </c>
      <c r="E111" s="320"/>
    </row>
    <row r="112" spans="3:5" x14ac:dyDescent="0.25">
      <c r="C112" s="318" t="s">
        <v>505</v>
      </c>
      <c r="D112" s="320" t="s">
        <v>506</v>
      </c>
      <c r="E112" s="320"/>
    </row>
    <row r="113" spans="3:5" x14ac:dyDescent="0.25">
      <c r="C113" s="319" t="s">
        <v>507</v>
      </c>
      <c r="D113" s="320" t="s">
        <v>508</v>
      </c>
      <c r="E113" s="320"/>
    </row>
    <row r="114" spans="3:5" x14ac:dyDescent="0.25">
      <c r="C114" s="319" t="s">
        <v>509</v>
      </c>
      <c r="D114" s="320" t="s">
        <v>510</v>
      </c>
      <c r="E114" s="320"/>
    </row>
  </sheetData>
  <mergeCells count="3">
    <mergeCell ref="C5:D5"/>
    <mergeCell ref="G5:H5"/>
    <mergeCell ref="K5:L5"/>
  </mergeCells>
  <phoneticPr fontId="0" type="noConversion"/>
  <pageMargins left="0.75" right="0.75" top="1" bottom="1" header="0.5" footer="0.5"/>
  <pageSetup orientation="portrait" r:id="rId1"/>
  <headerFooter alignWithMargins="0"/>
  <drawing r:id="rId2"/>
  <legacyDrawing r:id="rId3"/>
  <controls>
    <mc:AlternateContent xmlns:mc="http://schemas.openxmlformats.org/markup-compatibility/2006">
      <mc:Choice Requires="x14">
        <control shapeId="36865" r:id="rId4" name="CommandButton1">
          <controlPr defaultSize="0" autoLine="0" autoPict="0" r:id="rId5">
            <anchor moveWithCells="1">
              <from>
                <xdr:col>2</xdr:col>
                <xdr:colOff>7620</xdr:colOff>
                <xdr:row>1</xdr:row>
                <xdr:rowOff>30480</xdr:rowOff>
              </from>
              <to>
                <xdr:col>3</xdr:col>
                <xdr:colOff>0</xdr:colOff>
                <xdr:row>3</xdr:row>
                <xdr:rowOff>30480</xdr:rowOff>
              </to>
            </anchor>
          </controlPr>
        </control>
      </mc:Choice>
      <mc:Fallback>
        <control shapeId="36865" r:id="rId4" name="CommandButton1"/>
      </mc:Fallback>
    </mc:AlternateContent>
  </control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C4:G57"/>
  <sheetViews>
    <sheetView showGridLines="0" topLeftCell="A2" zoomScale="80" workbookViewId="0">
      <pane xSplit="2" ySplit="3" topLeftCell="C5" activePane="bottomRight" state="frozen"/>
      <selection activeCell="A2" sqref="A2"/>
      <selection pane="topRight" activeCell="C2" sqref="C2"/>
      <selection pane="bottomLeft" activeCell="A5" sqref="A5"/>
      <selection pane="bottomRight" activeCell="D15" sqref="D15"/>
    </sheetView>
  </sheetViews>
  <sheetFormatPr defaultRowHeight="13.2" x14ac:dyDescent="0.25"/>
  <cols>
    <col min="1" max="2" width="3.6640625" customWidth="1"/>
    <col min="3" max="3" width="15.6640625" customWidth="1"/>
    <col min="4" max="6" width="20.6640625" customWidth="1"/>
  </cols>
  <sheetData>
    <row r="4" spans="3:7" x14ac:dyDescent="0.25">
      <c r="C4" s="517" t="s">
        <v>784</v>
      </c>
      <c r="D4" s="518" t="s">
        <v>786</v>
      </c>
      <c r="E4" s="518" t="s">
        <v>787</v>
      </c>
      <c r="F4" s="518" t="s">
        <v>785</v>
      </c>
      <c r="G4" s="518"/>
    </row>
    <row r="5" spans="3:7" x14ac:dyDescent="0.25">
      <c r="C5" s="79">
        <v>1</v>
      </c>
      <c r="D5" s="519" t="s">
        <v>792</v>
      </c>
      <c r="E5" s="519" t="s">
        <v>793</v>
      </c>
      <c r="F5" s="519">
        <v>1305</v>
      </c>
    </row>
    <row r="6" spans="3:7" x14ac:dyDescent="0.25">
      <c r="C6" s="79">
        <v>2</v>
      </c>
      <c r="D6" s="519" t="s">
        <v>792</v>
      </c>
      <c r="E6" s="519" t="s">
        <v>793</v>
      </c>
      <c r="F6" s="519">
        <v>1305</v>
      </c>
    </row>
    <row r="7" spans="3:7" x14ac:dyDescent="0.25">
      <c r="C7" s="79">
        <v>25</v>
      </c>
      <c r="D7" s="519" t="s">
        <v>792</v>
      </c>
      <c r="E7" s="519" t="s">
        <v>793</v>
      </c>
      <c r="F7" s="519">
        <v>1305</v>
      </c>
    </row>
    <row r="8" spans="3:7" x14ac:dyDescent="0.25">
      <c r="C8" s="79">
        <v>26</v>
      </c>
      <c r="D8" s="519" t="s">
        <v>792</v>
      </c>
      <c r="E8" s="519" t="s">
        <v>793</v>
      </c>
      <c r="F8" s="519">
        <v>1305</v>
      </c>
    </row>
    <row r="9" spans="3:7" x14ac:dyDescent="0.25">
      <c r="C9" s="79">
        <v>72</v>
      </c>
      <c r="D9" s="519" t="s">
        <v>792</v>
      </c>
      <c r="E9" s="519" t="s">
        <v>793</v>
      </c>
      <c r="F9" s="519">
        <v>1305</v>
      </c>
    </row>
    <row r="10" spans="3:7" x14ac:dyDescent="0.25">
      <c r="C10" s="79">
        <v>9</v>
      </c>
      <c r="D10" s="519" t="s">
        <v>788</v>
      </c>
      <c r="E10" s="519" t="s">
        <v>789</v>
      </c>
      <c r="F10" s="519">
        <v>1305</v>
      </c>
    </row>
    <row r="11" spans="3:7" x14ac:dyDescent="0.25">
      <c r="C11" s="79">
        <v>10</v>
      </c>
      <c r="D11" s="519" t="s">
        <v>788</v>
      </c>
      <c r="E11" s="519" t="s">
        <v>789</v>
      </c>
      <c r="F11" s="519">
        <v>1305</v>
      </c>
    </row>
    <row r="12" spans="3:7" x14ac:dyDescent="0.25">
      <c r="C12" s="79">
        <v>27</v>
      </c>
      <c r="D12" s="519" t="s">
        <v>788</v>
      </c>
      <c r="E12" s="519" t="s">
        <v>789</v>
      </c>
      <c r="F12" s="519">
        <v>1305</v>
      </c>
    </row>
    <row r="13" spans="3:7" x14ac:dyDescent="0.25">
      <c r="C13" s="79">
        <v>46</v>
      </c>
      <c r="D13" s="519" t="s">
        <v>788</v>
      </c>
      <c r="E13" s="519" t="s">
        <v>789</v>
      </c>
      <c r="F13" s="519">
        <v>1305</v>
      </c>
    </row>
    <row r="14" spans="3:7" x14ac:dyDescent="0.25">
      <c r="C14" s="79">
        <v>47</v>
      </c>
      <c r="D14" s="519" t="s">
        <v>788</v>
      </c>
      <c r="E14" s="519" t="s">
        <v>789</v>
      </c>
      <c r="F14" s="519">
        <v>1305</v>
      </c>
    </row>
    <row r="15" spans="3:7" x14ac:dyDescent="0.25">
      <c r="C15" s="79">
        <v>56</v>
      </c>
      <c r="D15" s="519" t="s">
        <v>788</v>
      </c>
      <c r="E15" s="519" t="s">
        <v>789</v>
      </c>
      <c r="F15" s="519">
        <v>1305</v>
      </c>
    </row>
    <row r="16" spans="3:7" x14ac:dyDescent="0.25">
      <c r="C16" s="79">
        <v>57</v>
      </c>
      <c r="D16" s="519" t="s">
        <v>788</v>
      </c>
      <c r="E16" s="519" t="s">
        <v>789</v>
      </c>
      <c r="F16" s="519">
        <v>1305</v>
      </c>
    </row>
    <row r="17" spans="3:6" x14ac:dyDescent="0.25">
      <c r="C17" s="79">
        <v>74</v>
      </c>
      <c r="D17" s="519" t="s">
        <v>788</v>
      </c>
      <c r="E17" s="519" t="s">
        <v>789</v>
      </c>
      <c r="F17" s="519">
        <v>1305</v>
      </c>
    </row>
    <row r="18" spans="3:6" x14ac:dyDescent="0.25">
      <c r="C18" s="79">
        <v>75</v>
      </c>
      <c r="D18" s="519" t="s">
        <v>788</v>
      </c>
      <c r="E18" s="519" t="s">
        <v>789</v>
      </c>
      <c r="F18" s="519">
        <v>1305</v>
      </c>
    </row>
    <row r="19" spans="3:6" x14ac:dyDescent="0.25">
      <c r="C19" s="79">
        <v>76</v>
      </c>
      <c r="D19" s="519" t="s">
        <v>788</v>
      </c>
      <c r="E19" s="519" t="s">
        <v>789</v>
      </c>
      <c r="F19" s="519">
        <v>1305</v>
      </c>
    </row>
    <row r="20" spans="3:6" x14ac:dyDescent="0.25">
      <c r="C20" s="79">
        <v>77</v>
      </c>
      <c r="D20" s="519" t="s">
        <v>788</v>
      </c>
      <c r="E20" s="519" t="s">
        <v>789</v>
      </c>
      <c r="F20" s="519">
        <v>1305</v>
      </c>
    </row>
    <row r="21" spans="3:6" x14ac:dyDescent="0.25">
      <c r="C21" s="79">
        <v>81</v>
      </c>
      <c r="D21" s="519" t="s">
        <v>788</v>
      </c>
      <c r="E21" s="519" t="s">
        <v>789</v>
      </c>
      <c r="F21" s="519">
        <v>1305</v>
      </c>
    </row>
    <row r="22" spans="3:6" x14ac:dyDescent="0.25">
      <c r="C22" s="79">
        <v>82</v>
      </c>
      <c r="D22" s="519" t="s">
        <v>788</v>
      </c>
      <c r="E22" s="519" t="s">
        <v>789</v>
      </c>
      <c r="F22" s="519">
        <v>1305</v>
      </c>
    </row>
    <row r="23" spans="3:6" x14ac:dyDescent="0.25">
      <c r="C23" s="79">
        <v>83</v>
      </c>
      <c r="D23" s="519" t="s">
        <v>805</v>
      </c>
      <c r="E23" s="519" t="s">
        <v>806</v>
      </c>
      <c r="F23" s="519">
        <v>1305</v>
      </c>
    </row>
    <row r="24" spans="3:6" x14ac:dyDescent="0.25">
      <c r="C24" s="79">
        <v>84</v>
      </c>
      <c r="D24" s="519" t="s">
        <v>788</v>
      </c>
      <c r="E24" s="519" t="s">
        <v>789</v>
      </c>
      <c r="F24" s="519">
        <v>1305</v>
      </c>
    </row>
    <row r="25" spans="3:6" x14ac:dyDescent="0.25">
      <c r="C25" s="79">
        <v>85</v>
      </c>
      <c r="D25" s="519" t="s">
        <v>788</v>
      </c>
      <c r="E25" s="519" t="s">
        <v>789</v>
      </c>
      <c r="F25" s="519">
        <v>1305</v>
      </c>
    </row>
    <row r="26" spans="3:6" x14ac:dyDescent="0.25">
      <c r="C26" s="79">
        <v>86</v>
      </c>
      <c r="D26" s="519" t="s">
        <v>788</v>
      </c>
      <c r="E26" s="519" t="s">
        <v>789</v>
      </c>
      <c r="F26" s="519">
        <v>1305</v>
      </c>
    </row>
    <row r="27" spans="3:6" x14ac:dyDescent="0.25">
      <c r="C27" s="79">
        <v>87</v>
      </c>
      <c r="D27" s="519" t="s">
        <v>788</v>
      </c>
      <c r="E27" s="519" t="s">
        <v>789</v>
      </c>
      <c r="F27" s="519">
        <v>1305</v>
      </c>
    </row>
    <row r="28" spans="3:6" x14ac:dyDescent="0.25">
      <c r="C28" s="79">
        <v>91</v>
      </c>
      <c r="D28" s="519" t="s">
        <v>788</v>
      </c>
      <c r="E28" s="519" t="s">
        <v>789</v>
      </c>
      <c r="F28" s="519">
        <v>1305</v>
      </c>
    </row>
    <row r="29" spans="3:6" x14ac:dyDescent="0.25">
      <c r="C29" s="79">
        <v>92</v>
      </c>
      <c r="D29" s="519" t="s">
        <v>788</v>
      </c>
      <c r="E29" s="519" t="s">
        <v>789</v>
      </c>
      <c r="F29" s="519">
        <v>1305</v>
      </c>
    </row>
    <row r="30" spans="3:6" x14ac:dyDescent="0.25">
      <c r="C30" s="79">
        <v>93</v>
      </c>
      <c r="D30" s="519" t="s">
        <v>788</v>
      </c>
      <c r="E30" s="519" t="s">
        <v>789</v>
      </c>
      <c r="F30" s="519">
        <v>1305</v>
      </c>
    </row>
    <row r="31" spans="3:6" x14ac:dyDescent="0.25">
      <c r="C31" s="79">
        <v>17</v>
      </c>
      <c r="D31" s="519" t="s">
        <v>790</v>
      </c>
      <c r="E31" s="519" t="s">
        <v>791</v>
      </c>
      <c r="F31" s="519">
        <v>1305</v>
      </c>
    </row>
    <row r="32" spans="3:6" x14ac:dyDescent="0.25">
      <c r="C32" s="79">
        <v>19</v>
      </c>
      <c r="D32" s="519" t="s">
        <v>790</v>
      </c>
      <c r="E32" s="519" t="s">
        <v>791</v>
      </c>
      <c r="F32" s="519">
        <v>1305</v>
      </c>
    </row>
    <row r="33" spans="3:6" x14ac:dyDescent="0.25">
      <c r="C33" s="79">
        <v>20</v>
      </c>
      <c r="D33" s="519" t="s">
        <v>790</v>
      </c>
      <c r="E33" s="519" t="s">
        <v>791</v>
      </c>
      <c r="F33" s="519">
        <v>1305</v>
      </c>
    </row>
    <row r="34" spans="3:6" x14ac:dyDescent="0.25">
      <c r="C34" s="79">
        <v>21</v>
      </c>
      <c r="D34" s="519" t="s">
        <v>790</v>
      </c>
      <c r="E34" s="519" t="s">
        <v>791</v>
      </c>
      <c r="F34" s="519">
        <v>1305</v>
      </c>
    </row>
    <row r="35" spans="3:6" x14ac:dyDescent="0.25">
      <c r="C35" s="79">
        <v>24</v>
      </c>
      <c r="D35" s="519" t="s">
        <v>790</v>
      </c>
      <c r="E35" s="519" t="s">
        <v>791</v>
      </c>
      <c r="F35" s="519">
        <v>1305</v>
      </c>
    </row>
    <row r="36" spans="3:6" x14ac:dyDescent="0.25">
      <c r="C36" s="79">
        <v>45</v>
      </c>
      <c r="D36" s="519" t="s">
        <v>790</v>
      </c>
      <c r="E36" s="519" t="s">
        <v>791</v>
      </c>
      <c r="F36" s="519">
        <v>1305</v>
      </c>
    </row>
    <row r="37" spans="3:6" x14ac:dyDescent="0.25">
      <c r="C37" s="79">
        <v>50</v>
      </c>
      <c r="D37" s="519" t="s">
        <v>790</v>
      </c>
      <c r="E37" s="519" t="s">
        <v>791</v>
      </c>
      <c r="F37" s="519">
        <v>1305</v>
      </c>
    </row>
    <row r="38" spans="3:6" x14ac:dyDescent="0.25">
      <c r="C38" s="79">
        <v>51</v>
      </c>
      <c r="D38" s="519" t="s">
        <v>790</v>
      </c>
      <c r="E38" s="519" t="s">
        <v>791</v>
      </c>
      <c r="F38" s="519">
        <v>1305</v>
      </c>
    </row>
    <row r="39" spans="3:6" x14ac:dyDescent="0.25">
      <c r="C39" s="79">
        <v>52</v>
      </c>
      <c r="D39" s="519" t="s">
        <v>790</v>
      </c>
      <c r="E39" s="519" t="s">
        <v>791</v>
      </c>
      <c r="F39" s="519">
        <v>1305</v>
      </c>
    </row>
    <row r="40" spans="3:6" x14ac:dyDescent="0.25">
      <c r="C40" s="79">
        <v>53</v>
      </c>
      <c r="D40" s="519" t="s">
        <v>790</v>
      </c>
      <c r="E40" s="519" t="s">
        <v>791</v>
      </c>
      <c r="F40" s="519">
        <v>1305</v>
      </c>
    </row>
    <row r="41" spans="3:6" x14ac:dyDescent="0.25">
      <c r="C41" s="79">
        <v>54</v>
      </c>
      <c r="D41" s="519" t="s">
        <v>790</v>
      </c>
      <c r="E41" s="519" t="s">
        <v>791</v>
      </c>
      <c r="F41" s="519">
        <v>1305</v>
      </c>
    </row>
    <row r="42" spans="3:6" x14ac:dyDescent="0.25">
      <c r="C42" s="79">
        <v>55</v>
      </c>
      <c r="D42" s="519" t="s">
        <v>790</v>
      </c>
      <c r="E42" s="519" t="s">
        <v>791</v>
      </c>
      <c r="F42" s="519">
        <v>1305</v>
      </c>
    </row>
    <row r="43" spans="3:6" x14ac:dyDescent="0.25">
      <c r="C43" s="79">
        <v>73</v>
      </c>
      <c r="D43" s="519" t="s">
        <v>790</v>
      </c>
      <c r="E43" s="519" t="s">
        <v>791</v>
      </c>
      <c r="F43" s="519">
        <v>1305</v>
      </c>
    </row>
    <row r="44" spans="3:6" x14ac:dyDescent="0.25">
      <c r="C44" s="79">
        <v>88</v>
      </c>
      <c r="D44" s="519" t="s">
        <v>790</v>
      </c>
      <c r="E44" s="519" t="s">
        <v>791</v>
      </c>
      <c r="F44" s="519">
        <v>1305</v>
      </c>
    </row>
    <row r="45" spans="3:6" x14ac:dyDescent="0.25">
      <c r="C45" s="79">
        <v>89</v>
      </c>
      <c r="D45" s="519" t="s">
        <v>790</v>
      </c>
      <c r="E45" s="519" t="s">
        <v>791</v>
      </c>
      <c r="F45" s="519">
        <v>1305</v>
      </c>
    </row>
    <row r="46" spans="3:6" x14ac:dyDescent="0.25">
      <c r="C46" s="79">
        <v>90</v>
      </c>
      <c r="D46" s="519" t="s">
        <v>790</v>
      </c>
      <c r="E46" s="519" t="s">
        <v>791</v>
      </c>
      <c r="F46" s="519">
        <v>1305</v>
      </c>
    </row>
    <row r="47" spans="3:6" x14ac:dyDescent="0.25">
      <c r="C47" s="79">
        <v>49</v>
      </c>
      <c r="D47" s="519" t="s">
        <v>788</v>
      </c>
      <c r="E47" s="519" t="s">
        <v>789</v>
      </c>
      <c r="F47" s="519">
        <v>1305</v>
      </c>
    </row>
    <row r="48" spans="3:6" x14ac:dyDescent="0.25">
      <c r="C48" s="79">
        <v>62</v>
      </c>
      <c r="D48" s="519" t="s">
        <v>792</v>
      </c>
      <c r="E48" s="519" t="s">
        <v>793</v>
      </c>
      <c r="F48" s="519">
        <v>1305</v>
      </c>
    </row>
    <row r="49" spans="3:6" x14ac:dyDescent="0.25">
      <c r="C49" s="79">
        <v>100</v>
      </c>
      <c r="D49" s="519" t="s">
        <v>790</v>
      </c>
      <c r="E49" s="519" t="s">
        <v>791</v>
      </c>
      <c r="F49" s="519">
        <v>1305</v>
      </c>
    </row>
    <row r="50" spans="3:6" x14ac:dyDescent="0.25">
      <c r="C50" s="79">
        <v>101</v>
      </c>
      <c r="D50" s="519" t="s">
        <v>790</v>
      </c>
      <c r="E50" s="519" t="s">
        <v>791</v>
      </c>
      <c r="F50" s="519">
        <v>1305</v>
      </c>
    </row>
    <row r="51" spans="3:6" x14ac:dyDescent="0.25">
      <c r="C51" s="79">
        <v>102</v>
      </c>
      <c r="D51" s="519" t="s">
        <v>790</v>
      </c>
      <c r="E51" s="519" t="s">
        <v>791</v>
      </c>
      <c r="F51" s="519">
        <v>1305</v>
      </c>
    </row>
    <row r="52" spans="3:6" x14ac:dyDescent="0.25">
      <c r="C52" s="79">
        <v>103</v>
      </c>
      <c r="D52" s="519" t="s">
        <v>790</v>
      </c>
      <c r="E52" s="519" t="s">
        <v>791</v>
      </c>
      <c r="F52" s="519">
        <v>1305</v>
      </c>
    </row>
    <row r="53" spans="3:6" x14ac:dyDescent="0.25">
      <c r="C53" s="79">
        <v>104</v>
      </c>
      <c r="D53" s="519" t="s">
        <v>790</v>
      </c>
      <c r="E53" s="519" t="s">
        <v>791</v>
      </c>
      <c r="F53" s="519">
        <v>1305</v>
      </c>
    </row>
    <row r="54" spans="3:6" x14ac:dyDescent="0.25">
      <c r="C54" s="79">
        <v>105</v>
      </c>
      <c r="D54" s="519" t="s">
        <v>790</v>
      </c>
      <c r="E54" s="519" t="s">
        <v>791</v>
      </c>
      <c r="F54" s="519">
        <v>1305</v>
      </c>
    </row>
    <row r="55" spans="3:6" x14ac:dyDescent="0.25">
      <c r="C55" s="79">
        <v>106</v>
      </c>
      <c r="D55" s="519" t="s">
        <v>790</v>
      </c>
      <c r="E55" s="519" t="s">
        <v>791</v>
      </c>
      <c r="F55" s="519">
        <v>1305</v>
      </c>
    </row>
    <row r="56" spans="3:6" x14ac:dyDescent="0.25">
      <c r="C56" s="79">
        <v>107</v>
      </c>
      <c r="D56" s="519" t="s">
        <v>792</v>
      </c>
      <c r="E56" s="519" t="s">
        <v>793</v>
      </c>
      <c r="F56" s="519">
        <v>1305</v>
      </c>
    </row>
    <row r="57" spans="3:6" x14ac:dyDescent="0.25">
      <c r="C57" s="79">
        <v>108</v>
      </c>
      <c r="D57" s="519" t="s">
        <v>792</v>
      </c>
      <c r="E57" s="519" t="s">
        <v>793</v>
      </c>
      <c r="F57" s="519">
        <v>1305</v>
      </c>
    </row>
  </sheetData>
  <phoneticPr fontId="0" type="noConversion"/>
  <pageMargins left="0.75" right="0.75" top="1" bottom="1" header="0.5" footer="0.5"/>
  <headerFooter alignWithMargins="0"/>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autoPageBreaks="0"/>
  </sheetPr>
  <dimension ref="A1:AB41"/>
  <sheetViews>
    <sheetView topLeftCell="A10" zoomScale="80" workbookViewId="0">
      <selection activeCell="I34" sqref="I34"/>
    </sheetView>
  </sheetViews>
  <sheetFormatPr defaultColWidth="9.109375" defaultRowHeight="13.2" x14ac:dyDescent="0.25"/>
  <cols>
    <col min="1" max="2" width="3.6640625" style="23" customWidth="1"/>
    <col min="3" max="5" width="15.6640625" style="23" customWidth="1"/>
    <col min="6" max="7" width="3.6640625" style="23" customWidth="1"/>
    <col min="8" max="10" width="15.6640625" style="23" customWidth="1"/>
    <col min="11" max="16384" width="9.109375" style="23"/>
  </cols>
  <sheetData>
    <row r="1" spans="1:28" x14ac:dyDescent="0.25">
      <c r="A1" s="247"/>
    </row>
    <row r="3" spans="1:28" x14ac:dyDescent="0.25">
      <c r="C3" s="102" t="s">
        <v>28</v>
      </c>
      <c r="D3" s="281">
        <f>'Daily Operation'!D7</f>
        <v>37242</v>
      </c>
      <c r="H3" s="102" t="s">
        <v>515</v>
      </c>
      <c r="I3" s="325">
        <v>46022</v>
      </c>
      <c r="O3" s="247"/>
    </row>
    <row r="4" spans="1:28" x14ac:dyDescent="0.25">
      <c r="C4" s="102" t="s">
        <v>150</v>
      </c>
      <c r="D4" s="99"/>
    </row>
    <row r="5" spans="1:28" x14ac:dyDescent="0.25">
      <c r="C5" s="102" t="s">
        <v>37</v>
      </c>
      <c r="D5" s="100">
        <v>14</v>
      </c>
    </row>
    <row r="6" spans="1:28" x14ac:dyDescent="0.25">
      <c r="C6" s="102" t="s">
        <v>73</v>
      </c>
      <c r="D6" s="101" t="s">
        <v>74</v>
      </c>
    </row>
    <row r="7" spans="1:28" x14ac:dyDescent="0.25">
      <c r="C7" s="102" t="s">
        <v>77</v>
      </c>
      <c r="D7" s="101" t="s">
        <v>78</v>
      </c>
    </row>
    <row r="8" spans="1:28" x14ac:dyDescent="0.25">
      <c r="C8" s="102" t="s">
        <v>80</v>
      </c>
      <c r="D8" s="101" t="s">
        <v>516</v>
      </c>
    </row>
    <row r="9" spans="1:28" x14ac:dyDescent="0.25">
      <c r="C9" s="102"/>
      <c r="V9" s="288" t="s">
        <v>235</v>
      </c>
      <c r="W9" s="289"/>
      <c r="X9" s="289"/>
      <c r="Y9" s="289"/>
      <c r="Z9" s="366"/>
      <c r="AA9" s="366"/>
      <c r="AB9" s="367"/>
    </row>
    <row r="10" spans="1:28" x14ac:dyDescent="0.25">
      <c r="C10" s="102" t="s">
        <v>163</v>
      </c>
      <c r="D10" s="741" t="s">
        <v>548</v>
      </c>
      <c r="E10" s="742"/>
      <c r="F10" s="742"/>
      <c r="G10" s="742"/>
      <c r="H10" s="742"/>
      <c r="I10" s="742"/>
      <c r="J10" s="743"/>
      <c r="K10" s="23" t="s">
        <v>234</v>
      </c>
      <c r="V10" s="271" t="s">
        <v>236</v>
      </c>
      <c r="W10" s="272"/>
      <c r="X10" s="272"/>
      <c r="Y10" s="272"/>
      <c r="Z10" s="272"/>
      <c r="AA10" s="272"/>
      <c r="AB10" s="273"/>
    </row>
    <row r="11" spans="1:28" x14ac:dyDescent="0.25">
      <c r="C11" s="102" t="s">
        <v>225</v>
      </c>
      <c r="D11" s="741" t="s">
        <v>545</v>
      </c>
      <c r="E11" s="743"/>
      <c r="F11" s="23" t="s">
        <v>226</v>
      </c>
      <c r="V11" s="274" t="s">
        <v>237</v>
      </c>
      <c r="W11" s="275"/>
      <c r="X11" s="275"/>
      <c r="Y11" s="275"/>
      <c r="Z11" s="275"/>
      <c r="AA11" s="275"/>
      <c r="AB11" s="276"/>
    </row>
    <row r="12" spans="1:28" x14ac:dyDescent="0.25">
      <c r="C12" s="102" t="s">
        <v>227</v>
      </c>
      <c r="D12" s="100" t="s">
        <v>546</v>
      </c>
      <c r="E12" s="23" t="s">
        <v>228</v>
      </c>
      <c r="V12" s="274" t="s">
        <v>238</v>
      </c>
      <c r="W12" s="275"/>
      <c r="X12" s="275"/>
      <c r="Y12" s="275"/>
      <c r="Z12" s="275"/>
      <c r="AA12" s="275"/>
      <c r="AB12" s="276"/>
    </row>
    <row r="13" spans="1:28" x14ac:dyDescent="0.25">
      <c r="C13" s="102"/>
      <c r="V13" s="274" t="s">
        <v>240</v>
      </c>
      <c r="W13" s="275"/>
      <c r="X13" s="275"/>
      <c r="Y13" s="275"/>
      <c r="Z13" s="275"/>
      <c r="AA13" s="275"/>
      <c r="AB13" s="276"/>
    </row>
    <row r="14" spans="1:28" x14ac:dyDescent="0.25">
      <c r="V14" s="274" t="s">
        <v>239</v>
      </c>
      <c r="W14" s="275"/>
      <c r="X14" s="275"/>
      <c r="Y14" s="275"/>
      <c r="Z14" s="275"/>
      <c r="AA14" s="275"/>
      <c r="AB14" s="276"/>
    </row>
    <row r="15" spans="1:28" ht="15.6" x14ac:dyDescent="0.3">
      <c r="C15" s="744" t="s">
        <v>85</v>
      </c>
      <c r="D15" s="745"/>
      <c r="E15" s="746"/>
      <c r="H15" s="744" t="s">
        <v>141</v>
      </c>
      <c r="I15" s="746"/>
      <c r="V15" s="277" t="s">
        <v>261</v>
      </c>
      <c r="W15" s="278"/>
      <c r="X15" s="278"/>
      <c r="Y15" s="278"/>
      <c r="Z15" s="278"/>
      <c r="AA15" s="278"/>
      <c r="AB15" s="279"/>
    </row>
    <row r="16" spans="1:28" x14ac:dyDescent="0.25">
      <c r="C16" s="193">
        <v>0</v>
      </c>
      <c r="D16" s="201">
        <v>0.99</v>
      </c>
      <c r="E16" s="202">
        <v>0.99</v>
      </c>
      <c r="H16" s="197">
        <v>36526</v>
      </c>
      <c r="I16" s="207">
        <v>7.1999999999999998E-3</v>
      </c>
      <c r="V16" s="275"/>
      <c r="W16" s="275"/>
      <c r="X16" s="275"/>
      <c r="Y16" s="275"/>
    </row>
    <row r="17" spans="3:25" x14ac:dyDescent="0.25">
      <c r="C17" s="194">
        <v>30</v>
      </c>
      <c r="D17" s="203">
        <v>0.995</v>
      </c>
      <c r="E17" s="204">
        <v>0.995</v>
      </c>
      <c r="H17" s="198">
        <v>36892</v>
      </c>
      <c r="I17" s="208">
        <v>7.0000000000000001E-3</v>
      </c>
      <c r="V17" s="275"/>
      <c r="W17" s="275"/>
      <c r="X17" s="275"/>
      <c r="Y17" s="275"/>
    </row>
    <row r="18" spans="3:25" x14ac:dyDescent="0.25">
      <c r="C18" s="194">
        <v>60</v>
      </c>
      <c r="D18" s="203">
        <v>0.99750000000000005</v>
      </c>
      <c r="E18" s="204">
        <v>0.99750000000000005</v>
      </c>
      <c r="H18" s="198">
        <v>37257</v>
      </c>
      <c r="I18" s="208">
        <v>5.0000000000000001E-3</v>
      </c>
      <c r="V18" s="275"/>
      <c r="W18" s="275"/>
      <c r="X18" s="275"/>
      <c r="Y18" s="275"/>
    </row>
    <row r="19" spans="3:25" x14ac:dyDescent="0.25">
      <c r="C19" s="194">
        <v>90</v>
      </c>
      <c r="D19" s="203">
        <v>1</v>
      </c>
      <c r="E19" s="204">
        <v>1</v>
      </c>
      <c r="G19" s="195"/>
      <c r="H19" s="199">
        <v>37622</v>
      </c>
      <c r="I19" s="209">
        <v>4.0000000000000001E-3</v>
      </c>
      <c r="V19" s="275"/>
      <c r="W19" s="275"/>
      <c r="X19" s="275"/>
      <c r="Y19" s="275"/>
    </row>
    <row r="20" spans="3:25" x14ac:dyDescent="0.25">
      <c r="C20" s="194">
        <v>120</v>
      </c>
      <c r="D20" s="203">
        <v>1</v>
      </c>
      <c r="E20" s="204">
        <v>1</v>
      </c>
      <c r="H20" s="200">
        <v>37987</v>
      </c>
      <c r="I20" s="210">
        <v>0</v>
      </c>
    </row>
    <row r="21" spans="3:25" x14ac:dyDescent="0.25">
      <c r="C21" s="196">
        <v>150</v>
      </c>
      <c r="D21" s="205">
        <v>1</v>
      </c>
      <c r="E21" s="206">
        <v>1</v>
      </c>
    </row>
    <row r="24" spans="3:25" ht="15.6" x14ac:dyDescent="0.3">
      <c r="C24" s="744" t="s">
        <v>196</v>
      </c>
      <c r="D24" s="745"/>
      <c r="E24" s="746"/>
      <c r="H24" s="747" t="s">
        <v>573</v>
      </c>
      <c r="I24" s="748"/>
      <c r="J24" s="749"/>
    </row>
    <row r="25" spans="3:25" x14ac:dyDescent="0.25">
      <c r="C25" s="193" t="s">
        <v>165</v>
      </c>
      <c r="D25" s="214">
        <v>37043</v>
      </c>
      <c r="E25" s="214">
        <v>37072</v>
      </c>
      <c r="H25" s="752" t="s">
        <v>570</v>
      </c>
      <c r="I25" s="750" t="s">
        <v>571</v>
      </c>
      <c r="J25" s="754" t="s">
        <v>572</v>
      </c>
    </row>
    <row r="26" spans="3:25" x14ac:dyDescent="0.25">
      <c r="C26" s="194" t="s">
        <v>166</v>
      </c>
      <c r="D26" s="214">
        <v>37073</v>
      </c>
      <c r="E26" s="214">
        <v>37103</v>
      </c>
      <c r="H26" s="753"/>
      <c r="I26" s="751"/>
      <c r="J26" s="755"/>
    </row>
    <row r="27" spans="3:25" x14ac:dyDescent="0.25">
      <c r="C27" s="194" t="s">
        <v>167</v>
      </c>
      <c r="D27" s="214">
        <v>37104</v>
      </c>
      <c r="E27" s="214">
        <v>37134</v>
      </c>
      <c r="H27" s="342" t="s">
        <v>48</v>
      </c>
      <c r="I27" s="347" t="s">
        <v>27</v>
      </c>
      <c r="J27" s="345" t="s">
        <v>273</v>
      </c>
    </row>
    <row r="28" spans="3:25" x14ac:dyDescent="0.25">
      <c r="C28" s="194" t="s">
        <v>168</v>
      </c>
      <c r="D28" s="214">
        <v>37135</v>
      </c>
      <c r="E28" s="214">
        <v>37164</v>
      </c>
      <c r="H28" s="391" t="s">
        <v>603</v>
      </c>
      <c r="I28" s="348" t="s">
        <v>27</v>
      </c>
      <c r="J28" s="346" t="s">
        <v>273</v>
      </c>
    </row>
    <row r="29" spans="3:25" x14ac:dyDescent="0.25">
      <c r="C29" s="194" t="s">
        <v>169</v>
      </c>
      <c r="D29" s="214">
        <v>37165</v>
      </c>
      <c r="E29" s="214">
        <v>37195</v>
      </c>
      <c r="H29" s="391" t="s">
        <v>604</v>
      </c>
      <c r="I29" s="348" t="s">
        <v>27</v>
      </c>
      <c r="J29" s="346" t="s">
        <v>273</v>
      </c>
    </row>
    <row r="30" spans="3:25" x14ac:dyDescent="0.25">
      <c r="C30" s="194" t="s">
        <v>170</v>
      </c>
      <c r="D30" s="214">
        <v>37196</v>
      </c>
      <c r="E30" s="214">
        <v>37225</v>
      </c>
      <c r="H30" s="343" t="s">
        <v>207</v>
      </c>
      <c r="I30" s="348" t="s">
        <v>27</v>
      </c>
      <c r="J30" s="346" t="s">
        <v>273</v>
      </c>
    </row>
    <row r="31" spans="3:25" x14ac:dyDescent="0.25">
      <c r="C31" s="194" t="s">
        <v>171</v>
      </c>
      <c r="D31" s="215">
        <v>37226</v>
      </c>
      <c r="E31" s="212">
        <v>37256</v>
      </c>
      <c r="H31" s="343" t="s">
        <v>648</v>
      </c>
      <c r="I31" s="348" t="s">
        <v>143</v>
      </c>
      <c r="J31" s="346" t="s">
        <v>273</v>
      </c>
    </row>
    <row r="32" spans="3:25" x14ac:dyDescent="0.25">
      <c r="C32" s="194" t="s">
        <v>172</v>
      </c>
      <c r="D32" s="215">
        <v>37257</v>
      </c>
      <c r="E32" s="212">
        <v>37621</v>
      </c>
      <c r="H32" s="343" t="s">
        <v>720</v>
      </c>
      <c r="I32" s="348" t="s">
        <v>27</v>
      </c>
      <c r="J32" s="346" t="s">
        <v>273</v>
      </c>
    </row>
    <row r="33" spans="3:11" x14ac:dyDescent="0.25">
      <c r="C33" s="194" t="s">
        <v>174</v>
      </c>
      <c r="D33" s="215">
        <v>37622</v>
      </c>
      <c r="E33" s="212">
        <v>37986</v>
      </c>
      <c r="H33" s="343" t="s">
        <v>799</v>
      </c>
      <c r="I33" s="348" t="s">
        <v>27</v>
      </c>
      <c r="J33" s="346" t="s">
        <v>273</v>
      </c>
    </row>
    <row r="34" spans="3:11" x14ac:dyDescent="0.25">
      <c r="C34" s="194" t="s">
        <v>175</v>
      </c>
      <c r="D34" s="215">
        <v>37987</v>
      </c>
      <c r="E34" s="212">
        <v>38352</v>
      </c>
      <c r="H34" s="343" t="s">
        <v>800</v>
      </c>
      <c r="I34" s="348" t="s">
        <v>27</v>
      </c>
      <c r="J34" s="346" t="s">
        <v>273</v>
      </c>
    </row>
    <row r="35" spans="3:11" x14ac:dyDescent="0.25">
      <c r="C35" s="194" t="s">
        <v>176</v>
      </c>
      <c r="D35" s="215">
        <v>38353</v>
      </c>
      <c r="E35" s="212">
        <v>40543</v>
      </c>
      <c r="H35" s="343"/>
      <c r="I35" s="340"/>
      <c r="J35" s="346"/>
    </row>
    <row r="36" spans="3:11" x14ac:dyDescent="0.25">
      <c r="C36" s="194" t="s">
        <v>177</v>
      </c>
      <c r="D36" s="215">
        <v>40544</v>
      </c>
      <c r="E36" s="212">
        <v>42369</v>
      </c>
      <c r="H36" s="343"/>
      <c r="I36" s="340"/>
      <c r="J36" s="346"/>
    </row>
    <row r="37" spans="3:11" x14ac:dyDescent="0.25">
      <c r="C37" s="196" t="s">
        <v>178</v>
      </c>
      <c r="D37" s="216">
        <v>42370</v>
      </c>
      <c r="E37" s="213">
        <v>45657</v>
      </c>
      <c r="H37" s="344"/>
      <c r="I37" s="341"/>
      <c r="J37" s="346"/>
    </row>
    <row r="40" spans="3:11" x14ac:dyDescent="0.25">
      <c r="C40" s="102" t="s">
        <v>631</v>
      </c>
      <c r="D40" s="741" t="s">
        <v>632</v>
      </c>
      <c r="E40" s="742"/>
      <c r="F40" s="742"/>
      <c r="G40" s="742"/>
      <c r="H40" s="742"/>
      <c r="I40" s="742"/>
      <c r="J40" s="743"/>
      <c r="K40" s="23" t="s">
        <v>234</v>
      </c>
    </row>
    <row r="41" spans="3:11" x14ac:dyDescent="0.25">
      <c r="C41" s="102" t="s">
        <v>783</v>
      </c>
      <c r="D41" s="741" t="s">
        <v>794</v>
      </c>
      <c r="E41" s="742"/>
      <c r="F41" s="742"/>
      <c r="G41" s="742"/>
      <c r="H41" s="742"/>
      <c r="I41" s="742"/>
      <c r="J41" s="743"/>
      <c r="K41" s="23" t="s">
        <v>234</v>
      </c>
    </row>
  </sheetData>
  <mergeCells count="11">
    <mergeCell ref="I25:I26"/>
    <mergeCell ref="H25:H26"/>
    <mergeCell ref="J25:J26"/>
    <mergeCell ref="D41:J41"/>
    <mergeCell ref="D40:J40"/>
    <mergeCell ref="D10:J10"/>
    <mergeCell ref="C24:E24"/>
    <mergeCell ref="H15:I15"/>
    <mergeCell ref="C15:E15"/>
    <mergeCell ref="D11:E11"/>
    <mergeCell ref="H24:J24"/>
  </mergeCells>
  <phoneticPr fontId="0" type="noConversion"/>
  <pageMargins left="0.75" right="0.75" top="1" bottom="1" header="0.5" footer="0.5"/>
  <pageSetup orientation="portrait"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C2:Z47"/>
  <sheetViews>
    <sheetView showGridLines="0" zoomScale="80" workbookViewId="0">
      <selection activeCell="N29" sqref="N29"/>
    </sheetView>
  </sheetViews>
  <sheetFormatPr defaultRowHeight="13.2" x14ac:dyDescent="0.25"/>
  <cols>
    <col min="1" max="2" width="3.6640625" customWidth="1"/>
    <col min="3" max="3" width="10.6640625" customWidth="1"/>
    <col min="4" max="4" width="11" customWidth="1"/>
    <col min="5" max="5" width="13" customWidth="1"/>
    <col min="6" max="6" width="11.33203125" customWidth="1"/>
    <col min="7" max="7" width="13.6640625" style="477" customWidth="1"/>
    <col min="8" max="8" width="11.88671875" style="449" customWidth="1"/>
    <col min="9" max="9" width="11.6640625" style="449" customWidth="1"/>
    <col min="10" max="10" width="3.6640625" style="450" customWidth="1"/>
    <col min="11" max="11" width="5.33203125" style="451" customWidth="1"/>
    <col min="12" max="12" width="13.6640625" style="451" customWidth="1"/>
    <col min="13" max="13" width="3" style="451" customWidth="1"/>
    <col min="14" max="14" width="10.6640625" style="452" customWidth="1"/>
    <col min="15" max="16" width="12" customWidth="1"/>
    <col min="17" max="17" width="13.88671875" customWidth="1"/>
    <col min="18" max="19" width="14.88671875" customWidth="1"/>
    <col min="20" max="20" width="3.44140625" customWidth="1"/>
    <col min="21" max="21" width="15.6640625" style="371" customWidth="1"/>
    <col min="22" max="22" width="17.109375" customWidth="1"/>
    <col min="23" max="25" width="10.88671875" customWidth="1"/>
    <col min="26" max="26" width="9.109375" style="453" customWidth="1"/>
  </cols>
  <sheetData>
    <row r="2" spans="3:26" x14ac:dyDescent="0.25">
      <c r="C2" s="759" t="s">
        <v>691</v>
      </c>
      <c r="D2" s="761">
        <f>'Daily Operation'!D7</f>
        <v>37242</v>
      </c>
      <c r="G2" s="79"/>
    </row>
    <row r="3" spans="3:26" x14ac:dyDescent="0.25">
      <c r="C3" s="760"/>
      <c r="D3" s="762"/>
      <c r="G3" s="79"/>
      <c r="L3" s="756" t="str">
        <f>CONCATENATE("Value on ",TEXT(D2,"mm/dd/yyyy"))</f>
        <v>Value on 12/17/2001</v>
      </c>
      <c r="M3" s="757"/>
      <c r="N3" s="757"/>
      <c r="O3" s="758"/>
    </row>
    <row r="4" spans="3:26" x14ac:dyDescent="0.25">
      <c r="G4" s="79"/>
    </row>
    <row r="5" spans="3:26" s="454" customFormat="1" ht="26.4" x14ac:dyDescent="0.25">
      <c r="D5" s="454" t="s">
        <v>0</v>
      </c>
      <c r="E5" s="454" t="s">
        <v>3</v>
      </c>
      <c r="F5" s="454" t="s">
        <v>4</v>
      </c>
      <c r="G5" s="455" t="s">
        <v>10</v>
      </c>
      <c r="H5" s="456" t="s">
        <v>1</v>
      </c>
      <c r="I5" s="456" t="s">
        <v>2</v>
      </c>
      <c r="J5" s="457"/>
      <c r="K5" s="458"/>
      <c r="L5" s="458" t="s">
        <v>624</v>
      </c>
      <c r="M5" s="459"/>
      <c r="N5" s="460" t="s">
        <v>638</v>
      </c>
      <c r="O5" s="461" t="s">
        <v>692</v>
      </c>
      <c r="P5" s="459" t="s">
        <v>693</v>
      </c>
      <c r="Q5" s="461"/>
      <c r="R5" s="462"/>
      <c r="S5" s="462"/>
      <c r="U5" s="458"/>
      <c r="Z5" s="463"/>
    </row>
    <row r="6" spans="3:26" ht="12.75" customHeight="1" x14ac:dyDescent="0.25">
      <c r="C6" s="464" t="s">
        <v>694</v>
      </c>
      <c r="D6" s="380" t="s">
        <v>695</v>
      </c>
      <c r="E6" s="380" t="s">
        <v>253</v>
      </c>
      <c r="F6" s="380" t="s">
        <v>254</v>
      </c>
      <c r="G6" s="465">
        <v>40000</v>
      </c>
      <c r="H6" s="466">
        <v>36495</v>
      </c>
      <c r="I6" s="466">
        <v>39955</v>
      </c>
      <c r="J6" s="467"/>
      <c r="K6" s="468"/>
      <c r="L6" s="468">
        <f ca="1">LongTerm1!$T$5</f>
        <v>3266871.4872650509</v>
      </c>
      <c r="N6" s="469">
        <f>[4]LongTerm1!$T$7</f>
        <v>3.3881665772386244E-2</v>
      </c>
      <c r="O6" s="470">
        <f>[4]LongTerm1!$T$8</f>
        <v>0.99754114760223589</v>
      </c>
      <c r="P6" s="371" t="s">
        <v>696</v>
      </c>
      <c r="Q6" s="471"/>
      <c r="R6" s="472"/>
      <c r="S6" s="472"/>
      <c r="T6" s="410"/>
      <c r="U6" s="473"/>
      <c r="V6" s="474"/>
      <c r="Z6" s="475"/>
    </row>
    <row r="7" spans="3:26" x14ac:dyDescent="0.25">
      <c r="D7" s="380" t="s">
        <v>695</v>
      </c>
      <c r="E7" s="380" t="s">
        <v>255</v>
      </c>
      <c r="F7" s="380" t="s">
        <v>254</v>
      </c>
      <c r="G7" s="465" t="s">
        <v>697</v>
      </c>
      <c r="H7" s="466">
        <v>36495</v>
      </c>
      <c r="I7" s="466">
        <v>39955</v>
      </c>
      <c r="J7" s="467"/>
      <c r="K7" s="468"/>
      <c r="L7" s="468">
        <f ca="1">LongTerm2!$T$5+LongTerm25!$T$5+LongTerm26!$T$5</f>
        <v>1863.1516936114331</v>
      </c>
      <c r="N7" s="469">
        <f>([4]LongTerm2!$T$5+[4]LongTerm25!$T$5+[4]LongTerm26!$T$5)/([4]LongTerm2!$T$6+[4]LongTerm25!$T$6+[4]LongTerm26!$T$6)</f>
        <v>1.7238918976802544E-2</v>
      </c>
      <c r="O7" s="470">
        <f>([4]LongTerm2!$Y$8+[4]LongTerm25!$Y$8+[4]LongTerm26!$Y$8)/([4]LongTerm2!$Z$8+[4]LongTerm25!$Z$8+[4]LongTerm26!$Z$8)</f>
        <v>0.99769027168756907</v>
      </c>
      <c r="P7" s="371" t="s">
        <v>696</v>
      </c>
      <c r="Q7" s="471"/>
      <c r="R7" s="472"/>
      <c r="S7" s="472"/>
      <c r="T7" s="410"/>
      <c r="U7" s="473"/>
      <c r="V7" s="474"/>
      <c r="Z7" s="475"/>
    </row>
    <row r="8" spans="3:26" x14ac:dyDescent="0.25">
      <c r="D8" s="380" t="s">
        <v>258</v>
      </c>
      <c r="E8" s="380" t="s">
        <v>259</v>
      </c>
      <c r="F8" s="380" t="s">
        <v>260</v>
      </c>
      <c r="G8" s="465">
        <v>50000</v>
      </c>
      <c r="H8" s="466">
        <v>36495</v>
      </c>
      <c r="I8" s="466">
        <v>36950</v>
      </c>
      <c r="J8" s="467"/>
      <c r="K8" s="468"/>
      <c r="L8" s="468" t="e">
        <f>#REF!</f>
        <v>#REF!</v>
      </c>
      <c r="N8" s="469">
        <f>[4]LongTerm3!$T$7</f>
        <v>6.445287339826862E-2</v>
      </c>
      <c r="O8" s="470">
        <f>[4]LongTerm3!$T$8</f>
        <v>0.9956490502662152</v>
      </c>
      <c r="P8" s="371" t="s">
        <v>696</v>
      </c>
      <c r="Q8" s="471"/>
      <c r="R8" s="472"/>
      <c r="S8" s="472"/>
      <c r="T8" s="410"/>
      <c r="U8" s="473"/>
      <c r="V8" s="474"/>
      <c r="Z8" s="475"/>
    </row>
    <row r="9" spans="3:26" x14ac:dyDescent="0.25">
      <c r="D9" s="380" t="s">
        <v>698</v>
      </c>
      <c r="E9" s="380" t="s">
        <v>100</v>
      </c>
      <c r="F9" s="380" t="s">
        <v>547</v>
      </c>
      <c r="G9" s="465">
        <v>5000</v>
      </c>
      <c r="H9" s="466">
        <v>36526</v>
      </c>
      <c r="I9" s="466">
        <v>36981</v>
      </c>
      <c r="J9" s="467"/>
      <c r="K9" s="468"/>
      <c r="L9" s="468" t="e">
        <f>#REF!</f>
        <v>#REF!</v>
      </c>
      <c r="N9" s="469">
        <f>[4]LongTerm4!$T$7</f>
        <v>0.1140472044323889</v>
      </c>
      <c r="O9" s="470">
        <f>[4]LongTerm4!$T$8</f>
        <v>0.99418264143299262</v>
      </c>
      <c r="P9" s="371" t="s">
        <v>696</v>
      </c>
      <c r="Q9" s="471"/>
      <c r="R9" s="472"/>
      <c r="S9" s="472"/>
      <c r="T9" s="410"/>
      <c r="U9" s="473"/>
      <c r="V9" s="474"/>
      <c r="Z9" s="475"/>
    </row>
    <row r="10" spans="3:26" x14ac:dyDescent="0.25">
      <c r="D10" s="380" t="s">
        <v>258</v>
      </c>
      <c r="E10" s="380" t="s">
        <v>101</v>
      </c>
      <c r="F10" s="380" t="s">
        <v>547</v>
      </c>
      <c r="G10" s="465">
        <v>25000</v>
      </c>
      <c r="H10" s="466">
        <v>36526</v>
      </c>
      <c r="I10" s="466">
        <v>36981</v>
      </c>
      <c r="J10" s="467"/>
      <c r="K10" s="468"/>
      <c r="L10" s="468" t="e">
        <f>#REF!</f>
        <v>#REF!</v>
      </c>
      <c r="N10" s="469">
        <f>[4]LongTerm7!$T$7</f>
        <v>6.4998975052274047E-2</v>
      </c>
      <c r="O10" s="470">
        <f>[4]LongTerm7!$T$8</f>
        <v>0.99418264143299262</v>
      </c>
      <c r="P10" s="371" t="s">
        <v>696</v>
      </c>
      <c r="Q10" s="471"/>
      <c r="R10" s="472"/>
      <c r="S10" s="472"/>
      <c r="T10" s="410"/>
      <c r="U10" s="473"/>
      <c r="V10" s="474"/>
      <c r="Z10" s="475"/>
    </row>
    <row r="11" spans="3:26" x14ac:dyDescent="0.25">
      <c r="D11" s="380" t="s">
        <v>258</v>
      </c>
      <c r="E11" s="380" t="s">
        <v>699</v>
      </c>
      <c r="F11" s="380" t="s">
        <v>254</v>
      </c>
      <c r="G11" s="465">
        <v>38548</v>
      </c>
      <c r="H11" s="466">
        <v>36892</v>
      </c>
      <c r="I11" s="466">
        <v>36981</v>
      </c>
      <c r="J11" s="467"/>
      <c r="K11" s="468"/>
      <c r="L11" s="468" t="e">
        <f>#REF!</f>
        <v>#REF!</v>
      </c>
      <c r="N11" s="469">
        <f>[4]LongTerm58!$T$7</f>
        <v>9.7913015636060807E-2</v>
      </c>
      <c r="O11" s="470">
        <f>[4]LongTerm58!$T$8</f>
        <v>0.99441079666584575</v>
      </c>
      <c r="P11" s="371" t="s">
        <v>696</v>
      </c>
      <c r="Q11" s="471"/>
      <c r="R11" s="472"/>
      <c r="S11" s="472"/>
      <c r="T11" s="410"/>
      <c r="U11" s="473"/>
      <c r="V11" s="474"/>
      <c r="Z11" s="475"/>
    </row>
    <row r="12" spans="3:26" ht="13.8" thickBot="1" x14ac:dyDescent="0.3">
      <c r="D12" s="380"/>
      <c r="E12" s="380"/>
      <c r="F12" s="380"/>
      <c r="G12" s="465"/>
      <c r="H12" s="466"/>
      <c r="I12" s="466"/>
      <c r="J12" s="467"/>
      <c r="K12" s="468"/>
      <c r="L12" s="476" t="e">
        <f ca="1">SUM(L6:L11)</f>
        <v>#REF!</v>
      </c>
      <c r="N12" s="469"/>
      <c r="O12" s="470"/>
      <c r="P12" s="371"/>
      <c r="Q12" s="471"/>
      <c r="R12" s="472"/>
      <c r="S12" s="472"/>
      <c r="T12" s="410"/>
      <c r="U12" s="473"/>
      <c r="V12" s="474"/>
      <c r="Z12" s="475"/>
    </row>
    <row r="13" spans="3:26" ht="13.8" thickTop="1" x14ac:dyDescent="0.25">
      <c r="N13" s="451"/>
      <c r="O13" s="452"/>
      <c r="P13" s="371"/>
      <c r="Q13" s="471"/>
      <c r="R13" s="472"/>
      <c r="S13" s="472"/>
      <c r="T13" s="410"/>
      <c r="U13" s="410"/>
      <c r="V13" s="478"/>
    </row>
    <row r="14" spans="3:26" ht="12.75" customHeight="1" x14ac:dyDescent="0.25">
      <c r="C14" s="464" t="s">
        <v>700</v>
      </c>
      <c r="D14" s="380" t="s">
        <v>245</v>
      </c>
      <c r="E14" s="380" t="s">
        <v>246</v>
      </c>
      <c r="F14" s="380" t="s">
        <v>247</v>
      </c>
      <c r="G14" s="465">
        <v>67500</v>
      </c>
      <c r="H14" s="466">
        <v>39753</v>
      </c>
      <c r="I14" s="466">
        <v>45230</v>
      </c>
      <c r="J14" s="467"/>
      <c r="K14" s="468"/>
      <c r="L14" s="468">
        <f ca="1">LongTerm9!$T$5</f>
        <v>56052.566955186834</v>
      </c>
      <c r="N14" s="469">
        <f>[4]LongTerm9!$T$7</f>
        <v>2.4948942158063203E-2</v>
      </c>
      <c r="O14" s="470">
        <f>[4]LongTerm9!$T$8</f>
        <v>0.99796121585007047</v>
      </c>
      <c r="P14" s="371" t="s">
        <v>701</v>
      </c>
      <c r="Q14" s="479"/>
      <c r="R14" s="479"/>
      <c r="S14" s="479"/>
      <c r="T14" s="410"/>
      <c r="U14" s="473"/>
      <c r="V14" s="474"/>
      <c r="Z14" s="475"/>
    </row>
    <row r="15" spans="3:26" x14ac:dyDescent="0.25">
      <c r="D15" s="380" t="s">
        <v>248</v>
      </c>
      <c r="E15" s="380" t="s">
        <v>633</v>
      </c>
      <c r="F15" s="380" t="s">
        <v>249</v>
      </c>
      <c r="G15" s="465">
        <v>16495</v>
      </c>
      <c r="H15" s="466">
        <v>36039</v>
      </c>
      <c r="I15" s="466">
        <v>37468</v>
      </c>
      <c r="J15" s="467"/>
      <c r="L15" s="468">
        <f ca="1">LongTerm10!$T$5</f>
        <v>136650.13138979941</v>
      </c>
      <c r="N15" s="469">
        <f>[4]LongTerm10!$T$7</f>
        <v>0.10671743341650804</v>
      </c>
      <c r="O15" s="470">
        <f>[4]LongTerm10!$T$8</f>
        <v>0.97157881191787665</v>
      </c>
      <c r="P15" s="371" t="s">
        <v>701</v>
      </c>
      <c r="Q15" s="471"/>
      <c r="R15" s="472"/>
      <c r="S15" s="472"/>
      <c r="T15" s="410"/>
      <c r="U15" s="473"/>
      <c r="V15" s="474"/>
    </row>
    <row r="16" spans="3:26" x14ac:dyDescent="0.25">
      <c r="D16" s="380" t="s">
        <v>245</v>
      </c>
      <c r="E16" s="380" t="s">
        <v>551</v>
      </c>
      <c r="F16" s="380" t="s">
        <v>247</v>
      </c>
      <c r="G16" s="465">
        <v>4950</v>
      </c>
      <c r="H16" s="466">
        <v>36982</v>
      </c>
      <c r="I16" s="466">
        <v>37195</v>
      </c>
      <c r="J16" s="467"/>
      <c r="L16" s="468" t="e">
        <f>#REF!</f>
        <v>#REF!</v>
      </c>
      <c r="N16" s="469">
        <f>[4]LongTerm27!$T$7</f>
        <v>0.20452087543208813</v>
      </c>
      <c r="O16" s="470">
        <f>[4]LongTerm27!$T$8</f>
        <v>0.82074258368989772</v>
      </c>
      <c r="P16" s="371" t="s">
        <v>702</v>
      </c>
      <c r="Q16" s="471"/>
      <c r="R16" s="472"/>
      <c r="S16" s="472"/>
      <c r="T16" s="410"/>
      <c r="U16" s="473"/>
      <c r="V16" s="478"/>
    </row>
    <row r="17" spans="3:26" ht="12.75" customHeight="1" x14ac:dyDescent="0.25">
      <c r="D17" s="380" t="s">
        <v>248</v>
      </c>
      <c r="E17" s="380" t="s">
        <v>633</v>
      </c>
      <c r="F17" s="380" t="s">
        <v>634</v>
      </c>
      <c r="G17" s="465">
        <v>16640</v>
      </c>
      <c r="H17" s="466">
        <v>36831</v>
      </c>
      <c r="I17" s="466">
        <v>37195</v>
      </c>
      <c r="J17" s="467"/>
      <c r="K17" s="468"/>
      <c r="L17" s="468" t="e">
        <f>#REF!</f>
        <v>#REF!</v>
      </c>
      <c r="N17" s="469">
        <f>[4]LongTerm46!$T$7</f>
        <v>0.20294430484717649</v>
      </c>
      <c r="O17" s="470">
        <f>[4]LongTerm46!$T$8</f>
        <v>0.87819346281656607</v>
      </c>
      <c r="P17" s="371" t="s">
        <v>702</v>
      </c>
      <c r="Q17" s="471"/>
      <c r="R17" s="472"/>
      <c r="S17" s="472"/>
      <c r="T17" s="410"/>
      <c r="U17" s="473"/>
      <c r="V17" s="478"/>
      <c r="Z17" s="475"/>
    </row>
    <row r="18" spans="3:26" ht="12.75" customHeight="1" x14ac:dyDescent="0.25">
      <c r="D18" s="380" t="s">
        <v>248</v>
      </c>
      <c r="E18" s="380" t="s">
        <v>633</v>
      </c>
      <c r="F18" s="380" t="s">
        <v>554</v>
      </c>
      <c r="G18" s="465">
        <v>50960</v>
      </c>
      <c r="H18" s="466">
        <v>36831</v>
      </c>
      <c r="I18" s="466">
        <v>37195</v>
      </c>
      <c r="J18" s="467"/>
      <c r="K18" s="468"/>
      <c r="L18" s="468" t="e">
        <f>#REF!</f>
        <v>#REF!</v>
      </c>
      <c r="N18" s="469">
        <f>[4]LongTerm47!$T$7</f>
        <v>0.20294430484717646</v>
      </c>
      <c r="O18" s="470">
        <f>[4]LongTerm47!$T$8</f>
        <v>0.87819346281656607</v>
      </c>
      <c r="P18" s="371" t="s">
        <v>702</v>
      </c>
      <c r="Q18" s="471"/>
      <c r="R18" s="472"/>
      <c r="S18" s="472"/>
      <c r="T18" s="410"/>
      <c r="U18" s="473"/>
      <c r="V18" s="478"/>
      <c r="Z18" s="475"/>
    </row>
    <row r="19" spans="3:26" ht="12.75" customHeight="1" x14ac:dyDescent="0.25">
      <c r="D19" s="380" t="s">
        <v>677</v>
      </c>
      <c r="E19" s="380" t="s">
        <v>554</v>
      </c>
      <c r="F19" s="380" t="s">
        <v>703</v>
      </c>
      <c r="G19" s="465">
        <v>80000</v>
      </c>
      <c r="H19" s="466">
        <v>36982</v>
      </c>
      <c r="I19" s="466">
        <v>37346</v>
      </c>
      <c r="J19" s="467"/>
      <c r="K19" s="468"/>
      <c r="L19" s="468">
        <f ca="1">LongTerm56!$T$5</f>
        <v>212592.33963280165</v>
      </c>
      <c r="N19" s="469">
        <f>[4]LongTerm56!$T$7</f>
        <v>1.8496089562135094E-3</v>
      </c>
      <c r="O19" s="470">
        <f>[4]LongTerm56!$T$8</f>
        <v>0.99995188063838425</v>
      </c>
      <c r="P19" s="371" t="s">
        <v>702</v>
      </c>
      <c r="Q19" s="471"/>
      <c r="R19" s="472"/>
      <c r="S19" s="472"/>
      <c r="T19" s="410"/>
      <c r="U19" s="473"/>
      <c r="V19" s="478"/>
      <c r="Z19" s="475"/>
    </row>
    <row r="20" spans="3:26" ht="12.75" customHeight="1" x14ac:dyDescent="0.25">
      <c r="D20" s="380" t="s">
        <v>677</v>
      </c>
      <c r="E20" s="380" t="s">
        <v>554</v>
      </c>
      <c r="F20" s="380" t="s">
        <v>682</v>
      </c>
      <c r="G20" s="465">
        <v>20000</v>
      </c>
      <c r="H20" s="466">
        <v>36982</v>
      </c>
      <c r="I20" s="466">
        <v>37346</v>
      </c>
      <c r="J20" s="467"/>
      <c r="K20" s="468"/>
      <c r="L20" s="468">
        <f ca="1">LongTerm57!$T$5</f>
        <v>31031.134200444445</v>
      </c>
      <c r="N20" s="469">
        <f>[4]LongTerm57!$T$7</f>
        <v>2.3248199878459445E-3</v>
      </c>
      <c r="O20" s="470">
        <f>[4]LongTerm57!$T$8</f>
        <v>0.99995188063838425</v>
      </c>
      <c r="P20" s="371" t="s">
        <v>702</v>
      </c>
      <c r="Q20" s="471"/>
      <c r="R20" s="472"/>
      <c r="S20" s="472"/>
      <c r="T20" s="410"/>
      <c r="U20" s="473"/>
      <c r="V20" s="478"/>
      <c r="Z20" s="475"/>
    </row>
    <row r="21" spans="3:26" ht="12.75" customHeight="1" thickBot="1" x14ac:dyDescent="0.3">
      <c r="D21" s="380"/>
      <c r="E21" s="380"/>
      <c r="F21" s="380"/>
      <c r="G21" s="465"/>
      <c r="H21" s="466"/>
      <c r="I21" s="466"/>
      <c r="J21" s="467"/>
      <c r="K21" s="468"/>
      <c r="L21" s="476" t="e">
        <f ca="1">SUM(L14:L20)</f>
        <v>#REF!</v>
      </c>
      <c r="N21" s="469"/>
      <c r="O21" s="470"/>
      <c r="P21" s="371"/>
      <c r="Q21" s="471"/>
      <c r="R21" s="472"/>
      <c r="S21" s="472"/>
      <c r="T21" s="410"/>
      <c r="U21" s="473"/>
      <c r="V21" s="474"/>
      <c r="Z21" s="475"/>
    </row>
    <row r="22" spans="3:26" ht="13.8" thickTop="1" x14ac:dyDescent="0.25">
      <c r="D22" s="380"/>
      <c r="E22" s="380"/>
      <c r="F22" s="380"/>
      <c r="G22" s="465"/>
      <c r="H22" s="466"/>
      <c r="I22" s="466"/>
      <c r="J22" s="467"/>
      <c r="L22" s="468"/>
      <c r="N22" s="469"/>
      <c r="O22" s="470"/>
      <c r="P22" s="371"/>
      <c r="Q22" s="471"/>
      <c r="R22" s="472"/>
      <c r="S22" s="472"/>
      <c r="T22" s="410"/>
      <c r="U22" s="473"/>
      <c r="V22" s="478"/>
    </row>
    <row r="23" spans="3:26" ht="12.75" customHeight="1" x14ac:dyDescent="0.25">
      <c r="C23" s="464" t="s">
        <v>704</v>
      </c>
      <c r="D23" s="380" t="s">
        <v>18</v>
      </c>
      <c r="E23" s="380" t="s">
        <v>558</v>
      </c>
      <c r="F23" s="380" t="s">
        <v>19</v>
      </c>
      <c r="G23" s="465">
        <v>15000</v>
      </c>
      <c r="H23" s="466">
        <v>35886</v>
      </c>
      <c r="I23" s="466">
        <v>40117</v>
      </c>
      <c r="J23" s="467"/>
      <c r="K23" s="468"/>
      <c r="L23" s="468">
        <f ca="1">LongTerm17!$T$5</f>
        <v>1041412.1785388197</v>
      </c>
      <c r="N23" s="469">
        <f>[4]LongTerm17!$T$7</f>
        <v>4.1911724354412219E-2</v>
      </c>
      <c r="O23" s="470">
        <f>[4]LongTerm17!$T$8</f>
        <v>0.99759305607567672</v>
      </c>
      <c r="P23" s="371" t="s">
        <v>705</v>
      </c>
      <c r="Q23" s="471"/>
      <c r="R23" s="472"/>
      <c r="S23" s="472"/>
      <c r="T23" s="410"/>
      <c r="U23" s="473"/>
      <c r="V23" s="474"/>
      <c r="Z23" s="475"/>
    </row>
    <row r="24" spans="3:26" ht="12.75" customHeight="1" x14ac:dyDescent="0.25">
      <c r="D24" s="380" t="s">
        <v>18</v>
      </c>
      <c r="E24" s="380" t="s">
        <v>557</v>
      </c>
      <c r="F24" s="380" t="s">
        <v>558</v>
      </c>
      <c r="G24" s="465">
        <v>40000</v>
      </c>
      <c r="H24" s="466">
        <v>36526</v>
      </c>
      <c r="I24" s="466">
        <v>37955</v>
      </c>
      <c r="J24" s="467"/>
      <c r="K24" s="468"/>
      <c r="L24" s="468">
        <f ca="1">LongTerm19!$T$5</f>
        <v>219417.67992575202</v>
      </c>
      <c r="N24" s="469">
        <f>[4]LongTerm19!$T$7</f>
        <v>6.2226314356314599E-3</v>
      </c>
      <c r="O24" s="470">
        <f>[4]LongTerm19!$T$8</f>
        <v>0.99977580770160801</v>
      </c>
      <c r="P24" s="371" t="s">
        <v>705</v>
      </c>
      <c r="Q24" s="471"/>
      <c r="R24" s="472"/>
      <c r="S24" s="472"/>
      <c r="T24" s="410"/>
      <c r="U24" s="473"/>
      <c r="V24" s="478"/>
      <c r="Z24" s="475"/>
    </row>
    <row r="25" spans="3:26" ht="12.75" customHeight="1" x14ac:dyDescent="0.25">
      <c r="D25" s="380" t="s">
        <v>18</v>
      </c>
      <c r="E25" s="380" t="s">
        <v>557</v>
      </c>
      <c r="F25" s="380" t="s">
        <v>558</v>
      </c>
      <c r="G25" s="465">
        <v>25654</v>
      </c>
      <c r="H25" s="466">
        <v>36526</v>
      </c>
      <c r="I25" s="466">
        <v>38291</v>
      </c>
      <c r="J25" s="467"/>
      <c r="K25" s="468"/>
      <c r="L25" s="468">
        <f ca="1">LongTerm20!$T$5</f>
        <v>190203.43282943813</v>
      </c>
      <c r="N25" s="469">
        <f>[4]LongTerm20!$T$7</f>
        <v>4.9159199275726692E-3</v>
      </c>
      <c r="O25" s="470">
        <f>[4]LongTerm20!$T$8</f>
        <v>0.99982276590938712</v>
      </c>
      <c r="P25" s="371" t="s">
        <v>705</v>
      </c>
      <c r="Q25" s="471"/>
      <c r="R25" s="472"/>
      <c r="S25" s="472"/>
      <c r="T25" s="410"/>
      <c r="U25" s="473"/>
      <c r="V25" s="478"/>
      <c r="Z25" s="475"/>
    </row>
    <row r="26" spans="3:26" ht="12.75" customHeight="1" x14ac:dyDescent="0.25">
      <c r="D26" s="380" t="s">
        <v>18</v>
      </c>
      <c r="E26" s="380" t="s">
        <v>558</v>
      </c>
      <c r="F26" s="380" t="s">
        <v>19</v>
      </c>
      <c r="G26" s="465">
        <v>15000</v>
      </c>
      <c r="H26" s="466">
        <v>36526</v>
      </c>
      <c r="I26" s="466">
        <v>38442</v>
      </c>
      <c r="J26" s="467"/>
      <c r="K26" s="468"/>
      <c r="L26" s="468">
        <f ca="1">LongTerm21!$T$5</f>
        <v>519866.16398778121</v>
      </c>
      <c r="N26" s="469">
        <f>[4]LongTerm21!$T$7</f>
        <v>4.6596514229665438E-2</v>
      </c>
      <c r="O26" s="470">
        <f>[4]LongTerm21!$T$8</f>
        <v>0.99694796505134264</v>
      </c>
      <c r="P26" s="371" t="s">
        <v>705</v>
      </c>
      <c r="Q26" s="471"/>
      <c r="R26" s="472"/>
      <c r="S26" s="472"/>
      <c r="T26" s="410"/>
      <c r="U26" s="473"/>
      <c r="V26" s="478"/>
      <c r="Z26" s="475"/>
    </row>
    <row r="27" spans="3:26" ht="12.75" customHeight="1" x14ac:dyDescent="0.25">
      <c r="D27" s="380" t="s">
        <v>18</v>
      </c>
      <c r="E27" s="380" t="s">
        <v>558</v>
      </c>
      <c r="F27" s="380" t="s">
        <v>19</v>
      </c>
      <c r="G27" s="465">
        <v>30000</v>
      </c>
      <c r="H27" s="466">
        <v>36526</v>
      </c>
      <c r="I27" s="466">
        <v>37346</v>
      </c>
      <c r="J27" s="467"/>
      <c r="K27" s="468"/>
      <c r="L27" s="468">
        <f ca="1">LongTerm24!$T$5</f>
        <v>111383.43244856824</v>
      </c>
      <c r="N27" s="469">
        <f>[4]LongTerm24!$T$7</f>
        <v>6.6724105878904441E-2</v>
      </c>
      <c r="O27" s="470">
        <f>[4]LongTerm24!$T$8</f>
        <v>0.9955387235293226</v>
      </c>
      <c r="P27" s="371" t="s">
        <v>705</v>
      </c>
      <c r="Q27" s="471"/>
      <c r="R27" s="472"/>
      <c r="S27" s="472"/>
      <c r="T27" s="410"/>
      <c r="U27" s="473"/>
      <c r="V27" s="478"/>
      <c r="Z27" s="475"/>
    </row>
    <row r="28" spans="3:26" ht="12.75" customHeight="1" x14ac:dyDescent="0.25">
      <c r="D28" s="380" t="s">
        <v>18</v>
      </c>
      <c r="E28" s="380" t="s">
        <v>558</v>
      </c>
      <c r="F28" s="380" t="s">
        <v>19</v>
      </c>
      <c r="G28" s="465">
        <v>25000</v>
      </c>
      <c r="H28" s="466">
        <v>36831</v>
      </c>
      <c r="I28" s="466">
        <v>36981</v>
      </c>
      <c r="J28" s="467"/>
      <c r="K28" s="468"/>
      <c r="L28" s="468" t="e">
        <f>#REF!</f>
        <v>#REF!</v>
      </c>
      <c r="N28" s="469">
        <f>[4]LongTerm28!$T$7</f>
        <v>7.4599454061133441E-2</v>
      </c>
      <c r="O28" s="470">
        <f>[4]LongTerm28!$T$8</f>
        <v>0.9948355064726051</v>
      </c>
      <c r="P28" s="371" t="s">
        <v>705</v>
      </c>
      <c r="Q28" s="471"/>
      <c r="R28" s="472"/>
      <c r="S28" s="472"/>
      <c r="T28" s="410"/>
      <c r="U28" s="473"/>
      <c r="V28" s="478"/>
      <c r="Z28" s="475"/>
    </row>
    <row r="29" spans="3:26" ht="12.75" customHeight="1" x14ac:dyDescent="0.25">
      <c r="D29" s="380" t="s">
        <v>18</v>
      </c>
      <c r="E29" s="380" t="s">
        <v>557</v>
      </c>
      <c r="F29" s="380" t="s">
        <v>558</v>
      </c>
      <c r="G29" s="465">
        <v>20000</v>
      </c>
      <c r="H29" s="466">
        <v>34274</v>
      </c>
      <c r="I29" s="466">
        <v>37042</v>
      </c>
      <c r="J29" s="467"/>
      <c r="K29" s="468"/>
      <c r="L29" s="468" t="e">
        <f>#REF!</f>
        <v>#REF!</v>
      </c>
      <c r="N29" s="469">
        <f>[4]LongTerm43!$T$7</f>
        <v>4.3792673788732125E-2</v>
      </c>
      <c r="O29" s="470">
        <f>[4]LongTerm43!$T$8</f>
        <v>0.99844261364917819</v>
      </c>
      <c r="P29" s="371" t="s">
        <v>705</v>
      </c>
      <c r="Q29" s="471"/>
      <c r="R29" s="472"/>
      <c r="S29" s="472"/>
      <c r="T29" s="410"/>
      <c r="U29" s="473"/>
      <c r="V29" s="478"/>
      <c r="X29" s="66"/>
      <c r="Y29" s="66"/>
      <c r="Z29" s="475"/>
    </row>
    <row r="30" spans="3:26" ht="12.75" customHeight="1" x14ac:dyDescent="0.25">
      <c r="D30" s="380" t="s">
        <v>18</v>
      </c>
      <c r="E30" s="380" t="s">
        <v>558</v>
      </c>
      <c r="F30" s="380" t="s">
        <v>19</v>
      </c>
      <c r="G30" s="465">
        <v>50000</v>
      </c>
      <c r="H30" s="466">
        <v>36831</v>
      </c>
      <c r="I30" s="466">
        <v>36981</v>
      </c>
      <c r="J30" s="467"/>
      <c r="K30" s="468"/>
      <c r="L30" s="468" t="e">
        <f>#REF!</f>
        <v>#REF!</v>
      </c>
      <c r="N30" s="469">
        <f>[4]LongTerm44!$T$7</f>
        <v>6.6642846032598527E-2</v>
      </c>
      <c r="O30" s="470">
        <f>[4]LongTerm44!$T$8</f>
        <v>0.9948355064726051</v>
      </c>
      <c r="P30" s="371" t="s">
        <v>705</v>
      </c>
      <c r="Q30" s="471"/>
      <c r="R30" s="472"/>
      <c r="S30" s="472"/>
      <c r="T30" s="410"/>
      <c r="U30" s="473"/>
      <c r="V30" s="478"/>
      <c r="Z30" s="475"/>
    </row>
    <row r="31" spans="3:26" ht="12.75" customHeight="1" x14ac:dyDescent="0.25">
      <c r="D31" s="380" t="s">
        <v>18</v>
      </c>
      <c r="E31" s="380" t="s">
        <v>558</v>
      </c>
      <c r="F31" s="380" t="s">
        <v>19</v>
      </c>
      <c r="G31" s="465">
        <v>142</v>
      </c>
      <c r="H31" s="466">
        <v>36746</v>
      </c>
      <c r="I31" s="466">
        <v>37103</v>
      </c>
      <c r="J31" s="467"/>
      <c r="K31" s="468"/>
      <c r="L31" s="468" t="e">
        <f>#REF!</f>
        <v>#REF!</v>
      </c>
      <c r="N31" s="469">
        <f>[4]LongTerm45!$T$7</f>
        <v>3.1879929532457787E-2</v>
      </c>
      <c r="O31" s="470">
        <f>[4]LongTerm45!$T$8</f>
        <v>0.99576382575705846</v>
      </c>
      <c r="P31" s="371" t="s">
        <v>705</v>
      </c>
      <c r="Q31" s="471"/>
      <c r="R31" s="472"/>
      <c r="S31" s="472"/>
      <c r="T31" s="410"/>
      <c r="U31" s="473"/>
      <c r="V31" s="478"/>
      <c r="Z31" s="475"/>
    </row>
    <row r="32" spans="3:26" ht="12.75" customHeight="1" x14ac:dyDescent="0.25">
      <c r="D32" s="380" t="s">
        <v>667</v>
      </c>
      <c r="E32" s="380" t="s">
        <v>706</v>
      </c>
      <c r="F32" s="380" t="s">
        <v>707</v>
      </c>
      <c r="G32" s="465">
        <v>567</v>
      </c>
      <c r="H32" s="466">
        <v>36069</v>
      </c>
      <c r="I32" s="466">
        <v>39113</v>
      </c>
      <c r="J32" s="467"/>
      <c r="K32" s="468"/>
      <c r="L32" s="468">
        <f ca="1">LongTerm50!$T$5+LongTerm51!$T$5+LongTerm52!$T$5</f>
        <v>8.5233795917014312</v>
      </c>
      <c r="N32" s="469">
        <f>([4]LongTerm50!$T$5+[4]LongTerm51!$T$5+[4]LongTerm52!$T$5)/([4]LongTerm50!$T$6+[4]LongTerm51!$T$6+[4]LongTerm52!$T$6)</f>
        <v>2.0621087810697557E-3</v>
      </c>
      <c r="O32" s="470">
        <f>([4]LongTerm50!$Y$8+[4]LongTerm51!$Y$8+[4]LongTerm52!$Y$8)/([4]LongTerm50!$Z$8+[4]LongTerm51!$Z$8+[4]LongTerm52!$Z$8)</f>
        <v>0.99991916711246676</v>
      </c>
      <c r="P32" s="371" t="s">
        <v>705</v>
      </c>
      <c r="Q32" s="471"/>
      <c r="R32" s="472"/>
      <c r="S32" s="472"/>
      <c r="T32" s="410"/>
      <c r="U32" s="473"/>
      <c r="V32" s="478"/>
      <c r="Z32" s="475"/>
    </row>
    <row r="33" spans="4:26" ht="12.75" customHeight="1" x14ac:dyDescent="0.25">
      <c r="D33" s="380" t="s">
        <v>667</v>
      </c>
      <c r="E33" s="380" t="s">
        <v>706</v>
      </c>
      <c r="F33" s="380" t="s">
        <v>707</v>
      </c>
      <c r="G33" s="465">
        <v>367</v>
      </c>
      <c r="H33" s="466">
        <v>36495</v>
      </c>
      <c r="I33" s="466">
        <v>39113</v>
      </c>
      <c r="J33" s="467"/>
      <c r="K33" s="468"/>
      <c r="L33" s="468">
        <f ca="1">LongTerm53!$T$5+LongTerm54!$T$5+LongTerm55!$T$5</f>
        <v>5.496864760552965</v>
      </c>
      <c r="N33" s="469">
        <f>([4]LongTerm53!$T$5+[4]LongTerm54!$T$5+[4]LongTerm55!$T$5)/([4]LongTerm53!$T$6+[4]LongTerm54!$T$6+[4]LongTerm55!$T$6)</f>
        <v>2.4341316378079002E-3</v>
      </c>
      <c r="O33" s="470">
        <f>([4]LongTerm53!$Y$8+[4]LongTerm54!$Y$8+[4]LongTerm55!$Y$8)/([4]LongTerm53!$Z$8+[4]LongTerm54!$Z$8+[4]LongTerm55!$Z$8)</f>
        <v>0.99991916711246676</v>
      </c>
      <c r="P33" s="371" t="s">
        <v>705</v>
      </c>
      <c r="Q33" s="471"/>
      <c r="R33" s="472"/>
      <c r="S33" s="472"/>
      <c r="T33" s="410"/>
      <c r="U33" s="473"/>
      <c r="V33" s="478"/>
      <c r="Z33" s="475"/>
    </row>
    <row r="34" spans="4:26" ht="13.8" thickBot="1" x14ac:dyDescent="0.3">
      <c r="L34" s="476" t="e">
        <f ca="1">SUM(L23:L33)</f>
        <v>#REF!</v>
      </c>
      <c r="N34" s="451"/>
      <c r="O34" s="452"/>
      <c r="P34" s="480"/>
      <c r="Q34" s="479"/>
      <c r="R34" s="479"/>
      <c r="S34" s="479"/>
      <c r="T34" s="481"/>
      <c r="U34" s="473"/>
      <c r="V34" s="474"/>
    </row>
    <row r="35" spans="4:26" ht="13.8" thickTop="1" x14ac:dyDescent="0.25">
      <c r="D35" s="380"/>
      <c r="E35" s="380"/>
      <c r="F35" s="380"/>
      <c r="G35" s="465"/>
      <c r="H35" s="466"/>
      <c r="I35" s="466"/>
      <c r="J35" s="467"/>
      <c r="K35" s="468"/>
      <c r="L35" s="468"/>
      <c r="N35" s="468"/>
      <c r="O35" s="470"/>
      <c r="P35" s="470"/>
      <c r="Q35" s="472"/>
      <c r="R35" s="472"/>
      <c r="S35" s="472"/>
      <c r="T35" s="410"/>
      <c r="U35" s="410"/>
      <c r="V35" s="478"/>
      <c r="Z35" s="475"/>
    </row>
    <row r="36" spans="4:26" x14ac:dyDescent="0.25">
      <c r="D36" s="380"/>
      <c r="E36" s="380"/>
      <c r="F36" s="380"/>
      <c r="G36" s="465"/>
      <c r="H36" s="466"/>
      <c r="I36" s="466"/>
      <c r="J36" s="467"/>
      <c r="K36" s="468"/>
      <c r="L36" s="468"/>
      <c r="N36" s="468"/>
      <c r="O36" s="470"/>
      <c r="P36" s="470"/>
      <c r="Q36" s="472"/>
      <c r="R36" s="472"/>
      <c r="S36" s="472"/>
      <c r="T36" s="410"/>
      <c r="U36" s="410"/>
      <c r="V36" s="478"/>
      <c r="Z36" s="475"/>
    </row>
    <row r="37" spans="4:26" x14ac:dyDescent="0.25">
      <c r="D37" s="380"/>
      <c r="E37" s="380"/>
      <c r="F37" s="380"/>
      <c r="H37" s="482" t="s">
        <v>708</v>
      </c>
      <c r="I37" s="466"/>
      <c r="J37" s="467"/>
      <c r="K37" s="468"/>
      <c r="L37" s="483" t="e">
        <f ca="1">SUM(L34+L21+L12)</f>
        <v>#REF!</v>
      </c>
      <c r="N37" s="468"/>
      <c r="O37" s="470"/>
      <c r="P37" s="470"/>
      <c r="Q37" s="472"/>
      <c r="R37" s="472"/>
      <c r="S37" s="472"/>
      <c r="T37" s="410"/>
      <c r="U37" s="484"/>
      <c r="V37" s="484"/>
      <c r="Z37" s="475"/>
    </row>
    <row r="38" spans="4:26" x14ac:dyDescent="0.25">
      <c r="D38" s="380"/>
      <c r="E38" s="380"/>
      <c r="F38" s="380"/>
      <c r="G38" s="465"/>
      <c r="H38" s="466"/>
      <c r="I38" s="466"/>
      <c r="J38" s="467"/>
      <c r="K38" s="468"/>
      <c r="L38" s="483"/>
      <c r="N38" s="468"/>
      <c r="O38" s="470"/>
      <c r="P38" s="470"/>
      <c r="Q38" s="470"/>
      <c r="R38" s="470"/>
      <c r="S38" s="470"/>
      <c r="U38" s="483"/>
      <c r="V38" s="483"/>
      <c r="Z38" s="475"/>
    </row>
    <row r="39" spans="4:26" x14ac:dyDescent="0.25">
      <c r="N39" s="451"/>
      <c r="O39" s="452"/>
      <c r="P39" s="452"/>
      <c r="Q39" s="452"/>
      <c r="R39" s="452"/>
      <c r="S39" s="452"/>
      <c r="U39"/>
      <c r="V39" s="371"/>
    </row>
    <row r="40" spans="4:26" x14ac:dyDescent="0.25">
      <c r="E40" s="66"/>
      <c r="F40" s="66"/>
      <c r="K40" s="485"/>
    </row>
    <row r="41" spans="4:26" x14ac:dyDescent="0.25">
      <c r="E41" s="451"/>
      <c r="F41" s="451"/>
    </row>
    <row r="42" spans="4:26" x14ac:dyDescent="0.25">
      <c r="E42" s="451"/>
      <c r="F42" s="451"/>
    </row>
    <row r="47" spans="4:26" x14ac:dyDescent="0.25">
      <c r="G47" s="486"/>
    </row>
  </sheetData>
  <mergeCells count="3">
    <mergeCell ref="L3:O3"/>
    <mergeCell ref="C2:C3"/>
    <mergeCell ref="D2:D3"/>
  </mergeCells>
  <phoneticPr fontId="0" type="noConversion"/>
  <pageMargins left="0.25" right="0.25" top="1" bottom="1" header="0.5" footer="0.5"/>
  <pageSetup paperSize="5" scale="76"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65</vt:i4>
      </vt:variant>
      <vt:variant>
        <vt:lpstr>Named Ranges</vt:lpstr>
      </vt:variant>
      <vt:variant>
        <vt:i4>47</vt:i4>
      </vt:variant>
    </vt:vector>
  </HeadingPairs>
  <TitlesOfParts>
    <vt:vector size="112" baseType="lpstr">
      <vt:lpstr>Daily Operation</vt:lpstr>
      <vt:lpstr>Contract DB (Central)</vt:lpstr>
      <vt:lpstr>Contract DB (West)</vt:lpstr>
      <vt:lpstr>Contract DB (East)</vt:lpstr>
      <vt:lpstr>Contract DB (Ontario)</vt:lpstr>
      <vt:lpstr>P&amp;L Report</vt:lpstr>
      <vt:lpstr>Curves</vt:lpstr>
      <vt:lpstr>Correlations</vt:lpstr>
      <vt:lpstr>P&amp;L Template</vt:lpstr>
      <vt:lpstr>Central Position Rpt</vt:lpstr>
      <vt:lpstr>WestHolst Position Rpt</vt:lpstr>
      <vt:lpstr>WestErmis Position Rpt</vt:lpstr>
      <vt:lpstr>WestGrigsby Position Rpt</vt:lpstr>
      <vt:lpstr>WestAllen Position Rpt</vt:lpstr>
      <vt:lpstr>Denver Positions</vt:lpstr>
      <vt:lpstr>Phillip Delta Positions</vt:lpstr>
      <vt:lpstr>Keith Delta Positions</vt:lpstr>
      <vt:lpstr>East Postition Rpt</vt:lpstr>
      <vt:lpstr>Ontario Position Rpt</vt:lpstr>
      <vt:lpstr>sTOREY</vt:lpstr>
      <vt:lpstr>LongTerm1</vt:lpstr>
      <vt:lpstr>LongTerm2</vt:lpstr>
      <vt:lpstr>LongTerm9</vt:lpstr>
      <vt:lpstr>LongTerm10</vt:lpstr>
      <vt:lpstr>LongTerm17</vt:lpstr>
      <vt:lpstr>LongTerm19</vt:lpstr>
      <vt:lpstr>LongTerm20</vt:lpstr>
      <vt:lpstr>LongTerm21</vt:lpstr>
      <vt:lpstr>LongTerm24</vt:lpstr>
      <vt:lpstr>LongTerm25</vt:lpstr>
      <vt:lpstr>LongTerm26</vt:lpstr>
      <vt:lpstr>LongTerm50</vt:lpstr>
      <vt:lpstr>LongTerm51</vt:lpstr>
      <vt:lpstr>LongTerm52</vt:lpstr>
      <vt:lpstr>LongTerm53</vt:lpstr>
      <vt:lpstr>LongTerm54</vt:lpstr>
      <vt:lpstr>LongTerm55</vt:lpstr>
      <vt:lpstr>LongTerm56</vt:lpstr>
      <vt:lpstr>LongTerm57</vt:lpstr>
      <vt:lpstr>LongTerm62</vt:lpstr>
      <vt:lpstr>LongTerm72</vt:lpstr>
      <vt:lpstr>LongTerm73</vt:lpstr>
      <vt:lpstr>LongTerm74</vt:lpstr>
      <vt:lpstr>LongTerm83</vt:lpstr>
      <vt:lpstr>LongTerm84</vt:lpstr>
      <vt:lpstr>LongTerm85</vt:lpstr>
      <vt:lpstr>LongTerm86</vt:lpstr>
      <vt:lpstr>LongTerm87</vt:lpstr>
      <vt:lpstr>LongTerm88</vt:lpstr>
      <vt:lpstr>LongTerm89</vt:lpstr>
      <vt:lpstr>LongTerm90</vt:lpstr>
      <vt:lpstr>LongTerm100</vt:lpstr>
      <vt:lpstr>LongTerm101</vt:lpstr>
      <vt:lpstr>LongTerm102</vt:lpstr>
      <vt:lpstr>LongTerm103</vt:lpstr>
      <vt:lpstr>LongTerm104</vt:lpstr>
      <vt:lpstr>LongTerm105</vt:lpstr>
      <vt:lpstr>LongTerm106</vt:lpstr>
      <vt:lpstr>LongTerm107</vt:lpstr>
      <vt:lpstr>LongTerm108</vt:lpstr>
      <vt:lpstr>Help</vt:lpstr>
      <vt:lpstr>Codes</vt:lpstr>
      <vt:lpstr>Book and CPID</vt:lpstr>
      <vt:lpstr>Configuration</vt:lpstr>
      <vt:lpstr>Lavorato Rpt</vt:lpstr>
      <vt:lpstr>_11_1_99</vt:lpstr>
      <vt:lpstr>BookCodes</vt:lpstr>
      <vt:lpstr>'Contract DB (Central)'!ContractList</vt:lpstr>
      <vt:lpstr>'Contract DB (East)'!ContractList</vt:lpstr>
      <vt:lpstr>'Contract DB (Ontario)'!ContractList</vt:lpstr>
      <vt:lpstr>'Contract DB (West)'!ContractList</vt:lpstr>
      <vt:lpstr>CorrelationOne</vt:lpstr>
      <vt:lpstr>CorrelationTwo</vt:lpstr>
      <vt:lpstr>CorrelFile</vt:lpstr>
      <vt:lpstr>CorrelPage</vt:lpstr>
      <vt:lpstr>CurveCodes</vt:lpstr>
      <vt:lpstr>CurveNames</vt:lpstr>
      <vt:lpstr>CurveStart</vt:lpstr>
      <vt:lpstr>CurveTbl</vt:lpstr>
      <vt:lpstr>CurveTypes</vt:lpstr>
      <vt:lpstr>DBName</vt:lpstr>
      <vt:lpstr>Deal1</vt:lpstr>
      <vt:lpstr>Deal2</vt:lpstr>
      <vt:lpstr>Deal25</vt:lpstr>
      <vt:lpstr>Deal26</vt:lpstr>
      <vt:lpstr>Deal3</vt:lpstr>
      <vt:lpstr>Deal4</vt:lpstr>
      <vt:lpstr>Deal7</vt:lpstr>
      <vt:lpstr>EndDate</vt:lpstr>
      <vt:lpstr>Exp2</vt:lpstr>
      <vt:lpstr>ExportFile</vt:lpstr>
      <vt:lpstr>FetchDate</vt:lpstr>
      <vt:lpstr>GRITable</vt:lpstr>
      <vt:lpstr>InfoStart</vt:lpstr>
      <vt:lpstr>LiborCurve</vt:lpstr>
      <vt:lpstr>NymexCurve</vt:lpstr>
      <vt:lpstr>OffsetDays</vt:lpstr>
      <vt:lpstr>Password</vt:lpstr>
      <vt:lpstr>'Central Position Rpt'!Print_Area</vt:lpstr>
      <vt:lpstr>'East Postition Rpt'!Print_Area</vt:lpstr>
      <vt:lpstr>'Keith Delta Positions'!Print_Area</vt:lpstr>
      <vt:lpstr>'Lavorato Rpt'!Print_Area</vt:lpstr>
      <vt:lpstr>'Ontario Position Rpt'!Print_Area</vt:lpstr>
      <vt:lpstr>sTOREY!Print_Area</vt:lpstr>
      <vt:lpstr>'WestErmis Position Rpt'!Print_Area</vt:lpstr>
      <vt:lpstr>'WestGrigsby Position Rpt'!Print_Area</vt:lpstr>
      <vt:lpstr>RegionList</vt:lpstr>
      <vt:lpstr>RegionRptConfig</vt:lpstr>
      <vt:lpstr>StartDate</vt:lpstr>
      <vt:lpstr>TodayDate</vt:lpstr>
      <vt:lpstr>UserName</vt:lpstr>
      <vt:lpstr>XTable</vt:lpstr>
    </vt:vector>
  </TitlesOfParts>
  <Company>ect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gcouch</dc:creator>
  <dc:description>- Oracle 8i ODBC QueryFix Applied</dc:description>
  <cp:lastModifiedBy>Havlíček Jan</cp:lastModifiedBy>
  <cp:lastPrinted>2001-12-14T21:06:44Z</cp:lastPrinted>
  <dcterms:created xsi:type="dcterms:W3CDTF">2000-03-15T19:43:32Z</dcterms:created>
  <dcterms:modified xsi:type="dcterms:W3CDTF">2023-09-10T11:03:57Z</dcterms:modified>
</cp:coreProperties>
</file>